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codeName="ThisWorkbook" defaultThemeVersion="166925"/>
  <mc:AlternateContent xmlns:mc="http://schemas.openxmlformats.org/markup-compatibility/2006">
    <mc:Choice Requires="x15">
      <x15ac:absPath xmlns:x15ac="http://schemas.microsoft.com/office/spreadsheetml/2010/11/ac" url="P:\DSS\APD\Forms-Tables-Checklist-Guidance\Field Creation Folder\Traci Spencer\1 Working\2023\Dec\Project 2941\"/>
    </mc:Choice>
  </mc:AlternateContent>
  <xr:revisionPtr revIDLastSave="0" documentId="13_ncr:1_{DC24DEE6-4BC4-4BD1-8A10-96DF061D9CFB}" xr6:coauthVersionLast="47" xr6:coauthVersionMax="47" xr10:uidLastSave="{00000000-0000-0000-0000-000000000000}"/>
  <workbookProtection workbookAlgorithmName="SHA-512" workbookHashValue="erfapXHhvprUAXO5PEgxDC4W66119nTsbVKXOIsJ/g9VmmdGGuDfU4G4UY+SbWh9HtI4D0IUdyypofO4pjCFPw==" workbookSaltValue="iazCaySUYnb6fB2Bs1Adsw==" workbookSpinCount="100000" lockStructure="1"/>
  <bookViews>
    <workbookView xWindow="-120" yWindow="-120" windowWidth="29040" windowHeight="15840" tabRatio="852" firstSheet="1" activeTab="1" xr2:uid="{36FE021A-DD57-4E4C-8F5C-B96E07C6C78F}"/>
  </bookViews>
  <sheets>
    <sheet name="Reference" sheetId="109" state="veryHidden" r:id="rId1"/>
    <sheet name="Instructions" sheetId="35" r:id="rId2"/>
    <sheet name="Species" sheetId="38" r:id="rId3"/>
    <sheet name="PI-1-MarineLoading" sheetId="1" r:id="rId4"/>
    <sheet name="Products" sheetId="36" r:id="rId5"/>
    <sheet name="Tank1" sheetId="71" r:id="rId6"/>
    <sheet name="Tank2" sheetId="73" r:id="rId7"/>
    <sheet name="Tank3" sheetId="74" r:id="rId8"/>
    <sheet name="Tank4" sheetId="76" r:id="rId9"/>
    <sheet name="Tank5" sheetId="75" r:id="rId10"/>
    <sheet name="ConvenienceLand" sheetId="84" r:id="rId11"/>
    <sheet name="Load-DrumTote" sheetId="78" r:id="rId12"/>
    <sheet name="Load-Truck" sheetId="80" r:id="rId13"/>
    <sheet name="Load-Rail" sheetId="79" r:id="rId14"/>
    <sheet name="Load-MarineBarge" sheetId="77" r:id="rId15"/>
    <sheet name="Load-MarineShip" sheetId="72" r:id="rId16"/>
    <sheet name="Flare" sheetId="41" r:id="rId17"/>
    <sheet name="VCU" sheetId="49" r:id="rId18"/>
    <sheet name="VaporOxidizer" sheetId="51" r:id="rId19"/>
    <sheet name="CAS" sheetId="27" r:id="rId20"/>
    <sheet name="Engine1" sheetId="39" r:id="rId21"/>
    <sheet name="Engine2" sheetId="96" r:id="rId22"/>
    <sheet name="HeaterBoiler1" sheetId="93" r:id="rId23"/>
    <sheet name="HeaterBoiler2" sheetId="97" r:id="rId24"/>
    <sheet name="Fug" sheetId="30" r:id="rId25"/>
    <sheet name="TankMSS" sheetId="89" r:id="rId26"/>
    <sheet name="MSS" sheetId="23" r:id="rId27"/>
    <sheet name="EmissionSummary" sheetId="70" r:id="rId28"/>
    <sheet name="Impacts" sheetId="104" r:id="rId29"/>
    <sheet name="Fees" sheetId="2" r:id="rId30"/>
    <sheet name="PublicNotice" sheetId="55" r:id="rId31"/>
    <sheet name="Baseline" sheetId="57" r:id="rId32"/>
    <sheet name="BACT" sheetId="99" r:id="rId33"/>
    <sheet name="FedApp" sheetId="108" r:id="rId34"/>
    <sheet name="CND" sheetId="102" r:id="rId35"/>
    <sheet name="Abbreviations" sheetId="105" r:id="rId36"/>
    <sheet name="ModelingReport" sheetId="106" r:id="rId37"/>
    <sheet name="LandEmiss" sheetId="90" state="veryHidden" r:id="rId38"/>
    <sheet name="CtrlDevImpacts" sheetId="103" state="veryHidden" r:id="rId39"/>
    <sheet name="HiddenImpacts" sheetId="95" state="veryHidden" r:id="rId40"/>
    <sheet name="Hidden" sheetId="4" state="veryHidden" r:id="rId41"/>
  </sheets>
  <externalReferences>
    <externalReference r:id="rId42"/>
  </externalReferences>
  <definedNames>
    <definedName name="_xlnm._FilterDatabase" localSheetId="35" hidden="1">Abbreviations!$A$4:$B$88</definedName>
    <definedName name="_xlnm._FilterDatabase" localSheetId="2" hidden="1">Species!$A$5:$B$4341</definedName>
    <definedName name="_GoBack" localSheetId="40">Hidden!$OO$2</definedName>
    <definedName name="CAS">Hidden!$FC$2:$FC$4337</definedName>
    <definedName name="CASandESL">Hidden!$FC$2:$FE$4337</definedName>
    <definedName name="CASused">Hidden!$Y$2:INDEX(Hidden!$Y$2:$Y$111,SUMPRODUCT(--(Hidden!$Y$2:$Y$111&lt;&gt;"")))</definedName>
    <definedName name="ConvLand_TankMSS_CtrlDevs">Hidden!$U$2:INDEX(Hidden!$U$2:$U$7,SUMPRODUCT(--(Hidden!$U$2:$U$7&lt;&gt;"")))</definedName>
    <definedName name="Counties" localSheetId="33">[1]Reference!$A$10:$A$263</definedName>
    <definedName name="Counties">Hidden!$A$2:$A$51</definedName>
    <definedName name="CountyName">[1]Reference!$A$10:$A$263</definedName>
    <definedName name="EngDDSource">[1]Reference!$AP$10:$AP$13</definedName>
    <definedName name="FugListInspection">Hidden!$QH$2:$QI$2</definedName>
    <definedName name="FugListInstrument">Hidden!$QD$2:$QG$2</definedName>
    <definedName name="FugListNone">Hidden!$QD$2</definedName>
    <definedName name="IndustryGroup">Hidden!$PL$2:$PS$2</definedName>
    <definedName name="NAcounties">Hidden!$SW$3:$SW$10</definedName>
    <definedName name="NamedSources">Hidden!$QK$3:$QK$29</definedName>
    <definedName name="PEFR">Hidden!$TA$3:$TA$4</definedName>
    <definedName name="Pfixed">Hidden!$SZ$3</definedName>
    <definedName name="PIFR">Hidden!$TB$3:$TB$5</definedName>
    <definedName name="_xlnm.Print_Area" localSheetId="35">Abbreviations!$A$2:$B$88</definedName>
    <definedName name="_xlnm.Print_Area" localSheetId="32">BACT!$A$1:$A$70</definedName>
    <definedName name="_xlnm.Print_Area" localSheetId="31">Baseline!$A$2:$J$31</definedName>
    <definedName name="_xlnm.Print_Area" localSheetId="19">CAS!$A$2:$I$144</definedName>
    <definedName name="_xlnm.Print_Area" localSheetId="34">CND!$A$2:$F$662</definedName>
    <definedName name="_xlnm.Print_Area" localSheetId="10">ConvenienceLand!$A$2:$H$94</definedName>
    <definedName name="_xlnm.Print_Area" localSheetId="27">EmissionSummary!$A$2:$W$78</definedName>
    <definedName name="_xlnm.Print_Area" localSheetId="20">Engine1!$A$2:$J$38</definedName>
    <definedName name="_xlnm.Print_Area" localSheetId="21">Engine2!$A$2:$J$38</definedName>
    <definedName name="_xlnm.Print_Area" localSheetId="29">Fees!$A$2:$G$51</definedName>
    <definedName name="_xlnm.Print_Area" localSheetId="16">Flare!$A$2:$G$216</definedName>
    <definedName name="_xlnm.Print_Area" localSheetId="24">Fug!$A$2:$J$217</definedName>
    <definedName name="_xlnm.Print_Area" localSheetId="22">HeaterBoiler1!$A$2:$J$63</definedName>
    <definedName name="_xlnm.Print_Area" localSheetId="23">HeaterBoiler2!$A$2:$J$63</definedName>
    <definedName name="_xlnm.Print_Area" localSheetId="28">Impacts!$A$2:$K$452</definedName>
    <definedName name="_xlnm.Print_Area" localSheetId="1">Instructions!$A$2:$D$84</definedName>
    <definedName name="_xlnm.Print_Area" localSheetId="11">'Load-DrumTote'!$A$2:$N$136</definedName>
    <definedName name="_xlnm.Print_Area" localSheetId="14">'Load-MarineBarge'!$A$2:$N$136</definedName>
    <definedName name="_xlnm.Print_Area" localSheetId="15">'Load-MarineShip'!$A$2:$N$136</definedName>
    <definedName name="_xlnm.Print_Area" localSheetId="12">'Load-Truck'!$A$2:$N$136</definedName>
    <definedName name="_xlnm.Print_Area" localSheetId="36">ModelingReport!$A$1:$M$964</definedName>
    <definedName name="_xlnm.Print_Area" localSheetId="26">MSS!$A$2:$G$178</definedName>
    <definedName name="_xlnm.Print_Area" localSheetId="3">'PI-1-MarineLoading'!$A$2:$G$270</definedName>
    <definedName name="_xlnm.Print_Area" localSheetId="4">Products!$A$2:$H$158</definedName>
    <definedName name="_xlnm.Print_Area" localSheetId="30">PublicNotice!$A$2:$G$83</definedName>
    <definedName name="_xlnm.Print_Area" localSheetId="2">Species!$A$2:$B$4341</definedName>
    <definedName name="_xlnm.Print_Area" localSheetId="5">Tank1!$A$2:$H$141</definedName>
    <definedName name="_xlnm.Print_Area" localSheetId="6">Tank2!$A$2:$H$141</definedName>
    <definedName name="_xlnm.Print_Area" localSheetId="7">Tank3!$A$2:$H$141</definedName>
    <definedName name="_xlnm.Print_Area" localSheetId="9">Tank5!$A$2:$H$141</definedName>
    <definedName name="_xlnm.Print_Area" localSheetId="25">TankMSS!$A$2:$D$173</definedName>
    <definedName name="_xlnm.Print_Area" localSheetId="18">VaporOxidizer!$A$2:$G$220</definedName>
    <definedName name="_xlnm.Print_Area" localSheetId="17">VCU!$A$2:$G$239</definedName>
    <definedName name="ProdData">Products!$A$59:$D$149</definedName>
    <definedName name="ProdList">Hidden!$I$2:INDEX(Hidden!$I$2:$I$11,SUMPRODUCT(--(Hidden!$I$2:$I$11&lt;&gt;"")))</definedName>
    <definedName name="SEFR">Hidden!$TD$3</definedName>
    <definedName name="Sheet_FedApp">FedApp!$A$1</definedName>
    <definedName name="SIFRml">Hidden!$TE$3:$TE$6</definedName>
    <definedName name="SIFRv">Hidden!$TF$3</definedName>
    <definedName name="StoredProducts">Hidden!$CL$2:INDEX(Hidden!$CL$2:$CL$11,SUMPRODUCT(--(Hidden!$CL$2:$CL$11&lt;&gt;"")))</definedName>
    <definedName name="SUBnCAS">Hidden!$FB$2:$FC$4337</definedName>
    <definedName name="Substances">Hidden!$FB$2:$FB$4337</definedName>
    <definedName name="TankMSS_CtrlDevs">Hidden!$Q$2:INDEX(Hidden!$Q$2:$Q$8,SUMPRODUCT(--(Hidden!$Q$2:$Q$8&lt;&gt;"")))</definedName>
    <definedName name="TnkLoad_Ctrl_notreq">Hidden!$M$2:INDEX(Hidden!$M$2:$M$6,SUMPRODUCT(--(Hidden!$M$2:$M$6&lt;&gt;"")))</definedName>
    <definedName name="TnkLoad_Ctrl_req">Hidden!$M$3:INDEX(Hidden!$M$3:$M$6,SUMPRODUCT(--(Hidden!$M$3:$M$6&lt;&gt;"")))</definedName>
    <definedName name="TodaysDate">[1]Reference!$E$63</definedName>
    <definedName name="Y">Hidden!$TH$2</definedName>
    <definedName name="YN">Hidden!$TH$2:$TH$3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 i="35" l="1"/>
  <c r="S31" i="108" l="1"/>
  <c r="S30" i="108"/>
  <c r="S28" i="108"/>
  <c r="S26" i="108"/>
  <c r="S25" i="108"/>
  <c r="S22" i="108"/>
  <c r="S21" i="108"/>
  <c r="S20" i="108"/>
  <c r="S19" i="108"/>
  <c r="S16" i="108"/>
  <c r="S15" i="108"/>
  <c r="S13" i="108"/>
  <c r="S12" i="108"/>
  <c r="S11" i="108"/>
  <c r="S9" i="108"/>
  <c r="S8" i="108"/>
  <c r="S7" i="108"/>
  <c r="S6" i="108"/>
  <c r="S5" i="108"/>
  <c r="S4" i="108"/>
  <c r="B25" i="108"/>
  <c r="B24" i="108"/>
  <c r="B23" i="108"/>
  <c r="B22" i="108"/>
  <c r="I17" i="108"/>
  <c r="J17" i="108" s="1"/>
  <c r="C43" i="108"/>
  <c r="C48" i="108" s="1"/>
  <c r="B39" i="108"/>
  <c r="G38" i="108"/>
  <c r="G12" i="108"/>
  <c r="H10" i="108"/>
  <c r="H9" i="108"/>
  <c r="B17" i="108" l="1"/>
  <c r="L52" i="108"/>
  <c r="K57" i="108" s="1"/>
  <c r="C25" i="108"/>
  <c r="D25" i="108" s="1"/>
  <c r="K17" i="108"/>
  <c r="A18" i="108" s="1"/>
  <c r="C45" i="108"/>
  <c r="C47" i="108"/>
  <c r="C49" i="108"/>
  <c r="L17" i="108"/>
  <c r="K55" i="108" s="1"/>
  <c r="C24" i="108"/>
  <c r="D24" i="108" s="1"/>
  <c r="C42" i="108"/>
  <c r="C44" i="108"/>
  <c r="C46" i="108"/>
  <c r="G22" i="108" l="1"/>
  <c r="G57" i="108"/>
  <c r="G55" i="108"/>
  <c r="G25" i="108"/>
  <c r="I25" i="108" s="1"/>
  <c r="G24" i="108"/>
  <c r="I24" i="108" s="1"/>
  <c r="G18" i="108"/>
  <c r="B19" i="108" s="1"/>
  <c r="G20" i="108" s="1"/>
  <c r="C22" i="108"/>
  <c r="G33" i="108" l="1"/>
  <c r="G21" i="108"/>
  <c r="G26" i="108"/>
  <c r="G28" i="108"/>
  <c r="G27" i="108"/>
  <c r="I32" i="108"/>
  <c r="J32" i="108" s="1"/>
  <c r="G32" i="108"/>
  <c r="I31" i="108"/>
  <c r="J31" i="108" s="1"/>
  <c r="G31" i="108"/>
  <c r="G23" i="108"/>
  <c r="C23" i="108"/>
  <c r="D23" i="108" s="1"/>
  <c r="D22" i="108"/>
  <c r="I22" i="108" s="1"/>
  <c r="I23" i="108" l="1"/>
  <c r="I30" i="108" s="1"/>
  <c r="J30" i="108" s="1"/>
  <c r="K32" i="108"/>
  <c r="C32" i="108"/>
  <c r="I29" i="108"/>
  <c r="J29" i="108" s="1"/>
  <c r="G29" i="108"/>
  <c r="K31" i="108"/>
  <c r="C31" i="108"/>
  <c r="I26" i="108" l="1"/>
  <c r="A26" i="108" s="1"/>
  <c r="G30" i="108"/>
  <c r="C29" i="108"/>
  <c r="A27" i="108" l="1"/>
  <c r="C30" i="108"/>
  <c r="I449" i="102" l="1"/>
  <c r="I450" i="102"/>
  <c r="I451" i="102"/>
  <c r="I452" i="102"/>
  <c r="I453" i="102"/>
  <c r="I454" i="102"/>
  <c r="I455" i="102"/>
  <c r="I456" i="102"/>
  <c r="I457" i="102"/>
  <c r="I458" i="102"/>
  <c r="I459" i="102"/>
  <c r="I447" i="102"/>
  <c r="I448" i="102"/>
  <c r="I94" i="102"/>
  <c r="I95" i="102"/>
  <c r="I96" i="102"/>
  <c r="I97" i="102"/>
  <c r="I91" i="102" l="1"/>
  <c r="I92" i="102"/>
  <c r="I93" i="102"/>
  <c r="I460" i="102" l="1"/>
  <c r="I461" i="102"/>
  <c r="I462" i="102"/>
  <c r="I463" i="102"/>
  <c r="I464" i="102"/>
  <c r="I465" i="102"/>
  <c r="I466" i="102"/>
  <c r="I467" i="102"/>
  <c r="I468" i="102"/>
  <c r="I103" i="102" l="1"/>
  <c r="I104" i="102"/>
  <c r="I105" i="102"/>
  <c r="I106" i="102"/>
  <c r="I107" i="102"/>
  <c r="I108" i="102"/>
  <c r="I109" i="102"/>
  <c r="I110" i="102"/>
  <c r="I111" i="102"/>
  <c r="I112" i="102"/>
  <c r="I113" i="102"/>
  <c r="I114" i="102"/>
  <c r="I115" i="102"/>
  <c r="C25" i="102" l="1"/>
  <c r="I11" i="102" s="1"/>
  <c r="C33" i="102"/>
  <c r="I33" i="102" s="1"/>
  <c r="C56" i="102"/>
  <c r="I56" i="102" s="1"/>
  <c r="I25" i="102" l="1"/>
  <c r="I26" i="102"/>
  <c r="I34" i="102"/>
  <c r="A68" i="99" l="1"/>
  <c r="I231" i="102" l="1"/>
  <c r="B231" i="102"/>
  <c r="I232" i="102"/>
  <c r="B232" i="102"/>
  <c r="I230" i="102"/>
  <c r="I229" i="102"/>
  <c r="B185" i="102"/>
  <c r="I185" i="102"/>
  <c r="C247" i="102" l="1"/>
  <c r="E106" i="104" l="1"/>
  <c r="E107" i="104"/>
  <c r="C515" i="102" l="1"/>
  <c r="A280" i="102"/>
  <c r="A245" i="102"/>
  <c r="C352" i="102" l="1"/>
  <c r="A234" i="102"/>
  <c r="F118" i="49" l="1"/>
  <c r="J53" i="97" l="1"/>
  <c r="I53" i="97"/>
  <c r="F51" i="97"/>
  <c r="F50" i="97"/>
  <c r="E51" i="97"/>
  <c r="E50" i="97"/>
  <c r="E49" i="97"/>
  <c r="F49" i="97" s="1"/>
  <c r="E48" i="97"/>
  <c r="F48" i="97" s="1"/>
  <c r="E47" i="97"/>
  <c r="F47" i="97" s="1"/>
  <c r="E46" i="97"/>
  <c r="F46" i="97" s="1"/>
  <c r="E45" i="97"/>
  <c r="F45" i="97" s="1"/>
  <c r="E44" i="97"/>
  <c r="E44" i="93"/>
  <c r="B43" i="97"/>
  <c r="I43" i="97"/>
  <c r="J43" i="97"/>
  <c r="J53" i="93"/>
  <c r="I53" i="93"/>
  <c r="F51" i="93"/>
  <c r="F50" i="93"/>
  <c r="E51" i="93"/>
  <c r="E50" i="93"/>
  <c r="E49" i="93"/>
  <c r="F49" i="93" s="1"/>
  <c r="E48" i="93"/>
  <c r="F48" i="93" s="1"/>
  <c r="E47" i="93"/>
  <c r="F47" i="93" s="1"/>
  <c r="E46" i="93"/>
  <c r="F46" i="93" s="1"/>
  <c r="E45" i="93"/>
  <c r="F45" i="93" s="1"/>
  <c r="J43" i="93"/>
  <c r="I43" i="93"/>
  <c r="B43" i="93"/>
  <c r="B31" i="96"/>
  <c r="B31" i="39"/>
  <c r="J31" i="96"/>
  <c r="I31" i="96"/>
  <c r="J31" i="39"/>
  <c r="I31" i="39"/>
  <c r="E38" i="96"/>
  <c r="F38" i="96" s="1"/>
  <c r="E37" i="96"/>
  <c r="F37" i="96" s="1"/>
  <c r="E36" i="96"/>
  <c r="F36" i="96" s="1"/>
  <c r="E35" i="96"/>
  <c r="F35" i="96" s="1"/>
  <c r="E34" i="96"/>
  <c r="F34" i="96" s="1"/>
  <c r="E33" i="96"/>
  <c r="F33" i="96" s="1"/>
  <c r="E32" i="96"/>
  <c r="F32" i="96" s="1"/>
  <c r="E38" i="39"/>
  <c r="F38" i="39" s="1"/>
  <c r="E37" i="39"/>
  <c r="F37" i="39" s="1"/>
  <c r="E36" i="39"/>
  <c r="F36" i="39" s="1"/>
  <c r="E35" i="39"/>
  <c r="F35" i="39" s="1"/>
  <c r="E34" i="39"/>
  <c r="F34" i="39" s="1"/>
  <c r="E33" i="39"/>
  <c r="F33" i="39" s="1"/>
  <c r="E32" i="39"/>
  <c r="F32" i="39" s="1"/>
  <c r="I34" i="27"/>
  <c r="H34" i="27"/>
  <c r="G34" i="27"/>
  <c r="F34" i="27"/>
  <c r="F28" i="27"/>
  <c r="H28" i="27"/>
  <c r="G118" i="49"/>
  <c r="G99" i="51"/>
  <c r="F99" i="51"/>
  <c r="G95" i="41"/>
  <c r="F95" i="41"/>
  <c r="F88" i="51"/>
  <c r="D88" i="51"/>
  <c r="E78" i="51"/>
  <c r="D78" i="51"/>
  <c r="F68" i="51"/>
  <c r="D68" i="51"/>
  <c r="F51" i="51"/>
  <c r="F52" i="51"/>
  <c r="F61" i="49"/>
  <c r="F60" i="49"/>
  <c r="F55" i="41"/>
  <c r="A52" i="51"/>
  <c r="A51" i="51"/>
  <c r="A35" i="51"/>
  <c r="A87" i="51"/>
  <c r="A106" i="49"/>
  <c r="A86" i="41"/>
  <c r="F107" i="49"/>
  <c r="D107" i="49"/>
  <c r="E97" i="49"/>
  <c r="D97" i="49"/>
  <c r="F87" i="49"/>
  <c r="D87" i="49"/>
  <c r="F77" i="49"/>
  <c r="D77" i="49"/>
  <c r="F44" i="97" l="1"/>
  <c r="F44" i="93"/>
  <c r="A61" i="49"/>
  <c r="A60" i="49"/>
  <c r="A44" i="49"/>
  <c r="A43" i="49"/>
  <c r="A28" i="49"/>
  <c r="A26" i="41"/>
  <c r="F87" i="41"/>
  <c r="D87" i="41"/>
  <c r="E80" i="41"/>
  <c r="D80" i="41"/>
  <c r="F73" i="41"/>
  <c r="D73" i="41"/>
  <c r="F66" i="41"/>
  <c r="D66" i="41"/>
  <c r="F54" i="41"/>
  <c r="A55" i="41"/>
  <c r="A54" i="41"/>
  <c r="A40" i="41"/>
  <c r="A39" i="41"/>
  <c r="L26" i="72"/>
  <c r="K26" i="72"/>
  <c r="L26" i="77"/>
  <c r="K26" i="77"/>
  <c r="L26" i="79"/>
  <c r="K26" i="79"/>
  <c r="L26" i="80"/>
  <c r="K26" i="80"/>
  <c r="D26" i="72"/>
  <c r="C26" i="72"/>
  <c r="D26" i="77"/>
  <c r="C26" i="77"/>
  <c r="D26" i="79"/>
  <c r="C26" i="79"/>
  <c r="D26" i="80"/>
  <c r="C26" i="80"/>
  <c r="L26" i="78"/>
  <c r="K26" i="78"/>
  <c r="D26" i="78"/>
  <c r="C26" i="78"/>
  <c r="A81" i="84"/>
  <c r="A64" i="84"/>
  <c r="A47" i="84"/>
  <c r="A30" i="84"/>
  <c r="A13" i="84"/>
  <c r="H31" i="75"/>
  <c r="G31" i="75"/>
  <c r="D31" i="75"/>
  <c r="C31" i="75"/>
  <c r="H31" i="76"/>
  <c r="G31" i="76"/>
  <c r="D31" i="76"/>
  <c r="C31" i="76"/>
  <c r="H31" i="74"/>
  <c r="G31" i="74"/>
  <c r="D31" i="74"/>
  <c r="C31" i="74"/>
  <c r="H31" i="73"/>
  <c r="G31" i="73"/>
  <c r="D31" i="73"/>
  <c r="C31" i="73"/>
  <c r="H31" i="71"/>
  <c r="G31" i="71"/>
  <c r="D31" i="71"/>
  <c r="C31" i="71"/>
  <c r="R22" i="57" l="1"/>
  <c r="Q22" i="57"/>
  <c r="P22" i="57"/>
  <c r="O22" i="57"/>
  <c r="N22" i="57"/>
  <c r="M22" i="57"/>
  <c r="L22" i="57"/>
  <c r="T14" i="57"/>
  <c r="S14" i="57"/>
  <c r="R14" i="57"/>
  <c r="S13" i="57"/>
  <c r="R13" i="57"/>
  <c r="S30" i="57"/>
  <c r="R30" i="57"/>
  <c r="Q30" i="57"/>
  <c r="P30" i="57"/>
  <c r="O30" i="57"/>
  <c r="N30" i="57"/>
  <c r="M30" i="57"/>
  <c r="L30" i="57"/>
  <c r="S29" i="57"/>
  <c r="R29" i="57"/>
  <c r="Q29" i="57"/>
  <c r="P29" i="57"/>
  <c r="O29" i="57"/>
  <c r="N29" i="57"/>
  <c r="M29" i="57"/>
  <c r="L29" i="57"/>
  <c r="S28" i="57"/>
  <c r="R28" i="57"/>
  <c r="Q28" i="57"/>
  <c r="M28" i="57"/>
  <c r="L28" i="57"/>
  <c r="S27" i="57"/>
  <c r="R27" i="57"/>
  <c r="Q27" i="57"/>
  <c r="P27" i="57"/>
  <c r="O27" i="57"/>
  <c r="N27" i="57"/>
  <c r="M27" i="57"/>
  <c r="L27" i="57"/>
  <c r="T26" i="57"/>
  <c r="S26" i="57"/>
  <c r="R26" i="57"/>
  <c r="S25" i="57"/>
  <c r="R25" i="57"/>
  <c r="Q25" i="57"/>
  <c r="P25" i="57"/>
  <c r="O25" i="57"/>
  <c r="N25" i="57"/>
  <c r="M25" i="57"/>
  <c r="L25" i="57"/>
  <c r="S24" i="57"/>
  <c r="R24" i="57"/>
  <c r="Q24" i="57"/>
  <c r="P24" i="57"/>
  <c r="O24" i="57"/>
  <c r="N24" i="57"/>
  <c r="M24" i="57"/>
  <c r="L24" i="57"/>
  <c r="R23" i="57"/>
  <c r="Q23" i="57"/>
  <c r="P23" i="57"/>
  <c r="O23" i="57"/>
  <c r="N23" i="57"/>
  <c r="M23" i="57"/>
  <c r="L23" i="57"/>
  <c r="T21" i="57"/>
  <c r="S21" i="57"/>
  <c r="R21" i="57"/>
  <c r="S20" i="57"/>
  <c r="R20" i="57"/>
  <c r="Q20" i="57"/>
  <c r="P20" i="57"/>
  <c r="O20" i="57"/>
  <c r="N20" i="57"/>
  <c r="M20" i="57"/>
  <c r="L20" i="57"/>
  <c r="S19" i="57"/>
  <c r="R19" i="57"/>
  <c r="Q19" i="57"/>
  <c r="P19" i="57"/>
  <c r="O19" i="57"/>
  <c r="N19" i="57"/>
  <c r="M19" i="57"/>
  <c r="L19" i="57"/>
  <c r="S18" i="57"/>
  <c r="R18" i="57"/>
  <c r="Q18" i="57"/>
  <c r="M18" i="57"/>
  <c r="L18" i="57"/>
  <c r="T17" i="57"/>
  <c r="S17" i="57"/>
  <c r="R17" i="57"/>
  <c r="T16" i="57"/>
  <c r="S16" i="57"/>
  <c r="R16" i="57"/>
  <c r="T15" i="57"/>
  <c r="S15" i="57"/>
  <c r="R15" i="57"/>
  <c r="T13" i="57"/>
  <c r="T12" i="57"/>
  <c r="S12" i="57"/>
  <c r="R12" i="57"/>
  <c r="T11" i="57"/>
  <c r="S11" i="57"/>
  <c r="R11" i="57"/>
  <c r="T10" i="57"/>
  <c r="S10" i="57"/>
  <c r="R10" i="57"/>
  <c r="T9" i="57"/>
  <c r="S9" i="57"/>
  <c r="R9" i="57"/>
  <c r="T8" i="57"/>
  <c r="S8" i="57"/>
  <c r="R8" i="57"/>
  <c r="G128" i="72" l="1"/>
  <c r="G129" i="72"/>
  <c r="G130" i="72"/>
  <c r="G131" i="72"/>
  <c r="G132" i="72"/>
  <c r="G133" i="72"/>
  <c r="G134" i="72"/>
  <c r="G135" i="72"/>
  <c r="G136" i="72"/>
  <c r="G127" i="72"/>
  <c r="G117" i="72"/>
  <c r="G118" i="72"/>
  <c r="G119" i="72"/>
  <c r="G120" i="72"/>
  <c r="G121" i="72"/>
  <c r="G122" i="72"/>
  <c r="G123" i="72"/>
  <c r="G124" i="72"/>
  <c r="G125" i="72"/>
  <c r="G116" i="72"/>
  <c r="G106" i="72"/>
  <c r="G107" i="72"/>
  <c r="G108" i="72"/>
  <c r="G109" i="72"/>
  <c r="G110" i="72"/>
  <c r="G111" i="72"/>
  <c r="G112" i="72"/>
  <c r="G113" i="72"/>
  <c r="G114" i="72"/>
  <c r="G105" i="72"/>
  <c r="G95" i="72"/>
  <c r="G96" i="72"/>
  <c r="G97" i="72"/>
  <c r="G98" i="72"/>
  <c r="G99" i="72"/>
  <c r="G100" i="72"/>
  <c r="G101" i="72"/>
  <c r="G102" i="72"/>
  <c r="G103" i="72"/>
  <c r="G94" i="72"/>
  <c r="G84" i="72"/>
  <c r="G85" i="72"/>
  <c r="G86" i="72"/>
  <c r="G87" i="72"/>
  <c r="G88" i="72"/>
  <c r="G89" i="72"/>
  <c r="G90" i="72"/>
  <c r="G91" i="72"/>
  <c r="G92" i="72"/>
  <c r="G83" i="72"/>
  <c r="G73" i="72"/>
  <c r="G74" i="72"/>
  <c r="G75" i="72"/>
  <c r="G76" i="72"/>
  <c r="G77" i="72"/>
  <c r="G78" i="72"/>
  <c r="G79" i="72"/>
  <c r="G80" i="72"/>
  <c r="G81" i="72"/>
  <c r="G72" i="72"/>
  <c r="G62" i="72"/>
  <c r="G63" i="72"/>
  <c r="G64" i="72"/>
  <c r="G65" i="72"/>
  <c r="G66" i="72"/>
  <c r="G67" i="72"/>
  <c r="G68" i="72"/>
  <c r="G69" i="72"/>
  <c r="G70" i="72"/>
  <c r="G61" i="72"/>
  <c r="G51" i="72"/>
  <c r="G52" i="72"/>
  <c r="G53" i="72"/>
  <c r="G54" i="72"/>
  <c r="G55" i="72"/>
  <c r="G56" i="72"/>
  <c r="G57" i="72"/>
  <c r="G58" i="72"/>
  <c r="G59" i="72"/>
  <c r="G50" i="72"/>
  <c r="G40" i="72"/>
  <c r="G41" i="72"/>
  <c r="G42" i="72"/>
  <c r="G43" i="72"/>
  <c r="G44" i="72"/>
  <c r="G45" i="72"/>
  <c r="G46" i="72"/>
  <c r="G47" i="72"/>
  <c r="G48" i="72"/>
  <c r="G39" i="72"/>
  <c r="G29" i="72"/>
  <c r="G30" i="72"/>
  <c r="G31" i="72"/>
  <c r="G32" i="72"/>
  <c r="G33" i="72"/>
  <c r="G34" i="72"/>
  <c r="G35" i="72"/>
  <c r="G36" i="72"/>
  <c r="G37" i="72"/>
  <c r="G28" i="72"/>
  <c r="G128" i="77"/>
  <c r="G129" i="77"/>
  <c r="G130" i="77"/>
  <c r="G131" i="77"/>
  <c r="G132" i="77"/>
  <c r="G133" i="77"/>
  <c r="G134" i="77"/>
  <c r="G135" i="77"/>
  <c r="G136" i="77"/>
  <c r="G127" i="77"/>
  <c r="G117" i="77"/>
  <c r="G118" i="77"/>
  <c r="G119" i="77"/>
  <c r="G120" i="77"/>
  <c r="G121" i="77"/>
  <c r="G122" i="77"/>
  <c r="G123" i="77"/>
  <c r="G124" i="77"/>
  <c r="G125" i="77"/>
  <c r="G116" i="77"/>
  <c r="G106" i="77"/>
  <c r="G107" i="77"/>
  <c r="G108" i="77"/>
  <c r="G109" i="77"/>
  <c r="G110" i="77"/>
  <c r="G111" i="77"/>
  <c r="G112" i="77"/>
  <c r="G113" i="77"/>
  <c r="G114" i="77"/>
  <c r="G105" i="77"/>
  <c r="G95" i="77"/>
  <c r="G96" i="77"/>
  <c r="G97" i="77"/>
  <c r="G98" i="77"/>
  <c r="G99" i="77"/>
  <c r="G100" i="77"/>
  <c r="G101" i="77"/>
  <c r="G102" i="77"/>
  <c r="G103" i="77"/>
  <c r="G94" i="77"/>
  <c r="G84" i="77"/>
  <c r="G85" i="77"/>
  <c r="G86" i="77"/>
  <c r="G87" i="77"/>
  <c r="G88" i="77"/>
  <c r="G89" i="77"/>
  <c r="G90" i="77"/>
  <c r="G91" i="77"/>
  <c r="G92" i="77"/>
  <c r="G83" i="77"/>
  <c r="G73" i="77"/>
  <c r="G74" i="77"/>
  <c r="G75" i="77"/>
  <c r="G76" i="77"/>
  <c r="G77" i="77"/>
  <c r="G78" i="77"/>
  <c r="G79" i="77"/>
  <c r="G80" i="77"/>
  <c r="G81" i="77"/>
  <c r="G72" i="77"/>
  <c r="G62" i="77"/>
  <c r="G63" i="77"/>
  <c r="G64" i="77"/>
  <c r="G65" i="77"/>
  <c r="G66" i="77"/>
  <c r="G67" i="77"/>
  <c r="G68" i="77"/>
  <c r="G69" i="77"/>
  <c r="G70" i="77"/>
  <c r="G61" i="77"/>
  <c r="G51" i="77"/>
  <c r="G52" i="77"/>
  <c r="G53" i="77"/>
  <c r="G54" i="77"/>
  <c r="G55" i="77"/>
  <c r="G56" i="77"/>
  <c r="G57" i="77"/>
  <c r="G58" i="77"/>
  <c r="G59" i="77"/>
  <c r="G50" i="77"/>
  <c r="G40" i="77"/>
  <c r="G41" i="77"/>
  <c r="G42" i="77"/>
  <c r="G43" i="77"/>
  <c r="G44" i="77"/>
  <c r="G45" i="77"/>
  <c r="G46" i="77"/>
  <c r="G47" i="77"/>
  <c r="G48" i="77"/>
  <c r="G39" i="77"/>
  <c r="G29" i="77"/>
  <c r="G30" i="77"/>
  <c r="G31" i="77"/>
  <c r="G32" i="77"/>
  <c r="G33" i="77"/>
  <c r="G34" i="77"/>
  <c r="G35" i="77"/>
  <c r="G36" i="77"/>
  <c r="G37" i="77"/>
  <c r="G28" i="77"/>
  <c r="G128" i="79"/>
  <c r="G129" i="79"/>
  <c r="G130" i="79"/>
  <c r="G131" i="79"/>
  <c r="G132" i="79"/>
  <c r="G133" i="79"/>
  <c r="G134" i="79"/>
  <c r="G135" i="79"/>
  <c r="G136" i="79"/>
  <c r="G127" i="79"/>
  <c r="G117" i="79"/>
  <c r="G118" i="79"/>
  <c r="G119" i="79"/>
  <c r="G120" i="79"/>
  <c r="G121" i="79"/>
  <c r="G122" i="79"/>
  <c r="G123" i="79"/>
  <c r="G124" i="79"/>
  <c r="G125" i="79"/>
  <c r="G116" i="79"/>
  <c r="G106" i="79"/>
  <c r="G107" i="79"/>
  <c r="G108" i="79"/>
  <c r="G109" i="79"/>
  <c r="G110" i="79"/>
  <c r="G111" i="79"/>
  <c r="G112" i="79"/>
  <c r="G113" i="79"/>
  <c r="G114" i="79"/>
  <c r="G105" i="79"/>
  <c r="G95" i="79"/>
  <c r="G96" i="79"/>
  <c r="G97" i="79"/>
  <c r="G98" i="79"/>
  <c r="G99" i="79"/>
  <c r="G100" i="79"/>
  <c r="G101" i="79"/>
  <c r="G102" i="79"/>
  <c r="G103" i="79"/>
  <c r="G94" i="79"/>
  <c r="G84" i="79"/>
  <c r="G85" i="79"/>
  <c r="G86" i="79"/>
  <c r="G87" i="79"/>
  <c r="G88" i="79"/>
  <c r="G89" i="79"/>
  <c r="G90" i="79"/>
  <c r="G91" i="79"/>
  <c r="G92" i="79"/>
  <c r="G83" i="79"/>
  <c r="G73" i="79"/>
  <c r="G74" i="79"/>
  <c r="G75" i="79"/>
  <c r="G76" i="79"/>
  <c r="G77" i="79"/>
  <c r="G78" i="79"/>
  <c r="G79" i="79"/>
  <c r="G80" i="79"/>
  <c r="G81" i="79"/>
  <c r="G72" i="79"/>
  <c r="G62" i="79"/>
  <c r="G63" i="79"/>
  <c r="G64" i="79"/>
  <c r="G65" i="79"/>
  <c r="G66" i="79"/>
  <c r="G67" i="79"/>
  <c r="G68" i="79"/>
  <c r="G69" i="79"/>
  <c r="G70" i="79"/>
  <c r="G61" i="79"/>
  <c r="G51" i="79"/>
  <c r="G52" i="79"/>
  <c r="G53" i="79"/>
  <c r="G54" i="79"/>
  <c r="G55" i="79"/>
  <c r="G56" i="79"/>
  <c r="G57" i="79"/>
  <c r="G58" i="79"/>
  <c r="G59" i="79"/>
  <c r="G50" i="79"/>
  <c r="G40" i="79"/>
  <c r="G41" i="79"/>
  <c r="G42" i="79"/>
  <c r="G43" i="79"/>
  <c r="G44" i="79"/>
  <c r="G45" i="79"/>
  <c r="G46" i="79"/>
  <c r="G47" i="79"/>
  <c r="G48" i="79"/>
  <c r="G39" i="79"/>
  <c r="G29" i="79"/>
  <c r="G30" i="79"/>
  <c r="G31" i="79"/>
  <c r="G32" i="79"/>
  <c r="G33" i="79"/>
  <c r="G34" i="79"/>
  <c r="G35" i="79"/>
  <c r="G36" i="79"/>
  <c r="G37" i="79"/>
  <c r="G28" i="79"/>
  <c r="G128" i="80"/>
  <c r="G129" i="80"/>
  <c r="G130" i="80"/>
  <c r="G131" i="80"/>
  <c r="G132" i="80"/>
  <c r="G133" i="80"/>
  <c r="G134" i="80"/>
  <c r="G135" i="80"/>
  <c r="G136" i="80"/>
  <c r="G127" i="80"/>
  <c r="G117" i="80"/>
  <c r="G118" i="80"/>
  <c r="G119" i="80"/>
  <c r="G120" i="80"/>
  <c r="G121" i="80"/>
  <c r="G122" i="80"/>
  <c r="G123" i="80"/>
  <c r="G124" i="80"/>
  <c r="G125" i="80"/>
  <c r="G116" i="80"/>
  <c r="G106" i="80"/>
  <c r="G107" i="80"/>
  <c r="G108" i="80"/>
  <c r="G109" i="80"/>
  <c r="G110" i="80"/>
  <c r="G111" i="80"/>
  <c r="G112" i="80"/>
  <c r="G113" i="80"/>
  <c r="G114" i="80"/>
  <c r="G105" i="80"/>
  <c r="G95" i="80"/>
  <c r="G96" i="80"/>
  <c r="G97" i="80"/>
  <c r="G98" i="80"/>
  <c r="G99" i="80"/>
  <c r="G100" i="80"/>
  <c r="G101" i="80"/>
  <c r="G102" i="80"/>
  <c r="G103" i="80"/>
  <c r="G94" i="80"/>
  <c r="G84" i="80"/>
  <c r="G85" i="80"/>
  <c r="G86" i="80"/>
  <c r="G87" i="80"/>
  <c r="G88" i="80"/>
  <c r="G89" i="80"/>
  <c r="G90" i="80"/>
  <c r="G91" i="80"/>
  <c r="G92" i="80"/>
  <c r="G83" i="80"/>
  <c r="G73" i="80"/>
  <c r="G74" i="80"/>
  <c r="G75" i="80"/>
  <c r="G76" i="80"/>
  <c r="G77" i="80"/>
  <c r="G78" i="80"/>
  <c r="G79" i="80"/>
  <c r="G80" i="80"/>
  <c r="G81" i="80"/>
  <c r="G72" i="80"/>
  <c r="G62" i="80"/>
  <c r="G63" i="80"/>
  <c r="G64" i="80"/>
  <c r="G65" i="80"/>
  <c r="G66" i="80"/>
  <c r="G67" i="80"/>
  <c r="G68" i="80"/>
  <c r="G69" i="80"/>
  <c r="G70" i="80"/>
  <c r="G61" i="80"/>
  <c r="G51" i="80"/>
  <c r="G52" i="80"/>
  <c r="G53" i="80"/>
  <c r="G54" i="80"/>
  <c r="G55" i="80"/>
  <c r="G56" i="80"/>
  <c r="G57" i="80"/>
  <c r="G58" i="80"/>
  <c r="G59" i="80"/>
  <c r="G50" i="80"/>
  <c r="G40" i="80"/>
  <c r="G41" i="80"/>
  <c r="G42" i="80"/>
  <c r="G43" i="80"/>
  <c r="G44" i="80"/>
  <c r="G45" i="80"/>
  <c r="G46" i="80"/>
  <c r="G47" i="80"/>
  <c r="G48" i="80"/>
  <c r="G39" i="80"/>
  <c r="G29" i="80"/>
  <c r="G30" i="80"/>
  <c r="G31" i="80"/>
  <c r="G32" i="80"/>
  <c r="G33" i="80"/>
  <c r="G34" i="80"/>
  <c r="G35" i="80"/>
  <c r="G36" i="80"/>
  <c r="G37" i="80"/>
  <c r="G28" i="80"/>
  <c r="G128" i="78"/>
  <c r="G129" i="78"/>
  <c r="G130" i="78"/>
  <c r="G131" i="78"/>
  <c r="G132" i="78"/>
  <c r="G133" i="78"/>
  <c r="G134" i="78"/>
  <c r="G135" i="78"/>
  <c r="G136" i="78"/>
  <c r="G127" i="78"/>
  <c r="G117" i="78"/>
  <c r="G118" i="78"/>
  <c r="G119" i="78"/>
  <c r="G120" i="78"/>
  <c r="G121" i="78"/>
  <c r="G122" i="78"/>
  <c r="G123" i="78"/>
  <c r="G124" i="78"/>
  <c r="G125" i="78"/>
  <c r="G116" i="78"/>
  <c r="G106" i="78"/>
  <c r="G107" i="78"/>
  <c r="G108" i="78"/>
  <c r="G109" i="78"/>
  <c r="G110" i="78"/>
  <c r="G111" i="78"/>
  <c r="G112" i="78"/>
  <c r="G113" i="78"/>
  <c r="G114" i="78"/>
  <c r="G105" i="78"/>
  <c r="G95" i="78"/>
  <c r="G96" i="78"/>
  <c r="G97" i="78"/>
  <c r="G98" i="78"/>
  <c r="G99" i="78"/>
  <c r="G100" i="78"/>
  <c r="G101" i="78"/>
  <c r="G102" i="78"/>
  <c r="G103" i="78"/>
  <c r="G94" i="78"/>
  <c r="G84" i="78"/>
  <c r="G85" i="78"/>
  <c r="G86" i="78"/>
  <c r="G87" i="78"/>
  <c r="G88" i="78"/>
  <c r="G89" i="78"/>
  <c r="G90" i="78"/>
  <c r="G91" i="78"/>
  <c r="G92" i="78"/>
  <c r="G83" i="78"/>
  <c r="G73" i="78"/>
  <c r="G74" i="78"/>
  <c r="G75" i="78"/>
  <c r="G76" i="78"/>
  <c r="G77" i="78"/>
  <c r="G78" i="78"/>
  <c r="G79" i="78"/>
  <c r="G80" i="78"/>
  <c r="G81" i="78"/>
  <c r="G72" i="78"/>
  <c r="G62" i="78"/>
  <c r="G63" i="78"/>
  <c r="G64" i="78"/>
  <c r="G65" i="78"/>
  <c r="G66" i="78"/>
  <c r="G67" i="78"/>
  <c r="G68" i="78"/>
  <c r="G69" i="78"/>
  <c r="G70" i="78"/>
  <c r="G61" i="78"/>
  <c r="G51" i="78"/>
  <c r="G52" i="78"/>
  <c r="G53" i="78"/>
  <c r="G54" i="78"/>
  <c r="G55" i="78"/>
  <c r="G56" i="78"/>
  <c r="G57" i="78"/>
  <c r="G58" i="78"/>
  <c r="G59" i="78"/>
  <c r="G50" i="78"/>
  <c r="G40" i="78"/>
  <c r="G41" i="78"/>
  <c r="G42" i="78"/>
  <c r="G43" i="78"/>
  <c r="G44" i="78"/>
  <c r="G45" i="78"/>
  <c r="G46" i="78"/>
  <c r="G47" i="78"/>
  <c r="G48" i="78"/>
  <c r="G39" i="78"/>
  <c r="G29" i="78"/>
  <c r="G30" i="78"/>
  <c r="G31" i="78"/>
  <c r="G32" i="78"/>
  <c r="G33" i="78"/>
  <c r="G34" i="78"/>
  <c r="G35" i="78"/>
  <c r="G36" i="78"/>
  <c r="G37" i="78"/>
  <c r="G28" i="78"/>
  <c r="J31" i="57" l="1"/>
  <c r="B49" i="108" s="1"/>
  <c r="D49" i="108" s="1"/>
  <c r="I49" i="108" s="1"/>
  <c r="I31" i="57"/>
  <c r="H31" i="57"/>
  <c r="B48" i="108" s="1"/>
  <c r="D48" i="108" s="1"/>
  <c r="I48" i="108" s="1"/>
  <c r="G31" i="57"/>
  <c r="B44" i="108" s="1"/>
  <c r="D44" i="108" s="1"/>
  <c r="I44" i="108" s="1"/>
  <c r="F31" i="57"/>
  <c r="B47" i="108" s="1"/>
  <c r="D47" i="108" s="1"/>
  <c r="I47" i="108" s="1"/>
  <c r="E31" i="57"/>
  <c r="B46" i="108" s="1"/>
  <c r="D46" i="108" s="1"/>
  <c r="I46" i="108" s="1"/>
  <c r="D31" i="57"/>
  <c r="B45" i="108" s="1"/>
  <c r="D45" i="108" s="1"/>
  <c r="I45" i="108" s="1"/>
  <c r="C31" i="57"/>
  <c r="B43" i="108" s="1"/>
  <c r="D43" i="108" s="1"/>
  <c r="I43" i="108" s="1"/>
  <c r="B31" i="57"/>
  <c r="B42" i="108" s="1"/>
  <c r="D42" i="108" s="1"/>
  <c r="I42" i="108" s="1"/>
  <c r="I50" i="108" l="1"/>
  <c r="I182" i="102"/>
  <c r="I181" i="102"/>
  <c r="G59" i="108" l="1"/>
  <c r="A50" i="108"/>
  <c r="C53" i="108"/>
  <c r="I58" i="108"/>
  <c r="C54" i="108"/>
  <c r="I60" i="108"/>
  <c r="I55" i="108"/>
  <c r="I57" i="108"/>
  <c r="I56" i="108"/>
  <c r="A51" i="108"/>
  <c r="C57" i="108"/>
  <c r="C58" i="108"/>
  <c r="I53" i="108"/>
  <c r="C56" i="108"/>
  <c r="C60" i="108"/>
  <c r="C59" i="108"/>
  <c r="I54" i="108"/>
  <c r="C55" i="108"/>
  <c r="I59" i="108"/>
  <c r="I391" i="102"/>
  <c r="I392" i="102"/>
  <c r="I393" i="102"/>
  <c r="B393" i="102" l="1"/>
  <c r="I337" i="102"/>
  <c r="I336" i="102"/>
  <c r="C236" i="102" l="1"/>
  <c r="I191" i="102"/>
  <c r="I192" i="102"/>
  <c r="I193" i="102"/>
  <c r="I194" i="102"/>
  <c r="I195" i="102"/>
  <c r="I196" i="102"/>
  <c r="I197" i="102"/>
  <c r="I198" i="102"/>
  <c r="I199" i="102"/>
  <c r="I200" i="102"/>
  <c r="I201" i="102"/>
  <c r="I202" i="102"/>
  <c r="I203" i="102"/>
  <c r="I190" i="102"/>
  <c r="ET3" i="4"/>
  <c r="ET4" i="4"/>
  <c r="ET5" i="4"/>
  <c r="ET6" i="4"/>
  <c r="ET7" i="4"/>
  <c r="ET2" i="4"/>
  <c r="QP18" i="4" l="1"/>
  <c r="QO18" i="4"/>
  <c r="QP17" i="4"/>
  <c r="QO17" i="4"/>
  <c r="QP12" i="4"/>
  <c r="QO12" i="4"/>
  <c r="QP11" i="4"/>
  <c r="QO11" i="4"/>
  <c r="QP10" i="4"/>
  <c r="QO10" i="4"/>
  <c r="QP9" i="4"/>
  <c r="QO9" i="4"/>
  <c r="QP8" i="4"/>
  <c r="QO8" i="4"/>
  <c r="PK35" i="4" l="1"/>
  <c r="PJ35" i="4"/>
  <c r="G61" i="30"/>
  <c r="E61" i="30"/>
  <c r="BH2" i="4" l="1"/>
  <c r="AZ2" i="4"/>
  <c r="AR4" i="4"/>
  <c r="AR3" i="4"/>
  <c r="AR2" i="4"/>
  <c r="AN4" i="4"/>
  <c r="AN3" i="4"/>
  <c r="AN2" i="4"/>
  <c r="AJ4" i="4"/>
  <c r="AJ3" i="4"/>
  <c r="AB2" i="4"/>
  <c r="AB3" i="4"/>
  <c r="AJ2" i="4"/>
  <c r="PK55" i="4" l="1"/>
  <c r="PK54" i="4"/>
  <c r="PK13" i="4"/>
  <c r="PK62" i="4"/>
  <c r="PK34" i="4" l="1"/>
  <c r="PK33" i="4"/>
  <c r="PK32" i="4"/>
  <c r="PK31" i="4"/>
  <c r="PK30" i="4"/>
  <c r="PK29" i="4"/>
  <c r="PK28" i="4"/>
  <c r="PK27" i="4"/>
  <c r="PK26" i="4"/>
  <c r="PK25" i="4"/>
  <c r="PK24" i="4"/>
  <c r="PK23" i="4"/>
  <c r="PK22" i="4"/>
  <c r="PK21" i="4"/>
  <c r="PK20" i="4"/>
  <c r="PK19" i="4"/>
  <c r="PK18" i="4"/>
  <c r="PK17" i="4"/>
  <c r="PK16" i="4"/>
  <c r="PK15" i="4"/>
  <c r="PK14" i="4"/>
  <c r="PK12" i="4"/>
  <c r="PK11" i="4"/>
  <c r="PK10" i="4"/>
  <c r="PK9" i="4"/>
  <c r="PK8" i="4"/>
  <c r="BQ7" i="4" l="1"/>
  <c r="BQ4" i="4"/>
  <c r="BQ6" i="4"/>
  <c r="BQ3" i="4"/>
  <c r="BQ5" i="4"/>
  <c r="BQ2" i="4"/>
  <c r="BM7" i="4"/>
  <c r="BM6" i="4"/>
  <c r="BU2" i="4"/>
  <c r="BM3" i="4"/>
  <c r="BM5" i="4"/>
  <c r="BM2" i="4"/>
  <c r="BU3" i="4"/>
  <c r="I178" i="102"/>
  <c r="I177" i="102"/>
  <c r="I176" i="102"/>
  <c r="I173" i="102"/>
  <c r="D178" i="102"/>
  <c r="D177" i="102"/>
  <c r="D176" i="102"/>
  <c r="D175" i="102"/>
  <c r="I175" i="102" s="1"/>
  <c r="D174" i="102"/>
  <c r="I174" i="102" s="1"/>
  <c r="C342" i="102" l="1"/>
  <c r="C341" i="102"/>
  <c r="I243" i="102"/>
  <c r="I244" i="102"/>
  <c r="I242" i="102"/>
  <c r="I241" i="102"/>
  <c r="I240" i="102"/>
  <c r="I235" i="102"/>
  <c r="I236" i="102"/>
  <c r="I237" i="102"/>
  <c r="I238" i="102"/>
  <c r="I239" i="102"/>
  <c r="I234" i="102"/>
  <c r="W56" i="70" l="1"/>
  <c r="U56" i="70"/>
  <c r="S56" i="70"/>
  <c r="Q56" i="70"/>
  <c r="Q53" i="70"/>
  <c r="W53" i="70"/>
  <c r="U53" i="70"/>
  <c r="S53" i="70"/>
  <c r="W47" i="70"/>
  <c r="U47" i="70"/>
  <c r="S47" i="70"/>
  <c r="Q47" i="70"/>
  <c r="W44" i="70"/>
  <c r="U44" i="70"/>
  <c r="S44" i="70"/>
  <c r="Q44" i="70"/>
  <c r="W50" i="70"/>
  <c r="U50" i="70"/>
  <c r="S50" i="70"/>
  <c r="Q50" i="70"/>
  <c r="F136" i="72" l="1"/>
  <c r="F128" i="72"/>
  <c r="F129" i="72"/>
  <c r="F130" i="72"/>
  <c r="F131" i="72"/>
  <c r="F132" i="72"/>
  <c r="F133" i="72"/>
  <c r="F134" i="72"/>
  <c r="F135" i="72"/>
  <c r="F127" i="72"/>
  <c r="F117" i="72"/>
  <c r="F118" i="72"/>
  <c r="F119" i="72"/>
  <c r="F120" i="72"/>
  <c r="F121" i="72"/>
  <c r="F122" i="72"/>
  <c r="F123" i="72"/>
  <c r="F124" i="72"/>
  <c r="F125" i="72"/>
  <c r="F116" i="72"/>
  <c r="F106" i="72"/>
  <c r="F107" i="72"/>
  <c r="F108" i="72"/>
  <c r="F109" i="72"/>
  <c r="F110" i="72"/>
  <c r="F111" i="72"/>
  <c r="F112" i="72"/>
  <c r="F113" i="72"/>
  <c r="F114" i="72"/>
  <c r="F105" i="72"/>
  <c r="F95" i="72"/>
  <c r="F96" i="72"/>
  <c r="F97" i="72"/>
  <c r="F98" i="72"/>
  <c r="F99" i="72"/>
  <c r="F100" i="72"/>
  <c r="F101" i="72"/>
  <c r="F102" i="72"/>
  <c r="F103" i="72"/>
  <c r="F94" i="72"/>
  <c r="F84" i="72"/>
  <c r="F85" i="72"/>
  <c r="F86" i="72"/>
  <c r="F87" i="72"/>
  <c r="F88" i="72"/>
  <c r="F89" i="72"/>
  <c r="F90" i="72"/>
  <c r="F91" i="72"/>
  <c r="F92" i="72"/>
  <c r="F83" i="72"/>
  <c r="F73" i="72"/>
  <c r="F74" i="72"/>
  <c r="F75" i="72"/>
  <c r="F76" i="72"/>
  <c r="F77" i="72"/>
  <c r="F78" i="72"/>
  <c r="F79" i="72"/>
  <c r="F80" i="72"/>
  <c r="F81" i="72"/>
  <c r="F72" i="72"/>
  <c r="F67" i="72"/>
  <c r="F68" i="72"/>
  <c r="F69" i="72"/>
  <c r="F70" i="72"/>
  <c r="F62" i="72"/>
  <c r="F63" i="72"/>
  <c r="F64" i="72"/>
  <c r="F65" i="72"/>
  <c r="F66" i="72"/>
  <c r="F61" i="72"/>
  <c r="F51" i="72"/>
  <c r="F52" i="72"/>
  <c r="F53" i="72"/>
  <c r="F54" i="72"/>
  <c r="F55" i="72"/>
  <c r="F56" i="72"/>
  <c r="F57" i="72"/>
  <c r="F58" i="72"/>
  <c r="F59" i="72"/>
  <c r="F50" i="72"/>
  <c r="F39" i="72"/>
  <c r="F28" i="72"/>
  <c r="F128" i="77"/>
  <c r="F129" i="77"/>
  <c r="F130" i="77"/>
  <c r="F131" i="77"/>
  <c r="F132" i="77"/>
  <c r="F133" i="77"/>
  <c r="F134" i="77"/>
  <c r="F135" i="77"/>
  <c r="F136" i="77"/>
  <c r="F127" i="77"/>
  <c r="F117" i="77"/>
  <c r="F118" i="77"/>
  <c r="F119" i="77"/>
  <c r="F120" i="77"/>
  <c r="F121" i="77"/>
  <c r="F122" i="77"/>
  <c r="F123" i="77"/>
  <c r="F124" i="77"/>
  <c r="F116" i="77"/>
  <c r="F106" i="77"/>
  <c r="F107" i="77"/>
  <c r="F108" i="77"/>
  <c r="F109" i="77"/>
  <c r="F110" i="77"/>
  <c r="F111" i="77"/>
  <c r="F112" i="77"/>
  <c r="F113" i="77"/>
  <c r="F114" i="77"/>
  <c r="F105" i="77"/>
  <c r="F95" i="77"/>
  <c r="F96" i="77"/>
  <c r="F97" i="77"/>
  <c r="F98" i="77"/>
  <c r="F99" i="77"/>
  <c r="F100" i="77"/>
  <c r="F101" i="77"/>
  <c r="F102" i="77"/>
  <c r="F103" i="77"/>
  <c r="F94" i="77"/>
  <c r="F84" i="77"/>
  <c r="F85" i="77"/>
  <c r="F86" i="77"/>
  <c r="F87" i="77"/>
  <c r="F88" i="77"/>
  <c r="F89" i="77"/>
  <c r="F90" i="77"/>
  <c r="F91" i="77"/>
  <c r="F92" i="77"/>
  <c r="F83" i="77"/>
  <c r="F73" i="77"/>
  <c r="F74" i="77"/>
  <c r="F75" i="77"/>
  <c r="F76" i="77"/>
  <c r="F77" i="77"/>
  <c r="F78" i="77"/>
  <c r="F79" i="77"/>
  <c r="F80" i="77"/>
  <c r="F81" i="77"/>
  <c r="F72" i="77"/>
  <c r="F62" i="77"/>
  <c r="F63" i="77"/>
  <c r="F64" i="77"/>
  <c r="F65" i="77"/>
  <c r="F66" i="77"/>
  <c r="F67" i="77"/>
  <c r="F68" i="77"/>
  <c r="F69" i="77"/>
  <c r="F70" i="77"/>
  <c r="F61" i="77"/>
  <c r="F51" i="77"/>
  <c r="F52" i="77"/>
  <c r="F53" i="77"/>
  <c r="F54" i="77"/>
  <c r="F55" i="77"/>
  <c r="F56" i="77"/>
  <c r="F57" i="77"/>
  <c r="F58" i="77"/>
  <c r="F59" i="77"/>
  <c r="F50" i="77"/>
  <c r="F40" i="77"/>
  <c r="F41" i="77"/>
  <c r="F42" i="77"/>
  <c r="F43" i="77"/>
  <c r="F44" i="77"/>
  <c r="F45" i="77"/>
  <c r="F46" i="77"/>
  <c r="F47" i="77"/>
  <c r="F48" i="77"/>
  <c r="F39" i="77"/>
  <c r="F29" i="77"/>
  <c r="F30" i="77"/>
  <c r="F31" i="77"/>
  <c r="F32" i="77"/>
  <c r="F33" i="77"/>
  <c r="F34" i="77"/>
  <c r="F35" i="77"/>
  <c r="F36" i="77"/>
  <c r="F37" i="77"/>
  <c r="F28" i="77"/>
  <c r="F128" i="79"/>
  <c r="F129" i="79"/>
  <c r="F130" i="79"/>
  <c r="F131" i="79"/>
  <c r="F132" i="79"/>
  <c r="F133" i="79"/>
  <c r="F134" i="79"/>
  <c r="F135" i="79"/>
  <c r="F136" i="79"/>
  <c r="F127" i="79"/>
  <c r="F117" i="79"/>
  <c r="F118" i="79"/>
  <c r="F119" i="79"/>
  <c r="F120" i="79"/>
  <c r="F121" i="79"/>
  <c r="F122" i="79"/>
  <c r="F123" i="79"/>
  <c r="F124" i="79"/>
  <c r="F125" i="79"/>
  <c r="F116" i="79"/>
  <c r="F106" i="79"/>
  <c r="F107" i="79"/>
  <c r="F108" i="79"/>
  <c r="F109" i="79"/>
  <c r="F110" i="79"/>
  <c r="F111" i="79"/>
  <c r="F112" i="79"/>
  <c r="F113" i="79"/>
  <c r="F114" i="79"/>
  <c r="F105" i="79"/>
  <c r="F95" i="79"/>
  <c r="F96" i="79"/>
  <c r="F97" i="79"/>
  <c r="F98" i="79"/>
  <c r="F99" i="79"/>
  <c r="F100" i="79"/>
  <c r="F101" i="79"/>
  <c r="F102" i="79"/>
  <c r="F103" i="79"/>
  <c r="F94" i="79"/>
  <c r="F84" i="79"/>
  <c r="F85" i="79"/>
  <c r="F86" i="79"/>
  <c r="F87" i="79"/>
  <c r="F88" i="79"/>
  <c r="F89" i="79"/>
  <c r="F90" i="79"/>
  <c r="F91" i="79"/>
  <c r="F92" i="79"/>
  <c r="F83" i="79"/>
  <c r="F73" i="79"/>
  <c r="F74" i="79"/>
  <c r="F75" i="79"/>
  <c r="F76" i="79"/>
  <c r="F77" i="79"/>
  <c r="F78" i="79"/>
  <c r="F79" i="79"/>
  <c r="F80" i="79"/>
  <c r="F81" i="79"/>
  <c r="F72" i="79"/>
  <c r="F62" i="79"/>
  <c r="F63" i="79"/>
  <c r="F64" i="79"/>
  <c r="F65" i="79"/>
  <c r="F66" i="79"/>
  <c r="F67" i="79"/>
  <c r="F68" i="79"/>
  <c r="F69" i="79"/>
  <c r="F70" i="79"/>
  <c r="F61" i="79"/>
  <c r="F51" i="79"/>
  <c r="F52" i="79"/>
  <c r="F53" i="79"/>
  <c r="F54" i="79"/>
  <c r="F55" i="79"/>
  <c r="F56" i="79"/>
  <c r="F57" i="79"/>
  <c r="F58" i="79"/>
  <c r="F59" i="79"/>
  <c r="F50" i="79"/>
  <c r="F40" i="79"/>
  <c r="F41" i="79"/>
  <c r="F42" i="79"/>
  <c r="F43" i="79"/>
  <c r="F44" i="79"/>
  <c r="F45" i="79"/>
  <c r="F46" i="79"/>
  <c r="F47" i="79"/>
  <c r="F48" i="79"/>
  <c r="F39" i="79"/>
  <c r="F29" i="79"/>
  <c r="F30" i="79"/>
  <c r="F31" i="79"/>
  <c r="F32" i="79"/>
  <c r="F33" i="79"/>
  <c r="F34" i="79"/>
  <c r="F35" i="79"/>
  <c r="F36" i="79"/>
  <c r="F37" i="79"/>
  <c r="F28" i="79"/>
  <c r="F128" i="80"/>
  <c r="F129" i="80"/>
  <c r="F130" i="80"/>
  <c r="F131" i="80"/>
  <c r="F132" i="80"/>
  <c r="F133" i="80"/>
  <c r="F134" i="80"/>
  <c r="F135" i="80"/>
  <c r="F136" i="80"/>
  <c r="F127" i="80"/>
  <c r="F117" i="80"/>
  <c r="F118" i="80"/>
  <c r="F119" i="80"/>
  <c r="F120" i="80"/>
  <c r="F121" i="80"/>
  <c r="F122" i="80"/>
  <c r="F123" i="80"/>
  <c r="F124" i="80"/>
  <c r="F125" i="80"/>
  <c r="F116" i="80"/>
  <c r="F106" i="80"/>
  <c r="F107" i="80"/>
  <c r="F108" i="80"/>
  <c r="F109" i="80"/>
  <c r="F110" i="80"/>
  <c r="F111" i="80"/>
  <c r="F112" i="80"/>
  <c r="F113" i="80"/>
  <c r="F114" i="80"/>
  <c r="F105" i="80"/>
  <c r="F95" i="80"/>
  <c r="F96" i="80"/>
  <c r="F97" i="80"/>
  <c r="F98" i="80"/>
  <c r="F99" i="80"/>
  <c r="F100" i="80"/>
  <c r="F101" i="80"/>
  <c r="F102" i="80"/>
  <c r="F103" i="80"/>
  <c r="F94" i="80"/>
  <c r="F84" i="80"/>
  <c r="F85" i="80"/>
  <c r="F86" i="80"/>
  <c r="F87" i="80"/>
  <c r="F88" i="80"/>
  <c r="F89" i="80"/>
  <c r="F90" i="80"/>
  <c r="F91" i="80"/>
  <c r="F92" i="80"/>
  <c r="F83" i="80"/>
  <c r="F73" i="80"/>
  <c r="F74" i="80"/>
  <c r="F75" i="80"/>
  <c r="F76" i="80"/>
  <c r="F77" i="80"/>
  <c r="F78" i="80"/>
  <c r="F79" i="80"/>
  <c r="F80" i="80"/>
  <c r="F81" i="80"/>
  <c r="F72" i="80"/>
  <c r="F62" i="80"/>
  <c r="F63" i="80"/>
  <c r="F64" i="80"/>
  <c r="F65" i="80"/>
  <c r="F66" i="80"/>
  <c r="F67" i="80"/>
  <c r="F68" i="80"/>
  <c r="F69" i="80"/>
  <c r="F70" i="80"/>
  <c r="F61" i="80"/>
  <c r="F51" i="80"/>
  <c r="F52" i="80"/>
  <c r="F53" i="80"/>
  <c r="F54" i="80"/>
  <c r="F55" i="80"/>
  <c r="F56" i="80"/>
  <c r="F57" i="80"/>
  <c r="F58" i="80"/>
  <c r="F59" i="80"/>
  <c r="F50" i="80"/>
  <c r="F40" i="80"/>
  <c r="F41" i="80"/>
  <c r="F42" i="80"/>
  <c r="F43" i="80"/>
  <c r="F44" i="80"/>
  <c r="F45" i="80"/>
  <c r="F46" i="80"/>
  <c r="F47" i="80"/>
  <c r="F48" i="80"/>
  <c r="F39" i="80"/>
  <c r="F28" i="80"/>
  <c r="F128" i="78"/>
  <c r="F129" i="78"/>
  <c r="F130" i="78"/>
  <c r="F131" i="78"/>
  <c r="F132" i="78"/>
  <c r="F133" i="78"/>
  <c r="F134" i="78"/>
  <c r="F135" i="78"/>
  <c r="F136" i="78"/>
  <c r="F127" i="78"/>
  <c r="F117" i="78"/>
  <c r="F118" i="78"/>
  <c r="F119" i="78"/>
  <c r="F120" i="78"/>
  <c r="F121" i="78"/>
  <c r="F122" i="78"/>
  <c r="F123" i="78"/>
  <c r="F124" i="78"/>
  <c r="F125" i="78"/>
  <c r="F116" i="78"/>
  <c r="F106" i="78"/>
  <c r="F107" i="78"/>
  <c r="F108" i="78"/>
  <c r="F109" i="78"/>
  <c r="F110" i="78"/>
  <c r="F111" i="78"/>
  <c r="F112" i="78"/>
  <c r="F113" i="78"/>
  <c r="F114" i="78"/>
  <c r="F105" i="78"/>
  <c r="F95" i="78"/>
  <c r="F96" i="78"/>
  <c r="F97" i="78"/>
  <c r="F98" i="78"/>
  <c r="F99" i="78"/>
  <c r="F100" i="78"/>
  <c r="F101" i="78"/>
  <c r="F102" i="78"/>
  <c r="F103" i="78"/>
  <c r="F94" i="78"/>
  <c r="F84" i="78"/>
  <c r="F85" i="78"/>
  <c r="F86" i="78"/>
  <c r="F87" i="78"/>
  <c r="F88" i="78"/>
  <c r="F89" i="78"/>
  <c r="F90" i="78"/>
  <c r="F91" i="78"/>
  <c r="F92" i="78"/>
  <c r="F83" i="78"/>
  <c r="F73" i="78"/>
  <c r="F74" i="78"/>
  <c r="F75" i="78"/>
  <c r="F76" i="78"/>
  <c r="F77" i="78"/>
  <c r="F78" i="78"/>
  <c r="F79" i="78"/>
  <c r="F80" i="78"/>
  <c r="F81" i="78"/>
  <c r="F72" i="78"/>
  <c r="F62" i="78"/>
  <c r="F63" i="78"/>
  <c r="F64" i="78"/>
  <c r="F65" i="78"/>
  <c r="F66" i="78"/>
  <c r="F67" i="78"/>
  <c r="F68" i="78"/>
  <c r="F69" i="78"/>
  <c r="F70" i="78"/>
  <c r="F61" i="78"/>
  <c r="F51" i="78"/>
  <c r="F52" i="78"/>
  <c r="F53" i="78"/>
  <c r="F54" i="78"/>
  <c r="F55" i="78"/>
  <c r="F56" i="78"/>
  <c r="F57" i="78"/>
  <c r="F58" i="78"/>
  <c r="F59" i="78"/>
  <c r="F50" i="78"/>
  <c r="F40" i="78"/>
  <c r="F41" i="78"/>
  <c r="F42" i="78"/>
  <c r="F43" i="78"/>
  <c r="F44" i="78"/>
  <c r="F45" i="78"/>
  <c r="F46" i="78"/>
  <c r="F47" i="78"/>
  <c r="F48" i="78"/>
  <c r="F39" i="78"/>
  <c r="PJ34" i="4" l="1"/>
  <c r="E34" i="75" l="1"/>
  <c r="F34" i="75"/>
  <c r="E35" i="75"/>
  <c r="F35" i="75"/>
  <c r="E36" i="75"/>
  <c r="F36" i="75"/>
  <c r="E37" i="75"/>
  <c r="F37" i="75"/>
  <c r="E38" i="75"/>
  <c r="F38" i="75"/>
  <c r="E39" i="75"/>
  <c r="F39" i="75"/>
  <c r="E40" i="75"/>
  <c r="F40" i="75"/>
  <c r="E41" i="75"/>
  <c r="F41" i="75"/>
  <c r="E42" i="75"/>
  <c r="F42" i="75"/>
  <c r="E45" i="75"/>
  <c r="F45" i="75"/>
  <c r="E46" i="75"/>
  <c r="F46" i="75"/>
  <c r="E47" i="75"/>
  <c r="F47" i="75"/>
  <c r="E48" i="75"/>
  <c r="F48" i="75"/>
  <c r="E49" i="75"/>
  <c r="F49" i="75"/>
  <c r="E50" i="75"/>
  <c r="F50" i="75"/>
  <c r="E51" i="75"/>
  <c r="F51" i="75"/>
  <c r="E52" i="75"/>
  <c r="F52" i="75"/>
  <c r="E53" i="75"/>
  <c r="F53" i="75"/>
  <c r="E56" i="75"/>
  <c r="F56" i="75"/>
  <c r="E57" i="75"/>
  <c r="F57" i="75"/>
  <c r="E58" i="75"/>
  <c r="F58" i="75"/>
  <c r="E59" i="75"/>
  <c r="F59" i="75"/>
  <c r="E60" i="75"/>
  <c r="F60" i="75"/>
  <c r="E61" i="75"/>
  <c r="F61" i="75"/>
  <c r="E62" i="75"/>
  <c r="F62" i="75"/>
  <c r="E63" i="75"/>
  <c r="F63" i="75"/>
  <c r="E64" i="75"/>
  <c r="F64" i="75"/>
  <c r="E67" i="75"/>
  <c r="F67" i="75"/>
  <c r="E68" i="75"/>
  <c r="F68" i="75"/>
  <c r="E69" i="75"/>
  <c r="F69" i="75"/>
  <c r="E70" i="75"/>
  <c r="F70" i="75"/>
  <c r="E71" i="75"/>
  <c r="F71" i="75"/>
  <c r="E72" i="75"/>
  <c r="F72" i="75"/>
  <c r="E73" i="75"/>
  <c r="F73" i="75"/>
  <c r="E74" i="75"/>
  <c r="F74" i="75"/>
  <c r="E75" i="75"/>
  <c r="F75" i="75"/>
  <c r="E78" i="75"/>
  <c r="F78" i="75"/>
  <c r="E79" i="75"/>
  <c r="F79" i="75"/>
  <c r="E80" i="75"/>
  <c r="F80" i="75"/>
  <c r="E81" i="75"/>
  <c r="F81" i="75"/>
  <c r="E82" i="75"/>
  <c r="F82" i="75"/>
  <c r="E83" i="75"/>
  <c r="F83" i="75"/>
  <c r="E84" i="75"/>
  <c r="F84" i="75"/>
  <c r="E85" i="75"/>
  <c r="F85" i="75"/>
  <c r="E86" i="75"/>
  <c r="F86" i="75"/>
  <c r="E89" i="75"/>
  <c r="F89" i="75"/>
  <c r="E90" i="75"/>
  <c r="F90" i="75"/>
  <c r="E91" i="75"/>
  <c r="F91" i="75"/>
  <c r="E92" i="75"/>
  <c r="F92" i="75"/>
  <c r="E93" i="75"/>
  <c r="F93" i="75"/>
  <c r="E94" i="75"/>
  <c r="F94" i="75"/>
  <c r="E95" i="75"/>
  <c r="F95" i="75"/>
  <c r="E96" i="75"/>
  <c r="F96" i="75"/>
  <c r="E97" i="75"/>
  <c r="F97" i="75"/>
  <c r="E100" i="75"/>
  <c r="F100" i="75"/>
  <c r="E101" i="75"/>
  <c r="F101" i="75"/>
  <c r="E102" i="75"/>
  <c r="F102" i="75"/>
  <c r="E103" i="75"/>
  <c r="F103" i="75"/>
  <c r="E104" i="75"/>
  <c r="F104" i="75"/>
  <c r="E105" i="75"/>
  <c r="F105" i="75"/>
  <c r="E106" i="75"/>
  <c r="F106" i="75"/>
  <c r="E107" i="75"/>
  <c r="F107" i="75"/>
  <c r="E108" i="75"/>
  <c r="F108" i="75"/>
  <c r="E111" i="75"/>
  <c r="F111" i="75"/>
  <c r="E112" i="75"/>
  <c r="F112" i="75"/>
  <c r="E113" i="75"/>
  <c r="F113" i="75"/>
  <c r="E114" i="75"/>
  <c r="F114" i="75"/>
  <c r="E115" i="75"/>
  <c r="F115" i="75"/>
  <c r="E116" i="75"/>
  <c r="F116" i="75"/>
  <c r="E117" i="75"/>
  <c r="F117" i="75"/>
  <c r="E118" i="75"/>
  <c r="F118" i="75"/>
  <c r="E119" i="75"/>
  <c r="F119" i="75"/>
  <c r="E122" i="75"/>
  <c r="F122" i="75"/>
  <c r="E123" i="75"/>
  <c r="F123" i="75"/>
  <c r="E124" i="75"/>
  <c r="F124" i="75"/>
  <c r="E125" i="75"/>
  <c r="F125" i="75"/>
  <c r="E126" i="75"/>
  <c r="F126" i="75"/>
  <c r="E127" i="75"/>
  <c r="F127" i="75"/>
  <c r="E128" i="75"/>
  <c r="F128" i="75"/>
  <c r="E129" i="75"/>
  <c r="F129" i="75"/>
  <c r="E130" i="75"/>
  <c r="F130" i="75"/>
  <c r="E133" i="75"/>
  <c r="F133" i="75"/>
  <c r="E134" i="75"/>
  <c r="F134" i="75"/>
  <c r="E135" i="75"/>
  <c r="F135" i="75"/>
  <c r="E136" i="75"/>
  <c r="F136" i="75"/>
  <c r="E137" i="75"/>
  <c r="F137" i="75"/>
  <c r="E138" i="75"/>
  <c r="F138" i="75"/>
  <c r="E139" i="75"/>
  <c r="F139" i="75"/>
  <c r="E140" i="75"/>
  <c r="F140" i="75"/>
  <c r="E141" i="75"/>
  <c r="F141" i="75"/>
  <c r="F132" i="75"/>
  <c r="E132" i="75"/>
  <c r="F121" i="75"/>
  <c r="E121" i="75"/>
  <c r="F110" i="75"/>
  <c r="E110" i="75"/>
  <c r="F99" i="75"/>
  <c r="E99" i="75"/>
  <c r="F88" i="75"/>
  <c r="E88" i="75"/>
  <c r="E77" i="75"/>
  <c r="F77" i="75"/>
  <c r="F66" i="75"/>
  <c r="E66" i="75"/>
  <c r="F55" i="75"/>
  <c r="E55" i="75"/>
  <c r="F44" i="75"/>
  <c r="E44" i="75"/>
  <c r="F33" i="75"/>
  <c r="E33" i="75"/>
  <c r="E34" i="76"/>
  <c r="F34" i="76"/>
  <c r="E35" i="76"/>
  <c r="F35" i="76"/>
  <c r="E36" i="76"/>
  <c r="F36" i="76"/>
  <c r="E37" i="76"/>
  <c r="F37" i="76"/>
  <c r="E38" i="76"/>
  <c r="F38" i="76"/>
  <c r="E39" i="76"/>
  <c r="F39" i="76"/>
  <c r="E40" i="76"/>
  <c r="F40" i="76"/>
  <c r="E41" i="76"/>
  <c r="F41" i="76"/>
  <c r="E42" i="76"/>
  <c r="F42" i="76"/>
  <c r="E45" i="76"/>
  <c r="F45" i="76"/>
  <c r="E46" i="76"/>
  <c r="F46" i="76"/>
  <c r="E47" i="76"/>
  <c r="F47" i="76"/>
  <c r="E48" i="76"/>
  <c r="F48" i="76"/>
  <c r="E49" i="76"/>
  <c r="F49" i="76"/>
  <c r="E50" i="76"/>
  <c r="F50" i="76"/>
  <c r="E51" i="76"/>
  <c r="F51" i="76"/>
  <c r="E52" i="76"/>
  <c r="F52" i="76"/>
  <c r="E53" i="76"/>
  <c r="F53" i="76"/>
  <c r="E56" i="76"/>
  <c r="F56" i="76"/>
  <c r="E57" i="76"/>
  <c r="F57" i="76"/>
  <c r="E58" i="76"/>
  <c r="F58" i="76"/>
  <c r="E59" i="76"/>
  <c r="F59" i="76"/>
  <c r="E60" i="76"/>
  <c r="F60" i="76"/>
  <c r="E61" i="76"/>
  <c r="F61" i="76"/>
  <c r="E62" i="76"/>
  <c r="F62" i="76"/>
  <c r="E63" i="76"/>
  <c r="F63" i="76"/>
  <c r="E64" i="76"/>
  <c r="F64" i="76"/>
  <c r="E67" i="76"/>
  <c r="F67" i="76"/>
  <c r="E68" i="76"/>
  <c r="F68" i="76"/>
  <c r="E69" i="76"/>
  <c r="F69" i="76"/>
  <c r="E70" i="76"/>
  <c r="F70" i="76"/>
  <c r="E71" i="76"/>
  <c r="F71" i="76"/>
  <c r="E72" i="76"/>
  <c r="F72" i="76"/>
  <c r="E73" i="76"/>
  <c r="F73" i="76"/>
  <c r="E74" i="76"/>
  <c r="F74" i="76"/>
  <c r="E75" i="76"/>
  <c r="F75" i="76"/>
  <c r="E78" i="76"/>
  <c r="F78" i="76"/>
  <c r="E79" i="76"/>
  <c r="F79" i="76"/>
  <c r="E80" i="76"/>
  <c r="F80" i="76"/>
  <c r="E81" i="76"/>
  <c r="F81" i="76"/>
  <c r="E82" i="76"/>
  <c r="F82" i="76"/>
  <c r="E83" i="76"/>
  <c r="F83" i="76"/>
  <c r="E84" i="76"/>
  <c r="F84" i="76"/>
  <c r="E85" i="76"/>
  <c r="F85" i="76"/>
  <c r="E86" i="76"/>
  <c r="F86" i="76"/>
  <c r="E89" i="76"/>
  <c r="F89" i="76"/>
  <c r="E90" i="76"/>
  <c r="F90" i="76"/>
  <c r="E91" i="76"/>
  <c r="F91" i="76"/>
  <c r="E92" i="76"/>
  <c r="F92" i="76"/>
  <c r="E93" i="76"/>
  <c r="F93" i="76"/>
  <c r="E94" i="76"/>
  <c r="F94" i="76"/>
  <c r="E95" i="76"/>
  <c r="F95" i="76"/>
  <c r="E96" i="76"/>
  <c r="F96" i="76"/>
  <c r="E97" i="76"/>
  <c r="F97" i="76"/>
  <c r="E100" i="76"/>
  <c r="F100" i="76"/>
  <c r="E101" i="76"/>
  <c r="F101" i="76"/>
  <c r="E102" i="76"/>
  <c r="F102" i="76"/>
  <c r="E103" i="76"/>
  <c r="F103" i="76"/>
  <c r="E104" i="76"/>
  <c r="F104" i="76"/>
  <c r="E105" i="76"/>
  <c r="F105" i="76"/>
  <c r="E106" i="76"/>
  <c r="F106" i="76"/>
  <c r="E107" i="76"/>
  <c r="F107" i="76"/>
  <c r="E108" i="76"/>
  <c r="F108" i="76"/>
  <c r="E111" i="76"/>
  <c r="F111" i="76"/>
  <c r="E112" i="76"/>
  <c r="F112" i="76"/>
  <c r="E113" i="76"/>
  <c r="F113" i="76"/>
  <c r="E114" i="76"/>
  <c r="F114" i="76"/>
  <c r="E115" i="76"/>
  <c r="F115" i="76"/>
  <c r="E116" i="76"/>
  <c r="F116" i="76"/>
  <c r="E117" i="76"/>
  <c r="F117" i="76"/>
  <c r="E118" i="76"/>
  <c r="F118" i="76"/>
  <c r="E119" i="76"/>
  <c r="F119" i="76"/>
  <c r="E122" i="76"/>
  <c r="F122" i="76"/>
  <c r="E123" i="76"/>
  <c r="F123" i="76"/>
  <c r="E124" i="76"/>
  <c r="F124" i="76"/>
  <c r="E125" i="76"/>
  <c r="F125" i="76"/>
  <c r="E126" i="76"/>
  <c r="F126" i="76"/>
  <c r="E127" i="76"/>
  <c r="F127" i="76"/>
  <c r="E128" i="76"/>
  <c r="F128" i="76"/>
  <c r="E129" i="76"/>
  <c r="F129" i="76"/>
  <c r="E130" i="76"/>
  <c r="F130" i="76"/>
  <c r="E133" i="76"/>
  <c r="F133" i="76"/>
  <c r="E134" i="76"/>
  <c r="F134" i="76"/>
  <c r="E135" i="76"/>
  <c r="F135" i="76"/>
  <c r="E136" i="76"/>
  <c r="F136" i="76"/>
  <c r="E137" i="76"/>
  <c r="F137" i="76"/>
  <c r="E138" i="76"/>
  <c r="F138" i="76"/>
  <c r="E139" i="76"/>
  <c r="F139" i="76"/>
  <c r="E140" i="76"/>
  <c r="F140" i="76"/>
  <c r="E141" i="76"/>
  <c r="F141" i="76"/>
  <c r="F132" i="76"/>
  <c r="E132" i="76"/>
  <c r="F121" i="76"/>
  <c r="E121" i="76"/>
  <c r="F110" i="76"/>
  <c r="E110" i="76"/>
  <c r="F99" i="76"/>
  <c r="E99" i="76"/>
  <c r="F88" i="76"/>
  <c r="E88" i="76"/>
  <c r="F77" i="76"/>
  <c r="E77" i="76"/>
  <c r="F66" i="76"/>
  <c r="E66" i="76"/>
  <c r="F55" i="76"/>
  <c r="E55" i="76"/>
  <c r="F44" i="76"/>
  <c r="E44" i="76"/>
  <c r="F33" i="76"/>
  <c r="E33" i="76"/>
  <c r="E133" i="74"/>
  <c r="F133" i="74"/>
  <c r="E134" i="74"/>
  <c r="F134" i="74"/>
  <c r="E135" i="74"/>
  <c r="F135" i="74"/>
  <c r="E136" i="74"/>
  <c r="F136" i="74"/>
  <c r="E137" i="74"/>
  <c r="F137" i="74"/>
  <c r="E138" i="74"/>
  <c r="F138" i="74"/>
  <c r="E139" i="74"/>
  <c r="F139" i="74"/>
  <c r="E140" i="74"/>
  <c r="F140" i="74"/>
  <c r="E141" i="74"/>
  <c r="F141" i="74"/>
  <c r="F132" i="74"/>
  <c r="E132" i="74"/>
  <c r="E122" i="74"/>
  <c r="F122" i="74"/>
  <c r="H122" i="74" s="1"/>
  <c r="E123" i="74"/>
  <c r="F123" i="74"/>
  <c r="H123" i="74" s="1"/>
  <c r="E124" i="74"/>
  <c r="F124" i="74"/>
  <c r="H124" i="74" s="1"/>
  <c r="E125" i="74"/>
  <c r="F125" i="74"/>
  <c r="G125" i="74" s="1"/>
  <c r="E126" i="74"/>
  <c r="F126" i="74"/>
  <c r="H126" i="74" s="1"/>
  <c r="E127" i="74"/>
  <c r="F127" i="74"/>
  <c r="G127" i="74" s="1"/>
  <c r="E128" i="74"/>
  <c r="F128" i="74"/>
  <c r="G128" i="74" s="1"/>
  <c r="E129" i="74"/>
  <c r="F129" i="74"/>
  <c r="G129" i="74" s="1"/>
  <c r="E130" i="74"/>
  <c r="F130" i="74"/>
  <c r="H130" i="74" s="1"/>
  <c r="F121" i="74"/>
  <c r="E121" i="74"/>
  <c r="E113" i="74"/>
  <c r="F115" i="74"/>
  <c r="E111" i="74"/>
  <c r="F111" i="74"/>
  <c r="E112" i="74"/>
  <c r="F112" i="74"/>
  <c r="F113" i="74"/>
  <c r="E114" i="74"/>
  <c r="F114" i="74"/>
  <c r="E115" i="74"/>
  <c r="E116" i="74"/>
  <c r="F116" i="74"/>
  <c r="E117" i="74"/>
  <c r="F117" i="74"/>
  <c r="E118" i="74"/>
  <c r="F118" i="74"/>
  <c r="E119" i="74"/>
  <c r="F119" i="74"/>
  <c r="F110" i="74"/>
  <c r="E110" i="74"/>
  <c r="E108" i="74"/>
  <c r="F108" i="74"/>
  <c r="E100" i="74"/>
  <c r="F100" i="74"/>
  <c r="E101" i="74"/>
  <c r="F101" i="74"/>
  <c r="E102" i="74"/>
  <c r="F102" i="74"/>
  <c r="E103" i="74"/>
  <c r="F103" i="74"/>
  <c r="E104" i="74"/>
  <c r="F104" i="74"/>
  <c r="E105" i="74"/>
  <c r="F105" i="74"/>
  <c r="E106" i="74"/>
  <c r="F106" i="74"/>
  <c r="E107" i="74"/>
  <c r="F107" i="74"/>
  <c r="F99" i="74"/>
  <c r="E99" i="74"/>
  <c r="E89" i="74"/>
  <c r="F89" i="74"/>
  <c r="E90" i="74"/>
  <c r="F90" i="74"/>
  <c r="E91" i="74"/>
  <c r="F91" i="74"/>
  <c r="E92" i="74"/>
  <c r="F92" i="74"/>
  <c r="E93" i="74"/>
  <c r="F93" i="74"/>
  <c r="E94" i="74"/>
  <c r="F94" i="74"/>
  <c r="E95" i="74"/>
  <c r="F95" i="74"/>
  <c r="E96" i="74"/>
  <c r="F96" i="74"/>
  <c r="E97" i="74"/>
  <c r="F97" i="74"/>
  <c r="F88" i="74"/>
  <c r="E88" i="74"/>
  <c r="E78" i="74"/>
  <c r="F78" i="74"/>
  <c r="E79" i="74"/>
  <c r="F79" i="74"/>
  <c r="E80" i="74"/>
  <c r="F80" i="74"/>
  <c r="E81" i="74"/>
  <c r="F81" i="74"/>
  <c r="E82" i="74"/>
  <c r="F82" i="74"/>
  <c r="E83" i="74"/>
  <c r="F83" i="74"/>
  <c r="E84" i="74"/>
  <c r="F84" i="74"/>
  <c r="E85" i="74"/>
  <c r="F85" i="74"/>
  <c r="E86" i="74"/>
  <c r="F86" i="74"/>
  <c r="F77" i="74"/>
  <c r="E77" i="74"/>
  <c r="E67" i="74"/>
  <c r="F67" i="74"/>
  <c r="E68" i="74"/>
  <c r="F68" i="74"/>
  <c r="E69" i="74"/>
  <c r="F69" i="74"/>
  <c r="E70" i="74"/>
  <c r="F70" i="74"/>
  <c r="E71" i="74"/>
  <c r="F71" i="74"/>
  <c r="E72" i="74"/>
  <c r="F72" i="74"/>
  <c r="E73" i="74"/>
  <c r="F73" i="74"/>
  <c r="E74" i="74"/>
  <c r="F74" i="74"/>
  <c r="E75" i="74"/>
  <c r="F75" i="74"/>
  <c r="F66" i="74"/>
  <c r="E66" i="74"/>
  <c r="E56" i="74"/>
  <c r="F56" i="74"/>
  <c r="E57" i="74"/>
  <c r="F57" i="74"/>
  <c r="E58" i="74"/>
  <c r="F58" i="74"/>
  <c r="E59" i="74"/>
  <c r="F59" i="74"/>
  <c r="E60" i="74"/>
  <c r="F60" i="74"/>
  <c r="E61" i="74"/>
  <c r="F61" i="74"/>
  <c r="E62" i="74"/>
  <c r="F62" i="74"/>
  <c r="E63" i="74"/>
  <c r="F63" i="74"/>
  <c r="E64" i="74"/>
  <c r="F64" i="74"/>
  <c r="E55" i="74"/>
  <c r="F55" i="74"/>
  <c r="E45" i="74"/>
  <c r="F45" i="74"/>
  <c r="E46" i="74"/>
  <c r="F46" i="74"/>
  <c r="E47" i="74"/>
  <c r="F47" i="74"/>
  <c r="E48" i="74"/>
  <c r="F48" i="74"/>
  <c r="E49" i="74"/>
  <c r="F49" i="74"/>
  <c r="E50" i="74"/>
  <c r="F50" i="74"/>
  <c r="E51" i="74"/>
  <c r="F51" i="74"/>
  <c r="E52" i="74"/>
  <c r="F52" i="74"/>
  <c r="E53" i="74"/>
  <c r="F53" i="74"/>
  <c r="F44" i="74"/>
  <c r="E44" i="74"/>
  <c r="F33" i="74"/>
  <c r="E33" i="74"/>
  <c r="E133" i="73"/>
  <c r="F133" i="73"/>
  <c r="E134" i="73"/>
  <c r="F134" i="73"/>
  <c r="E135" i="73"/>
  <c r="F135" i="73"/>
  <c r="E136" i="73"/>
  <c r="F136" i="73"/>
  <c r="E137" i="73"/>
  <c r="F137" i="73"/>
  <c r="E138" i="73"/>
  <c r="F138" i="73"/>
  <c r="E139" i="73"/>
  <c r="F139" i="73"/>
  <c r="E140" i="73"/>
  <c r="F140" i="73"/>
  <c r="E141" i="73"/>
  <c r="F141" i="73"/>
  <c r="F132" i="73"/>
  <c r="E132" i="73"/>
  <c r="E122" i="73"/>
  <c r="F122" i="73"/>
  <c r="E123" i="73"/>
  <c r="F123" i="73"/>
  <c r="E124" i="73"/>
  <c r="F124" i="73"/>
  <c r="E125" i="73"/>
  <c r="F125" i="73"/>
  <c r="E126" i="73"/>
  <c r="F126" i="73"/>
  <c r="E127" i="73"/>
  <c r="F127" i="73"/>
  <c r="E128" i="73"/>
  <c r="F128" i="73"/>
  <c r="E129" i="73"/>
  <c r="F129" i="73"/>
  <c r="E130" i="73"/>
  <c r="F130" i="73"/>
  <c r="F121" i="73"/>
  <c r="E121" i="73"/>
  <c r="E111" i="73"/>
  <c r="F111" i="73"/>
  <c r="E112" i="73"/>
  <c r="F112" i="73"/>
  <c r="E113" i="73"/>
  <c r="F113" i="73"/>
  <c r="E114" i="73"/>
  <c r="F114" i="73"/>
  <c r="E115" i="73"/>
  <c r="F115" i="73"/>
  <c r="E116" i="73"/>
  <c r="F116" i="73"/>
  <c r="E117" i="73"/>
  <c r="F117" i="73"/>
  <c r="E118" i="73"/>
  <c r="F118" i="73"/>
  <c r="E119" i="73"/>
  <c r="F119" i="73"/>
  <c r="F110" i="73"/>
  <c r="E110" i="73"/>
  <c r="E100" i="73"/>
  <c r="F100" i="73"/>
  <c r="E101" i="73"/>
  <c r="F101" i="73"/>
  <c r="E102" i="73"/>
  <c r="F102" i="73"/>
  <c r="E103" i="73"/>
  <c r="F103" i="73"/>
  <c r="E104" i="73"/>
  <c r="F104" i="73"/>
  <c r="E105" i="73"/>
  <c r="F105" i="73"/>
  <c r="E106" i="73"/>
  <c r="F106" i="73"/>
  <c r="E107" i="73"/>
  <c r="F107" i="73"/>
  <c r="E108" i="73"/>
  <c r="F108" i="73"/>
  <c r="F99" i="73"/>
  <c r="E99" i="73"/>
  <c r="E89" i="73"/>
  <c r="F89" i="73"/>
  <c r="E90" i="73"/>
  <c r="F90" i="73"/>
  <c r="E91" i="73"/>
  <c r="F91" i="73"/>
  <c r="E92" i="73"/>
  <c r="F92" i="73"/>
  <c r="E93" i="73"/>
  <c r="F93" i="73"/>
  <c r="E94" i="73"/>
  <c r="F94" i="73"/>
  <c r="E95" i="73"/>
  <c r="F95" i="73"/>
  <c r="E96" i="73"/>
  <c r="F96" i="73"/>
  <c r="E97" i="73"/>
  <c r="F97" i="73"/>
  <c r="F88" i="73"/>
  <c r="E88" i="73"/>
  <c r="E78" i="73"/>
  <c r="F78" i="73"/>
  <c r="E79" i="73"/>
  <c r="F79" i="73"/>
  <c r="E80" i="73"/>
  <c r="F80" i="73"/>
  <c r="E81" i="73"/>
  <c r="F81" i="73"/>
  <c r="E82" i="73"/>
  <c r="F82" i="73"/>
  <c r="E83" i="73"/>
  <c r="F83" i="73"/>
  <c r="E84" i="73"/>
  <c r="F84" i="73"/>
  <c r="E85" i="73"/>
  <c r="F85" i="73"/>
  <c r="E86" i="73"/>
  <c r="F86" i="73"/>
  <c r="F77" i="73"/>
  <c r="E77" i="73"/>
  <c r="E67" i="73"/>
  <c r="F67" i="73"/>
  <c r="E68" i="73"/>
  <c r="F68" i="73"/>
  <c r="E69" i="73"/>
  <c r="F69" i="73"/>
  <c r="E70" i="73"/>
  <c r="F70" i="73"/>
  <c r="E71" i="73"/>
  <c r="F71" i="73"/>
  <c r="E72" i="73"/>
  <c r="F72" i="73"/>
  <c r="E73" i="73"/>
  <c r="F73" i="73"/>
  <c r="E74" i="73"/>
  <c r="F74" i="73"/>
  <c r="E75" i="73"/>
  <c r="F75" i="73"/>
  <c r="F66" i="73"/>
  <c r="E66" i="73"/>
  <c r="E56" i="73"/>
  <c r="F56" i="73"/>
  <c r="E57" i="73"/>
  <c r="F57" i="73"/>
  <c r="E58" i="73"/>
  <c r="F58" i="73"/>
  <c r="E59" i="73"/>
  <c r="F59" i="73"/>
  <c r="E60" i="73"/>
  <c r="F60" i="73"/>
  <c r="E61" i="73"/>
  <c r="F61" i="73"/>
  <c r="E62" i="73"/>
  <c r="F62" i="73"/>
  <c r="E63" i="73"/>
  <c r="F63" i="73"/>
  <c r="E64" i="73"/>
  <c r="F64" i="73"/>
  <c r="F55" i="73"/>
  <c r="E55" i="73"/>
  <c r="E45" i="73"/>
  <c r="F45" i="73"/>
  <c r="E46" i="73"/>
  <c r="F46" i="73"/>
  <c r="E47" i="73"/>
  <c r="F47" i="73"/>
  <c r="E48" i="73"/>
  <c r="F48" i="73"/>
  <c r="E49" i="73"/>
  <c r="F49" i="73"/>
  <c r="E50" i="73"/>
  <c r="F50" i="73"/>
  <c r="E51" i="73"/>
  <c r="F51" i="73"/>
  <c r="E52" i="73"/>
  <c r="F52" i="73"/>
  <c r="E53" i="73"/>
  <c r="F53" i="73"/>
  <c r="F44" i="73"/>
  <c r="E44" i="73"/>
  <c r="E133" i="71"/>
  <c r="F133" i="71"/>
  <c r="E134" i="71"/>
  <c r="F134" i="71"/>
  <c r="E135" i="71"/>
  <c r="F135" i="71"/>
  <c r="E136" i="71"/>
  <c r="F136" i="71"/>
  <c r="E137" i="71"/>
  <c r="F137" i="71"/>
  <c r="E138" i="71"/>
  <c r="F138" i="71"/>
  <c r="E139" i="71"/>
  <c r="F139" i="71"/>
  <c r="E140" i="71"/>
  <c r="F140" i="71"/>
  <c r="E141" i="71"/>
  <c r="F141" i="71"/>
  <c r="F132" i="71"/>
  <c r="E132" i="71"/>
  <c r="E122" i="71"/>
  <c r="F122" i="71"/>
  <c r="E123" i="71"/>
  <c r="F123" i="71"/>
  <c r="E124" i="71"/>
  <c r="F124" i="71"/>
  <c r="E125" i="71"/>
  <c r="F125" i="71"/>
  <c r="E126" i="71"/>
  <c r="F126" i="71"/>
  <c r="E127" i="71"/>
  <c r="F127" i="71"/>
  <c r="E128" i="71"/>
  <c r="F128" i="71"/>
  <c r="E129" i="71"/>
  <c r="F129" i="71"/>
  <c r="E130" i="71"/>
  <c r="F130" i="71"/>
  <c r="F121" i="71"/>
  <c r="E121" i="71"/>
  <c r="E111" i="71"/>
  <c r="F111" i="71"/>
  <c r="E112" i="71"/>
  <c r="F112" i="71"/>
  <c r="E113" i="71"/>
  <c r="F113" i="71"/>
  <c r="E114" i="71"/>
  <c r="F114" i="71"/>
  <c r="E115" i="71"/>
  <c r="F115" i="71"/>
  <c r="E116" i="71"/>
  <c r="F116" i="71"/>
  <c r="E117" i="71"/>
  <c r="F117" i="71"/>
  <c r="E118" i="71"/>
  <c r="F118" i="71"/>
  <c r="E119" i="71"/>
  <c r="F119" i="71"/>
  <c r="F110" i="71"/>
  <c r="E110" i="71"/>
  <c r="E100" i="71"/>
  <c r="F100" i="71"/>
  <c r="E101" i="71"/>
  <c r="F101" i="71"/>
  <c r="E102" i="71"/>
  <c r="F102" i="71"/>
  <c r="E103" i="71"/>
  <c r="F103" i="71"/>
  <c r="E104" i="71"/>
  <c r="F104" i="71"/>
  <c r="E105" i="71"/>
  <c r="F105" i="71"/>
  <c r="E106" i="71"/>
  <c r="F106" i="71"/>
  <c r="E107" i="71"/>
  <c r="F107" i="71"/>
  <c r="E108" i="71"/>
  <c r="F108" i="71"/>
  <c r="F99" i="71"/>
  <c r="E99" i="71"/>
  <c r="E89" i="71"/>
  <c r="F89" i="71"/>
  <c r="E90" i="71"/>
  <c r="F90" i="71"/>
  <c r="E91" i="71"/>
  <c r="F91" i="71"/>
  <c r="E92" i="71"/>
  <c r="F92" i="71"/>
  <c r="E93" i="71"/>
  <c r="F93" i="71"/>
  <c r="E94" i="71"/>
  <c r="F94" i="71"/>
  <c r="E95" i="71"/>
  <c r="F95" i="71"/>
  <c r="E96" i="71"/>
  <c r="F96" i="71"/>
  <c r="E97" i="71"/>
  <c r="F97" i="71"/>
  <c r="F88" i="71"/>
  <c r="E88" i="71"/>
  <c r="E78" i="71"/>
  <c r="F78" i="71"/>
  <c r="E79" i="71"/>
  <c r="F79" i="71"/>
  <c r="E80" i="71"/>
  <c r="F80" i="71"/>
  <c r="E81" i="71"/>
  <c r="F81" i="71"/>
  <c r="E82" i="71"/>
  <c r="F82" i="71"/>
  <c r="E83" i="71"/>
  <c r="F83" i="71"/>
  <c r="E84" i="71"/>
  <c r="F84" i="71"/>
  <c r="E85" i="71"/>
  <c r="F85" i="71"/>
  <c r="E86" i="71"/>
  <c r="F86" i="71"/>
  <c r="F77" i="71"/>
  <c r="E77" i="71"/>
  <c r="E67" i="71"/>
  <c r="F67" i="71"/>
  <c r="E68" i="71"/>
  <c r="F68" i="71"/>
  <c r="E69" i="71"/>
  <c r="F69" i="71"/>
  <c r="E70" i="71"/>
  <c r="F70" i="71"/>
  <c r="E71" i="71"/>
  <c r="F71" i="71"/>
  <c r="E72" i="71"/>
  <c r="F72" i="71"/>
  <c r="E73" i="71"/>
  <c r="F73" i="71"/>
  <c r="E74" i="71"/>
  <c r="F74" i="71"/>
  <c r="E75" i="71"/>
  <c r="F75" i="71"/>
  <c r="F66" i="71"/>
  <c r="E66" i="71"/>
  <c r="F55" i="71"/>
  <c r="E55" i="71"/>
  <c r="H128" i="74" l="1"/>
  <c r="G124" i="74"/>
  <c r="G126" i="74"/>
  <c r="H125" i="74"/>
  <c r="H129" i="74"/>
  <c r="G122" i="74"/>
  <c r="G130" i="74"/>
  <c r="H127" i="74"/>
  <c r="G123" i="74"/>
  <c r="D75" i="51"/>
  <c r="F75" i="51" s="1"/>
  <c r="D74" i="51"/>
  <c r="F74" i="51" s="1"/>
  <c r="D73" i="51"/>
  <c r="D72" i="51"/>
  <c r="D71" i="51"/>
  <c r="D70" i="51"/>
  <c r="D69" i="51"/>
  <c r="D76" i="51" l="1"/>
  <c r="F76" i="51" s="1"/>
  <c r="H77" i="70"/>
  <c r="D77" i="70"/>
  <c r="F22" i="71" l="1"/>
  <c r="F22" i="73"/>
  <c r="F22" i="74"/>
  <c r="F22" i="76"/>
  <c r="F22" i="75"/>
  <c r="G50" i="93" l="1"/>
  <c r="G32" i="39"/>
  <c r="G50" i="97" l="1"/>
  <c r="NO3" i="4" l="1"/>
  <c r="NR3" i="4"/>
  <c r="NU3" i="4"/>
  <c r="NX3" i="4"/>
  <c r="OA3" i="4"/>
  <c r="NO4" i="4"/>
  <c r="NR4" i="4"/>
  <c r="NU4" i="4"/>
  <c r="NX4" i="4"/>
  <c r="OA4" i="4"/>
  <c r="NO5" i="4"/>
  <c r="NR5" i="4"/>
  <c r="NU5" i="4"/>
  <c r="NX5" i="4"/>
  <c r="OA5" i="4"/>
  <c r="NO6" i="4"/>
  <c r="NR6" i="4"/>
  <c r="NU6" i="4"/>
  <c r="NX6" i="4"/>
  <c r="OA6" i="4"/>
  <c r="NO7" i="4"/>
  <c r="NR7" i="4"/>
  <c r="NU7" i="4"/>
  <c r="NX7" i="4"/>
  <c r="OA7" i="4"/>
  <c r="NO8" i="4"/>
  <c r="NR8" i="4"/>
  <c r="NU8" i="4"/>
  <c r="NX8" i="4"/>
  <c r="OA8" i="4"/>
  <c r="NO9" i="4"/>
  <c r="NR9" i="4"/>
  <c r="NU9" i="4"/>
  <c r="NX9" i="4"/>
  <c r="OA9" i="4"/>
  <c r="NO10" i="4"/>
  <c r="NR10" i="4"/>
  <c r="NU10" i="4"/>
  <c r="NX10" i="4"/>
  <c r="OA10" i="4"/>
  <c r="NO11" i="4"/>
  <c r="NR11" i="4"/>
  <c r="NU11" i="4"/>
  <c r="NX11" i="4"/>
  <c r="OA11" i="4"/>
  <c r="NO12" i="4"/>
  <c r="NR12" i="4"/>
  <c r="NU12" i="4"/>
  <c r="NX12" i="4"/>
  <c r="OA12" i="4"/>
  <c r="NO13" i="4"/>
  <c r="NR13" i="4"/>
  <c r="NU13" i="4"/>
  <c r="NX13" i="4"/>
  <c r="OA13" i="4"/>
  <c r="NO14" i="4"/>
  <c r="NR14" i="4"/>
  <c r="NU14" i="4"/>
  <c r="NX14" i="4"/>
  <c r="OA14" i="4"/>
  <c r="NO15" i="4"/>
  <c r="NR15" i="4"/>
  <c r="NU15" i="4"/>
  <c r="NX15" i="4"/>
  <c r="OA15" i="4"/>
  <c r="NO16" i="4"/>
  <c r="NR16" i="4"/>
  <c r="NU16" i="4"/>
  <c r="NX16" i="4"/>
  <c r="OA16" i="4"/>
  <c r="NO17" i="4"/>
  <c r="NR17" i="4"/>
  <c r="NU17" i="4"/>
  <c r="NX17" i="4"/>
  <c r="OA17" i="4"/>
  <c r="NO18" i="4"/>
  <c r="NR18" i="4"/>
  <c r="NU18" i="4"/>
  <c r="NX18" i="4"/>
  <c r="OA18" i="4"/>
  <c r="NO19" i="4"/>
  <c r="NR19" i="4"/>
  <c r="NU19" i="4"/>
  <c r="NX19" i="4"/>
  <c r="OA19" i="4"/>
  <c r="NO20" i="4"/>
  <c r="NR20" i="4"/>
  <c r="NU20" i="4"/>
  <c r="NX20" i="4"/>
  <c r="OA20" i="4"/>
  <c r="NO21" i="4"/>
  <c r="NR21" i="4"/>
  <c r="NU21" i="4"/>
  <c r="NX21" i="4"/>
  <c r="OA21" i="4"/>
  <c r="NO22" i="4"/>
  <c r="NR22" i="4"/>
  <c r="NU22" i="4"/>
  <c r="NX22" i="4"/>
  <c r="OA22" i="4"/>
  <c r="NO23" i="4"/>
  <c r="NR23" i="4"/>
  <c r="NU23" i="4"/>
  <c r="NX23" i="4"/>
  <c r="OA23" i="4"/>
  <c r="NO24" i="4"/>
  <c r="NR24" i="4"/>
  <c r="NU24" i="4"/>
  <c r="NX24" i="4"/>
  <c r="OA24" i="4"/>
  <c r="NO25" i="4"/>
  <c r="NR25" i="4"/>
  <c r="NU25" i="4"/>
  <c r="NX25" i="4"/>
  <c r="OA25" i="4"/>
  <c r="NO26" i="4"/>
  <c r="NR26" i="4"/>
  <c r="NU26" i="4"/>
  <c r="NX26" i="4"/>
  <c r="OA26" i="4"/>
  <c r="NO27" i="4"/>
  <c r="NR27" i="4"/>
  <c r="NU27" i="4"/>
  <c r="NX27" i="4"/>
  <c r="OA27" i="4"/>
  <c r="NO28" i="4"/>
  <c r="NR28" i="4"/>
  <c r="NU28" i="4"/>
  <c r="NX28" i="4"/>
  <c r="OA28" i="4"/>
  <c r="NO29" i="4"/>
  <c r="NR29" i="4"/>
  <c r="NU29" i="4"/>
  <c r="NX29" i="4"/>
  <c r="OA29" i="4"/>
  <c r="NO30" i="4"/>
  <c r="NR30" i="4"/>
  <c r="NU30" i="4"/>
  <c r="NX30" i="4"/>
  <c r="OA30" i="4"/>
  <c r="NO31" i="4"/>
  <c r="NR31" i="4"/>
  <c r="NU31" i="4"/>
  <c r="NX31" i="4"/>
  <c r="OA31" i="4"/>
  <c r="NO32" i="4"/>
  <c r="NR32" i="4"/>
  <c r="NU32" i="4"/>
  <c r="NX32" i="4"/>
  <c r="OA32" i="4"/>
  <c r="NO33" i="4"/>
  <c r="NR33" i="4"/>
  <c r="NU33" i="4"/>
  <c r="NX33" i="4"/>
  <c r="OA33" i="4"/>
  <c r="NO34" i="4"/>
  <c r="NR34" i="4"/>
  <c r="NU34" i="4"/>
  <c r="NX34" i="4"/>
  <c r="OA34" i="4"/>
  <c r="NO35" i="4"/>
  <c r="NR35" i="4"/>
  <c r="NU35" i="4"/>
  <c r="NX35" i="4"/>
  <c r="OA35" i="4"/>
  <c r="NO36" i="4"/>
  <c r="NR36" i="4"/>
  <c r="NU36" i="4"/>
  <c r="NX36" i="4"/>
  <c r="OA36" i="4"/>
  <c r="NO37" i="4"/>
  <c r="NR37" i="4"/>
  <c r="NU37" i="4"/>
  <c r="NX37" i="4"/>
  <c r="OA37" i="4"/>
  <c r="NO38" i="4"/>
  <c r="NR38" i="4"/>
  <c r="NU38" i="4"/>
  <c r="NX38" i="4"/>
  <c r="OA38" i="4"/>
  <c r="NO39" i="4"/>
  <c r="NR39" i="4"/>
  <c r="NU39" i="4"/>
  <c r="NX39" i="4"/>
  <c r="OA39" i="4"/>
  <c r="NO40" i="4"/>
  <c r="NR40" i="4"/>
  <c r="NU40" i="4"/>
  <c r="NX40" i="4"/>
  <c r="OA40" i="4"/>
  <c r="NO41" i="4"/>
  <c r="NR41" i="4"/>
  <c r="NU41" i="4"/>
  <c r="NX41" i="4"/>
  <c r="OA41" i="4"/>
  <c r="NO42" i="4"/>
  <c r="NR42" i="4"/>
  <c r="NU42" i="4"/>
  <c r="NX42" i="4"/>
  <c r="OA42" i="4"/>
  <c r="NO43" i="4"/>
  <c r="NR43" i="4"/>
  <c r="NU43" i="4"/>
  <c r="NX43" i="4"/>
  <c r="OA43" i="4"/>
  <c r="NO44" i="4"/>
  <c r="NR44" i="4"/>
  <c r="NU44" i="4"/>
  <c r="NX44" i="4"/>
  <c r="OA44" i="4"/>
  <c r="NO45" i="4"/>
  <c r="NR45" i="4"/>
  <c r="NU45" i="4"/>
  <c r="NX45" i="4"/>
  <c r="OA45" i="4"/>
  <c r="NO46" i="4"/>
  <c r="NR46" i="4"/>
  <c r="NU46" i="4"/>
  <c r="NX46" i="4"/>
  <c r="OA46" i="4"/>
  <c r="NO47" i="4"/>
  <c r="NR47" i="4"/>
  <c r="NU47" i="4"/>
  <c r="NX47" i="4"/>
  <c r="OA47" i="4"/>
  <c r="NO48" i="4"/>
  <c r="NR48" i="4"/>
  <c r="NU48" i="4"/>
  <c r="NX48" i="4"/>
  <c r="OA48" i="4"/>
  <c r="NO49" i="4"/>
  <c r="NR49" i="4"/>
  <c r="NU49" i="4"/>
  <c r="NX49" i="4"/>
  <c r="OA49" i="4"/>
  <c r="NO50" i="4"/>
  <c r="NR50" i="4"/>
  <c r="NU50" i="4"/>
  <c r="NX50" i="4"/>
  <c r="OA50" i="4"/>
  <c r="NO51" i="4"/>
  <c r="NR51" i="4"/>
  <c r="NU51" i="4"/>
  <c r="NX51" i="4"/>
  <c r="OA51" i="4"/>
  <c r="NO52" i="4"/>
  <c r="NR52" i="4"/>
  <c r="NU52" i="4"/>
  <c r="NX52" i="4"/>
  <c r="OA52" i="4"/>
  <c r="NO53" i="4"/>
  <c r="NR53" i="4"/>
  <c r="NU53" i="4"/>
  <c r="NX53" i="4"/>
  <c r="OA53" i="4"/>
  <c r="NO54" i="4"/>
  <c r="NR54" i="4"/>
  <c r="NU54" i="4"/>
  <c r="NX54" i="4"/>
  <c r="OA54" i="4"/>
  <c r="NO55" i="4"/>
  <c r="NR55" i="4"/>
  <c r="NU55" i="4"/>
  <c r="NX55" i="4"/>
  <c r="OA55" i="4"/>
  <c r="NO56" i="4"/>
  <c r="NR56" i="4"/>
  <c r="NU56" i="4"/>
  <c r="NX56" i="4"/>
  <c r="OA56" i="4"/>
  <c r="NO57" i="4"/>
  <c r="NR57" i="4"/>
  <c r="NU57" i="4"/>
  <c r="NX57" i="4"/>
  <c r="OA57" i="4"/>
  <c r="NO58" i="4"/>
  <c r="NR58" i="4"/>
  <c r="NU58" i="4"/>
  <c r="NX58" i="4"/>
  <c r="OA58" i="4"/>
  <c r="NO59" i="4"/>
  <c r="NR59" i="4"/>
  <c r="NU59" i="4"/>
  <c r="NX59" i="4"/>
  <c r="OA59" i="4"/>
  <c r="NO60" i="4"/>
  <c r="NR60" i="4"/>
  <c r="NU60" i="4"/>
  <c r="NX60" i="4"/>
  <c r="OA60" i="4"/>
  <c r="NO61" i="4"/>
  <c r="NR61" i="4"/>
  <c r="NU61" i="4"/>
  <c r="NX61" i="4"/>
  <c r="OA61" i="4"/>
  <c r="NO62" i="4"/>
  <c r="NR62" i="4"/>
  <c r="NU62" i="4"/>
  <c r="NX62" i="4"/>
  <c r="OA62" i="4"/>
  <c r="NO63" i="4"/>
  <c r="NR63" i="4"/>
  <c r="NU63" i="4"/>
  <c r="NX63" i="4"/>
  <c r="OA63" i="4"/>
  <c r="NO64" i="4"/>
  <c r="NR64" i="4"/>
  <c r="NU64" i="4"/>
  <c r="NX64" i="4"/>
  <c r="OA64" i="4"/>
  <c r="NO65" i="4"/>
  <c r="NR65" i="4"/>
  <c r="NU65" i="4"/>
  <c r="NX65" i="4"/>
  <c r="OA65" i="4"/>
  <c r="NO66" i="4"/>
  <c r="NR66" i="4"/>
  <c r="NU66" i="4"/>
  <c r="NX66" i="4"/>
  <c r="OA66" i="4"/>
  <c r="NO67" i="4"/>
  <c r="NR67" i="4"/>
  <c r="NU67" i="4"/>
  <c r="NX67" i="4"/>
  <c r="OA67" i="4"/>
  <c r="NO68" i="4"/>
  <c r="NR68" i="4"/>
  <c r="NU68" i="4"/>
  <c r="NX68" i="4"/>
  <c r="OA68" i="4"/>
  <c r="NO69" i="4"/>
  <c r="NR69" i="4"/>
  <c r="NU69" i="4"/>
  <c r="NX69" i="4"/>
  <c r="OA69" i="4"/>
  <c r="NO70" i="4"/>
  <c r="NR70" i="4"/>
  <c r="NU70" i="4"/>
  <c r="NX70" i="4"/>
  <c r="OA70" i="4"/>
  <c r="NO71" i="4"/>
  <c r="NR71" i="4"/>
  <c r="NU71" i="4"/>
  <c r="NX71" i="4"/>
  <c r="OA71" i="4"/>
  <c r="NO72" i="4"/>
  <c r="NR72" i="4"/>
  <c r="NU72" i="4"/>
  <c r="NX72" i="4"/>
  <c r="OA72" i="4"/>
  <c r="NO73" i="4"/>
  <c r="NR73" i="4"/>
  <c r="NU73" i="4"/>
  <c r="NX73" i="4"/>
  <c r="OA73" i="4"/>
  <c r="NO74" i="4"/>
  <c r="NR74" i="4"/>
  <c r="NU74" i="4"/>
  <c r="NX74" i="4"/>
  <c r="OA74" i="4"/>
  <c r="NO75" i="4"/>
  <c r="NR75" i="4"/>
  <c r="NU75" i="4"/>
  <c r="NX75" i="4"/>
  <c r="OA75" i="4"/>
  <c r="NO76" i="4"/>
  <c r="NR76" i="4"/>
  <c r="NU76" i="4"/>
  <c r="NX76" i="4"/>
  <c r="OA76" i="4"/>
  <c r="NO77" i="4"/>
  <c r="NR77" i="4"/>
  <c r="NU77" i="4"/>
  <c r="NX77" i="4"/>
  <c r="OA77" i="4"/>
  <c r="NO78" i="4"/>
  <c r="NR78" i="4"/>
  <c r="NU78" i="4"/>
  <c r="NX78" i="4"/>
  <c r="OA78" i="4"/>
  <c r="NO79" i="4"/>
  <c r="NR79" i="4"/>
  <c r="NU79" i="4"/>
  <c r="NX79" i="4"/>
  <c r="OA79" i="4"/>
  <c r="NO80" i="4"/>
  <c r="NR80" i="4"/>
  <c r="NU80" i="4"/>
  <c r="NX80" i="4"/>
  <c r="OA80" i="4"/>
  <c r="NO81" i="4"/>
  <c r="NR81" i="4"/>
  <c r="NU81" i="4"/>
  <c r="NX81" i="4"/>
  <c r="OA81" i="4"/>
  <c r="NO82" i="4"/>
  <c r="NR82" i="4"/>
  <c r="NU82" i="4"/>
  <c r="NX82" i="4"/>
  <c r="OA82" i="4"/>
  <c r="NO83" i="4"/>
  <c r="NR83" i="4"/>
  <c r="NU83" i="4"/>
  <c r="NX83" i="4"/>
  <c r="OA83" i="4"/>
  <c r="NO84" i="4"/>
  <c r="NR84" i="4"/>
  <c r="NU84" i="4"/>
  <c r="NX84" i="4"/>
  <c r="OA84" i="4"/>
  <c r="NO85" i="4"/>
  <c r="NR85" i="4"/>
  <c r="NU85" i="4"/>
  <c r="NX85" i="4"/>
  <c r="OA85" i="4"/>
  <c r="NO86" i="4"/>
  <c r="NR86" i="4"/>
  <c r="NU86" i="4"/>
  <c r="NX86" i="4"/>
  <c r="OA86" i="4"/>
  <c r="NO87" i="4"/>
  <c r="NR87" i="4"/>
  <c r="NU87" i="4"/>
  <c r="NX87" i="4"/>
  <c r="OA87" i="4"/>
  <c r="NO88" i="4"/>
  <c r="NR88" i="4"/>
  <c r="NU88" i="4"/>
  <c r="NX88" i="4"/>
  <c r="OA88" i="4"/>
  <c r="NO89" i="4"/>
  <c r="NR89" i="4"/>
  <c r="NU89" i="4"/>
  <c r="NX89" i="4"/>
  <c r="OA89" i="4"/>
  <c r="NO90" i="4"/>
  <c r="NR90" i="4"/>
  <c r="NU90" i="4"/>
  <c r="NX90" i="4"/>
  <c r="OA90" i="4"/>
  <c r="NO91" i="4"/>
  <c r="NR91" i="4"/>
  <c r="NU91" i="4"/>
  <c r="NX91" i="4"/>
  <c r="OA91" i="4"/>
  <c r="NO92" i="4"/>
  <c r="NR92" i="4"/>
  <c r="NU92" i="4"/>
  <c r="NX92" i="4"/>
  <c r="OA92" i="4"/>
  <c r="NO93" i="4"/>
  <c r="NR93" i="4"/>
  <c r="NU93" i="4"/>
  <c r="NX93" i="4"/>
  <c r="OA93" i="4"/>
  <c r="NO94" i="4"/>
  <c r="NR94" i="4"/>
  <c r="NU94" i="4"/>
  <c r="NX94" i="4"/>
  <c r="OA94" i="4"/>
  <c r="NO95" i="4"/>
  <c r="NR95" i="4"/>
  <c r="NU95" i="4"/>
  <c r="NX95" i="4"/>
  <c r="OA95" i="4"/>
  <c r="NO96" i="4"/>
  <c r="NR96" i="4"/>
  <c r="NU96" i="4"/>
  <c r="NX96" i="4"/>
  <c r="OA96" i="4"/>
  <c r="NO97" i="4"/>
  <c r="NR97" i="4"/>
  <c r="NU97" i="4"/>
  <c r="NX97" i="4"/>
  <c r="OA97" i="4"/>
  <c r="NO98" i="4"/>
  <c r="NR98" i="4"/>
  <c r="NU98" i="4"/>
  <c r="NX98" i="4"/>
  <c r="OA98" i="4"/>
  <c r="NO99" i="4"/>
  <c r="NR99" i="4"/>
  <c r="NU99" i="4"/>
  <c r="NX99" i="4"/>
  <c r="OA99" i="4"/>
  <c r="NO100" i="4"/>
  <c r="NR100" i="4"/>
  <c r="NU100" i="4"/>
  <c r="NX100" i="4"/>
  <c r="OA100" i="4"/>
  <c r="NO101" i="4"/>
  <c r="NR101" i="4"/>
  <c r="NU101" i="4"/>
  <c r="NX101" i="4"/>
  <c r="OA101" i="4"/>
  <c r="NO102" i="4"/>
  <c r="NR102" i="4"/>
  <c r="NU102" i="4"/>
  <c r="NX102" i="4"/>
  <c r="OA102" i="4"/>
  <c r="NO103" i="4"/>
  <c r="NR103" i="4"/>
  <c r="NU103" i="4"/>
  <c r="NX103" i="4"/>
  <c r="OA103" i="4"/>
  <c r="NO104" i="4"/>
  <c r="NR104" i="4"/>
  <c r="NU104" i="4"/>
  <c r="NX104" i="4"/>
  <c r="OA104" i="4"/>
  <c r="NO105" i="4"/>
  <c r="NR105" i="4"/>
  <c r="NU105" i="4"/>
  <c r="NX105" i="4"/>
  <c r="OA105" i="4"/>
  <c r="NO106" i="4"/>
  <c r="NR106" i="4"/>
  <c r="NU106" i="4"/>
  <c r="NX106" i="4"/>
  <c r="OA106" i="4"/>
  <c r="NO107" i="4"/>
  <c r="NR107" i="4"/>
  <c r="NU107" i="4"/>
  <c r="NX107" i="4"/>
  <c r="OA107" i="4"/>
  <c r="NO108" i="4"/>
  <c r="NR108" i="4"/>
  <c r="NU108" i="4"/>
  <c r="NX108" i="4"/>
  <c r="OA108" i="4"/>
  <c r="NO109" i="4"/>
  <c r="NR109" i="4"/>
  <c r="NU109" i="4"/>
  <c r="NX109" i="4"/>
  <c r="OA109" i="4"/>
  <c r="NO110" i="4"/>
  <c r="NR110" i="4"/>
  <c r="NU110" i="4"/>
  <c r="NX110" i="4"/>
  <c r="OA110" i="4"/>
  <c r="NO111" i="4"/>
  <c r="NR111" i="4"/>
  <c r="NU111" i="4"/>
  <c r="NX111" i="4"/>
  <c r="OA111" i="4"/>
  <c r="F108" i="104" l="1"/>
  <c r="F103" i="95"/>
  <c r="I27" i="77" l="1"/>
  <c r="I27" i="80"/>
  <c r="J27" i="80"/>
  <c r="P6" i="4" l="1"/>
  <c r="P7" i="4"/>
  <c r="P8" i="4"/>
  <c r="O2" i="4"/>
  <c r="Q2" i="4" s="1"/>
  <c r="T7" i="4"/>
  <c r="T6" i="4"/>
  <c r="T5" i="4"/>
  <c r="T4" i="4"/>
  <c r="T3" i="4"/>
  <c r="T2" i="4"/>
  <c r="S2" i="4" s="1"/>
  <c r="K2" i="4"/>
  <c r="M2" i="4" s="1"/>
  <c r="P5" i="4"/>
  <c r="P4" i="4"/>
  <c r="P3" i="4"/>
  <c r="L3" i="4"/>
  <c r="L6" i="4"/>
  <c r="L5" i="4"/>
  <c r="L4" i="4"/>
  <c r="S3" i="4" l="1"/>
  <c r="S4" i="4" s="1"/>
  <c r="S5" i="4" s="1"/>
  <c r="O3" i="4"/>
  <c r="K3" i="4"/>
  <c r="I27" i="72"/>
  <c r="J27" i="72"/>
  <c r="F20" i="75"/>
  <c r="F20" i="76"/>
  <c r="F20" i="74"/>
  <c r="F20" i="73"/>
  <c r="F20" i="71"/>
  <c r="O4" i="4" l="1"/>
  <c r="O5" i="4" s="1"/>
  <c r="O6" i="4" s="1"/>
  <c r="S6" i="4"/>
  <c r="S7" i="4" s="1"/>
  <c r="K4" i="4"/>
  <c r="Y38" i="70"/>
  <c r="Y75" i="70" s="1"/>
  <c r="Y39" i="70"/>
  <c r="Y76" i="70" s="1"/>
  <c r="Y37" i="70"/>
  <c r="Y74" i="70" s="1"/>
  <c r="Y36" i="70"/>
  <c r="Y73" i="70" s="1"/>
  <c r="Y35" i="70"/>
  <c r="Y72" i="70" s="1"/>
  <c r="Y34" i="70"/>
  <c r="Y71" i="70" s="1"/>
  <c r="Y32" i="70"/>
  <c r="Y69" i="70" s="1"/>
  <c r="Y33" i="70"/>
  <c r="Y70" i="70" s="1"/>
  <c r="Y31" i="70"/>
  <c r="Y68" i="70" s="1"/>
  <c r="Y28" i="70"/>
  <c r="Y65" i="70" s="1"/>
  <c r="Y29" i="70"/>
  <c r="Y66" i="70" s="1"/>
  <c r="Y30" i="70"/>
  <c r="Y67" i="70" s="1"/>
  <c r="Y27" i="70"/>
  <c r="Y64" i="70" s="1"/>
  <c r="Y23" i="70"/>
  <c r="Y60" i="70" s="1"/>
  <c r="Y24" i="70"/>
  <c r="Y61" i="70" s="1"/>
  <c r="Y25" i="70"/>
  <c r="Y62" i="70" s="1"/>
  <c r="Y26" i="70"/>
  <c r="Y63" i="70" s="1"/>
  <c r="Y22" i="70"/>
  <c r="Y59" i="70" s="1"/>
  <c r="Y21" i="70"/>
  <c r="Y58" i="70" s="1"/>
  <c r="Y18" i="70"/>
  <c r="Y55" i="70" s="1"/>
  <c r="Y15" i="70"/>
  <c r="Y52" i="70" s="1"/>
  <c r="Y12" i="70"/>
  <c r="Y49" i="70" s="1"/>
  <c r="Y11" i="70"/>
  <c r="Y48" i="70" s="1"/>
  <c r="Y8" i="70"/>
  <c r="Y45" i="70" s="1"/>
  <c r="Y20" i="70"/>
  <c r="Y57" i="70" s="1"/>
  <c r="Y17" i="70"/>
  <c r="Y54" i="70" s="1"/>
  <c r="Y14" i="70"/>
  <c r="Y51" i="70" s="1"/>
  <c r="Y9" i="70"/>
  <c r="Y46" i="70" s="1"/>
  <c r="Y19" i="70"/>
  <c r="Y56" i="70" s="1"/>
  <c r="Y16" i="70"/>
  <c r="Y53" i="70" s="1"/>
  <c r="Y13" i="70"/>
  <c r="Y50" i="70" s="1"/>
  <c r="Y10" i="70"/>
  <c r="Y47" i="70" s="1"/>
  <c r="Y7" i="70"/>
  <c r="Y44" i="70" s="1"/>
  <c r="U5" i="4" l="1"/>
  <c r="U3" i="4"/>
  <c r="U4" i="4"/>
  <c r="U2" i="4"/>
  <c r="U7" i="4"/>
  <c r="U6" i="4"/>
  <c r="O7" i="4"/>
  <c r="K5" i="4"/>
  <c r="NO2" i="4"/>
  <c r="D225" i="95"/>
  <c r="E225" i="95"/>
  <c r="D226" i="95"/>
  <c r="E226" i="95"/>
  <c r="D227" i="95"/>
  <c r="E227" i="95"/>
  <c r="D228" i="95"/>
  <c r="E228" i="95"/>
  <c r="D229" i="95"/>
  <c r="E229" i="95"/>
  <c r="D230" i="95"/>
  <c r="E230" i="95"/>
  <c r="D231" i="95"/>
  <c r="E231" i="95"/>
  <c r="D232" i="95"/>
  <c r="E232" i="95"/>
  <c r="D233" i="95"/>
  <c r="E233" i="95"/>
  <c r="D234" i="95"/>
  <c r="E234" i="95"/>
  <c r="D235" i="95"/>
  <c r="E235" i="95"/>
  <c r="D236" i="95"/>
  <c r="E236" i="95"/>
  <c r="D237" i="95"/>
  <c r="E237" i="95"/>
  <c r="D238" i="95"/>
  <c r="E238" i="95"/>
  <c r="D239" i="95"/>
  <c r="E239" i="95"/>
  <c r="D240" i="95"/>
  <c r="E240" i="95"/>
  <c r="D241" i="95"/>
  <c r="E241" i="95"/>
  <c r="D242" i="95"/>
  <c r="E242" i="95"/>
  <c r="D243" i="95"/>
  <c r="E243" i="95"/>
  <c r="D244" i="95"/>
  <c r="E244" i="95"/>
  <c r="D245" i="95"/>
  <c r="E245" i="95"/>
  <c r="D246" i="95"/>
  <c r="E246" i="95"/>
  <c r="D247" i="95"/>
  <c r="E247" i="95"/>
  <c r="D248" i="95"/>
  <c r="E248" i="95"/>
  <c r="D249" i="95"/>
  <c r="E249" i="95"/>
  <c r="D250" i="95"/>
  <c r="E250" i="95"/>
  <c r="D251" i="95"/>
  <c r="E251" i="95"/>
  <c r="D252" i="95"/>
  <c r="E252" i="95"/>
  <c r="D253" i="95"/>
  <c r="E253" i="95"/>
  <c r="D254" i="95"/>
  <c r="E254" i="95"/>
  <c r="D255" i="95"/>
  <c r="E255" i="95"/>
  <c r="D256" i="95"/>
  <c r="E256" i="95"/>
  <c r="D257" i="95"/>
  <c r="E257" i="95"/>
  <c r="D258" i="95"/>
  <c r="E258" i="95"/>
  <c r="D259" i="95"/>
  <c r="E259" i="95"/>
  <c r="D260" i="95"/>
  <c r="E260" i="95"/>
  <c r="D261" i="95"/>
  <c r="E261" i="95"/>
  <c r="D262" i="95"/>
  <c r="E262" i="95"/>
  <c r="D263" i="95"/>
  <c r="E263" i="95"/>
  <c r="D264" i="95"/>
  <c r="E264" i="95"/>
  <c r="D265" i="95"/>
  <c r="E265" i="95"/>
  <c r="D266" i="95"/>
  <c r="E266" i="95"/>
  <c r="D267" i="95"/>
  <c r="E267" i="95"/>
  <c r="D268" i="95"/>
  <c r="E268" i="95"/>
  <c r="D269" i="95"/>
  <c r="E269" i="95"/>
  <c r="D270" i="95"/>
  <c r="E270" i="95"/>
  <c r="D271" i="95"/>
  <c r="E271" i="95"/>
  <c r="D272" i="95"/>
  <c r="E272" i="95"/>
  <c r="D273" i="95"/>
  <c r="E273" i="95"/>
  <c r="D274" i="95"/>
  <c r="E274" i="95"/>
  <c r="D275" i="95"/>
  <c r="E275" i="95"/>
  <c r="D276" i="95"/>
  <c r="E276" i="95"/>
  <c r="D277" i="95"/>
  <c r="E277" i="95"/>
  <c r="D278" i="95"/>
  <c r="E278" i="95"/>
  <c r="D279" i="95"/>
  <c r="E279" i="95"/>
  <c r="D280" i="95"/>
  <c r="E280" i="95"/>
  <c r="D281" i="95"/>
  <c r="E281" i="95"/>
  <c r="D282" i="95"/>
  <c r="E282" i="95"/>
  <c r="D283" i="95"/>
  <c r="E283" i="95"/>
  <c r="D284" i="95"/>
  <c r="E284" i="95"/>
  <c r="D285" i="95"/>
  <c r="E285" i="95"/>
  <c r="D286" i="95"/>
  <c r="E286" i="95"/>
  <c r="D287" i="95"/>
  <c r="E287" i="95"/>
  <c r="D288" i="95"/>
  <c r="E288" i="95"/>
  <c r="D289" i="95"/>
  <c r="E289" i="95"/>
  <c r="D290" i="95"/>
  <c r="E290" i="95"/>
  <c r="D291" i="95"/>
  <c r="E291" i="95"/>
  <c r="D292" i="95"/>
  <c r="E292" i="95"/>
  <c r="D293" i="95"/>
  <c r="E293" i="95"/>
  <c r="D294" i="95"/>
  <c r="E294" i="95"/>
  <c r="D295" i="95"/>
  <c r="E295" i="95"/>
  <c r="D296" i="95"/>
  <c r="E296" i="95"/>
  <c r="D297" i="95"/>
  <c r="E297" i="95"/>
  <c r="D298" i="95"/>
  <c r="E298" i="95"/>
  <c r="D299" i="95"/>
  <c r="E299" i="95"/>
  <c r="D300" i="95"/>
  <c r="E300" i="95"/>
  <c r="D301" i="95"/>
  <c r="E301" i="95"/>
  <c r="D302" i="95"/>
  <c r="E302" i="95"/>
  <c r="D303" i="95"/>
  <c r="E303" i="95"/>
  <c r="D304" i="95"/>
  <c r="E304" i="95"/>
  <c r="D305" i="95"/>
  <c r="E305" i="95"/>
  <c r="D306" i="95"/>
  <c r="E306" i="95"/>
  <c r="D307" i="95"/>
  <c r="E307" i="95"/>
  <c r="D308" i="95"/>
  <c r="E308" i="95"/>
  <c r="D309" i="95"/>
  <c r="E309" i="95"/>
  <c r="D310" i="95"/>
  <c r="E310" i="95"/>
  <c r="D311" i="95"/>
  <c r="E311" i="95"/>
  <c r="D312" i="95"/>
  <c r="E312" i="95"/>
  <c r="D313" i="95"/>
  <c r="E313" i="95"/>
  <c r="D314" i="95"/>
  <c r="E314" i="95"/>
  <c r="D315" i="95"/>
  <c r="E315" i="95"/>
  <c r="D316" i="95"/>
  <c r="E316" i="95"/>
  <c r="D317" i="95"/>
  <c r="E317" i="95"/>
  <c r="D318" i="95"/>
  <c r="E318" i="95"/>
  <c r="D319" i="95"/>
  <c r="E319" i="95"/>
  <c r="D320" i="95"/>
  <c r="E320" i="95"/>
  <c r="D321" i="95"/>
  <c r="E321" i="95"/>
  <c r="D322" i="95"/>
  <c r="E322" i="95"/>
  <c r="D323" i="95"/>
  <c r="E323" i="95"/>
  <c r="D324" i="95"/>
  <c r="E324" i="95"/>
  <c r="D325" i="95"/>
  <c r="E325" i="95"/>
  <c r="D326" i="95"/>
  <c r="E326" i="95"/>
  <c r="D327" i="95"/>
  <c r="E327" i="95"/>
  <c r="D328" i="95"/>
  <c r="E328" i="95"/>
  <c r="D329" i="95"/>
  <c r="E329" i="95"/>
  <c r="D330" i="95"/>
  <c r="E330" i="95"/>
  <c r="D331" i="95"/>
  <c r="E331" i="95"/>
  <c r="D332" i="95"/>
  <c r="E332" i="95"/>
  <c r="D333" i="95"/>
  <c r="E333" i="95"/>
  <c r="E224" i="95"/>
  <c r="D224" i="95"/>
  <c r="O8" i="4" l="1"/>
  <c r="K6" i="4"/>
  <c r="V124" i="90"/>
  <c r="AB128" i="90"/>
  <c r="AC128" i="90"/>
  <c r="AB129" i="90"/>
  <c r="AC129" i="90"/>
  <c r="AB130" i="90"/>
  <c r="AC130" i="90"/>
  <c r="AB131" i="90"/>
  <c r="AC131" i="90"/>
  <c r="AB132" i="90"/>
  <c r="AC132" i="90"/>
  <c r="AB133" i="90"/>
  <c r="AC133" i="90"/>
  <c r="AB134" i="90"/>
  <c r="AC134" i="90"/>
  <c r="AB135" i="90"/>
  <c r="AC135" i="90"/>
  <c r="AB136" i="90"/>
  <c r="AC136" i="90"/>
  <c r="AB137" i="90"/>
  <c r="AC137" i="90"/>
  <c r="AB138" i="90"/>
  <c r="AC138" i="90"/>
  <c r="AB139" i="90"/>
  <c r="AC139" i="90"/>
  <c r="AB140" i="90"/>
  <c r="AC140" i="90"/>
  <c r="AB141" i="90"/>
  <c r="AC141" i="90"/>
  <c r="AB142" i="90"/>
  <c r="AC142" i="90"/>
  <c r="AB143" i="90"/>
  <c r="AC143" i="90"/>
  <c r="AB144" i="90"/>
  <c r="AC144" i="90"/>
  <c r="AB145" i="90"/>
  <c r="AC145" i="90"/>
  <c r="AB146" i="90"/>
  <c r="AC146" i="90"/>
  <c r="AB147" i="90"/>
  <c r="AC147" i="90"/>
  <c r="AB148" i="90"/>
  <c r="AC148" i="90"/>
  <c r="AB149" i="90"/>
  <c r="AC149" i="90"/>
  <c r="AB150" i="90"/>
  <c r="AC150" i="90"/>
  <c r="AB151" i="90"/>
  <c r="AC151" i="90"/>
  <c r="AB152" i="90"/>
  <c r="AC152" i="90"/>
  <c r="AB153" i="90"/>
  <c r="AC153" i="90"/>
  <c r="AB154" i="90"/>
  <c r="AC154" i="90"/>
  <c r="AB155" i="90"/>
  <c r="AC155" i="90"/>
  <c r="AB156" i="90"/>
  <c r="AC156" i="90"/>
  <c r="AB157" i="90"/>
  <c r="AC157" i="90"/>
  <c r="AB158" i="90"/>
  <c r="AC158" i="90"/>
  <c r="AB159" i="90"/>
  <c r="AC159" i="90"/>
  <c r="AB160" i="90"/>
  <c r="AC160" i="90"/>
  <c r="AB161" i="90"/>
  <c r="AC161" i="90"/>
  <c r="AB162" i="90"/>
  <c r="AC162" i="90"/>
  <c r="AB163" i="90"/>
  <c r="AC163" i="90"/>
  <c r="AB164" i="90"/>
  <c r="AC164" i="90"/>
  <c r="AB165" i="90"/>
  <c r="AC165" i="90"/>
  <c r="AB166" i="90"/>
  <c r="AC166" i="90"/>
  <c r="AB167" i="90"/>
  <c r="AC167" i="90"/>
  <c r="AB168" i="90"/>
  <c r="AC168" i="90"/>
  <c r="AB169" i="90"/>
  <c r="AC169" i="90"/>
  <c r="AB170" i="90"/>
  <c r="AC170" i="90"/>
  <c r="AB171" i="90"/>
  <c r="AC171" i="90"/>
  <c r="AB172" i="90"/>
  <c r="AC172" i="90"/>
  <c r="AB173" i="90"/>
  <c r="AC173" i="90"/>
  <c r="AB174" i="90"/>
  <c r="AC174" i="90"/>
  <c r="AB175" i="90"/>
  <c r="AC175" i="90"/>
  <c r="AB176" i="90"/>
  <c r="AC176" i="90"/>
  <c r="AB177" i="90"/>
  <c r="AC177" i="90"/>
  <c r="AB178" i="90"/>
  <c r="AC178" i="90"/>
  <c r="AB179" i="90"/>
  <c r="AC179" i="90"/>
  <c r="AB180" i="90"/>
  <c r="AC180" i="90"/>
  <c r="AB181" i="90"/>
  <c r="AC181" i="90"/>
  <c r="AB182" i="90"/>
  <c r="AC182" i="90"/>
  <c r="AB183" i="90"/>
  <c r="AC183" i="90"/>
  <c r="AB184" i="90"/>
  <c r="AC184" i="90"/>
  <c r="AB185" i="90"/>
  <c r="AC185" i="90"/>
  <c r="AB186" i="90"/>
  <c r="AC186" i="90"/>
  <c r="AB187" i="90"/>
  <c r="AC187" i="90"/>
  <c r="AB188" i="90"/>
  <c r="AC188" i="90"/>
  <c r="AB189" i="90"/>
  <c r="AC189" i="90"/>
  <c r="AB190" i="90"/>
  <c r="AC190" i="90"/>
  <c r="AB191" i="90"/>
  <c r="AC191" i="90"/>
  <c r="AB192" i="90"/>
  <c r="AC192" i="90"/>
  <c r="AB193" i="90"/>
  <c r="AC193" i="90"/>
  <c r="AB194" i="90"/>
  <c r="AC194" i="90"/>
  <c r="AB195" i="90"/>
  <c r="AC195" i="90"/>
  <c r="AB196" i="90"/>
  <c r="AC196" i="90"/>
  <c r="AB197" i="90"/>
  <c r="AC197" i="90"/>
  <c r="AB198" i="90"/>
  <c r="AC198" i="90"/>
  <c r="AB199" i="90"/>
  <c r="AC199" i="90"/>
  <c r="AB200" i="90"/>
  <c r="AC200" i="90"/>
  <c r="AB201" i="90"/>
  <c r="AC201" i="90"/>
  <c r="AB202" i="90"/>
  <c r="AC202" i="90"/>
  <c r="AB203" i="90"/>
  <c r="AC203" i="90"/>
  <c r="AB204" i="90"/>
  <c r="AC204" i="90"/>
  <c r="AB205" i="90"/>
  <c r="AC205" i="90"/>
  <c r="AB206" i="90"/>
  <c r="AC206" i="90"/>
  <c r="AB207" i="90"/>
  <c r="AC207" i="90"/>
  <c r="AB208" i="90"/>
  <c r="AC208" i="90"/>
  <c r="AB209" i="90"/>
  <c r="AC209" i="90"/>
  <c r="AB210" i="90"/>
  <c r="AC210" i="90"/>
  <c r="AB211" i="90"/>
  <c r="AC211" i="90"/>
  <c r="AB212" i="90"/>
  <c r="AC212" i="90"/>
  <c r="AB213" i="90"/>
  <c r="AC213" i="90"/>
  <c r="AB214" i="90"/>
  <c r="AC214" i="90"/>
  <c r="AB215" i="90"/>
  <c r="AC215" i="90"/>
  <c r="AB216" i="90"/>
  <c r="AC216" i="90"/>
  <c r="AB217" i="90"/>
  <c r="AC217" i="90"/>
  <c r="AB218" i="90"/>
  <c r="AC218" i="90"/>
  <c r="AB219" i="90"/>
  <c r="AC219" i="90"/>
  <c r="AB220" i="90"/>
  <c r="AC220" i="90"/>
  <c r="AB221" i="90"/>
  <c r="AC221" i="90"/>
  <c r="AB222" i="90"/>
  <c r="AC222" i="90"/>
  <c r="AB223" i="90"/>
  <c r="AC223" i="90"/>
  <c r="AB224" i="90"/>
  <c r="AC224" i="90"/>
  <c r="AB225" i="90"/>
  <c r="AC225" i="90"/>
  <c r="AB226" i="90"/>
  <c r="AC226" i="90"/>
  <c r="AC127" i="90"/>
  <c r="AB127" i="90"/>
  <c r="OA2" i="4"/>
  <c r="NX2" i="4"/>
  <c r="NU2" i="4"/>
  <c r="NR2" i="4"/>
  <c r="M6" i="4" l="1"/>
  <c r="M3" i="4"/>
  <c r="M4" i="4"/>
  <c r="Q8" i="4"/>
  <c r="Q5" i="4"/>
  <c r="Q6" i="4"/>
  <c r="Q4" i="4"/>
  <c r="Q3" i="4"/>
  <c r="Q7" i="4"/>
  <c r="M5" i="4"/>
  <c r="I110" i="104" l="1"/>
  <c r="E110" i="104"/>
  <c r="I109" i="104"/>
  <c r="E109" i="104"/>
  <c r="I108" i="104"/>
  <c r="E108" i="104"/>
  <c r="H107" i="104"/>
  <c r="G107" i="104"/>
  <c r="I106" i="104"/>
  <c r="I105" i="104"/>
  <c r="I104" i="104"/>
  <c r="I103" i="104"/>
  <c r="F103" i="104"/>
  <c r="E103" i="104" s="1"/>
  <c r="H102" i="104"/>
  <c r="G102" i="104"/>
  <c r="I101" i="104"/>
  <c r="I100" i="104"/>
  <c r="H99" i="104"/>
  <c r="G99" i="104"/>
  <c r="I98" i="104"/>
  <c r="I97" i="104"/>
  <c r="I96" i="104"/>
  <c r="A90" i="104"/>
  <c r="M90" i="104" s="1"/>
  <c r="A89" i="104"/>
  <c r="M89" i="104" s="1"/>
  <c r="M64" i="104"/>
  <c r="A64" i="104"/>
  <c r="M63" i="104"/>
  <c r="A43" i="104"/>
  <c r="M43" i="104" s="1"/>
  <c r="A42" i="104"/>
  <c r="A91" i="104" s="1"/>
  <c r="M91" i="104" s="1"/>
  <c r="A41" i="104"/>
  <c r="M41" i="104" s="1"/>
  <c r="A40" i="104"/>
  <c r="M40" i="104" s="1"/>
  <c r="A39" i="104"/>
  <c r="M39" i="104" s="1"/>
  <c r="A38" i="104"/>
  <c r="M38" i="104" s="1"/>
  <c r="A37" i="104"/>
  <c r="M37" i="104" s="1"/>
  <c r="A36" i="104"/>
  <c r="A35" i="104"/>
  <c r="A85" i="104" s="1"/>
  <c r="A34" i="104"/>
  <c r="A83" i="104" s="1"/>
  <c r="A33" i="104"/>
  <c r="A81" i="104" s="1"/>
  <c r="A32" i="104"/>
  <c r="A31" i="104"/>
  <c r="A76" i="104" s="1"/>
  <c r="A30" i="104"/>
  <c r="A73" i="104" s="1"/>
  <c r="A74" i="104" s="1"/>
  <c r="A75" i="104" s="1"/>
  <c r="M75" i="104" s="1"/>
  <c r="A29" i="104"/>
  <c r="A70" i="104" s="1"/>
  <c r="A71" i="104" s="1"/>
  <c r="M71" i="104" s="1"/>
  <c r="A28" i="104"/>
  <c r="A27" i="104"/>
  <c r="A68" i="104" s="1"/>
  <c r="M68" i="104" s="1"/>
  <c r="A26" i="104"/>
  <c r="A67" i="104" s="1"/>
  <c r="M67" i="104" s="1"/>
  <c r="A25" i="104"/>
  <c r="A66" i="104" s="1"/>
  <c r="M66" i="104" s="1"/>
  <c r="A24" i="104"/>
  <c r="A23" i="104"/>
  <c r="A60" i="104" s="1"/>
  <c r="A22" i="104"/>
  <c r="A57" i="104" s="1"/>
  <c r="M57" i="104" s="1"/>
  <c r="A21" i="104"/>
  <c r="A54" i="104" s="1"/>
  <c r="A20" i="104"/>
  <c r="A19" i="104"/>
  <c r="A48" i="104" s="1"/>
  <c r="A49" i="104" s="1"/>
  <c r="M49" i="104" s="1"/>
  <c r="M33" i="104" l="1"/>
  <c r="M34" i="104"/>
  <c r="M22" i="104"/>
  <c r="M23" i="104"/>
  <c r="M42" i="104"/>
  <c r="M26" i="104"/>
  <c r="M83" i="104"/>
  <c r="A84" i="104"/>
  <c r="M84" i="104" s="1"/>
  <c r="M27" i="104"/>
  <c r="M30" i="104"/>
  <c r="A72" i="104"/>
  <c r="M72" i="104" s="1"/>
  <c r="M29" i="104"/>
  <c r="A77" i="104"/>
  <c r="M76" i="104"/>
  <c r="M54" i="104"/>
  <c r="A55" i="104"/>
  <c r="M24" i="104"/>
  <c r="A65" i="104"/>
  <c r="M65" i="104" s="1"/>
  <c r="M35" i="104"/>
  <c r="M21" i="104"/>
  <c r="A61" i="104"/>
  <c r="M60" i="104"/>
  <c r="A87" i="104"/>
  <c r="M87" i="104" s="1"/>
  <c r="M36" i="104"/>
  <c r="A50" i="104"/>
  <c r="M50" i="104" s="1"/>
  <c r="M70" i="104"/>
  <c r="A92" i="104"/>
  <c r="M92" i="104" s="1"/>
  <c r="A86" i="104"/>
  <c r="M86" i="104" s="1"/>
  <c r="M85" i="104"/>
  <c r="A69" i="104"/>
  <c r="M69" i="104" s="1"/>
  <c r="M28" i="104"/>
  <c r="M19" i="104"/>
  <c r="M74" i="104"/>
  <c r="A88" i="104"/>
  <c r="M88" i="104" s="1"/>
  <c r="M25" i="104"/>
  <c r="A82" i="104"/>
  <c r="M82" i="104" s="1"/>
  <c r="M81" i="104"/>
  <c r="A51" i="104"/>
  <c r="M20" i="104"/>
  <c r="M31" i="104"/>
  <c r="M32" i="104"/>
  <c r="A79" i="104"/>
  <c r="M48" i="104"/>
  <c r="A58" i="104"/>
  <c r="M73" i="104"/>
  <c r="M58" i="104" l="1"/>
  <c r="A59" i="104"/>
  <c r="M59" i="104" s="1"/>
  <c r="M79" i="104"/>
  <c r="A80" i="104"/>
  <c r="M80" i="104" s="1"/>
  <c r="A56" i="104"/>
  <c r="M56" i="104" s="1"/>
  <c r="M55" i="104"/>
  <c r="A52" i="104"/>
  <c r="M51" i="104"/>
  <c r="M61" i="104"/>
  <c r="A62" i="104"/>
  <c r="M62" i="104" s="1"/>
  <c r="A78" i="104"/>
  <c r="M78" i="104" s="1"/>
  <c r="M77" i="104"/>
  <c r="A53" i="104" l="1"/>
  <c r="M53" i="104" s="1"/>
  <c r="M52" i="104"/>
  <c r="A73" i="84"/>
  <c r="A22" i="84"/>
  <c r="A39" i="84"/>
  <c r="A56" i="84"/>
  <c r="A90" i="84"/>
  <c r="A655" i="102" l="1"/>
  <c r="A652" i="102"/>
  <c r="A651" i="102"/>
  <c r="I642" i="102"/>
  <c r="I639" i="102"/>
  <c r="I636" i="102"/>
  <c r="I656" i="102"/>
  <c r="I644" i="102"/>
  <c r="I641" i="102"/>
  <c r="I638" i="102"/>
  <c r="I635" i="102"/>
  <c r="A644" i="102"/>
  <c r="I643" i="102"/>
  <c r="I640" i="102"/>
  <c r="I637" i="102"/>
  <c r="I634" i="102"/>
  <c r="A641" i="102"/>
  <c r="I630" i="102"/>
  <c r="I631" i="102"/>
  <c r="I632" i="102"/>
  <c r="I633" i="102"/>
  <c r="I629" i="102"/>
  <c r="I628" i="102"/>
  <c r="I627" i="102"/>
  <c r="I626" i="102"/>
  <c r="I624" i="102"/>
  <c r="I622" i="102"/>
  <c r="I620" i="102"/>
  <c r="I618" i="102"/>
  <c r="I617" i="102"/>
  <c r="I625" i="102"/>
  <c r="I623" i="102"/>
  <c r="I621" i="102"/>
  <c r="I619" i="102"/>
  <c r="A650" i="102"/>
  <c r="A649" i="102"/>
  <c r="A648" i="102"/>
  <c r="A647" i="102"/>
  <c r="A636" i="102"/>
  <c r="A639" i="102"/>
  <c r="A642" i="102"/>
  <c r="A643" i="102"/>
  <c r="A640" i="102"/>
  <c r="A638" i="102"/>
  <c r="A637" i="102"/>
  <c r="A635" i="102"/>
  <c r="A634" i="102"/>
  <c r="C76" i="70" l="1"/>
  <c r="BB67" i="103" l="1"/>
  <c r="BB78" i="103"/>
  <c r="BB89" i="103"/>
  <c r="BB100" i="103"/>
  <c r="BB111" i="103"/>
  <c r="BB122" i="103"/>
  <c r="BB133" i="103"/>
  <c r="BB144" i="103"/>
  <c r="BB155" i="103"/>
  <c r="BB56" i="103"/>
  <c r="BA56" i="103" s="1"/>
  <c r="BC56" i="103" s="1"/>
  <c r="AL67" i="103"/>
  <c r="AL78" i="103"/>
  <c r="AL89" i="103"/>
  <c r="AL100" i="103"/>
  <c r="AL111" i="103"/>
  <c r="AL122" i="103"/>
  <c r="AL133" i="103"/>
  <c r="AL144" i="103"/>
  <c r="AL155" i="103"/>
  <c r="AL56" i="103"/>
  <c r="V67" i="103"/>
  <c r="V78" i="103"/>
  <c r="V89" i="103"/>
  <c r="V100" i="103"/>
  <c r="V111" i="103"/>
  <c r="V122" i="103"/>
  <c r="V133" i="103"/>
  <c r="V144" i="103"/>
  <c r="V155" i="103"/>
  <c r="V56" i="103"/>
  <c r="G67" i="103"/>
  <c r="G78" i="103"/>
  <c r="G89" i="103"/>
  <c r="G100" i="103"/>
  <c r="G111" i="103"/>
  <c r="G122" i="103"/>
  <c r="G133" i="103"/>
  <c r="G144" i="103"/>
  <c r="G155" i="103"/>
  <c r="G56" i="103"/>
  <c r="F133" i="103" l="1"/>
  <c r="AK122" i="103"/>
  <c r="F89" i="103"/>
  <c r="BA111" i="103"/>
  <c r="BA78" i="103"/>
  <c r="BA67" i="103"/>
  <c r="BA144" i="103"/>
  <c r="F155" i="103"/>
  <c r="F67" i="103"/>
  <c r="BA133" i="103"/>
  <c r="U144" i="103"/>
  <c r="AK111" i="103"/>
  <c r="AK78" i="103"/>
  <c r="BA155" i="103"/>
  <c r="F111" i="103"/>
  <c r="U133" i="103"/>
  <c r="BA89" i="103"/>
  <c r="F122" i="103"/>
  <c r="AK144" i="103"/>
  <c r="F78" i="103"/>
  <c r="AK133" i="103"/>
  <c r="AK67" i="103"/>
  <c r="F56" i="103"/>
  <c r="H56" i="103" s="1"/>
  <c r="AK56" i="103"/>
  <c r="AM56" i="103" s="1"/>
  <c r="BA122" i="103"/>
  <c r="F100" i="103"/>
  <c r="F144" i="103"/>
  <c r="AK155" i="103"/>
  <c r="BA100" i="103"/>
  <c r="AK100" i="103"/>
  <c r="AK89" i="103"/>
  <c r="U111" i="103"/>
  <c r="U56" i="103"/>
  <c r="W56" i="103" s="1"/>
  <c r="U78" i="103"/>
  <c r="U100" i="103"/>
  <c r="U155" i="103"/>
  <c r="U67" i="103"/>
  <c r="U122" i="103"/>
  <c r="U89" i="103"/>
  <c r="C67" i="70" l="1"/>
  <c r="E97" i="41" l="1"/>
  <c r="AY52" i="103"/>
  <c r="BA52" i="103" s="1"/>
  <c r="AY51" i="103"/>
  <c r="BA51" i="103" s="1"/>
  <c r="AY50" i="103"/>
  <c r="BA50" i="103" s="1"/>
  <c r="AY49" i="103"/>
  <c r="BA49" i="103" s="1"/>
  <c r="AY48" i="103"/>
  <c r="BA48" i="103" s="1"/>
  <c r="AY47" i="103"/>
  <c r="AZ47" i="103" s="1"/>
  <c r="AY46" i="103"/>
  <c r="AY45" i="103"/>
  <c r="AZ45" i="103" s="1"/>
  <c r="AY44" i="103"/>
  <c r="BA44" i="103" s="1"/>
  <c r="AY43" i="103"/>
  <c r="AZ43" i="103" s="1"/>
  <c r="AY42" i="103"/>
  <c r="BA42" i="103" s="1"/>
  <c r="AY41" i="103"/>
  <c r="BA41" i="103" s="1"/>
  <c r="AY40" i="103"/>
  <c r="BA40" i="103" s="1"/>
  <c r="AY39" i="103"/>
  <c r="AZ39" i="103" s="1"/>
  <c r="AY38" i="103"/>
  <c r="AZ38" i="103" s="1"/>
  <c r="AY37" i="103"/>
  <c r="AZ37" i="103" s="1"/>
  <c r="AY36" i="103"/>
  <c r="BA36" i="103" s="1"/>
  <c r="AY35" i="103"/>
  <c r="AZ35" i="103" s="1"/>
  <c r="AY34" i="103"/>
  <c r="BA34" i="103" s="1"/>
  <c r="AY33" i="103"/>
  <c r="BA33" i="103" s="1"/>
  <c r="AY32" i="103"/>
  <c r="BA32" i="103" s="1"/>
  <c r="AY31" i="103"/>
  <c r="AY30" i="103"/>
  <c r="AZ30" i="103" s="1"/>
  <c r="AY29" i="103"/>
  <c r="AZ29" i="103" s="1"/>
  <c r="AY28" i="103"/>
  <c r="BA28" i="103" s="1"/>
  <c r="AY27" i="103"/>
  <c r="AZ27" i="103" s="1"/>
  <c r="AY26" i="103"/>
  <c r="BA26" i="103" s="1"/>
  <c r="AY25" i="103"/>
  <c r="BA25" i="103" s="1"/>
  <c r="AY24" i="103"/>
  <c r="BA24" i="103" s="1"/>
  <c r="AY23" i="103"/>
  <c r="AY22" i="103"/>
  <c r="AZ22" i="103" s="1"/>
  <c r="AY21" i="103"/>
  <c r="AZ21" i="103" s="1"/>
  <c r="AY20" i="103"/>
  <c r="BA20" i="103" s="1"/>
  <c r="AY19" i="103"/>
  <c r="BA19" i="103" s="1"/>
  <c r="AY18" i="103"/>
  <c r="BA18" i="103" s="1"/>
  <c r="AY17" i="103"/>
  <c r="BA17" i="103" s="1"/>
  <c r="AY16" i="103"/>
  <c r="BA16" i="103" s="1"/>
  <c r="AY15" i="103"/>
  <c r="AZ15" i="103" s="1"/>
  <c r="AY14" i="103"/>
  <c r="AZ14" i="103" s="1"/>
  <c r="AY13" i="103"/>
  <c r="AZ13" i="103" s="1"/>
  <c r="AY12" i="103"/>
  <c r="AZ12" i="103" s="1"/>
  <c r="AY11" i="103"/>
  <c r="AZ11" i="103" s="1"/>
  <c r="AY10" i="103"/>
  <c r="AZ10" i="103" s="1"/>
  <c r="AY9" i="103"/>
  <c r="AZ9" i="103" s="1"/>
  <c r="AY8" i="103"/>
  <c r="AZ8" i="103" s="1"/>
  <c r="AY7" i="103"/>
  <c r="AZ7" i="103" s="1"/>
  <c r="AY6" i="103"/>
  <c r="BA6" i="103" s="1"/>
  <c r="AY5" i="103"/>
  <c r="BA5" i="103" s="1"/>
  <c r="AY4" i="103"/>
  <c r="AY3" i="103"/>
  <c r="AX3" i="103" s="1"/>
  <c r="AI52" i="103"/>
  <c r="AK52" i="103" s="1"/>
  <c r="AI51" i="103"/>
  <c r="AI50" i="103"/>
  <c r="AK50" i="103" s="1"/>
  <c r="AI49" i="103"/>
  <c r="AK49" i="103" s="1"/>
  <c r="AI48" i="103"/>
  <c r="AK48" i="103" s="1"/>
  <c r="AI47" i="103"/>
  <c r="AJ47" i="103" s="1"/>
  <c r="AI46" i="103"/>
  <c r="AK46" i="103" s="1"/>
  <c r="AI45" i="103"/>
  <c r="AI44" i="103"/>
  <c r="AK44" i="103" s="1"/>
  <c r="AI43" i="103"/>
  <c r="AI42" i="103"/>
  <c r="AK42" i="103" s="1"/>
  <c r="AI41" i="103"/>
  <c r="AK41" i="103" s="1"/>
  <c r="AI40" i="103"/>
  <c r="AK40" i="103" s="1"/>
  <c r="AI39" i="103"/>
  <c r="AJ39" i="103" s="1"/>
  <c r="AI38" i="103"/>
  <c r="AK38" i="103" s="1"/>
  <c r="AI37" i="103"/>
  <c r="AI36" i="103"/>
  <c r="AK36" i="103" s="1"/>
  <c r="AI35" i="103"/>
  <c r="AI34" i="103"/>
  <c r="AK34" i="103" s="1"/>
  <c r="AI33" i="103"/>
  <c r="AK33" i="103" s="1"/>
  <c r="AI32" i="103"/>
  <c r="AK32" i="103" s="1"/>
  <c r="AI31" i="103"/>
  <c r="AJ31" i="103" s="1"/>
  <c r="AI30" i="103"/>
  <c r="AK30" i="103" s="1"/>
  <c r="AI29" i="103"/>
  <c r="AI28" i="103"/>
  <c r="AK28" i="103" s="1"/>
  <c r="AI27" i="103"/>
  <c r="AI26" i="103"/>
  <c r="AK26" i="103" s="1"/>
  <c r="AI25" i="103"/>
  <c r="AJ25" i="103" s="1"/>
  <c r="AI24" i="103"/>
  <c r="AK24" i="103" s="1"/>
  <c r="AI23" i="103"/>
  <c r="AJ23" i="103" s="1"/>
  <c r="AI22" i="103"/>
  <c r="AK22" i="103" s="1"/>
  <c r="AI21" i="103"/>
  <c r="AJ21" i="103" s="1"/>
  <c r="AI20" i="103"/>
  <c r="AK20" i="103" s="1"/>
  <c r="AI19" i="103"/>
  <c r="AI18" i="103"/>
  <c r="AK18" i="103" s="1"/>
  <c r="AI17" i="103"/>
  <c r="AK17" i="103" s="1"/>
  <c r="AI16" i="103"/>
  <c r="AK16" i="103" s="1"/>
  <c r="AI15" i="103"/>
  <c r="AJ15" i="103" s="1"/>
  <c r="AI14" i="103"/>
  <c r="AK14" i="103" s="1"/>
  <c r="AI13" i="103"/>
  <c r="AJ13" i="103" s="1"/>
  <c r="AI12" i="103"/>
  <c r="AJ12" i="103" s="1"/>
  <c r="AI11" i="103"/>
  <c r="AI10" i="103"/>
  <c r="AJ10" i="103" s="1"/>
  <c r="AI9" i="103"/>
  <c r="AK9" i="103" s="1"/>
  <c r="AI8" i="103"/>
  <c r="AJ8" i="103" s="1"/>
  <c r="AI7" i="103"/>
  <c r="AJ7" i="103" s="1"/>
  <c r="AI6" i="103"/>
  <c r="AJ6" i="103" s="1"/>
  <c r="AI5" i="103"/>
  <c r="AJ5" i="103" s="1"/>
  <c r="AI4" i="103"/>
  <c r="AJ4" i="103" s="1"/>
  <c r="AI3" i="103"/>
  <c r="C52" i="103"/>
  <c r="E52" i="103" s="1"/>
  <c r="C51" i="103"/>
  <c r="C50" i="103"/>
  <c r="D50" i="103" s="1"/>
  <c r="C49" i="103"/>
  <c r="D49" i="103" s="1"/>
  <c r="C48" i="103"/>
  <c r="D48" i="103" s="1"/>
  <c r="C47" i="103"/>
  <c r="D47" i="103" s="1"/>
  <c r="C46" i="103"/>
  <c r="E46" i="103" s="1"/>
  <c r="C45" i="103"/>
  <c r="C44" i="103"/>
  <c r="E44" i="103" s="1"/>
  <c r="C43" i="103"/>
  <c r="E43" i="103" s="1"/>
  <c r="C42" i="103"/>
  <c r="D42" i="103" s="1"/>
  <c r="C41" i="103"/>
  <c r="D41" i="103" s="1"/>
  <c r="C40" i="103"/>
  <c r="D40" i="103" s="1"/>
  <c r="C39" i="103"/>
  <c r="E39" i="103" s="1"/>
  <c r="C38" i="103"/>
  <c r="D38" i="103" s="1"/>
  <c r="C37" i="103"/>
  <c r="C36" i="103"/>
  <c r="D36" i="103" s="1"/>
  <c r="C35" i="103"/>
  <c r="C34" i="103"/>
  <c r="D34" i="103" s="1"/>
  <c r="C33" i="103"/>
  <c r="E33" i="103" s="1"/>
  <c r="C32" i="103"/>
  <c r="D32" i="103" s="1"/>
  <c r="C31" i="103"/>
  <c r="D31" i="103" s="1"/>
  <c r="C30" i="103"/>
  <c r="D30" i="103" s="1"/>
  <c r="C29" i="103"/>
  <c r="C28" i="103"/>
  <c r="D28" i="103" s="1"/>
  <c r="C27" i="103"/>
  <c r="E27" i="103" s="1"/>
  <c r="C26" i="103"/>
  <c r="D26" i="103" s="1"/>
  <c r="C25" i="103"/>
  <c r="D25" i="103" s="1"/>
  <c r="C24" i="103"/>
  <c r="D24" i="103" s="1"/>
  <c r="C23" i="103"/>
  <c r="D23" i="103" s="1"/>
  <c r="C22" i="103"/>
  <c r="D22" i="103" s="1"/>
  <c r="C21" i="103"/>
  <c r="C20" i="103"/>
  <c r="E20" i="103" s="1"/>
  <c r="C19" i="103"/>
  <c r="C18" i="103"/>
  <c r="D18" i="103" s="1"/>
  <c r="C17" i="103"/>
  <c r="D17" i="103" s="1"/>
  <c r="C16" i="103"/>
  <c r="E16" i="103" s="1"/>
  <c r="C15" i="103"/>
  <c r="E15" i="103" s="1"/>
  <c r="C14" i="103"/>
  <c r="E14" i="103" s="1"/>
  <c r="C13" i="103"/>
  <c r="E13" i="103" s="1"/>
  <c r="C12" i="103"/>
  <c r="E12" i="103" s="1"/>
  <c r="C11" i="103"/>
  <c r="C10" i="103"/>
  <c r="E10" i="103" s="1"/>
  <c r="C9" i="103"/>
  <c r="D9" i="103" s="1"/>
  <c r="C8" i="103"/>
  <c r="D8" i="103" s="1"/>
  <c r="C7" i="103"/>
  <c r="E7" i="103" s="1"/>
  <c r="C6" i="103"/>
  <c r="E6" i="103" s="1"/>
  <c r="C5" i="103"/>
  <c r="E5" i="103" s="1"/>
  <c r="C4" i="103"/>
  <c r="E4" i="103" s="1"/>
  <c r="C3" i="103"/>
  <c r="S52" i="103"/>
  <c r="U52" i="103" s="1"/>
  <c r="S51" i="103"/>
  <c r="U51" i="103" s="1"/>
  <c r="S50" i="103"/>
  <c r="U50" i="103" s="1"/>
  <c r="S49" i="103"/>
  <c r="U49" i="103" s="1"/>
  <c r="S48" i="103"/>
  <c r="U48" i="103" s="1"/>
  <c r="S47" i="103"/>
  <c r="S46" i="103"/>
  <c r="T46" i="103" s="1"/>
  <c r="S45" i="103"/>
  <c r="U45" i="103" s="1"/>
  <c r="S44" i="103"/>
  <c r="U44" i="103" s="1"/>
  <c r="S43" i="103"/>
  <c r="U43" i="103" s="1"/>
  <c r="S42" i="103"/>
  <c r="U42" i="103" s="1"/>
  <c r="S41" i="103"/>
  <c r="U41" i="103" s="1"/>
  <c r="S40" i="103"/>
  <c r="U40" i="103" s="1"/>
  <c r="S39" i="103"/>
  <c r="S38" i="103"/>
  <c r="U38" i="103" s="1"/>
  <c r="S37" i="103"/>
  <c r="U37" i="103" s="1"/>
  <c r="S36" i="103"/>
  <c r="U36" i="103" s="1"/>
  <c r="S35" i="103"/>
  <c r="U35" i="103" s="1"/>
  <c r="S34" i="103"/>
  <c r="U34" i="103" s="1"/>
  <c r="S33" i="103"/>
  <c r="U33" i="103" s="1"/>
  <c r="S32" i="103"/>
  <c r="U32" i="103" s="1"/>
  <c r="S31" i="103"/>
  <c r="S30" i="103"/>
  <c r="S29" i="103"/>
  <c r="U29" i="103" s="1"/>
  <c r="S28" i="103"/>
  <c r="U28" i="103" s="1"/>
  <c r="S27" i="103"/>
  <c r="U27" i="103" s="1"/>
  <c r="S26" i="103"/>
  <c r="T26" i="103" s="1"/>
  <c r="S25" i="103"/>
  <c r="U25" i="103" s="1"/>
  <c r="S24" i="103"/>
  <c r="U24" i="103" s="1"/>
  <c r="S23" i="103"/>
  <c r="S22" i="103"/>
  <c r="U22" i="103" s="1"/>
  <c r="S21" i="103"/>
  <c r="U21" i="103" s="1"/>
  <c r="S20" i="103"/>
  <c r="U20" i="103" s="1"/>
  <c r="S19" i="103"/>
  <c r="U19" i="103" s="1"/>
  <c r="S18" i="103"/>
  <c r="U18" i="103" s="1"/>
  <c r="S17" i="103"/>
  <c r="U17" i="103" s="1"/>
  <c r="S16" i="103"/>
  <c r="U16" i="103" s="1"/>
  <c r="S15" i="103"/>
  <c r="S14" i="103"/>
  <c r="S13" i="103"/>
  <c r="U13" i="103" s="1"/>
  <c r="S12" i="103"/>
  <c r="U12" i="103" s="1"/>
  <c r="S11" i="103"/>
  <c r="U11" i="103" s="1"/>
  <c r="S10" i="103"/>
  <c r="S9" i="103"/>
  <c r="T9" i="103" s="1"/>
  <c r="S8" i="103"/>
  <c r="S7" i="103"/>
  <c r="S6" i="103"/>
  <c r="T6" i="103" s="1"/>
  <c r="S5" i="103"/>
  <c r="T5" i="103" s="1"/>
  <c r="S4" i="103"/>
  <c r="S3" i="103"/>
  <c r="D46" i="103" l="1"/>
  <c r="E38" i="103"/>
  <c r="D14" i="103"/>
  <c r="R40" i="103"/>
  <c r="D6" i="103"/>
  <c r="E30" i="103"/>
  <c r="E18" i="103"/>
  <c r="D12" i="103"/>
  <c r="D44" i="103"/>
  <c r="B30" i="103"/>
  <c r="E22" i="103"/>
  <c r="R3" i="103"/>
  <c r="E40" i="103"/>
  <c r="B10" i="103"/>
  <c r="E32" i="103"/>
  <c r="E48" i="103"/>
  <c r="B32" i="103"/>
  <c r="AK4" i="103"/>
  <c r="R41" i="103"/>
  <c r="R50" i="103"/>
  <c r="R10" i="103"/>
  <c r="AJ52" i="103"/>
  <c r="AX4" i="103"/>
  <c r="BA27" i="103"/>
  <c r="BA35" i="103"/>
  <c r="D15" i="103"/>
  <c r="AZ51" i="103"/>
  <c r="D10" i="103"/>
  <c r="E26" i="103"/>
  <c r="E34" i="103"/>
  <c r="T11" i="103"/>
  <c r="B34" i="103"/>
  <c r="B11" i="103"/>
  <c r="B27" i="103"/>
  <c r="B35" i="103"/>
  <c r="B51" i="103"/>
  <c r="AK15" i="103"/>
  <c r="AJ24" i="103"/>
  <c r="E42" i="103"/>
  <c r="D52" i="103"/>
  <c r="B42" i="103"/>
  <c r="R34" i="103"/>
  <c r="AJ36" i="103"/>
  <c r="BA13" i="103"/>
  <c r="BA37" i="103"/>
  <c r="AJ40" i="103"/>
  <c r="E50" i="103"/>
  <c r="D4" i="103"/>
  <c r="AJ48" i="103"/>
  <c r="AZ19" i="103"/>
  <c r="BA43" i="103"/>
  <c r="T38" i="103"/>
  <c r="R52" i="103"/>
  <c r="AZ42" i="103"/>
  <c r="B8" i="103"/>
  <c r="E8" i="103"/>
  <c r="D16" i="103"/>
  <c r="D27" i="103"/>
  <c r="E51" i="103"/>
  <c r="R27" i="103"/>
  <c r="R35" i="103"/>
  <c r="E11" i="103"/>
  <c r="R14" i="103"/>
  <c r="R30" i="103"/>
  <c r="R46" i="103"/>
  <c r="B28" i="103"/>
  <c r="T27" i="103"/>
  <c r="T50" i="103"/>
  <c r="AJ16" i="103"/>
  <c r="AJ28" i="103"/>
  <c r="AJ41" i="103"/>
  <c r="AZ18" i="103"/>
  <c r="BA29" i="103"/>
  <c r="AK25" i="103"/>
  <c r="D11" i="103"/>
  <c r="E35" i="103"/>
  <c r="D51" i="103"/>
  <c r="R43" i="103"/>
  <c r="B29" i="103"/>
  <c r="B45" i="103"/>
  <c r="T30" i="103"/>
  <c r="T51" i="103"/>
  <c r="AJ17" i="103"/>
  <c r="AK31" i="103"/>
  <c r="B52" i="103"/>
  <c r="R11" i="103"/>
  <c r="B37" i="103"/>
  <c r="D35" i="103"/>
  <c r="R22" i="103"/>
  <c r="T34" i="103"/>
  <c r="AK12" i="103"/>
  <c r="AJ32" i="103"/>
  <c r="AJ44" i="103"/>
  <c r="AZ3" i="103"/>
  <c r="AZ34" i="103"/>
  <c r="BA45" i="103"/>
  <c r="B18" i="103"/>
  <c r="R7" i="103"/>
  <c r="B21" i="103"/>
  <c r="B43" i="103"/>
  <c r="B24" i="103"/>
  <c r="D33" i="103"/>
  <c r="R24" i="103"/>
  <c r="B47" i="103"/>
  <c r="T14" i="103"/>
  <c r="T35" i="103"/>
  <c r="AJ9" i="103"/>
  <c r="AJ20" i="103"/>
  <c r="AJ33" i="103"/>
  <c r="AK47" i="103"/>
  <c r="AX12" i="103"/>
  <c r="AX14" i="103"/>
  <c r="AX22" i="103"/>
  <c r="AX30" i="103"/>
  <c r="AX38" i="103"/>
  <c r="AX46" i="103"/>
  <c r="BA10" i="103"/>
  <c r="BA21" i="103"/>
  <c r="AZ46" i="103"/>
  <c r="R26" i="103"/>
  <c r="B40" i="103"/>
  <c r="T18" i="103"/>
  <c r="AK8" i="103"/>
  <c r="AK23" i="103"/>
  <c r="AX23" i="103"/>
  <c r="AX31" i="103"/>
  <c r="AZ50" i="103"/>
  <c r="T19" i="103"/>
  <c r="T42" i="103"/>
  <c r="AK7" i="103"/>
  <c r="AJ49" i="103"/>
  <c r="AZ26" i="103"/>
  <c r="R37" i="103"/>
  <c r="D3" i="103"/>
  <c r="D43" i="103"/>
  <c r="E3" i="103"/>
  <c r="R42" i="103"/>
  <c r="T22" i="103"/>
  <c r="T43" i="103"/>
  <c r="AK39" i="103"/>
  <c r="R15" i="103"/>
  <c r="U15" i="103"/>
  <c r="T15" i="103"/>
  <c r="R31" i="103"/>
  <c r="U31" i="103"/>
  <c r="T31" i="103"/>
  <c r="T39" i="103"/>
  <c r="U39" i="103"/>
  <c r="R39" i="103"/>
  <c r="R47" i="103"/>
  <c r="T47" i="103"/>
  <c r="U47" i="103"/>
  <c r="AK3" i="103"/>
  <c r="AH8" i="103"/>
  <c r="AH16" i="103"/>
  <c r="AH24" i="103"/>
  <c r="AH32" i="103"/>
  <c r="AH40" i="103"/>
  <c r="AH48" i="103"/>
  <c r="AJ3" i="103"/>
  <c r="AH31" i="103"/>
  <c r="AH15" i="103"/>
  <c r="AH4" i="103"/>
  <c r="AH12" i="103"/>
  <c r="AH20" i="103"/>
  <c r="AH28" i="103"/>
  <c r="AH36" i="103"/>
  <c r="AH44" i="103"/>
  <c r="AH52" i="103"/>
  <c r="AH3" i="103"/>
  <c r="AH7" i="103"/>
  <c r="AH11" i="103"/>
  <c r="AJ11" i="103"/>
  <c r="AK11" i="103"/>
  <c r="AK19" i="103"/>
  <c r="AJ19" i="103"/>
  <c r="AH19" i="103"/>
  <c r="AK27" i="103"/>
  <c r="AJ27" i="103"/>
  <c r="AH27" i="103"/>
  <c r="AK35" i="103"/>
  <c r="AJ35" i="103"/>
  <c r="AH35" i="103"/>
  <c r="AK43" i="103"/>
  <c r="AJ43" i="103"/>
  <c r="AH43" i="103"/>
  <c r="AK51" i="103"/>
  <c r="AJ51" i="103"/>
  <c r="AH51" i="103"/>
  <c r="AH47" i="103"/>
  <c r="AH39" i="103"/>
  <c r="AH29" i="103"/>
  <c r="AH37" i="103"/>
  <c r="AX5" i="103"/>
  <c r="AH17" i="103"/>
  <c r="AH25" i="103"/>
  <c r="AH33" i="103"/>
  <c r="AH41" i="103"/>
  <c r="AH49" i="103"/>
  <c r="T23" i="103"/>
  <c r="R23" i="103"/>
  <c r="U23" i="103"/>
  <c r="AH45" i="103"/>
  <c r="AX51" i="103"/>
  <c r="AX43" i="103"/>
  <c r="AX35" i="103"/>
  <c r="AX27" i="103"/>
  <c r="AX19" i="103"/>
  <c r="AX11" i="103"/>
  <c r="D20" i="103"/>
  <c r="B16" i="103"/>
  <c r="R33" i="103"/>
  <c r="E31" i="103"/>
  <c r="R44" i="103"/>
  <c r="AH46" i="103"/>
  <c r="AH38" i="103"/>
  <c r="AH30" i="103"/>
  <c r="AH22" i="103"/>
  <c r="AH14" i="103"/>
  <c r="AH6" i="103"/>
  <c r="U14" i="103"/>
  <c r="U26" i="103"/>
  <c r="U30" i="103"/>
  <c r="U46" i="103"/>
  <c r="AX50" i="103"/>
  <c r="AX42" i="103"/>
  <c r="AX34" i="103"/>
  <c r="AX26" i="103"/>
  <c r="AX18" i="103"/>
  <c r="AX10" i="103"/>
  <c r="AZ6" i="103"/>
  <c r="BA14" i="103"/>
  <c r="BA22" i="103"/>
  <c r="BA30" i="103"/>
  <c r="BA38" i="103"/>
  <c r="BA46" i="103"/>
  <c r="AH21" i="103"/>
  <c r="AH13" i="103"/>
  <c r="AH5" i="103"/>
  <c r="AH23" i="103" s="1"/>
  <c r="AJ29" i="103"/>
  <c r="AJ37" i="103"/>
  <c r="AX41" i="103"/>
  <c r="AX25" i="103"/>
  <c r="AX17" i="103"/>
  <c r="AX9" i="103"/>
  <c r="BA9" i="103"/>
  <c r="AZ23" i="103"/>
  <c r="E23" i="103"/>
  <c r="AK13" i="103"/>
  <c r="AK21" i="103"/>
  <c r="AK29" i="103"/>
  <c r="AK37" i="103"/>
  <c r="AK45" i="103"/>
  <c r="AX48" i="103"/>
  <c r="AX40" i="103"/>
  <c r="AX32" i="103"/>
  <c r="AX24" i="103"/>
  <c r="AX16" i="103"/>
  <c r="AX8" i="103"/>
  <c r="BA3" i="103"/>
  <c r="AZ5" i="103"/>
  <c r="BA15" i="103"/>
  <c r="BA23" i="103"/>
  <c r="BA31" i="103"/>
  <c r="BA39" i="103"/>
  <c r="BA47" i="103"/>
  <c r="AZ31" i="103"/>
  <c r="D39" i="103"/>
  <c r="R17" i="103"/>
  <c r="B7" i="103"/>
  <c r="T16" i="103"/>
  <c r="T20" i="103"/>
  <c r="T24" i="103"/>
  <c r="T28" i="103"/>
  <c r="T32" i="103"/>
  <c r="T36" i="103"/>
  <c r="T40" i="103"/>
  <c r="T44" i="103"/>
  <c r="T48" i="103"/>
  <c r="T52" i="103"/>
  <c r="AK10" i="103"/>
  <c r="AK6" i="103"/>
  <c r="AJ14" i="103"/>
  <c r="AJ18" i="103"/>
  <c r="AJ22" i="103"/>
  <c r="AJ26" i="103"/>
  <c r="AJ30" i="103"/>
  <c r="AJ34" i="103"/>
  <c r="AJ38" i="103"/>
  <c r="AJ42" i="103"/>
  <c r="AJ46" i="103"/>
  <c r="AJ50" i="103"/>
  <c r="AX47" i="103"/>
  <c r="AX39" i="103"/>
  <c r="AX15" i="103"/>
  <c r="AX7" i="103"/>
  <c r="BA12" i="103"/>
  <c r="BA8" i="103"/>
  <c r="BA4" i="103"/>
  <c r="AZ16" i="103"/>
  <c r="AZ20" i="103"/>
  <c r="AZ24" i="103"/>
  <c r="AZ28" i="103"/>
  <c r="AZ32" i="103"/>
  <c r="AZ36" i="103"/>
  <c r="AZ40" i="103"/>
  <c r="AZ44" i="103"/>
  <c r="AZ48" i="103"/>
  <c r="AZ52" i="103"/>
  <c r="AJ45" i="103"/>
  <c r="AX49" i="103"/>
  <c r="AX33" i="103"/>
  <c r="E24" i="103"/>
  <c r="R51" i="103"/>
  <c r="R36" i="103"/>
  <c r="T10" i="103"/>
  <c r="R8" i="103"/>
  <c r="AH50" i="103"/>
  <c r="AH42" i="103"/>
  <c r="AH34" i="103"/>
  <c r="AH26" i="103"/>
  <c r="AH18" i="103"/>
  <c r="AH10" i="103"/>
  <c r="AX6" i="103"/>
  <c r="AZ4" i="103"/>
  <c r="R25" i="103"/>
  <c r="B31" i="103"/>
  <c r="B15" i="103"/>
  <c r="AH9" i="103"/>
  <c r="T13" i="103"/>
  <c r="T17" i="103"/>
  <c r="T21" i="103"/>
  <c r="T25" i="103"/>
  <c r="T29" i="103"/>
  <c r="T33" i="103"/>
  <c r="T37" i="103"/>
  <c r="T41" i="103"/>
  <c r="T45" i="103"/>
  <c r="T49" i="103"/>
  <c r="AK5" i="103"/>
  <c r="AX45" i="103"/>
  <c r="AX37" i="103"/>
  <c r="AX29" i="103"/>
  <c r="AX21" i="103"/>
  <c r="AX13" i="103"/>
  <c r="BA11" i="103"/>
  <c r="BA7" i="103"/>
  <c r="AZ17" i="103"/>
  <c r="AZ25" i="103"/>
  <c r="AZ33" i="103"/>
  <c r="AZ41" i="103"/>
  <c r="AZ49" i="103"/>
  <c r="R9" i="103"/>
  <c r="AX52" i="103"/>
  <c r="AX44" i="103"/>
  <c r="AX36" i="103"/>
  <c r="AX28" i="103"/>
  <c r="AX20" i="103"/>
  <c r="B36" i="103"/>
  <c r="B3" i="103"/>
  <c r="D7" i="103"/>
  <c r="E28" i="103"/>
  <c r="E36" i="103"/>
  <c r="E47" i="103"/>
  <c r="U10" i="103"/>
  <c r="B46" i="103"/>
  <c r="B26" i="103"/>
  <c r="R38" i="103"/>
  <c r="R16" i="103"/>
  <c r="B50" i="103"/>
  <c r="B39" i="103"/>
  <c r="B48" i="103"/>
  <c r="B38" i="103"/>
  <c r="B22" i="103"/>
  <c r="B20" i="103"/>
  <c r="B6" i="103"/>
  <c r="B44" i="103"/>
  <c r="R49" i="103"/>
  <c r="R19" i="103"/>
  <c r="T3" i="103"/>
  <c r="U6" i="103"/>
  <c r="R29" i="103"/>
  <c r="B12" i="103"/>
  <c r="R48" i="103"/>
  <c r="R18" i="103"/>
  <c r="U3" i="103"/>
  <c r="B5" i="103"/>
  <c r="D13" i="103"/>
  <c r="E9" i="103"/>
  <c r="D45" i="103"/>
  <c r="R45" i="103"/>
  <c r="R21" i="103"/>
  <c r="R6" i="103"/>
  <c r="U5" i="103"/>
  <c r="U9" i="103"/>
  <c r="R32" i="103"/>
  <c r="R13" i="103"/>
  <c r="R4" i="103"/>
  <c r="R5" i="103" s="1"/>
  <c r="R12" i="103"/>
  <c r="R28" i="103"/>
  <c r="T8" i="103"/>
  <c r="U8" i="103"/>
  <c r="R20" i="103"/>
  <c r="T12" i="103"/>
  <c r="T7" i="103"/>
  <c r="U7" i="103"/>
  <c r="B4" i="103"/>
  <c r="D5" i="103"/>
  <c r="E21" i="103"/>
  <c r="E17" i="103"/>
  <c r="E29" i="103"/>
  <c r="E25" i="103"/>
  <c r="E41" i="103"/>
  <c r="E37" i="103"/>
  <c r="E49" i="103"/>
  <c r="E45" i="103"/>
  <c r="B49" i="103"/>
  <c r="B41" i="103"/>
  <c r="B33" i="103"/>
  <c r="B25" i="103"/>
  <c r="B17" i="103"/>
  <c r="D21" i="103"/>
  <c r="D29" i="103"/>
  <c r="D37" i="103"/>
  <c r="B9" i="103"/>
  <c r="B13" i="103" l="1"/>
  <c r="BB3" i="103"/>
  <c r="BC3" i="103" s="1"/>
  <c r="BB4" i="103"/>
  <c r="BD4" i="103" s="1"/>
  <c r="BB12" i="103"/>
  <c r="BC12" i="103" s="1"/>
  <c r="BB11" i="103"/>
  <c r="AW144" i="103" s="1"/>
  <c r="BB10" i="103"/>
  <c r="BB9" i="103"/>
  <c r="AL10" i="103"/>
  <c r="AL11" i="103"/>
  <c r="AL4" i="103"/>
  <c r="AL12" i="103"/>
  <c r="AL7" i="103"/>
  <c r="AL5" i="103"/>
  <c r="AL3" i="103"/>
  <c r="AL6" i="103"/>
  <c r="AL8" i="103"/>
  <c r="AL9" i="103"/>
  <c r="BB8" i="103"/>
  <c r="BB7" i="103"/>
  <c r="BB5" i="103"/>
  <c r="BB6" i="103"/>
  <c r="AW67" i="103"/>
  <c r="V6" i="103"/>
  <c r="V12" i="103"/>
  <c r="V3" i="103"/>
  <c r="V8" i="103"/>
  <c r="V7" i="103"/>
  <c r="Q100" i="103" s="1"/>
  <c r="V9" i="103"/>
  <c r="V11" i="103"/>
  <c r="V10" i="103"/>
  <c r="V4" i="103"/>
  <c r="V5" i="103"/>
  <c r="I655" i="102"/>
  <c r="I654" i="102"/>
  <c r="I653" i="102"/>
  <c r="I652" i="102"/>
  <c r="I651" i="102"/>
  <c r="I649" i="102"/>
  <c r="I647" i="102"/>
  <c r="I645" i="102"/>
  <c r="A625" i="102"/>
  <c r="A617" i="102"/>
  <c r="A628" i="102"/>
  <c r="A654" i="102"/>
  <c r="A653" i="102"/>
  <c r="A646" i="102"/>
  <c r="A645" i="102"/>
  <c r="A633" i="102"/>
  <c r="A632" i="102"/>
  <c r="A631" i="102"/>
  <c r="A630" i="102"/>
  <c r="A629" i="102"/>
  <c r="A626" i="102"/>
  <c r="A624" i="102"/>
  <c r="A623" i="102"/>
  <c r="A622" i="102"/>
  <c r="A621" i="102"/>
  <c r="A619" i="102"/>
  <c r="A620" i="102"/>
  <c r="A618" i="102"/>
  <c r="AW56" i="103" l="1"/>
  <c r="AY56" i="103" s="1"/>
  <c r="BD3" i="103"/>
  <c r="AZ67" i="103" s="1"/>
  <c r="B14" i="103"/>
  <c r="R102" i="103"/>
  <c r="R106" i="103"/>
  <c r="R109" i="103"/>
  <c r="R110" i="103"/>
  <c r="R103" i="103"/>
  <c r="R107" i="103"/>
  <c r="R104" i="103"/>
  <c r="R108" i="103"/>
  <c r="R101" i="103"/>
  <c r="V101" i="103" s="1"/>
  <c r="R105" i="103"/>
  <c r="AX153" i="103"/>
  <c r="AX149" i="103"/>
  <c r="AX150" i="103"/>
  <c r="AX146" i="103"/>
  <c r="AX151" i="103"/>
  <c r="AX154" i="103"/>
  <c r="AX147" i="103"/>
  <c r="AX152" i="103"/>
  <c r="AX145" i="103"/>
  <c r="BB145" i="103" s="1"/>
  <c r="AX148" i="103"/>
  <c r="AX68" i="103"/>
  <c r="BC4" i="103"/>
  <c r="AY67" i="103" s="1"/>
  <c r="AW68" i="103"/>
  <c r="AX69" i="103" s="1"/>
  <c r="Q101" i="103"/>
  <c r="AW145" i="103"/>
  <c r="BC11" i="103"/>
  <c r="AW155" i="103"/>
  <c r="BD12" i="103"/>
  <c r="BD11" i="103"/>
  <c r="AG111" i="103"/>
  <c r="AN8" i="103"/>
  <c r="AM8" i="103"/>
  <c r="AM10" i="103"/>
  <c r="AN10" i="103"/>
  <c r="AG133" i="103"/>
  <c r="Q56" i="103"/>
  <c r="AW89" i="103"/>
  <c r="BC6" i="103"/>
  <c r="AY144" i="103" s="1"/>
  <c r="BD6" i="103"/>
  <c r="AM6" i="103"/>
  <c r="AN6" i="103"/>
  <c r="AG89" i="103"/>
  <c r="BC9" i="103"/>
  <c r="BD9" i="103"/>
  <c r="AW122" i="103"/>
  <c r="X5" i="103"/>
  <c r="Q78" i="103"/>
  <c r="X12" i="103"/>
  <c r="Q155" i="103"/>
  <c r="AW78" i="103"/>
  <c r="BC5" i="103"/>
  <c r="BD5" i="103"/>
  <c r="AM3" i="103"/>
  <c r="AG56" i="103"/>
  <c r="AN3" i="103"/>
  <c r="AW133" i="103"/>
  <c r="BC10" i="103"/>
  <c r="BD10" i="103"/>
  <c r="X6" i="103"/>
  <c r="Q89" i="103"/>
  <c r="AM11" i="103"/>
  <c r="AG144" i="103"/>
  <c r="AN11" i="103"/>
  <c r="W4" i="103"/>
  <c r="Q67" i="103"/>
  <c r="BC7" i="103"/>
  <c r="BD7" i="103"/>
  <c r="AW100" i="103"/>
  <c r="AM5" i="103"/>
  <c r="AN5" i="103"/>
  <c r="AG78" i="103"/>
  <c r="W10" i="103"/>
  <c r="Q133" i="103"/>
  <c r="AN7" i="103"/>
  <c r="AM7" i="103"/>
  <c r="AG100" i="103"/>
  <c r="AG122" i="103"/>
  <c r="AM9" i="103"/>
  <c r="AN9" i="103"/>
  <c r="W8" i="103"/>
  <c r="Q111" i="103"/>
  <c r="W11" i="103"/>
  <c r="Q144" i="103"/>
  <c r="AN12" i="103"/>
  <c r="AG155" i="103"/>
  <c r="AM12" i="103"/>
  <c r="X9" i="103"/>
  <c r="Q122" i="103"/>
  <c r="BD8" i="103"/>
  <c r="BC8" i="103"/>
  <c r="AW111" i="103"/>
  <c r="AG67" i="103"/>
  <c r="AM4" i="103"/>
  <c r="AN4" i="103"/>
  <c r="W6" i="103"/>
  <c r="W12" i="103"/>
  <c r="W9" i="103"/>
  <c r="X8" i="103"/>
  <c r="X11" i="103"/>
  <c r="W5" i="103"/>
  <c r="X7" i="103"/>
  <c r="W7" i="103"/>
  <c r="X10" i="103"/>
  <c r="X4" i="103"/>
  <c r="A603" i="102"/>
  <c r="A592" i="102"/>
  <c r="A581" i="102"/>
  <c r="A570" i="102"/>
  <c r="A559" i="102"/>
  <c r="BP2" i="4"/>
  <c r="BM4" i="4"/>
  <c r="BL2" i="4"/>
  <c r="I552" i="102"/>
  <c r="I553" i="102"/>
  <c r="I554" i="102"/>
  <c r="I543" i="102"/>
  <c r="I544" i="102"/>
  <c r="I545" i="102"/>
  <c r="I546" i="102"/>
  <c r="I547" i="102"/>
  <c r="I548" i="102"/>
  <c r="I542" i="102"/>
  <c r="I541" i="102"/>
  <c r="I540" i="102"/>
  <c r="I549" i="102"/>
  <c r="I530" i="102"/>
  <c r="I531" i="102"/>
  <c r="I532" i="102"/>
  <c r="I533" i="102"/>
  <c r="I534" i="102"/>
  <c r="I535" i="102"/>
  <c r="I536" i="102"/>
  <c r="I537" i="102"/>
  <c r="I538" i="102"/>
  <c r="I539" i="102"/>
  <c r="I529" i="102"/>
  <c r="I527" i="102"/>
  <c r="I528" i="102"/>
  <c r="I526" i="102"/>
  <c r="I550" i="102"/>
  <c r="I551" i="102"/>
  <c r="I603" i="102"/>
  <c r="I592" i="102"/>
  <c r="I581" i="102"/>
  <c r="I570" i="102"/>
  <c r="B19" i="103" l="1"/>
  <c r="B23" i="103"/>
  <c r="AX57" i="103"/>
  <c r="AY57" i="103" s="1"/>
  <c r="AW57" i="103"/>
  <c r="AX58" i="103" s="1"/>
  <c r="AZ58" i="103" s="1"/>
  <c r="AZ144" i="103"/>
  <c r="AZ56" i="103"/>
  <c r="AY151" i="103"/>
  <c r="AZ151" i="103"/>
  <c r="T104" i="103"/>
  <c r="S104" i="103"/>
  <c r="AY146" i="103"/>
  <c r="AZ146" i="103"/>
  <c r="S107" i="103"/>
  <c r="T107" i="103"/>
  <c r="AY150" i="103"/>
  <c r="AZ150" i="103"/>
  <c r="S103" i="103"/>
  <c r="T103" i="103"/>
  <c r="AZ69" i="103"/>
  <c r="AY69" i="103"/>
  <c r="AZ148" i="103"/>
  <c r="AY148" i="103"/>
  <c r="AY149" i="103"/>
  <c r="AZ149" i="103"/>
  <c r="S110" i="103"/>
  <c r="T110" i="103"/>
  <c r="AZ145" i="103"/>
  <c r="AY145" i="103"/>
  <c r="AY153" i="103"/>
  <c r="AZ153" i="103"/>
  <c r="S109" i="103"/>
  <c r="T109" i="103"/>
  <c r="AY152" i="103"/>
  <c r="AZ152" i="103"/>
  <c r="T105" i="103"/>
  <c r="S105" i="103"/>
  <c r="T106" i="103"/>
  <c r="S106" i="103"/>
  <c r="AY147" i="103"/>
  <c r="AZ147" i="103"/>
  <c r="T101" i="103"/>
  <c r="S101" i="103"/>
  <c r="T102" i="103"/>
  <c r="S102" i="103"/>
  <c r="AY154" i="103"/>
  <c r="AZ154" i="103"/>
  <c r="S108" i="103"/>
  <c r="T108" i="103"/>
  <c r="AZ68" i="103"/>
  <c r="AY68" i="103"/>
  <c r="AH83" i="103"/>
  <c r="AH87" i="103"/>
  <c r="AH84" i="103"/>
  <c r="AH80" i="103"/>
  <c r="AH88" i="103"/>
  <c r="AH81" i="103"/>
  <c r="AH85" i="103"/>
  <c r="AH79" i="103"/>
  <c r="AH86" i="103"/>
  <c r="AH82" i="103"/>
  <c r="AH70" i="103"/>
  <c r="AH74" i="103"/>
  <c r="AH68" i="103"/>
  <c r="AH75" i="103"/>
  <c r="AH71" i="103"/>
  <c r="AH72" i="103"/>
  <c r="AH76" i="103"/>
  <c r="AH73" i="103"/>
  <c r="AH77" i="103"/>
  <c r="AH69" i="103"/>
  <c r="AH148" i="103"/>
  <c r="AH152" i="103"/>
  <c r="AH146" i="103"/>
  <c r="AH153" i="103"/>
  <c r="AH149" i="103"/>
  <c r="AH154" i="103"/>
  <c r="AH147" i="103"/>
  <c r="AH150" i="103"/>
  <c r="AH145" i="103"/>
  <c r="AH151" i="103"/>
  <c r="AX136" i="103"/>
  <c r="AX140" i="103"/>
  <c r="AX134" i="103"/>
  <c r="AX137" i="103"/>
  <c r="AX141" i="103"/>
  <c r="AX142" i="103"/>
  <c r="AX138" i="103"/>
  <c r="AX139" i="103"/>
  <c r="AX143" i="103"/>
  <c r="AX135" i="103"/>
  <c r="R162" i="103"/>
  <c r="R158" i="103"/>
  <c r="R157" i="103"/>
  <c r="R165" i="103"/>
  <c r="R161" i="103"/>
  <c r="R164" i="103"/>
  <c r="R160" i="103"/>
  <c r="R163" i="103"/>
  <c r="R156" i="103"/>
  <c r="V156" i="103" s="1"/>
  <c r="R159" i="103"/>
  <c r="AX114" i="103"/>
  <c r="AX121" i="103"/>
  <c r="AX115" i="103"/>
  <c r="AX118" i="103"/>
  <c r="AX112" i="103"/>
  <c r="AX116" i="103"/>
  <c r="AX119" i="103"/>
  <c r="AX117" i="103"/>
  <c r="AX120" i="103"/>
  <c r="AX113" i="103"/>
  <c r="AH127" i="103"/>
  <c r="AH131" i="103"/>
  <c r="AH123" i="103"/>
  <c r="AH124" i="103"/>
  <c r="AH128" i="103"/>
  <c r="AH129" i="103"/>
  <c r="AH132" i="103"/>
  <c r="AH125" i="103"/>
  <c r="AH126" i="103"/>
  <c r="AH130" i="103"/>
  <c r="R79" i="103"/>
  <c r="V79" i="103" s="1"/>
  <c r="AH107" i="103"/>
  <c r="AH104" i="103"/>
  <c r="AH101" i="103"/>
  <c r="AL101" i="103" s="1"/>
  <c r="AH108" i="103"/>
  <c r="AH102" i="103"/>
  <c r="AH105" i="103"/>
  <c r="AH109" i="103"/>
  <c r="AH106" i="103"/>
  <c r="AH110" i="103"/>
  <c r="AH103" i="103"/>
  <c r="AX108" i="103"/>
  <c r="AX104" i="103"/>
  <c r="AX109" i="103"/>
  <c r="AX105" i="103"/>
  <c r="AX110" i="103"/>
  <c r="AX102" i="103"/>
  <c r="AX106" i="103"/>
  <c r="AX103" i="103"/>
  <c r="AX107" i="103"/>
  <c r="AX101" i="103"/>
  <c r="BB101" i="103" s="1"/>
  <c r="AH57" i="103"/>
  <c r="AL57" i="103" s="1"/>
  <c r="AK57" i="103" s="1"/>
  <c r="R145" i="103"/>
  <c r="R148" i="103"/>
  <c r="R152" i="103"/>
  <c r="R147" i="103"/>
  <c r="R146" i="103"/>
  <c r="R151" i="103"/>
  <c r="R150" i="103"/>
  <c r="R154" i="103"/>
  <c r="R149" i="103"/>
  <c r="R153" i="103"/>
  <c r="AX127" i="103"/>
  <c r="AX131" i="103"/>
  <c r="AX128" i="103"/>
  <c r="AX124" i="103"/>
  <c r="AX129" i="103"/>
  <c r="AX125" i="103"/>
  <c r="AX132" i="103"/>
  <c r="AX123" i="103"/>
  <c r="BB123" i="103" s="1"/>
  <c r="AX126" i="103"/>
  <c r="AX130" i="103"/>
  <c r="AX90" i="103"/>
  <c r="AX93" i="103"/>
  <c r="AX97" i="103"/>
  <c r="AX94" i="103"/>
  <c r="AX98" i="103"/>
  <c r="AX91" i="103"/>
  <c r="AX95" i="103"/>
  <c r="AX99" i="103"/>
  <c r="AX92" i="103"/>
  <c r="AX96" i="103"/>
  <c r="AH114" i="103"/>
  <c r="AH115" i="103"/>
  <c r="AH119" i="103"/>
  <c r="AH112" i="103"/>
  <c r="AL112" i="103" s="1"/>
  <c r="AH116" i="103"/>
  <c r="AH120" i="103"/>
  <c r="AH113" i="103"/>
  <c r="AH117" i="103"/>
  <c r="AH121" i="103"/>
  <c r="AH118" i="103"/>
  <c r="AH159" i="103"/>
  <c r="AH163" i="103"/>
  <c r="AH156" i="103"/>
  <c r="AH160" i="103"/>
  <c r="AH164" i="103"/>
  <c r="AH157" i="103"/>
  <c r="AH161" i="103"/>
  <c r="AH162" i="103"/>
  <c r="AH165" i="103"/>
  <c r="AH158" i="103"/>
  <c r="R93" i="103"/>
  <c r="R97" i="103"/>
  <c r="R90" i="103"/>
  <c r="V90" i="103" s="1"/>
  <c r="R94" i="103"/>
  <c r="R98" i="103"/>
  <c r="R91" i="103"/>
  <c r="R95" i="103"/>
  <c r="R99" i="103"/>
  <c r="R96" i="103"/>
  <c r="R92" i="103"/>
  <c r="R113" i="103"/>
  <c r="R117" i="103"/>
  <c r="R120" i="103"/>
  <c r="R114" i="103"/>
  <c r="R115" i="103"/>
  <c r="R118" i="103"/>
  <c r="R121" i="103"/>
  <c r="R112" i="103"/>
  <c r="R119" i="103"/>
  <c r="R116" i="103"/>
  <c r="R142" i="103"/>
  <c r="R143" i="103"/>
  <c r="R134" i="103"/>
  <c r="V134" i="103" s="1"/>
  <c r="R138" i="103"/>
  <c r="R139" i="103"/>
  <c r="R135" i="103"/>
  <c r="R140" i="103"/>
  <c r="R136" i="103"/>
  <c r="R137" i="103"/>
  <c r="R141" i="103"/>
  <c r="R130" i="103"/>
  <c r="R127" i="103"/>
  <c r="R124" i="103"/>
  <c r="R131" i="103"/>
  <c r="R123" i="103"/>
  <c r="R128" i="103"/>
  <c r="R125" i="103"/>
  <c r="R129" i="103"/>
  <c r="R132" i="103"/>
  <c r="R126" i="103"/>
  <c r="AX79" i="103"/>
  <c r="AH91" i="103"/>
  <c r="AH98" i="103"/>
  <c r="AH94" i="103"/>
  <c r="AH99" i="103"/>
  <c r="AH92" i="103"/>
  <c r="AH95" i="103"/>
  <c r="AH96" i="103"/>
  <c r="AH90" i="103"/>
  <c r="AH93" i="103"/>
  <c r="AH97" i="103"/>
  <c r="AH135" i="103"/>
  <c r="AH139" i="103"/>
  <c r="AH134" i="103"/>
  <c r="AH140" i="103"/>
  <c r="AH143" i="103"/>
  <c r="AH136" i="103"/>
  <c r="AH137" i="103"/>
  <c r="AH141" i="103"/>
  <c r="AH138" i="103"/>
  <c r="AH142" i="103"/>
  <c r="AX162" i="103"/>
  <c r="AX159" i="103"/>
  <c r="AX163" i="103"/>
  <c r="AX156" i="103"/>
  <c r="BB156" i="103" s="1"/>
  <c r="AX157" i="103"/>
  <c r="AX160" i="103"/>
  <c r="AX164" i="103"/>
  <c r="AX161" i="103"/>
  <c r="AX165" i="103"/>
  <c r="AX158" i="103"/>
  <c r="BB68" i="103"/>
  <c r="BP3" i="4"/>
  <c r="BP4" i="4" s="1"/>
  <c r="AJ89" i="103"/>
  <c r="AI89" i="103"/>
  <c r="AG90" i="103"/>
  <c r="AG134" i="103"/>
  <c r="AJ133" i="103"/>
  <c r="AI133" i="103"/>
  <c r="AI78" i="103"/>
  <c r="AG79" i="103"/>
  <c r="AJ78" i="103"/>
  <c r="AJ67" i="103"/>
  <c r="AG68" i="103"/>
  <c r="AI67" i="103"/>
  <c r="AJ144" i="103"/>
  <c r="AI144" i="103"/>
  <c r="AG145" i="103"/>
  <c r="AG123" i="103"/>
  <c r="AJ122" i="103"/>
  <c r="AI122" i="103"/>
  <c r="AJ155" i="103"/>
  <c r="AG156" i="103"/>
  <c r="AI155" i="103"/>
  <c r="AJ100" i="103"/>
  <c r="AI100" i="103"/>
  <c r="AG101" i="103"/>
  <c r="AJ56" i="103"/>
  <c r="AG57" i="103"/>
  <c r="AH58" i="103" s="1"/>
  <c r="AI56" i="103"/>
  <c r="AG112" i="103"/>
  <c r="AJ111" i="103"/>
  <c r="AI111" i="103"/>
  <c r="AZ133" i="103"/>
  <c r="AY133" i="103"/>
  <c r="AW134" i="103"/>
  <c r="AY111" i="103"/>
  <c r="AZ111" i="103"/>
  <c r="AW112" i="103"/>
  <c r="Q79" i="103"/>
  <c r="R80" i="103" s="1"/>
  <c r="AZ100" i="103"/>
  <c r="AW101" i="103"/>
  <c r="AY100" i="103"/>
  <c r="Q145" i="103"/>
  <c r="AW123" i="103"/>
  <c r="AZ122" i="103"/>
  <c r="AY122" i="103"/>
  <c r="AZ89" i="103"/>
  <c r="AW90" i="103"/>
  <c r="AY89" i="103"/>
  <c r="AW69" i="103"/>
  <c r="AX70" i="103" s="1"/>
  <c r="Q90" i="103"/>
  <c r="Q57" i="103"/>
  <c r="AW146" i="103"/>
  <c r="BB146" i="103"/>
  <c r="V102" i="103"/>
  <c r="Q102" i="103"/>
  <c r="Q112" i="103"/>
  <c r="Q134" i="103"/>
  <c r="Q68" i="103"/>
  <c r="Q123" i="103"/>
  <c r="AZ78" i="103"/>
  <c r="AY78" i="103"/>
  <c r="AW79" i="103"/>
  <c r="AX80" i="103" s="1"/>
  <c r="AZ155" i="103"/>
  <c r="AY155" i="103"/>
  <c r="AW156" i="103"/>
  <c r="Q156" i="103"/>
  <c r="BL3" i="4"/>
  <c r="BL4" i="4" s="1"/>
  <c r="I555" i="102"/>
  <c r="I559" i="102"/>
  <c r="I558" i="102"/>
  <c r="I557" i="102"/>
  <c r="I556" i="102"/>
  <c r="F604" i="102"/>
  <c r="F605" i="102"/>
  <c r="F606" i="102"/>
  <c r="F607" i="102"/>
  <c r="F608" i="102"/>
  <c r="F609" i="102"/>
  <c r="F610" i="102"/>
  <c r="F611" i="102"/>
  <c r="F612" i="102"/>
  <c r="F613" i="102"/>
  <c r="E613" i="102"/>
  <c r="E612" i="102"/>
  <c r="E611" i="102"/>
  <c r="E610" i="102"/>
  <c r="E609" i="102"/>
  <c r="E608" i="102"/>
  <c r="E607" i="102"/>
  <c r="E606" i="102"/>
  <c r="E605" i="102"/>
  <c r="A613" i="102"/>
  <c r="I613" i="102" s="1"/>
  <c r="A612" i="102"/>
  <c r="I612" i="102" s="1"/>
  <c r="A611" i="102"/>
  <c r="I611" i="102" s="1"/>
  <c r="A610" i="102"/>
  <c r="I610" i="102" s="1"/>
  <c r="A609" i="102"/>
  <c r="I609" i="102" s="1"/>
  <c r="A608" i="102"/>
  <c r="I608" i="102" s="1"/>
  <c r="A607" i="102"/>
  <c r="I607" i="102" s="1"/>
  <c r="A606" i="102"/>
  <c r="I606" i="102" s="1"/>
  <c r="A605" i="102"/>
  <c r="I605" i="102" s="1"/>
  <c r="E604" i="102"/>
  <c r="A604" i="102"/>
  <c r="I604" i="102" s="1"/>
  <c r="F593" i="102"/>
  <c r="F594" i="102"/>
  <c r="F595" i="102"/>
  <c r="F596" i="102"/>
  <c r="F597" i="102"/>
  <c r="F598" i="102"/>
  <c r="F599" i="102"/>
  <c r="F600" i="102"/>
  <c r="F601" i="102"/>
  <c r="F602" i="102"/>
  <c r="E602" i="102"/>
  <c r="E601" i="102"/>
  <c r="E600" i="102"/>
  <c r="E599" i="102"/>
  <c r="E598" i="102"/>
  <c r="E597" i="102"/>
  <c r="E596" i="102"/>
  <c r="E595" i="102"/>
  <c r="E594" i="102"/>
  <c r="E593" i="102"/>
  <c r="A602" i="102"/>
  <c r="I602" i="102" s="1"/>
  <c r="A601" i="102"/>
  <c r="I601" i="102" s="1"/>
  <c r="A600" i="102"/>
  <c r="I600" i="102" s="1"/>
  <c r="A599" i="102"/>
  <c r="I599" i="102" s="1"/>
  <c r="A598" i="102"/>
  <c r="I598" i="102" s="1"/>
  <c r="A597" i="102"/>
  <c r="I597" i="102" s="1"/>
  <c r="A596" i="102"/>
  <c r="I596" i="102" s="1"/>
  <c r="A595" i="102"/>
  <c r="I595" i="102" s="1"/>
  <c r="A594" i="102"/>
  <c r="I594" i="102" s="1"/>
  <c r="A593" i="102"/>
  <c r="I593" i="102" s="1"/>
  <c r="F582" i="102"/>
  <c r="F583" i="102"/>
  <c r="F584" i="102"/>
  <c r="F585" i="102"/>
  <c r="F586" i="102"/>
  <c r="F587" i="102"/>
  <c r="F588" i="102"/>
  <c r="F589" i="102"/>
  <c r="F590" i="102"/>
  <c r="F591" i="102"/>
  <c r="E591" i="102"/>
  <c r="E590" i="102"/>
  <c r="E589" i="102"/>
  <c r="E588" i="102"/>
  <c r="E587" i="102"/>
  <c r="E586" i="102"/>
  <c r="E585" i="102"/>
  <c r="E584" i="102"/>
  <c r="E583" i="102"/>
  <c r="E582" i="102"/>
  <c r="A591" i="102"/>
  <c r="I591" i="102" s="1"/>
  <c r="A590" i="102"/>
  <c r="I590" i="102" s="1"/>
  <c r="A589" i="102"/>
  <c r="I589" i="102" s="1"/>
  <c r="A588" i="102"/>
  <c r="I588" i="102" s="1"/>
  <c r="A587" i="102"/>
  <c r="I587" i="102" s="1"/>
  <c r="A586" i="102"/>
  <c r="I586" i="102" s="1"/>
  <c r="A585" i="102"/>
  <c r="I585" i="102" s="1"/>
  <c r="A584" i="102"/>
  <c r="I584" i="102" s="1"/>
  <c r="A583" i="102"/>
  <c r="I583" i="102" s="1"/>
  <c r="A582" i="102"/>
  <c r="I582" i="102" s="1"/>
  <c r="F571" i="102"/>
  <c r="F572" i="102"/>
  <c r="F573" i="102"/>
  <c r="F574" i="102"/>
  <c r="F575" i="102"/>
  <c r="F576" i="102"/>
  <c r="F577" i="102"/>
  <c r="F578" i="102"/>
  <c r="F579" i="102"/>
  <c r="F580" i="102"/>
  <c r="E580" i="102"/>
  <c r="E579" i="102"/>
  <c r="E578" i="102"/>
  <c r="E577" i="102"/>
  <c r="E576" i="102"/>
  <c r="E575" i="102"/>
  <c r="E574" i="102"/>
  <c r="E573" i="102"/>
  <c r="E572" i="102"/>
  <c r="E571" i="102"/>
  <c r="A580" i="102"/>
  <c r="I580" i="102" s="1"/>
  <c r="A579" i="102"/>
  <c r="I579" i="102" s="1"/>
  <c r="A578" i="102"/>
  <c r="I578" i="102" s="1"/>
  <c r="A577" i="102"/>
  <c r="I577" i="102" s="1"/>
  <c r="A576" i="102"/>
  <c r="I576" i="102" s="1"/>
  <c r="A575" i="102"/>
  <c r="I575" i="102" s="1"/>
  <c r="A574" i="102"/>
  <c r="I574" i="102" s="1"/>
  <c r="A573" i="102"/>
  <c r="I573" i="102" s="1"/>
  <c r="A572" i="102"/>
  <c r="I572" i="102" s="1"/>
  <c r="A571" i="102"/>
  <c r="I571" i="102" s="1"/>
  <c r="I166" i="102"/>
  <c r="B166" i="102"/>
  <c r="AW58" i="103" l="1"/>
  <c r="AX59" i="103" s="1"/>
  <c r="AZ59" i="103" s="1"/>
  <c r="F5" i="103"/>
  <c r="A78" i="103" s="1"/>
  <c r="A79" i="103" s="1"/>
  <c r="A80" i="103" s="1"/>
  <c r="A81" i="103" s="1"/>
  <c r="AY58" i="103"/>
  <c r="F4" i="103"/>
  <c r="H4" i="103" s="1"/>
  <c r="F11" i="103"/>
  <c r="H11" i="103" s="1"/>
  <c r="F12" i="103"/>
  <c r="G12" i="103" s="1"/>
  <c r="F10" i="103"/>
  <c r="A133" i="103" s="1"/>
  <c r="B141" i="103" s="1"/>
  <c r="C141" i="103" s="1"/>
  <c r="F7" i="103"/>
  <c r="A100" i="103" s="1"/>
  <c r="B104" i="103" s="1"/>
  <c r="C104" i="103" s="1"/>
  <c r="F3" i="103"/>
  <c r="G3" i="103" s="1"/>
  <c r="F8" i="103"/>
  <c r="F9" i="103"/>
  <c r="H9" i="103" s="1"/>
  <c r="F6" i="103"/>
  <c r="BP5" i="4"/>
  <c r="BL5" i="4"/>
  <c r="AZ57" i="103"/>
  <c r="BB57" i="103"/>
  <c r="BA57" i="103" s="1"/>
  <c r="AY157" i="103"/>
  <c r="AZ157" i="103"/>
  <c r="AI137" i="103"/>
  <c r="AJ137" i="103"/>
  <c r="AJ93" i="103"/>
  <c r="AI93" i="103"/>
  <c r="AI91" i="103"/>
  <c r="AJ91" i="103"/>
  <c r="S131" i="103"/>
  <c r="T131" i="103"/>
  <c r="S134" i="103"/>
  <c r="T134" i="103"/>
  <c r="T115" i="103"/>
  <c r="S115" i="103"/>
  <c r="S90" i="103"/>
  <c r="T90" i="103"/>
  <c r="AI157" i="103"/>
  <c r="AJ157" i="103"/>
  <c r="AI118" i="103"/>
  <c r="AJ118" i="103"/>
  <c r="AI115" i="103"/>
  <c r="AJ115" i="103"/>
  <c r="AY94" i="103"/>
  <c r="AZ94" i="103"/>
  <c r="AZ125" i="103"/>
  <c r="AY125" i="103"/>
  <c r="S154" i="103"/>
  <c r="T154" i="103"/>
  <c r="AZ103" i="103"/>
  <c r="AY103" i="103"/>
  <c r="AI103" i="103"/>
  <c r="AJ103" i="103"/>
  <c r="AJ104" i="103"/>
  <c r="AI104" i="103"/>
  <c r="AJ125" i="103"/>
  <c r="AI125" i="103"/>
  <c r="AY113" i="103"/>
  <c r="AZ113" i="103"/>
  <c r="AZ121" i="103"/>
  <c r="AY121" i="103"/>
  <c r="T165" i="103"/>
  <c r="S165" i="103"/>
  <c r="AZ139" i="103"/>
  <c r="AY139" i="103"/>
  <c r="AJ151" i="103"/>
  <c r="AI151" i="103"/>
  <c r="AJ152" i="103"/>
  <c r="AI152" i="103"/>
  <c r="AJ75" i="103"/>
  <c r="AI75" i="103"/>
  <c r="AI86" i="103"/>
  <c r="AJ86" i="103"/>
  <c r="AI83" i="103"/>
  <c r="AJ83" i="103"/>
  <c r="AZ156" i="103"/>
  <c r="AY156" i="103"/>
  <c r="AI136" i="103"/>
  <c r="AJ136" i="103"/>
  <c r="AL90" i="103"/>
  <c r="AI90" i="103"/>
  <c r="AJ90" i="103"/>
  <c r="S124" i="103"/>
  <c r="T124" i="103"/>
  <c r="S141" i="103"/>
  <c r="T141" i="103"/>
  <c r="T143" i="103"/>
  <c r="S143" i="103"/>
  <c r="T114" i="103"/>
  <c r="S114" i="103"/>
  <c r="S92" i="103"/>
  <c r="T92" i="103"/>
  <c r="T97" i="103"/>
  <c r="S97" i="103"/>
  <c r="AI164" i="103"/>
  <c r="AJ164" i="103"/>
  <c r="AJ121" i="103"/>
  <c r="AI121" i="103"/>
  <c r="AI114" i="103"/>
  <c r="AJ114" i="103"/>
  <c r="AZ97" i="103"/>
  <c r="AY97" i="103"/>
  <c r="AY129" i="103"/>
  <c r="AZ129" i="103"/>
  <c r="S150" i="103"/>
  <c r="T150" i="103"/>
  <c r="AY106" i="103"/>
  <c r="AZ106" i="103"/>
  <c r="AI110" i="103"/>
  <c r="AJ110" i="103"/>
  <c r="AI107" i="103"/>
  <c r="AJ107" i="103"/>
  <c r="AJ132" i="103"/>
  <c r="AI132" i="103"/>
  <c r="AZ120" i="103"/>
  <c r="AY120" i="103"/>
  <c r="AZ114" i="103"/>
  <c r="AY114" i="103"/>
  <c r="S157" i="103"/>
  <c r="T157" i="103"/>
  <c r="AY138" i="103"/>
  <c r="AZ138" i="103"/>
  <c r="AL145" i="103"/>
  <c r="AI145" i="103"/>
  <c r="AJ145" i="103"/>
  <c r="AI148" i="103"/>
  <c r="AJ148" i="103"/>
  <c r="AI68" i="103"/>
  <c r="AJ68" i="103"/>
  <c r="AL79" i="103"/>
  <c r="AI79" i="103"/>
  <c r="AJ79" i="103"/>
  <c r="AY70" i="103"/>
  <c r="AZ70" i="103"/>
  <c r="AZ163" i="103"/>
  <c r="AY163" i="103"/>
  <c r="AJ143" i="103"/>
  <c r="AI143" i="103"/>
  <c r="AI96" i="103"/>
  <c r="AJ96" i="103"/>
  <c r="S126" i="103"/>
  <c r="T126" i="103"/>
  <c r="S127" i="103"/>
  <c r="T127" i="103"/>
  <c r="S137" i="103"/>
  <c r="T137" i="103"/>
  <c r="T142" i="103"/>
  <c r="S142" i="103"/>
  <c r="S120" i="103"/>
  <c r="T120" i="103"/>
  <c r="S96" i="103"/>
  <c r="T96" i="103"/>
  <c r="S93" i="103"/>
  <c r="T93" i="103"/>
  <c r="AJ160" i="103"/>
  <c r="AI160" i="103"/>
  <c r="AJ117" i="103"/>
  <c r="AI117" i="103"/>
  <c r="AZ96" i="103"/>
  <c r="AY96" i="103"/>
  <c r="AY93" i="103"/>
  <c r="AZ93" i="103"/>
  <c r="AY124" i="103"/>
  <c r="AZ124" i="103"/>
  <c r="S151" i="103"/>
  <c r="T151" i="103"/>
  <c r="AI58" i="103"/>
  <c r="AJ58" i="103"/>
  <c r="AZ102" i="103"/>
  <c r="AY102" i="103"/>
  <c r="AI106" i="103"/>
  <c r="AJ106" i="103"/>
  <c r="AI129" i="103"/>
  <c r="AJ129" i="103"/>
  <c r="AY117" i="103"/>
  <c r="AZ117" i="103"/>
  <c r="S159" i="103"/>
  <c r="T159" i="103"/>
  <c r="T158" i="103"/>
  <c r="S158" i="103"/>
  <c r="AZ142" i="103"/>
  <c r="AY142" i="103"/>
  <c r="AI150" i="103"/>
  <c r="AJ150" i="103"/>
  <c r="AJ69" i="103"/>
  <c r="AI69" i="103"/>
  <c r="AJ74" i="103"/>
  <c r="AI74" i="103"/>
  <c r="AI85" i="103"/>
  <c r="AJ85" i="103"/>
  <c r="AY158" i="103"/>
  <c r="AZ158" i="103"/>
  <c r="AZ159" i="103"/>
  <c r="AY159" i="103"/>
  <c r="AJ140" i="103"/>
  <c r="AI140" i="103"/>
  <c r="AJ95" i="103"/>
  <c r="AI95" i="103"/>
  <c r="S132" i="103"/>
  <c r="T132" i="103"/>
  <c r="S130" i="103"/>
  <c r="T130" i="103"/>
  <c r="T136" i="103"/>
  <c r="S136" i="103"/>
  <c r="S116" i="103"/>
  <c r="T116" i="103"/>
  <c r="T117" i="103"/>
  <c r="S117" i="103"/>
  <c r="S99" i="103"/>
  <c r="T99" i="103"/>
  <c r="AJ156" i="103"/>
  <c r="AI156" i="103"/>
  <c r="AI113" i="103"/>
  <c r="AJ113" i="103"/>
  <c r="AY92" i="103"/>
  <c r="AZ92" i="103"/>
  <c r="AZ90" i="103"/>
  <c r="AY90" i="103"/>
  <c r="AY128" i="103"/>
  <c r="AZ128" i="103"/>
  <c r="T146" i="103"/>
  <c r="S146" i="103"/>
  <c r="AZ110" i="103"/>
  <c r="AY110" i="103"/>
  <c r="AI109" i="103"/>
  <c r="AJ109" i="103"/>
  <c r="T80" i="103"/>
  <c r="S80" i="103"/>
  <c r="AJ128" i="103"/>
  <c r="AI128" i="103"/>
  <c r="AZ119" i="103"/>
  <c r="AY119" i="103"/>
  <c r="T156" i="103"/>
  <c r="S156" i="103"/>
  <c r="S162" i="103"/>
  <c r="T162" i="103"/>
  <c r="AZ141" i="103"/>
  <c r="AY141" i="103"/>
  <c r="AI147" i="103"/>
  <c r="AJ147" i="103"/>
  <c r="AI77" i="103"/>
  <c r="AJ77" i="103"/>
  <c r="AJ70" i="103"/>
  <c r="AI70" i="103"/>
  <c r="AI81" i="103"/>
  <c r="AJ81" i="103"/>
  <c r="AY165" i="103"/>
  <c r="AZ165" i="103"/>
  <c r="AZ162" i="103"/>
  <c r="AY162" i="103"/>
  <c r="AI134" i="103"/>
  <c r="AJ134" i="103"/>
  <c r="AJ92" i="103"/>
  <c r="AI92" i="103"/>
  <c r="S129" i="103"/>
  <c r="T129" i="103"/>
  <c r="T140" i="103"/>
  <c r="S140" i="103"/>
  <c r="T119" i="103"/>
  <c r="S119" i="103"/>
  <c r="S113" i="103"/>
  <c r="T113" i="103"/>
  <c r="S95" i="103"/>
  <c r="T95" i="103"/>
  <c r="AJ158" i="103"/>
  <c r="AI158" i="103"/>
  <c r="AI163" i="103"/>
  <c r="AJ163" i="103"/>
  <c r="AI120" i="103"/>
  <c r="AJ120" i="103"/>
  <c r="AY99" i="103"/>
  <c r="AZ99" i="103"/>
  <c r="AY130" i="103"/>
  <c r="AZ130" i="103"/>
  <c r="AY131" i="103"/>
  <c r="AZ131" i="103"/>
  <c r="T147" i="103"/>
  <c r="S147" i="103"/>
  <c r="AI57" i="103"/>
  <c r="AJ57" i="103"/>
  <c r="AZ105" i="103"/>
  <c r="AY105" i="103"/>
  <c r="AJ105" i="103"/>
  <c r="AI105" i="103"/>
  <c r="AI124" i="103"/>
  <c r="AJ124" i="103"/>
  <c r="AY116" i="103"/>
  <c r="AZ116" i="103"/>
  <c r="T163" i="103"/>
  <c r="S163" i="103"/>
  <c r="AY137" i="103"/>
  <c r="AZ137" i="103"/>
  <c r="AI154" i="103"/>
  <c r="AJ154" i="103"/>
  <c r="AI73" i="103"/>
  <c r="AJ73" i="103"/>
  <c r="AI88" i="103"/>
  <c r="AJ88" i="103"/>
  <c r="AY161" i="103"/>
  <c r="AZ161" i="103"/>
  <c r="AJ142" i="103"/>
  <c r="AI142" i="103"/>
  <c r="AJ139" i="103"/>
  <c r="AI139" i="103"/>
  <c r="AJ99" i="103"/>
  <c r="AI99" i="103"/>
  <c r="S125" i="103"/>
  <c r="T125" i="103"/>
  <c r="S135" i="103"/>
  <c r="T135" i="103"/>
  <c r="V112" i="103"/>
  <c r="S112" i="103"/>
  <c r="T112" i="103"/>
  <c r="S91" i="103"/>
  <c r="T91" i="103"/>
  <c r="AI165" i="103"/>
  <c r="AJ165" i="103"/>
  <c r="AJ159" i="103"/>
  <c r="AI159" i="103"/>
  <c r="AI116" i="103"/>
  <c r="AJ116" i="103"/>
  <c r="AZ95" i="103"/>
  <c r="AY95" i="103"/>
  <c r="AZ126" i="103"/>
  <c r="AY126" i="103"/>
  <c r="AY127" i="103"/>
  <c r="AZ127" i="103"/>
  <c r="S152" i="103"/>
  <c r="T152" i="103"/>
  <c r="AZ109" i="103"/>
  <c r="AY109" i="103"/>
  <c r="AI102" i="103"/>
  <c r="AJ102" i="103"/>
  <c r="AJ123" i="103"/>
  <c r="AI123" i="103"/>
  <c r="AZ112" i="103"/>
  <c r="AY112" i="103"/>
  <c r="S160" i="103"/>
  <c r="T160" i="103"/>
  <c r="BB134" i="103"/>
  <c r="AZ134" i="103"/>
  <c r="AY134" i="103"/>
  <c r="AJ149" i="103"/>
  <c r="AI149" i="103"/>
  <c r="AJ76" i="103"/>
  <c r="AI76" i="103"/>
  <c r="AI80" i="103"/>
  <c r="AJ80" i="103"/>
  <c r="AY164" i="103"/>
  <c r="AZ164" i="103"/>
  <c r="AJ138" i="103"/>
  <c r="AI138" i="103"/>
  <c r="AJ135" i="103"/>
  <c r="AI135" i="103"/>
  <c r="AI94" i="103"/>
  <c r="AJ94" i="103"/>
  <c r="S128" i="103"/>
  <c r="T128" i="103"/>
  <c r="T139" i="103"/>
  <c r="S139" i="103"/>
  <c r="T121" i="103"/>
  <c r="S121" i="103"/>
  <c r="T98" i="103"/>
  <c r="S98" i="103"/>
  <c r="AI162" i="103"/>
  <c r="AJ162" i="103"/>
  <c r="AI112" i="103"/>
  <c r="AJ112" i="103"/>
  <c r="AY91" i="103"/>
  <c r="AZ91" i="103"/>
  <c r="AZ123" i="103"/>
  <c r="AY123" i="103"/>
  <c r="S153" i="103"/>
  <c r="T153" i="103"/>
  <c r="T148" i="103"/>
  <c r="S148" i="103"/>
  <c r="AZ101" i="103"/>
  <c r="AY101" i="103"/>
  <c r="AZ104" i="103"/>
  <c r="AY104" i="103"/>
  <c r="AI108" i="103"/>
  <c r="AJ108" i="103"/>
  <c r="AI130" i="103"/>
  <c r="AJ130" i="103"/>
  <c r="AJ131" i="103"/>
  <c r="AI131" i="103"/>
  <c r="AY118" i="103"/>
  <c r="AZ118" i="103"/>
  <c r="T164" i="103"/>
  <c r="S164" i="103"/>
  <c r="AY135" i="103"/>
  <c r="AZ135" i="103"/>
  <c r="AY140" i="103"/>
  <c r="AZ140" i="103"/>
  <c r="AJ153" i="103"/>
  <c r="AI153" i="103"/>
  <c r="AI72" i="103"/>
  <c r="AJ72" i="103"/>
  <c r="AI84" i="103"/>
  <c r="AJ84" i="103"/>
  <c r="AZ160" i="103"/>
  <c r="AY160" i="103"/>
  <c r="AI141" i="103"/>
  <c r="AJ141" i="103"/>
  <c r="AJ97" i="103"/>
  <c r="AI97" i="103"/>
  <c r="AJ98" i="103"/>
  <c r="AI98" i="103"/>
  <c r="V123" i="103"/>
  <c r="T123" i="103"/>
  <c r="S123" i="103"/>
  <c r="T138" i="103"/>
  <c r="S138" i="103"/>
  <c r="T118" i="103"/>
  <c r="S118" i="103"/>
  <c r="S94" i="103"/>
  <c r="T94" i="103"/>
  <c r="AI161" i="103"/>
  <c r="AJ161" i="103"/>
  <c r="AJ119" i="103"/>
  <c r="AI119" i="103"/>
  <c r="AY98" i="103"/>
  <c r="AZ98" i="103"/>
  <c r="AY132" i="103"/>
  <c r="AZ132" i="103"/>
  <c r="S149" i="103"/>
  <c r="T149" i="103"/>
  <c r="V145" i="103"/>
  <c r="T145" i="103"/>
  <c r="S145" i="103"/>
  <c r="AY107" i="103"/>
  <c r="AZ107" i="103"/>
  <c r="AZ108" i="103"/>
  <c r="AY108" i="103"/>
  <c r="AJ101" i="103"/>
  <c r="AI101" i="103"/>
  <c r="S79" i="103"/>
  <c r="T79" i="103"/>
  <c r="AJ126" i="103"/>
  <c r="AI126" i="103"/>
  <c r="AJ127" i="103"/>
  <c r="AI127" i="103"/>
  <c r="AY115" i="103"/>
  <c r="AZ115" i="103"/>
  <c r="S161" i="103"/>
  <c r="T161" i="103"/>
  <c r="AY143" i="103"/>
  <c r="AZ143" i="103"/>
  <c r="AY136" i="103"/>
  <c r="AZ136" i="103"/>
  <c r="AI146" i="103"/>
  <c r="AJ146" i="103"/>
  <c r="AJ71" i="103"/>
  <c r="AI71" i="103"/>
  <c r="AJ82" i="103"/>
  <c r="AI82" i="103"/>
  <c r="AI87" i="103"/>
  <c r="AJ87" i="103"/>
  <c r="AZ79" i="103"/>
  <c r="AZ80" i="103"/>
  <c r="AY80" i="103"/>
  <c r="AY79" i="103"/>
  <c r="AL156" i="103"/>
  <c r="AL134" i="103"/>
  <c r="BB112" i="103"/>
  <c r="AL123" i="103"/>
  <c r="AL68" i="103"/>
  <c r="BB79" i="103"/>
  <c r="BB69" i="103"/>
  <c r="BB58" i="103"/>
  <c r="BB90" i="103"/>
  <c r="AG102" i="103"/>
  <c r="AL102" i="103"/>
  <c r="AG146" i="103"/>
  <c r="AL146" i="103"/>
  <c r="AG91" i="103"/>
  <c r="AL91" i="103"/>
  <c r="AG58" i="103"/>
  <c r="AH59" i="103" s="1"/>
  <c r="AJ59" i="103" s="1"/>
  <c r="AL58" i="103"/>
  <c r="AK58" i="103" s="1"/>
  <c r="AG124" i="103"/>
  <c r="AL124" i="103"/>
  <c r="AG69" i="103"/>
  <c r="AL69" i="103"/>
  <c r="AG157" i="103"/>
  <c r="AL157" i="103"/>
  <c r="AG113" i="103"/>
  <c r="AL113" i="103"/>
  <c r="AG135" i="103"/>
  <c r="AL135" i="103"/>
  <c r="AG80" i="103"/>
  <c r="AL80" i="103"/>
  <c r="AW157" i="103"/>
  <c r="BB157" i="103"/>
  <c r="AW80" i="103"/>
  <c r="AX81" i="103" s="1"/>
  <c r="Q80" i="103"/>
  <c r="R81" i="103" s="1"/>
  <c r="T81" i="103" s="1"/>
  <c r="V80" i="103"/>
  <c r="BB135" i="103"/>
  <c r="AW135" i="103"/>
  <c r="Q113" i="103"/>
  <c r="V113" i="103"/>
  <c r="Q135" i="103"/>
  <c r="V135" i="103"/>
  <c r="Q103" i="103"/>
  <c r="V103" i="103"/>
  <c r="AW124" i="103"/>
  <c r="BB124" i="103"/>
  <c r="Q58" i="103"/>
  <c r="AW70" i="103"/>
  <c r="AX71" i="103" s="1"/>
  <c r="Q157" i="103"/>
  <c r="V157" i="103"/>
  <c r="Q69" i="103"/>
  <c r="Q91" i="103"/>
  <c r="V91" i="103"/>
  <c r="AW91" i="103"/>
  <c r="AW102" i="103"/>
  <c r="BB102" i="103"/>
  <c r="Q146" i="103"/>
  <c r="V146" i="103"/>
  <c r="Q124" i="103"/>
  <c r="V124" i="103"/>
  <c r="AW147" i="103"/>
  <c r="BB147" i="103"/>
  <c r="AW113" i="103"/>
  <c r="BB113" i="103"/>
  <c r="TJ17" i="4"/>
  <c r="D141" i="103" l="1"/>
  <c r="AY59" i="103"/>
  <c r="AW59" i="103"/>
  <c r="AX60" i="103" s="1"/>
  <c r="H10" i="103"/>
  <c r="G4" i="103"/>
  <c r="D104" i="103"/>
  <c r="A67" i="103"/>
  <c r="A68" i="103" s="1"/>
  <c r="A69" i="103" s="1"/>
  <c r="A70" i="103" s="1"/>
  <c r="A71" i="103" s="1"/>
  <c r="G11" i="103"/>
  <c r="A155" i="103"/>
  <c r="B158" i="103" s="1"/>
  <c r="A144" i="103"/>
  <c r="B145" i="103" s="1"/>
  <c r="G10" i="103"/>
  <c r="B137" i="103"/>
  <c r="D137" i="103" s="1"/>
  <c r="B136" i="103"/>
  <c r="C136" i="103" s="1"/>
  <c r="B143" i="103"/>
  <c r="C143" i="103" s="1"/>
  <c r="H3" i="103"/>
  <c r="A56" i="103"/>
  <c r="A57" i="103" s="1"/>
  <c r="A58" i="103" s="1"/>
  <c r="A59" i="103" s="1"/>
  <c r="A60" i="103" s="1"/>
  <c r="B142" i="103"/>
  <c r="D142" i="103" s="1"/>
  <c r="B102" i="103"/>
  <c r="G102" i="103" s="1"/>
  <c r="B107" i="103"/>
  <c r="D107" i="103" s="1"/>
  <c r="B135" i="103"/>
  <c r="C135" i="103" s="1"/>
  <c r="B138" i="103"/>
  <c r="D138" i="103" s="1"/>
  <c r="B140" i="103"/>
  <c r="C140" i="103" s="1"/>
  <c r="H7" i="103"/>
  <c r="A122" i="103"/>
  <c r="B131" i="103" s="1"/>
  <c r="D131" i="103" s="1"/>
  <c r="H12" i="103"/>
  <c r="B109" i="103"/>
  <c r="D109" i="103" s="1"/>
  <c r="B105" i="103"/>
  <c r="C105" i="103" s="1"/>
  <c r="A101" i="103"/>
  <c r="A102" i="103" s="1"/>
  <c r="A103" i="103" s="1"/>
  <c r="A104" i="103" s="1"/>
  <c r="G7" i="103"/>
  <c r="B108" i="103"/>
  <c r="C108" i="103" s="1"/>
  <c r="B106" i="103"/>
  <c r="D106" i="103" s="1"/>
  <c r="B103" i="103"/>
  <c r="C103" i="103" s="1"/>
  <c r="B110" i="103"/>
  <c r="D110" i="103" s="1"/>
  <c r="B101" i="103"/>
  <c r="G101" i="103" s="1"/>
  <c r="B139" i="103"/>
  <c r="C139" i="103" s="1"/>
  <c r="A111" i="103"/>
  <c r="H8" i="103"/>
  <c r="G8" i="103"/>
  <c r="B134" i="103"/>
  <c r="G134" i="103" s="1"/>
  <c r="G9" i="103"/>
  <c r="A134" i="103"/>
  <c r="A135" i="103" s="1"/>
  <c r="A136" i="103" s="1"/>
  <c r="A89" i="103"/>
  <c r="H6" i="103"/>
  <c r="G6" i="103"/>
  <c r="AI59" i="103"/>
  <c r="S81" i="103"/>
  <c r="BP6" i="4"/>
  <c r="BL6" i="4"/>
  <c r="C142" i="103"/>
  <c r="B146" i="103"/>
  <c r="AY60" i="103"/>
  <c r="AZ60" i="103"/>
  <c r="AY71" i="103"/>
  <c r="AZ71" i="103"/>
  <c r="AZ81" i="103"/>
  <c r="AY81" i="103"/>
  <c r="BA58" i="103"/>
  <c r="BB59" i="103"/>
  <c r="BB80" i="103"/>
  <c r="BB70" i="103"/>
  <c r="BB91" i="103"/>
  <c r="AG103" i="103"/>
  <c r="AL103" i="103"/>
  <c r="AG81" i="103"/>
  <c r="AL81" i="103"/>
  <c r="AG158" i="103"/>
  <c r="AL158" i="103"/>
  <c r="AG59" i="103"/>
  <c r="AH60" i="103" s="1"/>
  <c r="AL59" i="103"/>
  <c r="AK59" i="103" s="1"/>
  <c r="AG92" i="103"/>
  <c r="AL92" i="103"/>
  <c r="AG136" i="103"/>
  <c r="AL136" i="103"/>
  <c r="AG125" i="103"/>
  <c r="AL125" i="103"/>
  <c r="AG70" i="103"/>
  <c r="AL70" i="103"/>
  <c r="AG147" i="103"/>
  <c r="AL147" i="103"/>
  <c r="AG114" i="103"/>
  <c r="AL114" i="103"/>
  <c r="Q59" i="103"/>
  <c r="Q104" i="103"/>
  <c r="V104" i="103"/>
  <c r="AW81" i="103"/>
  <c r="AX82" i="103" s="1"/>
  <c r="AW114" i="103"/>
  <c r="BB114" i="103"/>
  <c r="Q147" i="103"/>
  <c r="V147" i="103"/>
  <c r="AW92" i="103"/>
  <c r="Q70" i="103"/>
  <c r="Q136" i="103"/>
  <c r="V136" i="103"/>
  <c r="Q81" i="103"/>
  <c r="R82" i="103" s="1"/>
  <c r="V81" i="103"/>
  <c r="AW158" i="103"/>
  <c r="BB158" i="103"/>
  <c r="A82" i="103"/>
  <c r="AW148" i="103"/>
  <c r="BB148" i="103"/>
  <c r="Q158" i="103"/>
  <c r="V158" i="103"/>
  <c r="Q114" i="103"/>
  <c r="V114" i="103"/>
  <c r="AW136" i="103"/>
  <c r="BB136" i="103"/>
  <c r="Q125" i="103"/>
  <c r="V125" i="103"/>
  <c r="AW103" i="103"/>
  <c r="BB103" i="103"/>
  <c r="Q92" i="103"/>
  <c r="V92" i="103"/>
  <c r="AW71" i="103"/>
  <c r="AX72" i="103" s="1"/>
  <c r="AW125" i="103"/>
  <c r="BB125" i="103"/>
  <c r="AW60" i="103"/>
  <c r="AX61" i="103" s="1"/>
  <c r="G104" i="103"/>
  <c r="TM3" i="4"/>
  <c r="TM2" i="4"/>
  <c r="A156" i="103" l="1"/>
  <c r="A157" i="103" s="1"/>
  <c r="A158" i="103" s="1"/>
  <c r="A159" i="103" s="1"/>
  <c r="A160" i="103" s="1"/>
  <c r="B161" i="103"/>
  <c r="C161" i="103" s="1"/>
  <c r="B156" i="103"/>
  <c r="C67" i="103"/>
  <c r="B157" i="103"/>
  <c r="G157" i="103" s="1"/>
  <c r="B164" i="103"/>
  <c r="D164" i="103" s="1"/>
  <c r="B159" i="103"/>
  <c r="G159" i="103" s="1"/>
  <c r="B160" i="103"/>
  <c r="C160" i="103" s="1"/>
  <c r="B163" i="103"/>
  <c r="C163" i="103" s="1"/>
  <c r="B165" i="103"/>
  <c r="D165" i="103" s="1"/>
  <c r="B162" i="103"/>
  <c r="D162" i="103" s="1"/>
  <c r="B152" i="103"/>
  <c r="C152" i="103" s="1"/>
  <c r="G136" i="103"/>
  <c r="D136" i="103"/>
  <c r="C138" i="103"/>
  <c r="B147" i="103"/>
  <c r="C147" i="103" s="1"/>
  <c r="D102" i="103"/>
  <c r="B151" i="103"/>
  <c r="C151" i="103" s="1"/>
  <c r="B153" i="103"/>
  <c r="D153" i="103" s="1"/>
  <c r="B148" i="103"/>
  <c r="G148" i="103" s="1"/>
  <c r="B150" i="103"/>
  <c r="D150" i="103" s="1"/>
  <c r="B154" i="103"/>
  <c r="D154" i="103" s="1"/>
  <c r="B149" i="103"/>
  <c r="D149" i="103" s="1"/>
  <c r="A145" i="103"/>
  <c r="A146" i="103" s="1"/>
  <c r="A147" i="103" s="1"/>
  <c r="A148" i="103" s="1"/>
  <c r="A149" i="103" s="1"/>
  <c r="C102" i="103"/>
  <c r="D143" i="103"/>
  <c r="C137" i="103"/>
  <c r="D135" i="103"/>
  <c r="B132" i="103"/>
  <c r="C132" i="103" s="1"/>
  <c r="B125" i="103"/>
  <c r="G125" i="103" s="1"/>
  <c r="B130" i="103"/>
  <c r="C130" i="103" s="1"/>
  <c r="B126" i="103"/>
  <c r="D126" i="103" s="1"/>
  <c r="B128" i="103"/>
  <c r="D128" i="103" s="1"/>
  <c r="C56" i="103"/>
  <c r="C131" i="103"/>
  <c r="B127" i="103"/>
  <c r="D127" i="103" s="1"/>
  <c r="B129" i="103"/>
  <c r="D129" i="103" s="1"/>
  <c r="B123" i="103"/>
  <c r="G123" i="103" s="1"/>
  <c r="D139" i="103"/>
  <c r="A123" i="103"/>
  <c r="A124" i="103" s="1"/>
  <c r="A125" i="103" s="1"/>
  <c r="A126" i="103" s="1"/>
  <c r="B124" i="103"/>
  <c r="D124" i="103" s="1"/>
  <c r="C109" i="103"/>
  <c r="C107" i="103"/>
  <c r="D105" i="103"/>
  <c r="D56" i="103"/>
  <c r="D67" i="103"/>
  <c r="G135" i="103"/>
  <c r="D140" i="103"/>
  <c r="D108" i="103"/>
  <c r="C106" i="103"/>
  <c r="C110" i="103"/>
  <c r="G103" i="103"/>
  <c r="D134" i="103"/>
  <c r="D101" i="103"/>
  <c r="D103" i="103"/>
  <c r="C101" i="103"/>
  <c r="C134" i="103"/>
  <c r="A112" i="103"/>
  <c r="A113" i="103" s="1"/>
  <c r="A114" i="103" s="1"/>
  <c r="A115" i="103" s="1"/>
  <c r="A116" i="103" s="1"/>
  <c r="B113" i="103"/>
  <c r="B119" i="103"/>
  <c r="B116" i="103"/>
  <c r="G116" i="103" s="1"/>
  <c r="B115" i="103"/>
  <c r="B121" i="103"/>
  <c r="B118" i="103"/>
  <c r="B114" i="103"/>
  <c r="B120" i="103"/>
  <c r="B112" i="103"/>
  <c r="B117" i="103"/>
  <c r="A90" i="103"/>
  <c r="A91" i="103" s="1"/>
  <c r="A92" i="103" s="1"/>
  <c r="A93" i="103" s="1"/>
  <c r="A94" i="103" s="1"/>
  <c r="B96" i="103"/>
  <c r="B92" i="103"/>
  <c r="B90" i="103"/>
  <c r="B97" i="103"/>
  <c r="B95" i="103"/>
  <c r="B99" i="103"/>
  <c r="B98" i="103"/>
  <c r="B94" i="103"/>
  <c r="G94" i="103" s="1"/>
  <c r="B91" i="103"/>
  <c r="B93" i="103"/>
  <c r="AJ60" i="103"/>
  <c r="AI60" i="103"/>
  <c r="S82" i="103"/>
  <c r="T82" i="103"/>
  <c r="BP7" i="4"/>
  <c r="BR6" i="4" s="1"/>
  <c r="BL7" i="4"/>
  <c r="BN3" i="4" s="1"/>
  <c r="C123" i="103"/>
  <c r="G145" i="103"/>
  <c r="D145" i="103"/>
  <c r="C145" i="103"/>
  <c r="G146" i="103"/>
  <c r="D146" i="103"/>
  <c r="C146" i="103"/>
  <c r="D156" i="103"/>
  <c r="C156" i="103"/>
  <c r="G156" i="103"/>
  <c r="C165" i="103"/>
  <c r="C158" i="103"/>
  <c r="D158" i="103"/>
  <c r="G158" i="103"/>
  <c r="D161" i="103"/>
  <c r="AY61" i="103"/>
  <c r="AZ61" i="103"/>
  <c r="AZ82" i="103"/>
  <c r="AY82" i="103"/>
  <c r="AY72" i="103"/>
  <c r="AZ72" i="103"/>
  <c r="BA59" i="103"/>
  <c r="BB81" i="103"/>
  <c r="BB60" i="103"/>
  <c r="BB92" i="103"/>
  <c r="BB71" i="103"/>
  <c r="AG126" i="103"/>
  <c r="AL126" i="103"/>
  <c r="AG148" i="103"/>
  <c r="AL148" i="103"/>
  <c r="AG137" i="103"/>
  <c r="AL137" i="103"/>
  <c r="AG60" i="103"/>
  <c r="AH61" i="103" s="1"/>
  <c r="AL60" i="103"/>
  <c r="AK60" i="103" s="1"/>
  <c r="AG159" i="103"/>
  <c r="AL159" i="103"/>
  <c r="AG93" i="103"/>
  <c r="AL93" i="103"/>
  <c r="AK93" i="103" s="1"/>
  <c r="AG71" i="103"/>
  <c r="AL71" i="103"/>
  <c r="AG82" i="103"/>
  <c r="AL82" i="103"/>
  <c r="AK82" i="103" s="1"/>
  <c r="AG115" i="103"/>
  <c r="AL115" i="103"/>
  <c r="AG104" i="103"/>
  <c r="AL104" i="103"/>
  <c r="AK104" i="103" s="1"/>
  <c r="A105" i="103"/>
  <c r="G105" i="103"/>
  <c r="Q126" i="103"/>
  <c r="V126" i="103"/>
  <c r="A83" i="103"/>
  <c r="Q60" i="103"/>
  <c r="Q93" i="103"/>
  <c r="V93" i="103"/>
  <c r="Q71" i="103"/>
  <c r="AW61" i="103"/>
  <c r="AX62" i="103" s="1"/>
  <c r="AW104" i="103"/>
  <c r="BB104" i="103"/>
  <c r="Q115" i="103"/>
  <c r="V115" i="103"/>
  <c r="AW149" i="103"/>
  <c r="BB149" i="103"/>
  <c r="Q82" i="103"/>
  <c r="R83" i="103" s="1"/>
  <c r="V82" i="103"/>
  <c r="AW93" i="103"/>
  <c r="Q105" i="103"/>
  <c r="V105" i="103"/>
  <c r="AW159" i="103"/>
  <c r="BB159" i="103"/>
  <c r="AW82" i="103"/>
  <c r="AX83" i="103" s="1"/>
  <c r="AW126" i="103"/>
  <c r="BB126" i="103"/>
  <c r="Q137" i="103"/>
  <c r="V137" i="103"/>
  <c r="Q148" i="103"/>
  <c r="V148" i="103"/>
  <c r="AW72" i="103"/>
  <c r="AX73" i="103" s="1"/>
  <c r="AW137" i="103"/>
  <c r="BB137" i="103"/>
  <c r="Q159" i="103"/>
  <c r="V159" i="103"/>
  <c r="A137" i="103"/>
  <c r="G137" i="103"/>
  <c r="A72" i="103"/>
  <c r="AW115" i="103"/>
  <c r="BB115" i="103"/>
  <c r="A61" i="103"/>
  <c r="C150" i="103" l="1"/>
  <c r="C125" i="103"/>
  <c r="D125" i="103"/>
  <c r="C164" i="103"/>
  <c r="C154" i="103"/>
  <c r="C159" i="103"/>
  <c r="G160" i="103"/>
  <c r="C129" i="103"/>
  <c r="D157" i="103"/>
  <c r="D163" i="103"/>
  <c r="C157" i="103"/>
  <c r="D147" i="103"/>
  <c r="D160" i="103"/>
  <c r="G126" i="103"/>
  <c r="D159" i="103"/>
  <c r="D152" i="103"/>
  <c r="D148" i="103"/>
  <c r="C148" i="103"/>
  <c r="G147" i="103"/>
  <c r="C162" i="103"/>
  <c r="D132" i="103"/>
  <c r="D151" i="103"/>
  <c r="C126" i="103"/>
  <c r="D123" i="103"/>
  <c r="C153" i="103"/>
  <c r="G149" i="103"/>
  <c r="C149" i="103"/>
  <c r="D130" i="103"/>
  <c r="C128" i="103"/>
  <c r="C127" i="103"/>
  <c r="C124" i="103"/>
  <c r="G124" i="103"/>
  <c r="D118" i="103"/>
  <c r="C118" i="103"/>
  <c r="D121" i="103"/>
  <c r="C121" i="103"/>
  <c r="C115" i="103"/>
  <c r="D115" i="103"/>
  <c r="G115" i="103"/>
  <c r="C116" i="103"/>
  <c r="D116" i="103"/>
  <c r="C117" i="103"/>
  <c r="D117" i="103"/>
  <c r="C119" i="103"/>
  <c r="D119" i="103"/>
  <c r="C114" i="103"/>
  <c r="G114" i="103"/>
  <c r="D114" i="103"/>
  <c r="D112" i="103"/>
  <c r="C112" i="103"/>
  <c r="C113" i="103"/>
  <c r="G113" i="103"/>
  <c r="D113" i="103"/>
  <c r="C120" i="103"/>
  <c r="D120" i="103"/>
  <c r="D98" i="103"/>
  <c r="C98" i="103"/>
  <c r="C99" i="103"/>
  <c r="D99" i="103"/>
  <c r="D95" i="103"/>
  <c r="C95" i="103"/>
  <c r="C97" i="103"/>
  <c r="D97" i="103"/>
  <c r="G90" i="103"/>
  <c r="D90" i="103"/>
  <c r="C90" i="103"/>
  <c r="D93" i="103"/>
  <c r="C93" i="103"/>
  <c r="G93" i="103"/>
  <c r="C92" i="103"/>
  <c r="D92" i="103"/>
  <c r="G92" i="103"/>
  <c r="G91" i="103"/>
  <c r="D91" i="103"/>
  <c r="C91" i="103"/>
  <c r="D96" i="103"/>
  <c r="C96" i="103"/>
  <c r="D94" i="103"/>
  <c r="C94" i="103"/>
  <c r="AK71" i="103"/>
  <c r="AK69" i="103"/>
  <c r="AK146" i="103"/>
  <c r="AK158" i="103"/>
  <c r="AK102" i="103"/>
  <c r="AK101" i="103"/>
  <c r="AK125" i="103"/>
  <c r="AJ61" i="103"/>
  <c r="AI61" i="103"/>
  <c r="AK103" i="103"/>
  <c r="AK136" i="103"/>
  <c r="AK90" i="103"/>
  <c r="AK137" i="103"/>
  <c r="AK113" i="103"/>
  <c r="AK92" i="103"/>
  <c r="AK91" i="103"/>
  <c r="AK79" i="103"/>
  <c r="AK80" i="103"/>
  <c r="AK147" i="103"/>
  <c r="AK134" i="103"/>
  <c r="AK156" i="103"/>
  <c r="AK148" i="103"/>
  <c r="AK124" i="103"/>
  <c r="AK81" i="103"/>
  <c r="AK112" i="103"/>
  <c r="AK114" i="103"/>
  <c r="AK70" i="103"/>
  <c r="AK145" i="103"/>
  <c r="AK115" i="103"/>
  <c r="AK159" i="103"/>
  <c r="AK126" i="103"/>
  <c r="AK123" i="103"/>
  <c r="AK157" i="103"/>
  <c r="AK68" i="103"/>
  <c r="AK135" i="103"/>
  <c r="T83" i="103"/>
  <c r="S83" i="103"/>
  <c r="BR3" i="4"/>
  <c r="BR7" i="4"/>
  <c r="BR2" i="4"/>
  <c r="BR4" i="4"/>
  <c r="BR5" i="4"/>
  <c r="BN4" i="4"/>
  <c r="BN5" i="4"/>
  <c r="BN2" i="4"/>
  <c r="BN6" i="4"/>
  <c r="BN7" i="4"/>
  <c r="AZ83" i="103"/>
  <c r="AY83" i="103"/>
  <c r="AZ62" i="103"/>
  <c r="AY62" i="103"/>
  <c r="AZ73" i="103"/>
  <c r="AY73" i="103"/>
  <c r="BA60" i="103"/>
  <c r="BA80" i="103"/>
  <c r="BB93" i="103"/>
  <c r="BB72" i="103"/>
  <c r="BB61" i="103"/>
  <c r="BB82" i="103"/>
  <c r="AG105" i="103"/>
  <c r="AL105" i="103"/>
  <c r="AK105" i="103" s="1"/>
  <c r="AG138" i="103"/>
  <c r="AL138" i="103"/>
  <c r="AK138" i="103" s="1"/>
  <c r="AG127" i="103"/>
  <c r="AL127" i="103"/>
  <c r="AK127" i="103" s="1"/>
  <c r="AG116" i="103"/>
  <c r="AL116" i="103"/>
  <c r="AK116" i="103" s="1"/>
  <c r="AG94" i="103"/>
  <c r="AL94" i="103"/>
  <c r="AK94" i="103" s="1"/>
  <c r="AG149" i="103"/>
  <c r="AL149" i="103"/>
  <c r="AK149" i="103" s="1"/>
  <c r="AG83" i="103"/>
  <c r="AL83" i="103"/>
  <c r="AK83" i="103" s="1"/>
  <c r="AG160" i="103"/>
  <c r="AL160" i="103"/>
  <c r="AK160" i="103" s="1"/>
  <c r="AG72" i="103"/>
  <c r="AL72" i="103"/>
  <c r="AK72" i="103" s="1"/>
  <c r="AG61" i="103"/>
  <c r="AH62" i="103" s="1"/>
  <c r="AL61" i="103"/>
  <c r="AK61" i="103" s="1"/>
  <c r="AW83" i="103"/>
  <c r="AX84" i="103" s="1"/>
  <c r="Q116" i="103"/>
  <c r="V116" i="103"/>
  <c r="A95" i="103"/>
  <c r="G95" i="103"/>
  <c r="Q127" i="103"/>
  <c r="V127" i="103"/>
  <c r="AW116" i="103"/>
  <c r="BB116" i="103"/>
  <c r="AW138" i="103"/>
  <c r="BB138" i="103"/>
  <c r="Q138" i="103"/>
  <c r="V138" i="103"/>
  <c r="AW94" i="103"/>
  <c r="AW105" i="103"/>
  <c r="BB105" i="103"/>
  <c r="Q94" i="103"/>
  <c r="V94" i="103"/>
  <c r="Q160" i="103"/>
  <c r="V160" i="103"/>
  <c r="A73" i="103"/>
  <c r="A117" i="103"/>
  <c r="G117" i="103"/>
  <c r="AW62" i="103"/>
  <c r="AX63" i="103" s="1"/>
  <c r="A138" i="103"/>
  <c r="G138" i="103"/>
  <c r="A84" i="103"/>
  <c r="Q149" i="103"/>
  <c r="V149" i="103"/>
  <c r="AW73" i="103"/>
  <c r="AX74" i="103" s="1"/>
  <c r="A161" i="103"/>
  <c r="G161" i="103"/>
  <c r="Q83" i="103"/>
  <c r="R84" i="103" s="1"/>
  <c r="V83" i="103"/>
  <c r="Q61" i="103"/>
  <c r="A127" i="103"/>
  <c r="G127" i="103"/>
  <c r="AW127" i="103"/>
  <c r="BB127" i="103"/>
  <c r="A150" i="103"/>
  <c r="G150" i="103"/>
  <c r="AW150" i="103"/>
  <c r="BB150" i="103"/>
  <c r="Q72" i="103"/>
  <c r="A62" i="103"/>
  <c r="Q106" i="103"/>
  <c r="V106" i="103"/>
  <c r="AW160" i="103"/>
  <c r="BB160" i="103"/>
  <c r="A106" i="103"/>
  <c r="G106" i="103"/>
  <c r="F560" i="102"/>
  <c r="F561" i="102"/>
  <c r="F562" i="102"/>
  <c r="F563" i="102"/>
  <c r="F564" i="102"/>
  <c r="F565" i="102"/>
  <c r="F566" i="102"/>
  <c r="F567" i="102"/>
  <c r="F568" i="102"/>
  <c r="F569" i="102"/>
  <c r="E569" i="102"/>
  <c r="E568" i="102"/>
  <c r="E567" i="102"/>
  <c r="E566" i="102"/>
  <c r="E565" i="102"/>
  <c r="E564" i="102"/>
  <c r="E563" i="102"/>
  <c r="E562" i="102"/>
  <c r="E561" i="102"/>
  <c r="E560" i="102"/>
  <c r="A569" i="102"/>
  <c r="I569" i="102" s="1"/>
  <c r="A568" i="102"/>
  <c r="I568" i="102" s="1"/>
  <c r="A567" i="102"/>
  <c r="I567" i="102" s="1"/>
  <c r="A566" i="102"/>
  <c r="I566" i="102" s="1"/>
  <c r="A565" i="102"/>
  <c r="I565" i="102" s="1"/>
  <c r="A564" i="102"/>
  <c r="I564" i="102" s="1"/>
  <c r="A563" i="102"/>
  <c r="I563" i="102" s="1"/>
  <c r="A562" i="102"/>
  <c r="I562" i="102" s="1"/>
  <c r="A560" i="102"/>
  <c r="I560" i="102" s="1"/>
  <c r="A561" i="102"/>
  <c r="I561" i="102" s="1"/>
  <c r="V77" i="70"/>
  <c r="T77" i="70"/>
  <c r="R77" i="70"/>
  <c r="P77" i="70"/>
  <c r="N77" i="70"/>
  <c r="L77" i="70"/>
  <c r="J77" i="70"/>
  <c r="F77" i="70"/>
  <c r="F553" i="102" l="1"/>
  <c r="BM9" i="4"/>
  <c r="AJ62" i="103"/>
  <c r="AI62" i="103"/>
  <c r="S84" i="103"/>
  <c r="T84" i="103"/>
  <c r="F552" i="102"/>
  <c r="AY74" i="103"/>
  <c r="AZ74" i="103"/>
  <c r="AZ63" i="103"/>
  <c r="AY63" i="103"/>
  <c r="AY84" i="103"/>
  <c r="AZ84" i="103"/>
  <c r="BA61" i="103"/>
  <c r="BB94" i="103"/>
  <c r="BB73" i="103"/>
  <c r="BB62" i="103"/>
  <c r="BB83" i="103"/>
  <c r="AG84" i="103"/>
  <c r="AL84" i="103"/>
  <c r="AK84" i="103" s="1"/>
  <c r="AG117" i="103"/>
  <c r="AL117" i="103"/>
  <c r="AK117" i="103" s="1"/>
  <c r="AG128" i="103"/>
  <c r="AL128" i="103"/>
  <c r="AK128" i="103" s="1"/>
  <c r="AG62" i="103"/>
  <c r="AH63" i="103" s="1"/>
  <c r="AL62" i="103"/>
  <c r="AK62" i="103" s="1"/>
  <c r="AG73" i="103"/>
  <c r="AL73" i="103"/>
  <c r="AK73" i="103" s="1"/>
  <c r="AG150" i="103"/>
  <c r="AL150" i="103"/>
  <c r="AK150" i="103" s="1"/>
  <c r="AG139" i="103"/>
  <c r="AL139" i="103"/>
  <c r="AK139" i="103" s="1"/>
  <c r="AG161" i="103"/>
  <c r="AL161" i="103"/>
  <c r="AK161" i="103" s="1"/>
  <c r="AG95" i="103"/>
  <c r="AL95" i="103"/>
  <c r="AK95" i="103" s="1"/>
  <c r="AG106" i="103"/>
  <c r="AL106" i="103"/>
  <c r="AK106" i="103" s="1"/>
  <c r="AW161" i="103"/>
  <c r="BB161" i="103"/>
  <c r="Q62" i="103"/>
  <c r="AW117" i="103"/>
  <c r="BB117" i="103"/>
  <c r="AW151" i="103"/>
  <c r="BB151" i="103"/>
  <c r="Q150" i="103"/>
  <c r="V150" i="103"/>
  <c r="A118" i="103"/>
  <c r="G118" i="103"/>
  <c r="AW106" i="103"/>
  <c r="BB106" i="103"/>
  <c r="AW84" i="103"/>
  <c r="AX85" i="103" s="1"/>
  <c r="Q107" i="103"/>
  <c r="V107" i="103"/>
  <c r="A151" i="103"/>
  <c r="G151" i="103"/>
  <c r="Q84" i="103"/>
  <c r="R85" i="103" s="1"/>
  <c r="V84" i="103"/>
  <c r="A85" i="103"/>
  <c r="A74" i="103"/>
  <c r="AW95" i="103"/>
  <c r="Q128" i="103"/>
  <c r="V128" i="103"/>
  <c r="AW128" i="103"/>
  <c r="BB128" i="103"/>
  <c r="Q139" i="103"/>
  <c r="V139" i="103"/>
  <c r="A63" i="103"/>
  <c r="A162" i="103"/>
  <c r="G162" i="103"/>
  <c r="A139" i="103"/>
  <c r="G139" i="103"/>
  <c r="Q161" i="103"/>
  <c r="V161" i="103"/>
  <c r="A96" i="103"/>
  <c r="G96" i="103"/>
  <c r="A107" i="103"/>
  <c r="G107" i="103"/>
  <c r="Q73" i="103"/>
  <c r="A128" i="103"/>
  <c r="G128" i="103"/>
  <c r="AW74" i="103"/>
  <c r="AX75" i="103" s="1"/>
  <c r="AW63" i="103"/>
  <c r="AX64" i="103" s="1"/>
  <c r="Q95" i="103"/>
  <c r="V95" i="103"/>
  <c r="AW139" i="103"/>
  <c r="BB139" i="103"/>
  <c r="Q117" i="103"/>
  <c r="V117" i="103"/>
  <c r="F475" i="102"/>
  <c r="F476" i="102"/>
  <c r="F477" i="102"/>
  <c r="F478" i="102"/>
  <c r="F479" i="102"/>
  <c r="F480" i="102"/>
  <c r="F481" i="102"/>
  <c r="F482" i="102"/>
  <c r="F483" i="102"/>
  <c r="F474" i="102"/>
  <c r="F435" i="102"/>
  <c r="F436" i="102"/>
  <c r="F437" i="102"/>
  <c r="F438" i="102"/>
  <c r="F439" i="102"/>
  <c r="F440" i="102"/>
  <c r="F441" i="102"/>
  <c r="F442" i="102"/>
  <c r="F443" i="102"/>
  <c r="Z4" i="90"/>
  <c r="Z5" i="90"/>
  <c r="Z6" i="90"/>
  <c r="Z7" i="90"/>
  <c r="Z8" i="90"/>
  <c r="Z9" i="90"/>
  <c r="Z10" i="90"/>
  <c r="Z11" i="90"/>
  <c r="Z12" i="90"/>
  <c r="Z3" i="90"/>
  <c r="CF453" i="4"/>
  <c r="CF464" i="4"/>
  <c r="CF475" i="4"/>
  <c r="CF486" i="4"/>
  <c r="CF497" i="4"/>
  <c r="CF508" i="4"/>
  <c r="CF519" i="4"/>
  <c r="CF530" i="4"/>
  <c r="CF541" i="4"/>
  <c r="CF442" i="4"/>
  <c r="CF431" i="4"/>
  <c r="CF420" i="4"/>
  <c r="CF409" i="4"/>
  <c r="CF398" i="4"/>
  <c r="CF387" i="4"/>
  <c r="CF376" i="4"/>
  <c r="CF365" i="4"/>
  <c r="CF354" i="4"/>
  <c r="CF343" i="4"/>
  <c r="CF332" i="4"/>
  <c r="CF223" i="4"/>
  <c r="CF224" i="4"/>
  <c r="CF225" i="4"/>
  <c r="CF226" i="4"/>
  <c r="CF227" i="4"/>
  <c r="CF228" i="4"/>
  <c r="CF229" i="4"/>
  <c r="CF230" i="4"/>
  <c r="CF231" i="4"/>
  <c r="CF232" i="4"/>
  <c r="CF233" i="4"/>
  <c r="CF234" i="4"/>
  <c r="CF235" i="4"/>
  <c r="CF236" i="4"/>
  <c r="CF237" i="4"/>
  <c r="CF238" i="4"/>
  <c r="CF239" i="4"/>
  <c r="CF240" i="4"/>
  <c r="CF241" i="4"/>
  <c r="CF242" i="4"/>
  <c r="CF243" i="4"/>
  <c r="CF244" i="4"/>
  <c r="CF245" i="4"/>
  <c r="CF246" i="4"/>
  <c r="CF247" i="4"/>
  <c r="CF248" i="4"/>
  <c r="CF249" i="4"/>
  <c r="CF250" i="4"/>
  <c r="CF251" i="4"/>
  <c r="CF252" i="4"/>
  <c r="CF253" i="4"/>
  <c r="CF254" i="4"/>
  <c r="CF255" i="4"/>
  <c r="CF256" i="4"/>
  <c r="CF257" i="4"/>
  <c r="CF258" i="4"/>
  <c r="CF259" i="4"/>
  <c r="CF260" i="4"/>
  <c r="CF261" i="4"/>
  <c r="CF262" i="4"/>
  <c r="CF263" i="4"/>
  <c r="CF264" i="4"/>
  <c r="CF265" i="4"/>
  <c r="CF266" i="4"/>
  <c r="CF267" i="4"/>
  <c r="CF268" i="4"/>
  <c r="CF269" i="4"/>
  <c r="CF270" i="4"/>
  <c r="CF271" i="4"/>
  <c r="CF272" i="4"/>
  <c r="CF273" i="4"/>
  <c r="CF274" i="4"/>
  <c r="CF275" i="4"/>
  <c r="CF276" i="4"/>
  <c r="CF277" i="4"/>
  <c r="CF278" i="4"/>
  <c r="CF279" i="4"/>
  <c r="CF280" i="4"/>
  <c r="CF281" i="4"/>
  <c r="CF282" i="4"/>
  <c r="CF283" i="4"/>
  <c r="CF284" i="4"/>
  <c r="CF285" i="4"/>
  <c r="CF286" i="4"/>
  <c r="CF287" i="4"/>
  <c r="CF288" i="4"/>
  <c r="CF289" i="4"/>
  <c r="CF290" i="4"/>
  <c r="CF291" i="4"/>
  <c r="CF292" i="4"/>
  <c r="CF293" i="4"/>
  <c r="CF294" i="4"/>
  <c r="CF295" i="4"/>
  <c r="CF296" i="4"/>
  <c r="CF297" i="4"/>
  <c r="CF298" i="4"/>
  <c r="CF299" i="4"/>
  <c r="CF300" i="4"/>
  <c r="CF301" i="4"/>
  <c r="CF302" i="4"/>
  <c r="CF303" i="4"/>
  <c r="CF304" i="4"/>
  <c r="CF305" i="4"/>
  <c r="CF306" i="4"/>
  <c r="CF307" i="4"/>
  <c r="CF308" i="4"/>
  <c r="CF309" i="4"/>
  <c r="CF310" i="4"/>
  <c r="CF311" i="4"/>
  <c r="CF312" i="4"/>
  <c r="CF313" i="4"/>
  <c r="CF314" i="4"/>
  <c r="CF315" i="4"/>
  <c r="CF316" i="4"/>
  <c r="CF317" i="4"/>
  <c r="CF318" i="4"/>
  <c r="CF319" i="4"/>
  <c r="CF320" i="4"/>
  <c r="CF321" i="4"/>
  <c r="CF322" i="4"/>
  <c r="CF323" i="4"/>
  <c r="CF324" i="4"/>
  <c r="CF325" i="4"/>
  <c r="CF326" i="4"/>
  <c r="CF327" i="4"/>
  <c r="CF328" i="4"/>
  <c r="CF329" i="4"/>
  <c r="CF330" i="4"/>
  <c r="CF331" i="4"/>
  <c r="CF222" i="4"/>
  <c r="CF123" i="4"/>
  <c r="CF134" i="4"/>
  <c r="CF145" i="4"/>
  <c r="CF156" i="4"/>
  <c r="CF167" i="4"/>
  <c r="CF178" i="4"/>
  <c r="CF189" i="4"/>
  <c r="CF200" i="4"/>
  <c r="CF211" i="4"/>
  <c r="CF112" i="4"/>
  <c r="CF13" i="4"/>
  <c r="CF24" i="4"/>
  <c r="CF35" i="4"/>
  <c r="CF46" i="4"/>
  <c r="CF57" i="4"/>
  <c r="CF68" i="4"/>
  <c r="CF79" i="4"/>
  <c r="CF90" i="4"/>
  <c r="CF101" i="4"/>
  <c r="CF2" i="4"/>
  <c r="CB453" i="4"/>
  <c r="CB464" i="4"/>
  <c r="CB475" i="4"/>
  <c r="CB486" i="4"/>
  <c r="CB497" i="4"/>
  <c r="CB508" i="4"/>
  <c r="CB519" i="4"/>
  <c r="CB530" i="4"/>
  <c r="CB541" i="4"/>
  <c r="CB442" i="4"/>
  <c r="CB343" i="4"/>
  <c r="CB354" i="4"/>
  <c r="CB365" i="4"/>
  <c r="CB376" i="4"/>
  <c r="CB387" i="4"/>
  <c r="CB398" i="4"/>
  <c r="CB409" i="4"/>
  <c r="CB420" i="4"/>
  <c r="CB431" i="4"/>
  <c r="CB332" i="4"/>
  <c r="CB233" i="4"/>
  <c r="CB244" i="4"/>
  <c r="CB255" i="4"/>
  <c r="CB266" i="4"/>
  <c r="CB277" i="4"/>
  <c r="CB288" i="4"/>
  <c r="CB299" i="4"/>
  <c r="CB310" i="4"/>
  <c r="CB321" i="4"/>
  <c r="CB222" i="4"/>
  <c r="CB123" i="4"/>
  <c r="CB134" i="4"/>
  <c r="CB145" i="4"/>
  <c r="CB156" i="4"/>
  <c r="CB167" i="4"/>
  <c r="CB178" i="4"/>
  <c r="CB189" i="4"/>
  <c r="CB200" i="4"/>
  <c r="CB211" i="4"/>
  <c r="CB13" i="4"/>
  <c r="CB24" i="4"/>
  <c r="CB35" i="4"/>
  <c r="CB46" i="4"/>
  <c r="CB57" i="4"/>
  <c r="CB68" i="4"/>
  <c r="CB79" i="4"/>
  <c r="CB90" i="4"/>
  <c r="CB101" i="4"/>
  <c r="CB2" i="4"/>
  <c r="CB112" i="4"/>
  <c r="AI63" i="103" l="1"/>
  <c r="AJ63" i="103"/>
  <c r="S85" i="103"/>
  <c r="T85" i="103"/>
  <c r="AY64" i="103"/>
  <c r="AZ64" i="103"/>
  <c r="AZ75" i="103"/>
  <c r="AY75" i="103"/>
  <c r="AY85" i="103"/>
  <c r="AZ85" i="103"/>
  <c r="BA62" i="103"/>
  <c r="BB84" i="103"/>
  <c r="BB74" i="103"/>
  <c r="BB63" i="103"/>
  <c r="BB95" i="103"/>
  <c r="AG96" i="103"/>
  <c r="AL96" i="103"/>
  <c r="AK96" i="103" s="1"/>
  <c r="AG151" i="103"/>
  <c r="AL151" i="103"/>
  <c r="AK151" i="103" s="1"/>
  <c r="AG162" i="103"/>
  <c r="AL162" i="103"/>
  <c r="AK162" i="103" s="1"/>
  <c r="AG74" i="103"/>
  <c r="AL74" i="103"/>
  <c r="AK74" i="103" s="1"/>
  <c r="AG129" i="103"/>
  <c r="AL129" i="103"/>
  <c r="AK129" i="103" s="1"/>
  <c r="AG118" i="103"/>
  <c r="AL118" i="103"/>
  <c r="AK118" i="103" s="1"/>
  <c r="AG107" i="103"/>
  <c r="AL107" i="103"/>
  <c r="AK107" i="103" s="1"/>
  <c r="AG140" i="103"/>
  <c r="AL140" i="103"/>
  <c r="AK140" i="103" s="1"/>
  <c r="AG63" i="103"/>
  <c r="AH64" i="103" s="1"/>
  <c r="AL63" i="103"/>
  <c r="AK63" i="103" s="1"/>
  <c r="AG85" i="103"/>
  <c r="AL85" i="103"/>
  <c r="AK85" i="103" s="1"/>
  <c r="Q162" i="103"/>
  <c r="V162" i="103"/>
  <c r="AW140" i="103"/>
  <c r="BB140" i="103"/>
  <c r="Q96" i="103"/>
  <c r="V96" i="103"/>
  <c r="Q74" i="103"/>
  <c r="A140" i="103"/>
  <c r="G140" i="103"/>
  <c r="AW129" i="103"/>
  <c r="BB129" i="103"/>
  <c r="A86" i="103"/>
  <c r="AW85" i="103"/>
  <c r="AX86" i="103" s="1"/>
  <c r="AW152" i="103"/>
  <c r="BB152" i="103"/>
  <c r="A163" i="103"/>
  <c r="G163" i="103"/>
  <c r="Q129" i="103"/>
  <c r="V129" i="103"/>
  <c r="Q85" i="103"/>
  <c r="R86" i="103" s="1"/>
  <c r="V85" i="103"/>
  <c r="AW107" i="103"/>
  <c r="BB107" i="103"/>
  <c r="AW118" i="103"/>
  <c r="BB118" i="103"/>
  <c r="A108" i="103"/>
  <c r="G108" i="103"/>
  <c r="AW64" i="103"/>
  <c r="AX65" i="103" s="1"/>
  <c r="Q118" i="103"/>
  <c r="V118" i="103"/>
  <c r="AW75" i="103"/>
  <c r="AX76" i="103" s="1"/>
  <c r="A97" i="103"/>
  <c r="G97" i="103"/>
  <c r="A64" i="103"/>
  <c r="AW96" i="103"/>
  <c r="A152" i="103"/>
  <c r="G152" i="103"/>
  <c r="A119" i="103"/>
  <c r="G119" i="103"/>
  <c r="Q63" i="103"/>
  <c r="A129" i="103"/>
  <c r="G129" i="103"/>
  <c r="Q140" i="103"/>
  <c r="V140" i="103"/>
  <c r="A75" i="103"/>
  <c r="Q108" i="103"/>
  <c r="V108" i="103"/>
  <c r="Q151" i="103"/>
  <c r="V151" i="103"/>
  <c r="AW162" i="103"/>
  <c r="BB162" i="103"/>
  <c r="CE13" i="4"/>
  <c r="AI64" i="103" l="1"/>
  <c r="AJ64" i="103"/>
  <c r="S86" i="103"/>
  <c r="T86" i="103"/>
  <c r="AZ76" i="103"/>
  <c r="AY76" i="103"/>
  <c r="AY86" i="103"/>
  <c r="AZ86" i="103"/>
  <c r="AY65" i="103"/>
  <c r="AZ65" i="103"/>
  <c r="BA63" i="103"/>
  <c r="BB75" i="103"/>
  <c r="BB64" i="103"/>
  <c r="BB96" i="103"/>
  <c r="BB85" i="103"/>
  <c r="AG86" i="103"/>
  <c r="AL86" i="103"/>
  <c r="AK86" i="103" s="1"/>
  <c r="AG75" i="103"/>
  <c r="AL75" i="103"/>
  <c r="AK75" i="103" s="1"/>
  <c r="AG64" i="103"/>
  <c r="AH65" i="103" s="1"/>
  <c r="AL64" i="103"/>
  <c r="AK64" i="103" s="1"/>
  <c r="AG119" i="103"/>
  <c r="AL119" i="103"/>
  <c r="AK119" i="103" s="1"/>
  <c r="AG163" i="103"/>
  <c r="AL163" i="103"/>
  <c r="AK163" i="103" s="1"/>
  <c r="AG141" i="103"/>
  <c r="AL141" i="103"/>
  <c r="AK141" i="103" s="1"/>
  <c r="AG152" i="103"/>
  <c r="AL152" i="103"/>
  <c r="AK152" i="103" s="1"/>
  <c r="AG108" i="103"/>
  <c r="AL108" i="103"/>
  <c r="AK108" i="103" s="1"/>
  <c r="AG130" i="103"/>
  <c r="AL130" i="103"/>
  <c r="AK130" i="103" s="1"/>
  <c r="AG97" i="103"/>
  <c r="AL97" i="103"/>
  <c r="AK97" i="103" s="1"/>
  <c r="A130" i="103"/>
  <c r="G130" i="103"/>
  <c r="AW108" i="103"/>
  <c r="BB108" i="103"/>
  <c r="Q163" i="103"/>
  <c r="V163" i="103"/>
  <c r="Q152" i="103"/>
  <c r="V152" i="103"/>
  <c r="AW97" i="103"/>
  <c r="Q119" i="103"/>
  <c r="V119" i="103"/>
  <c r="AW153" i="103"/>
  <c r="BB153" i="103"/>
  <c r="A141" i="103"/>
  <c r="G141" i="103"/>
  <c r="Q109" i="103"/>
  <c r="V109" i="103"/>
  <c r="Q64" i="103"/>
  <c r="A65" i="103"/>
  <c r="AW65" i="103"/>
  <c r="AX66" i="103" s="1"/>
  <c r="Q86" i="103"/>
  <c r="R87" i="103" s="1"/>
  <c r="V86" i="103"/>
  <c r="AW86" i="103"/>
  <c r="AX87" i="103" s="1"/>
  <c r="Q75" i="103"/>
  <c r="A98" i="103"/>
  <c r="G98" i="103"/>
  <c r="A76" i="103"/>
  <c r="A120" i="103"/>
  <c r="G120" i="103"/>
  <c r="A109" i="103"/>
  <c r="G109" i="103"/>
  <c r="Q130" i="103"/>
  <c r="V130" i="103"/>
  <c r="A87" i="103"/>
  <c r="Q97" i="103"/>
  <c r="V97" i="103"/>
  <c r="AW163" i="103"/>
  <c r="BB164" i="103" s="1"/>
  <c r="BB163" i="103"/>
  <c r="Q141" i="103"/>
  <c r="V141" i="103"/>
  <c r="A153" i="103"/>
  <c r="G153" i="103"/>
  <c r="AW76" i="103"/>
  <c r="AX77" i="103" s="1"/>
  <c r="AW119" i="103"/>
  <c r="BB119" i="103"/>
  <c r="A164" i="103"/>
  <c r="G164" i="103"/>
  <c r="AW130" i="103"/>
  <c r="BB130" i="103"/>
  <c r="AW141" i="103"/>
  <c r="BB141" i="103"/>
  <c r="CA2" i="4"/>
  <c r="CA13" i="4" s="1"/>
  <c r="F434" i="102"/>
  <c r="BU4" i="4"/>
  <c r="BT2" i="4"/>
  <c r="BD6" i="4"/>
  <c r="BD5" i="4"/>
  <c r="BD4" i="4"/>
  <c r="BD3" i="4"/>
  <c r="BD2" i="4"/>
  <c r="BC2" i="4" s="1"/>
  <c r="AY2" i="4"/>
  <c r="BY7" i="4"/>
  <c r="BY6" i="4"/>
  <c r="BY5" i="4"/>
  <c r="BY4" i="4"/>
  <c r="BY3" i="4"/>
  <c r="BY2" i="4"/>
  <c r="BH6" i="4"/>
  <c r="BH5" i="4"/>
  <c r="BH4" i="4"/>
  <c r="BH3" i="4"/>
  <c r="BG2" i="4"/>
  <c r="AZ6" i="4"/>
  <c r="AZ5" i="4"/>
  <c r="AZ4" i="4"/>
  <c r="AZ3" i="4"/>
  <c r="AJ65" i="103" l="1"/>
  <c r="AI65" i="103"/>
  <c r="S87" i="103"/>
  <c r="T87" i="103"/>
  <c r="AY87" i="103"/>
  <c r="AZ87" i="103"/>
  <c r="AY66" i="103"/>
  <c r="AZ66" i="103"/>
  <c r="AY77" i="103"/>
  <c r="AZ77" i="103"/>
  <c r="BA64" i="103"/>
  <c r="BB76" i="103"/>
  <c r="BB86" i="103"/>
  <c r="BB97" i="103"/>
  <c r="BB65" i="103"/>
  <c r="AG98" i="103"/>
  <c r="AL98" i="103"/>
  <c r="AK98" i="103" s="1"/>
  <c r="AG65" i="103"/>
  <c r="AH66" i="103" s="1"/>
  <c r="AL65" i="103"/>
  <c r="AK65" i="103" s="1"/>
  <c r="AG131" i="103"/>
  <c r="AL131" i="103"/>
  <c r="AK131" i="103" s="1"/>
  <c r="AG142" i="103"/>
  <c r="AL142" i="103"/>
  <c r="AK142" i="103" s="1"/>
  <c r="AG76" i="103"/>
  <c r="AL76" i="103"/>
  <c r="AK76" i="103" s="1"/>
  <c r="AG109" i="103"/>
  <c r="AL109" i="103"/>
  <c r="AK109" i="103" s="1"/>
  <c r="AG164" i="103"/>
  <c r="AL164" i="103"/>
  <c r="AK164" i="103" s="1"/>
  <c r="AG87" i="103"/>
  <c r="AL87" i="103"/>
  <c r="AK87" i="103" s="1"/>
  <c r="AG153" i="103"/>
  <c r="AL153" i="103"/>
  <c r="AK153" i="103" s="1"/>
  <c r="AG120" i="103"/>
  <c r="AL120" i="103"/>
  <c r="AK120" i="103" s="1"/>
  <c r="A88" i="103"/>
  <c r="Q87" i="103"/>
  <c r="R88" i="103" s="1"/>
  <c r="V87" i="103"/>
  <c r="AW98" i="103"/>
  <c r="Q142" i="103"/>
  <c r="V142" i="103"/>
  <c r="AW131" i="103"/>
  <c r="BB131" i="103"/>
  <c r="A154" i="103"/>
  <c r="G154" i="103"/>
  <c r="A77" i="103"/>
  <c r="Q110" i="103"/>
  <c r="V110" i="103"/>
  <c r="A131" i="103"/>
  <c r="G131" i="103"/>
  <c r="A165" i="103"/>
  <c r="G165" i="103"/>
  <c r="Q131" i="103"/>
  <c r="V131" i="103"/>
  <c r="A99" i="103"/>
  <c r="G99" i="103"/>
  <c r="AW66" i="103"/>
  <c r="A142" i="103"/>
  <c r="G142" i="103"/>
  <c r="Q153" i="103"/>
  <c r="V153" i="103"/>
  <c r="AW164" i="103"/>
  <c r="Q76" i="103"/>
  <c r="AW154" i="103"/>
  <c r="BB154" i="103"/>
  <c r="AW142" i="103"/>
  <c r="BB142" i="103"/>
  <c r="AW77" i="103"/>
  <c r="AW120" i="103"/>
  <c r="BB120" i="103"/>
  <c r="A110" i="103"/>
  <c r="G110" i="103"/>
  <c r="A66" i="103"/>
  <c r="Q164" i="103"/>
  <c r="V164" i="103"/>
  <c r="Q98" i="103"/>
  <c r="V98" i="103"/>
  <c r="A121" i="103"/>
  <c r="G121" i="103"/>
  <c r="AW87" i="103"/>
  <c r="AX88" i="103" s="1"/>
  <c r="Q65" i="103"/>
  <c r="Q120" i="103"/>
  <c r="V120" i="103"/>
  <c r="AW109" i="103"/>
  <c r="BB109" i="103"/>
  <c r="AQ3" i="4"/>
  <c r="AQ2" i="4"/>
  <c r="BC3" i="4"/>
  <c r="BC4" i="4" s="1"/>
  <c r="BG3" i="4"/>
  <c r="BG4" i="4" s="1"/>
  <c r="AY3" i="4"/>
  <c r="AY4" i="4" s="1"/>
  <c r="TK20" i="4"/>
  <c r="TK19" i="4"/>
  <c r="TK18" i="4"/>
  <c r="TK17" i="4"/>
  <c r="TJ24" i="4" s="1"/>
  <c r="TK16" i="4"/>
  <c r="TJ19" i="4"/>
  <c r="TJ18" i="4"/>
  <c r="TJ25" i="4" s="1"/>
  <c r="TJ20" i="4"/>
  <c r="TJ16" i="4"/>
  <c r="AJ66" i="103" l="1"/>
  <c r="AI66" i="103"/>
  <c r="S88" i="103"/>
  <c r="T88" i="103"/>
  <c r="AZ88" i="103"/>
  <c r="AY88" i="103"/>
  <c r="TJ27" i="4"/>
  <c r="TJ34" i="4" s="1"/>
  <c r="BA65" i="103"/>
  <c r="BB77" i="103"/>
  <c r="BB98" i="103"/>
  <c r="BB87" i="103"/>
  <c r="BB66" i="103"/>
  <c r="BA163" i="103" s="1"/>
  <c r="AG154" i="103"/>
  <c r="AL154" i="103"/>
  <c r="AK154" i="103" s="1"/>
  <c r="AG77" i="103"/>
  <c r="AL77" i="103"/>
  <c r="AK77" i="103" s="1"/>
  <c r="AG121" i="103"/>
  <c r="AL121" i="103"/>
  <c r="AK121" i="103" s="1"/>
  <c r="AG110" i="103"/>
  <c r="AL110" i="103"/>
  <c r="AK110" i="103" s="1"/>
  <c r="AG143" i="103"/>
  <c r="AL143" i="103"/>
  <c r="AK143" i="103" s="1"/>
  <c r="AG88" i="103"/>
  <c r="AL88" i="103"/>
  <c r="AK88" i="103" s="1"/>
  <c r="AG66" i="103"/>
  <c r="AL66" i="103"/>
  <c r="AK66" i="103" s="1"/>
  <c r="AG165" i="103"/>
  <c r="AL165" i="103"/>
  <c r="AG132" i="103"/>
  <c r="AL132" i="103"/>
  <c r="AK132" i="103" s="1"/>
  <c r="AG99" i="103"/>
  <c r="AL99" i="103"/>
  <c r="AK99" i="103" s="1"/>
  <c r="TJ23" i="4"/>
  <c r="Q121" i="103"/>
  <c r="V121" i="103"/>
  <c r="Q99" i="103"/>
  <c r="V99" i="103"/>
  <c r="AW121" i="103"/>
  <c r="BB121" i="103"/>
  <c r="Q77" i="103"/>
  <c r="AW165" i="103"/>
  <c r="BB165" i="103"/>
  <c r="Q143" i="103"/>
  <c r="V143" i="103"/>
  <c r="Q154" i="103"/>
  <c r="V154" i="103"/>
  <c r="Q132" i="103"/>
  <c r="V132" i="103"/>
  <c r="AW99" i="103"/>
  <c r="Q165" i="103"/>
  <c r="V165" i="103"/>
  <c r="AW143" i="103"/>
  <c r="BB143" i="103"/>
  <c r="AW110" i="103"/>
  <c r="BB110" i="103"/>
  <c r="Q66" i="103"/>
  <c r="AW88" i="103"/>
  <c r="A143" i="103"/>
  <c r="G143" i="103"/>
  <c r="Q88" i="103"/>
  <c r="V88" i="103"/>
  <c r="A132" i="103"/>
  <c r="G132" i="103"/>
  <c r="AW132" i="103"/>
  <c r="BB132" i="103"/>
  <c r="TJ26" i="4"/>
  <c r="TK33" i="4" s="1"/>
  <c r="TJ31" i="4"/>
  <c r="TK31" i="4"/>
  <c r="TK32" i="4"/>
  <c r="TJ32" i="4"/>
  <c r="BT3" i="4"/>
  <c r="AQ4" i="4"/>
  <c r="AS3" i="4" s="1"/>
  <c r="BC5" i="4"/>
  <c r="BG5" i="4"/>
  <c r="BG6" i="4" s="1"/>
  <c r="AY5" i="4"/>
  <c r="AY6" i="4" s="1"/>
  <c r="A27" i="99"/>
  <c r="A24" i="99"/>
  <c r="A21" i="99"/>
  <c r="AS2" i="4" l="1"/>
  <c r="TK34" i="4"/>
  <c r="A18" i="99" s="1"/>
  <c r="BA143" i="103"/>
  <c r="BA145" i="103"/>
  <c r="BA147" i="103"/>
  <c r="BA148" i="103"/>
  <c r="BA146" i="103"/>
  <c r="BA121" i="103"/>
  <c r="BA123" i="103"/>
  <c r="BA125" i="103"/>
  <c r="BA124" i="103"/>
  <c r="BA127" i="103"/>
  <c r="BA126" i="103"/>
  <c r="BA97" i="103"/>
  <c r="BA72" i="103"/>
  <c r="BA156" i="103"/>
  <c r="BA70" i="103"/>
  <c r="BA109" i="103"/>
  <c r="BA154" i="103"/>
  <c r="BA117" i="103"/>
  <c r="BA120" i="103"/>
  <c r="BA93" i="103"/>
  <c r="BA132" i="103"/>
  <c r="BA134" i="103"/>
  <c r="BA135" i="103"/>
  <c r="BA136" i="103"/>
  <c r="BA86" i="103"/>
  <c r="BA94" i="103"/>
  <c r="BA95" i="103"/>
  <c r="BA75" i="103"/>
  <c r="BA131" i="103"/>
  <c r="BA130" i="103"/>
  <c r="BA96" i="103"/>
  <c r="BA118" i="103"/>
  <c r="BA164" i="103"/>
  <c r="BA150" i="103"/>
  <c r="BA81" i="103"/>
  <c r="BA140" i="103"/>
  <c r="BA87" i="103"/>
  <c r="BA141" i="103"/>
  <c r="BA159" i="103"/>
  <c r="BA139" i="103"/>
  <c r="BA84" i="103"/>
  <c r="BA85" i="103"/>
  <c r="BA119" i="103"/>
  <c r="BA152" i="103"/>
  <c r="BA73" i="103"/>
  <c r="BA69" i="103"/>
  <c r="BA98" i="103"/>
  <c r="BA162" i="103"/>
  <c r="BA129" i="103"/>
  <c r="BA66" i="103"/>
  <c r="BA68" i="103" s="1"/>
  <c r="BA71" i="103"/>
  <c r="BA74" i="103"/>
  <c r="BA128" i="103"/>
  <c r="BA153" i="103"/>
  <c r="BA142" i="103"/>
  <c r="BA110" i="103"/>
  <c r="BA112" i="103"/>
  <c r="BA113" i="103"/>
  <c r="BA114" i="103"/>
  <c r="BA158" i="103"/>
  <c r="BA116" i="103"/>
  <c r="BA108" i="103"/>
  <c r="BA106" i="103"/>
  <c r="BA151" i="103"/>
  <c r="BA160" i="103"/>
  <c r="BA76" i="103"/>
  <c r="BA138" i="103"/>
  <c r="BA161" i="103"/>
  <c r="BA107" i="103"/>
  <c r="BA83" i="103"/>
  <c r="BA82" i="103"/>
  <c r="BA157" i="103"/>
  <c r="BB88" i="103"/>
  <c r="AK165" i="103"/>
  <c r="AM122" i="103" s="1"/>
  <c r="AN122" i="103" s="1"/>
  <c r="BA165" i="103"/>
  <c r="BB99" i="103"/>
  <c r="BI2" i="4"/>
  <c r="BJ2" i="4" s="1"/>
  <c r="BT4" i="4"/>
  <c r="BV4" i="4" s="1"/>
  <c r="TJ33" i="4"/>
  <c r="A15" i="99" s="1"/>
  <c r="A9" i="99"/>
  <c r="A12" i="99"/>
  <c r="BA2" i="4"/>
  <c r="BA3" i="4"/>
  <c r="TJ30" i="4"/>
  <c r="BI3" i="4"/>
  <c r="BJ3" i="4" s="1"/>
  <c r="TK30" i="4"/>
  <c r="BA4" i="4"/>
  <c r="BC6" i="4"/>
  <c r="BE4" i="4" s="1"/>
  <c r="AS4" i="4"/>
  <c r="BI5" i="4"/>
  <c r="BJ5" i="4" s="1"/>
  <c r="BI6" i="4"/>
  <c r="BJ6" i="4" s="1"/>
  <c r="BI4" i="4"/>
  <c r="BJ4" i="4" s="1"/>
  <c r="BA5" i="4"/>
  <c r="BA6" i="4"/>
  <c r="C508" i="102"/>
  <c r="C512" i="102"/>
  <c r="AV4" i="4"/>
  <c r="AV3" i="4"/>
  <c r="AV2" i="4"/>
  <c r="AU2" i="4" s="1"/>
  <c r="D517" i="102"/>
  <c r="D519" i="102"/>
  <c r="I383" i="102"/>
  <c r="AM2" i="4"/>
  <c r="AF4" i="4"/>
  <c r="I381" i="102"/>
  <c r="I382" i="102"/>
  <c r="I384" i="102"/>
  <c r="I385" i="102"/>
  <c r="I386" i="102"/>
  <c r="I387" i="102"/>
  <c r="I388" i="102"/>
  <c r="I380" i="102"/>
  <c r="I375" i="102"/>
  <c r="I374" i="102"/>
  <c r="I373" i="102"/>
  <c r="AF5" i="4"/>
  <c r="AO122" i="103" l="1"/>
  <c r="C384" i="102"/>
  <c r="BA77" i="103"/>
  <c r="BA79" i="103" s="1"/>
  <c r="AM147" i="103"/>
  <c r="AM98" i="103"/>
  <c r="AM69" i="103"/>
  <c r="AM137" i="103"/>
  <c r="AM150" i="103"/>
  <c r="AM131" i="103"/>
  <c r="AM77" i="103"/>
  <c r="AM154" i="103"/>
  <c r="AM89" i="103"/>
  <c r="AM83" i="103"/>
  <c r="AM118" i="103"/>
  <c r="AM119" i="103"/>
  <c r="AM113" i="103"/>
  <c r="AM124" i="103"/>
  <c r="AM72" i="103"/>
  <c r="AM115" i="103"/>
  <c r="AM107" i="103"/>
  <c r="AM102" i="103"/>
  <c r="AM80" i="103"/>
  <c r="AM88" i="103"/>
  <c r="AM67" i="103"/>
  <c r="AM73" i="103"/>
  <c r="AM92" i="103"/>
  <c r="AM143" i="103"/>
  <c r="AM85" i="103"/>
  <c r="AM101" i="103"/>
  <c r="AM62" i="103"/>
  <c r="AM139" i="103"/>
  <c r="AM84" i="103"/>
  <c r="AM63" i="103"/>
  <c r="AM58" i="103"/>
  <c r="AM99" i="103"/>
  <c r="AM100" i="103"/>
  <c r="AM95" i="103"/>
  <c r="AM128" i="103"/>
  <c r="AM126" i="103"/>
  <c r="AM127" i="103"/>
  <c r="AM156" i="103"/>
  <c r="AM134" i="103"/>
  <c r="AM112" i="103"/>
  <c r="AM91" i="103"/>
  <c r="AM75" i="103"/>
  <c r="AM120" i="103"/>
  <c r="AM68" i="103"/>
  <c r="AM108" i="103"/>
  <c r="AM110" i="103"/>
  <c r="AM61" i="103"/>
  <c r="AM111" i="103"/>
  <c r="AM86" i="103"/>
  <c r="AM94" i="103"/>
  <c r="AM79" i="103"/>
  <c r="AM140" i="103"/>
  <c r="AM151" i="103"/>
  <c r="AM130" i="103"/>
  <c r="AM97" i="103"/>
  <c r="AM57" i="103"/>
  <c r="AM66" i="103"/>
  <c r="AM129" i="103"/>
  <c r="AM146" i="103"/>
  <c r="AM87" i="103"/>
  <c r="AM114" i="103"/>
  <c r="AM141" i="103"/>
  <c r="AM103" i="103"/>
  <c r="AM71" i="103"/>
  <c r="AM117" i="103"/>
  <c r="AM133" i="103"/>
  <c r="BA99" i="103"/>
  <c r="BA102" i="103"/>
  <c r="BA101" i="103"/>
  <c r="BA103" i="103"/>
  <c r="BA137" i="103"/>
  <c r="BA104" i="103"/>
  <c r="BA149" i="103"/>
  <c r="BA115" i="103"/>
  <c r="BA105" i="103"/>
  <c r="AM70" i="103"/>
  <c r="AM64" i="103"/>
  <c r="AM76" i="103"/>
  <c r="AM142" i="103"/>
  <c r="AM78" i="103"/>
  <c r="AM81" i="103"/>
  <c r="AM144" i="103"/>
  <c r="AM123" i="103"/>
  <c r="AM138" i="103"/>
  <c r="AM90" i="103"/>
  <c r="AM105" i="103"/>
  <c r="BA88" i="103"/>
  <c r="BA90" i="103"/>
  <c r="BA91" i="103"/>
  <c r="BA92" i="103"/>
  <c r="AM93" i="103"/>
  <c r="AM125" i="103"/>
  <c r="AM136" i="103"/>
  <c r="AM153" i="103"/>
  <c r="AM148" i="103"/>
  <c r="AM135" i="103"/>
  <c r="AM104" i="103"/>
  <c r="AM59" i="103"/>
  <c r="AM109" i="103"/>
  <c r="AM116" i="103"/>
  <c r="AM149" i="103"/>
  <c r="AM96" i="103"/>
  <c r="AM132" i="103"/>
  <c r="AM152" i="103"/>
  <c r="AM74" i="103"/>
  <c r="AM155" i="103"/>
  <c r="AM106" i="103"/>
  <c r="AM60" i="103"/>
  <c r="AM65" i="103"/>
  <c r="AM145" i="103"/>
  <c r="AM121" i="103"/>
  <c r="AM82" i="103"/>
  <c r="BE2" i="4"/>
  <c r="BV2" i="4"/>
  <c r="B390" i="102" s="1"/>
  <c r="BV3" i="4"/>
  <c r="A6" i="99"/>
  <c r="BE3" i="4"/>
  <c r="BE6" i="4"/>
  <c r="BE5" i="4"/>
  <c r="AU3" i="4"/>
  <c r="AU4" i="4" s="1"/>
  <c r="AI2" i="4"/>
  <c r="AM3" i="4"/>
  <c r="AM4" i="4"/>
  <c r="AB5" i="4"/>
  <c r="AF3" i="4" s="1"/>
  <c r="AB4" i="4"/>
  <c r="AF2" i="4" s="1"/>
  <c r="AE2" i="4" s="1"/>
  <c r="AA2" i="4"/>
  <c r="I355" i="102"/>
  <c r="I356" i="102"/>
  <c r="I357" i="102"/>
  <c r="I358" i="102"/>
  <c r="I359" i="102"/>
  <c r="I360" i="102"/>
  <c r="I361" i="102"/>
  <c r="I362" i="102"/>
  <c r="I354" i="102"/>
  <c r="I352" i="102"/>
  <c r="C350" i="102"/>
  <c r="A339" i="102"/>
  <c r="C348" i="102"/>
  <c r="C349" i="102"/>
  <c r="C344" i="102"/>
  <c r="C345" i="102"/>
  <c r="C336" i="102"/>
  <c r="C337" i="102"/>
  <c r="C333" i="102"/>
  <c r="C332" i="102"/>
  <c r="B331" i="102"/>
  <c r="A330" i="102"/>
  <c r="C315" i="102"/>
  <c r="C295" i="102"/>
  <c r="C287" i="102"/>
  <c r="D284" i="102"/>
  <c r="C282" i="102"/>
  <c r="DI10" i="4"/>
  <c r="DI9" i="4"/>
  <c r="DI8" i="4"/>
  <c r="DI7" i="4"/>
  <c r="DI11" i="4"/>
  <c r="DE2" i="4"/>
  <c r="DI6" i="4"/>
  <c r="DI5" i="4"/>
  <c r="DI4" i="4"/>
  <c r="DI3" i="4"/>
  <c r="DI2" i="4"/>
  <c r="DH2" i="4" s="1"/>
  <c r="CU2" i="4"/>
  <c r="CT2" i="4" s="1"/>
  <c r="A269" i="102"/>
  <c r="A259" i="102"/>
  <c r="B258" i="102"/>
  <c r="B255" i="102"/>
  <c r="B254" i="102"/>
  <c r="B253" i="102"/>
  <c r="I252" i="102"/>
  <c r="I253" i="102"/>
  <c r="B252" i="102"/>
  <c r="A251" i="102"/>
  <c r="C244" i="102"/>
  <c r="C239" i="102"/>
  <c r="C238" i="102"/>
  <c r="B217" i="102"/>
  <c r="DE6" i="4"/>
  <c r="DE5" i="4"/>
  <c r="DE4" i="4"/>
  <c r="DE3" i="4"/>
  <c r="CU6" i="4"/>
  <c r="CU5" i="4"/>
  <c r="CU4" i="4"/>
  <c r="CU3" i="4"/>
  <c r="CQ2" i="4"/>
  <c r="CP2" i="4" s="1"/>
  <c r="CQ6" i="4"/>
  <c r="CQ5" i="4"/>
  <c r="CQ4" i="4"/>
  <c r="CQ3" i="4"/>
  <c r="A156" i="102"/>
  <c r="A163" i="102" s="1"/>
  <c r="A146" i="102"/>
  <c r="A152" i="102" s="1"/>
  <c r="A136" i="102"/>
  <c r="A141" i="102" s="1"/>
  <c r="A126" i="102"/>
  <c r="A130" i="102" s="1"/>
  <c r="A116" i="102"/>
  <c r="A124" i="102" s="1"/>
  <c r="ES2" i="4"/>
  <c r="I8" i="102"/>
  <c r="AO65" i="103" l="1"/>
  <c r="AN65" i="103"/>
  <c r="AN108" i="103"/>
  <c r="AO108" i="103"/>
  <c r="AN60" i="103"/>
  <c r="AO60" i="103"/>
  <c r="AN68" i="103"/>
  <c r="AO68" i="103"/>
  <c r="AN139" i="103"/>
  <c r="AO139" i="103"/>
  <c r="AN119" i="103"/>
  <c r="AO119" i="103"/>
  <c r="AN137" i="103"/>
  <c r="AO137" i="103"/>
  <c r="AN149" i="103"/>
  <c r="AO149" i="103"/>
  <c r="AO84" i="103"/>
  <c r="AN84" i="103"/>
  <c r="AO116" i="103"/>
  <c r="AN116" i="103"/>
  <c r="AO87" i="103"/>
  <c r="AN87" i="103"/>
  <c r="AO126" i="103"/>
  <c r="AN126" i="103"/>
  <c r="AO88" i="103"/>
  <c r="AN88" i="103"/>
  <c r="AN106" i="103"/>
  <c r="AO106" i="103"/>
  <c r="AN109" i="103"/>
  <c r="AO109" i="103"/>
  <c r="AO93" i="103"/>
  <c r="AN93" i="103"/>
  <c r="AN123" i="103"/>
  <c r="AO123" i="103"/>
  <c r="AN146" i="103"/>
  <c r="AO146" i="103"/>
  <c r="AO79" i="103"/>
  <c r="AN79" i="103"/>
  <c r="AN120" i="103"/>
  <c r="AO120" i="103"/>
  <c r="AN128" i="103"/>
  <c r="AO128" i="103"/>
  <c r="AN62" i="103"/>
  <c r="AO62" i="103"/>
  <c r="AO80" i="103"/>
  <c r="AN80" i="103"/>
  <c r="AN118" i="103"/>
  <c r="AO118" i="103"/>
  <c r="AN69" i="103"/>
  <c r="AO69" i="103"/>
  <c r="AN64" i="103"/>
  <c r="AO64" i="103"/>
  <c r="AN113" i="103"/>
  <c r="AO113" i="103"/>
  <c r="AN138" i="103"/>
  <c r="AO138" i="103"/>
  <c r="AO140" i="103"/>
  <c r="AN140" i="103"/>
  <c r="AN155" i="103"/>
  <c r="AO155" i="103"/>
  <c r="AN59" i="103"/>
  <c r="AO59" i="103"/>
  <c r="AO144" i="103"/>
  <c r="AN144" i="103"/>
  <c r="AO133" i="103"/>
  <c r="AN133" i="103"/>
  <c r="AN129" i="103"/>
  <c r="AO129" i="103"/>
  <c r="AN94" i="103"/>
  <c r="AO94" i="103"/>
  <c r="AO75" i="103"/>
  <c r="AN75" i="103"/>
  <c r="AN95" i="103"/>
  <c r="AO95" i="103"/>
  <c r="AN101" i="103"/>
  <c r="AO101" i="103"/>
  <c r="AN102" i="103"/>
  <c r="AO102" i="103"/>
  <c r="AN83" i="103"/>
  <c r="AO83" i="103"/>
  <c r="AN98" i="103"/>
  <c r="AO98" i="103"/>
  <c r="AO136" i="103"/>
  <c r="AN136" i="103"/>
  <c r="AN67" i="103"/>
  <c r="AO67" i="103"/>
  <c r="AN74" i="103"/>
  <c r="AO74" i="103"/>
  <c r="AO104" i="103"/>
  <c r="AN104" i="103"/>
  <c r="AO81" i="103"/>
  <c r="AN81" i="103"/>
  <c r="AO117" i="103"/>
  <c r="AN117" i="103"/>
  <c r="AN66" i="103"/>
  <c r="AO66" i="103"/>
  <c r="AO86" i="103"/>
  <c r="AN86" i="103"/>
  <c r="AN91" i="103"/>
  <c r="AO91" i="103"/>
  <c r="AN100" i="103"/>
  <c r="AO100" i="103"/>
  <c r="AN85" i="103"/>
  <c r="AO85" i="103"/>
  <c r="AN107" i="103"/>
  <c r="AO107" i="103"/>
  <c r="AO89" i="103"/>
  <c r="AN89" i="103"/>
  <c r="AN147" i="103"/>
  <c r="AO147" i="103"/>
  <c r="AN151" i="103"/>
  <c r="AO151" i="103"/>
  <c r="AO125" i="103"/>
  <c r="AN125" i="103"/>
  <c r="AN152" i="103"/>
  <c r="AO152" i="103"/>
  <c r="AN78" i="103"/>
  <c r="AO78" i="103"/>
  <c r="AO71" i="103"/>
  <c r="AN71" i="103"/>
  <c r="AN57" i="103"/>
  <c r="AO57" i="103"/>
  <c r="AO111" i="103"/>
  <c r="AN111" i="103"/>
  <c r="AO112" i="103"/>
  <c r="AN112" i="103"/>
  <c r="AN99" i="103"/>
  <c r="AO99" i="103"/>
  <c r="AN143" i="103"/>
  <c r="AO143" i="103"/>
  <c r="AO115" i="103"/>
  <c r="AN115" i="103"/>
  <c r="AN154" i="103"/>
  <c r="AO154" i="103"/>
  <c r="AO90" i="103"/>
  <c r="AN90" i="103"/>
  <c r="AN127" i="103"/>
  <c r="AO127" i="103"/>
  <c r="AN70" i="103"/>
  <c r="AO70" i="103"/>
  <c r="AN82" i="103"/>
  <c r="AO82" i="103"/>
  <c r="AN135" i="103"/>
  <c r="AO135" i="103"/>
  <c r="AO121" i="103"/>
  <c r="AN121" i="103"/>
  <c r="AN132" i="103"/>
  <c r="AO132" i="103"/>
  <c r="AN148" i="103"/>
  <c r="AO148" i="103"/>
  <c r="AN142" i="103"/>
  <c r="AO142" i="103"/>
  <c r="AN103" i="103"/>
  <c r="AO103" i="103"/>
  <c r="AO97" i="103"/>
  <c r="AN97" i="103"/>
  <c r="AO61" i="103"/>
  <c r="AN61" i="103"/>
  <c r="AO134" i="103"/>
  <c r="AN134" i="103"/>
  <c r="AN58" i="103"/>
  <c r="AO58" i="103"/>
  <c r="AN92" i="103"/>
  <c r="AO92" i="103"/>
  <c r="AO72" i="103"/>
  <c r="AN72" i="103"/>
  <c r="AN77" i="103"/>
  <c r="AO77" i="103"/>
  <c r="AN114" i="103"/>
  <c r="AO114" i="103"/>
  <c r="AN150" i="103"/>
  <c r="AO150" i="103"/>
  <c r="AN145" i="103"/>
  <c r="AO145" i="103"/>
  <c r="AN96" i="103"/>
  <c r="AO96" i="103"/>
  <c r="AN153" i="103"/>
  <c r="AO153" i="103"/>
  <c r="AN105" i="103"/>
  <c r="AO105" i="103"/>
  <c r="AN76" i="103"/>
  <c r="AO76" i="103"/>
  <c r="AN141" i="103"/>
  <c r="AO141" i="103"/>
  <c r="AO130" i="103"/>
  <c r="AN130" i="103"/>
  <c r="AO110" i="103"/>
  <c r="AN110" i="103"/>
  <c r="AO156" i="103"/>
  <c r="AN156" i="103"/>
  <c r="AN63" i="103"/>
  <c r="AO63" i="103"/>
  <c r="AO73" i="103"/>
  <c r="AN73" i="103"/>
  <c r="AO124" i="103"/>
  <c r="AN124" i="103"/>
  <c r="AN131" i="103"/>
  <c r="AO131" i="103"/>
  <c r="AO2" i="4"/>
  <c r="BC64" i="103"/>
  <c r="BC61" i="103"/>
  <c r="BC60" i="103"/>
  <c r="BC57" i="103"/>
  <c r="BC59" i="103"/>
  <c r="BC65" i="103"/>
  <c r="D169" i="103"/>
  <c r="D170" i="103" s="1"/>
  <c r="BC62" i="103"/>
  <c r="BC58" i="103"/>
  <c r="BC63" i="103"/>
  <c r="BC81" i="103"/>
  <c r="BC107" i="103"/>
  <c r="BC88" i="103"/>
  <c r="BC152" i="103"/>
  <c r="BC66" i="103"/>
  <c r="BC95" i="103"/>
  <c r="BC67" i="103"/>
  <c r="BC110" i="103"/>
  <c r="BC155" i="103"/>
  <c r="BC78" i="103"/>
  <c r="BC112" i="103"/>
  <c r="BC154" i="103"/>
  <c r="BC72" i="103"/>
  <c r="BC114" i="103"/>
  <c r="BC122" i="103"/>
  <c r="BC89" i="103"/>
  <c r="BC79" i="103"/>
  <c r="BC144" i="103"/>
  <c r="BC124" i="103"/>
  <c r="BC145" i="103"/>
  <c r="BC129" i="103"/>
  <c r="BC75" i="103"/>
  <c r="BC86" i="103"/>
  <c r="BC131" i="103"/>
  <c r="BC136" i="103"/>
  <c r="BC125" i="103"/>
  <c r="BC106" i="103"/>
  <c r="BC104" i="103"/>
  <c r="BC74" i="103"/>
  <c r="BC84" i="103"/>
  <c r="BC92" i="103"/>
  <c r="BC137" i="103"/>
  <c r="BC128" i="103"/>
  <c r="BC96" i="103"/>
  <c r="BC138" i="103"/>
  <c r="BC77" i="103"/>
  <c r="BC103" i="103"/>
  <c r="BC116" i="103"/>
  <c r="BC151" i="103"/>
  <c r="BC94" i="103"/>
  <c r="BC135" i="103"/>
  <c r="BC73" i="103"/>
  <c r="BC156" i="103"/>
  <c r="BC146" i="103"/>
  <c r="BC132" i="103"/>
  <c r="BC76" i="103"/>
  <c r="BC71" i="103"/>
  <c r="BC147" i="103"/>
  <c r="BC149" i="103"/>
  <c r="BC109" i="103"/>
  <c r="BC97" i="103"/>
  <c r="BC119" i="103"/>
  <c r="BC91" i="103"/>
  <c r="BC69" i="103"/>
  <c r="BC142" i="103"/>
  <c r="BC108" i="103"/>
  <c r="BC99" i="103"/>
  <c r="BC113" i="103"/>
  <c r="BC111" i="103"/>
  <c r="BC148" i="103"/>
  <c r="BC139" i="103"/>
  <c r="BC93" i="103"/>
  <c r="BC118" i="103"/>
  <c r="BC141" i="103"/>
  <c r="BC153" i="103"/>
  <c r="BC126" i="103"/>
  <c r="BC101" i="103"/>
  <c r="BC100" i="103"/>
  <c r="BC123" i="103"/>
  <c r="BC140" i="103"/>
  <c r="BC68" i="103"/>
  <c r="BC130" i="103"/>
  <c r="BC105" i="103"/>
  <c r="BC121" i="103"/>
  <c r="BC98" i="103"/>
  <c r="BC90" i="103"/>
  <c r="BC102" i="103"/>
  <c r="BC70" i="103"/>
  <c r="BC133" i="103"/>
  <c r="BC87" i="103"/>
  <c r="BC127" i="103"/>
  <c r="BC143" i="103"/>
  <c r="BC150" i="103"/>
  <c r="BC83" i="103"/>
  <c r="BC117" i="103"/>
  <c r="BC134" i="103"/>
  <c r="BC120" i="103"/>
  <c r="BC82" i="103"/>
  <c r="BC85" i="103"/>
  <c r="BC80" i="103"/>
  <c r="BC115" i="103"/>
  <c r="I646" i="102"/>
  <c r="I650" i="102"/>
  <c r="I648" i="102"/>
  <c r="AW2" i="4"/>
  <c r="B190" i="102"/>
  <c r="AW3" i="4"/>
  <c r="AW4" i="4"/>
  <c r="AI3" i="4"/>
  <c r="AO3" i="4"/>
  <c r="AO4" i="4"/>
  <c r="DH6" i="4"/>
  <c r="AA3" i="4"/>
  <c r="DH10" i="4"/>
  <c r="DH4" i="4"/>
  <c r="DH5" i="4"/>
  <c r="DH3" i="4"/>
  <c r="DH11" i="4"/>
  <c r="A140" i="102"/>
  <c r="A135" i="102"/>
  <c r="A149" i="102"/>
  <c r="A134" i="102"/>
  <c r="A148" i="102"/>
  <c r="A147" i="102"/>
  <c r="A150" i="102"/>
  <c r="A133" i="102"/>
  <c r="A144" i="102"/>
  <c r="A139" i="102"/>
  <c r="DD2" i="4"/>
  <c r="CT5" i="4"/>
  <c r="CT3" i="4"/>
  <c r="CT6" i="4"/>
  <c r="CP4" i="4"/>
  <c r="CP6" i="4"/>
  <c r="CP3" i="4"/>
  <c r="CP5" i="4"/>
  <c r="A131" i="102"/>
  <c r="A138" i="102"/>
  <c r="A123" i="102"/>
  <c r="A122" i="102"/>
  <c r="A129" i="102"/>
  <c r="A128" i="102"/>
  <c r="A155" i="102"/>
  <c r="A121" i="102"/>
  <c r="A137" i="102"/>
  <c r="A153" i="102"/>
  <c r="A127" i="102"/>
  <c r="A145" i="102"/>
  <c r="A151" i="102"/>
  <c r="A120" i="102"/>
  <c r="A162" i="102"/>
  <c r="A161" i="102"/>
  <c r="A132" i="102"/>
  <c r="A143" i="102"/>
  <c r="A154" i="102"/>
  <c r="A165" i="102"/>
  <c r="A117" i="102"/>
  <c r="A118" i="102"/>
  <c r="A160" i="102"/>
  <c r="A159" i="102"/>
  <c r="A157" i="102"/>
  <c r="A158" i="102"/>
  <c r="A119" i="102"/>
  <c r="A142" i="102"/>
  <c r="A164" i="102"/>
  <c r="A125" i="102"/>
  <c r="ES3" i="4"/>
  <c r="ES4" i="4" s="1"/>
  <c r="BD134" i="103" l="1"/>
  <c r="BE134" i="103"/>
  <c r="BD70" i="103"/>
  <c r="BE70" i="103"/>
  <c r="BD140" i="103"/>
  <c r="BE140" i="103"/>
  <c r="BE93" i="103"/>
  <c r="BD93" i="103"/>
  <c r="BD69" i="103"/>
  <c r="BE69" i="103"/>
  <c r="BD76" i="103"/>
  <c r="BE76" i="103"/>
  <c r="BE116" i="103"/>
  <c r="BD116" i="103"/>
  <c r="BD84" i="103"/>
  <c r="BE84" i="103"/>
  <c r="BD75" i="103"/>
  <c r="BE75" i="103"/>
  <c r="BE114" i="103"/>
  <c r="BD114" i="103"/>
  <c r="BE95" i="103"/>
  <c r="BD95" i="103"/>
  <c r="BD62" i="103"/>
  <c r="BE62" i="103"/>
  <c r="BD123" i="103"/>
  <c r="BE123" i="103"/>
  <c r="BE133" i="103"/>
  <c r="BD133" i="103"/>
  <c r="BE92" i="103"/>
  <c r="BD92" i="103"/>
  <c r="BD122" i="103"/>
  <c r="BE122" i="103"/>
  <c r="BD117" i="103"/>
  <c r="BE117" i="103"/>
  <c r="BE91" i="103"/>
  <c r="BD91" i="103"/>
  <c r="BD103" i="103"/>
  <c r="BE103" i="103"/>
  <c r="BE129" i="103"/>
  <c r="BD129" i="103"/>
  <c r="BE66" i="103"/>
  <c r="BD66" i="103"/>
  <c r="BE83" i="103"/>
  <c r="BD83" i="103"/>
  <c r="BD90" i="103"/>
  <c r="BE90" i="103"/>
  <c r="BE100" i="103"/>
  <c r="BD100" i="103"/>
  <c r="BE148" i="103"/>
  <c r="BD148" i="103"/>
  <c r="BD119" i="103"/>
  <c r="BE119" i="103"/>
  <c r="BD146" i="103"/>
  <c r="BE146" i="103"/>
  <c r="BE77" i="103"/>
  <c r="BD77" i="103"/>
  <c r="BD104" i="103"/>
  <c r="BE104" i="103"/>
  <c r="BE145" i="103"/>
  <c r="BD145" i="103"/>
  <c r="BD154" i="103"/>
  <c r="BE154" i="103"/>
  <c r="BD152" i="103"/>
  <c r="BE152" i="103"/>
  <c r="BE65" i="103"/>
  <c r="BD65" i="103"/>
  <c r="BD120" i="103"/>
  <c r="BE120" i="103"/>
  <c r="BE71" i="103"/>
  <c r="BD71" i="103"/>
  <c r="BD67" i="103"/>
  <c r="BE67" i="103"/>
  <c r="BE115" i="103"/>
  <c r="BD115" i="103"/>
  <c r="BD150" i="103"/>
  <c r="BE150" i="103"/>
  <c r="BD98" i="103"/>
  <c r="BE98" i="103"/>
  <c r="BD101" i="103"/>
  <c r="BE101" i="103"/>
  <c r="BD111" i="103"/>
  <c r="BE111" i="103"/>
  <c r="BD97" i="103"/>
  <c r="BE97" i="103"/>
  <c r="BD156" i="103"/>
  <c r="BE156" i="103"/>
  <c r="BE138" i="103"/>
  <c r="BD138" i="103"/>
  <c r="BE106" i="103"/>
  <c r="BD106" i="103"/>
  <c r="BD124" i="103"/>
  <c r="BE124" i="103"/>
  <c r="BE112" i="103"/>
  <c r="BD112" i="103"/>
  <c r="BE88" i="103"/>
  <c r="BD88" i="103"/>
  <c r="BD59" i="103"/>
  <c r="BE59" i="103"/>
  <c r="BE118" i="103"/>
  <c r="BD118" i="103"/>
  <c r="BD86" i="103"/>
  <c r="BE86" i="103"/>
  <c r="BE102" i="103"/>
  <c r="BD102" i="103"/>
  <c r="BD80" i="103"/>
  <c r="BE80" i="103"/>
  <c r="BD143" i="103"/>
  <c r="BE143" i="103"/>
  <c r="BE121" i="103"/>
  <c r="BD121" i="103"/>
  <c r="BE126" i="103"/>
  <c r="BD126" i="103"/>
  <c r="BD113" i="103"/>
  <c r="BE113" i="103"/>
  <c r="BD109" i="103"/>
  <c r="BE109" i="103"/>
  <c r="BE73" i="103"/>
  <c r="BD73" i="103"/>
  <c r="BE96" i="103"/>
  <c r="BD96" i="103"/>
  <c r="BD125" i="103"/>
  <c r="BE125" i="103"/>
  <c r="BE144" i="103"/>
  <c r="BD144" i="103"/>
  <c r="BD78" i="103"/>
  <c r="BE78" i="103"/>
  <c r="BD107" i="103"/>
  <c r="BE107" i="103"/>
  <c r="BD57" i="103"/>
  <c r="BE57" i="103"/>
  <c r="BE68" i="103"/>
  <c r="BD68" i="103"/>
  <c r="BD151" i="103"/>
  <c r="BE151" i="103"/>
  <c r="BE64" i="103"/>
  <c r="BD64" i="103"/>
  <c r="BD139" i="103"/>
  <c r="BE139" i="103"/>
  <c r="BE132" i="103"/>
  <c r="BD132" i="103"/>
  <c r="BD74" i="103"/>
  <c r="BE74" i="103"/>
  <c r="BE72" i="103"/>
  <c r="BD72" i="103"/>
  <c r="BD85" i="103"/>
  <c r="BE85" i="103"/>
  <c r="BE127" i="103"/>
  <c r="BD127" i="103"/>
  <c r="BD105" i="103"/>
  <c r="BE105" i="103"/>
  <c r="BD153" i="103"/>
  <c r="BE153" i="103"/>
  <c r="BD99" i="103"/>
  <c r="BE99" i="103"/>
  <c r="BD149" i="103"/>
  <c r="BE149" i="103"/>
  <c r="BD135" i="103"/>
  <c r="BE135" i="103"/>
  <c r="BD128" i="103"/>
  <c r="BE128" i="103"/>
  <c r="BE136" i="103"/>
  <c r="BD136" i="103"/>
  <c r="BD79" i="103"/>
  <c r="BE79" i="103"/>
  <c r="BD155" i="103"/>
  <c r="BE155" i="103"/>
  <c r="BD81" i="103"/>
  <c r="BE81" i="103"/>
  <c r="BD60" i="103"/>
  <c r="BE60" i="103"/>
  <c r="BD142" i="103"/>
  <c r="BE142" i="103"/>
  <c r="BE58" i="103"/>
  <c r="BD58" i="103"/>
  <c r="BD82" i="103"/>
  <c r="BE82" i="103"/>
  <c r="BD87" i="103"/>
  <c r="BE87" i="103"/>
  <c r="BD130" i="103"/>
  <c r="BE130" i="103"/>
  <c r="BD141" i="103"/>
  <c r="BE141" i="103"/>
  <c r="BD108" i="103"/>
  <c r="BE108" i="103"/>
  <c r="BE147" i="103"/>
  <c r="BD147" i="103"/>
  <c r="BE94" i="103"/>
  <c r="BD94" i="103"/>
  <c r="BD137" i="103"/>
  <c r="BE137" i="103"/>
  <c r="BE131" i="103"/>
  <c r="BD131" i="103"/>
  <c r="BE89" i="103"/>
  <c r="BD89" i="103"/>
  <c r="BE110" i="103"/>
  <c r="BD110" i="103"/>
  <c r="BE63" i="103"/>
  <c r="BD63" i="103"/>
  <c r="BE61" i="103"/>
  <c r="BD61" i="103"/>
  <c r="E169" i="103"/>
  <c r="E171" i="103"/>
  <c r="IS4343" i="4"/>
  <c r="B507" i="102"/>
  <c r="B506" i="102"/>
  <c r="C383" i="102"/>
  <c r="AI4" i="4"/>
  <c r="AK4" i="4" s="1"/>
  <c r="AA4" i="4"/>
  <c r="DH7" i="4"/>
  <c r="DD3" i="4"/>
  <c r="CT4" i="4"/>
  <c r="CV5" i="4" s="1"/>
  <c r="CR2" i="4"/>
  <c r="CR3" i="4"/>
  <c r="CR4" i="4"/>
  <c r="CR5" i="4"/>
  <c r="CR6" i="4"/>
  <c r="ES5" i="4"/>
  <c r="I364" i="102"/>
  <c r="I365" i="102"/>
  <c r="I366" i="102"/>
  <c r="I367" i="102"/>
  <c r="I368" i="102"/>
  <c r="I369" i="102"/>
  <c r="I370" i="102"/>
  <c r="I371" i="102"/>
  <c r="I372" i="102"/>
  <c r="I376" i="102"/>
  <c r="I377" i="102"/>
  <c r="I378" i="102"/>
  <c r="I379" i="102"/>
  <c r="I363" i="102"/>
  <c r="I171" i="102"/>
  <c r="I172" i="102"/>
  <c r="I170" i="102"/>
  <c r="I189" i="102"/>
  <c r="I168" i="102"/>
  <c r="I167" i="102"/>
  <c r="I180" i="102"/>
  <c r="I179" i="102"/>
  <c r="I184" i="102"/>
  <c r="I183" i="102"/>
  <c r="I169" i="102"/>
  <c r="I98" i="102"/>
  <c r="I99" i="102"/>
  <c r="I100" i="102"/>
  <c r="I101" i="102"/>
  <c r="I102" i="102"/>
  <c r="I89" i="102"/>
  <c r="I90" i="102"/>
  <c r="I88" i="102"/>
  <c r="I82" i="102"/>
  <c r="I83" i="102"/>
  <c r="I84" i="102"/>
  <c r="I85" i="102"/>
  <c r="I86" i="102"/>
  <c r="I87" i="102"/>
  <c r="I74" i="102"/>
  <c r="I75" i="102"/>
  <c r="I76" i="102"/>
  <c r="I77" i="102"/>
  <c r="I78" i="102"/>
  <c r="I79" i="102"/>
  <c r="I80" i="102"/>
  <c r="I81" i="102"/>
  <c r="I73" i="102"/>
  <c r="I69" i="102"/>
  <c r="I70" i="102"/>
  <c r="I71" i="102"/>
  <c r="I72" i="102"/>
  <c r="I59" i="102"/>
  <c r="I60" i="102"/>
  <c r="I61" i="102"/>
  <c r="I62" i="102"/>
  <c r="I63" i="102"/>
  <c r="I64" i="102"/>
  <c r="I65" i="102"/>
  <c r="I66" i="102"/>
  <c r="I67" i="102"/>
  <c r="I68" i="102"/>
  <c r="I58" i="102"/>
  <c r="I57" i="102"/>
  <c r="I36" i="102"/>
  <c r="I37" i="102"/>
  <c r="I38" i="102"/>
  <c r="I39" i="102"/>
  <c r="I40" i="102"/>
  <c r="I41" i="102"/>
  <c r="I42" i="102"/>
  <c r="I43" i="102"/>
  <c r="I44" i="102"/>
  <c r="I45" i="102"/>
  <c r="I46" i="102"/>
  <c r="I47" i="102"/>
  <c r="I48" i="102"/>
  <c r="I49" i="102"/>
  <c r="I50" i="102"/>
  <c r="I51" i="102"/>
  <c r="I52" i="102"/>
  <c r="I53" i="102"/>
  <c r="I54" i="102"/>
  <c r="I55" i="102"/>
  <c r="I35" i="102"/>
  <c r="I28" i="102"/>
  <c r="I29" i="102"/>
  <c r="I30" i="102"/>
  <c r="I31" i="102"/>
  <c r="I32" i="102"/>
  <c r="I27" i="102"/>
  <c r="I13" i="102"/>
  <c r="I14" i="102"/>
  <c r="I15" i="102"/>
  <c r="I16" i="102"/>
  <c r="I17" i="102"/>
  <c r="I18" i="102"/>
  <c r="I19" i="102"/>
  <c r="I20" i="102"/>
  <c r="I21" i="102"/>
  <c r="I22" i="102"/>
  <c r="I23" i="102"/>
  <c r="I24" i="102"/>
  <c r="I12" i="102"/>
  <c r="I7" i="102"/>
  <c r="I6" i="102"/>
  <c r="I516" i="102"/>
  <c r="I517" i="102"/>
  <c r="I518" i="102"/>
  <c r="I519" i="102"/>
  <c r="I520" i="102"/>
  <c r="I521" i="102"/>
  <c r="I522" i="102"/>
  <c r="I523" i="102"/>
  <c r="I524" i="102"/>
  <c r="I515" i="102"/>
  <c r="I513" i="102"/>
  <c r="I514" i="102"/>
  <c r="I512" i="102"/>
  <c r="I509" i="102"/>
  <c r="I510" i="102"/>
  <c r="I511" i="102"/>
  <c r="I508" i="102"/>
  <c r="I506" i="102"/>
  <c r="I507" i="102" s="1"/>
  <c r="I493" i="102"/>
  <c r="I492" i="102"/>
  <c r="I491" i="102"/>
  <c r="I490" i="102"/>
  <c r="I489" i="102"/>
  <c r="I488" i="102"/>
  <c r="I487" i="102"/>
  <c r="I486" i="102"/>
  <c r="I485" i="102"/>
  <c r="I484" i="102"/>
  <c r="I473" i="102"/>
  <c r="I472" i="102"/>
  <c r="I471" i="102"/>
  <c r="I470" i="102"/>
  <c r="I469" i="102"/>
  <c r="I426" i="102"/>
  <c r="I427" i="102"/>
  <c r="I428" i="102"/>
  <c r="I429" i="102"/>
  <c r="I430" i="102"/>
  <c r="I431" i="102"/>
  <c r="I432" i="102"/>
  <c r="I433" i="102"/>
  <c r="I444" i="102"/>
  <c r="I445" i="102"/>
  <c r="I446" i="102"/>
  <c r="I425" i="102"/>
  <c r="I424" i="102"/>
  <c r="AK2" i="4" l="1"/>
  <c r="CV2" i="4"/>
  <c r="DD4" i="4"/>
  <c r="DD5" i="4" s="1"/>
  <c r="DD6" i="4" s="1"/>
  <c r="AK3" i="4"/>
  <c r="AA5" i="4"/>
  <c r="AC5" i="4" s="1"/>
  <c r="DH8" i="4"/>
  <c r="B168" i="102"/>
  <c r="CV4" i="4"/>
  <c r="CV3" i="4"/>
  <c r="CV6" i="4"/>
  <c r="I10" i="102"/>
  <c r="ES6" i="4"/>
  <c r="TM22" i="4"/>
  <c r="TM21" i="4"/>
  <c r="TM20" i="4"/>
  <c r="A63" i="99" s="1"/>
  <c r="TM19" i="4"/>
  <c r="TM16" i="4"/>
  <c r="A48" i="99" s="1"/>
  <c r="TM14" i="4"/>
  <c r="A45" i="99" s="1"/>
  <c r="TM13" i="4"/>
  <c r="TM12" i="4"/>
  <c r="A51" i="99" s="1"/>
  <c r="B380" i="102" l="1"/>
  <c r="AC2" i="4"/>
  <c r="A60" i="99"/>
  <c r="DF2" i="4"/>
  <c r="DF3" i="4"/>
  <c r="DF4" i="4"/>
  <c r="DF6" i="4"/>
  <c r="DF5" i="4"/>
  <c r="DH9" i="4"/>
  <c r="DJ8" i="4" s="1"/>
  <c r="AC4" i="4"/>
  <c r="AC3" i="4"/>
  <c r="B167" i="102"/>
  <c r="ES7" i="4"/>
  <c r="EU5" i="4" s="1"/>
  <c r="I389" i="102"/>
  <c r="I394" i="102"/>
  <c r="I395" i="102"/>
  <c r="I396" i="102"/>
  <c r="I397" i="102"/>
  <c r="I398" i="102"/>
  <c r="I390" i="102"/>
  <c r="I399" i="102"/>
  <c r="I400" i="102"/>
  <c r="I401" i="102"/>
  <c r="I402" i="102"/>
  <c r="I403" i="102"/>
  <c r="I404" i="102"/>
  <c r="I405" i="102"/>
  <c r="I406" i="102"/>
  <c r="I407" i="102"/>
  <c r="I408" i="102"/>
  <c r="I409" i="102"/>
  <c r="I410" i="102"/>
  <c r="I411" i="102"/>
  <c r="I412" i="102"/>
  <c r="I413" i="102"/>
  <c r="I414" i="102"/>
  <c r="I415" i="102"/>
  <c r="I416" i="102"/>
  <c r="I417" i="102"/>
  <c r="I418" i="102"/>
  <c r="I419" i="102"/>
  <c r="I420" i="102"/>
  <c r="I421" i="102"/>
  <c r="I422" i="102"/>
  <c r="I423" i="102"/>
  <c r="I494" i="102"/>
  <c r="I495" i="102"/>
  <c r="I496" i="102"/>
  <c r="I497" i="102"/>
  <c r="I498" i="102"/>
  <c r="I499" i="102"/>
  <c r="I500" i="102"/>
  <c r="I501" i="102"/>
  <c r="I502" i="102"/>
  <c r="I503" i="102"/>
  <c r="I504" i="102"/>
  <c r="I505" i="102"/>
  <c r="I350" i="102"/>
  <c r="I345" i="102"/>
  <c r="I349" i="102"/>
  <c r="I342" i="102"/>
  <c r="I343" i="102"/>
  <c r="I348" i="102"/>
  <c r="I340" i="102"/>
  <c r="I341" i="102"/>
  <c r="I344" i="102"/>
  <c r="I346" i="102"/>
  <c r="I347" i="102"/>
  <c r="I351" i="102"/>
  <c r="I353" i="102"/>
  <c r="I333" i="102"/>
  <c r="I339" i="102"/>
  <c r="I330" i="102"/>
  <c r="I331" i="102"/>
  <c r="I332" i="102"/>
  <c r="I334" i="102"/>
  <c r="I335" i="102"/>
  <c r="I338" i="102"/>
  <c r="I314" i="102"/>
  <c r="I315" i="102"/>
  <c r="I316" i="102"/>
  <c r="I317" i="102"/>
  <c r="I318" i="102"/>
  <c r="I319" i="102"/>
  <c r="I320" i="102"/>
  <c r="I321" i="102"/>
  <c r="I322" i="102"/>
  <c r="I323" i="102"/>
  <c r="I324" i="102"/>
  <c r="I325" i="102"/>
  <c r="I326" i="102"/>
  <c r="I327" i="102"/>
  <c r="I328" i="102"/>
  <c r="I329" i="102"/>
  <c r="I313" i="102"/>
  <c r="I281" i="102"/>
  <c r="I282" i="102"/>
  <c r="I283" i="102"/>
  <c r="I284" i="102"/>
  <c r="I285" i="102"/>
  <c r="I286" i="102"/>
  <c r="I287" i="102"/>
  <c r="I288" i="102"/>
  <c r="I289" i="102"/>
  <c r="I290" i="102"/>
  <c r="I291" i="102"/>
  <c r="I292" i="102"/>
  <c r="I293" i="102"/>
  <c r="H21" i="27"/>
  <c r="EU3" i="4" l="1"/>
  <c r="EU2" i="4"/>
  <c r="DJ2" i="4"/>
  <c r="DJ3" i="4"/>
  <c r="A204" i="102"/>
  <c r="B355" i="102"/>
  <c r="AE3" i="4"/>
  <c r="DJ7" i="4"/>
  <c r="DJ5" i="4"/>
  <c r="DJ9" i="4"/>
  <c r="DJ4" i="4"/>
  <c r="DJ6" i="4"/>
  <c r="DJ11" i="4"/>
  <c r="DJ10" i="4"/>
  <c r="EU6" i="4"/>
  <c r="EU4" i="4"/>
  <c r="EU7" i="4"/>
  <c r="I295" i="102"/>
  <c r="I296" i="102"/>
  <c r="I297" i="102"/>
  <c r="I298" i="102"/>
  <c r="I299" i="102"/>
  <c r="I300" i="102"/>
  <c r="I301" i="102"/>
  <c r="I302" i="102"/>
  <c r="I303" i="102"/>
  <c r="I304" i="102"/>
  <c r="I305" i="102"/>
  <c r="I306" i="102"/>
  <c r="I307" i="102"/>
  <c r="I308" i="102"/>
  <c r="I309" i="102"/>
  <c r="I310" i="102"/>
  <c r="I311" i="102"/>
  <c r="I294" i="102"/>
  <c r="I312" i="102"/>
  <c r="I280" i="102"/>
  <c r="I276" i="102"/>
  <c r="I277" i="102"/>
  <c r="I275" i="102"/>
  <c r="I274" i="102"/>
  <c r="I270" i="102"/>
  <c r="I271" i="102"/>
  <c r="I272" i="102"/>
  <c r="I273" i="102"/>
  <c r="I278" i="102"/>
  <c r="I279" i="102"/>
  <c r="I269" i="102"/>
  <c r="I260" i="102"/>
  <c r="I261" i="102"/>
  <c r="I262" i="102"/>
  <c r="I263" i="102"/>
  <c r="I264" i="102"/>
  <c r="I265" i="102"/>
  <c r="I266" i="102"/>
  <c r="I267" i="102"/>
  <c r="I268" i="102"/>
  <c r="I259" i="102"/>
  <c r="I258" i="102"/>
  <c r="I257" i="102"/>
  <c r="I254" i="102"/>
  <c r="I255" i="102"/>
  <c r="I256" i="102"/>
  <c r="I251" i="102"/>
  <c r="I246" i="102"/>
  <c r="I247" i="102"/>
  <c r="I248" i="102"/>
  <c r="I249" i="102"/>
  <c r="I250" i="102"/>
  <c r="I245" i="102"/>
  <c r="I233" i="102"/>
  <c r="E3" i="4"/>
  <c r="E4" i="4"/>
  <c r="E5" i="4"/>
  <c r="E6" i="4"/>
  <c r="E7" i="4"/>
  <c r="E8" i="4"/>
  <c r="E9" i="4"/>
  <c r="E10" i="4"/>
  <c r="E11" i="4"/>
  <c r="E12" i="4"/>
  <c r="E13" i="4"/>
  <c r="E14" i="4"/>
  <c r="E15" i="4"/>
  <c r="E16" i="4"/>
  <c r="E17" i="4"/>
  <c r="E18" i="4"/>
  <c r="E19" i="4"/>
  <c r="E20" i="4"/>
  <c r="E21" i="4"/>
  <c r="E22" i="4"/>
  <c r="E23" i="4"/>
  <c r="E24" i="4"/>
  <c r="E25" i="4"/>
  <c r="E26" i="4"/>
  <c r="E27" i="4"/>
  <c r="E28" i="4"/>
  <c r="E29" i="4"/>
  <c r="E2" i="4"/>
  <c r="I221" i="102"/>
  <c r="I222" i="102"/>
  <c r="I223" i="102"/>
  <c r="I224" i="102"/>
  <c r="I225" i="102"/>
  <c r="I226" i="102"/>
  <c r="I227" i="102"/>
  <c r="I228" i="102"/>
  <c r="I220" i="102"/>
  <c r="I218" i="102"/>
  <c r="I219" i="102"/>
  <c r="I217" i="102"/>
  <c r="I213" i="102"/>
  <c r="I214" i="102"/>
  <c r="I215" i="102"/>
  <c r="I216" i="102"/>
  <c r="I212" i="102"/>
  <c r="I210" i="102"/>
  <c r="I209" i="102"/>
  <c r="I208" i="102"/>
  <c r="I205" i="102"/>
  <c r="I204" i="102"/>
  <c r="I206" i="102"/>
  <c r="I207" i="102"/>
  <c r="B105" i="102" l="1"/>
  <c r="TM25" i="4"/>
  <c r="AE4" i="4"/>
  <c r="AE5" i="4" s="1"/>
  <c r="AG5" i="4" s="1"/>
  <c r="B294" i="102"/>
  <c r="B313" i="102"/>
  <c r="B281" i="102"/>
  <c r="Q73" i="70"/>
  <c r="O73" i="70"/>
  <c r="M73" i="70"/>
  <c r="K73" i="70"/>
  <c r="I73" i="70"/>
  <c r="G73" i="70"/>
  <c r="E73" i="70"/>
  <c r="W72" i="70"/>
  <c r="U72" i="70"/>
  <c r="S72" i="70"/>
  <c r="AG4" i="4" l="1"/>
  <c r="AG3" i="4"/>
  <c r="AG2" i="4"/>
  <c r="B364" i="102" l="1"/>
  <c r="HD4344" i="4"/>
  <c r="HA4344" i="4"/>
  <c r="G51" i="97" l="1"/>
  <c r="I51" i="97" s="1"/>
  <c r="R34" i="70" s="1"/>
  <c r="H51" i="97"/>
  <c r="H50" i="97"/>
  <c r="C93" i="89"/>
  <c r="P14" i="70" s="1"/>
  <c r="C164" i="89"/>
  <c r="P20" i="70"/>
  <c r="P17" i="70"/>
  <c r="P11" i="70"/>
  <c r="P7" i="70"/>
  <c r="P8" i="70"/>
  <c r="P10" i="70"/>
  <c r="P12" i="70"/>
  <c r="P13" i="70"/>
  <c r="R13" i="70"/>
  <c r="T13" i="70"/>
  <c r="V13" i="70"/>
  <c r="P15" i="70"/>
  <c r="P16" i="70"/>
  <c r="R16" i="70"/>
  <c r="T16" i="70"/>
  <c r="V16" i="70"/>
  <c r="P18" i="70"/>
  <c r="P19" i="70"/>
  <c r="R19" i="70"/>
  <c r="T19" i="70"/>
  <c r="V19" i="70"/>
  <c r="P21" i="70"/>
  <c r="P9" i="70" l="1"/>
  <c r="I50" i="97"/>
  <c r="J51" i="97"/>
  <c r="S71" i="70" s="1"/>
  <c r="J50" i="97"/>
  <c r="O71" i="70" s="1"/>
  <c r="TM9" i="4"/>
  <c r="TM8" i="4"/>
  <c r="P36" i="70" l="1"/>
  <c r="N36" i="70"/>
  <c r="L36" i="70"/>
  <c r="J36" i="70"/>
  <c r="H36" i="70"/>
  <c r="F36" i="70"/>
  <c r="D36" i="70"/>
  <c r="T35" i="70"/>
  <c r="R35" i="70"/>
  <c r="N34" i="70"/>
  <c r="A145" i="23" l="1"/>
  <c r="A146" i="23" s="1"/>
  <c r="A147" i="23" s="1"/>
  <c r="A148" i="23" s="1"/>
  <c r="A149" i="23" s="1"/>
  <c r="A150" i="23" s="1"/>
  <c r="A151" i="23" s="1"/>
  <c r="G44" i="93"/>
  <c r="HA4343" i="4"/>
  <c r="HA4339" i="4"/>
  <c r="HA4338" i="4"/>
  <c r="I44" i="93" l="1"/>
  <c r="P33" i="70" s="1"/>
  <c r="H51" i="93" l="1"/>
  <c r="G51" i="93"/>
  <c r="H50" i="93"/>
  <c r="I51" i="93" l="1"/>
  <c r="R33" i="70" s="1"/>
  <c r="J51" i="93"/>
  <c r="S70" i="70" s="1"/>
  <c r="TM6" i="4" l="1"/>
  <c r="TM18" i="4" l="1"/>
  <c r="TM17" i="4"/>
  <c r="TM24" i="4"/>
  <c r="TM23" i="4" s="1"/>
  <c r="A66" i="99" s="1"/>
  <c r="A57" i="99" l="1"/>
  <c r="A54" i="99"/>
  <c r="QO27" i="4"/>
  <c r="QQ27" i="4" s="1"/>
  <c r="A84" i="95" l="1"/>
  <c r="A83" i="95"/>
  <c r="A42" i="95"/>
  <c r="A40" i="95"/>
  <c r="A41" i="95"/>
  <c r="A38" i="95"/>
  <c r="A39" i="95"/>
  <c r="A37" i="95"/>
  <c r="A36" i="95"/>
  <c r="A32" i="95"/>
  <c r="A31" i="95"/>
  <c r="A30" i="95"/>
  <c r="A29" i="95"/>
  <c r="A28" i="95"/>
  <c r="A27" i="95"/>
  <c r="A26" i="95"/>
  <c r="A25" i="95"/>
  <c r="A24" i="95"/>
  <c r="A19" i="95"/>
  <c r="A23" i="95"/>
  <c r="A22" i="95"/>
  <c r="A21" i="95"/>
  <c r="A20" i="95"/>
  <c r="A85" i="95" l="1"/>
  <c r="A82" i="95"/>
  <c r="A81" i="95"/>
  <c r="A74" i="95"/>
  <c r="A72" i="95"/>
  <c r="A70" i="95"/>
  <c r="A68" i="95"/>
  <c r="A64" i="95"/>
  <c r="A65" i="95"/>
  <c r="A66" i="95"/>
  <c r="A67" i="95"/>
  <c r="A63" i="95"/>
  <c r="A60" i="95"/>
  <c r="A57" i="95"/>
  <c r="A54" i="95"/>
  <c r="A51" i="95"/>
  <c r="A48" i="95"/>
  <c r="A43" i="95"/>
  <c r="A86" i="95" s="1"/>
  <c r="A35" i="95"/>
  <c r="A79" i="95" s="1"/>
  <c r="A34" i="95"/>
  <c r="A77" i="95" s="1"/>
  <c r="A33" i="95"/>
  <c r="A75" i="95" s="1"/>
  <c r="GM24" i="90" l="1"/>
  <c r="GM25" i="90"/>
  <c r="GM26" i="90"/>
  <c r="GM27" i="90"/>
  <c r="GM28" i="90"/>
  <c r="GM29" i="90"/>
  <c r="GM30" i="90"/>
  <c r="GM31" i="90"/>
  <c r="GM32" i="90"/>
  <c r="GM23" i="90"/>
  <c r="CK7" i="4"/>
  <c r="CK8" i="4"/>
  <c r="CK9" i="4"/>
  <c r="CK10" i="4"/>
  <c r="CK11" i="4"/>
  <c r="CK12" i="4"/>
  <c r="CK13" i="4"/>
  <c r="CK14" i="4"/>
  <c r="CK15" i="4"/>
  <c r="C122" i="102" l="1"/>
  <c r="I122" i="102" s="1"/>
  <c r="C129" i="102"/>
  <c r="I129" i="102" s="1"/>
  <c r="C121" i="102"/>
  <c r="I121" i="102" s="1"/>
  <c r="C128" i="102"/>
  <c r="I128" i="102" s="1"/>
  <c r="C127" i="102"/>
  <c r="I127" i="102" s="1"/>
  <c r="C126" i="102"/>
  <c r="I126" i="102" s="1"/>
  <c r="C125" i="102"/>
  <c r="I125" i="102" s="1"/>
  <c r="C124" i="102"/>
  <c r="I124" i="102" s="1"/>
  <c r="C123" i="102"/>
  <c r="I123" i="102" s="1"/>
  <c r="D36" i="23"/>
  <c r="D37" i="23"/>
  <c r="D38" i="23"/>
  <c r="D39" i="23"/>
  <c r="D40" i="23"/>
  <c r="D41" i="23"/>
  <c r="D42" i="23"/>
  <c r="D43" i="23"/>
  <c r="D44" i="23"/>
  <c r="D45" i="23"/>
  <c r="D46" i="23"/>
  <c r="D47" i="23"/>
  <c r="D48" i="23"/>
  <c r="D49" i="23"/>
  <c r="D50" i="23"/>
  <c r="D51" i="23"/>
  <c r="D52" i="23"/>
  <c r="D53" i="23"/>
  <c r="D54" i="23"/>
  <c r="D55" i="23"/>
  <c r="D56" i="23"/>
  <c r="D57" i="23"/>
  <c r="D58" i="23"/>
  <c r="D59" i="23"/>
  <c r="D35" i="23"/>
  <c r="G151" i="23"/>
  <c r="S73" i="70" s="1"/>
  <c r="F151" i="23"/>
  <c r="R36" i="70" s="1"/>
  <c r="A80" i="95" l="1"/>
  <c r="A78" i="95"/>
  <c r="A76" i="95"/>
  <c r="A73" i="95"/>
  <c r="A71" i="95"/>
  <c r="A69" i="95"/>
  <c r="A61" i="95"/>
  <c r="A62" i="95" s="1"/>
  <c r="A58" i="95"/>
  <c r="A59" i="95" s="1"/>
  <c r="A56" i="95"/>
  <c r="A55" i="95"/>
  <c r="A53" i="95"/>
  <c r="A52" i="95"/>
  <c r="A49" i="95"/>
  <c r="A50" i="95" s="1"/>
  <c r="A171" i="23" l="1"/>
  <c r="A172" i="23" s="1"/>
  <c r="A173" i="23" s="1"/>
  <c r="A174" i="23" s="1"/>
  <c r="A175" i="23" s="1"/>
  <c r="A176" i="23" s="1"/>
  <c r="A177" i="23" s="1"/>
  <c r="A178" i="23" s="1"/>
  <c r="A161" i="23"/>
  <c r="A162" i="23" s="1"/>
  <c r="A163" i="23" s="1"/>
  <c r="A164" i="23" s="1"/>
  <c r="A165" i="23" s="1"/>
  <c r="A166" i="23" s="1"/>
  <c r="A167" i="23" s="1"/>
  <c r="A168" i="23" s="1"/>
  <c r="A154" i="23"/>
  <c r="A155" i="23" s="1"/>
  <c r="A156" i="23" s="1"/>
  <c r="A157" i="23" s="1"/>
  <c r="A158" i="23" s="1"/>
  <c r="D171" i="23"/>
  <c r="D172" i="23" s="1"/>
  <c r="D173" i="23" s="1"/>
  <c r="D174" i="23" s="1"/>
  <c r="D175" i="23" s="1"/>
  <c r="D176" i="23" s="1"/>
  <c r="D177" i="23" s="1"/>
  <c r="D178" i="23" s="1"/>
  <c r="D161" i="23"/>
  <c r="D162" i="23" s="1"/>
  <c r="D163" i="23" s="1"/>
  <c r="D164" i="23" s="1"/>
  <c r="D165" i="23" s="1"/>
  <c r="D166" i="23" s="1"/>
  <c r="D167" i="23" s="1"/>
  <c r="D168" i="23" s="1"/>
  <c r="D154" i="23"/>
  <c r="D155" i="23" s="1"/>
  <c r="D156" i="23" s="1"/>
  <c r="D157" i="23" s="1"/>
  <c r="D158" i="23" s="1"/>
  <c r="D144" i="23"/>
  <c r="D145" i="23" s="1"/>
  <c r="D146" i="23" s="1"/>
  <c r="D147" i="23" s="1"/>
  <c r="D148" i="23" s="1"/>
  <c r="D149" i="23" s="1"/>
  <c r="D150" i="23" s="1"/>
  <c r="D151" i="23" s="1"/>
  <c r="A79" i="84" l="1"/>
  <c r="A62" i="84"/>
  <c r="A45" i="84"/>
  <c r="A28" i="84"/>
  <c r="A11" i="84"/>
  <c r="B72" i="70" l="1"/>
  <c r="B71" i="70"/>
  <c r="B70" i="70"/>
  <c r="B69" i="70"/>
  <c r="B68" i="70"/>
  <c r="A36" i="70"/>
  <c r="C73" i="70"/>
  <c r="C36" i="70" s="1"/>
  <c r="C72" i="70"/>
  <c r="C71" i="70"/>
  <c r="C69" i="70"/>
  <c r="A71" i="70"/>
  <c r="A69" i="70"/>
  <c r="B73" i="70"/>
  <c r="B36" i="70" s="1"/>
  <c r="A72" i="70"/>
  <c r="QP22" i="4"/>
  <c r="QO22" i="4"/>
  <c r="QP21" i="4"/>
  <c r="QO21" i="4"/>
  <c r="F23" i="51" l="1"/>
  <c r="F22" i="51" l="1"/>
  <c r="PD4342" i="4" l="1"/>
  <c r="PD4343" i="4"/>
  <c r="PD4341" i="4"/>
  <c r="PD4338" i="4"/>
  <c r="PA4341" i="4"/>
  <c r="PA4338" i="4"/>
  <c r="NE4341" i="4"/>
  <c r="NE4342" i="4" l="1"/>
  <c r="NE4343" i="4"/>
  <c r="NB4341" i="4"/>
  <c r="KY4339" i="4"/>
  <c r="KV4339" i="4"/>
  <c r="HD4339" i="4"/>
  <c r="HD4343" i="4"/>
  <c r="HD4338" i="4"/>
  <c r="A63" i="97" l="1"/>
  <c r="A62" i="97"/>
  <c r="A61" i="97"/>
  <c r="A60" i="97"/>
  <c r="A59" i="97"/>
  <c r="A58" i="97"/>
  <c r="A57" i="97"/>
  <c r="F57" i="97" s="1"/>
  <c r="A56" i="97"/>
  <c r="A55" i="97"/>
  <c r="A54" i="97"/>
  <c r="G49" i="97"/>
  <c r="G48" i="97"/>
  <c r="H48" i="97" s="1"/>
  <c r="G47" i="97"/>
  <c r="H47" i="97" s="1"/>
  <c r="G46" i="97"/>
  <c r="H46" i="97" s="1"/>
  <c r="G45" i="97"/>
  <c r="G44" i="97"/>
  <c r="H44" i="97" s="1"/>
  <c r="I35" i="97"/>
  <c r="I28" i="97"/>
  <c r="I20" i="97"/>
  <c r="I19" i="97"/>
  <c r="I18" i="97"/>
  <c r="I17" i="97"/>
  <c r="G38" i="96"/>
  <c r="H38" i="96" s="1"/>
  <c r="G37" i="96"/>
  <c r="I37" i="96" s="1"/>
  <c r="L32" i="70" s="1"/>
  <c r="G36" i="96"/>
  <c r="H36" i="96" s="1"/>
  <c r="G35" i="96"/>
  <c r="G34" i="96"/>
  <c r="H34" i="96" s="1"/>
  <c r="G33" i="96"/>
  <c r="I33" i="96" s="1"/>
  <c r="D32" i="70" s="1"/>
  <c r="G32" i="96"/>
  <c r="H32" i="96" s="1"/>
  <c r="E58" i="97" l="1"/>
  <c r="F58" i="97"/>
  <c r="E59" i="97"/>
  <c r="F59" i="97"/>
  <c r="G56" i="97"/>
  <c r="I56" i="97" s="1"/>
  <c r="F56" i="97"/>
  <c r="E60" i="97"/>
  <c r="F60" i="97"/>
  <c r="E61" i="97"/>
  <c r="F61" i="97"/>
  <c r="E54" i="97"/>
  <c r="F54" i="97"/>
  <c r="E62" i="97"/>
  <c r="F62" i="97"/>
  <c r="E55" i="97"/>
  <c r="F55" i="97"/>
  <c r="E63" i="97"/>
  <c r="F63" i="97"/>
  <c r="J38" i="96"/>
  <c r="O69" i="70" s="1"/>
  <c r="G60" i="97"/>
  <c r="G61" i="97"/>
  <c r="G54" i="97"/>
  <c r="G62" i="97"/>
  <c r="G55" i="97"/>
  <c r="H63" i="97"/>
  <c r="I36" i="96"/>
  <c r="J32" i="70" s="1"/>
  <c r="I35" i="96"/>
  <c r="H32" i="70" s="1"/>
  <c r="I32" i="96"/>
  <c r="P32" i="70" s="1"/>
  <c r="J48" i="97"/>
  <c r="K71" i="70" s="1"/>
  <c r="I48" i="97"/>
  <c r="J34" i="70" s="1"/>
  <c r="J47" i="97"/>
  <c r="I71" i="70" s="1"/>
  <c r="I47" i="97"/>
  <c r="H34" i="70" s="1"/>
  <c r="E57" i="97"/>
  <c r="I44" i="97"/>
  <c r="P34" i="70" s="1"/>
  <c r="I45" i="97"/>
  <c r="D34" i="70" s="1"/>
  <c r="I49" i="97"/>
  <c r="L34" i="70" s="1"/>
  <c r="J46" i="97"/>
  <c r="G71" i="70" s="1"/>
  <c r="I46" i="97"/>
  <c r="F34" i="70" s="1"/>
  <c r="G59" i="97"/>
  <c r="G63" i="97"/>
  <c r="H55" i="97"/>
  <c r="H61" i="97"/>
  <c r="H62" i="97"/>
  <c r="H56" i="97"/>
  <c r="H57" i="97"/>
  <c r="H54" i="97"/>
  <c r="H59" i="97"/>
  <c r="H60" i="97"/>
  <c r="H45" i="97"/>
  <c r="H49" i="97"/>
  <c r="G58" i="97"/>
  <c r="G57" i="97"/>
  <c r="H58" i="97"/>
  <c r="J34" i="96"/>
  <c r="G69" i="70" s="1"/>
  <c r="I34" i="96"/>
  <c r="F32" i="70" s="1"/>
  <c r="I38" i="96"/>
  <c r="N32" i="70" s="1"/>
  <c r="J32" i="96"/>
  <c r="Q69" i="70" s="1"/>
  <c r="H33" i="96"/>
  <c r="J33" i="96" s="1"/>
  <c r="E69" i="70" s="1"/>
  <c r="J36" i="96"/>
  <c r="K69" i="70" s="1"/>
  <c r="H37" i="96"/>
  <c r="J37" i="96" s="1"/>
  <c r="M69" i="70" s="1"/>
  <c r="H35" i="96"/>
  <c r="J35" i="96" s="1"/>
  <c r="I69" i="70" s="1"/>
  <c r="EX26" i="4"/>
  <c r="EX3" i="4"/>
  <c r="EX4" i="4"/>
  <c r="EX5" i="4"/>
  <c r="EX6" i="4"/>
  <c r="EX7" i="4"/>
  <c r="EX8" i="4"/>
  <c r="EX9" i="4"/>
  <c r="EX10" i="4"/>
  <c r="EX11" i="4"/>
  <c r="EX12" i="4"/>
  <c r="EX13" i="4"/>
  <c r="EX14" i="4"/>
  <c r="EX15" i="4"/>
  <c r="EX16" i="4"/>
  <c r="EX17" i="4"/>
  <c r="EX18" i="4"/>
  <c r="EX19" i="4"/>
  <c r="EX20" i="4"/>
  <c r="EX21" i="4"/>
  <c r="EX22" i="4"/>
  <c r="EX23" i="4"/>
  <c r="EX24" i="4"/>
  <c r="EX25" i="4"/>
  <c r="EX2" i="4"/>
  <c r="EY20" i="4"/>
  <c r="EZ20" i="4"/>
  <c r="EY21" i="4"/>
  <c r="EZ21" i="4"/>
  <c r="EY22" i="4"/>
  <c r="EZ22" i="4"/>
  <c r="EY23" i="4"/>
  <c r="EZ23" i="4"/>
  <c r="EY24" i="4"/>
  <c r="EZ24" i="4"/>
  <c r="EY25" i="4"/>
  <c r="EZ25" i="4"/>
  <c r="EY26" i="4"/>
  <c r="EZ26" i="4"/>
  <c r="EY15" i="4"/>
  <c r="EZ15" i="4"/>
  <c r="EY16" i="4"/>
  <c r="EZ16" i="4"/>
  <c r="EY17" i="4"/>
  <c r="EZ17" i="4"/>
  <c r="EY18" i="4"/>
  <c r="EZ18" i="4"/>
  <c r="EY19" i="4"/>
  <c r="EZ19" i="4"/>
  <c r="EY3" i="4"/>
  <c r="EZ3" i="4"/>
  <c r="EY4" i="4"/>
  <c r="EZ4" i="4"/>
  <c r="EY5" i="4"/>
  <c r="EZ5" i="4"/>
  <c r="EY6" i="4"/>
  <c r="EZ6" i="4"/>
  <c r="EY7" i="4"/>
  <c r="EZ7" i="4"/>
  <c r="EY8" i="4"/>
  <c r="EZ8" i="4"/>
  <c r="EY9" i="4"/>
  <c r="EZ9" i="4"/>
  <c r="EY10" i="4"/>
  <c r="EZ10" i="4"/>
  <c r="EY11" i="4"/>
  <c r="EZ11" i="4"/>
  <c r="EY12" i="4"/>
  <c r="EZ12" i="4"/>
  <c r="EY13" i="4"/>
  <c r="EZ13" i="4"/>
  <c r="EY14" i="4"/>
  <c r="EZ14" i="4"/>
  <c r="EZ2" i="4"/>
  <c r="EY2" i="4"/>
  <c r="I55" i="97" l="1"/>
  <c r="I60" i="97"/>
  <c r="I58" i="97"/>
  <c r="I54" i="97"/>
  <c r="I59" i="97"/>
  <c r="I62" i="97"/>
  <c r="J49" i="97"/>
  <c r="M71" i="70" s="1"/>
  <c r="I57" i="97"/>
  <c r="I61" i="97"/>
  <c r="J45" i="97"/>
  <c r="E71" i="70" s="1"/>
  <c r="J58" i="97"/>
  <c r="J44" i="97"/>
  <c r="Q71" i="70" s="1"/>
  <c r="I63" i="97"/>
  <c r="J61" i="97"/>
  <c r="J56" i="97"/>
  <c r="J55" i="97"/>
  <c r="J59" i="97"/>
  <c r="J60" i="97"/>
  <c r="J63" i="97"/>
  <c r="J54" i="97"/>
  <c r="J62" i="97"/>
  <c r="J57" i="97"/>
  <c r="B76" i="70" l="1"/>
  <c r="A76" i="70"/>
  <c r="C75" i="70"/>
  <c r="B75" i="70"/>
  <c r="A75" i="70"/>
  <c r="C74" i="70"/>
  <c r="B74" i="70"/>
  <c r="A74" i="70"/>
  <c r="A38" i="70" l="1"/>
  <c r="B38" i="70"/>
  <c r="C38" i="70"/>
  <c r="A39" i="70"/>
  <c r="B39" i="70"/>
  <c r="C39" i="70"/>
  <c r="B37" i="70"/>
  <c r="C37" i="70"/>
  <c r="A37" i="70"/>
  <c r="C60" i="70"/>
  <c r="A47" i="70"/>
  <c r="A48" i="70" s="1"/>
  <c r="A49" i="70" s="1"/>
  <c r="A12" i="70" s="1"/>
  <c r="A10" i="70" l="1"/>
  <c r="A11" i="70"/>
  <c r="E102" i="95" l="1"/>
  <c r="E105" i="95" l="1"/>
  <c r="E104" i="95"/>
  <c r="E103" i="95"/>
  <c r="F98" i="95"/>
  <c r="E98" i="95" s="1"/>
  <c r="F59" i="36"/>
  <c r="C70" i="70" l="1"/>
  <c r="C68" i="70"/>
  <c r="C66" i="70"/>
  <c r="C65" i="70"/>
  <c r="C64" i="70"/>
  <c r="C63" i="70"/>
  <c r="C62" i="70"/>
  <c r="C61" i="70"/>
  <c r="C59" i="70"/>
  <c r="C56" i="70"/>
  <c r="C19" i="70" s="1"/>
  <c r="C53" i="70"/>
  <c r="C16" i="70" s="1"/>
  <c r="C50" i="70"/>
  <c r="C13" i="70" s="1"/>
  <c r="C47" i="70"/>
  <c r="C10" i="70" s="1"/>
  <c r="C44" i="70"/>
  <c r="C7" i="70" s="1"/>
  <c r="A70" i="70"/>
  <c r="C52" i="70" l="1"/>
  <c r="C15" i="70" s="1"/>
  <c r="C51" i="70"/>
  <c r="C14" i="70" s="1"/>
  <c r="C45" i="70"/>
  <c r="C8" i="70" s="1"/>
  <c r="C46" i="70"/>
  <c r="C9" i="70" s="1"/>
  <c r="C49" i="70"/>
  <c r="C12" i="70" s="1"/>
  <c r="C48" i="70"/>
  <c r="C11" i="70" s="1"/>
  <c r="C55" i="70"/>
  <c r="C18" i="70" s="1"/>
  <c r="C54" i="70"/>
  <c r="C17" i="70" s="1"/>
  <c r="C57" i="70"/>
  <c r="C20" i="70" s="1"/>
  <c r="C58" i="70"/>
  <c r="C21" i="70" s="1"/>
  <c r="LR4346" i="4" l="1"/>
  <c r="D58" i="41" l="1"/>
  <c r="D57" i="41"/>
  <c r="FX435" i="90" l="1"/>
  <c r="FX443" i="90" s="1"/>
  <c r="FW435" i="90"/>
  <c r="FW443" i="90" s="1"/>
  <c r="FV435" i="90"/>
  <c r="FV443" i="90" s="1"/>
  <c r="FU435" i="90"/>
  <c r="FU443" i="90" s="1"/>
  <c r="FT435" i="90"/>
  <c r="FT441" i="90" s="1"/>
  <c r="FN435" i="90"/>
  <c r="FN442" i="90" s="1"/>
  <c r="FM435" i="90"/>
  <c r="FM442" i="90" s="1"/>
  <c r="FL435" i="90"/>
  <c r="FQ435" i="90" s="1"/>
  <c r="FK435" i="90"/>
  <c r="FP435" i="90" s="1"/>
  <c r="FJ435" i="90"/>
  <c r="FJ440" i="90" s="1"/>
  <c r="FD435" i="90"/>
  <c r="FD443" i="90" s="1"/>
  <c r="FC435" i="90"/>
  <c r="FC443" i="90" s="1"/>
  <c r="FB435" i="90"/>
  <c r="FB443" i="90" s="1"/>
  <c r="FA435" i="90"/>
  <c r="FA443" i="90" s="1"/>
  <c r="EZ435" i="90"/>
  <c r="ET435" i="90"/>
  <c r="ET442" i="90" s="1"/>
  <c r="ES435" i="90"/>
  <c r="ES442" i="90" s="1"/>
  <c r="ER435" i="90"/>
  <c r="EW435" i="90" s="1"/>
  <c r="EQ435" i="90"/>
  <c r="EV435" i="90" s="1"/>
  <c r="EP435" i="90"/>
  <c r="EP438" i="90" s="1"/>
  <c r="EJ435" i="90"/>
  <c r="EJ443" i="90" s="1"/>
  <c r="EI435" i="90"/>
  <c r="EI443" i="90" s="1"/>
  <c r="EH435" i="90"/>
  <c r="EH443" i="90" s="1"/>
  <c r="EG435" i="90"/>
  <c r="EG443" i="90" s="1"/>
  <c r="EF435" i="90"/>
  <c r="EF437" i="90" s="1"/>
  <c r="DZ435" i="90"/>
  <c r="DZ439" i="90" s="1"/>
  <c r="DY435" i="90"/>
  <c r="DY439" i="90" s="1"/>
  <c r="DX435" i="90"/>
  <c r="DX439" i="90" s="1"/>
  <c r="DW435" i="90"/>
  <c r="DW439" i="90" s="1"/>
  <c r="DV435" i="90"/>
  <c r="GC435" i="90" l="1"/>
  <c r="GC443" i="90" s="1"/>
  <c r="GB435" i="90"/>
  <c r="GB443" i="90" s="1"/>
  <c r="FI435" i="90"/>
  <c r="FI443" i="90" s="1"/>
  <c r="EV442" i="90"/>
  <c r="EV440" i="90"/>
  <c r="EV438" i="90"/>
  <c r="EV443" i="90"/>
  <c r="EV441" i="90"/>
  <c r="EV439" i="90"/>
  <c r="EV437" i="90"/>
  <c r="EW442" i="90"/>
  <c r="EW440" i="90"/>
  <c r="EW438" i="90"/>
  <c r="EW443" i="90"/>
  <c r="EW441" i="90"/>
  <c r="EW439" i="90"/>
  <c r="EW437" i="90"/>
  <c r="FP442" i="90"/>
  <c r="FP440" i="90"/>
  <c r="FP438" i="90"/>
  <c r="FP443" i="90"/>
  <c r="FP441" i="90"/>
  <c r="FP439" i="90"/>
  <c r="FP437" i="90"/>
  <c r="FQ442" i="90"/>
  <c r="FQ440" i="90"/>
  <c r="FQ438" i="90"/>
  <c r="FQ443" i="90"/>
  <c r="FQ441" i="90"/>
  <c r="FQ439" i="90"/>
  <c r="FQ437" i="90"/>
  <c r="EO435" i="90"/>
  <c r="DZ437" i="90"/>
  <c r="DZ442" i="90"/>
  <c r="DZ440" i="90"/>
  <c r="DZ438" i="90"/>
  <c r="EG438" i="90"/>
  <c r="EG440" i="90"/>
  <c r="EG442" i="90"/>
  <c r="EQ437" i="90"/>
  <c r="EQ439" i="90"/>
  <c r="EQ441" i="90"/>
  <c r="EQ443" i="90"/>
  <c r="FA438" i="90"/>
  <c r="FA440" i="90"/>
  <c r="FA442" i="90"/>
  <c r="FK437" i="90"/>
  <c r="FK439" i="90"/>
  <c r="FK441" i="90"/>
  <c r="FK443" i="90"/>
  <c r="FU438" i="90"/>
  <c r="FU440" i="90"/>
  <c r="FU442" i="90"/>
  <c r="FH435" i="90"/>
  <c r="EN435" i="90"/>
  <c r="DY437" i="90"/>
  <c r="DY442" i="90"/>
  <c r="DY440" i="90"/>
  <c r="DY438" i="90"/>
  <c r="EH438" i="90"/>
  <c r="EH440" i="90"/>
  <c r="EH442" i="90"/>
  <c r="ER437" i="90"/>
  <c r="ER439" i="90"/>
  <c r="ER441" i="90"/>
  <c r="ER443" i="90"/>
  <c r="FB438" i="90"/>
  <c r="FB440" i="90"/>
  <c r="FB442" i="90"/>
  <c r="FL437" i="90"/>
  <c r="FL439" i="90"/>
  <c r="FL441" i="90"/>
  <c r="FL443" i="90"/>
  <c r="FV438" i="90"/>
  <c r="FV440" i="90"/>
  <c r="FV442" i="90"/>
  <c r="GA435" i="90"/>
  <c r="FG435" i="90"/>
  <c r="EM435" i="90"/>
  <c r="DX437" i="90"/>
  <c r="DX442" i="90"/>
  <c r="DX440" i="90"/>
  <c r="DX438" i="90"/>
  <c r="EI438" i="90"/>
  <c r="EI440" i="90"/>
  <c r="EI442" i="90"/>
  <c r="ES437" i="90"/>
  <c r="ES439" i="90"/>
  <c r="ES441" i="90"/>
  <c r="ES443" i="90"/>
  <c r="FC438" i="90"/>
  <c r="FC440" i="90"/>
  <c r="FC442" i="90"/>
  <c r="FM437" i="90"/>
  <c r="FM439" i="90"/>
  <c r="FM441" i="90"/>
  <c r="FM443" i="90"/>
  <c r="FW438" i="90"/>
  <c r="FW440" i="90"/>
  <c r="FW442" i="90"/>
  <c r="FZ435" i="90"/>
  <c r="FF435" i="90"/>
  <c r="EL435" i="90"/>
  <c r="DW437" i="90"/>
  <c r="DW442" i="90"/>
  <c r="DW440" i="90"/>
  <c r="DW438" i="90"/>
  <c r="EJ438" i="90"/>
  <c r="EJ440" i="90"/>
  <c r="EJ442" i="90"/>
  <c r="ET437" i="90"/>
  <c r="ET439" i="90"/>
  <c r="ET441" i="90"/>
  <c r="ET443" i="90"/>
  <c r="FD438" i="90"/>
  <c r="FD440" i="90"/>
  <c r="FD442" i="90"/>
  <c r="FN437" i="90"/>
  <c r="FN439" i="90"/>
  <c r="FN441" i="90"/>
  <c r="FN443" i="90"/>
  <c r="FX438" i="90"/>
  <c r="FX440" i="90"/>
  <c r="FX442" i="90"/>
  <c r="FS435" i="90"/>
  <c r="EY435" i="90"/>
  <c r="EE435" i="90"/>
  <c r="DZ443" i="90"/>
  <c r="DZ441" i="90"/>
  <c r="EG437" i="90"/>
  <c r="EG439" i="90"/>
  <c r="EG441" i="90"/>
  <c r="EQ438" i="90"/>
  <c r="EQ440" i="90"/>
  <c r="EQ442" i="90"/>
  <c r="FA437" i="90"/>
  <c r="FA439" i="90"/>
  <c r="FA441" i="90"/>
  <c r="FK438" i="90"/>
  <c r="FK440" i="90"/>
  <c r="FK442" i="90"/>
  <c r="FU437" i="90"/>
  <c r="FU439" i="90"/>
  <c r="FU441" i="90"/>
  <c r="FR435" i="90"/>
  <c r="EX435" i="90"/>
  <c r="ED435" i="90"/>
  <c r="DY443" i="90"/>
  <c r="DY441" i="90"/>
  <c r="EH437" i="90"/>
  <c r="EH439" i="90"/>
  <c r="EH441" i="90"/>
  <c r="ER438" i="90"/>
  <c r="ER440" i="90"/>
  <c r="ER442" i="90"/>
  <c r="FB437" i="90"/>
  <c r="FB439" i="90"/>
  <c r="FB441" i="90"/>
  <c r="FL438" i="90"/>
  <c r="FL440" i="90"/>
  <c r="FL442" i="90"/>
  <c r="FV437" i="90"/>
  <c r="FV439" i="90"/>
  <c r="FV441" i="90"/>
  <c r="EC435" i="90"/>
  <c r="DX443" i="90"/>
  <c r="DX441" i="90"/>
  <c r="EI437" i="90"/>
  <c r="EI439" i="90"/>
  <c r="EI441" i="90"/>
  <c r="ES438" i="90"/>
  <c r="ES440" i="90"/>
  <c r="FC437" i="90"/>
  <c r="FC439" i="90"/>
  <c r="FC441" i="90"/>
  <c r="FM438" i="90"/>
  <c r="FM440" i="90"/>
  <c r="FW437" i="90"/>
  <c r="FW439" i="90"/>
  <c r="FW441" i="90"/>
  <c r="EB435" i="90"/>
  <c r="DW443" i="90"/>
  <c r="DW441" i="90"/>
  <c r="EJ437" i="90"/>
  <c r="EJ439" i="90"/>
  <c r="EJ441" i="90"/>
  <c r="ET438" i="90"/>
  <c r="ET440" i="90"/>
  <c r="FD437" i="90"/>
  <c r="FD439" i="90"/>
  <c r="FD441" i="90"/>
  <c r="FN438" i="90"/>
  <c r="FN440" i="90"/>
  <c r="FX437" i="90"/>
  <c r="FX439" i="90"/>
  <c r="FX441" i="90"/>
  <c r="GC439" i="90"/>
  <c r="FE435" i="90"/>
  <c r="EF442" i="90"/>
  <c r="EP443" i="90"/>
  <c r="FJ437" i="90"/>
  <c r="FT438" i="90"/>
  <c r="EF439" i="90"/>
  <c r="EP440" i="90"/>
  <c r="FJ442" i="90"/>
  <c r="FT443" i="90"/>
  <c r="EF453" i="90" s="1"/>
  <c r="EK435" i="90"/>
  <c r="EP437" i="90"/>
  <c r="FJ439" i="90"/>
  <c r="FT440" i="90"/>
  <c r="FO435" i="90"/>
  <c r="EF441" i="90"/>
  <c r="EP442" i="90"/>
  <c r="FT437" i="90"/>
  <c r="EF438" i="90"/>
  <c r="EP439" i="90"/>
  <c r="FJ441" i="90"/>
  <c r="FT442" i="90"/>
  <c r="EU435" i="90"/>
  <c r="EF443" i="90"/>
  <c r="DX453" i="90" s="1"/>
  <c r="FJ438" i="90"/>
  <c r="FT439" i="90"/>
  <c r="FY435" i="90"/>
  <c r="EF440" i="90"/>
  <c r="EP441" i="90"/>
  <c r="FJ443" i="90"/>
  <c r="EA435" i="90"/>
  <c r="FT218" i="90"/>
  <c r="FX218" i="90"/>
  <c r="FW218" i="90"/>
  <c r="GB218" i="90" s="1"/>
  <c r="FV218" i="90"/>
  <c r="GA218" i="90" s="1"/>
  <c r="FU218" i="90"/>
  <c r="FZ218" i="90" s="1"/>
  <c r="FN218" i="90"/>
  <c r="FM218" i="90"/>
  <c r="FR218" i="90" s="1"/>
  <c r="FL218" i="90"/>
  <c r="FQ218" i="90" s="1"/>
  <c r="FK218" i="90"/>
  <c r="FP218" i="90" s="1"/>
  <c r="FJ218" i="90"/>
  <c r="FD218" i="90"/>
  <c r="FI218" i="90" s="1"/>
  <c r="FC218" i="90"/>
  <c r="FB218" i="90"/>
  <c r="FG218" i="90" s="1"/>
  <c r="FA218" i="90"/>
  <c r="FF218" i="90" s="1"/>
  <c r="EZ218" i="90"/>
  <c r="FE218" i="90" s="1"/>
  <c r="ET218" i="90"/>
  <c r="ES218" i="90"/>
  <c r="EX218" i="90" s="1"/>
  <c r="ER218" i="90"/>
  <c r="EQ218" i="90"/>
  <c r="EP218" i="90"/>
  <c r="EU218" i="90" s="1"/>
  <c r="EJ218" i="90"/>
  <c r="EO218" i="90" s="1"/>
  <c r="EI218" i="90"/>
  <c r="EH218" i="90"/>
  <c r="EG218" i="90"/>
  <c r="EF218" i="90"/>
  <c r="DZ218" i="90"/>
  <c r="DY218" i="90"/>
  <c r="DX218" i="90"/>
  <c r="DW218" i="90"/>
  <c r="EB218" i="90" s="1"/>
  <c r="DV218" i="90"/>
  <c r="A107" i="89"/>
  <c r="A111" i="89"/>
  <c r="A110" i="89"/>
  <c r="A109" i="89"/>
  <c r="A108" i="89"/>
  <c r="FD112" i="90"/>
  <c r="FI112" i="90" s="1"/>
  <c r="FC112" i="90"/>
  <c r="FB112" i="90"/>
  <c r="FG112" i="90" s="1"/>
  <c r="FA112" i="90"/>
  <c r="FF112" i="90" s="1"/>
  <c r="EZ112" i="90"/>
  <c r="FD6" i="90"/>
  <c r="FI6" i="90" s="1"/>
  <c r="FC6" i="90"/>
  <c r="FB6" i="90"/>
  <c r="FG6" i="90" s="1"/>
  <c r="FA6" i="90"/>
  <c r="FF6" i="90" s="1"/>
  <c r="EZ6" i="90"/>
  <c r="CE2" i="4"/>
  <c r="GC442" i="90" l="1"/>
  <c r="FI441" i="90"/>
  <c r="GC440" i="90"/>
  <c r="GC438" i="90"/>
  <c r="FI440" i="90"/>
  <c r="GC441" i="90"/>
  <c r="GC437" i="90"/>
  <c r="EF452" i="90"/>
  <c r="GB437" i="90"/>
  <c r="DX448" i="90"/>
  <c r="GB440" i="90"/>
  <c r="FI442" i="90"/>
  <c r="ED447" i="90"/>
  <c r="FI439" i="90"/>
  <c r="FI438" i="90"/>
  <c r="FI437" i="90"/>
  <c r="ED451" i="90"/>
  <c r="DX447" i="90"/>
  <c r="DZ449" i="90"/>
  <c r="DZ451" i="90"/>
  <c r="GB441" i="90"/>
  <c r="DX450" i="90"/>
  <c r="GB439" i="90"/>
  <c r="GB442" i="90"/>
  <c r="EF450" i="90"/>
  <c r="DX449" i="90"/>
  <c r="ED450" i="90"/>
  <c r="EF451" i="90"/>
  <c r="GB438" i="90"/>
  <c r="DZ447" i="90"/>
  <c r="EF448" i="90"/>
  <c r="ED453" i="90"/>
  <c r="DZ453" i="90"/>
  <c r="DX451" i="90"/>
  <c r="DZ448" i="90"/>
  <c r="EF449" i="90"/>
  <c r="ED449" i="90"/>
  <c r="EF447" i="90"/>
  <c r="DZ452" i="90"/>
  <c r="DX452" i="90"/>
  <c r="FG221" i="90"/>
  <c r="FG222" i="90"/>
  <c r="FG223" i="90"/>
  <c r="FG224" i="90"/>
  <c r="FG226" i="90"/>
  <c r="FG225" i="90"/>
  <c r="FG227" i="90"/>
  <c r="FG229" i="90"/>
  <c r="FG231" i="90"/>
  <c r="FG233" i="90"/>
  <c r="FG234" i="90"/>
  <c r="FG240" i="90"/>
  <c r="FG241" i="90"/>
  <c r="FG242" i="90"/>
  <c r="FG243" i="90"/>
  <c r="FG244" i="90"/>
  <c r="FG245" i="90"/>
  <c r="FG246" i="90"/>
  <c r="FG247" i="90"/>
  <c r="FG235" i="90"/>
  <c r="FG236" i="90"/>
  <c r="FG228" i="90"/>
  <c r="FG230" i="90"/>
  <c r="FG232" i="90"/>
  <c r="FG238" i="90"/>
  <c r="FG239" i="90"/>
  <c r="FG237" i="90"/>
  <c r="FG250" i="90"/>
  <c r="FG248" i="90"/>
  <c r="FG249" i="90"/>
  <c r="FG251" i="90"/>
  <c r="FG252" i="90"/>
  <c r="FG253" i="90"/>
  <c r="FG254" i="90"/>
  <c r="FG255" i="90"/>
  <c r="FG256" i="90"/>
  <c r="FG257" i="90"/>
  <c r="FG259" i="90"/>
  <c r="FG258" i="90"/>
  <c r="FG262" i="90"/>
  <c r="FG263" i="90"/>
  <c r="FG264" i="90"/>
  <c r="FG265" i="90"/>
  <c r="FG266" i="90"/>
  <c r="FG267" i="90"/>
  <c r="FG268" i="90"/>
  <c r="FG269" i="90"/>
  <c r="FG270" i="90"/>
  <c r="FG271" i="90"/>
  <c r="FG272" i="90"/>
  <c r="FG273" i="90"/>
  <c r="FG274" i="90"/>
  <c r="FG261" i="90"/>
  <c r="FG260" i="90"/>
  <c r="FG275" i="90"/>
  <c r="FG276" i="90"/>
  <c r="FG277" i="90"/>
  <c r="FG278" i="90"/>
  <c r="FG279" i="90"/>
  <c r="FG280" i="90"/>
  <c r="FG281" i="90"/>
  <c r="FG282" i="90"/>
  <c r="FG283" i="90"/>
  <c r="FG284" i="90"/>
  <c r="FG286" i="90"/>
  <c r="FG289" i="90"/>
  <c r="FG290" i="90"/>
  <c r="FG291" i="90"/>
  <c r="FG292" i="90"/>
  <c r="FG293" i="90"/>
  <c r="FG294" i="90"/>
  <c r="FG295" i="90"/>
  <c r="FG296" i="90"/>
  <c r="FG297" i="90"/>
  <c r="FG298" i="90"/>
  <c r="FG299" i="90"/>
  <c r="FG300" i="90"/>
  <c r="FG301" i="90"/>
  <c r="FG302" i="90"/>
  <c r="FG303" i="90"/>
  <c r="FG285" i="90"/>
  <c r="FG287" i="90"/>
  <c r="FG288" i="90"/>
  <c r="FG306" i="90"/>
  <c r="FG307" i="90"/>
  <c r="FG308" i="90"/>
  <c r="FG309" i="90"/>
  <c r="FG310" i="90"/>
  <c r="FG311" i="90"/>
  <c r="FG312" i="90"/>
  <c r="FG313" i="90"/>
  <c r="FG314" i="90"/>
  <c r="FG315" i="90"/>
  <c r="FG316" i="90"/>
  <c r="FG317" i="90"/>
  <c r="FG318" i="90"/>
  <c r="FG319" i="90"/>
  <c r="FG220" i="90"/>
  <c r="FG305" i="90"/>
  <c r="FG304" i="90"/>
  <c r="DX221" i="90"/>
  <c r="DX222" i="90"/>
  <c r="DX223" i="90"/>
  <c r="DX224" i="90"/>
  <c r="DX225" i="90"/>
  <c r="DX227" i="90"/>
  <c r="DX229" i="90"/>
  <c r="DX231" i="90"/>
  <c r="DX233" i="90"/>
  <c r="DX235" i="90"/>
  <c r="DX238" i="90"/>
  <c r="DX239" i="90"/>
  <c r="DX228" i="90"/>
  <c r="DX230" i="90"/>
  <c r="DX232" i="90"/>
  <c r="DX236" i="90"/>
  <c r="DX237" i="90"/>
  <c r="DX240" i="90"/>
  <c r="DX241" i="90"/>
  <c r="DX242" i="90"/>
  <c r="DX243" i="90"/>
  <c r="DX244" i="90"/>
  <c r="DX226" i="90"/>
  <c r="DX234" i="90"/>
  <c r="DX247" i="90"/>
  <c r="DX245" i="90"/>
  <c r="DX250" i="90"/>
  <c r="DX248" i="90"/>
  <c r="DX251" i="90"/>
  <c r="DX252" i="90"/>
  <c r="DX253" i="90"/>
  <c r="DX254" i="90"/>
  <c r="DX255" i="90"/>
  <c r="DX256" i="90"/>
  <c r="DX257" i="90"/>
  <c r="DX258" i="90"/>
  <c r="DX246" i="90"/>
  <c r="DX249" i="90"/>
  <c r="DX262" i="90"/>
  <c r="DX263" i="90"/>
  <c r="DX264" i="90"/>
  <c r="DX265" i="90"/>
  <c r="DX266" i="90"/>
  <c r="DX267" i="90"/>
  <c r="DX268" i="90"/>
  <c r="DX269" i="90"/>
  <c r="DX270" i="90"/>
  <c r="DX271" i="90"/>
  <c r="DX272" i="90"/>
  <c r="DX273" i="90"/>
  <c r="DX274" i="90"/>
  <c r="DX259" i="90"/>
  <c r="DX261" i="90"/>
  <c r="DX260" i="90"/>
  <c r="DX275" i="90"/>
  <c r="DX276" i="90"/>
  <c r="DX277" i="90"/>
  <c r="DX278" i="90"/>
  <c r="DX279" i="90"/>
  <c r="DX280" i="90"/>
  <c r="DX281" i="90"/>
  <c r="DX282" i="90"/>
  <c r="DX283" i="90"/>
  <c r="DX284" i="90"/>
  <c r="DX285" i="90"/>
  <c r="DX286" i="90"/>
  <c r="DX287" i="90"/>
  <c r="DX288" i="90"/>
  <c r="DX289" i="90"/>
  <c r="DX290" i="90"/>
  <c r="DX291" i="90"/>
  <c r="DX292" i="90"/>
  <c r="DX293" i="90"/>
  <c r="DX294" i="90"/>
  <c r="DX295" i="90"/>
  <c r="DX296" i="90"/>
  <c r="DX297" i="90"/>
  <c r="DX298" i="90"/>
  <c r="DX299" i="90"/>
  <c r="DX300" i="90"/>
  <c r="DX301" i="90"/>
  <c r="DX302" i="90"/>
  <c r="DX304" i="90"/>
  <c r="DX303" i="90"/>
  <c r="DX305" i="90"/>
  <c r="DX306" i="90"/>
  <c r="DX307" i="90"/>
  <c r="DX308" i="90"/>
  <c r="DX309" i="90"/>
  <c r="DX310" i="90"/>
  <c r="DX311" i="90"/>
  <c r="DX312" i="90"/>
  <c r="DX313" i="90"/>
  <c r="DX314" i="90"/>
  <c r="DX315" i="90"/>
  <c r="DX316" i="90"/>
  <c r="DX317" i="90"/>
  <c r="DX318" i="90"/>
  <c r="DX319" i="90"/>
  <c r="DX220" i="90"/>
  <c r="EG221" i="90"/>
  <c r="EG222" i="90"/>
  <c r="EG223" i="90"/>
  <c r="EG224" i="90"/>
  <c r="EG225" i="90"/>
  <c r="EG226" i="90"/>
  <c r="EG227" i="90"/>
  <c r="EG228" i="90"/>
  <c r="EG229" i="90"/>
  <c r="EG230" i="90"/>
  <c r="EG231" i="90"/>
  <c r="EG232" i="90"/>
  <c r="EG233" i="90"/>
  <c r="EG234" i="90"/>
  <c r="EG235" i="90"/>
  <c r="EG236" i="90"/>
  <c r="EG237" i="90"/>
  <c r="EG238" i="90"/>
  <c r="EG239" i="90"/>
  <c r="EG240" i="90"/>
  <c r="EG241" i="90"/>
  <c r="EG242" i="90"/>
  <c r="EG243" i="90"/>
  <c r="EG244" i="90"/>
  <c r="EG246" i="90"/>
  <c r="EG245" i="90"/>
  <c r="EG247" i="90"/>
  <c r="EG251" i="90"/>
  <c r="EG252" i="90"/>
  <c r="EG253" i="90"/>
  <c r="EG254" i="90"/>
  <c r="EG255" i="90"/>
  <c r="EG256" i="90"/>
  <c r="EG257" i="90"/>
  <c r="EG258" i="90"/>
  <c r="EG259" i="90"/>
  <c r="EG260" i="90"/>
  <c r="EG261" i="90"/>
  <c r="EG248" i="90"/>
  <c r="EG249" i="90"/>
  <c r="EG250" i="90"/>
  <c r="EG262" i="90"/>
  <c r="EG263" i="90"/>
  <c r="EG264" i="90"/>
  <c r="EG265" i="90"/>
  <c r="EG266" i="90"/>
  <c r="EG267" i="90"/>
  <c r="EG268" i="90"/>
  <c r="EG269" i="90"/>
  <c r="EG273" i="90"/>
  <c r="EG274" i="90"/>
  <c r="EG270" i="90"/>
  <c r="EG272" i="90"/>
  <c r="EG275" i="90"/>
  <c r="EG276" i="90"/>
  <c r="EG277" i="90"/>
  <c r="EG278" i="90"/>
  <c r="EG279" i="90"/>
  <c r="EG280" i="90"/>
  <c r="EG281" i="90"/>
  <c r="EG282" i="90"/>
  <c r="EG283" i="90"/>
  <c r="EG284" i="90"/>
  <c r="EG285" i="90"/>
  <c r="EG286" i="90"/>
  <c r="EG287" i="90"/>
  <c r="EG288" i="90"/>
  <c r="EG271" i="90"/>
  <c r="EG289" i="90"/>
  <c r="EG290" i="90"/>
  <c r="EG291" i="90"/>
  <c r="EG292" i="90"/>
  <c r="EG293" i="90"/>
  <c r="EG294" i="90"/>
  <c r="EG295" i="90"/>
  <c r="EG296" i="90"/>
  <c r="EG297" i="90"/>
  <c r="EG298" i="90"/>
  <c r="EG299" i="90"/>
  <c r="EG300" i="90"/>
  <c r="EG301" i="90"/>
  <c r="EG302" i="90"/>
  <c r="EG305" i="90"/>
  <c r="EG306" i="90"/>
  <c r="EG307" i="90"/>
  <c r="EG308" i="90"/>
  <c r="EG309" i="90"/>
  <c r="EG310" i="90"/>
  <c r="EG311" i="90"/>
  <c r="EG312" i="90"/>
  <c r="EG313" i="90"/>
  <c r="EG314" i="90"/>
  <c r="EG315" i="90"/>
  <c r="EG316" i="90"/>
  <c r="EG317" i="90"/>
  <c r="EG318" i="90"/>
  <c r="EG319" i="90"/>
  <c r="EG220" i="90"/>
  <c r="EG303" i="90"/>
  <c r="EG304" i="90"/>
  <c r="FA221" i="90"/>
  <c r="FA222" i="90"/>
  <c r="FA223" i="90"/>
  <c r="FA224" i="90"/>
  <c r="FA225" i="90"/>
  <c r="FA226" i="90"/>
  <c r="FA227" i="90"/>
  <c r="FA228" i="90"/>
  <c r="FA229" i="90"/>
  <c r="FA230" i="90"/>
  <c r="FA231" i="90"/>
  <c r="FA232" i="90"/>
  <c r="FA233" i="90"/>
  <c r="FA234" i="90"/>
  <c r="FA235" i="90"/>
  <c r="FA236" i="90"/>
  <c r="FA237" i="90"/>
  <c r="FA238" i="90"/>
  <c r="FA239" i="90"/>
  <c r="FA240" i="90"/>
  <c r="FA241" i="90"/>
  <c r="FA242" i="90"/>
  <c r="FA243" i="90"/>
  <c r="FA244" i="90"/>
  <c r="FA247" i="90"/>
  <c r="FA248" i="90"/>
  <c r="FA251" i="90"/>
  <c r="FA252" i="90"/>
  <c r="FA253" i="90"/>
  <c r="FA254" i="90"/>
  <c r="FA255" i="90"/>
  <c r="FA256" i="90"/>
  <c r="FA257" i="90"/>
  <c r="FA258" i="90"/>
  <c r="FA259" i="90"/>
  <c r="FA260" i="90"/>
  <c r="FA261" i="90"/>
  <c r="FA249" i="90"/>
  <c r="FA250" i="90"/>
  <c r="FA245" i="90"/>
  <c r="FA246" i="90"/>
  <c r="FA262" i="90"/>
  <c r="FA263" i="90"/>
  <c r="FA264" i="90"/>
  <c r="FA265" i="90"/>
  <c r="FA266" i="90"/>
  <c r="FA267" i="90"/>
  <c r="FA268" i="90"/>
  <c r="FA269" i="90"/>
  <c r="FA273" i="90"/>
  <c r="FA271" i="90"/>
  <c r="FA275" i="90"/>
  <c r="FA276" i="90"/>
  <c r="FA277" i="90"/>
  <c r="FA278" i="90"/>
  <c r="FA279" i="90"/>
  <c r="FA280" i="90"/>
  <c r="FA281" i="90"/>
  <c r="FA282" i="90"/>
  <c r="FA283" i="90"/>
  <c r="FA284" i="90"/>
  <c r="FA285" i="90"/>
  <c r="FA286" i="90"/>
  <c r="FA287" i="90"/>
  <c r="FA288" i="90"/>
  <c r="FA274" i="90"/>
  <c r="FA270" i="90"/>
  <c r="FA272" i="90"/>
  <c r="FA289" i="90"/>
  <c r="FA290" i="90"/>
  <c r="FA291" i="90"/>
  <c r="FA292" i="90"/>
  <c r="FA293" i="90"/>
  <c r="FA294" i="90"/>
  <c r="FA295" i="90"/>
  <c r="FA296" i="90"/>
  <c r="FA297" i="90"/>
  <c r="FA298" i="90"/>
  <c r="FA299" i="90"/>
  <c r="FA300" i="90"/>
  <c r="FA303" i="90"/>
  <c r="FA301" i="90"/>
  <c r="FA306" i="90"/>
  <c r="FA307" i="90"/>
  <c r="FA308" i="90"/>
  <c r="FA309" i="90"/>
  <c r="FA310" i="90"/>
  <c r="FA311" i="90"/>
  <c r="FA312" i="90"/>
  <c r="FA313" i="90"/>
  <c r="FA314" i="90"/>
  <c r="FA315" i="90"/>
  <c r="FA316" i="90"/>
  <c r="FA317" i="90"/>
  <c r="FA318" i="90"/>
  <c r="FA319" i="90"/>
  <c r="FA302" i="90"/>
  <c r="FA304" i="90"/>
  <c r="FA305" i="90"/>
  <c r="FA220" i="90"/>
  <c r="FR221" i="90"/>
  <c r="FR222" i="90"/>
  <c r="FR223" i="90"/>
  <c r="FR224" i="90"/>
  <c r="FR225" i="90"/>
  <c r="FR226" i="90"/>
  <c r="FR227" i="90"/>
  <c r="FR228" i="90"/>
  <c r="FR229" i="90"/>
  <c r="FR230" i="90"/>
  <c r="FR231" i="90"/>
  <c r="FR232" i="90"/>
  <c r="FR235" i="90"/>
  <c r="FR236" i="90"/>
  <c r="FR233" i="90"/>
  <c r="FR238" i="90"/>
  <c r="FR240" i="90"/>
  <c r="FR241" i="90"/>
  <c r="FR242" i="90"/>
  <c r="FR243" i="90"/>
  <c r="FR244" i="90"/>
  <c r="FR245" i="90"/>
  <c r="FR246" i="90"/>
  <c r="FR247" i="90"/>
  <c r="FR237" i="90"/>
  <c r="FR239" i="90"/>
  <c r="FR234" i="90"/>
  <c r="FR251" i="90"/>
  <c r="FR252" i="90"/>
  <c r="FR253" i="90"/>
  <c r="FR254" i="90"/>
  <c r="FR255" i="90"/>
  <c r="FR256" i="90"/>
  <c r="FR257" i="90"/>
  <c r="FR258" i="90"/>
  <c r="FR259" i="90"/>
  <c r="FR260" i="90"/>
  <c r="FR250" i="90"/>
  <c r="FR248" i="90"/>
  <c r="FR249" i="90"/>
  <c r="FR261" i="90"/>
  <c r="FR262" i="90"/>
  <c r="FR263" i="90"/>
  <c r="FR264" i="90"/>
  <c r="FR265" i="90"/>
  <c r="FR266" i="90"/>
  <c r="FR267" i="90"/>
  <c r="FR268" i="90"/>
  <c r="FR269" i="90"/>
  <c r="FR270" i="90"/>
  <c r="FR271" i="90"/>
  <c r="FR272" i="90"/>
  <c r="FR273" i="90"/>
  <c r="FR274" i="90"/>
  <c r="FR275" i="90"/>
  <c r="FR276" i="90"/>
  <c r="FR277" i="90"/>
  <c r="FR278" i="90"/>
  <c r="FR279" i="90"/>
  <c r="FR280" i="90"/>
  <c r="FR281" i="90"/>
  <c r="FR282" i="90"/>
  <c r="FR283" i="90"/>
  <c r="FR284" i="90"/>
  <c r="FR285" i="90"/>
  <c r="FR287" i="90"/>
  <c r="FR289" i="90"/>
  <c r="FR290" i="90"/>
  <c r="FR291" i="90"/>
  <c r="FR292" i="90"/>
  <c r="FR293" i="90"/>
  <c r="FR294" i="90"/>
  <c r="FR295" i="90"/>
  <c r="FR296" i="90"/>
  <c r="FR297" i="90"/>
  <c r="FR298" i="90"/>
  <c r="FR299" i="90"/>
  <c r="FR300" i="90"/>
  <c r="FR301" i="90"/>
  <c r="FR302" i="90"/>
  <c r="FR303" i="90"/>
  <c r="FR304" i="90"/>
  <c r="FR286" i="90"/>
  <c r="FR288" i="90"/>
  <c r="FR305" i="90"/>
  <c r="FR306" i="90"/>
  <c r="FR307" i="90"/>
  <c r="FR308" i="90"/>
  <c r="FR309" i="90"/>
  <c r="FR310" i="90"/>
  <c r="FR311" i="90"/>
  <c r="FR312" i="90"/>
  <c r="FR313" i="90"/>
  <c r="FR314" i="90"/>
  <c r="FR315" i="90"/>
  <c r="FR316" i="90"/>
  <c r="FR317" i="90"/>
  <c r="FR318" i="90"/>
  <c r="FR319" i="90"/>
  <c r="FR220" i="90"/>
  <c r="GB221" i="90"/>
  <c r="GB222" i="90"/>
  <c r="GB223" i="90"/>
  <c r="GB224" i="90"/>
  <c r="GB225" i="90"/>
  <c r="GB227" i="90"/>
  <c r="GB228" i="90"/>
  <c r="GB229" i="90"/>
  <c r="GB230" i="90"/>
  <c r="GB231" i="90"/>
  <c r="GB232" i="90"/>
  <c r="GB234" i="90"/>
  <c r="GB226" i="90"/>
  <c r="GB237" i="90"/>
  <c r="GB238" i="90"/>
  <c r="GB239" i="90"/>
  <c r="GB240" i="90"/>
  <c r="GB241" i="90"/>
  <c r="GB242" i="90"/>
  <c r="GB243" i="90"/>
  <c r="GB244" i="90"/>
  <c r="GB245" i="90"/>
  <c r="GB246" i="90"/>
  <c r="GB247" i="90"/>
  <c r="GB235" i="90"/>
  <c r="GB236" i="90"/>
  <c r="GB233" i="90"/>
  <c r="GB250" i="90"/>
  <c r="GB251" i="90"/>
  <c r="GB252" i="90"/>
  <c r="GB253" i="90"/>
  <c r="GB254" i="90"/>
  <c r="GB255" i="90"/>
  <c r="GB256" i="90"/>
  <c r="GB257" i="90"/>
  <c r="GB258" i="90"/>
  <c r="GB259" i="90"/>
  <c r="GB260" i="90"/>
  <c r="GB248" i="90"/>
  <c r="GB249" i="90"/>
  <c r="GB261" i="90"/>
  <c r="GB262" i="90"/>
  <c r="GB263" i="90"/>
  <c r="GB264" i="90"/>
  <c r="GB265" i="90"/>
  <c r="GB266" i="90"/>
  <c r="GB267" i="90"/>
  <c r="GB268" i="90"/>
  <c r="GB269" i="90"/>
  <c r="GB270" i="90"/>
  <c r="GB271" i="90"/>
  <c r="GB272" i="90"/>
  <c r="GB273" i="90"/>
  <c r="GB274" i="90"/>
  <c r="GB275" i="90"/>
  <c r="GB276" i="90"/>
  <c r="GB277" i="90"/>
  <c r="GB278" i="90"/>
  <c r="GB279" i="90"/>
  <c r="GB280" i="90"/>
  <c r="GB281" i="90"/>
  <c r="GB282" i="90"/>
  <c r="GB283" i="90"/>
  <c r="GB284" i="90"/>
  <c r="GB286" i="90"/>
  <c r="GB287" i="90"/>
  <c r="GB285" i="90"/>
  <c r="GB288" i="90"/>
  <c r="GB289" i="90"/>
  <c r="GB290" i="90"/>
  <c r="GB291" i="90"/>
  <c r="GB292" i="90"/>
  <c r="GB293" i="90"/>
  <c r="GB294" i="90"/>
  <c r="GB295" i="90"/>
  <c r="GB296" i="90"/>
  <c r="GB297" i="90"/>
  <c r="GB298" i="90"/>
  <c r="GB299" i="90"/>
  <c r="GB300" i="90"/>
  <c r="GB301" i="90"/>
  <c r="GB302" i="90"/>
  <c r="GB303" i="90"/>
  <c r="GB304" i="90"/>
  <c r="GB305" i="90"/>
  <c r="GB306" i="90"/>
  <c r="GB307" i="90"/>
  <c r="GB308" i="90"/>
  <c r="GB309" i="90"/>
  <c r="GB310" i="90"/>
  <c r="GB311" i="90"/>
  <c r="GB312" i="90"/>
  <c r="GB313" i="90"/>
  <c r="GB314" i="90"/>
  <c r="GB315" i="90"/>
  <c r="GB316" i="90"/>
  <c r="GB317" i="90"/>
  <c r="GB318" i="90"/>
  <c r="GB319" i="90"/>
  <c r="GB220" i="90"/>
  <c r="EC439" i="90"/>
  <c r="EC441" i="90"/>
  <c r="EC443" i="90"/>
  <c r="EC438" i="90"/>
  <c r="EC440" i="90"/>
  <c r="EC442" i="90"/>
  <c r="EC437" i="90"/>
  <c r="EY442" i="90"/>
  <c r="EY440" i="90"/>
  <c r="EY438" i="90"/>
  <c r="EY443" i="90"/>
  <c r="EY441" i="90"/>
  <c r="EY439" i="90"/>
  <c r="EY437" i="90"/>
  <c r="FZ443" i="90"/>
  <c r="FZ441" i="90"/>
  <c r="FZ439" i="90"/>
  <c r="FZ437" i="90"/>
  <c r="FZ442" i="90"/>
  <c r="FZ440" i="90"/>
  <c r="FZ438" i="90"/>
  <c r="DY221" i="90"/>
  <c r="DY222" i="90"/>
  <c r="DY223" i="90"/>
  <c r="DY224" i="90"/>
  <c r="DY225" i="90"/>
  <c r="DY226" i="90"/>
  <c r="DY228" i="90"/>
  <c r="DY229" i="90"/>
  <c r="DY230" i="90"/>
  <c r="DY231" i="90"/>
  <c r="DY232" i="90"/>
  <c r="DY233" i="90"/>
  <c r="DY234" i="90"/>
  <c r="DY235" i="90"/>
  <c r="DY236" i="90"/>
  <c r="DY237" i="90"/>
  <c r="DY238" i="90"/>
  <c r="DY227" i="90"/>
  <c r="DY239" i="90"/>
  <c r="DY240" i="90"/>
  <c r="DY241" i="90"/>
  <c r="DY242" i="90"/>
  <c r="DY243" i="90"/>
  <c r="DY244" i="90"/>
  <c r="DY245" i="90"/>
  <c r="DY249" i="90"/>
  <c r="DY247" i="90"/>
  <c r="DY250" i="90"/>
  <c r="DY248" i="90"/>
  <c r="DY251" i="90"/>
  <c r="DY252" i="90"/>
  <c r="DY253" i="90"/>
  <c r="DY254" i="90"/>
  <c r="DY255" i="90"/>
  <c r="DY256" i="90"/>
  <c r="DY257" i="90"/>
  <c r="DY258" i="90"/>
  <c r="DY259" i="90"/>
  <c r="DY246" i="90"/>
  <c r="DY262" i="90"/>
  <c r="DY263" i="90"/>
  <c r="DY264" i="90"/>
  <c r="DY265" i="90"/>
  <c r="DY266" i="90"/>
  <c r="DY267" i="90"/>
  <c r="DY268" i="90"/>
  <c r="DY269" i="90"/>
  <c r="DY270" i="90"/>
  <c r="DY271" i="90"/>
  <c r="DY272" i="90"/>
  <c r="DY273" i="90"/>
  <c r="DY274" i="90"/>
  <c r="DY261" i="90"/>
  <c r="DY260" i="90"/>
  <c r="DY275" i="90"/>
  <c r="DY276" i="90"/>
  <c r="DY277" i="90"/>
  <c r="DY278" i="90"/>
  <c r="DY279" i="90"/>
  <c r="DY280" i="90"/>
  <c r="DY281" i="90"/>
  <c r="DY282" i="90"/>
  <c r="DY283" i="90"/>
  <c r="DY284" i="90"/>
  <c r="DY285" i="90"/>
  <c r="DY286" i="90"/>
  <c r="DY289" i="90"/>
  <c r="DY290" i="90"/>
  <c r="DY291" i="90"/>
  <c r="DY292" i="90"/>
  <c r="DY293" i="90"/>
  <c r="DY294" i="90"/>
  <c r="DY295" i="90"/>
  <c r="DY296" i="90"/>
  <c r="DY297" i="90"/>
  <c r="DY298" i="90"/>
  <c r="DY299" i="90"/>
  <c r="DY300" i="90"/>
  <c r="DY301" i="90"/>
  <c r="DY302" i="90"/>
  <c r="DY303" i="90"/>
  <c r="DY304" i="90"/>
  <c r="DY305" i="90"/>
  <c r="DY287" i="90"/>
  <c r="DY288" i="90"/>
  <c r="DY306" i="90"/>
  <c r="DY307" i="90"/>
  <c r="DY308" i="90"/>
  <c r="DY309" i="90"/>
  <c r="DY310" i="90"/>
  <c r="DY311" i="90"/>
  <c r="DY312" i="90"/>
  <c r="DY313" i="90"/>
  <c r="DY314" i="90"/>
  <c r="DY315" i="90"/>
  <c r="DY316" i="90"/>
  <c r="DY317" i="90"/>
  <c r="DY318" i="90"/>
  <c r="DY220" i="90"/>
  <c r="DY319" i="90"/>
  <c r="EH221" i="90"/>
  <c r="EH222" i="90"/>
  <c r="EH223" i="90"/>
  <c r="EH224" i="90"/>
  <c r="EH225" i="90"/>
  <c r="EH226" i="90"/>
  <c r="EH227" i="90"/>
  <c r="EH238" i="90"/>
  <c r="EH234" i="90"/>
  <c r="EH236" i="90"/>
  <c r="EH237" i="90"/>
  <c r="EH239" i="90"/>
  <c r="EH229" i="90"/>
  <c r="EH231" i="90"/>
  <c r="EH233" i="90"/>
  <c r="EH235" i="90"/>
  <c r="EH240" i="90"/>
  <c r="EH241" i="90"/>
  <c r="EH242" i="90"/>
  <c r="EH243" i="90"/>
  <c r="EH244" i="90"/>
  <c r="EH228" i="90"/>
  <c r="EH230" i="90"/>
  <c r="EH232" i="90"/>
  <c r="EH250" i="90"/>
  <c r="EH246" i="90"/>
  <c r="EH245" i="90"/>
  <c r="EH247" i="90"/>
  <c r="EH251" i="90"/>
  <c r="EH252" i="90"/>
  <c r="EH253" i="90"/>
  <c r="EH254" i="90"/>
  <c r="EH255" i="90"/>
  <c r="EH256" i="90"/>
  <c r="EH257" i="90"/>
  <c r="EH258" i="90"/>
  <c r="EH248" i="90"/>
  <c r="EH249" i="90"/>
  <c r="EH262" i="90"/>
  <c r="EH263" i="90"/>
  <c r="EH264" i="90"/>
  <c r="EH265" i="90"/>
  <c r="EH266" i="90"/>
  <c r="EH267" i="90"/>
  <c r="EH268" i="90"/>
  <c r="EH269" i="90"/>
  <c r="EH270" i="90"/>
  <c r="EH271" i="90"/>
  <c r="EH272" i="90"/>
  <c r="EH273" i="90"/>
  <c r="EH274" i="90"/>
  <c r="EH260" i="90"/>
  <c r="EH259" i="90"/>
  <c r="EH261" i="90"/>
  <c r="EH275" i="90"/>
  <c r="EH276" i="90"/>
  <c r="EH277" i="90"/>
  <c r="EH278" i="90"/>
  <c r="EH279" i="90"/>
  <c r="EH280" i="90"/>
  <c r="EH281" i="90"/>
  <c r="EH282" i="90"/>
  <c r="EH283" i="90"/>
  <c r="EH284" i="90"/>
  <c r="EH285" i="90"/>
  <c r="EH286" i="90"/>
  <c r="EH287" i="90"/>
  <c r="EH288" i="90"/>
  <c r="EH289" i="90"/>
  <c r="EH290" i="90"/>
  <c r="EH291" i="90"/>
  <c r="EH292" i="90"/>
  <c r="EH293" i="90"/>
  <c r="EH294" i="90"/>
  <c r="EH295" i="90"/>
  <c r="EH296" i="90"/>
  <c r="EH297" i="90"/>
  <c r="EH298" i="90"/>
  <c r="EH299" i="90"/>
  <c r="EH300" i="90"/>
  <c r="EH301" i="90"/>
  <c r="EH302" i="90"/>
  <c r="EH305" i="90"/>
  <c r="EH319" i="90"/>
  <c r="EH306" i="90"/>
  <c r="EH307" i="90"/>
  <c r="EH308" i="90"/>
  <c r="EH309" i="90"/>
  <c r="EH310" i="90"/>
  <c r="EH311" i="90"/>
  <c r="EH312" i="90"/>
  <c r="EH313" i="90"/>
  <c r="EH314" i="90"/>
  <c r="EH315" i="90"/>
  <c r="EH316" i="90"/>
  <c r="EH317" i="90"/>
  <c r="EH318" i="90"/>
  <c r="EH303" i="90"/>
  <c r="EH304" i="90"/>
  <c r="EH220" i="90"/>
  <c r="EQ221" i="90"/>
  <c r="EQ222" i="90"/>
  <c r="EQ223" i="90"/>
  <c r="EQ224" i="90"/>
  <c r="EQ225" i="90"/>
  <c r="EQ226" i="90"/>
  <c r="EQ227" i="90"/>
  <c r="EQ228" i="90"/>
  <c r="EQ229" i="90"/>
  <c r="EQ230" i="90"/>
  <c r="EQ231" i="90"/>
  <c r="EQ232" i="90"/>
  <c r="EQ233" i="90"/>
  <c r="EQ234" i="90"/>
  <c r="EQ235" i="90"/>
  <c r="EQ236" i="90"/>
  <c r="EQ237" i="90"/>
  <c r="EQ238" i="90"/>
  <c r="EQ239" i="90"/>
  <c r="EQ240" i="90"/>
  <c r="EQ241" i="90"/>
  <c r="EQ242" i="90"/>
  <c r="EQ243" i="90"/>
  <c r="EQ244" i="90"/>
  <c r="EQ251" i="90"/>
  <c r="EQ252" i="90"/>
  <c r="EQ253" i="90"/>
  <c r="EQ254" i="90"/>
  <c r="EQ255" i="90"/>
  <c r="EQ256" i="90"/>
  <c r="EQ257" i="90"/>
  <c r="EQ258" i="90"/>
  <c r="EQ259" i="90"/>
  <c r="EQ260" i="90"/>
  <c r="EQ261" i="90"/>
  <c r="EQ246" i="90"/>
  <c r="EQ248" i="90"/>
  <c r="EQ245" i="90"/>
  <c r="EQ249" i="90"/>
  <c r="EQ247" i="90"/>
  <c r="EQ250" i="90"/>
  <c r="EQ262" i="90"/>
  <c r="EQ263" i="90"/>
  <c r="EQ264" i="90"/>
  <c r="EQ265" i="90"/>
  <c r="EQ266" i="90"/>
  <c r="EQ267" i="90"/>
  <c r="EQ268" i="90"/>
  <c r="EQ269" i="90"/>
  <c r="EQ275" i="90"/>
  <c r="EQ276" i="90"/>
  <c r="EQ277" i="90"/>
  <c r="EQ278" i="90"/>
  <c r="EQ279" i="90"/>
  <c r="EQ280" i="90"/>
  <c r="EQ281" i="90"/>
  <c r="EQ282" i="90"/>
  <c r="EQ283" i="90"/>
  <c r="EQ284" i="90"/>
  <c r="EQ285" i="90"/>
  <c r="EQ286" i="90"/>
  <c r="EQ287" i="90"/>
  <c r="EQ288" i="90"/>
  <c r="EQ270" i="90"/>
  <c r="EQ272" i="90"/>
  <c r="EQ273" i="90"/>
  <c r="EQ274" i="90"/>
  <c r="EQ271" i="90"/>
  <c r="EQ289" i="90"/>
  <c r="EQ290" i="90"/>
  <c r="EQ291" i="90"/>
  <c r="EQ292" i="90"/>
  <c r="EQ293" i="90"/>
  <c r="EQ294" i="90"/>
  <c r="EQ295" i="90"/>
  <c r="EQ296" i="90"/>
  <c r="EQ297" i="90"/>
  <c r="EQ298" i="90"/>
  <c r="EQ299" i="90"/>
  <c r="EQ300" i="90"/>
  <c r="EQ301" i="90"/>
  <c r="EQ304" i="90"/>
  <c r="EQ302" i="90"/>
  <c r="EQ306" i="90"/>
  <c r="EQ307" i="90"/>
  <c r="EQ308" i="90"/>
  <c r="EQ309" i="90"/>
  <c r="EQ310" i="90"/>
  <c r="EQ311" i="90"/>
  <c r="EQ312" i="90"/>
  <c r="EQ313" i="90"/>
  <c r="EQ314" i="90"/>
  <c r="EQ315" i="90"/>
  <c r="EQ316" i="90"/>
  <c r="EQ317" i="90"/>
  <c r="EQ318" i="90"/>
  <c r="EQ319" i="90"/>
  <c r="EQ303" i="90"/>
  <c r="EQ305" i="90"/>
  <c r="EQ220" i="90"/>
  <c r="FB221" i="90"/>
  <c r="FB222" i="90"/>
  <c r="FB223" i="90"/>
  <c r="FB224" i="90"/>
  <c r="FB226" i="90"/>
  <c r="FB234" i="90"/>
  <c r="FB239" i="90"/>
  <c r="FB235" i="90"/>
  <c r="FB236" i="90"/>
  <c r="FB238" i="90"/>
  <c r="FB225" i="90"/>
  <c r="FB228" i="90"/>
  <c r="FB230" i="90"/>
  <c r="FB232" i="90"/>
  <c r="FB237" i="90"/>
  <c r="FB240" i="90"/>
  <c r="FB241" i="90"/>
  <c r="FB242" i="90"/>
  <c r="FB243" i="90"/>
  <c r="FB244" i="90"/>
  <c r="FB227" i="90"/>
  <c r="FB229" i="90"/>
  <c r="FB231" i="90"/>
  <c r="FB233" i="90"/>
  <c r="FB247" i="90"/>
  <c r="FB248" i="90"/>
  <c r="FB251" i="90"/>
  <c r="FB252" i="90"/>
  <c r="FB253" i="90"/>
  <c r="FB254" i="90"/>
  <c r="FB255" i="90"/>
  <c r="FB256" i="90"/>
  <c r="FB257" i="90"/>
  <c r="FB258" i="90"/>
  <c r="FB249" i="90"/>
  <c r="FB250" i="90"/>
  <c r="FB245" i="90"/>
  <c r="FB246" i="90"/>
  <c r="FB262" i="90"/>
  <c r="FB263" i="90"/>
  <c r="FB264" i="90"/>
  <c r="FB265" i="90"/>
  <c r="FB266" i="90"/>
  <c r="FB267" i="90"/>
  <c r="FB268" i="90"/>
  <c r="FB269" i="90"/>
  <c r="FB270" i="90"/>
  <c r="FB271" i="90"/>
  <c r="FB272" i="90"/>
  <c r="FB273" i="90"/>
  <c r="FB274" i="90"/>
  <c r="FB261" i="90"/>
  <c r="FB260" i="90"/>
  <c r="FB259" i="90"/>
  <c r="FB275" i="90"/>
  <c r="FB276" i="90"/>
  <c r="FB277" i="90"/>
  <c r="FB278" i="90"/>
  <c r="FB279" i="90"/>
  <c r="FB280" i="90"/>
  <c r="FB281" i="90"/>
  <c r="FB282" i="90"/>
  <c r="FB283" i="90"/>
  <c r="FB284" i="90"/>
  <c r="FB285" i="90"/>
  <c r="FB286" i="90"/>
  <c r="FB287" i="90"/>
  <c r="FB288" i="90"/>
  <c r="FB289" i="90"/>
  <c r="FB290" i="90"/>
  <c r="FB291" i="90"/>
  <c r="FB292" i="90"/>
  <c r="FB293" i="90"/>
  <c r="FB294" i="90"/>
  <c r="FB295" i="90"/>
  <c r="FB296" i="90"/>
  <c r="FB297" i="90"/>
  <c r="FB298" i="90"/>
  <c r="FB299" i="90"/>
  <c r="FB300" i="90"/>
  <c r="FB301" i="90"/>
  <c r="FB303" i="90"/>
  <c r="FB319" i="90"/>
  <c r="FB306" i="90"/>
  <c r="FB307" i="90"/>
  <c r="FB308" i="90"/>
  <c r="FB309" i="90"/>
  <c r="FB310" i="90"/>
  <c r="FB311" i="90"/>
  <c r="FB312" i="90"/>
  <c r="FB313" i="90"/>
  <c r="FB314" i="90"/>
  <c r="FB315" i="90"/>
  <c r="FB316" i="90"/>
  <c r="FB317" i="90"/>
  <c r="FB318" i="90"/>
  <c r="FB302" i="90"/>
  <c r="FB304" i="90"/>
  <c r="FB305" i="90"/>
  <c r="FB220" i="90"/>
  <c r="FF221" i="90"/>
  <c r="FF222" i="90"/>
  <c r="FF223" i="90"/>
  <c r="FF224" i="90"/>
  <c r="FF225" i="90"/>
  <c r="FF227" i="90"/>
  <c r="FF228" i="90"/>
  <c r="FF229" i="90"/>
  <c r="FF230" i="90"/>
  <c r="FF231" i="90"/>
  <c r="FF232" i="90"/>
  <c r="FF233" i="90"/>
  <c r="FF234" i="90"/>
  <c r="FF235" i="90"/>
  <c r="FF236" i="90"/>
  <c r="FF237" i="90"/>
  <c r="FF238" i="90"/>
  <c r="FF240" i="90"/>
  <c r="FF241" i="90"/>
  <c r="FF242" i="90"/>
  <c r="FF243" i="90"/>
  <c r="FF244" i="90"/>
  <c r="FF245" i="90"/>
  <c r="FF246" i="90"/>
  <c r="FF247" i="90"/>
  <c r="FF239" i="90"/>
  <c r="FF226" i="90"/>
  <c r="FF250" i="90"/>
  <c r="FF248" i="90"/>
  <c r="FF249" i="90"/>
  <c r="FF251" i="90"/>
  <c r="FF252" i="90"/>
  <c r="FF253" i="90"/>
  <c r="FF254" i="90"/>
  <c r="FF259" i="90"/>
  <c r="FF258" i="90"/>
  <c r="FF262" i="90"/>
  <c r="FF263" i="90"/>
  <c r="FF264" i="90"/>
  <c r="FF265" i="90"/>
  <c r="FF266" i="90"/>
  <c r="FF267" i="90"/>
  <c r="FF268" i="90"/>
  <c r="FF269" i="90"/>
  <c r="FF270" i="90"/>
  <c r="FF271" i="90"/>
  <c r="FF272" i="90"/>
  <c r="FF255" i="90"/>
  <c r="FF261" i="90"/>
  <c r="FF260" i="90"/>
  <c r="FF256" i="90"/>
  <c r="FF257" i="90"/>
  <c r="FF273" i="90"/>
  <c r="FF275" i="90"/>
  <c r="FF276" i="90"/>
  <c r="FF277" i="90"/>
  <c r="FF278" i="90"/>
  <c r="FF279" i="90"/>
  <c r="FF280" i="90"/>
  <c r="FF281" i="90"/>
  <c r="FF282" i="90"/>
  <c r="FF283" i="90"/>
  <c r="FF284" i="90"/>
  <c r="FF285" i="90"/>
  <c r="FF286" i="90"/>
  <c r="FF274" i="90"/>
  <c r="FF289" i="90"/>
  <c r="FF290" i="90"/>
  <c r="FF291" i="90"/>
  <c r="FF292" i="90"/>
  <c r="FF293" i="90"/>
  <c r="FF294" i="90"/>
  <c r="FF295" i="90"/>
  <c r="FF296" i="90"/>
  <c r="FF297" i="90"/>
  <c r="FF298" i="90"/>
  <c r="FF299" i="90"/>
  <c r="FF300" i="90"/>
  <c r="FF301" i="90"/>
  <c r="FF302" i="90"/>
  <c r="FF303" i="90"/>
  <c r="FF304" i="90"/>
  <c r="FF287" i="90"/>
  <c r="FF288" i="90"/>
  <c r="FF306" i="90"/>
  <c r="FF307" i="90"/>
  <c r="FF308" i="90"/>
  <c r="FF309" i="90"/>
  <c r="FF310" i="90"/>
  <c r="FF311" i="90"/>
  <c r="FF312" i="90"/>
  <c r="FF313" i="90"/>
  <c r="FF314" i="90"/>
  <c r="FF315" i="90"/>
  <c r="FF316" i="90"/>
  <c r="FF317" i="90"/>
  <c r="FF318" i="90"/>
  <c r="FF319" i="90"/>
  <c r="FF220" i="90"/>
  <c r="FF305" i="90"/>
  <c r="FQ221" i="90"/>
  <c r="FQ222" i="90"/>
  <c r="FQ223" i="90"/>
  <c r="FQ224" i="90"/>
  <c r="FQ227" i="90"/>
  <c r="FQ229" i="90"/>
  <c r="FQ231" i="90"/>
  <c r="FQ233" i="90"/>
  <c r="FQ238" i="90"/>
  <c r="FQ240" i="90"/>
  <c r="FQ241" i="90"/>
  <c r="FQ242" i="90"/>
  <c r="FQ243" i="90"/>
  <c r="FQ244" i="90"/>
  <c r="FQ245" i="90"/>
  <c r="FQ246" i="90"/>
  <c r="FQ247" i="90"/>
  <c r="FQ237" i="90"/>
  <c r="FQ239" i="90"/>
  <c r="FQ234" i="90"/>
  <c r="FQ225" i="90"/>
  <c r="FQ228" i="90"/>
  <c r="FQ230" i="90"/>
  <c r="FQ232" i="90"/>
  <c r="FQ226" i="90"/>
  <c r="FQ235" i="90"/>
  <c r="FQ236" i="90"/>
  <c r="FQ250" i="90"/>
  <c r="FQ248" i="90"/>
  <c r="FQ249" i="90"/>
  <c r="FQ251" i="90"/>
  <c r="FQ252" i="90"/>
  <c r="FQ253" i="90"/>
  <c r="FQ254" i="90"/>
  <c r="FQ256" i="90"/>
  <c r="FQ257" i="90"/>
  <c r="FQ260" i="90"/>
  <c r="FQ261" i="90"/>
  <c r="FQ262" i="90"/>
  <c r="FQ263" i="90"/>
  <c r="FQ264" i="90"/>
  <c r="FQ265" i="90"/>
  <c r="FQ266" i="90"/>
  <c r="FQ267" i="90"/>
  <c r="FQ268" i="90"/>
  <c r="FQ269" i="90"/>
  <c r="FQ270" i="90"/>
  <c r="FQ271" i="90"/>
  <c r="FQ272" i="90"/>
  <c r="FQ273" i="90"/>
  <c r="FQ258" i="90"/>
  <c r="FQ255" i="90"/>
  <c r="FQ259" i="90"/>
  <c r="FQ274" i="90"/>
  <c r="FQ275" i="90"/>
  <c r="FQ276" i="90"/>
  <c r="FQ277" i="90"/>
  <c r="FQ278" i="90"/>
  <c r="FQ279" i="90"/>
  <c r="FQ280" i="90"/>
  <c r="FQ281" i="90"/>
  <c r="FQ282" i="90"/>
  <c r="FQ283" i="90"/>
  <c r="FQ284" i="90"/>
  <c r="FQ287" i="90"/>
  <c r="FQ289" i="90"/>
  <c r="FQ290" i="90"/>
  <c r="FQ291" i="90"/>
  <c r="FQ292" i="90"/>
  <c r="FQ293" i="90"/>
  <c r="FQ294" i="90"/>
  <c r="FQ295" i="90"/>
  <c r="FQ296" i="90"/>
  <c r="FQ297" i="90"/>
  <c r="FQ298" i="90"/>
  <c r="FQ299" i="90"/>
  <c r="FQ300" i="90"/>
  <c r="FQ301" i="90"/>
  <c r="FQ302" i="90"/>
  <c r="FQ303" i="90"/>
  <c r="FQ286" i="90"/>
  <c r="FQ288" i="90"/>
  <c r="FQ285" i="90"/>
  <c r="FQ305" i="90"/>
  <c r="FQ306" i="90"/>
  <c r="FQ307" i="90"/>
  <c r="FQ308" i="90"/>
  <c r="FQ309" i="90"/>
  <c r="FQ310" i="90"/>
  <c r="FQ311" i="90"/>
  <c r="FQ312" i="90"/>
  <c r="FQ313" i="90"/>
  <c r="FQ314" i="90"/>
  <c r="FQ315" i="90"/>
  <c r="FQ316" i="90"/>
  <c r="FQ317" i="90"/>
  <c r="FQ318" i="90"/>
  <c r="FQ319" i="90"/>
  <c r="FQ220" i="90"/>
  <c r="FQ304" i="90"/>
  <c r="GA221" i="90"/>
  <c r="GA222" i="90"/>
  <c r="GA223" i="90"/>
  <c r="GA224" i="90"/>
  <c r="GA226" i="90"/>
  <c r="GA225" i="90"/>
  <c r="GA228" i="90"/>
  <c r="GA230" i="90"/>
  <c r="GA232" i="90"/>
  <c r="GA237" i="90"/>
  <c r="GA238" i="90"/>
  <c r="GA239" i="90"/>
  <c r="GA240" i="90"/>
  <c r="GA241" i="90"/>
  <c r="GA242" i="90"/>
  <c r="GA243" i="90"/>
  <c r="GA244" i="90"/>
  <c r="GA245" i="90"/>
  <c r="GA246" i="90"/>
  <c r="GA247" i="90"/>
  <c r="GA235" i="90"/>
  <c r="GA236" i="90"/>
  <c r="GA227" i="90"/>
  <c r="GA229" i="90"/>
  <c r="GA231" i="90"/>
  <c r="GA233" i="90"/>
  <c r="GA234" i="90"/>
  <c r="GA248" i="90"/>
  <c r="GA249" i="90"/>
  <c r="GA250" i="90"/>
  <c r="GA251" i="90"/>
  <c r="GA252" i="90"/>
  <c r="GA253" i="90"/>
  <c r="GA254" i="90"/>
  <c r="GA255" i="90"/>
  <c r="GA258" i="90"/>
  <c r="GA260" i="90"/>
  <c r="GA259" i="90"/>
  <c r="GA256" i="90"/>
  <c r="GA261" i="90"/>
  <c r="GA262" i="90"/>
  <c r="GA263" i="90"/>
  <c r="GA264" i="90"/>
  <c r="GA265" i="90"/>
  <c r="GA266" i="90"/>
  <c r="GA267" i="90"/>
  <c r="GA268" i="90"/>
  <c r="GA269" i="90"/>
  <c r="GA270" i="90"/>
  <c r="GA271" i="90"/>
  <c r="GA272" i="90"/>
  <c r="GA273" i="90"/>
  <c r="GA257" i="90"/>
  <c r="GA274" i="90"/>
  <c r="GA275" i="90"/>
  <c r="GA276" i="90"/>
  <c r="GA277" i="90"/>
  <c r="GA278" i="90"/>
  <c r="GA279" i="90"/>
  <c r="GA280" i="90"/>
  <c r="GA281" i="90"/>
  <c r="GA282" i="90"/>
  <c r="GA283" i="90"/>
  <c r="GA285" i="90"/>
  <c r="GA284" i="90"/>
  <c r="GA288" i="90"/>
  <c r="GA289" i="90"/>
  <c r="GA290" i="90"/>
  <c r="GA291" i="90"/>
  <c r="GA292" i="90"/>
  <c r="GA293" i="90"/>
  <c r="GA294" i="90"/>
  <c r="GA295" i="90"/>
  <c r="GA296" i="90"/>
  <c r="GA297" i="90"/>
  <c r="GA298" i="90"/>
  <c r="GA299" i="90"/>
  <c r="GA300" i="90"/>
  <c r="GA301" i="90"/>
  <c r="GA302" i="90"/>
  <c r="GA303" i="90"/>
  <c r="GA286" i="90"/>
  <c r="GA287" i="90"/>
  <c r="GA220" i="90"/>
  <c r="GA304" i="90"/>
  <c r="GA305" i="90"/>
  <c r="GA306" i="90"/>
  <c r="GA307" i="90"/>
  <c r="GA308" i="90"/>
  <c r="GA309" i="90"/>
  <c r="GA310" i="90"/>
  <c r="GA311" i="90"/>
  <c r="GA312" i="90"/>
  <c r="GA313" i="90"/>
  <c r="GA314" i="90"/>
  <c r="GA315" i="90"/>
  <c r="GA316" i="90"/>
  <c r="GA317" i="90"/>
  <c r="GA318" i="90"/>
  <c r="GA319" i="90"/>
  <c r="FS442" i="90"/>
  <c r="FS440" i="90"/>
  <c r="FS438" i="90"/>
  <c r="FS443" i="90"/>
  <c r="FS441" i="90"/>
  <c r="FS439" i="90"/>
  <c r="FS437" i="90"/>
  <c r="DZ221" i="90"/>
  <c r="DZ222" i="90"/>
  <c r="DZ223" i="90"/>
  <c r="DZ224" i="90"/>
  <c r="DZ225" i="90"/>
  <c r="DZ226" i="90"/>
  <c r="DZ228" i="90"/>
  <c r="DZ229" i="90"/>
  <c r="DZ230" i="90"/>
  <c r="DZ231" i="90"/>
  <c r="DZ232" i="90"/>
  <c r="DZ233" i="90"/>
  <c r="DZ234" i="90"/>
  <c r="DZ235" i="90"/>
  <c r="DZ236" i="90"/>
  <c r="DZ237" i="90"/>
  <c r="DZ240" i="90"/>
  <c r="DZ241" i="90"/>
  <c r="DZ242" i="90"/>
  <c r="DZ243" i="90"/>
  <c r="DZ244" i="90"/>
  <c r="DZ245" i="90"/>
  <c r="DZ246" i="90"/>
  <c r="DZ247" i="90"/>
  <c r="DZ248" i="90"/>
  <c r="DZ249" i="90"/>
  <c r="DZ250" i="90"/>
  <c r="DZ227" i="90"/>
  <c r="DZ238" i="90"/>
  <c r="DZ239" i="90"/>
  <c r="DZ251" i="90"/>
  <c r="DZ252" i="90"/>
  <c r="DZ253" i="90"/>
  <c r="DZ254" i="90"/>
  <c r="DZ255" i="90"/>
  <c r="DZ256" i="90"/>
  <c r="DZ262" i="90"/>
  <c r="DZ263" i="90"/>
  <c r="DZ264" i="90"/>
  <c r="DZ265" i="90"/>
  <c r="DZ266" i="90"/>
  <c r="DZ267" i="90"/>
  <c r="DZ268" i="90"/>
  <c r="DZ269" i="90"/>
  <c r="DZ270" i="90"/>
  <c r="DZ271" i="90"/>
  <c r="DZ272" i="90"/>
  <c r="DZ273" i="90"/>
  <c r="DZ274" i="90"/>
  <c r="DZ259" i="90"/>
  <c r="DZ261" i="90"/>
  <c r="DZ257" i="90"/>
  <c r="DZ260" i="90"/>
  <c r="DZ258" i="90"/>
  <c r="DZ275" i="90"/>
  <c r="DZ276" i="90"/>
  <c r="DZ277" i="90"/>
  <c r="DZ278" i="90"/>
  <c r="DZ279" i="90"/>
  <c r="DZ280" i="90"/>
  <c r="DZ281" i="90"/>
  <c r="DZ282" i="90"/>
  <c r="DZ283" i="90"/>
  <c r="DZ284" i="90"/>
  <c r="DZ285" i="90"/>
  <c r="DZ286" i="90"/>
  <c r="DZ287" i="90"/>
  <c r="DZ288" i="90"/>
  <c r="DZ289" i="90"/>
  <c r="DZ290" i="90"/>
  <c r="DZ291" i="90"/>
  <c r="DZ292" i="90"/>
  <c r="DZ293" i="90"/>
  <c r="DZ294" i="90"/>
  <c r="DZ295" i="90"/>
  <c r="DZ296" i="90"/>
  <c r="DZ297" i="90"/>
  <c r="DZ298" i="90"/>
  <c r="DZ299" i="90"/>
  <c r="DZ300" i="90"/>
  <c r="DZ301" i="90"/>
  <c r="DZ302" i="90"/>
  <c r="DZ303" i="90"/>
  <c r="DZ304" i="90"/>
  <c r="DZ305" i="90"/>
  <c r="DZ306" i="90"/>
  <c r="DZ307" i="90"/>
  <c r="DZ308" i="90"/>
  <c r="DZ309" i="90"/>
  <c r="DZ310" i="90"/>
  <c r="DZ311" i="90"/>
  <c r="DZ312" i="90"/>
  <c r="DZ313" i="90"/>
  <c r="DZ314" i="90"/>
  <c r="DZ315" i="90"/>
  <c r="DZ316" i="90"/>
  <c r="DZ317" i="90"/>
  <c r="DZ318" i="90"/>
  <c r="DZ220" i="90"/>
  <c r="DZ319" i="90"/>
  <c r="EI221" i="90"/>
  <c r="EI222" i="90"/>
  <c r="EI223" i="90"/>
  <c r="EI224" i="90"/>
  <c r="EI225" i="90"/>
  <c r="EI228" i="90"/>
  <c r="EI229" i="90"/>
  <c r="EI230" i="90"/>
  <c r="EI231" i="90"/>
  <c r="EI232" i="90"/>
  <c r="EI233" i="90"/>
  <c r="EI234" i="90"/>
  <c r="EI235" i="90"/>
  <c r="EI236" i="90"/>
  <c r="EI237" i="90"/>
  <c r="EI238" i="90"/>
  <c r="EI227" i="90"/>
  <c r="EI226" i="90"/>
  <c r="EI239" i="90"/>
  <c r="EI240" i="90"/>
  <c r="EI241" i="90"/>
  <c r="EI242" i="90"/>
  <c r="EI243" i="90"/>
  <c r="EI244" i="90"/>
  <c r="EI245" i="90"/>
  <c r="EI250" i="90"/>
  <c r="EI246" i="90"/>
  <c r="EI247" i="90"/>
  <c r="EI251" i="90"/>
  <c r="EI252" i="90"/>
  <c r="EI253" i="90"/>
  <c r="EI254" i="90"/>
  <c r="EI255" i="90"/>
  <c r="EI256" i="90"/>
  <c r="EI257" i="90"/>
  <c r="EI258" i="90"/>
  <c r="EI259" i="90"/>
  <c r="EI248" i="90"/>
  <c r="EI249" i="90"/>
  <c r="EI261" i="90"/>
  <c r="EI262" i="90"/>
  <c r="EI263" i="90"/>
  <c r="EI264" i="90"/>
  <c r="EI265" i="90"/>
  <c r="EI266" i="90"/>
  <c r="EI267" i="90"/>
  <c r="EI268" i="90"/>
  <c r="EI269" i="90"/>
  <c r="EI270" i="90"/>
  <c r="EI271" i="90"/>
  <c r="EI272" i="90"/>
  <c r="EI273" i="90"/>
  <c r="EI260" i="90"/>
  <c r="EI274" i="90"/>
  <c r="EI275" i="90"/>
  <c r="EI276" i="90"/>
  <c r="EI277" i="90"/>
  <c r="EI278" i="90"/>
  <c r="EI279" i="90"/>
  <c r="EI280" i="90"/>
  <c r="EI281" i="90"/>
  <c r="EI282" i="90"/>
  <c r="EI283" i="90"/>
  <c r="EI284" i="90"/>
  <c r="EI285" i="90"/>
  <c r="EI286" i="90"/>
  <c r="EI289" i="90"/>
  <c r="EI290" i="90"/>
  <c r="EI291" i="90"/>
  <c r="EI292" i="90"/>
  <c r="EI293" i="90"/>
  <c r="EI294" i="90"/>
  <c r="EI295" i="90"/>
  <c r="EI296" i="90"/>
  <c r="EI297" i="90"/>
  <c r="EI298" i="90"/>
  <c r="EI299" i="90"/>
  <c r="EI300" i="90"/>
  <c r="EI301" i="90"/>
  <c r="EI302" i="90"/>
  <c r="EI303" i="90"/>
  <c r="EI304" i="90"/>
  <c r="EI305" i="90"/>
  <c r="EI287" i="90"/>
  <c r="EI288" i="90"/>
  <c r="EI306" i="90"/>
  <c r="EI307" i="90"/>
  <c r="EI308" i="90"/>
  <c r="EI309" i="90"/>
  <c r="EI310" i="90"/>
  <c r="EI311" i="90"/>
  <c r="EI312" i="90"/>
  <c r="EI313" i="90"/>
  <c r="EI314" i="90"/>
  <c r="EI315" i="90"/>
  <c r="EI316" i="90"/>
  <c r="EI317" i="90"/>
  <c r="EI319" i="90"/>
  <c r="EI318" i="90"/>
  <c r="EI220" i="90"/>
  <c r="ER221" i="90"/>
  <c r="ER222" i="90"/>
  <c r="ER223" i="90"/>
  <c r="ER224" i="90"/>
  <c r="ER226" i="90"/>
  <c r="ER228" i="90"/>
  <c r="ER230" i="90"/>
  <c r="ER232" i="90"/>
  <c r="ER239" i="90"/>
  <c r="ER225" i="90"/>
  <c r="ER227" i="90"/>
  <c r="ER229" i="90"/>
  <c r="ER231" i="90"/>
  <c r="ER233" i="90"/>
  <c r="ER234" i="90"/>
  <c r="ER238" i="90"/>
  <c r="ER236" i="90"/>
  <c r="ER240" i="90"/>
  <c r="ER241" i="90"/>
  <c r="ER242" i="90"/>
  <c r="ER243" i="90"/>
  <c r="ER244" i="90"/>
  <c r="ER235" i="90"/>
  <c r="ER237" i="90"/>
  <c r="ER251" i="90"/>
  <c r="ER252" i="90"/>
  <c r="ER253" i="90"/>
  <c r="ER254" i="90"/>
  <c r="ER255" i="90"/>
  <c r="ER256" i="90"/>
  <c r="ER257" i="90"/>
  <c r="ER258" i="90"/>
  <c r="ER246" i="90"/>
  <c r="ER248" i="90"/>
  <c r="ER245" i="90"/>
  <c r="ER249" i="90"/>
  <c r="ER247" i="90"/>
  <c r="ER250" i="90"/>
  <c r="ER262" i="90"/>
  <c r="ER263" i="90"/>
  <c r="ER264" i="90"/>
  <c r="ER265" i="90"/>
  <c r="ER266" i="90"/>
  <c r="ER267" i="90"/>
  <c r="ER268" i="90"/>
  <c r="ER269" i="90"/>
  <c r="ER270" i="90"/>
  <c r="ER271" i="90"/>
  <c r="ER272" i="90"/>
  <c r="ER273" i="90"/>
  <c r="ER274" i="90"/>
  <c r="ER259" i="90"/>
  <c r="ER261" i="90"/>
  <c r="ER260" i="90"/>
  <c r="ER275" i="90"/>
  <c r="ER276" i="90"/>
  <c r="ER277" i="90"/>
  <c r="ER278" i="90"/>
  <c r="ER279" i="90"/>
  <c r="ER280" i="90"/>
  <c r="ER281" i="90"/>
  <c r="ER282" i="90"/>
  <c r="ER283" i="90"/>
  <c r="ER284" i="90"/>
  <c r="ER285" i="90"/>
  <c r="ER286" i="90"/>
  <c r="ER287" i="90"/>
  <c r="ER288" i="90"/>
  <c r="ER289" i="90"/>
  <c r="ER290" i="90"/>
  <c r="ER291" i="90"/>
  <c r="ER292" i="90"/>
  <c r="ER293" i="90"/>
  <c r="ER294" i="90"/>
  <c r="ER295" i="90"/>
  <c r="ER296" i="90"/>
  <c r="ER297" i="90"/>
  <c r="ER298" i="90"/>
  <c r="ER299" i="90"/>
  <c r="ER300" i="90"/>
  <c r="ER301" i="90"/>
  <c r="ER303" i="90"/>
  <c r="ER305" i="90"/>
  <c r="ER220" i="90"/>
  <c r="ER304" i="90"/>
  <c r="ER302" i="90"/>
  <c r="ER306" i="90"/>
  <c r="ER307" i="90"/>
  <c r="ER308" i="90"/>
  <c r="ER309" i="90"/>
  <c r="ER310" i="90"/>
  <c r="ER311" i="90"/>
  <c r="ER312" i="90"/>
  <c r="ER313" i="90"/>
  <c r="ER314" i="90"/>
  <c r="ER315" i="90"/>
  <c r="ER316" i="90"/>
  <c r="ER317" i="90"/>
  <c r="ER318" i="90"/>
  <c r="ER319" i="90"/>
  <c r="FC221" i="90"/>
  <c r="FC222" i="90"/>
  <c r="FC223" i="90"/>
  <c r="FC224" i="90"/>
  <c r="FC225" i="90"/>
  <c r="FC227" i="90"/>
  <c r="FC228" i="90"/>
  <c r="FC229" i="90"/>
  <c r="FC230" i="90"/>
  <c r="FC231" i="90"/>
  <c r="FC232" i="90"/>
  <c r="FC233" i="90"/>
  <c r="FC234" i="90"/>
  <c r="FC235" i="90"/>
  <c r="FC236" i="90"/>
  <c r="FC237" i="90"/>
  <c r="FC238" i="90"/>
  <c r="FC226" i="90"/>
  <c r="FC239" i="90"/>
  <c r="FC240" i="90"/>
  <c r="FC241" i="90"/>
  <c r="FC242" i="90"/>
  <c r="FC243" i="90"/>
  <c r="FC244" i="90"/>
  <c r="FC245" i="90"/>
  <c r="FC246" i="90"/>
  <c r="FC247" i="90"/>
  <c r="FC248" i="90"/>
  <c r="FC251" i="90"/>
  <c r="FC252" i="90"/>
  <c r="FC253" i="90"/>
  <c r="FC254" i="90"/>
  <c r="FC255" i="90"/>
  <c r="FC256" i="90"/>
  <c r="FC257" i="90"/>
  <c r="FC258" i="90"/>
  <c r="FC259" i="90"/>
  <c r="FC249" i="90"/>
  <c r="FC250" i="90"/>
  <c r="FC262" i="90"/>
  <c r="FC263" i="90"/>
  <c r="FC264" i="90"/>
  <c r="FC265" i="90"/>
  <c r="FC266" i="90"/>
  <c r="FC267" i="90"/>
  <c r="FC268" i="90"/>
  <c r="FC269" i="90"/>
  <c r="FC270" i="90"/>
  <c r="FC271" i="90"/>
  <c r="FC272" i="90"/>
  <c r="FC273" i="90"/>
  <c r="FC261" i="90"/>
  <c r="FC260" i="90"/>
  <c r="FC275" i="90"/>
  <c r="FC276" i="90"/>
  <c r="FC277" i="90"/>
  <c r="FC278" i="90"/>
  <c r="FC279" i="90"/>
  <c r="FC280" i="90"/>
  <c r="FC281" i="90"/>
  <c r="FC282" i="90"/>
  <c r="FC283" i="90"/>
  <c r="FC284" i="90"/>
  <c r="FC285" i="90"/>
  <c r="FC274" i="90"/>
  <c r="FC286" i="90"/>
  <c r="FC289" i="90"/>
  <c r="FC290" i="90"/>
  <c r="FC291" i="90"/>
  <c r="FC292" i="90"/>
  <c r="FC293" i="90"/>
  <c r="FC294" i="90"/>
  <c r="FC295" i="90"/>
  <c r="FC296" i="90"/>
  <c r="FC297" i="90"/>
  <c r="FC298" i="90"/>
  <c r="FC299" i="90"/>
  <c r="FC300" i="90"/>
  <c r="FC301" i="90"/>
  <c r="FC302" i="90"/>
  <c r="FC303" i="90"/>
  <c r="FC304" i="90"/>
  <c r="FC287" i="90"/>
  <c r="FC288" i="90"/>
  <c r="FC220" i="90"/>
  <c r="FC306" i="90"/>
  <c r="FC307" i="90"/>
  <c r="FC308" i="90"/>
  <c r="FC309" i="90"/>
  <c r="FC310" i="90"/>
  <c r="FC311" i="90"/>
  <c r="FC312" i="90"/>
  <c r="FC313" i="90"/>
  <c r="FC314" i="90"/>
  <c r="FC315" i="90"/>
  <c r="FC316" i="90"/>
  <c r="FC317" i="90"/>
  <c r="FC305" i="90"/>
  <c r="FC319" i="90"/>
  <c r="FC318" i="90"/>
  <c r="FP221" i="90"/>
  <c r="FP222" i="90"/>
  <c r="FP223" i="90"/>
  <c r="FP225" i="90"/>
  <c r="FP226" i="90"/>
  <c r="FP227" i="90"/>
  <c r="FP228" i="90"/>
  <c r="FP229" i="90"/>
  <c r="FP230" i="90"/>
  <c r="FP231" i="90"/>
  <c r="FP232" i="90"/>
  <c r="FP233" i="90"/>
  <c r="FP234" i="90"/>
  <c r="FP235" i="90"/>
  <c r="FP236" i="90"/>
  <c r="FP237" i="90"/>
  <c r="FP224" i="90"/>
  <c r="FP238" i="90"/>
  <c r="FP240" i="90"/>
  <c r="FP241" i="90"/>
  <c r="FP242" i="90"/>
  <c r="FP243" i="90"/>
  <c r="FP244" i="90"/>
  <c r="FP245" i="90"/>
  <c r="FP246" i="90"/>
  <c r="FP247" i="90"/>
  <c r="FP239" i="90"/>
  <c r="FP248" i="90"/>
  <c r="FP249" i="90"/>
  <c r="FP251" i="90"/>
  <c r="FP252" i="90"/>
  <c r="FP253" i="90"/>
  <c r="FP254" i="90"/>
  <c r="FP250" i="90"/>
  <c r="FP256" i="90"/>
  <c r="FP257" i="90"/>
  <c r="FP260" i="90"/>
  <c r="FP261" i="90"/>
  <c r="FP262" i="90"/>
  <c r="FP263" i="90"/>
  <c r="FP264" i="90"/>
  <c r="FP265" i="90"/>
  <c r="FP266" i="90"/>
  <c r="FP267" i="90"/>
  <c r="FP268" i="90"/>
  <c r="FP269" i="90"/>
  <c r="FP270" i="90"/>
  <c r="FP271" i="90"/>
  <c r="FP272" i="90"/>
  <c r="FP258" i="90"/>
  <c r="FP255" i="90"/>
  <c r="FP259" i="90"/>
  <c r="FP273" i="90"/>
  <c r="FP274" i="90"/>
  <c r="FP275" i="90"/>
  <c r="FP276" i="90"/>
  <c r="FP277" i="90"/>
  <c r="FP278" i="90"/>
  <c r="FP279" i="90"/>
  <c r="FP280" i="90"/>
  <c r="FP281" i="90"/>
  <c r="FP282" i="90"/>
  <c r="FP283" i="90"/>
  <c r="FP284" i="90"/>
  <c r="FP285" i="90"/>
  <c r="FP286" i="90"/>
  <c r="FP287" i="90"/>
  <c r="FP289" i="90"/>
  <c r="FP290" i="90"/>
  <c r="FP291" i="90"/>
  <c r="FP292" i="90"/>
  <c r="FP293" i="90"/>
  <c r="FP294" i="90"/>
  <c r="FP295" i="90"/>
  <c r="FP296" i="90"/>
  <c r="FP297" i="90"/>
  <c r="FP298" i="90"/>
  <c r="FP299" i="90"/>
  <c r="FP300" i="90"/>
  <c r="FP301" i="90"/>
  <c r="FP302" i="90"/>
  <c r="FP303" i="90"/>
  <c r="FP288" i="90"/>
  <c r="FP305" i="90"/>
  <c r="FP306" i="90"/>
  <c r="FP307" i="90"/>
  <c r="FP308" i="90"/>
  <c r="FP309" i="90"/>
  <c r="FP310" i="90"/>
  <c r="FP311" i="90"/>
  <c r="FP312" i="90"/>
  <c r="FP313" i="90"/>
  <c r="FP314" i="90"/>
  <c r="FP315" i="90"/>
  <c r="FP316" i="90"/>
  <c r="FP317" i="90"/>
  <c r="FP318" i="90"/>
  <c r="FP319" i="90"/>
  <c r="FP220" i="90"/>
  <c r="FP304" i="90"/>
  <c r="EM443" i="90"/>
  <c r="EM441" i="90"/>
  <c r="EM439" i="90"/>
  <c r="EM437" i="90"/>
  <c r="EM442" i="90"/>
  <c r="EM440" i="90"/>
  <c r="EM438" i="90"/>
  <c r="EE218" i="90"/>
  <c r="EJ221" i="90"/>
  <c r="EJ222" i="90"/>
  <c r="EJ223" i="90"/>
  <c r="EJ224" i="90"/>
  <c r="EJ225" i="90"/>
  <c r="EJ226" i="90"/>
  <c r="EJ228" i="90"/>
  <c r="EJ229" i="90"/>
  <c r="EJ230" i="90"/>
  <c r="EJ231" i="90"/>
  <c r="EJ232" i="90"/>
  <c r="EJ233" i="90"/>
  <c r="EJ234" i="90"/>
  <c r="EJ235" i="90"/>
  <c r="EJ236" i="90"/>
  <c r="EJ227" i="90"/>
  <c r="EJ240" i="90"/>
  <c r="EJ241" i="90"/>
  <c r="EJ242" i="90"/>
  <c r="EJ243" i="90"/>
  <c r="EJ244" i="90"/>
  <c r="EJ245" i="90"/>
  <c r="EJ246" i="90"/>
  <c r="EJ247" i="90"/>
  <c r="EJ248" i="90"/>
  <c r="EJ249" i="90"/>
  <c r="EJ250" i="90"/>
  <c r="EJ238" i="90"/>
  <c r="EJ237" i="90"/>
  <c r="EJ239" i="90"/>
  <c r="EJ251" i="90"/>
  <c r="EJ252" i="90"/>
  <c r="EJ253" i="90"/>
  <c r="EJ254" i="90"/>
  <c r="EJ255" i="90"/>
  <c r="EJ256" i="90"/>
  <c r="EJ257" i="90"/>
  <c r="EJ261" i="90"/>
  <c r="EJ258" i="90"/>
  <c r="EJ262" i="90"/>
  <c r="EJ263" i="90"/>
  <c r="EJ264" i="90"/>
  <c r="EJ265" i="90"/>
  <c r="EJ266" i="90"/>
  <c r="EJ267" i="90"/>
  <c r="EJ268" i="90"/>
  <c r="EJ269" i="90"/>
  <c r="EJ270" i="90"/>
  <c r="EJ271" i="90"/>
  <c r="EJ272" i="90"/>
  <c r="EJ273" i="90"/>
  <c r="EJ274" i="90"/>
  <c r="EJ260" i="90"/>
  <c r="EJ259" i="90"/>
  <c r="EJ275" i="90"/>
  <c r="EJ276" i="90"/>
  <c r="EJ277" i="90"/>
  <c r="EJ278" i="90"/>
  <c r="EJ279" i="90"/>
  <c r="EJ280" i="90"/>
  <c r="EJ281" i="90"/>
  <c r="EJ282" i="90"/>
  <c r="EJ283" i="90"/>
  <c r="EJ284" i="90"/>
  <c r="EJ285" i="90"/>
  <c r="EJ286" i="90"/>
  <c r="EJ287" i="90"/>
  <c r="EJ288" i="90"/>
  <c r="EJ289" i="90"/>
  <c r="EJ290" i="90"/>
  <c r="EJ291" i="90"/>
  <c r="EJ292" i="90"/>
  <c r="EJ293" i="90"/>
  <c r="EJ294" i="90"/>
  <c r="EJ295" i="90"/>
  <c r="EJ296" i="90"/>
  <c r="EJ297" i="90"/>
  <c r="EJ298" i="90"/>
  <c r="EJ299" i="90"/>
  <c r="EJ300" i="90"/>
  <c r="EJ301" i="90"/>
  <c r="EJ302" i="90"/>
  <c r="EJ303" i="90"/>
  <c r="EJ304" i="90"/>
  <c r="EJ305" i="90"/>
  <c r="EJ306" i="90"/>
  <c r="EJ307" i="90"/>
  <c r="EJ308" i="90"/>
  <c r="EJ309" i="90"/>
  <c r="EJ310" i="90"/>
  <c r="EJ311" i="90"/>
  <c r="EJ312" i="90"/>
  <c r="EJ313" i="90"/>
  <c r="EJ314" i="90"/>
  <c r="EJ315" i="90"/>
  <c r="EJ316" i="90"/>
  <c r="EJ317" i="90"/>
  <c r="EJ318" i="90"/>
  <c r="EJ319" i="90"/>
  <c r="EJ220" i="90"/>
  <c r="ES221" i="90"/>
  <c r="ES222" i="90"/>
  <c r="ES223" i="90"/>
  <c r="ES224" i="90"/>
  <c r="ES225" i="90"/>
  <c r="ES226" i="90"/>
  <c r="ES227" i="90"/>
  <c r="ES228" i="90"/>
  <c r="ES229" i="90"/>
  <c r="ES230" i="90"/>
  <c r="ES231" i="90"/>
  <c r="ES232" i="90"/>
  <c r="ES233" i="90"/>
  <c r="ES234" i="90"/>
  <c r="ES235" i="90"/>
  <c r="ES236" i="90"/>
  <c r="ES237" i="90"/>
  <c r="ES238" i="90"/>
  <c r="ES239" i="90"/>
  <c r="ES240" i="90"/>
  <c r="ES241" i="90"/>
  <c r="ES242" i="90"/>
  <c r="ES243" i="90"/>
  <c r="ES244" i="90"/>
  <c r="ES245" i="90"/>
  <c r="ES250" i="90"/>
  <c r="ES251" i="90"/>
  <c r="ES252" i="90"/>
  <c r="ES253" i="90"/>
  <c r="ES254" i="90"/>
  <c r="ES255" i="90"/>
  <c r="ES256" i="90"/>
  <c r="ES257" i="90"/>
  <c r="ES258" i="90"/>
  <c r="ES259" i="90"/>
  <c r="ES246" i="90"/>
  <c r="ES248" i="90"/>
  <c r="ES249" i="90"/>
  <c r="ES247" i="90"/>
  <c r="ES262" i="90"/>
  <c r="ES263" i="90"/>
  <c r="ES264" i="90"/>
  <c r="ES265" i="90"/>
  <c r="ES266" i="90"/>
  <c r="ES267" i="90"/>
  <c r="ES268" i="90"/>
  <c r="ES269" i="90"/>
  <c r="ES270" i="90"/>
  <c r="ES271" i="90"/>
  <c r="ES272" i="90"/>
  <c r="ES273" i="90"/>
  <c r="ES261" i="90"/>
  <c r="ES260" i="90"/>
  <c r="ES275" i="90"/>
  <c r="ES276" i="90"/>
  <c r="ES277" i="90"/>
  <c r="ES278" i="90"/>
  <c r="ES279" i="90"/>
  <c r="ES280" i="90"/>
  <c r="ES281" i="90"/>
  <c r="ES282" i="90"/>
  <c r="ES283" i="90"/>
  <c r="ES284" i="90"/>
  <c r="ES285" i="90"/>
  <c r="ES286" i="90"/>
  <c r="ES274" i="90"/>
  <c r="ES289" i="90"/>
  <c r="ES290" i="90"/>
  <c r="ES291" i="90"/>
  <c r="ES292" i="90"/>
  <c r="ES293" i="90"/>
  <c r="ES294" i="90"/>
  <c r="ES295" i="90"/>
  <c r="ES296" i="90"/>
  <c r="ES297" i="90"/>
  <c r="ES298" i="90"/>
  <c r="ES299" i="90"/>
  <c r="ES300" i="90"/>
  <c r="ES301" i="90"/>
  <c r="ES302" i="90"/>
  <c r="ES303" i="90"/>
  <c r="ES304" i="90"/>
  <c r="ES305" i="90"/>
  <c r="ES287" i="90"/>
  <c r="ES288" i="90"/>
  <c r="ES306" i="90"/>
  <c r="ES307" i="90"/>
  <c r="ES308" i="90"/>
  <c r="ES309" i="90"/>
  <c r="ES310" i="90"/>
  <c r="ES311" i="90"/>
  <c r="ES312" i="90"/>
  <c r="ES313" i="90"/>
  <c r="ES314" i="90"/>
  <c r="ES315" i="90"/>
  <c r="ES316" i="90"/>
  <c r="ES317" i="90"/>
  <c r="ES319" i="90"/>
  <c r="ES220" i="90"/>
  <c r="ES318" i="90"/>
  <c r="FD221" i="90"/>
  <c r="FD222" i="90"/>
  <c r="FD223" i="90"/>
  <c r="FD224" i="90"/>
  <c r="FD225" i="90"/>
  <c r="FD226" i="90"/>
  <c r="FD227" i="90"/>
  <c r="FD228" i="90"/>
  <c r="FD229" i="90"/>
  <c r="FD230" i="90"/>
  <c r="FD231" i="90"/>
  <c r="FD232" i="90"/>
  <c r="FD233" i="90"/>
  <c r="FD234" i="90"/>
  <c r="FD235" i="90"/>
  <c r="FD236" i="90"/>
  <c r="FD240" i="90"/>
  <c r="FD241" i="90"/>
  <c r="FD242" i="90"/>
  <c r="FD243" i="90"/>
  <c r="FD244" i="90"/>
  <c r="FD245" i="90"/>
  <c r="FD246" i="90"/>
  <c r="FD247" i="90"/>
  <c r="FD248" i="90"/>
  <c r="FD249" i="90"/>
  <c r="FD250" i="90"/>
  <c r="FD239" i="90"/>
  <c r="FD238" i="90"/>
  <c r="FD237" i="90"/>
  <c r="FD251" i="90"/>
  <c r="FD252" i="90"/>
  <c r="FD253" i="90"/>
  <c r="FD254" i="90"/>
  <c r="FD255" i="90"/>
  <c r="FD256" i="90"/>
  <c r="FD258" i="90"/>
  <c r="FD262" i="90"/>
  <c r="FD263" i="90"/>
  <c r="FD264" i="90"/>
  <c r="FD265" i="90"/>
  <c r="FD266" i="90"/>
  <c r="FD267" i="90"/>
  <c r="FD268" i="90"/>
  <c r="FD269" i="90"/>
  <c r="FD270" i="90"/>
  <c r="FD271" i="90"/>
  <c r="FD272" i="90"/>
  <c r="FD273" i="90"/>
  <c r="FD261" i="90"/>
  <c r="FD260" i="90"/>
  <c r="FD257" i="90"/>
  <c r="FD259" i="90"/>
  <c r="FD275" i="90"/>
  <c r="FD276" i="90"/>
  <c r="FD277" i="90"/>
  <c r="FD278" i="90"/>
  <c r="FD279" i="90"/>
  <c r="FD280" i="90"/>
  <c r="FD281" i="90"/>
  <c r="FD282" i="90"/>
  <c r="FD283" i="90"/>
  <c r="FD284" i="90"/>
  <c r="FD285" i="90"/>
  <c r="FD286" i="90"/>
  <c r="FD287" i="90"/>
  <c r="FD288" i="90"/>
  <c r="FD274" i="90"/>
  <c r="FD289" i="90"/>
  <c r="FD290" i="90"/>
  <c r="FD291" i="90"/>
  <c r="FD292" i="90"/>
  <c r="FD293" i="90"/>
  <c r="FD294" i="90"/>
  <c r="FD295" i="90"/>
  <c r="FD296" i="90"/>
  <c r="FD297" i="90"/>
  <c r="FD298" i="90"/>
  <c r="FD299" i="90"/>
  <c r="FD300" i="90"/>
  <c r="FD301" i="90"/>
  <c r="FD302" i="90"/>
  <c r="FD303" i="90"/>
  <c r="FD304" i="90"/>
  <c r="FD305" i="90"/>
  <c r="FD306" i="90"/>
  <c r="FD307" i="90"/>
  <c r="FD308" i="90"/>
  <c r="FD309" i="90"/>
  <c r="FD310" i="90"/>
  <c r="FD311" i="90"/>
  <c r="FD312" i="90"/>
  <c r="FD313" i="90"/>
  <c r="FD314" i="90"/>
  <c r="FD315" i="90"/>
  <c r="FD316" i="90"/>
  <c r="FD317" i="90"/>
  <c r="FD318" i="90"/>
  <c r="FD220" i="90"/>
  <c r="FD319" i="90"/>
  <c r="FK221" i="90"/>
  <c r="FK222" i="90"/>
  <c r="FK223" i="90"/>
  <c r="FK224" i="90"/>
  <c r="FK225" i="90"/>
  <c r="FK226" i="90"/>
  <c r="FK227" i="90"/>
  <c r="FK228" i="90"/>
  <c r="FK229" i="90"/>
  <c r="FK230" i="90"/>
  <c r="FK231" i="90"/>
  <c r="FK232" i="90"/>
  <c r="FK233" i="90"/>
  <c r="FK234" i="90"/>
  <c r="FK235" i="90"/>
  <c r="FK236" i="90"/>
  <c r="FK237" i="90"/>
  <c r="FK238" i="90"/>
  <c r="FK239" i="90"/>
  <c r="FK240" i="90"/>
  <c r="FK241" i="90"/>
  <c r="FK242" i="90"/>
  <c r="FK243" i="90"/>
  <c r="FK244" i="90"/>
  <c r="FK245" i="90"/>
  <c r="FK248" i="90"/>
  <c r="FK246" i="90"/>
  <c r="FK249" i="90"/>
  <c r="FK251" i="90"/>
  <c r="FK252" i="90"/>
  <c r="FK253" i="90"/>
  <c r="FK254" i="90"/>
  <c r="FK255" i="90"/>
  <c r="FK256" i="90"/>
  <c r="FK257" i="90"/>
  <c r="FK258" i="90"/>
  <c r="FK259" i="90"/>
  <c r="FK260" i="90"/>
  <c r="FK247" i="90"/>
  <c r="FK250" i="90"/>
  <c r="FK261" i="90"/>
  <c r="FK262" i="90"/>
  <c r="FK263" i="90"/>
  <c r="FK264" i="90"/>
  <c r="FK265" i="90"/>
  <c r="FK266" i="90"/>
  <c r="FK267" i="90"/>
  <c r="FK268" i="90"/>
  <c r="FK269" i="90"/>
  <c r="FK274" i="90"/>
  <c r="FK275" i="90"/>
  <c r="FK276" i="90"/>
  <c r="FK277" i="90"/>
  <c r="FK278" i="90"/>
  <c r="FK279" i="90"/>
  <c r="FK280" i="90"/>
  <c r="FK281" i="90"/>
  <c r="FK282" i="90"/>
  <c r="FK283" i="90"/>
  <c r="FK284" i="90"/>
  <c r="FK285" i="90"/>
  <c r="FK286" i="90"/>
  <c r="FK287" i="90"/>
  <c r="FK288" i="90"/>
  <c r="FK271" i="90"/>
  <c r="FK273" i="90"/>
  <c r="FK270" i="90"/>
  <c r="FK272" i="90"/>
  <c r="FK289" i="90"/>
  <c r="FK290" i="90"/>
  <c r="FK291" i="90"/>
  <c r="FK292" i="90"/>
  <c r="FK293" i="90"/>
  <c r="FK294" i="90"/>
  <c r="FK295" i="90"/>
  <c r="FK296" i="90"/>
  <c r="FK297" i="90"/>
  <c r="FK298" i="90"/>
  <c r="FK299" i="90"/>
  <c r="FK300" i="90"/>
  <c r="FK304" i="90"/>
  <c r="FK301" i="90"/>
  <c r="FK303" i="90"/>
  <c r="FK305" i="90"/>
  <c r="FK306" i="90"/>
  <c r="FK307" i="90"/>
  <c r="FK308" i="90"/>
  <c r="FK309" i="90"/>
  <c r="FK310" i="90"/>
  <c r="FK311" i="90"/>
  <c r="FK312" i="90"/>
  <c r="FK313" i="90"/>
  <c r="FK314" i="90"/>
  <c r="FK315" i="90"/>
  <c r="FK316" i="90"/>
  <c r="FK317" i="90"/>
  <c r="FK318" i="90"/>
  <c r="FK319" i="90"/>
  <c r="FK302" i="90"/>
  <c r="FK220" i="90"/>
  <c r="ED439" i="90"/>
  <c r="ED441" i="90"/>
  <c r="ED443" i="90"/>
  <c r="ED438" i="90"/>
  <c r="ED440" i="90"/>
  <c r="ED442" i="90"/>
  <c r="ED437" i="90"/>
  <c r="FG443" i="90"/>
  <c r="FG441" i="90"/>
  <c r="FG439" i="90"/>
  <c r="FG437" i="90"/>
  <c r="FG442" i="90"/>
  <c r="FG440" i="90"/>
  <c r="FG438" i="90"/>
  <c r="EN443" i="90"/>
  <c r="EN441" i="90"/>
  <c r="EN439" i="90"/>
  <c r="EN437" i="90"/>
  <c r="EN442" i="90"/>
  <c r="EN440" i="90"/>
  <c r="EN438" i="90"/>
  <c r="EO443" i="90"/>
  <c r="EO441" i="90"/>
  <c r="EO439" i="90"/>
  <c r="EO437" i="90"/>
  <c r="EO442" i="90"/>
  <c r="EO440" i="90"/>
  <c r="EO438" i="90"/>
  <c r="ED218" i="90"/>
  <c r="EO221" i="90"/>
  <c r="EO222" i="90"/>
  <c r="EO223" i="90"/>
  <c r="EO224" i="90"/>
  <c r="EO225" i="90"/>
  <c r="EO227" i="90"/>
  <c r="EO226" i="90"/>
  <c r="EO228" i="90"/>
  <c r="EO229" i="90"/>
  <c r="EO230" i="90"/>
  <c r="EO231" i="90"/>
  <c r="EO232" i="90"/>
  <c r="EO233" i="90"/>
  <c r="EO234" i="90"/>
  <c r="EO235" i="90"/>
  <c r="EO239" i="90"/>
  <c r="EO238" i="90"/>
  <c r="EO240" i="90"/>
  <c r="EO241" i="90"/>
  <c r="EO242" i="90"/>
  <c r="EO243" i="90"/>
  <c r="EO244" i="90"/>
  <c r="EO245" i="90"/>
  <c r="EO246" i="90"/>
  <c r="EO247" i="90"/>
  <c r="EO248" i="90"/>
  <c r="EO236" i="90"/>
  <c r="EO237" i="90"/>
  <c r="EO251" i="90"/>
  <c r="EO252" i="90"/>
  <c r="EO253" i="90"/>
  <c r="EO254" i="90"/>
  <c r="EO255" i="90"/>
  <c r="EO256" i="90"/>
  <c r="EO257" i="90"/>
  <c r="EO258" i="90"/>
  <c r="EO259" i="90"/>
  <c r="EO260" i="90"/>
  <c r="EO261" i="90"/>
  <c r="EO249" i="90"/>
  <c r="EO250" i="90"/>
  <c r="EO262" i="90"/>
  <c r="EO263" i="90"/>
  <c r="EO264" i="90"/>
  <c r="EO265" i="90"/>
  <c r="EO266" i="90"/>
  <c r="EO267" i="90"/>
  <c r="EO268" i="90"/>
  <c r="EO275" i="90"/>
  <c r="EO276" i="90"/>
  <c r="EO277" i="90"/>
  <c r="EO278" i="90"/>
  <c r="EO279" i="90"/>
  <c r="EO280" i="90"/>
  <c r="EO281" i="90"/>
  <c r="EO282" i="90"/>
  <c r="EO283" i="90"/>
  <c r="EO284" i="90"/>
  <c r="EO285" i="90"/>
  <c r="EO286" i="90"/>
  <c r="EO287" i="90"/>
  <c r="EO288" i="90"/>
  <c r="EO269" i="90"/>
  <c r="EO270" i="90"/>
  <c r="EO272" i="90"/>
  <c r="EO273" i="90"/>
  <c r="EO274" i="90"/>
  <c r="EO271" i="90"/>
  <c r="EO289" i="90"/>
  <c r="EO290" i="90"/>
  <c r="EO291" i="90"/>
  <c r="EO292" i="90"/>
  <c r="EO293" i="90"/>
  <c r="EO294" i="90"/>
  <c r="EO295" i="90"/>
  <c r="EO296" i="90"/>
  <c r="EO297" i="90"/>
  <c r="EO298" i="90"/>
  <c r="EO299" i="90"/>
  <c r="EO300" i="90"/>
  <c r="EO301" i="90"/>
  <c r="EO302" i="90"/>
  <c r="EO303" i="90"/>
  <c r="EO304" i="90"/>
  <c r="EO319" i="90"/>
  <c r="EO306" i="90"/>
  <c r="EO307" i="90"/>
  <c r="EO308" i="90"/>
  <c r="EO309" i="90"/>
  <c r="EO310" i="90"/>
  <c r="EO311" i="90"/>
  <c r="EO312" i="90"/>
  <c r="EO313" i="90"/>
  <c r="EO314" i="90"/>
  <c r="EO315" i="90"/>
  <c r="EO316" i="90"/>
  <c r="EO317" i="90"/>
  <c r="EO318" i="90"/>
  <c r="EO305" i="90"/>
  <c r="EO220" i="90"/>
  <c r="ET221" i="90"/>
  <c r="ET222" i="90"/>
  <c r="ET223" i="90"/>
  <c r="ET224" i="90"/>
  <c r="ET225" i="90"/>
  <c r="ET227" i="90"/>
  <c r="ET228" i="90"/>
  <c r="ET229" i="90"/>
  <c r="ET230" i="90"/>
  <c r="ET231" i="90"/>
  <c r="ET232" i="90"/>
  <c r="ET233" i="90"/>
  <c r="ET234" i="90"/>
  <c r="ET235" i="90"/>
  <c r="ET236" i="90"/>
  <c r="ET237" i="90"/>
  <c r="ET240" i="90"/>
  <c r="ET241" i="90"/>
  <c r="ET242" i="90"/>
  <c r="ET243" i="90"/>
  <c r="ET244" i="90"/>
  <c r="ET245" i="90"/>
  <c r="ET246" i="90"/>
  <c r="ET247" i="90"/>
  <c r="ET248" i="90"/>
  <c r="ET249" i="90"/>
  <c r="ET250" i="90"/>
  <c r="ET226" i="90"/>
  <c r="ET239" i="90"/>
  <c r="ET238" i="90"/>
  <c r="ET251" i="90"/>
  <c r="ET252" i="90"/>
  <c r="ET253" i="90"/>
  <c r="ET254" i="90"/>
  <c r="ET255" i="90"/>
  <c r="ET256" i="90"/>
  <c r="ET260" i="90"/>
  <c r="ET262" i="90"/>
  <c r="ET263" i="90"/>
  <c r="ET264" i="90"/>
  <c r="ET265" i="90"/>
  <c r="ET266" i="90"/>
  <c r="ET267" i="90"/>
  <c r="ET268" i="90"/>
  <c r="ET269" i="90"/>
  <c r="ET270" i="90"/>
  <c r="ET271" i="90"/>
  <c r="ET272" i="90"/>
  <c r="ET273" i="90"/>
  <c r="ET257" i="90"/>
  <c r="ET259" i="90"/>
  <c r="ET258" i="90"/>
  <c r="ET261" i="90"/>
  <c r="ET275" i="90"/>
  <c r="ET276" i="90"/>
  <c r="ET277" i="90"/>
  <c r="ET278" i="90"/>
  <c r="ET279" i="90"/>
  <c r="ET280" i="90"/>
  <c r="ET281" i="90"/>
  <c r="ET282" i="90"/>
  <c r="ET283" i="90"/>
  <c r="ET284" i="90"/>
  <c r="ET285" i="90"/>
  <c r="ET286" i="90"/>
  <c r="ET287" i="90"/>
  <c r="ET288" i="90"/>
  <c r="ET274" i="90"/>
  <c r="ET289" i="90"/>
  <c r="ET290" i="90"/>
  <c r="ET291" i="90"/>
  <c r="ET292" i="90"/>
  <c r="ET293" i="90"/>
  <c r="ET294" i="90"/>
  <c r="ET295" i="90"/>
  <c r="ET296" i="90"/>
  <c r="ET297" i="90"/>
  <c r="ET298" i="90"/>
  <c r="ET299" i="90"/>
  <c r="ET300" i="90"/>
  <c r="ET301" i="90"/>
  <c r="ET302" i="90"/>
  <c r="ET303" i="90"/>
  <c r="ET304" i="90"/>
  <c r="ET305" i="90"/>
  <c r="ET306" i="90"/>
  <c r="ET307" i="90"/>
  <c r="ET308" i="90"/>
  <c r="ET309" i="90"/>
  <c r="ET310" i="90"/>
  <c r="ET311" i="90"/>
  <c r="ET312" i="90"/>
  <c r="ET313" i="90"/>
  <c r="ET314" i="90"/>
  <c r="ET315" i="90"/>
  <c r="ET316" i="90"/>
  <c r="ET317" i="90"/>
  <c r="ET318" i="90"/>
  <c r="ET220" i="90"/>
  <c r="ET319" i="90"/>
  <c r="EW218" i="90"/>
  <c r="FL221" i="90"/>
  <c r="FL222" i="90"/>
  <c r="FL223" i="90"/>
  <c r="FL224" i="90"/>
  <c r="FL227" i="90"/>
  <c r="FL229" i="90"/>
  <c r="FL231" i="90"/>
  <c r="FL233" i="90"/>
  <c r="FL237" i="90"/>
  <c r="FL234" i="90"/>
  <c r="FL225" i="90"/>
  <c r="FL228" i="90"/>
  <c r="FL230" i="90"/>
  <c r="FL232" i="90"/>
  <c r="FL226" i="90"/>
  <c r="FL235" i="90"/>
  <c r="FL236" i="90"/>
  <c r="FL240" i="90"/>
  <c r="FL241" i="90"/>
  <c r="FL242" i="90"/>
  <c r="FL243" i="90"/>
  <c r="FL244" i="90"/>
  <c r="FL238" i="90"/>
  <c r="FL239" i="90"/>
  <c r="FL245" i="90"/>
  <c r="FL248" i="90"/>
  <c r="FL246" i="90"/>
  <c r="FL249" i="90"/>
  <c r="FL251" i="90"/>
  <c r="FL252" i="90"/>
  <c r="FL253" i="90"/>
  <c r="FL254" i="90"/>
  <c r="FL255" i="90"/>
  <c r="FL256" i="90"/>
  <c r="FL257" i="90"/>
  <c r="FL258" i="90"/>
  <c r="FL247" i="90"/>
  <c r="FL250" i="90"/>
  <c r="FL260" i="90"/>
  <c r="FL261" i="90"/>
  <c r="FL262" i="90"/>
  <c r="FL263" i="90"/>
  <c r="FL264" i="90"/>
  <c r="FL265" i="90"/>
  <c r="FL266" i="90"/>
  <c r="FL267" i="90"/>
  <c r="FL268" i="90"/>
  <c r="FL269" i="90"/>
  <c r="FL270" i="90"/>
  <c r="FL271" i="90"/>
  <c r="FL272" i="90"/>
  <c r="FL273" i="90"/>
  <c r="FL259" i="90"/>
  <c r="FL274" i="90"/>
  <c r="FL275" i="90"/>
  <c r="FL276" i="90"/>
  <c r="FL277" i="90"/>
  <c r="FL278" i="90"/>
  <c r="FL279" i="90"/>
  <c r="FL280" i="90"/>
  <c r="FL281" i="90"/>
  <c r="FL282" i="90"/>
  <c r="FL283" i="90"/>
  <c r="FL284" i="90"/>
  <c r="FL285" i="90"/>
  <c r="FL286" i="90"/>
  <c r="FL287" i="90"/>
  <c r="FL288" i="90"/>
  <c r="FL289" i="90"/>
  <c r="FL290" i="90"/>
  <c r="FL291" i="90"/>
  <c r="FL292" i="90"/>
  <c r="FL293" i="90"/>
  <c r="FL294" i="90"/>
  <c r="FL295" i="90"/>
  <c r="FL296" i="90"/>
  <c r="FL297" i="90"/>
  <c r="FL298" i="90"/>
  <c r="FL299" i="90"/>
  <c r="FL300" i="90"/>
  <c r="FL302" i="90"/>
  <c r="FL304" i="90"/>
  <c r="FL301" i="90"/>
  <c r="FL303" i="90"/>
  <c r="FL305" i="90"/>
  <c r="FL306" i="90"/>
  <c r="FL307" i="90"/>
  <c r="FL308" i="90"/>
  <c r="FL309" i="90"/>
  <c r="FL310" i="90"/>
  <c r="FL311" i="90"/>
  <c r="FL312" i="90"/>
  <c r="FL313" i="90"/>
  <c r="FL314" i="90"/>
  <c r="FL315" i="90"/>
  <c r="FL316" i="90"/>
  <c r="FL317" i="90"/>
  <c r="FL318" i="90"/>
  <c r="FL319" i="90"/>
  <c r="FL220" i="90"/>
  <c r="FV221" i="90"/>
  <c r="FV222" i="90"/>
  <c r="FV223" i="90"/>
  <c r="FV224" i="90"/>
  <c r="FV225" i="90"/>
  <c r="FV226" i="90"/>
  <c r="FV235" i="90"/>
  <c r="FV236" i="90"/>
  <c r="FV227" i="90"/>
  <c r="FV229" i="90"/>
  <c r="FV231" i="90"/>
  <c r="FV233" i="90"/>
  <c r="FV238" i="90"/>
  <c r="FV234" i="90"/>
  <c r="FV237" i="90"/>
  <c r="FV239" i="90"/>
  <c r="FV240" i="90"/>
  <c r="FV241" i="90"/>
  <c r="FV242" i="90"/>
  <c r="FV243" i="90"/>
  <c r="FV244" i="90"/>
  <c r="FV228" i="90"/>
  <c r="FV230" i="90"/>
  <c r="FV232" i="90"/>
  <c r="FV248" i="90"/>
  <c r="FV249" i="90"/>
  <c r="FV245" i="90"/>
  <c r="FV251" i="90"/>
  <c r="FV252" i="90"/>
  <c r="FV253" i="90"/>
  <c r="FV254" i="90"/>
  <c r="FV255" i="90"/>
  <c r="FV256" i="90"/>
  <c r="FV257" i="90"/>
  <c r="FV250" i="90"/>
  <c r="FV246" i="90"/>
  <c r="FV247" i="90"/>
  <c r="FV261" i="90"/>
  <c r="FV262" i="90"/>
  <c r="FV263" i="90"/>
  <c r="FV264" i="90"/>
  <c r="FV265" i="90"/>
  <c r="FV266" i="90"/>
  <c r="FV267" i="90"/>
  <c r="FV268" i="90"/>
  <c r="FV269" i="90"/>
  <c r="FV270" i="90"/>
  <c r="FV271" i="90"/>
  <c r="FV272" i="90"/>
  <c r="FV273" i="90"/>
  <c r="FV260" i="90"/>
  <c r="FV258" i="90"/>
  <c r="FV259" i="90"/>
  <c r="FV274" i="90"/>
  <c r="FV275" i="90"/>
  <c r="FV276" i="90"/>
  <c r="FV277" i="90"/>
  <c r="FV278" i="90"/>
  <c r="FV279" i="90"/>
  <c r="FV280" i="90"/>
  <c r="FV281" i="90"/>
  <c r="FV282" i="90"/>
  <c r="FV283" i="90"/>
  <c r="FV284" i="90"/>
  <c r="FV285" i="90"/>
  <c r="FV286" i="90"/>
  <c r="FV287" i="90"/>
  <c r="FV288" i="90"/>
  <c r="FV289" i="90"/>
  <c r="FV290" i="90"/>
  <c r="FV291" i="90"/>
  <c r="FV292" i="90"/>
  <c r="FV293" i="90"/>
  <c r="FV294" i="90"/>
  <c r="FV295" i="90"/>
  <c r="FV296" i="90"/>
  <c r="FV297" i="90"/>
  <c r="FV298" i="90"/>
  <c r="FV299" i="90"/>
  <c r="FV300" i="90"/>
  <c r="FV302" i="90"/>
  <c r="FV319" i="90"/>
  <c r="FV305" i="90"/>
  <c r="FV306" i="90"/>
  <c r="FV307" i="90"/>
  <c r="FV308" i="90"/>
  <c r="FV309" i="90"/>
  <c r="FV310" i="90"/>
  <c r="FV311" i="90"/>
  <c r="FV312" i="90"/>
  <c r="FV313" i="90"/>
  <c r="FV314" i="90"/>
  <c r="FV315" i="90"/>
  <c r="FV316" i="90"/>
  <c r="FV317" i="90"/>
  <c r="FV318" i="90"/>
  <c r="FV301" i="90"/>
  <c r="FV303" i="90"/>
  <c r="FV304" i="90"/>
  <c r="FV220" i="90"/>
  <c r="EB439" i="90"/>
  <c r="EB441" i="90"/>
  <c r="EB443" i="90"/>
  <c r="EB438" i="90"/>
  <c r="EB440" i="90"/>
  <c r="EB442" i="90"/>
  <c r="EB437" i="90"/>
  <c r="EX442" i="90"/>
  <c r="EX440" i="90"/>
  <c r="EX438" i="90"/>
  <c r="EX443" i="90"/>
  <c r="EX441" i="90"/>
  <c r="EX439" i="90"/>
  <c r="EX437" i="90"/>
  <c r="GA443" i="90"/>
  <c r="GA441" i="90"/>
  <c r="GA439" i="90"/>
  <c r="GA437" i="90"/>
  <c r="GA442" i="90"/>
  <c r="GA440" i="90"/>
  <c r="GA438" i="90"/>
  <c r="FH443" i="90"/>
  <c r="FH441" i="90"/>
  <c r="FH439" i="90"/>
  <c r="FH437" i="90"/>
  <c r="FH442" i="90"/>
  <c r="FH440" i="90"/>
  <c r="FH438" i="90"/>
  <c r="EC218" i="90"/>
  <c r="EN218" i="90"/>
  <c r="EV218" i="90"/>
  <c r="EX221" i="90"/>
  <c r="EX222" i="90"/>
  <c r="EX223" i="90"/>
  <c r="EX224" i="90"/>
  <c r="EX225" i="90"/>
  <c r="EX226" i="90"/>
  <c r="EX227" i="90"/>
  <c r="EX228" i="90"/>
  <c r="EX229" i="90"/>
  <c r="EX230" i="90"/>
  <c r="EX231" i="90"/>
  <c r="EX232" i="90"/>
  <c r="EX233" i="90"/>
  <c r="EX236" i="90"/>
  <c r="EX238" i="90"/>
  <c r="EX235" i="90"/>
  <c r="EX237" i="90"/>
  <c r="EX240" i="90"/>
  <c r="EX241" i="90"/>
  <c r="EX242" i="90"/>
  <c r="EX243" i="90"/>
  <c r="EX244" i="90"/>
  <c r="EX245" i="90"/>
  <c r="EX246" i="90"/>
  <c r="EX247" i="90"/>
  <c r="EX239" i="90"/>
  <c r="EX234" i="90"/>
  <c r="EX248" i="90"/>
  <c r="EX251" i="90"/>
  <c r="EX252" i="90"/>
  <c r="EX253" i="90"/>
  <c r="EX254" i="90"/>
  <c r="EX255" i="90"/>
  <c r="EX256" i="90"/>
  <c r="EX257" i="90"/>
  <c r="EX258" i="90"/>
  <c r="EX259" i="90"/>
  <c r="EX260" i="90"/>
  <c r="EX261" i="90"/>
  <c r="EX249" i="90"/>
  <c r="EX250" i="90"/>
  <c r="EX262" i="90"/>
  <c r="EX263" i="90"/>
  <c r="EX264" i="90"/>
  <c r="EX265" i="90"/>
  <c r="EX266" i="90"/>
  <c r="EX267" i="90"/>
  <c r="EX268" i="90"/>
  <c r="EX269" i="90"/>
  <c r="EX270" i="90"/>
  <c r="EX271" i="90"/>
  <c r="EX272" i="90"/>
  <c r="EX274" i="90"/>
  <c r="EX273" i="90"/>
  <c r="EX275" i="90"/>
  <c r="EX276" i="90"/>
  <c r="EX277" i="90"/>
  <c r="EX278" i="90"/>
  <c r="EX279" i="90"/>
  <c r="EX280" i="90"/>
  <c r="EX281" i="90"/>
  <c r="EX282" i="90"/>
  <c r="EX283" i="90"/>
  <c r="EX284" i="90"/>
  <c r="EX285" i="90"/>
  <c r="EX287" i="90"/>
  <c r="EX288" i="90"/>
  <c r="EX289" i="90"/>
  <c r="EX290" i="90"/>
  <c r="EX291" i="90"/>
  <c r="EX292" i="90"/>
  <c r="EX293" i="90"/>
  <c r="EX294" i="90"/>
  <c r="EX295" i="90"/>
  <c r="EX296" i="90"/>
  <c r="EX297" i="90"/>
  <c r="EX298" i="90"/>
  <c r="EX299" i="90"/>
  <c r="EX300" i="90"/>
  <c r="EX301" i="90"/>
  <c r="EX302" i="90"/>
  <c r="EX303" i="90"/>
  <c r="EX304" i="90"/>
  <c r="EX305" i="90"/>
  <c r="EX286" i="90"/>
  <c r="EX220" i="90"/>
  <c r="EX306" i="90"/>
  <c r="EX307" i="90"/>
  <c r="EX308" i="90"/>
  <c r="EX309" i="90"/>
  <c r="EX310" i="90"/>
  <c r="EX311" i="90"/>
  <c r="EX312" i="90"/>
  <c r="EX313" i="90"/>
  <c r="EX314" i="90"/>
  <c r="EX315" i="90"/>
  <c r="EX316" i="90"/>
  <c r="EX317" i="90"/>
  <c r="EX318" i="90"/>
  <c r="EX319" i="90"/>
  <c r="FM221" i="90"/>
  <c r="FM222" i="90"/>
  <c r="FM223" i="90"/>
  <c r="FM224" i="90"/>
  <c r="FM227" i="90"/>
  <c r="FM228" i="90"/>
  <c r="FM229" i="90"/>
  <c r="FM230" i="90"/>
  <c r="FM231" i="90"/>
  <c r="FM232" i="90"/>
  <c r="FM233" i="90"/>
  <c r="FM234" i="90"/>
  <c r="FM235" i="90"/>
  <c r="FM236" i="90"/>
  <c r="FM237" i="90"/>
  <c r="FM238" i="90"/>
  <c r="FM225" i="90"/>
  <c r="FM226" i="90"/>
  <c r="FM239" i="90"/>
  <c r="FM240" i="90"/>
  <c r="FM241" i="90"/>
  <c r="FM242" i="90"/>
  <c r="FM243" i="90"/>
  <c r="FM244" i="90"/>
  <c r="FM245" i="90"/>
  <c r="FM248" i="90"/>
  <c r="FM246" i="90"/>
  <c r="FM249" i="90"/>
  <c r="FM251" i="90"/>
  <c r="FM252" i="90"/>
  <c r="FM253" i="90"/>
  <c r="FM254" i="90"/>
  <c r="FM255" i="90"/>
  <c r="FM256" i="90"/>
  <c r="FM257" i="90"/>
  <c r="FM258" i="90"/>
  <c r="FM247" i="90"/>
  <c r="FM250" i="90"/>
  <c r="FM260" i="90"/>
  <c r="FM261" i="90"/>
  <c r="FM262" i="90"/>
  <c r="FM263" i="90"/>
  <c r="FM264" i="90"/>
  <c r="FM265" i="90"/>
  <c r="FM266" i="90"/>
  <c r="FM267" i="90"/>
  <c r="FM268" i="90"/>
  <c r="FM269" i="90"/>
  <c r="FM270" i="90"/>
  <c r="FM271" i="90"/>
  <c r="FM272" i="90"/>
  <c r="FM273" i="90"/>
  <c r="FM259" i="90"/>
  <c r="FM274" i="90"/>
  <c r="FM275" i="90"/>
  <c r="FM276" i="90"/>
  <c r="FM277" i="90"/>
  <c r="FM278" i="90"/>
  <c r="FM279" i="90"/>
  <c r="FM280" i="90"/>
  <c r="FM281" i="90"/>
  <c r="FM282" i="90"/>
  <c r="FM283" i="90"/>
  <c r="FM284" i="90"/>
  <c r="FM285" i="90"/>
  <c r="FM289" i="90"/>
  <c r="FM290" i="90"/>
  <c r="FM291" i="90"/>
  <c r="FM292" i="90"/>
  <c r="FM293" i="90"/>
  <c r="FM294" i="90"/>
  <c r="FM295" i="90"/>
  <c r="FM296" i="90"/>
  <c r="FM297" i="90"/>
  <c r="FM298" i="90"/>
  <c r="FM299" i="90"/>
  <c r="FM300" i="90"/>
  <c r="FM301" i="90"/>
  <c r="FM302" i="90"/>
  <c r="FM303" i="90"/>
  <c r="FM304" i="90"/>
  <c r="FM287" i="90"/>
  <c r="FM288" i="90"/>
  <c r="FM286" i="90"/>
  <c r="FM220" i="90"/>
  <c r="FM305" i="90"/>
  <c r="FM306" i="90"/>
  <c r="FM307" i="90"/>
  <c r="FM308" i="90"/>
  <c r="FM309" i="90"/>
  <c r="FM310" i="90"/>
  <c r="FM311" i="90"/>
  <c r="FM312" i="90"/>
  <c r="FM313" i="90"/>
  <c r="FM314" i="90"/>
  <c r="FM315" i="90"/>
  <c r="FM316" i="90"/>
  <c r="FM317" i="90"/>
  <c r="FM319" i="90"/>
  <c r="FM318" i="90"/>
  <c r="FW221" i="90"/>
  <c r="FW222" i="90"/>
  <c r="FW223" i="90"/>
  <c r="FW224" i="90"/>
  <c r="FW227" i="90"/>
  <c r="FW228" i="90"/>
  <c r="FW229" i="90"/>
  <c r="FW230" i="90"/>
  <c r="FW231" i="90"/>
  <c r="FW232" i="90"/>
  <c r="FW233" i="90"/>
  <c r="FW234" i="90"/>
  <c r="FW235" i="90"/>
  <c r="FW236" i="90"/>
  <c r="FW237" i="90"/>
  <c r="FW238" i="90"/>
  <c r="FW225" i="90"/>
  <c r="FW226" i="90"/>
  <c r="FW239" i="90"/>
  <c r="FW240" i="90"/>
  <c r="FW241" i="90"/>
  <c r="FW242" i="90"/>
  <c r="FW243" i="90"/>
  <c r="FW244" i="90"/>
  <c r="FW247" i="90"/>
  <c r="FW248" i="90"/>
  <c r="FW249" i="90"/>
  <c r="FW245" i="90"/>
  <c r="FW251" i="90"/>
  <c r="FW252" i="90"/>
  <c r="FW253" i="90"/>
  <c r="FW254" i="90"/>
  <c r="FW255" i="90"/>
  <c r="FW256" i="90"/>
  <c r="FW257" i="90"/>
  <c r="FW258" i="90"/>
  <c r="FW250" i="90"/>
  <c r="FW246" i="90"/>
  <c r="FW259" i="90"/>
  <c r="FW261" i="90"/>
  <c r="FW262" i="90"/>
  <c r="FW263" i="90"/>
  <c r="FW264" i="90"/>
  <c r="FW265" i="90"/>
  <c r="FW266" i="90"/>
  <c r="FW267" i="90"/>
  <c r="FW268" i="90"/>
  <c r="FW269" i="90"/>
  <c r="FW270" i="90"/>
  <c r="FW271" i="90"/>
  <c r="FW272" i="90"/>
  <c r="FW273" i="90"/>
  <c r="FW260" i="90"/>
  <c r="FW274" i="90"/>
  <c r="FW275" i="90"/>
  <c r="FW276" i="90"/>
  <c r="FW277" i="90"/>
  <c r="FW278" i="90"/>
  <c r="FW279" i="90"/>
  <c r="FW280" i="90"/>
  <c r="FW281" i="90"/>
  <c r="FW282" i="90"/>
  <c r="FW283" i="90"/>
  <c r="FW284" i="90"/>
  <c r="FW285" i="90"/>
  <c r="FW288" i="90"/>
  <c r="FW289" i="90"/>
  <c r="FW290" i="90"/>
  <c r="FW291" i="90"/>
  <c r="FW292" i="90"/>
  <c r="FW293" i="90"/>
  <c r="FW294" i="90"/>
  <c r="FW295" i="90"/>
  <c r="FW296" i="90"/>
  <c r="FW297" i="90"/>
  <c r="FW298" i="90"/>
  <c r="FW299" i="90"/>
  <c r="FW300" i="90"/>
  <c r="FW301" i="90"/>
  <c r="FW302" i="90"/>
  <c r="FW303" i="90"/>
  <c r="FW304" i="90"/>
  <c r="FW287" i="90"/>
  <c r="FW286" i="90"/>
  <c r="FW220" i="90"/>
  <c r="FW305" i="90"/>
  <c r="FW306" i="90"/>
  <c r="FW307" i="90"/>
  <c r="FW308" i="90"/>
  <c r="FW309" i="90"/>
  <c r="FW310" i="90"/>
  <c r="FW311" i="90"/>
  <c r="FW312" i="90"/>
  <c r="FW313" i="90"/>
  <c r="FW314" i="90"/>
  <c r="FW315" i="90"/>
  <c r="FW316" i="90"/>
  <c r="FW317" i="90"/>
  <c r="FW319" i="90"/>
  <c r="FW318" i="90"/>
  <c r="ED448" i="90"/>
  <c r="ED452" i="90"/>
  <c r="FR442" i="90"/>
  <c r="FR440" i="90"/>
  <c r="FR438" i="90"/>
  <c r="FR443" i="90"/>
  <c r="FR441" i="90"/>
  <c r="FR439" i="90"/>
  <c r="FR437" i="90"/>
  <c r="EB221" i="90"/>
  <c r="EB222" i="90"/>
  <c r="EB223" i="90"/>
  <c r="EB224" i="90"/>
  <c r="EB225" i="90"/>
  <c r="EB226" i="90"/>
  <c r="EB228" i="90"/>
  <c r="EB229" i="90"/>
  <c r="EB230" i="90"/>
  <c r="EB231" i="90"/>
  <c r="EB232" i="90"/>
  <c r="EB233" i="90"/>
  <c r="EB234" i="90"/>
  <c r="EB235" i="90"/>
  <c r="EB236" i="90"/>
  <c r="EB237" i="90"/>
  <c r="EB238" i="90"/>
  <c r="EB227" i="90"/>
  <c r="EB240" i="90"/>
  <c r="EB241" i="90"/>
  <c r="EB242" i="90"/>
  <c r="EB243" i="90"/>
  <c r="EB244" i="90"/>
  <c r="EB245" i="90"/>
  <c r="EB246" i="90"/>
  <c r="EB247" i="90"/>
  <c r="EB248" i="90"/>
  <c r="EB239" i="90"/>
  <c r="EB249" i="90"/>
  <c r="EB250" i="90"/>
  <c r="EB251" i="90"/>
  <c r="EB252" i="90"/>
  <c r="EB253" i="90"/>
  <c r="EB254" i="90"/>
  <c r="EB258" i="90"/>
  <c r="EB255" i="90"/>
  <c r="EB256" i="90"/>
  <c r="EB262" i="90"/>
  <c r="EB263" i="90"/>
  <c r="EB264" i="90"/>
  <c r="EB265" i="90"/>
  <c r="EB266" i="90"/>
  <c r="EB267" i="90"/>
  <c r="EB268" i="90"/>
  <c r="EB269" i="90"/>
  <c r="EB270" i="90"/>
  <c r="EB271" i="90"/>
  <c r="EB272" i="90"/>
  <c r="EB259" i="90"/>
  <c r="EB261" i="90"/>
  <c r="EB257" i="90"/>
  <c r="EB260" i="90"/>
  <c r="EB273" i="90"/>
  <c r="EB274" i="90"/>
  <c r="EB275" i="90"/>
  <c r="EB276" i="90"/>
  <c r="EB277" i="90"/>
  <c r="EB278" i="90"/>
  <c r="EB279" i="90"/>
  <c r="EB280" i="90"/>
  <c r="EB281" i="90"/>
  <c r="EB282" i="90"/>
  <c r="EB283" i="90"/>
  <c r="EB284" i="90"/>
  <c r="EB285" i="90"/>
  <c r="EB286" i="90"/>
  <c r="EB287" i="90"/>
  <c r="EB288" i="90"/>
  <c r="EB289" i="90"/>
  <c r="EB290" i="90"/>
  <c r="EB291" i="90"/>
  <c r="EB292" i="90"/>
  <c r="EB293" i="90"/>
  <c r="EB294" i="90"/>
  <c r="EB295" i="90"/>
  <c r="EB296" i="90"/>
  <c r="EB297" i="90"/>
  <c r="EB298" i="90"/>
  <c r="EB299" i="90"/>
  <c r="EB300" i="90"/>
  <c r="EB301" i="90"/>
  <c r="EB302" i="90"/>
  <c r="EB303" i="90"/>
  <c r="EB304" i="90"/>
  <c r="EB306" i="90"/>
  <c r="EB307" i="90"/>
  <c r="EB308" i="90"/>
  <c r="EB309" i="90"/>
  <c r="EB310" i="90"/>
  <c r="EB311" i="90"/>
  <c r="EB312" i="90"/>
  <c r="EB313" i="90"/>
  <c r="EB314" i="90"/>
  <c r="EB315" i="90"/>
  <c r="EB316" i="90"/>
  <c r="EB317" i="90"/>
  <c r="EB318" i="90"/>
  <c r="EB319" i="90"/>
  <c r="EB220" i="90"/>
  <c r="EB305" i="90"/>
  <c r="EM218" i="90"/>
  <c r="EY218" i="90"/>
  <c r="FI221" i="90"/>
  <c r="FI222" i="90"/>
  <c r="FI223" i="90"/>
  <c r="FI224" i="90"/>
  <c r="FI225" i="90"/>
  <c r="FI226" i="90"/>
  <c r="FI227" i="90"/>
  <c r="FI228" i="90"/>
  <c r="FI229" i="90"/>
  <c r="FI230" i="90"/>
  <c r="FI231" i="90"/>
  <c r="FI232" i="90"/>
  <c r="FI233" i="90"/>
  <c r="FI234" i="90"/>
  <c r="FI237" i="90"/>
  <c r="FI240" i="90"/>
  <c r="FI241" i="90"/>
  <c r="FI242" i="90"/>
  <c r="FI243" i="90"/>
  <c r="FI244" i="90"/>
  <c r="FI245" i="90"/>
  <c r="FI246" i="90"/>
  <c r="FI247" i="90"/>
  <c r="FI235" i="90"/>
  <c r="FI236" i="90"/>
  <c r="FI238" i="90"/>
  <c r="FI239" i="90"/>
  <c r="FI249" i="90"/>
  <c r="FI251" i="90"/>
  <c r="FI252" i="90"/>
  <c r="FI253" i="90"/>
  <c r="FI254" i="90"/>
  <c r="FI255" i="90"/>
  <c r="FI256" i="90"/>
  <c r="FI257" i="90"/>
  <c r="FI258" i="90"/>
  <c r="FI259" i="90"/>
  <c r="FI260" i="90"/>
  <c r="FI250" i="90"/>
  <c r="FI248" i="90"/>
  <c r="FI261" i="90"/>
  <c r="FI262" i="90"/>
  <c r="FI263" i="90"/>
  <c r="FI264" i="90"/>
  <c r="FI265" i="90"/>
  <c r="FI266" i="90"/>
  <c r="FI267" i="90"/>
  <c r="FI268" i="90"/>
  <c r="FI274" i="90"/>
  <c r="FI275" i="90"/>
  <c r="FI276" i="90"/>
  <c r="FI277" i="90"/>
  <c r="FI278" i="90"/>
  <c r="FI279" i="90"/>
  <c r="FI280" i="90"/>
  <c r="FI281" i="90"/>
  <c r="FI282" i="90"/>
  <c r="FI283" i="90"/>
  <c r="FI284" i="90"/>
  <c r="FI285" i="90"/>
  <c r="FI286" i="90"/>
  <c r="FI287" i="90"/>
  <c r="FI288" i="90"/>
  <c r="FI271" i="90"/>
  <c r="FI273" i="90"/>
  <c r="FI269" i="90"/>
  <c r="FI270" i="90"/>
  <c r="FI272" i="90"/>
  <c r="FI289" i="90"/>
  <c r="FI290" i="90"/>
  <c r="FI291" i="90"/>
  <c r="FI292" i="90"/>
  <c r="FI293" i="90"/>
  <c r="FI294" i="90"/>
  <c r="FI295" i="90"/>
  <c r="FI296" i="90"/>
  <c r="FI297" i="90"/>
  <c r="FI298" i="90"/>
  <c r="FI299" i="90"/>
  <c r="FI300" i="90"/>
  <c r="FI301" i="90"/>
  <c r="FI302" i="90"/>
  <c r="FI303" i="90"/>
  <c r="FI304" i="90"/>
  <c r="FI317" i="90"/>
  <c r="FI220" i="90"/>
  <c r="FI319" i="90"/>
  <c r="FI305" i="90"/>
  <c r="FI306" i="90"/>
  <c r="FI307" i="90"/>
  <c r="FI308" i="90"/>
  <c r="FI309" i="90"/>
  <c r="FI310" i="90"/>
  <c r="FI311" i="90"/>
  <c r="FI312" i="90"/>
  <c r="FI313" i="90"/>
  <c r="FI314" i="90"/>
  <c r="FI315" i="90"/>
  <c r="FI316" i="90"/>
  <c r="FI318" i="90"/>
  <c r="FN221" i="90"/>
  <c r="FN222" i="90"/>
  <c r="FN223" i="90"/>
  <c r="FN224" i="90"/>
  <c r="FN227" i="90"/>
  <c r="FN228" i="90"/>
  <c r="FN229" i="90"/>
  <c r="FN230" i="90"/>
  <c r="FN231" i="90"/>
  <c r="FN232" i="90"/>
  <c r="FN233" i="90"/>
  <c r="FN234" i="90"/>
  <c r="FN235" i="90"/>
  <c r="FN236" i="90"/>
  <c r="FN225" i="90"/>
  <c r="FN226" i="90"/>
  <c r="FN238" i="90"/>
  <c r="FN240" i="90"/>
  <c r="FN241" i="90"/>
  <c r="FN242" i="90"/>
  <c r="FN243" i="90"/>
  <c r="FN244" i="90"/>
  <c r="FN245" i="90"/>
  <c r="FN246" i="90"/>
  <c r="FN247" i="90"/>
  <c r="FN248" i="90"/>
  <c r="FN249" i="90"/>
  <c r="FN250" i="90"/>
  <c r="FN239" i="90"/>
  <c r="FN237" i="90"/>
  <c r="FN251" i="90"/>
  <c r="FN252" i="90"/>
  <c r="FN253" i="90"/>
  <c r="FN254" i="90"/>
  <c r="FN255" i="90"/>
  <c r="FN256" i="90"/>
  <c r="FN257" i="90"/>
  <c r="FN260" i="90"/>
  <c r="FN261" i="90"/>
  <c r="FN262" i="90"/>
  <c r="FN263" i="90"/>
  <c r="FN264" i="90"/>
  <c r="FN265" i="90"/>
  <c r="FN266" i="90"/>
  <c r="FN267" i="90"/>
  <c r="FN268" i="90"/>
  <c r="FN269" i="90"/>
  <c r="FN270" i="90"/>
  <c r="FN271" i="90"/>
  <c r="FN272" i="90"/>
  <c r="FN273" i="90"/>
  <c r="FN258" i="90"/>
  <c r="FN259" i="90"/>
  <c r="FN274" i="90"/>
  <c r="FN275" i="90"/>
  <c r="FN276" i="90"/>
  <c r="FN277" i="90"/>
  <c r="FN278" i="90"/>
  <c r="FN279" i="90"/>
  <c r="FN280" i="90"/>
  <c r="FN281" i="90"/>
  <c r="FN282" i="90"/>
  <c r="FN283" i="90"/>
  <c r="FN284" i="90"/>
  <c r="FN285" i="90"/>
  <c r="FN286" i="90"/>
  <c r="FN287" i="90"/>
  <c r="FN289" i="90"/>
  <c r="FN290" i="90"/>
  <c r="FN291" i="90"/>
  <c r="FN292" i="90"/>
  <c r="FN293" i="90"/>
  <c r="FN294" i="90"/>
  <c r="FN295" i="90"/>
  <c r="FN296" i="90"/>
  <c r="FN297" i="90"/>
  <c r="FN298" i="90"/>
  <c r="FN299" i="90"/>
  <c r="FN300" i="90"/>
  <c r="FN301" i="90"/>
  <c r="FN302" i="90"/>
  <c r="FN303" i="90"/>
  <c r="FN304" i="90"/>
  <c r="FN288" i="90"/>
  <c r="FN220" i="90"/>
  <c r="FN305" i="90"/>
  <c r="FN306" i="90"/>
  <c r="FN307" i="90"/>
  <c r="FN308" i="90"/>
  <c r="FN309" i="90"/>
  <c r="FN310" i="90"/>
  <c r="FN311" i="90"/>
  <c r="FN312" i="90"/>
  <c r="FN313" i="90"/>
  <c r="FN314" i="90"/>
  <c r="FN315" i="90"/>
  <c r="FN316" i="90"/>
  <c r="FN317" i="90"/>
  <c r="FN318" i="90"/>
  <c r="FN319" i="90"/>
  <c r="FX221" i="90"/>
  <c r="FX222" i="90"/>
  <c r="FX223" i="90"/>
  <c r="FX224" i="90"/>
  <c r="FX227" i="90"/>
  <c r="FX228" i="90"/>
  <c r="FX229" i="90"/>
  <c r="FX230" i="90"/>
  <c r="FX231" i="90"/>
  <c r="FX232" i="90"/>
  <c r="FX233" i="90"/>
  <c r="FX234" i="90"/>
  <c r="FX235" i="90"/>
  <c r="FX236" i="90"/>
  <c r="FX226" i="90"/>
  <c r="FX239" i="90"/>
  <c r="FX240" i="90"/>
  <c r="FX241" i="90"/>
  <c r="FX242" i="90"/>
  <c r="FX243" i="90"/>
  <c r="FX244" i="90"/>
  <c r="FX245" i="90"/>
  <c r="FX246" i="90"/>
  <c r="FX247" i="90"/>
  <c r="FX248" i="90"/>
  <c r="FX249" i="90"/>
  <c r="FX250" i="90"/>
  <c r="FX225" i="90"/>
  <c r="FX238" i="90"/>
  <c r="FX237" i="90"/>
  <c r="FX251" i="90"/>
  <c r="FX252" i="90"/>
  <c r="FX253" i="90"/>
  <c r="FX254" i="90"/>
  <c r="FX255" i="90"/>
  <c r="FX256" i="90"/>
  <c r="FX259" i="90"/>
  <c r="FX261" i="90"/>
  <c r="FX262" i="90"/>
  <c r="FX263" i="90"/>
  <c r="FX264" i="90"/>
  <c r="FX265" i="90"/>
  <c r="FX266" i="90"/>
  <c r="FX267" i="90"/>
  <c r="FX268" i="90"/>
  <c r="FX269" i="90"/>
  <c r="FX270" i="90"/>
  <c r="FX271" i="90"/>
  <c r="FX272" i="90"/>
  <c r="FX273" i="90"/>
  <c r="FX257" i="90"/>
  <c r="FX258" i="90"/>
  <c r="FX260" i="90"/>
  <c r="FX274" i="90"/>
  <c r="FX275" i="90"/>
  <c r="FX276" i="90"/>
  <c r="FX277" i="90"/>
  <c r="FX278" i="90"/>
  <c r="FX279" i="90"/>
  <c r="FX280" i="90"/>
  <c r="FX281" i="90"/>
  <c r="FX282" i="90"/>
  <c r="FX283" i="90"/>
  <c r="FX284" i="90"/>
  <c r="FX285" i="90"/>
  <c r="FX286" i="90"/>
  <c r="FX287" i="90"/>
  <c r="FX288" i="90"/>
  <c r="FX289" i="90"/>
  <c r="FX290" i="90"/>
  <c r="FX291" i="90"/>
  <c r="FX292" i="90"/>
  <c r="FX293" i="90"/>
  <c r="FX294" i="90"/>
  <c r="FX295" i="90"/>
  <c r="FX296" i="90"/>
  <c r="FX297" i="90"/>
  <c r="FX298" i="90"/>
  <c r="FX299" i="90"/>
  <c r="FX300" i="90"/>
  <c r="FX301" i="90"/>
  <c r="FX302" i="90"/>
  <c r="FX303" i="90"/>
  <c r="FX304" i="90"/>
  <c r="FX220" i="90"/>
  <c r="FX305" i="90"/>
  <c r="FX306" i="90"/>
  <c r="FX307" i="90"/>
  <c r="FX308" i="90"/>
  <c r="FX309" i="90"/>
  <c r="FX310" i="90"/>
  <c r="FX311" i="90"/>
  <c r="FX312" i="90"/>
  <c r="FX313" i="90"/>
  <c r="FX314" i="90"/>
  <c r="FX315" i="90"/>
  <c r="FX316" i="90"/>
  <c r="FX317" i="90"/>
  <c r="FX318" i="90"/>
  <c r="FX319" i="90"/>
  <c r="EL443" i="90"/>
  <c r="EL441" i="90"/>
  <c r="EL439" i="90"/>
  <c r="EL437" i="90"/>
  <c r="EL442" i="90"/>
  <c r="EL440" i="90"/>
  <c r="EL438" i="90"/>
  <c r="DW221" i="90"/>
  <c r="DW222" i="90"/>
  <c r="DW223" i="90"/>
  <c r="DW224" i="90"/>
  <c r="DW225" i="90"/>
  <c r="DW226" i="90"/>
  <c r="DW227" i="90"/>
  <c r="DW228" i="90"/>
  <c r="DW229" i="90"/>
  <c r="DW230" i="90"/>
  <c r="DW231" i="90"/>
  <c r="DW232" i="90"/>
  <c r="DW233" i="90"/>
  <c r="DW234" i="90"/>
  <c r="DW235" i="90"/>
  <c r="DW236" i="90"/>
  <c r="DW237" i="90"/>
  <c r="DW238" i="90"/>
  <c r="DW239" i="90"/>
  <c r="DW240" i="90"/>
  <c r="DW241" i="90"/>
  <c r="DW242" i="90"/>
  <c r="DW243" i="90"/>
  <c r="DW244" i="90"/>
  <c r="DW245" i="90"/>
  <c r="DW250" i="90"/>
  <c r="DW248" i="90"/>
  <c r="DW251" i="90"/>
  <c r="DW252" i="90"/>
  <c r="DW253" i="90"/>
  <c r="DW254" i="90"/>
  <c r="DW255" i="90"/>
  <c r="DW256" i="90"/>
  <c r="DW257" i="90"/>
  <c r="DW258" i="90"/>
  <c r="DW259" i="90"/>
  <c r="DW260" i="90"/>
  <c r="DW261" i="90"/>
  <c r="DW246" i="90"/>
  <c r="DW249" i="90"/>
  <c r="DW247" i="90"/>
  <c r="DW262" i="90"/>
  <c r="DW263" i="90"/>
  <c r="DW264" i="90"/>
  <c r="DW265" i="90"/>
  <c r="DW266" i="90"/>
  <c r="DW267" i="90"/>
  <c r="DW268" i="90"/>
  <c r="DW269" i="90"/>
  <c r="DW275" i="90"/>
  <c r="DW276" i="90"/>
  <c r="DW277" i="90"/>
  <c r="DW278" i="90"/>
  <c r="DW279" i="90"/>
  <c r="DW280" i="90"/>
  <c r="DW281" i="90"/>
  <c r="DW282" i="90"/>
  <c r="DW283" i="90"/>
  <c r="DW284" i="90"/>
  <c r="DW285" i="90"/>
  <c r="DW286" i="90"/>
  <c r="DW287" i="90"/>
  <c r="DW288" i="90"/>
  <c r="DW271" i="90"/>
  <c r="DW273" i="90"/>
  <c r="DW274" i="90"/>
  <c r="DW270" i="90"/>
  <c r="DW272" i="90"/>
  <c r="DW289" i="90"/>
  <c r="DW290" i="90"/>
  <c r="DW291" i="90"/>
  <c r="DW292" i="90"/>
  <c r="DW293" i="90"/>
  <c r="DW294" i="90"/>
  <c r="DW295" i="90"/>
  <c r="DW296" i="90"/>
  <c r="DW297" i="90"/>
  <c r="DW298" i="90"/>
  <c r="DW299" i="90"/>
  <c r="DW300" i="90"/>
  <c r="DW301" i="90"/>
  <c r="DW304" i="90"/>
  <c r="DW303" i="90"/>
  <c r="DW305" i="90"/>
  <c r="DW306" i="90"/>
  <c r="DW307" i="90"/>
  <c r="DW308" i="90"/>
  <c r="DW309" i="90"/>
  <c r="DW310" i="90"/>
  <c r="DW311" i="90"/>
  <c r="DW312" i="90"/>
  <c r="DW313" i="90"/>
  <c r="DW314" i="90"/>
  <c r="DW315" i="90"/>
  <c r="DW316" i="90"/>
  <c r="DW317" i="90"/>
  <c r="DW318" i="90"/>
  <c r="DW319" i="90"/>
  <c r="DW220" i="90"/>
  <c r="DW302" i="90"/>
  <c r="EL218" i="90"/>
  <c r="FH218" i="90"/>
  <c r="FS218" i="90"/>
  <c r="GC218" i="90"/>
  <c r="DZ450" i="90"/>
  <c r="EE439" i="90"/>
  <c r="EE441" i="90"/>
  <c r="EE443" i="90"/>
  <c r="EE438" i="90"/>
  <c r="EE440" i="90"/>
  <c r="EE442" i="90"/>
  <c r="EE437" i="90"/>
  <c r="FF443" i="90"/>
  <c r="FF441" i="90"/>
  <c r="FF439" i="90"/>
  <c r="FF437" i="90"/>
  <c r="FF442" i="90"/>
  <c r="FF440" i="90"/>
  <c r="FF438" i="90"/>
  <c r="FH112" i="90"/>
  <c r="FH6" i="90"/>
  <c r="FJ222" i="90"/>
  <c r="FJ224" i="90"/>
  <c r="FJ226" i="90"/>
  <c r="FJ228" i="90"/>
  <c r="FJ230" i="90"/>
  <c r="FJ232" i="90"/>
  <c r="FJ234" i="90"/>
  <c r="FJ236" i="90"/>
  <c r="FJ238" i="90"/>
  <c r="FJ240" i="90"/>
  <c r="FJ242" i="90"/>
  <c r="FJ244" i="90"/>
  <c r="FJ246" i="90"/>
  <c r="FJ248" i="90"/>
  <c r="FJ250" i="90"/>
  <c r="FJ252" i="90"/>
  <c r="FJ254" i="90"/>
  <c r="FJ256" i="90"/>
  <c r="FJ258" i="90"/>
  <c r="FJ260" i="90"/>
  <c r="FJ262" i="90"/>
  <c r="FJ221" i="90"/>
  <c r="FJ223" i="90"/>
  <c r="FJ225" i="90"/>
  <c r="FJ227" i="90"/>
  <c r="FJ229" i="90"/>
  <c r="FJ231" i="90"/>
  <c r="FJ233" i="90"/>
  <c r="FJ235" i="90"/>
  <c r="FJ237" i="90"/>
  <c r="FJ239" i="90"/>
  <c r="FJ241" i="90"/>
  <c r="FJ243" i="90"/>
  <c r="FJ245" i="90"/>
  <c r="FJ247" i="90"/>
  <c r="FJ249" i="90"/>
  <c r="FJ251" i="90"/>
  <c r="FJ253" i="90"/>
  <c r="FJ255" i="90"/>
  <c r="FJ257" i="90"/>
  <c r="FJ259" i="90"/>
  <c r="FJ261" i="90"/>
  <c r="FJ264" i="90"/>
  <c r="FJ266" i="90"/>
  <c r="FJ268" i="90"/>
  <c r="FJ270" i="90"/>
  <c r="FJ272" i="90"/>
  <c r="FJ274" i="90"/>
  <c r="FJ276" i="90"/>
  <c r="FJ278" i="90"/>
  <c r="FJ280" i="90"/>
  <c r="FJ282" i="90"/>
  <c r="FJ284" i="90"/>
  <c r="FJ286" i="90"/>
  <c r="FJ288" i="90"/>
  <c r="FJ290" i="90"/>
  <c r="FJ263" i="90"/>
  <c r="FJ265" i="90"/>
  <c r="FJ267" i="90"/>
  <c r="FJ269" i="90"/>
  <c r="FJ271" i="90"/>
  <c r="FJ273" i="90"/>
  <c r="FJ275" i="90"/>
  <c r="FJ277" i="90"/>
  <c r="FJ279" i="90"/>
  <c r="FJ281" i="90"/>
  <c r="FJ283" i="90"/>
  <c r="FJ285" i="90"/>
  <c r="FJ287" i="90"/>
  <c r="FJ289" i="90"/>
  <c r="FJ291" i="90"/>
  <c r="FJ294" i="90"/>
  <c r="FJ302" i="90"/>
  <c r="FJ310" i="90"/>
  <c r="FJ318" i="90"/>
  <c r="FJ297" i="90"/>
  <c r="FJ305" i="90"/>
  <c r="FJ313" i="90"/>
  <c r="FJ292" i="90"/>
  <c r="FJ300" i="90"/>
  <c r="FJ308" i="90"/>
  <c r="FJ316" i="90"/>
  <c r="FJ319" i="90"/>
  <c r="FJ220" i="90"/>
  <c r="FJ295" i="90"/>
  <c r="FJ303" i="90"/>
  <c r="FJ311" i="90"/>
  <c r="FJ298" i="90"/>
  <c r="FJ306" i="90"/>
  <c r="FJ314" i="90"/>
  <c r="FJ293" i="90"/>
  <c r="FJ301" i="90"/>
  <c r="FJ309" i="90"/>
  <c r="FJ317" i="90"/>
  <c r="FJ296" i="90"/>
  <c r="FJ304" i="90"/>
  <c r="FJ299" i="90"/>
  <c r="FJ307" i="90"/>
  <c r="FJ315" i="90"/>
  <c r="FJ312" i="90"/>
  <c r="EU222" i="90"/>
  <c r="EU224" i="90"/>
  <c r="EU226" i="90"/>
  <c r="EU228" i="90"/>
  <c r="EU230" i="90"/>
  <c r="EU232" i="90"/>
  <c r="EU234" i="90"/>
  <c r="EU236" i="90"/>
  <c r="EU238" i="90"/>
  <c r="EU240" i="90"/>
  <c r="EU242" i="90"/>
  <c r="EU244" i="90"/>
  <c r="EU246" i="90"/>
  <c r="EU248" i="90"/>
  <c r="EU250" i="90"/>
  <c r="EU252" i="90"/>
  <c r="EU254" i="90"/>
  <c r="EU256" i="90"/>
  <c r="EU258" i="90"/>
  <c r="EU260" i="90"/>
  <c r="EU262" i="90"/>
  <c r="EU221" i="90"/>
  <c r="EU223" i="90"/>
  <c r="EU225" i="90"/>
  <c r="EU227" i="90"/>
  <c r="EU229" i="90"/>
  <c r="EU231" i="90"/>
  <c r="EU233" i="90"/>
  <c r="EU235" i="90"/>
  <c r="EU237" i="90"/>
  <c r="EU239" i="90"/>
  <c r="EU241" i="90"/>
  <c r="EU243" i="90"/>
  <c r="EU245" i="90"/>
  <c r="EU247" i="90"/>
  <c r="EU249" i="90"/>
  <c r="EU251" i="90"/>
  <c r="EU253" i="90"/>
  <c r="EU255" i="90"/>
  <c r="EU257" i="90"/>
  <c r="EU259" i="90"/>
  <c r="EU261" i="90"/>
  <c r="EU264" i="90"/>
  <c r="EU266" i="90"/>
  <c r="EU268" i="90"/>
  <c r="EU270" i="90"/>
  <c r="EU272" i="90"/>
  <c r="EU274" i="90"/>
  <c r="EU276" i="90"/>
  <c r="EU278" i="90"/>
  <c r="EU280" i="90"/>
  <c r="EU282" i="90"/>
  <c r="EU284" i="90"/>
  <c r="EU286" i="90"/>
  <c r="EU288" i="90"/>
  <c r="EU290" i="90"/>
  <c r="EU292" i="90"/>
  <c r="EU294" i="90"/>
  <c r="EU296" i="90"/>
  <c r="EU298" i="90"/>
  <c r="EU300" i="90"/>
  <c r="EU302" i="90"/>
  <c r="EU304" i="90"/>
  <c r="EU306" i="90"/>
  <c r="EU308" i="90"/>
  <c r="EU310" i="90"/>
  <c r="EU312" i="90"/>
  <c r="EU314" i="90"/>
  <c r="EU316" i="90"/>
  <c r="EU318" i="90"/>
  <c r="EU263" i="90"/>
  <c r="EU265" i="90"/>
  <c r="EU267" i="90"/>
  <c r="EU269" i="90"/>
  <c r="EU271" i="90"/>
  <c r="EU273" i="90"/>
  <c r="EU275" i="90"/>
  <c r="EU277" i="90"/>
  <c r="EU279" i="90"/>
  <c r="EU281" i="90"/>
  <c r="EU283" i="90"/>
  <c r="EU285" i="90"/>
  <c r="EU287" i="90"/>
  <c r="EU289" i="90"/>
  <c r="EU291" i="90"/>
  <c r="EU293" i="90"/>
  <c r="EU295" i="90"/>
  <c r="EU297" i="90"/>
  <c r="EU299" i="90"/>
  <c r="EU301" i="90"/>
  <c r="EU303" i="90"/>
  <c r="EU305" i="90"/>
  <c r="EU307" i="90"/>
  <c r="EU309" i="90"/>
  <c r="EU311" i="90"/>
  <c r="EU313" i="90"/>
  <c r="EU315" i="90"/>
  <c r="EU317" i="90"/>
  <c r="EU319" i="90"/>
  <c r="EU220" i="90"/>
  <c r="EF222" i="90"/>
  <c r="EF224" i="90"/>
  <c r="EF226" i="90"/>
  <c r="EF228" i="90"/>
  <c r="EF230" i="90"/>
  <c r="EF232" i="90"/>
  <c r="EF234" i="90"/>
  <c r="EF236" i="90"/>
  <c r="EF238" i="90"/>
  <c r="EF240" i="90"/>
  <c r="EF242" i="90"/>
  <c r="EF244" i="90"/>
  <c r="EF246" i="90"/>
  <c r="EF248" i="90"/>
  <c r="EF250" i="90"/>
  <c r="EF252" i="90"/>
  <c r="EF254" i="90"/>
  <c r="EF256" i="90"/>
  <c r="EF258" i="90"/>
  <c r="EF260" i="90"/>
  <c r="EF262" i="90"/>
  <c r="EF221" i="90"/>
  <c r="EF223" i="90"/>
  <c r="EF225" i="90"/>
  <c r="EF227" i="90"/>
  <c r="EF229" i="90"/>
  <c r="EF231" i="90"/>
  <c r="EF233" i="90"/>
  <c r="EF235" i="90"/>
  <c r="EF237" i="90"/>
  <c r="EF239" i="90"/>
  <c r="EF241" i="90"/>
  <c r="EF243" i="90"/>
  <c r="EF245" i="90"/>
  <c r="EF247" i="90"/>
  <c r="EF249" i="90"/>
  <c r="EF251" i="90"/>
  <c r="EF253" i="90"/>
  <c r="EF255" i="90"/>
  <c r="EF257" i="90"/>
  <c r="EF259" i="90"/>
  <c r="EF261" i="90"/>
  <c r="EF264" i="90"/>
  <c r="EF266" i="90"/>
  <c r="EF268" i="90"/>
  <c r="EF270" i="90"/>
  <c r="EF272" i="90"/>
  <c r="EF274" i="90"/>
  <c r="EF276" i="90"/>
  <c r="EF278" i="90"/>
  <c r="EF280" i="90"/>
  <c r="EF282" i="90"/>
  <c r="EF284" i="90"/>
  <c r="EF286" i="90"/>
  <c r="EF288" i="90"/>
  <c r="EF290" i="90"/>
  <c r="EF292" i="90"/>
  <c r="EF294" i="90"/>
  <c r="EF296" i="90"/>
  <c r="EF298" i="90"/>
  <c r="EF300" i="90"/>
  <c r="EF302" i="90"/>
  <c r="EF304" i="90"/>
  <c r="EF306" i="90"/>
  <c r="EF308" i="90"/>
  <c r="EF310" i="90"/>
  <c r="EF312" i="90"/>
  <c r="EF314" i="90"/>
  <c r="EF316" i="90"/>
  <c r="EF318" i="90"/>
  <c r="EF263" i="90"/>
  <c r="EF265" i="90"/>
  <c r="EF267" i="90"/>
  <c r="EF269" i="90"/>
  <c r="EF271" i="90"/>
  <c r="EF273" i="90"/>
  <c r="EF275" i="90"/>
  <c r="EF277" i="90"/>
  <c r="EF279" i="90"/>
  <c r="EF281" i="90"/>
  <c r="EF283" i="90"/>
  <c r="EF285" i="90"/>
  <c r="EF287" i="90"/>
  <c r="EF289" i="90"/>
  <c r="EF291" i="90"/>
  <c r="EF293" i="90"/>
  <c r="EF295" i="90"/>
  <c r="EF297" i="90"/>
  <c r="EF299" i="90"/>
  <c r="EF301" i="90"/>
  <c r="EF303" i="90"/>
  <c r="EF305" i="90"/>
  <c r="EF307" i="90"/>
  <c r="EF309" i="90"/>
  <c r="EF311" i="90"/>
  <c r="EF313" i="90"/>
  <c r="EF315" i="90"/>
  <c r="EF317" i="90"/>
  <c r="EF319" i="90"/>
  <c r="EF220" i="90"/>
  <c r="FT222" i="90"/>
  <c r="FT224" i="90"/>
  <c r="FT226" i="90"/>
  <c r="FT228" i="90"/>
  <c r="FT230" i="90"/>
  <c r="FT232" i="90"/>
  <c r="FT234" i="90"/>
  <c r="FT236" i="90"/>
  <c r="FT238" i="90"/>
  <c r="FT240" i="90"/>
  <c r="FT242" i="90"/>
  <c r="FT244" i="90"/>
  <c r="FT246" i="90"/>
  <c r="FT248" i="90"/>
  <c r="FT250" i="90"/>
  <c r="FT252" i="90"/>
  <c r="FT254" i="90"/>
  <c r="FT256" i="90"/>
  <c r="FT258" i="90"/>
  <c r="FT260" i="90"/>
  <c r="FT221" i="90"/>
  <c r="FT223" i="90"/>
  <c r="FT225" i="90"/>
  <c r="FT227" i="90"/>
  <c r="FT229" i="90"/>
  <c r="FT231" i="90"/>
  <c r="FT233" i="90"/>
  <c r="FT235" i="90"/>
  <c r="FT237" i="90"/>
  <c r="FT239" i="90"/>
  <c r="FT241" i="90"/>
  <c r="FT243" i="90"/>
  <c r="FT245" i="90"/>
  <c r="FT247" i="90"/>
  <c r="FT249" i="90"/>
  <c r="FT251" i="90"/>
  <c r="FT253" i="90"/>
  <c r="FT255" i="90"/>
  <c r="FT257" i="90"/>
  <c r="FT259" i="90"/>
  <c r="FT261" i="90"/>
  <c r="FT262" i="90"/>
  <c r="FT264" i="90"/>
  <c r="FT266" i="90"/>
  <c r="FT268" i="90"/>
  <c r="FT270" i="90"/>
  <c r="FT272" i="90"/>
  <c r="FT274" i="90"/>
  <c r="FT276" i="90"/>
  <c r="FT278" i="90"/>
  <c r="FT280" i="90"/>
  <c r="FT282" i="90"/>
  <c r="FT284" i="90"/>
  <c r="FT286" i="90"/>
  <c r="FT288" i="90"/>
  <c r="FT290" i="90"/>
  <c r="FT292" i="90"/>
  <c r="FT294" i="90"/>
  <c r="FT296" i="90"/>
  <c r="FT298" i="90"/>
  <c r="FT300" i="90"/>
  <c r="FT302" i="90"/>
  <c r="FT304" i="90"/>
  <c r="FT306" i="90"/>
  <c r="FT308" i="90"/>
  <c r="FT310" i="90"/>
  <c r="FT312" i="90"/>
  <c r="FT314" i="90"/>
  <c r="FT316" i="90"/>
  <c r="FT318" i="90"/>
  <c r="FT263" i="90"/>
  <c r="FT265" i="90"/>
  <c r="FT267" i="90"/>
  <c r="FT269" i="90"/>
  <c r="FT271" i="90"/>
  <c r="FT273" i="90"/>
  <c r="FT275" i="90"/>
  <c r="FT277" i="90"/>
  <c r="FT279" i="90"/>
  <c r="FT281" i="90"/>
  <c r="FT283" i="90"/>
  <c r="FT285" i="90"/>
  <c r="FT287" i="90"/>
  <c r="FT289" i="90"/>
  <c r="FT291" i="90"/>
  <c r="FT293" i="90"/>
  <c r="FT295" i="90"/>
  <c r="FT297" i="90"/>
  <c r="FT299" i="90"/>
  <c r="FT301" i="90"/>
  <c r="FT303" i="90"/>
  <c r="FT305" i="90"/>
  <c r="FT307" i="90"/>
  <c r="FT309" i="90"/>
  <c r="FT311" i="90"/>
  <c r="FT313" i="90"/>
  <c r="FT315" i="90"/>
  <c r="FT317" i="90"/>
  <c r="FT220" i="90"/>
  <c r="FT319" i="90"/>
  <c r="EP221" i="90"/>
  <c r="EP223" i="90"/>
  <c r="EP225" i="90"/>
  <c r="EP227" i="90"/>
  <c r="EP229" i="90"/>
  <c r="EP231" i="90"/>
  <c r="EP233" i="90"/>
  <c r="EP235" i="90"/>
  <c r="EP237" i="90"/>
  <c r="EP239" i="90"/>
  <c r="EP241" i="90"/>
  <c r="EP243" i="90"/>
  <c r="EP245" i="90"/>
  <c r="EP247" i="90"/>
  <c r="EP249" i="90"/>
  <c r="EP251" i="90"/>
  <c r="EP253" i="90"/>
  <c r="EP255" i="90"/>
  <c r="EP257" i="90"/>
  <c r="EP259" i="90"/>
  <c r="EP261" i="90"/>
  <c r="EP222" i="90"/>
  <c r="EP224" i="90"/>
  <c r="EP226" i="90"/>
  <c r="EP228" i="90"/>
  <c r="EP230" i="90"/>
  <c r="EP232" i="90"/>
  <c r="EP234" i="90"/>
  <c r="EP236" i="90"/>
  <c r="EP238" i="90"/>
  <c r="EP240" i="90"/>
  <c r="EP242" i="90"/>
  <c r="EP244" i="90"/>
  <c r="EP246" i="90"/>
  <c r="EP248" i="90"/>
  <c r="EP250" i="90"/>
  <c r="EP252" i="90"/>
  <c r="EP254" i="90"/>
  <c r="EP256" i="90"/>
  <c r="EP258" i="90"/>
  <c r="EP260" i="90"/>
  <c r="EP262" i="90"/>
  <c r="EP263" i="90"/>
  <c r="EP265" i="90"/>
  <c r="EP267" i="90"/>
  <c r="EP269" i="90"/>
  <c r="EP271" i="90"/>
  <c r="EP273" i="90"/>
  <c r="EP275" i="90"/>
  <c r="EP277" i="90"/>
  <c r="EP279" i="90"/>
  <c r="EP281" i="90"/>
  <c r="EP283" i="90"/>
  <c r="EP285" i="90"/>
  <c r="EP287" i="90"/>
  <c r="EP289" i="90"/>
  <c r="EP291" i="90"/>
  <c r="EP264" i="90"/>
  <c r="EP266" i="90"/>
  <c r="EP268" i="90"/>
  <c r="EP270" i="90"/>
  <c r="EP272" i="90"/>
  <c r="EP274" i="90"/>
  <c r="EP276" i="90"/>
  <c r="EP278" i="90"/>
  <c r="EP280" i="90"/>
  <c r="EP282" i="90"/>
  <c r="EP284" i="90"/>
  <c r="EP286" i="90"/>
  <c r="EP288" i="90"/>
  <c r="EP290" i="90"/>
  <c r="EP292" i="90"/>
  <c r="EP297" i="90"/>
  <c r="EP305" i="90"/>
  <c r="EP313" i="90"/>
  <c r="EP319" i="90"/>
  <c r="EP300" i="90"/>
  <c r="EP308" i="90"/>
  <c r="EP316" i="90"/>
  <c r="EP295" i="90"/>
  <c r="EP303" i="90"/>
  <c r="EP311" i="90"/>
  <c r="EP298" i="90"/>
  <c r="EP306" i="90"/>
  <c r="EP314" i="90"/>
  <c r="EP293" i="90"/>
  <c r="EP301" i="90"/>
  <c r="EP309" i="90"/>
  <c r="EP317" i="90"/>
  <c r="EP296" i="90"/>
  <c r="EP304" i="90"/>
  <c r="EP312" i="90"/>
  <c r="EP220" i="90"/>
  <c r="EP315" i="90"/>
  <c r="EP299" i="90"/>
  <c r="EP307" i="90"/>
  <c r="EP294" i="90"/>
  <c r="EP302" i="90"/>
  <c r="EP310" i="90"/>
  <c r="EP318" i="90"/>
  <c r="EA218" i="90"/>
  <c r="FO218" i="90"/>
  <c r="FY218" i="90"/>
  <c r="EK218" i="90"/>
  <c r="EU439" i="90"/>
  <c r="EU442" i="90"/>
  <c r="EU437" i="90"/>
  <c r="EU440" i="90"/>
  <c r="EU443" i="90"/>
  <c r="EA453" i="90" s="1"/>
  <c r="EU438" i="90"/>
  <c r="EU441" i="90"/>
  <c r="FY439" i="90"/>
  <c r="FY442" i="90"/>
  <c r="FY437" i="90"/>
  <c r="FY440" i="90"/>
  <c r="FY443" i="90"/>
  <c r="FY438" i="90"/>
  <c r="FY441" i="90"/>
  <c r="EK443" i="90"/>
  <c r="EK438" i="90"/>
  <c r="EK441" i="90"/>
  <c r="EK439" i="90"/>
  <c r="EK442" i="90"/>
  <c r="EK437" i="90"/>
  <c r="EK440" i="90"/>
  <c r="FO438" i="90"/>
  <c r="FO441" i="90"/>
  <c r="FO439" i="90"/>
  <c r="FO442" i="90"/>
  <c r="FO437" i="90"/>
  <c r="FO440" i="90"/>
  <c r="FO443" i="90"/>
  <c r="FE112" i="90"/>
  <c r="FE6" i="90"/>
  <c r="CE90" i="4"/>
  <c r="CE24" i="4"/>
  <c r="CE79" i="4"/>
  <c r="CE46" i="4"/>
  <c r="CE57" i="4"/>
  <c r="CE101" i="4"/>
  <c r="CE68" i="4"/>
  <c r="CE35" i="4"/>
  <c r="DM438" i="90"/>
  <c r="DM446" i="90" s="1"/>
  <c r="DL438" i="90"/>
  <c r="DL443" i="90" s="1"/>
  <c r="DK438" i="90"/>
  <c r="DJ438" i="90"/>
  <c r="DJ444" i="90" s="1"/>
  <c r="DI438" i="90"/>
  <c r="DI446" i="90" s="1"/>
  <c r="DC438" i="90"/>
  <c r="DH438" i="90" s="1"/>
  <c r="DB438" i="90"/>
  <c r="DB446" i="90" s="1"/>
  <c r="DA438" i="90"/>
  <c r="DA444" i="90" s="1"/>
  <c r="CZ438" i="90"/>
  <c r="CZ443" i="90" s="1"/>
  <c r="CY438" i="90"/>
  <c r="CS438" i="90"/>
  <c r="CS444" i="90" s="1"/>
  <c r="CR438" i="90"/>
  <c r="CQ438" i="90"/>
  <c r="CQ444" i="90" s="1"/>
  <c r="CP438" i="90"/>
  <c r="CP446" i="90" s="1"/>
  <c r="CO438" i="90"/>
  <c r="CI438" i="90"/>
  <c r="CN438" i="90" s="1"/>
  <c r="CH438" i="90"/>
  <c r="CM438" i="90" s="1"/>
  <c r="CG438" i="90"/>
  <c r="CF438" i="90"/>
  <c r="CF445" i="90" s="1"/>
  <c r="CE438" i="90"/>
  <c r="CE444" i="90" s="1"/>
  <c r="BY438" i="90"/>
  <c r="BY442" i="90" s="1"/>
  <c r="BX438" i="90"/>
  <c r="BX443" i="90" s="1"/>
  <c r="BW438" i="90"/>
  <c r="CB438" i="90" s="1"/>
  <c r="BV438" i="90"/>
  <c r="BU438" i="90"/>
  <c r="BU440" i="90" s="1"/>
  <c r="BO438" i="90"/>
  <c r="BO440" i="90" s="1"/>
  <c r="BN438" i="90"/>
  <c r="BN441" i="90" s="1"/>
  <c r="BM438" i="90"/>
  <c r="BL438" i="90"/>
  <c r="BL446" i="90" s="1"/>
  <c r="BK438" i="90"/>
  <c r="BK442" i="90" s="1"/>
  <c r="EG453" i="90" l="1"/>
  <c r="EG448" i="90"/>
  <c r="EA449" i="90"/>
  <c r="EE449" i="90"/>
  <c r="DY448" i="90"/>
  <c r="EA447" i="90"/>
  <c r="DX416" i="90"/>
  <c r="DX328" i="90"/>
  <c r="DX414" i="90"/>
  <c r="DX366" i="90"/>
  <c r="DZ353" i="90"/>
  <c r="DX401" i="90"/>
  <c r="DZ361" i="90"/>
  <c r="DX393" i="90"/>
  <c r="DZ393" i="90"/>
  <c r="DZ390" i="90"/>
  <c r="DZ341" i="90"/>
  <c r="DX356" i="90"/>
  <c r="DZ377" i="90"/>
  <c r="EA452" i="90"/>
  <c r="EE452" i="90"/>
  <c r="EG451" i="90"/>
  <c r="DX400" i="90"/>
  <c r="DZ376" i="90"/>
  <c r="DZ395" i="90"/>
  <c r="DZ336" i="90"/>
  <c r="DX353" i="90"/>
  <c r="DZ372" i="90"/>
  <c r="DZ325" i="90"/>
  <c r="DX396" i="90"/>
  <c r="DX421" i="90"/>
  <c r="DX389" i="90"/>
  <c r="DX351" i="90"/>
  <c r="DX331" i="90"/>
  <c r="DX413" i="90"/>
  <c r="DZ392" i="90"/>
  <c r="DZ329" i="90"/>
  <c r="DX355" i="90"/>
  <c r="EE451" i="90"/>
  <c r="EA450" i="90"/>
  <c r="EE453" i="90"/>
  <c r="EE450" i="90"/>
  <c r="EA448" i="90"/>
  <c r="DZ398" i="90"/>
  <c r="DX368" i="90"/>
  <c r="DX344" i="90"/>
  <c r="DX339" i="90"/>
  <c r="ED377" i="90"/>
  <c r="DX329" i="90"/>
  <c r="DZ337" i="90"/>
  <c r="DZ375" i="90"/>
  <c r="DZ350" i="90"/>
  <c r="DX412" i="90"/>
  <c r="DX324" i="90"/>
  <c r="DZ417" i="90"/>
  <c r="DZ403" i="90"/>
  <c r="DZ386" i="90"/>
  <c r="DZ355" i="90"/>
  <c r="DZ364" i="90"/>
  <c r="DZ348" i="90"/>
  <c r="DX410" i="90"/>
  <c r="DX394" i="90"/>
  <c r="DX378" i="90"/>
  <c r="DX403" i="90"/>
  <c r="DX371" i="90"/>
  <c r="DX338" i="90"/>
  <c r="DX365" i="90"/>
  <c r="DX349" i="90"/>
  <c r="DZ357" i="90"/>
  <c r="DX405" i="90"/>
  <c r="DZ409" i="90"/>
  <c r="DX375" i="90"/>
  <c r="DZ415" i="90"/>
  <c r="DX376" i="90"/>
  <c r="DX363" i="90"/>
  <c r="DZ413" i="90"/>
  <c r="DZ407" i="90"/>
  <c r="DZ401" i="90"/>
  <c r="DZ416" i="90"/>
  <c r="DZ385" i="90"/>
  <c r="DZ369" i="90"/>
  <c r="DZ382" i="90"/>
  <c r="DZ335" i="90"/>
  <c r="DZ344" i="90"/>
  <c r="DZ328" i="90"/>
  <c r="DX422" i="90"/>
  <c r="DX406" i="90"/>
  <c r="DX350" i="90"/>
  <c r="DX334" i="90"/>
  <c r="DX361" i="90"/>
  <c r="ED418" i="90"/>
  <c r="ED367" i="90"/>
  <c r="DX342" i="90"/>
  <c r="ED342" i="90"/>
  <c r="DZ418" i="90"/>
  <c r="DZ391" i="90"/>
  <c r="DZ334" i="90"/>
  <c r="DX380" i="90"/>
  <c r="DZ421" i="90"/>
  <c r="DZ384" i="90"/>
  <c r="DX392" i="90"/>
  <c r="DX385" i="90"/>
  <c r="DZ408" i="90"/>
  <c r="DZ367" i="90"/>
  <c r="DZ358" i="90"/>
  <c r="DZ342" i="90"/>
  <c r="DZ326" i="90"/>
  <c r="DX420" i="90"/>
  <c r="DX404" i="90"/>
  <c r="DX388" i="90"/>
  <c r="DX381" i="90"/>
  <c r="DX332" i="90"/>
  <c r="ED410" i="90"/>
  <c r="DX358" i="90"/>
  <c r="DX337" i="90"/>
  <c r="ED375" i="90"/>
  <c r="DZ411" i="90"/>
  <c r="DZ388" i="90"/>
  <c r="DX373" i="90"/>
  <c r="DX340" i="90"/>
  <c r="DX335" i="90"/>
  <c r="DZ371" i="90"/>
  <c r="DX352" i="90"/>
  <c r="DZ406" i="90"/>
  <c r="DZ400" i="90"/>
  <c r="DZ381" i="90"/>
  <c r="DZ378" i="90"/>
  <c r="DZ363" i="90"/>
  <c r="DX418" i="90"/>
  <c r="DX402" i="90"/>
  <c r="DX386" i="90"/>
  <c r="DX370" i="90"/>
  <c r="DX395" i="90"/>
  <c r="DX330" i="90"/>
  <c r="DX325" i="90"/>
  <c r="ED398" i="90"/>
  <c r="ED390" i="90"/>
  <c r="ED387" i="90"/>
  <c r="ED338" i="90"/>
  <c r="ED349" i="90"/>
  <c r="ED333" i="90"/>
  <c r="ED372" i="90"/>
  <c r="EG452" i="90"/>
  <c r="DZ340" i="90"/>
  <c r="ED328" i="90"/>
  <c r="ED355" i="90"/>
  <c r="ED389" i="90"/>
  <c r="ED356" i="90"/>
  <c r="ED384" i="90"/>
  <c r="ED379" i="90"/>
  <c r="ED362" i="90"/>
  <c r="ED330" i="90"/>
  <c r="ED401" i="90"/>
  <c r="ED393" i="90"/>
  <c r="ED360" i="90"/>
  <c r="EE448" i="90"/>
  <c r="DZ323" i="90"/>
  <c r="DZ373" i="90"/>
  <c r="DZ370" i="90"/>
  <c r="DZ339" i="90"/>
  <c r="DZ332" i="90"/>
  <c r="DX419" i="90"/>
  <c r="DX387" i="90"/>
  <c r="DX354" i="90"/>
  <c r="DX333" i="90"/>
  <c r="ED412" i="90"/>
  <c r="ED374" i="90"/>
  <c r="DZ422" i="90"/>
  <c r="DZ362" i="90"/>
  <c r="DZ346" i="90"/>
  <c r="DZ330" i="90"/>
  <c r="DX323" i="90"/>
  <c r="DX408" i="90"/>
  <c r="DX417" i="90"/>
  <c r="DX369" i="90"/>
  <c r="DX336" i="90"/>
  <c r="DX347" i="90"/>
  <c r="DX367" i="90"/>
  <c r="DX399" i="90"/>
  <c r="DY449" i="90"/>
  <c r="EG447" i="90"/>
  <c r="DZ405" i="90"/>
  <c r="DZ399" i="90"/>
  <c r="DZ414" i="90"/>
  <c r="DZ383" i="90"/>
  <c r="DZ380" i="90"/>
  <c r="DZ365" i="90"/>
  <c r="DZ349" i="90"/>
  <c r="DX372" i="90"/>
  <c r="DX397" i="90"/>
  <c r="DX364" i="90"/>
  <c r="DX348" i="90"/>
  <c r="DX359" i="90"/>
  <c r="DX343" i="90"/>
  <c r="DX327" i="90"/>
  <c r="DZ360" i="90"/>
  <c r="DX415" i="90"/>
  <c r="DX345" i="90"/>
  <c r="DY451" i="90"/>
  <c r="DZ397" i="90"/>
  <c r="DZ420" i="90"/>
  <c r="DZ394" i="90"/>
  <c r="DZ347" i="90"/>
  <c r="DZ331" i="90"/>
  <c r="DX411" i="90"/>
  <c r="DX379" i="90"/>
  <c r="DX362" i="90"/>
  <c r="DX346" i="90"/>
  <c r="DX357" i="90"/>
  <c r="DX341" i="90"/>
  <c r="ED341" i="90"/>
  <c r="DX390" i="90"/>
  <c r="DZ410" i="90"/>
  <c r="DZ412" i="90"/>
  <c r="DZ379" i="90"/>
  <c r="DZ345" i="90"/>
  <c r="DZ354" i="90"/>
  <c r="DZ338" i="90"/>
  <c r="DX384" i="90"/>
  <c r="DX409" i="90"/>
  <c r="DX377" i="90"/>
  <c r="DX360" i="90"/>
  <c r="ED403" i="90"/>
  <c r="ED380" i="90"/>
  <c r="DZ366" i="90"/>
  <c r="DX374" i="90"/>
  <c r="DX383" i="90"/>
  <c r="EG449" i="90"/>
  <c r="DY453" i="90"/>
  <c r="DZ402" i="90"/>
  <c r="DZ419" i="90"/>
  <c r="DZ359" i="90"/>
  <c r="DZ327" i="90"/>
  <c r="DZ352" i="90"/>
  <c r="DX398" i="90"/>
  <c r="DX382" i="90"/>
  <c r="DX407" i="90"/>
  <c r="DX391" i="90"/>
  <c r="DX326" i="90"/>
  <c r="DY447" i="90"/>
  <c r="DZ387" i="90"/>
  <c r="ED400" i="90"/>
  <c r="ED369" i="90"/>
  <c r="ED336" i="90"/>
  <c r="ED396" i="90"/>
  <c r="ED421" i="90"/>
  <c r="ED370" i="90"/>
  <c r="ED413" i="90"/>
  <c r="ED343" i="90"/>
  <c r="ED409" i="90"/>
  <c r="ED405" i="90"/>
  <c r="ED382" i="90"/>
  <c r="ED366" i="90"/>
  <c r="ED346" i="90"/>
  <c r="ED357" i="90"/>
  <c r="ED325" i="90"/>
  <c r="ED407" i="90"/>
  <c r="ED397" i="90"/>
  <c r="ED344" i="90"/>
  <c r="ED339" i="90"/>
  <c r="DZ374" i="90"/>
  <c r="ED326" i="90"/>
  <c r="ED353" i="90"/>
  <c r="ED337" i="90"/>
  <c r="EA451" i="90"/>
  <c r="DZ404" i="90"/>
  <c r="DZ343" i="90"/>
  <c r="ED399" i="90"/>
  <c r="ED414" i="90"/>
  <c r="ED395" i="90"/>
  <c r="ED394" i="90"/>
  <c r="ED378" i="90"/>
  <c r="ED391" i="90"/>
  <c r="ED358" i="90"/>
  <c r="DZ396" i="90"/>
  <c r="ED420" i="90"/>
  <c r="ED406" i="90"/>
  <c r="ED416" i="90"/>
  <c r="ED392" i="90"/>
  <c r="ED376" i="90"/>
  <c r="ED373" i="90"/>
  <c r="ED340" i="90"/>
  <c r="ED324" i="90"/>
  <c r="ED351" i="90"/>
  <c r="ED335" i="90"/>
  <c r="DY450" i="90"/>
  <c r="DZ389" i="90"/>
  <c r="ED408" i="90"/>
  <c r="ED371" i="90"/>
  <c r="ED354" i="90"/>
  <c r="ED365" i="90"/>
  <c r="ED404" i="90"/>
  <c r="ED363" i="90"/>
  <c r="ED323" i="90"/>
  <c r="ED388" i="90"/>
  <c r="ED331" i="90"/>
  <c r="DY452" i="90"/>
  <c r="EG450" i="90"/>
  <c r="DZ351" i="90"/>
  <c r="ED422" i="90"/>
  <c r="ED386" i="90"/>
  <c r="ED383" i="90"/>
  <c r="ED350" i="90"/>
  <c r="ED334" i="90"/>
  <c r="ED361" i="90"/>
  <c r="ED345" i="90"/>
  <c r="ED329" i="90"/>
  <c r="DZ368" i="90"/>
  <c r="ED415" i="90"/>
  <c r="ED385" i="90"/>
  <c r="ED352" i="90"/>
  <c r="ED347" i="90"/>
  <c r="DZ333" i="90"/>
  <c r="ED417" i="90"/>
  <c r="ED419" i="90"/>
  <c r="ED368" i="90"/>
  <c r="ED381" i="90"/>
  <c r="ED364" i="90"/>
  <c r="ED348" i="90"/>
  <c r="ED332" i="90"/>
  <c r="ED359" i="90"/>
  <c r="ED327" i="90"/>
  <c r="EE447" i="90"/>
  <c r="DZ356" i="90"/>
  <c r="DZ324" i="90"/>
  <c r="ED402" i="90"/>
  <c r="ED411" i="90"/>
  <c r="EN221" i="90"/>
  <c r="EN222" i="90"/>
  <c r="EN223" i="90"/>
  <c r="EN224" i="90"/>
  <c r="EN225" i="90"/>
  <c r="EN228" i="90"/>
  <c r="EN229" i="90"/>
  <c r="EN230" i="90"/>
  <c r="EN231" i="90"/>
  <c r="EN232" i="90"/>
  <c r="EN233" i="90"/>
  <c r="EN227" i="90"/>
  <c r="EN226" i="90"/>
  <c r="EN238" i="90"/>
  <c r="EN240" i="90"/>
  <c r="EN241" i="90"/>
  <c r="EN242" i="90"/>
  <c r="EN243" i="90"/>
  <c r="EN244" i="90"/>
  <c r="EN245" i="90"/>
  <c r="EN246" i="90"/>
  <c r="EN247" i="90"/>
  <c r="EN234" i="90"/>
  <c r="EN236" i="90"/>
  <c r="EN237" i="90"/>
  <c r="EN235" i="90"/>
  <c r="EN239" i="90"/>
  <c r="EN251" i="90"/>
  <c r="EN252" i="90"/>
  <c r="EN253" i="90"/>
  <c r="EN254" i="90"/>
  <c r="EN255" i="90"/>
  <c r="EN256" i="90"/>
  <c r="EN257" i="90"/>
  <c r="EN258" i="90"/>
  <c r="EN259" i="90"/>
  <c r="EN260" i="90"/>
  <c r="EN261" i="90"/>
  <c r="EN248" i="90"/>
  <c r="EN249" i="90"/>
  <c r="EN250" i="90"/>
  <c r="EN262" i="90"/>
  <c r="EN263" i="90"/>
  <c r="EN264" i="90"/>
  <c r="EN265" i="90"/>
  <c r="EN266" i="90"/>
  <c r="EN267" i="90"/>
  <c r="EN268" i="90"/>
  <c r="EN269" i="90"/>
  <c r="EN270" i="90"/>
  <c r="EN271" i="90"/>
  <c r="EN272" i="90"/>
  <c r="EN273" i="90"/>
  <c r="EN274" i="90"/>
  <c r="EN275" i="90"/>
  <c r="EN276" i="90"/>
  <c r="EN277" i="90"/>
  <c r="EN278" i="90"/>
  <c r="EN279" i="90"/>
  <c r="EN280" i="90"/>
  <c r="EN281" i="90"/>
  <c r="EN282" i="90"/>
  <c r="EN283" i="90"/>
  <c r="EN284" i="90"/>
  <c r="EN285" i="90"/>
  <c r="EN287" i="90"/>
  <c r="EN288" i="90"/>
  <c r="EN289" i="90"/>
  <c r="EN290" i="90"/>
  <c r="EN291" i="90"/>
  <c r="EN292" i="90"/>
  <c r="EN293" i="90"/>
  <c r="EN294" i="90"/>
  <c r="EN295" i="90"/>
  <c r="EN296" i="90"/>
  <c r="EN297" i="90"/>
  <c r="EN298" i="90"/>
  <c r="EN299" i="90"/>
  <c r="EN300" i="90"/>
  <c r="EN301" i="90"/>
  <c r="EN302" i="90"/>
  <c r="EN303" i="90"/>
  <c r="EN304" i="90"/>
  <c r="EN305" i="90"/>
  <c r="EN286" i="90"/>
  <c r="EN220" i="90"/>
  <c r="EN306" i="90"/>
  <c r="EN307" i="90"/>
  <c r="EN308" i="90"/>
  <c r="EN309" i="90"/>
  <c r="EN310" i="90"/>
  <c r="EN311" i="90"/>
  <c r="EN312" i="90"/>
  <c r="EN313" i="90"/>
  <c r="EN314" i="90"/>
  <c r="EN315" i="90"/>
  <c r="EN316" i="90"/>
  <c r="EN317" i="90"/>
  <c r="EN318" i="90"/>
  <c r="EN319" i="90"/>
  <c r="EE221" i="90"/>
  <c r="EE222" i="90"/>
  <c r="EE223" i="90"/>
  <c r="EE224" i="90"/>
  <c r="EE225" i="90"/>
  <c r="EE226" i="90"/>
  <c r="EE228" i="90"/>
  <c r="EE229" i="90"/>
  <c r="EE230" i="90"/>
  <c r="EE231" i="90"/>
  <c r="EE232" i="90"/>
  <c r="EE233" i="90"/>
  <c r="EE234" i="90"/>
  <c r="EE235" i="90"/>
  <c r="EE236" i="90"/>
  <c r="EE237" i="90"/>
  <c r="EE239" i="90"/>
  <c r="EE227" i="90"/>
  <c r="EE240" i="90"/>
  <c r="EE241" i="90"/>
  <c r="EE242" i="90"/>
  <c r="EE243" i="90"/>
  <c r="EE244" i="90"/>
  <c r="EE245" i="90"/>
  <c r="EE246" i="90"/>
  <c r="EE247" i="90"/>
  <c r="EE248" i="90"/>
  <c r="EE238" i="90"/>
  <c r="EE251" i="90"/>
  <c r="EE252" i="90"/>
  <c r="EE253" i="90"/>
  <c r="EE254" i="90"/>
  <c r="EE255" i="90"/>
  <c r="EE256" i="90"/>
  <c r="EE257" i="90"/>
  <c r="EE258" i="90"/>
  <c r="EE259" i="90"/>
  <c r="EE260" i="90"/>
  <c r="EE261" i="90"/>
  <c r="EE249" i="90"/>
  <c r="EE250" i="90"/>
  <c r="EE262" i="90"/>
  <c r="EE263" i="90"/>
  <c r="EE264" i="90"/>
  <c r="EE265" i="90"/>
  <c r="EE266" i="90"/>
  <c r="EE267" i="90"/>
  <c r="EE268" i="90"/>
  <c r="EE270" i="90"/>
  <c r="EE272" i="90"/>
  <c r="EE275" i="90"/>
  <c r="EE276" i="90"/>
  <c r="EE277" i="90"/>
  <c r="EE278" i="90"/>
  <c r="EE279" i="90"/>
  <c r="EE280" i="90"/>
  <c r="EE281" i="90"/>
  <c r="EE282" i="90"/>
  <c r="EE283" i="90"/>
  <c r="EE284" i="90"/>
  <c r="EE285" i="90"/>
  <c r="EE286" i="90"/>
  <c r="EE287" i="90"/>
  <c r="EE288" i="90"/>
  <c r="EE269" i="90"/>
  <c r="EE271" i="90"/>
  <c r="EE273" i="90"/>
  <c r="EE274" i="90"/>
  <c r="EE289" i="90"/>
  <c r="EE290" i="90"/>
  <c r="EE291" i="90"/>
  <c r="EE292" i="90"/>
  <c r="EE293" i="90"/>
  <c r="EE294" i="90"/>
  <c r="EE295" i="90"/>
  <c r="EE296" i="90"/>
  <c r="EE297" i="90"/>
  <c r="EE298" i="90"/>
  <c r="EE299" i="90"/>
  <c r="EE300" i="90"/>
  <c r="EE301" i="90"/>
  <c r="EE302" i="90"/>
  <c r="EE303" i="90"/>
  <c r="EE305" i="90"/>
  <c r="EE319" i="90"/>
  <c r="EE220" i="90"/>
  <c r="EE306" i="90"/>
  <c r="EE307" i="90"/>
  <c r="EE308" i="90"/>
  <c r="EE309" i="90"/>
  <c r="EE310" i="90"/>
  <c r="EE311" i="90"/>
  <c r="EE312" i="90"/>
  <c r="EE313" i="90"/>
  <c r="EE314" i="90"/>
  <c r="EE315" i="90"/>
  <c r="EE316" i="90"/>
  <c r="EE317" i="90"/>
  <c r="EE318" i="90"/>
  <c r="EE304" i="90"/>
  <c r="GC221" i="90"/>
  <c r="GC222" i="90"/>
  <c r="GC223" i="90"/>
  <c r="GC224" i="90"/>
  <c r="GC225" i="90"/>
  <c r="GC226" i="90"/>
  <c r="GC227" i="90"/>
  <c r="GC228" i="90"/>
  <c r="GC229" i="90"/>
  <c r="GC230" i="90"/>
  <c r="GC231" i="90"/>
  <c r="GC232" i="90"/>
  <c r="GC233" i="90"/>
  <c r="GC234" i="90"/>
  <c r="GC237" i="90"/>
  <c r="GC238" i="90"/>
  <c r="GC239" i="90"/>
  <c r="GC240" i="90"/>
  <c r="GC241" i="90"/>
  <c r="GC242" i="90"/>
  <c r="GC243" i="90"/>
  <c r="GC244" i="90"/>
  <c r="GC245" i="90"/>
  <c r="GC246" i="90"/>
  <c r="GC247" i="90"/>
  <c r="GC235" i="90"/>
  <c r="GC236" i="90"/>
  <c r="GC250" i="90"/>
  <c r="GC251" i="90"/>
  <c r="GC252" i="90"/>
  <c r="GC253" i="90"/>
  <c r="GC254" i="90"/>
  <c r="GC255" i="90"/>
  <c r="GC256" i="90"/>
  <c r="GC257" i="90"/>
  <c r="GC258" i="90"/>
  <c r="GC259" i="90"/>
  <c r="GC260" i="90"/>
  <c r="GC248" i="90"/>
  <c r="GC249" i="90"/>
  <c r="GC261" i="90"/>
  <c r="GC262" i="90"/>
  <c r="GC263" i="90"/>
  <c r="GC264" i="90"/>
  <c r="GC265" i="90"/>
  <c r="GC266" i="90"/>
  <c r="GC267" i="90"/>
  <c r="GC268" i="90"/>
  <c r="GC274" i="90"/>
  <c r="GC275" i="90"/>
  <c r="GC276" i="90"/>
  <c r="GC277" i="90"/>
  <c r="GC278" i="90"/>
  <c r="GC279" i="90"/>
  <c r="GC280" i="90"/>
  <c r="GC281" i="90"/>
  <c r="GC282" i="90"/>
  <c r="GC283" i="90"/>
  <c r="GC284" i="90"/>
  <c r="GC285" i="90"/>
  <c r="GC286" i="90"/>
  <c r="GC287" i="90"/>
  <c r="GC270" i="90"/>
  <c r="GC272" i="90"/>
  <c r="GC273" i="90"/>
  <c r="GC269" i="90"/>
  <c r="GC271" i="90"/>
  <c r="GC288" i="90"/>
  <c r="GC289" i="90"/>
  <c r="GC290" i="90"/>
  <c r="GC291" i="90"/>
  <c r="GC292" i="90"/>
  <c r="GC293" i="90"/>
  <c r="GC294" i="90"/>
  <c r="GC295" i="90"/>
  <c r="GC296" i="90"/>
  <c r="GC297" i="90"/>
  <c r="GC298" i="90"/>
  <c r="GC299" i="90"/>
  <c r="GC300" i="90"/>
  <c r="GC301" i="90"/>
  <c r="GC302" i="90"/>
  <c r="GC303" i="90"/>
  <c r="GC304" i="90"/>
  <c r="GC317" i="90"/>
  <c r="GC305" i="90"/>
  <c r="GC306" i="90"/>
  <c r="GC307" i="90"/>
  <c r="GC308" i="90"/>
  <c r="GC309" i="90"/>
  <c r="GC310" i="90"/>
  <c r="GC311" i="90"/>
  <c r="GC312" i="90"/>
  <c r="GC313" i="90"/>
  <c r="GC314" i="90"/>
  <c r="GC315" i="90"/>
  <c r="GC316" i="90"/>
  <c r="GC318" i="90"/>
  <c r="GC319" i="90"/>
  <c r="GC220" i="90"/>
  <c r="EC221" i="90"/>
  <c r="EC222" i="90"/>
  <c r="EC223" i="90"/>
  <c r="EC224" i="90"/>
  <c r="EC225" i="90"/>
  <c r="EC227" i="90"/>
  <c r="EC226" i="90"/>
  <c r="EC234" i="90"/>
  <c r="EC229" i="90"/>
  <c r="EC231" i="90"/>
  <c r="EC233" i="90"/>
  <c r="EC235" i="90"/>
  <c r="EC240" i="90"/>
  <c r="EC241" i="90"/>
  <c r="EC242" i="90"/>
  <c r="EC243" i="90"/>
  <c r="EC244" i="90"/>
  <c r="EC245" i="90"/>
  <c r="EC246" i="90"/>
  <c r="EC247" i="90"/>
  <c r="EC248" i="90"/>
  <c r="EC238" i="90"/>
  <c r="EC228" i="90"/>
  <c r="EC230" i="90"/>
  <c r="EC232" i="90"/>
  <c r="EC236" i="90"/>
  <c r="EC237" i="90"/>
  <c r="EC239" i="90"/>
  <c r="EC249" i="90"/>
  <c r="EC250" i="90"/>
  <c r="EC251" i="90"/>
  <c r="EC252" i="90"/>
  <c r="EC253" i="90"/>
  <c r="EC254" i="90"/>
  <c r="EC255" i="90"/>
  <c r="EC260" i="90"/>
  <c r="EC258" i="90"/>
  <c r="EC256" i="90"/>
  <c r="EC262" i="90"/>
  <c r="EC263" i="90"/>
  <c r="EC264" i="90"/>
  <c r="EC265" i="90"/>
  <c r="EC266" i="90"/>
  <c r="EC267" i="90"/>
  <c r="EC268" i="90"/>
  <c r="EC269" i="90"/>
  <c r="EC270" i="90"/>
  <c r="EC271" i="90"/>
  <c r="EC272" i="90"/>
  <c r="EC273" i="90"/>
  <c r="EC274" i="90"/>
  <c r="EC259" i="90"/>
  <c r="EC261" i="90"/>
  <c r="EC257" i="90"/>
  <c r="EC275" i="90"/>
  <c r="EC276" i="90"/>
  <c r="EC277" i="90"/>
  <c r="EC278" i="90"/>
  <c r="EC279" i="90"/>
  <c r="EC280" i="90"/>
  <c r="EC281" i="90"/>
  <c r="EC282" i="90"/>
  <c r="EC283" i="90"/>
  <c r="EC284" i="90"/>
  <c r="EC286" i="90"/>
  <c r="EC285" i="90"/>
  <c r="EC287" i="90"/>
  <c r="EC288" i="90"/>
  <c r="EC289" i="90"/>
  <c r="EC290" i="90"/>
  <c r="EC291" i="90"/>
  <c r="EC292" i="90"/>
  <c r="EC293" i="90"/>
  <c r="EC294" i="90"/>
  <c r="EC295" i="90"/>
  <c r="EC296" i="90"/>
  <c r="EC297" i="90"/>
  <c r="EC298" i="90"/>
  <c r="EC299" i="90"/>
  <c r="EC300" i="90"/>
  <c r="EC301" i="90"/>
  <c r="EC302" i="90"/>
  <c r="EC303" i="90"/>
  <c r="EC306" i="90"/>
  <c r="EC307" i="90"/>
  <c r="EC308" i="90"/>
  <c r="EC309" i="90"/>
  <c r="EC310" i="90"/>
  <c r="EC311" i="90"/>
  <c r="EC312" i="90"/>
  <c r="EC313" i="90"/>
  <c r="EC314" i="90"/>
  <c r="EC315" i="90"/>
  <c r="EC316" i="90"/>
  <c r="EC317" i="90"/>
  <c r="EC318" i="90"/>
  <c r="EC319" i="90"/>
  <c r="EC220" i="90"/>
  <c r="EC304" i="90"/>
  <c r="EC305" i="90"/>
  <c r="FS221" i="90"/>
  <c r="FS222" i="90"/>
  <c r="FS223" i="90"/>
  <c r="FS224" i="90"/>
  <c r="FS225" i="90"/>
  <c r="FS226" i="90"/>
  <c r="FS227" i="90"/>
  <c r="FS228" i="90"/>
  <c r="FS229" i="90"/>
  <c r="FS230" i="90"/>
  <c r="FS231" i="90"/>
  <c r="FS232" i="90"/>
  <c r="FS233" i="90"/>
  <c r="FS234" i="90"/>
  <c r="FS235" i="90"/>
  <c r="FS236" i="90"/>
  <c r="FS238" i="90"/>
  <c r="FS240" i="90"/>
  <c r="FS241" i="90"/>
  <c r="FS242" i="90"/>
  <c r="FS243" i="90"/>
  <c r="FS244" i="90"/>
  <c r="FS245" i="90"/>
  <c r="FS246" i="90"/>
  <c r="FS247" i="90"/>
  <c r="FS237" i="90"/>
  <c r="FS239" i="90"/>
  <c r="FS249" i="90"/>
  <c r="FS251" i="90"/>
  <c r="FS252" i="90"/>
  <c r="FS253" i="90"/>
  <c r="FS254" i="90"/>
  <c r="FS255" i="90"/>
  <c r="FS256" i="90"/>
  <c r="FS257" i="90"/>
  <c r="FS258" i="90"/>
  <c r="FS259" i="90"/>
  <c r="FS260" i="90"/>
  <c r="FS250" i="90"/>
  <c r="FS248" i="90"/>
  <c r="FS261" i="90"/>
  <c r="FS262" i="90"/>
  <c r="FS263" i="90"/>
  <c r="FS264" i="90"/>
  <c r="FS265" i="90"/>
  <c r="FS266" i="90"/>
  <c r="FS267" i="90"/>
  <c r="FS268" i="90"/>
  <c r="FS270" i="90"/>
  <c r="FS272" i="90"/>
  <c r="FS274" i="90"/>
  <c r="FS275" i="90"/>
  <c r="FS276" i="90"/>
  <c r="FS277" i="90"/>
  <c r="FS278" i="90"/>
  <c r="FS279" i="90"/>
  <c r="FS280" i="90"/>
  <c r="FS281" i="90"/>
  <c r="FS282" i="90"/>
  <c r="FS283" i="90"/>
  <c r="FS284" i="90"/>
  <c r="FS285" i="90"/>
  <c r="FS286" i="90"/>
  <c r="FS287" i="90"/>
  <c r="FS288" i="90"/>
  <c r="FS271" i="90"/>
  <c r="FS269" i="90"/>
  <c r="FS273" i="90"/>
  <c r="FS289" i="90"/>
  <c r="FS290" i="90"/>
  <c r="FS291" i="90"/>
  <c r="FS292" i="90"/>
  <c r="FS293" i="90"/>
  <c r="FS294" i="90"/>
  <c r="FS295" i="90"/>
  <c r="FS296" i="90"/>
  <c r="FS297" i="90"/>
  <c r="FS298" i="90"/>
  <c r="FS299" i="90"/>
  <c r="FS300" i="90"/>
  <c r="FS301" i="90"/>
  <c r="FS302" i="90"/>
  <c r="FS318" i="90"/>
  <c r="FS319" i="90"/>
  <c r="FS305" i="90"/>
  <c r="FS306" i="90"/>
  <c r="FS307" i="90"/>
  <c r="FS308" i="90"/>
  <c r="FS309" i="90"/>
  <c r="FS310" i="90"/>
  <c r="FS311" i="90"/>
  <c r="FS312" i="90"/>
  <c r="FS313" i="90"/>
  <c r="FS314" i="90"/>
  <c r="FS315" i="90"/>
  <c r="FS316" i="90"/>
  <c r="FS317" i="90"/>
  <c r="FS220" i="90"/>
  <c r="FS303" i="90"/>
  <c r="FS304" i="90"/>
  <c r="FH221" i="90"/>
  <c r="FH222" i="90"/>
  <c r="FH223" i="90"/>
  <c r="FH224" i="90"/>
  <c r="FH225" i="90"/>
  <c r="FH226" i="90"/>
  <c r="FH227" i="90"/>
  <c r="FH228" i="90"/>
  <c r="FH229" i="90"/>
  <c r="FH230" i="90"/>
  <c r="FH231" i="90"/>
  <c r="FH232" i="90"/>
  <c r="FH233" i="90"/>
  <c r="FH234" i="90"/>
  <c r="FH240" i="90"/>
  <c r="FH241" i="90"/>
  <c r="FH242" i="90"/>
  <c r="FH243" i="90"/>
  <c r="FH244" i="90"/>
  <c r="FH245" i="90"/>
  <c r="FH246" i="90"/>
  <c r="FH247" i="90"/>
  <c r="FH235" i="90"/>
  <c r="FH236" i="90"/>
  <c r="FH238" i="90"/>
  <c r="FH239" i="90"/>
  <c r="FH237" i="90"/>
  <c r="FH249" i="90"/>
  <c r="FH251" i="90"/>
  <c r="FH252" i="90"/>
  <c r="FH253" i="90"/>
  <c r="FH254" i="90"/>
  <c r="FH255" i="90"/>
  <c r="FH256" i="90"/>
  <c r="FH257" i="90"/>
  <c r="FH258" i="90"/>
  <c r="FH259" i="90"/>
  <c r="FH260" i="90"/>
  <c r="FH261" i="90"/>
  <c r="FH250" i="90"/>
  <c r="FH248" i="90"/>
  <c r="FH262" i="90"/>
  <c r="FH263" i="90"/>
  <c r="FH264" i="90"/>
  <c r="FH265" i="90"/>
  <c r="FH266" i="90"/>
  <c r="FH267" i="90"/>
  <c r="FH268" i="90"/>
  <c r="FH269" i="90"/>
  <c r="FH270" i="90"/>
  <c r="FH271" i="90"/>
  <c r="FH272" i="90"/>
  <c r="FH273" i="90"/>
  <c r="FH274" i="90"/>
  <c r="FH275" i="90"/>
  <c r="FH276" i="90"/>
  <c r="FH277" i="90"/>
  <c r="FH278" i="90"/>
  <c r="FH279" i="90"/>
  <c r="FH280" i="90"/>
  <c r="FH281" i="90"/>
  <c r="FH282" i="90"/>
  <c r="FH283" i="90"/>
  <c r="FH284" i="90"/>
  <c r="FH285" i="90"/>
  <c r="FH287" i="90"/>
  <c r="FH288" i="90"/>
  <c r="FH286" i="90"/>
  <c r="FH289" i="90"/>
  <c r="FH290" i="90"/>
  <c r="FH291" i="90"/>
  <c r="FH292" i="90"/>
  <c r="FH293" i="90"/>
  <c r="FH294" i="90"/>
  <c r="FH295" i="90"/>
  <c r="FH296" i="90"/>
  <c r="FH297" i="90"/>
  <c r="FH298" i="90"/>
  <c r="FH299" i="90"/>
  <c r="FH300" i="90"/>
  <c r="FH301" i="90"/>
  <c r="FH302" i="90"/>
  <c r="FH303" i="90"/>
  <c r="FH304" i="90"/>
  <c r="FH305" i="90"/>
  <c r="FH306" i="90"/>
  <c r="FH307" i="90"/>
  <c r="FH308" i="90"/>
  <c r="FH309" i="90"/>
  <c r="FH310" i="90"/>
  <c r="FH311" i="90"/>
  <c r="FH312" i="90"/>
  <c r="FH313" i="90"/>
  <c r="FH314" i="90"/>
  <c r="FH315" i="90"/>
  <c r="FH316" i="90"/>
  <c r="FH317" i="90"/>
  <c r="FH318" i="90"/>
  <c r="FH319" i="90"/>
  <c r="FH220" i="90"/>
  <c r="EL221" i="90"/>
  <c r="EL222" i="90"/>
  <c r="EL223" i="90"/>
  <c r="EL224" i="90"/>
  <c r="EL226" i="90"/>
  <c r="EL225" i="90"/>
  <c r="EL228" i="90"/>
  <c r="EL229" i="90"/>
  <c r="EL230" i="90"/>
  <c r="EL231" i="90"/>
  <c r="EL232" i="90"/>
  <c r="EL233" i="90"/>
  <c r="EL234" i="90"/>
  <c r="EL235" i="90"/>
  <c r="EL236" i="90"/>
  <c r="EL237" i="90"/>
  <c r="EL238" i="90"/>
  <c r="EL240" i="90"/>
  <c r="EL241" i="90"/>
  <c r="EL242" i="90"/>
  <c r="EL243" i="90"/>
  <c r="EL244" i="90"/>
  <c r="EL245" i="90"/>
  <c r="EL246" i="90"/>
  <c r="EL247" i="90"/>
  <c r="EL227" i="90"/>
  <c r="EL239" i="90"/>
  <c r="EL248" i="90"/>
  <c r="EL249" i="90"/>
  <c r="EL250" i="90"/>
  <c r="EL251" i="90"/>
  <c r="EL252" i="90"/>
  <c r="EL253" i="90"/>
  <c r="EL254" i="90"/>
  <c r="EL259" i="90"/>
  <c r="EL257" i="90"/>
  <c r="EL255" i="90"/>
  <c r="EL261" i="90"/>
  <c r="EL256" i="90"/>
  <c r="EL258" i="90"/>
  <c r="EL262" i="90"/>
  <c r="EL263" i="90"/>
  <c r="EL264" i="90"/>
  <c r="EL265" i="90"/>
  <c r="EL266" i="90"/>
  <c r="EL267" i="90"/>
  <c r="EL268" i="90"/>
  <c r="EL269" i="90"/>
  <c r="EL270" i="90"/>
  <c r="EL271" i="90"/>
  <c r="EL272" i="90"/>
  <c r="EL260" i="90"/>
  <c r="EL273" i="90"/>
  <c r="EL274" i="90"/>
  <c r="EL275" i="90"/>
  <c r="EL276" i="90"/>
  <c r="EL277" i="90"/>
  <c r="EL278" i="90"/>
  <c r="EL279" i="90"/>
  <c r="EL280" i="90"/>
  <c r="EL281" i="90"/>
  <c r="EL282" i="90"/>
  <c r="EL283" i="90"/>
  <c r="EL284" i="90"/>
  <c r="EL285" i="90"/>
  <c r="EL286" i="90"/>
  <c r="EL289" i="90"/>
  <c r="EL290" i="90"/>
  <c r="EL291" i="90"/>
  <c r="EL292" i="90"/>
  <c r="EL293" i="90"/>
  <c r="EL294" i="90"/>
  <c r="EL295" i="90"/>
  <c r="EL296" i="90"/>
  <c r="EL297" i="90"/>
  <c r="EL298" i="90"/>
  <c r="EL299" i="90"/>
  <c r="EL300" i="90"/>
  <c r="EL301" i="90"/>
  <c r="EL302" i="90"/>
  <c r="EL303" i="90"/>
  <c r="EL304" i="90"/>
  <c r="EL287" i="90"/>
  <c r="EL288" i="90"/>
  <c r="EL306" i="90"/>
  <c r="EL307" i="90"/>
  <c r="EL308" i="90"/>
  <c r="EL309" i="90"/>
  <c r="EL310" i="90"/>
  <c r="EL311" i="90"/>
  <c r="EL312" i="90"/>
  <c r="EL313" i="90"/>
  <c r="EL314" i="90"/>
  <c r="EL315" i="90"/>
  <c r="EL316" i="90"/>
  <c r="EL317" i="90"/>
  <c r="EL318" i="90"/>
  <c r="EL319" i="90"/>
  <c r="EL220" i="90"/>
  <c r="EL305" i="90"/>
  <c r="EY221" i="90"/>
  <c r="EY222" i="90"/>
  <c r="EY223" i="90"/>
  <c r="EY224" i="90"/>
  <c r="EY225" i="90"/>
  <c r="EY227" i="90"/>
  <c r="EY228" i="90"/>
  <c r="EY229" i="90"/>
  <c r="EY230" i="90"/>
  <c r="EY231" i="90"/>
  <c r="EY232" i="90"/>
  <c r="EY233" i="90"/>
  <c r="EY234" i="90"/>
  <c r="EY235" i="90"/>
  <c r="EY236" i="90"/>
  <c r="EY238" i="90"/>
  <c r="EY237" i="90"/>
  <c r="EY226" i="90"/>
  <c r="EY240" i="90"/>
  <c r="EY241" i="90"/>
  <c r="EY242" i="90"/>
  <c r="EY243" i="90"/>
  <c r="EY244" i="90"/>
  <c r="EY245" i="90"/>
  <c r="EY246" i="90"/>
  <c r="EY247" i="90"/>
  <c r="EY248" i="90"/>
  <c r="EY239" i="90"/>
  <c r="EY251" i="90"/>
  <c r="EY252" i="90"/>
  <c r="EY253" i="90"/>
  <c r="EY254" i="90"/>
  <c r="EY255" i="90"/>
  <c r="EY256" i="90"/>
  <c r="EY257" i="90"/>
  <c r="EY258" i="90"/>
  <c r="EY259" i="90"/>
  <c r="EY260" i="90"/>
  <c r="EY261" i="90"/>
  <c r="EY249" i="90"/>
  <c r="EY250" i="90"/>
  <c r="EY262" i="90"/>
  <c r="EY263" i="90"/>
  <c r="EY264" i="90"/>
  <c r="EY265" i="90"/>
  <c r="EY266" i="90"/>
  <c r="EY267" i="90"/>
  <c r="EY268" i="90"/>
  <c r="EY271" i="90"/>
  <c r="EY275" i="90"/>
  <c r="EY276" i="90"/>
  <c r="EY277" i="90"/>
  <c r="EY278" i="90"/>
  <c r="EY279" i="90"/>
  <c r="EY280" i="90"/>
  <c r="EY281" i="90"/>
  <c r="EY282" i="90"/>
  <c r="EY283" i="90"/>
  <c r="EY284" i="90"/>
  <c r="EY285" i="90"/>
  <c r="EY286" i="90"/>
  <c r="EY287" i="90"/>
  <c r="EY288" i="90"/>
  <c r="EY274" i="90"/>
  <c r="EY269" i="90"/>
  <c r="EY270" i="90"/>
  <c r="EY272" i="90"/>
  <c r="EY273" i="90"/>
  <c r="EY289" i="90"/>
  <c r="EY290" i="90"/>
  <c r="EY291" i="90"/>
  <c r="EY292" i="90"/>
  <c r="EY293" i="90"/>
  <c r="EY294" i="90"/>
  <c r="EY295" i="90"/>
  <c r="EY296" i="90"/>
  <c r="EY297" i="90"/>
  <c r="EY298" i="90"/>
  <c r="EY299" i="90"/>
  <c r="EY300" i="90"/>
  <c r="EY301" i="90"/>
  <c r="EY302" i="90"/>
  <c r="EY303" i="90"/>
  <c r="EY318" i="90"/>
  <c r="EY317" i="90"/>
  <c r="EY306" i="90"/>
  <c r="EY307" i="90"/>
  <c r="EY308" i="90"/>
  <c r="EY309" i="90"/>
  <c r="EY310" i="90"/>
  <c r="EY311" i="90"/>
  <c r="EY312" i="90"/>
  <c r="EY313" i="90"/>
  <c r="EY314" i="90"/>
  <c r="EY315" i="90"/>
  <c r="EY316" i="90"/>
  <c r="EY319" i="90"/>
  <c r="EY220" i="90"/>
  <c r="EY304" i="90"/>
  <c r="EY305" i="90"/>
  <c r="EM221" i="90"/>
  <c r="EM222" i="90"/>
  <c r="EM223" i="90"/>
  <c r="EM224" i="90"/>
  <c r="EM225" i="90"/>
  <c r="EM226" i="90"/>
  <c r="EM227" i="90"/>
  <c r="EM228" i="90"/>
  <c r="EM230" i="90"/>
  <c r="EM232" i="90"/>
  <c r="EM238" i="90"/>
  <c r="EM240" i="90"/>
  <c r="EM241" i="90"/>
  <c r="EM242" i="90"/>
  <c r="EM243" i="90"/>
  <c r="EM244" i="90"/>
  <c r="EM245" i="90"/>
  <c r="EM246" i="90"/>
  <c r="EM247" i="90"/>
  <c r="EM234" i="90"/>
  <c r="EM236" i="90"/>
  <c r="EM229" i="90"/>
  <c r="EM231" i="90"/>
  <c r="EM233" i="90"/>
  <c r="EM237" i="90"/>
  <c r="EM235" i="90"/>
  <c r="EM239" i="90"/>
  <c r="EM248" i="90"/>
  <c r="EM249" i="90"/>
  <c r="EM250" i="90"/>
  <c r="EM251" i="90"/>
  <c r="EM252" i="90"/>
  <c r="EM253" i="90"/>
  <c r="EM254" i="90"/>
  <c r="EM255" i="90"/>
  <c r="EM259" i="90"/>
  <c r="EM257" i="90"/>
  <c r="EM261" i="90"/>
  <c r="EM256" i="90"/>
  <c r="EM258" i="90"/>
  <c r="EM262" i="90"/>
  <c r="EM263" i="90"/>
  <c r="EM264" i="90"/>
  <c r="EM265" i="90"/>
  <c r="EM266" i="90"/>
  <c r="EM267" i="90"/>
  <c r="EM268" i="90"/>
  <c r="EM269" i="90"/>
  <c r="EM270" i="90"/>
  <c r="EM271" i="90"/>
  <c r="EM272" i="90"/>
  <c r="EM273" i="90"/>
  <c r="EM274" i="90"/>
  <c r="EM260" i="90"/>
  <c r="EM275" i="90"/>
  <c r="EM276" i="90"/>
  <c r="EM277" i="90"/>
  <c r="EM278" i="90"/>
  <c r="EM279" i="90"/>
  <c r="EM280" i="90"/>
  <c r="EM281" i="90"/>
  <c r="EM282" i="90"/>
  <c r="EM283" i="90"/>
  <c r="EM284" i="90"/>
  <c r="EM289" i="90"/>
  <c r="EM290" i="90"/>
  <c r="EM291" i="90"/>
  <c r="EM292" i="90"/>
  <c r="EM293" i="90"/>
  <c r="EM294" i="90"/>
  <c r="EM295" i="90"/>
  <c r="EM296" i="90"/>
  <c r="EM297" i="90"/>
  <c r="EM298" i="90"/>
  <c r="EM299" i="90"/>
  <c r="EM300" i="90"/>
  <c r="EM301" i="90"/>
  <c r="EM302" i="90"/>
  <c r="EM303" i="90"/>
  <c r="EM285" i="90"/>
  <c r="EM286" i="90"/>
  <c r="EM287" i="90"/>
  <c r="EM288" i="90"/>
  <c r="EM220" i="90"/>
  <c r="EM306" i="90"/>
  <c r="EM307" i="90"/>
  <c r="EM308" i="90"/>
  <c r="EM309" i="90"/>
  <c r="EM310" i="90"/>
  <c r="EM311" i="90"/>
  <c r="EM312" i="90"/>
  <c r="EM313" i="90"/>
  <c r="EM314" i="90"/>
  <c r="EM315" i="90"/>
  <c r="EM316" i="90"/>
  <c r="EM317" i="90"/>
  <c r="EM318" i="90"/>
  <c r="EM319" i="90"/>
  <c r="EM305" i="90"/>
  <c r="EM304" i="90"/>
  <c r="EW221" i="90"/>
  <c r="EW222" i="90"/>
  <c r="EW223" i="90"/>
  <c r="EW224" i="90"/>
  <c r="EW226" i="90"/>
  <c r="EW225" i="90"/>
  <c r="EW235" i="90"/>
  <c r="EW237" i="90"/>
  <c r="EW228" i="90"/>
  <c r="EW230" i="90"/>
  <c r="EW232" i="90"/>
  <c r="EW240" i="90"/>
  <c r="EW241" i="90"/>
  <c r="EW242" i="90"/>
  <c r="EW243" i="90"/>
  <c r="EW244" i="90"/>
  <c r="EW245" i="90"/>
  <c r="EW246" i="90"/>
  <c r="EW247" i="90"/>
  <c r="EW239" i="90"/>
  <c r="EW227" i="90"/>
  <c r="EW229" i="90"/>
  <c r="EW231" i="90"/>
  <c r="EW233" i="90"/>
  <c r="EW234" i="90"/>
  <c r="EW236" i="90"/>
  <c r="EW238" i="90"/>
  <c r="EW249" i="90"/>
  <c r="EW250" i="90"/>
  <c r="EW248" i="90"/>
  <c r="EW251" i="90"/>
  <c r="EW252" i="90"/>
  <c r="EW253" i="90"/>
  <c r="EW254" i="90"/>
  <c r="EW255" i="90"/>
  <c r="EW261" i="90"/>
  <c r="EW260" i="90"/>
  <c r="EW262" i="90"/>
  <c r="EW263" i="90"/>
  <c r="EW264" i="90"/>
  <c r="EW265" i="90"/>
  <c r="EW266" i="90"/>
  <c r="EW267" i="90"/>
  <c r="EW268" i="90"/>
  <c r="EW269" i="90"/>
  <c r="EW270" i="90"/>
  <c r="EW271" i="90"/>
  <c r="EW272" i="90"/>
  <c r="EW273" i="90"/>
  <c r="EW274" i="90"/>
  <c r="EW257" i="90"/>
  <c r="EW259" i="90"/>
  <c r="EW256" i="90"/>
  <c r="EW258" i="90"/>
  <c r="EW275" i="90"/>
  <c r="EW276" i="90"/>
  <c r="EW277" i="90"/>
  <c r="EW278" i="90"/>
  <c r="EW279" i="90"/>
  <c r="EW280" i="90"/>
  <c r="EW281" i="90"/>
  <c r="EW282" i="90"/>
  <c r="EW283" i="90"/>
  <c r="EW284" i="90"/>
  <c r="EW287" i="90"/>
  <c r="EW288" i="90"/>
  <c r="EW289" i="90"/>
  <c r="EW290" i="90"/>
  <c r="EW291" i="90"/>
  <c r="EW292" i="90"/>
  <c r="EW293" i="90"/>
  <c r="EW294" i="90"/>
  <c r="EW295" i="90"/>
  <c r="EW296" i="90"/>
  <c r="EW297" i="90"/>
  <c r="EW298" i="90"/>
  <c r="EW299" i="90"/>
  <c r="EW300" i="90"/>
  <c r="EW301" i="90"/>
  <c r="EW302" i="90"/>
  <c r="EW303" i="90"/>
  <c r="EW285" i="90"/>
  <c r="EW286" i="90"/>
  <c r="EW306" i="90"/>
  <c r="EW307" i="90"/>
  <c r="EW308" i="90"/>
  <c r="EW309" i="90"/>
  <c r="EW310" i="90"/>
  <c r="EW311" i="90"/>
  <c r="EW312" i="90"/>
  <c r="EW313" i="90"/>
  <c r="EW314" i="90"/>
  <c r="EW315" i="90"/>
  <c r="EW316" i="90"/>
  <c r="EW317" i="90"/>
  <c r="EW318" i="90"/>
  <c r="EW319" i="90"/>
  <c r="EW304" i="90"/>
  <c r="EW305" i="90"/>
  <c r="EW220" i="90"/>
  <c r="EV221" i="90"/>
  <c r="EV222" i="90"/>
  <c r="EV223" i="90"/>
  <c r="EV224" i="90"/>
  <c r="EV226" i="90"/>
  <c r="EV227" i="90"/>
  <c r="EV228" i="90"/>
  <c r="EV229" i="90"/>
  <c r="EV230" i="90"/>
  <c r="EV231" i="90"/>
  <c r="EV232" i="90"/>
  <c r="EV233" i="90"/>
  <c r="EV234" i="90"/>
  <c r="EV235" i="90"/>
  <c r="EV236" i="90"/>
  <c r="EV237" i="90"/>
  <c r="EV238" i="90"/>
  <c r="EV225" i="90"/>
  <c r="EV240" i="90"/>
  <c r="EV241" i="90"/>
  <c r="EV242" i="90"/>
  <c r="EV243" i="90"/>
  <c r="EV244" i="90"/>
  <c r="EV245" i="90"/>
  <c r="EV246" i="90"/>
  <c r="EV247" i="90"/>
  <c r="EV239" i="90"/>
  <c r="EV250" i="90"/>
  <c r="EV248" i="90"/>
  <c r="EV251" i="90"/>
  <c r="EV252" i="90"/>
  <c r="EV253" i="90"/>
  <c r="EV254" i="90"/>
  <c r="EV249" i="90"/>
  <c r="EV260" i="90"/>
  <c r="EV255" i="90"/>
  <c r="EV262" i="90"/>
  <c r="EV263" i="90"/>
  <c r="EV264" i="90"/>
  <c r="EV265" i="90"/>
  <c r="EV266" i="90"/>
  <c r="EV267" i="90"/>
  <c r="EV268" i="90"/>
  <c r="EV269" i="90"/>
  <c r="EV270" i="90"/>
  <c r="EV271" i="90"/>
  <c r="EV272" i="90"/>
  <c r="EV257" i="90"/>
  <c r="EV259" i="90"/>
  <c r="EV256" i="90"/>
  <c r="EV258" i="90"/>
  <c r="EV261" i="90"/>
  <c r="EV274" i="90"/>
  <c r="EV273" i="90"/>
  <c r="EV275" i="90"/>
  <c r="EV276" i="90"/>
  <c r="EV277" i="90"/>
  <c r="EV278" i="90"/>
  <c r="EV279" i="90"/>
  <c r="EV280" i="90"/>
  <c r="EV281" i="90"/>
  <c r="EV282" i="90"/>
  <c r="EV283" i="90"/>
  <c r="EV284" i="90"/>
  <c r="EV285" i="90"/>
  <c r="EV286" i="90"/>
  <c r="EV287" i="90"/>
  <c r="EV288" i="90"/>
  <c r="EV289" i="90"/>
  <c r="EV290" i="90"/>
  <c r="EV291" i="90"/>
  <c r="EV292" i="90"/>
  <c r="EV293" i="90"/>
  <c r="EV294" i="90"/>
  <c r="EV295" i="90"/>
  <c r="EV296" i="90"/>
  <c r="EV297" i="90"/>
  <c r="EV298" i="90"/>
  <c r="EV299" i="90"/>
  <c r="EV300" i="90"/>
  <c r="EV301" i="90"/>
  <c r="EV302" i="90"/>
  <c r="EV303" i="90"/>
  <c r="EV304" i="90"/>
  <c r="EV306" i="90"/>
  <c r="EV307" i="90"/>
  <c r="EV308" i="90"/>
  <c r="EV309" i="90"/>
  <c r="EV310" i="90"/>
  <c r="EV311" i="90"/>
  <c r="EV312" i="90"/>
  <c r="EV313" i="90"/>
  <c r="EV314" i="90"/>
  <c r="EV315" i="90"/>
  <c r="EV316" i="90"/>
  <c r="EV317" i="90"/>
  <c r="EV318" i="90"/>
  <c r="EV319" i="90"/>
  <c r="EV220" i="90"/>
  <c r="EV305" i="90"/>
  <c r="ED221" i="90"/>
  <c r="ED222" i="90"/>
  <c r="ED223" i="90"/>
  <c r="ED224" i="90"/>
  <c r="ED225" i="90"/>
  <c r="ED227" i="90"/>
  <c r="ED226" i="90"/>
  <c r="ED228" i="90"/>
  <c r="ED229" i="90"/>
  <c r="ED230" i="90"/>
  <c r="ED231" i="90"/>
  <c r="ED232" i="90"/>
  <c r="ED233" i="90"/>
  <c r="ED236" i="90"/>
  <c r="ED237" i="90"/>
  <c r="ED239" i="90"/>
  <c r="ED234" i="90"/>
  <c r="ED235" i="90"/>
  <c r="ED240" i="90"/>
  <c r="ED241" i="90"/>
  <c r="ED242" i="90"/>
  <c r="ED243" i="90"/>
  <c r="ED244" i="90"/>
  <c r="ED245" i="90"/>
  <c r="ED246" i="90"/>
  <c r="ED247" i="90"/>
  <c r="ED238" i="90"/>
  <c r="ED251" i="90"/>
  <c r="ED252" i="90"/>
  <c r="ED253" i="90"/>
  <c r="ED254" i="90"/>
  <c r="ED255" i="90"/>
  <c r="ED256" i="90"/>
  <c r="ED257" i="90"/>
  <c r="ED258" i="90"/>
  <c r="ED259" i="90"/>
  <c r="ED260" i="90"/>
  <c r="ED261" i="90"/>
  <c r="ED249" i="90"/>
  <c r="ED248" i="90"/>
  <c r="ED250" i="90"/>
  <c r="ED262" i="90"/>
  <c r="ED263" i="90"/>
  <c r="ED264" i="90"/>
  <c r="ED265" i="90"/>
  <c r="ED266" i="90"/>
  <c r="ED267" i="90"/>
  <c r="ED268" i="90"/>
  <c r="ED269" i="90"/>
  <c r="ED270" i="90"/>
  <c r="ED271" i="90"/>
  <c r="ED272" i="90"/>
  <c r="ED273" i="90"/>
  <c r="ED274" i="90"/>
  <c r="ED275" i="90"/>
  <c r="ED276" i="90"/>
  <c r="ED277" i="90"/>
  <c r="ED278" i="90"/>
  <c r="ED279" i="90"/>
  <c r="ED280" i="90"/>
  <c r="ED281" i="90"/>
  <c r="ED282" i="90"/>
  <c r="ED283" i="90"/>
  <c r="ED284" i="90"/>
  <c r="ED285" i="90"/>
  <c r="ED286" i="90"/>
  <c r="ED287" i="90"/>
  <c r="ED288" i="90"/>
  <c r="ED289" i="90"/>
  <c r="ED290" i="90"/>
  <c r="ED291" i="90"/>
  <c r="ED292" i="90"/>
  <c r="ED293" i="90"/>
  <c r="ED294" i="90"/>
  <c r="ED295" i="90"/>
  <c r="ED296" i="90"/>
  <c r="ED297" i="90"/>
  <c r="ED298" i="90"/>
  <c r="ED299" i="90"/>
  <c r="ED300" i="90"/>
  <c r="ED301" i="90"/>
  <c r="ED302" i="90"/>
  <c r="ED303" i="90"/>
  <c r="ED304" i="90"/>
  <c r="ED305" i="90"/>
  <c r="ED306" i="90"/>
  <c r="ED307" i="90"/>
  <c r="ED308" i="90"/>
  <c r="ED309" i="90"/>
  <c r="ED310" i="90"/>
  <c r="ED311" i="90"/>
  <c r="ED312" i="90"/>
  <c r="ED313" i="90"/>
  <c r="ED314" i="90"/>
  <c r="ED315" i="90"/>
  <c r="ED316" i="90"/>
  <c r="ED317" i="90"/>
  <c r="ED318" i="90"/>
  <c r="ED319" i="90"/>
  <c r="ED220" i="90"/>
  <c r="EK221" i="90"/>
  <c r="EK223" i="90"/>
  <c r="EK225" i="90"/>
  <c r="EK227" i="90"/>
  <c r="EK229" i="90"/>
  <c r="EK231" i="90"/>
  <c r="EK233" i="90"/>
  <c r="EK235" i="90"/>
  <c r="EK237" i="90"/>
  <c r="EK239" i="90"/>
  <c r="EK241" i="90"/>
  <c r="EK243" i="90"/>
  <c r="EK245" i="90"/>
  <c r="EK247" i="90"/>
  <c r="EK249" i="90"/>
  <c r="EK251" i="90"/>
  <c r="EK253" i="90"/>
  <c r="EK255" i="90"/>
  <c r="EK257" i="90"/>
  <c r="EK259" i="90"/>
  <c r="EK261" i="90"/>
  <c r="EK222" i="90"/>
  <c r="EK224" i="90"/>
  <c r="EK226" i="90"/>
  <c r="EK228" i="90"/>
  <c r="EK230" i="90"/>
  <c r="EK232" i="90"/>
  <c r="EK234" i="90"/>
  <c r="EK236" i="90"/>
  <c r="EK238" i="90"/>
  <c r="EK240" i="90"/>
  <c r="EK242" i="90"/>
  <c r="EK244" i="90"/>
  <c r="EK246" i="90"/>
  <c r="EK248" i="90"/>
  <c r="EK250" i="90"/>
  <c r="EK252" i="90"/>
  <c r="EK254" i="90"/>
  <c r="EK256" i="90"/>
  <c r="EK258" i="90"/>
  <c r="EK260" i="90"/>
  <c r="EK262" i="90"/>
  <c r="EK264" i="90"/>
  <c r="EK266" i="90"/>
  <c r="EK268" i="90"/>
  <c r="EK270" i="90"/>
  <c r="EK272" i="90"/>
  <c r="EK274" i="90"/>
  <c r="EK276" i="90"/>
  <c r="EK278" i="90"/>
  <c r="EK280" i="90"/>
  <c r="EK282" i="90"/>
  <c r="EK284" i="90"/>
  <c r="EK286" i="90"/>
  <c r="EK288" i="90"/>
  <c r="EK290" i="90"/>
  <c r="EK292" i="90"/>
  <c r="EK294" i="90"/>
  <c r="EK296" i="90"/>
  <c r="EK298" i="90"/>
  <c r="EK300" i="90"/>
  <c r="EK302" i="90"/>
  <c r="EK304" i="90"/>
  <c r="EK306" i="90"/>
  <c r="EK308" i="90"/>
  <c r="EK310" i="90"/>
  <c r="EK312" i="90"/>
  <c r="EK314" i="90"/>
  <c r="EK316" i="90"/>
  <c r="EK318" i="90"/>
  <c r="EK263" i="90"/>
  <c r="EK265" i="90"/>
  <c r="EK267" i="90"/>
  <c r="EK269" i="90"/>
  <c r="EK271" i="90"/>
  <c r="EK273" i="90"/>
  <c r="EK275" i="90"/>
  <c r="EK277" i="90"/>
  <c r="EK279" i="90"/>
  <c r="EK281" i="90"/>
  <c r="EK283" i="90"/>
  <c r="EK285" i="90"/>
  <c r="EK287" i="90"/>
  <c r="EK289" i="90"/>
  <c r="EK291" i="90"/>
  <c r="EK293" i="90"/>
  <c r="EK295" i="90"/>
  <c r="EK297" i="90"/>
  <c r="EK299" i="90"/>
  <c r="EK301" i="90"/>
  <c r="EK303" i="90"/>
  <c r="EK305" i="90"/>
  <c r="EK307" i="90"/>
  <c r="EK309" i="90"/>
  <c r="EK311" i="90"/>
  <c r="EK313" i="90"/>
  <c r="EK315" i="90"/>
  <c r="EK317" i="90"/>
  <c r="EK319" i="90"/>
  <c r="EK220" i="90"/>
  <c r="FY221" i="90"/>
  <c r="FY223" i="90"/>
  <c r="FY225" i="90"/>
  <c r="FY227" i="90"/>
  <c r="FY229" i="90"/>
  <c r="FY231" i="90"/>
  <c r="FY233" i="90"/>
  <c r="FY235" i="90"/>
  <c r="FY237" i="90"/>
  <c r="FY239" i="90"/>
  <c r="FY241" i="90"/>
  <c r="FY243" i="90"/>
  <c r="FY245" i="90"/>
  <c r="FY247" i="90"/>
  <c r="FY249" i="90"/>
  <c r="FY251" i="90"/>
  <c r="FY253" i="90"/>
  <c r="FY255" i="90"/>
  <c r="FY257" i="90"/>
  <c r="FY259" i="90"/>
  <c r="FY261" i="90"/>
  <c r="FY222" i="90"/>
  <c r="FY224" i="90"/>
  <c r="FY226" i="90"/>
  <c r="FY228" i="90"/>
  <c r="FY230" i="90"/>
  <c r="FY232" i="90"/>
  <c r="FY234" i="90"/>
  <c r="FY236" i="90"/>
  <c r="FY238" i="90"/>
  <c r="FY240" i="90"/>
  <c r="FY242" i="90"/>
  <c r="FY244" i="90"/>
  <c r="FY246" i="90"/>
  <c r="FY248" i="90"/>
  <c r="FY250" i="90"/>
  <c r="FY252" i="90"/>
  <c r="FY254" i="90"/>
  <c r="FY256" i="90"/>
  <c r="FY258" i="90"/>
  <c r="FY260" i="90"/>
  <c r="FY262" i="90"/>
  <c r="FY264" i="90"/>
  <c r="FY266" i="90"/>
  <c r="FY268" i="90"/>
  <c r="FY270" i="90"/>
  <c r="FY272" i="90"/>
  <c r="FY274" i="90"/>
  <c r="FY276" i="90"/>
  <c r="FY278" i="90"/>
  <c r="FY280" i="90"/>
  <c r="FY282" i="90"/>
  <c r="FY284" i="90"/>
  <c r="FY286" i="90"/>
  <c r="FY288" i="90"/>
  <c r="FY290" i="90"/>
  <c r="FY292" i="90"/>
  <c r="FY294" i="90"/>
  <c r="FY296" i="90"/>
  <c r="FY298" i="90"/>
  <c r="FY300" i="90"/>
  <c r="FY302" i="90"/>
  <c r="FY304" i="90"/>
  <c r="FY306" i="90"/>
  <c r="FY308" i="90"/>
  <c r="FY310" i="90"/>
  <c r="FY312" i="90"/>
  <c r="FY314" i="90"/>
  <c r="FY316" i="90"/>
  <c r="FY263" i="90"/>
  <c r="FY265" i="90"/>
  <c r="FY267" i="90"/>
  <c r="FY269" i="90"/>
  <c r="FY271" i="90"/>
  <c r="FY273" i="90"/>
  <c r="FY275" i="90"/>
  <c r="FY277" i="90"/>
  <c r="FY279" i="90"/>
  <c r="FY281" i="90"/>
  <c r="FY283" i="90"/>
  <c r="FY285" i="90"/>
  <c r="FY287" i="90"/>
  <c r="FY289" i="90"/>
  <c r="FY291" i="90"/>
  <c r="FY293" i="90"/>
  <c r="FY295" i="90"/>
  <c r="FY297" i="90"/>
  <c r="FY299" i="90"/>
  <c r="FY301" i="90"/>
  <c r="FY303" i="90"/>
  <c r="FY305" i="90"/>
  <c r="FY307" i="90"/>
  <c r="FY309" i="90"/>
  <c r="FY311" i="90"/>
  <c r="FY313" i="90"/>
  <c r="FY315" i="90"/>
  <c r="FY317" i="90"/>
  <c r="FY220" i="90"/>
  <c r="FY319" i="90"/>
  <c r="FY318" i="90"/>
  <c r="FO221" i="90"/>
  <c r="FO223" i="90"/>
  <c r="FO225" i="90"/>
  <c r="FO227" i="90"/>
  <c r="FO229" i="90"/>
  <c r="FO231" i="90"/>
  <c r="FO233" i="90"/>
  <c r="FO235" i="90"/>
  <c r="FO237" i="90"/>
  <c r="FO239" i="90"/>
  <c r="FO241" i="90"/>
  <c r="FO243" i="90"/>
  <c r="FO245" i="90"/>
  <c r="FO247" i="90"/>
  <c r="FO249" i="90"/>
  <c r="FO251" i="90"/>
  <c r="FO253" i="90"/>
  <c r="FO255" i="90"/>
  <c r="FO257" i="90"/>
  <c r="FO259" i="90"/>
  <c r="FO261" i="90"/>
  <c r="FO222" i="90"/>
  <c r="FO224" i="90"/>
  <c r="FO226" i="90"/>
  <c r="FO228" i="90"/>
  <c r="FO230" i="90"/>
  <c r="FO232" i="90"/>
  <c r="FO234" i="90"/>
  <c r="FO236" i="90"/>
  <c r="FO238" i="90"/>
  <c r="FO240" i="90"/>
  <c r="FO242" i="90"/>
  <c r="FO244" i="90"/>
  <c r="FO246" i="90"/>
  <c r="FO248" i="90"/>
  <c r="FO250" i="90"/>
  <c r="FO252" i="90"/>
  <c r="FO254" i="90"/>
  <c r="FO256" i="90"/>
  <c r="FO258" i="90"/>
  <c r="FO260" i="90"/>
  <c r="FO263" i="90"/>
  <c r="FO265" i="90"/>
  <c r="FO267" i="90"/>
  <c r="FO269" i="90"/>
  <c r="FO271" i="90"/>
  <c r="FO273" i="90"/>
  <c r="FO275" i="90"/>
  <c r="FO277" i="90"/>
  <c r="FO279" i="90"/>
  <c r="FO281" i="90"/>
  <c r="FO283" i="90"/>
  <c r="FO285" i="90"/>
  <c r="FO287" i="90"/>
  <c r="FO289" i="90"/>
  <c r="FO291" i="90"/>
  <c r="FO293" i="90"/>
  <c r="FO295" i="90"/>
  <c r="FO297" i="90"/>
  <c r="FO299" i="90"/>
  <c r="FO301" i="90"/>
  <c r="FO303" i="90"/>
  <c r="FO305" i="90"/>
  <c r="FO307" i="90"/>
  <c r="FO309" i="90"/>
  <c r="FO311" i="90"/>
  <c r="FO313" i="90"/>
  <c r="FO315" i="90"/>
  <c r="FO317" i="90"/>
  <c r="FO262" i="90"/>
  <c r="FO264" i="90"/>
  <c r="FO266" i="90"/>
  <c r="FO268" i="90"/>
  <c r="FO270" i="90"/>
  <c r="FO272" i="90"/>
  <c r="FO274" i="90"/>
  <c r="FO276" i="90"/>
  <c r="FO278" i="90"/>
  <c r="FO280" i="90"/>
  <c r="FO282" i="90"/>
  <c r="FO284" i="90"/>
  <c r="FO286" i="90"/>
  <c r="FO288" i="90"/>
  <c r="FO290" i="90"/>
  <c r="FO292" i="90"/>
  <c r="FO294" i="90"/>
  <c r="FO296" i="90"/>
  <c r="FO298" i="90"/>
  <c r="FO300" i="90"/>
  <c r="FO302" i="90"/>
  <c r="FO304" i="90"/>
  <c r="FO306" i="90"/>
  <c r="FO308" i="90"/>
  <c r="FO310" i="90"/>
  <c r="FO312" i="90"/>
  <c r="FO314" i="90"/>
  <c r="FO316" i="90"/>
  <c r="FO318" i="90"/>
  <c r="FO220" i="90"/>
  <c r="FO319" i="90"/>
  <c r="BT438" i="90"/>
  <c r="BT446" i="90" s="1"/>
  <c r="CI443" i="90"/>
  <c r="BO445" i="90"/>
  <c r="BO443" i="90"/>
  <c r="BL442" i="90"/>
  <c r="BO441" i="90"/>
  <c r="CQ441" i="90"/>
  <c r="BK444" i="90"/>
  <c r="DI442" i="90"/>
  <c r="BV444" i="90"/>
  <c r="CA438" i="90"/>
  <c r="CA442" i="90" s="1"/>
  <c r="BQ438" i="90"/>
  <c r="BQ444" i="90" s="1"/>
  <c r="BL440" i="90"/>
  <c r="BL444" i="90"/>
  <c r="BL441" i="90"/>
  <c r="BL445" i="90"/>
  <c r="BL443" i="90"/>
  <c r="CR445" i="90"/>
  <c r="CW438" i="90"/>
  <c r="CW441" i="90" s="1"/>
  <c r="BS438" i="90"/>
  <c r="BS441" i="90" s="1"/>
  <c r="BK441" i="90"/>
  <c r="BW443" i="90"/>
  <c r="DC441" i="90"/>
  <c r="DI440" i="90"/>
  <c r="BO446" i="90"/>
  <c r="BO442" i="90"/>
  <c r="BW445" i="90"/>
  <c r="CE443" i="90"/>
  <c r="CQ445" i="90"/>
  <c r="DM440" i="90"/>
  <c r="CS446" i="90"/>
  <c r="DC443" i="90"/>
  <c r="DD438" i="90"/>
  <c r="DP438" i="90"/>
  <c r="CL438" i="90"/>
  <c r="CV438" i="90"/>
  <c r="CV443" i="90" s="1"/>
  <c r="DF438" i="90"/>
  <c r="DF445" i="90" s="1"/>
  <c r="BK446" i="90"/>
  <c r="BO444" i="90"/>
  <c r="BW441" i="90"/>
  <c r="CE441" i="90"/>
  <c r="CE445" i="90"/>
  <c r="CQ443" i="90"/>
  <c r="DA440" i="90"/>
  <c r="BP438" i="90"/>
  <c r="BP445" i="90" s="1"/>
  <c r="CK438" i="90"/>
  <c r="CK441" i="90" s="1"/>
  <c r="CU438" i="90"/>
  <c r="CU443" i="90" s="1"/>
  <c r="DE438" i="90"/>
  <c r="DE441" i="90" s="1"/>
  <c r="BK445" i="90"/>
  <c r="BU442" i="90"/>
  <c r="CI441" i="90"/>
  <c r="CI445" i="90"/>
  <c r="DC445" i="90"/>
  <c r="CM444" i="90"/>
  <c r="CM440" i="90"/>
  <c r="CM446" i="90"/>
  <c r="CM442" i="90"/>
  <c r="CM445" i="90"/>
  <c r="BY445" i="90"/>
  <c r="BY441" i="90"/>
  <c r="BY443" i="90"/>
  <c r="CD438" i="90"/>
  <c r="BY440" i="90"/>
  <c r="BY446" i="90"/>
  <c r="CM443" i="90"/>
  <c r="CM441" i="90"/>
  <c r="BY444" i="90"/>
  <c r="CH444" i="90"/>
  <c r="CH440" i="90"/>
  <c r="CH443" i="90"/>
  <c r="CH446" i="90"/>
  <c r="CH442" i="90"/>
  <c r="CH445" i="90"/>
  <c r="CH441" i="90"/>
  <c r="BM441" i="90"/>
  <c r="BM443" i="90"/>
  <c r="BM445" i="90"/>
  <c r="BR438" i="90"/>
  <c r="BM440" i="90"/>
  <c r="BM442" i="90"/>
  <c r="BM444" i="90"/>
  <c r="BM446" i="90"/>
  <c r="CB445" i="90"/>
  <c r="CB441" i="90"/>
  <c r="CB444" i="90"/>
  <c r="CB440" i="90"/>
  <c r="CB443" i="90"/>
  <c r="CB446" i="90"/>
  <c r="CB442" i="90"/>
  <c r="CN445" i="90"/>
  <c r="CN441" i="90"/>
  <c r="CN444" i="90"/>
  <c r="CN440" i="90"/>
  <c r="CN443" i="90"/>
  <c r="CN446" i="90"/>
  <c r="CN442" i="90"/>
  <c r="CS443" i="90"/>
  <c r="CX438" i="90"/>
  <c r="CS445" i="90"/>
  <c r="CS441" i="90"/>
  <c r="DH443" i="90"/>
  <c r="DH446" i="90"/>
  <c r="DH442" i="90"/>
  <c r="DH445" i="90"/>
  <c r="DH441" i="90"/>
  <c r="DH444" i="90"/>
  <c r="DH440" i="90"/>
  <c r="DM445" i="90"/>
  <c r="DM441" i="90"/>
  <c r="DR438" i="90"/>
  <c r="DM443" i="90"/>
  <c r="CS440" i="90"/>
  <c r="DA446" i="90"/>
  <c r="DM442" i="90"/>
  <c r="BU446" i="90"/>
  <c r="CT438" i="90"/>
  <c r="DI443" i="90"/>
  <c r="DN438" i="90"/>
  <c r="DI445" i="90"/>
  <c r="DI441" i="90"/>
  <c r="DI444" i="90"/>
  <c r="CS442" i="90"/>
  <c r="DM444" i="90"/>
  <c r="BU443" i="90"/>
  <c r="BZ438" i="90"/>
  <c r="BU445" i="90"/>
  <c r="BU441" i="90"/>
  <c r="DA445" i="90"/>
  <c r="DA441" i="90"/>
  <c r="DA443" i="90"/>
  <c r="BU444" i="90"/>
  <c r="DA442" i="90"/>
  <c r="BK440" i="90"/>
  <c r="BN446" i="90"/>
  <c r="BN444" i="90"/>
  <c r="BN442" i="90"/>
  <c r="BN440" i="90"/>
  <c r="BW440" i="90"/>
  <c r="BW444" i="90"/>
  <c r="CI440" i="90"/>
  <c r="CE442" i="90"/>
  <c r="CI444" i="90"/>
  <c r="CE446" i="90"/>
  <c r="CQ442" i="90"/>
  <c r="CQ446" i="90"/>
  <c r="DC442" i="90"/>
  <c r="DC446" i="90"/>
  <c r="BX440" i="90"/>
  <c r="BV441" i="90"/>
  <c r="BX444" i="90"/>
  <c r="BV445" i="90"/>
  <c r="CF442" i="90"/>
  <c r="CF446" i="90"/>
  <c r="CR442" i="90"/>
  <c r="CP443" i="90"/>
  <c r="CR446" i="90"/>
  <c r="CZ440" i="90"/>
  <c r="DB443" i="90"/>
  <c r="CZ444" i="90"/>
  <c r="DL440" i="90"/>
  <c r="DJ441" i="90"/>
  <c r="DL444" i="90"/>
  <c r="DJ445" i="90"/>
  <c r="BX441" i="90"/>
  <c r="BV442" i="90"/>
  <c r="BX445" i="90"/>
  <c r="BV446" i="90"/>
  <c r="CF443" i="90"/>
  <c r="CP440" i="90"/>
  <c r="CR443" i="90"/>
  <c r="CP444" i="90"/>
  <c r="DB440" i="90"/>
  <c r="CZ441" i="90"/>
  <c r="DB444" i="90"/>
  <c r="CZ445" i="90"/>
  <c r="DL441" i="90"/>
  <c r="DJ442" i="90"/>
  <c r="DL445" i="90"/>
  <c r="DJ446" i="90"/>
  <c r="CC438" i="90"/>
  <c r="CJ438" i="90"/>
  <c r="DG438" i="90"/>
  <c r="BK443" i="90"/>
  <c r="BN445" i="90"/>
  <c r="BN443" i="90"/>
  <c r="BW442" i="90"/>
  <c r="BW446" i="90"/>
  <c r="CE440" i="90"/>
  <c r="CI442" i="90"/>
  <c r="CI446" i="90"/>
  <c r="CQ440" i="90"/>
  <c r="DC440" i="90"/>
  <c r="DC444" i="90"/>
  <c r="DQ438" i="90"/>
  <c r="BX442" i="90"/>
  <c r="BV443" i="90"/>
  <c r="BX446" i="90"/>
  <c r="CF440" i="90"/>
  <c r="CF444" i="90"/>
  <c r="CR440" i="90"/>
  <c r="CP441" i="90"/>
  <c r="CR444" i="90"/>
  <c r="CP445" i="90"/>
  <c r="DB441" i="90"/>
  <c r="CZ442" i="90"/>
  <c r="DB445" i="90"/>
  <c r="CZ446" i="90"/>
  <c r="DL442" i="90"/>
  <c r="DJ443" i="90"/>
  <c r="DL446" i="90"/>
  <c r="DO438" i="90"/>
  <c r="BV440" i="90"/>
  <c r="CF441" i="90"/>
  <c r="CR441" i="90"/>
  <c r="CP442" i="90"/>
  <c r="DB442" i="90"/>
  <c r="DJ440" i="90"/>
  <c r="DM230" i="90"/>
  <c r="DL230" i="90"/>
  <c r="DK230" i="90"/>
  <c r="DJ230" i="90"/>
  <c r="DI230" i="90"/>
  <c r="DC230" i="90"/>
  <c r="DB230" i="90"/>
  <c r="DG230" i="90" s="1"/>
  <c r="DA230" i="90"/>
  <c r="CZ230" i="90"/>
  <c r="CY230" i="90"/>
  <c r="CS230" i="90"/>
  <c r="CX230" i="90" s="1"/>
  <c r="CR230" i="90"/>
  <c r="CQ230" i="90"/>
  <c r="CP230" i="90"/>
  <c r="CO230" i="90"/>
  <c r="CI230" i="90"/>
  <c r="CH230" i="90"/>
  <c r="CG230" i="90"/>
  <c r="CF230" i="90"/>
  <c r="CK230" i="90" s="1"/>
  <c r="CE230" i="90"/>
  <c r="BY230" i="90"/>
  <c r="BX230" i="90"/>
  <c r="CC230" i="90" s="1"/>
  <c r="BW230" i="90"/>
  <c r="BV230" i="90"/>
  <c r="BU230" i="90"/>
  <c r="BZ230" i="90" s="1"/>
  <c r="BO230" i="90"/>
  <c r="BN230" i="90"/>
  <c r="BS230" i="90" s="1"/>
  <c r="BM230" i="90"/>
  <c r="BR230" i="90" s="1"/>
  <c r="BL230" i="90"/>
  <c r="BK230" i="90"/>
  <c r="A18" i="89"/>
  <c r="A17" i="89"/>
  <c r="A16" i="89"/>
  <c r="A15" i="89"/>
  <c r="A14" i="89"/>
  <c r="EE357" i="90" l="1"/>
  <c r="EE390" i="90"/>
  <c r="EE348" i="90"/>
  <c r="EE383" i="90"/>
  <c r="DY359" i="90"/>
  <c r="EE416" i="90"/>
  <c r="EE400" i="90"/>
  <c r="EE368" i="90"/>
  <c r="EE328" i="90"/>
  <c r="DY415" i="90"/>
  <c r="EE409" i="90"/>
  <c r="EE393" i="90"/>
  <c r="EE337" i="90"/>
  <c r="EE380" i="90"/>
  <c r="EE363" i="90"/>
  <c r="EE347" i="90"/>
  <c r="DY356" i="90"/>
  <c r="EE401" i="90"/>
  <c r="EE369" i="90"/>
  <c r="EE329" i="90"/>
  <c r="DY416" i="90"/>
  <c r="EE417" i="90"/>
  <c r="EE388" i="90"/>
  <c r="EE355" i="90"/>
  <c r="EE421" i="90"/>
  <c r="EE414" i="90"/>
  <c r="EE398" i="90"/>
  <c r="EE366" i="90"/>
  <c r="EE342" i="90"/>
  <c r="EE326" i="90"/>
  <c r="EE341" i="90"/>
  <c r="EE350" i="90"/>
  <c r="EE420" i="90"/>
  <c r="EE404" i="90"/>
  <c r="EE364" i="90"/>
  <c r="EE332" i="90"/>
  <c r="EE391" i="90"/>
  <c r="EE373" i="90"/>
  <c r="EE358" i="90"/>
  <c r="EE412" i="90"/>
  <c r="EE396" i="90"/>
  <c r="EE324" i="90"/>
  <c r="DY324" i="90"/>
  <c r="EE405" i="90"/>
  <c r="EE333" i="90"/>
  <c r="DY381" i="90"/>
  <c r="EE340" i="90"/>
  <c r="DY340" i="90"/>
  <c r="EE403" i="90"/>
  <c r="DY345" i="90"/>
  <c r="EE419" i="90"/>
  <c r="EA375" i="90"/>
  <c r="EE411" i="90"/>
  <c r="EE395" i="90"/>
  <c r="EE339" i="90"/>
  <c r="DY410" i="90"/>
  <c r="DY403" i="90"/>
  <c r="DY364" i="90"/>
  <c r="DY385" i="90"/>
  <c r="DY353" i="90"/>
  <c r="EE351" i="90"/>
  <c r="EE382" i="90"/>
  <c r="EE349" i="90"/>
  <c r="DY397" i="90"/>
  <c r="EA325" i="90"/>
  <c r="EE371" i="90"/>
  <c r="EE331" i="90"/>
  <c r="DY418" i="90"/>
  <c r="EA413" i="90"/>
  <c r="EE415" i="90"/>
  <c r="EE399" i="90"/>
  <c r="EE367" i="90"/>
  <c r="EE376" i="90"/>
  <c r="EE359" i="90"/>
  <c r="EE343" i="90"/>
  <c r="EE327" i="90"/>
  <c r="EE352" i="90"/>
  <c r="DY414" i="90"/>
  <c r="DY366" i="90"/>
  <c r="DY407" i="90"/>
  <c r="DY327" i="90"/>
  <c r="EA419" i="90"/>
  <c r="EA411" i="90"/>
  <c r="EA355" i="90"/>
  <c r="EE413" i="90"/>
  <c r="EE397" i="90"/>
  <c r="EE365" i="90"/>
  <c r="EE406" i="90"/>
  <c r="EE374" i="90"/>
  <c r="EE325" i="90"/>
  <c r="EE334" i="90"/>
  <c r="DY405" i="90"/>
  <c r="EE361" i="90"/>
  <c r="EE372" i="90"/>
  <c r="DY332" i="90"/>
  <c r="EA384" i="90"/>
  <c r="EA337" i="90"/>
  <c r="EA329" i="90"/>
  <c r="EE378" i="90"/>
  <c r="DY361" i="90"/>
  <c r="EE422" i="90"/>
  <c r="EE377" i="90"/>
  <c r="EE386" i="90"/>
  <c r="EE385" i="90"/>
  <c r="EE345" i="90"/>
  <c r="EE323" i="90"/>
  <c r="EE407" i="90"/>
  <c r="EE375" i="90"/>
  <c r="EE384" i="90"/>
  <c r="EE335" i="90"/>
  <c r="EE360" i="90"/>
  <c r="EE344" i="90"/>
  <c r="DY383" i="90"/>
  <c r="DY367" i="90"/>
  <c r="EA323" i="90"/>
  <c r="EA415" i="90"/>
  <c r="EA371" i="90"/>
  <c r="EA342" i="90"/>
  <c r="EE418" i="90"/>
  <c r="EE402" i="90"/>
  <c r="EE370" i="90"/>
  <c r="EE353" i="90"/>
  <c r="EE330" i="90"/>
  <c r="DY351" i="90"/>
  <c r="EE389" i="90"/>
  <c r="EA405" i="90"/>
  <c r="EA397" i="90"/>
  <c r="EE356" i="90"/>
  <c r="DY370" i="90"/>
  <c r="DY395" i="90"/>
  <c r="EA324" i="90"/>
  <c r="EE410" i="90"/>
  <c r="EE394" i="90"/>
  <c r="EE338" i="90"/>
  <c r="DY343" i="90"/>
  <c r="EE381" i="90"/>
  <c r="EA350" i="90"/>
  <c r="DY360" i="90"/>
  <c r="DY344" i="90"/>
  <c r="DY328" i="90"/>
  <c r="DY404" i="90"/>
  <c r="DY413" i="90"/>
  <c r="DY365" i="90"/>
  <c r="DY333" i="90"/>
  <c r="EA422" i="90"/>
  <c r="EA414" i="90"/>
  <c r="EA389" i="90"/>
  <c r="EA381" i="90"/>
  <c r="EA359" i="90"/>
  <c r="EA328" i="90"/>
  <c r="DY409" i="90"/>
  <c r="DY377" i="90"/>
  <c r="EA340" i="90"/>
  <c r="DY398" i="90"/>
  <c r="DY352" i="90"/>
  <c r="DY396" i="90"/>
  <c r="DY380" i="90"/>
  <c r="DY421" i="90"/>
  <c r="DY373" i="90"/>
  <c r="DY417" i="90"/>
  <c r="DY369" i="90"/>
  <c r="DY337" i="90"/>
  <c r="DY420" i="90"/>
  <c r="DY388" i="90"/>
  <c r="DY372" i="90"/>
  <c r="DY349" i="90"/>
  <c r="DY358" i="90"/>
  <c r="DY342" i="90"/>
  <c r="DY326" i="90"/>
  <c r="EA370" i="90"/>
  <c r="EA352" i="90"/>
  <c r="EA334" i="90"/>
  <c r="EE387" i="90"/>
  <c r="DY402" i="90"/>
  <c r="DY379" i="90"/>
  <c r="DY363" i="90"/>
  <c r="DY347" i="90"/>
  <c r="EA421" i="90"/>
  <c r="EA380" i="90"/>
  <c r="EA362" i="90"/>
  <c r="EE354" i="90"/>
  <c r="DY400" i="90"/>
  <c r="DY384" i="90"/>
  <c r="DY368" i="90"/>
  <c r="DY329" i="90"/>
  <c r="EA420" i="90"/>
  <c r="EA412" i="90"/>
  <c r="EE408" i="90"/>
  <c r="EE392" i="90"/>
  <c r="EE336" i="90"/>
  <c r="DY382" i="90"/>
  <c r="DY391" i="90"/>
  <c r="DY375" i="90"/>
  <c r="DY336" i="90"/>
  <c r="EA402" i="90"/>
  <c r="EA394" i="90"/>
  <c r="EA386" i="90"/>
  <c r="EA378" i="90"/>
  <c r="EA367" i="90"/>
  <c r="EA347" i="90"/>
  <c r="EA339" i="90"/>
  <c r="DY412" i="90"/>
  <c r="DY341" i="90"/>
  <c r="DY350" i="90"/>
  <c r="EA418" i="90"/>
  <c r="EA410" i="90"/>
  <c r="EA376" i="90"/>
  <c r="EA374" i="90"/>
  <c r="EA354" i="90"/>
  <c r="EE379" i="90"/>
  <c r="DY394" i="90"/>
  <c r="DY387" i="90"/>
  <c r="DY355" i="90"/>
  <c r="DE445" i="90"/>
  <c r="EE362" i="90"/>
  <c r="EE346" i="90"/>
  <c r="DY323" i="90"/>
  <c r="DY408" i="90"/>
  <c r="DY392" i="90"/>
  <c r="DY376" i="90"/>
  <c r="DY362" i="90"/>
  <c r="EA399" i="90"/>
  <c r="EA391" i="90"/>
  <c r="EA383" i="90"/>
  <c r="EA364" i="90"/>
  <c r="EA336" i="90"/>
  <c r="EA327" i="90"/>
  <c r="DY401" i="90"/>
  <c r="DY346" i="90"/>
  <c r="DY330" i="90"/>
  <c r="EA408" i="90"/>
  <c r="EA416" i="90"/>
  <c r="EA407" i="90"/>
  <c r="EA358" i="90"/>
  <c r="DY422" i="90"/>
  <c r="DY406" i="90"/>
  <c r="DY390" i="90"/>
  <c r="DY374" i="90"/>
  <c r="DY399" i="90"/>
  <c r="DY335" i="90"/>
  <c r="EA406" i="90"/>
  <c r="EA398" i="90"/>
  <c r="EA382" i="90"/>
  <c r="EA361" i="90"/>
  <c r="EA343" i="90"/>
  <c r="EA335" i="90"/>
  <c r="EA326" i="90"/>
  <c r="DY386" i="90"/>
  <c r="DY411" i="90"/>
  <c r="DY331" i="90"/>
  <c r="EA404" i="90"/>
  <c r="EA396" i="90"/>
  <c r="EA388" i="90"/>
  <c r="EA369" i="90"/>
  <c r="EA357" i="90"/>
  <c r="EA349" i="90"/>
  <c r="EA333" i="90"/>
  <c r="DY393" i="90"/>
  <c r="DY354" i="90"/>
  <c r="DY338" i="90"/>
  <c r="EA403" i="90"/>
  <c r="EA395" i="90"/>
  <c r="EA387" i="90"/>
  <c r="EA379" i="90"/>
  <c r="EA360" i="90"/>
  <c r="EA332" i="90"/>
  <c r="BS442" i="90"/>
  <c r="DY389" i="90"/>
  <c r="DY357" i="90"/>
  <c r="DY325" i="90"/>
  <c r="DY334" i="90"/>
  <c r="EA401" i="90"/>
  <c r="EA393" i="90"/>
  <c r="EA385" i="90"/>
  <c r="EA366" i="90"/>
  <c r="EA346" i="90"/>
  <c r="EA338" i="90"/>
  <c r="EA330" i="90"/>
  <c r="DY378" i="90"/>
  <c r="DY419" i="90"/>
  <c r="DY371" i="90"/>
  <c r="DY339" i="90"/>
  <c r="DY348" i="90"/>
  <c r="EA417" i="90"/>
  <c r="EA409" i="90"/>
  <c r="EA400" i="90"/>
  <c r="EA392" i="90"/>
  <c r="EA377" i="90"/>
  <c r="EA373" i="90"/>
  <c r="EA365" i="90"/>
  <c r="EA351" i="90"/>
  <c r="EA345" i="90"/>
  <c r="EA341" i="90"/>
  <c r="CA446" i="90"/>
  <c r="EA390" i="90"/>
  <c r="EA363" i="90"/>
  <c r="EA331" i="90"/>
  <c r="EA368" i="90"/>
  <c r="EA356" i="90"/>
  <c r="EA348" i="90"/>
  <c r="EA372" i="90"/>
  <c r="EA353" i="90"/>
  <c r="EA344" i="90"/>
  <c r="BK455" i="90"/>
  <c r="BK456" i="90"/>
  <c r="CV444" i="90"/>
  <c r="CV446" i="90"/>
  <c r="CV440" i="90"/>
  <c r="BS444" i="90"/>
  <c r="BQ441" i="90"/>
  <c r="BQ442" i="90"/>
  <c r="BQ440" i="90"/>
  <c r="CV442" i="90"/>
  <c r="BS440" i="90"/>
  <c r="CA440" i="90"/>
  <c r="BS445" i="90"/>
  <c r="CA444" i="90"/>
  <c r="BQ443" i="90"/>
  <c r="CA443" i="90"/>
  <c r="BS443" i="90"/>
  <c r="BS446" i="90"/>
  <c r="BQ445" i="90"/>
  <c r="BT443" i="90"/>
  <c r="BQ446" i="90"/>
  <c r="BT441" i="90"/>
  <c r="CK233" i="90"/>
  <c r="CK235" i="90"/>
  <c r="CK237" i="90"/>
  <c r="CK239" i="90"/>
  <c r="CK234" i="90"/>
  <c r="CK236" i="90"/>
  <c r="CK238" i="90"/>
  <c r="CK240" i="90"/>
  <c r="CK242" i="90"/>
  <c r="CK244" i="90"/>
  <c r="CK246" i="90"/>
  <c r="CK241" i="90"/>
  <c r="CK245" i="90"/>
  <c r="CK247" i="90"/>
  <c r="CK249" i="90"/>
  <c r="CK251" i="90"/>
  <c r="CK253" i="90"/>
  <c r="CK255" i="90"/>
  <c r="CK243" i="90"/>
  <c r="CK250" i="90"/>
  <c r="CK252" i="90"/>
  <c r="CK254" i="90"/>
  <c r="CK258" i="90"/>
  <c r="CK260" i="90"/>
  <c r="CK262" i="90"/>
  <c r="CK264" i="90"/>
  <c r="CK257" i="90"/>
  <c r="CK259" i="90"/>
  <c r="CK261" i="90"/>
  <c r="CK248" i="90"/>
  <c r="CK272" i="90"/>
  <c r="CK268" i="90"/>
  <c r="CK276" i="90"/>
  <c r="CK256" i="90"/>
  <c r="CK266" i="90"/>
  <c r="CK275" i="90"/>
  <c r="CK278" i="90"/>
  <c r="CK284" i="90"/>
  <c r="CK286" i="90"/>
  <c r="CK288" i="90"/>
  <c r="CK290" i="90"/>
  <c r="CK271" i="90"/>
  <c r="CK267" i="90"/>
  <c r="CK277" i="90"/>
  <c r="CK265" i="90"/>
  <c r="CK273" i="90"/>
  <c r="CK282" i="90"/>
  <c r="CK285" i="90"/>
  <c r="CK287" i="90"/>
  <c r="CK289" i="90"/>
  <c r="CK291" i="90"/>
  <c r="CK263" i="90"/>
  <c r="CK269" i="90"/>
  <c r="CK270" i="90"/>
  <c r="CK281" i="90"/>
  <c r="CK283" i="90"/>
  <c r="CK298" i="90"/>
  <c r="CK295" i="90"/>
  <c r="CK292" i="90"/>
  <c r="CK297" i="90"/>
  <c r="CK294" i="90"/>
  <c r="CK302" i="90"/>
  <c r="CK280" i="90"/>
  <c r="CK279" i="90"/>
  <c r="CK296" i="90"/>
  <c r="CK274" i="90"/>
  <c r="CK293" i="90"/>
  <c r="CK301" i="90"/>
  <c r="CK300" i="90"/>
  <c r="CK306" i="90"/>
  <c r="CK309" i="90"/>
  <c r="CK328" i="90"/>
  <c r="CK299" i="90"/>
  <c r="CK314" i="90"/>
  <c r="CK322" i="90"/>
  <c r="CK305" i="90"/>
  <c r="CK311" i="90"/>
  <c r="CK319" i="90"/>
  <c r="CK327" i="90"/>
  <c r="CK308" i="90"/>
  <c r="CK316" i="90"/>
  <c r="CK324" i="90"/>
  <c r="CK313" i="90"/>
  <c r="CK321" i="90"/>
  <c r="CK232" i="90"/>
  <c r="CK304" i="90"/>
  <c r="CK329" i="90"/>
  <c r="CK331" i="90"/>
  <c r="CK326" i="90"/>
  <c r="CK310" i="90"/>
  <c r="CK318" i="90"/>
  <c r="CK303" i="90"/>
  <c r="CK307" i="90"/>
  <c r="CK315" i="90"/>
  <c r="CK323" i="90"/>
  <c r="CK312" i="90"/>
  <c r="CK320" i="90"/>
  <c r="CK317" i="90"/>
  <c r="CK325" i="90"/>
  <c r="CK330" i="90"/>
  <c r="BZ232" i="90"/>
  <c r="BZ234" i="90"/>
  <c r="BZ236" i="90"/>
  <c r="BZ238" i="90"/>
  <c r="BZ240" i="90"/>
  <c r="BZ242" i="90"/>
  <c r="BZ235" i="90"/>
  <c r="BZ245" i="90"/>
  <c r="BZ247" i="90"/>
  <c r="BZ249" i="90"/>
  <c r="BZ251" i="90"/>
  <c r="BZ253" i="90"/>
  <c r="BZ255" i="90"/>
  <c r="BZ233" i="90"/>
  <c r="BZ239" i="90"/>
  <c r="BZ246" i="90"/>
  <c r="BZ237" i="90"/>
  <c r="BZ244" i="90"/>
  <c r="BZ254" i="90"/>
  <c r="BZ241" i="90"/>
  <c r="BZ248" i="90"/>
  <c r="BZ258" i="90"/>
  <c r="BZ243" i="90"/>
  <c r="BZ262" i="90"/>
  <c r="BZ263" i="90"/>
  <c r="BZ250" i="90"/>
  <c r="BZ256" i="90"/>
  <c r="BZ272" i="90"/>
  <c r="BZ260" i="90"/>
  <c r="BZ268" i="90"/>
  <c r="BZ276" i="90"/>
  <c r="BZ265" i="90"/>
  <c r="BZ274" i="90"/>
  <c r="BZ278" i="90"/>
  <c r="BZ270" i="90"/>
  <c r="BZ252" i="90"/>
  <c r="BZ257" i="90"/>
  <c r="BZ271" i="90"/>
  <c r="BZ259" i="90"/>
  <c r="BZ266" i="90"/>
  <c r="BZ267" i="90"/>
  <c r="BZ282" i="90"/>
  <c r="BZ264" i="90"/>
  <c r="BZ261" i="90"/>
  <c r="BZ273" i="90"/>
  <c r="BZ269" i="90"/>
  <c r="BZ281" i="90"/>
  <c r="BZ287" i="90"/>
  <c r="BZ291" i="90"/>
  <c r="BZ298" i="90"/>
  <c r="BZ280" i="90"/>
  <c r="BZ295" i="90"/>
  <c r="BZ279" i="90"/>
  <c r="BZ286" i="90"/>
  <c r="BZ290" i="90"/>
  <c r="BZ292" i="90"/>
  <c r="BZ297" i="90"/>
  <c r="BZ303" i="90"/>
  <c r="BZ305" i="90"/>
  <c r="BZ307" i="90"/>
  <c r="BZ309" i="90"/>
  <c r="BZ311" i="90"/>
  <c r="BZ313" i="90"/>
  <c r="BZ315" i="90"/>
  <c r="BZ317" i="90"/>
  <c r="BZ319" i="90"/>
  <c r="BZ321" i="90"/>
  <c r="BZ323" i="90"/>
  <c r="BZ325" i="90"/>
  <c r="BZ327" i="90"/>
  <c r="BZ283" i="90"/>
  <c r="BZ285" i="90"/>
  <c r="BZ289" i="90"/>
  <c r="BZ294" i="90"/>
  <c r="BZ302" i="90"/>
  <c r="BZ275" i="90"/>
  <c r="BZ277" i="90"/>
  <c r="BZ284" i="90"/>
  <c r="BZ288" i="90"/>
  <c r="BZ296" i="90"/>
  <c r="BZ293" i="90"/>
  <c r="BZ301" i="90"/>
  <c r="BZ304" i="90"/>
  <c r="BZ306" i="90"/>
  <c r="BZ308" i="90"/>
  <c r="BZ310" i="90"/>
  <c r="BZ312" i="90"/>
  <c r="BZ314" i="90"/>
  <c r="BZ316" i="90"/>
  <c r="BZ318" i="90"/>
  <c r="BZ320" i="90"/>
  <c r="BZ322" i="90"/>
  <c r="BZ324" i="90"/>
  <c r="BZ326" i="90"/>
  <c r="BZ329" i="90"/>
  <c r="BZ331" i="90"/>
  <c r="BZ300" i="90"/>
  <c r="BZ328" i="90"/>
  <c r="BZ330" i="90"/>
  <c r="BZ299" i="90"/>
  <c r="BL232" i="90"/>
  <c r="BL233" i="90"/>
  <c r="BL235" i="90"/>
  <c r="BL237" i="90"/>
  <c r="BL239" i="90"/>
  <c r="BL241" i="90"/>
  <c r="BL243" i="90"/>
  <c r="BL234" i="90"/>
  <c r="BL236" i="90"/>
  <c r="BL238" i="90"/>
  <c r="BL240" i="90"/>
  <c r="BL242" i="90"/>
  <c r="BL244" i="90"/>
  <c r="BL245" i="90"/>
  <c r="BL247" i="90"/>
  <c r="BL249" i="90"/>
  <c r="BL251" i="90"/>
  <c r="BL254" i="90"/>
  <c r="BL246" i="90"/>
  <c r="BL252" i="90"/>
  <c r="BL260" i="90"/>
  <c r="BL263" i="90"/>
  <c r="BL267" i="90"/>
  <c r="BL269" i="90"/>
  <c r="BL271" i="90"/>
  <c r="BL273" i="90"/>
  <c r="BL275" i="90"/>
  <c r="BL277" i="90"/>
  <c r="BL248" i="90"/>
  <c r="BL268" i="90"/>
  <c r="BL270" i="90"/>
  <c r="BL272" i="90"/>
  <c r="BL274" i="90"/>
  <c r="BL276" i="90"/>
  <c r="BL262" i="90"/>
  <c r="BL279" i="90"/>
  <c r="BL281" i="90"/>
  <c r="BL283" i="90"/>
  <c r="BL256" i="90"/>
  <c r="BL258" i="90"/>
  <c r="BL265" i="90"/>
  <c r="BL266" i="90"/>
  <c r="BL278" i="90"/>
  <c r="BL280" i="90"/>
  <c r="BL282" i="90"/>
  <c r="BL264" i="90"/>
  <c r="BL250" i="90"/>
  <c r="BL255" i="90"/>
  <c r="BL259" i="90"/>
  <c r="BL261" i="90"/>
  <c r="BL285" i="90"/>
  <c r="BL287" i="90"/>
  <c r="BL289" i="90"/>
  <c r="BL291" i="90"/>
  <c r="BL293" i="90"/>
  <c r="BL295" i="90"/>
  <c r="BL297" i="90"/>
  <c r="BL299" i="90"/>
  <c r="BL301" i="90"/>
  <c r="BL303" i="90"/>
  <c r="BL253" i="90"/>
  <c r="BL257" i="90"/>
  <c r="BL284" i="90"/>
  <c r="BL286" i="90"/>
  <c r="BL288" i="90"/>
  <c r="BL290" i="90"/>
  <c r="BL292" i="90"/>
  <c r="BL294" i="90"/>
  <c r="BL296" i="90"/>
  <c r="BL298" i="90"/>
  <c r="BL300" i="90"/>
  <c r="BL302" i="90"/>
  <c r="BL308" i="90"/>
  <c r="BL316" i="90"/>
  <c r="BL307" i="90"/>
  <c r="BL313" i="90"/>
  <c r="BL321" i="90"/>
  <c r="BL310" i="90"/>
  <c r="BL318" i="90"/>
  <c r="BL326" i="90"/>
  <c r="BL306" i="90"/>
  <c r="BL315" i="90"/>
  <c r="BL323" i="90"/>
  <c r="BL329" i="90"/>
  <c r="BL331" i="90"/>
  <c r="BL320" i="90"/>
  <c r="BL325" i="90"/>
  <c r="BL312" i="90"/>
  <c r="BL305" i="90"/>
  <c r="BL309" i="90"/>
  <c r="BL317" i="90"/>
  <c r="BL314" i="90"/>
  <c r="BL322" i="90"/>
  <c r="BL304" i="90"/>
  <c r="BL311" i="90"/>
  <c r="BL319" i="90"/>
  <c r="BL327" i="90"/>
  <c r="BL328" i="90"/>
  <c r="BL330" i="90"/>
  <c r="BL324" i="90"/>
  <c r="CX234" i="90"/>
  <c r="CX236" i="90"/>
  <c r="CX238" i="90"/>
  <c r="CX240" i="90"/>
  <c r="CX242" i="90"/>
  <c r="CX233" i="90"/>
  <c r="CX241" i="90"/>
  <c r="CX245" i="90"/>
  <c r="CX247" i="90"/>
  <c r="CX249" i="90"/>
  <c r="CX251" i="90"/>
  <c r="CX253" i="90"/>
  <c r="CX255" i="90"/>
  <c r="CX239" i="90"/>
  <c r="CX243" i="90"/>
  <c r="CX237" i="90"/>
  <c r="CX244" i="90"/>
  <c r="CX246" i="90"/>
  <c r="CX235" i="90"/>
  <c r="CX250" i="90"/>
  <c r="CX248" i="90"/>
  <c r="CX254" i="90"/>
  <c r="CX256" i="90"/>
  <c r="CX260" i="90"/>
  <c r="CX262" i="90"/>
  <c r="CX259" i="90"/>
  <c r="CX270" i="90"/>
  <c r="CX257" i="90"/>
  <c r="CX266" i="90"/>
  <c r="CX274" i="90"/>
  <c r="CX265" i="90"/>
  <c r="CX271" i="90"/>
  <c r="CX263" i="90"/>
  <c r="CX267" i="90"/>
  <c r="CX258" i="90"/>
  <c r="CX272" i="90"/>
  <c r="CX268" i="90"/>
  <c r="CX283" i="90"/>
  <c r="CX273" i="90"/>
  <c r="CX280" i="90"/>
  <c r="CX252" i="90"/>
  <c r="CX261" i="90"/>
  <c r="CX264" i="90"/>
  <c r="CX269" i="90"/>
  <c r="CX275" i="90"/>
  <c r="CX279" i="90"/>
  <c r="CX281" i="90"/>
  <c r="CX285" i="90"/>
  <c r="CX289" i="90"/>
  <c r="CX296" i="90"/>
  <c r="CX293" i="90"/>
  <c r="CX284" i="90"/>
  <c r="CX288" i="90"/>
  <c r="CX298" i="90"/>
  <c r="CX295" i="90"/>
  <c r="CX303" i="90"/>
  <c r="CX305" i="90"/>
  <c r="CX307" i="90"/>
  <c r="CX309" i="90"/>
  <c r="CX311" i="90"/>
  <c r="CX313" i="90"/>
  <c r="CX315" i="90"/>
  <c r="CX317" i="90"/>
  <c r="CX319" i="90"/>
  <c r="CX321" i="90"/>
  <c r="CX323" i="90"/>
  <c r="CX325" i="90"/>
  <c r="CX327" i="90"/>
  <c r="CX276" i="90"/>
  <c r="CX287" i="90"/>
  <c r="CX292" i="90"/>
  <c r="CX300" i="90"/>
  <c r="CX278" i="90"/>
  <c r="CX277" i="90"/>
  <c r="CX286" i="90"/>
  <c r="CX290" i="90"/>
  <c r="CX294" i="90"/>
  <c r="CX282" i="90"/>
  <c r="CX291" i="90"/>
  <c r="CX299" i="90"/>
  <c r="CX304" i="90"/>
  <c r="CX306" i="90"/>
  <c r="CX308" i="90"/>
  <c r="CX310" i="90"/>
  <c r="CX312" i="90"/>
  <c r="CX314" i="90"/>
  <c r="CX316" i="90"/>
  <c r="CX318" i="90"/>
  <c r="CX320" i="90"/>
  <c r="CX322" i="90"/>
  <c r="CX324" i="90"/>
  <c r="CX326" i="90"/>
  <c r="CX329" i="90"/>
  <c r="CX302" i="90"/>
  <c r="CX301" i="90"/>
  <c r="CX328" i="90"/>
  <c r="CX330" i="90"/>
  <c r="CX297" i="90"/>
  <c r="CX232" i="90"/>
  <c r="CX331" i="90"/>
  <c r="BM232" i="90"/>
  <c r="BM233" i="90"/>
  <c r="BM235" i="90"/>
  <c r="BM237" i="90"/>
  <c r="BM239" i="90"/>
  <c r="BM234" i="90"/>
  <c r="BM236" i="90"/>
  <c r="BM238" i="90"/>
  <c r="BM240" i="90"/>
  <c r="BM242" i="90"/>
  <c r="BM246" i="90"/>
  <c r="BM243" i="90"/>
  <c r="BM241" i="90"/>
  <c r="BM244" i="90"/>
  <c r="BM245" i="90"/>
  <c r="BM247" i="90"/>
  <c r="BM249" i="90"/>
  <c r="BM251" i="90"/>
  <c r="BM253" i="90"/>
  <c r="BM255" i="90"/>
  <c r="BM258" i="90"/>
  <c r="BM260" i="90"/>
  <c r="BM262" i="90"/>
  <c r="BM264" i="90"/>
  <c r="BM266" i="90"/>
  <c r="BM252" i="90"/>
  <c r="BM256" i="90"/>
  <c r="BM257" i="90"/>
  <c r="BM259" i="90"/>
  <c r="BM261" i="90"/>
  <c r="BM250" i="90"/>
  <c r="BM274" i="90"/>
  <c r="BM270" i="90"/>
  <c r="BM248" i="90"/>
  <c r="BM269" i="90"/>
  <c r="BM280" i="90"/>
  <c r="BM284" i="90"/>
  <c r="BM286" i="90"/>
  <c r="BM288" i="90"/>
  <c r="BM290" i="90"/>
  <c r="BM271" i="90"/>
  <c r="BM279" i="90"/>
  <c r="BM265" i="90"/>
  <c r="BM267" i="90"/>
  <c r="BM276" i="90"/>
  <c r="BM285" i="90"/>
  <c r="BM287" i="90"/>
  <c r="BM289" i="90"/>
  <c r="BM291" i="90"/>
  <c r="BM263" i="90"/>
  <c r="BM272" i="90"/>
  <c r="BM268" i="90"/>
  <c r="BM254" i="90"/>
  <c r="BM273" i="90"/>
  <c r="BM283" i="90"/>
  <c r="BM292" i="90"/>
  <c r="BM300" i="90"/>
  <c r="BM275" i="90"/>
  <c r="BM282" i="90"/>
  <c r="BM297" i="90"/>
  <c r="BM281" i="90"/>
  <c r="BM294" i="90"/>
  <c r="BM277" i="90"/>
  <c r="BM299" i="90"/>
  <c r="BM296" i="90"/>
  <c r="BM293" i="90"/>
  <c r="BM298" i="90"/>
  <c r="BM278" i="90"/>
  <c r="BM295" i="90"/>
  <c r="BM303" i="90"/>
  <c r="BM304" i="90"/>
  <c r="BM327" i="90"/>
  <c r="BM328" i="90"/>
  <c r="BM308" i="90"/>
  <c r="BM316" i="90"/>
  <c r="BM324" i="90"/>
  <c r="BM307" i="90"/>
  <c r="BM313" i="90"/>
  <c r="BM321" i="90"/>
  <c r="BM310" i="90"/>
  <c r="BM318" i="90"/>
  <c r="BM326" i="90"/>
  <c r="BM315" i="90"/>
  <c r="BM323" i="90"/>
  <c r="BM329" i="90"/>
  <c r="BM302" i="90"/>
  <c r="BM306" i="90"/>
  <c r="BM331" i="90"/>
  <c r="BM301" i="90"/>
  <c r="BM312" i="90"/>
  <c r="BM320" i="90"/>
  <c r="BM305" i="90"/>
  <c r="BM309" i="90"/>
  <c r="BM317" i="90"/>
  <c r="BM325" i="90"/>
  <c r="BM314" i="90"/>
  <c r="BM322" i="90"/>
  <c r="BM311" i="90"/>
  <c r="BM319" i="90"/>
  <c r="BM330" i="90"/>
  <c r="BX232" i="90"/>
  <c r="BX234" i="90"/>
  <c r="BX236" i="90"/>
  <c r="BX238" i="90"/>
  <c r="BX240" i="90"/>
  <c r="BX242" i="90"/>
  <c r="BX244" i="90"/>
  <c r="BX233" i="90"/>
  <c r="BX235" i="90"/>
  <c r="BX237" i="90"/>
  <c r="BX239" i="90"/>
  <c r="BX241" i="90"/>
  <c r="BX246" i="90"/>
  <c r="BX248" i="90"/>
  <c r="BX250" i="90"/>
  <c r="BX243" i="90"/>
  <c r="BX249" i="90"/>
  <c r="BX245" i="90"/>
  <c r="BX247" i="90"/>
  <c r="BX253" i="90"/>
  <c r="BX254" i="90"/>
  <c r="BX256" i="90"/>
  <c r="BX266" i="90"/>
  <c r="BX268" i="90"/>
  <c r="BX270" i="90"/>
  <c r="BX272" i="90"/>
  <c r="BX274" i="90"/>
  <c r="BX276" i="90"/>
  <c r="BX252" i="90"/>
  <c r="BX255" i="90"/>
  <c r="BX259" i="90"/>
  <c r="BX265" i="90"/>
  <c r="BX267" i="90"/>
  <c r="BX269" i="90"/>
  <c r="BX271" i="90"/>
  <c r="BX273" i="90"/>
  <c r="BX275" i="90"/>
  <c r="BX277" i="90"/>
  <c r="BX251" i="90"/>
  <c r="BX261" i="90"/>
  <c r="BX258" i="90"/>
  <c r="BX278" i="90"/>
  <c r="BX280" i="90"/>
  <c r="BX282" i="90"/>
  <c r="BX279" i="90"/>
  <c r="BX281" i="90"/>
  <c r="BX283" i="90"/>
  <c r="BX263" i="90"/>
  <c r="BX257" i="90"/>
  <c r="BX284" i="90"/>
  <c r="BX286" i="90"/>
  <c r="BX288" i="90"/>
  <c r="BX290" i="90"/>
  <c r="BX292" i="90"/>
  <c r="BX294" i="90"/>
  <c r="BX296" i="90"/>
  <c r="BX298" i="90"/>
  <c r="BX300" i="90"/>
  <c r="BX302" i="90"/>
  <c r="BX264" i="90"/>
  <c r="BX260" i="90"/>
  <c r="BX262" i="90"/>
  <c r="BX285" i="90"/>
  <c r="BX287" i="90"/>
  <c r="BX289" i="90"/>
  <c r="BX291" i="90"/>
  <c r="BX293" i="90"/>
  <c r="BX295" i="90"/>
  <c r="BX297" i="90"/>
  <c r="BX299" i="90"/>
  <c r="BX301" i="90"/>
  <c r="BX311" i="90"/>
  <c r="BX319" i="90"/>
  <c r="BX306" i="90"/>
  <c r="BX308" i="90"/>
  <c r="BX316" i="90"/>
  <c r="BX324" i="90"/>
  <c r="BX313" i="90"/>
  <c r="BX321" i="90"/>
  <c r="BX305" i="90"/>
  <c r="BX310" i="90"/>
  <c r="BX318" i="90"/>
  <c r="BX326" i="90"/>
  <c r="BX328" i="90"/>
  <c r="BX330" i="90"/>
  <c r="BX315" i="90"/>
  <c r="BX323" i="90"/>
  <c r="BX304" i="90"/>
  <c r="BX312" i="90"/>
  <c r="BX320" i="90"/>
  <c r="BX309" i="90"/>
  <c r="BX317" i="90"/>
  <c r="BX325" i="90"/>
  <c r="BX303" i="90"/>
  <c r="BX307" i="90"/>
  <c r="BX314" i="90"/>
  <c r="BX322" i="90"/>
  <c r="BX329" i="90"/>
  <c r="BX331" i="90"/>
  <c r="BX327" i="90"/>
  <c r="BY232" i="90"/>
  <c r="BY234" i="90"/>
  <c r="BY236" i="90"/>
  <c r="BY238" i="90"/>
  <c r="BY240" i="90"/>
  <c r="BY233" i="90"/>
  <c r="BY235" i="90"/>
  <c r="BY237" i="90"/>
  <c r="BY239" i="90"/>
  <c r="BY241" i="90"/>
  <c r="BY243" i="90"/>
  <c r="BY245" i="90"/>
  <c r="BY247" i="90"/>
  <c r="BY246" i="90"/>
  <c r="BY248" i="90"/>
  <c r="BY250" i="90"/>
  <c r="BY252" i="90"/>
  <c r="BY254" i="90"/>
  <c r="BY256" i="90"/>
  <c r="BY244" i="90"/>
  <c r="BY242" i="90"/>
  <c r="BY253" i="90"/>
  <c r="BY257" i="90"/>
  <c r="BY259" i="90"/>
  <c r="BY261" i="90"/>
  <c r="BY263" i="90"/>
  <c r="BY265" i="90"/>
  <c r="BY258" i="90"/>
  <c r="BY260" i="90"/>
  <c r="BY262" i="90"/>
  <c r="BY251" i="90"/>
  <c r="BY264" i="90"/>
  <c r="BY255" i="90"/>
  <c r="BY269" i="90"/>
  <c r="BY277" i="90"/>
  <c r="BY266" i="90"/>
  <c r="BY249" i="90"/>
  <c r="BY273" i="90"/>
  <c r="BY270" i="90"/>
  <c r="BY283" i="90"/>
  <c r="BY285" i="90"/>
  <c r="BY287" i="90"/>
  <c r="BY289" i="90"/>
  <c r="BY291" i="90"/>
  <c r="BY271" i="90"/>
  <c r="BY267" i="90"/>
  <c r="BY276" i="90"/>
  <c r="BY282" i="90"/>
  <c r="BY272" i="90"/>
  <c r="BY279" i="90"/>
  <c r="BY284" i="90"/>
  <c r="BY286" i="90"/>
  <c r="BY288" i="90"/>
  <c r="BY290" i="90"/>
  <c r="BY268" i="90"/>
  <c r="BY274" i="90"/>
  <c r="BY278" i="90"/>
  <c r="BY280" i="90"/>
  <c r="BY295" i="90"/>
  <c r="BY292" i="90"/>
  <c r="BY297" i="90"/>
  <c r="BY294" i="90"/>
  <c r="BY302" i="90"/>
  <c r="BY275" i="90"/>
  <c r="BY299" i="90"/>
  <c r="BY296" i="90"/>
  <c r="BY293" i="90"/>
  <c r="BY281" i="90"/>
  <c r="BY298" i="90"/>
  <c r="BY303" i="90"/>
  <c r="BY322" i="90"/>
  <c r="BY329" i="90"/>
  <c r="BY311" i="90"/>
  <c r="BY319" i="90"/>
  <c r="BY301" i="90"/>
  <c r="BY306" i="90"/>
  <c r="BY308" i="90"/>
  <c r="BY316" i="90"/>
  <c r="BY324" i="90"/>
  <c r="BY300" i="90"/>
  <c r="BY313" i="90"/>
  <c r="BY321" i="90"/>
  <c r="BY326" i="90"/>
  <c r="BY328" i="90"/>
  <c r="BY330" i="90"/>
  <c r="BY323" i="90"/>
  <c r="BY305" i="90"/>
  <c r="BY310" i="90"/>
  <c r="BY318" i="90"/>
  <c r="BY315" i="90"/>
  <c r="BY304" i="90"/>
  <c r="BY312" i="90"/>
  <c r="BY320" i="90"/>
  <c r="BY309" i="90"/>
  <c r="BY317" i="90"/>
  <c r="BY325" i="90"/>
  <c r="BY307" i="90"/>
  <c r="BY314" i="90"/>
  <c r="BY331" i="90"/>
  <c r="BY327" i="90"/>
  <c r="DD230" i="90"/>
  <c r="BO232" i="90"/>
  <c r="BO233" i="90"/>
  <c r="BO235" i="90"/>
  <c r="BO237" i="90"/>
  <c r="BO239" i="90"/>
  <c r="BO241" i="90"/>
  <c r="BO243" i="90"/>
  <c r="BO240" i="90"/>
  <c r="BO242" i="90"/>
  <c r="BO246" i="90"/>
  <c r="BO248" i="90"/>
  <c r="BO250" i="90"/>
  <c r="BO252" i="90"/>
  <c r="BO254" i="90"/>
  <c r="BO256" i="90"/>
  <c r="BO238" i="90"/>
  <c r="BO236" i="90"/>
  <c r="BO244" i="90"/>
  <c r="BO245" i="90"/>
  <c r="BO247" i="90"/>
  <c r="BO249" i="90"/>
  <c r="BO251" i="90"/>
  <c r="BO253" i="90"/>
  <c r="BO234" i="90"/>
  <c r="BO255" i="90"/>
  <c r="BO258" i="90"/>
  <c r="BO266" i="90"/>
  <c r="BO262" i="90"/>
  <c r="BO265" i="90"/>
  <c r="BO263" i="90"/>
  <c r="BO261" i="90"/>
  <c r="BO272" i="90"/>
  <c r="BO257" i="90"/>
  <c r="BO259" i="90"/>
  <c r="BO264" i="90"/>
  <c r="BO268" i="90"/>
  <c r="BO276" i="90"/>
  <c r="BO273" i="90"/>
  <c r="BO278" i="90"/>
  <c r="BO269" i="90"/>
  <c r="BO260" i="90"/>
  <c r="BO270" i="90"/>
  <c r="BO275" i="90"/>
  <c r="BO282" i="90"/>
  <c r="BO271" i="90"/>
  <c r="BO267" i="90"/>
  <c r="BO277" i="90"/>
  <c r="BO281" i="90"/>
  <c r="BO283" i="90"/>
  <c r="BO298" i="90"/>
  <c r="BO305" i="90"/>
  <c r="BO307" i="90"/>
  <c r="BO274" i="90"/>
  <c r="BO284" i="90"/>
  <c r="BO288" i="90"/>
  <c r="BO295" i="90"/>
  <c r="BO292" i="90"/>
  <c r="BO300" i="90"/>
  <c r="BO287" i="90"/>
  <c r="BO291" i="90"/>
  <c r="BO297" i="90"/>
  <c r="BO294" i="90"/>
  <c r="BO302" i="90"/>
  <c r="BO304" i="90"/>
  <c r="BO306" i="90"/>
  <c r="BO280" i="90"/>
  <c r="BO286" i="90"/>
  <c r="BO290" i="90"/>
  <c r="BO279" i="90"/>
  <c r="BO296" i="90"/>
  <c r="BO285" i="90"/>
  <c r="BO289" i="90"/>
  <c r="BO293" i="90"/>
  <c r="BO301" i="90"/>
  <c r="BO314" i="90"/>
  <c r="BO319" i="90"/>
  <c r="BO311" i="90"/>
  <c r="BO327" i="90"/>
  <c r="BO308" i="90"/>
  <c r="BO316" i="90"/>
  <c r="BO324" i="90"/>
  <c r="BO328" i="90"/>
  <c r="BO330" i="90"/>
  <c r="BO303" i="90"/>
  <c r="BO313" i="90"/>
  <c r="BO321" i="90"/>
  <c r="BO318" i="90"/>
  <c r="BO326" i="90"/>
  <c r="BO310" i="90"/>
  <c r="BO299" i="90"/>
  <c r="BO315" i="90"/>
  <c r="BO323" i="90"/>
  <c r="BO312" i="90"/>
  <c r="BO320" i="90"/>
  <c r="BO329" i="90"/>
  <c r="BO331" i="90"/>
  <c r="BO309" i="90"/>
  <c r="BO317" i="90"/>
  <c r="BO325" i="90"/>
  <c r="BO322" i="90"/>
  <c r="CT230" i="90"/>
  <c r="DE230" i="90"/>
  <c r="CZ233" i="90"/>
  <c r="CZ235" i="90"/>
  <c r="CZ237" i="90"/>
  <c r="CZ239" i="90"/>
  <c r="CZ241" i="90"/>
  <c r="CZ243" i="90"/>
  <c r="CZ234" i="90"/>
  <c r="CZ236" i="90"/>
  <c r="CZ238" i="90"/>
  <c r="CZ240" i="90"/>
  <c r="CZ242" i="90"/>
  <c r="CZ245" i="90"/>
  <c r="CZ247" i="90"/>
  <c r="CZ249" i="90"/>
  <c r="CZ251" i="90"/>
  <c r="CZ248" i="90"/>
  <c r="CZ256" i="90"/>
  <c r="CZ246" i="90"/>
  <c r="CZ262" i="90"/>
  <c r="CZ264" i="90"/>
  <c r="CZ267" i="90"/>
  <c r="CZ269" i="90"/>
  <c r="CZ271" i="90"/>
  <c r="CZ273" i="90"/>
  <c r="CZ275" i="90"/>
  <c r="CZ252" i="90"/>
  <c r="CZ258" i="90"/>
  <c r="CZ265" i="90"/>
  <c r="CZ266" i="90"/>
  <c r="CZ268" i="90"/>
  <c r="CZ270" i="90"/>
  <c r="CZ272" i="90"/>
  <c r="CZ274" i="90"/>
  <c r="CZ276" i="90"/>
  <c r="CZ261" i="90"/>
  <c r="CZ263" i="90"/>
  <c r="CZ250" i="90"/>
  <c r="CZ253" i="90"/>
  <c r="CZ277" i="90"/>
  <c r="CZ279" i="90"/>
  <c r="CZ281" i="90"/>
  <c r="CZ283" i="90"/>
  <c r="CZ255" i="90"/>
  <c r="CZ259" i="90"/>
  <c r="CZ254" i="90"/>
  <c r="CZ278" i="90"/>
  <c r="CZ280" i="90"/>
  <c r="CZ282" i="90"/>
  <c r="CZ244" i="90"/>
  <c r="CZ257" i="90"/>
  <c r="CZ285" i="90"/>
  <c r="CZ287" i="90"/>
  <c r="CZ289" i="90"/>
  <c r="CZ291" i="90"/>
  <c r="CZ293" i="90"/>
  <c r="CZ295" i="90"/>
  <c r="CZ297" i="90"/>
  <c r="CZ299" i="90"/>
  <c r="CZ301" i="90"/>
  <c r="CZ260" i="90"/>
  <c r="CZ284" i="90"/>
  <c r="CZ286" i="90"/>
  <c r="CZ288" i="90"/>
  <c r="CZ290" i="90"/>
  <c r="CZ292" i="90"/>
  <c r="CZ294" i="90"/>
  <c r="CZ296" i="90"/>
  <c r="CZ298" i="90"/>
  <c r="CZ300" i="90"/>
  <c r="CZ302" i="90"/>
  <c r="CZ310" i="90"/>
  <c r="CZ318" i="90"/>
  <c r="CZ305" i="90"/>
  <c r="CZ315" i="90"/>
  <c r="CZ323" i="90"/>
  <c r="CZ312" i="90"/>
  <c r="CZ320" i="90"/>
  <c r="CZ304" i="90"/>
  <c r="CZ309" i="90"/>
  <c r="CZ317" i="90"/>
  <c r="CZ325" i="90"/>
  <c r="CZ329" i="90"/>
  <c r="CZ331" i="90"/>
  <c r="CZ314" i="90"/>
  <c r="CZ322" i="90"/>
  <c r="CZ327" i="90"/>
  <c r="CZ303" i="90"/>
  <c r="CZ307" i="90"/>
  <c r="CZ311" i="90"/>
  <c r="CZ319" i="90"/>
  <c r="CZ308" i="90"/>
  <c r="CZ316" i="90"/>
  <c r="CZ324" i="90"/>
  <c r="CZ306" i="90"/>
  <c r="CZ313" i="90"/>
  <c r="CZ321" i="90"/>
  <c r="CZ328" i="90"/>
  <c r="CZ330" i="90"/>
  <c r="CZ326" i="90"/>
  <c r="CZ232" i="90"/>
  <c r="DO230" i="90"/>
  <c r="DJ233" i="90"/>
  <c r="DJ235" i="90"/>
  <c r="DJ237" i="90"/>
  <c r="DJ239" i="90"/>
  <c r="DJ241" i="90"/>
  <c r="DJ236" i="90"/>
  <c r="DJ244" i="90"/>
  <c r="DJ246" i="90"/>
  <c r="DJ248" i="90"/>
  <c r="DJ250" i="90"/>
  <c r="DJ252" i="90"/>
  <c r="DJ254" i="90"/>
  <c r="DJ256" i="90"/>
  <c r="DJ234" i="90"/>
  <c r="DJ242" i="90"/>
  <c r="DJ243" i="90"/>
  <c r="DJ245" i="90"/>
  <c r="DJ238" i="90"/>
  <c r="DJ240" i="90"/>
  <c r="DJ255" i="90"/>
  <c r="DJ249" i="90"/>
  <c r="DJ259" i="90"/>
  <c r="DJ264" i="90"/>
  <c r="DJ263" i="90"/>
  <c r="DJ258" i="90"/>
  <c r="DJ247" i="90"/>
  <c r="DJ260" i="90"/>
  <c r="DJ273" i="90"/>
  <c r="DJ262" i="90"/>
  <c r="DJ269" i="90"/>
  <c r="DJ251" i="90"/>
  <c r="DJ261" i="90"/>
  <c r="DJ267" i="90"/>
  <c r="DJ276" i="90"/>
  <c r="DJ279" i="90"/>
  <c r="DJ272" i="90"/>
  <c r="DJ268" i="90"/>
  <c r="DJ278" i="90"/>
  <c r="DJ265" i="90"/>
  <c r="DJ274" i="90"/>
  <c r="DJ253" i="90"/>
  <c r="DJ257" i="90"/>
  <c r="DJ270" i="90"/>
  <c r="DJ266" i="90"/>
  <c r="DJ271" i="90"/>
  <c r="DJ282" i="90"/>
  <c r="DJ284" i="90"/>
  <c r="DJ288" i="90"/>
  <c r="DJ291" i="90"/>
  <c r="DJ299" i="90"/>
  <c r="DJ296" i="90"/>
  <c r="DJ283" i="90"/>
  <c r="DJ287" i="90"/>
  <c r="DJ293" i="90"/>
  <c r="DJ277" i="90"/>
  <c r="DJ298" i="90"/>
  <c r="DJ304" i="90"/>
  <c r="DJ306" i="90"/>
  <c r="DJ308" i="90"/>
  <c r="DJ310" i="90"/>
  <c r="DJ312" i="90"/>
  <c r="DJ314" i="90"/>
  <c r="DJ316" i="90"/>
  <c r="DJ318" i="90"/>
  <c r="DJ320" i="90"/>
  <c r="DJ322" i="90"/>
  <c r="DJ324" i="90"/>
  <c r="DJ326" i="90"/>
  <c r="DJ286" i="90"/>
  <c r="DJ290" i="90"/>
  <c r="DJ295" i="90"/>
  <c r="DJ281" i="90"/>
  <c r="DJ292" i="90"/>
  <c r="DJ280" i="90"/>
  <c r="DJ285" i="90"/>
  <c r="DJ289" i="90"/>
  <c r="DJ297" i="90"/>
  <c r="DJ275" i="90"/>
  <c r="DJ294" i="90"/>
  <c r="DJ302" i="90"/>
  <c r="DJ303" i="90"/>
  <c r="DJ305" i="90"/>
  <c r="DJ307" i="90"/>
  <c r="DJ309" i="90"/>
  <c r="DJ311" i="90"/>
  <c r="DJ313" i="90"/>
  <c r="DJ315" i="90"/>
  <c r="DJ317" i="90"/>
  <c r="DJ319" i="90"/>
  <c r="DJ321" i="90"/>
  <c r="DJ323" i="90"/>
  <c r="DJ325" i="90"/>
  <c r="DJ301" i="90"/>
  <c r="DJ300" i="90"/>
  <c r="DJ330" i="90"/>
  <c r="DJ329" i="90"/>
  <c r="DJ327" i="90"/>
  <c r="DJ328" i="90"/>
  <c r="DJ232" i="90"/>
  <c r="DJ331" i="90"/>
  <c r="CU230" i="90"/>
  <c r="CP234" i="90"/>
  <c r="CP236" i="90"/>
  <c r="CP238" i="90"/>
  <c r="CP240" i="90"/>
  <c r="CP242" i="90"/>
  <c r="CP239" i="90"/>
  <c r="CP245" i="90"/>
  <c r="CP247" i="90"/>
  <c r="CP249" i="90"/>
  <c r="CP251" i="90"/>
  <c r="CP253" i="90"/>
  <c r="CP255" i="90"/>
  <c r="CP237" i="90"/>
  <c r="CP235" i="90"/>
  <c r="CP241" i="90"/>
  <c r="CP244" i="90"/>
  <c r="CP246" i="90"/>
  <c r="CP233" i="90"/>
  <c r="CP248" i="90"/>
  <c r="CP243" i="90"/>
  <c r="CP252" i="90"/>
  <c r="CP254" i="90"/>
  <c r="CP256" i="90"/>
  <c r="CP262" i="90"/>
  <c r="CP258" i="90"/>
  <c r="CP260" i="90"/>
  <c r="CP265" i="90"/>
  <c r="CP257" i="90"/>
  <c r="CP268" i="90"/>
  <c r="CP276" i="90"/>
  <c r="CP272" i="90"/>
  <c r="CP269" i="90"/>
  <c r="CP282" i="90"/>
  <c r="CP259" i="90"/>
  <c r="CP264" i="90"/>
  <c r="CP270" i="90"/>
  <c r="CP250" i="90"/>
  <c r="CP261" i="90"/>
  <c r="CP266" i="90"/>
  <c r="CP275" i="90"/>
  <c r="CP281" i="90"/>
  <c r="CP271" i="90"/>
  <c r="CP278" i="90"/>
  <c r="CP267" i="90"/>
  <c r="CP263" i="90"/>
  <c r="CP273" i="90"/>
  <c r="CP277" i="90"/>
  <c r="CP274" i="90"/>
  <c r="CP279" i="90"/>
  <c r="CP287" i="90"/>
  <c r="CP294" i="90"/>
  <c r="CP302" i="90"/>
  <c r="CP291" i="90"/>
  <c r="CP283" i="90"/>
  <c r="CP286" i="90"/>
  <c r="CP290" i="90"/>
  <c r="CP296" i="90"/>
  <c r="CP293" i="90"/>
  <c r="CP301" i="90"/>
  <c r="CP303" i="90"/>
  <c r="CP305" i="90"/>
  <c r="CP307" i="90"/>
  <c r="CP309" i="90"/>
  <c r="CP311" i="90"/>
  <c r="CP313" i="90"/>
  <c r="CP315" i="90"/>
  <c r="CP317" i="90"/>
  <c r="CP319" i="90"/>
  <c r="CP321" i="90"/>
  <c r="CP323" i="90"/>
  <c r="CP325" i="90"/>
  <c r="CP327" i="90"/>
  <c r="CP285" i="90"/>
  <c r="CP289" i="90"/>
  <c r="CP298" i="90"/>
  <c r="CP295" i="90"/>
  <c r="CP284" i="90"/>
  <c r="CP288" i="90"/>
  <c r="CP292" i="90"/>
  <c r="CP280" i="90"/>
  <c r="CP297" i="90"/>
  <c r="CP304" i="90"/>
  <c r="CP306" i="90"/>
  <c r="CP308" i="90"/>
  <c r="CP310" i="90"/>
  <c r="CP312" i="90"/>
  <c r="CP314" i="90"/>
  <c r="CP316" i="90"/>
  <c r="CP318" i="90"/>
  <c r="CP320" i="90"/>
  <c r="CP322" i="90"/>
  <c r="CP324" i="90"/>
  <c r="CP326" i="90"/>
  <c r="CP331" i="90"/>
  <c r="CP299" i="90"/>
  <c r="CP300" i="90"/>
  <c r="CP328" i="90"/>
  <c r="CP330" i="90"/>
  <c r="CP329" i="90"/>
  <c r="CP232" i="90"/>
  <c r="CC232" i="90"/>
  <c r="CC233" i="90"/>
  <c r="CC235" i="90"/>
  <c r="CC237" i="90"/>
  <c r="CC239" i="90"/>
  <c r="CC234" i="90"/>
  <c r="CC236" i="90"/>
  <c r="CC238" i="90"/>
  <c r="CC240" i="90"/>
  <c r="CC242" i="90"/>
  <c r="CC244" i="90"/>
  <c r="CC246" i="90"/>
  <c r="CC241" i="90"/>
  <c r="CC243" i="90"/>
  <c r="CC245" i="90"/>
  <c r="CC247" i="90"/>
  <c r="CC249" i="90"/>
  <c r="CC251" i="90"/>
  <c r="CC253" i="90"/>
  <c r="CC255" i="90"/>
  <c r="CC248" i="90"/>
  <c r="CC258" i="90"/>
  <c r="CC260" i="90"/>
  <c r="CC262" i="90"/>
  <c r="CC264" i="90"/>
  <c r="CC252" i="90"/>
  <c r="CC257" i="90"/>
  <c r="CC259" i="90"/>
  <c r="CC261" i="90"/>
  <c r="CC250" i="90"/>
  <c r="CC265" i="90"/>
  <c r="CC254" i="90"/>
  <c r="CC270" i="90"/>
  <c r="CC266" i="90"/>
  <c r="CC274" i="90"/>
  <c r="CC273" i="90"/>
  <c r="CC284" i="90"/>
  <c r="CC286" i="90"/>
  <c r="CC288" i="90"/>
  <c r="CC290" i="90"/>
  <c r="CC269" i="90"/>
  <c r="CC263" i="90"/>
  <c r="CC275" i="90"/>
  <c r="CC283" i="90"/>
  <c r="CC271" i="90"/>
  <c r="CC280" i="90"/>
  <c r="CC285" i="90"/>
  <c r="CC287" i="90"/>
  <c r="CC289" i="90"/>
  <c r="CC291" i="90"/>
  <c r="CC267" i="90"/>
  <c r="CC272" i="90"/>
  <c r="CC256" i="90"/>
  <c r="CC268" i="90"/>
  <c r="CC277" i="90"/>
  <c r="CC279" i="90"/>
  <c r="CC281" i="90"/>
  <c r="CC296" i="90"/>
  <c r="CC293" i="90"/>
  <c r="CC298" i="90"/>
  <c r="CC295" i="90"/>
  <c r="CC292" i="90"/>
  <c r="CC300" i="90"/>
  <c r="CC278" i="90"/>
  <c r="CC276" i="90"/>
  <c r="CC294" i="90"/>
  <c r="CC282" i="90"/>
  <c r="CC299" i="90"/>
  <c r="CC304" i="90"/>
  <c r="CC323" i="90"/>
  <c r="CC297" i="90"/>
  <c r="CC312" i="90"/>
  <c r="CC320" i="90"/>
  <c r="CC302" i="90"/>
  <c r="CC303" i="90"/>
  <c r="CC307" i="90"/>
  <c r="CC309" i="90"/>
  <c r="CC317" i="90"/>
  <c r="CC325" i="90"/>
  <c r="CC301" i="90"/>
  <c r="CC314" i="90"/>
  <c r="CC322" i="90"/>
  <c r="CC319" i="90"/>
  <c r="CC327" i="90"/>
  <c r="CC329" i="90"/>
  <c r="CC331" i="90"/>
  <c r="CC324" i="90"/>
  <c r="CC306" i="90"/>
  <c r="CC311" i="90"/>
  <c r="CC308" i="90"/>
  <c r="CC316" i="90"/>
  <c r="CC305" i="90"/>
  <c r="CC313" i="90"/>
  <c r="CC321" i="90"/>
  <c r="CC310" i="90"/>
  <c r="CC318" i="90"/>
  <c r="CC326" i="90"/>
  <c r="CC315" i="90"/>
  <c r="CC328" i="90"/>
  <c r="CC330" i="90"/>
  <c r="DL234" i="90"/>
  <c r="DL236" i="90"/>
  <c r="DL238" i="90"/>
  <c r="DL240" i="90"/>
  <c r="DL242" i="90"/>
  <c r="DL233" i="90"/>
  <c r="DL235" i="90"/>
  <c r="DL237" i="90"/>
  <c r="DL239" i="90"/>
  <c r="DL241" i="90"/>
  <c r="DL244" i="90"/>
  <c r="DL246" i="90"/>
  <c r="DL248" i="90"/>
  <c r="DL250" i="90"/>
  <c r="DL243" i="90"/>
  <c r="DL251" i="90"/>
  <c r="DL254" i="90"/>
  <c r="DL252" i="90"/>
  <c r="DL257" i="90"/>
  <c r="DL266" i="90"/>
  <c r="DL268" i="90"/>
  <c r="DL270" i="90"/>
  <c r="DL272" i="90"/>
  <c r="DL274" i="90"/>
  <c r="DL276" i="90"/>
  <c r="DL245" i="90"/>
  <c r="DL249" i="90"/>
  <c r="DL261" i="90"/>
  <c r="DL267" i="90"/>
  <c r="DL269" i="90"/>
  <c r="DL271" i="90"/>
  <c r="DL273" i="90"/>
  <c r="DL275" i="90"/>
  <c r="DL262" i="90"/>
  <c r="DL263" i="90"/>
  <c r="DL259" i="90"/>
  <c r="DL278" i="90"/>
  <c r="DL280" i="90"/>
  <c r="DL282" i="90"/>
  <c r="DL247" i="90"/>
  <c r="DL253" i="90"/>
  <c r="DL264" i="90"/>
  <c r="DL265" i="90"/>
  <c r="DL277" i="90"/>
  <c r="DL279" i="90"/>
  <c r="DL281" i="90"/>
  <c r="DL260" i="90"/>
  <c r="DL255" i="90"/>
  <c r="DL284" i="90"/>
  <c r="DL286" i="90"/>
  <c r="DL288" i="90"/>
  <c r="DL290" i="90"/>
  <c r="DL292" i="90"/>
  <c r="DL294" i="90"/>
  <c r="DL296" i="90"/>
  <c r="DL298" i="90"/>
  <c r="DL300" i="90"/>
  <c r="DL302" i="90"/>
  <c r="DL256" i="90"/>
  <c r="DL258" i="90"/>
  <c r="DL283" i="90"/>
  <c r="DL285" i="90"/>
  <c r="DL287" i="90"/>
  <c r="DL289" i="90"/>
  <c r="DL291" i="90"/>
  <c r="DL293" i="90"/>
  <c r="DL295" i="90"/>
  <c r="DL297" i="90"/>
  <c r="DL299" i="90"/>
  <c r="DL301" i="90"/>
  <c r="DL313" i="90"/>
  <c r="DL232" i="90"/>
  <c r="DL304" i="90"/>
  <c r="DL310" i="90"/>
  <c r="DL315" i="90"/>
  <c r="DL323" i="90"/>
  <c r="DL303" i="90"/>
  <c r="DL307" i="90"/>
  <c r="DL312" i="90"/>
  <c r="DL320" i="90"/>
  <c r="DL328" i="90"/>
  <c r="DL330" i="90"/>
  <c r="DL309" i="90"/>
  <c r="DL317" i="90"/>
  <c r="DL325" i="90"/>
  <c r="DL306" i="90"/>
  <c r="DL314" i="90"/>
  <c r="DL322" i="90"/>
  <c r="DL311" i="90"/>
  <c r="DL319" i="90"/>
  <c r="DL305" i="90"/>
  <c r="DL308" i="90"/>
  <c r="DL316" i="90"/>
  <c r="DL324" i="90"/>
  <c r="DL327" i="90"/>
  <c r="DL329" i="90"/>
  <c r="DL331" i="90"/>
  <c r="DL321" i="90"/>
  <c r="DL318" i="90"/>
  <c r="DL326" i="90"/>
  <c r="DA233" i="90"/>
  <c r="DA235" i="90"/>
  <c r="DA237" i="90"/>
  <c r="DA239" i="90"/>
  <c r="DA234" i="90"/>
  <c r="DA236" i="90"/>
  <c r="DA238" i="90"/>
  <c r="DA240" i="90"/>
  <c r="DA242" i="90"/>
  <c r="DA244" i="90"/>
  <c r="DA246" i="90"/>
  <c r="DA241" i="90"/>
  <c r="DA245" i="90"/>
  <c r="DA247" i="90"/>
  <c r="DA249" i="90"/>
  <c r="DA251" i="90"/>
  <c r="DA253" i="90"/>
  <c r="DA255" i="90"/>
  <c r="DA243" i="90"/>
  <c r="DA252" i="90"/>
  <c r="DA258" i="90"/>
  <c r="DA260" i="90"/>
  <c r="DA262" i="90"/>
  <c r="DA264" i="90"/>
  <c r="DA257" i="90"/>
  <c r="DA259" i="90"/>
  <c r="DA261" i="90"/>
  <c r="DA248" i="90"/>
  <c r="DA263" i="90"/>
  <c r="DA254" i="90"/>
  <c r="DA268" i="90"/>
  <c r="DA276" i="90"/>
  <c r="DA250" i="90"/>
  <c r="DA265" i="90"/>
  <c r="DA272" i="90"/>
  <c r="DA270" i="90"/>
  <c r="DA282" i="90"/>
  <c r="DA284" i="90"/>
  <c r="DA286" i="90"/>
  <c r="DA288" i="90"/>
  <c r="DA290" i="90"/>
  <c r="DA266" i="90"/>
  <c r="DA271" i="90"/>
  <c r="DA256" i="90"/>
  <c r="DA267" i="90"/>
  <c r="DA281" i="90"/>
  <c r="DA278" i="90"/>
  <c r="DA285" i="90"/>
  <c r="DA287" i="90"/>
  <c r="DA289" i="90"/>
  <c r="DA273" i="90"/>
  <c r="DA269" i="90"/>
  <c r="DA274" i="90"/>
  <c r="DA277" i="90"/>
  <c r="DA294" i="90"/>
  <c r="DA302" i="90"/>
  <c r="DA291" i="90"/>
  <c r="DA296" i="90"/>
  <c r="DA280" i="90"/>
  <c r="DA293" i="90"/>
  <c r="DA301" i="90"/>
  <c r="DA275" i="90"/>
  <c r="DA279" i="90"/>
  <c r="DA298" i="90"/>
  <c r="DA295" i="90"/>
  <c r="DA283" i="90"/>
  <c r="DA292" i="90"/>
  <c r="DA297" i="90"/>
  <c r="DA306" i="90"/>
  <c r="DA321" i="90"/>
  <c r="DA328" i="90"/>
  <c r="DA326" i="90"/>
  <c r="DA310" i="90"/>
  <c r="DA318" i="90"/>
  <c r="DA305" i="90"/>
  <c r="DA315" i="90"/>
  <c r="DA323" i="90"/>
  <c r="DA312" i="90"/>
  <c r="DA320" i="90"/>
  <c r="DA317" i="90"/>
  <c r="DA325" i="90"/>
  <c r="DA329" i="90"/>
  <c r="DA299" i="90"/>
  <c r="DA304" i="90"/>
  <c r="DA309" i="90"/>
  <c r="DA331" i="90"/>
  <c r="DA314" i="90"/>
  <c r="DA322" i="90"/>
  <c r="DA300" i="90"/>
  <c r="DA303" i="90"/>
  <c r="DA307" i="90"/>
  <c r="DA311" i="90"/>
  <c r="DA319" i="90"/>
  <c r="DA327" i="90"/>
  <c r="DA308" i="90"/>
  <c r="DA316" i="90"/>
  <c r="DA324" i="90"/>
  <c r="DA313" i="90"/>
  <c r="DA330" i="90"/>
  <c r="DA232" i="90"/>
  <c r="CJ230" i="90"/>
  <c r="CE233" i="90"/>
  <c r="CE235" i="90"/>
  <c r="CE237" i="90"/>
  <c r="CE239" i="90"/>
  <c r="CE241" i="90"/>
  <c r="CE243" i="90"/>
  <c r="CE242" i="90"/>
  <c r="CE236" i="90"/>
  <c r="CE244" i="90"/>
  <c r="CE246" i="90"/>
  <c r="CE248" i="90"/>
  <c r="CE250" i="90"/>
  <c r="CE252" i="90"/>
  <c r="CE254" i="90"/>
  <c r="CE256" i="90"/>
  <c r="CE234" i="90"/>
  <c r="CE240" i="90"/>
  <c r="CE245" i="90"/>
  <c r="CE247" i="90"/>
  <c r="CE249" i="90"/>
  <c r="CE251" i="90"/>
  <c r="CE253" i="90"/>
  <c r="CE262" i="90"/>
  <c r="CE258" i="90"/>
  <c r="CE259" i="90"/>
  <c r="CE268" i="90"/>
  <c r="CE276" i="90"/>
  <c r="CE261" i="90"/>
  <c r="CE272" i="90"/>
  <c r="CE277" i="90"/>
  <c r="CE282" i="90"/>
  <c r="CE273" i="90"/>
  <c r="CE265" i="90"/>
  <c r="CE269" i="90"/>
  <c r="CE263" i="90"/>
  <c r="CE274" i="90"/>
  <c r="CE281" i="90"/>
  <c r="CE255" i="90"/>
  <c r="CE257" i="90"/>
  <c r="CE270" i="90"/>
  <c r="CE278" i="90"/>
  <c r="CE264" i="90"/>
  <c r="CE266" i="90"/>
  <c r="CE271" i="90"/>
  <c r="CE238" i="90"/>
  <c r="CE260" i="90"/>
  <c r="CE267" i="90"/>
  <c r="CE294" i="90"/>
  <c r="CE302" i="90"/>
  <c r="CE303" i="90"/>
  <c r="CE305" i="90"/>
  <c r="CE307" i="90"/>
  <c r="CE284" i="90"/>
  <c r="CE288" i="90"/>
  <c r="CE296" i="90"/>
  <c r="CE280" i="90"/>
  <c r="CE287" i="90"/>
  <c r="CE291" i="90"/>
  <c r="CE293" i="90"/>
  <c r="CE301" i="90"/>
  <c r="CE279" i="90"/>
  <c r="CE298" i="90"/>
  <c r="CE304" i="90"/>
  <c r="CE306" i="90"/>
  <c r="CE286" i="90"/>
  <c r="CE290" i="90"/>
  <c r="CE295" i="90"/>
  <c r="CE275" i="90"/>
  <c r="CE283" i="90"/>
  <c r="CE292" i="90"/>
  <c r="CE285" i="90"/>
  <c r="CE289" i="90"/>
  <c r="CE297" i="90"/>
  <c r="CE299" i="90"/>
  <c r="CE310" i="90"/>
  <c r="CE315" i="90"/>
  <c r="CE312" i="90"/>
  <c r="CE320" i="90"/>
  <c r="CE328" i="90"/>
  <c r="CE330" i="90"/>
  <c r="CE309" i="90"/>
  <c r="CE317" i="90"/>
  <c r="CE325" i="90"/>
  <c r="CE314" i="90"/>
  <c r="CE322" i="90"/>
  <c r="CE311" i="90"/>
  <c r="CE319" i="90"/>
  <c r="CE327" i="90"/>
  <c r="CE300" i="90"/>
  <c r="CE308" i="90"/>
  <c r="CE316" i="90"/>
  <c r="CE324" i="90"/>
  <c r="CE329" i="90"/>
  <c r="CE331" i="90"/>
  <c r="CE313" i="90"/>
  <c r="CE321" i="90"/>
  <c r="CE318" i="90"/>
  <c r="CE326" i="90"/>
  <c r="CE323" i="90"/>
  <c r="CE232" i="90"/>
  <c r="BU232" i="90"/>
  <c r="BU233" i="90"/>
  <c r="BU235" i="90"/>
  <c r="BU237" i="90"/>
  <c r="BU239" i="90"/>
  <c r="BU234" i="90"/>
  <c r="BU236" i="90"/>
  <c r="BU238" i="90"/>
  <c r="BU240" i="90"/>
  <c r="BU242" i="90"/>
  <c r="BU246" i="90"/>
  <c r="BU244" i="90"/>
  <c r="BU245" i="90"/>
  <c r="BU247" i="90"/>
  <c r="BU249" i="90"/>
  <c r="BU251" i="90"/>
  <c r="BU253" i="90"/>
  <c r="BU255" i="90"/>
  <c r="BU243" i="90"/>
  <c r="BU241" i="90"/>
  <c r="BU252" i="90"/>
  <c r="BU258" i="90"/>
  <c r="BU260" i="90"/>
  <c r="BU262" i="90"/>
  <c r="BU264" i="90"/>
  <c r="BU266" i="90"/>
  <c r="BU257" i="90"/>
  <c r="BU259" i="90"/>
  <c r="BU261" i="90"/>
  <c r="BU263" i="90"/>
  <c r="BU248" i="90"/>
  <c r="BU268" i="90"/>
  <c r="BU276" i="90"/>
  <c r="BU250" i="90"/>
  <c r="BU256" i="90"/>
  <c r="BU272" i="90"/>
  <c r="BU254" i="90"/>
  <c r="BU271" i="90"/>
  <c r="BU282" i="90"/>
  <c r="BU284" i="90"/>
  <c r="BU286" i="90"/>
  <c r="BU288" i="90"/>
  <c r="BU290" i="90"/>
  <c r="BU267" i="90"/>
  <c r="BU273" i="90"/>
  <c r="BU281" i="90"/>
  <c r="BU269" i="90"/>
  <c r="BU278" i="90"/>
  <c r="BU285" i="90"/>
  <c r="BU287" i="90"/>
  <c r="BU289" i="90"/>
  <c r="BU291" i="90"/>
  <c r="BU270" i="90"/>
  <c r="BU265" i="90"/>
  <c r="BU275" i="90"/>
  <c r="BU279" i="90"/>
  <c r="BU294" i="90"/>
  <c r="BU302" i="90"/>
  <c r="BU274" i="90"/>
  <c r="BU283" i="90"/>
  <c r="BU296" i="90"/>
  <c r="BU293" i="90"/>
  <c r="BU301" i="90"/>
  <c r="BU298" i="90"/>
  <c r="BU277" i="90"/>
  <c r="BU295" i="90"/>
  <c r="BU292" i="90"/>
  <c r="BU280" i="90"/>
  <c r="BU297" i="90"/>
  <c r="BU306" i="90"/>
  <c r="BU321" i="90"/>
  <c r="BU330" i="90"/>
  <c r="BU326" i="90"/>
  <c r="BU310" i="90"/>
  <c r="BU318" i="90"/>
  <c r="BU300" i="90"/>
  <c r="BU305" i="90"/>
  <c r="BU315" i="90"/>
  <c r="BU323" i="90"/>
  <c r="BU312" i="90"/>
  <c r="BU320" i="90"/>
  <c r="BU325" i="90"/>
  <c r="BU331" i="90"/>
  <c r="BU304" i="90"/>
  <c r="BU309" i="90"/>
  <c r="BU317" i="90"/>
  <c r="BU329" i="90"/>
  <c r="BU314" i="90"/>
  <c r="BU322" i="90"/>
  <c r="BU299" i="90"/>
  <c r="BU303" i="90"/>
  <c r="BU307" i="90"/>
  <c r="BU311" i="90"/>
  <c r="BU319" i="90"/>
  <c r="BU327" i="90"/>
  <c r="BU308" i="90"/>
  <c r="BU316" i="90"/>
  <c r="BU324" i="90"/>
  <c r="BU313" i="90"/>
  <c r="BU328" i="90"/>
  <c r="DR230" i="90"/>
  <c r="DM234" i="90"/>
  <c r="DM236" i="90"/>
  <c r="DM238" i="90"/>
  <c r="DM233" i="90"/>
  <c r="DM235" i="90"/>
  <c r="DM237" i="90"/>
  <c r="DM239" i="90"/>
  <c r="DM241" i="90"/>
  <c r="DM240" i="90"/>
  <c r="DM245" i="90"/>
  <c r="DM244" i="90"/>
  <c r="DM246" i="90"/>
  <c r="DM248" i="90"/>
  <c r="DM250" i="90"/>
  <c r="DM252" i="90"/>
  <c r="DM254" i="90"/>
  <c r="DM242" i="90"/>
  <c r="DM243" i="90"/>
  <c r="DM257" i="90"/>
  <c r="DM259" i="90"/>
  <c r="DM261" i="90"/>
  <c r="DM263" i="90"/>
  <c r="DM265" i="90"/>
  <c r="DM249" i="90"/>
  <c r="DM253" i="90"/>
  <c r="DM256" i="90"/>
  <c r="DM258" i="90"/>
  <c r="DM260" i="90"/>
  <c r="DM247" i="90"/>
  <c r="DM255" i="90"/>
  <c r="DM264" i="90"/>
  <c r="DM271" i="90"/>
  <c r="DM267" i="90"/>
  <c r="DM275" i="90"/>
  <c r="DM266" i="90"/>
  <c r="DM277" i="90"/>
  <c r="DM283" i="90"/>
  <c r="DM285" i="90"/>
  <c r="DM287" i="90"/>
  <c r="DM289" i="90"/>
  <c r="DM251" i="90"/>
  <c r="DM262" i="90"/>
  <c r="DM272" i="90"/>
  <c r="DM268" i="90"/>
  <c r="DM273" i="90"/>
  <c r="DM281" i="90"/>
  <c r="DM284" i="90"/>
  <c r="DM286" i="90"/>
  <c r="DM288" i="90"/>
  <c r="DM290" i="90"/>
  <c r="DM269" i="90"/>
  <c r="DM270" i="90"/>
  <c r="DM280" i="90"/>
  <c r="DM276" i="90"/>
  <c r="DM297" i="90"/>
  <c r="DM279" i="90"/>
  <c r="DM294" i="90"/>
  <c r="DM278" i="90"/>
  <c r="DM291" i="90"/>
  <c r="DM299" i="90"/>
  <c r="DM296" i="90"/>
  <c r="DM282" i="90"/>
  <c r="DM293" i="90"/>
  <c r="DM301" i="90"/>
  <c r="DM295" i="90"/>
  <c r="DM274" i="90"/>
  <c r="DM292" i="90"/>
  <c r="DM300" i="90"/>
  <c r="DM305" i="90"/>
  <c r="DM308" i="90"/>
  <c r="DM329" i="90"/>
  <c r="DM313" i="90"/>
  <c r="DM321" i="90"/>
  <c r="DM304" i="90"/>
  <c r="DM310" i="90"/>
  <c r="DM318" i="90"/>
  <c r="DM326" i="90"/>
  <c r="DM298" i="90"/>
  <c r="DM315" i="90"/>
  <c r="DM323" i="90"/>
  <c r="DM320" i="90"/>
  <c r="DM330" i="90"/>
  <c r="DM325" i="90"/>
  <c r="DM303" i="90"/>
  <c r="DM307" i="90"/>
  <c r="DM312" i="90"/>
  <c r="DM328" i="90"/>
  <c r="DM309" i="90"/>
  <c r="DM317" i="90"/>
  <c r="DM306" i="90"/>
  <c r="DM314" i="90"/>
  <c r="DM322" i="90"/>
  <c r="DM302" i="90"/>
  <c r="DM311" i="90"/>
  <c r="DM319" i="90"/>
  <c r="DM316" i="90"/>
  <c r="DM324" i="90"/>
  <c r="DM327" i="90"/>
  <c r="DM331" i="90"/>
  <c r="DM232" i="90"/>
  <c r="BS232" i="90"/>
  <c r="BS234" i="90"/>
  <c r="BS236" i="90"/>
  <c r="BS238" i="90"/>
  <c r="BS240" i="90"/>
  <c r="BS242" i="90"/>
  <c r="BS244" i="90"/>
  <c r="BS233" i="90"/>
  <c r="BS245" i="90"/>
  <c r="BS247" i="90"/>
  <c r="BS249" i="90"/>
  <c r="BS251" i="90"/>
  <c r="BS253" i="90"/>
  <c r="BS255" i="90"/>
  <c r="BS239" i="90"/>
  <c r="BS243" i="90"/>
  <c r="BS237" i="90"/>
  <c r="BS241" i="90"/>
  <c r="BS246" i="90"/>
  <c r="BS248" i="90"/>
  <c r="BS250" i="90"/>
  <c r="BS252" i="90"/>
  <c r="BS235" i="90"/>
  <c r="BS254" i="90"/>
  <c r="BS259" i="90"/>
  <c r="BS266" i="90"/>
  <c r="BS258" i="90"/>
  <c r="BS260" i="90"/>
  <c r="BS273" i="90"/>
  <c r="BS262" i="90"/>
  <c r="BS269" i="90"/>
  <c r="BS277" i="90"/>
  <c r="BS267" i="90"/>
  <c r="BS276" i="90"/>
  <c r="BS279" i="90"/>
  <c r="BS257" i="90"/>
  <c r="BS272" i="90"/>
  <c r="BS268" i="90"/>
  <c r="BS264" i="90"/>
  <c r="BS278" i="90"/>
  <c r="BS261" i="90"/>
  <c r="BS274" i="90"/>
  <c r="BS283" i="90"/>
  <c r="BS256" i="90"/>
  <c r="BS270" i="90"/>
  <c r="BS265" i="90"/>
  <c r="BS263" i="90"/>
  <c r="BS271" i="90"/>
  <c r="BS282" i="90"/>
  <c r="BS299" i="90"/>
  <c r="BS304" i="90"/>
  <c r="BS306" i="90"/>
  <c r="BS285" i="90"/>
  <c r="BS289" i="90"/>
  <c r="BS296" i="90"/>
  <c r="BS293" i="90"/>
  <c r="BS275" i="90"/>
  <c r="BS284" i="90"/>
  <c r="BS288" i="90"/>
  <c r="BS298" i="90"/>
  <c r="BS295" i="90"/>
  <c r="BS303" i="90"/>
  <c r="BS305" i="90"/>
  <c r="BS307" i="90"/>
  <c r="BS281" i="90"/>
  <c r="BS287" i="90"/>
  <c r="BS291" i="90"/>
  <c r="BS292" i="90"/>
  <c r="BS280" i="90"/>
  <c r="BS297" i="90"/>
  <c r="BS286" i="90"/>
  <c r="BS290" i="90"/>
  <c r="BS294" i="90"/>
  <c r="BS302" i="90"/>
  <c r="BS301" i="90"/>
  <c r="BS315" i="90"/>
  <c r="BS300" i="90"/>
  <c r="BS312" i="90"/>
  <c r="BS320" i="90"/>
  <c r="BS309" i="90"/>
  <c r="BS317" i="90"/>
  <c r="BS325" i="90"/>
  <c r="BS329" i="90"/>
  <c r="BS331" i="90"/>
  <c r="BS314" i="90"/>
  <c r="BS322" i="90"/>
  <c r="BS327" i="90"/>
  <c r="BS311" i="90"/>
  <c r="BS319" i="90"/>
  <c r="BS308" i="90"/>
  <c r="BS316" i="90"/>
  <c r="BS324" i="90"/>
  <c r="BS313" i="90"/>
  <c r="BS321" i="90"/>
  <c r="BS328" i="90"/>
  <c r="BS330" i="90"/>
  <c r="BS310" i="90"/>
  <c r="BS318" i="90"/>
  <c r="BS326" i="90"/>
  <c r="BS323" i="90"/>
  <c r="DP230" i="90"/>
  <c r="BR232" i="90"/>
  <c r="BR234" i="90"/>
  <c r="BR236" i="90"/>
  <c r="BR238" i="90"/>
  <c r="BR240" i="90"/>
  <c r="BR242" i="90"/>
  <c r="BR233" i="90"/>
  <c r="BR244" i="90"/>
  <c r="BR245" i="90"/>
  <c r="BR247" i="90"/>
  <c r="BR249" i="90"/>
  <c r="BR251" i="90"/>
  <c r="BR253" i="90"/>
  <c r="BR255" i="90"/>
  <c r="BR239" i="90"/>
  <c r="BR243" i="90"/>
  <c r="BR237" i="90"/>
  <c r="BR241" i="90"/>
  <c r="BR246" i="90"/>
  <c r="BR235" i="90"/>
  <c r="BR250" i="90"/>
  <c r="BR260" i="90"/>
  <c r="BR252" i="90"/>
  <c r="BR265" i="90"/>
  <c r="BR266" i="90"/>
  <c r="BR254" i="90"/>
  <c r="BR270" i="90"/>
  <c r="BR261" i="90"/>
  <c r="BR258" i="90"/>
  <c r="BR274" i="90"/>
  <c r="BR257" i="90"/>
  <c r="BR272" i="90"/>
  <c r="BR248" i="90"/>
  <c r="BR268" i="90"/>
  <c r="BR259" i="90"/>
  <c r="BR264" i="90"/>
  <c r="BR273" i="90"/>
  <c r="BR269" i="90"/>
  <c r="BR283" i="90"/>
  <c r="BR256" i="90"/>
  <c r="BR280" i="90"/>
  <c r="BR262" i="90"/>
  <c r="BR263" i="90"/>
  <c r="BR271" i="90"/>
  <c r="BR267" i="90"/>
  <c r="BR276" i="90"/>
  <c r="BR279" i="90"/>
  <c r="BR285" i="90"/>
  <c r="BR289" i="90"/>
  <c r="BR296" i="90"/>
  <c r="BR278" i="90"/>
  <c r="BR293" i="90"/>
  <c r="BR275" i="90"/>
  <c r="BR284" i="90"/>
  <c r="BR288" i="90"/>
  <c r="BR298" i="90"/>
  <c r="BR282" i="90"/>
  <c r="BR295" i="90"/>
  <c r="BR303" i="90"/>
  <c r="BR305" i="90"/>
  <c r="BR307" i="90"/>
  <c r="BR309" i="90"/>
  <c r="BR311" i="90"/>
  <c r="BR313" i="90"/>
  <c r="BR315" i="90"/>
  <c r="BR317" i="90"/>
  <c r="BR319" i="90"/>
  <c r="BR321" i="90"/>
  <c r="BR323" i="90"/>
  <c r="BR325" i="90"/>
  <c r="BR327" i="90"/>
  <c r="BR277" i="90"/>
  <c r="BR281" i="90"/>
  <c r="BR287" i="90"/>
  <c r="BR291" i="90"/>
  <c r="BR292" i="90"/>
  <c r="BR300" i="90"/>
  <c r="BR286" i="90"/>
  <c r="BR290" i="90"/>
  <c r="BR294" i="90"/>
  <c r="BR299" i="90"/>
  <c r="BR304" i="90"/>
  <c r="BR306" i="90"/>
  <c r="BR308" i="90"/>
  <c r="BR310" i="90"/>
  <c r="BR312" i="90"/>
  <c r="BR314" i="90"/>
  <c r="BR316" i="90"/>
  <c r="BR318" i="90"/>
  <c r="BR320" i="90"/>
  <c r="BR322" i="90"/>
  <c r="BR324" i="90"/>
  <c r="BR326" i="90"/>
  <c r="BR331" i="90"/>
  <c r="BR328" i="90"/>
  <c r="BR330" i="90"/>
  <c r="BR302" i="90"/>
  <c r="BR297" i="90"/>
  <c r="BR301" i="90"/>
  <c r="BR329" i="90"/>
  <c r="DB233" i="90"/>
  <c r="DB235" i="90"/>
  <c r="DB237" i="90"/>
  <c r="DB239" i="90"/>
  <c r="DB241" i="90"/>
  <c r="DB234" i="90"/>
  <c r="DB242" i="90"/>
  <c r="DB244" i="90"/>
  <c r="DB246" i="90"/>
  <c r="DB248" i="90"/>
  <c r="DB250" i="90"/>
  <c r="DB252" i="90"/>
  <c r="DB254" i="90"/>
  <c r="DB256" i="90"/>
  <c r="DB240" i="90"/>
  <c r="DB238" i="90"/>
  <c r="DB245" i="90"/>
  <c r="DB236" i="90"/>
  <c r="DB243" i="90"/>
  <c r="DB251" i="90"/>
  <c r="DB257" i="90"/>
  <c r="DB247" i="90"/>
  <c r="DB261" i="90"/>
  <c r="DB264" i="90"/>
  <c r="DB265" i="90"/>
  <c r="DB249" i="90"/>
  <c r="DB258" i="90"/>
  <c r="DB271" i="90"/>
  <c r="DB253" i="90"/>
  <c r="DB260" i="90"/>
  <c r="DB267" i="90"/>
  <c r="DB275" i="90"/>
  <c r="DB255" i="90"/>
  <c r="DB274" i="90"/>
  <c r="DB277" i="90"/>
  <c r="DB270" i="90"/>
  <c r="DB263" i="90"/>
  <c r="DB266" i="90"/>
  <c r="DB276" i="90"/>
  <c r="DB259" i="90"/>
  <c r="DB272" i="90"/>
  <c r="DB281" i="90"/>
  <c r="DB268" i="90"/>
  <c r="DB273" i="90"/>
  <c r="DB262" i="90"/>
  <c r="DB269" i="90"/>
  <c r="DB280" i="90"/>
  <c r="DB282" i="90"/>
  <c r="DB286" i="90"/>
  <c r="DB290" i="90"/>
  <c r="DB297" i="90"/>
  <c r="DB294" i="90"/>
  <c r="DB285" i="90"/>
  <c r="DB289" i="90"/>
  <c r="DB291" i="90"/>
  <c r="DB299" i="90"/>
  <c r="DB296" i="90"/>
  <c r="DB304" i="90"/>
  <c r="DB306" i="90"/>
  <c r="DB308" i="90"/>
  <c r="DB310" i="90"/>
  <c r="DB312" i="90"/>
  <c r="DB314" i="90"/>
  <c r="DB316" i="90"/>
  <c r="DB318" i="90"/>
  <c r="DB320" i="90"/>
  <c r="DB322" i="90"/>
  <c r="DB324" i="90"/>
  <c r="DB326" i="90"/>
  <c r="DB284" i="90"/>
  <c r="DB288" i="90"/>
  <c r="DB293" i="90"/>
  <c r="DB301" i="90"/>
  <c r="DB279" i="90"/>
  <c r="DB278" i="90"/>
  <c r="DB287" i="90"/>
  <c r="DB295" i="90"/>
  <c r="DB283" i="90"/>
  <c r="DB292" i="90"/>
  <c r="DB300" i="90"/>
  <c r="DB303" i="90"/>
  <c r="DB305" i="90"/>
  <c r="DB307" i="90"/>
  <c r="DB309" i="90"/>
  <c r="DB311" i="90"/>
  <c r="DB313" i="90"/>
  <c r="DB315" i="90"/>
  <c r="DB317" i="90"/>
  <c r="DB319" i="90"/>
  <c r="DB321" i="90"/>
  <c r="DB323" i="90"/>
  <c r="DB325" i="90"/>
  <c r="DB327" i="90"/>
  <c r="DB298" i="90"/>
  <c r="DB328" i="90"/>
  <c r="DB302" i="90"/>
  <c r="DB329" i="90"/>
  <c r="DB330" i="90"/>
  <c r="DB232" i="90"/>
  <c r="DB331" i="90"/>
  <c r="CF234" i="90"/>
  <c r="CF236" i="90"/>
  <c r="CF238" i="90"/>
  <c r="CF240" i="90"/>
  <c r="CF242" i="90"/>
  <c r="CF233" i="90"/>
  <c r="CF235" i="90"/>
  <c r="CF237" i="90"/>
  <c r="CF239" i="90"/>
  <c r="CF241" i="90"/>
  <c r="CF243" i="90"/>
  <c r="CF244" i="90"/>
  <c r="CF246" i="90"/>
  <c r="CF248" i="90"/>
  <c r="CF250" i="90"/>
  <c r="CF251" i="90"/>
  <c r="CF254" i="90"/>
  <c r="CF249" i="90"/>
  <c r="CF255" i="90"/>
  <c r="CF257" i="90"/>
  <c r="CF266" i="90"/>
  <c r="CF268" i="90"/>
  <c r="CF270" i="90"/>
  <c r="CF272" i="90"/>
  <c r="CF274" i="90"/>
  <c r="CF276" i="90"/>
  <c r="CF247" i="90"/>
  <c r="CF252" i="90"/>
  <c r="CF256" i="90"/>
  <c r="CF261" i="90"/>
  <c r="CF267" i="90"/>
  <c r="CF269" i="90"/>
  <c r="CF271" i="90"/>
  <c r="CF273" i="90"/>
  <c r="CF275" i="90"/>
  <c r="CF277" i="90"/>
  <c r="CF245" i="90"/>
  <c r="CF260" i="90"/>
  <c r="CF263" i="90"/>
  <c r="CF278" i="90"/>
  <c r="CF280" i="90"/>
  <c r="CF282" i="90"/>
  <c r="CF258" i="90"/>
  <c r="CF279" i="90"/>
  <c r="CF281" i="90"/>
  <c r="CF283" i="90"/>
  <c r="CF253" i="90"/>
  <c r="CF262" i="90"/>
  <c r="CF265" i="90"/>
  <c r="CF284" i="90"/>
  <c r="CF286" i="90"/>
  <c r="CF288" i="90"/>
  <c r="CF290" i="90"/>
  <c r="CF292" i="90"/>
  <c r="CF294" i="90"/>
  <c r="CF296" i="90"/>
  <c r="CF298" i="90"/>
  <c r="CF300" i="90"/>
  <c r="CF302" i="90"/>
  <c r="CF259" i="90"/>
  <c r="CF264" i="90"/>
  <c r="CF285" i="90"/>
  <c r="CF287" i="90"/>
  <c r="CF289" i="90"/>
  <c r="CF291" i="90"/>
  <c r="CF293" i="90"/>
  <c r="CF295" i="90"/>
  <c r="CF297" i="90"/>
  <c r="CF299" i="90"/>
  <c r="CF301" i="90"/>
  <c r="CF304" i="90"/>
  <c r="CF310" i="90"/>
  <c r="CF318" i="90"/>
  <c r="CF315" i="90"/>
  <c r="CF323" i="90"/>
  <c r="CF303" i="90"/>
  <c r="CF307" i="90"/>
  <c r="CF312" i="90"/>
  <c r="CF320" i="90"/>
  <c r="CF328" i="90"/>
  <c r="CF330" i="90"/>
  <c r="CF317" i="90"/>
  <c r="CF325" i="90"/>
  <c r="CF309" i="90"/>
  <c r="CF306" i="90"/>
  <c r="CF314" i="90"/>
  <c r="CF322" i="90"/>
  <c r="CF311" i="90"/>
  <c r="CF319" i="90"/>
  <c r="CF327" i="90"/>
  <c r="CF305" i="90"/>
  <c r="CF308" i="90"/>
  <c r="CF316" i="90"/>
  <c r="CF324" i="90"/>
  <c r="CF329" i="90"/>
  <c r="CF331" i="90"/>
  <c r="CF313" i="90"/>
  <c r="CF321" i="90"/>
  <c r="CF326" i="90"/>
  <c r="CF232" i="90"/>
  <c r="CW230" i="90"/>
  <c r="DC233" i="90"/>
  <c r="DC235" i="90"/>
  <c r="DC237" i="90"/>
  <c r="DC239" i="90"/>
  <c r="DC241" i="90"/>
  <c r="DC243" i="90"/>
  <c r="DC234" i="90"/>
  <c r="DC242" i="90"/>
  <c r="DC244" i="90"/>
  <c r="DC246" i="90"/>
  <c r="DC248" i="90"/>
  <c r="DC250" i="90"/>
  <c r="DC252" i="90"/>
  <c r="DC254" i="90"/>
  <c r="DC256" i="90"/>
  <c r="DC240" i="90"/>
  <c r="DC238" i="90"/>
  <c r="DC245" i="90"/>
  <c r="DC247" i="90"/>
  <c r="DC249" i="90"/>
  <c r="DC251" i="90"/>
  <c r="DC253" i="90"/>
  <c r="DC255" i="90"/>
  <c r="DC260" i="90"/>
  <c r="DC236" i="90"/>
  <c r="DC262" i="90"/>
  <c r="DC266" i="90"/>
  <c r="DC274" i="90"/>
  <c r="DC258" i="90"/>
  <c r="DC270" i="90"/>
  <c r="DC269" i="90"/>
  <c r="DC280" i="90"/>
  <c r="DC265" i="90"/>
  <c r="DC257" i="90"/>
  <c r="DC263" i="90"/>
  <c r="DC271" i="90"/>
  <c r="DC279" i="90"/>
  <c r="DC267" i="90"/>
  <c r="DC276" i="90"/>
  <c r="DC259" i="90"/>
  <c r="DC272" i="90"/>
  <c r="DC261" i="90"/>
  <c r="DC264" i="90"/>
  <c r="DC268" i="90"/>
  <c r="DC273" i="90"/>
  <c r="DC283" i="90"/>
  <c r="DC277" i="90"/>
  <c r="DC292" i="90"/>
  <c r="DC300" i="90"/>
  <c r="DC303" i="90"/>
  <c r="DC305" i="90"/>
  <c r="DC307" i="90"/>
  <c r="DC282" i="90"/>
  <c r="DC286" i="90"/>
  <c r="DC290" i="90"/>
  <c r="DC281" i="90"/>
  <c r="DC294" i="90"/>
  <c r="DC285" i="90"/>
  <c r="DC289" i="90"/>
  <c r="DC291" i="90"/>
  <c r="DC299" i="90"/>
  <c r="DC296" i="90"/>
  <c r="DC304" i="90"/>
  <c r="DC306" i="90"/>
  <c r="DC275" i="90"/>
  <c r="DC284" i="90"/>
  <c r="DC288" i="90"/>
  <c r="DC293" i="90"/>
  <c r="DC298" i="90"/>
  <c r="DC278" i="90"/>
  <c r="DC287" i="90"/>
  <c r="DC295" i="90"/>
  <c r="DC308" i="90"/>
  <c r="DC313" i="90"/>
  <c r="DC321" i="90"/>
  <c r="DC310" i="90"/>
  <c r="DC318" i="90"/>
  <c r="DC326" i="90"/>
  <c r="DC328" i="90"/>
  <c r="DC330" i="90"/>
  <c r="DC315" i="90"/>
  <c r="DC323" i="90"/>
  <c r="DC232" i="90"/>
  <c r="DC312" i="90"/>
  <c r="DC302" i="90"/>
  <c r="DC320" i="90"/>
  <c r="DC301" i="90"/>
  <c r="DC309" i="90"/>
  <c r="DC317" i="90"/>
  <c r="DC325" i="90"/>
  <c r="DC297" i="90"/>
  <c r="DC314" i="90"/>
  <c r="DC322" i="90"/>
  <c r="DC329" i="90"/>
  <c r="DC311" i="90"/>
  <c r="DC319" i="90"/>
  <c r="DC327" i="90"/>
  <c r="DC316" i="90"/>
  <c r="DC324" i="90"/>
  <c r="DC331" i="90"/>
  <c r="BK232" i="90"/>
  <c r="BK234" i="90"/>
  <c r="BK236" i="90"/>
  <c r="BK238" i="90"/>
  <c r="BK240" i="90"/>
  <c r="BK242" i="90"/>
  <c r="BK244" i="90"/>
  <c r="BK243" i="90"/>
  <c r="BK239" i="90"/>
  <c r="BK241" i="90"/>
  <c r="BK245" i="90"/>
  <c r="BK247" i="90"/>
  <c r="BK249" i="90"/>
  <c r="BK251" i="90"/>
  <c r="BK253" i="90"/>
  <c r="BK255" i="90"/>
  <c r="BK237" i="90"/>
  <c r="BK235" i="90"/>
  <c r="BK246" i="90"/>
  <c r="BK248" i="90"/>
  <c r="BK250" i="90"/>
  <c r="BK252" i="90"/>
  <c r="BK233" i="90"/>
  <c r="BK257" i="90"/>
  <c r="BK265" i="90"/>
  <c r="BK261" i="90"/>
  <c r="BK264" i="90"/>
  <c r="BK256" i="90"/>
  <c r="BK258" i="90"/>
  <c r="BK266" i="90"/>
  <c r="BK271" i="90"/>
  <c r="BK260" i="90"/>
  <c r="BK267" i="90"/>
  <c r="BK275" i="90"/>
  <c r="BK259" i="90"/>
  <c r="BK274" i="90"/>
  <c r="BK270" i="90"/>
  <c r="BK262" i="90"/>
  <c r="BK276" i="90"/>
  <c r="BK263" i="90"/>
  <c r="BK272" i="90"/>
  <c r="BK281" i="90"/>
  <c r="BK268" i="90"/>
  <c r="BK254" i="90"/>
  <c r="BK273" i="90"/>
  <c r="BK269" i="90"/>
  <c r="BK280" i="90"/>
  <c r="BK282" i="90"/>
  <c r="BK297" i="90"/>
  <c r="BK304" i="90"/>
  <c r="BK306" i="90"/>
  <c r="BK287" i="90"/>
  <c r="BK291" i="90"/>
  <c r="BK294" i="90"/>
  <c r="BK277" i="90"/>
  <c r="BK299" i="90"/>
  <c r="BK286" i="90"/>
  <c r="BK290" i="90"/>
  <c r="BK296" i="90"/>
  <c r="BK293" i="90"/>
  <c r="BK301" i="90"/>
  <c r="BK305" i="90"/>
  <c r="BK307" i="90"/>
  <c r="BK279" i="90"/>
  <c r="BK285" i="90"/>
  <c r="BK289" i="90"/>
  <c r="BK278" i="90"/>
  <c r="BK295" i="90"/>
  <c r="BK283" i="90"/>
  <c r="BK284" i="90"/>
  <c r="BK288" i="90"/>
  <c r="BK292" i="90"/>
  <c r="BK300" i="90"/>
  <c r="BK313" i="90"/>
  <c r="BK298" i="90"/>
  <c r="BK310" i="90"/>
  <c r="BK318" i="90"/>
  <c r="BK303" i="90"/>
  <c r="BK315" i="90"/>
  <c r="BK323" i="90"/>
  <c r="BK329" i="90"/>
  <c r="BK331" i="90"/>
  <c r="BK302" i="90"/>
  <c r="BK312" i="90"/>
  <c r="BK320" i="90"/>
  <c r="BK317" i="90"/>
  <c r="BK309" i="90"/>
  <c r="BK325" i="90"/>
  <c r="BK314" i="90"/>
  <c r="BK322" i="90"/>
  <c r="BK311" i="90"/>
  <c r="BK319" i="90"/>
  <c r="BK327" i="90"/>
  <c r="BK328" i="90"/>
  <c r="BK330" i="90"/>
  <c r="BK308" i="90"/>
  <c r="BK316" i="90"/>
  <c r="BK324" i="90"/>
  <c r="BK321" i="90"/>
  <c r="BK326" i="90"/>
  <c r="BV232" i="90"/>
  <c r="BV233" i="90"/>
  <c r="BV235" i="90"/>
  <c r="BV237" i="90"/>
  <c r="BV239" i="90"/>
  <c r="BV241" i="90"/>
  <c r="BV243" i="90"/>
  <c r="BV234" i="90"/>
  <c r="BV246" i="90"/>
  <c r="BV248" i="90"/>
  <c r="BV250" i="90"/>
  <c r="BV252" i="90"/>
  <c r="BV254" i="90"/>
  <c r="BV256" i="90"/>
  <c r="BV240" i="90"/>
  <c r="BV244" i="90"/>
  <c r="BV238" i="90"/>
  <c r="BV242" i="90"/>
  <c r="BV245" i="90"/>
  <c r="BV247" i="90"/>
  <c r="BV236" i="90"/>
  <c r="BV251" i="90"/>
  <c r="BV249" i="90"/>
  <c r="BV257" i="90"/>
  <c r="BV261" i="90"/>
  <c r="BV262" i="90"/>
  <c r="BV259" i="90"/>
  <c r="BV264" i="90"/>
  <c r="BV265" i="90"/>
  <c r="BV271" i="90"/>
  <c r="BV253" i="90"/>
  <c r="BV263" i="90"/>
  <c r="BV267" i="90"/>
  <c r="BV275" i="90"/>
  <c r="BV258" i="90"/>
  <c r="BV272" i="90"/>
  <c r="BV255" i="90"/>
  <c r="BV266" i="90"/>
  <c r="BV268" i="90"/>
  <c r="BV277" i="90"/>
  <c r="BV260" i="90"/>
  <c r="BV273" i="90"/>
  <c r="BV281" i="90"/>
  <c r="BV269" i="90"/>
  <c r="BV270" i="90"/>
  <c r="BV280" i="90"/>
  <c r="BV286" i="90"/>
  <c r="BV290" i="90"/>
  <c r="BV297" i="90"/>
  <c r="BV279" i="90"/>
  <c r="BV294" i="90"/>
  <c r="BV278" i="90"/>
  <c r="BV285" i="90"/>
  <c r="BV289" i="90"/>
  <c r="BV299" i="90"/>
  <c r="BV274" i="90"/>
  <c r="BV283" i="90"/>
  <c r="BV296" i="90"/>
  <c r="BV304" i="90"/>
  <c r="BV306" i="90"/>
  <c r="BV308" i="90"/>
  <c r="BV310" i="90"/>
  <c r="BV312" i="90"/>
  <c r="BV314" i="90"/>
  <c r="BV316" i="90"/>
  <c r="BV318" i="90"/>
  <c r="BV320" i="90"/>
  <c r="BV322" i="90"/>
  <c r="BV324" i="90"/>
  <c r="BV326" i="90"/>
  <c r="BV276" i="90"/>
  <c r="BV282" i="90"/>
  <c r="BV284" i="90"/>
  <c r="BV288" i="90"/>
  <c r="BV293" i="90"/>
  <c r="BV301" i="90"/>
  <c r="BV287" i="90"/>
  <c r="BV291" i="90"/>
  <c r="BV295" i="90"/>
  <c r="BV292" i="90"/>
  <c r="BV300" i="90"/>
  <c r="BV303" i="90"/>
  <c r="BV305" i="90"/>
  <c r="BV307" i="90"/>
  <c r="BV309" i="90"/>
  <c r="BV311" i="90"/>
  <c r="BV313" i="90"/>
  <c r="BV315" i="90"/>
  <c r="BV317" i="90"/>
  <c r="BV319" i="90"/>
  <c r="BV321" i="90"/>
  <c r="BV323" i="90"/>
  <c r="BV325" i="90"/>
  <c r="BV327" i="90"/>
  <c r="BV328" i="90"/>
  <c r="BV330" i="90"/>
  <c r="BV298" i="90"/>
  <c r="BV329" i="90"/>
  <c r="BV331" i="90"/>
  <c r="BV302" i="90"/>
  <c r="CL230" i="90"/>
  <c r="CS233" i="90"/>
  <c r="CS235" i="90"/>
  <c r="CS237" i="90"/>
  <c r="CS239" i="90"/>
  <c r="CS234" i="90"/>
  <c r="CS236" i="90"/>
  <c r="CS238" i="90"/>
  <c r="CS240" i="90"/>
  <c r="CS242" i="90"/>
  <c r="CS244" i="90"/>
  <c r="CS246" i="90"/>
  <c r="CS243" i="90"/>
  <c r="CS245" i="90"/>
  <c r="CS247" i="90"/>
  <c r="CS249" i="90"/>
  <c r="CS251" i="90"/>
  <c r="CS253" i="90"/>
  <c r="CS255" i="90"/>
  <c r="CS256" i="90"/>
  <c r="CS258" i="90"/>
  <c r="CS260" i="90"/>
  <c r="CS262" i="90"/>
  <c r="CS264" i="90"/>
  <c r="CS252" i="90"/>
  <c r="CS257" i="90"/>
  <c r="CS259" i="90"/>
  <c r="CS261" i="90"/>
  <c r="CS250" i="90"/>
  <c r="CS241" i="90"/>
  <c r="CS263" i="90"/>
  <c r="CS266" i="90"/>
  <c r="CS274" i="90"/>
  <c r="CS270" i="90"/>
  <c r="CS268" i="90"/>
  <c r="CS280" i="90"/>
  <c r="CS284" i="90"/>
  <c r="CS286" i="90"/>
  <c r="CS288" i="90"/>
  <c r="CS290" i="90"/>
  <c r="CS273" i="90"/>
  <c r="CS269" i="90"/>
  <c r="CS248" i="90"/>
  <c r="CS279" i="90"/>
  <c r="CS254" i="90"/>
  <c r="CS275" i="90"/>
  <c r="CS285" i="90"/>
  <c r="CS287" i="90"/>
  <c r="CS289" i="90"/>
  <c r="CS271" i="90"/>
  <c r="CS267" i="90"/>
  <c r="CS265" i="90"/>
  <c r="CS272" i="90"/>
  <c r="CS283" i="90"/>
  <c r="CS292" i="90"/>
  <c r="CS300" i="90"/>
  <c r="CS294" i="90"/>
  <c r="CS276" i="90"/>
  <c r="CS278" i="90"/>
  <c r="CS291" i="90"/>
  <c r="CS299" i="90"/>
  <c r="CS277" i="90"/>
  <c r="CS296" i="90"/>
  <c r="CS282" i="90"/>
  <c r="CS293" i="90"/>
  <c r="CS281" i="90"/>
  <c r="CS298" i="90"/>
  <c r="CS295" i="90"/>
  <c r="CS302" i="90"/>
  <c r="CS304" i="90"/>
  <c r="CS311" i="90"/>
  <c r="CS327" i="90"/>
  <c r="CS330" i="90"/>
  <c r="CS301" i="90"/>
  <c r="CS308" i="90"/>
  <c r="CS316" i="90"/>
  <c r="CS324" i="90"/>
  <c r="CS303" i="90"/>
  <c r="CS307" i="90"/>
  <c r="CS313" i="90"/>
  <c r="CS321" i="90"/>
  <c r="CS310" i="90"/>
  <c r="CS318" i="90"/>
  <c r="CS326" i="90"/>
  <c r="CS315" i="90"/>
  <c r="CS329" i="90"/>
  <c r="CS331" i="90"/>
  <c r="CS297" i="90"/>
  <c r="CS306" i="90"/>
  <c r="CS323" i="90"/>
  <c r="CS312" i="90"/>
  <c r="CS320" i="90"/>
  <c r="CS305" i="90"/>
  <c r="CS309" i="90"/>
  <c r="CS317" i="90"/>
  <c r="CS325" i="90"/>
  <c r="CS314" i="90"/>
  <c r="CS322" i="90"/>
  <c r="CS319" i="90"/>
  <c r="CS328" i="90"/>
  <c r="CS232" i="90"/>
  <c r="DH230" i="90"/>
  <c r="DQ230" i="90"/>
  <c r="CM230" i="90"/>
  <c r="CH234" i="90"/>
  <c r="CH236" i="90"/>
  <c r="CH238" i="90"/>
  <c r="CH240" i="90"/>
  <c r="CH242" i="90"/>
  <c r="CH237" i="90"/>
  <c r="CH245" i="90"/>
  <c r="CH247" i="90"/>
  <c r="CH249" i="90"/>
  <c r="CH251" i="90"/>
  <c r="CH253" i="90"/>
  <c r="CH255" i="90"/>
  <c r="CH235" i="90"/>
  <c r="CH241" i="90"/>
  <c r="CH243" i="90"/>
  <c r="CH233" i="90"/>
  <c r="CH244" i="90"/>
  <c r="CH246" i="90"/>
  <c r="CH239" i="90"/>
  <c r="CH256" i="90"/>
  <c r="CH252" i="90"/>
  <c r="CH260" i="90"/>
  <c r="CH264" i="90"/>
  <c r="CH250" i="90"/>
  <c r="CH254" i="90"/>
  <c r="CH265" i="90"/>
  <c r="CH248" i="90"/>
  <c r="CH258" i="90"/>
  <c r="CH266" i="90"/>
  <c r="CH274" i="90"/>
  <c r="CH263" i="90"/>
  <c r="CH262" i="90"/>
  <c r="CH270" i="90"/>
  <c r="CH261" i="90"/>
  <c r="CH267" i="90"/>
  <c r="CH276" i="90"/>
  <c r="CH280" i="90"/>
  <c r="CH272" i="90"/>
  <c r="CH268" i="90"/>
  <c r="CH273" i="90"/>
  <c r="CH279" i="90"/>
  <c r="CH269" i="90"/>
  <c r="CH257" i="90"/>
  <c r="CH259" i="90"/>
  <c r="CH271" i="90"/>
  <c r="CH283" i="90"/>
  <c r="CH285" i="90"/>
  <c r="CH289" i="90"/>
  <c r="CH292" i="90"/>
  <c r="CH300" i="90"/>
  <c r="CH277" i="90"/>
  <c r="CH282" i="90"/>
  <c r="CH281" i="90"/>
  <c r="CH284" i="90"/>
  <c r="CH288" i="90"/>
  <c r="CH294" i="90"/>
  <c r="CH299" i="90"/>
  <c r="CH303" i="90"/>
  <c r="CH305" i="90"/>
  <c r="CH307" i="90"/>
  <c r="CH309" i="90"/>
  <c r="CH311" i="90"/>
  <c r="CH313" i="90"/>
  <c r="CH315" i="90"/>
  <c r="CH317" i="90"/>
  <c r="CH319" i="90"/>
  <c r="CH321" i="90"/>
  <c r="CH323" i="90"/>
  <c r="CH325" i="90"/>
  <c r="CH327" i="90"/>
  <c r="CH287" i="90"/>
  <c r="CH291" i="90"/>
  <c r="CH296" i="90"/>
  <c r="CH293" i="90"/>
  <c r="CH286" i="90"/>
  <c r="CH290" i="90"/>
  <c r="CH298" i="90"/>
  <c r="CH275" i="90"/>
  <c r="CH278" i="90"/>
  <c r="CH295" i="90"/>
  <c r="CH304" i="90"/>
  <c r="CH306" i="90"/>
  <c r="CH308" i="90"/>
  <c r="CH310" i="90"/>
  <c r="CH312" i="90"/>
  <c r="CH314" i="90"/>
  <c r="CH316" i="90"/>
  <c r="CH318" i="90"/>
  <c r="CH320" i="90"/>
  <c r="CH322" i="90"/>
  <c r="CH324" i="90"/>
  <c r="CH326" i="90"/>
  <c r="CH329" i="90"/>
  <c r="CH297" i="90"/>
  <c r="CH302" i="90"/>
  <c r="CH301" i="90"/>
  <c r="CH328" i="90"/>
  <c r="CH330" i="90"/>
  <c r="CH232" i="90"/>
  <c r="CH331" i="90"/>
  <c r="DG234" i="90"/>
  <c r="DG236" i="90"/>
  <c r="DG238" i="90"/>
  <c r="DG240" i="90"/>
  <c r="DG242" i="90"/>
  <c r="DG235" i="90"/>
  <c r="DG243" i="90"/>
  <c r="DG245" i="90"/>
  <c r="DG247" i="90"/>
  <c r="DG249" i="90"/>
  <c r="DG251" i="90"/>
  <c r="DG253" i="90"/>
  <c r="DG255" i="90"/>
  <c r="DG233" i="90"/>
  <c r="DG241" i="90"/>
  <c r="DG239" i="90"/>
  <c r="DG244" i="90"/>
  <c r="DG246" i="90"/>
  <c r="DG248" i="90"/>
  <c r="DG250" i="90"/>
  <c r="DG252" i="90"/>
  <c r="DG256" i="90"/>
  <c r="DG254" i="90"/>
  <c r="DG261" i="90"/>
  <c r="DG257" i="90"/>
  <c r="DG259" i="90"/>
  <c r="DG237" i="90"/>
  <c r="DG265" i="90"/>
  <c r="DG267" i="90"/>
  <c r="DG275" i="90"/>
  <c r="DG263" i="90"/>
  <c r="DG264" i="90"/>
  <c r="DG271" i="90"/>
  <c r="DG262" i="90"/>
  <c r="DG268" i="90"/>
  <c r="DG281" i="90"/>
  <c r="DG273" i="90"/>
  <c r="DG269" i="90"/>
  <c r="DG274" i="90"/>
  <c r="DG280" i="90"/>
  <c r="DG270" i="90"/>
  <c r="DG277" i="90"/>
  <c r="DG258" i="90"/>
  <c r="DG266" i="90"/>
  <c r="DG260" i="90"/>
  <c r="DG272" i="90"/>
  <c r="DG278" i="90"/>
  <c r="DG293" i="90"/>
  <c r="DG301" i="90"/>
  <c r="DG304" i="90"/>
  <c r="DG306" i="90"/>
  <c r="DG283" i="90"/>
  <c r="DG287" i="90"/>
  <c r="DG282" i="90"/>
  <c r="DG295" i="90"/>
  <c r="DG286" i="90"/>
  <c r="DG290" i="90"/>
  <c r="DG292" i="90"/>
  <c r="DG300" i="90"/>
  <c r="DG297" i="90"/>
  <c r="DG303" i="90"/>
  <c r="DG305" i="90"/>
  <c r="DG307" i="90"/>
  <c r="DG285" i="90"/>
  <c r="DG289" i="90"/>
  <c r="DG294" i="90"/>
  <c r="DG291" i="90"/>
  <c r="DG299" i="90"/>
  <c r="DG276" i="90"/>
  <c r="DG279" i="90"/>
  <c r="DG284" i="90"/>
  <c r="DG288" i="90"/>
  <c r="DG296" i="90"/>
  <c r="DG309" i="90"/>
  <c r="DG314" i="90"/>
  <c r="DG322" i="90"/>
  <c r="DG298" i="90"/>
  <c r="DG311" i="90"/>
  <c r="DG319" i="90"/>
  <c r="DG327" i="90"/>
  <c r="DG329" i="90"/>
  <c r="DG308" i="90"/>
  <c r="DG316" i="90"/>
  <c r="DG324" i="90"/>
  <c r="DG326" i="90"/>
  <c r="DG313" i="90"/>
  <c r="DG321" i="90"/>
  <c r="DG302" i="90"/>
  <c r="DG310" i="90"/>
  <c r="DG318" i="90"/>
  <c r="DG315" i="90"/>
  <c r="DG323" i="90"/>
  <c r="DG328" i="90"/>
  <c r="DG330" i="90"/>
  <c r="DG312" i="90"/>
  <c r="DG320" i="90"/>
  <c r="DG232" i="90"/>
  <c r="DG317" i="90"/>
  <c r="DG325" i="90"/>
  <c r="DG331" i="90"/>
  <c r="CN230" i="90"/>
  <c r="CI234" i="90"/>
  <c r="CI236" i="90"/>
  <c r="CI238" i="90"/>
  <c r="CI240" i="90"/>
  <c r="CI242" i="90"/>
  <c r="CI237" i="90"/>
  <c r="CI245" i="90"/>
  <c r="CI247" i="90"/>
  <c r="CI249" i="90"/>
  <c r="CI251" i="90"/>
  <c r="CI253" i="90"/>
  <c r="CI255" i="90"/>
  <c r="CI235" i="90"/>
  <c r="CI241" i="90"/>
  <c r="CI243" i="90"/>
  <c r="CI233" i="90"/>
  <c r="CI244" i="90"/>
  <c r="CI246" i="90"/>
  <c r="CI248" i="90"/>
  <c r="CI250" i="90"/>
  <c r="CI252" i="90"/>
  <c r="CI239" i="90"/>
  <c r="CI259" i="90"/>
  <c r="CI263" i="90"/>
  <c r="CI262" i="90"/>
  <c r="CI256" i="90"/>
  <c r="CI265" i="90"/>
  <c r="CI269" i="90"/>
  <c r="CI277" i="90"/>
  <c r="CI260" i="90"/>
  <c r="CI264" i="90"/>
  <c r="CI266" i="90"/>
  <c r="CI257" i="90"/>
  <c r="CI273" i="90"/>
  <c r="CI271" i="90"/>
  <c r="CI283" i="90"/>
  <c r="CI261" i="90"/>
  <c r="CI267" i="90"/>
  <c r="CI254" i="90"/>
  <c r="CI272" i="90"/>
  <c r="CI268" i="90"/>
  <c r="CI282" i="90"/>
  <c r="CI279" i="90"/>
  <c r="CI258" i="90"/>
  <c r="CI270" i="90"/>
  <c r="CI275" i="90"/>
  <c r="CI278" i="90"/>
  <c r="CI276" i="90"/>
  <c r="CI295" i="90"/>
  <c r="CI304" i="90"/>
  <c r="CI306" i="90"/>
  <c r="CI285" i="90"/>
  <c r="CI289" i="90"/>
  <c r="CI292" i="90"/>
  <c r="CI297" i="90"/>
  <c r="CI281" i="90"/>
  <c r="CI284" i="90"/>
  <c r="CI288" i="90"/>
  <c r="CI294" i="90"/>
  <c r="CI302" i="90"/>
  <c r="CI280" i="90"/>
  <c r="CI299" i="90"/>
  <c r="CI303" i="90"/>
  <c r="CI305" i="90"/>
  <c r="CI307" i="90"/>
  <c r="CI287" i="90"/>
  <c r="CI291" i="90"/>
  <c r="CI296" i="90"/>
  <c r="CI274" i="90"/>
  <c r="CI293" i="90"/>
  <c r="CI286" i="90"/>
  <c r="CI290" i="90"/>
  <c r="CI298" i="90"/>
  <c r="CI311" i="90"/>
  <c r="CI308" i="90"/>
  <c r="CI316" i="90"/>
  <c r="CI313" i="90"/>
  <c r="CI321" i="90"/>
  <c r="CI329" i="90"/>
  <c r="CI331" i="90"/>
  <c r="CI310" i="90"/>
  <c r="CI318" i="90"/>
  <c r="CI326" i="90"/>
  <c r="CI315" i="90"/>
  <c r="CI323" i="90"/>
  <c r="CI312" i="90"/>
  <c r="CI320" i="90"/>
  <c r="CI301" i="90"/>
  <c r="CI309" i="90"/>
  <c r="CI317" i="90"/>
  <c r="CI325" i="90"/>
  <c r="CI328" i="90"/>
  <c r="CI330" i="90"/>
  <c r="CI300" i="90"/>
  <c r="CI314" i="90"/>
  <c r="CI322" i="90"/>
  <c r="CI319" i="90"/>
  <c r="CI327" i="90"/>
  <c r="CI232" i="90"/>
  <c r="CI324" i="90"/>
  <c r="CV230" i="90"/>
  <c r="DF230" i="90"/>
  <c r="BW232" i="90"/>
  <c r="BW233" i="90"/>
  <c r="BW235" i="90"/>
  <c r="BW237" i="90"/>
  <c r="BW239" i="90"/>
  <c r="BW241" i="90"/>
  <c r="BW243" i="90"/>
  <c r="BW234" i="90"/>
  <c r="BW246" i="90"/>
  <c r="BW248" i="90"/>
  <c r="BW250" i="90"/>
  <c r="BW252" i="90"/>
  <c r="BW254" i="90"/>
  <c r="BW256" i="90"/>
  <c r="BW240" i="90"/>
  <c r="BW244" i="90"/>
  <c r="BW238" i="90"/>
  <c r="BW242" i="90"/>
  <c r="BW245" i="90"/>
  <c r="BW247" i="90"/>
  <c r="BW249" i="90"/>
  <c r="BW251" i="90"/>
  <c r="BW253" i="90"/>
  <c r="BW255" i="90"/>
  <c r="BW236" i="90"/>
  <c r="BW260" i="90"/>
  <c r="BW257" i="90"/>
  <c r="BW266" i="90"/>
  <c r="BW274" i="90"/>
  <c r="BW259" i="90"/>
  <c r="BW264" i="90"/>
  <c r="BW265" i="90"/>
  <c r="BW261" i="90"/>
  <c r="BW270" i="90"/>
  <c r="BW263" i="90"/>
  <c r="BW275" i="90"/>
  <c r="BW280" i="90"/>
  <c r="BW271" i="90"/>
  <c r="BW267" i="90"/>
  <c r="BW258" i="90"/>
  <c r="BW272" i="90"/>
  <c r="BW279" i="90"/>
  <c r="BW268" i="90"/>
  <c r="BW277" i="90"/>
  <c r="BW273" i="90"/>
  <c r="BW262" i="90"/>
  <c r="BW269" i="90"/>
  <c r="BW283" i="90"/>
  <c r="BW292" i="90"/>
  <c r="BW300" i="90"/>
  <c r="BW303" i="90"/>
  <c r="BW305" i="90"/>
  <c r="BW307" i="90"/>
  <c r="BW286" i="90"/>
  <c r="BW290" i="90"/>
  <c r="BW294" i="90"/>
  <c r="BW278" i="90"/>
  <c r="BW285" i="90"/>
  <c r="BW289" i="90"/>
  <c r="BW299" i="90"/>
  <c r="BW296" i="90"/>
  <c r="BW304" i="90"/>
  <c r="BW306" i="90"/>
  <c r="BW276" i="90"/>
  <c r="BW282" i="90"/>
  <c r="BW284" i="90"/>
  <c r="BW288" i="90"/>
  <c r="BW293" i="90"/>
  <c r="BW281" i="90"/>
  <c r="BW298" i="90"/>
  <c r="BW287" i="90"/>
  <c r="BW291" i="90"/>
  <c r="BW295" i="90"/>
  <c r="BW297" i="90"/>
  <c r="BW302" i="90"/>
  <c r="BW308" i="90"/>
  <c r="BW324" i="90"/>
  <c r="BW301" i="90"/>
  <c r="BW313" i="90"/>
  <c r="BW321" i="90"/>
  <c r="BW310" i="90"/>
  <c r="BW318" i="90"/>
  <c r="BW326" i="90"/>
  <c r="BW328" i="90"/>
  <c r="BW330" i="90"/>
  <c r="BW315" i="90"/>
  <c r="BW323" i="90"/>
  <c r="BW312" i="90"/>
  <c r="BW320" i="90"/>
  <c r="BW309" i="90"/>
  <c r="BW317" i="90"/>
  <c r="BW325" i="90"/>
  <c r="BW314" i="90"/>
  <c r="BW322" i="90"/>
  <c r="BW329" i="90"/>
  <c r="BW331" i="90"/>
  <c r="BW311" i="90"/>
  <c r="BW319" i="90"/>
  <c r="BW327" i="90"/>
  <c r="BW316" i="90"/>
  <c r="BN232" i="90"/>
  <c r="BN233" i="90"/>
  <c r="BN235" i="90"/>
  <c r="BN237" i="90"/>
  <c r="BN239" i="90"/>
  <c r="BN241" i="90"/>
  <c r="BN243" i="90"/>
  <c r="BN240" i="90"/>
  <c r="BN242" i="90"/>
  <c r="BN246" i="90"/>
  <c r="BN248" i="90"/>
  <c r="BN250" i="90"/>
  <c r="BN252" i="90"/>
  <c r="BN254" i="90"/>
  <c r="BN256" i="90"/>
  <c r="BN238" i="90"/>
  <c r="BN236" i="90"/>
  <c r="BN244" i="90"/>
  <c r="BN245" i="90"/>
  <c r="BN247" i="90"/>
  <c r="BN234" i="90"/>
  <c r="BN249" i="90"/>
  <c r="BN251" i="90"/>
  <c r="BN253" i="90"/>
  <c r="BN259" i="90"/>
  <c r="BN260" i="90"/>
  <c r="BN257" i="90"/>
  <c r="BN269" i="90"/>
  <c r="BN277" i="90"/>
  <c r="BN262" i="90"/>
  <c r="BN255" i="90"/>
  <c r="BN263" i="90"/>
  <c r="BN273" i="90"/>
  <c r="BN258" i="90"/>
  <c r="BN266" i="90"/>
  <c r="BN283" i="90"/>
  <c r="BN264" i="90"/>
  <c r="BN270" i="90"/>
  <c r="BN261" i="90"/>
  <c r="BN275" i="90"/>
  <c r="BN282" i="90"/>
  <c r="BN271" i="90"/>
  <c r="BN279" i="90"/>
  <c r="BN265" i="90"/>
  <c r="BN267" i="90"/>
  <c r="BN272" i="90"/>
  <c r="BN268" i="90"/>
  <c r="BN278" i="90"/>
  <c r="BN274" i="90"/>
  <c r="BN284" i="90"/>
  <c r="BN288" i="90"/>
  <c r="BN295" i="90"/>
  <c r="BN303" i="90"/>
  <c r="BN292" i="90"/>
  <c r="BN276" i="90"/>
  <c r="BN287" i="90"/>
  <c r="BN291" i="90"/>
  <c r="BN297" i="90"/>
  <c r="BN281" i="90"/>
  <c r="BN294" i="90"/>
  <c r="BN302" i="90"/>
  <c r="BN304" i="90"/>
  <c r="BN306" i="90"/>
  <c r="BN308" i="90"/>
  <c r="BN310" i="90"/>
  <c r="BN312" i="90"/>
  <c r="BN314" i="90"/>
  <c r="BN316" i="90"/>
  <c r="BN318" i="90"/>
  <c r="BN320" i="90"/>
  <c r="BN322" i="90"/>
  <c r="BN324" i="90"/>
  <c r="BN326" i="90"/>
  <c r="BN280" i="90"/>
  <c r="BN286" i="90"/>
  <c r="BN290" i="90"/>
  <c r="BN299" i="90"/>
  <c r="BN296" i="90"/>
  <c r="BN285" i="90"/>
  <c r="BN289" i="90"/>
  <c r="BN293" i="90"/>
  <c r="BN298" i="90"/>
  <c r="BN305" i="90"/>
  <c r="BN307" i="90"/>
  <c r="BN309" i="90"/>
  <c r="BN311" i="90"/>
  <c r="BN313" i="90"/>
  <c r="BN315" i="90"/>
  <c r="BN317" i="90"/>
  <c r="BN319" i="90"/>
  <c r="BN321" i="90"/>
  <c r="BN323" i="90"/>
  <c r="BN325" i="90"/>
  <c r="BN327" i="90"/>
  <c r="BN300" i="90"/>
  <c r="BN329" i="90"/>
  <c r="BN331" i="90"/>
  <c r="BN301" i="90"/>
  <c r="BN328" i="90"/>
  <c r="BN330" i="90"/>
  <c r="DN230" i="90"/>
  <c r="DI233" i="90"/>
  <c r="DI235" i="90"/>
  <c r="DI237" i="90"/>
  <c r="DI239" i="90"/>
  <c r="DI234" i="90"/>
  <c r="DI236" i="90"/>
  <c r="DI238" i="90"/>
  <c r="DI240" i="90"/>
  <c r="DI242" i="90"/>
  <c r="DI244" i="90"/>
  <c r="DI246" i="90"/>
  <c r="DI243" i="90"/>
  <c r="DI245" i="90"/>
  <c r="DI247" i="90"/>
  <c r="DI249" i="90"/>
  <c r="DI251" i="90"/>
  <c r="DI253" i="90"/>
  <c r="DI255" i="90"/>
  <c r="DI241" i="90"/>
  <c r="DI258" i="90"/>
  <c r="DI260" i="90"/>
  <c r="DI262" i="90"/>
  <c r="DI264" i="90"/>
  <c r="DI248" i="90"/>
  <c r="DI252" i="90"/>
  <c r="DI257" i="90"/>
  <c r="DI259" i="90"/>
  <c r="DI261" i="90"/>
  <c r="DI250" i="90"/>
  <c r="DI265" i="90"/>
  <c r="DI254" i="90"/>
  <c r="DI270" i="90"/>
  <c r="DI266" i="90"/>
  <c r="DI274" i="90"/>
  <c r="DI272" i="90"/>
  <c r="DI284" i="90"/>
  <c r="DI286" i="90"/>
  <c r="DI288" i="90"/>
  <c r="DI290" i="90"/>
  <c r="DI268" i="90"/>
  <c r="DI273" i="90"/>
  <c r="DI269" i="90"/>
  <c r="DI256" i="90"/>
  <c r="DI280" i="90"/>
  <c r="DI283" i="90"/>
  <c r="DI285" i="90"/>
  <c r="DI287" i="90"/>
  <c r="DI289" i="90"/>
  <c r="DI263" i="90"/>
  <c r="DI271" i="90"/>
  <c r="DI267" i="90"/>
  <c r="DI276" i="90"/>
  <c r="DI279" i="90"/>
  <c r="DI296" i="90"/>
  <c r="DI278" i="90"/>
  <c r="DI293" i="90"/>
  <c r="DI277" i="90"/>
  <c r="DI298" i="90"/>
  <c r="DI282" i="90"/>
  <c r="DI295" i="90"/>
  <c r="DI281" i="90"/>
  <c r="DI292" i="90"/>
  <c r="DI300" i="90"/>
  <c r="DI275" i="90"/>
  <c r="DI294" i="90"/>
  <c r="DI291" i="90"/>
  <c r="DI299" i="90"/>
  <c r="DI304" i="90"/>
  <c r="DI312" i="90"/>
  <c r="DI320" i="90"/>
  <c r="DI303" i="90"/>
  <c r="DI307" i="90"/>
  <c r="DI309" i="90"/>
  <c r="DI317" i="90"/>
  <c r="DI325" i="90"/>
  <c r="DI314" i="90"/>
  <c r="DI322" i="90"/>
  <c r="DI311" i="90"/>
  <c r="DI319" i="90"/>
  <c r="DI331" i="90"/>
  <c r="DI306" i="90"/>
  <c r="DI327" i="90"/>
  <c r="DI329" i="90"/>
  <c r="DI308" i="90"/>
  <c r="DI316" i="90"/>
  <c r="DI324" i="90"/>
  <c r="DI302" i="90"/>
  <c r="DI305" i="90"/>
  <c r="DI313" i="90"/>
  <c r="DI321" i="90"/>
  <c r="DI297" i="90"/>
  <c r="DI301" i="90"/>
  <c r="DI310" i="90"/>
  <c r="DI318" i="90"/>
  <c r="DI326" i="90"/>
  <c r="DI232" i="90"/>
  <c r="DI315" i="90"/>
  <c r="DI323" i="90"/>
  <c r="DI328" i="90"/>
  <c r="DI330" i="90"/>
  <c r="BT445" i="90"/>
  <c r="BT442" i="90"/>
  <c r="CU441" i="90"/>
  <c r="BT440" i="90"/>
  <c r="CU440" i="90"/>
  <c r="BP441" i="90"/>
  <c r="CU445" i="90"/>
  <c r="CU444" i="90"/>
  <c r="DF443" i="90"/>
  <c r="CU446" i="90"/>
  <c r="CU442" i="90"/>
  <c r="BT444" i="90"/>
  <c r="CV445" i="90"/>
  <c r="CV441" i="90"/>
  <c r="DF442" i="90"/>
  <c r="DF446" i="90"/>
  <c r="DF440" i="90"/>
  <c r="BM450" i="90"/>
  <c r="BP446" i="90"/>
  <c r="BP440" i="90"/>
  <c r="DF444" i="90"/>
  <c r="BP442" i="90"/>
  <c r="DF441" i="90"/>
  <c r="CK445" i="90"/>
  <c r="CK444" i="90"/>
  <c r="CK440" i="90"/>
  <c r="CK446" i="90"/>
  <c r="CK442" i="90"/>
  <c r="CW445" i="90"/>
  <c r="CW446" i="90"/>
  <c r="CW442" i="90"/>
  <c r="CW444" i="90"/>
  <c r="CW440" i="90"/>
  <c r="BK453" i="90"/>
  <c r="BK451" i="90"/>
  <c r="BP443" i="90"/>
  <c r="BP444" i="90"/>
  <c r="CK443" i="90"/>
  <c r="BK452" i="90"/>
  <c r="BK454" i="90"/>
  <c r="BM452" i="90"/>
  <c r="CW443" i="90"/>
  <c r="DE443" i="90"/>
  <c r="DE446" i="90"/>
  <c r="DE440" i="90"/>
  <c r="DE444" i="90"/>
  <c r="DE442" i="90"/>
  <c r="CA441" i="90"/>
  <c r="CA445" i="90"/>
  <c r="BM453" i="90"/>
  <c r="DG446" i="90"/>
  <c r="DG442" i="90"/>
  <c r="DG444" i="90"/>
  <c r="DG440" i="90"/>
  <c r="DG441" i="90"/>
  <c r="DG445" i="90"/>
  <c r="DG443" i="90"/>
  <c r="DO444" i="90"/>
  <c r="DO440" i="90"/>
  <c r="DO446" i="90"/>
  <c r="DO442" i="90"/>
  <c r="DO441" i="90"/>
  <c r="DO443" i="90"/>
  <c r="DO445" i="90"/>
  <c r="CJ443" i="90"/>
  <c r="CJ446" i="90"/>
  <c r="CJ442" i="90"/>
  <c r="CJ445" i="90"/>
  <c r="CJ441" i="90"/>
  <c r="CJ444" i="90"/>
  <c r="CJ440" i="90"/>
  <c r="CX446" i="90"/>
  <c r="CX442" i="90"/>
  <c r="CX445" i="90"/>
  <c r="CX441" i="90"/>
  <c r="CX444" i="90"/>
  <c r="CX440" i="90"/>
  <c r="CX443" i="90"/>
  <c r="DN446" i="90"/>
  <c r="DN442" i="90"/>
  <c r="DN445" i="90"/>
  <c r="DN441" i="90"/>
  <c r="DN444" i="90"/>
  <c r="DN440" i="90"/>
  <c r="DN443" i="90"/>
  <c r="DQ443" i="90"/>
  <c r="DQ445" i="90"/>
  <c r="DQ441" i="90"/>
  <c r="DQ444" i="90"/>
  <c r="DQ440" i="90"/>
  <c r="DQ446" i="90"/>
  <c r="DQ442" i="90"/>
  <c r="BM451" i="90"/>
  <c r="BM455" i="90"/>
  <c r="BK450" i="90"/>
  <c r="BZ446" i="90"/>
  <c r="BZ442" i="90"/>
  <c r="BZ445" i="90"/>
  <c r="BZ441" i="90"/>
  <c r="BZ444" i="90"/>
  <c r="BZ440" i="90"/>
  <c r="BZ443" i="90"/>
  <c r="CD444" i="90"/>
  <c r="CD440" i="90"/>
  <c r="CD443" i="90"/>
  <c r="CD446" i="90"/>
  <c r="CD442" i="90"/>
  <c r="CD445" i="90"/>
  <c r="CD441" i="90"/>
  <c r="BM456" i="90"/>
  <c r="CC443" i="90"/>
  <c r="CC445" i="90"/>
  <c r="CC441" i="90"/>
  <c r="CC440" i="90"/>
  <c r="CC446" i="90"/>
  <c r="CC442" i="90"/>
  <c r="CC444" i="90"/>
  <c r="BM454" i="90"/>
  <c r="DR444" i="90"/>
  <c r="DR440" i="90"/>
  <c r="DR443" i="90"/>
  <c r="DR446" i="90"/>
  <c r="DR442" i="90"/>
  <c r="DR445" i="90"/>
  <c r="DR441" i="90"/>
  <c r="BR440" i="90"/>
  <c r="BR442" i="90"/>
  <c r="BR444" i="90"/>
  <c r="BR446" i="90"/>
  <c r="BR441" i="90"/>
  <c r="BR443" i="90"/>
  <c r="BR445" i="90"/>
  <c r="BP230" i="90"/>
  <c r="CD230" i="90"/>
  <c r="BQ230" i="90"/>
  <c r="CB230" i="90"/>
  <c r="BT230" i="90"/>
  <c r="CA230" i="90"/>
  <c r="CP124" i="90"/>
  <c r="CU124" i="90" s="1"/>
  <c r="CT124" i="90"/>
  <c r="CS124" i="90"/>
  <c r="CR124" i="90"/>
  <c r="CQ124" i="90"/>
  <c r="CV124" i="90" s="1"/>
  <c r="CS17" i="90"/>
  <c r="CR17" i="90"/>
  <c r="CQ17" i="90"/>
  <c r="CP17" i="90"/>
  <c r="CO17" i="90"/>
  <c r="CT17" i="90" s="1"/>
  <c r="AJ124" i="90"/>
  <c r="AI124" i="90"/>
  <c r="AH124" i="90"/>
  <c r="AG124" i="90"/>
  <c r="AF124" i="90"/>
  <c r="AK124" i="90" s="1"/>
  <c r="AJ17" i="90"/>
  <c r="AI17" i="90"/>
  <c r="AH17" i="90"/>
  <c r="AG17" i="90"/>
  <c r="AF17" i="90"/>
  <c r="CC17" i="90"/>
  <c r="BK17" i="90" l="1"/>
  <c r="CI17" i="90"/>
  <c r="BQ17" i="90"/>
  <c r="BM335" i="90"/>
  <c r="BW17" i="90"/>
  <c r="BK335" i="90"/>
  <c r="AO124" i="90"/>
  <c r="CX17" i="90"/>
  <c r="CY124" i="90"/>
  <c r="DF234" i="90"/>
  <c r="DF236" i="90"/>
  <c r="DF238" i="90"/>
  <c r="DF240" i="90"/>
  <c r="DF242" i="90"/>
  <c r="DF235" i="90"/>
  <c r="DF243" i="90"/>
  <c r="DF245" i="90"/>
  <c r="DF247" i="90"/>
  <c r="DF249" i="90"/>
  <c r="DF251" i="90"/>
  <c r="DF253" i="90"/>
  <c r="DF255" i="90"/>
  <c r="DF233" i="90"/>
  <c r="DF241" i="90"/>
  <c r="DF239" i="90"/>
  <c r="DF244" i="90"/>
  <c r="DF246" i="90"/>
  <c r="DF237" i="90"/>
  <c r="DF254" i="90"/>
  <c r="DF250" i="90"/>
  <c r="DF256" i="90"/>
  <c r="DF258" i="90"/>
  <c r="DF263" i="90"/>
  <c r="DF262" i="90"/>
  <c r="DF248" i="90"/>
  <c r="DF261" i="90"/>
  <c r="DF264" i="90"/>
  <c r="DF272" i="90"/>
  <c r="DF257" i="90"/>
  <c r="DF252" i="90"/>
  <c r="DF259" i="90"/>
  <c r="DF268" i="90"/>
  <c r="DF276" i="90"/>
  <c r="DF273" i="90"/>
  <c r="DF278" i="90"/>
  <c r="DF269" i="90"/>
  <c r="DF265" i="90"/>
  <c r="DF270" i="90"/>
  <c r="DF277" i="90"/>
  <c r="DF266" i="90"/>
  <c r="DF275" i="90"/>
  <c r="DF282" i="90"/>
  <c r="DF271" i="90"/>
  <c r="DF260" i="90"/>
  <c r="DF267" i="90"/>
  <c r="DF281" i="90"/>
  <c r="DF283" i="90"/>
  <c r="DF287" i="90"/>
  <c r="DF298" i="90"/>
  <c r="DF295" i="90"/>
  <c r="DF286" i="90"/>
  <c r="DF290" i="90"/>
  <c r="DF292" i="90"/>
  <c r="DF297" i="90"/>
  <c r="DF303" i="90"/>
  <c r="DF305" i="90"/>
  <c r="DF307" i="90"/>
  <c r="DF309" i="90"/>
  <c r="DF311" i="90"/>
  <c r="DF313" i="90"/>
  <c r="DF315" i="90"/>
  <c r="DF317" i="90"/>
  <c r="DF319" i="90"/>
  <c r="DF321" i="90"/>
  <c r="DF323" i="90"/>
  <c r="DF325" i="90"/>
  <c r="DF327" i="90"/>
  <c r="DF285" i="90"/>
  <c r="DF289" i="90"/>
  <c r="DF294" i="90"/>
  <c r="DF302" i="90"/>
  <c r="DF274" i="90"/>
  <c r="DF280" i="90"/>
  <c r="DF291" i="90"/>
  <c r="DF279" i="90"/>
  <c r="DF284" i="90"/>
  <c r="DF288" i="90"/>
  <c r="DF296" i="90"/>
  <c r="DF293" i="90"/>
  <c r="DF301" i="90"/>
  <c r="DF304" i="90"/>
  <c r="DF306" i="90"/>
  <c r="DF308" i="90"/>
  <c r="DF310" i="90"/>
  <c r="DF312" i="90"/>
  <c r="DF314" i="90"/>
  <c r="DF316" i="90"/>
  <c r="DF318" i="90"/>
  <c r="DF320" i="90"/>
  <c r="DF322" i="90"/>
  <c r="DF324" i="90"/>
  <c r="DF326" i="90"/>
  <c r="DF300" i="90"/>
  <c r="DF329" i="90"/>
  <c r="DF330" i="90"/>
  <c r="DF299" i="90"/>
  <c r="DF328" i="90"/>
  <c r="DF232" i="90"/>
  <c r="DF331" i="90"/>
  <c r="DQ233" i="90"/>
  <c r="DQ235" i="90"/>
  <c r="DQ237" i="90"/>
  <c r="DQ239" i="90"/>
  <c r="DQ234" i="90"/>
  <c r="DQ236" i="90"/>
  <c r="DQ238" i="90"/>
  <c r="DQ240" i="90"/>
  <c r="DQ242" i="90"/>
  <c r="DQ241" i="90"/>
  <c r="DQ244" i="90"/>
  <c r="DQ246" i="90"/>
  <c r="DQ243" i="90"/>
  <c r="DQ245" i="90"/>
  <c r="DQ247" i="90"/>
  <c r="DQ249" i="90"/>
  <c r="DQ251" i="90"/>
  <c r="DQ253" i="90"/>
  <c r="DQ255" i="90"/>
  <c r="DQ252" i="90"/>
  <c r="DQ256" i="90"/>
  <c r="DQ258" i="90"/>
  <c r="DQ260" i="90"/>
  <c r="DQ262" i="90"/>
  <c r="DQ264" i="90"/>
  <c r="DQ250" i="90"/>
  <c r="DQ254" i="90"/>
  <c r="DQ257" i="90"/>
  <c r="DQ259" i="90"/>
  <c r="DQ261" i="90"/>
  <c r="DQ263" i="90"/>
  <c r="DQ272" i="90"/>
  <c r="DQ268" i="90"/>
  <c r="DQ276" i="90"/>
  <c r="DQ274" i="90"/>
  <c r="DQ278" i="90"/>
  <c r="DQ284" i="90"/>
  <c r="DQ286" i="90"/>
  <c r="DQ288" i="90"/>
  <c r="DQ290" i="90"/>
  <c r="DQ270" i="90"/>
  <c r="DQ266" i="90"/>
  <c r="DQ271" i="90"/>
  <c r="DQ277" i="90"/>
  <c r="DQ248" i="90"/>
  <c r="DQ267" i="90"/>
  <c r="DQ282" i="90"/>
  <c r="DQ283" i="90"/>
  <c r="DQ285" i="90"/>
  <c r="DQ287" i="90"/>
  <c r="DQ289" i="90"/>
  <c r="DQ265" i="90"/>
  <c r="DQ269" i="90"/>
  <c r="DQ281" i="90"/>
  <c r="DQ298" i="90"/>
  <c r="DQ275" i="90"/>
  <c r="DQ280" i="90"/>
  <c r="DQ295" i="90"/>
  <c r="DQ279" i="90"/>
  <c r="DQ292" i="90"/>
  <c r="DQ297" i="90"/>
  <c r="DQ294" i="90"/>
  <c r="DQ302" i="90"/>
  <c r="DQ291" i="90"/>
  <c r="DQ296" i="90"/>
  <c r="DQ273" i="90"/>
  <c r="DQ293" i="90"/>
  <c r="DQ301" i="90"/>
  <c r="DQ306" i="90"/>
  <c r="DQ309" i="90"/>
  <c r="DQ325" i="90"/>
  <c r="DQ328" i="90"/>
  <c r="DQ330" i="90"/>
  <c r="DQ314" i="90"/>
  <c r="DQ322" i="90"/>
  <c r="DQ305" i="90"/>
  <c r="DQ311" i="90"/>
  <c r="DQ319" i="90"/>
  <c r="DQ308" i="90"/>
  <c r="DQ316" i="90"/>
  <c r="DQ324" i="90"/>
  <c r="DQ313" i="90"/>
  <c r="DQ321" i="90"/>
  <c r="DQ327" i="90"/>
  <c r="DQ329" i="90"/>
  <c r="DQ300" i="90"/>
  <c r="DQ304" i="90"/>
  <c r="DQ331" i="90"/>
  <c r="DQ318" i="90"/>
  <c r="DQ326" i="90"/>
  <c r="DQ310" i="90"/>
  <c r="DQ303" i="90"/>
  <c r="DQ307" i="90"/>
  <c r="DQ315" i="90"/>
  <c r="DQ323" i="90"/>
  <c r="DQ299" i="90"/>
  <c r="DQ312" i="90"/>
  <c r="DQ320" i="90"/>
  <c r="DQ317" i="90"/>
  <c r="DQ232" i="90"/>
  <c r="BK424" i="90"/>
  <c r="BK414" i="90"/>
  <c r="BK405" i="90"/>
  <c r="BK401" i="90"/>
  <c r="BK381" i="90"/>
  <c r="BK399" i="90"/>
  <c r="BK409" i="90"/>
  <c r="BK371" i="90"/>
  <c r="BK362" i="90"/>
  <c r="BK367" i="90"/>
  <c r="BK349" i="90"/>
  <c r="BK348" i="90"/>
  <c r="BK339" i="90"/>
  <c r="BM427" i="90"/>
  <c r="BM402" i="90"/>
  <c r="BM428" i="90"/>
  <c r="BM413" i="90"/>
  <c r="BM398" i="90"/>
  <c r="BM405" i="90"/>
  <c r="BM390" i="90"/>
  <c r="BM391" i="90"/>
  <c r="BM353" i="90"/>
  <c r="BM369" i="90"/>
  <c r="BM358" i="90"/>
  <c r="BM345" i="90"/>
  <c r="BM336" i="90"/>
  <c r="DO234" i="90"/>
  <c r="DO236" i="90"/>
  <c r="DO238" i="90"/>
  <c r="DO240" i="90"/>
  <c r="DO242" i="90"/>
  <c r="DO243" i="90"/>
  <c r="DO237" i="90"/>
  <c r="DO245" i="90"/>
  <c r="DO247" i="90"/>
  <c r="DO249" i="90"/>
  <c r="DO251" i="90"/>
  <c r="DO253" i="90"/>
  <c r="DO255" i="90"/>
  <c r="DO235" i="90"/>
  <c r="DO233" i="90"/>
  <c r="DO244" i="90"/>
  <c r="DO246" i="90"/>
  <c r="DO248" i="90"/>
  <c r="DO250" i="90"/>
  <c r="DO252" i="90"/>
  <c r="DO239" i="90"/>
  <c r="DO263" i="90"/>
  <c r="DO241" i="90"/>
  <c r="DO254" i="90"/>
  <c r="DO259" i="90"/>
  <c r="DO262" i="90"/>
  <c r="DO261" i="90"/>
  <c r="DO265" i="90"/>
  <c r="DO258" i="90"/>
  <c r="DO269" i="90"/>
  <c r="DO256" i="90"/>
  <c r="DO273" i="90"/>
  <c r="DO270" i="90"/>
  <c r="DO260" i="90"/>
  <c r="DO266" i="90"/>
  <c r="DO264" i="90"/>
  <c r="DO271" i="90"/>
  <c r="DO267" i="90"/>
  <c r="DO276" i="90"/>
  <c r="DO282" i="90"/>
  <c r="DO272" i="90"/>
  <c r="DO279" i="90"/>
  <c r="DO268" i="90"/>
  <c r="DO257" i="90"/>
  <c r="DO274" i="90"/>
  <c r="DO278" i="90"/>
  <c r="DO275" i="90"/>
  <c r="DO280" i="90"/>
  <c r="DO295" i="90"/>
  <c r="DO304" i="90"/>
  <c r="DO306" i="90"/>
  <c r="DO285" i="90"/>
  <c r="DO289" i="90"/>
  <c r="DO292" i="90"/>
  <c r="DO297" i="90"/>
  <c r="DO284" i="90"/>
  <c r="DO288" i="90"/>
  <c r="DO294" i="90"/>
  <c r="DO302" i="90"/>
  <c r="DO291" i="90"/>
  <c r="DO299" i="90"/>
  <c r="DO303" i="90"/>
  <c r="DO305" i="90"/>
  <c r="DO307" i="90"/>
  <c r="DO277" i="90"/>
  <c r="DO283" i="90"/>
  <c r="DO287" i="90"/>
  <c r="DO296" i="90"/>
  <c r="DO293" i="90"/>
  <c r="DO281" i="90"/>
  <c r="DO286" i="90"/>
  <c r="DO290" i="90"/>
  <c r="DO298" i="90"/>
  <c r="DO311" i="90"/>
  <c r="DO308" i="90"/>
  <c r="DO316" i="90"/>
  <c r="DO324" i="90"/>
  <c r="DO301" i="90"/>
  <c r="DO313" i="90"/>
  <c r="DO321" i="90"/>
  <c r="DO327" i="90"/>
  <c r="DO329" i="90"/>
  <c r="DO300" i="90"/>
  <c r="DO310" i="90"/>
  <c r="DO318" i="90"/>
  <c r="DO326" i="90"/>
  <c r="DO232" i="90"/>
  <c r="DO315" i="90"/>
  <c r="DO323" i="90"/>
  <c r="DO312" i="90"/>
  <c r="DO320" i="90"/>
  <c r="DO309" i="90"/>
  <c r="DO317" i="90"/>
  <c r="DO325" i="90"/>
  <c r="DO328" i="90"/>
  <c r="DO330" i="90"/>
  <c r="DO314" i="90"/>
  <c r="DO322" i="90"/>
  <c r="DO319" i="90"/>
  <c r="DO331" i="90"/>
  <c r="CA232" i="90"/>
  <c r="CA234" i="90"/>
  <c r="CA236" i="90"/>
  <c r="CA238" i="90"/>
  <c r="CA240" i="90"/>
  <c r="CA242" i="90"/>
  <c r="CA244" i="90"/>
  <c r="CA241" i="90"/>
  <c r="CA243" i="90"/>
  <c r="CA235" i="90"/>
  <c r="CA245" i="90"/>
  <c r="CA247" i="90"/>
  <c r="CA249" i="90"/>
  <c r="CA251" i="90"/>
  <c r="CA253" i="90"/>
  <c r="CA255" i="90"/>
  <c r="CA233" i="90"/>
  <c r="CA239" i="90"/>
  <c r="CA246" i="90"/>
  <c r="CA248" i="90"/>
  <c r="CA250" i="90"/>
  <c r="CA252" i="90"/>
  <c r="CA237" i="90"/>
  <c r="CA256" i="90"/>
  <c r="CA261" i="90"/>
  <c r="CA257" i="90"/>
  <c r="CA260" i="90"/>
  <c r="CA262" i="90"/>
  <c r="CA267" i="90"/>
  <c r="CA275" i="90"/>
  <c r="CA258" i="90"/>
  <c r="CA263" i="90"/>
  <c r="CA264" i="90"/>
  <c r="CA271" i="90"/>
  <c r="CA269" i="90"/>
  <c r="CA281" i="90"/>
  <c r="CA254" i="90"/>
  <c r="CA265" i="90"/>
  <c r="CA270" i="90"/>
  <c r="CA280" i="90"/>
  <c r="CA276" i="90"/>
  <c r="CA259" i="90"/>
  <c r="CA266" i="90"/>
  <c r="CA272" i="90"/>
  <c r="CA268" i="90"/>
  <c r="CA273" i="90"/>
  <c r="CA293" i="90"/>
  <c r="CA301" i="90"/>
  <c r="CA304" i="90"/>
  <c r="CA306" i="90"/>
  <c r="CA287" i="90"/>
  <c r="CA291" i="90"/>
  <c r="CA295" i="90"/>
  <c r="CA279" i="90"/>
  <c r="CA286" i="90"/>
  <c r="CA290" i="90"/>
  <c r="CA292" i="90"/>
  <c r="CA300" i="90"/>
  <c r="CA274" i="90"/>
  <c r="CA278" i="90"/>
  <c r="CA297" i="90"/>
  <c r="CA303" i="90"/>
  <c r="CA305" i="90"/>
  <c r="CA307" i="90"/>
  <c r="CA283" i="90"/>
  <c r="CA285" i="90"/>
  <c r="CA289" i="90"/>
  <c r="CA294" i="90"/>
  <c r="CA282" i="90"/>
  <c r="CA299" i="90"/>
  <c r="CA277" i="90"/>
  <c r="CA284" i="90"/>
  <c r="CA288" i="90"/>
  <c r="CA296" i="90"/>
  <c r="CA309" i="90"/>
  <c r="CA302" i="90"/>
  <c r="CA314" i="90"/>
  <c r="CA322" i="90"/>
  <c r="CA311" i="90"/>
  <c r="CA319" i="90"/>
  <c r="CA327" i="90"/>
  <c r="CA329" i="90"/>
  <c r="CA331" i="90"/>
  <c r="CA308" i="90"/>
  <c r="CA316" i="90"/>
  <c r="CA324" i="90"/>
  <c r="CA326" i="90"/>
  <c r="CA298" i="90"/>
  <c r="CA313" i="90"/>
  <c r="CA321" i="90"/>
  <c r="CA310" i="90"/>
  <c r="CA318" i="90"/>
  <c r="CA315" i="90"/>
  <c r="CA323" i="90"/>
  <c r="CA328" i="90"/>
  <c r="CA330" i="90"/>
  <c r="CA312" i="90"/>
  <c r="CA320" i="90"/>
  <c r="CA317" i="90"/>
  <c r="CA325" i="90"/>
  <c r="DH233" i="90"/>
  <c r="DH235" i="90"/>
  <c r="DH237" i="90"/>
  <c r="DH239" i="90"/>
  <c r="DH241" i="90"/>
  <c r="DH243" i="90"/>
  <c r="DH234" i="90"/>
  <c r="DH236" i="90"/>
  <c r="DH238" i="90"/>
  <c r="DH240" i="90"/>
  <c r="DH242" i="90"/>
  <c r="DH245" i="90"/>
  <c r="DH247" i="90"/>
  <c r="DH249" i="90"/>
  <c r="DH251" i="90"/>
  <c r="DH250" i="90"/>
  <c r="DH267" i="90"/>
  <c r="DH269" i="90"/>
  <c r="DH271" i="90"/>
  <c r="DH273" i="90"/>
  <c r="DH275" i="90"/>
  <c r="DH260" i="90"/>
  <c r="DH266" i="90"/>
  <c r="DH268" i="90"/>
  <c r="DH270" i="90"/>
  <c r="DH272" i="90"/>
  <c r="DH274" i="90"/>
  <c r="DH276" i="90"/>
  <c r="DH252" i="90"/>
  <c r="DH277" i="90"/>
  <c r="DH279" i="90"/>
  <c r="DH281" i="90"/>
  <c r="DH248" i="90"/>
  <c r="DH256" i="90"/>
  <c r="DH261" i="90"/>
  <c r="DH265" i="90"/>
  <c r="DH246" i="90"/>
  <c r="DH255" i="90"/>
  <c r="DH258" i="90"/>
  <c r="DH278" i="90"/>
  <c r="DH280" i="90"/>
  <c r="DH282" i="90"/>
  <c r="DH264" i="90"/>
  <c r="DH262" i="90"/>
  <c r="DH244" i="90"/>
  <c r="DH283" i="90"/>
  <c r="DH285" i="90"/>
  <c r="DH287" i="90"/>
  <c r="DH289" i="90"/>
  <c r="DH291" i="90"/>
  <c r="DH293" i="90"/>
  <c r="DH295" i="90"/>
  <c r="DH297" i="90"/>
  <c r="DH299" i="90"/>
  <c r="DH301" i="90"/>
  <c r="DH253" i="90"/>
  <c r="DH257" i="90"/>
  <c r="DH263" i="90"/>
  <c r="DH259" i="90"/>
  <c r="DH254" i="90"/>
  <c r="DH284" i="90"/>
  <c r="DH286" i="90"/>
  <c r="DH288" i="90"/>
  <c r="DH290" i="90"/>
  <c r="DH292" i="90"/>
  <c r="DH294" i="90"/>
  <c r="DH296" i="90"/>
  <c r="DH298" i="90"/>
  <c r="DH300" i="90"/>
  <c r="DH302" i="90"/>
  <c r="DH232" i="90"/>
  <c r="DH303" i="90"/>
  <c r="DH307" i="90"/>
  <c r="DH309" i="90"/>
  <c r="DH317" i="90"/>
  <c r="DH325" i="90"/>
  <c r="DH314" i="90"/>
  <c r="DH322" i="90"/>
  <c r="DH306" i="90"/>
  <c r="DH311" i="90"/>
  <c r="DH319" i="90"/>
  <c r="DH327" i="90"/>
  <c r="DH329" i="90"/>
  <c r="DH331" i="90"/>
  <c r="DH324" i="90"/>
  <c r="DH308" i="90"/>
  <c r="DH316" i="90"/>
  <c r="DH305" i="90"/>
  <c r="DH313" i="90"/>
  <c r="DH321" i="90"/>
  <c r="DH310" i="90"/>
  <c r="DH318" i="90"/>
  <c r="DH326" i="90"/>
  <c r="DH304" i="90"/>
  <c r="DH315" i="90"/>
  <c r="DH323" i="90"/>
  <c r="DH328" i="90"/>
  <c r="DH330" i="90"/>
  <c r="DH312" i="90"/>
  <c r="DH320" i="90"/>
  <c r="BK427" i="90"/>
  <c r="BK425" i="90"/>
  <c r="BK434" i="90"/>
  <c r="BK416" i="90"/>
  <c r="BK392" i="90"/>
  <c r="BK393" i="90"/>
  <c r="BK407" i="90"/>
  <c r="BK384" i="90"/>
  <c r="BK378" i="90"/>
  <c r="BK364" i="90"/>
  <c r="BK338" i="90"/>
  <c r="BK344" i="90"/>
  <c r="BK337" i="90"/>
  <c r="BM419" i="90"/>
  <c r="BM425" i="90"/>
  <c r="BM423" i="90"/>
  <c r="BM429" i="90"/>
  <c r="BM380" i="90"/>
  <c r="BM397" i="90"/>
  <c r="BM388" i="90"/>
  <c r="BM389" i="90"/>
  <c r="BM379" i="90"/>
  <c r="BM367" i="90"/>
  <c r="BM356" i="90"/>
  <c r="BM343" i="90"/>
  <c r="BT232" i="90"/>
  <c r="BT233" i="90"/>
  <c r="BT235" i="90"/>
  <c r="BT237" i="90"/>
  <c r="BT239" i="90"/>
  <c r="BT241" i="90"/>
  <c r="BT243" i="90"/>
  <c r="BT234" i="90"/>
  <c r="BT236" i="90"/>
  <c r="BT238" i="90"/>
  <c r="BT240" i="90"/>
  <c r="BT242" i="90"/>
  <c r="BT244" i="90"/>
  <c r="BT245" i="90"/>
  <c r="BT247" i="90"/>
  <c r="BT249" i="90"/>
  <c r="BT251" i="90"/>
  <c r="BT256" i="90"/>
  <c r="BT248" i="90"/>
  <c r="BT250" i="90"/>
  <c r="BT252" i="90"/>
  <c r="BT262" i="90"/>
  <c r="BT265" i="90"/>
  <c r="BT267" i="90"/>
  <c r="BT269" i="90"/>
  <c r="BT271" i="90"/>
  <c r="BT273" i="90"/>
  <c r="BT275" i="90"/>
  <c r="BT277" i="90"/>
  <c r="BT258" i="90"/>
  <c r="BT264" i="90"/>
  <c r="BT268" i="90"/>
  <c r="BT270" i="90"/>
  <c r="BT272" i="90"/>
  <c r="BT274" i="90"/>
  <c r="BT276" i="90"/>
  <c r="BT253" i="90"/>
  <c r="BT263" i="90"/>
  <c r="BT279" i="90"/>
  <c r="BT281" i="90"/>
  <c r="BT283" i="90"/>
  <c r="BT254" i="90"/>
  <c r="BT260" i="90"/>
  <c r="BT257" i="90"/>
  <c r="BT278" i="90"/>
  <c r="BT280" i="90"/>
  <c r="BT282" i="90"/>
  <c r="BT255" i="90"/>
  <c r="BT266" i="90"/>
  <c r="BT259" i="90"/>
  <c r="BT285" i="90"/>
  <c r="BT287" i="90"/>
  <c r="BT289" i="90"/>
  <c r="BT291" i="90"/>
  <c r="BT293" i="90"/>
  <c r="BT295" i="90"/>
  <c r="BT297" i="90"/>
  <c r="BT299" i="90"/>
  <c r="BT301" i="90"/>
  <c r="BT246" i="90"/>
  <c r="BT261" i="90"/>
  <c r="BT284" i="90"/>
  <c r="BT286" i="90"/>
  <c r="BT288" i="90"/>
  <c r="BT290" i="90"/>
  <c r="BT292" i="90"/>
  <c r="BT294" i="90"/>
  <c r="BT296" i="90"/>
  <c r="BT298" i="90"/>
  <c r="BT300" i="90"/>
  <c r="BT302" i="90"/>
  <c r="BT310" i="90"/>
  <c r="BT318" i="90"/>
  <c r="BT305" i="90"/>
  <c r="BT315" i="90"/>
  <c r="BT323" i="90"/>
  <c r="BT312" i="90"/>
  <c r="BT320" i="90"/>
  <c r="BT304" i="90"/>
  <c r="BT309" i="90"/>
  <c r="BT317" i="90"/>
  <c r="BT325" i="90"/>
  <c r="BT329" i="90"/>
  <c r="BT331" i="90"/>
  <c r="BT322" i="90"/>
  <c r="BT319" i="90"/>
  <c r="BT327" i="90"/>
  <c r="BT314" i="90"/>
  <c r="BT303" i="90"/>
  <c r="BT307" i="90"/>
  <c r="BT311" i="90"/>
  <c r="BT308" i="90"/>
  <c r="BT316" i="90"/>
  <c r="BT324" i="90"/>
  <c r="BT306" i="90"/>
  <c r="BT313" i="90"/>
  <c r="BT321" i="90"/>
  <c r="BT328" i="90"/>
  <c r="BT330" i="90"/>
  <c r="BT326" i="90"/>
  <c r="BK419" i="90"/>
  <c r="BK417" i="90"/>
  <c r="BK432" i="90"/>
  <c r="BK403" i="90"/>
  <c r="BK388" i="90"/>
  <c r="BK389" i="90"/>
  <c r="BK400" i="90"/>
  <c r="BK375" i="90"/>
  <c r="BK370" i="90"/>
  <c r="BK368" i="90"/>
  <c r="BK340" i="90"/>
  <c r="BK342" i="90"/>
  <c r="BM411" i="90"/>
  <c r="BM417" i="90"/>
  <c r="BM415" i="90"/>
  <c r="BM433" i="90"/>
  <c r="BM401" i="90"/>
  <c r="BM382" i="90"/>
  <c r="BM381" i="90"/>
  <c r="BM387" i="90"/>
  <c r="BM371" i="90"/>
  <c r="BM365" i="90"/>
  <c r="BM354" i="90"/>
  <c r="BM341" i="90"/>
  <c r="CB232" i="90"/>
  <c r="CB233" i="90"/>
  <c r="CB235" i="90"/>
  <c r="CB237" i="90"/>
  <c r="CB239" i="90"/>
  <c r="CB241" i="90"/>
  <c r="CB243" i="90"/>
  <c r="CB234" i="90"/>
  <c r="CB236" i="90"/>
  <c r="CB238" i="90"/>
  <c r="CB240" i="90"/>
  <c r="CB242" i="90"/>
  <c r="CB245" i="90"/>
  <c r="CB247" i="90"/>
  <c r="CB249" i="90"/>
  <c r="CB251" i="90"/>
  <c r="CB250" i="90"/>
  <c r="CB244" i="90"/>
  <c r="CB267" i="90"/>
  <c r="CB269" i="90"/>
  <c r="CB271" i="90"/>
  <c r="CB273" i="90"/>
  <c r="CB275" i="90"/>
  <c r="CB277" i="90"/>
  <c r="CB253" i="90"/>
  <c r="CB260" i="90"/>
  <c r="CB266" i="90"/>
  <c r="CB268" i="90"/>
  <c r="CB270" i="90"/>
  <c r="CB272" i="90"/>
  <c r="CB274" i="90"/>
  <c r="CB276" i="90"/>
  <c r="CB263" i="90"/>
  <c r="CB264" i="90"/>
  <c r="CB257" i="90"/>
  <c r="CB279" i="90"/>
  <c r="CB281" i="90"/>
  <c r="CB283" i="90"/>
  <c r="CB255" i="90"/>
  <c r="CB262" i="90"/>
  <c r="CB248" i="90"/>
  <c r="CB254" i="90"/>
  <c r="CB259" i="90"/>
  <c r="CB265" i="90"/>
  <c r="CB278" i="90"/>
  <c r="CB280" i="90"/>
  <c r="CB282" i="90"/>
  <c r="CB252" i="90"/>
  <c r="CB285" i="90"/>
  <c r="CB287" i="90"/>
  <c r="CB289" i="90"/>
  <c r="CB291" i="90"/>
  <c r="CB293" i="90"/>
  <c r="CB295" i="90"/>
  <c r="CB297" i="90"/>
  <c r="CB299" i="90"/>
  <c r="CB301" i="90"/>
  <c r="CB258" i="90"/>
  <c r="CB246" i="90"/>
  <c r="CB256" i="90"/>
  <c r="CB261" i="90"/>
  <c r="CB284" i="90"/>
  <c r="CB286" i="90"/>
  <c r="CB288" i="90"/>
  <c r="CB290" i="90"/>
  <c r="CB292" i="90"/>
  <c r="CB294" i="90"/>
  <c r="CB296" i="90"/>
  <c r="CB298" i="90"/>
  <c r="CB300" i="90"/>
  <c r="CB302" i="90"/>
  <c r="CB312" i="90"/>
  <c r="CB303" i="90"/>
  <c r="CB307" i="90"/>
  <c r="CB309" i="90"/>
  <c r="CB317" i="90"/>
  <c r="CB325" i="90"/>
  <c r="CB314" i="90"/>
  <c r="CB322" i="90"/>
  <c r="CB306" i="90"/>
  <c r="CB311" i="90"/>
  <c r="CB319" i="90"/>
  <c r="CB327" i="90"/>
  <c r="CB329" i="90"/>
  <c r="CB331" i="90"/>
  <c r="CB316" i="90"/>
  <c r="CB324" i="90"/>
  <c r="CB308" i="90"/>
  <c r="CB305" i="90"/>
  <c r="CB313" i="90"/>
  <c r="CB321" i="90"/>
  <c r="CB310" i="90"/>
  <c r="CB318" i="90"/>
  <c r="CB326" i="90"/>
  <c r="CB304" i="90"/>
  <c r="CB315" i="90"/>
  <c r="CB323" i="90"/>
  <c r="CB328" i="90"/>
  <c r="CB330" i="90"/>
  <c r="CB320" i="90"/>
  <c r="BK411" i="90"/>
  <c r="BK428" i="90"/>
  <c r="BK426" i="90"/>
  <c r="BK395" i="90"/>
  <c r="BK382" i="90"/>
  <c r="BK402" i="90"/>
  <c r="BK385" i="90"/>
  <c r="BK366" i="90"/>
  <c r="BK363" i="90"/>
  <c r="BK360" i="90"/>
  <c r="BK358" i="90"/>
  <c r="BK346" i="90"/>
  <c r="BM430" i="90"/>
  <c r="BM432" i="90"/>
  <c r="BM426" i="90"/>
  <c r="BM424" i="90"/>
  <c r="BM404" i="90"/>
  <c r="BM378" i="90"/>
  <c r="BM372" i="90"/>
  <c r="BM385" i="90"/>
  <c r="BM351" i="90"/>
  <c r="BM363" i="90"/>
  <c r="BM352" i="90"/>
  <c r="BM339" i="90"/>
  <c r="CU233" i="90"/>
  <c r="CU235" i="90"/>
  <c r="CU237" i="90"/>
  <c r="CU239" i="90"/>
  <c r="CU241" i="90"/>
  <c r="CU243" i="90"/>
  <c r="CU240" i="90"/>
  <c r="CU244" i="90"/>
  <c r="CU246" i="90"/>
  <c r="CU248" i="90"/>
  <c r="CU250" i="90"/>
  <c r="CU252" i="90"/>
  <c r="CU254" i="90"/>
  <c r="CU256" i="90"/>
  <c r="CU238" i="90"/>
  <c r="CU236" i="90"/>
  <c r="CU242" i="90"/>
  <c r="CU245" i="90"/>
  <c r="CU247" i="90"/>
  <c r="CU249" i="90"/>
  <c r="CU251" i="90"/>
  <c r="CU253" i="90"/>
  <c r="CU258" i="90"/>
  <c r="CU265" i="90"/>
  <c r="CU262" i="90"/>
  <c r="CU255" i="90"/>
  <c r="CU260" i="90"/>
  <c r="CU272" i="90"/>
  <c r="CU264" i="90"/>
  <c r="CU234" i="90"/>
  <c r="CU268" i="90"/>
  <c r="CU276" i="90"/>
  <c r="CU263" i="90"/>
  <c r="CU267" i="90"/>
  <c r="CU278" i="90"/>
  <c r="CU257" i="90"/>
  <c r="CU259" i="90"/>
  <c r="CU273" i="90"/>
  <c r="CU269" i="90"/>
  <c r="CU277" i="90"/>
  <c r="CU261" i="90"/>
  <c r="CU274" i="90"/>
  <c r="CU282" i="90"/>
  <c r="CU270" i="90"/>
  <c r="CU266" i="90"/>
  <c r="CU271" i="90"/>
  <c r="CU281" i="90"/>
  <c r="CU298" i="90"/>
  <c r="CU303" i="90"/>
  <c r="CU305" i="90"/>
  <c r="CU307" i="90"/>
  <c r="CU280" i="90"/>
  <c r="CU284" i="90"/>
  <c r="CU288" i="90"/>
  <c r="CU295" i="90"/>
  <c r="CU279" i="90"/>
  <c r="CU292" i="90"/>
  <c r="CU275" i="90"/>
  <c r="CU287" i="90"/>
  <c r="CU297" i="90"/>
  <c r="CU283" i="90"/>
  <c r="CU294" i="90"/>
  <c r="CU302" i="90"/>
  <c r="CU304" i="90"/>
  <c r="CU306" i="90"/>
  <c r="CU286" i="90"/>
  <c r="CU290" i="90"/>
  <c r="CU291" i="90"/>
  <c r="CU296" i="90"/>
  <c r="CU285" i="90"/>
  <c r="CU289" i="90"/>
  <c r="CU293" i="90"/>
  <c r="CU301" i="90"/>
  <c r="CU322" i="90"/>
  <c r="CU311" i="90"/>
  <c r="CU319" i="90"/>
  <c r="CU308" i="90"/>
  <c r="CU316" i="90"/>
  <c r="CU324" i="90"/>
  <c r="CU328" i="90"/>
  <c r="CU330" i="90"/>
  <c r="CU299" i="90"/>
  <c r="CU313" i="90"/>
  <c r="CU321" i="90"/>
  <c r="CU318" i="90"/>
  <c r="CU326" i="90"/>
  <c r="CU300" i="90"/>
  <c r="CU310" i="90"/>
  <c r="CU315" i="90"/>
  <c r="CU323" i="90"/>
  <c r="CU312" i="90"/>
  <c r="CU320" i="90"/>
  <c r="CU329" i="90"/>
  <c r="CU309" i="90"/>
  <c r="CU317" i="90"/>
  <c r="CU325" i="90"/>
  <c r="CU232" i="90"/>
  <c r="CU314" i="90"/>
  <c r="CU327" i="90"/>
  <c r="CU331" i="90"/>
  <c r="BQ232" i="90"/>
  <c r="BQ234" i="90"/>
  <c r="BQ236" i="90"/>
  <c r="BQ238" i="90"/>
  <c r="BQ240" i="90"/>
  <c r="BQ233" i="90"/>
  <c r="BQ235" i="90"/>
  <c r="BQ237" i="90"/>
  <c r="BQ239" i="90"/>
  <c r="BQ241" i="90"/>
  <c r="BQ243" i="90"/>
  <c r="BQ245" i="90"/>
  <c r="BQ247" i="90"/>
  <c r="BQ242" i="90"/>
  <c r="BQ246" i="90"/>
  <c r="BQ248" i="90"/>
  <c r="BQ250" i="90"/>
  <c r="BQ252" i="90"/>
  <c r="BQ254" i="90"/>
  <c r="BQ256" i="90"/>
  <c r="BQ257" i="90"/>
  <c r="BQ259" i="90"/>
  <c r="BQ261" i="90"/>
  <c r="BQ263" i="90"/>
  <c r="BQ265" i="90"/>
  <c r="BQ253" i="90"/>
  <c r="BQ258" i="90"/>
  <c r="BQ260" i="90"/>
  <c r="BQ262" i="90"/>
  <c r="BQ249" i="90"/>
  <c r="BQ244" i="90"/>
  <c r="BQ255" i="90"/>
  <c r="BQ264" i="90"/>
  <c r="BQ267" i="90"/>
  <c r="BQ275" i="90"/>
  <c r="BQ251" i="90"/>
  <c r="BQ266" i="90"/>
  <c r="BQ271" i="90"/>
  <c r="BQ268" i="90"/>
  <c r="BQ277" i="90"/>
  <c r="BQ281" i="90"/>
  <c r="BQ285" i="90"/>
  <c r="BQ287" i="90"/>
  <c r="BQ289" i="90"/>
  <c r="BQ291" i="90"/>
  <c r="BQ273" i="90"/>
  <c r="BQ269" i="90"/>
  <c r="BQ274" i="90"/>
  <c r="BQ280" i="90"/>
  <c r="BQ270" i="90"/>
  <c r="BQ284" i="90"/>
  <c r="BQ286" i="90"/>
  <c r="BQ288" i="90"/>
  <c r="BQ290" i="90"/>
  <c r="BQ272" i="90"/>
  <c r="BQ278" i="90"/>
  <c r="BQ293" i="90"/>
  <c r="BQ301" i="90"/>
  <c r="BQ283" i="90"/>
  <c r="BQ282" i="90"/>
  <c r="BQ295" i="90"/>
  <c r="BQ276" i="90"/>
  <c r="BQ292" i="90"/>
  <c r="BQ300" i="90"/>
  <c r="BQ297" i="90"/>
  <c r="BQ294" i="90"/>
  <c r="BQ299" i="90"/>
  <c r="BQ279" i="90"/>
  <c r="BQ296" i="90"/>
  <c r="BQ305" i="90"/>
  <c r="BQ320" i="90"/>
  <c r="BQ309" i="90"/>
  <c r="BQ317" i="90"/>
  <c r="BQ298" i="90"/>
  <c r="BQ304" i="90"/>
  <c r="BQ314" i="90"/>
  <c r="BQ322" i="90"/>
  <c r="BQ311" i="90"/>
  <c r="BQ319" i="90"/>
  <c r="BQ327" i="90"/>
  <c r="BQ303" i="90"/>
  <c r="BQ307" i="90"/>
  <c r="BQ308" i="90"/>
  <c r="BQ316" i="90"/>
  <c r="BQ324" i="90"/>
  <c r="BQ328" i="90"/>
  <c r="BQ330" i="90"/>
  <c r="BQ302" i="90"/>
  <c r="BQ313" i="90"/>
  <c r="BQ321" i="90"/>
  <c r="BQ306" i="90"/>
  <c r="BQ310" i="90"/>
  <c r="BQ318" i="90"/>
  <c r="BQ326" i="90"/>
  <c r="BQ315" i="90"/>
  <c r="BQ323" i="90"/>
  <c r="BQ312" i="90"/>
  <c r="BQ329" i="90"/>
  <c r="BQ331" i="90"/>
  <c r="BQ325" i="90"/>
  <c r="BK433" i="90"/>
  <c r="BK412" i="90"/>
  <c r="BK418" i="90"/>
  <c r="BK391" i="90"/>
  <c r="BK410" i="90"/>
  <c r="BK380" i="90"/>
  <c r="BK383" i="90"/>
  <c r="BK379" i="90"/>
  <c r="BK374" i="90"/>
  <c r="BK336" i="90"/>
  <c r="BK356" i="90"/>
  <c r="BK347" i="90"/>
  <c r="BM422" i="90"/>
  <c r="BM420" i="90"/>
  <c r="BM418" i="90"/>
  <c r="BM409" i="90"/>
  <c r="BM396" i="90"/>
  <c r="BM368" i="90"/>
  <c r="BM384" i="90"/>
  <c r="BM374" i="90"/>
  <c r="BM366" i="90"/>
  <c r="BM361" i="90"/>
  <c r="BM350" i="90"/>
  <c r="BM337" i="90"/>
  <c r="CD232" i="90"/>
  <c r="CD233" i="90"/>
  <c r="CD235" i="90"/>
  <c r="CD237" i="90"/>
  <c r="CD239" i="90"/>
  <c r="CD241" i="90"/>
  <c r="CD243" i="90"/>
  <c r="CD236" i="90"/>
  <c r="CD244" i="90"/>
  <c r="CD246" i="90"/>
  <c r="CD248" i="90"/>
  <c r="CD250" i="90"/>
  <c r="CD252" i="90"/>
  <c r="CD254" i="90"/>
  <c r="CD256" i="90"/>
  <c r="CD234" i="90"/>
  <c r="CD240" i="90"/>
  <c r="CD245" i="90"/>
  <c r="CD247" i="90"/>
  <c r="CD238" i="90"/>
  <c r="CD255" i="90"/>
  <c r="CD259" i="90"/>
  <c r="CD263" i="90"/>
  <c r="CD251" i="90"/>
  <c r="CD264" i="90"/>
  <c r="CD249" i="90"/>
  <c r="CD265" i="90"/>
  <c r="CD266" i="90"/>
  <c r="CD261" i="90"/>
  <c r="CD273" i="90"/>
  <c r="CD257" i="90"/>
  <c r="CD269" i="90"/>
  <c r="CD277" i="90"/>
  <c r="CD242" i="90"/>
  <c r="CD253" i="90"/>
  <c r="CD262" i="90"/>
  <c r="CD268" i="90"/>
  <c r="CD279" i="90"/>
  <c r="CD270" i="90"/>
  <c r="CD278" i="90"/>
  <c r="CD275" i="90"/>
  <c r="CD283" i="90"/>
  <c r="CD258" i="90"/>
  <c r="CD271" i="90"/>
  <c r="CD260" i="90"/>
  <c r="CD267" i="90"/>
  <c r="CD272" i="90"/>
  <c r="CD282" i="90"/>
  <c r="CD284" i="90"/>
  <c r="CD288" i="90"/>
  <c r="CD299" i="90"/>
  <c r="CD281" i="90"/>
  <c r="CD296" i="90"/>
  <c r="CD280" i="90"/>
  <c r="CD287" i="90"/>
  <c r="CD291" i="90"/>
  <c r="CD293" i="90"/>
  <c r="CD298" i="90"/>
  <c r="CD304" i="90"/>
  <c r="CD306" i="90"/>
  <c r="CD308" i="90"/>
  <c r="CD310" i="90"/>
  <c r="CD312" i="90"/>
  <c r="CD314" i="90"/>
  <c r="CD316" i="90"/>
  <c r="CD318" i="90"/>
  <c r="CD320" i="90"/>
  <c r="CD322" i="90"/>
  <c r="CD324" i="90"/>
  <c r="CD326" i="90"/>
  <c r="CD286" i="90"/>
  <c r="CD290" i="90"/>
  <c r="CD295" i="90"/>
  <c r="CD274" i="90"/>
  <c r="CD292" i="90"/>
  <c r="CD285" i="90"/>
  <c r="CD289" i="90"/>
  <c r="CD297" i="90"/>
  <c r="CD276" i="90"/>
  <c r="CD294" i="90"/>
  <c r="CD302" i="90"/>
  <c r="CD303" i="90"/>
  <c r="CD305" i="90"/>
  <c r="CD307" i="90"/>
  <c r="CD309" i="90"/>
  <c r="CD311" i="90"/>
  <c r="CD313" i="90"/>
  <c r="CD315" i="90"/>
  <c r="CD317" i="90"/>
  <c r="CD319" i="90"/>
  <c r="CD321" i="90"/>
  <c r="CD323" i="90"/>
  <c r="CD325" i="90"/>
  <c r="CD327" i="90"/>
  <c r="CD328" i="90"/>
  <c r="CD330" i="90"/>
  <c r="CD301" i="90"/>
  <c r="CD300" i="90"/>
  <c r="CD329" i="90"/>
  <c r="CD331" i="90"/>
  <c r="BK431" i="90"/>
  <c r="BK420" i="90"/>
  <c r="BK406" i="90"/>
  <c r="BK387" i="90"/>
  <c r="BK408" i="90"/>
  <c r="BK397" i="90"/>
  <c r="BK372" i="90"/>
  <c r="BK365" i="90"/>
  <c r="BK369" i="90"/>
  <c r="BK355" i="90"/>
  <c r="BK354" i="90"/>
  <c r="BK345" i="90"/>
  <c r="DR233" i="90"/>
  <c r="DR235" i="90"/>
  <c r="DR237" i="90"/>
  <c r="DR239" i="90"/>
  <c r="DR241" i="90"/>
  <c r="DR238" i="90"/>
  <c r="DR240" i="90"/>
  <c r="DR244" i="90"/>
  <c r="DR246" i="90"/>
  <c r="DR248" i="90"/>
  <c r="DR250" i="90"/>
  <c r="DR252" i="90"/>
  <c r="DR254" i="90"/>
  <c r="DR236" i="90"/>
  <c r="DR243" i="90"/>
  <c r="DR234" i="90"/>
  <c r="DR245" i="90"/>
  <c r="DR247" i="90"/>
  <c r="DR261" i="90"/>
  <c r="DR251" i="90"/>
  <c r="DR257" i="90"/>
  <c r="DR265" i="90"/>
  <c r="DR253" i="90"/>
  <c r="DR260" i="90"/>
  <c r="DR264" i="90"/>
  <c r="DR267" i="90"/>
  <c r="DR275" i="90"/>
  <c r="DR258" i="90"/>
  <c r="DR262" i="90"/>
  <c r="DR263" i="90"/>
  <c r="DR271" i="90"/>
  <c r="DR249" i="90"/>
  <c r="DR269" i="90"/>
  <c r="DR281" i="90"/>
  <c r="DR242" i="90"/>
  <c r="DR259" i="90"/>
  <c r="DR270" i="90"/>
  <c r="DR255" i="90"/>
  <c r="DR266" i="90"/>
  <c r="DR280" i="90"/>
  <c r="DR276" i="90"/>
  <c r="DR277" i="90"/>
  <c r="DR272" i="90"/>
  <c r="DR256" i="90"/>
  <c r="DR268" i="90"/>
  <c r="DR273" i="90"/>
  <c r="DR274" i="90"/>
  <c r="DR286" i="90"/>
  <c r="DR290" i="90"/>
  <c r="DR293" i="90"/>
  <c r="DR301" i="90"/>
  <c r="DR285" i="90"/>
  <c r="DR289" i="90"/>
  <c r="DR295" i="90"/>
  <c r="DR279" i="90"/>
  <c r="DR292" i="90"/>
  <c r="DR300" i="90"/>
  <c r="DR304" i="90"/>
  <c r="DR306" i="90"/>
  <c r="DR308" i="90"/>
  <c r="DR310" i="90"/>
  <c r="DR312" i="90"/>
  <c r="DR314" i="90"/>
  <c r="DR316" i="90"/>
  <c r="DR318" i="90"/>
  <c r="DR320" i="90"/>
  <c r="DR322" i="90"/>
  <c r="DR324" i="90"/>
  <c r="DR326" i="90"/>
  <c r="DR278" i="90"/>
  <c r="DR284" i="90"/>
  <c r="DR288" i="90"/>
  <c r="DR297" i="90"/>
  <c r="DR294" i="90"/>
  <c r="DR282" i="90"/>
  <c r="DR283" i="90"/>
  <c r="DR287" i="90"/>
  <c r="DR291" i="90"/>
  <c r="DR299" i="90"/>
  <c r="DR296" i="90"/>
  <c r="DR303" i="90"/>
  <c r="DR305" i="90"/>
  <c r="DR307" i="90"/>
  <c r="DR309" i="90"/>
  <c r="DR311" i="90"/>
  <c r="DR313" i="90"/>
  <c r="DR315" i="90"/>
  <c r="DR317" i="90"/>
  <c r="DR319" i="90"/>
  <c r="DR321" i="90"/>
  <c r="DR323" i="90"/>
  <c r="DR325" i="90"/>
  <c r="DR328" i="90"/>
  <c r="DR302" i="90"/>
  <c r="DR298" i="90"/>
  <c r="DR327" i="90"/>
  <c r="DR329" i="90"/>
  <c r="DR330" i="90"/>
  <c r="DR331" i="90"/>
  <c r="DR232" i="90"/>
  <c r="BM414" i="90"/>
  <c r="BM412" i="90"/>
  <c r="BM408" i="90"/>
  <c r="BM400" i="90"/>
  <c r="BM399" i="90"/>
  <c r="BM373" i="90"/>
  <c r="BM376" i="90"/>
  <c r="BM357" i="90"/>
  <c r="BM364" i="90"/>
  <c r="BM355" i="90"/>
  <c r="BM348" i="90"/>
  <c r="BM342" i="90"/>
  <c r="DE234" i="90"/>
  <c r="DE236" i="90"/>
  <c r="DE238" i="90"/>
  <c r="DE233" i="90"/>
  <c r="DE235" i="90"/>
  <c r="DE237" i="90"/>
  <c r="DE239" i="90"/>
  <c r="DE241" i="90"/>
  <c r="DE243" i="90"/>
  <c r="DE245" i="90"/>
  <c r="DE242" i="90"/>
  <c r="DE244" i="90"/>
  <c r="DE246" i="90"/>
  <c r="DE248" i="90"/>
  <c r="DE250" i="90"/>
  <c r="DE252" i="90"/>
  <c r="DE254" i="90"/>
  <c r="DE256" i="90"/>
  <c r="DE240" i="90"/>
  <c r="DE253" i="90"/>
  <c r="DE257" i="90"/>
  <c r="DE259" i="90"/>
  <c r="DE261" i="90"/>
  <c r="DE263" i="90"/>
  <c r="DE265" i="90"/>
  <c r="DE247" i="90"/>
  <c r="DE258" i="90"/>
  <c r="DE260" i="90"/>
  <c r="DE262" i="90"/>
  <c r="DE251" i="90"/>
  <c r="DE255" i="90"/>
  <c r="DE264" i="90"/>
  <c r="DE269" i="90"/>
  <c r="DE249" i="90"/>
  <c r="DE273" i="90"/>
  <c r="DE283" i="90"/>
  <c r="DE285" i="90"/>
  <c r="DE287" i="90"/>
  <c r="DE289" i="90"/>
  <c r="DE270" i="90"/>
  <c r="DE266" i="90"/>
  <c r="DE275" i="90"/>
  <c r="DE282" i="90"/>
  <c r="DE271" i="90"/>
  <c r="DE279" i="90"/>
  <c r="DE284" i="90"/>
  <c r="DE286" i="90"/>
  <c r="DE288" i="90"/>
  <c r="DE290" i="90"/>
  <c r="DE267" i="90"/>
  <c r="DE272" i="90"/>
  <c r="DE268" i="90"/>
  <c r="DE278" i="90"/>
  <c r="DE295" i="90"/>
  <c r="DE277" i="90"/>
  <c r="DE292" i="90"/>
  <c r="DE297" i="90"/>
  <c r="DE281" i="90"/>
  <c r="DE294" i="90"/>
  <c r="DE302" i="90"/>
  <c r="DE274" i="90"/>
  <c r="DE280" i="90"/>
  <c r="DE291" i="90"/>
  <c r="DE299" i="90"/>
  <c r="DE296" i="90"/>
  <c r="DE276" i="90"/>
  <c r="DE293" i="90"/>
  <c r="DE298" i="90"/>
  <c r="DE303" i="90"/>
  <c r="DE307" i="90"/>
  <c r="DE314" i="90"/>
  <c r="DE311" i="90"/>
  <c r="DE319" i="90"/>
  <c r="DE327" i="90"/>
  <c r="DE306" i="90"/>
  <c r="DE308" i="90"/>
  <c r="DE316" i="90"/>
  <c r="DE324" i="90"/>
  <c r="DE313" i="90"/>
  <c r="DE321" i="90"/>
  <c r="DE326" i="90"/>
  <c r="DE328" i="90"/>
  <c r="DE305" i="90"/>
  <c r="DE310" i="90"/>
  <c r="DE318" i="90"/>
  <c r="DE330" i="90"/>
  <c r="DE315" i="90"/>
  <c r="DE323" i="90"/>
  <c r="DE301" i="90"/>
  <c r="DE304" i="90"/>
  <c r="DE312" i="90"/>
  <c r="DE320" i="90"/>
  <c r="DE300" i="90"/>
  <c r="DE309" i="90"/>
  <c r="DE317" i="90"/>
  <c r="DE325" i="90"/>
  <c r="DE322" i="90"/>
  <c r="DE329" i="90"/>
  <c r="DE331" i="90"/>
  <c r="DE232" i="90"/>
  <c r="BP232" i="90"/>
  <c r="BP234" i="90"/>
  <c r="BP236" i="90"/>
  <c r="BP238" i="90"/>
  <c r="BP240" i="90"/>
  <c r="BP242" i="90"/>
  <c r="BP244" i="90"/>
  <c r="BP233" i="90"/>
  <c r="BP235" i="90"/>
  <c r="BP237" i="90"/>
  <c r="BP239" i="90"/>
  <c r="BP241" i="90"/>
  <c r="BP243" i="90"/>
  <c r="BP246" i="90"/>
  <c r="BP248" i="90"/>
  <c r="BP250" i="90"/>
  <c r="BP255" i="90"/>
  <c r="BP247" i="90"/>
  <c r="BP251" i="90"/>
  <c r="BP253" i="90"/>
  <c r="BP261" i="90"/>
  <c r="BP264" i="90"/>
  <c r="BP268" i="90"/>
  <c r="BP270" i="90"/>
  <c r="BP272" i="90"/>
  <c r="BP274" i="90"/>
  <c r="BP276" i="90"/>
  <c r="BP245" i="90"/>
  <c r="BP254" i="90"/>
  <c r="BP256" i="90"/>
  <c r="BP257" i="90"/>
  <c r="BP263" i="90"/>
  <c r="BP267" i="90"/>
  <c r="BP269" i="90"/>
  <c r="BP271" i="90"/>
  <c r="BP273" i="90"/>
  <c r="BP275" i="90"/>
  <c r="BP277" i="90"/>
  <c r="BP259" i="90"/>
  <c r="BP278" i="90"/>
  <c r="BP280" i="90"/>
  <c r="BP282" i="90"/>
  <c r="BP252" i="90"/>
  <c r="BP265" i="90"/>
  <c r="BP279" i="90"/>
  <c r="BP281" i="90"/>
  <c r="BP283" i="90"/>
  <c r="BP258" i="90"/>
  <c r="BP266" i="90"/>
  <c r="BP260" i="90"/>
  <c r="BP284" i="90"/>
  <c r="BP286" i="90"/>
  <c r="BP288" i="90"/>
  <c r="BP290" i="90"/>
  <c r="BP292" i="90"/>
  <c r="BP294" i="90"/>
  <c r="BP296" i="90"/>
  <c r="BP298" i="90"/>
  <c r="BP300" i="90"/>
  <c r="BP302" i="90"/>
  <c r="BP262" i="90"/>
  <c r="BP249" i="90"/>
  <c r="BP285" i="90"/>
  <c r="BP287" i="90"/>
  <c r="BP289" i="90"/>
  <c r="BP291" i="90"/>
  <c r="BP293" i="90"/>
  <c r="BP295" i="90"/>
  <c r="BP297" i="90"/>
  <c r="BP299" i="90"/>
  <c r="BP301" i="90"/>
  <c r="BP303" i="90"/>
  <c r="BP309" i="90"/>
  <c r="BP317" i="90"/>
  <c r="BP325" i="90"/>
  <c r="BP304" i="90"/>
  <c r="BP314" i="90"/>
  <c r="BP322" i="90"/>
  <c r="BP311" i="90"/>
  <c r="BP319" i="90"/>
  <c r="BP327" i="90"/>
  <c r="BP307" i="90"/>
  <c r="BP308" i="90"/>
  <c r="BP316" i="90"/>
  <c r="BP324" i="90"/>
  <c r="BP328" i="90"/>
  <c r="BP330" i="90"/>
  <c r="BP313" i="90"/>
  <c r="BP321" i="90"/>
  <c r="BP306" i="90"/>
  <c r="BP310" i="90"/>
  <c r="BP318" i="90"/>
  <c r="BP326" i="90"/>
  <c r="BP315" i="90"/>
  <c r="BP323" i="90"/>
  <c r="BP305" i="90"/>
  <c r="BP312" i="90"/>
  <c r="BP320" i="90"/>
  <c r="BP329" i="90"/>
  <c r="BP331" i="90"/>
  <c r="CN234" i="90"/>
  <c r="CN236" i="90"/>
  <c r="CN238" i="90"/>
  <c r="CN240" i="90"/>
  <c r="CN242" i="90"/>
  <c r="CN233" i="90"/>
  <c r="CN235" i="90"/>
  <c r="CN237" i="90"/>
  <c r="CN239" i="90"/>
  <c r="CN241" i="90"/>
  <c r="CN244" i="90"/>
  <c r="CN246" i="90"/>
  <c r="CN248" i="90"/>
  <c r="CN250" i="90"/>
  <c r="CN243" i="90"/>
  <c r="CN245" i="90"/>
  <c r="CN256" i="90"/>
  <c r="CN259" i="90"/>
  <c r="CN266" i="90"/>
  <c r="CN268" i="90"/>
  <c r="CN270" i="90"/>
  <c r="CN272" i="90"/>
  <c r="CN274" i="90"/>
  <c r="CN276" i="90"/>
  <c r="CN251" i="90"/>
  <c r="CN255" i="90"/>
  <c r="CN267" i="90"/>
  <c r="CN269" i="90"/>
  <c r="CN271" i="90"/>
  <c r="CN273" i="90"/>
  <c r="CN275" i="90"/>
  <c r="CN253" i="90"/>
  <c r="CN263" i="90"/>
  <c r="CN254" i="90"/>
  <c r="CN262" i="90"/>
  <c r="CN278" i="90"/>
  <c r="CN280" i="90"/>
  <c r="CN282" i="90"/>
  <c r="CN252" i="90"/>
  <c r="CN258" i="90"/>
  <c r="CN260" i="90"/>
  <c r="CN264" i="90"/>
  <c r="CN265" i="90"/>
  <c r="CN277" i="90"/>
  <c r="CN279" i="90"/>
  <c r="CN281" i="90"/>
  <c r="CN283" i="90"/>
  <c r="CN261" i="90"/>
  <c r="CN284" i="90"/>
  <c r="CN286" i="90"/>
  <c r="CN288" i="90"/>
  <c r="CN290" i="90"/>
  <c r="CN292" i="90"/>
  <c r="CN294" i="90"/>
  <c r="CN296" i="90"/>
  <c r="CN298" i="90"/>
  <c r="CN300" i="90"/>
  <c r="CN302" i="90"/>
  <c r="CN247" i="90"/>
  <c r="CN249" i="90"/>
  <c r="CN257" i="90"/>
  <c r="CN285" i="90"/>
  <c r="CN287" i="90"/>
  <c r="CN289" i="90"/>
  <c r="CN291" i="90"/>
  <c r="CN293" i="90"/>
  <c r="CN295" i="90"/>
  <c r="CN297" i="90"/>
  <c r="CN299" i="90"/>
  <c r="CN301" i="90"/>
  <c r="CN315" i="90"/>
  <c r="CN306" i="90"/>
  <c r="CN312" i="90"/>
  <c r="CN320" i="90"/>
  <c r="CN309" i="90"/>
  <c r="CN317" i="90"/>
  <c r="CN325" i="90"/>
  <c r="CN305" i="90"/>
  <c r="CN314" i="90"/>
  <c r="CN322" i="90"/>
  <c r="CN328" i="90"/>
  <c r="CN330" i="90"/>
  <c r="CN319" i="90"/>
  <c r="CN232" i="90"/>
  <c r="CN311" i="90"/>
  <c r="CN327" i="90"/>
  <c r="CN304" i="90"/>
  <c r="CN308" i="90"/>
  <c r="CN316" i="90"/>
  <c r="CN324" i="90"/>
  <c r="CN313" i="90"/>
  <c r="CN321" i="90"/>
  <c r="CN303" i="90"/>
  <c r="CN307" i="90"/>
  <c r="CN310" i="90"/>
  <c r="CN318" i="90"/>
  <c r="CN326" i="90"/>
  <c r="CN329" i="90"/>
  <c r="CN331" i="90"/>
  <c r="CN323" i="90"/>
  <c r="BK430" i="90"/>
  <c r="BK423" i="90"/>
  <c r="BK421" i="90"/>
  <c r="BK386" i="90"/>
  <c r="BK404" i="90"/>
  <c r="BK394" i="90"/>
  <c r="BK376" i="90"/>
  <c r="BK373" i="90"/>
  <c r="BK361" i="90"/>
  <c r="BK353" i="90"/>
  <c r="BK352" i="90"/>
  <c r="BK343" i="90"/>
  <c r="BM431" i="90"/>
  <c r="BM410" i="90"/>
  <c r="BM407" i="90"/>
  <c r="BM403" i="90"/>
  <c r="BM383" i="90"/>
  <c r="BM386" i="90"/>
  <c r="BM394" i="90"/>
  <c r="BM370" i="90"/>
  <c r="BM375" i="90"/>
  <c r="BM362" i="90"/>
  <c r="BM344" i="90"/>
  <c r="BM347" i="90"/>
  <c r="BM340" i="90"/>
  <c r="CJ233" i="90"/>
  <c r="CJ235" i="90"/>
  <c r="CJ237" i="90"/>
  <c r="CJ239" i="90"/>
  <c r="CJ241" i="90"/>
  <c r="CJ243" i="90"/>
  <c r="CJ234" i="90"/>
  <c r="CJ236" i="90"/>
  <c r="CJ238" i="90"/>
  <c r="CJ240" i="90"/>
  <c r="CJ242" i="90"/>
  <c r="CJ245" i="90"/>
  <c r="CJ247" i="90"/>
  <c r="CJ249" i="90"/>
  <c r="CJ251" i="90"/>
  <c r="CJ244" i="90"/>
  <c r="CJ255" i="90"/>
  <c r="CJ248" i="90"/>
  <c r="CJ258" i="90"/>
  <c r="CJ267" i="90"/>
  <c r="CJ269" i="90"/>
  <c r="CJ271" i="90"/>
  <c r="CJ273" i="90"/>
  <c r="CJ275" i="90"/>
  <c r="CJ277" i="90"/>
  <c r="CJ246" i="90"/>
  <c r="CJ253" i="90"/>
  <c r="CJ262" i="90"/>
  <c r="CJ266" i="90"/>
  <c r="CJ268" i="90"/>
  <c r="CJ270" i="90"/>
  <c r="CJ272" i="90"/>
  <c r="CJ274" i="90"/>
  <c r="CJ276" i="90"/>
  <c r="CJ257" i="90"/>
  <c r="CJ252" i="90"/>
  <c r="CJ259" i="90"/>
  <c r="CJ279" i="90"/>
  <c r="CJ281" i="90"/>
  <c r="CJ283" i="90"/>
  <c r="CJ256" i="90"/>
  <c r="CJ265" i="90"/>
  <c r="CJ261" i="90"/>
  <c r="CJ278" i="90"/>
  <c r="CJ280" i="90"/>
  <c r="CJ282" i="90"/>
  <c r="CJ260" i="90"/>
  <c r="CJ264" i="90"/>
  <c r="CJ250" i="90"/>
  <c r="CJ254" i="90"/>
  <c r="CJ285" i="90"/>
  <c r="CJ287" i="90"/>
  <c r="CJ289" i="90"/>
  <c r="CJ291" i="90"/>
  <c r="CJ293" i="90"/>
  <c r="CJ295" i="90"/>
  <c r="CJ297" i="90"/>
  <c r="CJ299" i="90"/>
  <c r="CJ301" i="90"/>
  <c r="CJ263" i="90"/>
  <c r="CJ284" i="90"/>
  <c r="CJ286" i="90"/>
  <c r="CJ288" i="90"/>
  <c r="CJ290" i="90"/>
  <c r="CJ292" i="90"/>
  <c r="CJ294" i="90"/>
  <c r="CJ296" i="90"/>
  <c r="CJ298" i="90"/>
  <c r="CJ300" i="90"/>
  <c r="CJ302" i="90"/>
  <c r="CJ314" i="90"/>
  <c r="CJ327" i="90"/>
  <c r="CJ305" i="90"/>
  <c r="CJ311" i="90"/>
  <c r="CJ319" i="90"/>
  <c r="CJ308" i="90"/>
  <c r="CJ316" i="90"/>
  <c r="CJ324" i="90"/>
  <c r="CJ304" i="90"/>
  <c r="CJ313" i="90"/>
  <c r="CJ321" i="90"/>
  <c r="CJ329" i="90"/>
  <c r="CJ331" i="90"/>
  <c r="CJ318" i="90"/>
  <c r="CJ310" i="90"/>
  <c r="CJ326" i="90"/>
  <c r="CJ303" i="90"/>
  <c r="CJ307" i="90"/>
  <c r="CJ315" i="90"/>
  <c r="CJ323" i="90"/>
  <c r="CJ312" i="90"/>
  <c r="CJ320" i="90"/>
  <c r="CJ306" i="90"/>
  <c r="CJ309" i="90"/>
  <c r="CJ317" i="90"/>
  <c r="CJ325" i="90"/>
  <c r="CJ328" i="90"/>
  <c r="CJ330" i="90"/>
  <c r="CJ322" i="90"/>
  <c r="CJ232" i="90"/>
  <c r="DN234" i="90"/>
  <c r="DN236" i="90"/>
  <c r="DN238" i="90"/>
  <c r="DN240" i="90"/>
  <c r="DN242" i="90"/>
  <c r="DN237" i="90"/>
  <c r="DN245" i="90"/>
  <c r="DN247" i="90"/>
  <c r="DN249" i="90"/>
  <c r="DN251" i="90"/>
  <c r="DN253" i="90"/>
  <c r="DN255" i="90"/>
  <c r="DN235" i="90"/>
  <c r="DN233" i="90"/>
  <c r="DN244" i="90"/>
  <c r="DN246" i="90"/>
  <c r="DN239" i="90"/>
  <c r="DN241" i="90"/>
  <c r="DN248" i="90"/>
  <c r="DN260" i="90"/>
  <c r="DN265" i="90"/>
  <c r="DN252" i="90"/>
  <c r="DN256" i="90"/>
  <c r="DN264" i="90"/>
  <c r="DN257" i="90"/>
  <c r="DN266" i="90"/>
  <c r="DN274" i="90"/>
  <c r="DN254" i="90"/>
  <c r="DN259" i="90"/>
  <c r="DN243" i="90"/>
  <c r="DN261" i="90"/>
  <c r="DN270" i="90"/>
  <c r="DN275" i="90"/>
  <c r="DN280" i="90"/>
  <c r="DN271" i="90"/>
  <c r="DN267" i="90"/>
  <c r="DN262" i="90"/>
  <c r="DN272" i="90"/>
  <c r="DN279" i="90"/>
  <c r="DN250" i="90"/>
  <c r="DN268" i="90"/>
  <c r="DN273" i="90"/>
  <c r="DN263" i="90"/>
  <c r="DN269" i="90"/>
  <c r="DN258" i="90"/>
  <c r="DN285" i="90"/>
  <c r="DN289" i="90"/>
  <c r="DN292" i="90"/>
  <c r="DN300" i="90"/>
  <c r="DN276" i="90"/>
  <c r="DN284" i="90"/>
  <c r="DN288" i="90"/>
  <c r="DN294" i="90"/>
  <c r="DN278" i="90"/>
  <c r="DN291" i="90"/>
  <c r="DN299" i="90"/>
  <c r="DN303" i="90"/>
  <c r="DN305" i="90"/>
  <c r="DN307" i="90"/>
  <c r="DN309" i="90"/>
  <c r="DN311" i="90"/>
  <c r="DN313" i="90"/>
  <c r="DN315" i="90"/>
  <c r="DN317" i="90"/>
  <c r="DN319" i="90"/>
  <c r="DN321" i="90"/>
  <c r="DN323" i="90"/>
  <c r="DN325" i="90"/>
  <c r="DN277" i="90"/>
  <c r="DN283" i="90"/>
  <c r="DN287" i="90"/>
  <c r="DN296" i="90"/>
  <c r="DN282" i="90"/>
  <c r="DN293" i="90"/>
  <c r="DN281" i="90"/>
  <c r="DN286" i="90"/>
  <c r="DN290" i="90"/>
  <c r="DN298" i="90"/>
  <c r="DN295" i="90"/>
  <c r="DN304" i="90"/>
  <c r="DN306" i="90"/>
  <c r="DN308" i="90"/>
  <c r="DN310" i="90"/>
  <c r="DN312" i="90"/>
  <c r="DN314" i="90"/>
  <c r="DN316" i="90"/>
  <c r="DN318" i="90"/>
  <c r="DN320" i="90"/>
  <c r="DN322" i="90"/>
  <c r="DN324" i="90"/>
  <c r="DN326" i="90"/>
  <c r="DN297" i="90"/>
  <c r="DN302" i="90"/>
  <c r="DN327" i="90"/>
  <c r="DN301" i="90"/>
  <c r="DN328" i="90"/>
  <c r="DN330" i="90"/>
  <c r="DN329" i="90"/>
  <c r="DN232" i="90"/>
  <c r="DN331" i="90"/>
  <c r="CM233" i="90"/>
  <c r="CM235" i="90"/>
  <c r="CM237" i="90"/>
  <c r="CM239" i="90"/>
  <c r="CM241" i="90"/>
  <c r="CM243" i="90"/>
  <c r="CM238" i="90"/>
  <c r="CM244" i="90"/>
  <c r="CM246" i="90"/>
  <c r="CM248" i="90"/>
  <c r="CM250" i="90"/>
  <c r="CM252" i="90"/>
  <c r="CM254" i="90"/>
  <c r="CM256" i="90"/>
  <c r="CM236" i="90"/>
  <c r="CM242" i="90"/>
  <c r="CM234" i="90"/>
  <c r="CM245" i="90"/>
  <c r="CM247" i="90"/>
  <c r="CM249" i="90"/>
  <c r="CM251" i="90"/>
  <c r="CM253" i="90"/>
  <c r="CM263" i="90"/>
  <c r="CM260" i="90"/>
  <c r="CM264" i="90"/>
  <c r="CM255" i="90"/>
  <c r="CM261" i="90"/>
  <c r="CM240" i="90"/>
  <c r="CM258" i="90"/>
  <c r="CM270" i="90"/>
  <c r="CM266" i="90"/>
  <c r="CM274" i="90"/>
  <c r="CM259" i="90"/>
  <c r="CM271" i="90"/>
  <c r="CM262" i="90"/>
  <c r="CM267" i="90"/>
  <c r="CM276" i="90"/>
  <c r="CM283" i="90"/>
  <c r="CM272" i="90"/>
  <c r="CM280" i="90"/>
  <c r="CM265" i="90"/>
  <c r="CM268" i="90"/>
  <c r="CM257" i="90"/>
  <c r="CM273" i="90"/>
  <c r="CM269" i="90"/>
  <c r="CM279" i="90"/>
  <c r="CM275" i="90"/>
  <c r="CM296" i="90"/>
  <c r="CM303" i="90"/>
  <c r="CM305" i="90"/>
  <c r="CM307" i="90"/>
  <c r="CM278" i="90"/>
  <c r="CM286" i="90"/>
  <c r="CM290" i="90"/>
  <c r="CM293" i="90"/>
  <c r="CM277" i="90"/>
  <c r="CM298" i="90"/>
  <c r="CM282" i="90"/>
  <c r="CM285" i="90"/>
  <c r="CM289" i="90"/>
  <c r="CM295" i="90"/>
  <c r="CM281" i="90"/>
  <c r="CM292" i="90"/>
  <c r="CM300" i="90"/>
  <c r="CM304" i="90"/>
  <c r="CM306" i="90"/>
  <c r="CM284" i="90"/>
  <c r="CM288" i="90"/>
  <c r="CM294" i="90"/>
  <c r="CM287" i="90"/>
  <c r="CM291" i="90"/>
  <c r="CM299" i="90"/>
  <c r="CM312" i="90"/>
  <c r="CM309" i="90"/>
  <c r="CM317" i="90"/>
  <c r="CM314" i="90"/>
  <c r="CM322" i="90"/>
  <c r="CM328" i="90"/>
  <c r="CM330" i="90"/>
  <c r="CM297" i="90"/>
  <c r="CM311" i="90"/>
  <c r="CM319" i="90"/>
  <c r="CM327" i="90"/>
  <c r="CM232" i="90"/>
  <c r="CM324" i="90"/>
  <c r="CM308" i="90"/>
  <c r="CM316" i="90"/>
  <c r="CM313" i="90"/>
  <c r="CM321" i="90"/>
  <c r="CM302" i="90"/>
  <c r="CM310" i="90"/>
  <c r="CM318" i="90"/>
  <c r="CM326" i="90"/>
  <c r="CM329" i="90"/>
  <c r="CM331" i="90"/>
  <c r="CM301" i="90"/>
  <c r="CM315" i="90"/>
  <c r="CM323" i="90"/>
  <c r="CM320" i="90"/>
  <c r="CM325" i="90"/>
  <c r="BK429" i="90"/>
  <c r="BK422" i="90"/>
  <c r="BK415" i="90"/>
  <c r="BK413" i="90"/>
  <c r="BK398" i="90"/>
  <c r="BK396" i="90"/>
  <c r="BK390" i="90"/>
  <c r="BK357" i="90"/>
  <c r="BK377" i="90"/>
  <c r="BK359" i="90"/>
  <c r="BK351" i="90"/>
  <c r="BK350" i="90"/>
  <c r="BK341" i="90"/>
  <c r="BM416" i="90"/>
  <c r="BM406" i="90"/>
  <c r="BM434" i="90"/>
  <c r="BM421" i="90"/>
  <c r="BM395" i="90"/>
  <c r="BM377" i="90"/>
  <c r="BM392" i="90"/>
  <c r="BM393" i="90"/>
  <c r="BM359" i="90"/>
  <c r="BM360" i="90"/>
  <c r="BM346" i="90"/>
  <c r="BM349" i="90"/>
  <c r="BM338" i="90"/>
  <c r="AN124" i="90"/>
  <c r="CW17" i="90"/>
  <c r="AM17" i="90"/>
  <c r="CW124" i="90"/>
  <c r="BL455" i="90"/>
  <c r="BL451" i="90"/>
  <c r="BL454" i="90"/>
  <c r="BL450" i="90"/>
  <c r="BL456" i="90"/>
  <c r="BN456" i="90"/>
  <c r="BL453" i="90"/>
  <c r="BL452" i="90"/>
  <c r="BN454" i="90"/>
  <c r="BN455" i="90"/>
  <c r="BN452" i="90"/>
  <c r="BN453" i="90"/>
  <c r="BN450" i="90"/>
  <c r="BN451" i="90"/>
  <c r="AL17" i="90"/>
  <c r="AM124" i="90"/>
  <c r="AL124" i="90"/>
  <c r="AK17" i="90"/>
  <c r="AO17" i="90"/>
  <c r="AN17" i="90"/>
  <c r="CV17" i="90"/>
  <c r="CU17" i="90"/>
  <c r="CX124" i="90"/>
  <c r="AO183" i="90" l="1"/>
  <c r="AO203" i="90"/>
  <c r="AO128" i="90"/>
  <c r="AO148" i="90"/>
  <c r="AO164" i="90"/>
  <c r="AO184" i="90"/>
  <c r="AO204" i="90"/>
  <c r="AO220" i="90"/>
  <c r="AO137" i="90"/>
  <c r="AO157" i="90"/>
  <c r="AO173" i="90"/>
  <c r="AO177" i="90"/>
  <c r="AO181" i="90"/>
  <c r="AO185" i="90"/>
  <c r="AO189" i="90"/>
  <c r="AO193" i="90"/>
  <c r="AO197" i="90"/>
  <c r="AO201" i="90"/>
  <c r="AO205" i="90"/>
  <c r="AO209" i="90"/>
  <c r="AO213" i="90"/>
  <c r="AO217" i="90"/>
  <c r="AO221" i="90"/>
  <c r="AO225" i="90"/>
  <c r="AO130" i="90"/>
  <c r="AO134" i="90"/>
  <c r="AO138" i="90"/>
  <c r="AO142" i="90"/>
  <c r="AO146" i="90"/>
  <c r="AO150" i="90"/>
  <c r="AO154" i="90"/>
  <c r="AO158" i="90"/>
  <c r="AO162" i="90"/>
  <c r="AO166" i="90"/>
  <c r="AO170" i="90"/>
  <c r="AO187" i="90"/>
  <c r="AO199" i="90"/>
  <c r="AO215" i="90"/>
  <c r="AO136" i="90"/>
  <c r="AO152" i="90"/>
  <c r="AO168" i="90"/>
  <c r="AO180" i="90"/>
  <c r="AO192" i="90"/>
  <c r="AO212" i="90"/>
  <c r="AO129" i="90"/>
  <c r="AO149" i="90"/>
  <c r="AO169" i="90"/>
  <c r="AO179" i="90"/>
  <c r="AO191" i="90"/>
  <c r="AO207" i="90"/>
  <c r="AO223" i="90"/>
  <c r="AO140" i="90"/>
  <c r="AO156" i="90"/>
  <c r="AO172" i="90"/>
  <c r="AO176" i="90"/>
  <c r="AO200" i="90"/>
  <c r="AO216" i="90"/>
  <c r="AO133" i="90"/>
  <c r="AO145" i="90"/>
  <c r="AO161" i="90"/>
  <c r="AO127" i="90"/>
  <c r="AO174" i="90"/>
  <c r="AO178" i="90"/>
  <c r="AO182" i="90"/>
  <c r="AO186" i="90"/>
  <c r="AO190" i="90"/>
  <c r="AO194" i="90"/>
  <c r="AO198" i="90"/>
  <c r="AO202" i="90"/>
  <c r="AO206" i="90"/>
  <c r="AO210" i="90"/>
  <c r="AO214" i="90"/>
  <c r="AO218" i="90"/>
  <c r="AO222" i="90"/>
  <c r="AO226" i="90"/>
  <c r="AO131" i="90"/>
  <c r="AO135" i="90"/>
  <c r="AO139" i="90"/>
  <c r="AO143" i="90"/>
  <c r="AO147" i="90"/>
  <c r="AO151" i="90"/>
  <c r="AO155" i="90"/>
  <c r="AO159" i="90"/>
  <c r="AO163" i="90"/>
  <c r="AO167" i="90"/>
  <c r="AO171" i="90"/>
  <c r="AO175" i="90"/>
  <c r="AO195" i="90"/>
  <c r="AO211" i="90"/>
  <c r="AO219" i="90"/>
  <c r="AO132" i="90"/>
  <c r="AO144" i="90"/>
  <c r="AO160" i="90"/>
  <c r="AO188" i="90"/>
  <c r="AO196" i="90"/>
  <c r="AO208" i="90"/>
  <c r="AO224" i="90"/>
  <c r="AO141" i="90"/>
  <c r="AO153" i="90"/>
  <c r="AO165" i="90"/>
  <c r="AN173" i="90"/>
  <c r="AN177" i="90"/>
  <c r="AN181" i="90"/>
  <c r="AN185" i="90"/>
  <c r="AN189" i="90"/>
  <c r="AN193" i="90"/>
  <c r="AN197" i="90"/>
  <c r="AN201" i="90"/>
  <c r="AN205" i="90"/>
  <c r="AN209" i="90"/>
  <c r="AN213" i="90"/>
  <c r="AN217" i="90"/>
  <c r="AN221" i="90"/>
  <c r="AN225" i="90"/>
  <c r="AN130" i="90"/>
  <c r="AN134" i="90"/>
  <c r="AN138" i="90"/>
  <c r="AN142" i="90"/>
  <c r="AN146" i="90"/>
  <c r="AN150" i="90"/>
  <c r="AN154" i="90"/>
  <c r="AN158" i="90"/>
  <c r="AN162" i="90"/>
  <c r="AN166" i="90"/>
  <c r="AN170" i="90"/>
  <c r="AN215" i="90"/>
  <c r="AN136" i="90"/>
  <c r="AN160" i="90"/>
  <c r="AN188" i="90"/>
  <c r="AN196" i="90"/>
  <c r="AN208" i="90"/>
  <c r="AN216" i="90"/>
  <c r="AN129" i="90"/>
  <c r="AN137" i="90"/>
  <c r="AN153" i="90"/>
  <c r="AN169" i="90"/>
  <c r="AN207" i="90"/>
  <c r="AN148" i="90"/>
  <c r="AN172" i="90"/>
  <c r="AN180" i="90"/>
  <c r="AN200" i="90"/>
  <c r="AN220" i="90"/>
  <c r="AN141" i="90"/>
  <c r="AN157" i="90"/>
  <c r="AN174" i="90"/>
  <c r="AN178" i="90"/>
  <c r="AN182" i="90"/>
  <c r="AN186" i="90"/>
  <c r="AN190" i="90"/>
  <c r="AN194" i="90"/>
  <c r="AN198" i="90"/>
  <c r="AN202" i="90"/>
  <c r="AN206" i="90"/>
  <c r="AN210" i="90"/>
  <c r="AN214" i="90"/>
  <c r="AN218" i="90"/>
  <c r="AN222" i="90"/>
  <c r="AN226" i="90"/>
  <c r="AN131" i="90"/>
  <c r="AN135" i="90"/>
  <c r="AN139" i="90"/>
  <c r="AN143" i="90"/>
  <c r="AN147" i="90"/>
  <c r="AN151" i="90"/>
  <c r="AN155" i="90"/>
  <c r="AN159" i="90"/>
  <c r="AN163" i="90"/>
  <c r="AN167" i="90"/>
  <c r="AN171" i="90"/>
  <c r="AN175" i="90"/>
  <c r="AN183" i="90"/>
  <c r="AN195" i="90"/>
  <c r="AN203" i="90"/>
  <c r="AN211" i="90"/>
  <c r="AN223" i="90"/>
  <c r="AN128" i="90"/>
  <c r="AN140" i="90"/>
  <c r="AN152" i="90"/>
  <c r="AN164" i="90"/>
  <c r="AN184" i="90"/>
  <c r="AN204" i="90"/>
  <c r="AN224" i="90"/>
  <c r="AN145" i="90"/>
  <c r="AN165" i="90"/>
  <c r="AN179" i="90"/>
  <c r="AN187" i="90"/>
  <c r="AN191" i="90"/>
  <c r="AN199" i="90"/>
  <c r="AN219" i="90"/>
  <c r="AN132" i="90"/>
  <c r="AN144" i="90"/>
  <c r="AN156" i="90"/>
  <c r="AN168" i="90"/>
  <c r="AN176" i="90"/>
  <c r="AN192" i="90"/>
  <c r="AN212" i="90"/>
  <c r="AN133" i="90"/>
  <c r="AN149" i="90"/>
  <c r="AN161" i="90"/>
  <c r="AN127" i="90"/>
  <c r="AN21" i="90"/>
  <c r="AN25" i="90"/>
  <c r="AN29" i="90"/>
  <c r="AN33" i="90"/>
  <c r="AN37" i="90"/>
  <c r="AN41" i="90"/>
  <c r="AN45" i="90"/>
  <c r="AN49" i="90"/>
  <c r="AN53" i="90"/>
  <c r="AN57" i="90"/>
  <c r="AN61" i="90"/>
  <c r="AN65" i="90"/>
  <c r="AN69" i="90"/>
  <c r="AN73" i="90"/>
  <c r="AN77" i="90"/>
  <c r="AN81" i="90"/>
  <c r="AN85" i="90"/>
  <c r="AN89" i="90"/>
  <c r="AN93" i="90"/>
  <c r="AN97" i="90"/>
  <c r="AN101" i="90"/>
  <c r="AN105" i="90"/>
  <c r="AN109" i="90"/>
  <c r="AN113" i="90"/>
  <c r="AN117" i="90"/>
  <c r="AN31" i="90"/>
  <c r="AN83" i="90"/>
  <c r="AN115" i="90"/>
  <c r="AN32" i="90"/>
  <c r="AN40" i="90"/>
  <c r="AN56" i="90"/>
  <c r="AN72" i="90"/>
  <c r="AN88" i="90"/>
  <c r="AN104" i="90"/>
  <c r="AN20" i="90"/>
  <c r="AN35" i="90"/>
  <c r="AN71" i="90"/>
  <c r="AN103" i="90"/>
  <c r="AN36" i="90"/>
  <c r="AN52" i="90"/>
  <c r="AN68" i="90"/>
  <c r="AN80" i="90"/>
  <c r="AN100" i="90"/>
  <c r="AN116" i="90"/>
  <c r="AN22" i="90"/>
  <c r="AN26" i="90"/>
  <c r="AN30" i="90"/>
  <c r="AN34" i="90"/>
  <c r="AN38" i="90"/>
  <c r="AN42" i="90"/>
  <c r="AN46" i="90"/>
  <c r="AN50" i="90"/>
  <c r="AN54" i="90"/>
  <c r="AN58" i="90"/>
  <c r="AN62" i="90"/>
  <c r="AN66" i="90"/>
  <c r="AN70" i="90"/>
  <c r="AN74" i="90"/>
  <c r="AN78" i="90"/>
  <c r="AN82" i="90"/>
  <c r="AN86" i="90"/>
  <c r="AN90" i="90"/>
  <c r="AN94" i="90"/>
  <c r="AN98" i="90"/>
  <c r="AN102" i="90"/>
  <c r="AN106" i="90"/>
  <c r="AN110" i="90"/>
  <c r="AN114" i="90"/>
  <c r="AN118" i="90"/>
  <c r="AN27" i="90"/>
  <c r="AN39" i="90"/>
  <c r="AN47" i="90"/>
  <c r="AN51" i="90"/>
  <c r="AN59" i="90"/>
  <c r="AN67" i="90"/>
  <c r="AN79" i="90"/>
  <c r="AN87" i="90"/>
  <c r="AN95" i="90"/>
  <c r="AN107" i="90"/>
  <c r="AN119" i="90"/>
  <c r="AN24" i="90"/>
  <c r="AN44" i="90"/>
  <c r="AN64" i="90"/>
  <c r="AN84" i="90"/>
  <c r="AN96" i="90"/>
  <c r="AN112" i="90"/>
  <c r="AN23" i="90"/>
  <c r="AN43" i="90"/>
  <c r="AN55" i="90"/>
  <c r="AN63" i="90"/>
  <c r="AN75" i="90"/>
  <c r="AN91" i="90"/>
  <c r="AN99" i="90"/>
  <c r="AN111" i="90"/>
  <c r="AN28" i="90"/>
  <c r="AN48" i="90"/>
  <c r="AN60" i="90"/>
  <c r="AN76" i="90"/>
  <c r="AN92" i="90"/>
  <c r="AN108" i="90"/>
  <c r="AO97" i="90"/>
  <c r="AO113" i="90"/>
  <c r="AO35" i="90"/>
  <c r="AO51" i="90"/>
  <c r="AO71" i="90"/>
  <c r="AO87" i="90"/>
  <c r="AO103" i="90"/>
  <c r="AO36" i="90"/>
  <c r="AO52" i="90"/>
  <c r="AO68" i="90"/>
  <c r="AO84" i="90"/>
  <c r="AO96" i="90"/>
  <c r="AO112" i="90"/>
  <c r="AO21" i="90"/>
  <c r="AO25" i="90"/>
  <c r="AO29" i="90"/>
  <c r="AO33" i="90"/>
  <c r="AO37" i="90"/>
  <c r="AO41" i="90"/>
  <c r="AO45" i="90"/>
  <c r="AO49" i="90"/>
  <c r="AO53" i="90"/>
  <c r="AO57" i="90"/>
  <c r="AO61" i="90"/>
  <c r="AO65" i="90"/>
  <c r="AO69" i="90"/>
  <c r="AO73" i="90"/>
  <c r="AO77" i="90"/>
  <c r="AO81" i="90"/>
  <c r="AO85" i="90"/>
  <c r="AO89" i="90"/>
  <c r="AO93" i="90"/>
  <c r="AO101" i="90"/>
  <c r="AO105" i="90"/>
  <c r="AO109" i="90"/>
  <c r="AO117" i="90"/>
  <c r="AO31" i="90"/>
  <c r="AO47" i="90"/>
  <c r="AO63" i="90"/>
  <c r="AO83" i="90"/>
  <c r="AO99" i="90"/>
  <c r="AO119" i="90"/>
  <c r="AO32" i="90"/>
  <c r="AO48" i="90"/>
  <c r="AO64" i="90"/>
  <c r="AO80" i="90"/>
  <c r="AO100" i="90"/>
  <c r="AO20" i="90"/>
  <c r="AO27" i="90"/>
  <c r="AO43" i="90"/>
  <c r="AO55" i="90"/>
  <c r="AO67" i="90"/>
  <c r="AO79" i="90"/>
  <c r="AO95" i="90"/>
  <c r="AO107" i="90"/>
  <c r="AO115" i="90"/>
  <c r="AO24" i="90"/>
  <c r="AO44" i="90"/>
  <c r="AO60" i="90"/>
  <c r="AO76" i="90"/>
  <c r="AO88" i="90"/>
  <c r="AO104" i="90"/>
  <c r="AO116" i="90"/>
  <c r="AO22" i="90"/>
  <c r="AO26" i="90"/>
  <c r="AO30" i="90"/>
  <c r="AO34" i="90"/>
  <c r="AO38" i="90"/>
  <c r="AO42" i="90"/>
  <c r="AO46" i="90"/>
  <c r="AO50" i="90"/>
  <c r="AO54" i="90"/>
  <c r="AO58" i="90"/>
  <c r="AO62" i="90"/>
  <c r="AO66" i="90"/>
  <c r="AO70" i="90"/>
  <c r="AO74" i="90"/>
  <c r="AO78" i="90"/>
  <c r="AO82" i="90"/>
  <c r="AO86" i="90"/>
  <c r="AO90" i="90"/>
  <c r="AO94" i="90"/>
  <c r="AO98" i="90"/>
  <c r="AO102" i="90"/>
  <c r="AO106" i="90"/>
  <c r="AO110" i="90"/>
  <c r="AO114" i="90"/>
  <c r="AO118" i="90"/>
  <c r="AO23" i="90"/>
  <c r="AO39" i="90"/>
  <c r="AO59" i="90"/>
  <c r="AO75" i="90"/>
  <c r="AO91" i="90"/>
  <c r="AO111" i="90"/>
  <c r="AO28" i="90"/>
  <c r="AO40" i="90"/>
  <c r="AO56" i="90"/>
  <c r="AO72" i="90"/>
  <c r="AO92" i="90"/>
  <c r="AO108" i="90"/>
  <c r="AL173" i="90"/>
  <c r="AL183" i="90"/>
  <c r="AL193" i="90"/>
  <c r="AL205" i="90"/>
  <c r="AL217" i="90"/>
  <c r="AL132" i="90"/>
  <c r="AL146" i="90"/>
  <c r="AL156" i="90"/>
  <c r="AL168" i="90"/>
  <c r="AL174" i="90"/>
  <c r="AL176" i="90"/>
  <c r="AL178" i="90"/>
  <c r="AL180" i="90"/>
  <c r="AL182" i="90"/>
  <c r="AL184" i="90"/>
  <c r="AL186" i="90"/>
  <c r="AL188" i="90"/>
  <c r="AL190" i="90"/>
  <c r="AL192" i="90"/>
  <c r="AL194" i="90"/>
  <c r="AL196" i="90"/>
  <c r="AL198" i="90"/>
  <c r="AL200" i="90"/>
  <c r="AL202" i="90"/>
  <c r="AL204" i="90"/>
  <c r="AL206" i="90"/>
  <c r="AL208" i="90"/>
  <c r="AL210" i="90"/>
  <c r="AL212" i="90"/>
  <c r="AL214" i="90"/>
  <c r="AL216" i="90"/>
  <c r="AL218" i="90"/>
  <c r="AL220" i="90"/>
  <c r="AL222" i="90"/>
  <c r="AL224" i="90"/>
  <c r="AL226" i="90"/>
  <c r="AL129" i="90"/>
  <c r="AL131" i="90"/>
  <c r="AL133" i="90"/>
  <c r="AL135" i="90"/>
  <c r="AL137" i="90"/>
  <c r="AL139" i="90"/>
  <c r="AL141" i="90"/>
  <c r="AL143" i="90"/>
  <c r="AL145" i="90"/>
  <c r="AL147" i="90"/>
  <c r="AL149" i="90"/>
  <c r="AL151" i="90"/>
  <c r="AL153" i="90"/>
  <c r="AL155" i="90"/>
  <c r="AL157" i="90"/>
  <c r="AL159" i="90"/>
  <c r="AL161" i="90"/>
  <c r="AL163" i="90"/>
  <c r="AL165" i="90"/>
  <c r="AL167" i="90"/>
  <c r="AL169" i="90"/>
  <c r="AL171" i="90"/>
  <c r="AL177" i="90"/>
  <c r="AL181" i="90"/>
  <c r="AL187" i="90"/>
  <c r="AL191" i="90"/>
  <c r="AL197" i="90"/>
  <c r="AL201" i="90"/>
  <c r="AL209" i="90"/>
  <c r="AL213" i="90"/>
  <c r="AL219" i="90"/>
  <c r="AL223" i="90"/>
  <c r="AL128" i="90"/>
  <c r="AL136" i="90"/>
  <c r="AL140" i="90"/>
  <c r="AL148" i="90"/>
  <c r="AL154" i="90"/>
  <c r="AL160" i="90"/>
  <c r="AL164" i="90"/>
  <c r="AL172" i="90"/>
  <c r="AL134" i="90"/>
  <c r="AL179" i="90"/>
  <c r="AL142" i="90"/>
  <c r="AL166" i="90"/>
  <c r="AL127" i="90"/>
  <c r="AL175" i="90"/>
  <c r="AL185" i="90"/>
  <c r="AL189" i="90"/>
  <c r="AL195" i="90"/>
  <c r="AL199" i="90"/>
  <c r="AL203" i="90"/>
  <c r="AL207" i="90"/>
  <c r="AL211" i="90"/>
  <c r="AL215" i="90"/>
  <c r="AL221" i="90"/>
  <c r="AL225" i="90"/>
  <c r="AL130" i="90"/>
  <c r="AL138" i="90"/>
  <c r="AL144" i="90"/>
  <c r="AL150" i="90"/>
  <c r="AL152" i="90"/>
  <c r="AL158" i="90"/>
  <c r="AL162" i="90"/>
  <c r="AL170" i="90"/>
  <c r="AL65" i="90"/>
  <c r="AL93" i="90"/>
  <c r="AL109" i="90"/>
  <c r="AL22" i="90"/>
  <c r="AL24" i="90"/>
  <c r="AL26" i="90"/>
  <c r="AL28" i="90"/>
  <c r="AL30" i="90"/>
  <c r="AL32" i="90"/>
  <c r="AL36" i="90"/>
  <c r="AL38" i="90"/>
  <c r="AL40" i="90"/>
  <c r="AL42" i="90"/>
  <c r="AL44" i="90"/>
  <c r="AL46" i="90"/>
  <c r="AL48" i="90"/>
  <c r="AL50" i="90"/>
  <c r="AL52" i="90"/>
  <c r="AL54" i="90"/>
  <c r="AL58" i="90"/>
  <c r="AL60" i="90"/>
  <c r="AL62" i="90"/>
  <c r="AL66" i="90"/>
  <c r="AL68" i="90"/>
  <c r="AL70" i="90"/>
  <c r="AL74" i="90"/>
  <c r="AL76" i="90"/>
  <c r="AL80" i="90"/>
  <c r="AL84" i="90"/>
  <c r="AL86" i="90"/>
  <c r="AL90" i="90"/>
  <c r="AL94" i="90"/>
  <c r="AL96" i="90"/>
  <c r="AL100" i="90"/>
  <c r="AL104" i="90"/>
  <c r="AL108" i="90"/>
  <c r="AL110" i="90"/>
  <c r="AL114" i="90"/>
  <c r="AL118" i="90"/>
  <c r="AL34" i="90"/>
  <c r="AL56" i="90"/>
  <c r="AL64" i="90"/>
  <c r="AL72" i="90"/>
  <c r="AL78" i="90"/>
  <c r="AL82" i="90"/>
  <c r="AL88" i="90"/>
  <c r="AL92" i="90"/>
  <c r="AL98" i="90"/>
  <c r="AL102" i="90"/>
  <c r="AL106" i="90"/>
  <c r="AL112" i="90"/>
  <c r="AL116" i="90"/>
  <c r="AL21" i="90"/>
  <c r="AL51" i="90"/>
  <c r="AL61" i="90"/>
  <c r="AL69" i="90"/>
  <c r="AL73" i="90"/>
  <c r="AL77" i="90"/>
  <c r="AL81" i="90"/>
  <c r="AL85" i="90"/>
  <c r="AL89" i="90"/>
  <c r="AL95" i="90"/>
  <c r="AL101" i="90"/>
  <c r="AL105" i="90"/>
  <c r="AL113" i="90"/>
  <c r="AL119" i="90"/>
  <c r="AL20" i="90"/>
  <c r="AL23" i="90"/>
  <c r="AL25" i="90"/>
  <c r="AL27" i="90"/>
  <c r="AL29" i="90"/>
  <c r="AL31" i="90"/>
  <c r="AL33" i="90"/>
  <c r="AL35" i="90"/>
  <c r="AL37" i="90"/>
  <c r="AL39" i="90"/>
  <c r="AL41" i="90"/>
  <c r="AL43" i="90"/>
  <c r="AL45" i="90"/>
  <c r="AL47" i="90"/>
  <c r="AL49" i="90"/>
  <c r="AL53" i="90"/>
  <c r="AL55" i="90"/>
  <c r="AL57" i="90"/>
  <c r="AL59" i="90"/>
  <c r="AL63" i="90"/>
  <c r="AL67" i="90"/>
  <c r="AL71" i="90"/>
  <c r="AL75" i="90"/>
  <c r="AL79" i="90"/>
  <c r="AL83" i="90"/>
  <c r="AL87" i="90"/>
  <c r="AL91" i="90"/>
  <c r="AL97" i="90"/>
  <c r="AL99" i="90"/>
  <c r="AL103" i="90"/>
  <c r="AL107" i="90"/>
  <c r="AL111" i="90"/>
  <c r="AL115" i="90"/>
  <c r="AL117" i="90"/>
  <c r="BL339" i="90"/>
  <c r="BN394" i="90"/>
  <c r="BN388" i="90"/>
  <c r="BN365" i="90"/>
  <c r="BN351" i="90"/>
  <c r="BL371" i="90"/>
  <c r="BL352" i="90"/>
  <c r="BL393" i="90"/>
  <c r="BN429" i="90"/>
  <c r="BN414" i="90"/>
  <c r="BN371" i="90"/>
  <c r="BN340" i="90"/>
  <c r="BL433" i="90"/>
  <c r="BL414" i="90"/>
  <c r="BN396" i="90"/>
  <c r="BN347" i="90"/>
  <c r="BN403" i="90"/>
  <c r="BL413" i="90"/>
  <c r="BL387" i="90"/>
  <c r="BL354" i="90"/>
  <c r="BL363" i="90"/>
  <c r="BN432" i="90"/>
  <c r="BL338" i="90"/>
  <c r="BN411" i="90"/>
  <c r="BN413" i="90"/>
  <c r="BN372" i="90"/>
  <c r="BN363" i="90"/>
  <c r="BN361" i="90"/>
  <c r="BL384" i="90"/>
  <c r="BL367" i="90"/>
  <c r="BN428" i="90"/>
  <c r="BN393" i="90"/>
  <c r="BN358" i="90"/>
  <c r="BN390" i="90"/>
  <c r="BL396" i="90"/>
  <c r="BL342" i="90"/>
  <c r="BL420" i="90"/>
  <c r="BL394" i="90"/>
  <c r="BL385" i="90"/>
  <c r="BN385" i="90"/>
  <c r="BN337" i="90"/>
  <c r="BN389" i="90"/>
  <c r="BL429" i="90"/>
  <c r="BL432" i="90"/>
  <c r="BL411" i="90"/>
  <c r="BL355" i="90"/>
  <c r="BL379" i="90"/>
  <c r="BN366" i="90"/>
  <c r="BL345" i="90"/>
  <c r="BN348" i="90"/>
  <c r="BN391" i="90"/>
  <c r="BL421" i="90"/>
  <c r="BL398" i="90"/>
  <c r="BL389" i="90"/>
  <c r="BL368" i="90"/>
  <c r="BL348" i="90"/>
  <c r="BL341" i="90"/>
  <c r="BN420" i="90"/>
  <c r="BN380" i="90"/>
  <c r="BL399" i="90"/>
  <c r="BL369" i="90"/>
  <c r="BL383" i="90"/>
  <c r="BL335" i="90"/>
  <c r="BN362" i="90"/>
  <c r="BL416" i="90"/>
  <c r="BL406" i="90"/>
  <c r="BL353" i="90"/>
  <c r="BN399" i="90"/>
  <c r="BL400" i="90"/>
  <c r="BL423" i="90"/>
  <c r="BL372" i="90"/>
  <c r="BL337" i="90"/>
  <c r="BL424" i="90"/>
  <c r="BL370" i="90"/>
  <c r="BL404" i="90"/>
  <c r="BL388" i="90"/>
  <c r="BN342" i="90"/>
  <c r="BL418" i="90"/>
  <c r="BL349" i="90"/>
  <c r="BN434" i="90"/>
  <c r="BN384" i="90"/>
  <c r="BN374" i="90"/>
  <c r="BN387" i="90"/>
  <c r="BN386" i="90"/>
  <c r="BN336" i="90"/>
  <c r="BN335" i="90"/>
  <c r="BL409" i="90"/>
  <c r="BL401" i="90"/>
  <c r="BN419" i="90"/>
  <c r="BL415" i="90"/>
  <c r="BN417" i="90"/>
  <c r="BN416" i="90"/>
  <c r="BN379" i="90"/>
  <c r="BN415" i="90"/>
  <c r="BN346" i="90"/>
  <c r="BL386" i="90"/>
  <c r="BL347" i="90"/>
  <c r="BL425" i="90"/>
  <c r="BL364" i="90"/>
  <c r="BL419" i="90"/>
  <c r="BL405" i="90"/>
  <c r="BN395" i="90"/>
  <c r="BN350" i="90"/>
  <c r="BN430" i="90"/>
  <c r="BN412" i="90"/>
  <c r="BN360" i="90"/>
  <c r="BN343" i="90"/>
  <c r="BN338" i="90"/>
  <c r="BN427" i="90"/>
  <c r="BN382" i="90"/>
  <c r="BN376" i="90"/>
  <c r="BN345" i="90"/>
  <c r="BL428" i="90"/>
  <c r="BL403" i="90"/>
  <c r="BL374" i="90"/>
  <c r="BL410" i="90"/>
  <c r="BL377" i="90"/>
  <c r="BL350" i="90"/>
  <c r="BL340" i="90"/>
  <c r="BN392" i="90"/>
  <c r="BL430" i="90"/>
  <c r="BL412" i="90"/>
  <c r="BL375" i="90"/>
  <c r="BL358" i="90"/>
  <c r="BN369" i="90"/>
  <c r="BL408" i="90"/>
  <c r="BL381" i="90"/>
  <c r="BL366" i="90"/>
  <c r="BN368" i="90"/>
  <c r="BL426" i="90"/>
  <c r="BL395" i="90"/>
  <c r="BL362" i="90"/>
  <c r="BL360" i="90"/>
  <c r="BL351" i="90"/>
  <c r="BL431" i="90"/>
  <c r="BL402" i="90"/>
  <c r="BL380" i="90"/>
  <c r="BL359" i="90"/>
  <c r="BL427" i="90"/>
  <c r="BL365" i="90"/>
  <c r="BL391" i="90"/>
  <c r="BL343" i="90"/>
  <c r="BL434" i="90"/>
  <c r="BL407" i="90"/>
  <c r="BL376" i="90"/>
  <c r="BL356" i="90"/>
  <c r="BL344" i="90"/>
  <c r="BN377" i="90"/>
  <c r="BN352" i="90"/>
  <c r="BN349" i="90"/>
  <c r="BN418" i="90"/>
  <c r="BN407" i="90"/>
  <c r="BL422" i="90"/>
  <c r="BL390" i="90"/>
  <c r="BL397" i="90"/>
  <c r="BL361" i="90"/>
  <c r="BL373" i="90"/>
  <c r="BL336" i="90"/>
  <c r="BN400" i="90"/>
  <c r="BN370" i="90"/>
  <c r="BN423" i="90"/>
  <c r="BN359" i="90"/>
  <c r="BN356" i="90"/>
  <c r="BN433" i="90"/>
  <c r="BN424" i="90"/>
  <c r="BN397" i="90"/>
  <c r="BN426" i="90"/>
  <c r="BN425" i="90"/>
  <c r="BN402" i="90"/>
  <c r="BN378" i="90"/>
  <c r="BN355" i="90"/>
  <c r="BN431" i="90"/>
  <c r="BN422" i="90"/>
  <c r="BN357" i="90"/>
  <c r="BN367" i="90"/>
  <c r="BN341" i="90"/>
  <c r="BN398" i="90"/>
  <c r="BL392" i="90"/>
  <c r="BN408" i="90"/>
  <c r="BN406" i="90"/>
  <c r="BN404" i="90"/>
  <c r="BN353" i="90"/>
  <c r="BN339" i="90"/>
  <c r="BN354" i="90"/>
  <c r="BN405" i="90"/>
  <c r="BN409" i="90"/>
  <c r="BN383" i="90"/>
  <c r="BN375" i="90"/>
  <c r="BN364" i="90"/>
  <c r="BL417" i="90"/>
  <c r="BL382" i="90"/>
  <c r="BL378" i="90"/>
  <c r="BL357" i="90"/>
  <c r="BL346" i="90"/>
  <c r="BN421" i="90"/>
  <c r="BN401" i="90"/>
  <c r="BN381" i="90"/>
  <c r="BN373" i="90"/>
  <c r="BN410" i="90"/>
  <c r="BN344" i="90"/>
  <c r="QP20" i="4"/>
  <c r="QP19" i="4"/>
  <c r="QO20" i="4"/>
  <c r="QO19" i="4"/>
  <c r="CA101" i="4" l="1"/>
  <c r="CA35" i="4"/>
  <c r="CA90" i="4"/>
  <c r="CA79" i="4"/>
  <c r="CA46" i="4"/>
  <c r="CA57" i="4"/>
  <c r="CA24" i="4"/>
  <c r="CA68" i="4"/>
  <c r="NB4342" i="4"/>
  <c r="NB4343" i="4"/>
  <c r="PA4342" i="4"/>
  <c r="PA4343" i="4"/>
  <c r="G45" i="93" l="1"/>
  <c r="G46" i="93"/>
  <c r="G47" i="93"/>
  <c r="I47" i="93" s="1"/>
  <c r="H33" i="70" s="1"/>
  <c r="G48" i="93"/>
  <c r="G49" i="93"/>
  <c r="H44" i="93"/>
  <c r="A63" i="93"/>
  <c r="A62" i="93"/>
  <c r="A61" i="93"/>
  <c r="A60" i="93"/>
  <c r="A59" i="93"/>
  <c r="A58" i="93"/>
  <c r="A57" i="93"/>
  <c r="F57" i="93" s="1"/>
  <c r="A56" i="93"/>
  <c r="F56" i="93" s="1"/>
  <c r="A55" i="93"/>
  <c r="A54" i="93"/>
  <c r="I35" i="93"/>
  <c r="I28" i="93"/>
  <c r="I20" i="93"/>
  <c r="I19" i="93"/>
  <c r="I18" i="93"/>
  <c r="I17" i="93"/>
  <c r="E62" i="93" l="1"/>
  <c r="F62" i="93"/>
  <c r="G54" i="93"/>
  <c r="E54" i="93"/>
  <c r="F54" i="93"/>
  <c r="E55" i="93"/>
  <c r="F55" i="93"/>
  <c r="E63" i="93"/>
  <c r="F63" i="93"/>
  <c r="E58" i="93"/>
  <c r="F58" i="93"/>
  <c r="E59" i="93"/>
  <c r="F59" i="93"/>
  <c r="E60" i="93"/>
  <c r="F60" i="93"/>
  <c r="E61" i="93"/>
  <c r="F61" i="93"/>
  <c r="H49" i="93"/>
  <c r="J49" i="93" s="1"/>
  <c r="M70" i="70" s="1"/>
  <c r="I49" i="93"/>
  <c r="L33" i="70" s="1"/>
  <c r="J44" i="93"/>
  <c r="Q70" i="70" s="1"/>
  <c r="H48" i="93"/>
  <c r="J48" i="93" s="1"/>
  <c r="K70" i="70" s="1"/>
  <c r="I48" i="93"/>
  <c r="J33" i="70" s="1"/>
  <c r="H46" i="93"/>
  <c r="J46" i="93" s="1"/>
  <c r="G70" i="70" s="1"/>
  <c r="I46" i="93"/>
  <c r="F33" i="70" s="1"/>
  <c r="H45" i="93"/>
  <c r="J45" i="93" s="1"/>
  <c r="E70" i="70" s="1"/>
  <c r="I45" i="93"/>
  <c r="D33" i="70" s="1"/>
  <c r="J50" i="93"/>
  <c r="O70" i="70" s="1"/>
  <c r="I50" i="93"/>
  <c r="G62" i="93"/>
  <c r="H62" i="93"/>
  <c r="G55" i="93"/>
  <c r="H55" i="93"/>
  <c r="G56" i="93"/>
  <c r="H56" i="93"/>
  <c r="E57" i="93"/>
  <c r="G57" i="93"/>
  <c r="H57" i="93"/>
  <c r="G58" i="93"/>
  <c r="H58" i="93"/>
  <c r="H54" i="93"/>
  <c r="H63" i="93"/>
  <c r="G63" i="93"/>
  <c r="H59" i="93"/>
  <c r="G59" i="93"/>
  <c r="G60" i="93"/>
  <c r="H60" i="93"/>
  <c r="G61" i="93"/>
  <c r="H61" i="93"/>
  <c r="H47" i="93"/>
  <c r="J47" i="93" s="1"/>
  <c r="I70" i="70" s="1"/>
  <c r="G38" i="39"/>
  <c r="H38" i="39" s="1"/>
  <c r="G33" i="39"/>
  <c r="H33" i="39" s="1"/>
  <c r="G34" i="39"/>
  <c r="H34" i="39" s="1"/>
  <c r="G35" i="39"/>
  <c r="H35" i="39" s="1"/>
  <c r="G36" i="39"/>
  <c r="H36" i="39" s="1"/>
  <c r="G37" i="39"/>
  <c r="H37" i="39" s="1"/>
  <c r="H32" i="39"/>
  <c r="N33" i="70" l="1"/>
  <c r="I58" i="93"/>
  <c r="J63" i="93"/>
  <c r="J61" i="93"/>
  <c r="I59" i="93"/>
  <c r="J57" i="93"/>
  <c r="J55" i="93"/>
  <c r="J54" i="93"/>
  <c r="J58" i="93"/>
  <c r="I57" i="93"/>
  <c r="I55" i="93"/>
  <c r="J59" i="93"/>
  <c r="J60" i="93"/>
  <c r="J62" i="93"/>
  <c r="I62" i="93"/>
  <c r="I61" i="93"/>
  <c r="I54" i="93"/>
  <c r="I63" i="93"/>
  <c r="I56" i="93"/>
  <c r="J56" i="93"/>
  <c r="I60" i="93"/>
  <c r="I32" i="39"/>
  <c r="P31" i="70" s="1"/>
  <c r="I33" i="39"/>
  <c r="D31" i="70" s="1"/>
  <c r="J32" i="39"/>
  <c r="Q68" i="70" s="1"/>
  <c r="I37" i="39"/>
  <c r="L31" i="70" s="1"/>
  <c r="J36" i="39"/>
  <c r="K68" i="70" s="1"/>
  <c r="J38" i="39"/>
  <c r="O68" i="70" s="1"/>
  <c r="J35" i="39"/>
  <c r="I68" i="70" s="1"/>
  <c r="I38" i="39"/>
  <c r="N31" i="70" s="1"/>
  <c r="I34" i="39"/>
  <c r="F31" i="70" s="1"/>
  <c r="I35" i="39"/>
  <c r="H31" i="70" s="1"/>
  <c r="I36" i="39"/>
  <c r="J31" i="70" s="1"/>
  <c r="J37" i="39"/>
  <c r="M68" i="70" s="1"/>
  <c r="J34" i="39"/>
  <c r="G68" i="70" s="1"/>
  <c r="J33" i="39"/>
  <c r="E68" i="70" s="1"/>
  <c r="QP27" i="4" l="1"/>
  <c r="F29" i="49" l="1"/>
  <c r="F45" i="49"/>
  <c r="D28" i="41"/>
  <c r="B444" i="90" l="1"/>
  <c r="C444" i="90"/>
  <c r="D444" i="90"/>
  <c r="E444" i="90"/>
  <c r="F444" i="90"/>
  <c r="BD448" i="90"/>
  <c r="BD456" i="90" s="1"/>
  <c r="BC448" i="90"/>
  <c r="BC453" i="90" s="1"/>
  <c r="BB448" i="90"/>
  <c r="BB456" i="90" s="1"/>
  <c r="BA448" i="90"/>
  <c r="BA454" i="90" s="1"/>
  <c r="AZ448" i="90"/>
  <c r="AZ454" i="90" s="1"/>
  <c r="AT448" i="90"/>
  <c r="AY448" i="90" s="1"/>
  <c r="AY456" i="90" s="1"/>
  <c r="AS448" i="90"/>
  <c r="AS456" i="90" s="1"/>
  <c r="AR448" i="90"/>
  <c r="AR455" i="90" s="1"/>
  <c r="AQ448" i="90"/>
  <c r="AV448" i="90" s="1"/>
  <c r="AP448" i="90"/>
  <c r="AP451" i="90" s="1"/>
  <c r="AJ448" i="90"/>
  <c r="AJ450" i="90" s="1"/>
  <c r="AI448" i="90"/>
  <c r="AI454" i="90" s="1"/>
  <c r="AH448" i="90"/>
  <c r="AH453" i="90" s="1"/>
  <c r="AG448" i="90"/>
  <c r="AG451" i="90" s="1"/>
  <c r="AF448" i="90"/>
  <c r="AK448" i="90" s="1"/>
  <c r="Z448" i="90"/>
  <c r="Z454" i="90" s="1"/>
  <c r="Y448" i="90"/>
  <c r="Y453" i="90" s="1"/>
  <c r="X448" i="90"/>
  <c r="X456" i="90" s="1"/>
  <c r="W448" i="90"/>
  <c r="W455" i="90" s="1"/>
  <c r="V448" i="90"/>
  <c r="V456" i="90" s="1"/>
  <c r="L448" i="90"/>
  <c r="L456" i="90" s="1"/>
  <c r="P448" i="90"/>
  <c r="P450" i="90" s="1"/>
  <c r="O448" i="90"/>
  <c r="O452" i="90" s="1"/>
  <c r="N448" i="90"/>
  <c r="N456" i="90" s="1"/>
  <c r="M448" i="90"/>
  <c r="R448" i="90" s="1"/>
  <c r="R456" i="90" s="1"/>
  <c r="F448" i="90"/>
  <c r="F456" i="90" s="1"/>
  <c r="E448" i="90"/>
  <c r="E451" i="90" s="1"/>
  <c r="D448" i="90"/>
  <c r="D456" i="90" s="1"/>
  <c r="C448" i="90"/>
  <c r="C455" i="90" s="1"/>
  <c r="B448" i="90"/>
  <c r="B454" i="90" s="1"/>
  <c r="B439" i="90"/>
  <c r="C439" i="90"/>
  <c r="D439" i="90"/>
  <c r="E439" i="90"/>
  <c r="F439" i="90"/>
  <c r="B440" i="90"/>
  <c r="C440" i="90"/>
  <c r="D440" i="90"/>
  <c r="E440" i="90"/>
  <c r="F440" i="90"/>
  <c r="B441" i="90"/>
  <c r="C441" i="90"/>
  <c r="D441" i="90"/>
  <c r="E441" i="90"/>
  <c r="F441" i="90"/>
  <c r="B442" i="90"/>
  <c r="C442" i="90"/>
  <c r="D442" i="90"/>
  <c r="E442" i="90"/>
  <c r="F442" i="90"/>
  <c r="B443" i="90"/>
  <c r="C443" i="90"/>
  <c r="D443" i="90"/>
  <c r="E443" i="90"/>
  <c r="F443" i="90"/>
  <c r="B438" i="90"/>
  <c r="F438" i="90"/>
  <c r="E438" i="90"/>
  <c r="D438" i="90"/>
  <c r="C438" i="90"/>
  <c r="AG456" i="90" l="1"/>
  <c r="AK451" i="90"/>
  <c r="AK456" i="90"/>
  <c r="AG454" i="90"/>
  <c r="AF456" i="90"/>
  <c r="P456" i="90"/>
  <c r="B450" i="90"/>
  <c r="BC456" i="90"/>
  <c r="W456" i="90"/>
  <c r="O456" i="90"/>
  <c r="E455" i="90"/>
  <c r="AT456" i="90"/>
  <c r="E456" i="90"/>
  <c r="Y452" i="90"/>
  <c r="B453" i="90"/>
  <c r="BA456" i="90"/>
  <c r="M456" i="90"/>
  <c r="B452" i="90"/>
  <c r="AZ456" i="90"/>
  <c r="AR456" i="90"/>
  <c r="AJ456" i="90"/>
  <c r="C456" i="90"/>
  <c r="B451" i="90"/>
  <c r="AQ456" i="90"/>
  <c r="AI456" i="90"/>
  <c r="B456" i="90"/>
  <c r="Y456" i="90"/>
  <c r="G448" i="90"/>
  <c r="O453" i="90"/>
  <c r="AP456" i="90"/>
  <c r="AH456" i="90"/>
  <c r="Z456" i="90"/>
  <c r="W452" i="90"/>
  <c r="AI453" i="90"/>
  <c r="AQ453" i="90"/>
  <c r="Y451" i="90"/>
  <c r="AG453" i="90"/>
  <c r="AE448" i="90"/>
  <c r="AI452" i="90"/>
  <c r="AQ452" i="90"/>
  <c r="AD448" i="90"/>
  <c r="AD454" i="90" s="1"/>
  <c r="AN448" i="90"/>
  <c r="AN456" i="90" s="1"/>
  <c r="AU448" i="90"/>
  <c r="AU454" i="90" s="1"/>
  <c r="Y450" i="90"/>
  <c r="AI450" i="90"/>
  <c r="AQ451" i="90"/>
  <c r="AB448" i="90"/>
  <c r="AB456" i="90" s="1"/>
  <c r="AM448" i="90"/>
  <c r="AM451" i="90" s="1"/>
  <c r="B455" i="90"/>
  <c r="Y455" i="90"/>
  <c r="AI451" i="90"/>
  <c r="AQ455" i="90"/>
  <c r="AL448" i="90"/>
  <c r="AL452" i="90" s="1"/>
  <c r="AI455" i="90"/>
  <c r="AP450" i="90"/>
  <c r="BA453" i="90"/>
  <c r="Y454" i="90"/>
  <c r="AQ450" i="90"/>
  <c r="BC452" i="90"/>
  <c r="AQ454" i="90"/>
  <c r="AY450" i="90"/>
  <c r="AY451" i="90"/>
  <c r="AY452" i="90"/>
  <c r="AY453" i="90"/>
  <c r="AY455" i="90"/>
  <c r="AY454" i="90"/>
  <c r="R451" i="90"/>
  <c r="R455" i="90"/>
  <c r="R452" i="90"/>
  <c r="R453" i="90"/>
  <c r="R454" i="90"/>
  <c r="R450" i="90"/>
  <c r="X451" i="90"/>
  <c r="X455" i="90"/>
  <c r="X452" i="90"/>
  <c r="X453" i="90"/>
  <c r="X454" i="90"/>
  <c r="N453" i="90"/>
  <c r="N454" i="90"/>
  <c r="N451" i="90"/>
  <c r="N455" i="90"/>
  <c r="S448" i="90"/>
  <c r="S456" i="90" s="1"/>
  <c r="N450" i="90"/>
  <c r="N452" i="90"/>
  <c r="BB453" i="90"/>
  <c r="BB454" i="90"/>
  <c r="BG448" i="90"/>
  <c r="BB451" i="90"/>
  <c r="BB455" i="90"/>
  <c r="BB450" i="90"/>
  <c r="BB452" i="90"/>
  <c r="M453" i="90"/>
  <c r="X450" i="90"/>
  <c r="C453" i="90"/>
  <c r="C454" i="90"/>
  <c r="O454" i="90"/>
  <c r="O451" i="90"/>
  <c r="O455" i="90"/>
  <c r="T448" i="90"/>
  <c r="T456" i="90" s="1"/>
  <c r="O450" i="90"/>
  <c r="C452" i="90"/>
  <c r="P452" i="90"/>
  <c r="P453" i="90"/>
  <c r="P454" i="90"/>
  <c r="P451" i="90"/>
  <c r="P455" i="90"/>
  <c r="U448" i="90"/>
  <c r="U456" i="90" s="1"/>
  <c r="AJ452" i="90"/>
  <c r="AJ453" i="90"/>
  <c r="AJ454" i="90"/>
  <c r="AJ451" i="90"/>
  <c r="AJ455" i="90"/>
  <c r="AO448" i="90"/>
  <c r="AO456" i="90" s="1"/>
  <c r="AK450" i="90"/>
  <c r="AK453" i="90"/>
  <c r="AK454" i="90"/>
  <c r="E454" i="90"/>
  <c r="F454" i="90"/>
  <c r="F451" i="90"/>
  <c r="F455" i="90"/>
  <c r="F452" i="90"/>
  <c r="F450" i="90"/>
  <c r="F453" i="90"/>
  <c r="K448" i="90"/>
  <c r="K456" i="90" s="1"/>
  <c r="Q448" i="90"/>
  <c r="Q456" i="90" s="1"/>
  <c r="L454" i="90"/>
  <c r="L451" i="90"/>
  <c r="L455" i="90"/>
  <c r="L452" i="90"/>
  <c r="L450" i="90"/>
  <c r="L453" i="90"/>
  <c r="AC448" i="90"/>
  <c r="AC456" i="90" s="1"/>
  <c r="AK452" i="90"/>
  <c r="M451" i="90"/>
  <c r="M455" i="90"/>
  <c r="M450" i="90"/>
  <c r="M452" i="90"/>
  <c r="D451" i="90"/>
  <c r="D455" i="90"/>
  <c r="D452" i="90"/>
  <c r="D450" i="90"/>
  <c r="D453" i="90"/>
  <c r="I448" i="90"/>
  <c r="I456" i="90" s="1"/>
  <c r="D454" i="90"/>
  <c r="AS455" i="90"/>
  <c r="AS454" i="90"/>
  <c r="AS450" i="90"/>
  <c r="AS451" i="90"/>
  <c r="AS452" i="90"/>
  <c r="AX448" i="90"/>
  <c r="AX456" i="90" s="1"/>
  <c r="BD452" i="90"/>
  <c r="BD453" i="90"/>
  <c r="BD454" i="90"/>
  <c r="BI448" i="90"/>
  <c r="BI456" i="90" s="1"/>
  <c r="BD451" i="90"/>
  <c r="BD455" i="90"/>
  <c r="V452" i="90"/>
  <c r="V453" i="90"/>
  <c r="V454" i="90"/>
  <c r="AA448" i="90"/>
  <c r="V451" i="90"/>
  <c r="V455" i="90"/>
  <c r="C450" i="90"/>
  <c r="C451" i="90"/>
  <c r="M454" i="90"/>
  <c r="V450" i="90"/>
  <c r="E452" i="90"/>
  <c r="E450" i="90"/>
  <c r="J448" i="90"/>
  <c r="J456" i="90" s="1"/>
  <c r="E453" i="90"/>
  <c r="AT453" i="90"/>
  <c r="AT455" i="90"/>
  <c r="AT454" i="90"/>
  <c r="AT450" i="90"/>
  <c r="AT451" i="90"/>
  <c r="AT452" i="90"/>
  <c r="AK455" i="90"/>
  <c r="H448" i="90"/>
  <c r="H456" i="90" s="1"/>
  <c r="W450" i="90"/>
  <c r="W453" i="90"/>
  <c r="W454" i="90"/>
  <c r="AF454" i="90"/>
  <c r="AF451" i="90"/>
  <c r="AF455" i="90"/>
  <c r="AF452" i="90"/>
  <c r="AF450" i="90"/>
  <c r="AF453" i="90"/>
  <c r="W451" i="90"/>
  <c r="AS453" i="90"/>
  <c r="BD450" i="90"/>
  <c r="BE448" i="90"/>
  <c r="BE456" i="90" s="1"/>
  <c r="Z453" i="90"/>
  <c r="AH452" i="90"/>
  <c r="AP454" i="90"/>
  <c r="AR453" i="90"/>
  <c r="AP455" i="90"/>
  <c r="BC450" i="90"/>
  <c r="AZ453" i="90"/>
  <c r="AW448" i="90"/>
  <c r="AW456" i="90" s="1"/>
  <c r="AG452" i="90"/>
  <c r="AZ450" i="90"/>
  <c r="BC455" i="90"/>
  <c r="BA452" i="90"/>
  <c r="BC451" i="90"/>
  <c r="AH450" i="90"/>
  <c r="BH448" i="90"/>
  <c r="Z452" i="90"/>
  <c r="AG450" i="90"/>
  <c r="AH455" i="90"/>
  <c r="AH451" i="90"/>
  <c r="AP453" i="90"/>
  <c r="AR452" i="90"/>
  <c r="BA450" i="90"/>
  <c r="AZ452" i="90"/>
  <c r="Z450" i="90"/>
  <c r="AG455" i="90"/>
  <c r="BA455" i="90"/>
  <c r="BC454" i="90"/>
  <c r="BA451" i="90"/>
  <c r="BF448" i="90"/>
  <c r="BF456" i="90" s="1"/>
  <c r="Z455" i="90"/>
  <c r="Z451" i="90"/>
  <c r="AH454" i="90"/>
  <c r="AP452" i="90"/>
  <c r="AR451" i="90"/>
  <c r="AZ455" i="90"/>
  <c r="AZ451" i="90"/>
  <c r="AR450" i="90"/>
  <c r="AR454" i="90"/>
  <c r="BD230" i="90"/>
  <c r="BI230" i="90" s="1"/>
  <c r="BC230" i="90"/>
  <c r="BH230" i="90" s="1"/>
  <c r="BB230" i="90"/>
  <c r="BG230" i="90" s="1"/>
  <c r="BA230" i="90"/>
  <c r="AZ230" i="90"/>
  <c r="AT230" i="90"/>
  <c r="AY230" i="90" s="1"/>
  <c r="AS230" i="90"/>
  <c r="AX230" i="90" s="1"/>
  <c r="AR230" i="90"/>
  <c r="AW230" i="90" s="1"/>
  <c r="AQ230" i="90"/>
  <c r="AV230" i="90" s="1"/>
  <c r="AP230" i="90"/>
  <c r="AJ230" i="90"/>
  <c r="AI230" i="90"/>
  <c r="AH230" i="90"/>
  <c r="AG230" i="90"/>
  <c r="AF230" i="90"/>
  <c r="AK230" i="90" s="1"/>
  <c r="Z230" i="90"/>
  <c r="Y230" i="90"/>
  <c r="Y233" i="90" s="1"/>
  <c r="X230" i="90"/>
  <c r="X279" i="90" s="1"/>
  <c r="W230" i="90"/>
  <c r="W309" i="90" s="1"/>
  <c r="V230" i="90"/>
  <c r="P230" i="90"/>
  <c r="P240" i="90" s="1"/>
  <c r="O230" i="90"/>
  <c r="T230" i="90" s="1"/>
  <c r="T238" i="90" s="1"/>
  <c r="N230" i="90"/>
  <c r="N274" i="90" s="1"/>
  <c r="M230" i="90"/>
  <c r="L230" i="90"/>
  <c r="L325" i="90" s="1"/>
  <c r="F230" i="90"/>
  <c r="F250" i="90" s="1"/>
  <c r="E230" i="90"/>
  <c r="E266" i="90" s="1"/>
  <c r="D230" i="90"/>
  <c r="D240" i="90" s="1"/>
  <c r="C230" i="90"/>
  <c r="C243" i="90" s="1"/>
  <c r="B230" i="90"/>
  <c r="AU451" i="90" l="1"/>
  <c r="BF230" i="90"/>
  <c r="BF253" i="90" s="1"/>
  <c r="BA232" i="90"/>
  <c r="BE230" i="90"/>
  <c r="BE245" i="90" s="1"/>
  <c r="AZ232" i="90"/>
  <c r="AL454" i="90"/>
  <c r="AL455" i="90"/>
  <c r="AN450" i="90"/>
  <c r="AL453" i="90"/>
  <c r="AL451" i="90"/>
  <c r="AN452" i="90"/>
  <c r="AN451" i="90"/>
  <c r="AN453" i="90"/>
  <c r="AN455" i="90"/>
  <c r="AN454" i="90"/>
  <c r="E466" i="90"/>
  <c r="D466" i="90"/>
  <c r="AD455" i="90"/>
  <c r="D461" i="90"/>
  <c r="B464" i="90"/>
  <c r="J466" i="90"/>
  <c r="AM453" i="90"/>
  <c r="AM450" i="90"/>
  <c r="F466" i="90"/>
  <c r="L466" i="90"/>
  <c r="AB454" i="90"/>
  <c r="B465" i="90"/>
  <c r="F465" i="90"/>
  <c r="AL450" i="90"/>
  <c r="AL456" i="90"/>
  <c r="H466" i="90"/>
  <c r="AB453" i="90"/>
  <c r="AB452" i="90"/>
  <c r="AU452" i="90"/>
  <c r="AU456" i="90"/>
  <c r="B461" i="90"/>
  <c r="AB450" i="90"/>
  <c r="B466" i="90"/>
  <c r="L464" i="90"/>
  <c r="AB455" i="90"/>
  <c r="AD452" i="90"/>
  <c r="AD456" i="90"/>
  <c r="H461" i="90"/>
  <c r="AB451" i="90"/>
  <c r="D465" i="90"/>
  <c r="AM455" i="90"/>
  <c r="AM456" i="90"/>
  <c r="AM454" i="90"/>
  <c r="AD451" i="90"/>
  <c r="AU450" i="90"/>
  <c r="J461" i="90"/>
  <c r="AD450" i="90"/>
  <c r="H463" i="90"/>
  <c r="AD453" i="90"/>
  <c r="F462" i="90"/>
  <c r="AU455" i="90"/>
  <c r="B462" i="90"/>
  <c r="J462" i="90"/>
  <c r="B460" i="90"/>
  <c r="AU453" i="90"/>
  <c r="J460" i="90"/>
  <c r="B463" i="90"/>
  <c r="L463" i="90"/>
  <c r="AM452" i="90"/>
  <c r="F461" i="90"/>
  <c r="T454" i="90"/>
  <c r="T451" i="90"/>
  <c r="T455" i="90"/>
  <c r="T450" i="90"/>
  <c r="T452" i="90"/>
  <c r="T453" i="90"/>
  <c r="S450" i="90"/>
  <c r="S452" i="90"/>
  <c r="S453" i="90"/>
  <c r="S454" i="90"/>
  <c r="S451" i="90"/>
  <c r="S455" i="90"/>
  <c r="AW452" i="90"/>
  <c r="AW453" i="90"/>
  <c r="AW454" i="90"/>
  <c r="AW455" i="90"/>
  <c r="AW450" i="90"/>
  <c r="AW451" i="90"/>
  <c r="BE450" i="90"/>
  <c r="BE452" i="90"/>
  <c r="BE453" i="90"/>
  <c r="BE454" i="90"/>
  <c r="BE451" i="90"/>
  <c r="BE455" i="90"/>
  <c r="H460" i="90"/>
  <c r="H453" i="90"/>
  <c r="H454" i="90"/>
  <c r="H451" i="90"/>
  <c r="H455" i="90"/>
  <c r="H452" i="90"/>
  <c r="H450" i="90"/>
  <c r="D464" i="90"/>
  <c r="L462" i="90"/>
  <c r="H462" i="90"/>
  <c r="I454" i="90"/>
  <c r="I451" i="90"/>
  <c r="I455" i="90"/>
  <c r="I453" i="90"/>
  <c r="I450" i="90"/>
  <c r="I452" i="90"/>
  <c r="Q450" i="90"/>
  <c r="Q453" i="90"/>
  <c r="Q454" i="90"/>
  <c r="Q455" i="90"/>
  <c r="Q451" i="90"/>
  <c r="Q452" i="90"/>
  <c r="H465" i="90"/>
  <c r="BF451" i="90"/>
  <c r="BF455" i="90"/>
  <c r="BF450" i="90"/>
  <c r="BF452" i="90"/>
  <c r="BF453" i="90"/>
  <c r="BF454" i="90"/>
  <c r="J463" i="90"/>
  <c r="H464" i="90"/>
  <c r="D460" i="90"/>
  <c r="U451" i="90"/>
  <c r="U455" i="90"/>
  <c r="U450" i="90"/>
  <c r="U452" i="90"/>
  <c r="U453" i="90"/>
  <c r="U454" i="90"/>
  <c r="AC454" i="90"/>
  <c r="AC455" i="90"/>
  <c r="AC451" i="90"/>
  <c r="AC450" i="90"/>
  <c r="AC453" i="90"/>
  <c r="AC452" i="90"/>
  <c r="J465" i="90"/>
  <c r="BI454" i="90"/>
  <c r="BI451" i="90"/>
  <c r="BI455" i="90"/>
  <c r="BI450" i="90"/>
  <c r="BI452" i="90"/>
  <c r="BI453" i="90"/>
  <c r="L461" i="90"/>
  <c r="L465" i="90"/>
  <c r="J464" i="90"/>
  <c r="F460" i="90"/>
  <c r="F464" i="90"/>
  <c r="D462" i="90"/>
  <c r="J452" i="90"/>
  <c r="J450" i="90"/>
  <c r="J453" i="90"/>
  <c r="J454" i="90"/>
  <c r="J451" i="90"/>
  <c r="J455" i="90"/>
  <c r="K450" i="90"/>
  <c r="K453" i="90"/>
  <c r="K454" i="90"/>
  <c r="K455" i="90"/>
  <c r="K451" i="90"/>
  <c r="K452" i="90"/>
  <c r="D463" i="90"/>
  <c r="L460" i="90"/>
  <c r="F463" i="90"/>
  <c r="AO451" i="90"/>
  <c r="AO455" i="90"/>
  <c r="AO450" i="90"/>
  <c r="AO452" i="90"/>
  <c r="AO454" i="90"/>
  <c r="AO453" i="90"/>
  <c r="AX451" i="90"/>
  <c r="AX452" i="90"/>
  <c r="AX453" i="90"/>
  <c r="AX455" i="90"/>
  <c r="AX454" i="90"/>
  <c r="AX450" i="90"/>
  <c r="D312" i="90"/>
  <c r="D311" i="90"/>
  <c r="D324" i="90"/>
  <c r="D283" i="90"/>
  <c r="F328" i="90"/>
  <c r="F233" i="90"/>
  <c r="F265" i="90"/>
  <c r="F299" i="90"/>
  <c r="F291" i="90"/>
  <c r="F275" i="90"/>
  <c r="F306" i="90"/>
  <c r="F243" i="90"/>
  <c r="F321" i="90"/>
  <c r="F234" i="90"/>
  <c r="F320" i="90"/>
  <c r="F313" i="90"/>
  <c r="F282" i="90"/>
  <c r="F267" i="90"/>
  <c r="P283" i="90"/>
  <c r="C241" i="90"/>
  <c r="P280" i="90"/>
  <c r="D263" i="90"/>
  <c r="C319" i="90"/>
  <c r="C331" i="90"/>
  <c r="C318" i="90"/>
  <c r="D306" i="90"/>
  <c r="C289" i="90"/>
  <c r="F273" i="90"/>
  <c r="C256" i="90"/>
  <c r="P325" i="90"/>
  <c r="P263" i="90"/>
  <c r="D277" i="90"/>
  <c r="D257" i="90"/>
  <c r="P276" i="90"/>
  <c r="D329" i="90"/>
  <c r="C304" i="90"/>
  <c r="C288" i="90"/>
  <c r="C271" i="90"/>
  <c r="F255" i="90"/>
  <c r="P305" i="90"/>
  <c r="P258" i="90"/>
  <c r="C299" i="90"/>
  <c r="D292" i="90"/>
  <c r="P278" i="90"/>
  <c r="D303" i="90"/>
  <c r="D287" i="90"/>
  <c r="D270" i="90"/>
  <c r="C252" i="90"/>
  <c r="P300" i="90"/>
  <c r="P234" i="90"/>
  <c r="D325" i="90"/>
  <c r="F312" i="90"/>
  <c r="E300" i="90"/>
  <c r="C284" i="90"/>
  <c r="C270" i="90"/>
  <c r="F245" i="90"/>
  <c r="P298" i="90"/>
  <c r="F327" i="90"/>
  <c r="F272" i="90"/>
  <c r="F318" i="90"/>
  <c r="F262" i="90"/>
  <c r="F331" i="90"/>
  <c r="F310" i="90"/>
  <c r="F288" i="90"/>
  <c r="F270" i="90"/>
  <c r="F324" i="90"/>
  <c r="F317" i="90"/>
  <c r="F309" i="90"/>
  <c r="F303" i="90"/>
  <c r="F295" i="90"/>
  <c r="E278" i="90"/>
  <c r="F257" i="90"/>
  <c r="F249" i="90"/>
  <c r="F238" i="90"/>
  <c r="F290" i="90"/>
  <c r="F241" i="90"/>
  <c r="K230" i="90"/>
  <c r="K257" i="90" s="1"/>
  <c r="F298" i="90"/>
  <c r="F279" i="90"/>
  <c r="F252" i="90"/>
  <c r="F296" i="90"/>
  <c r="F261" i="90"/>
  <c r="F330" i="90"/>
  <c r="E308" i="90"/>
  <c r="F294" i="90"/>
  <c r="F248" i="90"/>
  <c r="F237" i="90"/>
  <c r="F280" i="90"/>
  <c r="E255" i="90"/>
  <c r="F325" i="90"/>
  <c r="F304" i="90"/>
  <c r="F278" i="90"/>
  <c r="F240" i="90"/>
  <c r="F315" i="90"/>
  <c r="E330" i="90"/>
  <c r="E322" i="90"/>
  <c r="F307" i="90"/>
  <c r="F301" i="90"/>
  <c r="F292" i="90"/>
  <c r="F276" i="90"/>
  <c r="F269" i="90"/>
  <c r="F256" i="90"/>
  <c r="F247" i="90"/>
  <c r="F236" i="90"/>
  <c r="E232" i="90"/>
  <c r="E259" i="90"/>
  <c r="Y311" i="90"/>
  <c r="E243" i="90"/>
  <c r="E250" i="90"/>
  <c r="E241" i="90"/>
  <c r="Y326" i="90"/>
  <c r="E317" i="90"/>
  <c r="E310" i="90"/>
  <c r="E297" i="90"/>
  <c r="E281" i="90"/>
  <c r="N306" i="90"/>
  <c r="N265" i="90"/>
  <c r="N233" i="90"/>
  <c r="Y316" i="90"/>
  <c r="X265" i="90"/>
  <c r="AD230" i="90"/>
  <c r="AD312" i="90" s="1"/>
  <c r="Y330" i="90"/>
  <c r="Y281" i="90"/>
  <c r="C322" i="90"/>
  <c r="C302" i="90"/>
  <c r="C287" i="90"/>
  <c r="C274" i="90"/>
  <c r="N297" i="90"/>
  <c r="P251" i="90"/>
  <c r="AE230" i="90"/>
  <c r="H230" i="90"/>
  <c r="H319" i="90" s="1"/>
  <c r="C306" i="90"/>
  <c r="C286" i="90"/>
  <c r="D259" i="90"/>
  <c r="P316" i="90"/>
  <c r="P295" i="90"/>
  <c r="P273" i="90"/>
  <c r="P248" i="90"/>
  <c r="U230" i="90"/>
  <c r="Y256" i="90"/>
  <c r="X268" i="90"/>
  <c r="D326" i="90"/>
  <c r="D305" i="90"/>
  <c r="D297" i="90"/>
  <c r="D285" i="90"/>
  <c r="C273" i="90"/>
  <c r="C267" i="90"/>
  <c r="D258" i="90"/>
  <c r="D253" i="90"/>
  <c r="C237" i="90"/>
  <c r="P310" i="90"/>
  <c r="P290" i="90"/>
  <c r="P268" i="90"/>
  <c r="P246" i="90"/>
  <c r="Y244" i="90"/>
  <c r="Y312" i="90"/>
  <c r="Y299" i="90"/>
  <c r="P256" i="90"/>
  <c r="X293" i="90"/>
  <c r="P318" i="90"/>
  <c r="X238" i="90"/>
  <c r="Y315" i="90"/>
  <c r="Y300" i="90"/>
  <c r="C321" i="90"/>
  <c r="C316" i="90"/>
  <c r="C305" i="90"/>
  <c r="C301" i="90"/>
  <c r="D289" i="90"/>
  <c r="D284" i="90"/>
  <c r="C258" i="90"/>
  <c r="P306" i="90"/>
  <c r="P286" i="90"/>
  <c r="P266" i="90"/>
  <c r="P242" i="90"/>
  <c r="X320" i="90"/>
  <c r="X288" i="90"/>
  <c r="X248" i="90"/>
  <c r="X295" i="90"/>
  <c r="X266" i="90"/>
  <c r="X303" i="90"/>
  <c r="X308" i="90"/>
  <c r="X328" i="90"/>
  <c r="X278" i="90"/>
  <c r="X291" i="90"/>
  <c r="X300" i="90"/>
  <c r="X311" i="90"/>
  <c r="X316" i="90"/>
  <c r="X294" i="90"/>
  <c r="X264" i="90"/>
  <c r="X273" i="90"/>
  <c r="X304" i="90"/>
  <c r="X307" i="90"/>
  <c r="X327" i="90"/>
  <c r="AC230" i="90"/>
  <c r="AC251" i="90" s="1"/>
  <c r="X256" i="90"/>
  <c r="X289" i="90"/>
  <c r="X299" i="90"/>
  <c r="X312" i="90"/>
  <c r="X315" i="90"/>
  <c r="X233" i="90"/>
  <c r="D331" i="90"/>
  <c r="D327" i="90"/>
  <c r="D286" i="90"/>
  <c r="D274" i="90"/>
  <c r="N237" i="90"/>
  <c r="N320" i="90"/>
  <c r="N325" i="90"/>
  <c r="Y331" i="90"/>
  <c r="Y249" i="90"/>
  <c r="Y318" i="90"/>
  <c r="Y323" i="90"/>
  <c r="Y239" i="90"/>
  <c r="Y237" i="90"/>
  <c r="Y242" i="90"/>
  <c r="Y232" i="90"/>
  <c r="Y303" i="90"/>
  <c r="Y308" i="90"/>
  <c r="Y328" i="90"/>
  <c r="Y235" i="90"/>
  <c r="Y240" i="90"/>
  <c r="Y268" i="90"/>
  <c r="Y280" i="90"/>
  <c r="Y292" i="90"/>
  <c r="Y324" i="90"/>
  <c r="Y236" i="90"/>
  <c r="Y238" i="90"/>
  <c r="Y241" i="90"/>
  <c r="Y264" i="90"/>
  <c r="Y269" i="90"/>
  <c r="Y273" i="90"/>
  <c r="Y296" i="90"/>
  <c r="Y304" i="90"/>
  <c r="Y307" i="90"/>
  <c r="Y322" i="90"/>
  <c r="Y327" i="90"/>
  <c r="X242" i="90"/>
  <c r="X237" i="90"/>
  <c r="Y320" i="90"/>
  <c r="Y310" i="90"/>
  <c r="Y293" i="90"/>
  <c r="X277" i="90"/>
  <c r="Y265" i="90"/>
  <c r="Y248" i="90"/>
  <c r="D247" i="90"/>
  <c r="X241" i="90"/>
  <c r="X236" i="90"/>
  <c r="X324" i="90"/>
  <c r="Y319" i="90"/>
  <c r="Y314" i="90"/>
  <c r="X319" i="90"/>
  <c r="Y298" i="90"/>
  <c r="X272" i="90"/>
  <c r="D237" i="90"/>
  <c r="D242" i="90"/>
  <c r="D248" i="90"/>
  <c r="D279" i="90"/>
  <c r="D294" i="90"/>
  <c r="D301" i="90"/>
  <c r="D304" i="90"/>
  <c r="D307" i="90"/>
  <c r="D317" i="90"/>
  <c r="D243" i="90"/>
  <c r="D255" i="90"/>
  <c r="D272" i="90"/>
  <c r="D290" i="90"/>
  <c r="D282" i="90"/>
  <c r="D288" i="90"/>
  <c r="D291" i="90"/>
  <c r="D296" i="90"/>
  <c r="D299" i="90"/>
  <c r="D302" i="90"/>
  <c r="D241" i="90"/>
  <c r="D256" i="90"/>
  <c r="D264" i="90"/>
  <c r="D278" i="90"/>
  <c r="D330" i="90"/>
  <c r="E239" i="90"/>
  <c r="E257" i="90"/>
  <c r="E275" i="90"/>
  <c r="E311" i="90"/>
  <c r="E325" i="90"/>
  <c r="E294" i="90"/>
  <c r="E233" i="90"/>
  <c r="E236" i="90"/>
  <c r="E273" i="90"/>
  <c r="E327" i="90"/>
  <c r="X323" i="90"/>
  <c r="Y297" i="90"/>
  <c r="X290" i="90"/>
  <c r="X270" i="90"/>
  <c r="Y257" i="90"/>
  <c r="G230" i="90"/>
  <c r="F322" i="90"/>
  <c r="F314" i="90"/>
  <c r="F285" i="90"/>
  <c r="F277" i="90"/>
  <c r="F263" i="90"/>
  <c r="F258" i="90"/>
  <c r="F251" i="90"/>
  <c r="F244" i="90"/>
  <c r="F232" i="90"/>
  <c r="F329" i="90"/>
  <c r="F297" i="90"/>
  <c r="F289" i="90"/>
  <c r="F286" i="90"/>
  <c r="F283" i="90"/>
  <c r="F266" i="90"/>
  <c r="F260" i="90"/>
  <c r="F253" i="90"/>
  <c r="L309" i="90"/>
  <c r="W317" i="90"/>
  <c r="L289" i="90"/>
  <c r="L257" i="90"/>
  <c r="W238" i="90"/>
  <c r="W329" i="90"/>
  <c r="W313" i="90"/>
  <c r="W289" i="90"/>
  <c r="W277" i="90"/>
  <c r="BF233" i="90"/>
  <c r="BF237" i="90"/>
  <c r="BF249" i="90"/>
  <c r="BF248" i="90"/>
  <c r="BF235" i="90"/>
  <c r="BF250" i="90"/>
  <c r="BF256" i="90"/>
  <c r="BF268" i="90"/>
  <c r="BF274" i="90"/>
  <c r="BF282" i="90"/>
  <c r="BF271" i="90"/>
  <c r="BF273" i="90"/>
  <c r="BF263" i="90"/>
  <c r="BF262" i="90"/>
  <c r="BF272" i="90"/>
  <c r="BF259" i="90"/>
  <c r="BF286" i="90"/>
  <c r="BF276" i="90"/>
  <c r="BF285" i="90"/>
  <c r="BF238" i="90"/>
  <c r="BF289" i="90"/>
  <c r="BF258" i="90"/>
  <c r="BF292" i="90"/>
  <c r="BF295" i="90"/>
  <c r="BF303" i="90"/>
  <c r="BF293" i="90"/>
  <c r="BF298" i="90"/>
  <c r="BF302" i="90"/>
  <c r="BF306" i="90"/>
  <c r="BF310" i="90"/>
  <c r="BF297" i="90"/>
  <c r="BF301" i="90"/>
  <c r="BF284" i="90"/>
  <c r="BF296" i="90"/>
  <c r="BF304" i="90"/>
  <c r="BF311" i="90"/>
  <c r="BF232" i="90"/>
  <c r="BF305" i="90"/>
  <c r="BF318" i="90"/>
  <c r="BF322" i="90"/>
  <c r="BF326" i="90"/>
  <c r="BF267" i="90"/>
  <c r="BF313" i="90"/>
  <c r="BF317" i="90"/>
  <c r="BF325" i="90"/>
  <c r="BF329" i="90"/>
  <c r="BF275" i="90"/>
  <c r="BF300" i="90"/>
  <c r="BF279" i="90"/>
  <c r="BF307" i="90"/>
  <c r="BF331" i="90"/>
  <c r="BF319" i="90"/>
  <c r="BF324" i="90"/>
  <c r="BF308" i="90"/>
  <c r="BF315" i="90"/>
  <c r="BF320" i="90"/>
  <c r="BF316" i="90"/>
  <c r="BF323" i="90"/>
  <c r="BF328" i="90"/>
  <c r="M237" i="90"/>
  <c r="R230" i="90"/>
  <c r="O235" i="90"/>
  <c r="O232" i="90"/>
  <c r="W243" i="90"/>
  <c r="W234" i="90"/>
  <c r="W294" i="90"/>
  <c r="L235" i="90"/>
  <c r="L249" i="90"/>
  <c r="L269" i="90"/>
  <c r="L301" i="90"/>
  <c r="L321" i="90"/>
  <c r="L237" i="90"/>
  <c r="L261" i="90"/>
  <c r="L281" i="90"/>
  <c r="L293" i="90"/>
  <c r="L313" i="90"/>
  <c r="L232" i="90"/>
  <c r="Q230" i="90"/>
  <c r="L241" i="90"/>
  <c r="L273" i="90"/>
  <c r="L305" i="90"/>
  <c r="L233" i="90"/>
  <c r="L245" i="90"/>
  <c r="L317" i="90"/>
  <c r="L285" i="90"/>
  <c r="L253" i="90"/>
  <c r="AB230" i="90"/>
  <c r="W325" i="90"/>
  <c r="AW233" i="90"/>
  <c r="AW237" i="90"/>
  <c r="AW241" i="90"/>
  <c r="AW245" i="90"/>
  <c r="AW249" i="90"/>
  <c r="AW253" i="90"/>
  <c r="AW236" i="90"/>
  <c r="AW240" i="90"/>
  <c r="AW244" i="90"/>
  <c r="AW248" i="90"/>
  <c r="AW252" i="90"/>
  <c r="AW235" i="90"/>
  <c r="AW239" i="90"/>
  <c r="AW243" i="90"/>
  <c r="AW247" i="90"/>
  <c r="AW251" i="90"/>
  <c r="AW255" i="90"/>
  <c r="AW246" i="90"/>
  <c r="AW256" i="90"/>
  <c r="AW260" i="90"/>
  <c r="AW264" i="90"/>
  <c r="AW268" i="90"/>
  <c r="AW272" i="90"/>
  <c r="AW242" i="90"/>
  <c r="AW259" i="90"/>
  <c r="AW263" i="90"/>
  <c r="AW238" i="90"/>
  <c r="AW254" i="90"/>
  <c r="AW258" i="90"/>
  <c r="AW262" i="90"/>
  <c r="AW266" i="90"/>
  <c r="AW234" i="90"/>
  <c r="AW267" i="90"/>
  <c r="AW270" i="90"/>
  <c r="AW271" i="90"/>
  <c r="AW250" i="90"/>
  <c r="AW257" i="90"/>
  <c r="AW276" i="90"/>
  <c r="AW280" i="90"/>
  <c r="AW265" i="90"/>
  <c r="AW275" i="90"/>
  <c r="AW261" i="90"/>
  <c r="AW277" i="90"/>
  <c r="AW287" i="90"/>
  <c r="AW291" i="90"/>
  <c r="AW274" i="90"/>
  <c r="AW282" i="90"/>
  <c r="AW278" i="90"/>
  <c r="AW286" i="90"/>
  <c r="AW288" i="90"/>
  <c r="AW295" i="90"/>
  <c r="AW299" i="90"/>
  <c r="AW303" i="90"/>
  <c r="AW307" i="90"/>
  <c r="AW311" i="90"/>
  <c r="AW273" i="90"/>
  <c r="AW279" i="90"/>
  <c r="AW285" i="90"/>
  <c r="AW292" i="90"/>
  <c r="AW294" i="90"/>
  <c r="AW290" i="90"/>
  <c r="AW293" i="90"/>
  <c r="AW283" i="90"/>
  <c r="AW312" i="90"/>
  <c r="AW314" i="90"/>
  <c r="AW318" i="90"/>
  <c r="AW322" i="90"/>
  <c r="AW326" i="90"/>
  <c r="AW330" i="90"/>
  <c r="AW298" i="90"/>
  <c r="AW306" i="90"/>
  <c r="AW297" i="90"/>
  <c r="AW313" i="90"/>
  <c r="AW296" i="90"/>
  <c r="AW304" i="90"/>
  <c r="AW305" i="90"/>
  <c r="AW310" i="90"/>
  <c r="AW232" i="90"/>
  <c r="AW289" i="90"/>
  <c r="AW309" i="90"/>
  <c r="AW316" i="90"/>
  <c r="AW320" i="90"/>
  <c r="AW324" i="90"/>
  <c r="AW328" i="90"/>
  <c r="AW284" i="90"/>
  <c r="AW302" i="90"/>
  <c r="AW281" i="90"/>
  <c r="AW301" i="90"/>
  <c r="AW308" i="90"/>
  <c r="AW315" i="90"/>
  <c r="AW319" i="90"/>
  <c r="AW323" i="90"/>
  <c r="AW327" i="90"/>
  <c r="AW331" i="90"/>
  <c r="AW269" i="90"/>
  <c r="AW325" i="90"/>
  <c r="AW321" i="90"/>
  <c r="AW329" i="90"/>
  <c r="AW300" i="90"/>
  <c r="AW317" i="90"/>
  <c r="W247" i="90"/>
  <c r="W251" i="90"/>
  <c r="W255" i="90"/>
  <c r="W259" i="90"/>
  <c r="W263" i="90"/>
  <c r="W267" i="90"/>
  <c r="W271" i="90"/>
  <c r="W275" i="90"/>
  <c r="W279" i="90"/>
  <c r="W283" i="90"/>
  <c r="W287" i="90"/>
  <c r="W291" i="90"/>
  <c r="W295" i="90"/>
  <c r="W331" i="90"/>
  <c r="W248" i="90"/>
  <c r="W252" i="90"/>
  <c r="W256" i="90"/>
  <c r="W260" i="90"/>
  <c r="W264" i="90"/>
  <c r="W268" i="90"/>
  <c r="W272" i="90"/>
  <c r="W276" i="90"/>
  <c r="W280" i="90"/>
  <c r="W284" i="90"/>
  <c r="W288" i="90"/>
  <c r="W292" i="90"/>
  <c r="W296" i="90"/>
  <c r="W245" i="90"/>
  <c r="W253" i="90"/>
  <c r="W261" i="90"/>
  <c r="W250" i="90"/>
  <c r="W258" i="90"/>
  <c r="W285" i="90"/>
  <c r="W286" i="90"/>
  <c r="W239" i="90"/>
  <c r="W302" i="90"/>
  <c r="W306" i="90"/>
  <c r="W310" i="90"/>
  <c r="W314" i="90"/>
  <c r="W318" i="90"/>
  <c r="W322" i="90"/>
  <c r="W326" i="90"/>
  <c r="W330" i="90"/>
  <c r="W235" i="90"/>
  <c r="W240" i="90"/>
  <c r="W244" i="90"/>
  <c r="W254" i="90"/>
  <c r="W266" i="90"/>
  <c r="W281" i="90"/>
  <c r="W282" i="90"/>
  <c r="W297" i="90"/>
  <c r="W298" i="90"/>
  <c r="W232" i="90"/>
  <c r="W262" i="90"/>
  <c r="W249" i="90"/>
  <c r="W257" i="90"/>
  <c r="W265" i="90"/>
  <c r="W270" i="90"/>
  <c r="W299" i="90"/>
  <c r="W303" i="90"/>
  <c r="W307" i="90"/>
  <c r="W311" i="90"/>
  <c r="W315" i="90"/>
  <c r="W319" i="90"/>
  <c r="W323" i="90"/>
  <c r="W327" i="90"/>
  <c r="W236" i="90"/>
  <c r="W241" i="90"/>
  <c r="W246" i="90"/>
  <c r="W274" i="90"/>
  <c r="W269" i="90"/>
  <c r="W273" i="90"/>
  <c r="W278" i="90"/>
  <c r="W300" i="90"/>
  <c r="W304" i="90"/>
  <c r="W308" i="90"/>
  <c r="W312" i="90"/>
  <c r="W316" i="90"/>
  <c r="W320" i="90"/>
  <c r="W324" i="90"/>
  <c r="W328" i="90"/>
  <c r="W233" i="90"/>
  <c r="W237" i="90"/>
  <c r="W242" i="90"/>
  <c r="W321" i="90"/>
  <c r="W301" i="90"/>
  <c r="L329" i="90"/>
  <c r="W305" i="90"/>
  <c r="L297" i="90"/>
  <c r="L265" i="90"/>
  <c r="W293" i="90"/>
  <c r="W290" i="90"/>
  <c r="L277" i="90"/>
  <c r="X292" i="90"/>
  <c r="X274" i="90"/>
  <c r="X269" i="90"/>
  <c r="X262" i="90"/>
  <c r="X254" i="90"/>
  <c r="X246" i="90"/>
  <c r="AJ235" i="90"/>
  <c r="AJ234" i="90"/>
  <c r="AJ238" i="90"/>
  <c r="AJ242" i="90"/>
  <c r="AJ246" i="90"/>
  <c r="AJ250" i="90"/>
  <c r="AJ254" i="90"/>
  <c r="AJ233" i="90"/>
  <c r="AJ237" i="90"/>
  <c r="AJ241" i="90"/>
  <c r="AJ245" i="90"/>
  <c r="AJ249" i="90"/>
  <c r="AJ253" i="90"/>
  <c r="AJ236" i="90"/>
  <c r="AJ240" i="90"/>
  <c r="AJ244" i="90"/>
  <c r="AJ248" i="90"/>
  <c r="AJ252" i="90"/>
  <c r="AJ239" i="90"/>
  <c r="AJ255" i="90"/>
  <c r="AJ257" i="90"/>
  <c r="AJ261" i="90"/>
  <c r="AJ265" i="90"/>
  <c r="AJ269" i="90"/>
  <c r="AJ251" i="90"/>
  <c r="AJ256" i="90"/>
  <c r="AJ247" i="90"/>
  <c r="AJ263" i="90"/>
  <c r="AJ267" i="90"/>
  <c r="AJ275" i="90"/>
  <c r="AJ279" i="90"/>
  <c r="AJ283" i="90"/>
  <c r="AJ258" i="90"/>
  <c r="AJ262" i="90"/>
  <c r="AJ274" i="90"/>
  <c r="AJ278" i="90"/>
  <c r="AJ282" i="90"/>
  <c r="AJ260" i="90"/>
  <c r="AJ270" i="90"/>
  <c r="AJ272" i="90"/>
  <c r="AJ277" i="90"/>
  <c r="AJ281" i="90"/>
  <c r="AJ288" i="90"/>
  <c r="AJ292" i="90"/>
  <c r="AJ264" i="90"/>
  <c r="AJ271" i="90"/>
  <c r="AJ287" i="90"/>
  <c r="AJ291" i="90"/>
  <c r="AJ259" i="90"/>
  <c r="AJ268" i="90"/>
  <c r="AJ273" i="90"/>
  <c r="AJ286" i="90"/>
  <c r="AJ294" i="90"/>
  <c r="AJ296" i="90"/>
  <c r="AJ300" i="90"/>
  <c r="AJ304" i="90"/>
  <c r="AJ285" i="90"/>
  <c r="AJ289" i="90"/>
  <c r="AJ295" i="90"/>
  <c r="AJ299" i="90"/>
  <c r="AJ303" i="90"/>
  <c r="AJ307" i="90"/>
  <c r="AJ311" i="90"/>
  <c r="AJ290" i="90"/>
  <c r="AJ298" i="90"/>
  <c r="AJ302" i="90"/>
  <c r="AJ280" i="90"/>
  <c r="AJ301" i="90"/>
  <c r="AJ243" i="90"/>
  <c r="AJ310" i="90"/>
  <c r="AJ315" i="90"/>
  <c r="AJ319" i="90"/>
  <c r="AJ323" i="90"/>
  <c r="AJ327" i="90"/>
  <c r="AJ331" i="90"/>
  <c r="AJ284" i="90"/>
  <c r="AJ309" i="90"/>
  <c r="AJ314" i="90"/>
  <c r="AJ318" i="90"/>
  <c r="AJ322" i="90"/>
  <c r="AJ326" i="90"/>
  <c r="AJ330" i="90"/>
  <c r="AJ297" i="90"/>
  <c r="AJ305" i="90"/>
  <c r="AJ308" i="90"/>
  <c r="AJ266" i="90"/>
  <c r="AJ276" i="90"/>
  <c r="AJ312" i="90"/>
  <c r="AJ293" i="90"/>
  <c r="AJ306" i="90"/>
  <c r="AJ324" i="90"/>
  <c r="AJ329" i="90"/>
  <c r="AJ317" i="90"/>
  <c r="AJ232" i="90"/>
  <c r="AJ328" i="90"/>
  <c r="AJ313" i="90"/>
  <c r="AJ320" i="90"/>
  <c r="AJ325" i="90"/>
  <c r="AJ321" i="90"/>
  <c r="AJ316" i="90"/>
  <c r="X232" i="90"/>
  <c r="Y306" i="90"/>
  <c r="Y302" i="90"/>
  <c r="X298" i="90"/>
  <c r="X297" i="90"/>
  <c r="X296" i="90"/>
  <c r="X282" i="90"/>
  <c r="X281" i="90"/>
  <c r="X280" i="90"/>
  <c r="Y260" i="90"/>
  <c r="Y252" i="90"/>
  <c r="AO230" i="90"/>
  <c r="N315" i="90"/>
  <c r="N242" i="90"/>
  <c r="X247" i="90"/>
  <c r="X251" i="90"/>
  <c r="X255" i="90"/>
  <c r="X259" i="90"/>
  <c r="X263" i="90"/>
  <c r="X267" i="90"/>
  <c r="X271" i="90"/>
  <c r="X275" i="90"/>
  <c r="X245" i="90"/>
  <c r="X249" i="90"/>
  <c r="X253" i="90"/>
  <c r="X257" i="90"/>
  <c r="X261" i="90"/>
  <c r="F326" i="90"/>
  <c r="F323" i="90"/>
  <c r="C320" i="90"/>
  <c r="F308" i="90"/>
  <c r="F305" i="90"/>
  <c r="C303" i="90"/>
  <c r="F300" i="90"/>
  <c r="F287" i="90"/>
  <c r="F274" i="90"/>
  <c r="C272" i="90"/>
  <c r="C269" i="90"/>
  <c r="F264" i="90"/>
  <c r="F259" i="90"/>
  <c r="F254" i="90"/>
  <c r="F246" i="90"/>
  <c r="F242" i="90"/>
  <c r="F239" i="90"/>
  <c r="F235" i="90"/>
  <c r="P232" i="90"/>
  <c r="P323" i="90"/>
  <c r="P313" i="90"/>
  <c r="P293" i="90"/>
  <c r="N283" i="90"/>
  <c r="P261" i="90"/>
  <c r="N251" i="90"/>
  <c r="Y246" i="90"/>
  <c r="Y250" i="90"/>
  <c r="Y254" i="90"/>
  <c r="Y258" i="90"/>
  <c r="Y262" i="90"/>
  <c r="Y266" i="90"/>
  <c r="Y270" i="90"/>
  <c r="Y274" i="90"/>
  <c r="Y278" i="90"/>
  <c r="Y282" i="90"/>
  <c r="Y286" i="90"/>
  <c r="Y290" i="90"/>
  <c r="Y294" i="90"/>
  <c r="Y247" i="90"/>
  <c r="Y251" i="90"/>
  <c r="Y255" i="90"/>
  <c r="Y259" i="90"/>
  <c r="Y263" i="90"/>
  <c r="Y267" i="90"/>
  <c r="Y271" i="90"/>
  <c r="Y275" i="90"/>
  <c r="Y279" i="90"/>
  <c r="Y283" i="90"/>
  <c r="Y287" i="90"/>
  <c r="Y291" i="90"/>
  <c r="Y295" i="90"/>
  <c r="X244" i="90"/>
  <c r="X240" i="90"/>
  <c r="X235" i="90"/>
  <c r="X330" i="90"/>
  <c r="X326" i="90"/>
  <c r="X322" i="90"/>
  <c r="X318" i="90"/>
  <c r="X314" i="90"/>
  <c r="X310" i="90"/>
  <c r="X306" i="90"/>
  <c r="X302" i="90"/>
  <c r="Y285" i="90"/>
  <c r="Y284" i="90"/>
  <c r="X283" i="90"/>
  <c r="X260" i="90"/>
  <c r="X252" i="90"/>
  <c r="X331" i="90"/>
  <c r="AX234" i="90"/>
  <c r="AX233" i="90"/>
  <c r="AX237" i="90"/>
  <c r="AX241" i="90"/>
  <c r="AX245" i="90"/>
  <c r="AX249" i="90"/>
  <c r="AX253" i="90"/>
  <c r="AX236" i="90"/>
  <c r="AX240" i="90"/>
  <c r="AX244" i="90"/>
  <c r="AX248" i="90"/>
  <c r="AX252" i="90"/>
  <c r="AX235" i="90"/>
  <c r="AX239" i="90"/>
  <c r="AX243" i="90"/>
  <c r="AX247" i="90"/>
  <c r="AX251" i="90"/>
  <c r="AX255" i="90"/>
  <c r="AX246" i="90"/>
  <c r="AX256" i="90"/>
  <c r="AX260" i="90"/>
  <c r="AX264" i="90"/>
  <c r="AX268" i="90"/>
  <c r="AX242" i="90"/>
  <c r="AX238" i="90"/>
  <c r="AX254" i="90"/>
  <c r="AX262" i="90"/>
  <c r="AX274" i="90"/>
  <c r="AX278" i="90"/>
  <c r="AX282" i="90"/>
  <c r="AX261" i="90"/>
  <c r="AX273" i="90"/>
  <c r="AX277" i="90"/>
  <c r="AX281" i="90"/>
  <c r="AX259" i="90"/>
  <c r="AX271" i="90"/>
  <c r="AX272" i="90"/>
  <c r="AX267" i="90"/>
  <c r="AX283" i="90"/>
  <c r="AX276" i="90"/>
  <c r="AX287" i="90"/>
  <c r="AX291" i="90"/>
  <c r="AX286" i="90"/>
  <c r="AX290" i="90"/>
  <c r="AX294" i="90"/>
  <c r="AX250" i="90"/>
  <c r="AX257" i="90"/>
  <c r="AX279" i="90"/>
  <c r="AX285" i="90"/>
  <c r="AX258" i="90"/>
  <c r="AX275" i="90"/>
  <c r="AX288" i="90"/>
  <c r="AX295" i="90"/>
  <c r="AX299" i="90"/>
  <c r="AX303" i="90"/>
  <c r="AX263" i="90"/>
  <c r="AX280" i="90"/>
  <c r="AX284" i="90"/>
  <c r="AX289" i="90"/>
  <c r="AX298" i="90"/>
  <c r="AX302" i="90"/>
  <c r="AX306" i="90"/>
  <c r="AX310" i="90"/>
  <c r="AX270" i="90"/>
  <c r="AX297" i="90"/>
  <c r="AX301" i="90"/>
  <c r="AX269" i="90"/>
  <c r="AX300" i="90"/>
  <c r="AX307" i="90"/>
  <c r="AX311" i="90"/>
  <c r="AX312" i="90"/>
  <c r="AX314" i="90"/>
  <c r="AX318" i="90"/>
  <c r="AX322" i="90"/>
  <c r="AX326" i="90"/>
  <c r="AX330" i="90"/>
  <c r="AX292" i="90"/>
  <c r="AX293" i="90"/>
  <c r="AX313" i="90"/>
  <c r="AX317" i="90"/>
  <c r="AX321" i="90"/>
  <c r="AX325" i="90"/>
  <c r="AX329" i="90"/>
  <c r="AX265" i="90"/>
  <c r="AX296" i="90"/>
  <c r="AX304" i="90"/>
  <c r="AX305" i="90"/>
  <c r="AX232" i="90"/>
  <c r="AX266" i="90"/>
  <c r="AX327" i="90"/>
  <c r="AX315" i="90"/>
  <c r="AX320" i="90"/>
  <c r="AX309" i="90"/>
  <c r="AX323" i="90"/>
  <c r="AX328" i="90"/>
  <c r="AX316" i="90"/>
  <c r="AX308" i="90"/>
  <c r="AX331" i="90"/>
  <c r="AX324" i="90"/>
  <c r="AX319" i="90"/>
  <c r="AK235" i="90"/>
  <c r="AK239" i="90"/>
  <c r="AK243" i="90"/>
  <c r="AK247" i="90"/>
  <c r="AK251" i="90"/>
  <c r="AK255" i="90"/>
  <c r="AK234" i="90"/>
  <c r="AK238" i="90"/>
  <c r="AK242" i="90"/>
  <c r="AK246" i="90"/>
  <c r="AK250" i="90"/>
  <c r="AK254" i="90"/>
  <c r="AK233" i="90"/>
  <c r="AK237" i="90"/>
  <c r="AK241" i="90"/>
  <c r="AK245" i="90"/>
  <c r="AK249" i="90"/>
  <c r="AK253" i="90"/>
  <c r="AK240" i="90"/>
  <c r="AK258" i="90"/>
  <c r="AK262" i="90"/>
  <c r="AK266" i="90"/>
  <c r="AK270" i="90"/>
  <c r="AK252" i="90"/>
  <c r="AK257" i="90"/>
  <c r="AK261" i="90"/>
  <c r="AK265" i="90"/>
  <c r="AK236" i="90"/>
  <c r="AK248" i="90"/>
  <c r="AK256" i="90"/>
  <c r="AK260" i="90"/>
  <c r="AK264" i="90"/>
  <c r="AK271" i="90"/>
  <c r="AK272" i="90"/>
  <c r="AK269" i="90"/>
  <c r="AK274" i="90"/>
  <c r="AK278" i="90"/>
  <c r="AK282" i="90"/>
  <c r="AK259" i="90"/>
  <c r="AK268" i="90"/>
  <c r="AK273" i="90"/>
  <c r="AK277" i="90"/>
  <c r="AK280" i="90"/>
  <c r="AK283" i="90"/>
  <c r="AK285" i="90"/>
  <c r="AK289" i="90"/>
  <c r="AK293" i="90"/>
  <c r="AK276" i="90"/>
  <c r="AK284" i="90"/>
  <c r="AK279" i="90"/>
  <c r="AK281" i="90"/>
  <c r="AK288" i="90"/>
  <c r="AK291" i="90"/>
  <c r="AK297" i="90"/>
  <c r="AK301" i="90"/>
  <c r="AK305" i="90"/>
  <c r="AK309" i="90"/>
  <c r="AK263" i="90"/>
  <c r="AK267" i="90"/>
  <c r="AK287" i="90"/>
  <c r="AK244" i="90"/>
  <c r="AK292" i="90"/>
  <c r="AK275" i="90"/>
  <c r="AK306" i="90"/>
  <c r="AK311" i="90"/>
  <c r="AK316" i="90"/>
  <c r="AK320" i="90"/>
  <c r="AK324" i="90"/>
  <c r="AK328" i="90"/>
  <c r="AK310" i="90"/>
  <c r="AK286" i="90"/>
  <c r="AK294" i="90"/>
  <c r="AK300" i="90"/>
  <c r="AK299" i="90"/>
  <c r="AK290" i="90"/>
  <c r="AK298" i="90"/>
  <c r="AK232" i="90"/>
  <c r="AK296" i="90"/>
  <c r="AK304" i="90"/>
  <c r="AK314" i="90"/>
  <c r="AK318" i="90"/>
  <c r="AK322" i="90"/>
  <c r="AK326" i="90"/>
  <c r="AK330" i="90"/>
  <c r="AK295" i="90"/>
  <c r="AK303" i="90"/>
  <c r="AK307" i="90"/>
  <c r="AK313" i="90"/>
  <c r="AK317" i="90"/>
  <c r="AK321" i="90"/>
  <c r="AK325" i="90"/>
  <c r="AK329" i="90"/>
  <c r="AK302" i="90"/>
  <c r="AK331" i="90"/>
  <c r="AK319" i="90"/>
  <c r="AK308" i="90"/>
  <c r="AK312" i="90"/>
  <c r="AK327" i="90"/>
  <c r="AK315" i="90"/>
  <c r="AK323" i="90"/>
  <c r="BE241" i="90"/>
  <c r="BE252" i="90"/>
  <c r="BE260" i="90"/>
  <c r="BE242" i="90"/>
  <c r="BE261" i="90"/>
  <c r="BE279" i="90"/>
  <c r="BE277" i="90"/>
  <c r="BE281" i="90"/>
  <c r="BE232" i="90"/>
  <c r="BE270" i="90"/>
  <c r="BE286" i="90"/>
  <c r="BE257" i="90"/>
  <c r="BE304" i="90"/>
  <c r="N324" i="90"/>
  <c r="C232" i="90"/>
  <c r="F319" i="90"/>
  <c r="F316" i="90"/>
  <c r="F311" i="90"/>
  <c r="F302" i="90"/>
  <c r="F293" i="90"/>
  <c r="C290" i="90"/>
  <c r="F284" i="90"/>
  <c r="F281" i="90"/>
  <c r="F271" i="90"/>
  <c r="F268" i="90"/>
  <c r="C254" i="90"/>
  <c r="C239" i="90"/>
  <c r="C235" i="90"/>
  <c r="P321" i="90"/>
  <c r="P303" i="90"/>
  <c r="P269" i="90"/>
  <c r="P249" i="90"/>
  <c r="Y243" i="90"/>
  <c r="X239" i="90"/>
  <c r="Y234" i="90"/>
  <c r="Y329" i="90"/>
  <c r="Y325" i="90"/>
  <c r="Y321" i="90"/>
  <c r="Y317" i="90"/>
  <c r="Y313" i="90"/>
  <c r="Y309" i="90"/>
  <c r="Y305" i="90"/>
  <c r="Y301" i="90"/>
  <c r="X286" i="90"/>
  <c r="X285" i="90"/>
  <c r="X284" i="90"/>
  <c r="Y276" i="90"/>
  <c r="X258" i="90"/>
  <c r="X250" i="90"/>
  <c r="AZ235" i="90"/>
  <c r="AZ234" i="90"/>
  <c r="AZ238" i="90"/>
  <c r="AZ242" i="90"/>
  <c r="AZ246" i="90"/>
  <c r="AZ250" i="90"/>
  <c r="AZ254" i="90"/>
  <c r="AZ233" i="90"/>
  <c r="AZ237" i="90"/>
  <c r="AZ241" i="90"/>
  <c r="AZ245" i="90"/>
  <c r="AZ249" i="90"/>
  <c r="AZ253" i="90"/>
  <c r="AZ236" i="90"/>
  <c r="AZ240" i="90"/>
  <c r="AZ244" i="90"/>
  <c r="AZ248" i="90"/>
  <c r="AZ252" i="90"/>
  <c r="AZ247" i="90"/>
  <c r="AZ257" i="90"/>
  <c r="AZ261" i="90"/>
  <c r="AZ265" i="90"/>
  <c r="AZ243" i="90"/>
  <c r="AZ256" i="90"/>
  <c r="AZ239" i="90"/>
  <c r="AZ258" i="90"/>
  <c r="AZ263" i="90"/>
  <c r="AZ266" i="90"/>
  <c r="AZ268" i="90"/>
  <c r="AZ269" i="90"/>
  <c r="AZ275" i="90"/>
  <c r="AZ279" i="90"/>
  <c r="AZ283" i="90"/>
  <c r="AZ262" i="90"/>
  <c r="AZ267" i="90"/>
  <c r="AZ274" i="90"/>
  <c r="AZ278" i="90"/>
  <c r="AZ282" i="90"/>
  <c r="AZ260" i="90"/>
  <c r="AZ270" i="90"/>
  <c r="AZ255" i="90"/>
  <c r="AZ271" i="90"/>
  <c r="AZ259" i="90"/>
  <c r="AZ277" i="90"/>
  <c r="AZ280" i="90"/>
  <c r="AZ284" i="90"/>
  <c r="AZ288" i="90"/>
  <c r="AZ292" i="90"/>
  <c r="AZ281" i="90"/>
  <c r="AZ287" i="90"/>
  <c r="AZ291" i="90"/>
  <c r="AZ273" i="90"/>
  <c r="AZ286" i="90"/>
  <c r="AZ276" i="90"/>
  <c r="AZ293" i="90"/>
  <c r="AZ296" i="90"/>
  <c r="AZ300" i="90"/>
  <c r="AZ304" i="90"/>
  <c r="AZ272" i="90"/>
  <c r="AZ285" i="90"/>
  <c r="AZ295" i="90"/>
  <c r="AZ299" i="90"/>
  <c r="AZ303" i="90"/>
  <c r="AZ307" i="90"/>
  <c r="AZ311" i="90"/>
  <c r="AZ289" i="90"/>
  <c r="AZ294" i="90"/>
  <c r="AZ298" i="90"/>
  <c r="AZ302" i="90"/>
  <c r="AZ290" i="90"/>
  <c r="AZ301" i="90"/>
  <c r="AZ308" i="90"/>
  <c r="AZ331" i="90"/>
  <c r="AZ312" i="90"/>
  <c r="AZ315" i="90"/>
  <c r="AZ319" i="90"/>
  <c r="AZ323" i="90"/>
  <c r="AZ327" i="90"/>
  <c r="AZ251" i="90"/>
  <c r="AZ306" i="90"/>
  <c r="AZ314" i="90"/>
  <c r="AZ318" i="90"/>
  <c r="AZ322" i="90"/>
  <c r="AZ326" i="90"/>
  <c r="AZ330" i="90"/>
  <c r="AZ264" i="90"/>
  <c r="AZ297" i="90"/>
  <c r="AZ305" i="90"/>
  <c r="AZ317" i="90"/>
  <c r="AZ310" i="90"/>
  <c r="AZ320" i="90"/>
  <c r="AZ325" i="90"/>
  <c r="AZ313" i="90"/>
  <c r="AZ309" i="90"/>
  <c r="AZ328" i="90"/>
  <c r="AZ316" i="90"/>
  <c r="AZ321" i="90"/>
  <c r="AZ324" i="90"/>
  <c r="AZ329" i="90"/>
  <c r="N329" i="90"/>
  <c r="N311" i="90"/>
  <c r="N292" i="90"/>
  <c r="N260" i="90"/>
  <c r="P236" i="90"/>
  <c r="S230" i="90"/>
  <c r="AA230" i="90"/>
  <c r="X243" i="90"/>
  <c r="X234" i="90"/>
  <c r="X329" i="90"/>
  <c r="X325" i="90"/>
  <c r="X321" i="90"/>
  <c r="X317" i="90"/>
  <c r="X313" i="90"/>
  <c r="X309" i="90"/>
  <c r="X305" i="90"/>
  <c r="X301" i="90"/>
  <c r="Y289" i="90"/>
  <c r="Y288" i="90"/>
  <c r="X287" i="90"/>
  <c r="Y277" i="90"/>
  <c r="X276" i="90"/>
  <c r="Y272" i="90"/>
  <c r="Y261" i="90"/>
  <c r="Y253" i="90"/>
  <c r="Y245" i="90"/>
  <c r="AG233" i="90"/>
  <c r="AG237" i="90"/>
  <c r="AG241" i="90"/>
  <c r="AG245" i="90"/>
  <c r="AG249" i="90"/>
  <c r="AG253" i="90"/>
  <c r="AG236" i="90"/>
  <c r="AG240" i="90"/>
  <c r="AG244" i="90"/>
  <c r="AG248" i="90"/>
  <c r="AG252" i="90"/>
  <c r="AG235" i="90"/>
  <c r="AG239" i="90"/>
  <c r="AG243" i="90"/>
  <c r="AG247" i="90"/>
  <c r="AG251" i="90"/>
  <c r="AG255" i="90"/>
  <c r="AG238" i="90"/>
  <c r="AG254" i="90"/>
  <c r="AG256" i="90"/>
  <c r="AG260" i="90"/>
  <c r="AG264" i="90"/>
  <c r="AG268" i="90"/>
  <c r="AG272" i="90"/>
  <c r="AG250" i="90"/>
  <c r="AG259" i="90"/>
  <c r="AG263" i="90"/>
  <c r="AG234" i="90"/>
  <c r="AG246" i="90"/>
  <c r="AG258" i="90"/>
  <c r="AG262" i="90"/>
  <c r="AG266" i="90"/>
  <c r="AG270" i="90"/>
  <c r="AG242" i="90"/>
  <c r="AG276" i="90"/>
  <c r="AG280" i="90"/>
  <c r="AG284" i="90"/>
  <c r="AG257" i="90"/>
  <c r="AG265" i="90"/>
  <c r="AG275" i="90"/>
  <c r="AG269" i="90"/>
  <c r="AG277" i="90"/>
  <c r="AG278" i="90"/>
  <c r="AG281" i="90"/>
  <c r="AG287" i="90"/>
  <c r="AG291" i="90"/>
  <c r="AG271" i="90"/>
  <c r="AG274" i="90"/>
  <c r="AG282" i="90"/>
  <c r="AG283" i="90"/>
  <c r="AG267" i="90"/>
  <c r="AG286" i="90"/>
  <c r="AG289" i="90"/>
  <c r="AG295" i="90"/>
  <c r="AG299" i="90"/>
  <c r="AG303" i="90"/>
  <c r="AG307" i="90"/>
  <c r="AG311" i="90"/>
  <c r="AG261" i="90"/>
  <c r="AG285" i="90"/>
  <c r="AG292" i="90"/>
  <c r="AG290" i="90"/>
  <c r="AG293" i="90"/>
  <c r="AG273" i="90"/>
  <c r="AG294" i="90"/>
  <c r="AG309" i="90"/>
  <c r="AG314" i="90"/>
  <c r="AG318" i="90"/>
  <c r="AG322" i="90"/>
  <c r="AG326" i="90"/>
  <c r="AG330" i="90"/>
  <c r="AG297" i="90"/>
  <c r="AG305" i="90"/>
  <c r="AG308" i="90"/>
  <c r="AG298" i="90"/>
  <c r="AG313" i="90"/>
  <c r="AG279" i="90"/>
  <c r="AG296" i="90"/>
  <c r="AG304" i="90"/>
  <c r="AG302" i="90"/>
  <c r="AG306" i="90"/>
  <c r="AG312" i="90"/>
  <c r="AG316" i="90"/>
  <c r="AG320" i="90"/>
  <c r="AG324" i="90"/>
  <c r="AG328" i="90"/>
  <c r="AG301" i="90"/>
  <c r="AG315" i="90"/>
  <c r="AG319" i="90"/>
  <c r="AG323" i="90"/>
  <c r="AG327" i="90"/>
  <c r="AG331" i="90"/>
  <c r="AG288" i="90"/>
  <c r="AG329" i="90"/>
  <c r="AG317" i="90"/>
  <c r="AG232" i="90"/>
  <c r="AG325" i="90"/>
  <c r="AG300" i="90"/>
  <c r="AG310" i="90"/>
  <c r="AG321" i="90"/>
  <c r="AL230" i="90"/>
  <c r="BA235" i="90"/>
  <c r="BA239" i="90"/>
  <c r="BA243" i="90"/>
  <c r="BA247" i="90"/>
  <c r="BA251" i="90"/>
  <c r="BA234" i="90"/>
  <c r="BA238" i="90"/>
  <c r="BA242" i="90"/>
  <c r="BA246" i="90"/>
  <c r="BA250" i="90"/>
  <c r="BA254" i="90"/>
  <c r="BA233" i="90"/>
  <c r="BA237" i="90"/>
  <c r="BA241" i="90"/>
  <c r="BA245" i="90"/>
  <c r="BA249" i="90"/>
  <c r="BA253" i="90"/>
  <c r="BA248" i="90"/>
  <c r="BA258" i="90"/>
  <c r="BA262" i="90"/>
  <c r="BA266" i="90"/>
  <c r="BA270" i="90"/>
  <c r="BA244" i="90"/>
  <c r="BA257" i="90"/>
  <c r="BA261" i="90"/>
  <c r="BA265" i="90"/>
  <c r="BA240" i="90"/>
  <c r="BA256" i="90"/>
  <c r="BA260" i="90"/>
  <c r="BA264" i="90"/>
  <c r="BA272" i="90"/>
  <c r="BA267" i="90"/>
  <c r="BA274" i="90"/>
  <c r="BA278" i="90"/>
  <c r="BA282" i="90"/>
  <c r="BA259" i="90"/>
  <c r="BA273" i="90"/>
  <c r="BA277" i="90"/>
  <c r="BA236" i="90"/>
  <c r="BA263" i="90"/>
  <c r="BA269" i="90"/>
  <c r="BA285" i="90"/>
  <c r="BA289" i="90"/>
  <c r="BA293" i="90"/>
  <c r="BA276" i="90"/>
  <c r="BA255" i="90"/>
  <c r="BA283" i="90"/>
  <c r="BA290" i="90"/>
  <c r="BA297" i="90"/>
  <c r="BA301" i="90"/>
  <c r="BA305" i="90"/>
  <c r="BA309" i="90"/>
  <c r="BA268" i="90"/>
  <c r="BA275" i="90"/>
  <c r="BA287" i="90"/>
  <c r="BA279" i="90"/>
  <c r="BA281" i="90"/>
  <c r="BA292" i="90"/>
  <c r="BA316" i="90"/>
  <c r="BA320" i="90"/>
  <c r="BA324" i="90"/>
  <c r="BA328" i="90"/>
  <c r="BA291" i="90"/>
  <c r="BA300" i="90"/>
  <c r="BA308" i="90"/>
  <c r="BA307" i="90"/>
  <c r="BA280" i="90"/>
  <c r="BA299" i="90"/>
  <c r="BA298" i="90"/>
  <c r="BA312" i="90"/>
  <c r="BA252" i="90"/>
  <c r="BA306" i="90"/>
  <c r="BA311" i="90"/>
  <c r="BA314" i="90"/>
  <c r="BA318" i="90"/>
  <c r="BA322" i="90"/>
  <c r="BA326" i="90"/>
  <c r="BA330" i="90"/>
  <c r="BA286" i="90"/>
  <c r="BA288" i="90"/>
  <c r="BA296" i="90"/>
  <c r="BA304" i="90"/>
  <c r="BA271" i="90"/>
  <c r="BA284" i="90"/>
  <c r="BA295" i="90"/>
  <c r="BA303" i="90"/>
  <c r="BA310" i="90"/>
  <c r="BA313" i="90"/>
  <c r="BA317" i="90"/>
  <c r="BA321" i="90"/>
  <c r="BA325" i="90"/>
  <c r="BA329" i="90"/>
  <c r="BA302" i="90"/>
  <c r="BA327" i="90"/>
  <c r="BA315" i="90"/>
  <c r="BA294" i="90"/>
  <c r="BA323" i="90"/>
  <c r="BA319" i="90"/>
  <c r="BA331" i="90"/>
  <c r="BI235" i="90"/>
  <c r="BI239" i="90"/>
  <c r="BI243" i="90"/>
  <c r="BI247" i="90"/>
  <c r="BI251" i="90"/>
  <c r="BI234" i="90"/>
  <c r="BI238" i="90"/>
  <c r="BI242" i="90"/>
  <c r="BI246" i="90"/>
  <c r="BI250" i="90"/>
  <c r="BI254" i="90"/>
  <c r="BI233" i="90"/>
  <c r="BI237" i="90"/>
  <c r="BI241" i="90"/>
  <c r="BI245" i="90"/>
  <c r="BI249" i="90"/>
  <c r="BI253" i="90"/>
  <c r="BI236" i="90"/>
  <c r="BI252" i="90"/>
  <c r="BI258" i="90"/>
  <c r="BI262" i="90"/>
  <c r="BI266" i="90"/>
  <c r="BI270" i="90"/>
  <c r="BI248" i="90"/>
  <c r="BI257" i="90"/>
  <c r="BI261" i="90"/>
  <c r="BI265" i="90"/>
  <c r="BI244" i="90"/>
  <c r="BI256" i="90"/>
  <c r="BI260" i="90"/>
  <c r="BI264" i="90"/>
  <c r="BI269" i="90"/>
  <c r="BI274" i="90"/>
  <c r="BI278" i="90"/>
  <c r="BI282" i="90"/>
  <c r="BI263" i="90"/>
  <c r="BI271" i="90"/>
  <c r="BI273" i="90"/>
  <c r="BI275" i="90"/>
  <c r="BI285" i="90"/>
  <c r="BI289" i="90"/>
  <c r="BI281" i="90"/>
  <c r="BI272" i="90"/>
  <c r="BI284" i="90"/>
  <c r="BI297" i="90"/>
  <c r="BI301" i="90"/>
  <c r="BI305" i="90"/>
  <c r="BI309" i="90"/>
  <c r="BI240" i="90"/>
  <c r="BI255" i="90"/>
  <c r="BI268" i="90"/>
  <c r="BI276" i="90"/>
  <c r="BI283" i="90"/>
  <c r="BI259" i="90"/>
  <c r="BI267" i="90"/>
  <c r="BI279" i="90"/>
  <c r="BI287" i="90"/>
  <c r="BI290" i="90"/>
  <c r="BI288" i="90"/>
  <c r="BI307" i="90"/>
  <c r="BI316" i="90"/>
  <c r="BI320" i="90"/>
  <c r="BI324" i="90"/>
  <c r="BI328" i="90"/>
  <c r="BI303" i="90"/>
  <c r="BI306" i="90"/>
  <c r="BI296" i="90"/>
  <c r="BI304" i="90"/>
  <c r="BI312" i="90"/>
  <c r="BI311" i="90"/>
  <c r="BI295" i="90"/>
  <c r="BI294" i="90"/>
  <c r="BI302" i="90"/>
  <c r="BI232" i="90"/>
  <c r="BI292" i="90"/>
  <c r="BI300" i="90"/>
  <c r="BI280" i="90"/>
  <c r="BI291" i="90"/>
  <c r="BI310" i="90"/>
  <c r="BI314" i="90"/>
  <c r="BI318" i="90"/>
  <c r="BI322" i="90"/>
  <c r="BI326" i="90"/>
  <c r="BI330" i="90"/>
  <c r="BI277" i="90"/>
  <c r="BI299" i="90"/>
  <c r="BI313" i="90"/>
  <c r="BI317" i="90"/>
  <c r="BI321" i="90"/>
  <c r="BI325" i="90"/>
  <c r="BI329" i="90"/>
  <c r="BI286" i="90"/>
  <c r="BI293" i="90"/>
  <c r="BI331" i="90"/>
  <c r="BI319" i="90"/>
  <c r="BI308" i="90"/>
  <c r="BI298" i="90"/>
  <c r="BI327" i="90"/>
  <c r="BI323" i="90"/>
  <c r="BI315" i="90"/>
  <c r="AH234" i="90"/>
  <c r="AH233" i="90"/>
  <c r="AH237" i="90"/>
  <c r="AH241" i="90"/>
  <c r="AH245" i="90"/>
  <c r="AH249" i="90"/>
  <c r="AH253" i="90"/>
  <c r="AH236" i="90"/>
  <c r="AH240" i="90"/>
  <c r="AH244" i="90"/>
  <c r="AH248" i="90"/>
  <c r="AH252" i="90"/>
  <c r="AH235" i="90"/>
  <c r="AH239" i="90"/>
  <c r="AH243" i="90"/>
  <c r="AH247" i="90"/>
  <c r="AH251" i="90"/>
  <c r="AH255" i="90"/>
  <c r="AH238" i="90"/>
  <c r="AH254" i="90"/>
  <c r="AH256" i="90"/>
  <c r="AH260" i="90"/>
  <c r="AH264" i="90"/>
  <c r="AH268" i="90"/>
  <c r="AH250" i="90"/>
  <c r="AH259" i="90"/>
  <c r="AH246" i="90"/>
  <c r="AH258" i="90"/>
  <c r="AH262" i="90"/>
  <c r="AH274" i="90"/>
  <c r="AH278" i="90"/>
  <c r="AH282" i="90"/>
  <c r="AH261" i="90"/>
  <c r="AH269" i="90"/>
  <c r="AH273" i="90"/>
  <c r="AH277" i="90"/>
  <c r="AH281" i="90"/>
  <c r="AH270" i="90"/>
  <c r="AH271" i="90"/>
  <c r="AH284" i="90"/>
  <c r="AH266" i="90"/>
  <c r="AH276" i="90"/>
  <c r="AH287" i="90"/>
  <c r="AH291" i="90"/>
  <c r="AH263" i="90"/>
  <c r="AH267" i="90"/>
  <c r="AH279" i="90"/>
  <c r="AH286" i="90"/>
  <c r="AH290" i="90"/>
  <c r="AH294" i="90"/>
  <c r="AH242" i="90"/>
  <c r="AH280" i="90"/>
  <c r="AH285" i="90"/>
  <c r="AH265" i="90"/>
  <c r="AH289" i="90"/>
  <c r="AH295" i="90"/>
  <c r="AH299" i="90"/>
  <c r="AH303" i="90"/>
  <c r="AH298" i="90"/>
  <c r="AH302" i="90"/>
  <c r="AH306" i="90"/>
  <c r="AH310" i="90"/>
  <c r="AH297" i="90"/>
  <c r="AH301" i="90"/>
  <c r="AH305" i="90"/>
  <c r="AH272" i="90"/>
  <c r="AH288" i="90"/>
  <c r="AH300" i="90"/>
  <c r="AH232" i="90"/>
  <c r="AH309" i="90"/>
  <c r="AH314" i="90"/>
  <c r="AH318" i="90"/>
  <c r="AH322" i="90"/>
  <c r="AH326" i="90"/>
  <c r="AH330" i="90"/>
  <c r="AH275" i="90"/>
  <c r="AH308" i="90"/>
  <c r="AH313" i="90"/>
  <c r="AH317" i="90"/>
  <c r="AH321" i="90"/>
  <c r="AH325" i="90"/>
  <c r="AH329" i="90"/>
  <c r="AH283" i="90"/>
  <c r="AH296" i="90"/>
  <c r="AH304" i="90"/>
  <c r="AH307" i="90"/>
  <c r="AH292" i="90"/>
  <c r="AH257" i="90"/>
  <c r="AH293" i="90"/>
  <c r="AH311" i="90"/>
  <c r="AH319" i="90"/>
  <c r="AH324" i="90"/>
  <c r="AH312" i="90"/>
  <c r="AH327" i="90"/>
  <c r="AH315" i="90"/>
  <c r="AH320" i="90"/>
  <c r="AH328" i="90"/>
  <c r="AH316" i="90"/>
  <c r="AH323" i="90"/>
  <c r="AH331" i="90"/>
  <c r="AM230" i="90"/>
  <c r="AR235" i="90"/>
  <c r="AR234" i="90"/>
  <c r="AR238" i="90"/>
  <c r="AR242" i="90"/>
  <c r="AR246" i="90"/>
  <c r="AR250" i="90"/>
  <c r="AR254" i="90"/>
  <c r="AR233" i="90"/>
  <c r="AR237" i="90"/>
  <c r="AR241" i="90"/>
  <c r="AR245" i="90"/>
  <c r="AR249" i="90"/>
  <c r="AR253" i="90"/>
  <c r="AR236" i="90"/>
  <c r="AR240" i="90"/>
  <c r="AR244" i="90"/>
  <c r="AR248" i="90"/>
  <c r="AR252" i="90"/>
  <c r="AR243" i="90"/>
  <c r="AR257" i="90"/>
  <c r="AR261" i="90"/>
  <c r="AR265" i="90"/>
  <c r="AR239" i="90"/>
  <c r="AR255" i="90"/>
  <c r="AR256" i="90"/>
  <c r="AR251" i="90"/>
  <c r="AR259" i="90"/>
  <c r="AR272" i="90"/>
  <c r="AR275" i="90"/>
  <c r="AR279" i="90"/>
  <c r="AR283" i="90"/>
  <c r="AR268" i="90"/>
  <c r="AR274" i="90"/>
  <c r="AR278" i="90"/>
  <c r="AR282" i="90"/>
  <c r="AR264" i="90"/>
  <c r="AR266" i="90"/>
  <c r="AR258" i="90"/>
  <c r="AR267" i="90"/>
  <c r="AR270" i="90"/>
  <c r="AR273" i="90"/>
  <c r="AR284" i="90"/>
  <c r="AR288" i="90"/>
  <c r="AR292" i="90"/>
  <c r="AR287" i="90"/>
  <c r="AR291" i="90"/>
  <c r="AR263" i="90"/>
  <c r="AR277" i="90"/>
  <c r="AR286" i="90"/>
  <c r="AR289" i="90"/>
  <c r="AR280" i="90"/>
  <c r="AR296" i="90"/>
  <c r="AR300" i="90"/>
  <c r="AR304" i="90"/>
  <c r="AR293" i="90"/>
  <c r="AR295" i="90"/>
  <c r="AR299" i="90"/>
  <c r="AR303" i="90"/>
  <c r="AR307" i="90"/>
  <c r="AR311" i="90"/>
  <c r="AR269" i="90"/>
  <c r="AR298" i="90"/>
  <c r="AR302" i="90"/>
  <c r="AR297" i="90"/>
  <c r="AR327" i="90"/>
  <c r="AR331" i="90"/>
  <c r="AR247" i="90"/>
  <c r="AR305" i="90"/>
  <c r="AR309" i="90"/>
  <c r="AR315" i="90"/>
  <c r="AR319" i="90"/>
  <c r="AR323" i="90"/>
  <c r="AR308" i="90"/>
  <c r="AR314" i="90"/>
  <c r="AR318" i="90"/>
  <c r="AR322" i="90"/>
  <c r="AR326" i="90"/>
  <c r="AR330" i="90"/>
  <c r="AR271" i="90"/>
  <c r="AR260" i="90"/>
  <c r="AR285" i="90"/>
  <c r="AR294" i="90"/>
  <c r="AR301" i="90"/>
  <c r="AR312" i="90"/>
  <c r="AR281" i="90"/>
  <c r="AR290" i="90"/>
  <c r="AR306" i="90"/>
  <c r="AR232" i="90"/>
  <c r="AR262" i="90"/>
  <c r="AR276" i="90"/>
  <c r="AR310" i="90"/>
  <c r="AR313" i="90"/>
  <c r="AR328" i="90"/>
  <c r="AR316" i="90"/>
  <c r="AR321" i="90"/>
  <c r="AR324" i="90"/>
  <c r="AR329" i="90"/>
  <c r="AR325" i="90"/>
  <c r="AR317" i="90"/>
  <c r="AR320" i="90"/>
  <c r="AI234" i="90"/>
  <c r="AI238" i="90"/>
  <c r="AI242" i="90"/>
  <c r="AI246" i="90"/>
  <c r="AI250" i="90"/>
  <c r="AI254" i="90"/>
  <c r="AI233" i="90"/>
  <c r="AI237" i="90"/>
  <c r="AI241" i="90"/>
  <c r="AI245" i="90"/>
  <c r="AI249" i="90"/>
  <c r="AI253" i="90"/>
  <c r="AI236" i="90"/>
  <c r="AI240" i="90"/>
  <c r="AI244" i="90"/>
  <c r="AI248" i="90"/>
  <c r="AI252" i="90"/>
  <c r="AI239" i="90"/>
  <c r="AI255" i="90"/>
  <c r="AI257" i="90"/>
  <c r="AI261" i="90"/>
  <c r="AI265" i="90"/>
  <c r="AI269" i="90"/>
  <c r="AI251" i="90"/>
  <c r="AI256" i="90"/>
  <c r="AI260" i="90"/>
  <c r="AI264" i="90"/>
  <c r="AI247" i="90"/>
  <c r="AI259" i="90"/>
  <c r="AI263" i="90"/>
  <c r="AI267" i="90"/>
  <c r="AI235" i="90"/>
  <c r="AI272" i="90"/>
  <c r="AI268" i="90"/>
  <c r="AI273" i="90"/>
  <c r="AI277" i="90"/>
  <c r="AI281" i="90"/>
  <c r="AI243" i="90"/>
  <c r="AI266" i="90"/>
  <c r="AI276" i="90"/>
  <c r="AI258" i="90"/>
  <c r="AI288" i="90"/>
  <c r="AI292" i="90"/>
  <c r="AI278" i="90"/>
  <c r="AI284" i="90"/>
  <c r="AI275" i="90"/>
  <c r="AI270" i="90"/>
  <c r="AI271" i="90"/>
  <c r="AI287" i="90"/>
  <c r="AI294" i="90"/>
  <c r="AI296" i="90"/>
  <c r="AI300" i="90"/>
  <c r="AI304" i="90"/>
  <c r="AI308" i="90"/>
  <c r="AI312" i="90"/>
  <c r="AI282" i="90"/>
  <c r="AI286" i="90"/>
  <c r="AI283" i="90"/>
  <c r="AI262" i="90"/>
  <c r="AI274" i="90"/>
  <c r="AI279" i="90"/>
  <c r="AI293" i="90"/>
  <c r="AI310" i="90"/>
  <c r="AI315" i="90"/>
  <c r="AI319" i="90"/>
  <c r="AI323" i="90"/>
  <c r="AI327" i="90"/>
  <c r="AI331" i="90"/>
  <c r="AI309" i="90"/>
  <c r="AI285" i="90"/>
  <c r="AI289" i="90"/>
  <c r="AI299" i="90"/>
  <c r="AI232" i="90"/>
  <c r="AI290" i="90"/>
  <c r="AI298" i="90"/>
  <c r="AI297" i="90"/>
  <c r="AI305" i="90"/>
  <c r="AI303" i="90"/>
  <c r="AI291" i="90"/>
  <c r="AI313" i="90"/>
  <c r="AI317" i="90"/>
  <c r="AI321" i="90"/>
  <c r="AI325" i="90"/>
  <c r="AI329" i="90"/>
  <c r="AI295" i="90"/>
  <c r="AI302" i="90"/>
  <c r="AI306" i="90"/>
  <c r="AI316" i="90"/>
  <c r="AI320" i="90"/>
  <c r="AI324" i="90"/>
  <c r="AI328" i="90"/>
  <c r="AI280" i="90"/>
  <c r="AI314" i="90"/>
  <c r="AI322" i="90"/>
  <c r="AI307" i="90"/>
  <c r="AI311" i="90"/>
  <c r="AI330" i="90"/>
  <c r="AI318" i="90"/>
  <c r="AI301" i="90"/>
  <c r="AI326" i="90"/>
  <c r="AP234" i="90"/>
  <c r="AP233" i="90"/>
  <c r="AP237" i="90"/>
  <c r="AP241" i="90"/>
  <c r="AP245" i="90"/>
  <c r="AP249" i="90"/>
  <c r="AP253" i="90"/>
  <c r="AP236" i="90"/>
  <c r="AP240" i="90"/>
  <c r="AP244" i="90"/>
  <c r="AP248" i="90"/>
  <c r="AP252" i="90"/>
  <c r="AP235" i="90"/>
  <c r="AP239" i="90"/>
  <c r="AP243" i="90"/>
  <c r="AP247" i="90"/>
  <c r="AP251" i="90"/>
  <c r="AP255" i="90"/>
  <c r="AP242" i="90"/>
  <c r="AP256" i="90"/>
  <c r="AP260" i="90"/>
  <c r="AP264" i="90"/>
  <c r="AP268" i="90"/>
  <c r="AP238" i="90"/>
  <c r="AP254" i="90"/>
  <c r="AP250" i="90"/>
  <c r="AP269" i="90"/>
  <c r="AP274" i="90"/>
  <c r="AP278" i="90"/>
  <c r="AP282" i="90"/>
  <c r="AP265" i="90"/>
  <c r="AP270" i="90"/>
  <c r="AP273" i="90"/>
  <c r="AP277" i="90"/>
  <c r="AP281" i="90"/>
  <c r="AP258" i="90"/>
  <c r="AP263" i="90"/>
  <c r="AP279" i="90"/>
  <c r="AP246" i="90"/>
  <c r="AP287" i="90"/>
  <c r="AP291" i="90"/>
  <c r="AP283" i="90"/>
  <c r="AP286" i="90"/>
  <c r="AP290" i="90"/>
  <c r="AP294" i="90"/>
  <c r="AP262" i="90"/>
  <c r="AP267" i="90"/>
  <c r="AP271" i="90"/>
  <c r="AP276" i="90"/>
  <c r="AP285" i="90"/>
  <c r="AP272" i="90"/>
  <c r="AP280" i="90"/>
  <c r="AP293" i="90"/>
  <c r="AP295" i="90"/>
  <c r="AP299" i="90"/>
  <c r="AP303" i="90"/>
  <c r="AP259" i="90"/>
  <c r="AP298" i="90"/>
  <c r="AP302" i="90"/>
  <c r="AP306" i="90"/>
  <c r="AP310" i="90"/>
  <c r="AP257" i="90"/>
  <c r="AP266" i="90"/>
  <c r="AP297" i="90"/>
  <c r="AP301" i="90"/>
  <c r="AP292" i="90"/>
  <c r="AP296" i="90"/>
  <c r="AP304" i="90"/>
  <c r="AP330" i="90"/>
  <c r="AP308" i="90"/>
  <c r="AP314" i="90"/>
  <c r="AP318" i="90"/>
  <c r="AP322" i="90"/>
  <c r="AP326" i="90"/>
  <c r="AP288" i="90"/>
  <c r="AP307" i="90"/>
  <c r="AP275" i="90"/>
  <c r="AP289" i="90"/>
  <c r="AP312" i="90"/>
  <c r="AP313" i="90"/>
  <c r="AP317" i="90"/>
  <c r="AP321" i="90"/>
  <c r="AP325" i="90"/>
  <c r="AP329" i="90"/>
  <c r="AP261" i="90"/>
  <c r="AP284" i="90"/>
  <c r="AP300" i="90"/>
  <c r="AP311" i="90"/>
  <c r="AP232" i="90"/>
  <c r="AP323" i="90"/>
  <c r="AP328" i="90"/>
  <c r="AP309" i="90"/>
  <c r="AP316" i="90"/>
  <c r="AP331" i="90"/>
  <c r="AP319" i="90"/>
  <c r="AP324" i="90"/>
  <c r="AP327" i="90"/>
  <c r="AP305" i="90"/>
  <c r="AP320" i="90"/>
  <c r="AP315" i="90"/>
  <c r="AY234" i="90"/>
  <c r="AY238" i="90"/>
  <c r="AY242" i="90"/>
  <c r="AY246" i="90"/>
  <c r="AY250" i="90"/>
  <c r="AY254" i="90"/>
  <c r="AY233" i="90"/>
  <c r="AY237" i="90"/>
  <c r="AY241" i="90"/>
  <c r="AY245" i="90"/>
  <c r="AY249" i="90"/>
  <c r="AY253" i="90"/>
  <c r="AY236" i="90"/>
  <c r="AY240" i="90"/>
  <c r="AY244" i="90"/>
  <c r="AY248" i="90"/>
  <c r="AY252" i="90"/>
  <c r="AY247" i="90"/>
  <c r="AY257" i="90"/>
  <c r="AY261" i="90"/>
  <c r="AY265" i="90"/>
  <c r="AY269" i="90"/>
  <c r="AY235" i="90"/>
  <c r="AY243" i="90"/>
  <c r="AY256" i="90"/>
  <c r="AY260" i="90"/>
  <c r="AY264" i="90"/>
  <c r="AY239" i="90"/>
  <c r="AY255" i="90"/>
  <c r="AY259" i="90"/>
  <c r="AY263" i="90"/>
  <c r="AY267" i="90"/>
  <c r="AY270" i="90"/>
  <c r="AY273" i="90"/>
  <c r="AY277" i="90"/>
  <c r="AY281" i="90"/>
  <c r="AY251" i="90"/>
  <c r="AY276" i="90"/>
  <c r="AY262" i="90"/>
  <c r="AY280" i="90"/>
  <c r="AY284" i="90"/>
  <c r="AY288" i="90"/>
  <c r="AY292" i="90"/>
  <c r="AY271" i="90"/>
  <c r="AY283" i="90"/>
  <c r="AY258" i="90"/>
  <c r="AY268" i="90"/>
  <c r="AY275" i="90"/>
  <c r="AY278" i="90"/>
  <c r="AY287" i="90"/>
  <c r="AY296" i="90"/>
  <c r="AY300" i="90"/>
  <c r="AY304" i="90"/>
  <c r="AY308" i="90"/>
  <c r="AY312" i="90"/>
  <c r="AY274" i="90"/>
  <c r="AY286" i="90"/>
  <c r="AY291" i="90"/>
  <c r="AY266" i="90"/>
  <c r="AY315" i="90"/>
  <c r="AY319" i="90"/>
  <c r="AY323" i="90"/>
  <c r="AY327" i="90"/>
  <c r="AY331" i="90"/>
  <c r="AY298" i="90"/>
  <c r="AY272" i="90"/>
  <c r="AY299" i="90"/>
  <c r="AY307" i="90"/>
  <c r="AY306" i="90"/>
  <c r="AY282" i="90"/>
  <c r="AY297" i="90"/>
  <c r="AY311" i="90"/>
  <c r="AY279" i="90"/>
  <c r="AY285" i="90"/>
  <c r="AY293" i="90"/>
  <c r="AY310" i="90"/>
  <c r="AY313" i="90"/>
  <c r="AY317" i="90"/>
  <c r="AY321" i="90"/>
  <c r="AY325" i="90"/>
  <c r="AY329" i="90"/>
  <c r="AY295" i="90"/>
  <c r="AY303" i="90"/>
  <c r="AY305" i="90"/>
  <c r="AY289" i="90"/>
  <c r="AY294" i="90"/>
  <c r="AY302" i="90"/>
  <c r="AY309" i="90"/>
  <c r="AY316" i="90"/>
  <c r="AY320" i="90"/>
  <c r="AY324" i="90"/>
  <c r="AY328" i="90"/>
  <c r="AY290" i="90"/>
  <c r="AY322" i="90"/>
  <c r="AY232" i="90"/>
  <c r="AY330" i="90"/>
  <c r="AY318" i="90"/>
  <c r="AY314" i="90"/>
  <c r="AY301" i="90"/>
  <c r="AY326" i="90"/>
  <c r="AS235" i="90"/>
  <c r="AS239" i="90"/>
  <c r="AS243" i="90"/>
  <c r="AS247" i="90"/>
  <c r="AS251" i="90"/>
  <c r="AS255" i="90"/>
  <c r="AS234" i="90"/>
  <c r="AS238" i="90"/>
  <c r="AS242" i="90"/>
  <c r="AS246" i="90"/>
  <c r="AS250" i="90"/>
  <c r="AS254" i="90"/>
  <c r="AS233" i="90"/>
  <c r="AS237" i="90"/>
  <c r="AS241" i="90"/>
  <c r="AS245" i="90"/>
  <c r="AS249" i="90"/>
  <c r="AS253" i="90"/>
  <c r="AS244" i="90"/>
  <c r="AS258" i="90"/>
  <c r="AS262" i="90"/>
  <c r="AS266" i="90"/>
  <c r="AS270" i="90"/>
  <c r="AS240" i="90"/>
  <c r="AS257" i="90"/>
  <c r="AS261" i="90"/>
  <c r="AS265" i="90"/>
  <c r="AS236" i="90"/>
  <c r="AS252" i="90"/>
  <c r="AS256" i="90"/>
  <c r="AS260" i="90"/>
  <c r="AS264" i="90"/>
  <c r="AS269" i="90"/>
  <c r="AS268" i="90"/>
  <c r="AS274" i="90"/>
  <c r="AS278" i="90"/>
  <c r="AS282" i="90"/>
  <c r="AS263" i="90"/>
  <c r="AS273" i="90"/>
  <c r="AS277" i="90"/>
  <c r="AS259" i="90"/>
  <c r="AS275" i="90"/>
  <c r="AS285" i="90"/>
  <c r="AS289" i="90"/>
  <c r="AS293" i="90"/>
  <c r="AS248" i="90"/>
  <c r="AS280" i="90"/>
  <c r="AS283" i="90"/>
  <c r="AS279" i="90"/>
  <c r="AS284" i="90"/>
  <c r="AS292" i="90"/>
  <c r="AS294" i="90"/>
  <c r="AS297" i="90"/>
  <c r="AS301" i="90"/>
  <c r="AS305" i="90"/>
  <c r="AS309" i="90"/>
  <c r="AS272" i="90"/>
  <c r="AS271" i="90"/>
  <c r="AS281" i="90"/>
  <c r="AS290" i="90"/>
  <c r="AS287" i="90"/>
  <c r="AS288" i="90"/>
  <c r="AS291" i="90"/>
  <c r="AS276" i="90"/>
  <c r="AS310" i="90"/>
  <c r="AS316" i="90"/>
  <c r="AS320" i="90"/>
  <c r="AS324" i="90"/>
  <c r="AS328" i="90"/>
  <c r="AS267" i="90"/>
  <c r="AS296" i="90"/>
  <c r="AS304" i="90"/>
  <c r="AS295" i="90"/>
  <c r="AS303" i="90"/>
  <c r="AS286" i="90"/>
  <c r="AS302" i="90"/>
  <c r="AS308" i="90"/>
  <c r="AS307" i="90"/>
  <c r="AS314" i="90"/>
  <c r="AS318" i="90"/>
  <c r="AS322" i="90"/>
  <c r="AS326" i="90"/>
  <c r="AS330" i="90"/>
  <c r="AS300" i="90"/>
  <c r="AS299" i="90"/>
  <c r="AS306" i="90"/>
  <c r="AS311" i="90"/>
  <c r="AS313" i="90"/>
  <c r="AS317" i="90"/>
  <c r="AS321" i="90"/>
  <c r="AS325" i="90"/>
  <c r="AS329" i="90"/>
  <c r="AS298" i="90"/>
  <c r="AS323" i="90"/>
  <c r="AS312" i="90"/>
  <c r="AS331" i="90"/>
  <c r="AS319" i="90"/>
  <c r="AS327" i="90"/>
  <c r="AS232" i="90"/>
  <c r="AS315" i="90"/>
  <c r="AT235" i="90"/>
  <c r="AT239" i="90"/>
  <c r="AT243" i="90"/>
  <c r="AT247" i="90"/>
  <c r="AT251" i="90"/>
  <c r="AT255" i="90"/>
  <c r="AT234" i="90"/>
  <c r="AT238" i="90"/>
  <c r="AT242" i="90"/>
  <c r="AT246" i="90"/>
  <c r="AT250" i="90"/>
  <c r="AT254" i="90"/>
  <c r="AT233" i="90"/>
  <c r="AT237" i="90"/>
  <c r="AT241" i="90"/>
  <c r="AT245" i="90"/>
  <c r="AT249" i="90"/>
  <c r="AT253" i="90"/>
  <c r="AT244" i="90"/>
  <c r="AT258" i="90"/>
  <c r="AT262" i="90"/>
  <c r="AT266" i="90"/>
  <c r="AT240" i="90"/>
  <c r="AT257" i="90"/>
  <c r="AT236" i="90"/>
  <c r="AT252" i="90"/>
  <c r="AT248" i="90"/>
  <c r="AT260" i="90"/>
  <c r="AT271" i="90"/>
  <c r="AT276" i="90"/>
  <c r="AT280" i="90"/>
  <c r="AT259" i="90"/>
  <c r="AT272" i="90"/>
  <c r="AT275" i="90"/>
  <c r="AT279" i="90"/>
  <c r="AT283" i="90"/>
  <c r="AT265" i="90"/>
  <c r="AT269" i="90"/>
  <c r="AT270" i="90"/>
  <c r="AT281" i="90"/>
  <c r="AT268" i="90"/>
  <c r="AT274" i="90"/>
  <c r="AT285" i="90"/>
  <c r="AT289" i="90"/>
  <c r="AT293" i="90"/>
  <c r="AT284" i="90"/>
  <c r="AT288" i="90"/>
  <c r="AT292" i="90"/>
  <c r="AT264" i="90"/>
  <c r="AT287" i="90"/>
  <c r="AT273" i="90"/>
  <c r="AT294" i="90"/>
  <c r="AT297" i="90"/>
  <c r="AT301" i="90"/>
  <c r="AT305" i="90"/>
  <c r="AT261" i="90"/>
  <c r="AT267" i="90"/>
  <c r="AT296" i="90"/>
  <c r="AT300" i="90"/>
  <c r="AT304" i="90"/>
  <c r="AT308" i="90"/>
  <c r="AT312" i="90"/>
  <c r="AT295" i="90"/>
  <c r="AT299" i="90"/>
  <c r="AT303" i="90"/>
  <c r="AT278" i="90"/>
  <c r="AT298" i="90"/>
  <c r="AT232" i="90"/>
  <c r="AT328" i="90"/>
  <c r="AT263" i="90"/>
  <c r="AT310" i="90"/>
  <c r="AT316" i="90"/>
  <c r="AT320" i="90"/>
  <c r="AT324" i="90"/>
  <c r="AT282" i="90"/>
  <c r="AT277" i="90"/>
  <c r="AT315" i="90"/>
  <c r="AT319" i="90"/>
  <c r="AT323" i="90"/>
  <c r="AT327" i="90"/>
  <c r="AT331" i="90"/>
  <c r="AT286" i="90"/>
  <c r="AT302" i="90"/>
  <c r="AT256" i="90"/>
  <c r="AT290" i="90"/>
  <c r="AT291" i="90"/>
  <c r="AT325" i="90"/>
  <c r="AT330" i="90"/>
  <c r="AT306" i="90"/>
  <c r="AT318" i="90"/>
  <c r="AT309" i="90"/>
  <c r="AT313" i="90"/>
  <c r="AT321" i="90"/>
  <c r="AT326" i="90"/>
  <c r="AT314" i="90"/>
  <c r="AT329" i="90"/>
  <c r="AT317" i="90"/>
  <c r="AT307" i="90"/>
  <c r="AT311" i="90"/>
  <c r="AT322" i="90"/>
  <c r="AF233" i="90"/>
  <c r="AF236" i="90"/>
  <c r="AF240" i="90"/>
  <c r="AF244" i="90"/>
  <c r="AF248" i="90"/>
  <c r="AF252" i="90"/>
  <c r="AF235" i="90"/>
  <c r="AF239" i="90"/>
  <c r="AF243" i="90"/>
  <c r="AF247" i="90"/>
  <c r="AF251" i="90"/>
  <c r="AF255" i="90"/>
  <c r="AF234" i="90"/>
  <c r="AF238" i="90"/>
  <c r="AF242" i="90"/>
  <c r="AF246" i="90"/>
  <c r="AF250" i="90"/>
  <c r="AF254" i="90"/>
  <c r="AF237" i="90"/>
  <c r="AF253" i="90"/>
  <c r="AF259" i="90"/>
  <c r="AF263" i="90"/>
  <c r="AF267" i="90"/>
  <c r="AF249" i="90"/>
  <c r="AF258" i="90"/>
  <c r="AF245" i="90"/>
  <c r="AF261" i="90"/>
  <c r="AF269" i="90"/>
  <c r="AF273" i="90"/>
  <c r="AF277" i="90"/>
  <c r="AF281" i="90"/>
  <c r="AF241" i="90"/>
  <c r="AF256" i="90"/>
  <c r="AF260" i="90"/>
  <c r="AF268" i="90"/>
  <c r="AF276" i="90"/>
  <c r="AF280" i="90"/>
  <c r="AF284" i="90"/>
  <c r="AF266" i="90"/>
  <c r="AF271" i="90"/>
  <c r="AF257" i="90"/>
  <c r="AF265" i="90"/>
  <c r="AF275" i="90"/>
  <c r="AF279" i="90"/>
  <c r="AF286" i="90"/>
  <c r="AF290" i="90"/>
  <c r="AF294" i="90"/>
  <c r="AF262" i="90"/>
  <c r="AF285" i="90"/>
  <c r="AF289" i="90"/>
  <c r="AF293" i="90"/>
  <c r="AF288" i="90"/>
  <c r="AF282" i="90"/>
  <c r="AF292" i="90"/>
  <c r="AF270" i="90"/>
  <c r="AF283" i="90"/>
  <c r="AF298" i="90"/>
  <c r="AF302" i="90"/>
  <c r="AF278" i="90"/>
  <c r="AF297" i="90"/>
  <c r="AF301" i="90"/>
  <c r="AF305" i="90"/>
  <c r="AF309" i="90"/>
  <c r="AF313" i="90"/>
  <c r="AF296" i="90"/>
  <c r="AF300" i="90"/>
  <c r="AF304" i="90"/>
  <c r="AF287" i="90"/>
  <c r="AF299" i="90"/>
  <c r="AF232" i="90"/>
  <c r="AF329" i="90"/>
  <c r="AF308" i="90"/>
  <c r="AF317" i="90"/>
  <c r="AF321" i="90"/>
  <c r="AF325" i="90"/>
  <c r="AF264" i="90"/>
  <c r="AF291" i="90"/>
  <c r="AF307" i="90"/>
  <c r="AF312" i="90"/>
  <c r="AF316" i="90"/>
  <c r="AF320" i="90"/>
  <c r="AF324" i="90"/>
  <c r="AF328" i="90"/>
  <c r="AF295" i="90"/>
  <c r="AF303" i="90"/>
  <c r="AF306" i="90"/>
  <c r="AF274" i="90"/>
  <c r="AF310" i="90"/>
  <c r="AF272" i="90"/>
  <c r="AF322" i="90"/>
  <c r="AF327" i="90"/>
  <c r="AF315" i="90"/>
  <c r="AF311" i="90"/>
  <c r="AF330" i="90"/>
  <c r="AF318" i="90"/>
  <c r="AF323" i="90"/>
  <c r="AF326" i="90"/>
  <c r="AF331" i="90"/>
  <c r="AF314" i="90"/>
  <c r="AF319" i="90"/>
  <c r="AN230" i="90"/>
  <c r="AU230" i="90"/>
  <c r="BD233" i="90"/>
  <c r="BD236" i="90"/>
  <c r="BD240" i="90"/>
  <c r="BD244" i="90"/>
  <c r="BD248" i="90"/>
  <c r="BD252" i="90"/>
  <c r="BD235" i="90"/>
  <c r="BD239" i="90"/>
  <c r="BD243" i="90"/>
  <c r="BD247" i="90"/>
  <c r="BD251" i="90"/>
  <c r="BD234" i="90"/>
  <c r="BD238" i="90"/>
  <c r="BD242" i="90"/>
  <c r="BD246" i="90"/>
  <c r="BD250" i="90"/>
  <c r="BD254" i="90"/>
  <c r="BD249" i="90"/>
  <c r="BD255" i="90"/>
  <c r="BD259" i="90"/>
  <c r="BD263" i="90"/>
  <c r="BD267" i="90"/>
  <c r="BD245" i="90"/>
  <c r="BD258" i="90"/>
  <c r="BD241" i="90"/>
  <c r="BD265" i="90"/>
  <c r="BD271" i="90"/>
  <c r="BD273" i="90"/>
  <c r="BD277" i="90"/>
  <c r="BD281" i="90"/>
  <c r="BD253" i="90"/>
  <c r="BD264" i="90"/>
  <c r="BD266" i="90"/>
  <c r="BD276" i="90"/>
  <c r="BD280" i="90"/>
  <c r="BD256" i="90"/>
  <c r="BD262" i="90"/>
  <c r="BD272" i="90"/>
  <c r="BD257" i="90"/>
  <c r="BD279" i="90"/>
  <c r="BD237" i="90"/>
  <c r="BD261" i="90"/>
  <c r="BD269" i="90"/>
  <c r="BD282" i="90"/>
  <c r="BD286" i="90"/>
  <c r="BD290" i="90"/>
  <c r="BD283" i="90"/>
  <c r="BD285" i="90"/>
  <c r="BD289" i="90"/>
  <c r="BD293" i="90"/>
  <c r="BD268" i="90"/>
  <c r="BD275" i="90"/>
  <c r="BD284" i="90"/>
  <c r="BD260" i="90"/>
  <c r="BD294" i="90"/>
  <c r="BD298" i="90"/>
  <c r="BD302" i="90"/>
  <c r="BD287" i="90"/>
  <c r="BD297" i="90"/>
  <c r="BD301" i="90"/>
  <c r="BD305" i="90"/>
  <c r="BD309" i="90"/>
  <c r="BD291" i="90"/>
  <c r="BD296" i="90"/>
  <c r="BD300" i="90"/>
  <c r="BD304" i="90"/>
  <c r="BD295" i="90"/>
  <c r="BD303" i="90"/>
  <c r="BD310" i="90"/>
  <c r="BD329" i="90"/>
  <c r="BD274" i="90"/>
  <c r="BD278" i="90"/>
  <c r="BD313" i="90"/>
  <c r="BD317" i="90"/>
  <c r="BD321" i="90"/>
  <c r="BD325" i="90"/>
  <c r="BD270" i="90"/>
  <c r="BD308" i="90"/>
  <c r="BD316" i="90"/>
  <c r="BD320" i="90"/>
  <c r="BD324" i="90"/>
  <c r="BD328" i="90"/>
  <c r="BD292" i="90"/>
  <c r="BD299" i="90"/>
  <c r="BD288" i="90"/>
  <c r="BD306" i="90"/>
  <c r="BD307" i="90"/>
  <c r="BD311" i="90"/>
  <c r="BD314" i="90"/>
  <c r="BD319" i="90"/>
  <c r="BD322" i="90"/>
  <c r="BD327" i="90"/>
  <c r="BD315" i="90"/>
  <c r="BD232" i="90"/>
  <c r="BD330" i="90"/>
  <c r="BD323" i="90"/>
  <c r="BD326" i="90"/>
  <c r="BD331" i="90"/>
  <c r="BD312" i="90"/>
  <c r="BD318" i="90"/>
  <c r="P239" i="90"/>
  <c r="P322" i="90"/>
  <c r="P319" i="90"/>
  <c r="P309" i="90"/>
  <c r="P299" i="90"/>
  <c r="P296" i="90"/>
  <c r="P289" i="90"/>
  <c r="P279" i="90"/>
  <c r="P265" i="90"/>
  <c r="P262" i="90"/>
  <c r="P259" i="90"/>
  <c r="P252" i="90"/>
  <c r="P245" i="90"/>
  <c r="P235" i="90"/>
  <c r="P331" i="90"/>
  <c r="P328" i="90"/>
  <c r="P315" i="90"/>
  <c r="P312" i="90"/>
  <c r="P302" i="90"/>
  <c r="P292" i="90"/>
  <c r="P285" i="90"/>
  <c r="P282" i="90"/>
  <c r="P275" i="90"/>
  <c r="P272" i="90"/>
  <c r="P255" i="90"/>
  <c r="P238" i="90"/>
  <c r="P301" i="90"/>
  <c r="P254" i="90"/>
  <c r="P317" i="90"/>
  <c r="P314" i="90"/>
  <c r="P297" i="90"/>
  <c r="P294" i="90"/>
  <c r="P291" i="90"/>
  <c r="P284" i="90"/>
  <c r="P277" i="90"/>
  <c r="P267" i="90"/>
  <c r="P264" i="90"/>
  <c r="P257" i="90"/>
  <c r="P247" i="90"/>
  <c r="P233" i="90"/>
  <c r="P241" i="90"/>
  <c r="P330" i="90"/>
  <c r="P327" i="90"/>
  <c r="P324" i="90"/>
  <c r="P311" i="90"/>
  <c r="P308" i="90"/>
  <c r="P288" i="90"/>
  <c r="P281" i="90"/>
  <c r="P274" i="90"/>
  <c r="P271" i="90"/>
  <c r="P244" i="90"/>
  <c r="P237" i="90"/>
  <c r="P329" i="90"/>
  <c r="P326" i="90"/>
  <c r="P320" i="90"/>
  <c r="P307" i="90"/>
  <c r="P304" i="90"/>
  <c r="P287" i="90"/>
  <c r="P270" i="90"/>
  <c r="P260" i="90"/>
  <c r="P253" i="90"/>
  <c r="P250" i="90"/>
  <c r="P243" i="90"/>
  <c r="T232" i="90"/>
  <c r="T328" i="90"/>
  <c r="T326" i="90"/>
  <c r="O323" i="90"/>
  <c r="O321" i="90"/>
  <c r="T319" i="90"/>
  <c r="T317" i="90"/>
  <c r="O310" i="90"/>
  <c r="O308" i="90"/>
  <c r="O304" i="90"/>
  <c r="T290" i="90"/>
  <c r="O286" i="90"/>
  <c r="O284" i="90"/>
  <c r="O282" i="90"/>
  <c r="O280" i="90"/>
  <c r="O271" i="90"/>
  <c r="O254" i="90"/>
  <c r="O252" i="90"/>
  <c r="O250" i="90"/>
  <c r="T245" i="90"/>
  <c r="O239" i="90"/>
  <c r="T234" i="90"/>
  <c r="T330" i="90"/>
  <c r="O316" i="90"/>
  <c r="O314" i="90"/>
  <c r="O312" i="90"/>
  <c r="O302" i="90"/>
  <c r="O300" i="90"/>
  <c r="O298" i="90"/>
  <c r="T296" i="90"/>
  <c r="T294" i="90"/>
  <c r="O278" i="90"/>
  <c r="T273" i="90"/>
  <c r="O263" i="90"/>
  <c r="O261" i="90"/>
  <c r="O259" i="90"/>
  <c r="O248" i="90"/>
  <c r="T241" i="90"/>
  <c r="O330" i="90"/>
  <c r="T313" i="90"/>
  <c r="T311" i="90"/>
  <c r="T305" i="90"/>
  <c r="T299" i="90"/>
  <c r="T297" i="90"/>
  <c r="O296" i="90"/>
  <c r="O294" i="90"/>
  <c r="O292" i="90"/>
  <c r="O275" i="90"/>
  <c r="O273" i="90"/>
  <c r="O266" i="90"/>
  <c r="T264" i="90"/>
  <c r="T262" i="90"/>
  <c r="T258" i="90"/>
  <c r="T247" i="90"/>
  <c r="O243" i="90"/>
  <c r="O241" i="90"/>
  <c r="T236" i="90"/>
  <c r="O328" i="90"/>
  <c r="O326" i="90"/>
  <c r="T322" i="90"/>
  <c r="O319" i="90"/>
  <c r="O317" i="90"/>
  <c r="O315" i="90"/>
  <c r="T309" i="90"/>
  <c r="O301" i="90"/>
  <c r="O290" i="90"/>
  <c r="O288" i="90"/>
  <c r="T283" i="90"/>
  <c r="O277" i="90"/>
  <c r="O268" i="90"/>
  <c r="O256" i="90"/>
  <c r="T251" i="90"/>
  <c r="O245" i="90"/>
  <c r="O234" i="90"/>
  <c r="O324" i="90"/>
  <c r="T320" i="90"/>
  <c r="O313" i="90"/>
  <c r="O311" i="90"/>
  <c r="O307" i="90"/>
  <c r="O305" i="90"/>
  <c r="O303" i="90"/>
  <c r="O299" i="90"/>
  <c r="O297" i="90"/>
  <c r="T295" i="90"/>
  <c r="T293" i="90"/>
  <c r="O285" i="90"/>
  <c r="O281" i="90"/>
  <c r="O279" i="90"/>
  <c r="O270" i="90"/>
  <c r="T265" i="90"/>
  <c r="O264" i="90"/>
  <c r="O262" i="90"/>
  <c r="O260" i="90"/>
  <c r="O258" i="90"/>
  <c r="O253" i="90"/>
  <c r="O249" i="90"/>
  <c r="O247" i="90"/>
  <c r="O238" i="90"/>
  <c r="O236" i="90"/>
  <c r="O329" i="90"/>
  <c r="T325" i="90"/>
  <c r="O322" i="90"/>
  <c r="T318" i="90"/>
  <c r="O309" i="90"/>
  <c r="T291" i="90"/>
  <c r="T289" i="90"/>
  <c r="O283" i="90"/>
  <c r="O274" i="90"/>
  <c r="T267" i="90"/>
  <c r="O251" i="90"/>
  <c r="O242" i="90"/>
  <c r="O331" i="90"/>
  <c r="O320" i="90"/>
  <c r="T316" i="90"/>
  <c r="T314" i="90"/>
  <c r="T302" i="90"/>
  <c r="T300" i="90"/>
  <c r="T298" i="90"/>
  <c r="O295" i="90"/>
  <c r="O293" i="90"/>
  <c r="O287" i="90"/>
  <c r="T278" i="90"/>
  <c r="O272" i="90"/>
  <c r="O265" i="90"/>
  <c r="T263" i="90"/>
  <c r="T261" i="90"/>
  <c r="O255" i="90"/>
  <c r="O240" i="90"/>
  <c r="O233" i="90"/>
  <c r="T327" i="90"/>
  <c r="O327" i="90"/>
  <c r="O325" i="90"/>
  <c r="T323" i="90"/>
  <c r="T321" i="90"/>
  <c r="O318" i="90"/>
  <c r="T310" i="90"/>
  <c r="O306" i="90"/>
  <c r="T304" i="90"/>
  <c r="O291" i="90"/>
  <c r="O289" i="90"/>
  <c r="T284" i="90"/>
  <c r="T280" i="90"/>
  <c r="O276" i="90"/>
  <c r="O269" i="90"/>
  <c r="O267" i="90"/>
  <c r="O257" i="90"/>
  <c r="T252" i="90"/>
  <c r="O246" i="90"/>
  <c r="O244" i="90"/>
  <c r="O237" i="90"/>
  <c r="T307" i="90"/>
  <c r="T287" i="90"/>
  <c r="T285" i="90"/>
  <c r="T276" i="90"/>
  <c r="T274" i="90"/>
  <c r="T256" i="90"/>
  <c r="T254" i="90"/>
  <c r="T243" i="90"/>
  <c r="T312" i="90"/>
  <c r="T303" i="90"/>
  <c r="T301" i="90"/>
  <c r="T292" i="90"/>
  <c r="T281" i="90"/>
  <c r="T272" i="90"/>
  <c r="T270" i="90"/>
  <c r="T250" i="90"/>
  <c r="T239" i="90"/>
  <c r="T237" i="90"/>
  <c r="T279" i="90"/>
  <c r="T277" i="90"/>
  <c r="T268" i="90"/>
  <c r="T266" i="90"/>
  <c r="T259" i="90"/>
  <c r="T257" i="90"/>
  <c r="T248" i="90"/>
  <c r="T246" i="90"/>
  <c r="T235" i="90"/>
  <c r="T233" i="90"/>
  <c r="T331" i="90"/>
  <c r="T329" i="90"/>
  <c r="T324" i="90"/>
  <c r="T315" i="90"/>
  <c r="T308" i="90"/>
  <c r="T306" i="90"/>
  <c r="T288" i="90"/>
  <c r="T286" i="90"/>
  <c r="T275" i="90"/>
  <c r="T255" i="90"/>
  <c r="T253" i="90"/>
  <c r="T244" i="90"/>
  <c r="T242" i="90"/>
  <c r="T282" i="90"/>
  <c r="T271" i="90"/>
  <c r="T269" i="90"/>
  <c r="T260" i="90"/>
  <c r="T249" i="90"/>
  <c r="T240" i="90"/>
  <c r="N279" i="90"/>
  <c r="N238" i="90"/>
  <c r="N321" i="90"/>
  <c r="N316" i="90"/>
  <c r="N307" i="90"/>
  <c r="N298" i="90"/>
  <c r="N284" i="90"/>
  <c r="N275" i="90"/>
  <c r="N266" i="90"/>
  <c r="N257" i="90"/>
  <c r="N252" i="90"/>
  <c r="N234" i="90"/>
  <c r="N302" i="90"/>
  <c r="N247" i="90"/>
  <c r="N326" i="90"/>
  <c r="N317" i="90"/>
  <c r="N312" i="90"/>
  <c r="N303" i="90"/>
  <c r="N294" i="90"/>
  <c r="N285" i="90"/>
  <c r="N280" i="90"/>
  <c r="N271" i="90"/>
  <c r="N262" i="90"/>
  <c r="N253" i="90"/>
  <c r="N248" i="90"/>
  <c r="N239" i="90"/>
  <c r="N293" i="90"/>
  <c r="N288" i="90"/>
  <c r="N270" i="90"/>
  <c r="N261" i="90"/>
  <c r="N256" i="90"/>
  <c r="N330" i="90"/>
  <c r="N289" i="90"/>
  <c r="N243" i="90"/>
  <c r="N331" i="90"/>
  <c r="N322" i="90"/>
  <c r="N313" i="90"/>
  <c r="N308" i="90"/>
  <c r="N299" i="90"/>
  <c r="N290" i="90"/>
  <c r="N281" i="90"/>
  <c r="N276" i="90"/>
  <c r="N267" i="90"/>
  <c r="N258" i="90"/>
  <c r="N249" i="90"/>
  <c r="N244" i="90"/>
  <c r="N235" i="90"/>
  <c r="N327" i="90"/>
  <c r="N318" i="90"/>
  <c r="N309" i="90"/>
  <c r="N304" i="90"/>
  <c r="N295" i="90"/>
  <c r="N286" i="90"/>
  <c r="N277" i="90"/>
  <c r="N272" i="90"/>
  <c r="N263" i="90"/>
  <c r="N254" i="90"/>
  <c r="N245" i="90"/>
  <c r="N240" i="90"/>
  <c r="N232" i="90"/>
  <c r="N323" i="90"/>
  <c r="N314" i="90"/>
  <c r="N305" i="90"/>
  <c r="N300" i="90"/>
  <c r="N291" i="90"/>
  <c r="N282" i="90"/>
  <c r="N273" i="90"/>
  <c r="N268" i="90"/>
  <c r="N259" i="90"/>
  <c r="N250" i="90"/>
  <c r="N241" i="90"/>
  <c r="N236" i="90"/>
  <c r="N328" i="90"/>
  <c r="N319" i="90"/>
  <c r="N310" i="90"/>
  <c r="N301" i="90"/>
  <c r="N296" i="90"/>
  <c r="N287" i="90"/>
  <c r="N278" i="90"/>
  <c r="N269" i="90"/>
  <c r="N264" i="90"/>
  <c r="N255" i="90"/>
  <c r="N246" i="90"/>
  <c r="M329" i="90"/>
  <c r="M300" i="90"/>
  <c r="M236" i="90"/>
  <c r="M296" i="90"/>
  <c r="M304" i="90"/>
  <c r="M270" i="90"/>
  <c r="M331" i="90"/>
  <c r="M298" i="90"/>
  <c r="M268" i="90"/>
  <c r="M327" i="90"/>
  <c r="M293" i="90"/>
  <c r="M262" i="90"/>
  <c r="M324" i="90"/>
  <c r="M323" i="90"/>
  <c r="M322" i="90"/>
  <c r="M321" i="90"/>
  <c r="M292" i="90"/>
  <c r="M291" i="90"/>
  <c r="M290" i="90"/>
  <c r="M289" i="90"/>
  <c r="M260" i="90"/>
  <c r="M259" i="90"/>
  <c r="M258" i="90"/>
  <c r="M257" i="90"/>
  <c r="M303" i="90"/>
  <c r="M269" i="90"/>
  <c r="M240" i="90"/>
  <c r="M239" i="90"/>
  <c r="M238" i="90"/>
  <c r="M266" i="90"/>
  <c r="M233" i="90"/>
  <c r="M325" i="90"/>
  <c r="M295" i="90"/>
  <c r="M263" i="90"/>
  <c r="M261" i="90"/>
  <c r="M320" i="90"/>
  <c r="M319" i="90"/>
  <c r="M318" i="90"/>
  <c r="M317" i="90"/>
  <c r="M288" i="90"/>
  <c r="M287" i="90"/>
  <c r="M286" i="90"/>
  <c r="M285" i="90"/>
  <c r="M256" i="90"/>
  <c r="M255" i="90"/>
  <c r="M254" i="90"/>
  <c r="M253" i="90"/>
  <c r="M232" i="90"/>
  <c r="M299" i="90"/>
  <c r="M265" i="90"/>
  <c r="M234" i="90"/>
  <c r="M328" i="90"/>
  <c r="M326" i="90"/>
  <c r="M294" i="90"/>
  <c r="M264" i="90"/>
  <c r="M316" i="90"/>
  <c r="M315" i="90"/>
  <c r="M314" i="90"/>
  <c r="M313" i="90"/>
  <c r="M284" i="90"/>
  <c r="M283" i="90"/>
  <c r="M282" i="90"/>
  <c r="M281" i="90"/>
  <c r="M252" i="90"/>
  <c r="M251" i="90"/>
  <c r="M250" i="90"/>
  <c r="M249" i="90"/>
  <c r="M301" i="90"/>
  <c r="M271" i="90"/>
  <c r="M330" i="90"/>
  <c r="M297" i="90"/>
  <c r="M267" i="90"/>
  <c r="M235" i="90"/>
  <c r="M312" i="90"/>
  <c r="M311" i="90"/>
  <c r="M310" i="90"/>
  <c r="M309" i="90"/>
  <c r="M280" i="90"/>
  <c r="M279" i="90"/>
  <c r="M278" i="90"/>
  <c r="M277" i="90"/>
  <c r="M248" i="90"/>
  <c r="M247" i="90"/>
  <c r="M246" i="90"/>
  <c r="M245" i="90"/>
  <c r="M308" i="90"/>
  <c r="M307" i="90"/>
  <c r="M306" i="90"/>
  <c r="M305" i="90"/>
  <c r="M276" i="90"/>
  <c r="M275" i="90"/>
  <c r="M274" i="90"/>
  <c r="M273" i="90"/>
  <c r="M244" i="90"/>
  <c r="M243" i="90"/>
  <c r="M242" i="90"/>
  <c r="M241" i="90"/>
  <c r="M302" i="90"/>
  <c r="M272" i="90"/>
  <c r="L330" i="90"/>
  <c r="L326" i="90"/>
  <c r="L322" i="90"/>
  <c r="L318" i="90"/>
  <c r="L314" i="90"/>
  <c r="L310" i="90"/>
  <c r="L306" i="90"/>
  <c r="L302" i="90"/>
  <c r="L298" i="90"/>
  <c r="L294" i="90"/>
  <c r="L290" i="90"/>
  <c r="L286" i="90"/>
  <c r="L282" i="90"/>
  <c r="L278" i="90"/>
  <c r="L274" i="90"/>
  <c r="L270" i="90"/>
  <c r="L266" i="90"/>
  <c r="L262" i="90"/>
  <c r="L258" i="90"/>
  <c r="L254" i="90"/>
  <c r="L250" i="90"/>
  <c r="L246" i="90"/>
  <c r="L242" i="90"/>
  <c r="L238" i="90"/>
  <c r="L234" i="90"/>
  <c r="L328" i="90"/>
  <c r="L324" i="90"/>
  <c r="L320" i="90"/>
  <c r="L316" i="90"/>
  <c r="L312" i="90"/>
  <c r="L308" i="90"/>
  <c r="L304" i="90"/>
  <c r="L300" i="90"/>
  <c r="L296" i="90"/>
  <c r="L292" i="90"/>
  <c r="L288" i="90"/>
  <c r="L284" i="90"/>
  <c r="L280" i="90"/>
  <c r="L276" i="90"/>
  <c r="L272" i="90"/>
  <c r="L268" i="90"/>
  <c r="L264" i="90"/>
  <c r="L260" i="90"/>
  <c r="L256" i="90"/>
  <c r="L252" i="90"/>
  <c r="L248" i="90"/>
  <c r="L244" i="90"/>
  <c r="L240" i="90"/>
  <c r="L236" i="90"/>
  <c r="L331" i="90"/>
  <c r="L327" i="90"/>
  <c r="L323" i="90"/>
  <c r="L319" i="90"/>
  <c r="L315" i="90"/>
  <c r="L311" i="90"/>
  <c r="L307" i="90"/>
  <c r="L303" i="90"/>
  <c r="L299" i="90"/>
  <c r="L295" i="90"/>
  <c r="L291" i="90"/>
  <c r="L287" i="90"/>
  <c r="L283" i="90"/>
  <c r="L279" i="90"/>
  <c r="L275" i="90"/>
  <c r="L271" i="90"/>
  <c r="L267" i="90"/>
  <c r="L263" i="90"/>
  <c r="L259" i="90"/>
  <c r="L255" i="90"/>
  <c r="L251" i="90"/>
  <c r="L247" i="90"/>
  <c r="L243" i="90"/>
  <c r="L239" i="90"/>
  <c r="K296" i="90"/>
  <c r="K278" i="90"/>
  <c r="K331" i="90"/>
  <c r="K329" i="90"/>
  <c r="K283" i="90"/>
  <c r="E314" i="90"/>
  <c r="E289" i="90"/>
  <c r="E283" i="90"/>
  <c r="E268" i="90"/>
  <c r="E262" i="90"/>
  <c r="E249" i="90"/>
  <c r="E235" i="90"/>
  <c r="E319" i="90"/>
  <c r="E299" i="90"/>
  <c r="E291" i="90"/>
  <c r="E287" i="90"/>
  <c r="E270" i="90"/>
  <c r="E265" i="90"/>
  <c r="E252" i="90"/>
  <c r="E246" i="90"/>
  <c r="E238" i="90"/>
  <c r="E324" i="90"/>
  <c r="E307" i="90"/>
  <c r="E305" i="90"/>
  <c r="E303" i="90"/>
  <c r="E285" i="90"/>
  <c r="E280" i="90"/>
  <c r="E272" i="90"/>
  <c r="E254" i="90"/>
  <c r="E331" i="90"/>
  <c r="E321" i="90"/>
  <c r="E296" i="90"/>
  <c r="E277" i="90"/>
  <c r="E264" i="90"/>
  <c r="J230" i="90"/>
  <c r="E318" i="90"/>
  <c r="E293" i="90"/>
  <c r="E279" i="90"/>
  <c r="E261" i="90"/>
  <c r="E258" i="90"/>
  <c r="E251" i="90"/>
  <c r="E245" i="90"/>
  <c r="E242" i="90"/>
  <c r="E237" i="90"/>
  <c r="E329" i="90"/>
  <c r="E316" i="90"/>
  <c r="E274" i="90"/>
  <c r="E323" i="90"/>
  <c r="E312" i="90"/>
  <c r="E290" i="90"/>
  <c r="E288" i="90"/>
  <c r="E286" i="90"/>
  <c r="E284" i="90"/>
  <c r="E282" i="90"/>
  <c r="E234" i="90"/>
  <c r="E326" i="90"/>
  <c r="E313" i="90"/>
  <c r="E301" i="90"/>
  <c r="E267" i="90"/>
  <c r="E256" i="90"/>
  <c r="E248" i="90"/>
  <c r="E240" i="90"/>
  <c r="E328" i="90"/>
  <c r="E320" i="90"/>
  <c r="E315" i="90"/>
  <c r="E309" i="90"/>
  <c r="E306" i="90"/>
  <c r="E304" i="90"/>
  <c r="E302" i="90"/>
  <c r="E298" i="90"/>
  <c r="E295" i="90"/>
  <c r="E292" i="90"/>
  <c r="E276" i="90"/>
  <c r="E271" i="90"/>
  <c r="E269" i="90"/>
  <c r="E263" i="90"/>
  <c r="E260" i="90"/>
  <c r="E253" i="90"/>
  <c r="E247" i="90"/>
  <c r="E244" i="90"/>
  <c r="I230" i="90"/>
  <c r="D322" i="90"/>
  <c r="D320" i="90"/>
  <c r="D318" i="90"/>
  <c r="D316" i="90"/>
  <c r="D314" i="90"/>
  <c r="D309" i="90"/>
  <c r="D281" i="90"/>
  <c r="D276" i="90"/>
  <c r="D268" i="90"/>
  <c r="D266" i="90"/>
  <c r="D261" i="90"/>
  <c r="D254" i="90"/>
  <c r="D252" i="90"/>
  <c r="D250" i="90"/>
  <c r="D245" i="90"/>
  <c r="D238" i="90"/>
  <c r="D236" i="90"/>
  <c r="D234" i="90"/>
  <c r="D280" i="90"/>
  <c r="D273" i="90"/>
  <c r="D265" i="90"/>
  <c r="D260" i="90"/>
  <c r="D249" i="90"/>
  <c r="D244" i="90"/>
  <c r="D235" i="90"/>
  <c r="D233" i="90"/>
  <c r="D313" i="90"/>
  <c r="D308" i="90"/>
  <c r="D300" i="90"/>
  <c r="D298" i="90"/>
  <c r="D293" i="90"/>
  <c r="D275" i="90"/>
  <c r="D271" i="90"/>
  <c r="D267" i="90"/>
  <c r="D232" i="90"/>
  <c r="D328" i="90"/>
  <c r="D323" i="90"/>
  <c r="D321" i="90"/>
  <c r="D319" i="90"/>
  <c r="D315" i="90"/>
  <c r="D310" i="90"/>
  <c r="D295" i="90"/>
  <c r="D269" i="90"/>
  <c r="D262" i="90"/>
  <c r="D251" i="90"/>
  <c r="D246" i="90"/>
  <c r="D239" i="90"/>
  <c r="C329" i="90"/>
  <c r="C327" i="90"/>
  <c r="C312" i="90"/>
  <c r="C310" i="90"/>
  <c r="C297" i="90"/>
  <c r="C295" i="90"/>
  <c r="C282" i="90"/>
  <c r="C280" i="90"/>
  <c r="C278" i="90"/>
  <c r="C265" i="90"/>
  <c r="C263" i="90"/>
  <c r="C250" i="90"/>
  <c r="C248" i="90"/>
  <c r="C246" i="90"/>
  <c r="C233" i="90"/>
  <c r="C314" i="90"/>
  <c r="C325" i="90"/>
  <c r="C323" i="90"/>
  <c r="C308" i="90"/>
  <c r="C293" i="90"/>
  <c r="C291" i="90"/>
  <c r="C276" i="90"/>
  <c r="C261" i="90"/>
  <c r="C259" i="90"/>
  <c r="C244" i="90"/>
  <c r="C255" i="90"/>
  <c r="C240" i="90"/>
  <c r="C317" i="90"/>
  <c r="C315" i="90"/>
  <c r="C300" i="90"/>
  <c r="C285" i="90"/>
  <c r="C283" i="90"/>
  <c r="C268" i="90"/>
  <c r="C253" i="90"/>
  <c r="C251" i="90"/>
  <c r="C236" i="90"/>
  <c r="C242" i="90"/>
  <c r="C330" i="90"/>
  <c r="C328" i="90"/>
  <c r="C326" i="90"/>
  <c r="C313" i="90"/>
  <c r="C311" i="90"/>
  <c r="C298" i="90"/>
  <c r="C296" i="90"/>
  <c r="C294" i="90"/>
  <c r="C281" i="90"/>
  <c r="C279" i="90"/>
  <c r="C266" i="90"/>
  <c r="C264" i="90"/>
  <c r="C262" i="90"/>
  <c r="C249" i="90"/>
  <c r="C247" i="90"/>
  <c r="C234" i="90"/>
  <c r="C257" i="90"/>
  <c r="C238" i="90"/>
  <c r="C324" i="90"/>
  <c r="C309" i="90"/>
  <c r="C307" i="90"/>
  <c r="C292" i="90"/>
  <c r="C277" i="90"/>
  <c r="C275" i="90"/>
  <c r="C260" i="90"/>
  <c r="C245" i="90"/>
  <c r="AB124" i="90"/>
  <c r="P124" i="90"/>
  <c r="J124" i="90"/>
  <c r="D124" i="90"/>
  <c r="BE325" i="90" l="1"/>
  <c r="BE293" i="90"/>
  <c r="BE326" i="90"/>
  <c r="BE307" i="90"/>
  <c r="BE280" i="90"/>
  <c r="BE250" i="90"/>
  <c r="BE233" i="90"/>
  <c r="BE296" i="90"/>
  <c r="BE298" i="90"/>
  <c r="BE330" i="90"/>
  <c r="BE311" i="90"/>
  <c r="BE238" i="90"/>
  <c r="BE256" i="90"/>
  <c r="BE237" i="90"/>
  <c r="BE317" i="90"/>
  <c r="BE320" i="90"/>
  <c r="BE314" i="90"/>
  <c r="BE295" i="90"/>
  <c r="BE266" i="90"/>
  <c r="BE243" i="90"/>
  <c r="BE300" i="90"/>
  <c r="BE234" i="90"/>
  <c r="BE263" i="90"/>
  <c r="BE248" i="90"/>
  <c r="BE327" i="90"/>
  <c r="BE309" i="90"/>
  <c r="BE288" i="90"/>
  <c r="BE287" i="90"/>
  <c r="BE259" i="90"/>
  <c r="BE244" i="90"/>
  <c r="BE331" i="90"/>
  <c r="BE291" i="90"/>
  <c r="BE315" i="90"/>
  <c r="BE294" i="90"/>
  <c r="BE278" i="90"/>
  <c r="BE275" i="90"/>
  <c r="BE272" i="90"/>
  <c r="BE253" i="90"/>
  <c r="BF290" i="90"/>
  <c r="BF281" i="90"/>
  <c r="BF264" i="90"/>
  <c r="BF245" i="90"/>
  <c r="AD308" i="90"/>
  <c r="BF312" i="90"/>
  <c r="BF288" i="90"/>
  <c r="BF321" i="90"/>
  <c r="BF314" i="90"/>
  <c r="BF257" i="90"/>
  <c r="BF294" i="90"/>
  <c r="BF269" i="90"/>
  <c r="BF287" i="90"/>
  <c r="BF265" i="90"/>
  <c r="BF239" i="90"/>
  <c r="BF327" i="90"/>
  <c r="BF261" i="90"/>
  <c r="BF309" i="90"/>
  <c r="BF330" i="90"/>
  <c r="BF280" i="90"/>
  <c r="BF299" i="90"/>
  <c r="BF283" i="90"/>
  <c r="BF254" i="90"/>
  <c r="BF270" i="90"/>
  <c r="BF244" i="90"/>
  <c r="BE321" i="90"/>
  <c r="BE323" i="90"/>
  <c r="BE328" i="90"/>
  <c r="BE310" i="90"/>
  <c r="BE322" i="90"/>
  <c r="BE285" i="90"/>
  <c r="BE303" i="90"/>
  <c r="BE273" i="90"/>
  <c r="BE276" i="90"/>
  <c r="BE255" i="90"/>
  <c r="BE251" i="90"/>
  <c r="BE240" i="90"/>
  <c r="BE306" i="90"/>
  <c r="BE319" i="90"/>
  <c r="BE324" i="90"/>
  <c r="BE302" i="90"/>
  <c r="BE318" i="90"/>
  <c r="BE271" i="90"/>
  <c r="BE299" i="90"/>
  <c r="BE265" i="90"/>
  <c r="BE254" i="90"/>
  <c r="BE246" i="90"/>
  <c r="BE247" i="90"/>
  <c r="BE236" i="90"/>
  <c r="BE329" i="90"/>
  <c r="BE312" i="90"/>
  <c r="BE316" i="90"/>
  <c r="BE290" i="90"/>
  <c r="BE305" i="90"/>
  <c r="BE274" i="90"/>
  <c r="BE292" i="90"/>
  <c r="BE269" i="90"/>
  <c r="BE262" i="90"/>
  <c r="BE268" i="90"/>
  <c r="BE239" i="90"/>
  <c r="BE249" i="90"/>
  <c r="BE313" i="90"/>
  <c r="BE284" i="90"/>
  <c r="BE297" i="90"/>
  <c r="BE308" i="90"/>
  <c r="BE301" i="90"/>
  <c r="BE289" i="90"/>
  <c r="BE283" i="90"/>
  <c r="BE282" i="90"/>
  <c r="BE267" i="90"/>
  <c r="BE258" i="90"/>
  <c r="BE264" i="90"/>
  <c r="BE235" i="90"/>
  <c r="BF266" i="90"/>
  <c r="BF278" i="90"/>
  <c r="BF260" i="90"/>
  <c r="BF252" i="90"/>
  <c r="BF241" i="90"/>
  <c r="BF291" i="90"/>
  <c r="BF277" i="90"/>
  <c r="BF242" i="90"/>
  <c r="BF251" i="90"/>
  <c r="BF240" i="90"/>
  <c r="BF234" i="90"/>
  <c r="BF255" i="90"/>
  <c r="BF247" i="90"/>
  <c r="BF236" i="90"/>
  <c r="BF246" i="90"/>
  <c r="BF243" i="90"/>
  <c r="I461" i="90"/>
  <c r="K292" i="90"/>
  <c r="K247" i="90"/>
  <c r="K308" i="90"/>
  <c r="K258" i="90"/>
  <c r="K263" i="90"/>
  <c r="K306" i="90"/>
  <c r="K253" i="90"/>
  <c r="K311" i="90"/>
  <c r="K244" i="90"/>
  <c r="K321" i="90"/>
  <c r="K269" i="90"/>
  <c r="K234" i="90"/>
  <c r="K294" i="90"/>
  <c r="K267" i="90"/>
  <c r="K317" i="90"/>
  <c r="K280" i="90"/>
  <c r="I460" i="90"/>
  <c r="I465" i="90"/>
  <c r="I466" i="90"/>
  <c r="AD240" i="90"/>
  <c r="AD232" i="90"/>
  <c r="AD245" i="90"/>
  <c r="AD262" i="90"/>
  <c r="AD294" i="90"/>
  <c r="AD252" i="90"/>
  <c r="I463" i="90"/>
  <c r="I462" i="90"/>
  <c r="E462" i="90"/>
  <c r="H271" i="90"/>
  <c r="H263" i="90"/>
  <c r="E465" i="90"/>
  <c r="H276" i="90"/>
  <c r="I464" i="90"/>
  <c r="E461" i="90"/>
  <c r="E464" i="90"/>
  <c r="H240" i="90"/>
  <c r="H284" i="90"/>
  <c r="H269" i="90"/>
  <c r="H279" i="90"/>
  <c r="H244" i="90"/>
  <c r="H285" i="90"/>
  <c r="H322" i="90"/>
  <c r="H256" i="90"/>
  <c r="H300" i="90"/>
  <c r="H233" i="90"/>
  <c r="H303" i="90"/>
  <c r="H309" i="90"/>
  <c r="E463" i="90"/>
  <c r="H288" i="90"/>
  <c r="H252" i="90"/>
  <c r="H317" i="90"/>
  <c r="E460" i="90"/>
  <c r="H295" i="90"/>
  <c r="H331" i="90"/>
  <c r="H292" i="90"/>
  <c r="H328" i="90"/>
  <c r="H293" i="90"/>
  <c r="H301" i="90"/>
  <c r="H260" i="90"/>
  <c r="H304" i="90"/>
  <c r="H268" i="90"/>
  <c r="H308" i="90"/>
  <c r="H237" i="90"/>
  <c r="H245" i="90"/>
  <c r="D364" i="90"/>
  <c r="H324" i="90"/>
  <c r="H272" i="90"/>
  <c r="H316" i="90"/>
  <c r="H255" i="90"/>
  <c r="H261" i="90"/>
  <c r="K250" i="90"/>
  <c r="K314" i="90"/>
  <c r="K275" i="90"/>
  <c r="K237" i="90"/>
  <c r="K300" i="90"/>
  <c r="K261" i="90"/>
  <c r="K324" i="90"/>
  <c r="K286" i="90"/>
  <c r="K255" i="90"/>
  <c r="K318" i="90"/>
  <c r="K288" i="90"/>
  <c r="K266" i="90"/>
  <c r="K302" i="90"/>
  <c r="K252" i="90"/>
  <c r="K277" i="90"/>
  <c r="K271" i="90"/>
  <c r="K274" i="90"/>
  <c r="K236" i="90"/>
  <c r="K299" i="90"/>
  <c r="K260" i="90"/>
  <c r="K323" i="90"/>
  <c r="K285" i="90"/>
  <c r="K246" i="90"/>
  <c r="K310" i="90"/>
  <c r="K279" i="90"/>
  <c r="K248" i="90"/>
  <c r="K312" i="90"/>
  <c r="AD326" i="90"/>
  <c r="K328" i="90"/>
  <c r="K239" i="90"/>
  <c r="K282" i="90"/>
  <c r="K243" i="90"/>
  <c r="K307" i="90"/>
  <c r="K268" i="90"/>
  <c r="K330" i="90"/>
  <c r="K293" i="90"/>
  <c r="K254" i="90"/>
  <c r="K325" i="90"/>
  <c r="K287" i="90"/>
  <c r="K256" i="90"/>
  <c r="K319" i="90"/>
  <c r="AD274" i="90"/>
  <c r="K240" i="90"/>
  <c r="K290" i="90"/>
  <c r="K251" i="90"/>
  <c r="K315" i="90"/>
  <c r="K276" i="90"/>
  <c r="K238" i="90"/>
  <c r="K301" i="90"/>
  <c r="K262" i="90"/>
  <c r="K233" i="90"/>
  <c r="K295" i="90"/>
  <c r="K264" i="90"/>
  <c r="K326" i="90"/>
  <c r="K291" i="90"/>
  <c r="K316" i="90"/>
  <c r="K304" i="90"/>
  <c r="K298" i="90"/>
  <c r="K259" i="90"/>
  <c r="K322" i="90"/>
  <c r="K284" i="90"/>
  <c r="K245" i="90"/>
  <c r="K309" i="90"/>
  <c r="K270" i="90"/>
  <c r="K232" i="90"/>
  <c r="K303" i="90"/>
  <c r="K272" i="90"/>
  <c r="AC253" i="90"/>
  <c r="K249" i="90"/>
  <c r="K305" i="90"/>
  <c r="AD286" i="90"/>
  <c r="H373" i="90"/>
  <c r="H412" i="90"/>
  <c r="K281" i="90"/>
  <c r="K235" i="90"/>
  <c r="K273" i="90"/>
  <c r="AD243" i="90"/>
  <c r="K242" i="90"/>
  <c r="H398" i="90"/>
  <c r="K289" i="90"/>
  <c r="H428" i="90"/>
  <c r="K327" i="90"/>
  <c r="H353" i="90"/>
  <c r="H336" i="90"/>
  <c r="H402" i="90"/>
  <c r="H385" i="90"/>
  <c r="AD296" i="90"/>
  <c r="AD306" i="90"/>
  <c r="AD273" i="90"/>
  <c r="AD295" i="90"/>
  <c r="AD236" i="90"/>
  <c r="AD287" i="90"/>
  <c r="AD258" i="90"/>
  <c r="AC276" i="90"/>
  <c r="K320" i="90"/>
  <c r="AD288" i="90"/>
  <c r="H418" i="90"/>
  <c r="H400" i="90"/>
  <c r="H356" i="90"/>
  <c r="AD298" i="90"/>
  <c r="AD318" i="90"/>
  <c r="AD259" i="90"/>
  <c r="AD263" i="90"/>
  <c r="AD254" i="90"/>
  <c r="AC331" i="90"/>
  <c r="K297" i="90"/>
  <c r="K265" i="90"/>
  <c r="AD257" i="90"/>
  <c r="AD280" i="90"/>
  <c r="AD330" i="90"/>
  <c r="AD244" i="90"/>
  <c r="AD253" i="90"/>
  <c r="AD303" i="90"/>
  <c r="AD311" i="90"/>
  <c r="AD319" i="90"/>
  <c r="AD327" i="90"/>
  <c r="AD289" i="90"/>
  <c r="AD267" i="90"/>
  <c r="AD250" i="90"/>
  <c r="AC234" i="90"/>
  <c r="AD271" i="90"/>
  <c r="AD310" i="90"/>
  <c r="AD278" i="90"/>
  <c r="AD292" i="90"/>
  <c r="AD290" i="90"/>
  <c r="AD268" i="90"/>
  <c r="AC301" i="90"/>
  <c r="K241" i="90"/>
  <c r="K313" i="90"/>
  <c r="AD328" i="90"/>
  <c r="AD325" i="90"/>
  <c r="H375" i="90"/>
  <c r="H420" i="90"/>
  <c r="AD269" i="90"/>
  <c r="AD322" i="90"/>
  <c r="AD279" i="90"/>
  <c r="AD241" i="90"/>
  <c r="AD291" i="90"/>
  <c r="AD264" i="90"/>
  <c r="AC324" i="90"/>
  <c r="AD281" i="90"/>
  <c r="H374" i="90"/>
  <c r="AD302" i="90"/>
  <c r="AD235" i="90"/>
  <c r="AD251" i="90"/>
  <c r="AD277" i="90"/>
  <c r="AD260" i="90"/>
  <c r="AC250" i="90"/>
  <c r="H369" i="90"/>
  <c r="AD314" i="90"/>
  <c r="AD293" i="90"/>
  <c r="AD261" i="90"/>
  <c r="AD299" i="90"/>
  <c r="AD307" i="90"/>
  <c r="AD315" i="90"/>
  <c r="AD323" i="90"/>
  <c r="AD255" i="90"/>
  <c r="AD285" i="90"/>
  <c r="AD238" i="90"/>
  <c r="AD256" i="90"/>
  <c r="AC285" i="90"/>
  <c r="AD234" i="90"/>
  <c r="AD329" i="90"/>
  <c r="H323" i="90"/>
  <c r="H236" i="90"/>
  <c r="H246" i="90"/>
  <c r="H262" i="90"/>
  <c r="H278" i="90"/>
  <c r="H294" i="90"/>
  <c r="H310" i="90"/>
  <c r="H243" i="90"/>
  <c r="H273" i="90"/>
  <c r="H307" i="90"/>
  <c r="H249" i="90"/>
  <c r="H283" i="90"/>
  <c r="H315" i="90"/>
  <c r="AD237" i="90"/>
  <c r="AD247" i="90"/>
  <c r="AD246" i="90"/>
  <c r="AD248" i="90"/>
  <c r="AC241" i="90"/>
  <c r="AD309" i="90"/>
  <c r="AD320" i="90"/>
  <c r="AD270" i="90"/>
  <c r="H327" i="90"/>
  <c r="H238" i="90"/>
  <c r="H248" i="90"/>
  <c r="H264" i="90"/>
  <c r="H280" i="90"/>
  <c r="H296" i="90"/>
  <c r="H312" i="90"/>
  <c r="H321" i="90"/>
  <c r="H247" i="90"/>
  <c r="H277" i="90"/>
  <c r="H311" i="90"/>
  <c r="H253" i="90"/>
  <c r="H287" i="90"/>
  <c r="H325" i="90"/>
  <c r="AD276" i="90"/>
  <c r="AD331" i="90"/>
  <c r="AC303" i="90"/>
  <c r="AD301" i="90"/>
  <c r="AD305" i="90"/>
  <c r="H329" i="90"/>
  <c r="H318" i="90"/>
  <c r="H250" i="90"/>
  <c r="H266" i="90"/>
  <c r="H282" i="90"/>
  <c r="H298" i="90"/>
  <c r="H314" i="90"/>
  <c r="H326" i="90"/>
  <c r="H251" i="90"/>
  <c r="H281" i="90"/>
  <c r="H313" i="90"/>
  <c r="H257" i="90"/>
  <c r="H291" i="90"/>
  <c r="AD272" i="90"/>
  <c r="AD284" i="90"/>
  <c r="AD297" i="90"/>
  <c r="H234" i="90"/>
  <c r="H254" i="90"/>
  <c r="H270" i="90"/>
  <c r="H286" i="90"/>
  <c r="H302" i="90"/>
  <c r="H232" i="90"/>
  <c r="H330" i="90"/>
  <c r="H259" i="90"/>
  <c r="H289" i="90"/>
  <c r="H235" i="90"/>
  <c r="H265" i="90"/>
  <c r="H297" i="90"/>
  <c r="D378" i="90"/>
  <c r="AD239" i="90"/>
  <c r="AD313" i="90"/>
  <c r="AD316" i="90"/>
  <c r="AD265" i="90"/>
  <c r="H417" i="90"/>
  <c r="H430" i="90"/>
  <c r="H364" i="90"/>
  <c r="H242" i="90"/>
  <c r="H258" i="90"/>
  <c r="H274" i="90"/>
  <c r="H290" i="90"/>
  <c r="H306" i="90"/>
  <c r="H320" i="90"/>
  <c r="H267" i="90"/>
  <c r="H299" i="90"/>
  <c r="H239" i="90"/>
  <c r="H241" i="90"/>
  <c r="H275" i="90"/>
  <c r="H305" i="90"/>
  <c r="AD282" i="90"/>
  <c r="AD233" i="90"/>
  <c r="AD283" i="90"/>
  <c r="H423" i="90"/>
  <c r="H401" i="90"/>
  <c r="H426" i="90"/>
  <c r="D421" i="90"/>
  <c r="H421" i="90"/>
  <c r="D340" i="90"/>
  <c r="H351" i="90"/>
  <c r="H396" i="90"/>
  <c r="H378" i="90"/>
  <c r="H371" i="90"/>
  <c r="H340" i="90"/>
  <c r="H354" i="90"/>
  <c r="H343" i="90"/>
  <c r="AD304" i="90"/>
  <c r="AD317" i="90"/>
  <c r="AD266" i="90"/>
  <c r="AD242" i="90"/>
  <c r="AD249" i="90"/>
  <c r="AD300" i="90"/>
  <c r="AD324" i="90"/>
  <c r="AD275" i="90"/>
  <c r="AD321" i="90"/>
  <c r="D388" i="90"/>
  <c r="AC283" i="90"/>
  <c r="AC298" i="90"/>
  <c r="AC302" i="90"/>
  <c r="AC282" i="90"/>
  <c r="H425" i="90"/>
  <c r="H405" i="90"/>
  <c r="H392" i="90"/>
  <c r="H368" i="90"/>
  <c r="H363" i="90"/>
  <c r="H357" i="90"/>
  <c r="H339" i="90"/>
  <c r="AC322" i="90"/>
  <c r="AC329" i="90"/>
  <c r="AC271" i="90"/>
  <c r="AC320" i="90"/>
  <c r="AC286" i="90"/>
  <c r="AC236" i="90"/>
  <c r="AC299" i="90"/>
  <c r="AC274" i="90"/>
  <c r="AC281" i="90"/>
  <c r="AC249" i="90"/>
  <c r="AC272" i="90"/>
  <c r="AC235" i="90"/>
  <c r="AC325" i="90"/>
  <c r="AC266" i="90"/>
  <c r="AC316" i="90"/>
  <c r="AC237" i="90"/>
  <c r="AC327" i="90"/>
  <c r="AC232" i="90"/>
  <c r="AC262" i="90"/>
  <c r="AC277" i="90"/>
  <c r="AC245" i="90"/>
  <c r="AC268" i="90"/>
  <c r="AC244" i="90"/>
  <c r="H413" i="90"/>
  <c r="H419" i="90"/>
  <c r="H416" i="90"/>
  <c r="H386" i="90"/>
  <c r="H344" i="90"/>
  <c r="H352" i="90"/>
  <c r="AC238" i="90"/>
  <c r="AC321" i="90"/>
  <c r="AC247" i="90"/>
  <c r="AC312" i="90"/>
  <c r="AC291" i="90"/>
  <c r="AC323" i="90"/>
  <c r="AC295" i="90"/>
  <c r="AC254" i="90"/>
  <c r="AC273" i="90"/>
  <c r="AC296" i="90"/>
  <c r="AC264" i="90"/>
  <c r="AC314" i="90"/>
  <c r="D357" i="90"/>
  <c r="D400" i="90"/>
  <c r="D384" i="90"/>
  <c r="D356" i="90"/>
  <c r="D420" i="90"/>
  <c r="D336" i="90"/>
  <c r="H397" i="90"/>
  <c r="H370" i="90"/>
  <c r="H345" i="90"/>
  <c r="AC317" i="90"/>
  <c r="AC255" i="90"/>
  <c r="AC308" i="90"/>
  <c r="AC290" i="90"/>
  <c r="AC319" i="90"/>
  <c r="AC294" i="90"/>
  <c r="AC246" i="90"/>
  <c r="AC269" i="90"/>
  <c r="AC292" i="90"/>
  <c r="AC260" i="90"/>
  <c r="AC240" i="90"/>
  <c r="AC330" i="90"/>
  <c r="AC318" i="90"/>
  <c r="H410" i="90"/>
  <c r="H408" i="90"/>
  <c r="H395" i="90"/>
  <c r="H387" i="90"/>
  <c r="AC326" i="90"/>
  <c r="AC313" i="90"/>
  <c r="AC242" i="90"/>
  <c r="AC304" i="90"/>
  <c r="AC287" i="90"/>
  <c r="AC315" i="90"/>
  <c r="AC279" i="90"/>
  <c r="AC297" i="90"/>
  <c r="AC265" i="90"/>
  <c r="AC288" i="90"/>
  <c r="AC256" i="90"/>
  <c r="AC310" i="90"/>
  <c r="D397" i="90"/>
  <c r="D376" i="90"/>
  <c r="H414" i="90"/>
  <c r="H406" i="90"/>
  <c r="H404" i="90"/>
  <c r="H389" i="90"/>
  <c r="H362" i="90"/>
  <c r="H337" i="90"/>
  <c r="AC243" i="90"/>
  <c r="AC309" i="90"/>
  <c r="AC233" i="90"/>
  <c r="AC300" i="90"/>
  <c r="AC267" i="90"/>
  <c r="AC311" i="90"/>
  <c r="AC278" i="90"/>
  <c r="AC293" i="90"/>
  <c r="AC261" i="90"/>
  <c r="AC284" i="90"/>
  <c r="AC252" i="90"/>
  <c r="AC270" i="90"/>
  <c r="D370" i="90"/>
  <c r="D365" i="90"/>
  <c r="H422" i="90"/>
  <c r="H367" i="90"/>
  <c r="H390" i="90"/>
  <c r="H391" i="90"/>
  <c r="H382" i="90"/>
  <c r="H379" i="90"/>
  <c r="H372" i="90"/>
  <c r="H358" i="90"/>
  <c r="H347" i="90"/>
  <c r="AC306" i="90"/>
  <c r="AC239" i="90"/>
  <c r="AC305" i="90"/>
  <c r="AC328" i="90"/>
  <c r="AC258" i="90"/>
  <c r="AC263" i="90"/>
  <c r="AC307" i="90"/>
  <c r="AC259" i="90"/>
  <c r="AC289" i="90"/>
  <c r="AC257" i="90"/>
  <c r="AC280" i="90"/>
  <c r="AC248" i="90"/>
  <c r="AC275" i="90"/>
  <c r="H431" i="90"/>
  <c r="H407" i="90"/>
  <c r="H381" i="90"/>
  <c r="AL236" i="90"/>
  <c r="AL235" i="90"/>
  <c r="AL239" i="90"/>
  <c r="AL243" i="90"/>
  <c r="AL247" i="90"/>
  <c r="AL251" i="90"/>
  <c r="AL255" i="90"/>
  <c r="AL234" i="90"/>
  <c r="AL238" i="90"/>
  <c r="AL242" i="90"/>
  <c r="AL246" i="90"/>
  <c r="AL250" i="90"/>
  <c r="AL254" i="90"/>
  <c r="AL233" i="90"/>
  <c r="AL237" i="90"/>
  <c r="AL241" i="90"/>
  <c r="AL245" i="90"/>
  <c r="AL249" i="90"/>
  <c r="AL253" i="90"/>
  <c r="AL240" i="90"/>
  <c r="AL258" i="90"/>
  <c r="AL262" i="90"/>
  <c r="AL266" i="90"/>
  <c r="AL252" i="90"/>
  <c r="AL257" i="90"/>
  <c r="AL248" i="90"/>
  <c r="AL244" i="90"/>
  <c r="AL264" i="90"/>
  <c r="AL276" i="90"/>
  <c r="AL280" i="90"/>
  <c r="AL284" i="90"/>
  <c r="AL263" i="90"/>
  <c r="AL267" i="90"/>
  <c r="AL275" i="90"/>
  <c r="AL279" i="90"/>
  <c r="AL283" i="90"/>
  <c r="AL256" i="90"/>
  <c r="AL261" i="90"/>
  <c r="AL272" i="90"/>
  <c r="AL269" i="90"/>
  <c r="AL285" i="90"/>
  <c r="AL289" i="90"/>
  <c r="AL293" i="90"/>
  <c r="AL265" i="90"/>
  <c r="AL281" i="90"/>
  <c r="AL288" i="90"/>
  <c r="AL292" i="90"/>
  <c r="AL260" i="90"/>
  <c r="AL274" i="90"/>
  <c r="AL282" i="90"/>
  <c r="AL287" i="90"/>
  <c r="AL271" i="90"/>
  <c r="AL291" i="90"/>
  <c r="AL297" i="90"/>
  <c r="AL301" i="90"/>
  <c r="AL305" i="90"/>
  <c r="AL286" i="90"/>
  <c r="AL294" i="90"/>
  <c r="AL296" i="90"/>
  <c r="AL300" i="90"/>
  <c r="AL304" i="90"/>
  <c r="AL308" i="90"/>
  <c r="AL312" i="90"/>
  <c r="AL295" i="90"/>
  <c r="AL299" i="90"/>
  <c r="AL303" i="90"/>
  <c r="AL302" i="90"/>
  <c r="AL259" i="90"/>
  <c r="AL270" i="90"/>
  <c r="AL306" i="90"/>
  <c r="AL311" i="90"/>
  <c r="AL316" i="90"/>
  <c r="AL320" i="90"/>
  <c r="AL324" i="90"/>
  <c r="AL328" i="90"/>
  <c r="AL277" i="90"/>
  <c r="AL268" i="90"/>
  <c r="AL273" i="90"/>
  <c r="AL310" i="90"/>
  <c r="AL315" i="90"/>
  <c r="AL319" i="90"/>
  <c r="AL323" i="90"/>
  <c r="AL327" i="90"/>
  <c r="AL331" i="90"/>
  <c r="AL290" i="90"/>
  <c r="AL298" i="90"/>
  <c r="AL309" i="90"/>
  <c r="AL232" i="90"/>
  <c r="AL278" i="90"/>
  <c r="AL313" i="90"/>
  <c r="AL321" i="90"/>
  <c r="AL326" i="90"/>
  <c r="AL314" i="90"/>
  <c r="AL329" i="90"/>
  <c r="AL317" i="90"/>
  <c r="AL322" i="90"/>
  <c r="AL330" i="90"/>
  <c r="AL307" i="90"/>
  <c r="AL325" i="90"/>
  <c r="AL318" i="90"/>
  <c r="H434" i="90"/>
  <c r="H427" i="90"/>
  <c r="H424" i="90"/>
  <c r="H403" i="90"/>
  <c r="H348" i="90"/>
  <c r="H350" i="90"/>
  <c r="H429" i="90"/>
  <c r="H399" i="90"/>
  <c r="H388" i="90"/>
  <c r="H360" i="90"/>
  <c r="H359" i="90"/>
  <c r="H361" i="90"/>
  <c r="H346" i="90"/>
  <c r="AM236" i="90"/>
  <c r="AM240" i="90"/>
  <c r="AM244" i="90"/>
  <c r="AM248" i="90"/>
  <c r="AM252" i="90"/>
  <c r="AM235" i="90"/>
  <c r="AM239" i="90"/>
  <c r="AM243" i="90"/>
  <c r="AM247" i="90"/>
  <c r="AM251" i="90"/>
  <c r="AM255" i="90"/>
  <c r="AM234" i="90"/>
  <c r="AM238" i="90"/>
  <c r="AM242" i="90"/>
  <c r="AM246" i="90"/>
  <c r="AM250" i="90"/>
  <c r="AM254" i="90"/>
  <c r="AM233" i="90"/>
  <c r="AM241" i="90"/>
  <c r="AM259" i="90"/>
  <c r="AM263" i="90"/>
  <c r="AM267" i="90"/>
  <c r="AM271" i="90"/>
  <c r="AM237" i="90"/>
  <c r="AM253" i="90"/>
  <c r="AM258" i="90"/>
  <c r="AM262" i="90"/>
  <c r="AM249" i="90"/>
  <c r="AM257" i="90"/>
  <c r="AM261" i="90"/>
  <c r="AM265" i="90"/>
  <c r="AM275" i="90"/>
  <c r="AM279" i="90"/>
  <c r="AM283" i="90"/>
  <c r="AM260" i="90"/>
  <c r="AM269" i="90"/>
  <c r="AM274" i="90"/>
  <c r="AM245" i="90"/>
  <c r="AM286" i="90"/>
  <c r="AM290" i="90"/>
  <c r="AM272" i="90"/>
  <c r="AM280" i="90"/>
  <c r="AM266" i="90"/>
  <c r="AM277" i="90"/>
  <c r="AM278" i="90"/>
  <c r="AM256" i="90"/>
  <c r="AM298" i="90"/>
  <c r="AM302" i="90"/>
  <c r="AM306" i="90"/>
  <c r="AM310" i="90"/>
  <c r="AM281" i="90"/>
  <c r="AM288" i="90"/>
  <c r="AM270" i="90"/>
  <c r="AM264" i="90"/>
  <c r="AM276" i="90"/>
  <c r="AM284" i="90"/>
  <c r="AM293" i="90"/>
  <c r="AM307" i="90"/>
  <c r="AM312" i="90"/>
  <c r="AM313" i="90"/>
  <c r="AM317" i="90"/>
  <c r="AM321" i="90"/>
  <c r="AM325" i="90"/>
  <c r="AM329" i="90"/>
  <c r="AM300" i="90"/>
  <c r="AM282" i="90"/>
  <c r="AM287" i="90"/>
  <c r="AM301" i="90"/>
  <c r="AM294" i="90"/>
  <c r="AM311" i="90"/>
  <c r="AM285" i="90"/>
  <c r="AM289" i="90"/>
  <c r="AM299" i="90"/>
  <c r="AM291" i="90"/>
  <c r="AM305" i="90"/>
  <c r="AM268" i="90"/>
  <c r="AM273" i="90"/>
  <c r="AM315" i="90"/>
  <c r="AM319" i="90"/>
  <c r="AM323" i="90"/>
  <c r="AM327" i="90"/>
  <c r="AM331" i="90"/>
  <c r="AM297" i="90"/>
  <c r="AM292" i="90"/>
  <c r="AM296" i="90"/>
  <c r="AM304" i="90"/>
  <c r="AM308" i="90"/>
  <c r="AM314" i="90"/>
  <c r="AM318" i="90"/>
  <c r="AM322" i="90"/>
  <c r="AM326" i="90"/>
  <c r="AM330" i="90"/>
  <c r="AM309" i="90"/>
  <c r="AM316" i="90"/>
  <c r="AM324" i="90"/>
  <c r="AM328" i="90"/>
  <c r="AM303" i="90"/>
  <c r="AM295" i="90"/>
  <c r="AM232" i="90"/>
  <c r="AM320" i="90"/>
  <c r="D394" i="90"/>
  <c r="D389" i="90"/>
  <c r="H411" i="90"/>
  <c r="H365" i="90"/>
  <c r="H349" i="90"/>
  <c r="H342" i="90"/>
  <c r="AO233" i="90"/>
  <c r="AO237" i="90"/>
  <c r="AO241" i="90"/>
  <c r="AO245" i="90"/>
  <c r="AO249" i="90"/>
  <c r="AO253" i="90"/>
  <c r="AO236" i="90"/>
  <c r="AO240" i="90"/>
  <c r="AO244" i="90"/>
  <c r="AO248" i="90"/>
  <c r="AO252" i="90"/>
  <c r="AO235" i="90"/>
  <c r="AO239" i="90"/>
  <c r="AO243" i="90"/>
  <c r="AO247" i="90"/>
  <c r="AO251" i="90"/>
  <c r="AO255" i="90"/>
  <c r="AO242" i="90"/>
  <c r="AO256" i="90"/>
  <c r="AO260" i="90"/>
  <c r="AO264" i="90"/>
  <c r="AO268" i="90"/>
  <c r="AO272" i="90"/>
  <c r="AO238" i="90"/>
  <c r="AO254" i="90"/>
  <c r="AO259" i="90"/>
  <c r="AO263" i="90"/>
  <c r="AO234" i="90"/>
  <c r="AO250" i="90"/>
  <c r="AO258" i="90"/>
  <c r="AO262" i="90"/>
  <c r="AO266" i="90"/>
  <c r="AO257" i="90"/>
  <c r="AO246" i="90"/>
  <c r="AO267" i="90"/>
  <c r="AO271" i="90"/>
  <c r="AO276" i="90"/>
  <c r="AO280" i="90"/>
  <c r="AO261" i="90"/>
  <c r="AO275" i="90"/>
  <c r="AO270" i="90"/>
  <c r="AO273" i="90"/>
  <c r="AO282" i="90"/>
  <c r="AO287" i="90"/>
  <c r="AO291" i="90"/>
  <c r="AO269" i="90"/>
  <c r="AO278" i="90"/>
  <c r="AO281" i="90"/>
  <c r="AO290" i="90"/>
  <c r="AO293" i="90"/>
  <c r="AO295" i="90"/>
  <c r="AO299" i="90"/>
  <c r="AO303" i="90"/>
  <c r="AO307" i="90"/>
  <c r="AO311" i="90"/>
  <c r="AO265" i="90"/>
  <c r="AO288" i="90"/>
  <c r="AO277" i="90"/>
  <c r="AO285" i="90"/>
  <c r="AO289" i="90"/>
  <c r="AO294" i="90"/>
  <c r="AO274" i="90"/>
  <c r="AO308" i="90"/>
  <c r="AO314" i="90"/>
  <c r="AO318" i="90"/>
  <c r="AO322" i="90"/>
  <c r="AO326" i="90"/>
  <c r="AO330" i="90"/>
  <c r="AO312" i="90"/>
  <c r="AO313" i="90"/>
  <c r="AO302" i="90"/>
  <c r="AO286" i="90"/>
  <c r="AO301" i="90"/>
  <c r="AO284" i="90"/>
  <c r="AO300" i="90"/>
  <c r="AO306" i="90"/>
  <c r="AO279" i="90"/>
  <c r="AO316" i="90"/>
  <c r="AO320" i="90"/>
  <c r="AO324" i="90"/>
  <c r="AO328" i="90"/>
  <c r="AO298" i="90"/>
  <c r="AO283" i="90"/>
  <c r="AO297" i="90"/>
  <c r="AO305" i="90"/>
  <c r="AO309" i="90"/>
  <c r="AO315" i="90"/>
  <c r="AO319" i="90"/>
  <c r="AO323" i="90"/>
  <c r="AO327" i="90"/>
  <c r="AO331" i="90"/>
  <c r="AO292" i="90"/>
  <c r="AO310" i="90"/>
  <c r="AO321" i="90"/>
  <c r="AO329" i="90"/>
  <c r="AO304" i="90"/>
  <c r="AO317" i="90"/>
  <c r="AO232" i="90"/>
  <c r="AO296" i="90"/>
  <c r="AO325" i="90"/>
  <c r="AB245" i="90"/>
  <c r="AB249" i="90"/>
  <c r="AB253" i="90"/>
  <c r="AB257" i="90"/>
  <c r="AB261" i="90"/>
  <c r="AB265" i="90"/>
  <c r="AB269" i="90"/>
  <c r="AB273" i="90"/>
  <c r="AB277" i="90"/>
  <c r="AB247" i="90"/>
  <c r="AB251" i="90"/>
  <c r="AB255" i="90"/>
  <c r="AB259" i="90"/>
  <c r="AB263" i="90"/>
  <c r="AB293" i="90"/>
  <c r="AB299" i="90"/>
  <c r="AB303" i="90"/>
  <c r="AB307" i="90"/>
  <c r="AB311" i="90"/>
  <c r="AB315" i="90"/>
  <c r="AB319" i="90"/>
  <c r="AB323" i="90"/>
  <c r="AB327" i="90"/>
  <c r="AB236" i="90"/>
  <c r="AB241" i="90"/>
  <c r="AB248" i="90"/>
  <c r="AB256" i="90"/>
  <c r="AB264" i="90"/>
  <c r="AB290" i="90"/>
  <c r="AB291" i="90"/>
  <c r="AB292" i="90"/>
  <c r="AB271" i="90"/>
  <c r="AB250" i="90"/>
  <c r="AB258" i="90"/>
  <c r="AB268" i="90"/>
  <c r="AB289" i="90"/>
  <c r="AB300" i="90"/>
  <c r="AB304" i="90"/>
  <c r="AB308" i="90"/>
  <c r="AB312" i="90"/>
  <c r="AB316" i="90"/>
  <c r="AB320" i="90"/>
  <c r="AB324" i="90"/>
  <c r="AB328" i="90"/>
  <c r="AB233" i="90"/>
  <c r="AB237" i="90"/>
  <c r="AB242" i="90"/>
  <c r="AB266" i="90"/>
  <c r="AB276" i="90"/>
  <c r="AB267" i="90"/>
  <c r="AB272" i="90"/>
  <c r="AB286" i="90"/>
  <c r="AB287" i="90"/>
  <c r="AB288" i="90"/>
  <c r="AB238" i="90"/>
  <c r="AB331" i="90"/>
  <c r="AB252" i="90"/>
  <c r="AB260" i="90"/>
  <c r="AB270" i="90"/>
  <c r="AB275" i="90"/>
  <c r="AB282" i="90"/>
  <c r="AB283" i="90"/>
  <c r="AB284" i="90"/>
  <c r="AB294" i="90"/>
  <c r="AB317" i="90"/>
  <c r="AB240" i="90"/>
  <c r="AB297" i="90"/>
  <c r="AB301" i="90"/>
  <c r="AB321" i="90"/>
  <c r="AB235" i="90"/>
  <c r="AB232" i="90"/>
  <c r="AB278" i="90"/>
  <c r="AB280" i="90"/>
  <c r="AB310" i="90"/>
  <c r="AB326" i="90"/>
  <c r="AB274" i="90"/>
  <c r="AB244" i="90"/>
  <c r="AB295" i="90"/>
  <c r="AB305" i="90"/>
  <c r="AB314" i="90"/>
  <c r="AB330" i="90"/>
  <c r="AB239" i="90"/>
  <c r="AB313" i="90"/>
  <c r="AB281" i="90"/>
  <c r="AB309" i="90"/>
  <c r="AB325" i="90"/>
  <c r="AB254" i="90"/>
  <c r="AB322" i="90"/>
  <c r="AB279" i="90"/>
  <c r="AB285" i="90"/>
  <c r="AB318" i="90"/>
  <c r="AB234" i="90"/>
  <c r="AB243" i="90"/>
  <c r="AB246" i="90"/>
  <c r="AB262" i="90"/>
  <c r="AB298" i="90"/>
  <c r="AB302" i="90"/>
  <c r="AB329" i="90"/>
  <c r="AB296" i="90"/>
  <c r="AB306" i="90"/>
  <c r="D426" i="90"/>
  <c r="H377" i="90"/>
  <c r="H415" i="90"/>
  <c r="H432" i="90"/>
  <c r="H384" i="90"/>
  <c r="H338" i="90"/>
  <c r="D362" i="90"/>
  <c r="D402" i="90"/>
  <c r="D399" i="90"/>
  <c r="D431" i="90"/>
  <c r="D429" i="90"/>
  <c r="D369" i="90"/>
  <c r="D392" i="90"/>
  <c r="AU236" i="90"/>
  <c r="AU240" i="90"/>
  <c r="AU244" i="90"/>
  <c r="AU248" i="90"/>
  <c r="AU252" i="90"/>
  <c r="AU235" i="90"/>
  <c r="AU239" i="90"/>
  <c r="AU243" i="90"/>
  <c r="AU247" i="90"/>
  <c r="AU251" i="90"/>
  <c r="AU255" i="90"/>
  <c r="AU234" i="90"/>
  <c r="AU238" i="90"/>
  <c r="AU242" i="90"/>
  <c r="AU246" i="90"/>
  <c r="AU250" i="90"/>
  <c r="AU254" i="90"/>
  <c r="AU245" i="90"/>
  <c r="AU259" i="90"/>
  <c r="AU263" i="90"/>
  <c r="AU267" i="90"/>
  <c r="AU271" i="90"/>
  <c r="AU233" i="90"/>
  <c r="AU241" i="90"/>
  <c r="AU258" i="90"/>
  <c r="AU262" i="90"/>
  <c r="AU237" i="90"/>
  <c r="AU253" i="90"/>
  <c r="AU257" i="90"/>
  <c r="AU261" i="90"/>
  <c r="AU265" i="90"/>
  <c r="AU272" i="90"/>
  <c r="AU275" i="90"/>
  <c r="AU279" i="90"/>
  <c r="AU283" i="90"/>
  <c r="AU264" i="90"/>
  <c r="AU268" i="90"/>
  <c r="AU274" i="90"/>
  <c r="AU260" i="90"/>
  <c r="AU276" i="90"/>
  <c r="AU278" i="90"/>
  <c r="AU286" i="90"/>
  <c r="AU290" i="90"/>
  <c r="AU281" i="90"/>
  <c r="AU273" i="90"/>
  <c r="AU282" i="90"/>
  <c r="AU266" i="90"/>
  <c r="AU269" i="90"/>
  <c r="AU285" i="90"/>
  <c r="AU298" i="90"/>
  <c r="AU302" i="90"/>
  <c r="AU306" i="90"/>
  <c r="AU310" i="90"/>
  <c r="AU284" i="90"/>
  <c r="AU289" i="90"/>
  <c r="AU292" i="90"/>
  <c r="AU256" i="90"/>
  <c r="AU249" i="90"/>
  <c r="AU291" i="90"/>
  <c r="AU311" i="90"/>
  <c r="AU313" i="90"/>
  <c r="AU317" i="90"/>
  <c r="AU321" i="90"/>
  <c r="AU325" i="90"/>
  <c r="AU329" i="90"/>
  <c r="AU232" i="90"/>
  <c r="AU280" i="90"/>
  <c r="AU297" i="90"/>
  <c r="AU304" i="90"/>
  <c r="AU270" i="90"/>
  <c r="AU293" i="90"/>
  <c r="AU296" i="90"/>
  <c r="AU305" i="90"/>
  <c r="AU287" i="90"/>
  <c r="AU288" i="90"/>
  <c r="AU295" i="90"/>
  <c r="AU303" i="90"/>
  <c r="AU309" i="90"/>
  <c r="AU294" i="90"/>
  <c r="AU277" i="90"/>
  <c r="AU308" i="90"/>
  <c r="AU315" i="90"/>
  <c r="AU319" i="90"/>
  <c r="AU323" i="90"/>
  <c r="AU327" i="90"/>
  <c r="AU331" i="90"/>
  <c r="AU301" i="90"/>
  <c r="AU300" i="90"/>
  <c r="AU307" i="90"/>
  <c r="AU312" i="90"/>
  <c r="AU314" i="90"/>
  <c r="AU318" i="90"/>
  <c r="AU322" i="90"/>
  <c r="AU326" i="90"/>
  <c r="AU330" i="90"/>
  <c r="AU320" i="90"/>
  <c r="AU328" i="90"/>
  <c r="AU299" i="90"/>
  <c r="AU316" i="90"/>
  <c r="AU324" i="90"/>
  <c r="H433" i="90"/>
  <c r="H409" i="90"/>
  <c r="H335" i="90"/>
  <c r="H393" i="90"/>
  <c r="H380" i="90"/>
  <c r="H366" i="90"/>
  <c r="H341" i="90"/>
  <c r="H355" i="90"/>
  <c r="D346" i="90"/>
  <c r="D410" i="90"/>
  <c r="D373" i="90"/>
  <c r="D405" i="90"/>
  <c r="D352" i="90"/>
  <c r="D416" i="90"/>
  <c r="D396" i="90"/>
  <c r="AN233" i="90"/>
  <c r="AN236" i="90"/>
  <c r="AN240" i="90"/>
  <c r="AN244" i="90"/>
  <c r="AN248" i="90"/>
  <c r="AN252" i="90"/>
  <c r="AN235" i="90"/>
  <c r="AN239" i="90"/>
  <c r="AN243" i="90"/>
  <c r="AN247" i="90"/>
  <c r="AN251" i="90"/>
  <c r="AN255" i="90"/>
  <c r="AN234" i="90"/>
  <c r="AN238" i="90"/>
  <c r="AN242" i="90"/>
  <c r="AN246" i="90"/>
  <c r="AN250" i="90"/>
  <c r="AN254" i="90"/>
  <c r="AN241" i="90"/>
  <c r="AN259" i="90"/>
  <c r="AN263" i="90"/>
  <c r="AN267" i="90"/>
  <c r="AN237" i="90"/>
  <c r="AN253" i="90"/>
  <c r="AN258" i="90"/>
  <c r="AN249" i="90"/>
  <c r="AN265" i="90"/>
  <c r="AN266" i="90"/>
  <c r="AN268" i="90"/>
  <c r="AN270" i="90"/>
  <c r="AN273" i="90"/>
  <c r="AN277" i="90"/>
  <c r="AN281" i="90"/>
  <c r="AN245" i="90"/>
  <c r="AN264" i="90"/>
  <c r="AN271" i="90"/>
  <c r="AN276" i="90"/>
  <c r="AN280" i="90"/>
  <c r="AN262" i="90"/>
  <c r="AN256" i="90"/>
  <c r="AN272" i="90"/>
  <c r="AN283" i="90"/>
  <c r="AN286" i="90"/>
  <c r="AN290" i="90"/>
  <c r="AN294" i="90"/>
  <c r="AN257" i="90"/>
  <c r="AN285" i="90"/>
  <c r="AN289" i="90"/>
  <c r="AN293" i="90"/>
  <c r="AN261" i="90"/>
  <c r="AN275" i="90"/>
  <c r="AN284" i="90"/>
  <c r="AN298" i="90"/>
  <c r="AN302" i="90"/>
  <c r="AN282" i="90"/>
  <c r="AN287" i="90"/>
  <c r="AN291" i="90"/>
  <c r="AN297" i="90"/>
  <c r="AN301" i="90"/>
  <c r="AN305" i="90"/>
  <c r="AN309" i="90"/>
  <c r="AN278" i="90"/>
  <c r="AN292" i="90"/>
  <c r="AN296" i="90"/>
  <c r="AN300" i="90"/>
  <c r="AN304" i="90"/>
  <c r="AN295" i="90"/>
  <c r="AN303" i="90"/>
  <c r="AN329" i="90"/>
  <c r="AN306" i="90"/>
  <c r="AN288" i="90"/>
  <c r="AN307" i="90"/>
  <c r="AN312" i="90"/>
  <c r="AN313" i="90"/>
  <c r="AN317" i="90"/>
  <c r="AN321" i="90"/>
  <c r="AN325" i="90"/>
  <c r="AN260" i="90"/>
  <c r="AN279" i="90"/>
  <c r="AN311" i="90"/>
  <c r="AN316" i="90"/>
  <c r="AN320" i="90"/>
  <c r="AN324" i="90"/>
  <c r="AN328" i="90"/>
  <c r="AN299" i="90"/>
  <c r="AN310" i="90"/>
  <c r="AN269" i="90"/>
  <c r="AN232" i="90"/>
  <c r="AN274" i="90"/>
  <c r="AN326" i="90"/>
  <c r="AN331" i="90"/>
  <c r="AN319" i="90"/>
  <c r="AN314" i="90"/>
  <c r="AN308" i="90"/>
  <c r="AN322" i="90"/>
  <c r="AN327" i="90"/>
  <c r="AN315" i="90"/>
  <c r="AN318" i="90"/>
  <c r="AN330" i="90"/>
  <c r="AN323" i="90"/>
  <c r="H394" i="90"/>
  <c r="H383" i="90"/>
  <c r="H376" i="90"/>
  <c r="D419" i="90"/>
  <c r="D335" i="90"/>
  <c r="D434" i="90"/>
  <c r="D367" i="90"/>
  <c r="D348" i="90"/>
  <c r="D412" i="90"/>
  <c r="D342" i="90"/>
  <c r="D374" i="90"/>
  <c r="D406" i="90"/>
  <c r="D339" i="90"/>
  <c r="D371" i="90"/>
  <c r="D403" i="90"/>
  <c r="D337" i="90"/>
  <c r="D401" i="90"/>
  <c r="D433" i="90"/>
  <c r="D404" i="90"/>
  <c r="D354" i="90"/>
  <c r="D386" i="90"/>
  <c r="D418" i="90"/>
  <c r="D351" i="90"/>
  <c r="D383" i="90"/>
  <c r="D415" i="90"/>
  <c r="D349" i="90"/>
  <c r="D381" i="90"/>
  <c r="D413" i="90"/>
  <c r="D344" i="90"/>
  <c r="D408" i="90"/>
  <c r="D380" i="90"/>
  <c r="D338" i="90"/>
  <c r="D432" i="90"/>
  <c r="D358" i="90"/>
  <c r="D390" i="90"/>
  <c r="D422" i="90"/>
  <c r="D355" i="90"/>
  <c r="D387" i="90"/>
  <c r="D353" i="90"/>
  <c r="D385" i="90"/>
  <c r="D417" i="90"/>
  <c r="D428" i="90"/>
  <c r="D360" i="90"/>
  <c r="D424" i="90"/>
  <c r="D368" i="90"/>
  <c r="D372" i="90"/>
  <c r="D350" i="90"/>
  <c r="D382" i="90"/>
  <c r="D414" i="90"/>
  <c r="D347" i="90"/>
  <c r="D379" i="90"/>
  <c r="D411" i="90"/>
  <c r="D345" i="90"/>
  <c r="D377" i="90"/>
  <c r="D409" i="90"/>
  <c r="D359" i="90"/>
  <c r="D391" i="90"/>
  <c r="D423" i="90"/>
  <c r="D366" i="90"/>
  <c r="D398" i="90"/>
  <c r="D430" i="90"/>
  <c r="D363" i="90"/>
  <c r="D395" i="90"/>
  <c r="D427" i="90"/>
  <c r="D361" i="90"/>
  <c r="D393" i="90"/>
  <c r="D425" i="90"/>
  <c r="D343" i="90"/>
  <c r="D375" i="90"/>
  <c r="D407" i="90"/>
  <c r="D341" i="90"/>
  <c r="U245" i="90"/>
  <c r="U252" i="90"/>
  <c r="U262" i="90"/>
  <c r="U289" i="90"/>
  <c r="U299" i="90"/>
  <c r="U322" i="90"/>
  <c r="U256" i="90"/>
  <c r="U286" i="90"/>
  <c r="U306" i="90"/>
  <c r="U269" i="90"/>
  <c r="U325" i="90"/>
  <c r="U236" i="90"/>
  <c r="U246" i="90"/>
  <c r="U263" i="90"/>
  <c r="U266" i="90"/>
  <c r="U273" i="90"/>
  <c r="U280" i="90"/>
  <c r="U283" i="90"/>
  <c r="U290" i="90"/>
  <c r="U293" i="90"/>
  <c r="U300" i="90"/>
  <c r="U310" i="90"/>
  <c r="U313" i="90"/>
  <c r="U323" i="90"/>
  <c r="U232" i="90"/>
  <c r="U233" i="90"/>
  <c r="U257" i="90"/>
  <c r="U264" i="90"/>
  <c r="U267" i="90"/>
  <c r="U277" i="90"/>
  <c r="U284" i="90"/>
  <c r="U291" i="90"/>
  <c r="U294" i="90"/>
  <c r="U314" i="90"/>
  <c r="U237" i="90"/>
  <c r="U244" i="90"/>
  <c r="U271" i="90"/>
  <c r="U301" i="90"/>
  <c r="U311" i="90"/>
  <c r="U327" i="90"/>
  <c r="U240" i="90"/>
  <c r="U243" i="90"/>
  <c r="U250" i="90"/>
  <c r="U253" i="90"/>
  <c r="U260" i="90"/>
  <c r="U270" i="90"/>
  <c r="U287" i="90"/>
  <c r="U304" i="90"/>
  <c r="U307" i="90"/>
  <c r="U320" i="90"/>
  <c r="U326" i="90"/>
  <c r="U329" i="90"/>
  <c r="U297" i="90"/>
  <c r="U317" i="90"/>
  <c r="U254" i="90"/>
  <c r="U274" i="90"/>
  <c r="U288" i="90"/>
  <c r="U324" i="90"/>
  <c r="U276" i="90"/>
  <c r="U316" i="90"/>
  <c r="U247" i="90"/>
  <c r="U281" i="90"/>
  <c r="U308" i="90"/>
  <c r="U330" i="90"/>
  <c r="U239" i="90"/>
  <c r="U303" i="90"/>
  <c r="U234" i="90"/>
  <c r="U241" i="90"/>
  <c r="U248" i="90"/>
  <c r="U251" i="90"/>
  <c r="U258" i="90"/>
  <c r="U261" i="90"/>
  <c r="U268" i="90"/>
  <c r="U278" i="90"/>
  <c r="U295" i="90"/>
  <c r="U298" i="90"/>
  <c r="U305" i="90"/>
  <c r="U318" i="90"/>
  <c r="U321" i="90"/>
  <c r="U238" i="90"/>
  <c r="U255" i="90"/>
  <c r="U272" i="90"/>
  <c r="U275" i="90"/>
  <c r="U282" i="90"/>
  <c r="U285" i="90"/>
  <c r="U292" i="90"/>
  <c r="U302" i="90"/>
  <c r="U312" i="90"/>
  <c r="U315" i="90"/>
  <c r="U328" i="90"/>
  <c r="U331" i="90"/>
  <c r="U235" i="90"/>
  <c r="U259" i="90"/>
  <c r="U265" i="90"/>
  <c r="U279" i="90"/>
  <c r="U296" i="90"/>
  <c r="U309" i="90"/>
  <c r="U319" i="90"/>
  <c r="U249" i="90"/>
  <c r="U242" i="90"/>
  <c r="S239" i="90"/>
  <c r="S253" i="90"/>
  <c r="S262" i="90"/>
  <c r="S271" i="90"/>
  <c r="S285" i="90"/>
  <c r="S312" i="90"/>
  <c r="S234" i="90"/>
  <c r="S243" i="90"/>
  <c r="S252" i="90"/>
  <c r="S257" i="90"/>
  <c r="S266" i="90"/>
  <c r="S275" i="90"/>
  <c r="S284" i="90"/>
  <c r="S289" i="90"/>
  <c r="S298" i="90"/>
  <c r="S307" i="90"/>
  <c r="S316" i="90"/>
  <c r="S321" i="90"/>
  <c r="S330" i="90"/>
  <c r="S238" i="90"/>
  <c r="S247" i="90"/>
  <c r="S256" i="90"/>
  <c r="S261" i="90"/>
  <c r="S270" i="90"/>
  <c r="S279" i="90"/>
  <c r="S288" i="90"/>
  <c r="S293" i="90"/>
  <c r="S302" i="90"/>
  <c r="S311" i="90"/>
  <c r="S320" i="90"/>
  <c r="S325" i="90"/>
  <c r="S313" i="90"/>
  <c r="S280" i="90"/>
  <c r="S303" i="90"/>
  <c r="S317" i="90"/>
  <c r="S331" i="90"/>
  <c r="S294" i="90"/>
  <c r="S233" i="90"/>
  <c r="S242" i="90"/>
  <c r="S251" i="90"/>
  <c r="S260" i="90"/>
  <c r="S265" i="90"/>
  <c r="S274" i="90"/>
  <c r="S283" i="90"/>
  <c r="S292" i="90"/>
  <c r="S297" i="90"/>
  <c r="S306" i="90"/>
  <c r="S315" i="90"/>
  <c r="S324" i="90"/>
  <c r="S329" i="90"/>
  <c r="S245" i="90"/>
  <c r="S235" i="90"/>
  <c r="S326" i="90"/>
  <c r="S237" i="90"/>
  <c r="S246" i="90"/>
  <c r="S255" i="90"/>
  <c r="S264" i="90"/>
  <c r="S269" i="90"/>
  <c r="S278" i="90"/>
  <c r="S287" i="90"/>
  <c r="S296" i="90"/>
  <c r="S301" i="90"/>
  <c r="S310" i="90"/>
  <c r="S319" i="90"/>
  <c r="S328" i="90"/>
  <c r="S309" i="90"/>
  <c r="S318" i="90"/>
  <c r="S244" i="90"/>
  <c r="S249" i="90"/>
  <c r="S276" i="90"/>
  <c r="S281" i="90"/>
  <c r="S308" i="90"/>
  <c r="S236" i="90"/>
  <c r="S241" i="90"/>
  <c r="S250" i="90"/>
  <c r="S259" i="90"/>
  <c r="S268" i="90"/>
  <c r="S273" i="90"/>
  <c r="S282" i="90"/>
  <c r="S291" i="90"/>
  <c r="S300" i="90"/>
  <c r="S305" i="90"/>
  <c r="S314" i="90"/>
  <c r="S323" i="90"/>
  <c r="S232" i="90"/>
  <c r="S322" i="90"/>
  <c r="S248" i="90"/>
  <c r="S240" i="90"/>
  <c r="S254" i="90"/>
  <c r="S263" i="90"/>
  <c r="S272" i="90"/>
  <c r="S277" i="90"/>
  <c r="S286" i="90"/>
  <c r="S295" i="90"/>
  <c r="S304" i="90"/>
  <c r="S327" i="90"/>
  <c r="S258" i="90"/>
  <c r="S267" i="90"/>
  <c r="S290" i="90"/>
  <c r="S299" i="90"/>
  <c r="R253" i="90"/>
  <c r="R319" i="90"/>
  <c r="R257" i="90"/>
  <c r="R258" i="90"/>
  <c r="R259" i="90"/>
  <c r="R260" i="90"/>
  <c r="R289" i="90"/>
  <c r="R290" i="90"/>
  <c r="R291" i="90"/>
  <c r="R292" i="90"/>
  <c r="R321" i="90"/>
  <c r="R322" i="90"/>
  <c r="R323" i="90"/>
  <c r="R324" i="90"/>
  <c r="R261" i="90"/>
  <c r="R262" i="90"/>
  <c r="R263" i="90"/>
  <c r="R264" i="90"/>
  <c r="R293" i="90"/>
  <c r="R294" i="90"/>
  <c r="R295" i="90"/>
  <c r="R296" i="90"/>
  <c r="R325" i="90"/>
  <c r="R326" i="90"/>
  <c r="R327" i="90"/>
  <c r="R328" i="90"/>
  <c r="R249" i="90"/>
  <c r="R281" i="90"/>
  <c r="R315" i="90"/>
  <c r="R256" i="90"/>
  <c r="R287" i="90"/>
  <c r="R318" i="90"/>
  <c r="R233" i="90"/>
  <c r="R234" i="90"/>
  <c r="R235" i="90"/>
  <c r="R236" i="90"/>
  <c r="R265" i="90"/>
  <c r="R266" i="90"/>
  <c r="R267" i="90"/>
  <c r="R268" i="90"/>
  <c r="R297" i="90"/>
  <c r="R298" i="90"/>
  <c r="R299" i="90"/>
  <c r="R300" i="90"/>
  <c r="R329" i="90"/>
  <c r="R330" i="90"/>
  <c r="R331" i="90"/>
  <c r="R232" i="90"/>
  <c r="R277" i="90"/>
  <c r="R309" i="90"/>
  <c r="R311" i="90"/>
  <c r="R251" i="90"/>
  <c r="R313" i="90"/>
  <c r="R237" i="90"/>
  <c r="R238" i="90"/>
  <c r="R239" i="90"/>
  <c r="R240" i="90"/>
  <c r="R269" i="90"/>
  <c r="R270" i="90"/>
  <c r="R271" i="90"/>
  <c r="R272" i="90"/>
  <c r="R301" i="90"/>
  <c r="R302" i="90"/>
  <c r="R303" i="90"/>
  <c r="R304" i="90"/>
  <c r="R246" i="90"/>
  <c r="R279" i="90"/>
  <c r="R312" i="90"/>
  <c r="R250" i="90"/>
  <c r="R283" i="90"/>
  <c r="R316" i="90"/>
  <c r="R254" i="90"/>
  <c r="R285" i="90"/>
  <c r="R288" i="90"/>
  <c r="R320" i="90"/>
  <c r="R241" i="90"/>
  <c r="R242" i="90"/>
  <c r="R243" i="90"/>
  <c r="R244" i="90"/>
  <c r="R273" i="90"/>
  <c r="R274" i="90"/>
  <c r="R275" i="90"/>
  <c r="R276" i="90"/>
  <c r="R305" i="90"/>
  <c r="R306" i="90"/>
  <c r="R307" i="90"/>
  <c r="R308" i="90"/>
  <c r="R245" i="90"/>
  <c r="R247" i="90"/>
  <c r="R248" i="90"/>
  <c r="R278" i="90"/>
  <c r="R280" i="90"/>
  <c r="R310" i="90"/>
  <c r="R252" i="90"/>
  <c r="R284" i="90"/>
  <c r="R255" i="90"/>
  <c r="R286" i="90"/>
  <c r="R317" i="90"/>
  <c r="R282" i="90"/>
  <c r="R314" i="90"/>
  <c r="Q236" i="90"/>
  <c r="Q240" i="90"/>
  <c r="Q244" i="90"/>
  <c r="Q248" i="90"/>
  <c r="Q292" i="90"/>
  <c r="Q312" i="90"/>
  <c r="Q320" i="90"/>
  <c r="Q330" i="90"/>
  <c r="Q233" i="90"/>
  <c r="Q237" i="90"/>
  <c r="Q241" i="90"/>
  <c r="Q245" i="90"/>
  <c r="Q249" i="90"/>
  <c r="Q253" i="90"/>
  <c r="Q257" i="90"/>
  <c r="Q261" i="90"/>
  <c r="Q265" i="90"/>
  <c r="Q269" i="90"/>
  <c r="Q273" i="90"/>
  <c r="Q277" i="90"/>
  <c r="Q281" i="90"/>
  <c r="Q285" i="90"/>
  <c r="Q289" i="90"/>
  <c r="Q293" i="90"/>
  <c r="Q297" i="90"/>
  <c r="Q301" i="90"/>
  <c r="Q305" i="90"/>
  <c r="Q309" i="90"/>
  <c r="Q313" i="90"/>
  <c r="Q317" i="90"/>
  <c r="Q321" i="90"/>
  <c r="Q325" i="90"/>
  <c r="Q329" i="90"/>
  <c r="Q326" i="90"/>
  <c r="Q318" i="90"/>
  <c r="Q234" i="90"/>
  <c r="Q238" i="90"/>
  <c r="Q242" i="90"/>
  <c r="Q246" i="90"/>
  <c r="Q250" i="90"/>
  <c r="Q254" i="90"/>
  <c r="Q258" i="90"/>
  <c r="Q262" i="90"/>
  <c r="Q266" i="90"/>
  <c r="Q270" i="90"/>
  <c r="Q274" i="90"/>
  <c r="Q278" i="90"/>
  <c r="Q282" i="90"/>
  <c r="Q286" i="90"/>
  <c r="Q290" i="90"/>
  <c r="Q294" i="90"/>
  <c r="Q298" i="90"/>
  <c r="Q302" i="90"/>
  <c r="Q306" i="90"/>
  <c r="Q310" i="90"/>
  <c r="Q314" i="90"/>
  <c r="Q322" i="90"/>
  <c r="Q235" i="90"/>
  <c r="Q239" i="90"/>
  <c r="Q243" i="90"/>
  <c r="Q247" i="90"/>
  <c r="Q251" i="90"/>
  <c r="Q255" i="90"/>
  <c r="Q259" i="90"/>
  <c r="Q263" i="90"/>
  <c r="Q267" i="90"/>
  <c r="Q271" i="90"/>
  <c r="Q275" i="90"/>
  <c r="Q279" i="90"/>
  <c r="Q283" i="90"/>
  <c r="Q287" i="90"/>
  <c r="Q291" i="90"/>
  <c r="Q295" i="90"/>
  <c r="Q299" i="90"/>
  <c r="Q303" i="90"/>
  <c r="Q307" i="90"/>
  <c r="Q311" i="90"/>
  <c r="Q315" i="90"/>
  <c r="Q319" i="90"/>
  <c r="Q323" i="90"/>
  <c r="Q327" i="90"/>
  <c r="Q331" i="90"/>
  <c r="Q252" i="90"/>
  <c r="Q256" i="90"/>
  <c r="Q264" i="90"/>
  <c r="Q272" i="90"/>
  <c r="Q276" i="90"/>
  <c r="Q280" i="90"/>
  <c r="Q288" i="90"/>
  <c r="Q300" i="90"/>
  <c r="Q328" i="90"/>
  <c r="Q232" i="90"/>
  <c r="Q260" i="90"/>
  <c r="Q268" i="90"/>
  <c r="Q284" i="90"/>
  <c r="Q296" i="90"/>
  <c r="Q304" i="90"/>
  <c r="Q308" i="90"/>
  <c r="Q316" i="90"/>
  <c r="Q324" i="90"/>
  <c r="J321" i="90"/>
  <c r="J325" i="90"/>
  <c r="J237" i="90"/>
  <c r="J242" i="90"/>
  <c r="J246" i="90"/>
  <c r="J250" i="90"/>
  <c r="J254" i="90"/>
  <c r="J258" i="90"/>
  <c r="J262" i="90"/>
  <c r="J266" i="90"/>
  <c r="J270" i="90"/>
  <c r="J274" i="90"/>
  <c r="J278" i="90"/>
  <c r="J282" i="90"/>
  <c r="J286" i="90"/>
  <c r="J290" i="90"/>
  <c r="J294" i="90"/>
  <c r="J298" i="90"/>
  <c r="J302" i="90"/>
  <c r="J306" i="90"/>
  <c r="J310" i="90"/>
  <c r="J314" i="90"/>
  <c r="J329" i="90"/>
  <c r="J234" i="90"/>
  <c r="J239" i="90"/>
  <c r="J273" i="90"/>
  <c r="J297" i="90"/>
  <c r="J309" i="90"/>
  <c r="J328" i="90"/>
  <c r="J232" i="90"/>
  <c r="J318" i="90"/>
  <c r="J322" i="90"/>
  <c r="J238" i="90"/>
  <c r="J323" i="90"/>
  <c r="J249" i="90"/>
  <c r="J243" i="90"/>
  <c r="J247" i="90"/>
  <c r="J251" i="90"/>
  <c r="J255" i="90"/>
  <c r="J259" i="90"/>
  <c r="J263" i="90"/>
  <c r="J267" i="90"/>
  <c r="J271" i="90"/>
  <c r="J275" i="90"/>
  <c r="J279" i="90"/>
  <c r="J283" i="90"/>
  <c r="J287" i="90"/>
  <c r="J291" i="90"/>
  <c r="J295" i="90"/>
  <c r="J299" i="90"/>
  <c r="J303" i="90"/>
  <c r="J307" i="90"/>
  <c r="J311" i="90"/>
  <c r="J315" i="90"/>
  <c r="J326" i="90"/>
  <c r="J330" i="90"/>
  <c r="J319" i="90"/>
  <c r="J235" i="90"/>
  <c r="J253" i="90"/>
  <c r="J289" i="90"/>
  <c r="J240" i="90"/>
  <c r="J244" i="90"/>
  <c r="J248" i="90"/>
  <c r="J252" i="90"/>
  <c r="J256" i="90"/>
  <c r="J260" i="90"/>
  <c r="J264" i="90"/>
  <c r="J268" i="90"/>
  <c r="J272" i="90"/>
  <c r="J276" i="90"/>
  <c r="J280" i="90"/>
  <c r="J284" i="90"/>
  <c r="J288" i="90"/>
  <c r="J292" i="90"/>
  <c r="J296" i="90"/>
  <c r="J300" i="90"/>
  <c r="J304" i="90"/>
  <c r="J308" i="90"/>
  <c r="J312" i="90"/>
  <c r="J316" i="90"/>
  <c r="J327" i="90"/>
  <c r="J331" i="90"/>
  <c r="J241" i="90"/>
  <c r="J257" i="90"/>
  <c r="J269" i="90"/>
  <c r="J281" i="90"/>
  <c r="J285" i="90"/>
  <c r="J301" i="90"/>
  <c r="J313" i="90"/>
  <c r="J320" i="90"/>
  <c r="J324" i="90"/>
  <c r="J236" i="90"/>
  <c r="J245" i="90"/>
  <c r="J261" i="90"/>
  <c r="J265" i="90"/>
  <c r="J277" i="90"/>
  <c r="J293" i="90"/>
  <c r="J305" i="90"/>
  <c r="J317" i="90"/>
  <c r="J233" i="90"/>
  <c r="I244" i="90"/>
  <c r="I252" i="90"/>
  <c r="I260" i="90"/>
  <c r="I268" i="90"/>
  <c r="I276" i="90"/>
  <c r="I284" i="90"/>
  <c r="I292" i="90"/>
  <c r="I300" i="90"/>
  <c r="I308" i="90"/>
  <c r="I316" i="90"/>
  <c r="I321" i="90"/>
  <c r="I326" i="90"/>
  <c r="I255" i="90"/>
  <c r="I287" i="90"/>
  <c r="I329" i="90"/>
  <c r="I235" i="90"/>
  <c r="I242" i="90"/>
  <c r="I250" i="90"/>
  <c r="I258" i="90"/>
  <c r="I266" i="90"/>
  <c r="I274" i="90"/>
  <c r="I282" i="90"/>
  <c r="I290" i="90"/>
  <c r="I298" i="90"/>
  <c r="I306" i="90"/>
  <c r="I314" i="90"/>
  <c r="I319" i="90"/>
  <c r="I233" i="90"/>
  <c r="I238" i="90"/>
  <c r="I248" i="90"/>
  <c r="I304" i="90"/>
  <c r="I330" i="90"/>
  <c r="I236" i="90"/>
  <c r="I251" i="90"/>
  <c r="I283" i="90"/>
  <c r="I307" i="90"/>
  <c r="I239" i="90"/>
  <c r="I245" i="90"/>
  <c r="I253" i="90"/>
  <c r="I261" i="90"/>
  <c r="I269" i="90"/>
  <c r="I277" i="90"/>
  <c r="I285" i="90"/>
  <c r="I293" i="90"/>
  <c r="I301" i="90"/>
  <c r="I309" i="90"/>
  <c r="I317" i="90"/>
  <c r="I322" i="90"/>
  <c r="I327" i="90"/>
  <c r="I259" i="90"/>
  <c r="I275" i="90"/>
  <c r="I315" i="90"/>
  <c r="I234" i="90"/>
  <c r="I240" i="90"/>
  <c r="I256" i="90"/>
  <c r="I264" i="90"/>
  <c r="I272" i="90"/>
  <c r="I280" i="90"/>
  <c r="I288" i="90"/>
  <c r="I296" i="90"/>
  <c r="I312" i="90"/>
  <c r="I325" i="90"/>
  <c r="I243" i="90"/>
  <c r="I267" i="90"/>
  <c r="I291" i="90"/>
  <c r="I299" i="90"/>
  <c r="I320" i="90"/>
  <c r="I311" i="90"/>
  <c r="I246" i="90"/>
  <c r="I254" i="90"/>
  <c r="I262" i="90"/>
  <c r="I270" i="90"/>
  <c r="I278" i="90"/>
  <c r="I286" i="90"/>
  <c r="I294" i="90"/>
  <c r="I302" i="90"/>
  <c r="I310" i="90"/>
  <c r="I323" i="90"/>
  <c r="I328" i="90"/>
  <c r="I241" i="90"/>
  <c r="I249" i="90"/>
  <c r="I265" i="90"/>
  <c r="I273" i="90"/>
  <c r="I281" i="90"/>
  <c r="I289" i="90"/>
  <c r="I297" i="90"/>
  <c r="I305" i="90"/>
  <c r="I313" i="90"/>
  <c r="I318" i="90"/>
  <c r="I331" i="90"/>
  <c r="I237" i="90"/>
  <c r="I247" i="90"/>
  <c r="I279" i="90"/>
  <c r="I257" i="90"/>
  <c r="I263" i="90"/>
  <c r="I271" i="90"/>
  <c r="I295" i="90"/>
  <c r="I303" i="90"/>
  <c r="I324" i="90"/>
  <c r="I232" i="90"/>
  <c r="I425" i="90" l="1"/>
  <c r="I356" i="90"/>
  <c r="I405" i="90"/>
  <c r="I417" i="90"/>
  <c r="I432" i="90"/>
  <c r="I350" i="90"/>
  <c r="I372" i="90"/>
  <c r="I424" i="90"/>
  <c r="I402" i="90"/>
  <c r="I428" i="90"/>
  <c r="I421" i="90"/>
  <c r="I429" i="90"/>
  <c r="I423" i="90"/>
  <c r="I357" i="90"/>
  <c r="I339" i="90"/>
  <c r="I353" i="90"/>
  <c r="I346" i="90"/>
  <c r="I366" i="90"/>
  <c r="I409" i="90"/>
  <c r="I370" i="90"/>
  <c r="E403" i="90"/>
  <c r="I407" i="90"/>
  <c r="I364" i="90"/>
  <c r="I348" i="90"/>
  <c r="E418" i="90"/>
  <c r="I390" i="90"/>
  <c r="I342" i="90"/>
  <c r="I382" i="90"/>
  <c r="I391" i="90"/>
  <c r="I388" i="90"/>
  <c r="I338" i="90"/>
  <c r="I426" i="90"/>
  <c r="I431" i="90"/>
  <c r="I393" i="90"/>
  <c r="I374" i="90"/>
  <c r="I433" i="90"/>
  <c r="I427" i="90"/>
  <c r="I378" i="90"/>
  <c r="I368" i="90"/>
  <c r="I373" i="90"/>
  <c r="I355" i="90"/>
  <c r="I349" i="90"/>
  <c r="I416" i="90"/>
  <c r="I410" i="90"/>
  <c r="I394" i="90"/>
  <c r="I361" i="90"/>
  <c r="I419" i="90"/>
  <c r="I418" i="90"/>
  <c r="I414" i="90"/>
  <c r="E335" i="90"/>
  <c r="I430" i="90"/>
  <c r="I359" i="90"/>
  <c r="I380" i="90"/>
  <c r="I411" i="90"/>
  <c r="I422" i="90"/>
  <c r="I379" i="90"/>
  <c r="I389" i="90"/>
  <c r="I367" i="90"/>
  <c r="I335" i="90"/>
  <c r="I398" i="90"/>
  <c r="I408" i="90"/>
  <c r="I363" i="90"/>
  <c r="I337" i="90"/>
  <c r="I401" i="90"/>
  <c r="I351" i="90"/>
  <c r="I399" i="90"/>
  <c r="I376" i="90"/>
  <c r="I381" i="90"/>
  <c r="I377" i="90"/>
  <c r="I360" i="90"/>
  <c r="I341" i="90"/>
  <c r="I420" i="90"/>
  <c r="I412" i="90"/>
  <c r="I413" i="90"/>
  <c r="I415" i="90"/>
  <c r="I404" i="90"/>
  <c r="I395" i="90"/>
  <c r="I375" i="90"/>
  <c r="I387" i="90"/>
  <c r="I369" i="90"/>
  <c r="I340" i="90"/>
  <c r="I358" i="90"/>
  <c r="I371" i="90"/>
  <c r="I362" i="90"/>
  <c r="I400" i="90"/>
  <c r="I384" i="90"/>
  <c r="I365" i="90"/>
  <c r="I344" i="90"/>
  <c r="I347" i="90"/>
  <c r="I434" i="90"/>
  <c r="I385" i="90"/>
  <c r="I383" i="90"/>
  <c r="I386" i="90"/>
  <c r="I336" i="90"/>
  <c r="I354" i="90"/>
  <c r="I343" i="90"/>
  <c r="I403" i="90"/>
  <c r="I396" i="90"/>
  <c r="E427" i="90"/>
  <c r="E378" i="90"/>
  <c r="E401" i="90"/>
  <c r="E337" i="90"/>
  <c r="I406" i="90"/>
  <c r="I397" i="90"/>
  <c r="I392" i="90"/>
  <c r="I352" i="90"/>
  <c r="I345" i="90"/>
  <c r="E411" i="90"/>
  <c r="E434" i="90"/>
  <c r="E402" i="90"/>
  <c r="E370" i="90"/>
  <c r="E338" i="90"/>
  <c r="E393" i="90"/>
  <c r="E361" i="90"/>
  <c r="E429" i="90"/>
  <c r="E404" i="90"/>
  <c r="E372" i="90"/>
  <c r="E340" i="90"/>
  <c r="E343" i="90"/>
  <c r="E383" i="90"/>
  <c r="E387" i="90"/>
  <c r="E379" i="90"/>
  <c r="E422" i="90"/>
  <c r="E381" i="90"/>
  <c r="E349" i="90"/>
  <c r="E392" i="90"/>
  <c r="E423" i="90"/>
  <c r="E348" i="90"/>
  <c r="E367" i="90"/>
  <c r="E350" i="90"/>
  <c r="E419" i="90"/>
  <c r="E431" i="90"/>
  <c r="E397" i="90"/>
  <c r="E398" i="90"/>
  <c r="E400" i="90"/>
  <c r="E336" i="90"/>
  <c r="E339" i="90"/>
  <c r="E388" i="90"/>
  <c r="E359" i="90"/>
  <c r="E410" i="90"/>
  <c r="E346" i="90"/>
  <c r="E369" i="90"/>
  <c r="E412" i="90"/>
  <c r="E380" i="90"/>
  <c r="E351" i="90"/>
  <c r="E399" i="90"/>
  <c r="E426" i="90"/>
  <c r="E394" i="90"/>
  <c r="E362" i="90"/>
  <c r="E417" i="90"/>
  <c r="E385" i="90"/>
  <c r="E353" i="90"/>
  <c r="E428" i="90"/>
  <c r="E396" i="90"/>
  <c r="E364" i="90"/>
  <c r="E433" i="90"/>
  <c r="E390" i="90"/>
  <c r="E358" i="90"/>
  <c r="E413" i="90"/>
  <c r="E424" i="90"/>
  <c r="E360" i="90"/>
  <c r="E371" i="90"/>
  <c r="E375" i="90"/>
  <c r="E386" i="90"/>
  <c r="E354" i="90"/>
  <c r="E409" i="90"/>
  <c r="E377" i="90"/>
  <c r="E345" i="90"/>
  <c r="E420" i="90"/>
  <c r="E356" i="90"/>
  <c r="E415" i="90"/>
  <c r="E363" i="90"/>
  <c r="E414" i="90"/>
  <c r="E382" i="90"/>
  <c r="E405" i="90"/>
  <c r="E373" i="90"/>
  <c r="E341" i="90"/>
  <c r="E416" i="90"/>
  <c r="E384" i="90"/>
  <c r="E352" i="90"/>
  <c r="E395" i="90"/>
  <c r="E355" i="90"/>
  <c r="E406" i="90"/>
  <c r="E374" i="90"/>
  <c r="E342" i="90"/>
  <c r="E365" i="90"/>
  <c r="E421" i="90"/>
  <c r="E408" i="90"/>
  <c r="E376" i="90"/>
  <c r="E344" i="90"/>
  <c r="E347" i="90"/>
  <c r="E407" i="90"/>
  <c r="E391" i="90"/>
  <c r="E430" i="90"/>
  <c r="E366" i="90"/>
  <c r="E425" i="90"/>
  <c r="E389" i="90"/>
  <c r="E357" i="90"/>
  <c r="E432" i="90"/>
  <c r="E368" i="90"/>
  <c r="H19" i="84" l="1"/>
  <c r="E124" i="90" s="1"/>
  <c r="H20" i="84"/>
  <c r="G438" i="90" s="1"/>
  <c r="H21" i="84"/>
  <c r="G439" i="90" s="1"/>
  <c r="H22" i="84"/>
  <c r="G440" i="90" s="1"/>
  <c r="H23" i="84"/>
  <c r="G441" i="90" s="1"/>
  <c r="H24" i="84"/>
  <c r="G442" i="90" s="1"/>
  <c r="H25" i="84"/>
  <c r="G443" i="90" s="1"/>
  <c r="H26" i="84"/>
  <c r="G444" i="90" s="1"/>
  <c r="H18" i="84"/>
  <c r="Q45" i="70" s="1"/>
  <c r="H36" i="84"/>
  <c r="H37" i="84"/>
  <c r="H438" i="90" s="1"/>
  <c r="AV450" i="90" s="1"/>
  <c r="K460" i="90" s="1"/>
  <c r="H38" i="84"/>
  <c r="H439" i="90" s="1"/>
  <c r="AV451" i="90" s="1"/>
  <c r="K461" i="90" s="1"/>
  <c r="H39" i="84"/>
  <c r="H440" i="90" s="1"/>
  <c r="AV452" i="90" s="1"/>
  <c r="K462" i="90" s="1"/>
  <c r="H40" i="84"/>
  <c r="H441" i="90" s="1"/>
  <c r="AV453" i="90" s="1"/>
  <c r="K463" i="90" s="1"/>
  <c r="H41" i="84"/>
  <c r="H442" i="90" s="1"/>
  <c r="AV454" i="90" s="1"/>
  <c r="K464" i="90" s="1"/>
  <c r="H42" i="84"/>
  <c r="H443" i="90" s="1"/>
  <c r="AV455" i="90" s="1"/>
  <c r="K465" i="90" s="1"/>
  <c r="H43" i="84"/>
  <c r="H444" i="90" s="1"/>
  <c r="AV456" i="90" s="1"/>
  <c r="K466" i="90" s="1"/>
  <c r="H53" i="84"/>
  <c r="Q124" i="90" s="1"/>
  <c r="H54" i="84"/>
  <c r="I438" i="90" s="1"/>
  <c r="BG450" i="90" s="1"/>
  <c r="H55" i="84"/>
  <c r="I439" i="90" s="1"/>
  <c r="BG451" i="90" s="1"/>
  <c r="H56" i="84"/>
  <c r="I440" i="90" s="1"/>
  <c r="BG452" i="90" s="1"/>
  <c r="H57" i="84"/>
  <c r="I441" i="90" s="1"/>
  <c r="BG453" i="90" s="1"/>
  <c r="H58" i="84"/>
  <c r="I442" i="90" s="1"/>
  <c r="BG454" i="90" s="1"/>
  <c r="H59" i="84"/>
  <c r="I443" i="90" s="1"/>
  <c r="BG455" i="90" s="1"/>
  <c r="H60" i="84"/>
  <c r="I444" i="90" s="1"/>
  <c r="BG456" i="90" s="1"/>
  <c r="H52" i="84"/>
  <c r="Q52" i="70" s="1"/>
  <c r="H70" i="84"/>
  <c r="H71" i="84"/>
  <c r="J438" i="90" s="1"/>
  <c r="BH450" i="90" s="1"/>
  <c r="H72" i="84"/>
  <c r="J439" i="90" s="1"/>
  <c r="BH451" i="90" s="1"/>
  <c r="H73" i="84"/>
  <c r="J440" i="90" s="1"/>
  <c r="BH452" i="90" s="1"/>
  <c r="H74" i="84"/>
  <c r="J441" i="90" s="1"/>
  <c r="BH453" i="90" s="1"/>
  <c r="H75" i="84"/>
  <c r="J442" i="90" s="1"/>
  <c r="BH454" i="90" s="1"/>
  <c r="H76" i="84"/>
  <c r="J443" i="90" s="1"/>
  <c r="BH455" i="90" s="1"/>
  <c r="H77" i="84"/>
  <c r="J444" i="90" s="1"/>
  <c r="BH456" i="90" s="1"/>
  <c r="H69" i="84"/>
  <c r="Q55" i="70" s="1"/>
  <c r="H87" i="84"/>
  <c r="AC124" i="90" s="1"/>
  <c r="H88" i="84"/>
  <c r="K438" i="90" s="1"/>
  <c r="AE450" i="90" s="1"/>
  <c r="H89" i="84"/>
  <c r="K439" i="90" s="1"/>
  <c r="AE451" i="90" s="1"/>
  <c r="H90" i="84"/>
  <c r="K440" i="90" s="1"/>
  <c r="AE452" i="90" s="1"/>
  <c r="H91" i="84"/>
  <c r="K441" i="90" s="1"/>
  <c r="AE453" i="90" s="1"/>
  <c r="H92" i="84"/>
  <c r="K442" i="90" s="1"/>
  <c r="AE454" i="90" s="1"/>
  <c r="H93" i="84"/>
  <c r="K443" i="90" s="1"/>
  <c r="AE455" i="90" s="1"/>
  <c r="H94" i="84"/>
  <c r="K444" i="90" s="1"/>
  <c r="AE456" i="90" s="1"/>
  <c r="H86" i="84"/>
  <c r="AB17" i="90"/>
  <c r="G456" i="90" l="1"/>
  <c r="C466" i="90" s="1"/>
  <c r="AA456" i="90"/>
  <c r="G466" i="90" s="1"/>
  <c r="G455" i="90"/>
  <c r="C465" i="90" s="1"/>
  <c r="AA455" i="90"/>
  <c r="G465" i="90" s="1"/>
  <c r="G454" i="90"/>
  <c r="C464" i="90" s="1"/>
  <c r="AA454" i="90"/>
  <c r="G464" i="90" s="1"/>
  <c r="G453" i="90"/>
  <c r="C463" i="90" s="1"/>
  <c r="AA453" i="90"/>
  <c r="G463" i="90" s="1"/>
  <c r="G452" i="90"/>
  <c r="C462" i="90" s="1"/>
  <c r="AA452" i="90"/>
  <c r="G462" i="90" s="1"/>
  <c r="G451" i="90"/>
  <c r="C461" i="90" s="1"/>
  <c r="AA451" i="90"/>
  <c r="G461" i="90" s="1"/>
  <c r="G450" i="90"/>
  <c r="C460" i="90" s="1"/>
  <c r="AA450" i="90"/>
  <c r="G460" i="90" s="1"/>
  <c r="Q58" i="70"/>
  <c r="AC17" i="90"/>
  <c r="M460" i="90"/>
  <c r="M464" i="90"/>
  <c r="M466" i="90"/>
  <c r="M462" i="90"/>
  <c r="M461" i="90"/>
  <c r="M463" i="90"/>
  <c r="M465" i="90"/>
  <c r="W124" i="90"/>
  <c r="K124" i="90"/>
  <c r="W17" i="90"/>
  <c r="V17" i="90"/>
  <c r="Q17" i="90"/>
  <c r="P17" i="90"/>
  <c r="H35" i="84"/>
  <c r="Q49" i="70" s="1"/>
  <c r="J17" i="90"/>
  <c r="D17" i="90"/>
  <c r="LU4346" i="4" l="1"/>
  <c r="LO4346" i="4"/>
  <c r="A67" i="70" l="1"/>
  <c r="A66" i="70"/>
  <c r="A65" i="70"/>
  <c r="A64" i="70"/>
  <c r="D96" i="89" l="1"/>
  <c r="CT440" i="90" s="1"/>
  <c r="BR450" i="90" s="1"/>
  <c r="D97" i="89"/>
  <c r="CT441" i="90" s="1"/>
  <c r="BR451" i="90" s="1"/>
  <c r="D98" i="89"/>
  <c r="CT442" i="90" s="1"/>
  <c r="BR452" i="90" s="1"/>
  <c r="D99" i="89"/>
  <c r="CT443" i="90" s="1"/>
  <c r="BR453" i="90" s="1"/>
  <c r="D100" i="89"/>
  <c r="CT444" i="90" s="1"/>
  <c r="BR454" i="90" s="1"/>
  <c r="D101" i="89"/>
  <c r="CT445" i="90" s="1"/>
  <c r="BR455" i="90" s="1"/>
  <c r="D102" i="89"/>
  <c r="CT446" i="90" s="1"/>
  <c r="BR456" i="90" s="1"/>
  <c r="D95" i="89"/>
  <c r="C96" i="89"/>
  <c r="CO440" i="90" s="1"/>
  <c r="BQ450" i="90" s="1"/>
  <c r="C97" i="89"/>
  <c r="CO441" i="90" s="1"/>
  <c r="BQ451" i="90" s="1"/>
  <c r="C98" i="89"/>
  <c r="CO442" i="90" s="1"/>
  <c r="BQ452" i="90" s="1"/>
  <c r="C99" i="89"/>
  <c r="CO443" i="90" s="1"/>
  <c r="BQ453" i="90" s="1"/>
  <c r="C100" i="89"/>
  <c r="CO444" i="90" s="1"/>
  <c r="BQ454" i="90" s="1"/>
  <c r="C101" i="89"/>
  <c r="CO445" i="90" s="1"/>
  <c r="BQ455" i="90" s="1"/>
  <c r="C102" i="89"/>
  <c r="CO446" i="90" s="1"/>
  <c r="BQ456" i="90" s="1"/>
  <c r="C95" i="89"/>
  <c r="D93" i="89"/>
  <c r="DK444" i="90" l="1"/>
  <c r="BU454" i="90" s="1"/>
  <c r="F176" i="23" s="1"/>
  <c r="L39" i="70" s="1"/>
  <c r="CY444" i="90"/>
  <c r="BS454" i="90" s="1"/>
  <c r="F166" i="23" s="1"/>
  <c r="L38" i="70" s="1"/>
  <c r="CG444" i="90"/>
  <c r="BO454" i="90" s="1"/>
  <c r="DK443" i="90"/>
  <c r="BU453" i="90" s="1"/>
  <c r="F175" i="23" s="1"/>
  <c r="J39" i="70" s="1"/>
  <c r="CG443" i="90"/>
  <c r="BO453" i="90" s="1"/>
  <c r="CY443" i="90"/>
  <c r="BS453" i="90" s="1"/>
  <c r="F165" i="23" s="1"/>
  <c r="J38" i="70" s="1"/>
  <c r="F171" i="23"/>
  <c r="P39" i="70" s="1"/>
  <c r="F161" i="23"/>
  <c r="P38" i="70" s="1"/>
  <c r="DP446" i="90"/>
  <c r="BV456" i="90" s="1"/>
  <c r="G178" i="23" s="1"/>
  <c r="S76" i="70" s="1"/>
  <c r="DD446" i="90"/>
  <c r="BT456" i="90" s="1"/>
  <c r="G168" i="23" s="1"/>
  <c r="S75" i="70" s="1"/>
  <c r="CL446" i="90"/>
  <c r="BP456" i="90" s="1"/>
  <c r="DP445" i="90"/>
  <c r="BV455" i="90" s="1"/>
  <c r="G177" i="23" s="1"/>
  <c r="O76" i="70" s="1"/>
  <c r="DD445" i="90"/>
  <c r="BT455" i="90" s="1"/>
  <c r="G167" i="23" s="1"/>
  <c r="O75" i="70" s="1"/>
  <c r="CL445" i="90"/>
  <c r="BP455" i="90" s="1"/>
  <c r="DP444" i="90"/>
  <c r="BV454" i="90" s="1"/>
  <c r="G176" i="23" s="1"/>
  <c r="M76" i="70" s="1"/>
  <c r="CL444" i="90"/>
  <c r="BP454" i="90" s="1"/>
  <c r="DD444" i="90"/>
  <c r="BT454" i="90" s="1"/>
  <c r="G166" i="23" s="1"/>
  <c r="M75" i="70" s="1"/>
  <c r="DK442" i="90"/>
  <c r="BU452" i="90" s="1"/>
  <c r="F174" i="23" s="1"/>
  <c r="H39" i="70" s="1"/>
  <c r="CY442" i="90"/>
  <c r="BS452" i="90" s="1"/>
  <c r="F164" i="23" s="1"/>
  <c r="H38" i="70" s="1"/>
  <c r="CG442" i="90"/>
  <c r="BO452" i="90" s="1"/>
  <c r="DP442" i="90"/>
  <c r="BV452" i="90" s="1"/>
  <c r="G174" i="23" s="1"/>
  <c r="I76" i="70" s="1"/>
  <c r="CL442" i="90"/>
  <c r="BP452" i="90" s="1"/>
  <c r="DD442" i="90"/>
  <c r="BT452" i="90" s="1"/>
  <c r="G164" i="23" s="1"/>
  <c r="I75" i="70" s="1"/>
  <c r="G171" i="23"/>
  <c r="Q76" i="70" s="1"/>
  <c r="G161" i="23"/>
  <c r="Q75" i="70" s="1"/>
  <c r="DP443" i="90"/>
  <c r="BV453" i="90" s="1"/>
  <c r="G175" i="23" s="1"/>
  <c r="K76" i="70" s="1"/>
  <c r="CL443" i="90"/>
  <c r="BP453" i="90" s="1"/>
  <c r="DD443" i="90"/>
  <c r="BT453" i="90" s="1"/>
  <c r="G165" i="23" s="1"/>
  <c r="K75" i="70" s="1"/>
  <c r="DK441" i="90"/>
  <c r="BU451" i="90" s="1"/>
  <c r="F173" i="23" s="1"/>
  <c r="F39" i="70" s="1"/>
  <c r="CG441" i="90"/>
  <c r="BO451" i="90" s="1"/>
  <c r="CY441" i="90"/>
  <c r="BS451" i="90" s="1"/>
  <c r="F163" i="23" s="1"/>
  <c r="F38" i="70" s="1"/>
  <c r="DP441" i="90"/>
  <c r="BV451" i="90" s="1"/>
  <c r="G173" i="23" s="1"/>
  <c r="G76" i="70" s="1"/>
  <c r="DD441" i="90"/>
  <c r="BT451" i="90" s="1"/>
  <c r="G163" i="23" s="1"/>
  <c r="G75" i="70" s="1"/>
  <c r="CL441" i="90"/>
  <c r="BP451" i="90" s="1"/>
  <c r="DK446" i="90"/>
  <c r="BU456" i="90" s="1"/>
  <c r="F178" i="23" s="1"/>
  <c r="R39" i="70" s="1"/>
  <c r="CY446" i="90"/>
  <c r="BS456" i="90" s="1"/>
  <c r="F168" i="23" s="1"/>
  <c r="R38" i="70" s="1"/>
  <c r="CG446" i="90"/>
  <c r="BO456" i="90" s="1"/>
  <c r="DK445" i="90"/>
  <c r="BU455" i="90" s="1"/>
  <c r="F177" i="23" s="1"/>
  <c r="N39" i="70" s="1"/>
  <c r="CY445" i="90"/>
  <c r="BS455" i="90" s="1"/>
  <c r="F167" i="23" s="1"/>
  <c r="N38" i="70" s="1"/>
  <c r="CG445" i="90"/>
  <c r="BO455" i="90" s="1"/>
  <c r="Q51" i="70"/>
  <c r="Q48" i="70"/>
  <c r="Q57" i="70"/>
  <c r="DK440" i="90"/>
  <c r="BU450" i="90" s="1"/>
  <c r="F172" i="23" s="1"/>
  <c r="D39" i="70" s="1"/>
  <c r="CY440" i="90"/>
  <c r="BS450" i="90" s="1"/>
  <c r="F162" i="23" s="1"/>
  <c r="D38" i="70" s="1"/>
  <c r="CG440" i="90"/>
  <c r="BO450" i="90" s="1"/>
  <c r="DP440" i="90"/>
  <c r="BV450" i="90" s="1"/>
  <c r="G172" i="23" s="1"/>
  <c r="E76" i="70" s="1"/>
  <c r="DD440" i="90"/>
  <c r="BT450" i="90" s="1"/>
  <c r="G162" i="23" s="1"/>
  <c r="E75" i="70" s="1"/>
  <c r="CL440" i="90"/>
  <c r="BP450" i="90" s="1"/>
  <c r="BX124" i="90"/>
  <c r="BR124" i="90"/>
  <c r="CJ124" i="90"/>
  <c r="BL124" i="90"/>
  <c r="CD124" i="90"/>
  <c r="BX17" i="90"/>
  <c r="BR17" i="90"/>
  <c r="CJ17" i="90"/>
  <c r="BL17" i="90"/>
  <c r="CD17" i="90"/>
  <c r="CC124" i="90"/>
  <c r="BW124" i="90"/>
  <c r="BQ124" i="90"/>
  <c r="CI124" i="90"/>
  <c r="BK124" i="90"/>
  <c r="DX6" i="90"/>
  <c r="D164" i="89"/>
  <c r="C166" i="89"/>
  <c r="D166" i="89"/>
  <c r="C167" i="89"/>
  <c r="DV425" i="90" s="1"/>
  <c r="D167" i="89"/>
  <c r="DW425" i="90" s="1"/>
  <c r="C168" i="89"/>
  <c r="DV426" i="90" s="1"/>
  <c r="D168" i="89"/>
  <c r="DW426" i="90" s="1"/>
  <c r="C169" i="89"/>
  <c r="DV427" i="90" s="1"/>
  <c r="D169" i="89"/>
  <c r="DW427" i="90" s="1"/>
  <c r="C170" i="89"/>
  <c r="DV428" i="90" s="1"/>
  <c r="D170" i="89"/>
  <c r="DW428" i="90" s="1"/>
  <c r="C171" i="89"/>
  <c r="DV429" i="90" s="1"/>
  <c r="D171" i="89"/>
  <c r="DW429" i="90" s="1"/>
  <c r="C172" i="89"/>
  <c r="DV430" i="90" s="1"/>
  <c r="D172" i="89"/>
  <c r="DW430" i="90" s="1"/>
  <c r="C173" i="89"/>
  <c r="DV431" i="90" s="1"/>
  <c r="D173" i="89"/>
  <c r="DW431" i="90" s="1"/>
  <c r="EZ443" i="90" l="1"/>
  <c r="EB453" i="90" s="1"/>
  <c r="F158" i="23" s="1"/>
  <c r="R37" i="70" s="1"/>
  <c r="DV443" i="90"/>
  <c r="DV453" i="90" s="1"/>
  <c r="EZ439" i="90"/>
  <c r="EB449" i="90" s="1"/>
  <c r="DV439" i="90"/>
  <c r="DV449" i="90" s="1"/>
  <c r="FE438" i="90"/>
  <c r="EC448" i="90" s="1"/>
  <c r="G156" i="23" s="1"/>
  <c r="G74" i="70" s="1"/>
  <c r="EA438" i="90"/>
  <c r="DW448" i="90" s="1"/>
  <c r="EZ438" i="90"/>
  <c r="EB448" i="90" s="1"/>
  <c r="F156" i="23" s="1"/>
  <c r="F37" i="70" s="1"/>
  <c r="DV438" i="90"/>
  <c r="DV448" i="90" s="1"/>
  <c r="FE441" i="90"/>
  <c r="EC451" i="90" s="1"/>
  <c r="EA441" i="90"/>
  <c r="DW451" i="90" s="1"/>
  <c r="FE437" i="90"/>
  <c r="EC447" i="90" s="1"/>
  <c r="G155" i="23" s="1"/>
  <c r="E74" i="70" s="1"/>
  <c r="EA437" i="90"/>
  <c r="DW447" i="90" s="1"/>
  <c r="EZ442" i="90"/>
  <c r="EB452" i="90" s="1"/>
  <c r="F157" i="23" s="1"/>
  <c r="N37" i="70" s="1"/>
  <c r="DV442" i="90"/>
  <c r="DV452" i="90" s="1"/>
  <c r="EZ441" i="90"/>
  <c r="EB451" i="90" s="1"/>
  <c r="DV441" i="90"/>
  <c r="DV451" i="90" s="1"/>
  <c r="EZ437" i="90"/>
  <c r="EB447" i="90" s="1"/>
  <c r="F155" i="23" s="1"/>
  <c r="D37" i="70" s="1"/>
  <c r="DV437" i="90"/>
  <c r="DV447" i="90" s="1"/>
  <c r="FE442" i="90"/>
  <c r="EC452" i="90" s="1"/>
  <c r="G157" i="23" s="1"/>
  <c r="O74" i="70" s="1"/>
  <c r="EA442" i="90"/>
  <c r="DW452" i="90" s="1"/>
  <c r="FE440" i="90"/>
  <c r="EC450" i="90" s="1"/>
  <c r="EA440" i="90"/>
  <c r="DW450" i="90" s="1"/>
  <c r="EZ440" i="90"/>
  <c r="EB450" i="90" s="1"/>
  <c r="DV440" i="90"/>
  <c r="DV450" i="90" s="1"/>
  <c r="FE443" i="90"/>
  <c r="EC453" i="90" s="1"/>
  <c r="G158" i="23" s="1"/>
  <c r="S74" i="70" s="1"/>
  <c r="EA443" i="90"/>
  <c r="DW453" i="90" s="1"/>
  <c r="FE439" i="90"/>
  <c r="EC449" i="90" s="1"/>
  <c r="EA439" i="90"/>
  <c r="DW449" i="90" s="1"/>
  <c r="DY6" i="90"/>
  <c r="EE6" i="90" s="1"/>
  <c r="Q46" i="70"/>
  <c r="Q54" i="70"/>
  <c r="DY112" i="90"/>
  <c r="EQ112" i="90" s="1"/>
  <c r="G154" i="23"/>
  <c r="Q74" i="70" s="1"/>
  <c r="DX112" i="90"/>
  <c r="EV112" i="90" s="1"/>
  <c r="F154" i="23"/>
  <c r="P37" i="70" s="1"/>
  <c r="EV6" i="90"/>
  <c r="EP6" i="90"/>
  <c r="ED6" i="90"/>
  <c r="EJ6" i="90"/>
  <c r="K17" i="90"/>
  <c r="E17" i="90"/>
  <c r="EJ112" i="90" l="1"/>
  <c r="ED112" i="90"/>
  <c r="EP112" i="90"/>
  <c r="EW6" i="90"/>
  <c r="EK6" i="90"/>
  <c r="EE112" i="90"/>
  <c r="EK112" i="90"/>
  <c r="EQ6" i="90"/>
  <c r="EW112" i="90"/>
  <c r="F80" i="51"/>
  <c r="A24" i="71" l="1"/>
  <c r="B144" i="30" l="1"/>
  <c r="B143" i="30"/>
  <c r="B142" i="30"/>
  <c r="B141" i="30"/>
  <c r="B140" i="30"/>
  <c r="B139" i="30"/>
  <c r="B138" i="30"/>
  <c r="B137" i="30"/>
  <c r="B136" i="30"/>
  <c r="B135" i="30"/>
  <c r="B134" i="30"/>
  <c r="B133" i="30"/>
  <c r="B132" i="30"/>
  <c r="B131" i="30"/>
  <c r="B130" i="30"/>
  <c r="B129" i="30"/>
  <c r="B128" i="30"/>
  <c r="B127" i="30"/>
  <c r="B126" i="30"/>
  <c r="B125" i="30"/>
  <c r="B124" i="30"/>
  <c r="B123" i="30"/>
  <c r="B122" i="30"/>
  <c r="B121" i="30"/>
  <c r="B120" i="30"/>
  <c r="B119" i="30"/>
  <c r="B118" i="30"/>
  <c r="B117" i="30"/>
  <c r="B116" i="30"/>
  <c r="B115" i="30"/>
  <c r="B114" i="30"/>
  <c r="B113" i="30"/>
  <c r="B112" i="30"/>
  <c r="B111" i="30"/>
  <c r="B110" i="30"/>
  <c r="B109" i="30"/>
  <c r="B108" i="30"/>
  <c r="B107" i="30"/>
  <c r="B106" i="30"/>
  <c r="B105" i="30"/>
  <c r="B104" i="30"/>
  <c r="B103" i="30"/>
  <c r="B102" i="30"/>
  <c r="B101" i="30"/>
  <c r="B100" i="30"/>
  <c r="B99" i="30"/>
  <c r="B98" i="30"/>
  <c r="B97" i="30"/>
  <c r="B96" i="30"/>
  <c r="B178" i="30"/>
  <c r="B177" i="30"/>
  <c r="B176" i="30"/>
  <c r="B175" i="30"/>
  <c r="B174" i="30"/>
  <c r="B173" i="30"/>
  <c r="B172" i="30"/>
  <c r="B171" i="30"/>
  <c r="B170" i="30"/>
  <c r="B169" i="30"/>
  <c r="B168" i="30"/>
  <c r="B167" i="30"/>
  <c r="B166" i="30"/>
  <c r="B165" i="30"/>
  <c r="B164" i="30"/>
  <c r="B163" i="30"/>
  <c r="B162" i="30"/>
  <c r="B161" i="30"/>
  <c r="B160" i="30"/>
  <c r="B159" i="30"/>
  <c r="B158" i="30"/>
  <c r="B157" i="30"/>
  <c r="B156" i="30"/>
  <c r="B155" i="30"/>
  <c r="B154" i="30"/>
  <c r="B153" i="30"/>
  <c r="B152" i="30"/>
  <c r="B151" i="30"/>
  <c r="B150" i="30"/>
  <c r="B205" i="30"/>
  <c r="B204" i="30"/>
  <c r="B203" i="30"/>
  <c r="B202" i="30"/>
  <c r="B201" i="30"/>
  <c r="B200" i="30"/>
  <c r="B185" i="30"/>
  <c r="B184" i="30"/>
  <c r="B183" i="30"/>
  <c r="B182" i="30"/>
  <c r="B187" i="30"/>
  <c r="B67" i="70" l="1"/>
  <c r="C25" i="70" l="1"/>
  <c r="C24" i="70"/>
  <c r="C23" i="70"/>
  <c r="C22" i="70"/>
  <c r="C26" i="70"/>
  <c r="A27" i="70"/>
  <c r="A28" i="70"/>
  <c r="A29" i="70"/>
  <c r="A30" i="70"/>
  <c r="B30" i="70"/>
  <c r="A32" i="70"/>
  <c r="B32" i="70"/>
  <c r="C32" i="70"/>
  <c r="A34" i="70"/>
  <c r="B34" i="70"/>
  <c r="C34" i="70"/>
  <c r="A35" i="70"/>
  <c r="B35" i="70"/>
  <c r="C35" i="70"/>
  <c r="C33" i="70"/>
  <c r="C31" i="70"/>
  <c r="C30" i="70"/>
  <c r="C29" i="70"/>
  <c r="C28" i="70"/>
  <c r="C27" i="70"/>
  <c r="B33" i="70"/>
  <c r="B31" i="70"/>
  <c r="B66" i="70"/>
  <c r="B29" i="70" s="1"/>
  <c r="B65" i="70"/>
  <c r="B28" i="70" s="1"/>
  <c r="B64" i="70"/>
  <c r="B27" i="70" s="1"/>
  <c r="B63" i="70"/>
  <c r="B26" i="70" s="1"/>
  <c r="B62" i="70"/>
  <c r="B25" i="70" s="1"/>
  <c r="B61" i="70"/>
  <c r="B24" i="70" s="1"/>
  <c r="B60" i="70"/>
  <c r="B23" i="70" s="1"/>
  <c r="B59" i="70"/>
  <c r="B22" i="70" s="1"/>
  <c r="B56" i="70"/>
  <c r="B19" i="70" s="1"/>
  <c r="B53" i="70"/>
  <c r="B16" i="70" s="1"/>
  <c r="B50" i="70"/>
  <c r="B13" i="70" s="1"/>
  <c r="B47" i="70"/>
  <c r="B10" i="70" s="1"/>
  <c r="B44" i="70"/>
  <c r="B7" i="70" s="1"/>
  <c r="A33" i="70"/>
  <c r="A68" i="70"/>
  <c r="A31" i="70" s="1"/>
  <c r="A63" i="70"/>
  <c r="A26" i="70" s="1"/>
  <c r="A62" i="70"/>
  <c r="A25" i="70" s="1"/>
  <c r="A61" i="70"/>
  <c r="A24" i="70" s="1"/>
  <c r="A59" i="70"/>
  <c r="A22" i="70" s="1"/>
  <c r="A60" i="70"/>
  <c r="A23" i="70" s="1"/>
  <c r="A56" i="70"/>
  <c r="A19" i="70" s="1"/>
  <c r="A53" i="70"/>
  <c r="A16" i="70" s="1"/>
  <c r="A50" i="70"/>
  <c r="A13" i="70" s="1"/>
  <c r="A44" i="70"/>
  <c r="A7" i="70" s="1"/>
  <c r="A52" i="70" l="1"/>
  <c r="A15" i="70" s="1"/>
  <c r="A51" i="70"/>
  <c r="A14" i="70" s="1"/>
  <c r="B54" i="70"/>
  <c r="B57" i="70"/>
  <c r="A57" i="70"/>
  <c r="A20" i="70" s="1"/>
  <c r="A58" i="70"/>
  <c r="A21" i="70" s="1"/>
  <c r="B49" i="70"/>
  <c r="B12" i="70" s="1"/>
  <c r="B48" i="70"/>
  <c r="B11" i="70" s="1"/>
  <c r="A46" i="70"/>
  <c r="A9" i="70" s="1"/>
  <c r="A45" i="70"/>
  <c r="A8" i="70" s="1"/>
  <c r="A54" i="70"/>
  <c r="B45" i="70"/>
  <c r="B8" i="70" s="1"/>
  <c r="B46" i="70"/>
  <c r="B9" i="70" s="1"/>
  <c r="B51" i="70"/>
  <c r="B14" i="70" s="1"/>
  <c r="B52" i="70"/>
  <c r="B15" i="70" s="1"/>
  <c r="B58" i="70" l="1"/>
  <c r="B21" i="70" s="1"/>
  <c r="B20" i="70"/>
  <c r="B55" i="70"/>
  <c r="B18" i="70" s="1"/>
  <c r="B17" i="70"/>
  <c r="A55" i="70"/>
  <c r="A18" i="70" s="1"/>
  <c r="A17" i="70"/>
  <c r="X13" i="4" l="1"/>
  <c r="X14" i="4"/>
  <c r="X15" i="4"/>
  <c r="X16" i="4"/>
  <c r="X17" i="4"/>
  <c r="X18" i="4"/>
  <c r="X19" i="4"/>
  <c r="X20" i="4"/>
  <c r="X21" i="4"/>
  <c r="X22" i="4"/>
  <c r="X23" i="4"/>
  <c r="X24" i="4"/>
  <c r="X25" i="4"/>
  <c r="X26" i="4"/>
  <c r="X27" i="4"/>
  <c r="X28" i="4"/>
  <c r="X29" i="4"/>
  <c r="X30" i="4"/>
  <c r="X31" i="4"/>
  <c r="X32" i="4"/>
  <c r="X33" i="4"/>
  <c r="X34" i="4"/>
  <c r="X35" i="4"/>
  <c r="X36" i="4"/>
  <c r="X37" i="4"/>
  <c r="X38" i="4"/>
  <c r="X39" i="4"/>
  <c r="X40" i="4"/>
  <c r="X41" i="4"/>
  <c r="X42" i="4"/>
  <c r="X43" i="4"/>
  <c r="X44" i="4"/>
  <c r="X45" i="4"/>
  <c r="X46" i="4"/>
  <c r="X47" i="4"/>
  <c r="X48" i="4"/>
  <c r="X49" i="4"/>
  <c r="X50" i="4"/>
  <c r="X51" i="4"/>
  <c r="X52" i="4"/>
  <c r="X53" i="4"/>
  <c r="X54" i="4"/>
  <c r="X55" i="4"/>
  <c r="X56" i="4"/>
  <c r="X57" i="4"/>
  <c r="X58" i="4"/>
  <c r="X59" i="4"/>
  <c r="X60" i="4"/>
  <c r="X61" i="4"/>
  <c r="X62" i="4"/>
  <c r="X63" i="4"/>
  <c r="X64" i="4"/>
  <c r="X65" i="4"/>
  <c r="X66" i="4"/>
  <c r="X67" i="4"/>
  <c r="X68" i="4"/>
  <c r="X69" i="4"/>
  <c r="X70" i="4"/>
  <c r="X71" i="4"/>
  <c r="X72" i="4"/>
  <c r="X73" i="4"/>
  <c r="X74" i="4"/>
  <c r="X75" i="4"/>
  <c r="X76" i="4"/>
  <c r="X77" i="4"/>
  <c r="X78" i="4"/>
  <c r="X79" i="4"/>
  <c r="X80" i="4"/>
  <c r="X81" i="4"/>
  <c r="X82" i="4"/>
  <c r="X83" i="4"/>
  <c r="X84" i="4"/>
  <c r="X85" i="4"/>
  <c r="X86" i="4"/>
  <c r="X87" i="4"/>
  <c r="X88" i="4"/>
  <c r="X89" i="4"/>
  <c r="X90" i="4"/>
  <c r="X91" i="4"/>
  <c r="X92" i="4"/>
  <c r="X93" i="4"/>
  <c r="X94" i="4"/>
  <c r="X95" i="4"/>
  <c r="X96" i="4"/>
  <c r="X97" i="4"/>
  <c r="X98" i="4"/>
  <c r="X99" i="4"/>
  <c r="X100" i="4"/>
  <c r="X101" i="4"/>
  <c r="X102" i="4"/>
  <c r="X103" i="4"/>
  <c r="X104" i="4"/>
  <c r="X105" i="4"/>
  <c r="X106" i="4"/>
  <c r="X107" i="4"/>
  <c r="X108" i="4"/>
  <c r="X109" i="4"/>
  <c r="X110" i="4"/>
  <c r="X111" i="4"/>
  <c r="X12" i="4"/>
  <c r="X3" i="4"/>
  <c r="X4" i="4"/>
  <c r="X5" i="4"/>
  <c r="X6" i="4"/>
  <c r="X7" i="4"/>
  <c r="X8" i="4"/>
  <c r="X9" i="4"/>
  <c r="X10" i="4"/>
  <c r="X11" i="4"/>
  <c r="X2" i="4"/>
  <c r="W2" i="4" s="1"/>
  <c r="W81" i="4" l="1"/>
  <c r="W99" i="4"/>
  <c r="W25" i="4"/>
  <c r="W41" i="4"/>
  <c r="W66" i="4"/>
  <c r="W82" i="4"/>
  <c r="W100" i="4"/>
  <c r="W26" i="4"/>
  <c r="W58" i="4"/>
  <c r="W75" i="4"/>
  <c r="W91" i="4"/>
  <c r="W6" i="4"/>
  <c r="W27" i="4"/>
  <c r="W35" i="4"/>
  <c r="W43" i="4"/>
  <c r="W51" i="4"/>
  <c r="W59" i="4"/>
  <c r="W68" i="4"/>
  <c r="W76" i="4"/>
  <c r="W84" i="4"/>
  <c r="W94" i="4"/>
  <c r="W102" i="4"/>
  <c r="W110" i="4"/>
  <c r="W28" i="4"/>
  <c r="W36" i="4"/>
  <c r="W44" i="4"/>
  <c r="W52" i="4"/>
  <c r="W60" i="4"/>
  <c r="W69" i="4"/>
  <c r="W77" i="4"/>
  <c r="W95" i="4"/>
  <c r="W103" i="4"/>
  <c r="W8" i="4"/>
  <c r="W37" i="4"/>
  <c r="W45" i="4"/>
  <c r="W61" i="4"/>
  <c r="W78" i="4"/>
  <c r="W86" i="4"/>
  <c r="W104" i="4"/>
  <c r="W9" i="4"/>
  <c r="W46" i="4"/>
  <c r="W63" i="4"/>
  <c r="W105" i="4"/>
  <c r="W7" i="4"/>
  <c r="W85" i="4"/>
  <c r="W111" i="4"/>
  <c r="W29" i="4"/>
  <c r="W53" i="4"/>
  <c r="W70" i="4"/>
  <c r="W96" i="4"/>
  <c r="W30" i="4"/>
  <c r="W38" i="4"/>
  <c r="W54" i="4"/>
  <c r="W79" i="4"/>
  <c r="W87" i="4"/>
  <c r="W97" i="4"/>
  <c r="W10" i="4"/>
  <c r="W31" i="4"/>
  <c r="W39" i="4"/>
  <c r="W47" i="4"/>
  <c r="W55" i="4"/>
  <c r="W64" i="4"/>
  <c r="W72" i="4"/>
  <c r="W80" i="4"/>
  <c r="W88" i="4"/>
  <c r="W98" i="4"/>
  <c r="W106" i="4"/>
  <c r="W24" i="4"/>
  <c r="W40" i="4"/>
  <c r="W48" i="4"/>
  <c r="W56" i="4"/>
  <c r="W65" i="4"/>
  <c r="W73" i="4"/>
  <c r="W89" i="4"/>
  <c r="W107" i="4"/>
  <c r="W4" i="4"/>
  <c r="W49" i="4"/>
  <c r="W57" i="4"/>
  <c r="W74" i="4"/>
  <c r="W90" i="4"/>
  <c r="W108" i="4"/>
  <c r="W5" i="4"/>
  <c r="W50" i="4"/>
  <c r="W67" i="4"/>
  <c r="W83" i="4"/>
  <c r="W101" i="4"/>
  <c r="W109" i="4"/>
  <c r="W21" i="4"/>
  <c r="W3" i="4" l="1"/>
  <c r="W11" i="4" l="1"/>
  <c r="W14" i="4"/>
  <c r="W12" i="4" l="1"/>
  <c r="W13" i="4" l="1"/>
  <c r="W15" i="4"/>
  <c r="W16" i="4" s="1"/>
  <c r="W17" i="4" l="1"/>
  <c r="DN4" i="4"/>
  <c r="W18" i="4" l="1"/>
  <c r="CK51" i="4"/>
  <c r="CK50" i="4"/>
  <c r="CK49" i="4"/>
  <c r="CK48" i="4"/>
  <c r="CK47" i="4"/>
  <c r="CK46" i="4"/>
  <c r="CK45" i="4"/>
  <c r="CK44" i="4"/>
  <c r="CK43" i="4"/>
  <c r="CK42" i="4"/>
  <c r="CK41" i="4"/>
  <c r="CK40" i="4"/>
  <c r="CK39" i="4"/>
  <c r="CK38" i="4"/>
  <c r="CK37" i="4"/>
  <c r="CK36" i="4"/>
  <c r="CK35" i="4"/>
  <c r="CK34" i="4"/>
  <c r="CK33" i="4"/>
  <c r="CK32" i="4"/>
  <c r="CK31" i="4"/>
  <c r="CK30" i="4"/>
  <c r="CK29" i="4"/>
  <c r="CK28" i="4"/>
  <c r="CK27" i="4"/>
  <c r="CK26" i="4"/>
  <c r="CK25" i="4"/>
  <c r="CK24" i="4"/>
  <c r="CK23" i="4"/>
  <c r="CK22" i="4"/>
  <c r="CK21" i="4"/>
  <c r="CK20" i="4"/>
  <c r="CK19" i="4"/>
  <c r="CK18" i="4"/>
  <c r="CK17" i="4"/>
  <c r="CK16" i="4"/>
  <c r="F6" i="90"/>
  <c r="F5" i="90"/>
  <c r="F4" i="90"/>
  <c r="F3" i="90"/>
  <c r="E3" i="90" s="1"/>
  <c r="C12" i="90"/>
  <c r="C11" i="90"/>
  <c r="C10" i="90"/>
  <c r="C9" i="90"/>
  <c r="C8" i="90"/>
  <c r="CK6" i="4"/>
  <c r="CK5" i="4"/>
  <c r="CK4" i="4"/>
  <c r="CK3" i="4"/>
  <c r="CK2" i="4"/>
  <c r="CJ2" i="4" s="1"/>
  <c r="W19" i="4" l="1"/>
  <c r="W20" i="4"/>
  <c r="W22" i="4" s="1"/>
  <c r="C116" i="102"/>
  <c r="I116" i="102" s="1"/>
  <c r="L5" i="90"/>
  <c r="C148" i="102"/>
  <c r="I148" i="102" s="1"/>
  <c r="F11" i="90"/>
  <c r="E11" i="90" s="1"/>
  <c r="C134" i="102"/>
  <c r="I134" i="102" s="1"/>
  <c r="I9" i="90"/>
  <c r="C142" i="102"/>
  <c r="I142" i="102" s="1"/>
  <c r="L7" i="90"/>
  <c r="C150" i="102"/>
  <c r="I150" i="102" s="1"/>
  <c r="O5" i="90"/>
  <c r="C158" i="102"/>
  <c r="I158" i="102" s="1"/>
  <c r="I6" i="90"/>
  <c r="C139" i="102"/>
  <c r="I139" i="102" s="1"/>
  <c r="L4" i="90"/>
  <c r="C147" i="102"/>
  <c r="I147" i="102" s="1"/>
  <c r="C6" i="90"/>
  <c r="C119" i="102"/>
  <c r="I119" i="102" s="1"/>
  <c r="F12" i="90"/>
  <c r="E12" i="90" s="1"/>
  <c r="C135" i="102"/>
  <c r="I135" i="102" s="1"/>
  <c r="L8" i="90"/>
  <c r="C151" i="102"/>
  <c r="I151" i="102" s="1"/>
  <c r="C7" i="90"/>
  <c r="C120" i="102"/>
  <c r="I120" i="102" s="1"/>
  <c r="I11" i="90"/>
  <c r="C144" i="102"/>
  <c r="I144" i="102" s="1"/>
  <c r="O7" i="90"/>
  <c r="C160" i="102"/>
  <c r="I160" i="102" s="1"/>
  <c r="I4" i="90"/>
  <c r="C137" i="102"/>
  <c r="I137" i="102" s="1"/>
  <c r="I12" i="90"/>
  <c r="C145" i="102"/>
  <c r="I145" i="102" s="1"/>
  <c r="L10" i="90"/>
  <c r="C153" i="102"/>
  <c r="I153" i="102" s="1"/>
  <c r="O8" i="90"/>
  <c r="C161" i="102"/>
  <c r="I161" i="102" s="1"/>
  <c r="O10" i="90"/>
  <c r="C163" i="102"/>
  <c r="I163" i="102" s="1"/>
  <c r="C5" i="90"/>
  <c r="C118" i="102"/>
  <c r="I118" i="102" s="1"/>
  <c r="I10" i="90"/>
  <c r="C143" i="102"/>
  <c r="I143" i="102" s="1"/>
  <c r="O6" i="90"/>
  <c r="C159" i="102"/>
  <c r="I159" i="102" s="1"/>
  <c r="I3" i="90"/>
  <c r="H3" i="90" s="1"/>
  <c r="C136" i="102"/>
  <c r="I136" i="102" s="1"/>
  <c r="L9" i="90"/>
  <c r="C152" i="102"/>
  <c r="I152" i="102" s="1"/>
  <c r="F7" i="90"/>
  <c r="E7" i="90" s="1"/>
  <c r="C130" i="102"/>
  <c r="I130" i="102" s="1"/>
  <c r="I5" i="90"/>
  <c r="C138" i="102"/>
  <c r="I138" i="102" s="1"/>
  <c r="L3" i="90"/>
  <c r="K3" i="90" s="1"/>
  <c r="C146" i="102"/>
  <c r="I146" i="102" s="1"/>
  <c r="L11" i="90"/>
  <c r="C154" i="102"/>
  <c r="I154" i="102" s="1"/>
  <c r="O9" i="90"/>
  <c r="C162" i="102"/>
  <c r="I162" i="102" s="1"/>
  <c r="F8" i="90"/>
  <c r="E8" i="90" s="1"/>
  <c r="C131" i="102"/>
  <c r="I131" i="102" s="1"/>
  <c r="L12" i="90"/>
  <c r="C155" i="102"/>
  <c r="I155" i="102" s="1"/>
  <c r="F9" i="90"/>
  <c r="C132" i="102"/>
  <c r="I132" i="102" s="1"/>
  <c r="I7" i="90"/>
  <c r="C140" i="102"/>
  <c r="I140" i="102" s="1"/>
  <c r="O3" i="90"/>
  <c r="N3" i="90" s="1"/>
  <c r="C156" i="102"/>
  <c r="I156" i="102" s="1"/>
  <c r="O11" i="90"/>
  <c r="C164" i="102"/>
  <c r="I164" i="102" s="1"/>
  <c r="C4" i="90"/>
  <c r="C117" i="102"/>
  <c r="I117" i="102" s="1"/>
  <c r="F10" i="90"/>
  <c r="E10" i="90" s="1"/>
  <c r="C133" i="102"/>
  <c r="I133" i="102" s="1"/>
  <c r="I8" i="90"/>
  <c r="C141" i="102"/>
  <c r="I141" i="102" s="1"/>
  <c r="L6" i="90"/>
  <c r="C149" i="102"/>
  <c r="I149" i="102" s="1"/>
  <c r="O4" i="90"/>
  <c r="C157" i="102"/>
  <c r="I157" i="102" s="1"/>
  <c r="O12" i="90"/>
  <c r="C165" i="102"/>
  <c r="I165" i="102" s="1"/>
  <c r="CJ10" i="4"/>
  <c r="CJ15" i="4"/>
  <c r="CJ11" i="4"/>
  <c r="CJ14" i="4"/>
  <c r="CJ9" i="4"/>
  <c r="CJ8" i="4"/>
  <c r="CJ7" i="4"/>
  <c r="E4" i="90"/>
  <c r="E5" i="90"/>
  <c r="E6" i="90"/>
  <c r="C3" i="90"/>
  <c r="B3" i="90" s="1"/>
  <c r="CJ17" i="4"/>
  <c r="CJ25" i="4"/>
  <c r="CJ26" i="4"/>
  <c r="CJ19" i="4"/>
  <c r="CJ27" i="4"/>
  <c r="CJ20" i="4"/>
  <c r="CJ28" i="4"/>
  <c r="CJ44" i="4"/>
  <c r="CJ21" i="4"/>
  <c r="CJ29" i="4"/>
  <c r="CJ37" i="4"/>
  <c r="CJ45" i="4"/>
  <c r="CJ6" i="4"/>
  <c r="CJ30" i="4"/>
  <c r="CJ46" i="4"/>
  <c r="CJ47" i="4"/>
  <c r="CJ48" i="4"/>
  <c r="CJ31" i="4"/>
  <c r="CJ43" i="4"/>
  <c r="CJ38" i="4"/>
  <c r="CJ50" i="4"/>
  <c r="CJ39" i="4"/>
  <c r="CJ49" i="4"/>
  <c r="CJ33" i="4"/>
  <c r="CJ41" i="4"/>
  <c r="CJ24" i="4"/>
  <c r="CJ34" i="4"/>
  <c r="CJ16" i="4"/>
  <c r="CJ40" i="4"/>
  <c r="CJ35" i="4"/>
  <c r="CJ51" i="4"/>
  <c r="CJ36" i="4"/>
  <c r="W62" i="4" l="1"/>
  <c r="W71" i="4" s="1"/>
  <c r="W23" i="4"/>
  <c r="W32" i="4" s="1"/>
  <c r="W33" i="4" s="1"/>
  <c r="W34" i="4" s="1"/>
  <c r="W42" i="4" s="1"/>
  <c r="W92" i="4"/>
  <c r="W93" i="4" s="1"/>
  <c r="N5" i="90"/>
  <c r="N7" i="90"/>
  <c r="N4" i="90"/>
  <c r="N6" i="90"/>
  <c r="N8" i="90"/>
  <c r="N12" i="90"/>
  <c r="K6" i="90"/>
  <c r="N11" i="90"/>
  <c r="N9" i="90"/>
  <c r="H7" i="90"/>
  <c r="K12" i="90"/>
  <c r="N10" i="90"/>
  <c r="K10" i="90"/>
  <c r="H11" i="90"/>
  <c r="K8" i="90"/>
  <c r="H6" i="90"/>
  <c r="H4" i="90"/>
  <c r="H10" i="90"/>
  <c r="K7" i="90"/>
  <c r="H9" i="90"/>
  <c r="H12" i="90"/>
  <c r="K5" i="90"/>
  <c r="H8" i="90"/>
  <c r="K4" i="90"/>
  <c r="K9" i="90"/>
  <c r="H5" i="90"/>
  <c r="K11" i="90"/>
  <c r="B12" i="90"/>
  <c r="E9" i="90"/>
  <c r="CJ3" i="4"/>
  <c r="B4" i="90"/>
  <c r="B10" i="90"/>
  <c r="B11" i="90"/>
  <c r="B8" i="90"/>
  <c r="B9" i="90"/>
  <c r="B7" i="90"/>
  <c r="Y2" i="4" l="1"/>
  <c r="FG2" i="4" s="1"/>
  <c r="A111" i="95" s="1"/>
  <c r="B111" i="95" s="1"/>
  <c r="P3" i="90"/>
  <c r="M3" i="90"/>
  <c r="J3" i="90"/>
  <c r="T3" i="90" s="1"/>
  <c r="GI23" i="90" s="1"/>
  <c r="G3" i="90"/>
  <c r="S3" i="90" s="1"/>
  <c r="GI13" i="90" s="1"/>
  <c r="AA3" i="90"/>
  <c r="GM33" i="90" s="1"/>
  <c r="U3" i="90"/>
  <c r="GI33" i="90" s="1"/>
  <c r="CJ4" i="4"/>
  <c r="P11" i="90"/>
  <c r="P6" i="90"/>
  <c r="J7" i="90"/>
  <c r="T7" i="90" s="1"/>
  <c r="M4" i="90"/>
  <c r="J9" i="90"/>
  <c r="T9" i="90" s="1"/>
  <c r="G6" i="90"/>
  <c r="M11" i="90"/>
  <c r="J12" i="90"/>
  <c r="T12" i="90" s="1"/>
  <c r="G9" i="90"/>
  <c r="M10" i="90"/>
  <c r="P5" i="90"/>
  <c r="J4" i="90"/>
  <c r="T4" i="90" s="1"/>
  <c r="J5" i="90"/>
  <c r="T5" i="90" s="1"/>
  <c r="J6" i="90"/>
  <c r="T6" i="90" s="1"/>
  <c r="G8" i="90"/>
  <c r="G7" i="90"/>
  <c r="M9" i="90"/>
  <c r="P12" i="90"/>
  <c r="J11" i="90"/>
  <c r="T11" i="90" s="1"/>
  <c r="G11" i="90"/>
  <c r="M6" i="90"/>
  <c r="M8" i="90"/>
  <c r="P4" i="90"/>
  <c r="J10" i="90"/>
  <c r="T10" i="90" s="1"/>
  <c r="G4" i="90"/>
  <c r="M7" i="90"/>
  <c r="M5" i="90"/>
  <c r="P8" i="90"/>
  <c r="P10" i="90"/>
  <c r="M12" i="90"/>
  <c r="P7" i="90"/>
  <c r="P9" i="90"/>
  <c r="J8" i="90"/>
  <c r="T8" i="90" s="1"/>
  <c r="G12" i="90"/>
  <c r="G10" i="90"/>
  <c r="G5" i="90"/>
  <c r="B5" i="90"/>
  <c r="Y3" i="90" l="1"/>
  <c r="GM13" i="90" s="1"/>
  <c r="A115" i="104"/>
  <c r="A228" i="104" s="1"/>
  <c r="A342" i="104" s="1"/>
  <c r="A224" i="95"/>
  <c r="G224" i="95" s="1"/>
  <c r="H224" i="95" s="1"/>
  <c r="H228" i="104" s="1"/>
  <c r="V8" i="90"/>
  <c r="AB8" i="90"/>
  <c r="V5" i="90"/>
  <c r="AB5" i="90"/>
  <c r="V12" i="90"/>
  <c r="AB12" i="90"/>
  <c r="V6" i="90"/>
  <c r="AB6" i="90"/>
  <c r="V11" i="90"/>
  <c r="GI51" i="90" s="1"/>
  <c r="AB11" i="90"/>
  <c r="GM51" i="90" s="1"/>
  <c r="V10" i="90"/>
  <c r="AB10" i="90"/>
  <c r="V7" i="90"/>
  <c r="AB7" i="90"/>
  <c r="V4" i="90"/>
  <c r="AB4" i="90"/>
  <c r="V9" i="90"/>
  <c r="AB9" i="90"/>
  <c r="V3" i="90"/>
  <c r="GI43" i="90" s="1"/>
  <c r="AB3" i="90"/>
  <c r="GM43" i="90" s="1"/>
  <c r="B6" i="90"/>
  <c r="D5" i="90" s="1"/>
  <c r="R5" i="90" s="1"/>
  <c r="CJ5" i="4"/>
  <c r="B224" i="95"/>
  <c r="B338" i="95" s="1"/>
  <c r="B115" i="104"/>
  <c r="B228" i="104" s="1"/>
  <c r="B342" i="104" s="1"/>
  <c r="Y5" i="90"/>
  <c r="S5" i="90"/>
  <c r="Y10" i="90"/>
  <c r="S10" i="90"/>
  <c r="Y12" i="90"/>
  <c r="S12" i="90"/>
  <c r="AA5" i="90"/>
  <c r="U5" i="90"/>
  <c r="Y11" i="90"/>
  <c r="GM21" i="90" s="1"/>
  <c r="S11" i="90"/>
  <c r="GI21" i="90" s="1"/>
  <c r="AA7" i="90"/>
  <c r="U7" i="90"/>
  <c r="AA10" i="90"/>
  <c r="U10" i="90"/>
  <c r="AA9" i="90"/>
  <c r="U9" i="90"/>
  <c r="Y4" i="90"/>
  <c r="S4" i="90"/>
  <c r="Y8" i="90"/>
  <c r="S8" i="90"/>
  <c r="AA11" i="90"/>
  <c r="GM41" i="90" s="1"/>
  <c r="U11" i="90"/>
  <c r="GI41" i="90" s="1"/>
  <c r="Y9" i="90"/>
  <c r="S9" i="90"/>
  <c r="Y7" i="90"/>
  <c r="S7" i="90"/>
  <c r="AA12" i="90"/>
  <c r="U12" i="90"/>
  <c r="AA8" i="90"/>
  <c r="U8" i="90"/>
  <c r="Y6" i="90"/>
  <c r="S6" i="90"/>
  <c r="AA6" i="90"/>
  <c r="U6" i="90"/>
  <c r="AA4" i="90"/>
  <c r="U4" i="90"/>
  <c r="X4" i="90"/>
  <c r="X5" i="90"/>
  <c r="GI31" i="90"/>
  <c r="D3" i="90" l="1"/>
  <c r="D4" i="90"/>
  <c r="R4" i="90" s="1"/>
  <c r="GI4" i="90" s="1"/>
  <c r="D6" i="90"/>
  <c r="D9" i="90"/>
  <c r="D7" i="90"/>
  <c r="F224" i="95"/>
  <c r="F338" i="95" s="1"/>
  <c r="E342" i="104" s="1"/>
  <c r="A338" i="95"/>
  <c r="D338" i="95" s="1"/>
  <c r="D342" i="104" s="1"/>
  <c r="D11" i="90"/>
  <c r="D8" i="90"/>
  <c r="D12" i="90"/>
  <c r="X3" i="90"/>
  <c r="GM3" i="90" s="1"/>
  <c r="GL3" i="90" s="1"/>
  <c r="R3" i="90"/>
  <c r="GI3" i="90" s="1"/>
  <c r="GH3" i="90" s="1"/>
  <c r="CJ12" i="4"/>
  <c r="CJ13" i="4"/>
  <c r="D10" i="90"/>
  <c r="G228" i="104"/>
  <c r="H338" i="95"/>
  <c r="F342" i="104" s="1"/>
  <c r="R8" i="90"/>
  <c r="GI8" i="90" s="1"/>
  <c r="X8" i="90"/>
  <c r="GM8" i="90" s="1"/>
  <c r="R12" i="90"/>
  <c r="GI12" i="90" s="1"/>
  <c r="X12" i="90"/>
  <c r="GM12" i="90" s="1"/>
  <c r="R10" i="90"/>
  <c r="GI10" i="90" s="1"/>
  <c r="X10" i="90"/>
  <c r="GM10" i="90" s="1"/>
  <c r="R6" i="90"/>
  <c r="GI6" i="90" s="1"/>
  <c r="X6" i="90"/>
  <c r="GM6" i="90" s="1"/>
  <c r="R9" i="90"/>
  <c r="GI9" i="90" s="1"/>
  <c r="X9" i="90"/>
  <c r="GM9" i="90" s="1"/>
  <c r="R7" i="90"/>
  <c r="GI7" i="90" s="1"/>
  <c r="X7" i="90"/>
  <c r="GM7" i="90" s="1"/>
  <c r="R11" i="90"/>
  <c r="GI11" i="90" s="1"/>
  <c r="X11" i="90"/>
  <c r="GM11" i="90" s="1"/>
  <c r="GI19" i="90"/>
  <c r="GI39" i="90"/>
  <c r="GI49" i="90"/>
  <c r="GI38" i="90"/>
  <c r="GI48" i="90"/>
  <c r="GI18" i="90"/>
  <c r="GI20" i="90"/>
  <c r="GI40" i="90"/>
  <c r="GI50" i="90"/>
  <c r="GI22" i="90"/>
  <c r="GI42" i="90"/>
  <c r="GI52" i="90"/>
  <c r="GI16" i="90"/>
  <c r="GI36" i="90"/>
  <c r="GI46" i="90"/>
  <c r="GI17" i="90"/>
  <c r="GI37" i="90"/>
  <c r="GI47" i="90"/>
  <c r="GI14" i="90"/>
  <c r="GI34" i="90"/>
  <c r="GI44" i="90"/>
  <c r="GI45" i="90"/>
  <c r="GI15" i="90"/>
  <c r="GI35" i="90"/>
  <c r="GM20" i="90"/>
  <c r="GM4" i="90"/>
  <c r="GM14" i="90"/>
  <c r="GM5" i="90"/>
  <c r="GM15" i="90"/>
  <c r="GM22" i="90"/>
  <c r="GM17" i="90"/>
  <c r="GM16" i="90"/>
  <c r="GM19" i="90"/>
  <c r="GM18" i="90"/>
  <c r="GM35" i="90"/>
  <c r="GM45" i="90"/>
  <c r="GM42" i="90"/>
  <c r="GM52" i="90"/>
  <c r="GM39" i="90"/>
  <c r="GM49" i="90"/>
  <c r="GM38" i="90"/>
  <c r="GM48" i="90"/>
  <c r="GM37" i="90"/>
  <c r="GM47" i="90"/>
  <c r="GM34" i="90"/>
  <c r="GM44" i="90"/>
  <c r="GM36" i="90"/>
  <c r="GM46" i="90"/>
  <c r="GM40" i="90"/>
  <c r="GM50" i="90"/>
  <c r="GI32" i="90"/>
  <c r="GI27" i="90"/>
  <c r="GI24" i="90"/>
  <c r="GI26" i="90"/>
  <c r="GI29" i="90"/>
  <c r="GI5" i="90"/>
  <c r="GI25" i="90"/>
  <c r="GI28" i="90"/>
  <c r="GI30" i="90"/>
  <c r="F228" i="104" l="1"/>
  <c r="CJ22" i="4"/>
  <c r="CJ18" i="4"/>
  <c r="GL21" i="90"/>
  <c r="GL17" i="90"/>
  <c r="GL11" i="90"/>
  <c r="GL8" i="90"/>
  <c r="GL9" i="90"/>
  <c r="GL19" i="90"/>
  <c r="GL22" i="90"/>
  <c r="GL12" i="90"/>
  <c r="GL20" i="90"/>
  <c r="GL16" i="90"/>
  <c r="GL6" i="90"/>
  <c r="GL4" i="90"/>
  <c r="GL5" i="90" s="1"/>
  <c r="GL29" i="90"/>
  <c r="GL23" i="90"/>
  <c r="GL27" i="90"/>
  <c r="GL25" i="90"/>
  <c r="GL28" i="90"/>
  <c r="GL26" i="90"/>
  <c r="GL30" i="90"/>
  <c r="GL31" i="90"/>
  <c r="GL24" i="90"/>
  <c r="GL32" i="90"/>
  <c r="GL18" i="90"/>
  <c r="GL7" i="90"/>
  <c r="GL10" i="90"/>
  <c r="GL42" i="90"/>
  <c r="GL36" i="90"/>
  <c r="GL48" i="90"/>
  <c r="GL47" i="90"/>
  <c r="GL50" i="90"/>
  <c r="GL46" i="90"/>
  <c r="GL49" i="90"/>
  <c r="GL40" i="90"/>
  <c r="GL38" i="90"/>
  <c r="GL41" i="90"/>
  <c r="GL52" i="90"/>
  <c r="GL39" i="90"/>
  <c r="GL51" i="90"/>
  <c r="GH11" i="90"/>
  <c r="GL37" i="90"/>
  <c r="GH10" i="90"/>
  <c r="GH27" i="90"/>
  <c r="GH28" i="90"/>
  <c r="GH8" i="90"/>
  <c r="GH4" i="90"/>
  <c r="GH43" i="90"/>
  <c r="GH45" i="90"/>
  <c r="GH22" i="90"/>
  <c r="GH18" i="90"/>
  <c r="GH21" i="90"/>
  <c r="GH47" i="90"/>
  <c r="GH50" i="90"/>
  <c r="GH34" i="90"/>
  <c r="GH40" i="90"/>
  <c r="GH38" i="90"/>
  <c r="GH37" i="90"/>
  <c r="GH36" i="90"/>
  <c r="GH48" i="90"/>
  <c r="GH46" i="90"/>
  <c r="GH39" i="90"/>
  <c r="GH19" i="90"/>
  <c r="GH35" i="90"/>
  <c r="GH49" i="90"/>
  <c r="GH41" i="90"/>
  <c r="GH20" i="90"/>
  <c r="GH17" i="90"/>
  <c r="GH42" i="90"/>
  <c r="GH51" i="90"/>
  <c r="GH52" i="90"/>
  <c r="GH44" i="90"/>
  <c r="GH7" i="90"/>
  <c r="GH29" i="90"/>
  <c r="GH12" i="90"/>
  <c r="GH9" i="90"/>
  <c r="GH32" i="90"/>
  <c r="GH30" i="90"/>
  <c r="GH26" i="90"/>
  <c r="GH31" i="90"/>
  <c r="CJ23" i="4" l="1"/>
  <c r="GL13" i="90"/>
  <c r="GH5" i="90"/>
  <c r="CJ32" i="4" l="1"/>
  <c r="GH6" i="90"/>
  <c r="GL14" i="90"/>
  <c r="F83" i="51"/>
  <c r="G83" i="51"/>
  <c r="F84" i="51"/>
  <c r="G84" i="51"/>
  <c r="G82" i="51"/>
  <c r="F82" i="51"/>
  <c r="G81" i="51"/>
  <c r="F81" i="51"/>
  <c r="G80" i="51"/>
  <c r="CJ42" i="4" l="1"/>
  <c r="CL10" i="4" s="1"/>
  <c r="GH13" i="90"/>
  <c r="GL15" i="90"/>
  <c r="GH25" i="90"/>
  <c r="E109" i="51"/>
  <c r="G109" i="51" s="1"/>
  <c r="E110" i="51"/>
  <c r="E102" i="51"/>
  <c r="E103" i="51"/>
  <c r="F103" i="51" s="1"/>
  <c r="E104" i="51"/>
  <c r="F104" i="51" s="1"/>
  <c r="E105" i="51"/>
  <c r="F105" i="51" s="1"/>
  <c r="E106" i="51"/>
  <c r="F106" i="51" s="1"/>
  <c r="E107" i="51"/>
  <c r="G107" i="51" s="1"/>
  <c r="E108" i="51"/>
  <c r="F108" i="51" s="1"/>
  <c r="E101" i="51"/>
  <c r="ED101" i="4"/>
  <c r="EE101" i="4" s="1"/>
  <c r="ED100" i="4"/>
  <c r="EF100" i="4" s="1"/>
  <c r="ED99" i="4"/>
  <c r="EF99" i="4" s="1"/>
  <c r="ED98" i="4"/>
  <c r="ED97" i="4"/>
  <c r="ED96" i="4"/>
  <c r="EF96" i="4" s="1"/>
  <c r="ED95" i="4"/>
  <c r="EF95" i="4" s="1"/>
  <c r="ED94" i="4"/>
  <c r="EE94" i="4" s="1"/>
  <c r="ED93" i="4"/>
  <c r="EE93" i="4" s="1"/>
  <c r="ED92" i="4"/>
  <c r="EE92" i="4" s="1"/>
  <c r="ED91" i="4"/>
  <c r="EF91" i="4" s="1"/>
  <c r="ED90" i="4"/>
  <c r="EF90" i="4" s="1"/>
  <c r="ED89" i="4"/>
  <c r="EF89" i="4" s="1"/>
  <c r="ED88" i="4"/>
  <c r="ED87" i="4"/>
  <c r="EE87" i="4" s="1"/>
  <c r="ED86" i="4"/>
  <c r="EE86" i="4" s="1"/>
  <c r="ED85" i="4"/>
  <c r="EE85" i="4" s="1"/>
  <c r="ED84" i="4"/>
  <c r="EE84" i="4" s="1"/>
  <c r="ED83" i="4"/>
  <c r="EF83" i="4" s="1"/>
  <c r="ED82" i="4"/>
  <c r="EE82" i="4" s="1"/>
  <c r="ED81" i="4"/>
  <c r="EE81" i="4" s="1"/>
  <c r="ED80" i="4"/>
  <c r="EE80" i="4" s="1"/>
  <c r="ED79" i="4"/>
  <c r="EF79" i="4" s="1"/>
  <c r="ED78" i="4"/>
  <c r="EF78" i="4" s="1"/>
  <c r="ED77" i="4"/>
  <c r="EF77" i="4" s="1"/>
  <c r="ED76" i="4"/>
  <c r="EE76" i="4" s="1"/>
  <c r="ED75" i="4"/>
  <c r="EE75" i="4" s="1"/>
  <c r="ED74" i="4"/>
  <c r="EE74" i="4" s="1"/>
  <c r="ED73" i="4"/>
  <c r="EE73" i="4" s="1"/>
  <c r="ED72" i="4"/>
  <c r="ED62" i="4"/>
  <c r="ED61" i="4"/>
  <c r="EF61" i="4" s="1"/>
  <c r="ED60" i="4"/>
  <c r="EE60" i="4" s="1"/>
  <c r="ED59" i="4"/>
  <c r="EE59" i="4" s="1"/>
  <c r="ED58" i="4"/>
  <c r="EE58" i="4" s="1"/>
  <c r="ED57" i="4"/>
  <c r="EE57" i="4" s="1"/>
  <c r="ED56" i="4"/>
  <c r="EE56" i="4" s="1"/>
  <c r="ED55" i="4"/>
  <c r="ED54" i="4"/>
  <c r="ED53" i="4"/>
  <c r="EF53" i="4" s="1"/>
  <c r="ED52" i="4"/>
  <c r="EF52" i="4" s="1"/>
  <c r="ED51" i="4"/>
  <c r="EF51" i="4" s="1"/>
  <c r="ED50" i="4"/>
  <c r="EF50" i="4" s="1"/>
  <c r="ED49" i="4"/>
  <c r="EF49" i="4" s="1"/>
  <c r="ED48" i="4"/>
  <c r="ED47" i="4"/>
  <c r="ED46" i="4"/>
  <c r="ED45" i="4"/>
  <c r="EE45" i="4" s="1"/>
  <c r="ED44" i="4"/>
  <c r="EE44" i="4" s="1"/>
  <c r="ED43" i="4"/>
  <c r="EF43" i="4" s="1"/>
  <c r="ED42" i="4"/>
  <c r="EE42" i="4" s="1"/>
  <c r="ED33" i="4"/>
  <c r="EE33" i="4" s="1"/>
  <c r="ED24" i="4"/>
  <c r="ED21" i="4"/>
  <c r="EF21" i="4" s="1"/>
  <c r="ED20" i="4"/>
  <c r="EE20" i="4" s="1"/>
  <c r="ED19" i="4"/>
  <c r="EE19" i="4" s="1"/>
  <c r="ED18" i="4"/>
  <c r="EE18" i="4" s="1"/>
  <c r="ED17" i="4"/>
  <c r="EE17" i="4" s="1"/>
  <c r="ED16" i="4"/>
  <c r="EE16" i="4" s="1"/>
  <c r="ED15" i="4"/>
  <c r="ED14" i="4"/>
  <c r="EF14" i="4" s="1"/>
  <c r="ED13" i="4"/>
  <c r="EF13" i="4" s="1"/>
  <c r="ED12" i="4"/>
  <c r="EF12" i="4" s="1"/>
  <c r="ED11" i="4"/>
  <c r="EF11" i="4" s="1"/>
  <c r="ED10" i="4"/>
  <c r="EF10" i="4" s="1"/>
  <c r="ED9" i="4"/>
  <c r="EF9" i="4" s="1"/>
  <c r="ED8" i="4"/>
  <c r="ED7" i="4"/>
  <c r="ED6" i="4"/>
  <c r="EE6" i="4" s="1"/>
  <c r="ED5" i="4"/>
  <c r="EE5" i="4" s="1"/>
  <c r="ED4" i="4"/>
  <c r="EE4" i="4" s="1"/>
  <c r="ED3" i="4"/>
  <c r="EF3" i="4" s="1"/>
  <c r="ED2" i="4"/>
  <c r="DN2" i="4"/>
  <c r="DM2" i="4" s="1"/>
  <c r="CL4" i="4" l="1"/>
  <c r="CL2" i="4"/>
  <c r="CL11" i="4"/>
  <c r="EC2" i="4"/>
  <c r="EE2" i="4"/>
  <c r="CL8" i="4"/>
  <c r="CL3" i="4"/>
  <c r="CL6" i="4"/>
  <c r="CL5" i="4"/>
  <c r="CL9" i="4"/>
  <c r="CL7" i="4"/>
  <c r="GH14" i="90"/>
  <c r="GL33" i="90"/>
  <c r="GL34" i="90"/>
  <c r="EC8" i="4"/>
  <c r="EC48" i="4"/>
  <c r="EE3" i="4"/>
  <c r="EC97" i="4"/>
  <c r="EE79" i="4"/>
  <c r="EE83" i="4"/>
  <c r="EE91" i="4"/>
  <c r="EF76" i="4"/>
  <c r="EC14" i="4"/>
  <c r="EC15" i="4"/>
  <c r="EC47" i="4"/>
  <c r="EC55" i="4"/>
  <c r="EC72" i="4"/>
  <c r="EC88" i="4"/>
  <c r="EE11" i="4"/>
  <c r="EF88" i="4"/>
  <c r="EC46" i="4"/>
  <c r="EC54" i="4"/>
  <c r="EC45" i="4"/>
  <c r="EE55" i="4"/>
  <c r="EF60" i="4"/>
  <c r="EC6" i="4"/>
  <c r="EE15" i="4"/>
  <c r="EC87" i="4"/>
  <c r="EE95" i="4"/>
  <c r="EC79" i="4"/>
  <c r="EF20" i="4"/>
  <c r="EC61" i="4"/>
  <c r="EE51" i="4"/>
  <c r="EC53" i="4"/>
  <c r="EE43" i="4"/>
  <c r="EF8" i="4"/>
  <c r="EF24" i="4"/>
  <c r="EC98" i="4"/>
  <c r="EC21" i="4"/>
  <c r="EC13" i="4"/>
  <c r="EC5" i="4"/>
  <c r="EC86" i="4"/>
  <c r="EC78" i="4"/>
  <c r="EC60" i="4"/>
  <c r="EC52" i="4"/>
  <c r="EC44" i="4"/>
  <c r="EE10" i="4"/>
  <c r="EE12" i="4"/>
  <c r="EE14" i="4"/>
  <c r="EE50" i="4"/>
  <c r="EE52" i="4"/>
  <c r="EE54" i="4"/>
  <c r="EE78" i="4"/>
  <c r="EE90" i="4"/>
  <c r="EF7" i="4"/>
  <c r="EF19" i="4"/>
  <c r="EF47" i="4"/>
  <c r="EF59" i="4"/>
  <c r="EF75" i="4"/>
  <c r="EF87" i="4"/>
  <c r="EC99" i="4"/>
  <c r="EC20" i="4"/>
  <c r="EC12" i="4"/>
  <c r="EC4" i="4"/>
  <c r="EC85" i="4"/>
  <c r="EC77" i="4"/>
  <c r="EC59" i="4"/>
  <c r="EC51" i="4"/>
  <c r="EC43" i="4"/>
  <c r="EE9" i="4"/>
  <c r="EE21" i="4"/>
  <c r="EE13" i="4"/>
  <c r="EE49" i="4"/>
  <c r="EE61" i="4"/>
  <c r="EE53" i="4"/>
  <c r="EE77" i="4"/>
  <c r="EE89" i="4"/>
  <c r="EF6" i="4"/>
  <c r="EF18" i="4"/>
  <c r="EF46" i="4"/>
  <c r="EF58" i="4"/>
  <c r="EF72" i="4"/>
  <c r="EF74" i="4"/>
  <c r="EF86" i="4"/>
  <c r="EF98" i="4"/>
  <c r="EC92" i="4"/>
  <c r="EC100" i="4"/>
  <c r="EC19" i="4"/>
  <c r="EC11" i="4"/>
  <c r="EC3" i="4"/>
  <c r="EC84" i="4"/>
  <c r="EC76" i="4"/>
  <c r="EC58" i="4"/>
  <c r="EC50" i="4"/>
  <c r="EC42" i="4"/>
  <c r="EE8" i="4"/>
  <c r="EE24" i="4"/>
  <c r="EE48" i="4"/>
  <c r="EE88" i="4"/>
  <c r="EE100" i="4"/>
  <c r="EF5" i="4"/>
  <c r="EF17" i="4"/>
  <c r="EF33" i="4"/>
  <c r="EF45" i="4"/>
  <c r="EF57" i="4"/>
  <c r="EF81" i="4"/>
  <c r="EF73" i="4"/>
  <c r="EF85" i="4"/>
  <c r="EF97" i="4"/>
  <c r="EC93" i="4"/>
  <c r="EC101" i="4"/>
  <c r="EC18" i="4"/>
  <c r="EC91" i="4"/>
  <c r="EC83" i="4"/>
  <c r="EC75" i="4"/>
  <c r="EC57" i="4"/>
  <c r="EC49" i="4"/>
  <c r="EE7" i="4"/>
  <c r="EE47" i="4"/>
  <c r="EE99" i="4"/>
  <c r="EF2" i="4"/>
  <c r="EF4" i="4"/>
  <c r="EF16" i="4"/>
  <c r="EF42" i="4"/>
  <c r="EF44" i="4"/>
  <c r="EF56" i="4"/>
  <c r="EF80" i="4"/>
  <c r="EF82" i="4"/>
  <c r="EF84" i="4"/>
  <c r="EF48" i="4"/>
  <c r="EC94" i="4"/>
  <c r="EC17" i="4"/>
  <c r="EC9" i="4"/>
  <c r="EC90" i="4"/>
  <c r="EC82" i="4"/>
  <c r="EC74" i="4"/>
  <c r="EC56" i="4"/>
  <c r="EE46" i="4"/>
  <c r="EE72" i="4"/>
  <c r="EE98" i="4"/>
  <c r="EF15" i="4"/>
  <c r="EF55" i="4"/>
  <c r="EC95" i="4"/>
  <c r="EC16" i="4"/>
  <c r="EC89" i="4"/>
  <c r="EC81" i="4"/>
  <c r="EC73" i="4"/>
  <c r="EE97" i="4"/>
  <c r="EF54" i="4"/>
  <c r="EF92" i="4"/>
  <c r="EF94" i="4"/>
  <c r="EC96" i="4"/>
  <c r="EC80" i="4"/>
  <c r="EE96" i="4"/>
  <c r="EF101" i="4"/>
  <c r="EF93" i="4"/>
  <c r="G105" i="51"/>
  <c r="F109" i="51"/>
  <c r="G104" i="51"/>
  <c r="G108" i="51"/>
  <c r="G103" i="51"/>
  <c r="G106" i="51"/>
  <c r="F107" i="51"/>
  <c r="G103" i="49"/>
  <c r="G102" i="49"/>
  <c r="G101" i="49"/>
  <c r="G100" i="49"/>
  <c r="G99" i="49"/>
  <c r="F103" i="49"/>
  <c r="F102" i="49"/>
  <c r="F101" i="49"/>
  <c r="F100" i="49"/>
  <c r="F99" i="49"/>
  <c r="GH15" i="90" l="1"/>
  <c r="GL35" i="90"/>
  <c r="GL43" i="90"/>
  <c r="GL44" i="90" s="1"/>
  <c r="EC7" i="4"/>
  <c r="EC10" i="4" s="1"/>
  <c r="GH23" i="90" l="1"/>
  <c r="GH16" i="90"/>
  <c r="GH24" i="90" s="1"/>
  <c r="GL45" i="90"/>
  <c r="GN6" i="90" s="1"/>
  <c r="A119" i="89" s="1"/>
  <c r="A477" i="102" s="1"/>
  <c r="I477" i="102" s="1"/>
  <c r="F60" i="36"/>
  <c r="F61" i="36"/>
  <c r="F62" i="36"/>
  <c r="F63" i="36"/>
  <c r="F64" i="36"/>
  <c r="F65" i="36"/>
  <c r="F66" i="36"/>
  <c r="F67" i="36"/>
  <c r="F68" i="36"/>
  <c r="F69" i="36"/>
  <c r="F70" i="36"/>
  <c r="F71" i="36"/>
  <c r="F72" i="36"/>
  <c r="F73" i="36"/>
  <c r="F74" i="36"/>
  <c r="F75" i="36"/>
  <c r="F76" i="36"/>
  <c r="F77" i="36"/>
  <c r="F78" i="36"/>
  <c r="F79" i="36"/>
  <c r="F80" i="36"/>
  <c r="F81" i="36"/>
  <c r="F82" i="36"/>
  <c r="F83" i="36"/>
  <c r="F84" i="36"/>
  <c r="F85" i="36"/>
  <c r="F86" i="36"/>
  <c r="F87" i="36"/>
  <c r="F88" i="36"/>
  <c r="F89" i="36"/>
  <c r="F90" i="36"/>
  <c r="F91" i="36"/>
  <c r="F92" i="36"/>
  <c r="F93" i="36"/>
  <c r="F94" i="36"/>
  <c r="F95" i="36"/>
  <c r="F96" i="36"/>
  <c r="F97" i="36"/>
  <c r="F98" i="36"/>
  <c r="F99" i="36"/>
  <c r="F100" i="36"/>
  <c r="F101" i="36"/>
  <c r="F102" i="36"/>
  <c r="F103" i="36"/>
  <c r="F104" i="36"/>
  <c r="F105" i="36"/>
  <c r="F106" i="36"/>
  <c r="F107" i="36"/>
  <c r="F108" i="36"/>
  <c r="F109" i="36"/>
  <c r="F110" i="36"/>
  <c r="F111" i="36"/>
  <c r="F112" i="36"/>
  <c r="F113" i="36"/>
  <c r="F114" i="36"/>
  <c r="F115" i="36"/>
  <c r="F116" i="36"/>
  <c r="F117" i="36"/>
  <c r="F118" i="36"/>
  <c r="F119" i="36"/>
  <c r="F120" i="36"/>
  <c r="F121" i="36"/>
  <c r="F122" i="36"/>
  <c r="F123" i="36"/>
  <c r="F124" i="36"/>
  <c r="F125" i="36"/>
  <c r="F126" i="36"/>
  <c r="F127" i="36"/>
  <c r="F128" i="36"/>
  <c r="F129" i="36"/>
  <c r="F130" i="36"/>
  <c r="F131" i="36"/>
  <c r="F132" i="36"/>
  <c r="F133" i="36"/>
  <c r="F134" i="36"/>
  <c r="F135" i="36"/>
  <c r="F136" i="36"/>
  <c r="F137" i="36"/>
  <c r="F138" i="36"/>
  <c r="F139" i="36"/>
  <c r="F140" i="36"/>
  <c r="F141" i="36"/>
  <c r="F142" i="36"/>
  <c r="F143" i="36"/>
  <c r="F144" i="36"/>
  <c r="F145" i="36"/>
  <c r="F146" i="36"/>
  <c r="F147" i="36"/>
  <c r="F148" i="36"/>
  <c r="F149" i="36"/>
  <c r="F150" i="36"/>
  <c r="F151" i="36"/>
  <c r="F152" i="36"/>
  <c r="F153" i="36"/>
  <c r="F154" i="36"/>
  <c r="F155" i="36"/>
  <c r="F156" i="36"/>
  <c r="F157" i="36"/>
  <c r="F158" i="36"/>
  <c r="F9" i="36"/>
  <c r="F11" i="36"/>
  <c r="F12" i="36"/>
  <c r="F13" i="36"/>
  <c r="F14" i="36"/>
  <c r="F15" i="36"/>
  <c r="F16" i="36"/>
  <c r="F17" i="36"/>
  <c r="F8" i="36"/>
  <c r="GH33" i="90" l="1"/>
  <c r="GJ3" i="90" s="1"/>
  <c r="A35" i="89" s="1"/>
  <c r="A434" i="102" s="1"/>
  <c r="I434" i="102" s="1"/>
  <c r="I186" i="102"/>
  <c r="I187" i="102" s="1"/>
  <c r="I188" i="102" s="1"/>
  <c r="GN7" i="90"/>
  <c r="A120" i="89" s="1"/>
  <c r="A478" i="102" s="1"/>
  <c r="I478" i="102" s="1"/>
  <c r="GN3" i="90"/>
  <c r="A116" i="89" s="1"/>
  <c r="A474" i="102" s="1"/>
  <c r="I474" i="102" s="1"/>
  <c r="GN11" i="90"/>
  <c r="A124" i="89" s="1"/>
  <c r="A482" i="102" s="1"/>
  <c r="I482" i="102" s="1"/>
  <c r="GN5" i="90"/>
  <c r="A118" i="89" s="1"/>
  <c r="A476" i="102" s="1"/>
  <c r="I476" i="102" s="1"/>
  <c r="GN12" i="90"/>
  <c r="A125" i="89" s="1"/>
  <c r="A483" i="102" s="1"/>
  <c r="I483" i="102" s="1"/>
  <c r="GN4" i="90"/>
  <c r="A117" i="89" s="1"/>
  <c r="A475" i="102" s="1"/>
  <c r="I475" i="102" s="1"/>
  <c r="GN10" i="90"/>
  <c r="A123" i="89" s="1"/>
  <c r="A481" i="102" s="1"/>
  <c r="I481" i="102" s="1"/>
  <c r="GN9" i="90"/>
  <c r="A122" i="89" s="1"/>
  <c r="A480" i="102" s="1"/>
  <c r="I480" i="102" s="1"/>
  <c r="GN8" i="90"/>
  <c r="A121" i="89" s="1"/>
  <c r="A479" i="102" s="1"/>
  <c r="I479" i="102" s="1"/>
  <c r="DA4" i="4"/>
  <c r="DA3" i="4"/>
  <c r="DA2" i="4"/>
  <c r="CZ2" i="4" s="1"/>
  <c r="DA5" i="4"/>
  <c r="E121" i="49"/>
  <c r="E122" i="49"/>
  <c r="F122" i="49" s="1"/>
  <c r="E123" i="49"/>
  <c r="F123" i="49" s="1"/>
  <c r="E124" i="49"/>
  <c r="F124" i="49" s="1"/>
  <c r="E125" i="49"/>
  <c r="F125" i="49" s="1"/>
  <c r="E126" i="49"/>
  <c r="G126" i="49" s="1"/>
  <c r="E127" i="49"/>
  <c r="F127" i="49" s="1"/>
  <c r="E128" i="49"/>
  <c r="F128" i="49" s="1"/>
  <c r="E129" i="49"/>
  <c r="E120" i="49"/>
  <c r="GJ4" i="90" l="1"/>
  <c r="A36" i="89" s="1"/>
  <c r="A435" i="102" s="1"/>
  <c r="I435" i="102" s="1"/>
  <c r="GJ10" i="90"/>
  <c r="A42" i="89" s="1"/>
  <c r="A441" i="102" s="1"/>
  <c r="I441" i="102" s="1"/>
  <c r="GJ6" i="90"/>
  <c r="A38" i="89" s="1"/>
  <c r="A437" i="102" s="1"/>
  <c r="I437" i="102" s="1"/>
  <c r="GJ12" i="90"/>
  <c r="A44" i="89" s="1"/>
  <c r="A443" i="102" s="1"/>
  <c r="I443" i="102" s="1"/>
  <c r="GJ5" i="90"/>
  <c r="A37" i="89" s="1"/>
  <c r="A436" i="102" s="1"/>
  <c r="I436" i="102" s="1"/>
  <c r="GJ7" i="90"/>
  <c r="A39" i="89" s="1"/>
  <c r="A438" i="102" s="1"/>
  <c r="I438" i="102" s="1"/>
  <c r="GJ11" i="90"/>
  <c r="A43" i="89" s="1"/>
  <c r="A442" i="102" s="1"/>
  <c r="I442" i="102" s="1"/>
  <c r="GJ9" i="90"/>
  <c r="A41" i="89" s="1"/>
  <c r="A440" i="102" s="1"/>
  <c r="I440" i="102" s="1"/>
  <c r="GJ8" i="90"/>
  <c r="A40" i="89" s="1"/>
  <c r="A439" i="102" s="1"/>
  <c r="I439" i="102" s="1"/>
  <c r="CZ3" i="4"/>
  <c r="CZ4" i="4" s="1"/>
  <c r="G123" i="49"/>
  <c r="G128" i="49"/>
  <c r="G127" i="49"/>
  <c r="F126" i="49"/>
  <c r="G124" i="49"/>
  <c r="G122" i="49"/>
  <c r="G125" i="49"/>
  <c r="DV95" i="4"/>
  <c r="DV91" i="4"/>
  <c r="DV90" i="4"/>
  <c r="DV89" i="4"/>
  <c r="DV88" i="4"/>
  <c r="DV87" i="4"/>
  <c r="DV86" i="4"/>
  <c r="DV85" i="4"/>
  <c r="DV84" i="4"/>
  <c r="DV83" i="4"/>
  <c r="DV82" i="4"/>
  <c r="DV81" i="4"/>
  <c r="DV80" i="4"/>
  <c r="DV79" i="4"/>
  <c r="DV78" i="4"/>
  <c r="DV77" i="4"/>
  <c r="DV76" i="4"/>
  <c r="DV75" i="4"/>
  <c r="DV74" i="4"/>
  <c r="DV73" i="4"/>
  <c r="DV72" i="4"/>
  <c r="DV71" i="4"/>
  <c r="DV70" i="4"/>
  <c r="DV69" i="4"/>
  <c r="DV68" i="4"/>
  <c r="DV67" i="4"/>
  <c r="DV66" i="4"/>
  <c r="DV65" i="4"/>
  <c r="DV64" i="4"/>
  <c r="DV63" i="4"/>
  <c r="DV62" i="4"/>
  <c r="DV61" i="4"/>
  <c r="DV60" i="4"/>
  <c r="DV59" i="4"/>
  <c r="DV58" i="4"/>
  <c r="DV57" i="4"/>
  <c r="DV56" i="4"/>
  <c r="DV55" i="4"/>
  <c r="DV54" i="4"/>
  <c r="DV53" i="4"/>
  <c r="DV52" i="4"/>
  <c r="DV43" i="4"/>
  <c r="DV41" i="4"/>
  <c r="DV40" i="4"/>
  <c r="DV39" i="4"/>
  <c r="DV38" i="4"/>
  <c r="DV37" i="4"/>
  <c r="DV36" i="4"/>
  <c r="DV35" i="4"/>
  <c r="DV34" i="4"/>
  <c r="DV33" i="4"/>
  <c r="DV32" i="4"/>
  <c r="DV31" i="4"/>
  <c r="DV30" i="4"/>
  <c r="DV29" i="4"/>
  <c r="DV28" i="4"/>
  <c r="DV27" i="4"/>
  <c r="DV26" i="4"/>
  <c r="DV25" i="4"/>
  <c r="DV24" i="4"/>
  <c r="DV23" i="4"/>
  <c r="DV22" i="4"/>
  <c r="DV21" i="4"/>
  <c r="DV20" i="4"/>
  <c r="DV19" i="4"/>
  <c r="DV18" i="4"/>
  <c r="DV17" i="4"/>
  <c r="DV16" i="4"/>
  <c r="DV15" i="4"/>
  <c r="DV14" i="4"/>
  <c r="DV13" i="4"/>
  <c r="DV12" i="4"/>
  <c r="DN91" i="4"/>
  <c r="DN90" i="4"/>
  <c r="DN89" i="4"/>
  <c r="DN88" i="4"/>
  <c r="DN87" i="4"/>
  <c r="DN86" i="4"/>
  <c r="DN85" i="4"/>
  <c r="DN84" i="4"/>
  <c r="DN83" i="4"/>
  <c r="DN82" i="4"/>
  <c r="DN81" i="4"/>
  <c r="DN80" i="4"/>
  <c r="DN79" i="4"/>
  <c r="DN78" i="4"/>
  <c r="DN77" i="4"/>
  <c r="DN76" i="4"/>
  <c r="DN75" i="4"/>
  <c r="DN74" i="4"/>
  <c r="DN73" i="4"/>
  <c r="DN72" i="4"/>
  <c r="DN61" i="4"/>
  <c r="DN60" i="4"/>
  <c r="DN59" i="4"/>
  <c r="DN58" i="4"/>
  <c r="DN57" i="4"/>
  <c r="DN56" i="4"/>
  <c r="DN55" i="4"/>
  <c r="DN54" i="4"/>
  <c r="DN53" i="4"/>
  <c r="DN52" i="4"/>
  <c r="DN51" i="4"/>
  <c r="DN50" i="4"/>
  <c r="DN49" i="4"/>
  <c r="DN48" i="4"/>
  <c r="DN47" i="4"/>
  <c r="DN46" i="4"/>
  <c r="DN45" i="4"/>
  <c r="DN44" i="4"/>
  <c r="DN43" i="4"/>
  <c r="DN42" i="4"/>
  <c r="DN41" i="4"/>
  <c r="DN40" i="4"/>
  <c r="DN39" i="4"/>
  <c r="DN38" i="4"/>
  <c r="DN37" i="4"/>
  <c r="DN36" i="4"/>
  <c r="DN35" i="4"/>
  <c r="DN34" i="4"/>
  <c r="DN33" i="4"/>
  <c r="DN32" i="4"/>
  <c r="DN15" i="4"/>
  <c r="DN11" i="4"/>
  <c r="DN10" i="4"/>
  <c r="DN9" i="4"/>
  <c r="DN8" i="4"/>
  <c r="DN7" i="4"/>
  <c r="DN6" i="4"/>
  <c r="DN5" i="4"/>
  <c r="DN3" i="4"/>
  <c r="DO2" i="4"/>
  <c r="CZ5" i="4" l="1"/>
  <c r="DB2" i="4" s="1"/>
  <c r="DW12" i="4"/>
  <c r="DX12" i="4"/>
  <c r="DW20" i="4"/>
  <c r="DX20" i="4"/>
  <c r="DX28" i="4"/>
  <c r="DW28" i="4"/>
  <c r="DW36" i="4"/>
  <c r="DX36" i="4"/>
  <c r="DW52" i="4"/>
  <c r="DX52" i="4"/>
  <c r="DX60" i="4"/>
  <c r="DW60" i="4"/>
  <c r="DX68" i="4"/>
  <c r="DW68" i="4"/>
  <c r="DX76" i="4"/>
  <c r="DW76" i="4"/>
  <c r="DX84" i="4"/>
  <c r="DW84" i="4"/>
  <c r="DX19" i="4"/>
  <c r="DW19" i="4"/>
  <c r="DW43" i="4"/>
  <c r="DX43" i="4"/>
  <c r="DX59" i="4"/>
  <c r="DW59" i="4"/>
  <c r="DW67" i="4"/>
  <c r="DX67" i="4"/>
  <c r="DW75" i="4"/>
  <c r="DX75" i="4"/>
  <c r="DW83" i="4"/>
  <c r="DX83" i="4"/>
  <c r="DW91" i="4"/>
  <c r="DX91" i="4"/>
  <c r="DW13" i="4"/>
  <c r="DX13" i="4"/>
  <c r="DW21" i="4"/>
  <c r="DX21" i="4"/>
  <c r="DW29" i="4"/>
  <c r="DX29" i="4"/>
  <c r="DW37" i="4"/>
  <c r="DX37" i="4"/>
  <c r="DW53" i="4"/>
  <c r="DX53" i="4"/>
  <c r="DW61" i="4"/>
  <c r="DX61" i="4"/>
  <c r="DW69" i="4"/>
  <c r="DX69" i="4"/>
  <c r="DW77" i="4"/>
  <c r="DX77" i="4"/>
  <c r="DX85" i="4"/>
  <c r="DW85" i="4"/>
  <c r="DW14" i="4"/>
  <c r="DX14" i="4"/>
  <c r="DW38" i="4"/>
  <c r="DX38" i="4"/>
  <c r="DX70" i="4"/>
  <c r="DW70" i="4"/>
  <c r="DW15" i="4"/>
  <c r="DX15" i="4"/>
  <c r="DX23" i="4"/>
  <c r="DW23" i="4"/>
  <c r="DX31" i="4"/>
  <c r="DW31" i="4"/>
  <c r="DW39" i="4"/>
  <c r="DX39" i="4"/>
  <c r="DW55" i="4"/>
  <c r="DX55" i="4"/>
  <c r="DW63" i="4"/>
  <c r="DX63" i="4"/>
  <c r="DW71" i="4"/>
  <c r="DX71" i="4"/>
  <c r="DW79" i="4"/>
  <c r="DX79" i="4"/>
  <c r="DW87" i="4"/>
  <c r="DX87" i="4"/>
  <c r="DW27" i="4"/>
  <c r="DX27" i="4"/>
  <c r="DX62" i="4"/>
  <c r="DW62" i="4"/>
  <c r="DX16" i="4"/>
  <c r="DW16" i="4"/>
  <c r="DW24" i="4"/>
  <c r="DX24" i="4"/>
  <c r="DX32" i="4"/>
  <c r="DW32" i="4"/>
  <c r="DX40" i="4"/>
  <c r="DW40" i="4"/>
  <c r="DX56" i="4"/>
  <c r="DW56" i="4"/>
  <c r="DW64" i="4"/>
  <c r="DX64" i="4"/>
  <c r="DX72" i="4"/>
  <c r="DW72" i="4"/>
  <c r="DX80" i="4"/>
  <c r="DW80" i="4"/>
  <c r="DW88" i="4"/>
  <c r="DX88" i="4"/>
  <c r="DX35" i="4"/>
  <c r="DW35" i="4"/>
  <c r="DX22" i="4"/>
  <c r="DW22" i="4"/>
  <c r="DW54" i="4"/>
  <c r="DX54" i="4"/>
  <c r="DX86" i="4"/>
  <c r="DW86" i="4"/>
  <c r="DX17" i="4"/>
  <c r="DW17" i="4"/>
  <c r="DW25" i="4"/>
  <c r="DX25" i="4"/>
  <c r="DX33" i="4"/>
  <c r="DW33" i="4"/>
  <c r="DX41" i="4"/>
  <c r="DW41" i="4"/>
  <c r="DX57" i="4"/>
  <c r="DW57" i="4"/>
  <c r="DW65" i="4"/>
  <c r="DX65" i="4"/>
  <c r="DX73" i="4"/>
  <c r="DW73" i="4"/>
  <c r="DX81" i="4"/>
  <c r="DW81" i="4"/>
  <c r="DW89" i="4"/>
  <c r="DX89" i="4"/>
  <c r="DX30" i="4"/>
  <c r="DW30" i="4"/>
  <c r="DW78" i="4"/>
  <c r="DX78" i="4"/>
  <c r="DX18" i="4"/>
  <c r="DW18" i="4"/>
  <c r="DW26" i="4"/>
  <c r="DX26" i="4"/>
  <c r="DX34" i="4"/>
  <c r="DW34" i="4"/>
  <c r="DX58" i="4"/>
  <c r="DW58" i="4"/>
  <c r="DW66" i="4"/>
  <c r="DX66" i="4"/>
  <c r="DX74" i="4"/>
  <c r="DW74" i="4"/>
  <c r="DX82" i="4"/>
  <c r="DW82" i="4"/>
  <c r="DW90" i="4"/>
  <c r="DX90" i="4"/>
  <c r="DO7" i="4"/>
  <c r="DP7" i="4"/>
  <c r="DO15" i="4"/>
  <c r="DP15" i="4"/>
  <c r="DO39" i="4"/>
  <c r="DP39" i="4"/>
  <c r="DO47" i="4"/>
  <c r="DP47" i="4"/>
  <c r="DO55" i="4"/>
  <c r="DP55" i="4"/>
  <c r="DO79" i="4"/>
  <c r="DP79" i="4"/>
  <c r="DO87" i="4"/>
  <c r="DP87" i="4"/>
  <c r="DO9" i="4"/>
  <c r="DP9" i="4"/>
  <c r="DO33" i="4"/>
  <c r="DP33" i="4"/>
  <c r="DO41" i="4"/>
  <c r="DP41" i="4"/>
  <c r="DO49" i="4"/>
  <c r="DP49" i="4"/>
  <c r="DO57" i="4"/>
  <c r="DP57" i="4"/>
  <c r="DO73" i="4"/>
  <c r="DP73" i="4"/>
  <c r="DO81" i="4"/>
  <c r="DP81" i="4"/>
  <c r="DO89" i="4"/>
  <c r="DP89" i="4"/>
  <c r="DO34" i="4"/>
  <c r="DP34" i="4"/>
  <c r="DO42" i="4"/>
  <c r="DP42" i="4"/>
  <c r="DO50" i="4"/>
  <c r="DP50" i="4"/>
  <c r="DO58" i="4"/>
  <c r="DP58" i="4"/>
  <c r="DO74" i="4"/>
  <c r="DP74" i="4"/>
  <c r="DO82" i="4"/>
  <c r="DP82" i="4"/>
  <c r="DO90" i="4"/>
  <c r="DP90" i="4"/>
  <c r="DO32" i="4"/>
  <c r="DP32" i="4"/>
  <c r="DO80" i="4"/>
  <c r="DP80" i="4"/>
  <c r="DP2" i="4"/>
  <c r="DO10" i="4"/>
  <c r="DP10" i="4"/>
  <c r="DO3" i="4"/>
  <c r="DP3" i="4"/>
  <c r="DO11" i="4"/>
  <c r="DP11" i="4"/>
  <c r="DO35" i="4"/>
  <c r="DP35" i="4"/>
  <c r="DO43" i="4"/>
  <c r="DP43" i="4"/>
  <c r="DO51" i="4"/>
  <c r="DP51" i="4"/>
  <c r="DO59" i="4"/>
  <c r="DP59" i="4"/>
  <c r="DO75" i="4"/>
  <c r="DP75" i="4"/>
  <c r="DO83" i="4"/>
  <c r="DP83" i="4"/>
  <c r="DO91" i="4"/>
  <c r="DP91" i="4"/>
  <c r="DO40" i="4"/>
  <c r="DP40" i="4"/>
  <c r="DO56" i="4"/>
  <c r="DP56" i="4"/>
  <c r="DO72" i="4"/>
  <c r="DP72" i="4"/>
  <c r="DO88" i="4"/>
  <c r="DP88" i="4"/>
  <c r="DO4" i="4"/>
  <c r="DP4" i="4"/>
  <c r="DO36" i="4"/>
  <c r="DP36" i="4"/>
  <c r="DO44" i="4"/>
  <c r="DP44" i="4"/>
  <c r="DO60" i="4"/>
  <c r="DP60" i="4"/>
  <c r="DO76" i="4"/>
  <c r="DP76" i="4"/>
  <c r="DO84" i="4"/>
  <c r="DP84" i="4"/>
  <c r="DO5" i="4"/>
  <c r="DP5" i="4"/>
  <c r="DO37" i="4"/>
  <c r="DP37" i="4"/>
  <c r="DO45" i="4"/>
  <c r="DP45" i="4"/>
  <c r="DO61" i="4"/>
  <c r="DP61" i="4"/>
  <c r="DO77" i="4"/>
  <c r="DP77" i="4"/>
  <c r="DO85" i="4"/>
  <c r="DP85" i="4"/>
  <c r="DO8" i="4"/>
  <c r="DP8" i="4"/>
  <c r="DO48" i="4"/>
  <c r="DP48" i="4"/>
  <c r="DO6" i="4"/>
  <c r="DP6" i="4"/>
  <c r="DO38" i="4"/>
  <c r="DP38" i="4"/>
  <c r="DO46" i="4"/>
  <c r="DP46" i="4"/>
  <c r="DO54" i="4"/>
  <c r="DP54" i="4"/>
  <c r="DO78" i="4"/>
  <c r="DP78" i="4"/>
  <c r="DO86" i="4"/>
  <c r="DP86" i="4"/>
  <c r="E98" i="41"/>
  <c r="E99" i="41"/>
  <c r="E100" i="41"/>
  <c r="E101" i="41"/>
  <c r="E102" i="41"/>
  <c r="E103" i="41"/>
  <c r="E104" i="41"/>
  <c r="E105" i="41"/>
  <c r="E106" i="41"/>
  <c r="DB4" i="4" l="1"/>
  <c r="DB3" i="4"/>
  <c r="DB5" i="4"/>
  <c r="F103" i="41"/>
  <c r="G103" i="41"/>
  <c r="F102" i="41"/>
  <c r="G102" i="41"/>
  <c r="F101" i="41"/>
  <c r="G101" i="41"/>
  <c r="G99" i="41"/>
  <c r="F99" i="41"/>
  <c r="F100" i="41"/>
  <c r="G100" i="41"/>
  <c r="G105" i="41"/>
  <c r="F105" i="41"/>
  <c r="F104" i="41"/>
  <c r="G104" i="41"/>
  <c r="DM76" i="4"/>
  <c r="DM60" i="4"/>
  <c r="DM44" i="4"/>
  <c r="DM40" i="4"/>
  <c r="DM32" i="4"/>
  <c r="DM6" i="4"/>
  <c r="DM83" i="4"/>
  <c r="DM39" i="4" l="1"/>
  <c r="DM48" i="4"/>
  <c r="DM56" i="4"/>
  <c r="DM35" i="4"/>
  <c r="DM51" i="4"/>
  <c r="DM47" i="4"/>
  <c r="DM55" i="4"/>
  <c r="DM79" i="4"/>
  <c r="DM87" i="4"/>
  <c r="DM80" i="4"/>
  <c r="DM8" i="4"/>
  <c r="DM72" i="4"/>
  <c r="DM88" i="4"/>
  <c r="DM9" i="4"/>
  <c r="DM43" i="4"/>
  <c r="DM59" i="4"/>
  <c r="DM75" i="4"/>
  <c r="DM91" i="4"/>
  <c r="DM3" i="4"/>
  <c r="DM84" i="4"/>
  <c r="DM36" i="4"/>
  <c r="DM4" i="4"/>
  <c r="DM11" i="4"/>
  <c r="DM5" i="4"/>
  <c r="DM86" i="4"/>
  <c r="DM78" i="4"/>
  <c r="DM54" i="4"/>
  <c r="DM46" i="4"/>
  <c r="DM38" i="4"/>
  <c r="DM85" i="4"/>
  <c r="DM77" i="4"/>
  <c r="DM61" i="4"/>
  <c r="DM45" i="4"/>
  <c r="DM37" i="4"/>
  <c r="DM90" i="4"/>
  <c r="DM82" i="4"/>
  <c r="DM74" i="4"/>
  <c r="DM58" i="4"/>
  <c r="DM50" i="4"/>
  <c r="DM42" i="4"/>
  <c r="DM34" i="4"/>
  <c r="DM89" i="4"/>
  <c r="DM81" i="4"/>
  <c r="DM73" i="4"/>
  <c r="DM57" i="4"/>
  <c r="DM49" i="4"/>
  <c r="DM41" i="4"/>
  <c r="DM33" i="4"/>
  <c r="DM7" i="4" l="1"/>
  <c r="DM10" i="4" s="1"/>
  <c r="EL101" i="4"/>
  <c r="EL100" i="4"/>
  <c r="EL99" i="4"/>
  <c r="EL98" i="4"/>
  <c r="EL97" i="4"/>
  <c r="EL96" i="4"/>
  <c r="EL95" i="4"/>
  <c r="EL94" i="4"/>
  <c r="EL93" i="4"/>
  <c r="EL92" i="4"/>
  <c r="EL91" i="4"/>
  <c r="EL90" i="4"/>
  <c r="EL89" i="4"/>
  <c r="EL88" i="4"/>
  <c r="EL87" i="4"/>
  <c r="EL86" i="4"/>
  <c r="EL85" i="4"/>
  <c r="EL84" i="4"/>
  <c r="EL83" i="4"/>
  <c r="EL82" i="4"/>
  <c r="EL80" i="4"/>
  <c r="EL71" i="4"/>
  <c r="EL70" i="4"/>
  <c r="EL69" i="4"/>
  <c r="EL68" i="4"/>
  <c r="EL67" i="4"/>
  <c r="EL66" i="4"/>
  <c r="EL65" i="4"/>
  <c r="EL64" i="4"/>
  <c r="EL63" i="4"/>
  <c r="EL62" i="4"/>
  <c r="EL51" i="4"/>
  <c r="EL50" i="4"/>
  <c r="EL49" i="4"/>
  <c r="EL48" i="4"/>
  <c r="EL47" i="4"/>
  <c r="EL46" i="4"/>
  <c r="EL45" i="4"/>
  <c r="EL44" i="4"/>
  <c r="EL43" i="4"/>
  <c r="EL42" i="4"/>
  <c r="EL41" i="4"/>
  <c r="EL40" i="4"/>
  <c r="EL39" i="4"/>
  <c r="EL38" i="4"/>
  <c r="EL37" i="4"/>
  <c r="EL36" i="4"/>
  <c r="EL35" i="4"/>
  <c r="EL34" i="4"/>
  <c r="EL33" i="4"/>
  <c r="EL32" i="4"/>
  <c r="EL31" i="4"/>
  <c r="EL30" i="4"/>
  <c r="EL29" i="4"/>
  <c r="EL28" i="4"/>
  <c r="EL27" i="4"/>
  <c r="EL26" i="4"/>
  <c r="EL25" i="4"/>
  <c r="EL24" i="4"/>
  <c r="EL23" i="4"/>
  <c r="EL22" i="4"/>
  <c r="EL21" i="4"/>
  <c r="EL20" i="4"/>
  <c r="EL19" i="4"/>
  <c r="EL18" i="4"/>
  <c r="EL17" i="4"/>
  <c r="EL16" i="4"/>
  <c r="EL15" i="4"/>
  <c r="EL14" i="4"/>
  <c r="EL13" i="4"/>
  <c r="EL12" i="4"/>
  <c r="EM38" i="4" l="1"/>
  <c r="EN38" i="4"/>
  <c r="EM39" i="4"/>
  <c r="EN39" i="4"/>
  <c r="EN47" i="4"/>
  <c r="EM47" i="4"/>
  <c r="EN37" i="4"/>
  <c r="EM37" i="4"/>
  <c r="EN40" i="4"/>
  <c r="EM40" i="4"/>
  <c r="EN48" i="4"/>
  <c r="EM48" i="4"/>
  <c r="EN41" i="4"/>
  <c r="EM41" i="4"/>
  <c r="EN49" i="4"/>
  <c r="EM49" i="4"/>
  <c r="EM36" i="4"/>
  <c r="EN36" i="4"/>
  <c r="EM46" i="4"/>
  <c r="EN46" i="4"/>
  <c r="EM50" i="4"/>
  <c r="EN50" i="4"/>
  <c r="EM51" i="4"/>
  <c r="EN51" i="4"/>
  <c r="EM30" i="4"/>
  <c r="EN30" i="4"/>
  <c r="EM26" i="4"/>
  <c r="EN26" i="4"/>
  <c r="EM28" i="4"/>
  <c r="EN28" i="4"/>
  <c r="EM29" i="4"/>
  <c r="EN29" i="4"/>
  <c r="EM31" i="4"/>
  <c r="EN31" i="4"/>
  <c r="EN27" i="4"/>
  <c r="EM27" i="4"/>
  <c r="EM16" i="4"/>
  <c r="EN16" i="4"/>
  <c r="EN17" i="4"/>
  <c r="EM17" i="4"/>
  <c r="EN18" i="4"/>
  <c r="EM18" i="4"/>
  <c r="EN19" i="4"/>
  <c r="EM19" i="4"/>
  <c r="EM21" i="4"/>
  <c r="EN21" i="4"/>
  <c r="EM20" i="4"/>
  <c r="EN20" i="4"/>
  <c r="EM15" i="4"/>
  <c r="EN15" i="4"/>
  <c r="EM45" i="4"/>
  <c r="EN45" i="4"/>
  <c r="EN25" i="4"/>
  <c r="EM25" i="4"/>
  <c r="EN35" i="4"/>
  <c r="EM35" i="4"/>
  <c r="EM14" i="4"/>
  <c r="EN14" i="4"/>
  <c r="EM24" i="4"/>
  <c r="EN24" i="4"/>
  <c r="EM34" i="4"/>
  <c r="EN34" i="4"/>
  <c r="EM44" i="4"/>
  <c r="EN44" i="4"/>
  <c r="EN13" i="4"/>
  <c r="EM13" i="4"/>
  <c r="EM23" i="4"/>
  <c r="EN23" i="4"/>
  <c r="EM33" i="4"/>
  <c r="EN33" i="4"/>
  <c r="EM43" i="4"/>
  <c r="EN43" i="4"/>
  <c r="EN22" i="4"/>
  <c r="EM22" i="4"/>
  <c r="EN42" i="4"/>
  <c r="EM42" i="4"/>
  <c r="EN32" i="4"/>
  <c r="EM32" i="4"/>
  <c r="EN12" i="4"/>
  <c r="EM12" i="4"/>
  <c r="EN71" i="4"/>
  <c r="EM71" i="4"/>
  <c r="EM70" i="4"/>
  <c r="EN70" i="4"/>
  <c r="EN63" i="4"/>
  <c r="EM63" i="4"/>
  <c r="EM65" i="4"/>
  <c r="EN65" i="4"/>
  <c r="EN66" i="4"/>
  <c r="EM66" i="4"/>
  <c r="EM68" i="4"/>
  <c r="EN68" i="4"/>
  <c r="EN62" i="4"/>
  <c r="EM62" i="4"/>
  <c r="EM64" i="4"/>
  <c r="EN64" i="4"/>
  <c r="EN67" i="4"/>
  <c r="EM67" i="4"/>
  <c r="EM69" i="4"/>
  <c r="EN69" i="4"/>
  <c r="EN80" i="4"/>
  <c r="EM80" i="4"/>
  <c r="EM87" i="4"/>
  <c r="EN87" i="4"/>
  <c r="EM90" i="4"/>
  <c r="EN90" i="4"/>
  <c r="EM83" i="4"/>
  <c r="EN83" i="4"/>
  <c r="EM91" i="4"/>
  <c r="EN91" i="4"/>
  <c r="EN89" i="4"/>
  <c r="EM89" i="4"/>
  <c r="EM84" i="4"/>
  <c r="EN84" i="4"/>
  <c r="EM88" i="4"/>
  <c r="EN88" i="4"/>
  <c r="EN82" i="4"/>
  <c r="EM82" i="4"/>
  <c r="EM85" i="4"/>
  <c r="EN85" i="4"/>
  <c r="EM86" i="4"/>
  <c r="EN86" i="4"/>
  <c r="EM96" i="4"/>
  <c r="EN96" i="4"/>
  <c r="EM101" i="4"/>
  <c r="EN101" i="4"/>
  <c r="EM95" i="4"/>
  <c r="EN95" i="4"/>
  <c r="EM97" i="4"/>
  <c r="EN97" i="4"/>
  <c r="EM93" i="4"/>
  <c r="EN93" i="4"/>
  <c r="EM94" i="4"/>
  <c r="EN94" i="4"/>
  <c r="EM98" i="4"/>
  <c r="EN98" i="4"/>
  <c r="EM99" i="4"/>
  <c r="EN99" i="4"/>
  <c r="EN92" i="4"/>
  <c r="EM92" i="4"/>
  <c r="EN100" i="4"/>
  <c r="EM100" i="4"/>
  <c r="EL2" i="4"/>
  <c r="EK2" i="4" l="1"/>
  <c r="EN2" i="4"/>
  <c r="EM2" i="4"/>
  <c r="QO26" i="4"/>
  <c r="QO25" i="4"/>
  <c r="QO24" i="4"/>
  <c r="QO23" i="4"/>
  <c r="QO16" i="4"/>
  <c r="QO15" i="4"/>
  <c r="QO14" i="4"/>
  <c r="QO13" i="4"/>
  <c r="QO7" i="4"/>
  <c r="QO6" i="4"/>
  <c r="QO5" i="4"/>
  <c r="QO4" i="4"/>
  <c r="QP26" i="4"/>
  <c r="QP25" i="4"/>
  <c r="QP24" i="4"/>
  <c r="QP23" i="4"/>
  <c r="QP16" i="4"/>
  <c r="QP15" i="4"/>
  <c r="QP14" i="4"/>
  <c r="QP13" i="4"/>
  <c r="QP7" i="4"/>
  <c r="QP6" i="4"/>
  <c r="QP5" i="4"/>
  <c r="QP4" i="4"/>
  <c r="QP3" i="4"/>
  <c r="QO3" i="4"/>
  <c r="QN3" i="4"/>
  <c r="QN8" i="4" l="1"/>
  <c r="QN27" i="4"/>
  <c r="QN23" i="4"/>
  <c r="QN13" i="4"/>
  <c r="QN5" i="4"/>
  <c r="QN6" i="4"/>
  <c r="QN4" i="4"/>
  <c r="QN12" i="4"/>
  <c r="QN7" i="4"/>
  <c r="QN22" i="4"/>
  <c r="QN19" i="4"/>
  <c r="QN14" i="4"/>
  <c r="QN21" i="4"/>
  <c r="QN11" i="4"/>
  <c r="QN18" i="4"/>
  <c r="QN10" i="4"/>
  <c r="QN15" i="4"/>
  <c r="QN20" i="4"/>
  <c r="QN25" i="4"/>
  <c r="QN17" i="4"/>
  <c r="QN9" i="4"/>
  <c r="QN26" i="4"/>
  <c r="QN24" i="4"/>
  <c r="QN16" i="4"/>
  <c r="QQ14" i="4"/>
  <c r="QQ15" i="4"/>
  <c r="QQ16" i="4"/>
  <c r="QQ24" i="4"/>
  <c r="G10" i="55"/>
  <c r="G9" i="55"/>
  <c r="G83" i="55"/>
  <c r="QU27" i="4" l="1"/>
  <c r="J33" i="104" s="1"/>
  <c r="QV27" i="4"/>
  <c r="K33" i="104" s="1"/>
  <c r="QR27" i="4"/>
  <c r="QS27" i="4"/>
  <c r="H33" i="104" s="1"/>
  <c r="QT27" i="4"/>
  <c r="I33" i="104" s="1"/>
  <c r="G33" i="104" l="1"/>
  <c r="KO4339" i="4"/>
  <c r="IZ4343" i="4"/>
  <c r="MU4343" i="4"/>
  <c r="GS4343" i="4"/>
  <c r="GS4339" i="4"/>
  <c r="GS4344" i="4"/>
  <c r="GT4339" i="4"/>
  <c r="GT4344" i="4"/>
  <c r="GT4338" i="4"/>
  <c r="GS4338" i="4"/>
  <c r="GT4343" i="4"/>
  <c r="OT4338" i="4"/>
  <c r="OT4343" i="4"/>
  <c r="OT4342" i="4"/>
  <c r="OT4341" i="4"/>
  <c r="OS4338" i="4"/>
  <c r="O33" i="95"/>
  <c r="KN4339" i="4"/>
  <c r="M33" i="95"/>
  <c r="IY4343" i="4"/>
  <c r="L33" i="95"/>
  <c r="K33" i="95"/>
  <c r="MT4343" i="4"/>
  <c r="N33" i="95"/>
  <c r="OS4343" i="4"/>
  <c r="OS4342" i="4"/>
  <c r="OS4341" i="4"/>
  <c r="QQ8" i="4"/>
  <c r="F23" i="71" l="1"/>
  <c r="QV8" i="4"/>
  <c r="QV14" i="4"/>
  <c r="K30" i="104" s="1"/>
  <c r="QV15" i="4"/>
  <c r="K31" i="104" s="1"/>
  <c r="QV16" i="4"/>
  <c r="K32" i="104" s="1"/>
  <c r="QV24" i="4"/>
  <c r="QU8" i="4"/>
  <c r="QU14" i="4"/>
  <c r="QU15" i="4"/>
  <c r="QU16" i="4"/>
  <c r="QU24" i="4"/>
  <c r="J43" i="104" s="1"/>
  <c r="QT8" i="4"/>
  <c r="QT14" i="4"/>
  <c r="I30" i="104" s="1"/>
  <c r="QT15" i="4"/>
  <c r="I31" i="104" s="1"/>
  <c r="QT16" i="4"/>
  <c r="I32" i="104" s="1"/>
  <c r="QT24" i="4"/>
  <c r="I43" i="104" s="1"/>
  <c r="QS8" i="4"/>
  <c r="QS14" i="4"/>
  <c r="H30" i="104" s="1"/>
  <c r="QS15" i="4"/>
  <c r="H31" i="104" s="1"/>
  <c r="QS16" i="4"/>
  <c r="H32" i="104" s="1"/>
  <c r="QS24" i="4"/>
  <c r="QR8" i="4"/>
  <c r="QR14" i="4"/>
  <c r="QR15" i="4"/>
  <c r="QR16" i="4"/>
  <c r="GQ2" i="4" s="1"/>
  <c r="QR24" i="4"/>
  <c r="HF2" i="4" s="1"/>
  <c r="GL3" i="4" l="1"/>
  <c r="GL4" i="4"/>
  <c r="GL5" i="4"/>
  <c r="GL7" i="4"/>
  <c r="GL8" i="4"/>
  <c r="GL9" i="4"/>
  <c r="GL10" i="4"/>
  <c r="GL11" i="4"/>
  <c r="GL17" i="4"/>
  <c r="GL18" i="4"/>
  <c r="GL20" i="4"/>
  <c r="GL21" i="4"/>
  <c r="GL19" i="4"/>
  <c r="GL29" i="4"/>
  <c r="GL31" i="4"/>
  <c r="GL22" i="4"/>
  <c r="GL23" i="4"/>
  <c r="GL25" i="4"/>
  <c r="GL26" i="4"/>
  <c r="GL27" i="4"/>
  <c r="GL28" i="4"/>
  <c r="GL50" i="4"/>
  <c r="GL52" i="4"/>
  <c r="GL33" i="4"/>
  <c r="GL37" i="4"/>
  <c r="GL34" i="4"/>
  <c r="GL47" i="4"/>
  <c r="GL53" i="4"/>
  <c r="GL54" i="4"/>
  <c r="GL55" i="4"/>
  <c r="GL56" i="4"/>
  <c r="GL57" i="4"/>
  <c r="GL24" i="4"/>
  <c r="GL51" i="4"/>
  <c r="GL30" i="4"/>
  <c r="GL35" i="4"/>
  <c r="GL32" i="4"/>
  <c r="GL49" i="4"/>
  <c r="GL67" i="4"/>
  <c r="GL36" i="4"/>
  <c r="GL69" i="4"/>
  <c r="GL70" i="4"/>
  <c r="GL71" i="4"/>
  <c r="GL72" i="4"/>
  <c r="GL73" i="4"/>
  <c r="GL74" i="4"/>
  <c r="GL75" i="4"/>
  <c r="GL76" i="4"/>
  <c r="GL77" i="4"/>
  <c r="GL78" i="4"/>
  <c r="GL66" i="4"/>
  <c r="GL68" i="4"/>
  <c r="GL46" i="4"/>
  <c r="GL79" i="4"/>
  <c r="GL80" i="4"/>
  <c r="GL81" i="4"/>
  <c r="GL82" i="4"/>
  <c r="GL85" i="4"/>
  <c r="GL100" i="4"/>
  <c r="GL104" i="4"/>
  <c r="GL106" i="4"/>
  <c r="GL90" i="4"/>
  <c r="GL91" i="4"/>
  <c r="GL92" i="4"/>
  <c r="GL93" i="4"/>
  <c r="GL94" i="4"/>
  <c r="GL95" i="4"/>
  <c r="GL96" i="4"/>
  <c r="GL97" i="4"/>
  <c r="GL98" i="4"/>
  <c r="GL99" i="4"/>
  <c r="GL102" i="4"/>
  <c r="GL105" i="4"/>
  <c r="GL88" i="4"/>
  <c r="GL83" i="4"/>
  <c r="GL86" i="4"/>
  <c r="GL84" i="4"/>
  <c r="GL87" i="4"/>
  <c r="GL89" i="4"/>
  <c r="GL101" i="4"/>
  <c r="GL103" i="4"/>
  <c r="GL107" i="4"/>
  <c r="GL110" i="4"/>
  <c r="GL111" i="4"/>
  <c r="GL108" i="4"/>
  <c r="GL109" i="4"/>
  <c r="K43" i="104"/>
  <c r="PF2" i="4"/>
  <c r="GM2" i="4"/>
  <c r="K24" i="104"/>
  <c r="G31" i="104"/>
  <c r="J30" i="104"/>
  <c r="G24" i="104"/>
  <c r="JL4343" i="4"/>
  <c r="H43" i="104"/>
  <c r="G30" i="104"/>
  <c r="G43" i="104"/>
  <c r="J32" i="104"/>
  <c r="MR4346" i="4"/>
  <c r="G32" i="104"/>
  <c r="J31" i="104"/>
  <c r="MN4343" i="4"/>
  <c r="GM4344" i="4"/>
  <c r="GM4343" i="4"/>
  <c r="GI4339" i="4"/>
  <c r="HF4343" i="4"/>
  <c r="GQ4346" i="4"/>
  <c r="GQ4344" i="4"/>
  <c r="KL4339" i="4"/>
  <c r="LA4339" i="4"/>
  <c r="N24" i="95"/>
  <c r="KI4339" i="4"/>
  <c r="NG4342" i="4"/>
  <c r="NG4343" i="4"/>
  <c r="NG4341" i="4"/>
  <c r="HF4344" i="4"/>
  <c r="HF4339" i="4"/>
  <c r="HF4338" i="4"/>
  <c r="IQ4343" i="4"/>
  <c r="O24" i="95"/>
  <c r="PF4342" i="4"/>
  <c r="PF4341" i="4"/>
  <c r="PF4338" i="4"/>
  <c r="PF4343" i="4"/>
  <c r="O32" i="95"/>
  <c r="K32" i="95"/>
  <c r="N30" i="95"/>
  <c r="ML4343" i="4"/>
  <c r="ML4342" i="4"/>
  <c r="ML4341" i="4"/>
  <c r="K31" i="95"/>
  <c r="GP4339" i="4"/>
  <c r="GP4343" i="4"/>
  <c r="GO4338" i="4"/>
  <c r="GP4344" i="4"/>
  <c r="GP4338" i="4"/>
  <c r="K30" i="95"/>
  <c r="GK4339" i="4"/>
  <c r="GK4343" i="4"/>
  <c r="GK4344" i="4"/>
  <c r="GK4338" i="4"/>
  <c r="GJ4338" i="4"/>
  <c r="O31" i="95"/>
  <c r="OQ4338" i="4"/>
  <c r="OP4338" i="4"/>
  <c r="OQ4341" i="4"/>
  <c r="OQ4342" i="4"/>
  <c r="OQ4343" i="4"/>
  <c r="L31" i="95"/>
  <c r="IV4343" i="4"/>
  <c r="O30" i="95"/>
  <c r="ON4343" i="4"/>
  <c r="ON4342" i="4"/>
  <c r="ON4338" i="4"/>
  <c r="ON4341" i="4"/>
  <c r="OM4338" i="4"/>
  <c r="N31" i="95"/>
  <c r="MQ4343" i="4"/>
  <c r="MQ4341" i="4"/>
  <c r="MQ4342" i="4"/>
  <c r="M32" i="95"/>
  <c r="K24" i="95"/>
  <c r="L43" i="95"/>
  <c r="M43" i="95"/>
  <c r="M31" i="95"/>
  <c r="KK4339" i="4"/>
  <c r="M30" i="95"/>
  <c r="KH4339" i="4"/>
  <c r="L32" i="95"/>
  <c r="N43" i="95"/>
  <c r="K43" i="95"/>
  <c r="O43" i="95"/>
  <c r="M24" i="95"/>
  <c r="L30" i="95"/>
  <c r="N32" i="95"/>
  <c r="L24" i="95"/>
  <c r="MK4342" i="4"/>
  <c r="MK4343" i="4"/>
  <c r="MK4341" i="4"/>
  <c r="MP4343" i="4"/>
  <c r="MP4341" i="4"/>
  <c r="MP4342" i="4"/>
  <c r="IU4343" i="4"/>
  <c r="IP4343" i="4"/>
  <c r="OP4342" i="4"/>
  <c r="OP4343" i="4"/>
  <c r="OP4341" i="4"/>
  <c r="OM4343" i="4"/>
  <c r="OM4342" i="4"/>
  <c r="OM4341" i="4"/>
  <c r="GO4344" i="4"/>
  <c r="GO4343" i="4"/>
  <c r="GO4339" i="4"/>
  <c r="GJ4344" i="4"/>
  <c r="GJ4339" i="4"/>
  <c r="GJ4343" i="4"/>
  <c r="QQ26" i="4"/>
  <c r="QQ25" i="4"/>
  <c r="QQ23" i="4"/>
  <c r="QQ22" i="4"/>
  <c r="QQ21" i="4"/>
  <c r="QQ20" i="4"/>
  <c r="QQ19" i="4"/>
  <c r="QQ18" i="4"/>
  <c r="QQ17" i="4"/>
  <c r="QQ13" i="4"/>
  <c r="QQ12" i="4"/>
  <c r="QU12" i="4" s="1"/>
  <c r="QQ11" i="4"/>
  <c r="QT21" i="4" l="1"/>
  <c r="I40" i="104" s="1"/>
  <c r="QU21" i="4"/>
  <c r="J40" i="104" s="1"/>
  <c r="QV21" i="4"/>
  <c r="QR21" i="4"/>
  <c r="QS21" i="4"/>
  <c r="QS23" i="4"/>
  <c r="H42" i="104" s="1"/>
  <c r="QR23" i="4"/>
  <c r="QT23" i="4"/>
  <c r="I42" i="104" s="1"/>
  <c r="QU23" i="4"/>
  <c r="J42" i="104" s="1"/>
  <c r="QV23" i="4"/>
  <c r="QT22" i="4"/>
  <c r="I41" i="104" s="1"/>
  <c r="QS22" i="4"/>
  <c r="H41" i="104" s="1"/>
  <c r="QU22" i="4"/>
  <c r="J41" i="104" s="1"/>
  <c r="QR22" i="4"/>
  <c r="QV22" i="4"/>
  <c r="QU19" i="4"/>
  <c r="J38" i="104" s="1"/>
  <c r="QV19" i="4"/>
  <c r="QR19" i="4"/>
  <c r="QS19" i="4"/>
  <c r="H38" i="104" s="1"/>
  <c r="QT19" i="4"/>
  <c r="I38" i="104" s="1"/>
  <c r="QU20" i="4"/>
  <c r="J39" i="104" s="1"/>
  <c r="QV20" i="4"/>
  <c r="QR20" i="4"/>
  <c r="QS20" i="4"/>
  <c r="QT20" i="4"/>
  <c r="I39" i="104" s="1"/>
  <c r="QR26" i="4"/>
  <c r="QU26" i="4"/>
  <c r="J34" i="104" s="1"/>
  <c r="QV26" i="4"/>
  <c r="K34" i="104" s="1"/>
  <c r="QS26" i="4"/>
  <c r="H34" i="104" s="1"/>
  <c r="QT26" i="4"/>
  <c r="I34" i="104" s="1"/>
  <c r="QV25" i="4"/>
  <c r="K35" i="104" s="1"/>
  <c r="QT25" i="4"/>
  <c r="I35" i="104" s="1"/>
  <c r="QU25" i="4"/>
  <c r="J35" i="104" s="1"/>
  <c r="QR25" i="4"/>
  <c r="QS25" i="4"/>
  <c r="H35" i="104" s="1"/>
  <c r="QU18" i="4"/>
  <c r="J37" i="104" s="1"/>
  <c r="QS18" i="4"/>
  <c r="H37" i="104" s="1"/>
  <c r="QV18" i="4"/>
  <c r="K37" i="104" s="1"/>
  <c r="QT18" i="4"/>
  <c r="I37" i="104" s="1"/>
  <c r="QR18" i="4"/>
  <c r="G37" i="104" s="1"/>
  <c r="QU17" i="4"/>
  <c r="J36" i="104" s="1"/>
  <c r="QS17" i="4"/>
  <c r="H36" i="104" s="1"/>
  <c r="QV17" i="4"/>
  <c r="K36" i="104" s="1"/>
  <c r="QT17" i="4"/>
  <c r="I36" i="104" s="1"/>
  <c r="QR17" i="4"/>
  <c r="G36" i="104" s="1"/>
  <c r="QU13" i="4"/>
  <c r="QT13" i="4"/>
  <c r="I29" i="104" s="1"/>
  <c r="QS13" i="4"/>
  <c r="H29" i="104" s="1"/>
  <c r="QR13" i="4"/>
  <c r="QV13" i="4"/>
  <c r="K29" i="104" s="1"/>
  <c r="QS12" i="4"/>
  <c r="QV12" i="4"/>
  <c r="QT12" i="4"/>
  <c r="QR12" i="4"/>
  <c r="QV11" i="4"/>
  <c r="QU11" i="4"/>
  <c r="QS11" i="4"/>
  <c r="QR11" i="4"/>
  <c r="QT11" i="4"/>
  <c r="G91" i="30"/>
  <c r="G58" i="30"/>
  <c r="G59" i="30"/>
  <c r="G60" i="30"/>
  <c r="G62" i="30"/>
  <c r="G63" i="30"/>
  <c r="G64" i="30"/>
  <c r="G65" i="30"/>
  <c r="G66" i="30"/>
  <c r="G67" i="30"/>
  <c r="G68" i="30"/>
  <c r="G69" i="30"/>
  <c r="G70" i="30"/>
  <c r="G71" i="30"/>
  <c r="G72" i="30"/>
  <c r="G73" i="30"/>
  <c r="G74" i="30"/>
  <c r="G75" i="30"/>
  <c r="G76" i="30"/>
  <c r="G77" i="30"/>
  <c r="G78" i="30"/>
  <c r="G79" i="30"/>
  <c r="G80" i="30"/>
  <c r="G81" i="30"/>
  <c r="G82" i="30"/>
  <c r="G83" i="30"/>
  <c r="G84" i="30"/>
  <c r="G85" i="30"/>
  <c r="G86" i="30"/>
  <c r="G87" i="30"/>
  <c r="G88" i="30"/>
  <c r="G89" i="30"/>
  <c r="G90" i="30"/>
  <c r="E91" i="30"/>
  <c r="E56" i="30"/>
  <c r="E57" i="30"/>
  <c r="E58" i="30"/>
  <c r="E59" i="30"/>
  <c r="E60" i="30"/>
  <c r="E62" i="30"/>
  <c r="E63" i="30"/>
  <c r="E64" i="30"/>
  <c r="E65" i="30"/>
  <c r="E66" i="30"/>
  <c r="E67" i="30"/>
  <c r="E68" i="30"/>
  <c r="E69" i="30"/>
  <c r="E70" i="30"/>
  <c r="E71" i="30"/>
  <c r="E72" i="30"/>
  <c r="E73" i="30"/>
  <c r="E74" i="30"/>
  <c r="E75" i="30"/>
  <c r="E76" i="30"/>
  <c r="E77" i="30"/>
  <c r="E78" i="30"/>
  <c r="E79" i="30"/>
  <c r="E80" i="30"/>
  <c r="E81" i="30"/>
  <c r="E82" i="30"/>
  <c r="E83" i="30"/>
  <c r="E84" i="30"/>
  <c r="E85" i="30"/>
  <c r="E86" i="30"/>
  <c r="E87" i="30"/>
  <c r="E88" i="30"/>
  <c r="E89" i="30"/>
  <c r="E90" i="30"/>
  <c r="B59" i="30"/>
  <c r="B60" i="30"/>
  <c r="B61" i="30"/>
  <c r="D59" i="30"/>
  <c r="D60" i="30"/>
  <c r="D61" i="30"/>
  <c r="D62" i="30"/>
  <c r="D63" i="30"/>
  <c r="D64" i="30"/>
  <c r="D65" i="30"/>
  <c r="D66" i="30"/>
  <c r="D67" i="30"/>
  <c r="D68" i="30"/>
  <c r="D69" i="30"/>
  <c r="D70" i="30"/>
  <c r="D71" i="30"/>
  <c r="D72" i="30"/>
  <c r="D73" i="30"/>
  <c r="D74" i="30"/>
  <c r="D75" i="30"/>
  <c r="D76" i="30"/>
  <c r="D77" i="30"/>
  <c r="D78" i="30"/>
  <c r="D79" i="30"/>
  <c r="D80" i="30"/>
  <c r="D81" i="30"/>
  <c r="D82" i="30"/>
  <c r="D83" i="30"/>
  <c r="D84" i="30"/>
  <c r="D85" i="30"/>
  <c r="D86" i="30"/>
  <c r="D87" i="30"/>
  <c r="D88" i="30"/>
  <c r="D89" i="30"/>
  <c r="D90" i="30"/>
  <c r="D91" i="30"/>
  <c r="A61" i="30"/>
  <c r="PJ33" i="4"/>
  <c r="A60" i="30" s="1"/>
  <c r="PJ32" i="4"/>
  <c r="A59" i="30" s="1"/>
  <c r="PC8" i="4" l="1"/>
  <c r="PC16" i="4"/>
  <c r="PC9" i="4"/>
  <c r="PC3" i="4"/>
  <c r="PC11" i="4"/>
  <c r="PC19" i="4"/>
  <c r="PC4" i="4"/>
  <c r="PC12" i="4"/>
  <c r="PC5" i="4"/>
  <c r="PC13" i="4"/>
  <c r="PC6" i="4"/>
  <c r="PC14" i="4"/>
  <c r="PC10" i="4"/>
  <c r="PC24" i="4"/>
  <c r="PC32" i="4"/>
  <c r="PC15" i="4"/>
  <c r="PC27" i="4"/>
  <c r="PC7" i="4"/>
  <c r="PC18" i="4"/>
  <c r="PC20" i="4"/>
  <c r="PC28" i="4"/>
  <c r="PC22" i="4"/>
  <c r="PC21" i="4"/>
  <c r="PC23" i="4"/>
  <c r="PC17" i="4"/>
  <c r="PC30" i="4"/>
  <c r="PC36" i="4"/>
  <c r="PC31" i="4"/>
  <c r="PC47" i="4"/>
  <c r="PC29" i="4"/>
  <c r="PC34" i="4"/>
  <c r="PC41" i="4"/>
  <c r="PC26" i="4"/>
  <c r="PC42" i="4"/>
  <c r="PC52" i="4"/>
  <c r="PC46" i="4"/>
  <c r="PC54" i="4"/>
  <c r="PC37" i="4"/>
  <c r="PC38" i="4"/>
  <c r="PC39" i="4"/>
  <c r="PC44" i="4"/>
  <c r="PC55" i="4"/>
  <c r="PC33" i="4"/>
  <c r="PC65" i="4"/>
  <c r="PC56" i="4"/>
  <c r="PC67" i="4"/>
  <c r="PC75" i="4"/>
  <c r="PC25" i="4"/>
  <c r="PC35" i="4"/>
  <c r="PC49" i="4"/>
  <c r="PC50" i="4"/>
  <c r="PC58" i="4"/>
  <c r="PC61" i="4"/>
  <c r="PC40" i="4"/>
  <c r="PC43" i="4"/>
  <c r="PC48" i="4"/>
  <c r="PC62" i="4"/>
  <c r="PC70" i="4"/>
  <c r="PC45" i="4"/>
  <c r="PC53" i="4"/>
  <c r="PC63" i="4"/>
  <c r="PC71" i="4"/>
  <c r="PC79" i="4"/>
  <c r="PC51" i="4"/>
  <c r="PC60" i="4"/>
  <c r="PC77" i="4"/>
  <c r="PC78" i="4"/>
  <c r="PC80" i="4"/>
  <c r="PC64" i="4"/>
  <c r="PC68" i="4"/>
  <c r="PC66" i="4"/>
  <c r="PC73" i="4"/>
  <c r="PC83" i="4"/>
  <c r="PC91" i="4"/>
  <c r="PC99" i="4"/>
  <c r="PC84" i="4"/>
  <c r="PC69" i="4"/>
  <c r="PC85" i="4"/>
  <c r="PC93" i="4"/>
  <c r="PC59" i="4"/>
  <c r="PC72" i="4"/>
  <c r="PC74" i="4"/>
  <c r="PC86" i="4"/>
  <c r="PC94" i="4"/>
  <c r="PC102" i="4"/>
  <c r="PC97" i="4"/>
  <c r="PC76" i="4"/>
  <c r="PC87" i="4"/>
  <c r="PC88" i="4"/>
  <c r="PC101" i="4"/>
  <c r="PC103" i="4"/>
  <c r="PC57" i="4"/>
  <c r="PC89" i="4"/>
  <c r="PC96" i="4"/>
  <c r="PC82" i="4"/>
  <c r="PC107" i="4"/>
  <c r="PC104" i="4"/>
  <c r="PC105" i="4"/>
  <c r="PC106" i="4"/>
  <c r="PC108" i="4"/>
  <c r="PC81" i="4"/>
  <c r="PC109" i="4"/>
  <c r="PC98" i="4"/>
  <c r="PC111" i="4"/>
  <c r="PC95" i="4"/>
  <c r="PC90" i="4"/>
  <c r="PC110" i="4"/>
  <c r="PC92" i="4"/>
  <c r="PC100" i="4"/>
  <c r="HD3" i="4"/>
  <c r="HD4" i="4"/>
  <c r="HD5" i="4"/>
  <c r="HD6" i="4"/>
  <c r="HD7" i="4"/>
  <c r="HD8" i="4"/>
  <c r="HD9" i="4"/>
  <c r="HD10" i="4"/>
  <c r="HD11" i="4"/>
  <c r="HD12" i="4"/>
  <c r="HD13" i="4"/>
  <c r="HD14" i="4"/>
  <c r="HD15" i="4"/>
  <c r="HD16" i="4"/>
  <c r="HD17" i="4"/>
  <c r="HD18" i="4"/>
  <c r="HD20" i="4"/>
  <c r="HD19" i="4"/>
  <c r="HD22" i="4"/>
  <c r="HD23" i="4"/>
  <c r="HD30" i="4"/>
  <c r="HD21" i="4"/>
  <c r="HD24" i="4"/>
  <c r="HD25" i="4"/>
  <c r="HD26" i="4"/>
  <c r="HD27" i="4"/>
  <c r="HD51" i="4"/>
  <c r="HD28" i="4"/>
  <c r="HD34" i="4"/>
  <c r="HD38" i="4"/>
  <c r="HD35" i="4"/>
  <c r="HD39" i="4"/>
  <c r="HD42" i="4"/>
  <c r="HD44" i="4"/>
  <c r="HD48" i="4"/>
  <c r="HD53" i="4"/>
  <c r="HD54" i="4"/>
  <c r="HD55" i="4"/>
  <c r="HD56" i="4"/>
  <c r="HD57" i="4"/>
  <c r="HD58" i="4"/>
  <c r="HD59" i="4"/>
  <c r="HD60" i="4"/>
  <c r="HD61" i="4"/>
  <c r="HD50" i="4"/>
  <c r="HD32" i="4"/>
  <c r="HD36" i="4"/>
  <c r="HD31" i="4"/>
  <c r="HD52" i="4"/>
  <c r="HD41" i="4"/>
  <c r="HD45" i="4"/>
  <c r="HD40" i="4"/>
  <c r="HD43" i="4"/>
  <c r="HD62" i="4"/>
  <c r="HD64" i="4"/>
  <c r="HD66" i="4"/>
  <c r="HD69" i="4"/>
  <c r="HD70" i="4"/>
  <c r="HD71" i="4"/>
  <c r="HD72" i="4"/>
  <c r="HD73" i="4"/>
  <c r="HD74" i="4"/>
  <c r="HD75" i="4"/>
  <c r="HD76" i="4"/>
  <c r="HD77" i="4"/>
  <c r="HD78" i="4"/>
  <c r="HD46" i="4"/>
  <c r="HD33" i="4"/>
  <c r="HD29" i="4"/>
  <c r="HD37" i="4"/>
  <c r="HD49" i="4"/>
  <c r="HD63" i="4"/>
  <c r="HD65" i="4"/>
  <c r="HD67" i="4"/>
  <c r="HD47" i="4"/>
  <c r="HD83" i="4"/>
  <c r="HD84" i="4"/>
  <c r="HD68" i="4"/>
  <c r="HD79" i="4"/>
  <c r="HD80" i="4"/>
  <c r="HD81" i="4"/>
  <c r="HD86" i="4"/>
  <c r="HD102" i="4"/>
  <c r="HD90" i="4"/>
  <c r="HD91" i="4"/>
  <c r="HD92" i="4"/>
  <c r="HD93" i="4"/>
  <c r="HD94" i="4"/>
  <c r="HD95" i="4"/>
  <c r="HD96" i="4"/>
  <c r="HD97" i="4"/>
  <c r="HD98" i="4"/>
  <c r="HD100" i="4"/>
  <c r="HD101" i="4"/>
  <c r="HD103" i="4"/>
  <c r="HD104" i="4"/>
  <c r="HD106" i="4"/>
  <c r="HD89" i="4"/>
  <c r="HD85" i="4"/>
  <c r="HD87" i="4"/>
  <c r="HD82" i="4"/>
  <c r="HD88" i="4"/>
  <c r="HD99" i="4"/>
  <c r="HD105" i="4"/>
  <c r="HD107" i="4"/>
  <c r="HD110" i="4"/>
  <c r="HD111" i="4"/>
  <c r="HD109" i="4"/>
  <c r="HD108" i="4"/>
  <c r="HB2" i="4"/>
  <c r="HB6" i="4"/>
  <c r="HB10" i="4"/>
  <c r="HB12" i="4"/>
  <c r="HB14" i="4"/>
  <c r="HB16" i="4"/>
  <c r="HB18" i="4"/>
  <c r="HB19" i="4"/>
  <c r="HB5" i="4"/>
  <c r="HB9" i="4"/>
  <c r="HB4" i="4"/>
  <c r="HB8" i="4"/>
  <c r="HB13" i="4"/>
  <c r="HB15" i="4"/>
  <c r="HB17" i="4"/>
  <c r="HB3" i="4"/>
  <c r="HB7" i="4"/>
  <c r="HB11" i="4"/>
  <c r="HB20" i="4"/>
  <c r="HB21" i="4"/>
  <c r="HB22" i="4"/>
  <c r="HB23" i="4"/>
  <c r="HB24" i="4"/>
  <c r="HB25" i="4"/>
  <c r="HB26" i="4"/>
  <c r="HB27" i="4"/>
  <c r="HB29" i="4"/>
  <c r="HB28" i="4"/>
  <c r="HB30" i="4"/>
  <c r="HB34" i="4"/>
  <c r="HB38" i="4"/>
  <c r="HB45" i="4"/>
  <c r="HB49" i="4"/>
  <c r="HB35" i="4"/>
  <c r="HB39" i="4"/>
  <c r="HB42" i="4"/>
  <c r="HB44" i="4"/>
  <c r="HB48" i="4"/>
  <c r="HB50" i="4"/>
  <c r="HB32" i="4"/>
  <c r="HB36" i="4"/>
  <c r="HB40" i="4"/>
  <c r="HB43" i="4"/>
  <c r="HB47" i="4"/>
  <c r="HB31" i="4"/>
  <c r="HB33" i="4"/>
  <c r="HB37" i="4"/>
  <c r="HB41" i="4"/>
  <c r="HB46" i="4"/>
  <c r="HB58" i="4"/>
  <c r="HB62" i="4"/>
  <c r="HB64" i="4"/>
  <c r="HB66" i="4"/>
  <c r="HB68" i="4"/>
  <c r="HB69" i="4"/>
  <c r="HB70" i="4"/>
  <c r="HB71" i="4"/>
  <c r="HB72" i="4"/>
  <c r="HB73" i="4"/>
  <c r="HB74" i="4"/>
  <c r="HB75" i="4"/>
  <c r="HB76" i="4"/>
  <c r="HB77" i="4"/>
  <c r="HB78" i="4"/>
  <c r="HB79" i="4"/>
  <c r="HB80" i="4"/>
  <c r="HB81" i="4"/>
  <c r="HB82" i="4"/>
  <c r="HB83" i="4"/>
  <c r="HB54" i="4"/>
  <c r="HB55" i="4"/>
  <c r="HB57" i="4"/>
  <c r="HB61" i="4"/>
  <c r="HB56" i="4"/>
  <c r="HB60" i="4"/>
  <c r="HB63" i="4"/>
  <c r="HB65" i="4"/>
  <c r="HB67" i="4"/>
  <c r="HB52" i="4"/>
  <c r="HB53" i="4"/>
  <c r="HB59" i="4"/>
  <c r="HB51" i="4"/>
  <c r="HB85" i="4"/>
  <c r="HB86" i="4"/>
  <c r="HB87" i="4"/>
  <c r="HB88" i="4"/>
  <c r="HB89" i="4"/>
  <c r="HB84" i="4"/>
  <c r="HB90" i="4"/>
  <c r="HB91" i="4"/>
  <c r="HB92" i="4"/>
  <c r="HB93" i="4"/>
  <c r="HB94" i="4"/>
  <c r="HB95" i="4"/>
  <c r="HB96" i="4"/>
  <c r="HB97" i="4"/>
  <c r="HB98" i="4"/>
  <c r="HB99" i="4"/>
  <c r="HB100" i="4"/>
  <c r="HB101" i="4"/>
  <c r="HB102" i="4"/>
  <c r="HB103" i="4"/>
  <c r="HB104" i="4"/>
  <c r="HB105" i="4"/>
  <c r="HB106" i="4"/>
  <c r="HB107" i="4"/>
  <c r="HB108" i="4"/>
  <c r="HB109" i="4"/>
  <c r="HB110" i="4"/>
  <c r="HB111" i="4"/>
  <c r="G27" i="104"/>
  <c r="PB9" i="4"/>
  <c r="PB17" i="4"/>
  <c r="PB3" i="4"/>
  <c r="PB4" i="4"/>
  <c r="PB12" i="4"/>
  <c r="PB5" i="4"/>
  <c r="PB13" i="4"/>
  <c r="PB6" i="4"/>
  <c r="PB14" i="4"/>
  <c r="PB7" i="4"/>
  <c r="PB15" i="4"/>
  <c r="PB8" i="4"/>
  <c r="PB25" i="4"/>
  <c r="PB33" i="4"/>
  <c r="PB11" i="4"/>
  <c r="PB18" i="4"/>
  <c r="PB20" i="4"/>
  <c r="PB28" i="4"/>
  <c r="PB21" i="4"/>
  <c r="PB29" i="4"/>
  <c r="PB30" i="4"/>
  <c r="PB37" i="4"/>
  <c r="PB19" i="4"/>
  <c r="PB40" i="4"/>
  <c r="PB48" i="4"/>
  <c r="PB22" i="4"/>
  <c r="PB26" i="4"/>
  <c r="PB32" i="4"/>
  <c r="PB42" i="4"/>
  <c r="PB10" i="4"/>
  <c r="PB16" i="4"/>
  <c r="PB43" i="4"/>
  <c r="PB24" i="4"/>
  <c r="PB31" i="4"/>
  <c r="PB41" i="4"/>
  <c r="PB49" i="4"/>
  <c r="PB53" i="4"/>
  <c r="PB23" i="4"/>
  <c r="PB38" i="4"/>
  <c r="PB39" i="4"/>
  <c r="PB44" i="4"/>
  <c r="PB55" i="4"/>
  <c r="PB56" i="4"/>
  <c r="PB27" i="4"/>
  <c r="PB47" i="4"/>
  <c r="PB57" i="4"/>
  <c r="PB59" i="4"/>
  <c r="PB60" i="4"/>
  <c r="PB68" i="4"/>
  <c r="PB76" i="4"/>
  <c r="PB35" i="4"/>
  <c r="PB50" i="4"/>
  <c r="PB52" i="4"/>
  <c r="PB36" i="4"/>
  <c r="PB62" i="4"/>
  <c r="PB34" i="4"/>
  <c r="PB45" i="4"/>
  <c r="PB63" i="4"/>
  <c r="PB71" i="4"/>
  <c r="PB51" i="4"/>
  <c r="PB64" i="4"/>
  <c r="PB72" i="4"/>
  <c r="PB70" i="4"/>
  <c r="PB81" i="4"/>
  <c r="PB66" i="4"/>
  <c r="PB75" i="4"/>
  <c r="PB61" i="4"/>
  <c r="PB73" i="4"/>
  <c r="PB46" i="4"/>
  <c r="PB84" i="4"/>
  <c r="PB92" i="4"/>
  <c r="PB100" i="4"/>
  <c r="PB65" i="4"/>
  <c r="PB69" i="4"/>
  <c r="PB85" i="4"/>
  <c r="PB67" i="4"/>
  <c r="PB74" i="4"/>
  <c r="PB86" i="4"/>
  <c r="PB94" i="4"/>
  <c r="PB54" i="4"/>
  <c r="PB87" i="4"/>
  <c r="PB95" i="4"/>
  <c r="PB103" i="4"/>
  <c r="PB80" i="4"/>
  <c r="PB83" i="4"/>
  <c r="PB88" i="4"/>
  <c r="PB101" i="4"/>
  <c r="PB77" i="4"/>
  <c r="PB93" i="4"/>
  <c r="PB102" i="4"/>
  <c r="PB104" i="4"/>
  <c r="PB82" i="4"/>
  <c r="PB89" i="4"/>
  <c r="PB105" i="4"/>
  <c r="PB106" i="4"/>
  <c r="PB108" i="4"/>
  <c r="PB109" i="4"/>
  <c r="PB110" i="4"/>
  <c r="PB58" i="4"/>
  <c r="PB99" i="4"/>
  <c r="PB79" i="4"/>
  <c r="PB96" i="4"/>
  <c r="PB97" i="4"/>
  <c r="PB111" i="4"/>
  <c r="PB91" i="4"/>
  <c r="PB78" i="4"/>
  <c r="PB98" i="4"/>
  <c r="PB107" i="4"/>
  <c r="PB90" i="4"/>
  <c r="HA3" i="4"/>
  <c r="HA4" i="4"/>
  <c r="HA5" i="4"/>
  <c r="HA6" i="4"/>
  <c r="HA7" i="4"/>
  <c r="HA8" i="4"/>
  <c r="HA9" i="4"/>
  <c r="HA10" i="4"/>
  <c r="HA11" i="4"/>
  <c r="HA19" i="4"/>
  <c r="HA13" i="4"/>
  <c r="HA15" i="4"/>
  <c r="HA17" i="4"/>
  <c r="HA20" i="4"/>
  <c r="HA21" i="4"/>
  <c r="HA22" i="4"/>
  <c r="HA23" i="4"/>
  <c r="HA14" i="4"/>
  <c r="HA30" i="4"/>
  <c r="HA16" i="4"/>
  <c r="HA18" i="4"/>
  <c r="HA29" i="4"/>
  <c r="HA24" i="4"/>
  <c r="HA25" i="4"/>
  <c r="HA26" i="4"/>
  <c r="HA27" i="4"/>
  <c r="HA28" i="4"/>
  <c r="HA31" i="4"/>
  <c r="HA32" i="4"/>
  <c r="HA33" i="4"/>
  <c r="HA34" i="4"/>
  <c r="HA35" i="4"/>
  <c r="HA36" i="4"/>
  <c r="HA37" i="4"/>
  <c r="HA38" i="4"/>
  <c r="HA39" i="4"/>
  <c r="HA40" i="4"/>
  <c r="HA41" i="4"/>
  <c r="HA53" i="4"/>
  <c r="HA12" i="4"/>
  <c r="HA50" i="4"/>
  <c r="HA43" i="4"/>
  <c r="HA47" i="4"/>
  <c r="HA52" i="4"/>
  <c r="HA51" i="4"/>
  <c r="HA54" i="4"/>
  <c r="HA55" i="4"/>
  <c r="HA48" i="4"/>
  <c r="HA57" i="4"/>
  <c r="HA61" i="4"/>
  <c r="HA46" i="4"/>
  <c r="HA56" i="4"/>
  <c r="HA60" i="4"/>
  <c r="HA63" i="4"/>
  <c r="HA65" i="4"/>
  <c r="HA67" i="4"/>
  <c r="HA44" i="4"/>
  <c r="HA49" i="4"/>
  <c r="HA59" i="4"/>
  <c r="HA66" i="4"/>
  <c r="HA72" i="4"/>
  <c r="HA76" i="4"/>
  <c r="HA84" i="4"/>
  <c r="HA45" i="4"/>
  <c r="HA69" i="4"/>
  <c r="HA73" i="4"/>
  <c r="HA77" i="4"/>
  <c r="HA79" i="4"/>
  <c r="HA80" i="4"/>
  <c r="HA81" i="4"/>
  <c r="HA68" i="4"/>
  <c r="HA82" i="4"/>
  <c r="HA70" i="4"/>
  <c r="HA74" i="4"/>
  <c r="HA78" i="4"/>
  <c r="HA42" i="4"/>
  <c r="HA62" i="4"/>
  <c r="HA71" i="4"/>
  <c r="HA75" i="4"/>
  <c r="HA85" i="4"/>
  <c r="HA86" i="4"/>
  <c r="HA87" i="4"/>
  <c r="HA58" i="4"/>
  <c r="HA64" i="4"/>
  <c r="HA89" i="4"/>
  <c r="HA88" i="4"/>
  <c r="HA83" i="4"/>
  <c r="HA90" i="4"/>
  <c r="HA91" i="4"/>
  <c r="HA92" i="4"/>
  <c r="HA93" i="4"/>
  <c r="HA94" i="4"/>
  <c r="HA95" i="4"/>
  <c r="HA96" i="4"/>
  <c r="HA98" i="4"/>
  <c r="HA100" i="4"/>
  <c r="HA102" i="4"/>
  <c r="HA104" i="4"/>
  <c r="HA108" i="4"/>
  <c r="HA110" i="4"/>
  <c r="HA109" i="4"/>
  <c r="HA97" i="4"/>
  <c r="HA99" i="4"/>
  <c r="HA101" i="4"/>
  <c r="HA103" i="4"/>
  <c r="HA105" i="4"/>
  <c r="HA107" i="4"/>
  <c r="HA106" i="4"/>
  <c r="HA111" i="4"/>
  <c r="PA10" i="4"/>
  <c r="PA18" i="4"/>
  <c r="PA3" i="4"/>
  <c r="PA4" i="4"/>
  <c r="PA5" i="4"/>
  <c r="PA13" i="4"/>
  <c r="PA6" i="4"/>
  <c r="PA14" i="4"/>
  <c r="PA7" i="4"/>
  <c r="PA15" i="4"/>
  <c r="PA8" i="4"/>
  <c r="PA16" i="4"/>
  <c r="PA17" i="4"/>
  <c r="PA26" i="4"/>
  <c r="PA11" i="4"/>
  <c r="PA21" i="4"/>
  <c r="PA29" i="4"/>
  <c r="PA12" i="4"/>
  <c r="PA22" i="4"/>
  <c r="PA30" i="4"/>
  <c r="PA9" i="4"/>
  <c r="PA27" i="4"/>
  <c r="PA33" i="4"/>
  <c r="PA34" i="4"/>
  <c r="PA28" i="4"/>
  <c r="PA38" i="4"/>
  <c r="PA25" i="4"/>
  <c r="PA41" i="4"/>
  <c r="PA49" i="4"/>
  <c r="PA43" i="4"/>
  <c r="PA20" i="4"/>
  <c r="PA23" i="4"/>
  <c r="PA44" i="4"/>
  <c r="PA46" i="4"/>
  <c r="PA48" i="4"/>
  <c r="PA54" i="4"/>
  <c r="PA37" i="4"/>
  <c r="PA35" i="4"/>
  <c r="PA36" i="4"/>
  <c r="PA42" i="4"/>
  <c r="PA57" i="4"/>
  <c r="PA47" i="4"/>
  <c r="PA24" i="4"/>
  <c r="PA50" i="4"/>
  <c r="PA52" i="4"/>
  <c r="PA58" i="4"/>
  <c r="PA61" i="4"/>
  <c r="PA69" i="4"/>
  <c r="PA77" i="4"/>
  <c r="PA19" i="4"/>
  <c r="PA39" i="4"/>
  <c r="PA40" i="4"/>
  <c r="PA45" i="4"/>
  <c r="PA55" i="4"/>
  <c r="PA63" i="4"/>
  <c r="PA51" i="4"/>
  <c r="PA53" i="4"/>
  <c r="PA64" i="4"/>
  <c r="PA72" i="4"/>
  <c r="PA31" i="4"/>
  <c r="PA65" i="4"/>
  <c r="PA73" i="4"/>
  <c r="PA56" i="4"/>
  <c r="PA66" i="4"/>
  <c r="PA68" i="4"/>
  <c r="PA75" i="4"/>
  <c r="PA82" i="4"/>
  <c r="PA71" i="4"/>
  <c r="PA85" i="4"/>
  <c r="PA93" i="4"/>
  <c r="PA101" i="4"/>
  <c r="PA62" i="4"/>
  <c r="PA67" i="4"/>
  <c r="PA74" i="4"/>
  <c r="PA86" i="4"/>
  <c r="PA59" i="4"/>
  <c r="PA87" i="4"/>
  <c r="PA95" i="4"/>
  <c r="PA32" i="4"/>
  <c r="PA76" i="4"/>
  <c r="PA78" i="4"/>
  <c r="PA79" i="4"/>
  <c r="PA80" i="4"/>
  <c r="PA88" i="4"/>
  <c r="PA96" i="4"/>
  <c r="PA102" i="4"/>
  <c r="PA103" i="4"/>
  <c r="PA104" i="4"/>
  <c r="PA70" i="4"/>
  <c r="PA81" i="4"/>
  <c r="PA84" i="4"/>
  <c r="PA98" i="4"/>
  <c r="PA100" i="4"/>
  <c r="PA105" i="4"/>
  <c r="PA94" i="4"/>
  <c r="PA90" i="4"/>
  <c r="PA92" i="4"/>
  <c r="PA60" i="4"/>
  <c r="PA109" i="4"/>
  <c r="PA83" i="4"/>
  <c r="PA111" i="4"/>
  <c r="PA97" i="4"/>
  <c r="PA91" i="4"/>
  <c r="PA99" i="4"/>
  <c r="PA106" i="4"/>
  <c r="PA107" i="4"/>
  <c r="PA89" i="4"/>
  <c r="PA110" i="4"/>
  <c r="PA108" i="4"/>
  <c r="G28" i="104"/>
  <c r="HC2" i="4"/>
  <c r="HC3" i="4"/>
  <c r="HC4" i="4"/>
  <c r="HC5" i="4"/>
  <c r="HC6" i="4"/>
  <c r="HC7" i="4"/>
  <c r="HC8" i="4"/>
  <c r="HC9" i="4"/>
  <c r="HC10" i="4"/>
  <c r="HC11" i="4"/>
  <c r="HC12" i="4"/>
  <c r="HC13" i="4"/>
  <c r="HC14" i="4"/>
  <c r="HC15" i="4"/>
  <c r="HC16" i="4"/>
  <c r="HC17" i="4"/>
  <c r="HC18" i="4"/>
  <c r="HC19" i="4"/>
  <c r="HC22" i="4"/>
  <c r="HC23" i="4"/>
  <c r="HC30" i="4"/>
  <c r="HC21" i="4"/>
  <c r="HC29" i="4"/>
  <c r="HC20" i="4"/>
  <c r="HC24" i="4"/>
  <c r="HC25" i="4"/>
  <c r="HC26" i="4"/>
  <c r="HC27" i="4"/>
  <c r="HC28" i="4"/>
  <c r="HC31" i="4"/>
  <c r="HC32" i="4"/>
  <c r="HC33" i="4"/>
  <c r="HC34" i="4"/>
  <c r="HC35" i="4"/>
  <c r="HC36" i="4"/>
  <c r="HC37" i="4"/>
  <c r="HC38" i="4"/>
  <c r="HC39" i="4"/>
  <c r="HC40" i="4"/>
  <c r="HC41" i="4"/>
  <c r="HC42" i="4"/>
  <c r="HC43" i="4"/>
  <c r="HC44" i="4"/>
  <c r="HC45" i="4"/>
  <c r="HC46" i="4"/>
  <c r="HC47" i="4"/>
  <c r="HC48" i="4"/>
  <c r="HC49" i="4"/>
  <c r="HC50" i="4"/>
  <c r="HC51" i="4"/>
  <c r="HC52" i="4"/>
  <c r="HC53" i="4"/>
  <c r="HC54" i="4"/>
  <c r="HC55" i="4"/>
  <c r="HC56" i="4"/>
  <c r="HC57" i="4"/>
  <c r="HC58" i="4"/>
  <c r="HC59" i="4"/>
  <c r="HC60" i="4"/>
  <c r="HC61" i="4"/>
  <c r="HC62" i="4"/>
  <c r="HC63" i="4"/>
  <c r="HC64" i="4"/>
  <c r="HC65" i="4"/>
  <c r="HC66" i="4"/>
  <c r="HC67" i="4"/>
  <c r="HC68" i="4"/>
  <c r="HC85" i="4"/>
  <c r="HC86" i="4"/>
  <c r="HC72" i="4"/>
  <c r="HC76" i="4"/>
  <c r="HC83" i="4"/>
  <c r="HC84" i="4"/>
  <c r="HC69" i="4"/>
  <c r="HC73" i="4"/>
  <c r="HC77" i="4"/>
  <c r="HC79" i="4"/>
  <c r="HC80" i="4"/>
  <c r="HC81" i="4"/>
  <c r="HC82" i="4"/>
  <c r="HC70" i="4"/>
  <c r="HC74" i="4"/>
  <c r="HC71" i="4"/>
  <c r="HC75" i="4"/>
  <c r="HC90" i="4"/>
  <c r="HC91" i="4"/>
  <c r="HC92" i="4"/>
  <c r="HC93" i="4"/>
  <c r="HC94" i="4"/>
  <c r="HC95" i="4"/>
  <c r="HC96" i="4"/>
  <c r="HC97" i="4"/>
  <c r="HC98" i="4"/>
  <c r="HC99" i="4"/>
  <c r="HC100" i="4"/>
  <c r="HC101" i="4"/>
  <c r="HC102" i="4"/>
  <c r="HC103" i="4"/>
  <c r="HC104" i="4"/>
  <c r="HC105" i="4"/>
  <c r="HC106" i="4"/>
  <c r="HC107" i="4"/>
  <c r="HC108" i="4"/>
  <c r="HC109" i="4"/>
  <c r="HC110" i="4"/>
  <c r="HC111" i="4"/>
  <c r="HC89" i="4"/>
  <c r="HC87" i="4"/>
  <c r="HC88" i="4"/>
  <c r="HC78" i="4"/>
  <c r="PD7" i="4"/>
  <c r="PD15" i="4"/>
  <c r="PD8" i="4"/>
  <c r="PD9" i="4"/>
  <c r="PD10" i="4"/>
  <c r="PD18" i="4"/>
  <c r="PD3" i="4"/>
  <c r="PD11" i="4"/>
  <c r="PD19" i="4"/>
  <c r="PD4" i="4"/>
  <c r="PD12" i="4"/>
  <c r="PD5" i="4"/>
  <c r="PD13" i="4"/>
  <c r="PD23" i="4"/>
  <c r="PD31" i="4"/>
  <c r="PD6" i="4"/>
  <c r="PD26" i="4"/>
  <c r="PD27" i="4"/>
  <c r="PD16" i="4"/>
  <c r="PD20" i="4"/>
  <c r="PD29" i="4"/>
  <c r="PD39" i="4"/>
  <c r="PD25" i="4"/>
  <c r="PD32" i="4"/>
  <c r="PD34" i="4"/>
  <c r="PD14" i="4"/>
  <c r="PD21" i="4"/>
  <c r="PD28" i="4"/>
  <c r="PD35" i="4"/>
  <c r="PD46" i="4"/>
  <c r="PD40" i="4"/>
  <c r="PD22" i="4"/>
  <c r="PD41" i="4"/>
  <c r="PD49" i="4"/>
  <c r="PD45" i="4"/>
  <c r="PD51" i="4"/>
  <c r="PD59" i="4"/>
  <c r="PD17" i="4"/>
  <c r="PD24" i="4"/>
  <c r="PD30" i="4"/>
  <c r="PD48" i="4"/>
  <c r="PD53" i="4"/>
  <c r="PD54" i="4"/>
  <c r="PD64" i="4"/>
  <c r="PD33" i="4"/>
  <c r="PD44" i="4"/>
  <c r="PD66" i="4"/>
  <c r="PD74" i="4"/>
  <c r="PD42" i="4"/>
  <c r="PD47" i="4"/>
  <c r="PD37" i="4"/>
  <c r="PD52" i="4"/>
  <c r="PD57" i="4"/>
  <c r="PD60" i="4"/>
  <c r="PD36" i="4"/>
  <c r="PD38" i="4"/>
  <c r="PD50" i="4"/>
  <c r="PD55" i="4"/>
  <c r="PD58" i="4"/>
  <c r="PD61" i="4"/>
  <c r="PD69" i="4"/>
  <c r="PD43" i="4"/>
  <c r="PD62" i="4"/>
  <c r="PD70" i="4"/>
  <c r="PD78" i="4"/>
  <c r="PD76" i="4"/>
  <c r="PD79" i="4"/>
  <c r="PD56" i="4"/>
  <c r="PD77" i="4"/>
  <c r="PD80" i="4"/>
  <c r="PD68" i="4"/>
  <c r="PD75" i="4"/>
  <c r="PD71" i="4"/>
  <c r="PD82" i="4"/>
  <c r="PD90" i="4"/>
  <c r="PD98" i="4"/>
  <c r="PD73" i="4"/>
  <c r="PD83" i="4"/>
  <c r="PD65" i="4"/>
  <c r="PD84" i="4"/>
  <c r="PD92" i="4"/>
  <c r="PD100" i="4"/>
  <c r="PD67" i="4"/>
  <c r="PD85" i="4"/>
  <c r="PD93" i="4"/>
  <c r="PD101" i="4"/>
  <c r="PD95" i="4"/>
  <c r="PD99" i="4"/>
  <c r="PD72" i="4"/>
  <c r="PD97" i="4"/>
  <c r="PD63" i="4"/>
  <c r="PD91" i="4"/>
  <c r="PD89" i="4"/>
  <c r="PD94" i="4"/>
  <c r="PD96" i="4"/>
  <c r="PD106" i="4"/>
  <c r="PD88" i="4"/>
  <c r="PD107" i="4"/>
  <c r="PD87" i="4"/>
  <c r="PD103" i="4"/>
  <c r="PD104" i="4"/>
  <c r="PD105" i="4"/>
  <c r="PD108" i="4"/>
  <c r="PD110" i="4"/>
  <c r="PD111" i="4"/>
  <c r="PD109" i="4"/>
  <c r="PD86" i="4"/>
  <c r="PD81" i="4"/>
  <c r="PD102" i="4"/>
  <c r="H40" i="104"/>
  <c r="JH4343" i="4"/>
  <c r="H39" i="104"/>
  <c r="JI4343" i="4"/>
  <c r="K42" i="104"/>
  <c r="HD2" i="4"/>
  <c r="K40" i="104"/>
  <c r="PB2" i="4"/>
  <c r="K41" i="104"/>
  <c r="PD2" i="4"/>
  <c r="K39" i="104"/>
  <c r="PC2" i="4"/>
  <c r="HA2" i="4"/>
  <c r="K38" i="104"/>
  <c r="PA2" i="4"/>
  <c r="K27" i="104"/>
  <c r="K28" i="104"/>
  <c r="G39" i="104"/>
  <c r="G42" i="104"/>
  <c r="J29" i="104"/>
  <c r="G41" i="104"/>
  <c r="G40" i="104"/>
  <c r="G35" i="104"/>
  <c r="G34" i="104"/>
  <c r="G38" i="104"/>
  <c r="G29" i="104"/>
  <c r="IK4343" i="4"/>
  <c r="GE4339" i="4"/>
  <c r="MG4343" i="4"/>
  <c r="JF4343" i="4"/>
  <c r="K42" i="95"/>
  <c r="M28" i="95"/>
  <c r="M27" i="95"/>
  <c r="L28" i="95"/>
  <c r="KT4339" i="4"/>
  <c r="JK4343" i="4"/>
  <c r="K27" i="95"/>
  <c r="N28" i="95"/>
  <c r="L27" i="95"/>
  <c r="JE4343" i="4"/>
  <c r="HB4344" i="4"/>
  <c r="N27" i="95"/>
  <c r="K28" i="95"/>
  <c r="KU4339" i="4"/>
  <c r="HC4344" i="4"/>
  <c r="HC4338" i="4"/>
  <c r="HC4339" i="4"/>
  <c r="HC4343" i="4"/>
  <c r="N42" i="95"/>
  <c r="JJ4343" i="4"/>
  <c r="KW4339" i="4"/>
  <c r="KQ4339" i="4"/>
  <c r="JD4343" i="4"/>
  <c r="KS4339" i="4"/>
  <c r="M38" i="95"/>
  <c r="JG4343" i="4"/>
  <c r="KX4339" i="4"/>
  <c r="L39" i="95"/>
  <c r="N38" i="95"/>
  <c r="K36" i="95"/>
  <c r="GY4339" i="4"/>
  <c r="JB4343" i="4"/>
  <c r="JA4343" i="4"/>
  <c r="N39" i="95"/>
  <c r="ND4341" i="4"/>
  <c r="OV4343" i="4"/>
  <c r="OV4341" i="4"/>
  <c r="OV4342" i="4"/>
  <c r="OV4338" i="4"/>
  <c r="OU4338" i="4"/>
  <c r="O36" i="95"/>
  <c r="OY4338" i="4"/>
  <c r="OY4341" i="4"/>
  <c r="MW4342" i="4"/>
  <c r="MW4343" i="4"/>
  <c r="MW4341" i="4"/>
  <c r="PC4338" i="4"/>
  <c r="PC4341" i="4"/>
  <c r="O29" i="95"/>
  <c r="OK4338" i="4"/>
  <c r="OJ4338" i="4"/>
  <c r="OK4343" i="4"/>
  <c r="GX4339" i="4"/>
  <c r="GW4339" i="4"/>
  <c r="GX4343" i="4"/>
  <c r="GW4343" i="4"/>
  <c r="GX4344" i="4"/>
  <c r="GW4344" i="4"/>
  <c r="GX4338" i="4"/>
  <c r="GW4338" i="4"/>
  <c r="GV4343" i="4"/>
  <c r="GV4344" i="4"/>
  <c r="GV4338" i="4"/>
  <c r="GU4338" i="4"/>
  <c r="GU4339" i="4"/>
  <c r="GU4343" i="4"/>
  <c r="GU4344" i="4"/>
  <c r="GV4339" i="4"/>
  <c r="K29" i="95"/>
  <c r="GE4338" i="4"/>
  <c r="GF4344" i="4"/>
  <c r="GF4339" i="4"/>
  <c r="GF4343" i="4"/>
  <c r="GF4338" i="4"/>
  <c r="N36" i="95"/>
  <c r="MZ4341" i="4"/>
  <c r="MY4341" i="4"/>
  <c r="MY4342" i="4"/>
  <c r="MY4343" i="4"/>
  <c r="L29" i="95"/>
  <c r="IL4343" i="4"/>
  <c r="M29" i="95"/>
  <c r="KF4339" i="4"/>
  <c r="OX4341" i="4"/>
  <c r="OX4342" i="4"/>
  <c r="OX4343" i="4"/>
  <c r="OX4338" i="4"/>
  <c r="OW4338" i="4"/>
  <c r="K39" i="95"/>
  <c r="HB4343" i="4"/>
  <c r="HB4338" i="4"/>
  <c r="HB4339" i="4"/>
  <c r="PB4342" i="4"/>
  <c r="PB4343" i="4"/>
  <c r="PB4341" i="4"/>
  <c r="PB4338" i="4"/>
  <c r="NC4343" i="4"/>
  <c r="NC4341" i="4"/>
  <c r="NC4342" i="4"/>
  <c r="OZ4342" i="4"/>
  <c r="OZ4343" i="4"/>
  <c r="OZ4341" i="4"/>
  <c r="OZ4338" i="4"/>
  <c r="NA4342" i="4"/>
  <c r="NA4343" i="4"/>
  <c r="NA4341" i="4"/>
  <c r="GZ4338" i="4"/>
  <c r="GZ4339" i="4"/>
  <c r="GZ4343" i="4"/>
  <c r="K41" i="95"/>
  <c r="L37" i="95"/>
  <c r="N41" i="95"/>
  <c r="MF4343" i="4"/>
  <c r="N29" i="95"/>
  <c r="L42" i="95"/>
  <c r="O34" i="95"/>
  <c r="JC4343" i="4"/>
  <c r="L35" i="95"/>
  <c r="N34" i="95"/>
  <c r="L38" i="95"/>
  <c r="M41" i="95"/>
  <c r="L40" i="95"/>
  <c r="O37" i="95"/>
  <c r="O39" i="95"/>
  <c r="O28" i="95"/>
  <c r="M36" i="95"/>
  <c r="L41" i="95"/>
  <c r="L36" i="95"/>
  <c r="K35" i="95"/>
  <c r="K34" i="95"/>
  <c r="K38" i="95"/>
  <c r="K40" i="95"/>
  <c r="N35" i="95"/>
  <c r="M39" i="95"/>
  <c r="O38" i="95"/>
  <c r="O40" i="95"/>
  <c r="O27" i="95"/>
  <c r="K37" i="95"/>
  <c r="KR4339" i="4"/>
  <c r="M35" i="95"/>
  <c r="PE4343" i="4"/>
  <c r="O42" i="95"/>
  <c r="N40" i="95"/>
  <c r="KP4339" i="4"/>
  <c r="M34" i="95"/>
  <c r="M42" i="95"/>
  <c r="L34" i="95"/>
  <c r="N37" i="95"/>
  <c r="M37" i="95"/>
  <c r="O35" i="95"/>
  <c r="O41" i="95"/>
  <c r="M40" i="95"/>
  <c r="HE4346" i="4"/>
  <c r="HE4344" i="4"/>
  <c r="HE4343" i="4"/>
  <c r="GY4338" i="4"/>
  <c r="GY4343" i="4"/>
  <c r="ND4343" i="4"/>
  <c r="ND4342" i="4"/>
  <c r="OY4342" i="4"/>
  <c r="OY4343" i="4"/>
  <c r="MZ4343" i="4"/>
  <c r="MZ4342" i="4"/>
  <c r="PC4343" i="4"/>
  <c r="PC4342" i="4"/>
  <c r="MV4342" i="4"/>
  <c r="MV4341" i="4"/>
  <c r="MV4343" i="4"/>
  <c r="MX4342" i="4"/>
  <c r="MX4343" i="4"/>
  <c r="MX4341" i="4"/>
  <c r="KE4339" i="4"/>
  <c r="OU4343" i="4"/>
  <c r="OU4342" i="4"/>
  <c r="OU4341" i="4"/>
  <c r="OW4343" i="4"/>
  <c r="OW4341" i="4"/>
  <c r="OW4342" i="4"/>
  <c r="OJ4343" i="4"/>
  <c r="GE4343" i="4"/>
  <c r="GE4344" i="4"/>
  <c r="NF4346" i="4"/>
  <c r="NF4343" i="4"/>
  <c r="QQ3" i="4"/>
  <c r="QQ10" i="4"/>
  <c r="QQ9" i="4"/>
  <c r="QQ4" i="4"/>
  <c r="QQ5" i="4"/>
  <c r="QQ6" i="4"/>
  <c r="QQ7" i="4"/>
  <c r="NI4342" i="4" l="1"/>
  <c r="NJ4342" i="4"/>
  <c r="NK4342" i="4"/>
  <c r="NM4342" i="4"/>
  <c r="NL4342" i="4"/>
  <c r="LE4339" i="4"/>
  <c r="J91" i="95" s="1"/>
  <c r="LF4339" i="4"/>
  <c r="K91" i="95" s="1"/>
  <c r="LD4339" i="4"/>
  <c r="I91" i="95" s="1"/>
  <c r="LC4339" i="4"/>
  <c r="H91" i="95" s="1"/>
  <c r="LG4339" i="4"/>
  <c r="L91" i="95" s="1"/>
  <c r="NJ4341" i="4"/>
  <c r="NI4341" i="4"/>
  <c r="NL4341" i="4"/>
  <c r="NK4341" i="4"/>
  <c r="NM4341" i="4"/>
  <c r="QT9" i="4"/>
  <c r="QU9" i="4"/>
  <c r="QV9" i="4"/>
  <c r="QR9" i="4"/>
  <c r="QS9" i="4"/>
  <c r="QS10" i="4"/>
  <c r="QT10" i="4"/>
  <c r="QR10" i="4"/>
  <c r="QU10" i="4"/>
  <c r="QV10" i="4"/>
  <c r="QR7" i="4"/>
  <c r="QS7" i="4"/>
  <c r="H23" i="104" s="1"/>
  <c r="QV7" i="4"/>
  <c r="K23" i="104" s="1"/>
  <c r="QT7" i="4"/>
  <c r="I23" i="104" s="1"/>
  <c r="QU7" i="4"/>
  <c r="J23" i="104" s="1"/>
  <c r="QR6" i="4"/>
  <c r="QT6" i="4"/>
  <c r="I22" i="104" s="1"/>
  <c r="QS6" i="4"/>
  <c r="H22" i="104" s="1"/>
  <c r="QV6" i="4"/>
  <c r="K22" i="104" s="1"/>
  <c r="QU6" i="4"/>
  <c r="J22" i="104" s="1"/>
  <c r="QR5" i="4"/>
  <c r="QS5" i="4"/>
  <c r="H21" i="104" s="1"/>
  <c r="QT5" i="4"/>
  <c r="I21" i="104" s="1"/>
  <c r="QV5" i="4"/>
  <c r="K21" i="104" s="1"/>
  <c r="QU5" i="4"/>
  <c r="J21" i="104" s="1"/>
  <c r="QR4" i="4"/>
  <c r="QS4" i="4"/>
  <c r="H20" i="104" s="1"/>
  <c r="QV4" i="4"/>
  <c r="K20" i="104" s="1"/>
  <c r="QU4" i="4"/>
  <c r="J20" i="104" s="1"/>
  <c r="QT4" i="4"/>
  <c r="I20" i="104" s="1"/>
  <c r="QR3" i="4"/>
  <c r="QV3" i="4"/>
  <c r="K19" i="104" s="1"/>
  <c r="QT3" i="4"/>
  <c r="I19" i="104" s="1"/>
  <c r="QU3" i="4"/>
  <c r="J19" i="104" s="1"/>
  <c r="QS3" i="4"/>
  <c r="H19" i="104" s="1"/>
  <c r="E127" i="72"/>
  <c r="E128" i="72" s="1"/>
  <c r="E129" i="72" s="1"/>
  <c r="E130" i="72" s="1"/>
  <c r="E131" i="72" s="1"/>
  <c r="E132" i="72" s="1"/>
  <c r="E133" i="72" s="1"/>
  <c r="E134" i="72" s="1"/>
  <c r="E135" i="72" s="1"/>
  <c r="E136" i="72" s="1"/>
  <c r="E116" i="72"/>
  <c r="E117" i="72" s="1"/>
  <c r="E118" i="72" s="1"/>
  <c r="E119" i="72" s="1"/>
  <c r="E120" i="72" s="1"/>
  <c r="E121" i="72" s="1"/>
  <c r="E122" i="72" s="1"/>
  <c r="E123" i="72" s="1"/>
  <c r="E124" i="72" s="1"/>
  <c r="E125" i="72" s="1"/>
  <c r="E105" i="72"/>
  <c r="E106" i="72" s="1"/>
  <c r="E107" i="72" s="1"/>
  <c r="E108" i="72" s="1"/>
  <c r="E109" i="72" s="1"/>
  <c r="E110" i="72" s="1"/>
  <c r="E111" i="72" s="1"/>
  <c r="E112" i="72" s="1"/>
  <c r="E113" i="72" s="1"/>
  <c r="E114" i="72" s="1"/>
  <c r="E94" i="72"/>
  <c r="E95" i="72" s="1"/>
  <c r="E96" i="72" s="1"/>
  <c r="E97" i="72" s="1"/>
  <c r="E98" i="72" s="1"/>
  <c r="E99" i="72" s="1"/>
  <c r="E100" i="72" s="1"/>
  <c r="E101" i="72" s="1"/>
  <c r="E102" i="72" s="1"/>
  <c r="E103" i="72" s="1"/>
  <c r="E83" i="72"/>
  <c r="E84" i="72" s="1"/>
  <c r="E85" i="72" s="1"/>
  <c r="E86" i="72" s="1"/>
  <c r="E87" i="72" s="1"/>
  <c r="E88" i="72" s="1"/>
  <c r="E89" i="72" s="1"/>
  <c r="E90" i="72" s="1"/>
  <c r="E91" i="72" s="1"/>
  <c r="E92" i="72" s="1"/>
  <c r="E72" i="72"/>
  <c r="E73" i="72" s="1"/>
  <c r="E74" i="72" s="1"/>
  <c r="E75" i="72" s="1"/>
  <c r="E76" i="72" s="1"/>
  <c r="E77" i="72" s="1"/>
  <c r="E78" i="72" s="1"/>
  <c r="E79" i="72" s="1"/>
  <c r="E80" i="72" s="1"/>
  <c r="E81" i="72" s="1"/>
  <c r="E61" i="72"/>
  <c r="E62" i="72" s="1"/>
  <c r="E63" i="72" s="1"/>
  <c r="E64" i="72" s="1"/>
  <c r="E65" i="72" s="1"/>
  <c r="E66" i="72" s="1"/>
  <c r="E67" i="72" s="1"/>
  <c r="E68" i="72" s="1"/>
  <c r="E69" i="72" s="1"/>
  <c r="E70" i="72" s="1"/>
  <c r="E50" i="72"/>
  <c r="E51" i="72" s="1"/>
  <c r="E52" i="72" s="1"/>
  <c r="E53" i="72" s="1"/>
  <c r="E54" i="72" s="1"/>
  <c r="E55" i="72" s="1"/>
  <c r="E56" i="72" s="1"/>
  <c r="E57" i="72" s="1"/>
  <c r="E58" i="72" s="1"/>
  <c r="E59" i="72" s="1"/>
  <c r="E39" i="72"/>
  <c r="E40" i="72" s="1"/>
  <c r="E41" i="72" s="1"/>
  <c r="E42" i="72" s="1"/>
  <c r="E43" i="72" s="1"/>
  <c r="E44" i="72" s="1"/>
  <c r="E45" i="72" s="1"/>
  <c r="E46" i="72" s="1"/>
  <c r="E47" i="72" s="1"/>
  <c r="E48" i="72" s="1"/>
  <c r="E28" i="72"/>
  <c r="E127" i="77"/>
  <c r="E128" i="77" s="1"/>
  <c r="E129" i="77" s="1"/>
  <c r="E130" i="77" s="1"/>
  <c r="E131" i="77" s="1"/>
  <c r="E132" i="77" s="1"/>
  <c r="E133" i="77" s="1"/>
  <c r="E134" i="77" s="1"/>
  <c r="E135" i="77" s="1"/>
  <c r="E136" i="77" s="1"/>
  <c r="E116" i="77"/>
  <c r="E117" i="77" s="1"/>
  <c r="E118" i="77" s="1"/>
  <c r="E119" i="77" s="1"/>
  <c r="E120" i="77" s="1"/>
  <c r="E121" i="77" s="1"/>
  <c r="E122" i="77" s="1"/>
  <c r="E123" i="77" s="1"/>
  <c r="E124" i="77" s="1"/>
  <c r="E125" i="77" s="1"/>
  <c r="E105" i="77"/>
  <c r="E106" i="77" s="1"/>
  <c r="E107" i="77" s="1"/>
  <c r="E108" i="77" s="1"/>
  <c r="E109" i="77" s="1"/>
  <c r="E110" i="77" s="1"/>
  <c r="E111" i="77" s="1"/>
  <c r="E112" i="77" s="1"/>
  <c r="E113" i="77" s="1"/>
  <c r="E114" i="77" s="1"/>
  <c r="E94" i="77"/>
  <c r="E95" i="77" s="1"/>
  <c r="E96" i="77" s="1"/>
  <c r="E97" i="77" s="1"/>
  <c r="E98" i="77" s="1"/>
  <c r="E99" i="77" s="1"/>
  <c r="E100" i="77" s="1"/>
  <c r="E101" i="77" s="1"/>
  <c r="E102" i="77" s="1"/>
  <c r="E103" i="77" s="1"/>
  <c r="E83" i="77"/>
  <c r="E84" i="77" s="1"/>
  <c r="E85" i="77" s="1"/>
  <c r="E86" i="77" s="1"/>
  <c r="E87" i="77" s="1"/>
  <c r="E88" i="77" s="1"/>
  <c r="E89" i="77" s="1"/>
  <c r="E90" i="77" s="1"/>
  <c r="E91" i="77" s="1"/>
  <c r="E92" i="77" s="1"/>
  <c r="E72" i="77"/>
  <c r="E73" i="77" s="1"/>
  <c r="E74" i="77" s="1"/>
  <c r="E75" i="77" s="1"/>
  <c r="E76" i="77" s="1"/>
  <c r="E77" i="77" s="1"/>
  <c r="E78" i="77" s="1"/>
  <c r="E79" i="77" s="1"/>
  <c r="E80" i="77" s="1"/>
  <c r="E81" i="77" s="1"/>
  <c r="E61" i="77"/>
  <c r="E62" i="77" s="1"/>
  <c r="E63" i="77" s="1"/>
  <c r="E64" i="77" s="1"/>
  <c r="E65" i="77" s="1"/>
  <c r="E66" i="77" s="1"/>
  <c r="E67" i="77" s="1"/>
  <c r="E68" i="77" s="1"/>
  <c r="E69" i="77" s="1"/>
  <c r="E70" i="77" s="1"/>
  <c r="E50" i="77"/>
  <c r="E51" i="77" s="1"/>
  <c r="E52" i="77" s="1"/>
  <c r="E53" i="77" s="1"/>
  <c r="E54" i="77" s="1"/>
  <c r="E55" i="77" s="1"/>
  <c r="E56" i="77" s="1"/>
  <c r="E57" i="77" s="1"/>
  <c r="E58" i="77" s="1"/>
  <c r="E59" i="77" s="1"/>
  <c r="E39" i="77"/>
  <c r="E40" i="77" s="1"/>
  <c r="E41" i="77" s="1"/>
  <c r="E42" i="77" s="1"/>
  <c r="E43" i="77" s="1"/>
  <c r="E44" i="77" s="1"/>
  <c r="E45" i="77" s="1"/>
  <c r="E46" i="77" s="1"/>
  <c r="E47" i="77" s="1"/>
  <c r="E48" i="77" s="1"/>
  <c r="E28" i="77"/>
  <c r="E29" i="77" s="1"/>
  <c r="E30" i="77" s="1"/>
  <c r="E31" i="77" s="1"/>
  <c r="E32" i="77" s="1"/>
  <c r="E33" i="77" s="1"/>
  <c r="E34" i="77" s="1"/>
  <c r="E35" i="77" s="1"/>
  <c r="E36" i="77" s="1"/>
  <c r="E37" i="77" s="1"/>
  <c r="E127" i="79"/>
  <c r="E128" i="79" s="1"/>
  <c r="E129" i="79" s="1"/>
  <c r="E130" i="79" s="1"/>
  <c r="E131" i="79" s="1"/>
  <c r="E132" i="79" s="1"/>
  <c r="E133" i="79" s="1"/>
  <c r="E134" i="79" s="1"/>
  <c r="E135" i="79" s="1"/>
  <c r="E136" i="79" s="1"/>
  <c r="E116" i="79"/>
  <c r="E117" i="79" s="1"/>
  <c r="E118" i="79" s="1"/>
  <c r="E119" i="79" s="1"/>
  <c r="E120" i="79" s="1"/>
  <c r="E121" i="79" s="1"/>
  <c r="E122" i="79" s="1"/>
  <c r="E123" i="79" s="1"/>
  <c r="E124" i="79" s="1"/>
  <c r="E125" i="79" s="1"/>
  <c r="E105" i="79"/>
  <c r="E106" i="79" s="1"/>
  <c r="E107" i="79" s="1"/>
  <c r="E108" i="79" s="1"/>
  <c r="E109" i="79" s="1"/>
  <c r="E110" i="79" s="1"/>
  <c r="E111" i="79" s="1"/>
  <c r="E112" i="79" s="1"/>
  <c r="E113" i="79" s="1"/>
  <c r="E114" i="79" s="1"/>
  <c r="E94" i="79"/>
  <c r="E95" i="79" s="1"/>
  <c r="E96" i="79" s="1"/>
  <c r="E97" i="79" s="1"/>
  <c r="E98" i="79" s="1"/>
  <c r="E99" i="79" s="1"/>
  <c r="E100" i="79" s="1"/>
  <c r="E101" i="79" s="1"/>
  <c r="E102" i="79" s="1"/>
  <c r="E103" i="79" s="1"/>
  <c r="E83" i="79"/>
  <c r="E84" i="79" s="1"/>
  <c r="E85" i="79" s="1"/>
  <c r="E86" i="79" s="1"/>
  <c r="E87" i="79" s="1"/>
  <c r="E88" i="79" s="1"/>
  <c r="E89" i="79" s="1"/>
  <c r="E90" i="79" s="1"/>
  <c r="E91" i="79" s="1"/>
  <c r="E92" i="79" s="1"/>
  <c r="E72" i="79"/>
  <c r="E73" i="79" s="1"/>
  <c r="E74" i="79" s="1"/>
  <c r="E75" i="79" s="1"/>
  <c r="E76" i="79" s="1"/>
  <c r="E77" i="79" s="1"/>
  <c r="E78" i="79" s="1"/>
  <c r="E79" i="79" s="1"/>
  <c r="E80" i="79" s="1"/>
  <c r="E81" i="79" s="1"/>
  <c r="E61" i="79"/>
  <c r="E62" i="79" s="1"/>
  <c r="E63" i="79" s="1"/>
  <c r="E64" i="79" s="1"/>
  <c r="E65" i="79" s="1"/>
  <c r="E66" i="79" s="1"/>
  <c r="E67" i="79" s="1"/>
  <c r="E68" i="79" s="1"/>
  <c r="E69" i="79" s="1"/>
  <c r="E70" i="79" s="1"/>
  <c r="E50" i="79"/>
  <c r="E51" i="79" s="1"/>
  <c r="E52" i="79" s="1"/>
  <c r="E53" i="79" s="1"/>
  <c r="E54" i="79" s="1"/>
  <c r="E55" i="79" s="1"/>
  <c r="E56" i="79" s="1"/>
  <c r="E57" i="79" s="1"/>
  <c r="E58" i="79" s="1"/>
  <c r="E59" i="79" s="1"/>
  <c r="E39" i="79"/>
  <c r="E40" i="79" s="1"/>
  <c r="E41" i="79" s="1"/>
  <c r="E42" i="79" s="1"/>
  <c r="E43" i="79" s="1"/>
  <c r="E44" i="79" s="1"/>
  <c r="E45" i="79" s="1"/>
  <c r="E46" i="79" s="1"/>
  <c r="E47" i="79" s="1"/>
  <c r="E48" i="79" s="1"/>
  <c r="E28" i="79"/>
  <c r="E127" i="80"/>
  <c r="E128" i="80" s="1"/>
  <c r="E129" i="80" s="1"/>
  <c r="E130" i="80" s="1"/>
  <c r="E131" i="80" s="1"/>
  <c r="E132" i="80" s="1"/>
  <c r="E133" i="80" s="1"/>
  <c r="E134" i="80" s="1"/>
  <c r="E135" i="80" s="1"/>
  <c r="E136" i="80" s="1"/>
  <c r="E116" i="80"/>
  <c r="E117" i="80" s="1"/>
  <c r="E118" i="80" s="1"/>
  <c r="E119" i="80" s="1"/>
  <c r="E120" i="80" s="1"/>
  <c r="E121" i="80" s="1"/>
  <c r="E122" i="80" s="1"/>
  <c r="E123" i="80" s="1"/>
  <c r="E124" i="80" s="1"/>
  <c r="E125" i="80" s="1"/>
  <c r="E105" i="80"/>
  <c r="E106" i="80" s="1"/>
  <c r="E107" i="80" s="1"/>
  <c r="E108" i="80" s="1"/>
  <c r="E109" i="80" s="1"/>
  <c r="E110" i="80" s="1"/>
  <c r="E111" i="80" s="1"/>
  <c r="E112" i="80" s="1"/>
  <c r="E113" i="80" s="1"/>
  <c r="E114" i="80" s="1"/>
  <c r="E94" i="80"/>
  <c r="E95" i="80" s="1"/>
  <c r="E96" i="80" s="1"/>
  <c r="E97" i="80" s="1"/>
  <c r="E98" i="80" s="1"/>
  <c r="E99" i="80" s="1"/>
  <c r="E100" i="80" s="1"/>
  <c r="E101" i="80" s="1"/>
  <c r="E102" i="80" s="1"/>
  <c r="E103" i="80" s="1"/>
  <c r="E83" i="80"/>
  <c r="E84" i="80" s="1"/>
  <c r="E85" i="80" s="1"/>
  <c r="E86" i="80" s="1"/>
  <c r="E87" i="80" s="1"/>
  <c r="E88" i="80" s="1"/>
  <c r="E89" i="80" s="1"/>
  <c r="E90" i="80" s="1"/>
  <c r="E91" i="80" s="1"/>
  <c r="E92" i="80" s="1"/>
  <c r="E72" i="80"/>
  <c r="E73" i="80" s="1"/>
  <c r="E74" i="80" s="1"/>
  <c r="E75" i="80" s="1"/>
  <c r="E76" i="80" s="1"/>
  <c r="E77" i="80" s="1"/>
  <c r="E78" i="80" s="1"/>
  <c r="E79" i="80" s="1"/>
  <c r="E80" i="80" s="1"/>
  <c r="E81" i="80" s="1"/>
  <c r="E61" i="80"/>
  <c r="E62" i="80" s="1"/>
  <c r="E63" i="80" s="1"/>
  <c r="E64" i="80" s="1"/>
  <c r="E65" i="80" s="1"/>
  <c r="E66" i="80" s="1"/>
  <c r="E67" i="80" s="1"/>
  <c r="E68" i="80" s="1"/>
  <c r="E69" i="80" s="1"/>
  <c r="E70" i="80" s="1"/>
  <c r="E50" i="80"/>
  <c r="E51" i="80" s="1"/>
  <c r="E52" i="80" s="1"/>
  <c r="E53" i="80" s="1"/>
  <c r="E54" i="80" s="1"/>
  <c r="E55" i="80" s="1"/>
  <c r="E56" i="80" s="1"/>
  <c r="E57" i="80" s="1"/>
  <c r="E58" i="80" s="1"/>
  <c r="E59" i="80" s="1"/>
  <c r="E39" i="80"/>
  <c r="E40" i="80" s="1"/>
  <c r="E41" i="80" s="1"/>
  <c r="E42" i="80" s="1"/>
  <c r="E43" i="80" s="1"/>
  <c r="E44" i="80" s="1"/>
  <c r="E45" i="80" s="1"/>
  <c r="E46" i="80" s="1"/>
  <c r="E47" i="80" s="1"/>
  <c r="E48" i="80" s="1"/>
  <c r="E28" i="80"/>
  <c r="E50" i="78"/>
  <c r="E51" i="78" s="1"/>
  <c r="E52" i="78" s="1"/>
  <c r="E53" i="78" s="1"/>
  <c r="E54" i="78" s="1"/>
  <c r="E55" i="78" s="1"/>
  <c r="E56" i="78" s="1"/>
  <c r="E57" i="78" s="1"/>
  <c r="E58" i="78" s="1"/>
  <c r="E59" i="78" s="1"/>
  <c r="E61" i="78"/>
  <c r="E62" i="78" s="1"/>
  <c r="E63" i="78" s="1"/>
  <c r="E64" i="78" s="1"/>
  <c r="E65" i="78" s="1"/>
  <c r="E66" i="78" s="1"/>
  <c r="E67" i="78" s="1"/>
  <c r="E68" i="78" s="1"/>
  <c r="E69" i="78" s="1"/>
  <c r="E70" i="78" s="1"/>
  <c r="E72" i="78"/>
  <c r="E73" i="78" s="1"/>
  <c r="E74" i="78" s="1"/>
  <c r="E75" i="78" s="1"/>
  <c r="E76" i="78" s="1"/>
  <c r="E77" i="78" s="1"/>
  <c r="E78" i="78" s="1"/>
  <c r="E79" i="78" s="1"/>
  <c r="E80" i="78" s="1"/>
  <c r="E81" i="78" s="1"/>
  <c r="E83" i="78"/>
  <c r="E84" i="78" s="1"/>
  <c r="E85" i="78" s="1"/>
  <c r="E86" i="78" s="1"/>
  <c r="E87" i="78" s="1"/>
  <c r="E88" i="78" s="1"/>
  <c r="E89" i="78" s="1"/>
  <c r="E90" i="78" s="1"/>
  <c r="E91" i="78" s="1"/>
  <c r="E92" i="78" s="1"/>
  <c r="E94" i="78"/>
  <c r="E95" i="78" s="1"/>
  <c r="E96" i="78" s="1"/>
  <c r="E97" i="78" s="1"/>
  <c r="E98" i="78" s="1"/>
  <c r="E99" i="78" s="1"/>
  <c r="E100" i="78" s="1"/>
  <c r="E101" i="78" s="1"/>
  <c r="E102" i="78" s="1"/>
  <c r="E103" i="78" s="1"/>
  <c r="E105" i="78"/>
  <c r="E106" i="78" s="1"/>
  <c r="E107" i="78" s="1"/>
  <c r="E108" i="78" s="1"/>
  <c r="E109" i="78" s="1"/>
  <c r="E110" i="78" s="1"/>
  <c r="E111" i="78" s="1"/>
  <c r="E112" i="78" s="1"/>
  <c r="E113" i="78" s="1"/>
  <c r="E114" i="78" s="1"/>
  <c r="E116" i="78"/>
  <c r="E117" i="78" s="1"/>
  <c r="E118" i="78" s="1"/>
  <c r="E119" i="78" s="1"/>
  <c r="E120" i="78" s="1"/>
  <c r="E121" i="78" s="1"/>
  <c r="E122" i="78" s="1"/>
  <c r="E123" i="78" s="1"/>
  <c r="E124" i="78" s="1"/>
  <c r="E125" i="78" s="1"/>
  <c r="E127" i="78"/>
  <c r="E128" i="78" s="1"/>
  <c r="E129" i="78" s="1"/>
  <c r="E130" i="78" s="1"/>
  <c r="E131" i="78" s="1"/>
  <c r="E132" i="78" s="1"/>
  <c r="E133" i="78" s="1"/>
  <c r="E134" i="78" s="1"/>
  <c r="E135" i="78" s="1"/>
  <c r="E136" i="78" s="1"/>
  <c r="E39" i="78"/>
  <c r="E40" i="78" s="1"/>
  <c r="E41" i="78" s="1"/>
  <c r="E42" i="78" s="1"/>
  <c r="E43" i="78" s="1"/>
  <c r="E44" i="78" s="1"/>
  <c r="E45" i="78" s="1"/>
  <c r="E46" i="78" s="1"/>
  <c r="E47" i="78" s="1"/>
  <c r="E48" i="78" s="1"/>
  <c r="E28" i="78"/>
  <c r="E29" i="78" s="1"/>
  <c r="E30" i="78" s="1"/>
  <c r="E31" i="78" s="1"/>
  <c r="E32" i="78" s="1"/>
  <c r="E33" i="78" s="1"/>
  <c r="E34" i="78" s="1"/>
  <c r="E35" i="78" s="1"/>
  <c r="E36" i="78" s="1"/>
  <c r="E37" i="78" s="1"/>
  <c r="IF4343" i="4" l="1"/>
  <c r="FQ3" i="4"/>
  <c r="FQ7" i="4"/>
  <c r="FQ11" i="4"/>
  <c r="FQ13" i="4"/>
  <c r="FQ15" i="4"/>
  <c r="FQ17" i="4"/>
  <c r="FQ6" i="4"/>
  <c r="FQ10" i="4"/>
  <c r="FQ19" i="4"/>
  <c r="FQ21" i="4"/>
  <c r="FQ22" i="4"/>
  <c r="FQ5" i="4"/>
  <c r="FQ9" i="4"/>
  <c r="FQ20" i="4"/>
  <c r="FQ14" i="4"/>
  <c r="FQ16" i="4"/>
  <c r="FQ18" i="4"/>
  <c r="FQ4" i="4"/>
  <c r="FQ8" i="4"/>
  <c r="FQ12" i="4"/>
  <c r="FQ33" i="4"/>
  <c r="FQ34" i="4"/>
  <c r="FQ35" i="4"/>
  <c r="FQ36" i="4"/>
  <c r="FQ37" i="4"/>
  <c r="FQ38" i="4"/>
  <c r="FQ39" i="4"/>
  <c r="FQ40" i="4"/>
  <c r="FQ41" i="4"/>
  <c r="FQ42" i="4"/>
  <c r="FQ43" i="4"/>
  <c r="FQ44" i="4"/>
  <c r="FQ45" i="4"/>
  <c r="FQ46" i="4"/>
  <c r="FQ47" i="4"/>
  <c r="FQ48" i="4"/>
  <c r="FQ49" i="4"/>
  <c r="FQ50" i="4"/>
  <c r="FQ51" i="4"/>
  <c r="FQ52" i="4"/>
  <c r="FQ25" i="4"/>
  <c r="FQ26" i="4"/>
  <c r="FQ27" i="4"/>
  <c r="FQ28" i="4"/>
  <c r="FQ30" i="4"/>
  <c r="FQ31" i="4"/>
  <c r="FQ23" i="4"/>
  <c r="FQ29" i="4"/>
  <c r="FQ53" i="4"/>
  <c r="FQ32" i="4"/>
  <c r="FQ24" i="4"/>
  <c r="FQ54" i="4"/>
  <c r="FQ55" i="4"/>
  <c r="FQ56" i="4"/>
  <c r="FQ57" i="4"/>
  <c r="FQ58" i="4"/>
  <c r="FQ59" i="4"/>
  <c r="FQ60" i="4"/>
  <c r="FQ61" i="4"/>
  <c r="FQ62" i="4"/>
  <c r="FQ63" i="4"/>
  <c r="FQ64" i="4"/>
  <c r="FQ65" i="4"/>
  <c r="FQ66" i="4"/>
  <c r="FQ67" i="4"/>
  <c r="FQ68" i="4"/>
  <c r="FQ69" i="4"/>
  <c r="FQ70" i="4"/>
  <c r="FQ71" i="4"/>
  <c r="FQ72" i="4"/>
  <c r="FQ73" i="4"/>
  <c r="FQ74" i="4"/>
  <c r="FQ75" i="4"/>
  <c r="FQ76" i="4"/>
  <c r="FQ77" i="4"/>
  <c r="FQ78" i="4"/>
  <c r="FQ79" i="4"/>
  <c r="FQ80" i="4"/>
  <c r="FQ81" i="4"/>
  <c r="FQ82" i="4"/>
  <c r="FQ84" i="4"/>
  <c r="FQ83" i="4"/>
  <c r="FQ85" i="4"/>
  <c r="FQ86" i="4"/>
  <c r="FQ87" i="4"/>
  <c r="FQ88" i="4"/>
  <c r="FQ91" i="4"/>
  <c r="FQ92" i="4"/>
  <c r="FQ93" i="4"/>
  <c r="FQ94" i="4"/>
  <c r="FQ95" i="4"/>
  <c r="FQ96" i="4"/>
  <c r="FQ97" i="4"/>
  <c r="FQ98" i="4"/>
  <c r="FQ99" i="4"/>
  <c r="FQ100" i="4"/>
  <c r="FQ101" i="4"/>
  <c r="FQ102" i="4"/>
  <c r="FQ103" i="4"/>
  <c r="FQ104" i="4"/>
  <c r="FQ105" i="4"/>
  <c r="FQ106" i="4"/>
  <c r="FQ107" i="4"/>
  <c r="FQ108" i="4"/>
  <c r="FQ109" i="4"/>
  <c r="FQ110" i="4"/>
  <c r="FQ111" i="4"/>
  <c r="FQ90" i="4"/>
  <c r="FQ89" i="4"/>
  <c r="FH4" i="4"/>
  <c r="FH8" i="4"/>
  <c r="FH12" i="4"/>
  <c r="FH3" i="4"/>
  <c r="FH7" i="4"/>
  <c r="FH11" i="4"/>
  <c r="FH13" i="4"/>
  <c r="FH15" i="4"/>
  <c r="FH17" i="4"/>
  <c r="FH19" i="4"/>
  <c r="FH21" i="4"/>
  <c r="FH22" i="4"/>
  <c r="FH23" i="4"/>
  <c r="FH24" i="4"/>
  <c r="FH25" i="4"/>
  <c r="FH26" i="4"/>
  <c r="FH27" i="4"/>
  <c r="FH28" i="4"/>
  <c r="FH29" i="4"/>
  <c r="FH30" i="4"/>
  <c r="FH6" i="4"/>
  <c r="FH10" i="4"/>
  <c r="FH20" i="4"/>
  <c r="FH5" i="4"/>
  <c r="FH9" i="4"/>
  <c r="FH14" i="4"/>
  <c r="FH16" i="4"/>
  <c r="FH18" i="4"/>
  <c r="FH32" i="4"/>
  <c r="FH31" i="4"/>
  <c r="FH34" i="4"/>
  <c r="FH38" i="4"/>
  <c r="FH42" i="4"/>
  <c r="FH53" i="4"/>
  <c r="FH35" i="4"/>
  <c r="FH39" i="4"/>
  <c r="FH52" i="4"/>
  <c r="FH46" i="4"/>
  <c r="FH50" i="4"/>
  <c r="FH36" i="4"/>
  <c r="FH40" i="4"/>
  <c r="FH43" i="4"/>
  <c r="FH33" i="4"/>
  <c r="FH37" i="4"/>
  <c r="FH41" i="4"/>
  <c r="FH51" i="4"/>
  <c r="FH60" i="4"/>
  <c r="FH44" i="4"/>
  <c r="FH49" i="4"/>
  <c r="FH55" i="4"/>
  <c r="FH56" i="4"/>
  <c r="FH59" i="4"/>
  <c r="FH63" i="4"/>
  <c r="FH65" i="4"/>
  <c r="FH67" i="4"/>
  <c r="FH69" i="4"/>
  <c r="FH47" i="4"/>
  <c r="FH58" i="4"/>
  <c r="FH62" i="4"/>
  <c r="FH70" i="4"/>
  <c r="FH71" i="4"/>
  <c r="FH72" i="4"/>
  <c r="FH73" i="4"/>
  <c r="FH74" i="4"/>
  <c r="FH75" i="4"/>
  <c r="FH76" i="4"/>
  <c r="FH77" i="4"/>
  <c r="FH78" i="4"/>
  <c r="FH79" i="4"/>
  <c r="FH80" i="4"/>
  <c r="FH81" i="4"/>
  <c r="FH82" i="4"/>
  <c r="FH83" i="4"/>
  <c r="FH84" i="4"/>
  <c r="FH85" i="4"/>
  <c r="FH45" i="4"/>
  <c r="FH57" i="4"/>
  <c r="FH61" i="4"/>
  <c r="FH64" i="4"/>
  <c r="FH86" i="4"/>
  <c r="FH87" i="4"/>
  <c r="FH88" i="4"/>
  <c r="FH66" i="4"/>
  <c r="FH48" i="4"/>
  <c r="FH68" i="4"/>
  <c r="FH54" i="4"/>
  <c r="FH89" i="4"/>
  <c r="FH91" i="4"/>
  <c r="FH92" i="4"/>
  <c r="FH93" i="4"/>
  <c r="FH94" i="4"/>
  <c r="FH95" i="4"/>
  <c r="FH96" i="4"/>
  <c r="FH97" i="4"/>
  <c r="FH98" i="4"/>
  <c r="FH99" i="4"/>
  <c r="FH100" i="4"/>
  <c r="FH101" i="4"/>
  <c r="FH102" i="4"/>
  <c r="FH103" i="4"/>
  <c r="FH104" i="4"/>
  <c r="FH105" i="4"/>
  <c r="FH106" i="4"/>
  <c r="FH107" i="4"/>
  <c r="FH108" i="4"/>
  <c r="FH109" i="4"/>
  <c r="FH110" i="4"/>
  <c r="FH111" i="4"/>
  <c r="FH90" i="4"/>
  <c r="FN3" i="4"/>
  <c r="FN4" i="4"/>
  <c r="FN5" i="4"/>
  <c r="FN6" i="4"/>
  <c r="FN7" i="4"/>
  <c r="FN8" i="4"/>
  <c r="FN9" i="4"/>
  <c r="FN10" i="4"/>
  <c r="FN11" i="4"/>
  <c r="FN12" i="4"/>
  <c r="FN13" i="4"/>
  <c r="FN14" i="4"/>
  <c r="FN15" i="4"/>
  <c r="FN16" i="4"/>
  <c r="FN17" i="4"/>
  <c r="FN18" i="4"/>
  <c r="FN21" i="4"/>
  <c r="FN20" i="4"/>
  <c r="FN25" i="4"/>
  <c r="FN26" i="4"/>
  <c r="FN27" i="4"/>
  <c r="FN28" i="4"/>
  <c r="FN30" i="4"/>
  <c r="FN19" i="4"/>
  <c r="FN23" i="4"/>
  <c r="FN29" i="4"/>
  <c r="FN22" i="4"/>
  <c r="FN24" i="4"/>
  <c r="FN32" i="4"/>
  <c r="FN33" i="4"/>
  <c r="FN37" i="4"/>
  <c r="FN41" i="4"/>
  <c r="FN45" i="4"/>
  <c r="FN49" i="4"/>
  <c r="FN34" i="4"/>
  <c r="FN38" i="4"/>
  <c r="FN42" i="4"/>
  <c r="FN44" i="4"/>
  <c r="FN48" i="4"/>
  <c r="FN51" i="4"/>
  <c r="FN31" i="4"/>
  <c r="FN54" i="4"/>
  <c r="FN55" i="4"/>
  <c r="FN56" i="4"/>
  <c r="FN57" i="4"/>
  <c r="FN58" i="4"/>
  <c r="FN59" i="4"/>
  <c r="FN60" i="4"/>
  <c r="FN61" i="4"/>
  <c r="FN62" i="4"/>
  <c r="FN35" i="4"/>
  <c r="FN39" i="4"/>
  <c r="FN47" i="4"/>
  <c r="FN36" i="4"/>
  <c r="FN40" i="4"/>
  <c r="FN46" i="4"/>
  <c r="FN50" i="4"/>
  <c r="FN52" i="4"/>
  <c r="FN53" i="4"/>
  <c r="FN43" i="4"/>
  <c r="FN70" i="4"/>
  <c r="FN71" i="4"/>
  <c r="FN72" i="4"/>
  <c r="FN73" i="4"/>
  <c r="FN74" i="4"/>
  <c r="FN75" i="4"/>
  <c r="FN76" i="4"/>
  <c r="FN77" i="4"/>
  <c r="FN78" i="4"/>
  <c r="FN79" i="4"/>
  <c r="FN64" i="4"/>
  <c r="FN66" i="4"/>
  <c r="FN68" i="4"/>
  <c r="FN65" i="4"/>
  <c r="FN80" i="4"/>
  <c r="FN81" i="4"/>
  <c r="FN82" i="4"/>
  <c r="FN67" i="4"/>
  <c r="FN83" i="4"/>
  <c r="FN85" i="4"/>
  <c r="FN69" i="4"/>
  <c r="FN63" i="4"/>
  <c r="FN84" i="4"/>
  <c r="FN99" i="4"/>
  <c r="FN101" i="4"/>
  <c r="FN104" i="4"/>
  <c r="FN106" i="4"/>
  <c r="FN91" i="4"/>
  <c r="FN92" i="4"/>
  <c r="FN93" i="4"/>
  <c r="FN94" i="4"/>
  <c r="FN95" i="4"/>
  <c r="FN96" i="4"/>
  <c r="FN97" i="4"/>
  <c r="FN98" i="4"/>
  <c r="FN100" i="4"/>
  <c r="FN103" i="4"/>
  <c r="FN87" i="4"/>
  <c r="FN88" i="4"/>
  <c r="FN90" i="4"/>
  <c r="FN89" i="4"/>
  <c r="FN86" i="4"/>
  <c r="FN102" i="4"/>
  <c r="FN105" i="4"/>
  <c r="FN107" i="4"/>
  <c r="FN108" i="4"/>
  <c r="FN109" i="4"/>
  <c r="FN110" i="4"/>
  <c r="FN111" i="4"/>
  <c r="FT4" i="4"/>
  <c r="FT8" i="4"/>
  <c r="FT12" i="4"/>
  <c r="FT14" i="4"/>
  <c r="FT16" i="4"/>
  <c r="FT18" i="4"/>
  <c r="FT3" i="4"/>
  <c r="FT7" i="4"/>
  <c r="FT11" i="4"/>
  <c r="FT6" i="4"/>
  <c r="FT10" i="4"/>
  <c r="FT13" i="4"/>
  <c r="FT15" i="4"/>
  <c r="FT17" i="4"/>
  <c r="FT19" i="4"/>
  <c r="FT5" i="4"/>
  <c r="FT9" i="4"/>
  <c r="FT21" i="4"/>
  <c r="FT22" i="4"/>
  <c r="FT23" i="4"/>
  <c r="FT24" i="4"/>
  <c r="FT25" i="4"/>
  <c r="FT26" i="4"/>
  <c r="FT27" i="4"/>
  <c r="FT28" i="4"/>
  <c r="FT20" i="4"/>
  <c r="FT36" i="4"/>
  <c r="FT40" i="4"/>
  <c r="FT47" i="4"/>
  <c r="FT30" i="4"/>
  <c r="FT29" i="4"/>
  <c r="FT32" i="4"/>
  <c r="FT33" i="4"/>
  <c r="FT37" i="4"/>
  <c r="FT41" i="4"/>
  <c r="FT43" i="4"/>
  <c r="FT46" i="4"/>
  <c r="FT50" i="4"/>
  <c r="FT52" i="4"/>
  <c r="FT53" i="4"/>
  <c r="FT31" i="4"/>
  <c r="FT34" i="4"/>
  <c r="FT38" i="4"/>
  <c r="FT42" i="4"/>
  <c r="FT45" i="4"/>
  <c r="FT49" i="4"/>
  <c r="FT35" i="4"/>
  <c r="FT39" i="4"/>
  <c r="FT44" i="4"/>
  <c r="FT48" i="4"/>
  <c r="FT60" i="4"/>
  <c r="FT64" i="4"/>
  <c r="FT66" i="4"/>
  <c r="FT68" i="4"/>
  <c r="FT70" i="4"/>
  <c r="FT71" i="4"/>
  <c r="FT72" i="4"/>
  <c r="FT73" i="4"/>
  <c r="FT74" i="4"/>
  <c r="FT75" i="4"/>
  <c r="FT76" i="4"/>
  <c r="FT77" i="4"/>
  <c r="FT78" i="4"/>
  <c r="FT79" i="4"/>
  <c r="FT80" i="4"/>
  <c r="FT81" i="4"/>
  <c r="FT82" i="4"/>
  <c r="FT83" i="4"/>
  <c r="FT55" i="4"/>
  <c r="FT56" i="4"/>
  <c r="FT59" i="4"/>
  <c r="FT54" i="4"/>
  <c r="FT58" i="4"/>
  <c r="FT62" i="4"/>
  <c r="FT63" i="4"/>
  <c r="FT65" i="4"/>
  <c r="FT67" i="4"/>
  <c r="FT69" i="4"/>
  <c r="FT51" i="4"/>
  <c r="FT57" i="4"/>
  <c r="FT61" i="4"/>
  <c r="FT85" i="4"/>
  <c r="FT86" i="4"/>
  <c r="FT87" i="4"/>
  <c r="FT88" i="4"/>
  <c r="FT89" i="4"/>
  <c r="FT90" i="4"/>
  <c r="FT84" i="4"/>
  <c r="FT91" i="4"/>
  <c r="FT92" i="4"/>
  <c r="FT93" i="4"/>
  <c r="FT94" i="4"/>
  <c r="FT95" i="4"/>
  <c r="FT96" i="4"/>
  <c r="FT97" i="4"/>
  <c r="FT98" i="4"/>
  <c r="FT99" i="4"/>
  <c r="FT100" i="4"/>
  <c r="FT101" i="4"/>
  <c r="FT102" i="4"/>
  <c r="FT103" i="4"/>
  <c r="FT104" i="4"/>
  <c r="FT105" i="4"/>
  <c r="FT106" i="4"/>
  <c r="FT107" i="4"/>
  <c r="FT108" i="4"/>
  <c r="FT109" i="4"/>
  <c r="FT110" i="4"/>
  <c r="FT111" i="4"/>
  <c r="FK3" i="4"/>
  <c r="FK4" i="4"/>
  <c r="FK5" i="4"/>
  <c r="FK6" i="4"/>
  <c r="FK7" i="4"/>
  <c r="FK8" i="4"/>
  <c r="FK9" i="4"/>
  <c r="FK10" i="4"/>
  <c r="FK11" i="4"/>
  <c r="FK12" i="4"/>
  <c r="FK14" i="4"/>
  <c r="FK16" i="4"/>
  <c r="FK18" i="4"/>
  <c r="FK13" i="4"/>
  <c r="FK15" i="4"/>
  <c r="FK17" i="4"/>
  <c r="FK19" i="4"/>
  <c r="FK21" i="4"/>
  <c r="FK22" i="4"/>
  <c r="FK23" i="4"/>
  <c r="FK24" i="4"/>
  <c r="FK20" i="4"/>
  <c r="FK25" i="4"/>
  <c r="FK26" i="4"/>
  <c r="FK27" i="4"/>
  <c r="FK28" i="4"/>
  <c r="FK29" i="4"/>
  <c r="FK32" i="4"/>
  <c r="FK33" i="4"/>
  <c r="FK34" i="4"/>
  <c r="FK35" i="4"/>
  <c r="FK36" i="4"/>
  <c r="FK37" i="4"/>
  <c r="FK38" i="4"/>
  <c r="FK39" i="4"/>
  <c r="FK40" i="4"/>
  <c r="FK41" i="4"/>
  <c r="FK42" i="4"/>
  <c r="FK31" i="4"/>
  <c r="FK30" i="4"/>
  <c r="FK44" i="4"/>
  <c r="FK48" i="4"/>
  <c r="FK51" i="4"/>
  <c r="FK54" i="4"/>
  <c r="FK47" i="4"/>
  <c r="FK53" i="4"/>
  <c r="FK46" i="4"/>
  <c r="FK50" i="4"/>
  <c r="FK52" i="4"/>
  <c r="FK45" i="4"/>
  <c r="FK49" i="4"/>
  <c r="FK43" i="4"/>
  <c r="FK57" i="4"/>
  <c r="FK61" i="4"/>
  <c r="FK64" i="4"/>
  <c r="FK66" i="4"/>
  <c r="FK68" i="4"/>
  <c r="FK60" i="4"/>
  <c r="FK55" i="4"/>
  <c r="FK56" i="4"/>
  <c r="FK59" i="4"/>
  <c r="FK63" i="4"/>
  <c r="FK65" i="4"/>
  <c r="FK67" i="4"/>
  <c r="FK69" i="4"/>
  <c r="FK58" i="4"/>
  <c r="FK62" i="4"/>
  <c r="FK83" i="4"/>
  <c r="FK72" i="4"/>
  <c r="FK76" i="4"/>
  <c r="FK73" i="4"/>
  <c r="FK77" i="4"/>
  <c r="FK70" i="4"/>
  <c r="FK74" i="4"/>
  <c r="FK80" i="4"/>
  <c r="FK81" i="4"/>
  <c r="FK82" i="4"/>
  <c r="FK84" i="4"/>
  <c r="FK86" i="4"/>
  <c r="FK87" i="4"/>
  <c r="FK88" i="4"/>
  <c r="FK71" i="4"/>
  <c r="FK75" i="4"/>
  <c r="FK79" i="4"/>
  <c r="FK85" i="4"/>
  <c r="FK90" i="4"/>
  <c r="FK78" i="4"/>
  <c r="FK89" i="4"/>
  <c r="FK91" i="4"/>
  <c r="FK92" i="4"/>
  <c r="FK93" i="4"/>
  <c r="FK94" i="4"/>
  <c r="FK95" i="4"/>
  <c r="FK96" i="4"/>
  <c r="FK97" i="4"/>
  <c r="FK99" i="4"/>
  <c r="FK101" i="4"/>
  <c r="FK103" i="4"/>
  <c r="FK105" i="4"/>
  <c r="FK107" i="4"/>
  <c r="FK110" i="4"/>
  <c r="FK111" i="4"/>
  <c r="FK109" i="4"/>
  <c r="FK98" i="4"/>
  <c r="FK100" i="4"/>
  <c r="FK102" i="4"/>
  <c r="FK104" i="4"/>
  <c r="FK106" i="4"/>
  <c r="FK108" i="4"/>
  <c r="E29" i="80"/>
  <c r="E30" i="80" s="1"/>
  <c r="E31" i="80" s="1"/>
  <c r="E32" i="80" s="1"/>
  <c r="E33" i="80" s="1"/>
  <c r="E34" i="80" s="1"/>
  <c r="E35" i="80" s="1"/>
  <c r="E36" i="80" s="1"/>
  <c r="E37" i="80" s="1"/>
  <c r="I211" i="102"/>
  <c r="FQ2" i="4"/>
  <c r="FH2" i="4"/>
  <c r="FN2" i="4"/>
  <c r="FT2" i="4"/>
  <c r="FK2" i="4"/>
  <c r="K26" i="104"/>
  <c r="K25" i="104"/>
  <c r="H97" i="104"/>
  <c r="G21" i="104"/>
  <c r="G25" i="104"/>
  <c r="G23" i="104"/>
  <c r="G22" i="104"/>
  <c r="G26" i="104"/>
  <c r="G20" i="104"/>
  <c r="G19" i="104"/>
  <c r="N26" i="95"/>
  <c r="M25" i="95"/>
  <c r="K26" i="95"/>
  <c r="O26" i="95"/>
  <c r="L25" i="95"/>
  <c r="N25" i="95"/>
  <c r="K25" i="95"/>
  <c r="J96" i="95"/>
  <c r="I94" i="95"/>
  <c r="L96" i="95"/>
  <c r="H94" i="95"/>
  <c r="I96" i="95"/>
  <c r="L94" i="95"/>
  <c r="K94" i="95"/>
  <c r="J94" i="95"/>
  <c r="H96" i="95"/>
  <c r="K96" i="95"/>
  <c r="K22" i="95"/>
  <c r="K19" i="95"/>
  <c r="M21" i="95"/>
  <c r="N23" i="95"/>
  <c r="M26" i="95"/>
  <c r="O21" i="95"/>
  <c r="NU4343" i="4"/>
  <c r="M20" i="95"/>
  <c r="L21" i="95"/>
  <c r="M23" i="95"/>
  <c r="L26" i="95"/>
  <c r="O23" i="95"/>
  <c r="OA4343" i="4"/>
  <c r="K21" i="95"/>
  <c r="O20" i="95"/>
  <c r="N22" i="95"/>
  <c r="L23" i="95"/>
  <c r="O19" i="95"/>
  <c r="L19" i="95"/>
  <c r="L20" i="95"/>
  <c r="O22" i="95"/>
  <c r="NX4343" i="4"/>
  <c r="K23" i="95"/>
  <c r="O25" i="95"/>
  <c r="N19" i="95"/>
  <c r="K20" i="95"/>
  <c r="L22" i="95"/>
  <c r="N20" i="95"/>
  <c r="M19" i="95"/>
  <c r="N21" i="95"/>
  <c r="M22" i="95"/>
  <c r="HT4343" i="4"/>
  <c r="HZ4343" i="4"/>
  <c r="HW4343" i="4"/>
  <c r="FN4346" i="4"/>
  <c r="FN4344" i="4"/>
  <c r="FN4343" i="4"/>
  <c r="FT4346" i="4"/>
  <c r="FT4343" i="4"/>
  <c r="FT4344" i="4"/>
  <c r="FQ4346" i="4"/>
  <c r="FQ4344" i="4"/>
  <c r="FQ4343" i="4"/>
  <c r="E29" i="72"/>
  <c r="E30" i="72" s="1"/>
  <c r="E31" i="72" s="1"/>
  <c r="E32" i="72" s="1"/>
  <c r="E33" i="72" s="1"/>
  <c r="E34" i="72" s="1"/>
  <c r="E35" i="72" s="1"/>
  <c r="E36" i="72" s="1"/>
  <c r="E37" i="72" s="1"/>
  <c r="MA4346" i="4"/>
  <c r="LY4346" i="4"/>
  <c r="E29" i="79"/>
  <c r="E30" i="79" s="1"/>
  <c r="E31" i="79" s="1"/>
  <c r="E32" i="79" s="1"/>
  <c r="E33" i="79" s="1"/>
  <c r="E34" i="79" s="1"/>
  <c r="E35" i="79" s="1"/>
  <c r="E36" i="79" s="1"/>
  <c r="E37" i="79" s="1"/>
  <c r="K127" i="80"/>
  <c r="A127" i="80"/>
  <c r="N126" i="80"/>
  <c r="M126" i="80"/>
  <c r="L126" i="80"/>
  <c r="K126" i="80"/>
  <c r="J126" i="80"/>
  <c r="I126" i="80"/>
  <c r="H126" i="80"/>
  <c r="K116" i="80"/>
  <c r="A116" i="80"/>
  <c r="A117" i="80" s="1"/>
  <c r="N115" i="80"/>
  <c r="M115" i="80"/>
  <c r="L115" i="80"/>
  <c r="K115" i="80"/>
  <c r="J115" i="80"/>
  <c r="I115" i="80"/>
  <c r="H115" i="80"/>
  <c r="N105" i="80"/>
  <c r="A105" i="80"/>
  <c r="A106" i="80" s="1"/>
  <c r="N104" i="80"/>
  <c r="M104" i="80"/>
  <c r="L104" i="80"/>
  <c r="K104" i="80"/>
  <c r="J104" i="80"/>
  <c r="I104" i="80"/>
  <c r="H104" i="80"/>
  <c r="N94" i="80"/>
  <c r="A94" i="80"/>
  <c r="A95" i="80" s="1"/>
  <c r="N93" i="80"/>
  <c r="M93" i="80"/>
  <c r="L93" i="80"/>
  <c r="K93" i="80"/>
  <c r="J93" i="80"/>
  <c r="I93" i="80"/>
  <c r="H93" i="80"/>
  <c r="K83" i="80"/>
  <c r="A83" i="80"/>
  <c r="A84" i="80" s="1"/>
  <c r="A85" i="80" s="1"/>
  <c r="N82" i="80"/>
  <c r="M82" i="80"/>
  <c r="L82" i="80"/>
  <c r="K82" i="80"/>
  <c r="J82" i="80"/>
  <c r="I82" i="80"/>
  <c r="H82" i="80"/>
  <c r="L72" i="80"/>
  <c r="A72" i="80"/>
  <c r="A73" i="80" s="1"/>
  <c r="N71" i="80"/>
  <c r="M71" i="80"/>
  <c r="L71" i="80"/>
  <c r="K71" i="80"/>
  <c r="J71" i="80"/>
  <c r="I71" i="80"/>
  <c r="H71" i="80"/>
  <c r="M61" i="80"/>
  <c r="A61" i="80"/>
  <c r="A62" i="80" s="1"/>
  <c r="N60" i="80"/>
  <c r="M60" i="80"/>
  <c r="L60" i="80"/>
  <c r="K60" i="80"/>
  <c r="J60" i="80"/>
  <c r="I60" i="80"/>
  <c r="H60" i="80"/>
  <c r="M50" i="80"/>
  <c r="A50" i="80"/>
  <c r="N49" i="80"/>
  <c r="M49" i="80"/>
  <c r="L49" i="80"/>
  <c r="K49" i="80"/>
  <c r="J49" i="80"/>
  <c r="I49" i="80"/>
  <c r="H49" i="80"/>
  <c r="K39" i="80"/>
  <c r="A39" i="80"/>
  <c r="A40" i="80" s="1"/>
  <c r="N38" i="80"/>
  <c r="M38" i="80"/>
  <c r="L38" i="80"/>
  <c r="K38" i="80"/>
  <c r="J38" i="80"/>
  <c r="I38" i="80"/>
  <c r="H38" i="80"/>
  <c r="A28" i="80"/>
  <c r="A127" i="79"/>
  <c r="N126" i="79"/>
  <c r="M126" i="79"/>
  <c r="L126" i="79"/>
  <c r="K126" i="79"/>
  <c r="J126" i="79"/>
  <c r="I126" i="79"/>
  <c r="H126" i="79"/>
  <c r="K116" i="79"/>
  <c r="A116" i="79"/>
  <c r="A117" i="79" s="1"/>
  <c r="N115" i="79"/>
  <c r="M115" i="79"/>
  <c r="L115" i="79"/>
  <c r="K115" i="79"/>
  <c r="J115" i="79"/>
  <c r="I115" i="79"/>
  <c r="H115" i="79"/>
  <c r="N105" i="79"/>
  <c r="A105" i="79"/>
  <c r="N104" i="79"/>
  <c r="M104" i="79"/>
  <c r="L104" i="79"/>
  <c r="K104" i="79"/>
  <c r="J104" i="79"/>
  <c r="I104" i="79"/>
  <c r="H104" i="79"/>
  <c r="K94" i="79"/>
  <c r="A94" i="79"/>
  <c r="A95" i="79" s="1"/>
  <c r="N93" i="79"/>
  <c r="M93" i="79"/>
  <c r="L93" i="79"/>
  <c r="K93" i="79"/>
  <c r="J93" i="79"/>
  <c r="I93" i="79"/>
  <c r="H93" i="79"/>
  <c r="A83" i="79"/>
  <c r="N82" i="79"/>
  <c r="M82" i="79"/>
  <c r="L82" i="79"/>
  <c r="K82" i="79"/>
  <c r="J82" i="79"/>
  <c r="I82" i="79"/>
  <c r="H82" i="79"/>
  <c r="A72" i="79"/>
  <c r="N71" i="79"/>
  <c r="M71" i="79"/>
  <c r="L71" i="79"/>
  <c r="K71" i="79"/>
  <c r="N61" i="79"/>
  <c r="A61" i="79"/>
  <c r="A62" i="79" s="1"/>
  <c r="N60" i="79"/>
  <c r="M60" i="79"/>
  <c r="L60" i="79"/>
  <c r="K60" i="79"/>
  <c r="J60" i="79"/>
  <c r="I60" i="79"/>
  <c r="H60" i="79"/>
  <c r="N50" i="79"/>
  <c r="A50" i="79"/>
  <c r="N49" i="79"/>
  <c r="M49" i="79"/>
  <c r="L49" i="79"/>
  <c r="K49" i="79"/>
  <c r="J49" i="79"/>
  <c r="I49" i="79"/>
  <c r="H49" i="79"/>
  <c r="A39" i="79"/>
  <c r="A40" i="79" s="1"/>
  <c r="N38" i="79"/>
  <c r="M38" i="79"/>
  <c r="L38" i="79"/>
  <c r="K38" i="79"/>
  <c r="J38" i="79"/>
  <c r="I38" i="79"/>
  <c r="H38" i="79"/>
  <c r="A28" i="79"/>
  <c r="M127" i="78"/>
  <c r="A127" i="78"/>
  <c r="A128" i="78" s="1"/>
  <c r="N126" i="78"/>
  <c r="M126" i="78"/>
  <c r="L126" i="78"/>
  <c r="K126" i="78"/>
  <c r="J126" i="78"/>
  <c r="I126" i="78"/>
  <c r="H126" i="78"/>
  <c r="N116" i="78"/>
  <c r="A116" i="78"/>
  <c r="N115" i="78"/>
  <c r="M115" i="78"/>
  <c r="L115" i="78"/>
  <c r="K115" i="78"/>
  <c r="J115" i="78"/>
  <c r="I115" i="78"/>
  <c r="H115" i="78"/>
  <c r="N105" i="78"/>
  <c r="A105" i="78"/>
  <c r="A106" i="78" s="1"/>
  <c r="N104" i="78"/>
  <c r="M104" i="78"/>
  <c r="L104" i="78"/>
  <c r="K104" i="78"/>
  <c r="J104" i="78"/>
  <c r="I104" i="78"/>
  <c r="H104" i="78"/>
  <c r="A94" i="78"/>
  <c r="A95" i="78" s="1"/>
  <c r="A96" i="78" s="1"/>
  <c r="N93" i="78"/>
  <c r="M93" i="78"/>
  <c r="L93" i="78"/>
  <c r="K93" i="78"/>
  <c r="J93" i="78"/>
  <c r="I93" i="78"/>
  <c r="H93" i="78"/>
  <c r="M83" i="78"/>
  <c r="A83" i="78"/>
  <c r="N82" i="78"/>
  <c r="M82" i="78"/>
  <c r="L82" i="78"/>
  <c r="K82" i="78"/>
  <c r="J82" i="78"/>
  <c r="I82" i="78"/>
  <c r="H82" i="78"/>
  <c r="N72" i="78"/>
  <c r="A72" i="78"/>
  <c r="N71" i="78"/>
  <c r="M71" i="78"/>
  <c r="L71" i="78"/>
  <c r="K71" i="78"/>
  <c r="J71" i="78"/>
  <c r="I71" i="78"/>
  <c r="H71" i="78"/>
  <c r="K61" i="78"/>
  <c r="A61" i="78"/>
  <c r="N60" i="78"/>
  <c r="M60" i="78"/>
  <c r="L60" i="78"/>
  <c r="K60" i="78"/>
  <c r="J60" i="78"/>
  <c r="I60" i="78"/>
  <c r="H60" i="78"/>
  <c r="A50" i="78"/>
  <c r="A51" i="78" s="1"/>
  <c r="N49" i="78"/>
  <c r="M49" i="78"/>
  <c r="L49" i="78"/>
  <c r="K49" i="78"/>
  <c r="J49" i="78"/>
  <c r="I49" i="78"/>
  <c r="H49" i="78"/>
  <c r="A39" i="78"/>
  <c r="A28" i="78"/>
  <c r="A127" i="77"/>
  <c r="A128" i="77" s="1"/>
  <c r="A129" i="77" s="1"/>
  <c r="A130" i="77" s="1"/>
  <c r="N126" i="77"/>
  <c r="M126" i="77"/>
  <c r="L126" i="77"/>
  <c r="K126" i="77"/>
  <c r="J126" i="77"/>
  <c r="I126" i="77"/>
  <c r="H126" i="77"/>
  <c r="K116" i="77"/>
  <c r="A116" i="77"/>
  <c r="A117" i="77" s="1"/>
  <c r="N115" i="77"/>
  <c r="M115" i="77"/>
  <c r="L115" i="77"/>
  <c r="K115" i="77"/>
  <c r="J115" i="77"/>
  <c r="I115" i="77"/>
  <c r="H115" i="77"/>
  <c r="N105" i="77"/>
  <c r="A105" i="77"/>
  <c r="A106" i="77" s="1"/>
  <c r="N104" i="77"/>
  <c r="M104" i="77"/>
  <c r="L104" i="77"/>
  <c r="K104" i="77"/>
  <c r="J104" i="77"/>
  <c r="I104" i="77"/>
  <c r="H104" i="77"/>
  <c r="L94" i="77"/>
  <c r="A94" i="77"/>
  <c r="N93" i="77"/>
  <c r="M93" i="77"/>
  <c r="L93" i="77"/>
  <c r="K93" i="77"/>
  <c r="J93" i="77"/>
  <c r="I93" i="77"/>
  <c r="H93" i="77"/>
  <c r="A83" i="77"/>
  <c r="N82" i="77"/>
  <c r="M82" i="77"/>
  <c r="L82" i="77"/>
  <c r="K82" i="77"/>
  <c r="J82" i="77"/>
  <c r="I82" i="77"/>
  <c r="H82" i="77"/>
  <c r="N72" i="77"/>
  <c r="A72" i="77"/>
  <c r="N71" i="77"/>
  <c r="M71" i="77"/>
  <c r="L71" i="77"/>
  <c r="K71" i="77"/>
  <c r="J71" i="77"/>
  <c r="I71" i="77"/>
  <c r="H71" i="77"/>
  <c r="K61" i="77"/>
  <c r="A61" i="77"/>
  <c r="N60" i="77"/>
  <c r="M60" i="77"/>
  <c r="L60" i="77"/>
  <c r="K60" i="77"/>
  <c r="J60" i="77"/>
  <c r="I60" i="77"/>
  <c r="H60" i="77"/>
  <c r="M50" i="77"/>
  <c r="A50" i="77"/>
  <c r="N49" i="77"/>
  <c r="M49" i="77"/>
  <c r="L49" i="77"/>
  <c r="K49" i="77"/>
  <c r="J49" i="77"/>
  <c r="I49" i="77"/>
  <c r="H49" i="77"/>
  <c r="N39" i="77"/>
  <c r="A39" i="77"/>
  <c r="A40" i="77" s="1"/>
  <c r="A41" i="77" s="1"/>
  <c r="A42" i="77" s="1"/>
  <c r="N38" i="77"/>
  <c r="M38" i="77"/>
  <c r="L38" i="77"/>
  <c r="K38" i="77"/>
  <c r="J38" i="77"/>
  <c r="I38" i="77"/>
  <c r="H38" i="77"/>
  <c r="N28" i="77"/>
  <c r="A28" i="77"/>
  <c r="A29" i="77" s="1"/>
  <c r="N27" i="77"/>
  <c r="M27" i="77"/>
  <c r="L27" i="77"/>
  <c r="K27" i="77"/>
  <c r="J27" i="77"/>
  <c r="H27" i="77"/>
  <c r="ID4343" i="4" l="1"/>
  <c r="MB4346" i="4"/>
  <c r="IG4343" i="4"/>
  <c r="F29" i="80"/>
  <c r="K28" i="77"/>
  <c r="H100" i="104"/>
  <c r="H101" i="104"/>
  <c r="A29" i="80"/>
  <c r="A29" i="79"/>
  <c r="A30" i="79" s="1"/>
  <c r="A73" i="79"/>
  <c r="A74" i="79" s="1"/>
  <c r="M94" i="80"/>
  <c r="K94" i="80"/>
  <c r="L94" i="80"/>
  <c r="N50" i="80"/>
  <c r="K61" i="79"/>
  <c r="M94" i="79"/>
  <c r="M61" i="79"/>
  <c r="A40" i="78"/>
  <c r="L61" i="79"/>
  <c r="M39" i="80"/>
  <c r="N39" i="80"/>
  <c r="K50" i="80"/>
  <c r="L83" i="80"/>
  <c r="L50" i="80"/>
  <c r="A29" i="78"/>
  <c r="L50" i="79"/>
  <c r="M116" i="78"/>
  <c r="M50" i="79"/>
  <c r="L94" i="79"/>
  <c r="N61" i="80"/>
  <c r="N83" i="80"/>
  <c r="N127" i="80"/>
  <c r="K72" i="80"/>
  <c r="A74" i="80"/>
  <c r="N116" i="79"/>
  <c r="M116" i="79"/>
  <c r="N116" i="80"/>
  <c r="L116" i="80"/>
  <c r="M72" i="80"/>
  <c r="A86" i="80"/>
  <c r="M116" i="80"/>
  <c r="A128" i="80"/>
  <c r="L61" i="78"/>
  <c r="M61" i="78"/>
  <c r="L39" i="80"/>
  <c r="A41" i="80"/>
  <c r="A51" i="80"/>
  <c r="N72" i="80"/>
  <c r="A118" i="80"/>
  <c r="M127" i="79"/>
  <c r="N127" i="79"/>
  <c r="A96" i="80"/>
  <c r="A107" i="80"/>
  <c r="K116" i="78"/>
  <c r="K50" i="79"/>
  <c r="K61" i="80"/>
  <c r="A63" i="80"/>
  <c r="M105" i="80"/>
  <c r="K105" i="80"/>
  <c r="L127" i="80"/>
  <c r="M72" i="78"/>
  <c r="L116" i="78"/>
  <c r="L61" i="80"/>
  <c r="M83" i="80"/>
  <c r="L105" i="80"/>
  <c r="M127" i="80"/>
  <c r="K83" i="78"/>
  <c r="N83" i="78"/>
  <c r="A63" i="79"/>
  <c r="M94" i="77"/>
  <c r="K72" i="78"/>
  <c r="N94" i="77"/>
  <c r="L72" i="78"/>
  <c r="A41" i="79"/>
  <c r="L94" i="78"/>
  <c r="N94" i="78"/>
  <c r="L39" i="79"/>
  <c r="K39" i="79"/>
  <c r="K94" i="78"/>
  <c r="N127" i="78"/>
  <c r="M39" i="79"/>
  <c r="A106" i="79"/>
  <c r="N61" i="78"/>
  <c r="M94" i="78"/>
  <c r="N39" i="79"/>
  <c r="N83" i="79"/>
  <c r="M83" i="79"/>
  <c r="L83" i="79"/>
  <c r="K83" i="79"/>
  <c r="N94" i="79"/>
  <c r="A96" i="79"/>
  <c r="L116" i="79"/>
  <c r="A128" i="79"/>
  <c r="K105" i="79"/>
  <c r="A118" i="79"/>
  <c r="L105" i="79"/>
  <c r="A84" i="79"/>
  <c r="M105" i="79"/>
  <c r="K127" i="79"/>
  <c r="A51" i="79"/>
  <c r="L127" i="79"/>
  <c r="L61" i="77"/>
  <c r="L105" i="77"/>
  <c r="M61" i="77"/>
  <c r="A129" i="78"/>
  <c r="L28" i="77"/>
  <c r="N116" i="77"/>
  <c r="L116" i="77"/>
  <c r="K72" i="77"/>
  <c r="A107" i="78"/>
  <c r="A73" i="78"/>
  <c r="M127" i="77"/>
  <c r="N127" i="77"/>
  <c r="N50" i="78"/>
  <c r="M50" i="78"/>
  <c r="L50" i="78"/>
  <c r="K50" i="78"/>
  <c r="A97" i="78"/>
  <c r="L83" i="78"/>
  <c r="A62" i="78"/>
  <c r="K105" i="78"/>
  <c r="L105" i="78"/>
  <c r="A117" i="78"/>
  <c r="A52" i="78"/>
  <c r="A84" i="78"/>
  <c r="M105" i="78"/>
  <c r="K127" i="78"/>
  <c r="L127" i="78"/>
  <c r="A30" i="77"/>
  <c r="K32" i="77"/>
  <c r="K35" i="77"/>
  <c r="M39" i="77"/>
  <c r="L39" i="77"/>
  <c r="K39" i="77"/>
  <c r="N50" i="77"/>
  <c r="L50" i="77"/>
  <c r="K50" i="77"/>
  <c r="A107" i="77"/>
  <c r="K36" i="77"/>
  <c r="A62" i="77"/>
  <c r="A73" i="77"/>
  <c r="M83" i="77"/>
  <c r="L83" i="77"/>
  <c r="A131" i="77"/>
  <c r="K83" i="77"/>
  <c r="A43" i="77"/>
  <c r="K37" i="77"/>
  <c r="K29" i="77"/>
  <c r="K30" i="77"/>
  <c r="K31" i="77"/>
  <c r="K33" i="77"/>
  <c r="K34" i="77"/>
  <c r="N83" i="77"/>
  <c r="M28" i="77"/>
  <c r="N61" i="77"/>
  <c r="A95" i="77"/>
  <c r="M116" i="77"/>
  <c r="K105" i="77"/>
  <c r="A118" i="77"/>
  <c r="L72" i="77"/>
  <c r="A84" i="77"/>
  <c r="M105" i="77"/>
  <c r="K127" i="77"/>
  <c r="A51" i="77"/>
  <c r="M72" i="77"/>
  <c r="K94" i="77"/>
  <c r="L127" i="77"/>
  <c r="N104" i="72"/>
  <c r="M104" i="72"/>
  <c r="L104" i="72"/>
  <c r="K104" i="72"/>
  <c r="N93" i="72"/>
  <c r="M93" i="72"/>
  <c r="L93" i="72"/>
  <c r="K93" i="72"/>
  <c r="N82" i="72"/>
  <c r="M82" i="72"/>
  <c r="L82" i="72"/>
  <c r="K82" i="72"/>
  <c r="N71" i="72"/>
  <c r="M71" i="72"/>
  <c r="L71" i="72"/>
  <c r="K71" i="72"/>
  <c r="N60" i="72"/>
  <c r="M60" i="72"/>
  <c r="L60" i="72"/>
  <c r="K60" i="72"/>
  <c r="L49" i="72"/>
  <c r="N49" i="72"/>
  <c r="M49" i="72"/>
  <c r="K49" i="72"/>
  <c r="N38" i="72"/>
  <c r="N27" i="72"/>
  <c r="DX95" i="4" s="1"/>
  <c r="M38" i="72"/>
  <c r="M27" i="72"/>
  <c r="DW95" i="4" s="1"/>
  <c r="L38" i="72"/>
  <c r="L27" i="72"/>
  <c r="K38" i="72"/>
  <c r="K27" i="72"/>
  <c r="A30" i="80" l="1"/>
  <c r="F31" i="80" s="1"/>
  <c r="F30" i="80"/>
  <c r="K30" i="72"/>
  <c r="EF62" i="4"/>
  <c r="D79" i="51"/>
  <c r="GL48" i="4" s="1"/>
  <c r="EE62" i="4"/>
  <c r="A30" i="78"/>
  <c r="A41" i="78"/>
  <c r="A42" i="78" s="1"/>
  <c r="A108" i="80"/>
  <c r="A97" i="80"/>
  <c r="A119" i="80"/>
  <c r="A87" i="80"/>
  <c r="A52" i="80"/>
  <c r="A64" i="80"/>
  <c r="A42" i="80"/>
  <c r="A75" i="80"/>
  <c r="A129" i="80"/>
  <c r="A85" i="79"/>
  <c r="A119" i="79"/>
  <c r="A97" i="79"/>
  <c r="A107" i="79"/>
  <c r="A64" i="79"/>
  <c r="A52" i="79"/>
  <c r="A75" i="79"/>
  <c r="A129" i="79"/>
  <c r="A42" i="79"/>
  <c r="A31" i="79"/>
  <c r="A63" i="78"/>
  <c r="A130" i="78"/>
  <c r="A85" i="78"/>
  <c r="A53" i="78"/>
  <c r="A118" i="78"/>
  <c r="A98" i="78"/>
  <c r="A74" i="78"/>
  <c r="A108" i="78"/>
  <c r="A85" i="77"/>
  <c r="A96" i="77"/>
  <c r="A108" i="77"/>
  <c r="A52" i="77"/>
  <c r="A74" i="77"/>
  <c r="A119" i="77"/>
  <c r="A63" i="77"/>
  <c r="A44" i="77"/>
  <c r="A132" i="77"/>
  <c r="A31" i="77"/>
  <c r="K28" i="72"/>
  <c r="K29" i="72"/>
  <c r="K35" i="72"/>
  <c r="K36" i="72"/>
  <c r="K37" i="72"/>
  <c r="K34" i="72"/>
  <c r="K33" i="72"/>
  <c r="K32" i="72"/>
  <c r="K31" i="72"/>
  <c r="D50" i="41"/>
  <c r="D36" i="41"/>
  <c r="D70" i="41" s="1"/>
  <c r="F70" i="41" s="1"/>
  <c r="D56" i="49"/>
  <c r="D40" i="49"/>
  <c r="D84" i="49" s="1"/>
  <c r="D85" i="49" s="1"/>
  <c r="F85" i="49" s="1"/>
  <c r="D47" i="51"/>
  <c r="GL16" i="4" s="1"/>
  <c r="A31" i="80" l="1"/>
  <c r="F32" i="80" s="1"/>
  <c r="GL44" i="4"/>
  <c r="F79" i="51"/>
  <c r="F94" i="49"/>
  <c r="F95" i="49" s="1"/>
  <c r="D94" i="49"/>
  <c r="D95" i="49" s="1"/>
  <c r="GG4344" i="4" s="1"/>
  <c r="D71" i="41"/>
  <c r="F84" i="49"/>
  <c r="D77" i="41"/>
  <c r="D78" i="41" s="1"/>
  <c r="F77" i="41"/>
  <c r="A31" i="78"/>
  <c r="A76" i="80"/>
  <c r="A109" i="80"/>
  <c r="A53" i="80"/>
  <c r="A65" i="80"/>
  <c r="A98" i="80"/>
  <c r="A43" i="80"/>
  <c r="A88" i="80"/>
  <c r="A130" i="80"/>
  <c r="A120" i="80"/>
  <c r="A76" i="79"/>
  <c r="A108" i="79"/>
  <c r="A43" i="79"/>
  <c r="A53" i="79"/>
  <c r="A65" i="79"/>
  <c r="A120" i="79"/>
  <c r="A130" i="79"/>
  <c r="A86" i="79"/>
  <c r="A32" i="79"/>
  <c r="A98" i="79"/>
  <c r="A109" i="78"/>
  <c r="A43" i="78"/>
  <c r="A86" i="78"/>
  <c r="A99" i="78"/>
  <c r="A64" i="78"/>
  <c r="A75" i="78"/>
  <c r="A54" i="78"/>
  <c r="A131" i="78"/>
  <c r="A119" i="78"/>
  <c r="A109" i="77"/>
  <c r="A45" i="77"/>
  <c r="A97" i="77"/>
  <c r="A120" i="77"/>
  <c r="A32" i="77"/>
  <c r="A75" i="77"/>
  <c r="A64" i="77"/>
  <c r="A53" i="77"/>
  <c r="A133" i="77"/>
  <c r="A86" i="77"/>
  <c r="F27" i="41"/>
  <c r="D45" i="51"/>
  <c r="GL14" i="4" s="1"/>
  <c r="D44" i="51"/>
  <c r="GL13" i="4" s="1"/>
  <c r="F36" i="51"/>
  <c r="D46" i="51"/>
  <c r="GL15" i="4" s="1"/>
  <c r="D43" i="51"/>
  <c r="GL12" i="4" s="1"/>
  <c r="D53" i="49"/>
  <c r="D52" i="49"/>
  <c r="D39" i="49"/>
  <c r="D82" i="49" s="1"/>
  <c r="D38" i="49"/>
  <c r="D80" i="49" s="1"/>
  <c r="D37" i="49"/>
  <c r="D79" i="49" s="1"/>
  <c r="D36" i="49"/>
  <c r="D78" i="49" s="1"/>
  <c r="D37" i="51"/>
  <c r="GL6" i="4" s="1"/>
  <c r="D46" i="49"/>
  <c r="D30" i="49"/>
  <c r="D42" i="41"/>
  <c r="A32" i="80" l="1"/>
  <c r="F33" i="80" s="1"/>
  <c r="IH4343" i="4"/>
  <c r="GB4344" i="4"/>
  <c r="F71" i="41"/>
  <c r="MH4343" i="4"/>
  <c r="GG4343" i="4"/>
  <c r="IM4343" i="4"/>
  <c r="GB4343" i="4"/>
  <c r="MC4343" i="4"/>
  <c r="GL38" i="4"/>
  <c r="GL45" i="4"/>
  <c r="IR4343" i="4"/>
  <c r="GL4343" i="4"/>
  <c r="MM4343" i="4"/>
  <c r="GL43" i="4"/>
  <c r="GL42" i="4"/>
  <c r="GL41" i="4"/>
  <c r="F89" i="49"/>
  <c r="D89" i="49"/>
  <c r="GG4338" i="4" s="1"/>
  <c r="F88" i="49"/>
  <c r="D88" i="49"/>
  <c r="F78" i="41"/>
  <c r="F78" i="49"/>
  <c r="F79" i="49"/>
  <c r="F80" i="49"/>
  <c r="D83" i="49"/>
  <c r="D81" i="49"/>
  <c r="A32" i="78"/>
  <c r="A121" i="80"/>
  <c r="A89" i="80"/>
  <c r="A44" i="80"/>
  <c r="A77" i="80"/>
  <c r="A66" i="80"/>
  <c r="A54" i="80"/>
  <c r="A131" i="80"/>
  <c r="A99" i="80"/>
  <c r="A110" i="80"/>
  <c r="A99" i="79"/>
  <c r="A44" i="79"/>
  <c r="A109" i="79"/>
  <c r="A87" i="79"/>
  <c r="A54" i="79"/>
  <c r="A131" i="79"/>
  <c r="A77" i="79"/>
  <c r="A121" i="79"/>
  <c r="A66" i="79"/>
  <c r="A33" i="79"/>
  <c r="A132" i="78"/>
  <c r="A87" i="78"/>
  <c r="A55" i="78"/>
  <c r="A76" i="78"/>
  <c r="A120" i="78"/>
  <c r="A44" i="78"/>
  <c r="A100" i="78"/>
  <c r="A110" i="78"/>
  <c r="A65" i="78"/>
  <c r="A65" i="77"/>
  <c r="A76" i="77"/>
  <c r="A33" i="77"/>
  <c r="A46" i="77"/>
  <c r="A98" i="77"/>
  <c r="A87" i="77"/>
  <c r="A54" i="77"/>
  <c r="A121" i="77"/>
  <c r="A110" i="77"/>
  <c r="A134" i="77"/>
  <c r="D47" i="41"/>
  <c r="D35" i="41"/>
  <c r="D69" i="41" s="1"/>
  <c r="D34" i="41"/>
  <c r="D33" i="41"/>
  <c r="D67" i="41" s="1"/>
  <c r="F109" i="49" l="1"/>
  <c r="OL4338" i="4" s="1"/>
  <c r="A33" i="80"/>
  <c r="A34" i="80" s="1"/>
  <c r="F35" i="80" s="1"/>
  <c r="TM15" i="4"/>
  <c r="A42" i="99" s="1"/>
  <c r="F34" i="80"/>
  <c r="F100" i="51"/>
  <c r="D109" i="49"/>
  <c r="D28" i="70" s="1"/>
  <c r="F71" i="51"/>
  <c r="F91" i="51" s="1"/>
  <c r="G66" i="70" s="1"/>
  <c r="GL40" i="4"/>
  <c r="F70" i="51"/>
  <c r="F90" i="51" s="1"/>
  <c r="OO4338" i="4" s="1"/>
  <c r="GL39" i="4"/>
  <c r="D90" i="51"/>
  <c r="GL59" i="4" s="1"/>
  <c r="D91" i="51"/>
  <c r="GL60" i="4" s="1"/>
  <c r="D89" i="51"/>
  <c r="GL58" i="4" s="1"/>
  <c r="F69" i="51"/>
  <c r="G100" i="51" s="1"/>
  <c r="GL4344" i="4"/>
  <c r="GL4339" i="4"/>
  <c r="GL4338" i="4"/>
  <c r="D68" i="41"/>
  <c r="F102" i="51"/>
  <c r="F101" i="51"/>
  <c r="F94" i="51"/>
  <c r="D94" i="51"/>
  <c r="GL63" i="4" s="1"/>
  <c r="F72" i="51"/>
  <c r="F92" i="51" s="1"/>
  <c r="I66" i="70" s="1"/>
  <c r="D92" i="51"/>
  <c r="GL61" i="4" s="1"/>
  <c r="F73" i="51"/>
  <c r="F93" i="51" s="1"/>
  <c r="D93" i="51"/>
  <c r="GL62" i="4" s="1"/>
  <c r="F119" i="49"/>
  <c r="F67" i="41"/>
  <c r="F69" i="41"/>
  <c r="G119" i="49"/>
  <c r="F82" i="49"/>
  <c r="F83" i="49"/>
  <c r="F81" i="49"/>
  <c r="F74" i="41"/>
  <c r="D74" i="41"/>
  <c r="A33" i="78"/>
  <c r="A111" i="80"/>
  <c r="A55" i="80"/>
  <c r="A132" i="80"/>
  <c r="A122" i="80"/>
  <c r="A100" i="80"/>
  <c r="A67" i="80"/>
  <c r="A78" i="80"/>
  <c r="A90" i="80"/>
  <c r="A45" i="80"/>
  <c r="A88" i="79"/>
  <c r="A100" i="79"/>
  <c r="A78" i="79"/>
  <c r="A110" i="79"/>
  <c r="A67" i="79"/>
  <c r="A122" i="79"/>
  <c r="A55" i="79"/>
  <c r="A34" i="79"/>
  <c r="A132" i="79"/>
  <c r="A45" i="79"/>
  <c r="A66" i="78"/>
  <c r="A101" i="78"/>
  <c r="A56" i="78"/>
  <c r="A111" i="78"/>
  <c r="A121" i="78"/>
  <c r="A45" i="78"/>
  <c r="A88" i="78"/>
  <c r="A77" i="78"/>
  <c r="A133" i="78"/>
  <c r="A47" i="77"/>
  <c r="A88" i="77"/>
  <c r="A111" i="77"/>
  <c r="A122" i="77"/>
  <c r="A77" i="77"/>
  <c r="A34" i="77"/>
  <c r="A55" i="77"/>
  <c r="A66" i="77"/>
  <c r="A135" i="77"/>
  <c r="A99" i="77"/>
  <c r="A132" i="76"/>
  <c r="CD100" i="90"/>
  <c r="A121" i="76"/>
  <c r="CB100" i="90" s="1"/>
  <c r="CB207" i="90" s="1"/>
  <c r="CD90" i="90"/>
  <c r="A110" i="76"/>
  <c r="CB90" i="90" s="1"/>
  <c r="CB197" i="90" s="1"/>
  <c r="CD80" i="90"/>
  <c r="A99" i="76"/>
  <c r="A88" i="76"/>
  <c r="CD60" i="90"/>
  <c r="A77" i="76"/>
  <c r="CB60" i="90" s="1"/>
  <c r="CB167" i="90" s="1"/>
  <c r="CD50" i="90"/>
  <c r="A66" i="76"/>
  <c r="CB50" i="90" s="1"/>
  <c r="CB157" i="90" s="1"/>
  <c r="CD40" i="90"/>
  <c r="A55" i="76"/>
  <c r="CD30" i="90"/>
  <c r="A44" i="76"/>
  <c r="A33" i="76"/>
  <c r="F24" i="76"/>
  <c r="F23" i="76"/>
  <c r="CJ110" i="90"/>
  <c r="A132" i="75"/>
  <c r="CJ100" i="90"/>
  <c r="A121" i="75"/>
  <c r="CJ90" i="90"/>
  <c r="A110" i="75"/>
  <c r="CJ80" i="90"/>
  <c r="A99" i="75"/>
  <c r="CJ70" i="90"/>
  <c r="A88" i="75"/>
  <c r="A77" i="75"/>
  <c r="CJ50" i="90"/>
  <c r="A66" i="75"/>
  <c r="CH50" i="90" s="1"/>
  <c r="CH157" i="90" s="1"/>
  <c r="CJ40" i="90"/>
  <c r="A55" i="75"/>
  <c r="A44" i="75"/>
  <c r="A33" i="75"/>
  <c r="F24" i="75"/>
  <c r="F23" i="75"/>
  <c r="CB322" i="4"/>
  <c r="A132" i="74"/>
  <c r="BX100" i="90"/>
  <c r="CB311" i="4"/>
  <c r="A121" i="74"/>
  <c r="BV100" i="90" s="1"/>
  <c r="BV207" i="90" s="1"/>
  <c r="BX90" i="90"/>
  <c r="CB300" i="4"/>
  <c r="A110" i="74"/>
  <c r="BV90" i="90" s="1"/>
  <c r="BV197" i="90" s="1"/>
  <c r="CB289" i="4"/>
  <c r="A99" i="74"/>
  <c r="CB278" i="4"/>
  <c r="A88" i="74"/>
  <c r="BX60" i="90"/>
  <c r="CB267" i="4"/>
  <c r="A77" i="74"/>
  <c r="BX50" i="90"/>
  <c r="CB256" i="4"/>
  <c r="A66" i="74"/>
  <c r="CB245" i="4"/>
  <c r="A55" i="74"/>
  <c r="A44" i="74"/>
  <c r="A33" i="74"/>
  <c r="F24" i="74"/>
  <c r="F23" i="74"/>
  <c r="BR110" i="90"/>
  <c r="A132" i="73"/>
  <c r="BR100" i="90"/>
  <c r="A121" i="73"/>
  <c r="A110" i="73"/>
  <c r="A99" i="73"/>
  <c r="BR70" i="90"/>
  <c r="A88" i="73"/>
  <c r="BR60" i="90"/>
  <c r="A77" i="73"/>
  <c r="BR50" i="90"/>
  <c r="A66" i="73"/>
  <c r="A55" i="73"/>
  <c r="BP40" i="90" s="1"/>
  <c r="BP147" i="90" s="1"/>
  <c r="A44" i="73"/>
  <c r="A33" i="73"/>
  <c r="F24" i="73"/>
  <c r="F23" i="73"/>
  <c r="E65" i="70" l="1"/>
  <c r="GN4339" i="4"/>
  <c r="F34" i="74"/>
  <c r="E34" i="74"/>
  <c r="A34" i="78"/>
  <c r="A35" i="78" s="1"/>
  <c r="GN4338" i="4"/>
  <c r="D29" i="70"/>
  <c r="E66" i="70"/>
  <c r="KJ4339" i="4"/>
  <c r="GI4338" i="4"/>
  <c r="GL2" i="4"/>
  <c r="P29" i="70"/>
  <c r="F29" i="70"/>
  <c r="CB498" i="4"/>
  <c r="CF498" i="4"/>
  <c r="CB531" i="4"/>
  <c r="CF531" i="4"/>
  <c r="CB476" i="4"/>
  <c r="CF476" i="4"/>
  <c r="CB509" i="4"/>
  <c r="CF509" i="4"/>
  <c r="CB454" i="4"/>
  <c r="CF454" i="4"/>
  <c r="CB542" i="4"/>
  <c r="CF542" i="4"/>
  <c r="CB487" i="4"/>
  <c r="CF487" i="4"/>
  <c r="CB520" i="4"/>
  <c r="CF520" i="4"/>
  <c r="CB465" i="4"/>
  <c r="CF465" i="4"/>
  <c r="F68" i="41"/>
  <c r="J29" i="70"/>
  <c r="L29" i="70"/>
  <c r="H29" i="70"/>
  <c r="BS110" i="90"/>
  <c r="BT110" i="90"/>
  <c r="BY90" i="90"/>
  <c r="BZ90" i="90"/>
  <c r="CK70" i="90"/>
  <c r="CL70" i="90"/>
  <c r="CE50" i="90"/>
  <c r="CF50" i="90"/>
  <c r="CL100" i="90"/>
  <c r="CK100" i="90"/>
  <c r="CK50" i="90"/>
  <c r="CL50" i="90"/>
  <c r="CE30" i="90"/>
  <c r="CF30" i="90"/>
  <c r="BZ100" i="90"/>
  <c r="BY100" i="90"/>
  <c r="CK80" i="90"/>
  <c r="CL80" i="90"/>
  <c r="CF60" i="90"/>
  <c r="CE60" i="90"/>
  <c r="BS70" i="90"/>
  <c r="BT70" i="90"/>
  <c r="BY50" i="90"/>
  <c r="BZ50" i="90"/>
  <c r="CK110" i="90"/>
  <c r="CL110" i="90"/>
  <c r="CE90" i="90"/>
  <c r="CF90" i="90"/>
  <c r="BS100" i="90"/>
  <c r="BT100" i="90"/>
  <c r="CF40" i="90"/>
  <c r="CE40" i="90"/>
  <c r="BS60" i="90"/>
  <c r="BT60" i="90"/>
  <c r="CF80" i="90"/>
  <c r="CE80" i="90"/>
  <c r="BS50" i="90"/>
  <c r="BT50" i="90"/>
  <c r="CK90" i="90"/>
  <c r="CL90" i="90"/>
  <c r="BY60" i="90"/>
  <c r="BZ60" i="90"/>
  <c r="CK40" i="90"/>
  <c r="CL40" i="90"/>
  <c r="CF100" i="90"/>
  <c r="CE100" i="90"/>
  <c r="CF212" i="4"/>
  <c r="CB212" i="4"/>
  <c r="CF366" i="4"/>
  <c r="CB366" i="4"/>
  <c r="CF399" i="4"/>
  <c r="CB399" i="4"/>
  <c r="CF190" i="4"/>
  <c r="CB190" i="4"/>
  <c r="CF344" i="4"/>
  <c r="CB344" i="4"/>
  <c r="CF432" i="4"/>
  <c r="CB432" i="4"/>
  <c r="CF157" i="4"/>
  <c r="CB157" i="4"/>
  <c r="CF135" i="4"/>
  <c r="CB135" i="4"/>
  <c r="CF377" i="4"/>
  <c r="CB377" i="4"/>
  <c r="CF124" i="4"/>
  <c r="CF168" i="4"/>
  <c r="CB168" i="4"/>
  <c r="CF410" i="4"/>
  <c r="CB410" i="4"/>
  <c r="CF201" i="4"/>
  <c r="CB201" i="4"/>
  <c r="CF355" i="4"/>
  <c r="CB355" i="4"/>
  <c r="CF146" i="4"/>
  <c r="CB146" i="4"/>
  <c r="CF388" i="4"/>
  <c r="CB388" i="4"/>
  <c r="CF179" i="4"/>
  <c r="CF421" i="4"/>
  <c r="CB421" i="4"/>
  <c r="Y100" i="90"/>
  <c r="ES195" i="90" s="1"/>
  <c r="CH100" i="90"/>
  <c r="CH207" i="90" s="1"/>
  <c r="Y20" i="90"/>
  <c r="ES115" i="90" s="1"/>
  <c r="CH20" i="90"/>
  <c r="CH127" i="90" s="1"/>
  <c r="Y110" i="90"/>
  <c r="ES205" i="90" s="1"/>
  <c r="CH110" i="90"/>
  <c r="CH217" i="90" s="1"/>
  <c r="Y60" i="90"/>
  <c r="ES155" i="90" s="1"/>
  <c r="CH60" i="90"/>
  <c r="CH167" i="90" s="1"/>
  <c r="Y90" i="90"/>
  <c r="ES185" i="90" s="1"/>
  <c r="CH90" i="90"/>
  <c r="CH197" i="90" s="1"/>
  <c r="Y40" i="90"/>
  <c r="ES135" i="90" s="1"/>
  <c r="CH40" i="90"/>
  <c r="CH147" i="90" s="1"/>
  <c r="Y80" i="90"/>
  <c r="ES175" i="90" s="1"/>
  <c r="CH80" i="90"/>
  <c r="CH187" i="90" s="1"/>
  <c r="Y30" i="90"/>
  <c r="ES125" i="90" s="1"/>
  <c r="CH30" i="90"/>
  <c r="CH137" i="90" s="1"/>
  <c r="Y70" i="90"/>
  <c r="ES165" i="90" s="1"/>
  <c r="CH70" i="90"/>
  <c r="CH177" i="90" s="1"/>
  <c r="S30" i="90"/>
  <c r="EM125" i="90" s="1"/>
  <c r="CB30" i="90"/>
  <c r="CB137" i="90" s="1"/>
  <c r="S110" i="90"/>
  <c r="EM205" i="90" s="1"/>
  <c r="CB110" i="90"/>
  <c r="CB217" i="90" s="1"/>
  <c r="CB20" i="90"/>
  <c r="CB127" i="90" s="1"/>
  <c r="S40" i="90"/>
  <c r="EM135" i="90" s="1"/>
  <c r="CB40" i="90"/>
  <c r="CB147" i="90" s="1"/>
  <c r="S80" i="90"/>
  <c r="EM175" i="90" s="1"/>
  <c r="CB80" i="90"/>
  <c r="CB187" i="90" s="1"/>
  <c r="S70" i="90"/>
  <c r="EM165" i="90" s="1"/>
  <c r="CB70" i="90"/>
  <c r="CB177" i="90" s="1"/>
  <c r="M70" i="90"/>
  <c r="EG165" i="90" s="1"/>
  <c r="BV70" i="90"/>
  <c r="BV177" i="90" s="1"/>
  <c r="M50" i="90"/>
  <c r="EG145" i="90" s="1"/>
  <c r="BV50" i="90"/>
  <c r="BV157" i="90" s="1"/>
  <c r="M20" i="90"/>
  <c r="EG115" i="90" s="1"/>
  <c r="BV20" i="90"/>
  <c r="BV127" i="90" s="1"/>
  <c r="M30" i="90"/>
  <c r="EG125" i="90" s="1"/>
  <c r="BV30" i="90"/>
  <c r="BV137" i="90" s="1"/>
  <c r="M80" i="90"/>
  <c r="EG175" i="90" s="1"/>
  <c r="BV80" i="90"/>
  <c r="BV187" i="90" s="1"/>
  <c r="M110" i="90"/>
  <c r="EG205" i="90" s="1"/>
  <c r="BV110" i="90"/>
  <c r="BV217" i="90" s="1"/>
  <c r="A67" i="74"/>
  <c r="A68" i="74" s="1"/>
  <c r="M60" i="90"/>
  <c r="EG155" i="90" s="1"/>
  <c r="BV60" i="90"/>
  <c r="BV167" i="90" s="1"/>
  <c r="M40" i="90"/>
  <c r="EG135" i="90" s="1"/>
  <c r="BV40" i="90"/>
  <c r="BV147" i="90" s="1"/>
  <c r="G30" i="90"/>
  <c r="EA125" i="90" s="1"/>
  <c r="BP30" i="90"/>
  <c r="BP137" i="90" s="1"/>
  <c r="G90" i="90"/>
  <c r="EA185" i="90" s="1"/>
  <c r="BP90" i="90"/>
  <c r="BP197" i="90" s="1"/>
  <c r="G100" i="90"/>
  <c r="EA195" i="90" s="1"/>
  <c r="BP100" i="90"/>
  <c r="BP207" i="90" s="1"/>
  <c r="G70" i="90"/>
  <c r="EA165" i="90" s="1"/>
  <c r="BP70" i="90"/>
  <c r="BP177" i="90" s="1"/>
  <c r="G20" i="90"/>
  <c r="EA115" i="90" s="1"/>
  <c r="BP20" i="90"/>
  <c r="BP127" i="90" s="1"/>
  <c r="G50" i="90"/>
  <c r="EA145" i="90" s="1"/>
  <c r="BP50" i="90"/>
  <c r="BP157" i="90" s="1"/>
  <c r="G80" i="90"/>
  <c r="EA175" i="90" s="1"/>
  <c r="BP80" i="90"/>
  <c r="BP187" i="90" s="1"/>
  <c r="G110" i="90"/>
  <c r="EA205" i="90" s="1"/>
  <c r="BP110" i="90"/>
  <c r="BP217" i="90" s="1"/>
  <c r="G60" i="90"/>
  <c r="EA155" i="90" s="1"/>
  <c r="BP60" i="90"/>
  <c r="BP167" i="90" s="1"/>
  <c r="OO4341" i="4"/>
  <c r="K66" i="70"/>
  <c r="OO4342" i="4"/>
  <c r="M66" i="70"/>
  <c r="M147" i="90"/>
  <c r="ES59" i="90"/>
  <c r="G197" i="90"/>
  <c r="ES89" i="90"/>
  <c r="Y197" i="90"/>
  <c r="N60" i="90"/>
  <c r="N167" i="90" s="1"/>
  <c r="BW60" i="90"/>
  <c r="BW167" i="90" s="1"/>
  <c r="CJ197" i="90"/>
  <c r="T100" i="90"/>
  <c r="T207" i="90" s="1"/>
  <c r="CC100" i="90"/>
  <c r="CC207" i="90" s="1"/>
  <c r="H60" i="90"/>
  <c r="EB155" i="90" s="1"/>
  <c r="BQ60" i="90"/>
  <c r="BQ167" i="90" s="1"/>
  <c r="BR217" i="90"/>
  <c r="N40" i="90"/>
  <c r="N147" i="90" s="1"/>
  <c r="BW40" i="90"/>
  <c r="BW147" i="90" s="1"/>
  <c r="BX167" i="90"/>
  <c r="N90" i="90"/>
  <c r="EH185" i="90" s="1"/>
  <c r="BW90" i="90"/>
  <c r="BW197" i="90" s="1"/>
  <c r="CJ147" i="90"/>
  <c r="Z70" i="90"/>
  <c r="CI70" i="90"/>
  <c r="CI177" i="90" s="1"/>
  <c r="T50" i="90"/>
  <c r="EN145" i="90" s="1"/>
  <c r="CC50" i="90"/>
  <c r="CC157" i="90" s="1"/>
  <c r="CD207" i="90"/>
  <c r="BR157" i="90"/>
  <c r="H110" i="90"/>
  <c r="H217" i="90" s="1"/>
  <c r="BQ110" i="90"/>
  <c r="BQ217" i="90" s="1"/>
  <c r="O110" i="90"/>
  <c r="BX110" i="90"/>
  <c r="Z40" i="90"/>
  <c r="CI40" i="90"/>
  <c r="CI147" i="90" s="1"/>
  <c r="U70" i="90"/>
  <c r="CD70" i="90"/>
  <c r="BR167" i="90"/>
  <c r="H90" i="90"/>
  <c r="EB185" i="90" s="1"/>
  <c r="BQ90" i="90"/>
  <c r="BQ197" i="90" s="1"/>
  <c r="O40" i="90"/>
  <c r="BX40" i="90"/>
  <c r="BX197" i="90"/>
  <c r="CJ177" i="90"/>
  <c r="Z100" i="90"/>
  <c r="CI100" i="90"/>
  <c r="CI207" i="90" s="1"/>
  <c r="CD157" i="90"/>
  <c r="T80" i="90"/>
  <c r="T187" i="90" s="1"/>
  <c r="CC80" i="90"/>
  <c r="CC187" i="90" s="1"/>
  <c r="H40" i="90"/>
  <c r="EB135" i="90" s="1"/>
  <c r="BQ40" i="90"/>
  <c r="BQ147" i="90" s="1"/>
  <c r="I90" i="90"/>
  <c r="BR90" i="90"/>
  <c r="N70" i="90"/>
  <c r="N177" i="90" s="1"/>
  <c r="BW70" i="90"/>
  <c r="BW177" i="90" s="1"/>
  <c r="Z50" i="90"/>
  <c r="CI50" i="90"/>
  <c r="CI157" i="90" s="1"/>
  <c r="CJ207" i="90"/>
  <c r="T30" i="90"/>
  <c r="EN125" i="90" s="1"/>
  <c r="CC30" i="90"/>
  <c r="CC137" i="90" s="1"/>
  <c r="CD187" i="90"/>
  <c r="T110" i="90"/>
  <c r="EN205" i="90" s="1"/>
  <c r="CC110" i="90"/>
  <c r="CC217" i="90" s="1"/>
  <c r="Z80" i="90"/>
  <c r="CI80" i="90"/>
  <c r="CI187" i="90" s="1"/>
  <c r="I40" i="90"/>
  <c r="BR40" i="90"/>
  <c r="O70" i="90"/>
  <c r="BX70" i="90"/>
  <c r="N100" i="90"/>
  <c r="EH195" i="90" s="1"/>
  <c r="BW100" i="90"/>
  <c r="BW207" i="90" s="1"/>
  <c r="BR177" i="90"/>
  <c r="H100" i="90"/>
  <c r="BQ100" i="90"/>
  <c r="BQ207" i="90" s="1"/>
  <c r="BX157" i="90"/>
  <c r="BX207" i="90"/>
  <c r="Z30" i="90"/>
  <c r="CI30" i="90"/>
  <c r="CI137" i="90" s="1"/>
  <c r="CJ187" i="90"/>
  <c r="Z110" i="90"/>
  <c r="CI110" i="90"/>
  <c r="CI217" i="90" s="1"/>
  <c r="CD167" i="90"/>
  <c r="T90" i="90"/>
  <c r="EN185" i="90" s="1"/>
  <c r="CC90" i="90"/>
  <c r="CC197" i="90" s="1"/>
  <c r="H70" i="90"/>
  <c r="EB165" i="90" s="1"/>
  <c r="BQ70" i="90"/>
  <c r="BQ177" i="90" s="1"/>
  <c r="N50" i="90"/>
  <c r="EH145" i="90" s="1"/>
  <c r="BW50" i="90"/>
  <c r="BW157" i="90" s="1"/>
  <c r="CJ157" i="90"/>
  <c r="CD137" i="90"/>
  <c r="T60" i="90"/>
  <c r="EN155" i="90" s="1"/>
  <c r="CC60" i="90"/>
  <c r="CC167" i="90" s="1"/>
  <c r="U110" i="90"/>
  <c r="CD110" i="90"/>
  <c r="H50" i="90"/>
  <c r="H157" i="90" s="1"/>
  <c r="BQ50" i="90"/>
  <c r="BQ157" i="90" s="1"/>
  <c r="BR207" i="90"/>
  <c r="N80" i="90"/>
  <c r="EH175" i="90" s="1"/>
  <c r="BW80" i="90"/>
  <c r="BW187" i="90" s="1"/>
  <c r="AA30" i="90"/>
  <c r="CJ30" i="90"/>
  <c r="Z60" i="90"/>
  <c r="CI60" i="90"/>
  <c r="CI167" i="90" s="1"/>
  <c r="CJ217" i="90"/>
  <c r="T40" i="90"/>
  <c r="T147" i="90" s="1"/>
  <c r="CC40" i="90"/>
  <c r="CC147" i="90" s="1"/>
  <c r="CD197" i="90"/>
  <c r="O80" i="90"/>
  <c r="BX80" i="90"/>
  <c r="N110" i="90"/>
  <c r="EH205" i="90" s="1"/>
  <c r="BW110" i="90"/>
  <c r="BW217" i="90" s="1"/>
  <c r="AA60" i="90"/>
  <c r="CJ60" i="90"/>
  <c r="Z90" i="90"/>
  <c r="CI90" i="90"/>
  <c r="CI197" i="90" s="1"/>
  <c r="CD147" i="90"/>
  <c r="T70" i="90"/>
  <c r="EN165" i="90" s="1"/>
  <c r="CC70" i="90"/>
  <c r="CC177" i="90" s="1"/>
  <c r="A67" i="75"/>
  <c r="CH51" i="90" s="1"/>
  <c r="CH158" i="90" s="1"/>
  <c r="Y50" i="90"/>
  <c r="ES145" i="90" s="1"/>
  <c r="A111" i="75"/>
  <c r="CH91" i="90" s="1"/>
  <c r="CH198" i="90" s="1"/>
  <c r="G102" i="51"/>
  <c r="G101" i="51"/>
  <c r="MO4341" i="4"/>
  <c r="MO4342" i="4"/>
  <c r="A111" i="76"/>
  <c r="A112" i="76" s="1"/>
  <c r="S90" i="90"/>
  <c r="EM185" i="90" s="1"/>
  <c r="A122" i="76"/>
  <c r="S100" i="90"/>
  <c r="EM195" i="90" s="1"/>
  <c r="A67" i="76"/>
  <c r="A68" i="76" s="1"/>
  <c r="S50" i="90"/>
  <c r="EM145" i="90" s="1"/>
  <c r="A78" i="76"/>
  <c r="S60" i="90"/>
  <c r="EM155" i="90" s="1"/>
  <c r="A34" i="76"/>
  <c r="A35" i="76" s="1"/>
  <c r="S20" i="90"/>
  <c r="EM115" i="90" s="1"/>
  <c r="A111" i="74"/>
  <c r="A112" i="74" s="1"/>
  <c r="M90" i="90"/>
  <c r="EG185" i="90" s="1"/>
  <c r="A78" i="74"/>
  <c r="BV61" i="90" s="1"/>
  <c r="BV168" i="90" s="1"/>
  <c r="A122" i="74"/>
  <c r="BV101" i="90" s="1"/>
  <c r="BV208" i="90" s="1"/>
  <c r="M100" i="90"/>
  <c r="EG195" i="90" s="1"/>
  <c r="A56" i="73"/>
  <c r="G40" i="90"/>
  <c r="EA135" i="90" s="1"/>
  <c r="A111" i="73"/>
  <c r="A112" i="73" s="1"/>
  <c r="G121" i="73"/>
  <c r="I100" i="90"/>
  <c r="G121" i="74"/>
  <c r="O100" i="90"/>
  <c r="G99" i="75"/>
  <c r="AA80" i="90"/>
  <c r="G121" i="75"/>
  <c r="AA100" i="90"/>
  <c r="G99" i="76"/>
  <c r="U80" i="90"/>
  <c r="H44" i="76"/>
  <c r="U30" i="90"/>
  <c r="G77" i="76"/>
  <c r="U60" i="90"/>
  <c r="G77" i="73"/>
  <c r="I60" i="90"/>
  <c r="H132" i="73"/>
  <c r="I110" i="90"/>
  <c r="G77" i="74"/>
  <c r="O60" i="90"/>
  <c r="G110" i="75"/>
  <c r="AA90" i="90"/>
  <c r="H132" i="75"/>
  <c r="AA110" i="90"/>
  <c r="H110" i="76"/>
  <c r="U90" i="90"/>
  <c r="G55" i="75"/>
  <c r="AA40" i="90"/>
  <c r="G55" i="76"/>
  <c r="U40" i="90"/>
  <c r="G66" i="73"/>
  <c r="I50" i="90"/>
  <c r="G110" i="74"/>
  <c r="O90" i="90"/>
  <c r="H88" i="75"/>
  <c r="AA70" i="90"/>
  <c r="G88" i="73"/>
  <c r="I70" i="90"/>
  <c r="G121" i="76"/>
  <c r="U100" i="90"/>
  <c r="G66" i="74"/>
  <c r="O50" i="90"/>
  <c r="G66" i="75"/>
  <c r="AA50" i="90"/>
  <c r="H66" i="76"/>
  <c r="U50" i="90"/>
  <c r="A100" i="73"/>
  <c r="A101" i="73" s="1"/>
  <c r="F120" i="49"/>
  <c r="F129" i="49"/>
  <c r="F121" i="49"/>
  <c r="A34" i="74"/>
  <c r="G121" i="49"/>
  <c r="G120" i="49"/>
  <c r="G129" i="49"/>
  <c r="F96" i="41"/>
  <c r="G96" i="41"/>
  <c r="H121" i="76"/>
  <c r="A46" i="80"/>
  <c r="A68" i="80"/>
  <c r="A91" i="80"/>
  <c r="A123" i="80"/>
  <c r="A133" i="80"/>
  <c r="A112" i="80"/>
  <c r="A35" i="80"/>
  <c r="F36" i="80" s="1"/>
  <c r="A101" i="80"/>
  <c r="A79" i="80"/>
  <c r="A56" i="80"/>
  <c r="A35" i="79"/>
  <c r="A46" i="79"/>
  <c r="A68" i="79"/>
  <c r="A79" i="79"/>
  <c r="A123" i="79"/>
  <c r="A111" i="79"/>
  <c r="A133" i="79"/>
  <c r="A56" i="79"/>
  <c r="A89" i="79"/>
  <c r="A101" i="79"/>
  <c r="A46" i="78"/>
  <c r="A57" i="78"/>
  <c r="A112" i="78"/>
  <c r="H77" i="76"/>
  <c r="A102" i="78"/>
  <c r="H55" i="75"/>
  <c r="A134" i="78"/>
  <c r="A122" i="78"/>
  <c r="A89" i="78"/>
  <c r="A78" i="78"/>
  <c r="A67" i="78"/>
  <c r="H99" i="76"/>
  <c r="A100" i="77"/>
  <c r="A56" i="77"/>
  <c r="A35" i="77"/>
  <c r="H66" i="75"/>
  <c r="A78" i="77"/>
  <c r="A136" i="77"/>
  <c r="A123" i="77"/>
  <c r="A89" i="77"/>
  <c r="A48" i="77"/>
  <c r="A112" i="77"/>
  <c r="H55" i="76"/>
  <c r="H99" i="75"/>
  <c r="A67" i="77"/>
  <c r="G44" i="76"/>
  <c r="A100" i="76"/>
  <c r="H132" i="76"/>
  <c r="G132" i="76"/>
  <c r="H66" i="73"/>
  <c r="G88" i="76"/>
  <c r="H88" i="76"/>
  <c r="A56" i="76"/>
  <c r="H110" i="74"/>
  <c r="A45" i="76"/>
  <c r="A89" i="76"/>
  <c r="A133" i="76"/>
  <c r="H66" i="74"/>
  <c r="H110" i="75"/>
  <c r="H121" i="75"/>
  <c r="G66" i="76"/>
  <c r="G110" i="76"/>
  <c r="G99" i="74"/>
  <c r="H99" i="74"/>
  <c r="A89" i="75"/>
  <c r="A56" i="75"/>
  <c r="A45" i="75"/>
  <c r="G110" i="73"/>
  <c r="H110" i="73"/>
  <c r="H55" i="74"/>
  <c r="G55" i="74"/>
  <c r="G77" i="75"/>
  <c r="H77" i="75"/>
  <c r="H44" i="75"/>
  <c r="G44" i="75"/>
  <c r="A34" i="75"/>
  <c r="A78" i="75"/>
  <c r="G88" i="75"/>
  <c r="A122" i="75"/>
  <c r="G132" i="75"/>
  <c r="A133" i="75"/>
  <c r="A100" i="75"/>
  <c r="A89" i="74"/>
  <c r="H132" i="74"/>
  <c r="G132" i="74"/>
  <c r="A45" i="74"/>
  <c r="A100" i="74"/>
  <c r="A56" i="74"/>
  <c r="H88" i="74"/>
  <c r="G88" i="74"/>
  <c r="H121" i="74"/>
  <c r="H77" i="74"/>
  <c r="A133" i="74"/>
  <c r="H55" i="73"/>
  <c r="G55" i="73"/>
  <c r="H88" i="73"/>
  <c r="A67" i="73"/>
  <c r="H77" i="73"/>
  <c r="A89" i="73"/>
  <c r="A45" i="73"/>
  <c r="H121" i="73"/>
  <c r="A34" i="73"/>
  <c r="A78" i="73"/>
  <c r="A122" i="73"/>
  <c r="G132" i="73"/>
  <c r="A133" i="73"/>
  <c r="A9" i="36"/>
  <c r="A10" i="36" s="1"/>
  <c r="A11" i="36" s="1"/>
  <c r="A12" i="36" s="1"/>
  <c r="A13" i="36" s="1"/>
  <c r="A14" i="36" s="1"/>
  <c r="A15" i="36" s="1"/>
  <c r="A16" i="36" s="1"/>
  <c r="A17" i="36" s="1"/>
  <c r="EM69" i="90" l="1"/>
  <c r="G157" i="90"/>
  <c r="EG99" i="90"/>
  <c r="M157" i="90"/>
  <c r="Y207" i="90"/>
  <c r="ES79" i="90"/>
  <c r="EA79" i="90"/>
  <c r="M217" i="90"/>
  <c r="EA39" i="90"/>
  <c r="S217" i="90"/>
  <c r="G217" i="90"/>
  <c r="Y137" i="90"/>
  <c r="Y217" i="90"/>
  <c r="EA99" i="90"/>
  <c r="EM59" i="90"/>
  <c r="Y187" i="90"/>
  <c r="EA59" i="90"/>
  <c r="ES69" i="90"/>
  <c r="G177" i="90"/>
  <c r="ES29" i="90"/>
  <c r="ES99" i="90"/>
  <c r="EM99" i="90"/>
  <c r="S187" i="90"/>
  <c r="EG39" i="90"/>
  <c r="Y147" i="90"/>
  <c r="Y177" i="90"/>
  <c r="EM19" i="90"/>
  <c r="S137" i="90"/>
  <c r="EG59" i="90"/>
  <c r="EG69" i="90"/>
  <c r="M177" i="90"/>
  <c r="M187" i="90"/>
  <c r="EA19" i="90"/>
  <c r="ES49" i="90"/>
  <c r="EA89" i="90"/>
  <c r="EG29" i="90"/>
  <c r="G137" i="90"/>
  <c r="Y167" i="90"/>
  <c r="G207" i="90"/>
  <c r="S177" i="90"/>
  <c r="ES19" i="90"/>
  <c r="G97" i="41"/>
  <c r="G98" i="41"/>
  <c r="F97" i="41"/>
  <c r="F98" i="41"/>
  <c r="EG9" i="90"/>
  <c r="M127" i="90"/>
  <c r="E35" i="74"/>
  <c r="F35" i="74"/>
  <c r="GG19" i="4"/>
  <c r="GG20" i="4"/>
  <c r="GG5" i="4"/>
  <c r="GG39" i="4"/>
  <c r="GG47" i="4"/>
  <c r="GG26" i="4"/>
  <c r="GG53" i="4"/>
  <c r="GG61" i="4"/>
  <c r="GG69" i="4"/>
  <c r="GG77" i="4"/>
  <c r="GG86" i="4"/>
  <c r="GG94" i="4"/>
  <c r="GG102" i="4"/>
  <c r="GG110" i="4"/>
  <c r="GG12" i="4"/>
  <c r="GG21" i="4"/>
  <c r="GG9" i="4"/>
  <c r="GG40" i="4"/>
  <c r="GG48" i="4"/>
  <c r="GG27" i="4"/>
  <c r="GG54" i="4"/>
  <c r="GG62" i="4"/>
  <c r="GG70" i="4"/>
  <c r="GG78" i="4"/>
  <c r="GG83" i="4"/>
  <c r="GG95" i="4"/>
  <c r="GG103" i="4"/>
  <c r="GG111" i="4"/>
  <c r="GG14" i="4"/>
  <c r="GG22" i="4"/>
  <c r="GG33" i="4"/>
  <c r="GG41" i="4"/>
  <c r="GG49" i="4"/>
  <c r="GG28" i="4"/>
  <c r="GG55" i="4"/>
  <c r="GG63" i="4"/>
  <c r="GG71" i="4"/>
  <c r="GG79" i="4"/>
  <c r="GG87" i="4"/>
  <c r="GG96" i="4"/>
  <c r="GG104" i="4"/>
  <c r="GG88" i="4"/>
  <c r="GG16" i="4"/>
  <c r="GG6" i="4"/>
  <c r="GG34" i="4"/>
  <c r="GG42" i="4"/>
  <c r="GG50" i="4"/>
  <c r="GG32" i="4"/>
  <c r="GG56" i="4"/>
  <c r="GG64" i="4"/>
  <c r="GG72" i="4"/>
  <c r="GG80" i="4"/>
  <c r="GG89" i="4"/>
  <c r="GG97" i="4"/>
  <c r="GG105" i="4"/>
  <c r="GG18" i="4"/>
  <c r="GG10" i="4"/>
  <c r="GG35" i="4"/>
  <c r="GG43" i="4"/>
  <c r="GG51" i="4"/>
  <c r="GG24" i="4"/>
  <c r="GG57" i="4"/>
  <c r="GG65" i="4"/>
  <c r="GG73" i="4"/>
  <c r="GG81" i="4"/>
  <c r="GG90" i="4"/>
  <c r="GG98" i="4"/>
  <c r="GG106" i="4"/>
  <c r="GG3" i="4"/>
  <c r="GG13" i="4"/>
  <c r="GG36" i="4"/>
  <c r="GG44" i="4"/>
  <c r="GG52" i="4"/>
  <c r="GG31" i="4"/>
  <c r="GG58" i="4"/>
  <c r="GG66" i="4"/>
  <c r="GG74" i="4"/>
  <c r="GG82" i="4"/>
  <c r="GG91" i="4"/>
  <c r="GG99" i="4"/>
  <c r="GG107" i="4"/>
  <c r="GG4" i="4"/>
  <c r="GG7" i="4"/>
  <c r="GG15" i="4"/>
  <c r="GG37" i="4"/>
  <c r="GG45" i="4"/>
  <c r="GG23" i="4"/>
  <c r="GG30" i="4"/>
  <c r="GG59" i="4"/>
  <c r="GG67" i="4"/>
  <c r="GG75" i="4"/>
  <c r="GG84" i="4"/>
  <c r="GG92" i="4"/>
  <c r="GG100" i="4"/>
  <c r="GG108" i="4"/>
  <c r="GG8" i="4"/>
  <c r="GG11" i="4"/>
  <c r="GG17" i="4"/>
  <c r="GG38" i="4"/>
  <c r="GG46" i="4"/>
  <c r="GG25" i="4"/>
  <c r="GG29" i="4"/>
  <c r="GG60" i="4"/>
  <c r="GG68" i="4"/>
  <c r="GG76" i="4"/>
  <c r="GG85" i="4"/>
  <c r="GG93" i="4"/>
  <c r="GG101" i="4"/>
  <c r="GG109" i="4"/>
  <c r="GG2" i="4"/>
  <c r="ES9" i="90"/>
  <c r="Y127" i="90"/>
  <c r="EG19" i="90"/>
  <c r="M137" i="90"/>
  <c r="EA69" i="90"/>
  <c r="G187" i="90"/>
  <c r="EI185" i="90"/>
  <c r="Q90" i="90"/>
  <c r="P90" i="90"/>
  <c r="AB40" i="90"/>
  <c r="AC40" i="90"/>
  <c r="EI155" i="90"/>
  <c r="Q60" i="90"/>
  <c r="P60" i="90"/>
  <c r="EO125" i="90"/>
  <c r="V30" i="90"/>
  <c r="W30" i="90"/>
  <c r="EI195" i="90"/>
  <c r="Q100" i="90"/>
  <c r="P100" i="90"/>
  <c r="BS207" i="90"/>
  <c r="BT207" i="90"/>
  <c r="BY207" i="90"/>
  <c r="BZ207" i="90"/>
  <c r="EI165" i="90"/>
  <c r="Q70" i="90"/>
  <c r="P70" i="90"/>
  <c r="EC185" i="90"/>
  <c r="K90" i="90"/>
  <c r="J90" i="90"/>
  <c r="CK177" i="90"/>
  <c r="CL177" i="90"/>
  <c r="EO165" i="90"/>
  <c r="V70" i="90"/>
  <c r="W70" i="90"/>
  <c r="BY157" i="90"/>
  <c r="BZ157" i="90"/>
  <c r="BS40" i="90"/>
  <c r="BT40" i="90"/>
  <c r="BY197" i="90"/>
  <c r="BZ197" i="90"/>
  <c r="BT157" i="90"/>
  <c r="BS157" i="90"/>
  <c r="EO145" i="90"/>
  <c r="V50" i="90"/>
  <c r="W50" i="90"/>
  <c r="EO195" i="90"/>
  <c r="V100" i="90"/>
  <c r="W100" i="90"/>
  <c r="EO185" i="90"/>
  <c r="V90" i="90"/>
  <c r="W90" i="90"/>
  <c r="EC205" i="90"/>
  <c r="K110" i="90"/>
  <c r="J110" i="90"/>
  <c r="EO175" i="90"/>
  <c r="V80" i="90"/>
  <c r="W80" i="90"/>
  <c r="EC195" i="90"/>
  <c r="K100" i="90"/>
  <c r="J100" i="90"/>
  <c r="CL60" i="90"/>
  <c r="CK60" i="90"/>
  <c r="CK30" i="90"/>
  <c r="CL30" i="90"/>
  <c r="CE137" i="90"/>
  <c r="CF137" i="90"/>
  <c r="CE167" i="90"/>
  <c r="CF167" i="90"/>
  <c r="EC135" i="90"/>
  <c r="K40" i="90"/>
  <c r="J40" i="90"/>
  <c r="CK207" i="90"/>
  <c r="CL207" i="90"/>
  <c r="BY40" i="90"/>
  <c r="BZ40" i="90"/>
  <c r="CF207" i="90"/>
  <c r="CE207" i="90"/>
  <c r="BY167" i="90"/>
  <c r="BZ167" i="90"/>
  <c r="EU155" i="90"/>
  <c r="AB60" i="90"/>
  <c r="AC60" i="90"/>
  <c r="AB30" i="90"/>
  <c r="AC30" i="90"/>
  <c r="CK157" i="90"/>
  <c r="CL157" i="90"/>
  <c r="EI135" i="90"/>
  <c r="Q40" i="90"/>
  <c r="P40" i="90"/>
  <c r="BY110" i="90"/>
  <c r="BZ110" i="90"/>
  <c r="CK197" i="90"/>
  <c r="CL197" i="90"/>
  <c r="AB50" i="90"/>
  <c r="AC50" i="90"/>
  <c r="EC165" i="90"/>
  <c r="K70" i="90"/>
  <c r="J70" i="90"/>
  <c r="EC145" i="90"/>
  <c r="K50" i="90"/>
  <c r="J50" i="90"/>
  <c r="AB110" i="90"/>
  <c r="AC110" i="90"/>
  <c r="EC155" i="90"/>
  <c r="K60" i="90"/>
  <c r="J60" i="90"/>
  <c r="AB100" i="90"/>
  <c r="AC100" i="90"/>
  <c r="CE197" i="90"/>
  <c r="CF197" i="90"/>
  <c r="BT177" i="90"/>
  <c r="BS177" i="90"/>
  <c r="EI205" i="90"/>
  <c r="Q110" i="90"/>
  <c r="P110" i="90"/>
  <c r="CK187" i="90"/>
  <c r="CL187" i="90"/>
  <c r="CE157" i="90"/>
  <c r="CF157" i="90"/>
  <c r="BT217" i="90"/>
  <c r="BS217" i="90"/>
  <c r="EI145" i="90"/>
  <c r="Q50" i="90"/>
  <c r="P50" i="90"/>
  <c r="AB70" i="90"/>
  <c r="AC70" i="90"/>
  <c r="EO135" i="90"/>
  <c r="V40" i="90"/>
  <c r="W40" i="90"/>
  <c r="AB90" i="90"/>
  <c r="AC90" i="90"/>
  <c r="EO155" i="90"/>
  <c r="V60" i="90"/>
  <c r="W60" i="90"/>
  <c r="AB80" i="90"/>
  <c r="AC80" i="90"/>
  <c r="BY80" i="90"/>
  <c r="BZ80" i="90"/>
  <c r="CE110" i="90"/>
  <c r="CF110" i="90"/>
  <c r="BS167" i="90"/>
  <c r="BT167" i="90"/>
  <c r="CE147" i="90"/>
  <c r="CF147" i="90"/>
  <c r="EI175" i="90"/>
  <c r="Q80" i="90"/>
  <c r="P80" i="90"/>
  <c r="CK217" i="90"/>
  <c r="CL217" i="90"/>
  <c r="V110" i="90"/>
  <c r="W110" i="90"/>
  <c r="BY70" i="90"/>
  <c r="BZ70" i="90"/>
  <c r="CE187" i="90"/>
  <c r="CF187" i="90"/>
  <c r="BS90" i="90"/>
  <c r="BT90" i="90"/>
  <c r="CE70" i="90"/>
  <c r="CF70" i="90"/>
  <c r="CK147" i="90"/>
  <c r="CL147" i="90"/>
  <c r="EA9" i="90"/>
  <c r="G127" i="90"/>
  <c r="Y101" i="90"/>
  <c r="ES196" i="90" s="1"/>
  <c r="CH101" i="90"/>
  <c r="CH208" i="90" s="1"/>
  <c r="Y61" i="90"/>
  <c r="ES156" i="90" s="1"/>
  <c r="CH61" i="90"/>
  <c r="CH168" i="90" s="1"/>
  <c r="Y21" i="90"/>
  <c r="ES116" i="90" s="1"/>
  <c r="CH21" i="90"/>
  <c r="CH128" i="90" s="1"/>
  <c r="Y31" i="90"/>
  <c r="ES126" i="90" s="1"/>
  <c r="CH31" i="90"/>
  <c r="CH138" i="90" s="1"/>
  <c r="Y81" i="90"/>
  <c r="ES176" i="90" s="1"/>
  <c r="CH81" i="90"/>
  <c r="CH188" i="90" s="1"/>
  <c r="Y41" i="90"/>
  <c r="ES136" i="90" s="1"/>
  <c r="CH41" i="90"/>
  <c r="CH148" i="90" s="1"/>
  <c r="Y111" i="90"/>
  <c r="ES206" i="90" s="1"/>
  <c r="CH111" i="90"/>
  <c r="CH218" i="90" s="1"/>
  <c r="Y71" i="90"/>
  <c r="ES166" i="90" s="1"/>
  <c r="CH71" i="90"/>
  <c r="CH178" i="90" s="1"/>
  <c r="S111" i="90"/>
  <c r="EM206" i="90" s="1"/>
  <c r="CB111" i="90"/>
  <c r="CB218" i="90" s="1"/>
  <c r="S147" i="90"/>
  <c r="EM29" i="90"/>
  <c r="S71" i="90"/>
  <c r="EM166" i="90" s="1"/>
  <c r="CB71" i="90"/>
  <c r="CB178" i="90" s="1"/>
  <c r="S51" i="90"/>
  <c r="EM146" i="90" s="1"/>
  <c r="CB51" i="90"/>
  <c r="CB158" i="90" s="1"/>
  <c r="S31" i="90"/>
  <c r="EM126" i="90" s="1"/>
  <c r="CB31" i="90"/>
  <c r="CB138" i="90" s="1"/>
  <c r="S92" i="90"/>
  <c r="EM187" i="90" s="1"/>
  <c r="CB92" i="90"/>
  <c r="CB199" i="90" s="1"/>
  <c r="S101" i="90"/>
  <c r="EM196" i="90" s="1"/>
  <c r="CB101" i="90"/>
  <c r="CB208" i="90" s="1"/>
  <c r="S52" i="90"/>
  <c r="EM147" i="90" s="1"/>
  <c r="CB52" i="90"/>
  <c r="CB159" i="90" s="1"/>
  <c r="S22" i="90"/>
  <c r="EM117" i="90" s="1"/>
  <c r="CB22" i="90"/>
  <c r="CB129" i="90" s="1"/>
  <c r="S61" i="90"/>
  <c r="EM156" i="90" s="1"/>
  <c r="CB61" i="90"/>
  <c r="CB168" i="90" s="1"/>
  <c r="S81" i="90"/>
  <c r="EM176" i="90" s="1"/>
  <c r="CB81" i="90"/>
  <c r="CB188" i="90" s="1"/>
  <c r="S21" i="90"/>
  <c r="EM116" i="90" s="1"/>
  <c r="CB21" i="90"/>
  <c r="CB128" i="90" s="1"/>
  <c r="S91" i="90"/>
  <c r="EM186" i="90" s="1"/>
  <c r="CB91" i="90"/>
  <c r="CB198" i="90" s="1"/>
  <c r="S41" i="90"/>
  <c r="EM136" i="90" s="1"/>
  <c r="CB41" i="90"/>
  <c r="CB148" i="90" s="1"/>
  <c r="M81" i="90"/>
  <c r="EG176" i="90" s="1"/>
  <c r="BV81" i="90"/>
  <c r="BV188" i="90" s="1"/>
  <c r="M31" i="90"/>
  <c r="EG126" i="90" s="1"/>
  <c r="BV31" i="90"/>
  <c r="BV138" i="90" s="1"/>
  <c r="M51" i="90"/>
  <c r="BV51" i="90"/>
  <c r="BV158" i="90" s="1"/>
  <c r="M52" i="90"/>
  <c r="EG147" i="90" s="1"/>
  <c r="BV52" i="90"/>
  <c r="BV159" i="90" s="1"/>
  <c r="M111" i="90"/>
  <c r="EG206" i="90" s="1"/>
  <c r="BV111" i="90"/>
  <c r="BV218" i="90" s="1"/>
  <c r="M91" i="90"/>
  <c r="EG186" i="90" s="1"/>
  <c r="BV91" i="90"/>
  <c r="BV198" i="90" s="1"/>
  <c r="M71" i="90"/>
  <c r="EG166" i="90" s="1"/>
  <c r="BV71" i="90"/>
  <c r="BV178" i="90" s="1"/>
  <c r="EG49" i="90"/>
  <c r="M167" i="90"/>
  <c r="M92" i="90"/>
  <c r="EG187" i="90" s="1"/>
  <c r="BV92" i="90"/>
  <c r="BV199" i="90" s="1"/>
  <c r="M21" i="90"/>
  <c r="EG116" i="90" s="1"/>
  <c r="BV21" i="90"/>
  <c r="BV128" i="90" s="1"/>
  <c r="M41" i="90"/>
  <c r="EG136" i="90" s="1"/>
  <c r="BV41" i="90"/>
  <c r="BV148" i="90" s="1"/>
  <c r="G82" i="90"/>
  <c r="EA177" i="90" s="1"/>
  <c r="BP82" i="90"/>
  <c r="BP189" i="90" s="1"/>
  <c r="G91" i="90"/>
  <c r="EA186" i="90" s="1"/>
  <c r="BP91" i="90"/>
  <c r="BP198" i="90" s="1"/>
  <c r="G92" i="90"/>
  <c r="EA187" i="90" s="1"/>
  <c r="BP92" i="90"/>
  <c r="BP199" i="90" s="1"/>
  <c r="G31" i="90"/>
  <c r="EA126" i="90" s="1"/>
  <c r="BP31" i="90"/>
  <c r="BP138" i="90" s="1"/>
  <c r="G41" i="90"/>
  <c r="EA136" i="90" s="1"/>
  <c r="BP41" i="90"/>
  <c r="BP148" i="90" s="1"/>
  <c r="A57" i="73"/>
  <c r="A58" i="73" s="1"/>
  <c r="EA49" i="90"/>
  <c r="G71" i="90"/>
  <c r="EA166" i="90" s="1"/>
  <c r="BP71" i="90"/>
  <c r="BP178" i="90" s="1"/>
  <c r="G51" i="90"/>
  <c r="EA146" i="90" s="1"/>
  <c r="BP51" i="90"/>
  <c r="BP158" i="90" s="1"/>
  <c r="G167" i="90"/>
  <c r="G101" i="90"/>
  <c r="EA196" i="90" s="1"/>
  <c r="BP101" i="90"/>
  <c r="BP208" i="90" s="1"/>
  <c r="G81" i="90"/>
  <c r="EA176" i="90" s="1"/>
  <c r="BP81" i="90"/>
  <c r="BP188" i="90" s="1"/>
  <c r="G21" i="90"/>
  <c r="EA116" i="90" s="1"/>
  <c r="BP21" i="90"/>
  <c r="BP128" i="90" s="1"/>
  <c r="G111" i="90"/>
  <c r="EA206" i="90" s="1"/>
  <c r="BP111" i="90"/>
  <c r="BP218" i="90" s="1"/>
  <c r="G61" i="90"/>
  <c r="EA156" i="90" s="1"/>
  <c r="BP61" i="90"/>
  <c r="BP168" i="90" s="1"/>
  <c r="F106" i="41"/>
  <c r="ET29" i="90"/>
  <c r="ET135" i="90"/>
  <c r="ET59" i="90"/>
  <c r="ET165" i="90"/>
  <c r="EH49" i="90"/>
  <c r="EH155" i="90"/>
  <c r="EU59" i="90"/>
  <c r="EU165" i="90"/>
  <c r="EU99" i="90"/>
  <c r="EU205" i="90"/>
  <c r="ET39" i="90"/>
  <c r="ET145" i="90"/>
  <c r="EN69" i="90"/>
  <c r="EN175" i="90"/>
  <c r="EH29" i="90"/>
  <c r="EH135" i="90"/>
  <c r="EU125" i="90"/>
  <c r="EO205" i="90"/>
  <c r="ET19" i="90"/>
  <c r="ET125" i="90"/>
  <c r="EB89" i="90"/>
  <c r="EB195" i="90"/>
  <c r="ET89" i="90"/>
  <c r="ET195" i="90"/>
  <c r="ET49" i="90"/>
  <c r="ET155" i="90"/>
  <c r="EU79" i="90"/>
  <c r="EU185" i="90"/>
  <c r="EU89" i="90"/>
  <c r="EU195" i="90"/>
  <c r="EN29" i="90"/>
  <c r="EN135" i="90"/>
  <c r="EB39" i="90"/>
  <c r="EB145" i="90"/>
  <c r="EH59" i="90"/>
  <c r="EH165" i="90"/>
  <c r="EB99" i="90"/>
  <c r="EB205" i="90"/>
  <c r="EN89" i="90"/>
  <c r="EN195" i="90"/>
  <c r="ET79" i="90"/>
  <c r="ET185" i="90"/>
  <c r="EU39" i="90"/>
  <c r="EU145" i="90"/>
  <c r="EU29" i="90"/>
  <c r="EU135" i="90"/>
  <c r="EU69" i="90"/>
  <c r="EU175" i="90"/>
  <c r="ET99" i="90"/>
  <c r="ET205" i="90"/>
  <c r="ET69" i="90"/>
  <c r="ET175" i="90"/>
  <c r="O187" i="90"/>
  <c r="EI69" i="90"/>
  <c r="G147" i="90"/>
  <c r="EA29" i="90"/>
  <c r="Y157" i="90"/>
  <c r="ES39" i="90"/>
  <c r="N187" i="90"/>
  <c r="EH69" i="90"/>
  <c r="T167" i="90"/>
  <c r="EN49" i="90"/>
  <c r="N157" i="90"/>
  <c r="EH39" i="90"/>
  <c r="T137" i="90"/>
  <c r="EN19" i="90"/>
  <c r="N197" i="90"/>
  <c r="EH79" i="90"/>
  <c r="U157" i="90"/>
  <c r="EO39" i="90"/>
  <c r="O197" i="90"/>
  <c r="EI79" i="90"/>
  <c r="U147" i="90"/>
  <c r="EO29" i="90"/>
  <c r="I167" i="90"/>
  <c r="EC49" i="90"/>
  <c r="U187" i="90"/>
  <c r="EO69" i="90"/>
  <c r="I207" i="90"/>
  <c r="EC89" i="90"/>
  <c r="S167" i="90"/>
  <c r="EM49" i="90"/>
  <c r="I197" i="90"/>
  <c r="EC79" i="90"/>
  <c r="U177" i="90"/>
  <c r="EO59" i="90"/>
  <c r="T157" i="90"/>
  <c r="EN39" i="90"/>
  <c r="O147" i="90"/>
  <c r="EI29" i="90"/>
  <c r="H167" i="90"/>
  <c r="EB49" i="90"/>
  <c r="M207" i="90"/>
  <c r="EG89" i="90"/>
  <c r="EU49" i="90"/>
  <c r="H177" i="90"/>
  <c r="EB59" i="90"/>
  <c r="U167" i="90"/>
  <c r="EO49" i="90"/>
  <c r="S157" i="90"/>
  <c r="EM39" i="90"/>
  <c r="T177" i="90"/>
  <c r="EN59" i="90"/>
  <c r="N207" i="90"/>
  <c r="EH89" i="90"/>
  <c r="T217" i="90"/>
  <c r="EN99" i="90"/>
  <c r="H147" i="90"/>
  <c r="EB29" i="90"/>
  <c r="U207" i="90"/>
  <c r="EO89" i="90"/>
  <c r="H207" i="90"/>
  <c r="N217" i="90"/>
  <c r="EH99" i="90"/>
  <c r="T197" i="90"/>
  <c r="EN79" i="90"/>
  <c r="H197" i="90"/>
  <c r="EB79" i="90"/>
  <c r="I177" i="90"/>
  <c r="EC59" i="90"/>
  <c r="U197" i="90"/>
  <c r="EO79" i="90"/>
  <c r="O167" i="90"/>
  <c r="EI49" i="90"/>
  <c r="M197" i="90"/>
  <c r="EG79" i="90"/>
  <c r="S207" i="90"/>
  <c r="EM89" i="90"/>
  <c r="O177" i="90"/>
  <c r="EI59" i="90"/>
  <c r="O217" i="90"/>
  <c r="EI99" i="90"/>
  <c r="EU19" i="90"/>
  <c r="U137" i="90"/>
  <c r="EO19" i="90"/>
  <c r="U217" i="90"/>
  <c r="EO99" i="90"/>
  <c r="O157" i="90"/>
  <c r="EI39" i="90"/>
  <c r="I157" i="90"/>
  <c r="EC39" i="90"/>
  <c r="I217" i="90"/>
  <c r="EC99" i="90"/>
  <c r="O207" i="90"/>
  <c r="EI89" i="90"/>
  <c r="S127" i="90"/>
  <c r="EM9" i="90"/>
  <c r="S197" i="90"/>
  <c r="EM79" i="90"/>
  <c r="I147" i="90"/>
  <c r="EC29" i="90"/>
  <c r="BR197" i="90"/>
  <c r="CJ167" i="90"/>
  <c r="BX147" i="90"/>
  <c r="CD177" i="90"/>
  <c r="BX177" i="90"/>
  <c r="BX217" i="90"/>
  <c r="BX187" i="90"/>
  <c r="CJ137" i="90"/>
  <c r="CD217" i="90"/>
  <c r="BR147" i="90"/>
  <c r="A123" i="76"/>
  <c r="A124" i="76" s="1"/>
  <c r="A79" i="76"/>
  <c r="A80" i="76" s="1"/>
  <c r="A35" i="74"/>
  <c r="A36" i="74" s="1"/>
  <c r="Y91" i="90"/>
  <c r="ES186" i="90" s="1"/>
  <c r="A112" i="75"/>
  <c r="CH92" i="90" s="1"/>
  <c r="CH199" i="90" s="1"/>
  <c r="A68" i="75"/>
  <c r="CH52" i="90" s="1"/>
  <c r="CH159" i="90" s="1"/>
  <c r="Y51" i="90"/>
  <c r="ES146" i="90" s="1"/>
  <c r="G106" i="41"/>
  <c r="A123" i="74"/>
  <c r="BV102" i="90" s="1"/>
  <c r="BV209" i="90" s="1"/>
  <c r="M101" i="90"/>
  <c r="EG196" i="90" s="1"/>
  <c r="A79" i="74"/>
  <c r="BV62" i="90" s="1"/>
  <c r="BV169" i="90" s="1"/>
  <c r="M61" i="90"/>
  <c r="EG156" i="90" s="1"/>
  <c r="A134" i="80"/>
  <c r="A36" i="80"/>
  <c r="F37" i="80" s="1"/>
  <c r="A92" i="80"/>
  <c r="A69" i="80"/>
  <c r="A57" i="80"/>
  <c r="A102" i="80"/>
  <c r="A124" i="80"/>
  <c r="A47" i="80"/>
  <c r="A80" i="80"/>
  <c r="A113" i="80"/>
  <c r="A90" i="79"/>
  <c r="A57" i="79"/>
  <c r="A47" i="79"/>
  <c r="A102" i="79"/>
  <c r="A124" i="79"/>
  <c r="A36" i="79"/>
  <c r="A134" i="79"/>
  <c r="A69" i="79"/>
  <c r="A80" i="79"/>
  <c r="A112" i="79"/>
  <c r="A90" i="78"/>
  <c r="A135" i="78"/>
  <c r="A103" i="78"/>
  <c r="A47" i="78"/>
  <c r="A68" i="78"/>
  <c r="A113" i="78"/>
  <c r="A58" i="78"/>
  <c r="A79" i="78"/>
  <c r="A123" i="78"/>
  <c r="A36" i="78"/>
  <c r="A124" i="77"/>
  <c r="A113" i="77"/>
  <c r="A68" i="77"/>
  <c r="A101" i="77"/>
  <c r="A90" i="77"/>
  <c r="A57" i="77"/>
  <c r="A79" i="77"/>
  <c r="A36" i="77"/>
  <c r="A69" i="76"/>
  <c r="A101" i="76"/>
  <c r="A46" i="76"/>
  <c r="A90" i="76"/>
  <c r="A36" i="76"/>
  <c r="A113" i="76"/>
  <c r="A57" i="76"/>
  <c r="A134" i="76"/>
  <c r="A57" i="75"/>
  <c r="A101" i="75"/>
  <c r="A134" i="75"/>
  <c r="A123" i="75"/>
  <c r="A46" i="75"/>
  <c r="A90" i="75"/>
  <c r="A79" i="75"/>
  <c r="A35" i="75"/>
  <c r="A46" i="74"/>
  <c r="A69" i="74"/>
  <c r="A134" i="74"/>
  <c r="A101" i="74"/>
  <c r="A113" i="74"/>
  <c r="A57" i="74"/>
  <c r="A90" i="74"/>
  <c r="A79" i="73"/>
  <c r="A35" i="73"/>
  <c r="A90" i="73"/>
  <c r="A123" i="73"/>
  <c r="A68" i="73"/>
  <c r="A113" i="73"/>
  <c r="A134" i="73"/>
  <c r="A102" i="73"/>
  <c r="A46" i="73"/>
  <c r="A39" i="72"/>
  <c r="I60" i="72"/>
  <c r="J126" i="72"/>
  <c r="I126" i="72"/>
  <c r="H126" i="72"/>
  <c r="J115" i="72"/>
  <c r="I115" i="72"/>
  <c r="H115" i="72"/>
  <c r="J104" i="72"/>
  <c r="I104" i="72"/>
  <c r="H104" i="72"/>
  <c r="J93" i="72"/>
  <c r="I93" i="72"/>
  <c r="H93" i="72"/>
  <c r="J82" i="72"/>
  <c r="I82" i="72"/>
  <c r="H82" i="72"/>
  <c r="K83" i="72"/>
  <c r="J71" i="72"/>
  <c r="I71" i="72"/>
  <c r="H71" i="72"/>
  <c r="L61" i="72"/>
  <c r="J60" i="72"/>
  <c r="H60" i="72"/>
  <c r="J49" i="72"/>
  <c r="I49" i="72"/>
  <c r="H49" i="72"/>
  <c r="J38" i="72"/>
  <c r="I38" i="72"/>
  <c r="H38" i="72"/>
  <c r="H27" i="72"/>
  <c r="A127" i="72"/>
  <c r="A128" i="72" s="1"/>
  <c r="A129" i="72" s="1"/>
  <c r="A130" i="72" s="1"/>
  <c r="A131" i="72" s="1"/>
  <c r="A132" i="72" s="1"/>
  <c r="A133" i="72" s="1"/>
  <c r="A134" i="72" s="1"/>
  <c r="A135" i="72" s="1"/>
  <c r="A136" i="72" s="1"/>
  <c r="A116" i="72"/>
  <c r="A117" i="72" s="1"/>
  <c r="A118" i="72" s="1"/>
  <c r="A119" i="72" s="1"/>
  <c r="A120" i="72" s="1"/>
  <c r="A121" i="72" s="1"/>
  <c r="A122" i="72" s="1"/>
  <c r="A123" i="72" s="1"/>
  <c r="A124" i="72" s="1"/>
  <c r="A125" i="72" s="1"/>
  <c r="A105" i="72"/>
  <c r="A106" i="72" s="1"/>
  <c r="A107" i="72" s="1"/>
  <c r="A108" i="72" s="1"/>
  <c r="A109" i="72" s="1"/>
  <c r="A110" i="72" s="1"/>
  <c r="A111" i="72" s="1"/>
  <c r="A112" i="72" s="1"/>
  <c r="A113" i="72" s="1"/>
  <c r="A114" i="72" s="1"/>
  <c r="A94" i="72"/>
  <c r="A95" i="72" s="1"/>
  <c r="A96" i="72" s="1"/>
  <c r="A97" i="72" s="1"/>
  <c r="A98" i="72" s="1"/>
  <c r="A99" i="72" s="1"/>
  <c r="A100" i="72" s="1"/>
  <c r="A101" i="72" s="1"/>
  <c r="A102" i="72" s="1"/>
  <c r="A103" i="72" s="1"/>
  <c r="A83" i="72"/>
  <c r="A84" i="72" s="1"/>
  <c r="A85" i="72" s="1"/>
  <c r="A86" i="72" s="1"/>
  <c r="A87" i="72" s="1"/>
  <c r="A88" i="72" s="1"/>
  <c r="A89" i="72" s="1"/>
  <c r="A90" i="72" s="1"/>
  <c r="A91" i="72" s="1"/>
  <c r="A92" i="72" s="1"/>
  <c r="A72" i="72"/>
  <c r="A73" i="72" s="1"/>
  <c r="A74" i="72" s="1"/>
  <c r="A75" i="72" s="1"/>
  <c r="A76" i="72" s="1"/>
  <c r="A77" i="72" s="1"/>
  <c r="A78" i="72" s="1"/>
  <c r="A79" i="72" s="1"/>
  <c r="A80" i="72" s="1"/>
  <c r="A81" i="72" s="1"/>
  <c r="A61" i="72"/>
  <c r="A62" i="72" s="1"/>
  <c r="A63" i="72" s="1"/>
  <c r="A64" i="72" s="1"/>
  <c r="A65" i="72" s="1"/>
  <c r="A66" i="72" s="1"/>
  <c r="A67" i="72" s="1"/>
  <c r="A68" i="72" s="1"/>
  <c r="A69" i="72" s="1"/>
  <c r="A70" i="72" s="1"/>
  <c r="A50" i="72"/>
  <c r="A51" i="72" s="1"/>
  <c r="A52" i="72" s="1"/>
  <c r="A53" i="72" s="1"/>
  <c r="A54" i="72" s="1"/>
  <c r="A55" i="72" s="1"/>
  <c r="A56" i="72" s="1"/>
  <c r="A57" i="72" s="1"/>
  <c r="A58" i="72" s="1"/>
  <c r="A59" i="72" s="1"/>
  <c r="A28" i="72"/>
  <c r="G188" i="90" l="1"/>
  <c r="EA90" i="90"/>
  <c r="EM90" i="90"/>
  <c r="ES60" i="90"/>
  <c r="ES20" i="90"/>
  <c r="EM40" i="90"/>
  <c r="M128" i="90"/>
  <c r="S158" i="90"/>
  <c r="Y178" i="90"/>
  <c r="Y138" i="90"/>
  <c r="EA60" i="90"/>
  <c r="EM41" i="90"/>
  <c r="G178" i="90"/>
  <c r="EG20" i="90"/>
  <c r="S159" i="90"/>
  <c r="EM10" i="90"/>
  <c r="M138" i="90"/>
  <c r="S128" i="90"/>
  <c r="M198" i="90"/>
  <c r="M199" i="90"/>
  <c r="S208" i="90"/>
  <c r="EM70" i="90"/>
  <c r="EG100" i="90"/>
  <c r="S188" i="90"/>
  <c r="M218" i="90"/>
  <c r="G198" i="90"/>
  <c r="ES10" i="90"/>
  <c r="EG70" i="90"/>
  <c r="ES100" i="90"/>
  <c r="Y128" i="90"/>
  <c r="EM60" i="90"/>
  <c r="M188" i="90"/>
  <c r="Y218" i="90"/>
  <c r="S178" i="90"/>
  <c r="EG81" i="90"/>
  <c r="EM80" i="90"/>
  <c r="ES70" i="90"/>
  <c r="G208" i="90"/>
  <c r="Y148" i="90"/>
  <c r="EA40" i="90"/>
  <c r="Y188" i="90"/>
  <c r="M178" i="90"/>
  <c r="S218" i="90"/>
  <c r="G158" i="90"/>
  <c r="EA20" i="90"/>
  <c r="EM100" i="90"/>
  <c r="S198" i="90"/>
  <c r="ES90" i="90"/>
  <c r="G138" i="90"/>
  <c r="Y208" i="90"/>
  <c r="EA100" i="90"/>
  <c r="G148" i="90"/>
  <c r="EM50" i="90"/>
  <c r="EA70" i="90"/>
  <c r="EA81" i="90"/>
  <c r="G199" i="90"/>
  <c r="EA50" i="90"/>
  <c r="G168" i="90"/>
  <c r="EG80" i="90"/>
  <c r="A39" i="99"/>
  <c r="EG30" i="90"/>
  <c r="M148" i="90"/>
  <c r="EG60" i="90"/>
  <c r="EA80" i="90"/>
  <c r="ES50" i="90"/>
  <c r="Y168" i="90"/>
  <c r="EA30" i="90"/>
  <c r="ES30" i="90"/>
  <c r="S168" i="90"/>
  <c r="EA71" i="90"/>
  <c r="EM81" i="90"/>
  <c r="S199" i="90"/>
  <c r="EG41" i="90"/>
  <c r="EM30" i="90"/>
  <c r="G218" i="90"/>
  <c r="G189" i="90"/>
  <c r="M159" i="90"/>
  <c r="S148" i="90"/>
  <c r="GB2" i="4"/>
  <c r="E36" i="74"/>
  <c r="F36" i="74"/>
  <c r="E37" i="74"/>
  <c r="F37" i="74"/>
  <c r="A40" i="72"/>
  <c r="F40" i="72"/>
  <c r="F29" i="72"/>
  <c r="EM11" i="90"/>
  <c r="S129" i="90"/>
  <c r="BY217" i="90"/>
  <c r="BZ217" i="90"/>
  <c r="ED99" i="90"/>
  <c r="EE99" i="90"/>
  <c r="Q217" i="90"/>
  <c r="P217" i="90"/>
  <c r="P167" i="90"/>
  <c r="Q167" i="90"/>
  <c r="V207" i="90"/>
  <c r="W207" i="90"/>
  <c r="EP29" i="90"/>
  <c r="EQ29" i="90"/>
  <c r="EV145" i="90"/>
  <c r="EW145" i="90"/>
  <c r="EV185" i="90"/>
  <c r="EW185" i="90"/>
  <c r="ED135" i="90"/>
  <c r="EE135" i="90"/>
  <c r="BY177" i="90"/>
  <c r="BZ177" i="90"/>
  <c r="K217" i="90"/>
  <c r="J217" i="90"/>
  <c r="EK59" i="90"/>
  <c r="EJ59" i="90"/>
  <c r="EP79" i="90"/>
  <c r="EQ79" i="90"/>
  <c r="V147" i="90"/>
  <c r="W147" i="90"/>
  <c r="EV39" i="90"/>
  <c r="EW39" i="90"/>
  <c r="EV79" i="90"/>
  <c r="EW79" i="90"/>
  <c r="EP155" i="90"/>
  <c r="EQ155" i="90"/>
  <c r="ED205" i="90"/>
  <c r="EE205" i="90"/>
  <c r="CE177" i="90"/>
  <c r="CF177" i="90"/>
  <c r="ED39" i="90"/>
  <c r="EE39" i="90"/>
  <c r="EP99" i="90"/>
  <c r="EQ99" i="90"/>
  <c r="EV19" i="90"/>
  <c r="EW19" i="90"/>
  <c r="P177" i="90"/>
  <c r="Q177" i="90"/>
  <c r="V197" i="90"/>
  <c r="W197" i="90"/>
  <c r="EP59" i="90"/>
  <c r="EQ59" i="90"/>
  <c r="ED89" i="90"/>
  <c r="EE89" i="90"/>
  <c r="EK79" i="90"/>
  <c r="EJ79" i="90"/>
  <c r="EJ69" i="90"/>
  <c r="EK69" i="90"/>
  <c r="EP205" i="90"/>
  <c r="EQ205" i="90"/>
  <c r="EV205" i="90"/>
  <c r="EW205" i="90"/>
  <c r="ED145" i="90"/>
  <c r="EE145" i="90"/>
  <c r="EP145" i="90"/>
  <c r="EQ145" i="90"/>
  <c r="ED185" i="90"/>
  <c r="EE185" i="90"/>
  <c r="EJ155" i="90"/>
  <c r="EK155" i="90"/>
  <c r="BY147" i="90"/>
  <c r="BZ147" i="90"/>
  <c r="K157" i="90"/>
  <c r="J157" i="90"/>
  <c r="V217" i="90"/>
  <c r="W217" i="90"/>
  <c r="EV49" i="90"/>
  <c r="EW49" i="90"/>
  <c r="V177" i="90"/>
  <c r="W177" i="90"/>
  <c r="K207" i="90"/>
  <c r="J207" i="90"/>
  <c r="Q197" i="90"/>
  <c r="P197" i="90"/>
  <c r="P187" i="90"/>
  <c r="Q187" i="90"/>
  <c r="EV125" i="90"/>
  <c r="EW125" i="90"/>
  <c r="EV99" i="90"/>
  <c r="EW99" i="90"/>
  <c r="EJ145" i="90"/>
  <c r="EK145" i="90"/>
  <c r="ED195" i="90"/>
  <c r="EE195" i="90"/>
  <c r="BS147" i="90"/>
  <c r="BT147" i="90"/>
  <c r="CK167" i="90"/>
  <c r="CL167" i="90"/>
  <c r="EK39" i="90"/>
  <c r="EJ39" i="90"/>
  <c r="EJ29" i="90"/>
  <c r="EK29" i="90"/>
  <c r="ED79" i="90"/>
  <c r="EE79" i="90"/>
  <c r="EP69" i="90"/>
  <c r="EQ69" i="90"/>
  <c r="EV175" i="90"/>
  <c r="EW175" i="90"/>
  <c r="EV165" i="90"/>
  <c r="EW165" i="90"/>
  <c r="EJ175" i="90"/>
  <c r="EK175" i="90"/>
  <c r="EJ205" i="90"/>
  <c r="EK205" i="90"/>
  <c r="EP185" i="90"/>
  <c r="EQ185" i="90"/>
  <c r="EJ195" i="90"/>
  <c r="EK195" i="90"/>
  <c r="CE217" i="90"/>
  <c r="CF217" i="90"/>
  <c r="BT197" i="90"/>
  <c r="BS197" i="90"/>
  <c r="Q157" i="90"/>
  <c r="P157" i="90"/>
  <c r="ED59" i="90"/>
  <c r="EE59" i="90"/>
  <c r="EP49" i="90"/>
  <c r="EQ49" i="90"/>
  <c r="P147" i="90"/>
  <c r="Q147" i="90"/>
  <c r="K197" i="90"/>
  <c r="J197" i="90"/>
  <c r="V187" i="90"/>
  <c r="W187" i="90"/>
  <c r="EV69" i="90"/>
  <c r="EW69" i="90"/>
  <c r="EV59" i="90"/>
  <c r="EW59" i="90"/>
  <c r="ED155" i="90"/>
  <c r="EE155" i="90"/>
  <c r="ED165" i="90"/>
  <c r="EE165" i="90"/>
  <c r="EV155" i="90"/>
  <c r="EW155" i="90"/>
  <c r="EP165" i="90"/>
  <c r="EQ165" i="90"/>
  <c r="EJ165" i="90"/>
  <c r="EK165" i="90"/>
  <c r="CK137" i="90"/>
  <c r="CL137" i="90"/>
  <c r="ED29" i="90"/>
  <c r="EE29" i="90"/>
  <c r="EJ89" i="90"/>
  <c r="EK89" i="90"/>
  <c r="EP19" i="90"/>
  <c r="EQ19" i="90"/>
  <c r="K177" i="90"/>
  <c r="J177" i="90"/>
  <c r="V167" i="90"/>
  <c r="W167" i="90"/>
  <c r="ED49" i="90"/>
  <c r="EE49" i="90"/>
  <c r="EP39" i="90"/>
  <c r="EQ39" i="90"/>
  <c r="EV135" i="90"/>
  <c r="EW135" i="90"/>
  <c r="EV195" i="90"/>
  <c r="EW195" i="90"/>
  <c r="EP135" i="90"/>
  <c r="EQ135" i="90"/>
  <c r="EJ135" i="90"/>
  <c r="EK135" i="90"/>
  <c r="EP175" i="90"/>
  <c r="EQ175" i="90"/>
  <c r="BY187" i="90"/>
  <c r="BZ187" i="90"/>
  <c r="K147" i="90"/>
  <c r="J147" i="90"/>
  <c r="P207" i="90"/>
  <c r="Q207" i="90"/>
  <c r="V137" i="90"/>
  <c r="W137" i="90"/>
  <c r="EJ99" i="90"/>
  <c r="EK99" i="90"/>
  <c r="EJ49" i="90"/>
  <c r="EK49" i="90"/>
  <c r="EP89" i="90"/>
  <c r="EQ89" i="90"/>
  <c r="K167" i="90"/>
  <c r="J167" i="90"/>
  <c r="V157" i="90"/>
  <c r="W157" i="90"/>
  <c r="EV29" i="90"/>
  <c r="EW29" i="90"/>
  <c r="EV89" i="90"/>
  <c r="EW89" i="90"/>
  <c r="EP195" i="90"/>
  <c r="EQ195" i="90"/>
  <c r="EP125" i="90"/>
  <c r="EQ125" i="90"/>
  <c r="EJ185" i="90"/>
  <c r="EK185" i="90"/>
  <c r="Y62" i="90"/>
  <c r="ES157" i="90" s="1"/>
  <c r="CH62" i="90"/>
  <c r="CH169" i="90" s="1"/>
  <c r="Y72" i="90"/>
  <c r="ES167" i="90" s="1"/>
  <c r="CH72" i="90"/>
  <c r="CH179" i="90" s="1"/>
  <c r="Y22" i="90"/>
  <c r="ES117" i="90" s="1"/>
  <c r="CH22" i="90"/>
  <c r="CH129" i="90" s="1"/>
  <c r="Y102" i="90"/>
  <c r="ES197" i="90" s="1"/>
  <c r="CH102" i="90"/>
  <c r="CH209" i="90" s="1"/>
  <c r="Y112" i="90"/>
  <c r="ES207" i="90" s="1"/>
  <c r="CH112" i="90"/>
  <c r="CH219" i="90" s="1"/>
  <c r="Y82" i="90"/>
  <c r="ES177" i="90" s="1"/>
  <c r="CH82" i="90"/>
  <c r="CH189" i="90" s="1"/>
  <c r="Y32" i="90"/>
  <c r="ES127" i="90" s="1"/>
  <c r="CH32" i="90"/>
  <c r="CH139" i="90" s="1"/>
  <c r="Y42" i="90"/>
  <c r="ES137" i="90" s="1"/>
  <c r="CH42" i="90"/>
  <c r="CH149" i="90" s="1"/>
  <c r="S23" i="90"/>
  <c r="EM118" i="90" s="1"/>
  <c r="CB23" i="90"/>
  <c r="CB130" i="90" s="1"/>
  <c r="S72" i="90"/>
  <c r="EM167" i="90" s="1"/>
  <c r="CB72" i="90"/>
  <c r="CB179" i="90" s="1"/>
  <c r="S93" i="90"/>
  <c r="EM188" i="90" s="1"/>
  <c r="CB93" i="90"/>
  <c r="CB200" i="90" s="1"/>
  <c r="S103" i="90"/>
  <c r="EM198" i="90" s="1"/>
  <c r="CB103" i="90"/>
  <c r="CB210" i="90" s="1"/>
  <c r="S62" i="90"/>
  <c r="EM157" i="90" s="1"/>
  <c r="CB62" i="90"/>
  <c r="CB169" i="90" s="1"/>
  <c r="S82" i="90"/>
  <c r="EM177" i="90" s="1"/>
  <c r="CB82" i="90"/>
  <c r="CB189" i="90" s="1"/>
  <c r="S102" i="90"/>
  <c r="EM197" i="90" s="1"/>
  <c r="CB102" i="90"/>
  <c r="CB209" i="90" s="1"/>
  <c r="EM20" i="90"/>
  <c r="S112" i="90"/>
  <c r="EM207" i="90" s="1"/>
  <c r="CB112" i="90"/>
  <c r="CB219" i="90" s="1"/>
  <c r="S53" i="90"/>
  <c r="EM148" i="90" s="1"/>
  <c r="CB53" i="90"/>
  <c r="CB160" i="90" s="1"/>
  <c r="S138" i="90"/>
  <c r="S32" i="90"/>
  <c r="EM127" i="90" s="1"/>
  <c r="CB32" i="90"/>
  <c r="CB139" i="90" s="1"/>
  <c r="S42" i="90"/>
  <c r="EM137" i="90" s="1"/>
  <c r="CB42" i="90"/>
  <c r="CB149" i="90" s="1"/>
  <c r="S63" i="90"/>
  <c r="EM158" i="90" s="1"/>
  <c r="CB63" i="90"/>
  <c r="CB170" i="90" s="1"/>
  <c r="M32" i="90"/>
  <c r="EG127" i="90" s="1"/>
  <c r="BV32" i="90"/>
  <c r="BV139" i="90" s="1"/>
  <c r="M72" i="90"/>
  <c r="EG167" i="90" s="1"/>
  <c r="BV72" i="90"/>
  <c r="BV179" i="90" s="1"/>
  <c r="M42" i="90"/>
  <c r="EG137" i="90" s="1"/>
  <c r="BV42" i="90"/>
  <c r="BV149" i="90" s="1"/>
  <c r="EG146" i="90"/>
  <c r="M158" i="90"/>
  <c r="EG40" i="90"/>
  <c r="M93" i="90"/>
  <c r="EG188" i="90" s="1"/>
  <c r="BV93" i="90"/>
  <c r="BV200" i="90" s="1"/>
  <c r="M82" i="90"/>
  <c r="EG177" i="90" s="1"/>
  <c r="BV82" i="90"/>
  <c r="BV189" i="90" s="1"/>
  <c r="M23" i="90"/>
  <c r="EG118" i="90" s="1"/>
  <c r="BV23" i="90"/>
  <c r="BV130" i="90" s="1"/>
  <c r="M112" i="90"/>
  <c r="EG207" i="90" s="1"/>
  <c r="BV112" i="90"/>
  <c r="BV219" i="90" s="1"/>
  <c r="M53" i="90"/>
  <c r="EG148" i="90" s="1"/>
  <c r="BV53" i="90"/>
  <c r="BV160" i="90" s="1"/>
  <c r="M22" i="90"/>
  <c r="EG117" i="90" s="1"/>
  <c r="BV22" i="90"/>
  <c r="BV129" i="90" s="1"/>
  <c r="EG10" i="90"/>
  <c r="G102" i="90"/>
  <c r="EA197" i="90" s="1"/>
  <c r="BP102" i="90"/>
  <c r="BP209" i="90" s="1"/>
  <c r="G43" i="90"/>
  <c r="EA138" i="90" s="1"/>
  <c r="BP43" i="90"/>
  <c r="BP150" i="90" s="1"/>
  <c r="G42" i="90"/>
  <c r="BP42" i="90"/>
  <c r="BP149" i="90" s="1"/>
  <c r="G32" i="90"/>
  <c r="EA127" i="90" s="1"/>
  <c r="BP32" i="90"/>
  <c r="BP139" i="90" s="1"/>
  <c r="G22" i="90"/>
  <c r="EA117" i="90" s="1"/>
  <c r="BP22" i="90"/>
  <c r="BP129" i="90" s="1"/>
  <c r="EA10" i="90"/>
  <c r="G52" i="90"/>
  <c r="EA147" i="90" s="1"/>
  <c r="BP52" i="90"/>
  <c r="BP159" i="90" s="1"/>
  <c r="G72" i="90"/>
  <c r="EA167" i="90" s="1"/>
  <c r="BP72" i="90"/>
  <c r="BP179" i="90" s="1"/>
  <c r="G83" i="90"/>
  <c r="EA178" i="90" s="1"/>
  <c r="BP83" i="90"/>
  <c r="BP190" i="90" s="1"/>
  <c r="G62" i="90"/>
  <c r="EA157" i="90" s="1"/>
  <c r="BP62" i="90"/>
  <c r="BP169" i="90" s="1"/>
  <c r="G128" i="90"/>
  <c r="G112" i="90"/>
  <c r="EA207" i="90" s="1"/>
  <c r="BP112" i="90"/>
  <c r="BP219" i="90" s="1"/>
  <c r="G93" i="90"/>
  <c r="EA188" i="90" s="1"/>
  <c r="BP93" i="90"/>
  <c r="BP200" i="90" s="1"/>
  <c r="M208" i="90"/>
  <c r="EG90" i="90"/>
  <c r="Y158" i="90"/>
  <c r="ES40" i="90"/>
  <c r="M168" i="90"/>
  <c r="EG50" i="90"/>
  <c r="Y198" i="90"/>
  <c r="ES80" i="90"/>
  <c r="A29" i="72"/>
  <c r="Y52" i="90"/>
  <c r="ES147" i="90" s="1"/>
  <c r="A69" i="75"/>
  <c r="CH53" i="90" s="1"/>
  <c r="CH160" i="90" s="1"/>
  <c r="Y92" i="90"/>
  <c r="ES187" i="90" s="1"/>
  <c r="A113" i="75"/>
  <c r="CH93" i="90" s="1"/>
  <c r="CH200" i="90" s="1"/>
  <c r="M62" i="90"/>
  <c r="EG157" i="90" s="1"/>
  <c r="A80" i="74"/>
  <c r="BV63" i="90" s="1"/>
  <c r="BV170" i="90" s="1"/>
  <c r="M102" i="90"/>
  <c r="EG197" i="90" s="1"/>
  <c r="A124" i="74"/>
  <c r="BV103" i="90" s="1"/>
  <c r="BV210" i="90" s="1"/>
  <c r="A70" i="80"/>
  <c r="A103" i="80"/>
  <c r="A81" i="80"/>
  <c r="A37" i="80"/>
  <c r="DN64" i="4" s="1"/>
  <c r="A48" i="80"/>
  <c r="A58" i="80"/>
  <c r="A125" i="80"/>
  <c r="A135" i="80"/>
  <c r="A114" i="80"/>
  <c r="A113" i="79"/>
  <c r="A135" i="79"/>
  <c r="A37" i="79"/>
  <c r="A91" i="79"/>
  <c r="A81" i="79"/>
  <c r="A125" i="79"/>
  <c r="A58" i="79"/>
  <c r="A70" i="79"/>
  <c r="A103" i="79"/>
  <c r="A48" i="79"/>
  <c r="A48" i="78"/>
  <c r="A80" i="78"/>
  <c r="A37" i="78"/>
  <c r="A59" i="78"/>
  <c r="A69" i="78"/>
  <c r="A136" i="78"/>
  <c r="A124" i="78"/>
  <c r="A114" i="78"/>
  <c r="A91" i="78"/>
  <c r="A102" i="77"/>
  <c r="A37" i="77"/>
  <c r="A58" i="77"/>
  <c r="A91" i="77"/>
  <c r="A80" i="77"/>
  <c r="A125" i="77"/>
  <c r="A69" i="77"/>
  <c r="A114" i="77"/>
  <c r="M126" i="72"/>
  <c r="K126" i="72"/>
  <c r="K127" i="72" s="1"/>
  <c r="N126" i="72"/>
  <c r="L126" i="72"/>
  <c r="N115" i="72"/>
  <c r="E98" i="49" s="1"/>
  <c r="G98" i="49" s="1"/>
  <c r="F108" i="49" s="1"/>
  <c r="Q65" i="70" s="1"/>
  <c r="L115" i="72"/>
  <c r="L116" i="72" s="1"/>
  <c r="K115" i="72"/>
  <c r="M115" i="72"/>
  <c r="D98" i="49" s="1"/>
  <c r="F98" i="49" s="1"/>
  <c r="D108" i="49" s="1"/>
  <c r="P28" i="70" s="1"/>
  <c r="A37" i="76"/>
  <c r="A102" i="76"/>
  <c r="A58" i="76"/>
  <c r="A47" i="76"/>
  <c r="A125" i="76"/>
  <c r="A70" i="76"/>
  <c r="A114" i="76"/>
  <c r="A81" i="76"/>
  <c r="A135" i="76"/>
  <c r="A91" i="76"/>
  <c r="A91" i="75"/>
  <c r="A102" i="75"/>
  <c r="A124" i="75"/>
  <c r="A80" i="75"/>
  <c r="A36" i="75"/>
  <c r="A58" i="75"/>
  <c r="A135" i="75"/>
  <c r="A47" i="75"/>
  <c r="A91" i="74"/>
  <c r="A114" i="74"/>
  <c r="A37" i="74"/>
  <c r="A102" i="74"/>
  <c r="A70" i="74"/>
  <c r="A58" i="74"/>
  <c r="A135" i="74"/>
  <c r="A47" i="74"/>
  <c r="A69" i="73"/>
  <c r="A124" i="73"/>
  <c r="A103" i="73"/>
  <c r="A114" i="73"/>
  <c r="A36" i="73"/>
  <c r="A91" i="73"/>
  <c r="A47" i="73"/>
  <c r="A59" i="73"/>
  <c r="A135" i="73"/>
  <c r="A80" i="73"/>
  <c r="M28" i="72"/>
  <c r="N28" i="72"/>
  <c r="L28" i="72"/>
  <c r="L127" i="72"/>
  <c r="M116" i="72"/>
  <c r="M105" i="72"/>
  <c r="L105" i="72"/>
  <c r="K94" i="72"/>
  <c r="N94" i="72"/>
  <c r="M94" i="72"/>
  <c r="L83" i="72"/>
  <c r="M83" i="72"/>
  <c r="L72" i="72"/>
  <c r="K61" i="72"/>
  <c r="N61" i="72"/>
  <c r="N50" i="72"/>
  <c r="L50" i="72"/>
  <c r="N39" i="72"/>
  <c r="K39" i="72"/>
  <c r="M39" i="72"/>
  <c r="L39" i="72"/>
  <c r="M50" i="72"/>
  <c r="K50" i="72"/>
  <c r="M61" i="72"/>
  <c r="K72" i="72"/>
  <c r="N72" i="72"/>
  <c r="M72" i="72"/>
  <c r="N83" i="72"/>
  <c r="L94" i="72"/>
  <c r="N105" i="72"/>
  <c r="K105" i="72"/>
  <c r="K116" i="72"/>
  <c r="N116" i="72"/>
  <c r="M127" i="72"/>
  <c r="Y149" i="90" l="1"/>
  <c r="S170" i="90"/>
  <c r="ES51" i="90"/>
  <c r="S149" i="90"/>
  <c r="Y219" i="90"/>
  <c r="Y169" i="90"/>
  <c r="Y209" i="90"/>
  <c r="M149" i="90"/>
  <c r="ES101" i="90"/>
  <c r="EM92" i="90"/>
  <c r="EM12" i="90"/>
  <c r="S169" i="90"/>
  <c r="EA91" i="90"/>
  <c r="G209" i="90"/>
  <c r="S139" i="90"/>
  <c r="Y139" i="90"/>
  <c r="ES11" i="90"/>
  <c r="Y129" i="90"/>
  <c r="G219" i="90"/>
  <c r="EM71" i="90"/>
  <c r="EM82" i="90"/>
  <c r="EG61" i="90"/>
  <c r="S130" i="90"/>
  <c r="S200" i="90"/>
  <c r="M179" i="90"/>
  <c r="EM21" i="90"/>
  <c r="ES21" i="90"/>
  <c r="EM52" i="90"/>
  <c r="EM51" i="90"/>
  <c r="ES61" i="90"/>
  <c r="S189" i="90"/>
  <c r="Y189" i="90"/>
  <c r="Y179" i="90"/>
  <c r="EA41" i="90"/>
  <c r="G159" i="90"/>
  <c r="G200" i="90"/>
  <c r="EM42" i="90"/>
  <c r="S160" i="90"/>
  <c r="EM31" i="90"/>
  <c r="ES31" i="90"/>
  <c r="S210" i="90"/>
  <c r="EA51" i="90"/>
  <c r="M139" i="90"/>
  <c r="M160" i="90"/>
  <c r="EG42" i="90"/>
  <c r="EA82" i="90"/>
  <c r="EA101" i="90"/>
  <c r="EG71" i="90"/>
  <c r="EG12" i="90"/>
  <c r="EA61" i="90"/>
  <c r="M189" i="90"/>
  <c r="M130" i="90"/>
  <c r="G179" i="90"/>
  <c r="EM101" i="90"/>
  <c r="S219" i="90"/>
  <c r="G169" i="90"/>
  <c r="M129" i="90"/>
  <c r="E38" i="74"/>
  <c r="F38" i="74"/>
  <c r="A41" i="72"/>
  <c r="F41" i="72"/>
  <c r="A30" i="72"/>
  <c r="F30" i="72"/>
  <c r="DN62" i="4"/>
  <c r="DN63" i="4"/>
  <c r="DN65" i="4"/>
  <c r="DN69" i="4"/>
  <c r="DN68" i="4"/>
  <c r="DN67" i="4"/>
  <c r="DN71" i="4"/>
  <c r="DN66" i="4"/>
  <c r="DN70" i="4"/>
  <c r="EG21" i="90"/>
  <c r="EG11" i="90"/>
  <c r="G129" i="90"/>
  <c r="EA11" i="90"/>
  <c r="EA21" i="90"/>
  <c r="G139" i="90"/>
  <c r="Y63" i="90"/>
  <c r="ES158" i="90" s="1"/>
  <c r="CH63" i="90"/>
  <c r="CH170" i="90" s="1"/>
  <c r="Y83" i="90"/>
  <c r="ES178" i="90" s="1"/>
  <c r="CH83" i="90"/>
  <c r="CH190" i="90" s="1"/>
  <c r="Y23" i="90"/>
  <c r="ES118" i="90" s="1"/>
  <c r="CH23" i="90"/>
  <c r="CH130" i="90" s="1"/>
  <c r="Y33" i="90"/>
  <c r="ES128" i="90" s="1"/>
  <c r="CH33" i="90"/>
  <c r="CH140" i="90" s="1"/>
  <c r="Y43" i="90"/>
  <c r="ES138" i="90" s="1"/>
  <c r="CH43" i="90"/>
  <c r="CH150" i="90" s="1"/>
  <c r="Y103" i="90"/>
  <c r="ES198" i="90" s="1"/>
  <c r="CH103" i="90"/>
  <c r="CH210" i="90" s="1"/>
  <c r="Y73" i="90"/>
  <c r="ES168" i="90" s="1"/>
  <c r="CH73" i="90"/>
  <c r="CH180" i="90" s="1"/>
  <c r="Y113" i="90"/>
  <c r="ES208" i="90" s="1"/>
  <c r="CH113" i="90"/>
  <c r="CH220" i="90" s="1"/>
  <c r="ES71" i="90"/>
  <c r="ES91" i="90"/>
  <c r="S104" i="90"/>
  <c r="EM199" i="90" s="1"/>
  <c r="CB104" i="90"/>
  <c r="CB211" i="90" s="1"/>
  <c r="S33" i="90"/>
  <c r="EM128" i="90" s="1"/>
  <c r="CB33" i="90"/>
  <c r="CB140" i="90" s="1"/>
  <c r="EM91" i="90"/>
  <c r="S43" i="90"/>
  <c r="EM138" i="90" s="1"/>
  <c r="CB43" i="90"/>
  <c r="CB150" i="90" s="1"/>
  <c r="S209" i="90"/>
  <c r="S54" i="90"/>
  <c r="EM149" i="90" s="1"/>
  <c r="CB54" i="90"/>
  <c r="CB161" i="90" s="1"/>
  <c r="S73" i="90"/>
  <c r="EM168" i="90" s="1"/>
  <c r="CB73" i="90"/>
  <c r="CB180" i="90" s="1"/>
  <c r="S83" i="90"/>
  <c r="EM178" i="90" s="1"/>
  <c r="CB83" i="90"/>
  <c r="CB190" i="90" s="1"/>
  <c r="S113" i="90"/>
  <c r="EM208" i="90" s="1"/>
  <c r="CB113" i="90"/>
  <c r="CB220" i="90" s="1"/>
  <c r="S24" i="90"/>
  <c r="EM119" i="90" s="1"/>
  <c r="CB24" i="90"/>
  <c r="CB131" i="90" s="1"/>
  <c r="EM61" i="90"/>
  <c r="S64" i="90"/>
  <c r="EM159" i="90" s="1"/>
  <c r="CB64" i="90"/>
  <c r="CB171" i="90" s="1"/>
  <c r="S179" i="90"/>
  <c r="S94" i="90"/>
  <c r="EM189" i="90" s="1"/>
  <c r="CB94" i="90"/>
  <c r="CB201" i="90" s="1"/>
  <c r="M73" i="90"/>
  <c r="EG168" i="90" s="1"/>
  <c r="BV73" i="90"/>
  <c r="BV180" i="90" s="1"/>
  <c r="EG101" i="90"/>
  <c r="M113" i="90"/>
  <c r="EG208" i="90" s="1"/>
  <c r="BV113" i="90"/>
  <c r="BV220" i="90" s="1"/>
  <c r="EG82" i="90"/>
  <c r="M43" i="90"/>
  <c r="EG138" i="90" s="1"/>
  <c r="BV43" i="90"/>
  <c r="BV150" i="90" s="1"/>
  <c r="M200" i="90"/>
  <c r="M94" i="90"/>
  <c r="EG189" i="90" s="1"/>
  <c r="BV94" i="90"/>
  <c r="BV201" i="90" s="1"/>
  <c r="M54" i="90"/>
  <c r="EG149" i="90" s="1"/>
  <c r="BV54" i="90"/>
  <c r="BV161" i="90" s="1"/>
  <c r="M83" i="90"/>
  <c r="EG178" i="90" s="1"/>
  <c r="BV83" i="90"/>
  <c r="BV190" i="90" s="1"/>
  <c r="M33" i="90"/>
  <c r="EG128" i="90" s="1"/>
  <c r="BV33" i="90"/>
  <c r="BV140" i="90" s="1"/>
  <c r="M219" i="90"/>
  <c r="M24" i="90"/>
  <c r="EG119" i="90" s="1"/>
  <c r="BV24" i="90"/>
  <c r="BV131" i="90" s="1"/>
  <c r="EG31" i="90"/>
  <c r="G84" i="90"/>
  <c r="EA179" i="90" s="1"/>
  <c r="BP84" i="90"/>
  <c r="BP191" i="90" s="1"/>
  <c r="EA72" i="90"/>
  <c r="G94" i="90"/>
  <c r="EA189" i="90" s="1"/>
  <c r="BP94" i="90"/>
  <c r="BP201" i="90" s="1"/>
  <c r="G63" i="90"/>
  <c r="EA158" i="90" s="1"/>
  <c r="BP63" i="90"/>
  <c r="BP170" i="90" s="1"/>
  <c r="G103" i="90"/>
  <c r="EA198" i="90" s="1"/>
  <c r="BP103" i="90"/>
  <c r="BP210" i="90" s="1"/>
  <c r="G190" i="90"/>
  <c r="G44" i="90"/>
  <c r="EA139" i="90" s="1"/>
  <c r="BP44" i="90"/>
  <c r="BP151" i="90" s="1"/>
  <c r="G113" i="90"/>
  <c r="EA208" i="90" s="1"/>
  <c r="BP113" i="90"/>
  <c r="BP220" i="90" s="1"/>
  <c r="G33" i="90"/>
  <c r="EA128" i="90" s="1"/>
  <c r="BP33" i="90"/>
  <c r="BP140" i="90" s="1"/>
  <c r="EA32" i="90"/>
  <c r="EA137" i="90"/>
  <c r="G149" i="90"/>
  <c r="EA31" i="90"/>
  <c r="G53" i="90"/>
  <c r="EA148" i="90" s="1"/>
  <c r="BP53" i="90"/>
  <c r="BP160" i="90" s="1"/>
  <c r="G73" i="90"/>
  <c r="EA168" i="90" s="1"/>
  <c r="BP73" i="90"/>
  <c r="BP180" i="90" s="1"/>
  <c r="G150" i="90"/>
  <c r="G23" i="90"/>
  <c r="EA118" i="90" s="1"/>
  <c r="BP23" i="90"/>
  <c r="BP130" i="90" s="1"/>
  <c r="EG62" i="90"/>
  <c r="M209" i="90"/>
  <c r="EG91" i="90"/>
  <c r="M169" i="90"/>
  <c r="EG51" i="90"/>
  <c r="Y199" i="90"/>
  <c r="ES81" i="90"/>
  <c r="Y159" i="90"/>
  <c r="ES41" i="90"/>
  <c r="DN98" i="4"/>
  <c r="DN99" i="4"/>
  <c r="DN92" i="4"/>
  <c r="DN100" i="4"/>
  <c r="DN93" i="4"/>
  <c r="DN95" i="4"/>
  <c r="DN101" i="4"/>
  <c r="DN97" i="4"/>
  <c r="DN94" i="4"/>
  <c r="DN96" i="4"/>
  <c r="Y93" i="90"/>
  <c r="ES188" i="90" s="1"/>
  <c r="A114" i="75"/>
  <c r="CH94" i="90" s="1"/>
  <c r="CH201" i="90" s="1"/>
  <c r="Y53" i="90"/>
  <c r="ES148" i="90" s="1"/>
  <c r="A70" i="75"/>
  <c r="CH54" i="90" s="1"/>
  <c r="CH161" i="90" s="1"/>
  <c r="M103" i="90"/>
  <c r="EG198" i="90" s="1"/>
  <c r="A125" i="74"/>
  <c r="BV104" i="90" s="1"/>
  <c r="BV211" i="90" s="1"/>
  <c r="M63" i="90"/>
  <c r="EG158" i="90" s="1"/>
  <c r="A81" i="74"/>
  <c r="BV64" i="90" s="1"/>
  <c r="BV171" i="90" s="1"/>
  <c r="A136" i="80"/>
  <c r="A59" i="80"/>
  <c r="ED69" i="4" s="1"/>
  <c r="A92" i="79"/>
  <c r="A59" i="79"/>
  <c r="A114" i="79"/>
  <c r="A136" i="79"/>
  <c r="A125" i="78"/>
  <c r="A70" i="78"/>
  <c r="EL53" i="4" s="1"/>
  <c r="A81" i="78"/>
  <c r="EL54" i="4" s="1"/>
  <c r="A92" i="78"/>
  <c r="EL61" i="4" s="1"/>
  <c r="A70" i="77"/>
  <c r="A81" i="77"/>
  <c r="A92" i="77"/>
  <c r="A103" i="77"/>
  <c r="A59" i="77"/>
  <c r="A71" i="76"/>
  <c r="A92" i="76"/>
  <c r="A82" i="76"/>
  <c r="A126" i="76"/>
  <c r="A48" i="76"/>
  <c r="A103" i="76"/>
  <c r="A59" i="76"/>
  <c r="A115" i="76"/>
  <c r="A136" i="76"/>
  <c r="A38" i="76"/>
  <c r="A136" i="75"/>
  <c r="A81" i="75"/>
  <c r="A92" i="75"/>
  <c r="A48" i="75"/>
  <c r="A37" i="75"/>
  <c r="A59" i="75"/>
  <c r="A103" i="75"/>
  <c r="A125" i="75"/>
  <c r="A71" i="74"/>
  <c r="A38" i="74"/>
  <c r="A59" i="74"/>
  <c r="A48" i="74"/>
  <c r="A103" i="74"/>
  <c r="A115" i="74"/>
  <c r="A136" i="74"/>
  <c r="A92" i="74"/>
  <c r="A104" i="73"/>
  <c r="A60" i="73"/>
  <c r="A48" i="73"/>
  <c r="A37" i="73"/>
  <c r="A125" i="73"/>
  <c r="A81" i="73"/>
  <c r="A136" i="73"/>
  <c r="A92" i="73"/>
  <c r="A115" i="73"/>
  <c r="A70" i="73"/>
  <c r="N127" i="72"/>
  <c r="Y150" i="90" l="1"/>
  <c r="S190" i="90"/>
  <c r="EM93" i="90"/>
  <c r="Y170" i="90"/>
  <c r="S211" i="90"/>
  <c r="EA83" i="90"/>
  <c r="EM13" i="90"/>
  <c r="ES72" i="90"/>
  <c r="G201" i="90"/>
  <c r="S131" i="90"/>
  <c r="Y190" i="90"/>
  <c r="ES32" i="90"/>
  <c r="ES52" i="90"/>
  <c r="EG32" i="90"/>
  <c r="M150" i="90"/>
  <c r="ES62" i="90"/>
  <c r="EM62" i="90"/>
  <c r="EM53" i="90"/>
  <c r="EA33" i="90"/>
  <c r="G151" i="90"/>
  <c r="EG22" i="90"/>
  <c r="ES102" i="90"/>
  <c r="Y220" i="90"/>
  <c r="Y140" i="90"/>
  <c r="EM72" i="90"/>
  <c r="EG13" i="90"/>
  <c r="S180" i="90"/>
  <c r="Y180" i="90"/>
  <c r="EA52" i="90"/>
  <c r="EA73" i="90"/>
  <c r="G191" i="90"/>
  <c r="M190" i="90"/>
  <c r="EM32" i="90"/>
  <c r="EM22" i="90"/>
  <c r="S150" i="90"/>
  <c r="EG72" i="90"/>
  <c r="M180" i="90"/>
  <c r="EG83" i="90"/>
  <c r="M201" i="90"/>
  <c r="G210" i="90"/>
  <c r="EA92" i="90"/>
  <c r="M161" i="90"/>
  <c r="EA62" i="90"/>
  <c r="G180" i="90"/>
  <c r="M220" i="90"/>
  <c r="S140" i="90"/>
  <c r="G170" i="90"/>
  <c r="M131" i="90"/>
  <c r="S171" i="90"/>
  <c r="EG43" i="90"/>
  <c r="EA12" i="90"/>
  <c r="G130" i="90"/>
  <c r="E39" i="74"/>
  <c r="F39" i="74"/>
  <c r="EL52" i="4"/>
  <c r="A42" i="72"/>
  <c r="F42" i="72"/>
  <c r="A31" i="72"/>
  <c r="F31" i="72"/>
  <c r="DO66" i="4"/>
  <c r="DP66" i="4"/>
  <c r="DM66" i="4"/>
  <c r="DO71" i="4"/>
  <c r="DP71" i="4"/>
  <c r="DM71" i="4"/>
  <c r="DO67" i="4"/>
  <c r="DP67" i="4"/>
  <c r="DM67" i="4"/>
  <c r="DP68" i="4"/>
  <c r="DO68" i="4"/>
  <c r="DM68" i="4"/>
  <c r="DO69" i="4"/>
  <c r="DP69" i="4"/>
  <c r="DM69" i="4"/>
  <c r="DO65" i="4"/>
  <c r="DP65" i="4"/>
  <c r="DM65" i="4"/>
  <c r="DO63" i="4"/>
  <c r="DP63" i="4"/>
  <c r="DM63" i="4"/>
  <c r="DO70" i="4"/>
  <c r="DP70" i="4"/>
  <c r="DM70" i="4"/>
  <c r="DO62" i="4"/>
  <c r="DP62" i="4"/>
  <c r="DM62" i="4"/>
  <c r="EN61" i="4"/>
  <c r="EM61" i="4"/>
  <c r="EN54" i="4"/>
  <c r="EM54" i="4"/>
  <c r="M140" i="90"/>
  <c r="EA22" i="90"/>
  <c r="G140" i="90"/>
  <c r="Y34" i="90"/>
  <c r="ES129" i="90" s="1"/>
  <c r="CH34" i="90"/>
  <c r="CH141" i="90" s="1"/>
  <c r="Y74" i="90"/>
  <c r="ES169" i="90" s="1"/>
  <c r="CH74" i="90"/>
  <c r="CH181" i="90" s="1"/>
  <c r="Y64" i="90"/>
  <c r="ES159" i="90" s="1"/>
  <c r="CH64" i="90"/>
  <c r="CH171" i="90" s="1"/>
  <c r="ES12" i="90"/>
  <c r="Y114" i="90"/>
  <c r="ES209" i="90" s="1"/>
  <c r="CH114" i="90"/>
  <c r="CH221" i="90" s="1"/>
  <c r="ES92" i="90"/>
  <c r="Y104" i="90"/>
  <c r="ES199" i="90" s="1"/>
  <c r="CH104" i="90"/>
  <c r="CH211" i="90" s="1"/>
  <c r="Y210" i="90"/>
  <c r="Y84" i="90"/>
  <c r="ES179" i="90" s="1"/>
  <c r="CH84" i="90"/>
  <c r="CH191" i="90" s="1"/>
  <c r="Y44" i="90"/>
  <c r="ES139" i="90" s="1"/>
  <c r="CH44" i="90"/>
  <c r="CH151" i="90" s="1"/>
  <c r="Y130" i="90"/>
  <c r="Y24" i="90"/>
  <c r="ES119" i="90" s="1"/>
  <c r="CH24" i="90"/>
  <c r="CH131" i="90" s="1"/>
  <c r="ES22" i="90"/>
  <c r="S55" i="90"/>
  <c r="EM150" i="90" s="1"/>
  <c r="CB55" i="90"/>
  <c r="CB162" i="90" s="1"/>
  <c r="S44" i="90"/>
  <c r="EM139" i="90" s="1"/>
  <c r="CB44" i="90"/>
  <c r="CB151" i="90" s="1"/>
  <c r="EM83" i="90"/>
  <c r="S84" i="90"/>
  <c r="EM179" i="90" s="1"/>
  <c r="CB84" i="90"/>
  <c r="CB191" i="90" s="1"/>
  <c r="S201" i="90"/>
  <c r="S95" i="90"/>
  <c r="EM190" i="90" s="1"/>
  <c r="CB95" i="90"/>
  <c r="CB202" i="90" s="1"/>
  <c r="S114" i="90"/>
  <c r="EM209" i="90" s="1"/>
  <c r="CB114" i="90"/>
  <c r="CB221" i="90" s="1"/>
  <c r="S34" i="90"/>
  <c r="EM129" i="90" s="1"/>
  <c r="CB34" i="90"/>
  <c r="CB141" i="90" s="1"/>
  <c r="EM102" i="90"/>
  <c r="S105" i="90"/>
  <c r="EM200" i="90" s="1"/>
  <c r="CB105" i="90"/>
  <c r="CB212" i="90" s="1"/>
  <c r="S220" i="90"/>
  <c r="S65" i="90"/>
  <c r="EM160" i="90" s="1"/>
  <c r="CB65" i="90"/>
  <c r="CB172" i="90" s="1"/>
  <c r="EM43" i="90"/>
  <c r="S25" i="90"/>
  <c r="EM120" i="90" s="1"/>
  <c r="CB25" i="90"/>
  <c r="CB132" i="90" s="1"/>
  <c r="S74" i="90"/>
  <c r="EM169" i="90" s="1"/>
  <c r="CB74" i="90"/>
  <c r="CB181" i="90" s="1"/>
  <c r="S161" i="90"/>
  <c r="M84" i="90"/>
  <c r="EG179" i="90" s="1"/>
  <c r="BV84" i="90"/>
  <c r="BV191" i="90" s="1"/>
  <c r="M34" i="90"/>
  <c r="EG129" i="90" s="1"/>
  <c r="BV34" i="90"/>
  <c r="BV141" i="90" s="1"/>
  <c r="M25" i="90"/>
  <c r="EG120" i="90" s="1"/>
  <c r="BV25" i="90"/>
  <c r="BV132" i="90" s="1"/>
  <c r="M114" i="90"/>
  <c r="EG209" i="90" s="1"/>
  <c r="BV114" i="90"/>
  <c r="BV221" i="90" s="1"/>
  <c r="M44" i="90"/>
  <c r="EG139" i="90" s="1"/>
  <c r="BV44" i="90"/>
  <c r="BV151" i="90" s="1"/>
  <c r="M55" i="90"/>
  <c r="EG150" i="90" s="1"/>
  <c r="BV55" i="90"/>
  <c r="BV162" i="90" s="1"/>
  <c r="M95" i="90"/>
  <c r="EG190" i="90" s="1"/>
  <c r="BV95" i="90"/>
  <c r="BV202" i="90" s="1"/>
  <c r="M74" i="90"/>
  <c r="EG169" i="90" s="1"/>
  <c r="BV74" i="90"/>
  <c r="BV181" i="90" s="1"/>
  <c r="EG102" i="90"/>
  <c r="G104" i="90"/>
  <c r="EA199" i="90" s="1"/>
  <c r="BP104" i="90"/>
  <c r="BP211" i="90" s="1"/>
  <c r="EA42" i="90"/>
  <c r="G24" i="90"/>
  <c r="EA119" i="90" s="1"/>
  <c r="BP24" i="90"/>
  <c r="BP131" i="90" s="1"/>
  <c r="G160" i="90"/>
  <c r="G54" i="90"/>
  <c r="EA149" i="90" s="1"/>
  <c r="BP54" i="90"/>
  <c r="BP161" i="90" s="1"/>
  <c r="G45" i="90"/>
  <c r="EA140" i="90" s="1"/>
  <c r="BP45" i="90"/>
  <c r="BP152" i="90" s="1"/>
  <c r="G114" i="90"/>
  <c r="EA209" i="90" s="1"/>
  <c r="BP114" i="90"/>
  <c r="BP221" i="90" s="1"/>
  <c r="G64" i="90"/>
  <c r="EA159" i="90" s="1"/>
  <c r="BP64" i="90"/>
  <c r="BP171" i="90" s="1"/>
  <c r="G34" i="90"/>
  <c r="EA129" i="90" s="1"/>
  <c r="BP34" i="90"/>
  <c r="BP141" i="90" s="1"/>
  <c r="G95" i="90"/>
  <c r="EA190" i="90" s="1"/>
  <c r="BP95" i="90"/>
  <c r="BP202" i="90" s="1"/>
  <c r="G85" i="90"/>
  <c r="EA180" i="90" s="1"/>
  <c r="BP85" i="90"/>
  <c r="BP192" i="90" s="1"/>
  <c r="EA102" i="90"/>
  <c r="G74" i="90"/>
  <c r="EA169" i="90" s="1"/>
  <c r="BP74" i="90"/>
  <c r="BP181" i="90" s="1"/>
  <c r="G220" i="90"/>
  <c r="M210" i="90"/>
  <c r="EG92" i="90"/>
  <c r="Y160" i="90"/>
  <c r="ES42" i="90"/>
  <c r="Y200" i="90"/>
  <c r="ES82" i="90"/>
  <c r="M170" i="90"/>
  <c r="EG52" i="90"/>
  <c r="DO97" i="4"/>
  <c r="DP97" i="4"/>
  <c r="DM97" i="4"/>
  <c r="DP101" i="4"/>
  <c r="DO101" i="4"/>
  <c r="DM101" i="4"/>
  <c r="DP95" i="4"/>
  <c r="DO95" i="4"/>
  <c r="DM95" i="4"/>
  <c r="DP93" i="4"/>
  <c r="DO93" i="4"/>
  <c r="DM93" i="4"/>
  <c r="DO100" i="4"/>
  <c r="DP100" i="4"/>
  <c r="DM100" i="4"/>
  <c r="DO92" i="4"/>
  <c r="DP92" i="4"/>
  <c r="DM92" i="4"/>
  <c r="DP96" i="4"/>
  <c r="DO96" i="4"/>
  <c r="DM96" i="4"/>
  <c r="DP99" i="4"/>
  <c r="DO99" i="4"/>
  <c r="DM99" i="4"/>
  <c r="DO94" i="4"/>
  <c r="DP94" i="4"/>
  <c r="DM94" i="4"/>
  <c r="DP98" i="4"/>
  <c r="DO98" i="4"/>
  <c r="DM98" i="4"/>
  <c r="EL78" i="4"/>
  <c r="EL76" i="4"/>
  <c r="EL79" i="4"/>
  <c r="EL72" i="4"/>
  <c r="EL73" i="4"/>
  <c r="EL75" i="4"/>
  <c r="EL77" i="4"/>
  <c r="EL74" i="4"/>
  <c r="EL81" i="4"/>
  <c r="ED68" i="4"/>
  <c r="EE68" i="4" s="1"/>
  <c r="ED70" i="4"/>
  <c r="EF70" i="4" s="1"/>
  <c r="ED64" i="4"/>
  <c r="EC64" i="4" s="1"/>
  <c r="ED65" i="4"/>
  <c r="EC65" i="4" s="1"/>
  <c r="ED67" i="4"/>
  <c r="EE67" i="4" s="1"/>
  <c r="ED71" i="4"/>
  <c r="EE71" i="4" s="1"/>
  <c r="ED66" i="4"/>
  <c r="EC66" i="4" s="1"/>
  <c r="ED63" i="4"/>
  <c r="EC63" i="4" s="1"/>
  <c r="EL59" i="4"/>
  <c r="EL57" i="4"/>
  <c r="EL58" i="4"/>
  <c r="EL56" i="4"/>
  <c r="EL55" i="4"/>
  <c r="EL60" i="4"/>
  <c r="Y54" i="90"/>
  <c r="ES149" i="90" s="1"/>
  <c r="A71" i="75"/>
  <c r="CH55" i="90" s="1"/>
  <c r="CH162" i="90" s="1"/>
  <c r="Y94" i="90"/>
  <c r="ES189" i="90" s="1"/>
  <c r="A115" i="75"/>
  <c r="CH95" i="90" s="1"/>
  <c r="CH202" i="90" s="1"/>
  <c r="M64" i="90"/>
  <c r="EG159" i="90" s="1"/>
  <c r="A82" i="74"/>
  <c r="BV65" i="90" s="1"/>
  <c r="BV172" i="90" s="1"/>
  <c r="M104" i="90"/>
  <c r="EG199" i="90" s="1"/>
  <c r="A126" i="74"/>
  <c r="BV105" i="90" s="1"/>
  <c r="BV212" i="90" s="1"/>
  <c r="EC69" i="4"/>
  <c r="EE69" i="4"/>
  <c r="EF69" i="4"/>
  <c r="A116" i="76"/>
  <c r="A104" i="76"/>
  <c r="A137" i="76"/>
  <c r="A60" i="76"/>
  <c r="A83" i="76"/>
  <c r="A72" i="76"/>
  <c r="A49" i="76"/>
  <c r="A39" i="76"/>
  <c r="A127" i="76"/>
  <c r="A93" i="76"/>
  <c r="A38" i="75"/>
  <c r="A82" i="75"/>
  <c r="A137" i="75"/>
  <c r="A104" i="75"/>
  <c r="A49" i="75"/>
  <c r="A60" i="75"/>
  <c r="A93" i="75"/>
  <c r="A126" i="75"/>
  <c r="A104" i="74"/>
  <c r="A39" i="74"/>
  <c r="A49" i="74"/>
  <c r="A93" i="74"/>
  <c r="A60" i="74"/>
  <c r="A116" i="74"/>
  <c r="A72" i="74"/>
  <c r="A137" i="74"/>
  <c r="A71" i="73"/>
  <c r="A49" i="73"/>
  <c r="A93" i="73"/>
  <c r="A126" i="73"/>
  <c r="A105" i="73"/>
  <c r="A61" i="73"/>
  <c r="A38" i="73"/>
  <c r="A82" i="73"/>
  <c r="A137" i="73"/>
  <c r="A116" i="73"/>
  <c r="F30" i="51"/>
  <c r="F25" i="51"/>
  <c r="F41" i="41"/>
  <c r="M191" i="90" l="1"/>
  <c r="S191" i="90"/>
  <c r="G161" i="90"/>
  <c r="EA13" i="90"/>
  <c r="EA53" i="90"/>
  <c r="S212" i="90"/>
  <c r="ES63" i="90"/>
  <c r="G171" i="90"/>
  <c r="Y181" i="90"/>
  <c r="G131" i="90"/>
  <c r="G221" i="90"/>
  <c r="EM94" i="90"/>
  <c r="ES13" i="90"/>
  <c r="EM63" i="90"/>
  <c r="EM73" i="90"/>
  <c r="S181" i="90"/>
  <c r="EM54" i="90"/>
  <c r="ES33" i="90"/>
  <c r="S172" i="90"/>
  <c r="EM33" i="90"/>
  <c r="Y151" i="90"/>
  <c r="ES103" i="90"/>
  <c r="S151" i="90"/>
  <c r="EM103" i="90"/>
  <c r="EA63" i="90"/>
  <c r="Y221" i="90"/>
  <c r="S221" i="90"/>
  <c r="G181" i="90"/>
  <c r="EG73" i="90"/>
  <c r="ES73" i="90"/>
  <c r="Y191" i="90"/>
  <c r="EM44" i="90"/>
  <c r="S162" i="90"/>
  <c r="EM84" i="90"/>
  <c r="S202" i="90"/>
  <c r="EG63" i="90"/>
  <c r="M181" i="90"/>
  <c r="EG84" i="90"/>
  <c r="EG103" i="90"/>
  <c r="M221" i="90"/>
  <c r="EA43" i="90"/>
  <c r="EA93" i="90"/>
  <c r="EM23" i="90"/>
  <c r="G211" i="90"/>
  <c r="S141" i="90"/>
  <c r="ES23" i="90"/>
  <c r="M162" i="90"/>
  <c r="Y141" i="90"/>
  <c r="G192" i="90"/>
  <c r="EA34" i="90"/>
  <c r="EG44" i="90"/>
  <c r="G152" i="90"/>
  <c r="F40" i="74"/>
  <c r="E40" i="74"/>
  <c r="F43" i="72"/>
  <c r="A43" i="72"/>
  <c r="A32" i="72"/>
  <c r="F32" i="72"/>
  <c r="EM73" i="4"/>
  <c r="EN73" i="4"/>
  <c r="EN72" i="4"/>
  <c r="EM72" i="4"/>
  <c r="EM79" i="4"/>
  <c r="EN79" i="4"/>
  <c r="EM76" i="4"/>
  <c r="EN76" i="4"/>
  <c r="EM81" i="4"/>
  <c r="EN81" i="4"/>
  <c r="EM78" i="4"/>
  <c r="EN78" i="4"/>
  <c r="EM74" i="4"/>
  <c r="EN74" i="4"/>
  <c r="EM77" i="4"/>
  <c r="EN77" i="4"/>
  <c r="EM75" i="4"/>
  <c r="EN75" i="4"/>
  <c r="EN56" i="4"/>
  <c r="EM56" i="4"/>
  <c r="EM58" i="4"/>
  <c r="EN58" i="4"/>
  <c r="EN57" i="4"/>
  <c r="EM57" i="4"/>
  <c r="EN59" i="4"/>
  <c r="EM59" i="4"/>
  <c r="EM60" i="4"/>
  <c r="EN60" i="4"/>
  <c r="EM55" i="4"/>
  <c r="EN55" i="4"/>
  <c r="Y131" i="90"/>
  <c r="EM14" i="90"/>
  <c r="S132" i="90"/>
  <c r="EG14" i="90"/>
  <c r="M132" i="90"/>
  <c r="EA74" i="90"/>
  <c r="EA23" i="90"/>
  <c r="G141" i="90"/>
  <c r="Y85" i="90"/>
  <c r="ES180" i="90" s="1"/>
  <c r="CH85" i="90"/>
  <c r="CH192" i="90" s="1"/>
  <c r="Y115" i="90"/>
  <c r="ES210" i="90" s="1"/>
  <c r="CH115" i="90"/>
  <c r="CH222" i="90" s="1"/>
  <c r="ES53" i="90"/>
  <c r="Y171" i="90"/>
  <c r="ES93" i="90"/>
  <c r="Y211" i="90"/>
  <c r="Y75" i="90"/>
  <c r="ES170" i="90" s="1"/>
  <c r="CH75" i="90"/>
  <c r="CH182" i="90" s="1"/>
  <c r="Y45" i="90"/>
  <c r="ES140" i="90" s="1"/>
  <c r="CH45" i="90"/>
  <c r="CH152" i="90" s="1"/>
  <c r="Y35" i="90"/>
  <c r="ES130" i="90" s="1"/>
  <c r="CH35" i="90"/>
  <c r="CH142" i="90" s="1"/>
  <c r="Y65" i="90"/>
  <c r="ES160" i="90" s="1"/>
  <c r="CH65" i="90"/>
  <c r="CH172" i="90" s="1"/>
  <c r="Y25" i="90"/>
  <c r="ES120" i="90" s="1"/>
  <c r="CH25" i="90"/>
  <c r="CH132" i="90" s="1"/>
  <c r="Y105" i="90"/>
  <c r="ES200" i="90" s="1"/>
  <c r="CH105" i="90"/>
  <c r="CH212" i="90" s="1"/>
  <c r="S66" i="90"/>
  <c r="EM161" i="90" s="1"/>
  <c r="CB66" i="90"/>
  <c r="CB173" i="90" s="1"/>
  <c r="S45" i="90"/>
  <c r="EM140" i="90" s="1"/>
  <c r="CB45" i="90"/>
  <c r="CB152" i="90" s="1"/>
  <c r="S75" i="90"/>
  <c r="EM170" i="90" s="1"/>
  <c r="CB75" i="90"/>
  <c r="CB182" i="90" s="1"/>
  <c r="S85" i="90"/>
  <c r="EM180" i="90" s="1"/>
  <c r="CB85" i="90"/>
  <c r="CB192" i="90" s="1"/>
  <c r="S56" i="90"/>
  <c r="EM151" i="90" s="1"/>
  <c r="CB56" i="90"/>
  <c r="CB163" i="90" s="1"/>
  <c r="S106" i="90"/>
  <c r="EM201" i="90" s="1"/>
  <c r="CB106" i="90"/>
  <c r="CB213" i="90" s="1"/>
  <c r="S96" i="90"/>
  <c r="EM191" i="90" s="1"/>
  <c r="CB96" i="90"/>
  <c r="CB203" i="90" s="1"/>
  <c r="S26" i="90"/>
  <c r="EM121" i="90" s="1"/>
  <c r="CB26" i="90"/>
  <c r="CB133" i="90" s="1"/>
  <c r="S115" i="90"/>
  <c r="EM210" i="90" s="1"/>
  <c r="CB115" i="90"/>
  <c r="CB222" i="90" s="1"/>
  <c r="S35" i="90"/>
  <c r="EM130" i="90" s="1"/>
  <c r="CB35" i="90"/>
  <c r="CB142" i="90" s="1"/>
  <c r="M115" i="90"/>
  <c r="EG210" i="90" s="1"/>
  <c r="BV115" i="90"/>
  <c r="BV222" i="90" s="1"/>
  <c r="EG23" i="90"/>
  <c r="M26" i="90"/>
  <c r="EG121" i="90" s="1"/>
  <c r="BV26" i="90"/>
  <c r="BV133" i="90" s="1"/>
  <c r="M141" i="90"/>
  <c r="M56" i="90"/>
  <c r="EG151" i="90" s="1"/>
  <c r="BV56" i="90"/>
  <c r="BV163" i="90" s="1"/>
  <c r="M96" i="90"/>
  <c r="EG191" i="90" s="1"/>
  <c r="BV96" i="90"/>
  <c r="BV203" i="90" s="1"/>
  <c r="M202" i="90"/>
  <c r="M45" i="90"/>
  <c r="EG140" i="90" s="1"/>
  <c r="BV45" i="90"/>
  <c r="BV152" i="90" s="1"/>
  <c r="EG33" i="90"/>
  <c r="M151" i="90"/>
  <c r="M85" i="90"/>
  <c r="EG180" i="90" s="1"/>
  <c r="BV85" i="90"/>
  <c r="BV192" i="90" s="1"/>
  <c r="M75" i="90"/>
  <c r="EG170" i="90" s="1"/>
  <c r="BV75" i="90"/>
  <c r="BV182" i="90" s="1"/>
  <c r="M35" i="90"/>
  <c r="EG130" i="90" s="1"/>
  <c r="BV35" i="90"/>
  <c r="BV142" i="90" s="1"/>
  <c r="G86" i="90"/>
  <c r="EA181" i="90" s="1"/>
  <c r="BP86" i="90"/>
  <c r="BP193" i="90" s="1"/>
  <c r="G96" i="90"/>
  <c r="EA191" i="90" s="1"/>
  <c r="BP96" i="90"/>
  <c r="BP203" i="90" s="1"/>
  <c r="G35" i="90"/>
  <c r="EA130" i="90" s="1"/>
  <c r="BP35" i="90"/>
  <c r="BP142" i="90" s="1"/>
  <c r="EA103" i="90"/>
  <c r="G55" i="90"/>
  <c r="EA150" i="90" s="1"/>
  <c r="BP55" i="90"/>
  <c r="BP162" i="90" s="1"/>
  <c r="G46" i="90"/>
  <c r="EA141" i="90" s="1"/>
  <c r="BP46" i="90"/>
  <c r="BP153" i="90" s="1"/>
  <c r="G105" i="90"/>
  <c r="EA200" i="90" s="1"/>
  <c r="BP105" i="90"/>
  <c r="BP212" i="90" s="1"/>
  <c r="EA84" i="90"/>
  <c r="G75" i="90"/>
  <c r="EA170" i="90" s="1"/>
  <c r="BP75" i="90"/>
  <c r="BP182" i="90" s="1"/>
  <c r="G115" i="90"/>
  <c r="EA210" i="90" s="1"/>
  <c r="BP115" i="90"/>
  <c r="BP222" i="90" s="1"/>
  <c r="G65" i="90"/>
  <c r="EA160" i="90" s="1"/>
  <c r="BP65" i="90"/>
  <c r="BP172" i="90" s="1"/>
  <c r="G25" i="90"/>
  <c r="EA120" i="90" s="1"/>
  <c r="BP25" i="90"/>
  <c r="BP132" i="90" s="1"/>
  <c r="G202" i="90"/>
  <c r="EE65" i="4"/>
  <c r="EF64" i="4"/>
  <c r="EE70" i="4"/>
  <c r="Y201" i="90"/>
  <c r="ES83" i="90"/>
  <c r="Y161" i="90"/>
  <c r="ES43" i="90"/>
  <c r="M211" i="90"/>
  <c r="EG93" i="90"/>
  <c r="M171" i="90"/>
  <c r="EG53" i="90"/>
  <c r="EC70" i="4"/>
  <c r="EE64" i="4"/>
  <c r="EF71" i="4"/>
  <c r="EC68" i="4"/>
  <c r="EF68" i="4"/>
  <c r="EE66" i="4"/>
  <c r="EF65" i="4"/>
  <c r="EF66" i="4"/>
  <c r="EF63" i="4"/>
  <c r="EC71" i="4"/>
  <c r="EF67" i="4"/>
  <c r="EE63" i="4"/>
  <c r="EC67" i="4"/>
  <c r="Y95" i="90"/>
  <c r="ES190" i="90" s="1"/>
  <c r="A116" i="75"/>
  <c r="CH96" i="90" s="1"/>
  <c r="CH203" i="90" s="1"/>
  <c r="Y55" i="90"/>
  <c r="ES150" i="90" s="1"/>
  <c r="A72" i="75"/>
  <c r="CH56" i="90" s="1"/>
  <c r="CH163" i="90" s="1"/>
  <c r="M105" i="90"/>
  <c r="EG200" i="90" s="1"/>
  <c r="A127" i="74"/>
  <c r="BV106" i="90" s="1"/>
  <c r="BV213" i="90" s="1"/>
  <c r="M65" i="90"/>
  <c r="EG160" i="90" s="1"/>
  <c r="A83" i="74"/>
  <c r="BV66" i="90" s="1"/>
  <c r="BV173" i="90" s="1"/>
  <c r="A50" i="76"/>
  <c r="A84" i="76"/>
  <c r="A138" i="76"/>
  <c r="A94" i="76"/>
  <c r="A128" i="76"/>
  <c r="A105" i="76"/>
  <c r="A117" i="76"/>
  <c r="A61" i="76"/>
  <c r="A40" i="76"/>
  <c r="A73" i="76"/>
  <c r="A94" i="75"/>
  <c r="A50" i="75"/>
  <c r="A138" i="75"/>
  <c r="A61" i="75"/>
  <c r="A39" i="75"/>
  <c r="A127" i="75"/>
  <c r="A105" i="75"/>
  <c r="A83" i="75"/>
  <c r="A73" i="74"/>
  <c r="A40" i="74"/>
  <c r="A61" i="74"/>
  <c r="A138" i="74"/>
  <c r="A94" i="74"/>
  <c r="A117" i="74"/>
  <c r="A50" i="74"/>
  <c r="A105" i="74"/>
  <c r="A127" i="73"/>
  <c r="A138" i="73"/>
  <c r="A117" i="73"/>
  <c r="A72" i="73"/>
  <c r="A106" i="73"/>
  <c r="A94" i="73"/>
  <c r="A50" i="73"/>
  <c r="A83" i="73"/>
  <c r="A39" i="73"/>
  <c r="A62" i="73"/>
  <c r="S173" i="90" l="1"/>
  <c r="EM104" i="90"/>
  <c r="M222" i="90"/>
  <c r="G222" i="90"/>
  <c r="EM55" i="90"/>
  <c r="EM45" i="90"/>
  <c r="S163" i="90"/>
  <c r="S222" i="90"/>
  <c r="EG85" i="90"/>
  <c r="Y192" i="90"/>
  <c r="EG104" i="90"/>
  <c r="ES64" i="90"/>
  <c r="ES74" i="90"/>
  <c r="Y182" i="90"/>
  <c r="Y132" i="90"/>
  <c r="G212" i="90"/>
  <c r="G162" i="90"/>
  <c r="EA94" i="90"/>
  <c r="Y222" i="90"/>
  <c r="S192" i="90"/>
  <c r="ES94" i="90"/>
  <c r="S133" i="90"/>
  <c r="ES34" i="90"/>
  <c r="M182" i="90"/>
  <c r="EA24" i="90"/>
  <c r="EG64" i="90"/>
  <c r="Y212" i="90"/>
  <c r="M152" i="90"/>
  <c r="Y152" i="90"/>
  <c r="G132" i="90"/>
  <c r="M203" i="90"/>
  <c r="EG15" i="90"/>
  <c r="EG74" i="90"/>
  <c r="ES14" i="90"/>
  <c r="EA64" i="90"/>
  <c r="M133" i="90"/>
  <c r="EG34" i="90"/>
  <c r="G182" i="90"/>
  <c r="EM15" i="90"/>
  <c r="EM74" i="90"/>
  <c r="ES104" i="90"/>
  <c r="M192" i="90"/>
  <c r="EA44" i="90"/>
  <c r="EM95" i="90"/>
  <c r="EA54" i="90"/>
  <c r="EA85" i="90"/>
  <c r="S152" i="90"/>
  <c r="EA104" i="90"/>
  <c r="EG45" i="90"/>
  <c r="EA75" i="90"/>
  <c r="M163" i="90"/>
  <c r="G193" i="90"/>
  <c r="EA35" i="90"/>
  <c r="S213" i="90"/>
  <c r="G153" i="90"/>
  <c r="G203" i="90"/>
  <c r="G172" i="90"/>
  <c r="EM34" i="90"/>
  <c r="F41" i="74"/>
  <c r="E41" i="74"/>
  <c r="A44" i="72"/>
  <c r="F44" i="72"/>
  <c r="A33" i="72"/>
  <c r="F33" i="72"/>
  <c r="EA14" i="90"/>
  <c r="G142" i="90"/>
  <c r="EG24" i="90"/>
  <c r="M142" i="90"/>
  <c r="Y36" i="90"/>
  <c r="ES131" i="90" s="1"/>
  <c r="CH36" i="90"/>
  <c r="CH143" i="90" s="1"/>
  <c r="Y142" i="90"/>
  <c r="Y66" i="90"/>
  <c r="ES161" i="90" s="1"/>
  <c r="CH66" i="90"/>
  <c r="CH173" i="90" s="1"/>
  <c r="ES54" i="90"/>
  <c r="Y172" i="90"/>
  <c r="Y106" i="90"/>
  <c r="ES201" i="90" s="1"/>
  <c r="CH106" i="90"/>
  <c r="CH213" i="90" s="1"/>
  <c r="Y26" i="90"/>
  <c r="ES121" i="90" s="1"/>
  <c r="CH26" i="90"/>
  <c r="CH133" i="90" s="1"/>
  <c r="ES24" i="90"/>
  <c r="Y76" i="90"/>
  <c r="ES171" i="90" s="1"/>
  <c r="CH76" i="90"/>
  <c r="CH183" i="90" s="1"/>
  <c r="Y86" i="90"/>
  <c r="ES181" i="90" s="1"/>
  <c r="CH86" i="90"/>
  <c r="CH193" i="90" s="1"/>
  <c r="Y46" i="90"/>
  <c r="ES141" i="90" s="1"/>
  <c r="CH46" i="90"/>
  <c r="CH153" i="90" s="1"/>
  <c r="Y116" i="90"/>
  <c r="ES211" i="90" s="1"/>
  <c r="CH116" i="90"/>
  <c r="CH223" i="90" s="1"/>
  <c r="EM64" i="90"/>
  <c r="S86" i="90"/>
  <c r="EM181" i="90" s="1"/>
  <c r="CB86" i="90"/>
  <c r="CB193" i="90" s="1"/>
  <c r="S107" i="90"/>
  <c r="EM202" i="90" s="1"/>
  <c r="CB107" i="90"/>
  <c r="CB214" i="90" s="1"/>
  <c r="S182" i="90"/>
  <c r="S76" i="90"/>
  <c r="EM171" i="90" s="1"/>
  <c r="CB76" i="90"/>
  <c r="CB183" i="90" s="1"/>
  <c r="EM85" i="90"/>
  <c r="S97" i="90"/>
  <c r="EM192" i="90" s="1"/>
  <c r="CB97" i="90"/>
  <c r="CB204" i="90" s="1"/>
  <c r="EM24" i="90"/>
  <c r="S116" i="90"/>
  <c r="EM211" i="90" s="1"/>
  <c r="CB116" i="90"/>
  <c r="CB223" i="90" s="1"/>
  <c r="S142" i="90"/>
  <c r="S203" i="90"/>
  <c r="S57" i="90"/>
  <c r="EM152" i="90" s="1"/>
  <c r="CB57" i="90"/>
  <c r="CB164" i="90" s="1"/>
  <c r="S67" i="90"/>
  <c r="EM162" i="90" s="1"/>
  <c r="CB67" i="90"/>
  <c r="CB174" i="90" s="1"/>
  <c r="S36" i="90"/>
  <c r="EM131" i="90" s="1"/>
  <c r="CB36" i="90"/>
  <c r="CB143" i="90" s="1"/>
  <c r="S27" i="90"/>
  <c r="EM122" i="90" s="1"/>
  <c r="CB27" i="90"/>
  <c r="CB134" i="90" s="1"/>
  <c r="S46" i="90"/>
  <c r="EM141" i="90" s="1"/>
  <c r="CB46" i="90"/>
  <c r="CB153" i="90" s="1"/>
  <c r="M97" i="90"/>
  <c r="EG192" i="90" s="1"/>
  <c r="BV97" i="90"/>
  <c r="BV204" i="90" s="1"/>
  <c r="M36" i="90"/>
  <c r="EG131" i="90" s="1"/>
  <c r="BV36" i="90"/>
  <c r="BV143" i="90" s="1"/>
  <c r="M46" i="90"/>
  <c r="EG141" i="90" s="1"/>
  <c r="BV46" i="90"/>
  <c r="BV153" i="90" s="1"/>
  <c r="M116" i="90"/>
  <c r="EG211" i="90" s="1"/>
  <c r="BV116" i="90"/>
  <c r="BV223" i="90" s="1"/>
  <c r="M76" i="90"/>
  <c r="EG171" i="90" s="1"/>
  <c r="BV76" i="90"/>
  <c r="BV183" i="90" s="1"/>
  <c r="M27" i="90"/>
  <c r="EG122" i="90" s="1"/>
  <c r="BV27" i="90"/>
  <c r="BV134" i="90" s="1"/>
  <c r="M57" i="90"/>
  <c r="EG152" i="90" s="1"/>
  <c r="BV57" i="90"/>
  <c r="BV164" i="90" s="1"/>
  <c r="M86" i="90"/>
  <c r="EG181" i="90" s="1"/>
  <c r="BV86" i="90"/>
  <c r="BV193" i="90" s="1"/>
  <c r="G76" i="90"/>
  <c r="EA171" i="90" s="1"/>
  <c r="BP76" i="90"/>
  <c r="BP183" i="90" s="1"/>
  <c r="G36" i="90"/>
  <c r="EA131" i="90" s="1"/>
  <c r="BP36" i="90"/>
  <c r="BP143" i="90" s="1"/>
  <c r="G56" i="90"/>
  <c r="EA151" i="90" s="1"/>
  <c r="BP56" i="90"/>
  <c r="BP163" i="90" s="1"/>
  <c r="G97" i="90"/>
  <c r="EA192" i="90" s="1"/>
  <c r="BP97" i="90"/>
  <c r="BP204" i="90" s="1"/>
  <c r="G87" i="90"/>
  <c r="EA182" i="90" s="1"/>
  <c r="BP87" i="90"/>
  <c r="BP194" i="90" s="1"/>
  <c r="G116" i="90"/>
  <c r="EA211" i="90" s="1"/>
  <c r="BP116" i="90"/>
  <c r="BP223" i="90" s="1"/>
  <c r="G26" i="90"/>
  <c r="EA121" i="90" s="1"/>
  <c r="BP26" i="90"/>
  <c r="BP133" i="90" s="1"/>
  <c r="G106" i="90"/>
  <c r="EA201" i="90" s="1"/>
  <c r="BP106" i="90"/>
  <c r="BP213" i="90" s="1"/>
  <c r="G47" i="90"/>
  <c r="EA142" i="90" s="1"/>
  <c r="BP47" i="90"/>
  <c r="BP154" i="90" s="1"/>
  <c r="G66" i="90"/>
  <c r="EA161" i="90" s="1"/>
  <c r="BP66" i="90"/>
  <c r="BP173" i="90" s="1"/>
  <c r="M172" i="90"/>
  <c r="EG54" i="90"/>
  <c r="M204" i="90"/>
  <c r="EG86" i="90"/>
  <c r="M212" i="90"/>
  <c r="EG94" i="90"/>
  <c r="G183" i="90"/>
  <c r="Y162" i="90"/>
  <c r="ES44" i="90"/>
  <c r="Y202" i="90"/>
  <c r="ES84" i="90"/>
  <c r="Y56" i="90"/>
  <c r="ES151" i="90" s="1"/>
  <c r="A73" i="75"/>
  <c r="CH57" i="90" s="1"/>
  <c r="CH164" i="90" s="1"/>
  <c r="Y96" i="90"/>
  <c r="ES191" i="90" s="1"/>
  <c r="A117" i="75"/>
  <c r="CH97" i="90" s="1"/>
  <c r="CH204" i="90" s="1"/>
  <c r="M66" i="90"/>
  <c r="EG161" i="90" s="1"/>
  <c r="A84" i="74"/>
  <c r="BV67" i="90" s="1"/>
  <c r="BV174" i="90" s="1"/>
  <c r="M106" i="90"/>
  <c r="EG201" i="90" s="1"/>
  <c r="A128" i="74"/>
  <c r="BV107" i="90" s="1"/>
  <c r="BV214" i="90" s="1"/>
  <c r="A118" i="76"/>
  <c r="A74" i="76"/>
  <c r="A129" i="76"/>
  <c r="A95" i="76"/>
  <c r="A85" i="76"/>
  <c r="A106" i="76"/>
  <c r="A51" i="76"/>
  <c r="A41" i="76"/>
  <c r="A62" i="76"/>
  <c r="A139" i="76"/>
  <c r="A128" i="75"/>
  <c r="A95" i="75"/>
  <c r="A62" i="75"/>
  <c r="A139" i="75"/>
  <c r="A106" i="75"/>
  <c r="A84" i="75"/>
  <c r="A51" i="75"/>
  <c r="A40" i="75"/>
  <c r="A41" i="74"/>
  <c r="A95" i="74"/>
  <c r="A62" i="74"/>
  <c r="A51" i="74"/>
  <c r="A74" i="74"/>
  <c r="A106" i="74"/>
  <c r="A118" i="74"/>
  <c r="A139" i="74"/>
  <c r="A63" i="73"/>
  <c r="A40" i="73"/>
  <c r="A51" i="73"/>
  <c r="A118" i="73"/>
  <c r="A107" i="73"/>
  <c r="A84" i="73"/>
  <c r="A139" i="73"/>
  <c r="A95" i="73"/>
  <c r="A73" i="73"/>
  <c r="A128" i="73"/>
  <c r="BL110" i="90"/>
  <c r="BL100" i="90"/>
  <c r="BL90" i="90"/>
  <c r="BL80" i="90"/>
  <c r="BL70" i="90"/>
  <c r="BL60" i="90"/>
  <c r="A132" i="71"/>
  <c r="A121" i="71"/>
  <c r="A110" i="71"/>
  <c r="A99" i="71"/>
  <c r="BJ80" i="90" s="1"/>
  <c r="BJ187" i="90" s="1"/>
  <c r="A88" i="71"/>
  <c r="A77" i="71"/>
  <c r="BJ60" i="90" s="1"/>
  <c r="BJ167" i="90" s="1"/>
  <c r="A66" i="71"/>
  <c r="A55" i="71"/>
  <c r="A44" i="71"/>
  <c r="A33" i="71"/>
  <c r="F24" i="71"/>
  <c r="EA76" i="90" l="1"/>
  <c r="Y153" i="90"/>
  <c r="EA36" i="90"/>
  <c r="G154" i="90"/>
  <c r="EG25" i="90"/>
  <c r="EG65" i="90"/>
  <c r="M143" i="90"/>
  <c r="EA65" i="90"/>
  <c r="G194" i="90"/>
  <c r="M164" i="90"/>
  <c r="EA15" i="90"/>
  <c r="EG35" i="90"/>
  <c r="M153" i="90"/>
  <c r="ES105" i="90"/>
  <c r="Y223" i="90"/>
  <c r="EM65" i="90"/>
  <c r="S134" i="90"/>
  <c r="S183" i="90"/>
  <c r="EG46" i="90"/>
  <c r="EA25" i="90"/>
  <c r="G143" i="90"/>
  <c r="EA105" i="90"/>
  <c r="EM105" i="90"/>
  <c r="ES25" i="90"/>
  <c r="EM25" i="90"/>
  <c r="G223" i="90"/>
  <c r="Y143" i="90"/>
  <c r="ES35" i="90"/>
  <c r="EA55" i="90"/>
  <c r="G173" i="90"/>
  <c r="G163" i="90"/>
  <c r="M193" i="90"/>
  <c r="EM86" i="90"/>
  <c r="S204" i="90"/>
  <c r="EM75" i="90"/>
  <c r="S193" i="90"/>
  <c r="EM35" i="90"/>
  <c r="ES65" i="90"/>
  <c r="S153" i="90"/>
  <c r="EA95" i="90"/>
  <c r="Y183" i="90"/>
  <c r="G213" i="90"/>
  <c r="EG105" i="90"/>
  <c r="EM46" i="90"/>
  <c r="EA86" i="90"/>
  <c r="M223" i="90"/>
  <c r="S164" i="90"/>
  <c r="EG75" i="90"/>
  <c r="ES55" i="90"/>
  <c r="Y173" i="90"/>
  <c r="EA45" i="90"/>
  <c r="EM56" i="90"/>
  <c r="S174" i="90"/>
  <c r="M183" i="90"/>
  <c r="ES95" i="90"/>
  <c r="ES15" i="90"/>
  <c r="EM96" i="90"/>
  <c r="S214" i="90"/>
  <c r="E42" i="74"/>
  <c r="F42" i="74"/>
  <c r="A45" i="72"/>
  <c r="F45" i="72"/>
  <c r="A34" i="72"/>
  <c r="F34" i="72"/>
  <c r="BJ40" i="90"/>
  <c r="BJ147" i="90" s="1"/>
  <c r="F56" i="71"/>
  <c r="E56" i="71"/>
  <c r="Y133" i="90"/>
  <c r="EM16" i="90"/>
  <c r="EG16" i="90"/>
  <c r="M134" i="90"/>
  <c r="G133" i="90"/>
  <c r="BM110" i="90"/>
  <c r="BN110" i="90"/>
  <c r="BM70" i="90"/>
  <c r="BN70" i="90"/>
  <c r="BM80" i="90"/>
  <c r="BN80" i="90"/>
  <c r="BM90" i="90"/>
  <c r="BN90" i="90"/>
  <c r="BM60" i="90"/>
  <c r="BN60" i="90"/>
  <c r="BM100" i="90"/>
  <c r="BN100" i="90"/>
  <c r="CB58" i="4"/>
  <c r="CF58" i="4"/>
  <c r="CB102" i="4"/>
  <c r="CF102" i="4"/>
  <c r="CB69" i="4"/>
  <c r="CF69" i="4"/>
  <c r="CB80" i="4"/>
  <c r="CF80" i="4"/>
  <c r="CB47" i="4"/>
  <c r="CF47" i="4"/>
  <c r="CB91" i="4"/>
  <c r="CF91" i="4"/>
  <c r="Y213" i="90"/>
  <c r="Y37" i="90"/>
  <c r="ES132" i="90" s="1"/>
  <c r="CH37" i="90"/>
  <c r="CH144" i="90" s="1"/>
  <c r="ES75" i="90"/>
  <c r="Y107" i="90"/>
  <c r="ES202" i="90" s="1"/>
  <c r="CH107" i="90"/>
  <c r="CH214" i="90" s="1"/>
  <c r="Y67" i="90"/>
  <c r="ES162" i="90" s="1"/>
  <c r="CH67" i="90"/>
  <c r="CH174" i="90" s="1"/>
  <c r="Y193" i="90"/>
  <c r="Y87" i="90"/>
  <c r="ES182" i="90" s="1"/>
  <c r="CH87" i="90"/>
  <c r="CH194" i="90" s="1"/>
  <c r="Y77" i="90"/>
  <c r="ES172" i="90" s="1"/>
  <c r="CH77" i="90"/>
  <c r="CH184" i="90" s="1"/>
  <c r="Y27" i="90"/>
  <c r="ES122" i="90" s="1"/>
  <c r="CH27" i="90"/>
  <c r="CH134" i="90" s="1"/>
  <c r="Y117" i="90"/>
  <c r="ES212" i="90" s="1"/>
  <c r="CH117" i="90"/>
  <c r="CH224" i="90" s="1"/>
  <c r="Y47" i="90"/>
  <c r="ES142" i="90" s="1"/>
  <c r="CH47" i="90"/>
  <c r="CH154" i="90" s="1"/>
  <c r="S87" i="90"/>
  <c r="EM182" i="90" s="1"/>
  <c r="CB87" i="90"/>
  <c r="CB194" i="90" s="1"/>
  <c r="S68" i="90"/>
  <c r="EM163" i="90" s="1"/>
  <c r="CB68" i="90"/>
  <c r="CB175" i="90" s="1"/>
  <c r="S37" i="90"/>
  <c r="EM132" i="90" s="1"/>
  <c r="CB37" i="90"/>
  <c r="CB144" i="90" s="1"/>
  <c r="S77" i="90"/>
  <c r="EM172" i="90" s="1"/>
  <c r="CB77" i="90"/>
  <c r="CB184" i="90" s="1"/>
  <c r="S108" i="90"/>
  <c r="EM203" i="90" s="1"/>
  <c r="CB108" i="90"/>
  <c r="CB215" i="90" s="1"/>
  <c r="S143" i="90"/>
  <c r="S223" i="90"/>
  <c r="S117" i="90"/>
  <c r="EM212" i="90" s="1"/>
  <c r="CB117" i="90"/>
  <c r="CB224" i="90" s="1"/>
  <c r="S58" i="90"/>
  <c r="EM153" i="90" s="1"/>
  <c r="CB58" i="90"/>
  <c r="CB165" i="90" s="1"/>
  <c r="S47" i="90"/>
  <c r="EM142" i="90" s="1"/>
  <c r="CB47" i="90"/>
  <c r="CB154" i="90" s="1"/>
  <c r="S98" i="90"/>
  <c r="EM193" i="90" s="1"/>
  <c r="CB98" i="90"/>
  <c r="CB205" i="90" s="1"/>
  <c r="S28" i="90"/>
  <c r="EM123" i="90" s="1"/>
  <c r="CB28" i="90"/>
  <c r="CB135" i="90" s="1"/>
  <c r="M87" i="90"/>
  <c r="EG182" i="90" s="1"/>
  <c r="BV87" i="90"/>
  <c r="BV194" i="90" s="1"/>
  <c r="M58" i="90"/>
  <c r="EG153" i="90" s="1"/>
  <c r="BV58" i="90"/>
  <c r="BV165" i="90" s="1"/>
  <c r="M47" i="90"/>
  <c r="EG142" i="90" s="1"/>
  <c r="BV47" i="90"/>
  <c r="BV154" i="90" s="1"/>
  <c r="M77" i="90"/>
  <c r="EG172" i="90" s="1"/>
  <c r="BV77" i="90"/>
  <c r="BV184" i="90" s="1"/>
  <c r="M28" i="90"/>
  <c r="EG123" i="90" s="1"/>
  <c r="BV28" i="90"/>
  <c r="BV135" i="90" s="1"/>
  <c r="M37" i="90"/>
  <c r="EG132" i="90" s="1"/>
  <c r="BV37" i="90"/>
  <c r="BV144" i="90" s="1"/>
  <c r="M117" i="90"/>
  <c r="EG212" i="90" s="1"/>
  <c r="BV117" i="90"/>
  <c r="BV224" i="90" s="1"/>
  <c r="M98" i="90"/>
  <c r="EG193" i="90" s="1"/>
  <c r="BV98" i="90"/>
  <c r="BV205" i="90" s="1"/>
  <c r="G37" i="90"/>
  <c r="EA132" i="90" s="1"/>
  <c r="BP37" i="90"/>
  <c r="BP144" i="90" s="1"/>
  <c r="G57" i="90"/>
  <c r="EA152" i="90" s="1"/>
  <c r="BP57" i="90"/>
  <c r="BP164" i="90" s="1"/>
  <c r="G48" i="90"/>
  <c r="EA143" i="90" s="1"/>
  <c r="BP48" i="90"/>
  <c r="BP155" i="90" s="1"/>
  <c r="G117" i="90"/>
  <c r="EA212" i="90" s="1"/>
  <c r="BP117" i="90"/>
  <c r="BP224" i="90" s="1"/>
  <c r="G107" i="90"/>
  <c r="EA202" i="90" s="1"/>
  <c r="BP107" i="90"/>
  <c r="BP214" i="90" s="1"/>
  <c r="G67" i="90"/>
  <c r="EA162" i="90" s="1"/>
  <c r="BP67" i="90"/>
  <c r="BP174" i="90" s="1"/>
  <c r="G77" i="90"/>
  <c r="EA172" i="90" s="1"/>
  <c r="BP77" i="90"/>
  <c r="BP184" i="90" s="1"/>
  <c r="G88" i="90"/>
  <c r="EA183" i="90" s="1"/>
  <c r="BP88" i="90"/>
  <c r="BP195" i="90" s="1"/>
  <c r="G204" i="90"/>
  <c r="G27" i="90"/>
  <c r="EA122" i="90" s="1"/>
  <c r="BP27" i="90"/>
  <c r="BP134" i="90" s="1"/>
  <c r="G98" i="90"/>
  <c r="EA193" i="90" s="1"/>
  <c r="BP98" i="90"/>
  <c r="BP205" i="90" s="1"/>
  <c r="BJ20" i="90"/>
  <c r="BJ127" i="90" s="1"/>
  <c r="A100" i="90"/>
  <c r="DU195" i="90" s="1"/>
  <c r="BJ100" i="90"/>
  <c r="BJ207" i="90" s="1"/>
  <c r="A30" i="90"/>
  <c r="DU125" i="90" s="1"/>
  <c r="BJ30" i="90"/>
  <c r="BJ137" i="90" s="1"/>
  <c r="A110" i="90"/>
  <c r="DU205" i="90" s="1"/>
  <c r="BJ110" i="90"/>
  <c r="BJ217" i="90" s="1"/>
  <c r="A50" i="90"/>
  <c r="DU145" i="90" s="1"/>
  <c r="BJ50" i="90"/>
  <c r="BJ157" i="90" s="1"/>
  <c r="A90" i="90"/>
  <c r="DU185" i="90" s="1"/>
  <c r="BJ90" i="90"/>
  <c r="BJ197" i="90" s="1"/>
  <c r="A70" i="90"/>
  <c r="DU165" i="90" s="1"/>
  <c r="BJ70" i="90"/>
  <c r="BJ177" i="90" s="1"/>
  <c r="BK80" i="90"/>
  <c r="BK187" i="90" s="1"/>
  <c r="BK90" i="90"/>
  <c r="BK197" i="90" s="1"/>
  <c r="BK60" i="90"/>
  <c r="BK167" i="90" s="1"/>
  <c r="BK100" i="90"/>
  <c r="BK207" i="90" s="1"/>
  <c r="BK70" i="90"/>
  <c r="BK177" i="90" s="1"/>
  <c r="BK110" i="90"/>
  <c r="BK217" i="90" s="1"/>
  <c r="Y154" i="90"/>
  <c r="Y203" i="90"/>
  <c r="ES85" i="90"/>
  <c r="Y163" i="90"/>
  <c r="ES45" i="90"/>
  <c r="M173" i="90"/>
  <c r="EG55" i="90"/>
  <c r="M213" i="90"/>
  <c r="EG95" i="90"/>
  <c r="BL217" i="90"/>
  <c r="BL187" i="90"/>
  <c r="BL177" i="90"/>
  <c r="BL197" i="90"/>
  <c r="BL167" i="90"/>
  <c r="BL207" i="90"/>
  <c r="B60" i="90"/>
  <c r="DV155" i="90" s="1"/>
  <c r="B100" i="90"/>
  <c r="DV195" i="90" s="1"/>
  <c r="B110" i="90"/>
  <c r="DV205" i="90" s="1"/>
  <c r="B80" i="90"/>
  <c r="DV175" i="90" s="1"/>
  <c r="B70" i="90"/>
  <c r="DV165" i="90" s="1"/>
  <c r="B90" i="90"/>
  <c r="DV185" i="90" s="1"/>
  <c r="Y97" i="90"/>
  <c r="ES192" i="90" s="1"/>
  <c r="A118" i="75"/>
  <c r="CH98" i="90" s="1"/>
  <c r="CH205" i="90" s="1"/>
  <c r="Y57" i="90"/>
  <c r="ES152" i="90" s="1"/>
  <c r="A74" i="75"/>
  <c r="CH58" i="90" s="1"/>
  <c r="CH165" i="90" s="1"/>
  <c r="M107" i="90"/>
  <c r="EG202" i="90" s="1"/>
  <c r="A129" i="74"/>
  <c r="BV108" i="90" s="1"/>
  <c r="BV215" i="90" s="1"/>
  <c r="M67" i="90"/>
  <c r="EG162" i="90" s="1"/>
  <c r="A85" i="74"/>
  <c r="BV68" i="90" s="1"/>
  <c r="BV175" i="90" s="1"/>
  <c r="A20" i="90"/>
  <c r="DU115" i="90" s="1"/>
  <c r="A56" i="71"/>
  <c r="A40" i="90"/>
  <c r="DU135" i="90" s="1"/>
  <c r="A78" i="71"/>
  <c r="A60" i="90"/>
  <c r="DU155" i="90" s="1"/>
  <c r="A100" i="71"/>
  <c r="A80" i="90"/>
  <c r="DU175" i="90" s="1"/>
  <c r="H110" i="71"/>
  <c r="C90" i="90"/>
  <c r="G77" i="71"/>
  <c r="C60" i="90"/>
  <c r="H121" i="71"/>
  <c r="C100" i="90"/>
  <c r="H99" i="71"/>
  <c r="C80" i="90"/>
  <c r="H88" i="71"/>
  <c r="C70" i="90"/>
  <c r="H132" i="71"/>
  <c r="C110" i="90"/>
  <c r="A34" i="71"/>
  <c r="BJ21" i="90" s="1"/>
  <c r="BJ128" i="90" s="1"/>
  <c r="A130" i="76"/>
  <c r="A75" i="76"/>
  <c r="A63" i="76"/>
  <c r="A107" i="76"/>
  <c r="A140" i="76"/>
  <c r="A96" i="76"/>
  <c r="A86" i="76"/>
  <c r="A119" i="76"/>
  <c r="A42" i="76"/>
  <c r="A52" i="76"/>
  <c r="A129" i="75"/>
  <c r="A41" i="75"/>
  <c r="A140" i="75"/>
  <c r="A52" i="75"/>
  <c r="A63" i="75"/>
  <c r="A107" i="75"/>
  <c r="A96" i="75"/>
  <c r="A85" i="75"/>
  <c r="A42" i="74"/>
  <c r="DN30" i="4" s="1"/>
  <c r="A75" i="74"/>
  <c r="A140" i="74"/>
  <c r="A96" i="74"/>
  <c r="A119" i="74"/>
  <c r="A52" i="74"/>
  <c r="A107" i="74"/>
  <c r="A63" i="74"/>
  <c r="A119" i="73"/>
  <c r="A96" i="73"/>
  <c r="A129" i="73"/>
  <c r="A52" i="73"/>
  <c r="A64" i="73"/>
  <c r="A85" i="73"/>
  <c r="A140" i="73"/>
  <c r="A108" i="73"/>
  <c r="A74" i="73"/>
  <c r="A41" i="73"/>
  <c r="A133" i="71"/>
  <c r="G132" i="71"/>
  <c r="A122" i="71"/>
  <c r="G121" i="71"/>
  <c r="A111" i="71"/>
  <c r="BJ91" i="90" s="1"/>
  <c r="BJ198" i="90" s="1"/>
  <c r="A89" i="71"/>
  <c r="G88" i="71"/>
  <c r="H77" i="71"/>
  <c r="A67" i="71"/>
  <c r="A45" i="71"/>
  <c r="G99" i="71"/>
  <c r="G110" i="71"/>
  <c r="EG106" i="90" l="1"/>
  <c r="Y214" i="90"/>
  <c r="EG76" i="90"/>
  <c r="Y144" i="90"/>
  <c r="M154" i="90"/>
  <c r="S175" i="90"/>
  <c r="EM87" i="90"/>
  <c r="EM66" i="90"/>
  <c r="ES26" i="90"/>
  <c r="S184" i="90"/>
  <c r="M194" i="90"/>
  <c r="ES36" i="90"/>
  <c r="EG87" i="90"/>
  <c r="EM106" i="90"/>
  <c r="EM17" i="90"/>
  <c r="S205" i="90"/>
  <c r="EA77" i="90"/>
  <c r="EG36" i="90"/>
  <c r="EG66" i="90"/>
  <c r="EM57" i="90"/>
  <c r="M224" i="90"/>
  <c r="ES76" i="90"/>
  <c r="EA16" i="90"/>
  <c r="Y194" i="90"/>
  <c r="A177" i="90"/>
  <c r="G214" i="90"/>
  <c r="EA96" i="90"/>
  <c r="EM47" i="90"/>
  <c r="EG17" i="90"/>
  <c r="Y174" i="90"/>
  <c r="S165" i="90"/>
  <c r="M135" i="90"/>
  <c r="DU59" i="90"/>
  <c r="EA87" i="90"/>
  <c r="ES56" i="90"/>
  <c r="ES96" i="90"/>
  <c r="EM97" i="90"/>
  <c r="M144" i="90"/>
  <c r="M165" i="90"/>
  <c r="EA46" i="90"/>
  <c r="G195" i="90"/>
  <c r="M205" i="90"/>
  <c r="EM26" i="90"/>
  <c r="S135" i="90"/>
  <c r="G224" i="90"/>
  <c r="S224" i="90"/>
  <c r="ES106" i="90"/>
  <c r="S144" i="90"/>
  <c r="Y224" i="90"/>
  <c r="EA106" i="90"/>
  <c r="DU89" i="90"/>
  <c r="A197" i="90"/>
  <c r="A207" i="90"/>
  <c r="EA66" i="90"/>
  <c r="G155" i="90"/>
  <c r="G184" i="90"/>
  <c r="G205" i="90"/>
  <c r="EA37" i="90"/>
  <c r="EM36" i="90"/>
  <c r="ES66" i="90"/>
  <c r="A217" i="90"/>
  <c r="EG47" i="90"/>
  <c r="Y184" i="90"/>
  <c r="EG26" i="90"/>
  <c r="G174" i="90"/>
  <c r="G134" i="90"/>
  <c r="EA56" i="90"/>
  <c r="G164" i="90"/>
  <c r="EM76" i="90"/>
  <c r="S154" i="90"/>
  <c r="S194" i="90"/>
  <c r="S215" i="90"/>
  <c r="DU79" i="90"/>
  <c r="DP30" i="4"/>
  <c r="DO30" i="4"/>
  <c r="ED27" i="4"/>
  <c r="ED23" i="4"/>
  <c r="ED22" i="4"/>
  <c r="ED28" i="4"/>
  <c r="ED30" i="4"/>
  <c r="ED26" i="4"/>
  <c r="ED25" i="4"/>
  <c r="ED29" i="4"/>
  <c r="ED31" i="4"/>
  <c r="A46" i="72"/>
  <c r="F46" i="72"/>
  <c r="A35" i="72"/>
  <c r="F35" i="72"/>
  <c r="BJ41" i="90"/>
  <c r="BJ148" i="90" s="1"/>
  <c r="E57" i="71"/>
  <c r="F57" i="71"/>
  <c r="DU19" i="90"/>
  <c r="A137" i="90"/>
  <c r="DW195" i="90"/>
  <c r="E100" i="90"/>
  <c r="D100" i="90"/>
  <c r="BM177" i="90"/>
  <c r="BN177" i="90"/>
  <c r="BM187" i="90"/>
  <c r="BN187" i="90"/>
  <c r="DW155" i="90"/>
  <c r="E60" i="90"/>
  <c r="D60" i="90"/>
  <c r="BM217" i="90"/>
  <c r="BN217" i="90"/>
  <c r="DW205" i="90"/>
  <c r="E110" i="90"/>
  <c r="D110" i="90"/>
  <c r="DW165" i="90"/>
  <c r="E70" i="90"/>
  <c r="D70" i="90"/>
  <c r="DW185" i="90"/>
  <c r="E90" i="90"/>
  <c r="D90" i="90"/>
  <c r="BM207" i="90"/>
  <c r="BN207" i="90"/>
  <c r="DW175" i="90"/>
  <c r="E80" i="90"/>
  <c r="D80" i="90"/>
  <c r="BM167" i="90"/>
  <c r="BN167" i="90"/>
  <c r="BM197" i="90"/>
  <c r="BN197" i="90"/>
  <c r="EA26" i="90"/>
  <c r="G144" i="90"/>
  <c r="Y68" i="90"/>
  <c r="ES163" i="90" s="1"/>
  <c r="CH68" i="90"/>
  <c r="CH175" i="90" s="1"/>
  <c r="Y108" i="90"/>
  <c r="ES203" i="90" s="1"/>
  <c r="CH108" i="90"/>
  <c r="CH215" i="90" s="1"/>
  <c r="Y88" i="90"/>
  <c r="ES183" i="90" s="1"/>
  <c r="CH88" i="90"/>
  <c r="CH195" i="90" s="1"/>
  <c r="Y48" i="90"/>
  <c r="ES143" i="90" s="1"/>
  <c r="CH48" i="90"/>
  <c r="CH155" i="90" s="1"/>
  <c r="Y38" i="90"/>
  <c r="ES133" i="90" s="1"/>
  <c r="CH38" i="90"/>
  <c r="CH145" i="90" s="1"/>
  <c r="ES16" i="90"/>
  <c r="Y78" i="90"/>
  <c r="ES173" i="90" s="1"/>
  <c r="CH78" i="90"/>
  <c r="CH185" i="90" s="1"/>
  <c r="Y118" i="90"/>
  <c r="ES213" i="90" s="1"/>
  <c r="CH118" i="90"/>
  <c r="CH225" i="90" s="1"/>
  <c r="Y134" i="90"/>
  <c r="Y28" i="90"/>
  <c r="ES123" i="90" s="1"/>
  <c r="CH28" i="90"/>
  <c r="CH135" i="90" s="1"/>
  <c r="S78" i="90"/>
  <c r="EM173" i="90" s="1"/>
  <c r="CB78" i="90"/>
  <c r="CB185" i="90" s="1"/>
  <c r="S118" i="90"/>
  <c r="EM213" i="90" s="1"/>
  <c r="CB118" i="90"/>
  <c r="CB225" i="90" s="1"/>
  <c r="S88" i="90"/>
  <c r="EM183" i="90" s="1"/>
  <c r="CB88" i="90"/>
  <c r="CB195" i="90" s="1"/>
  <c r="S48" i="90"/>
  <c r="EM143" i="90" s="1"/>
  <c r="CB48" i="90"/>
  <c r="CB155" i="90" s="1"/>
  <c r="S38" i="90"/>
  <c r="EM133" i="90" s="1"/>
  <c r="CB38" i="90"/>
  <c r="CB145" i="90" s="1"/>
  <c r="S59" i="90"/>
  <c r="EM154" i="90" s="1"/>
  <c r="CB59" i="90"/>
  <c r="CB166" i="90" s="1"/>
  <c r="S69" i="90"/>
  <c r="EM164" i="90" s="1"/>
  <c r="CB69" i="90"/>
  <c r="CB176" i="90" s="1"/>
  <c r="S29" i="90"/>
  <c r="EM124" i="90" s="1"/>
  <c r="CB29" i="90"/>
  <c r="CB136" i="90" s="1"/>
  <c r="S109" i="90"/>
  <c r="EM204" i="90" s="1"/>
  <c r="CB109" i="90"/>
  <c r="CB216" i="90" s="1"/>
  <c r="S99" i="90"/>
  <c r="EM194" i="90" s="1"/>
  <c r="CB99" i="90"/>
  <c r="CB206" i="90" s="1"/>
  <c r="M29" i="90"/>
  <c r="EG124" i="90" s="1"/>
  <c r="BV29" i="90"/>
  <c r="BV136" i="90" s="1"/>
  <c r="M48" i="90"/>
  <c r="EG143" i="90" s="1"/>
  <c r="BV48" i="90"/>
  <c r="BV155" i="90" s="1"/>
  <c r="M38" i="90"/>
  <c r="EG133" i="90" s="1"/>
  <c r="BV38" i="90"/>
  <c r="BV145" i="90" s="1"/>
  <c r="M59" i="90"/>
  <c r="EG154" i="90" s="1"/>
  <c r="BV59" i="90"/>
  <c r="BV166" i="90" s="1"/>
  <c r="M99" i="90"/>
  <c r="EG194" i="90" s="1"/>
  <c r="BV99" i="90"/>
  <c r="BV206" i="90" s="1"/>
  <c r="M88" i="90"/>
  <c r="EG183" i="90" s="1"/>
  <c r="BV88" i="90"/>
  <c r="BV195" i="90" s="1"/>
  <c r="M78" i="90"/>
  <c r="EG173" i="90" s="1"/>
  <c r="BV78" i="90"/>
  <c r="BV185" i="90" s="1"/>
  <c r="M118" i="90"/>
  <c r="EG213" i="90" s="1"/>
  <c r="BV118" i="90"/>
  <c r="BV225" i="90" s="1"/>
  <c r="M184" i="90"/>
  <c r="G58" i="90"/>
  <c r="EA153" i="90" s="1"/>
  <c r="BP58" i="90"/>
  <c r="BP165" i="90" s="1"/>
  <c r="G99" i="90"/>
  <c r="EA194" i="90" s="1"/>
  <c r="BP99" i="90"/>
  <c r="BP206" i="90" s="1"/>
  <c r="G89" i="90"/>
  <c r="EA184" i="90" s="1"/>
  <c r="BP89" i="90"/>
  <c r="BP196" i="90" s="1"/>
  <c r="G68" i="90"/>
  <c r="EA163" i="90" s="1"/>
  <c r="BP68" i="90"/>
  <c r="BP175" i="90" s="1"/>
  <c r="G49" i="90"/>
  <c r="EA144" i="90" s="1"/>
  <c r="BP49" i="90"/>
  <c r="BP156" i="90" s="1"/>
  <c r="G28" i="90"/>
  <c r="EA123" i="90" s="1"/>
  <c r="BP28" i="90"/>
  <c r="BP135" i="90" s="1"/>
  <c r="G38" i="90"/>
  <c r="EA133" i="90" s="1"/>
  <c r="BP38" i="90"/>
  <c r="BP145" i="90" s="1"/>
  <c r="G78" i="90"/>
  <c r="EA173" i="90" s="1"/>
  <c r="BP78" i="90"/>
  <c r="BP185" i="90" s="1"/>
  <c r="G118" i="90"/>
  <c r="EA213" i="90" s="1"/>
  <c r="BP118" i="90"/>
  <c r="BP225" i="90" s="1"/>
  <c r="G108" i="90"/>
  <c r="EA203" i="90" s="1"/>
  <c r="BP108" i="90"/>
  <c r="BP215" i="90" s="1"/>
  <c r="DU39" i="90"/>
  <c r="A157" i="90"/>
  <c r="A71" i="90"/>
  <c r="DU166" i="90" s="1"/>
  <c r="BJ71" i="90"/>
  <c r="BJ178" i="90" s="1"/>
  <c r="A81" i="90"/>
  <c r="DU176" i="90" s="1"/>
  <c r="BJ81" i="90"/>
  <c r="BJ188" i="90" s="1"/>
  <c r="A101" i="90"/>
  <c r="DU196" i="90" s="1"/>
  <c r="BJ101" i="90"/>
  <c r="BJ208" i="90" s="1"/>
  <c r="A61" i="90"/>
  <c r="DU156" i="90" s="1"/>
  <c r="BJ61" i="90"/>
  <c r="BJ168" i="90" s="1"/>
  <c r="A31" i="90"/>
  <c r="DU126" i="90" s="1"/>
  <c r="BJ31" i="90"/>
  <c r="BJ138" i="90" s="1"/>
  <c r="A51" i="90"/>
  <c r="DU146" i="90" s="1"/>
  <c r="BJ51" i="90"/>
  <c r="BJ158" i="90" s="1"/>
  <c r="A111" i="90"/>
  <c r="DU206" i="90" s="1"/>
  <c r="BJ111" i="90"/>
  <c r="BJ218" i="90" s="1"/>
  <c r="DU99" i="90"/>
  <c r="C217" i="90"/>
  <c r="DW99" i="90"/>
  <c r="B187" i="90"/>
  <c r="DV69" i="90"/>
  <c r="C167" i="90"/>
  <c r="DW49" i="90"/>
  <c r="C177" i="90"/>
  <c r="DW59" i="90"/>
  <c r="Y164" i="90"/>
  <c r="ES46" i="90"/>
  <c r="C197" i="90"/>
  <c r="DW79" i="90"/>
  <c r="A127" i="90"/>
  <c r="DU9" i="90"/>
  <c r="Y204" i="90"/>
  <c r="ES86" i="90"/>
  <c r="B217" i="90"/>
  <c r="DV99" i="90"/>
  <c r="C187" i="90"/>
  <c r="DW69" i="90"/>
  <c r="A187" i="90"/>
  <c r="DU69" i="90"/>
  <c r="M174" i="90"/>
  <c r="EG56" i="90"/>
  <c r="B197" i="90"/>
  <c r="DV79" i="90"/>
  <c r="B207" i="90"/>
  <c r="DV89" i="90"/>
  <c r="A147" i="90"/>
  <c r="DU29" i="90"/>
  <c r="EA57" i="90"/>
  <c r="C207" i="90"/>
  <c r="DW89" i="90"/>
  <c r="A167" i="90"/>
  <c r="DU49" i="90"/>
  <c r="M214" i="90"/>
  <c r="EG96" i="90"/>
  <c r="B177" i="90"/>
  <c r="DV59" i="90"/>
  <c r="B167" i="90"/>
  <c r="DV49" i="90"/>
  <c r="A79" i="71"/>
  <c r="Y58" i="90"/>
  <c r="ES153" i="90" s="1"/>
  <c r="A75" i="75"/>
  <c r="Y98" i="90"/>
  <c r="ES193" i="90" s="1"/>
  <c r="A119" i="75"/>
  <c r="M68" i="90"/>
  <c r="EG163" i="90" s="1"/>
  <c r="A86" i="74"/>
  <c r="M108" i="90"/>
  <c r="EG203" i="90" s="1"/>
  <c r="A130" i="74"/>
  <c r="A101" i="71"/>
  <c r="A112" i="71"/>
  <c r="A113" i="71" s="1"/>
  <c r="A91" i="90"/>
  <c r="DU186" i="90" s="1"/>
  <c r="A35" i="71"/>
  <c r="A21" i="90"/>
  <c r="DU116" i="90" s="1"/>
  <c r="A57" i="71"/>
  <c r="A41" i="90"/>
  <c r="DU136" i="90" s="1"/>
  <c r="EL7" i="4"/>
  <c r="A141" i="76"/>
  <c r="A53" i="76"/>
  <c r="A108" i="76"/>
  <c r="A64" i="76"/>
  <c r="A97" i="76"/>
  <c r="A97" i="75"/>
  <c r="A108" i="75"/>
  <c r="A130" i="75"/>
  <c r="A141" i="75"/>
  <c r="A86" i="75"/>
  <c r="A64" i="75"/>
  <c r="A53" i="75"/>
  <c r="A42" i="75"/>
  <c r="A64" i="74"/>
  <c r="A97" i="74"/>
  <c r="A108" i="74"/>
  <c r="A53" i="74"/>
  <c r="A141" i="74"/>
  <c r="A42" i="73"/>
  <c r="DN20" i="4" s="1"/>
  <c r="A86" i="73"/>
  <c r="A75" i="73"/>
  <c r="A130" i="73"/>
  <c r="A97" i="73"/>
  <c r="A141" i="73"/>
  <c r="A53" i="73"/>
  <c r="A134" i="71"/>
  <c r="A123" i="71"/>
  <c r="A90" i="71"/>
  <c r="A68" i="71"/>
  <c r="A46" i="71"/>
  <c r="G175" i="90" l="1"/>
  <c r="ES67" i="90"/>
  <c r="S145" i="90"/>
  <c r="S166" i="90"/>
  <c r="EM107" i="90"/>
  <c r="EM48" i="90"/>
  <c r="S225" i="90"/>
  <c r="EG48" i="90"/>
  <c r="ES107" i="90"/>
  <c r="EM88" i="90"/>
  <c r="M166" i="90"/>
  <c r="Y225" i="90"/>
  <c r="S206" i="90"/>
  <c r="ES77" i="90"/>
  <c r="A178" i="90"/>
  <c r="Y195" i="90"/>
  <c r="G145" i="90"/>
  <c r="G185" i="90"/>
  <c r="DU60" i="90"/>
  <c r="EM58" i="90"/>
  <c r="EG107" i="90"/>
  <c r="A188" i="90"/>
  <c r="G206" i="90"/>
  <c r="G215" i="90"/>
  <c r="EA88" i="90"/>
  <c r="Y185" i="90"/>
  <c r="M195" i="90"/>
  <c r="EA78" i="90"/>
  <c r="G196" i="90"/>
  <c r="EA17" i="90"/>
  <c r="EA27" i="90"/>
  <c r="EM77" i="90"/>
  <c r="EG88" i="90"/>
  <c r="S195" i="90"/>
  <c r="M206" i="90"/>
  <c r="DU50" i="90"/>
  <c r="EM67" i="90"/>
  <c r="S185" i="90"/>
  <c r="EM98" i="90"/>
  <c r="EG27" i="90"/>
  <c r="S216" i="90"/>
  <c r="ES97" i="90"/>
  <c r="DU90" i="90"/>
  <c r="M145" i="90"/>
  <c r="Y215" i="90"/>
  <c r="A208" i="90"/>
  <c r="EM27" i="90"/>
  <c r="CM32" i="4"/>
  <c r="E146" i="102" s="1"/>
  <c r="CN32" i="4"/>
  <c r="F146" i="102" s="1"/>
  <c r="EA38" i="90"/>
  <c r="EA107" i="90"/>
  <c r="G165" i="90"/>
  <c r="A158" i="90"/>
  <c r="Y145" i="90"/>
  <c r="DU70" i="90"/>
  <c r="EG77" i="90"/>
  <c r="EA47" i="90"/>
  <c r="EM37" i="90"/>
  <c r="Y175" i="90"/>
  <c r="G225" i="90"/>
  <c r="S155" i="90"/>
  <c r="G156" i="90"/>
  <c r="ES57" i="90"/>
  <c r="EM18" i="90"/>
  <c r="EG37" i="90"/>
  <c r="ES17" i="90"/>
  <c r="S136" i="90"/>
  <c r="M155" i="90"/>
  <c r="Y135" i="90"/>
  <c r="CM22" i="4"/>
  <c r="E136" i="102" s="1"/>
  <c r="ES27" i="90"/>
  <c r="EA97" i="90"/>
  <c r="EG18" i="90"/>
  <c r="M136" i="90"/>
  <c r="EE29" i="4"/>
  <c r="EC29" i="4"/>
  <c r="EF29" i="4"/>
  <c r="EF25" i="4"/>
  <c r="EE25" i="4"/>
  <c r="EC25" i="4"/>
  <c r="EF26" i="4"/>
  <c r="EE26" i="4"/>
  <c r="EC26" i="4"/>
  <c r="EE30" i="4"/>
  <c r="EC30" i="4"/>
  <c r="EF30" i="4"/>
  <c r="EE28" i="4"/>
  <c r="EF28" i="4"/>
  <c r="EC28" i="4"/>
  <c r="EE22" i="4"/>
  <c r="EC24" i="4"/>
  <c r="EC22" i="4"/>
  <c r="EF22" i="4"/>
  <c r="EF23" i="4"/>
  <c r="EC23" i="4"/>
  <c r="EE23" i="4"/>
  <c r="EF31" i="4"/>
  <c r="EE31" i="4"/>
  <c r="EC31" i="4"/>
  <c r="EF27" i="4"/>
  <c r="EE27" i="4"/>
  <c r="EC27" i="4"/>
  <c r="A47" i="72"/>
  <c r="F47" i="72"/>
  <c r="A36" i="72"/>
  <c r="F36" i="72"/>
  <c r="DO20" i="4"/>
  <c r="DP20" i="4"/>
  <c r="G135" i="90"/>
  <c r="BJ42" i="90"/>
  <c r="BJ149" i="90" s="1"/>
  <c r="E58" i="71"/>
  <c r="F58" i="71"/>
  <c r="EM7" i="4"/>
  <c r="EN7" i="4"/>
  <c r="CN42" i="4"/>
  <c r="F156" i="102" s="1"/>
  <c r="CM42" i="4"/>
  <c r="E156" i="102" s="1"/>
  <c r="CN22" i="4"/>
  <c r="F136" i="102" s="1"/>
  <c r="DU40" i="90"/>
  <c r="DU20" i="90"/>
  <c r="A138" i="90"/>
  <c r="DX165" i="90"/>
  <c r="DY165" i="90"/>
  <c r="DX155" i="90"/>
  <c r="DY155" i="90"/>
  <c r="DX89" i="90"/>
  <c r="DY89" i="90"/>
  <c r="DX69" i="90"/>
  <c r="DY69" i="90"/>
  <c r="DX49" i="90"/>
  <c r="DY49" i="90"/>
  <c r="D207" i="90"/>
  <c r="E207" i="90"/>
  <c r="D187" i="90"/>
  <c r="E187" i="90"/>
  <c r="D167" i="90"/>
  <c r="E167" i="90"/>
  <c r="DX175" i="90"/>
  <c r="DY175" i="90"/>
  <c r="DX185" i="90"/>
  <c r="DY185" i="90"/>
  <c r="DX205" i="90"/>
  <c r="DY205" i="90"/>
  <c r="DX79" i="90"/>
  <c r="DY79" i="90"/>
  <c r="D197" i="90"/>
  <c r="E197" i="90"/>
  <c r="DX59" i="90"/>
  <c r="DY59" i="90"/>
  <c r="DX99" i="90"/>
  <c r="DY99" i="90"/>
  <c r="D177" i="90"/>
  <c r="E177" i="90"/>
  <c r="D217" i="90"/>
  <c r="E217" i="90"/>
  <c r="DX195" i="90"/>
  <c r="DY195" i="90"/>
  <c r="DN14" i="4"/>
  <c r="DN18" i="4"/>
  <c r="DN21" i="4"/>
  <c r="DN13" i="4"/>
  <c r="DN12" i="4"/>
  <c r="DM52" i="4" s="1"/>
  <c r="DN19" i="4"/>
  <c r="DN17" i="4"/>
  <c r="DN16" i="4"/>
  <c r="Y79" i="90"/>
  <c r="ES174" i="90" s="1"/>
  <c r="CH79" i="90"/>
  <c r="CH186" i="90" s="1"/>
  <c r="Y99" i="90"/>
  <c r="ES194" i="90" s="1"/>
  <c r="CH99" i="90"/>
  <c r="CH206" i="90" s="1"/>
  <c r="Y29" i="90"/>
  <c r="ES124" i="90" s="1"/>
  <c r="CH29" i="90"/>
  <c r="CH136" i="90" s="1"/>
  <c r="Y39" i="90"/>
  <c r="ES134" i="90" s="1"/>
  <c r="CH39" i="90"/>
  <c r="CH146" i="90" s="1"/>
  <c r="Y59" i="90"/>
  <c r="ES154" i="90" s="1"/>
  <c r="CH59" i="90"/>
  <c r="CH166" i="90" s="1"/>
  <c r="Y89" i="90"/>
  <c r="ES184" i="90" s="1"/>
  <c r="CH89" i="90"/>
  <c r="CH196" i="90" s="1"/>
  <c r="Y49" i="90"/>
  <c r="ES144" i="90" s="1"/>
  <c r="CH49" i="90"/>
  <c r="CH156" i="90" s="1"/>
  <c r="Y109" i="90"/>
  <c r="ES204" i="90" s="1"/>
  <c r="CH109" i="90"/>
  <c r="CH216" i="90" s="1"/>
  <c r="Y69" i="90"/>
  <c r="ES164" i="90" s="1"/>
  <c r="CH69" i="90"/>
  <c r="CH176" i="90" s="1"/>
  <c r="ES37" i="90"/>
  <c r="Y119" i="90"/>
  <c r="ES214" i="90" s="1"/>
  <c r="CH119" i="90"/>
  <c r="CH226" i="90" s="1"/>
  <c r="CN44" i="4"/>
  <c r="F158" i="102" s="1"/>
  <c r="CN46" i="4"/>
  <c r="F160" i="102" s="1"/>
  <c r="CM46" i="4"/>
  <c r="E160" i="102" s="1"/>
  <c r="CM45" i="4"/>
  <c r="E159" i="102" s="1"/>
  <c r="CN51" i="4"/>
  <c r="F165" i="102" s="1"/>
  <c r="CN49" i="4"/>
  <c r="F163" i="102" s="1"/>
  <c r="CM51" i="4"/>
  <c r="E165" i="102" s="1"/>
  <c r="CM47" i="4"/>
  <c r="E161" i="102" s="1"/>
  <c r="CM50" i="4"/>
  <c r="E164" i="102" s="1"/>
  <c r="CN50" i="4"/>
  <c r="F164" i="102" s="1"/>
  <c r="CM43" i="4"/>
  <c r="E157" i="102" s="1"/>
  <c r="CM48" i="4"/>
  <c r="E162" i="102" s="1"/>
  <c r="CN43" i="4"/>
  <c r="F157" i="102" s="1"/>
  <c r="CN48" i="4"/>
  <c r="F162" i="102" s="1"/>
  <c r="CN45" i="4"/>
  <c r="F159" i="102" s="1"/>
  <c r="CM44" i="4"/>
  <c r="E158" i="102" s="1"/>
  <c r="CN47" i="4"/>
  <c r="F161" i="102" s="1"/>
  <c r="CM49" i="4"/>
  <c r="E163" i="102" s="1"/>
  <c r="Y155" i="90"/>
  <c r="S79" i="90"/>
  <c r="EM174" i="90" s="1"/>
  <c r="CB79" i="90"/>
  <c r="CB186" i="90" s="1"/>
  <c r="S49" i="90"/>
  <c r="EM144" i="90" s="1"/>
  <c r="CB49" i="90"/>
  <c r="CB156" i="90" s="1"/>
  <c r="S119" i="90"/>
  <c r="EM214" i="90" s="1"/>
  <c r="CB119" i="90"/>
  <c r="CB226" i="90" s="1"/>
  <c r="CM37" i="4"/>
  <c r="E151" i="102" s="1"/>
  <c r="CN39" i="4"/>
  <c r="F153" i="102" s="1"/>
  <c r="CM34" i="4"/>
  <c r="E148" i="102" s="1"/>
  <c r="CN38" i="4"/>
  <c r="F152" i="102" s="1"/>
  <c r="CM41" i="4"/>
  <c r="E155" i="102" s="1"/>
  <c r="CN40" i="4"/>
  <c r="F154" i="102" s="1"/>
  <c r="CN41" i="4"/>
  <c r="F155" i="102" s="1"/>
  <c r="CN36" i="4"/>
  <c r="F150" i="102" s="1"/>
  <c r="CN33" i="4"/>
  <c r="F147" i="102" s="1"/>
  <c r="CM40" i="4"/>
  <c r="E154" i="102" s="1"/>
  <c r="CN37" i="4"/>
  <c r="F151" i="102" s="1"/>
  <c r="CN35" i="4"/>
  <c r="F149" i="102" s="1"/>
  <c r="CM35" i="4"/>
  <c r="E149" i="102" s="1"/>
  <c r="CN34" i="4"/>
  <c r="F148" i="102" s="1"/>
  <c r="CM36" i="4"/>
  <c r="E150" i="102" s="1"/>
  <c r="CM39" i="4"/>
  <c r="E153" i="102" s="1"/>
  <c r="CM33" i="4"/>
  <c r="E147" i="102" s="1"/>
  <c r="CM38" i="4"/>
  <c r="E152" i="102" s="1"/>
  <c r="S89" i="90"/>
  <c r="EM184" i="90" s="1"/>
  <c r="CB89" i="90"/>
  <c r="CB196" i="90" s="1"/>
  <c r="S39" i="90"/>
  <c r="EM134" i="90" s="1"/>
  <c r="CB39" i="90"/>
  <c r="CB146" i="90" s="1"/>
  <c r="S176" i="90"/>
  <c r="M39" i="90"/>
  <c r="EG134" i="90" s="1"/>
  <c r="BV39" i="90"/>
  <c r="BV146" i="90" s="1"/>
  <c r="M109" i="90"/>
  <c r="EG204" i="90" s="1"/>
  <c r="BV109" i="90"/>
  <c r="BV216" i="90" s="1"/>
  <c r="M89" i="90"/>
  <c r="EG184" i="90" s="1"/>
  <c r="BV89" i="90"/>
  <c r="BV196" i="90" s="1"/>
  <c r="M69" i="90"/>
  <c r="EG164" i="90" s="1"/>
  <c r="BV69" i="90"/>
  <c r="BV176" i="90" s="1"/>
  <c r="M119" i="90"/>
  <c r="EG214" i="90" s="1"/>
  <c r="BV119" i="90"/>
  <c r="BV226" i="90" s="1"/>
  <c r="CN28" i="4"/>
  <c r="F142" i="102" s="1"/>
  <c r="CM29" i="4"/>
  <c r="E143" i="102" s="1"/>
  <c r="CN29" i="4"/>
  <c r="F143" i="102" s="1"/>
  <c r="CN23" i="4"/>
  <c r="F137" i="102" s="1"/>
  <c r="CM26" i="4"/>
  <c r="E140" i="102" s="1"/>
  <c r="CN27" i="4"/>
  <c r="F141" i="102" s="1"/>
  <c r="CM25" i="4"/>
  <c r="E139" i="102" s="1"/>
  <c r="CM30" i="4"/>
  <c r="E144" i="102" s="1"/>
  <c r="CN30" i="4"/>
  <c r="F144" i="102" s="1"/>
  <c r="CM27" i="4"/>
  <c r="E141" i="102" s="1"/>
  <c r="CN24" i="4"/>
  <c r="F138" i="102" s="1"/>
  <c r="CM28" i="4"/>
  <c r="E142" i="102" s="1"/>
  <c r="CM31" i="4"/>
  <c r="E145" i="102" s="1"/>
  <c r="CM24" i="4"/>
  <c r="E138" i="102" s="1"/>
  <c r="CN26" i="4"/>
  <c r="F140" i="102" s="1"/>
  <c r="CM23" i="4"/>
  <c r="E137" i="102" s="1"/>
  <c r="CN31" i="4"/>
  <c r="F145" i="102" s="1"/>
  <c r="CN25" i="4"/>
  <c r="F139" i="102" s="1"/>
  <c r="M79" i="90"/>
  <c r="EG174" i="90" s="1"/>
  <c r="BV79" i="90"/>
  <c r="BV186" i="90" s="1"/>
  <c r="M49" i="90"/>
  <c r="EG144" i="90" s="1"/>
  <c r="BV49" i="90"/>
  <c r="BV156" i="90" s="1"/>
  <c r="M225" i="90"/>
  <c r="EG67" i="90"/>
  <c r="M185" i="90"/>
  <c r="G39" i="90"/>
  <c r="EA134" i="90" s="1"/>
  <c r="BP39" i="90"/>
  <c r="BP146" i="90" s="1"/>
  <c r="G119" i="90"/>
  <c r="EA214" i="90" s="1"/>
  <c r="BP119" i="90"/>
  <c r="BP226" i="90" s="1"/>
  <c r="CN21" i="4"/>
  <c r="F135" i="102" s="1"/>
  <c r="CN18" i="4"/>
  <c r="F132" i="102" s="1"/>
  <c r="CN19" i="4"/>
  <c r="F133" i="102" s="1"/>
  <c r="CM15" i="4"/>
  <c r="E129" i="102" s="1"/>
  <c r="CM21" i="4"/>
  <c r="E135" i="102" s="1"/>
  <c r="CM19" i="4"/>
  <c r="E133" i="102" s="1"/>
  <c r="CN15" i="4"/>
  <c r="F129" i="102" s="1"/>
  <c r="CN14" i="4"/>
  <c r="F128" i="102" s="1"/>
  <c r="CM16" i="4"/>
  <c r="E130" i="102" s="1"/>
  <c r="CN12" i="4"/>
  <c r="F126" i="102" s="1"/>
  <c r="CM14" i="4"/>
  <c r="E128" i="102" s="1"/>
  <c r="CN20" i="4"/>
  <c r="F134" i="102" s="1"/>
  <c r="CN17" i="4"/>
  <c r="F131" i="102" s="1"/>
  <c r="CM20" i="4"/>
  <c r="E134" i="102" s="1"/>
  <c r="CM13" i="4"/>
  <c r="E127" i="102" s="1"/>
  <c r="CM12" i="4"/>
  <c r="E126" i="102" s="1"/>
  <c r="CM18" i="4"/>
  <c r="E132" i="102" s="1"/>
  <c r="CN13" i="4"/>
  <c r="F127" i="102" s="1"/>
  <c r="CM17" i="4"/>
  <c r="E131" i="102" s="1"/>
  <c r="CN16" i="4"/>
  <c r="F130" i="102" s="1"/>
  <c r="G79" i="90"/>
  <c r="EA174" i="90" s="1"/>
  <c r="BP79" i="90"/>
  <c r="BP186" i="90" s="1"/>
  <c r="G109" i="90"/>
  <c r="EA204" i="90" s="1"/>
  <c r="BP109" i="90"/>
  <c r="BP216" i="90" s="1"/>
  <c r="EA67" i="90"/>
  <c r="G59" i="90"/>
  <c r="EA154" i="90" s="1"/>
  <c r="BP59" i="90"/>
  <c r="BP166" i="90" s="1"/>
  <c r="G69" i="90"/>
  <c r="EA164" i="90" s="1"/>
  <c r="BP69" i="90"/>
  <c r="BP176" i="90" s="1"/>
  <c r="G29" i="90"/>
  <c r="EA124" i="90" s="1"/>
  <c r="BP29" i="90"/>
  <c r="BP136" i="90" s="1"/>
  <c r="A168" i="90"/>
  <c r="A32" i="90"/>
  <c r="DU127" i="90" s="1"/>
  <c r="BJ32" i="90"/>
  <c r="BJ139" i="90" s="1"/>
  <c r="BJ22" i="90"/>
  <c r="BJ129" i="90" s="1"/>
  <c r="A52" i="90"/>
  <c r="DU147" i="90" s="1"/>
  <c r="BJ52" i="90"/>
  <c r="BJ159" i="90" s="1"/>
  <c r="A72" i="90"/>
  <c r="DU167" i="90" s="1"/>
  <c r="BJ72" i="90"/>
  <c r="BJ179" i="90" s="1"/>
  <c r="A92" i="90"/>
  <c r="DU187" i="90" s="1"/>
  <c r="BJ92" i="90"/>
  <c r="BJ199" i="90" s="1"/>
  <c r="A93" i="90"/>
  <c r="DU188" i="90" s="1"/>
  <c r="BJ93" i="90"/>
  <c r="BJ200" i="90" s="1"/>
  <c r="A102" i="90"/>
  <c r="DU197" i="90" s="1"/>
  <c r="BJ102" i="90"/>
  <c r="BJ209" i="90" s="1"/>
  <c r="A82" i="90"/>
  <c r="DU177" i="90" s="1"/>
  <c r="BJ82" i="90"/>
  <c r="BJ189" i="90" s="1"/>
  <c r="A112" i="90"/>
  <c r="DU207" i="90" s="1"/>
  <c r="BJ112" i="90"/>
  <c r="BJ219" i="90" s="1"/>
  <c r="A62" i="90"/>
  <c r="DU157" i="90" s="1"/>
  <c r="BJ62" i="90"/>
  <c r="BJ169" i="90" s="1"/>
  <c r="DU100" i="90"/>
  <c r="A218" i="90"/>
  <c r="A102" i="71"/>
  <c r="A103" i="71" s="1"/>
  <c r="M216" i="90"/>
  <c r="A148" i="90"/>
  <c r="DU30" i="90"/>
  <c r="M215" i="90"/>
  <c r="EG97" i="90"/>
  <c r="A128" i="90"/>
  <c r="DU10" i="90"/>
  <c r="M175" i="90"/>
  <c r="EG57" i="90"/>
  <c r="A198" i="90"/>
  <c r="DU80" i="90"/>
  <c r="Y205" i="90"/>
  <c r="ES87" i="90"/>
  <c r="Y165" i="90"/>
  <c r="ES47" i="90"/>
  <c r="A80" i="71"/>
  <c r="A81" i="71" s="1"/>
  <c r="A36" i="71"/>
  <c r="A22" i="90"/>
  <c r="DU117" i="90" s="1"/>
  <c r="A42" i="90"/>
  <c r="DU137" i="90" s="1"/>
  <c r="A58" i="71"/>
  <c r="DV44" i="4"/>
  <c r="DV49" i="4"/>
  <c r="DV51" i="4"/>
  <c r="DV48" i="4"/>
  <c r="DV47" i="4"/>
  <c r="DV46" i="4"/>
  <c r="DV42" i="4"/>
  <c r="DV50" i="4"/>
  <c r="DV45" i="4"/>
  <c r="DN26" i="4"/>
  <c r="DN31" i="4"/>
  <c r="DN23" i="4"/>
  <c r="DN27" i="4"/>
  <c r="DN25" i="4"/>
  <c r="DN22" i="4"/>
  <c r="DN29" i="4"/>
  <c r="DN28" i="4"/>
  <c r="DN24" i="4"/>
  <c r="ED36" i="4"/>
  <c r="ED39" i="4"/>
  <c r="ED38" i="4"/>
  <c r="ED35" i="4"/>
  <c r="ED41" i="4"/>
  <c r="ED40" i="4"/>
  <c r="ED34" i="4"/>
  <c r="ED37" i="4"/>
  <c r="ED32" i="4"/>
  <c r="A135" i="71"/>
  <c r="A124" i="71"/>
  <c r="A91" i="71"/>
  <c r="A69" i="71"/>
  <c r="A47" i="71"/>
  <c r="A114" i="71"/>
  <c r="A150" i="36"/>
  <c r="A151" i="36" s="1"/>
  <c r="A152" i="36" s="1"/>
  <c r="A153" i="36" s="1"/>
  <c r="A154" i="36" s="1"/>
  <c r="A155" i="36" s="1"/>
  <c r="A156" i="36" s="1"/>
  <c r="A157" i="36" s="1"/>
  <c r="A158" i="36" s="1"/>
  <c r="A140" i="36"/>
  <c r="A141" i="36" s="1"/>
  <c r="A142" i="36" s="1"/>
  <c r="A143" i="36" s="1"/>
  <c r="A144" i="36" s="1"/>
  <c r="A145" i="36" s="1"/>
  <c r="A146" i="36" s="1"/>
  <c r="A147" i="36" s="1"/>
  <c r="A148" i="36" s="1"/>
  <c r="A130" i="36"/>
  <c r="A131" i="36" s="1"/>
  <c r="A132" i="36" s="1"/>
  <c r="A133" i="36" s="1"/>
  <c r="A134" i="36" s="1"/>
  <c r="A135" i="36" s="1"/>
  <c r="A136" i="36" s="1"/>
  <c r="A137" i="36" s="1"/>
  <c r="A138" i="36" s="1"/>
  <c r="A120" i="36"/>
  <c r="A121" i="36" s="1"/>
  <c r="A122" i="36" s="1"/>
  <c r="A123" i="36" s="1"/>
  <c r="A124" i="36" s="1"/>
  <c r="A125" i="36" s="1"/>
  <c r="A126" i="36" s="1"/>
  <c r="A127" i="36" s="1"/>
  <c r="A128" i="36" s="1"/>
  <c r="A110" i="36"/>
  <c r="A111" i="36" s="1"/>
  <c r="A112" i="36" s="1"/>
  <c r="A113" i="36" s="1"/>
  <c r="A114" i="36" s="1"/>
  <c r="A115" i="36" s="1"/>
  <c r="A116" i="36" s="1"/>
  <c r="A117" i="36" s="1"/>
  <c r="A118" i="36" s="1"/>
  <c r="A100" i="36"/>
  <c r="A101" i="36" s="1"/>
  <c r="A102" i="36" s="1"/>
  <c r="A103" i="36" s="1"/>
  <c r="A104" i="36" s="1"/>
  <c r="A105" i="36" s="1"/>
  <c r="A106" i="36" s="1"/>
  <c r="A107" i="36" s="1"/>
  <c r="A108" i="36" s="1"/>
  <c r="A90" i="36"/>
  <c r="A91" i="36" s="1"/>
  <c r="A92" i="36" s="1"/>
  <c r="A93" i="36" s="1"/>
  <c r="A94" i="36" s="1"/>
  <c r="A95" i="36" s="1"/>
  <c r="A96" i="36" s="1"/>
  <c r="A97" i="36" s="1"/>
  <c r="A98" i="36" s="1"/>
  <c r="A80" i="36"/>
  <c r="A81" i="36" s="1"/>
  <c r="A82" i="36" s="1"/>
  <c r="A83" i="36" s="1"/>
  <c r="A84" i="36" s="1"/>
  <c r="A85" i="36" s="1"/>
  <c r="A86" i="36" s="1"/>
  <c r="A87" i="36" s="1"/>
  <c r="A88" i="36" s="1"/>
  <c r="A70" i="36"/>
  <c r="A71" i="36" s="1"/>
  <c r="A72" i="36" s="1"/>
  <c r="A73" i="36" s="1"/>
  <c r="A74" i="36" s="1"/>
  <c r="A75" i="36" s="1"/>
  <c r="A76" i="36" s="1"/>
  <c r="A77" i="36" s="1"/>
  <c r="A78" i="36" s="1"/>
  <c r="A60" i="36"/>
  <c r="S186" i="90" l="1"/>
  <c r="Y176" i="90"/>
  <c r="ES18" i="90"/>
  <c r="Y136" i="90"/>
  <c r="ES38" i="90"/>
  <c r="EM108" i="90"/>
  <c r="Y156" i="90"/>
  <c r="S226" i="90"/>
  <c r="ES68" i="90"/>
  <c r="EG78" i="90"/>
  <c r="M176" i="90"/>
  <c r="EG38" i="90"/>
  <c r="DU101" i="90"/>
  <c r="G166" i="90"/>
  <c r="A219" i="90"/>
  <c r="DU81" i="90"/>
  <c r="ES108" i="90"/>
  <c r="A199" i="90"/>
  <c r="Y226" i="90"/>
  <c r="M226" i="90"/>
  <c r="EG58" i="90"/>
  <c r="M156" i="90"/>
  <c r="ES98" i="90"/>
  <c r="ES28" i="90"/>
  <c r="Y216" i="90"/>
  <c r="Y146" i="90"/>
  <c r="A139" i="90"/>
  <c r="EM78" i="90"/>
  <c r="M196" i="90"/>
  <c r="EA28" i="90"/>
  <c r="EG68" i="90"/>
  <c r="G146" i="90"/>
  <c r="DU71" i="90"/>
  <c r="M186" i="90"/>
  <c r="EA68" i="90"/>
  <c r="S196" i="90"/>
  <c r="A189" i="90"/>
  <c r="G186" i="90"/>
  <c r="DU61" i="90"/>
  <c r="Y186" i="90"/>
  <c r="ES48" i="90"/>
  <c r="G216" i="90"/>
  <c r="EM68" i="90"/>
  <c r="Y166" i="90"/>
  <c r="DU21" i="90"/>
  <c r="ES58" i="90"/>
  <c r="A179" i="90"/>
  <c r="EA108" i="90"/>
  <c r="EM28" i="90"/>
  <c r="G226" i="90"/>
  <c r="S146" i="90"/>
  <c r="EM38" i="90"/>
  <c r="S156" i="90"/>
  <c r="EA98" i="90"/>
  <c r="ES88" i="90"/>
  <c r="Y206" i="90"/>
  <c r="ES78" i="90"/>
  <c r="Y196" i="90"/>
  <c r="A209" i="90"/>
  <c r="DU41" i="90"/>
  <c r="EG28" i="90"/>
  <c r="M146" i="90"/>
  <c r="DU82" i="90"/>
  <c r="DU51" i="90"/>
  <c r="G176" i="90"/>
  <c r="A159" i="90"/>
  <c r="A200" i="90"/>
  <c r="A169" i="90"/>
  <c r="DU91" i="90"/>
  <c r="EG108" i="90"/>
  <c r="EG98" i="90"/>
  <c r="G136" i="90"/>
  <c r="EA18" i="90"/>
  <c r="A48" i="72"/>
  <c r="F48" i="72"/>
  <c r="A37" i="72"/>
  <c r="F37" i="72"/>
  <c r="BJ43" i="90"/>
  <c r="BJ150" i="90" s="1"/>
  <c r="E59" i="71"/>
  <c r="F59" i="71"/>
  <c r="DO16" i="4"/>
  <c r="DP16" i="4"/>
  <c r="DM16" i="4"/>
  <c r="DO17" i="4"/>
  <c r="DP17" i="4"/>
  <c r="DP19" i="4"/>
  <c r="DO19" i="4"/>
  <c r="DM19" i="4"/>
  <c r="DM12" i="4"/>
  <c r="DO13" i="4"/>
  <c r="DP13" i="4"/>
  <c r="DM13" i="4"/>
  <c r="DO21" i="4"/>
  <c r="DP21" i="4"/>
  <c r="DM21" i="4"/>
  <c r="DO18" i="4"/>
  <c r="DP18" i="4"/>
  <c r="DM18" i="4"/>
  <c r="DO14" i="4"/>
  <c r="DP14" i="4"/>
  <c r="DM14" i="4"/>
  <c r="EA48" i="90"/>
  <c r="EA58" i="90"/>
  <c r="A84" i="90"/>
  <c r="DU179" i="90" s="1"/>
  <c r="BJ84" i="90"/>
  <c r="BJ191" i="90" s="1"/>
  <c r="A33" i="90"/>
  <c r="DU128" i="90" s="1"/>
  <c r="BJ33" i="90"/>
  <c r="BJ140" i="90" s="1"/>
  <c r="A53" i="90"/>
  <c r="DU148" i="90" s="1"/>
  <c r="BJ53" i="90"/>
  <c r="BJ160" i="90" s="1"/>
  <c r="A83" i="90"/>
  <c r="BJ83" i="90"/>
  <c r="BJ190" i="90" s="1"/>
  <c r="A73" i="90"/>
  <c r="DU168" i="90" s="1"/>
  <c r="BJ73" i="90"/>
  <c r="BJ180" i="90" s="1"/>
  <c r="A103" i="90"/>
  <c r="DU198" i="90" s="1"/>
  <c r="BJ103" i="90"/>
  <c r="BJ210" i="90" s="1"/>
  <c r="A113" i="90"/>
  <c r="DU208" i="90" s="1"/>
  <c r="BJ113" i="90"/>
  <c r="BJ220" i="90" s="1"/>
  <c r="A63" i="90"/>
  <c r="DU158" i="90" s="1"/>
  <c r="BJ63" i="90"/>
  <c r="BJ170" i="90" s="1"/>
  <c r="A94" i="90"/>
  <c r="DU189" i="90" s="1"/>
  <c r="BJ94" i="90"/>
  <c r="BJ201" i="90" s="1"/>
  <c r="BJ23" i="90"/>
  <c r="BJ130" i="90" s="1"/>
  <c r="A64" i="90"/>
  <c r="DU159" i="90" s="1"/>
  <c r="BJ64" i="90"/>
  <c r="BJ171" i="90" s="1"/>
  <c r="A149" i="90"/>
  <c r="DU31" i="90"/>
  <c r="A129" i="90"/>
  <c r="DU11" i="90"/>
  <c r="A43" i="90"/>
  <c r="DU138" i="90" s="1"/>
  <c r="A59" i="71"/>
  <c r="A37" i="71"/>
  <c r="A23" i="90"/>
  <c r="DU118" i="90" s="1"/>
  <c r="DW50" i="4"/>
  <c r="DX50" i="4"/>
  <c r="DX42" i="4"/>
  <c r="DW42" i="4"/>
  <c r="DX46" i="4"/>
  <c r="DW46" i="4"/>
  <c r="DW47" i="4"/>
  <c r="DX47" i="4"/>
  <c r="DX48" i="4"/>
  <c r="DW48" i="4"/>
  <c r="DW51" i="4"/>
  <c r="DX51" i="4"/>
  <c r="DW49" i="4"/>
  <c r="DX49" i="4"/>
  <c r="DX45" i="4"/>
  <c r="DW45" i="4"/>
  <c r="DX44" i="4"/>
  <c r="DW44" i="4"/>
  <c r="DO28" i="4"/>
  <c r="DP28" i="4"/>
  <c r="DM28" i="4"/>
  <c r="DO29" i="4"/>
  <c r="DP29" i="4"/>
  <c r="DM29" i="4"/>
  <c r="DP22" i="4"/>
  <c r="DO22" i="4"/>
  <c r="DP25" i="4"/>
  <c r="DO25" i="4"/>
  <c r="DM25" i="4"/>
  <c r="DO27" i="4"/>
  <c r="DP27" i="4"/>
  <c r="DM27" i="4"/>
  <c r="DP23" i="4"/>
  <c r="DO23" i="4"/>
  <c r="DM23" i="4"/>
  <c r="DM22" i="4"/>
  <c r="DP31" i="4"/>
  <c r="DO31" i="4"/>
  <c r="DM31" i="4"/>
  <c r="DO24" i="4"/>
  <c r="DP24" i="4"/>
  <c r="DO26" i="4"/>
  <c r="DP26" i="4"/>
  <c r="DM26" i="4"/>
  <c r="EE34" i="4"/>
  <c r="EF34" i="4"/>
  <c r="EC34" i="4"/>
  <c r="EE40" i="4"/>
  <c r="EF40" i="4"/>
  <c r="EC40" i="4"/>
  <c r="EF37" i="4"/>
  <c r="EE37" i="4"/>
  <c r="EC37" i="4"/>
  <c r="EE41" i="4"/>
  <c r="EF41" i="4"/>
  <c r="EC41" i="4"/>
  <c r="EE35" i="4"/>
  <c r="EC35" i="4"/>
  <c r="EF35" i="4"/>
  <c r="EF38" i="4"/>
  <c r="EE38" i="4"/>
  <c r="EC38" i="4"/>
  <c r="EF39" i="4"/>
  <c r="EE39" i="4"/>
  <c r="EC39" i="4"/>
  <c r="EC32" i="4"/>
  <c r="EE32" i="4"/>
  <c r="EF32" i="4"/>
  <c r="EE36" i="4"/>
  <c r="EF36" i="4"/>
  <c r="EC36" i="4"/>
  <c r="A61" i="36"/>
  <c r="A136" i="71"/>
  <c r="A125" i="71"/>
  <c r="A92" i="71"/>
  <c r="A70" i="71"/>
  <c r="A48" i="71"/>
  <c r="A115" i="71"/>
  <c r="A104" i="71"/>
  <c r="A82" i="71"/>
  <c r="DU42" i="90" l="1"/>
  <c r="DU73" i="90"/>
  <c r="DU83" i="90"/>
  <c r="A170" i="90"/>
  <c r="DU52" i="90"/>
  <c r="A201" i="90"/>
  <c r="DU62" i="90"/>
  <c r="A191" i="90"/>
  <c r="A180" i="90"/>
  <c r="DU92" i="90"/>
  <c r="DV99" i="4"/>
  <c r="DV98" i="4"/>
  <c r="DV94" i="4"/>
  <c r="DV97" i="4"/>
  <c r="DV92" i="4"/>
  <c r="DV100" i="4"/>
  <c r="DV93" i="4"/>
  <c r="DV101" i="4"/>
  <c r="DV96" i="4"/>
  <c r="BJ44" i="90"/>
  <c r="BJ151" i="90" s="1"/>
  <c r="F60" i="71"/>
  <c r="E60" i="71"/>
  <c r="A160" i="90"/>
  <c r="DM15" i="4"/>
  <c r="DM17" i="4" s="1"/>
  <c r="DM20" i="4" s="1"/>
  <c r="A74" i="90"/>
  <c r="DU169" i="90" s="1"/>
  <c r="BJ74" i="90"/>
  <c r="BJ181" i="90" s="1"/>
  <c r="A104" i="90"/>
  <c r="DU199" i="90" s="1"/>
  <c r="BJ104" i="90"/>
  <c r="BJ211" i="90" s="1"/>
  <c r="A171" i="90"/>
  <c r="DU22" i="90"/>
  <c r="DU102" i="90"/>
  <c r="A65" i="90"/>
  <c r="DU160" i="90" s="1"/>
  <c r="BJ65" i="90"/>
  <c r="BJ172" i="90" s="1"/>
  <c r="BJ24" i="90"/>
  <c r="BJ131" i="90" s="1"/>
  <c r="A140" i="90"/>
  <c r="A220" i="90"/>
  <c r="A210" i="90"/>
  <c r="A54" i="90"/>
  <c r="DU149" i="90" s="1"/>
  <c r="BJ54" i="90"/>
  <c r="BJ161" i="90" s="1"/>
  <c r="A114" i="90"/>
  <c r="DU209" i="90" s="1"/>
  <c r="BJ114" i="90"/>
  <c r="BJ221" i="90" s="1"/>
  <c r="DU178" i="90"/>
  <c r="A190" i="90"/>
  <c r="DU72" i="90"/>
  <c r="A85" i="90"/>
  <c r="DU180" i="90" s="1"/>
  <c r="BJ85" i="90"/>
  <c r="BJ192" i="90" s="1"/>
  <c r="A95" i="90"/>
  <c r="DU190" i="90" s="1"/>
  <c r="BJ95" i="90"/>
  <c r="BJ202" i="90" s="1"/>
  <c r="A34" i="90"/>
  <c r="DU129" i="90" s="1"/>
  <c r="BJ34" i="90"/>
  <c r="BJ141" i="90" s="1"/>
  <c r="DU53" i="90"/>
  <c r="A150" i="90"/>
  <c r="DU32" i="90"/>
  <c r="A130" i="90"/>
  <c r="DU12" i="90"/>
  <c r="A38" i="71"/>
  <c r="A24" i="90"/>
  <c r="DU119" i="90" s="1"/>
  <c r="A44" i="90"/>
  <c r="DU139" i="90" s="1"/>
  <c r="A60" i="71"/>
  <c r="DM30" i="4"/>
  <c r="DM64" i="4" s="1"/>
  <c r="EC33" i="4"/>
  <c r="A62" i="36"/>
  <c r="A137" i="71"/>
  <c r="A126" i="71"/>
  <c r="A93" i="71"/>
  <c r="A71" i="71"/>
  <c r="A49" i="71"/>
  <c r="A116" i="71"/>
  <c r="A105" i="71"/>
  <c r="A83" i="71"/>
  <c r="DU63" i="90" l="1"/>
  <c r="A181" i="90"/>
  <c r="DU93" i="90"/>
  <c r="A211" i="90"/>
  <c r="A172" i="90"/>
  <c r="DU23" i="90"/>
  <c r="DM24" i="4"/>
  <c r="DM53" i="4"/>
  <c r="DW101" i="4"/>
  <c r="DX101" i="4"/>
  <c r="DW93" i="4"/>
  <c r="DX93" i="4"/>
  <c r="DX100" i="4"/>
  <c r="DW100" i="4"/>
  <c r="DW92" i="4"/>
  <c r="DX92" i="4"/>
  <c r="DX97" i="4"/>
  <c r="DW97" i="4"/>
  <c r="DW94" i="4"/>
  <c r="DX94" i="4"/>
  <c r="DW98" i="4"/>
  <c r="DX98" i="4"/>
  <c r="DW96" i="4"/>
  <c r="DX96" i="4"/>
  <c r="DW99" i="4"/>
  <c r="DX99" i="4"/>
  <c r="BJ45" i="90"/>
  <c r="BJ152" i="90" s="1"/>
  <c r="E61" i="71"/>
  <c r="F61" i="71"/>
  <c r="A221" i="90"/>
  <c r="DU74" i="90"/>
  <c r="A192" i="90"/>
  <c r="DU54" i="90"/>
  <c r="A202" i="90"/>
  <c r="DU103" i="90"/>
  <c r="A115" i="90"/>
  <c r="DU210" i="90" s="1"/>
  <c r="BJ115" i="90"/>
  <c r="BJ222" i="90" s="1"/>
  <c r="DU84" i="90"/>
  <c r="A105" i="90"/>
  <c r="DU200" i="90" s="1"/>
  <c r="BJ105" i="90"/>
  <c r="BJ212" i="90" s="1"/>
  <c r="A66" i="90"/>
  <c r="DU161" i="90" s="1"/>
  <c r="BJ66" i="90"/>
  <c r="BJ173" i="90" s="1"/>
  <c r="A86" i="90"/>
  <c r="DU181" i="90" s="1"/>
  <c r="BJ86" i="90"/>
  <c r="BJ193" i="90" s="1"/>
  <c r="DU43" i="90"/>
  <c r="BJ25" i="90"/>
  <c r="BJ132" i="90" s="1"/>
  <c r="A96" i="90"/>
  <c r="DU191" i="90" s="1"/>
  <c r="BJ96" i="90"/>
  <c r="BJ203" i="90" s="1"/>
  <c r="A161" i="90"/>
  <c r="A35" i="90"/>
  <c r="DU130" i="90" s="1"/>
  <c r="BJ35" i="90"/>
  <c r="BJ142" i="90" s="1"/>
  <c r="A141" i="90"/>
  <c r="A55" i="90"/>
  <c r="DU150" i="90" s="1"/>
  <c r="BJ55" i="90"/>
  <c r="BJ162" i="90" s="1"/>
  <c r="A75" i="90"/>
  <c r="DU170" i="90" s="1"/>
  <c r="BJ75" i="90"/>
  <c r="BJ182" i="90" s="1"/>
  <c r="A131" i="90"/>
  <c r="DU13" i="90"/>
  <c r="A151" i="90"/>
  <c r="DU33" i="90"/>
  <c r="A45" i="90"/>
  <c r="DU140" i="90" s="1"/>
  <c r="A61" i="71"/>
  <c r="A39" i="71"/>
  <c r="BJ26" i="90" s="1"/>
  <c r="BJ133" i="90" s="1"/>
  <c r="A25" i="90"/>
  <c r="DU120" i="90" s="1"/>
  <c r="EC62" i="4"/>
  <c r="EG8" i="4" s="1"/>
  <c r="A63" i="36"/>
  <c r="A138" i="71"/>
  <c r="A127" i="71"/>
  <c r="A94" i="71"/>
  <c r="A72" i="71"/>
  <c r="A50" i="71"/>
  <c r="A84" i="71"/>
  <c r="A106" i="71"/>
  <c r="A117" i="71"/>
  <c r="A193" i="90" l="1"/>
  <c r="DQ11" i="4"/>
  <c r="DS11" i="4" s="1"/>
  <c r="DQ4" i="4"/>
  <c r="A129" i="41" s="1"/>
  <c r="DU104" i="90"/>
  <c r="DQ2" i="4"/>
  <c r="A107" i="41" s="1"/>
  <c r="E107" i="41" s="1"/>
  <c r="DU94" i="90"/>
  <c r="A212" i="90"/>
  <c r="DU55" i="90"/>
  <c r="DU85" i="90"/>
  <c r="A222" i="90"/>
  <c r="DU75" i="90"/>
  <c r="DQ6" i="4"/>
  <c r="DS6" i="4" s="1"/>
  <c r="DQ10" i="4"/>
  <c r="DS10" i="4" s="1"/>
  <c r="DQ8" i="4"/>
  <c r="DS8" i="4" s="1"/>
  <c r="DQ9" i="4"/>
  <c r="DS9" i="4" s="1"/>
  <c r="DQ5" i="4"/>
  <c r="DS5" i="4" s="1"/>
  <c r="DQ7" i="4"/>
  <c r="DS7" i="4" s="1"/>
  <c r="DQ3" i="4"/>
  <c r="A118" i="41" s="1"/>
  <c r="BJ46" i="90"/>
  <c r="BJ153" i="90" s="1"/>
  <c r="E62" i="71"/>
  <c r="F62" i="71"/>
  <c r="EI8" i="4"/>
  <c r="A177" i="51"/>
  <c r="DU64" i="90"/>
  <c r="DU44" i="90"/>
  <c r="A162" i="90"/>
  <c r="A173" i="90"/>
  <c r="A106" i="90"/>
  <c r="DU201" i="90" s="1"/>
  <c r="BJ106" i="90"/>
  <c r="BJ213" i="90" s="1"/>
  <c r="A182" i="90"/>
  <c r="A97" i="90"/>
  <c r="DU192" i="90" s="1"/>
  <c r="BJ97" i="90"/>
  <c r="BJ204" i="90" s="1"/>
  <c r="A203" i="90"/>
  <c r="DU24" i="90"/>
  <c r="A76" i="90"/>
  <c r="DU171" i="90" s="1"/>
  <c r="BJ76" i="90"/>
  <c r="BJ183" i="90" s="1"/>
  <c r="A142" i="90"/>
  <c r="A116" i="90"/>
  <c r="DU211" i="90" s="1"/>
  <c r="BJ116" i="90"/>
  <c r="BJ223" i="90" s="1"/>
  <c r="A87" i="90"/>
  <c r="DU182" i="90" s="1"/>
  <c r="BJ87" i="90"/>
  <c r="BJ194" i="90" s="1"/>
  <c r="A67" i="90"/>
  <c r="DU162" i="90" s="1"/>
  <c r="BJ67" i="90"/>
  <c r="BJ174" i="90" s="1"/>
  <c r="A36" i="90"/>
  <c r="DU131" i="90" s="1"/>
  <c r="BJ36" i="90"/>
  <c r="BJ143" i="90" s="1"/>
  <c r="A56" i="90"/>
  <c r="DU151" i="90" s="1"/>
  <c r="BJ56" i="90"/>
  <c r="BJ163" i="90" s="1"/>
  <c r="EG2" i="4"/>
  <c r="A111" i="51" s="1"/>
  <c r="A132" i="90"/>
  <c r="DU14" i="90"/>
  <c r="A152" i="90"/>
  <c r="DU34" i="90"/>
  <c r="A40" i="71"/>
  <c r="BJ27" i="90" s="1"/>
  <c r="BJ134" i="90" s="1"/>
  <c r="A26" i="90"/>
  <c r="DU121" i="90" s="1"/>
  <c r="A46" i="90"/>
  <c r="DU141" i="90" s="1"/>
  <c r="A62" i="71"/>
  <c r="EG9" i="4"/>
  <c r="EG6" i="4"/>
  <c r="EG10" i="4"/>
  <c r="EG11" i="4"/>
  <c r="EG7" i="4"/>
  <c r="EG4" i="4"/>
  <c r="EG3" i="4"/>
  <c r="EG5" i="4"/>
  <c r="EH8" i="4"/>
  <c r="A64" i="36"/>
  <c r="A139" i="71"/>
  <c r="A128" i="71"/>
  <c r="A95" i="71"/>
  <c r="A73" i="71"/>
  <c r="A51" i="71"/>
  <c r="A85" i="71"/>
  <c r="A118" i="71"/>
  <c r="A107" i="71"/>
  <c r="A195" i="41" l="1"/>
  <c r="E196" i="41" s="1"/>
  <c r="F196" i="41" s="1"/>
  <c r="A206" i="41"/>
  <c r="DR11" i="4"/>
  <c r="A173" i="41"/>
  <c r="A174" i="41" s="1"/>
  <c r="A175" i="41" s="1"/>
  <c r="A176" i="41" s="1"/>
  <c r="A177" i="41" s="1"/>
  <c r="A151" i="41"/>
  <c r="E152" i="41" s="1"/>
  <c r="DR6" i="4"/>
  <c r="DU56" i="90"/>
  <c r="DR10" i="4"/>
  <c r="DR8" i="4"/>
  <c r="A140" i="41"/>
  <c r="A141" i="41" s="1"/>
  <c r="A142" i="41" s="1"/>
  <c r="DU65" i="90"/>
  <c r="DU105" i="90"/>
  <c r="A183" i="90"/>
  <c r="DU95" i="90"/>
  <c r="A213" i="90"/>
  <c r="A162" i="41"/>
  <c r="E162" i="41" s="1"/>
  <c r="A184" i="41"/>
  <c r="A185" i="41" s="1"/>
  <c r="A186" i="41" s="1"/>
  <c r="A187" i="41" s="1"/>
  <c r="DR5" i="4"/>
  <c r="DR7" i="4"/>
  <c r="DR9" i="4"/>
  <c r="BJ47" i="90"/>
  <c r="BJ154" i="90" s="1"/>
  <c r="E63" i="71"/>
  <c r="F63" i="71"/>
  <c r="EI5" i="4"/>
  <c r="A144" i="51"/>
  <c r="EI11" i="4"/>
  <c r="A210" i="51"/>
  <c r="EI3" i="4"/>
  <c r="A122" i="51"/>
  <c r="EI9" i="4"/>
  <c r="A188" i="51"/>
  <c r="EH4" i="4"/>
  <c r="A133" i="51"/>
  <c r="EH7" i="4"/>
  <c r="A166" i="51"/>
  <c r="EI10" i="4"/>
  <c r="A199" i="51"/>
  <c r="EI6" i="4"/>
  <c r="A155" i="51"/>
  <c r="G196" i="41"/>
  <c r="E195" i="41"/>
  <c r="A196" i="41"/>
  <c r="A197" i="41" s="1"/>
  <c r="A198" i="41" s="1"/>
  <c r="A199" i="41" s="1"/>
  <c r="A200" i="41" s="1"/>
  <c r="A130" i="41"/>
  <c r="A131" i="41" s="1"/>
  <c r="A132" i="41" s="1"/>
  <c r="A133" i="41" s="1"/>
  <c r="DU86" i="90"/>
  <c r="A204" i="90"/>
  <c r="A223" i="90"/>
  <c r="DU25" i="90"/>
  <c r="A174" i="90"/>
  <c r="A143" i="90"/>
  <c r="A57" i="90"/>
  <c r="DU152" i="90" s="1"/>
  <c r="BJ57" i="90"/>
  <c r="BJ164" i="90" s="1"/>
  <c r="A107" i="90"/>
  <c r="DU202" i="90" s="1"/>
  <c r="BJ107" i="90"/>
  <c r="BJ214" i="90" s="1"/>
  <c r="DU76" i="90"/>
  <c r="A68" i="90"/>
  <c r="DU163" i="90" s="1"/>
  <c r="BJ68" i="90"/>
  <c r="BJ175" i="90" s="1"/>
  <c r="A37" i="90"/>
  <c r="DU132" i="90" s="1"/>
  <c r="BJ37" i="90"/>
  <c r="BJ144" i="90" s="1"/>
  <c r="A194" i="90"/>
  <c r="DU45" i="90"/>
  <c r="A77" i="90"/>
  <c r="DU172" i="90" s="1"/>
  <c r="BJ77" i="90"/>
  <c r="BJ184" i="90" s="1"/>
  <c r="A117" i="90"/>
  <c r="DU212" i="90" s="1"/>
  <c r="BJ117" i="90"/>
  <c r="BJ224" i="90" s="1"/>
  <c r="A88" i="90"/>
  <c r="DU183" i="90" s="1"/>
  <c r="BJ88" i="90"/>
  <c r="BJ195" i="90" s="1"/>
  <c r="A98" i="90"/>
  <c r="DU193" i="90" s="1"/>
  <c r="BJ98" i="90"/>
  <c r="BJ205" i="90" s="1"/>
  <c r="A163" i="90"/>
  <c r="EH2" i="4"/>
  <c r="EI2" i="4"/>
  <c r="A153" i="90"/>
  <c r="DU35" i="90"/>
  <c r="A133" i="90"/>
  <c r="DU15" i="90"/>
  <c r="A108" i="41"/>
  <c r="E118" i="41"/>
  <c r="E174" i="41"/>
  <c r="E129" i="41"/>
  <c r="A119" i="41"/>
  <c r="A207" i="41"/>
  <c r="A208" i="41" s="1"/>
  <c r="A209" i="41" s="1"/>
  <c r="A210" i="41" s="1"/>
  <c r="E206" i="41"/>
  <c r="E207" i="41"/>
  <c r="A47" i="90"/>
  <c r="DU142" i="90" s="1"/>
  <c r="A63" i="71"/>
  <c r="A41" i="71"/>
  <c r="BJ28" i="90" s="1"/>
  <c r="BJ135" i="90" s="1"/>
  <c r="A27" i="90"/>
  <c r="DU122" i="90" s="1"/>
  <c r="EH6" i="4"/>
  <c r="EH9" i="4"/>
  <c r="EH3" i="4"/>
  <c r="EH10" i="4"/>
  <c r="EH11" i="4"/>
  <c r="EI7" i="4"/>
  <c r="EI4" i="4"/>
  <c r="EH5" i="4"/>
  <c r="A65" i="36"/>
  <c r="A140" i="71"/>
  <c r="A129" i="71"/>
  <c r="A96" i="71"/>
  <c r="A74" i="71"/>
  <c r="A52" i="71"/>
  <c r="A119" i="71"/>
  <c r="A86" i="71"/>
  <c r="A108" i="71"/>
  <c r="H11" i="4"/>
  <c r="H10" i="4"/>
  <c r="H9" i="4"/>
  <c r="H8" i="4"/>
  <c r="H7" i="4"/>
  <c r="H6" i="4"/>
  <c r="H5" i="4"/>
  <c r="H4" i="4"/>
  <c r="H3" i="4"/>
  <c r="H2" i="4"/>
  <c r="G2" i="4" s="1"/>
  <c r="E173" i="41" l="1"/>
  <c r="A152" i="41"/>
  <c r="A153" i="41" s="1"/>
  <c r="A154" i="41" s="1"/>
  <c r="A155" i="41" s="1"/>
  <c r="A156" i="41" s="1"/>
  <c r="E151" i="41"/>
  <c r="E141" i="41"/>
  <c r="F141" i="41" s="1"/>
  <c r="E140" i="41"/>
  <c r="DU46" i="90"/>
  <c r="DU96" i="90"/>
  <c r="E163" i="41"/>
  <c r="G163" i="41" s="1"/>
  <c r="A163" i="41"/>
  <c r="A164" i="41" s="1"/>
  <c r="A165" i="41" s="1"/>
  <c r="A166" i="41" s="1"/>
  <c r="A167" i="41" s="1"/>
  <c r="E185" i="41"/>
  <c r="F185" i="41" s="1"/>
  <c r="DU66" i="90"/>
  <c r="A184" i="90"/>
  <c r="DU106" i="90"/>
  <c r="DU57" i="90"/>
  <c r="A175" i="90"/>
  <c r="A214" i="90"/>
  <c r="E184" i="41"/>
  <c r="G177" i="51"/>
  <c r="F177" i="51"/>
  <c r="BJ48" i="90"/>
  <c r="BJ155" i="90" s="1"/>
  <c r="E64" i="71"/>
  <c r="F64" i="71"/>
  <c r="F166" i="51"/>
  <c r="G166" i="51"/>
  <c r="G210" i="51"/>
  <c r="F210" i="51"/>
  <c r="F199" i="51"/>
  <c r="G199" i="51"/>
  <c r="G155" i="51"/>
  <c r="F155" i="51"/>
  <c r="G133" i="51"/>
  <c r="F133" i="51"/>
  <c r="G111" i="51"/>
  <c r="F122" i="51"/>
  <c r="G122" i="51"/>
  <c r="F111" i="51"/>
  <c r="G188" i="51"/>
  <c r="F188" i="51"/>
  <c r="F144" i="51"/>
  <c r="G144" i="51"/>
  <c r="G174" i="41"/>
  <c r="F174" i="41"/>
  <c r="G141" i="41"/>
  <c r="A120" i="41"/>
  <c r="A121" i="41" s="1"/>
  <c r="A122" i="41" s="1"/>
  <c r="A123" i="41" s="1"/>
  <c r="F152" i="41"/>
  <c r="G152" i="41"/>
  <c r="G207" i="41"/>
  <c r="F207" i="41"/>
  <c r="A109" i="41"/>
  <c r="A110" i="41" s="1"/>
  <c r="A111" i="41" s="1"/>
  <c r="A112" i="41" s="1"/>
  <c r="DU87" i="90"/>
  <c r="A205" i="90"/>
  <c r="A164" i="90"/>
  <c r="A224" i="90"/>
  <c r="DU26" i="90"/>
  <c r="A144" i="90"/>
  <c r="A89" i="90"/>
  <c r="DU184" i="90" s="1"/>
  <c r="BJ89" i="90"/>
  <c r="BJ196" i="90" s="1"/>
  <c r="A69" i="90"/>
  <c r="DU164" i="90" s="1"/>
  <c r="BJ69" i="90"/>
  <c r="BJ176" i="90" s="1"/>
  <c r="A108" i="90"/>
  <c r="DU203" i="90" s="1"/>
  <c r="BJ108" i="90"/>
  <c r="BJ215" i="90" s="1"/>
  <c r="A118" i="90"/>
  <c r="DU213" i="90" s="1"/>
  <c r="BJ118" i="90"/>
  <c r="BJ225" i="90" s="1"/>
  <c r="DU77" i="90"/>
  <c r="A99" i="90"/>
  <c r="DU194" i="90" s="1"/>
  <c r="BJ99" i="90"/>
  <c r="BJ206" i="90" s="1"/>
  <c r="A38" i="90"/>
  <c r="DU133" i="90" s="1"/>
  <c r="BJ38" i="90"/>
  <c r="BJ145" i="90" s="1"/>
  <c r="A58" i="90"/>
  <c r="DU153" i="90" s="1"/>
  <c r="BJ58" i="90"/>
  <c r="BJ165" i="90" s="1"/>
  <c r="A78" i="90"/>
  <c r="DU173" i="90" s="1"/>
  <c r="BJ78" i="90"/>
  <c r="BJ185" i="90" s="1"/>
  <c r="A195" i="90"/>
  <c r="A134" i="90"/>
  <c r="DU16" i="90"/>
  <c r="A154" i="90"/>
  <c r="DU36" i="90"/>
  <c r="DU58" i="90"/>
  <c r="A42" i="71"/>
  <c r="DV2" i="4" s="1"/>
  <c r="DU2" i="4" s="1"/>
  <c r="A28" i="90"/>
  <c r="DU123" i="90" s="1"/>
  <c r="A48" i="90"/>
  <c r="DU143" i="90" s="1"/>
  <c r="A64" i="71"/>
  <c r="G8" i="4"/>
  <c r="G9" i="4"/>
  <c r="G3" i="4"/>
  <c r="G4" i="4" s="1"/>
  <c r="G11" i="4"/>
  <c r="G6" i="4"/>
  <c r="A143" i="41"/>
  <c r="A188" i="41"/>
  <c r="A189" i="41" s="1"/>
  <c r="A211" i="41"/>
  <c r="A178" i="41"/>
  <c r="A134" i="41"/>
  <c r="A201" i="41"/>
  <c r="A66" i="36"/>
  <c r="A141" i="71"/>
  <c r="A130" i="71"/>
  <c r="A97" i="71"/>
  <c r="A75" i="71"/>
  <c r="A53" i="71"/>
  <c r="B151" i="36"/>
  <c r="C151" i="36"/>
  <c r="D151" i="36"/>
  <c r="B152" i="36"/>
  <c r="C152" i="36"/>
  <c r="D152" i="36"/>
  <c r="B153" i="36"/>
  <c r="C153" i="36"/>
  <c r="D153" i="36"/>
  <c r="B154" i="36"/>
  <c r="C154" i="36"/>
  <c r="D154" i="36"/>
  <c r="B155" i="36"/>
  <c r="C155" i="36"/>
  <c r="D155" i="36"/>
  <c r="B156" i="36"/>
  <c r="C156" i="36"/>
  <c r="D156" i="36"/>
  <c r="B157" i="36"/>
  <c r="C157" i="36"/>
  <c r="D157" i="36"/>
  <c r="B158" i="36"/>
  <c r="C158" i="36"/>
  <c r="D158" i="36"/>
  <c r="D150" i="36"/>
  <c r="C150" i="36"/>
  <c r="B150" i="36"/>
  <c r="B141" i="36"/>
  <c r="C141" i="36"/>
  <c r="D141" i="36"/>
  <c r="B142" i="36"/>
  <c r="C142" i="36"/>
  <c r="D142" i="36"/>
  <c r="B143" i="36"/>
  <c r="C143" i="36"/>
  <c r="D143" i="36"/>
  <c r="B144" i="36"/>
  <c r="C144" i="36"/>
  <c r="D144" i="36"/>
  <c r="B145" i="36"/>
  <c r="C145" i="36"/>
  <c r="D145" i="36"/>
  <c r="B146" i="36"/>
  <c r="C146" i="36"/>
  <c r="D146" i="36"/>
  <c r="B147" i="36"/>
  <c r="C147" i="36"/>
  <c r="D147" i="36"/>
  <c r="B148" i="36"/>
  <c r="C148" i="36"/>
  <c r="D148" i="36"/>
  <c r="D140" i="36"/>
  <c r="C140" i="36"/>
  <c r="B140" i="36"/>
  <c r="B131" i="36"/>
  <c r="C131" i="36"/>
  <c r="D131" i="36"/>
  <c r="B132" i="36"/>
  <c r="C132" i="36"/>
  <c r="D132" i="36"/>
  <c r="B133" i="36"/>
  <c r="C133" i="36"/>
  <c r="D133" i="36"/>
  <c r="B134" i="36"/>
  <c r="C134" i="36"/>
  <c r="D134" i="36"/>
  <c r="B135" i="36"/>
  <c r="C135" i="36"/>
  <c r="D135" i="36"/>
  <c r="B136" i="36"/>
  <c r="C136" i="36"/>
  <c r="D136" i="36"/>
  <c r="B137" i="36"/>
  <c r="C137" i="36"/>
  <c r="D137" i="36"/>
  <c r="B138" i="36"/>
  <c r="C138" i="36"/>
  <c r="D138" i="36"/>
  <c r="D130" i="36"/>
  <c r="C130" i="36"/>
  <c r="B130" i="36"/>
  <c r="B121" i="36"/>
  <c r="C121" i="36"/>
  <c r="D121" i="36"/>
  <c r="B122" i="36"/>
  <c r="C122" i="36"/>
  <c r="D122" i="36"/>
  <c r="B123" i="36"/>
  <c r="C123" i="36"/>
  <c r="D123" i="36"/>
  <c r="B124" i="36"/>
  <c r="C124" i="36"/>
  <c r="D124" i="36"/>
  <c r="B125" i="36"/>
  <c r="C125" i="36"/>
  <c r="D125" i="36"/>
  <c r="B126" i="36"/>
  <c r="C126" i="36"/>
  <c r="D126" i="36"/>
  <c r="B127" i="36"/>
  <c r="C127" i="36"/>
  <c r="D127" i="36"/>
  <c r="B128" i="36"/>
  <c r="C128" i="36"/>
  <c r="D128" i="36"/>
  <c r="D120" i="36"/>
  <c r="C120" i="36"/>
  <c r="B120" i="36"/>
  <c r="B111" i="36"/>
  <c r="C111" i="36"/>
  <c r="D111" i="36"/>
  <c r="B112" i="36"/>
  <c r="C112" i="36"/>
  <c r="D112" i="36"/>
  <c r="B113" i="36"/>
  <c r="C113" i="36"/>
  <c r="D113" i="36"/>
  <c r="B114" i="36"/>
  <c r="C114" i="36"/>
  <c r="D114" i="36"/>
  <c r="B115" i="36"/>
  <c r="C115" i="36"/>
  <c r="D115" i="36"/>
  <c r="B116" i="36"/>
  <c r="C116" i="36"/>
  <c r="D116" i="36"/>
  <c r="B117" i="36"/>
  <c r="C117" i="36"/>
  <c r="D117" i="36"/>
  <c r="B118" i="36"/>
  <c r="C118" i="36"/>
  <c r="D118" i="36"/>
  <c r="D110" i="36"/>
  <c r="C110" i="36"/>
  <c r="B110" i="36"/>
  <c r="B101" i="36"/>
  <c r="C101" i="36"/>
  <c r="D101" i="36"/>
  <c r="B102" i="36"/>
  <c r="C102" i="36"/>
  <c r="D102" i="36"/>
  <c r="B103" i="36"/>
  <c r="C103" i="36"/>
  <c r="D103" i="36"/>
  <c r="B104" i="36"/>
  <c r="C104" i="36"/>
  <c r="D104" i="36"/>
  <c r="B105" i="36"/>
  <c r="C105" i="36"/>
  <c r="D105" i="36"/>
  <c r="B106" i="36"/>
  <c r="C106" i="36"/>
  <c r="D106" i="36"/>
  <c r="B107" i="36"/>
  <c r="C107" i="36"/>
  <c r="D107" i="36"/>
  <c r="B108" i="36"/>
  <c r="C108" i="36"/>
  <c r="D108" i="36"/>
  <c r="D100" i="36"/>
  <c r="C100" i="36"/>
  <c r="B100" i="36"/>
  <c r="B91" i="36"/>
  <c r="C91" i="36"/>
  <c r="D91" i="36"/>
  <c r="B92" i="36"/>
  <c r="C92" i="36"/>
  <c r="D92" i="36"/>
  <c r="B93" i="36"/>
  <c r="C93" i="36"/>
  <c r="D93" i="36"/>
  <c r="B94" i="36"/>
  <c r="C94" i="36"/>
  <c r="D94" i="36"/>
  <c r="B95" i="36"/>
  <c r="C95" i="36"/>
  <c r="D95" i="36"/>
  <c r="B96" i="36"/>
  <c r="C96" i="36"/>
  <c r="D96" i="36"/>
  <c r="B97" i="36"/>
  <c r="C97" i="36"/>
  <c r="D97" i="36"/>
  <c r="B98" i="36"/>
  <c r="C98" i="36"/>
  <c r="D98" i="36"/>
  <c r="D90" i="36"/>
  <c r="C90" i="36"/>
  <c r="B90" i="36"/>
  <c r="B81" i="36"/>
  <c r="C81" i="36"/>
  <c r="D81" i="36"/>
  <c r="B82" i="36"/>
  <c r="C82" i="36"/>
  <c r="D82" i="36"/>
  <c r="B83" i="36"/>
  <c r="C83" i="36"/>
  <c r="D83" i="36"/>
  <c r="B84" i="36"/>
  <c r="C84" i="36"/>
  <c r="D84" i="36"/>
  <c r="B85" i="36"/>
  <c r="C85" i="36"/>
  <c r="D85" i="36"/>
  <c r="B86" i="36"/>
  <c r="C86" i="36"/>
  <c r="D86" i="36"/>
  <c r="B87" i="36"/>
  <c r="C87" i="36"/>
  <c r="D87" i="36"/>
  <c r="B88" i="36"/>
  <c r="C88" i="36"/>
  <c r="D88" i="36"/>
  <c r="D80" i="36"/>
  <c r="C80" i="36"/>
  <c r="B80" i="36"/>
  <c r="B71" i="36"/>
  <c r="C71" i="36"/>
  <c r="D71" i="36"/>
  <c r="B72" i="36"/>
  <c r="C72" i="36"/>
  <c r="D72" i="36"/>
  <c r="B73" i="36"/>
  <c r="C73" i="36"/>
  <c r="D73" i="36"/>
  <c r="B74" i="36"/>
  <c r="C74" i="36"/>
  <c r="D74" i="36"/>
  <c r="B75" i="36"/>
  <c r="C75" i="36"/>
  <c r="D75" i="36"/>
  <c r="B76" i="36"/>
  <c r="C76" i="36"/>
  <c r="D76" i="36"/>
  <c r="B77" i="36"/>
  <c r="C77" i="36"/>
  <c r="D77" i="36"/>
  <c r="B78" i="36"/>
  <c r="C78" i="36"/>
  <c r="D78" i="36"/>
  <c r="D70" i="36"/>
  <c r="C70" i="36"/>
  <c r="B70" i="36"/>
  <c r="B61" i="36"/>
  <c r="C61" i="36"/>
  <c r="D61" i="36"/>
  <c r="B62" i="36"/>
  <c r="C62" i="36"/>
  <c r="D62" i="36"/>
  <c r="B63" i="36"/>
  <c r="C63" i="36"/>
  <c r="D63" i="36"/>
  <c r="B64" i="36"/>
  <c r="C64" i="36"/>
  <c r="D64" i="36"/>
  <c r="B65" i="36"/>
  <c r="C65" i="36"/>
  <c r="D65" i="36"/>
  <c r="B66" i="36"/>
  <c r="C66" i="36"/>
  <c r="D66" i="36"/>
  <c r="B67" i="36"/>
  <c r="C67" i="36"/>
  <c r="D67" i="36"/>
  <c r="B68" i="36"/>
  <c r="C68" i="36"/>
  <c r="D68" i="36"/>
  <c r="D60" i="36"/>
  <c r="C60" i="36"/>
  <c r="B60" i="36"/>
  <c r="F163" i="41" l="1"/>
  <c r="G185" i="41"/>
  <c r="DU78" i="90"/>
  <c r="A176" i="90"/>
  <c r="A225" i="90"/>
  <c r="A196" i="90"/>
  <c r="DV7" i="4"/>
  <c r="DW7" i="4" s="1"/>
  <c r="CM2" i="4"/>
  <c r="E116" i="102" s="1"/>
  <c r="CN2" i="4"/>
  <c r="F116" i="102" s="1"/>
  <c r="DU88" i="90"/>
  <c r="A206" i="90"/>
  <c r="DU67" i="90"/>
  <c r="A185" i="90"/>
  <c r="DU107" i="90"/>
  <c r="A145" i="90"/>
  <c r="DU47" i="90"/>
  <c r="A165" i="90"/>
  <c r="A215" i="90"/>
  <c r="BJ119" i="90"/>
  <c r="BJ226" i="90" s="1"/>
  <c r="CN10" i="4"/>
  <c r="F124" i="102" s="1"/>
  <c r="CM6" i="4"/>
  <c r="E120" i="102" s="1"/>
  <c r="CM10" i="4"/>
  <c r="E124" i="102" s="1"/>
  <c r="CM5" i="4"/>
  <c r="E119" i="102" s="1"/>
  <c r="CM7" i="4"/>
  <c r="E121" i="102" s="1"/>
  <c r="CM3" i="4"/>
  <c r="E117" i="102" s="1"/>
  <c r="CN7" i="4"/>
  <c r="F121" i="102" s="1"/>
  <c r="CM4" i="4"/>
  <c r="E118" i="102" s="1"/>
  <c r="CN4" i="4"/>
  <c r="F118" i="102" s="1"/>
  <c r="CN6" i="4"/>
  <c r="F120" i="102" s="1"/>
  <c r="CM11" i="4"/>
  <c r="E125" i="102" s="1"/>
  <c r="CN11" i="4"/>
  <c r="F125" i="102" s="1"/>
  <c r="CM8" i="4"/>
  <c r="E122" i="102" s="1"/>
  <c r="CN8" i="4"/>
  <c r="F122" i="102" s="1"/>
  <c r="CN3" i="4"/>
  <c r="F117" i="102" s="1"/>
  <c r="CN5" i="4"/>
  <c r="F119" i="102" s="1"/>
  <c r="CM9" i="4"/>
  <c r="E123" i="102" s="1"/>
  <c r="CN9" i="4"/>
  <c r="F123" i="102" s="1"/>
  <c r="A49" i="90"/>
  <c r="DU144" i="90" s="1"/>
  <c r="BJ49" i="90"/>
  <c r="BJ156" i="90" s="1"/>
  <c r="DU97" i="90"/>
  <c r="A39" i="90"/>
  <c r="DU134" i="90" s="1"/>
  <c r="BJ39" i="90"/>
  <c r="BJ146" i="90" s="1"/>
  <c r="A29" i="90"/>
  <c r="DU124" i="90" s="1"/>
  <c r="BJ29" i="90"/>
  <c r="BJ136" i="90" s="1"/>
  <c r="A59" i="90"/>
  <c r="DU154" i="90" s="1"/>
  <c r="BJ59" i="90"/>
  <c r="BJ166" i="90" s="1"/>
  <c r="A109" i="90"/>
  <c r="DU204" i="90" s="1"/>
  <c r="BJ109" i="90"/>
  <c r="BJ216" i="90" s="1"/>
  <c r="A79" i="90"/>
  <c r="DU174" i="90" s="1"/>
  <c r="BJ79" i="90"/>
  <c r="BJ186" i="90" s="1"/>
  <c r="DU27" i="90"/>
  <c r="A155" i="90"/>
  <c r="DU37" i="90"/>
  <c r="A135" i="90"/>
  <c r="DU17" i="90"/>
  <c r="A119" i="90"/>
  <c r="DU214" i="90" s="1"/>
  <c r="DV4" i="4"/>
  <c r="DV6" i="4"/>
  <c r="DV11" i="4"/>
  <c r="DV3" i="4"/>
  <c r="DV5" i="4"/>
  <c r="DV9" i="4"/>
  <c r="DV10" i="4"/>
  <c r="DV8" i="4"/>
  <c r="G5" i="4"/>
  <c r="G7" i="4" s="1"/>
  <c r="G10" i="4" s="1"/>
  <c r="EL10" i="4"/>
  <c r="A144" i="41"/>
  <c r="A190" i="41"/>
  <c r="A168" i="41"/>
  <c r="A179" i="41"/>
  <c r="A202" i="41"/>
  <c r="A157" i="41"/>
  <c r="A124" i="41"/>
  <c r="A113" i="41"/>
  <c r="A212" i="41"/>
  <c r="A135" i="41"/>
  <c r="EL5" i="4"/>
  <c r="EL11" i="4"/>
  <c r="EL8" i="4"/>
  <c r="EL3" i="4"/>
  <c r="EL9" i="4"/>
  <c r="EL6" i="4"/>
  <c r="EL4" i="4"/>
  <c r="A67" i="36"/>
  <c r="DX7" i="4" l="1"/>
  <c r="EM6" i="4"/>
  <c r="EN6" i="4"/>
  <c r="EM10" i="4"/>
  <c r="EN10" i="4"/>
  <c r="EN9" i="4"/>
  <c r="EM9" i="4"/>
  <c r="EM8" i="4"/>
  <c r="EN8" i="4"/>
  <c r="EM11" i="4"/>
  <c r="EN11" i="4"/>
  <c r="EM4" i="4"/>
  <c r="EN4" i="4"/>
  <c r="EN5" i="4"/>
  <c r="EM5" i="4"/>
  <c r="DU18" i="90"/>
  <c r="A136" i="90"/>
  <c r="EM3" i="4"/>
  <c r="EN3" i="4"/>
  <c r="I3" i="4"/>
  <c r="I2" i="4"/>
  <c r="B73" i="103"/>
  <c r="B82" i="103"/>
  <c r="B81" i="103"/>
  <c r="A146" i="90"/>
  <c r="DU68" i="90"/>
  <c r="A186" i="90"/>
  <c r="A156" i="90"/>
  <c r="DU28" i="90"/>
  <c r="DU38" i="90"/>
  <c r="DU48" i="90"/>
  <c r="DU98" i="90"/>
  <c r="A216" i="90"/>
  <c r="A166" i="90"/>
  <c r="A226" i="90"/>
  <c r="DU108" i="90"/>
  <c r="DU9" i="4"/>
  <c r="DW9" i="4"/>
  <c r="DX9" i="4"/>
  <c r="DX5" i="4"/>
  <c r="DW5" i="4"/>
  <c r="DU5" i="4"/>
  <c r="DU90" i="4"/>
  <c r="DU70" i="4"/>
  <c r="DU21" i="4"/>
  <c r="DU100" i="4"/>
  <c r="DU81" i="4"/>
  <c r="DU17" i="4"/>
  <c r="DU96" i="4"/>
  <c r="DU76" i="4"/>
  <c r="DU31" i="4"/>
  <c r="DU61" i="4"/>
  <c r="DU29" i="4"/>
  <c r="DU28" i="4"/>
  <c r="DU66" i="4"/>
  <c r="DU52" i="4"/>
  <c r="DU18" i="4"/>
  <c r="DU80" i="4"/>
  <c r="DU73" i="4"/>
  <c r="DU65" i="4"/>
  <c r="DU40" i="4"/>
  <c r="DU14" i="4"/>
  <c r="DU38" i="4"/>
  <c r="DU26" i="4"/>
  <c r="DU35" i="4"/>
  <c r="DU77" i="4"/>
  <c r="DU39" i="4"/>
  <c r="DU19" i="4"/>
  <c r="DU24" i="4"/>
  <c r="DU72" i="4"/>
  <c r="DU99" i="4"/>
  <c r="DU58" i="4"/>
  <c r="DW3" i="4"/>
  <c r="DU3" i="4"/>
  <c r="DU54" i="4"/>
  <c r="DU74" i="4"/>
  <c r="DU13" i="4"/>
  <c r="DU59" i="4"/>
  <c r="DU56" i="4"/>
  <c r="DU55" i="4"/>
  <c r="DU32" i="4"/>
  <c r="DU86" i="4"/>
  <c r="DU82" i="4"/>
  <c r="DU57" i="4"/>
  <c r="DU37" i="4"/>
  <c r="DX3" i="4"/>
  <c r="DU62" i="4"/>
  <c r="DU22" i="4"/>
  <c r="DU97" i="4"/>
  <c r="DU27" i="4"/>
  <c r="DU34" i="4"/>
  <c r="DU63" i="4"/>
  <c r="DU20" i="4"/>
  <c r="DU92" i="4"/>
  <c r="DU101" i="4"/>
  <c r="DU93" i="4"/>
  <c r="DU84" i="4"/>
  <c r="DU41" i="4"/>
  <c r="DU16" i="4"/>
  <c r="DU67" i="4"/>
  <c r="DU78" i="4"/>
  <c r="DU71" i="4"/>
  <c r="DU88" i="4"/>
  <c r="DU89" i="4"/>
  <c r="DU75" i="4"/>
  <c r="DU69" i="4"/>
  <c r="DU85" i="4"/>
  <c r="DU64" i="4"/>
  <c r="DU94" i="4"/>
  <c r="DU12" i="4"/>
  <c r="DU79" i="4"/>
  <c r="DU83" i="4"/>
  <c r="DU60" i="4"/>
  <c r="DU23" i="4"/>
  <c r="DU53" i="4"/>
  <c r="DU91" i="4"/>
  <c r="DU36" i="4"/>
  <c r="DU25" i="4"/>
  <c r="DU68" i="4"/>
  <c r="DU33" i="4"/>
  <c r="DU98" i="4"/>
  <c r="DU15" i="4"/>
  <c r="DU87" i="4"/>
  <c r="DU30" i="4"/>
  <c r="DU44" i="4"/>
  <c r="DU49" i="4"/>
  <c r="DU51" i="4"/>
  <c r="DU45" i="4"/>
  <c r="DU42" i="4"/>
  <c r="DU47" i="4"/>
  <c r="DU50" i="4"/>
  <c r="DU46" i="4"/>
  <c r="DU48" i="4"/>
  <c r="DW11" i="4"/>
  <c r="DX11" i="4"/>
  <c r="DU11" i="4"/>
  <c r="DX6" i="4"/>
  <c r="DU6" i="4"/>
  <c r="DW6" i="4"/>
  <c r="DW10" i="4"/>
  <c r="DX10" i="4"/>
  <c r="DX4" i="4"/>
  <c r="DW4" i="4"/>
  <c r="DU4" i="4"/>
  <c r="DW8" i="4"/>
  <c r="DX8" i="4"/>
  <c r="DU8" i="4"/>
  <c r="A145" i="41"/>
  <c r="EK5" i="4"/>
  <c r="I8" i="4"/>
  <c r="A136" i="41"/>
  <c r="A125" i="41"/>
  <c r="A213" i="41"/>
  <c r="A158" i="41"/>
  <c r="A180" i="41"/>
  <c r="A114" i="41"/>
  <c r="A203" i="41"/>
  <c r="A169" i="41"/>
  <c r="A191" i="41"/>
  <c r="EK4" i="4"/>
  <c r="EK8" i="4"/>
  <c r="EK6" i="4"/>
  <c r="EK3" i="4"/>
  <c r="EK60" i="4"/>
  <c r="EK94" i="4"/>
  <c r="EK82" i="4"/>
  <c r="EK84" i="4"/>
  <c r="EK47" i="4"/>
  <c r="EK48" i="4"/>
  <c r="EK49" i="4"/>
  <c r="EK83" i="4"/>
  <c r="EK87" i="4"/>
  <c r="EK62" i="4"/>
  <c r="EK86" i="4"/>
  <c r="EK66" i="4"/>
  <c r="EK68" i="4"/>
  <c r="EK27" i="4"/>
  <c r="EK90" i="4"/>
  <c r="EK20" i="4"/>
  <c r="EK55" i="4"/>
  <c r="EK56" i="4"/>
  <c r="EK18" i="4"/>
  <c r="EK91" i="4"/>
  <c r="EK69" i="4"/>
  <c r="EK30" i="4"/>
  <c r="EK12" i="4"/>
  <c r="EK98" i="4"/>
  <c r="EK36" i="4"/>
  <c r="EK63" i="4"/>
  <c r="EK26" i="4"/>
  <c r="EK99" i="4"/>
  <c r="EK61" i="4"/>
  <c r="EK24" i="4"/>
  <c r="EK37" i="4"/>
  <c r="EK57" i="4"/>
  <c r="EK32" i="4"/>
  <c r="EK88" i="4"/>
  <c r="EK67" i="4"/>
  <c r="EK70" i="4"/>
  <c r="EK85" i="4"/>
  <c r="EK64" i="4"/>
  <c r="EK95" i="4"/>
  <c r="EK17" i="4"/>
  <c r="EK59" i="4"/>
  <c r="EK46" i="4"/>
  <c r="EK39" i="4"/>
  <c r="EK22" i="4"/>
  <c r="EK93" i="4"/>
  <c r="EK14" i="4"/>
  <c r="EK19" i="4"/>
  <c r="EK44" i="4"/>
  <c r="EK71" i="4"/>
  <c r="EK89" i="4"/>
  <c r="EK34" i="4"/>
  <c r="EK35" i="4"/>
  <c r="EK54" i="4"/>
  <c r="EK97" i="4"/>
  <c r="EK45" i="4"/>
  <c r="EK51" i="4"/>
  <c r="EK38" i="4"/>
  <c r="EK31" i="4"/>
  <c r="EK33" i="4"/>
  <c r="EK101" i="4"/>
  <c r="EK92" i="4"/>
  <c r="EK43" i="4"/>
  <c r="EK15" i="4"/>
  <c r="EK16" i="4"/>
  <c r="EK42" i="4"/>
  <c r="EK100" i="4"/>
  <c r="EK96" i="4"/>
  <c r="EK41" i="4"/>
  <c r="EK23" i="4"/>
  <c r="EK50" i="4"/>
  <c r="EK21" i="4"/>
  <c r="EK25" i="4"/>
  <c r="EK29" i="4"/>
  <c r="EK65" i="4"/>
  <c r="EK13" i="4"/>
  <c r="EK28" i="4"/>
  <c r="EK58" i="4"/>
  <c r="EK40" i="4"/>
  <c r="EK77" i="4"/>
  <c r="EK72" i="4"/>
  <c r="EK81" i="4"/>
  <c r="EK78" i="4"/>
  <c r="EK76" i="4"/>
  <c r="EK74" i="4"/>
  <c r="EK79" i="4"/>
  <c r="EK73" i="4"/>
  <c r="EK9" i="4"/>
  <c r="EK11" i="4"/>
  <c r="A68" i="36"/>
  <c r="B63" i="103" l="1"/>
  <c r="D63" i="103" s="1"/>
  <c r="E108" i="41"/>
  <c r="E109" i="41"/>
  <c r="F28" i="78"/>
  <c r="E53" i="71"/>
  <c r="R74" i="103"/>
  <c r="R72" i="103"/>
  <c r="R59" i="103"/>
  <c r="R77" i="103"/>
  <c r="F30" i="78"/>
  <c r="R61" i="103"/>
  <c r="R69" i="103"/>
  <c r="R66" i="103"/>
  <c r="R71" i="103"/>
  <c r="F36" i="78"/>
  <c r="R63" i="103"/>
  <c r="R70" i="103"/>
  <c r="F32" i="78"/>
  <c r="F37" i="78"/>
  <c r="F33" i="73"/>
  <c r="F39" i="71"/>
  <c r="F38" i="71"/>
  <c r="BL25" i="90" s="1"/>
  <c r="F31" i="78"/>
  <c r="R64" i="103"/>
  <c r="F40" i="71"/>
  <c r="E51" i="71"/>
  <c r="E39" i="71"/>
  <c r="E34" i="71"/>
  <c r="E35" i="73"/>
  <c r="F50" i="71"/>
  <c r="E33" i="71"/>
  <c r="E40" i="71"/>
  <c r="F33" i="71"/>
  <c r="F46" i="71"/>
  <c r="R65" i="103"/>
  <c r="R73" i="103"/>
  <c r="F45" i="71"/>
  <c r="E40" i="73"/>
  <c r="E52" i="71"/>
  <c r="R68" i="103"/>
  <c r="R62" i="103"/>
  <c r="F37" i="71"/>
  <c r="F53" i="71"/>
  <c r="E37" i="71"/>
  <c r="R76" i="103"/>
  <c r="F35" i="78"/>
  <c r="E41" i="71"/>
  <c r="CB11" i="4" s="1"/>
  <c r="E42" i="73"/>
  <c r="F34" i="73"/>
  <c r="E35" i="71"/>
  <c r="R60" i="103"/>
  <c r="R75" i="103"/>
  <c r="F42" i="71"/>
  <c r="BL29" i="90" s="1"/>
  <c r="E48" i="71"/>
  <c r="F41" i="71"/>
  <c r="E46" i="71"/>
  <c r="E41" i="73"/>
  <c r="E49" i="71"/>
  <c r="F39" i="73"/>
  <c r="E45" i="71"/>
  <c r="F33" i="78"/>
  <c r="R58" i="103"/>
  <c r="E47" i="71"/>
  <c r="F34" i="78"/>
  <c r="E33" i="73"/>
  <c r="CF113" i="4" s="1"/>
  <c r="E38" i="71"/>
  <c r="F42" i="73"/>
  <c r="F41" i="73"/>
  <c r="F37" i="73"/>
  <c r="F47" i="71"/>
  <c r="F52" i="71"/>
  <c r="E36" i="73"/>
  <c r="F40" i="73"/>
  <c r="E50" i="71"/>
  <c r="E39" i="73"/>
  <c r="E38" i="73"/>
  <c r="I27" i="78"/>
  <c r="F48" i="71"/>
  <c r="E42" i="71"/>
  <c r="F51" i="71"/>
  <c r="BL37" i="90" s="1"/>
  <c r="F49" i="71"/>
  <c r="E36" i="71"/>
  <c r="F34" i="71"/>
  <c r="E44" i="71"/>
  <c r="F36" i="71"/>
  <c r="E37" i="73"/>
  <c r="F38" i="73"/>
  <c r="F35" i="73"/>
  <c r="F36" i="73"/>
  <c r="F35" i="71"/>
  <c r="E34" i="73"/>
  <c r="F29" i="78"/>
  <c r="F44" i="71"/>
  <c r="R57" i="103"/>
  <c r="L32" i="78"/>
  <c r="J27" i="78"/>
  <c r="J38" i="78"/>
  <c r="N36" i="80"/>
  <c r="CF22" i="4"/>
  <c r="H27" i="78"/>
  <c r="H38" i="78"/>
  <c r="H27" i="80"/>
  <c r="M36" i="78"/>
  <c r="I38" i="78"/>
  <c r="C82" i="103"/>
  <c r="D82" i="103"/>
  <c r="G82" i="103"/>
  <c r="B71" i="103"/>
  <c r="B72" i="103"/>
  <c r="D73" i="103"/>
  <c r="C73" i="103"/>
  <c r="G73" i="103"/>
  <c r="B69" i="103"/>
  <c r="CF11" i="4"/>
  <c r="B76" i="103"/>
  <c r="B60" i="103"/>
  <c r="C81" i="103"/>
  <c r="G81" i="103"/>
  <c r="D81" i="103"/>
  <c r="B79" i="103"/>
  <c r="G79" i="103" s="1"/>
  <c r="B68" i="103"/>
  <c r="B62" i="103"/>
  <c r="B59" i="103"/>
  <c r="B57" i="103"/>
  <c r="B84" i="103"/>
  <c r="B87" i="103"/>
  <c r="B83" i="103"/>
  <c r="E120" i="41"/>
  <c r="B65" i="103"/>
  <c r="E130" i="41"/>
  <c r="B58" i="103"/>
  <c r="B74" i="103"/>
  <c r="B64" i="103"/>
  <c r="B85" i="103"/>
  <c r="B61" i="103"/>
  <c r="B86" i="103"/>
  <c r="B66" i="103"/>
  <c r="B75" i="103"/>
  <c r="B80" i="103"/>
  <c r="B77" i="103"/>
  <c r="B70" i="103"/>
  <c r="B88" i="103"/>
  <c r="G88" i="103" s="1"/>
  <c r="E119" i="41"/>
  <c r="DU7" i="4"/>
  <c r="DU10" i="4" s="1"/>
  <c r="DU43" i="4" s="1"/>
  <c r="DU95" i="4" s="1"/>
  <c r="K135" i="78"/>
  <c r="E165" i="41"/>
  <c r="CB238" i="4"/>
  <c r="BX59" i="90"/>
  <c r="L111" i="77"/>
  <c r="L125" i="80"/>
  <c r="CB279" i="4"/>
  <c r="CB223" i="4"/>
  <c r="BX32" i="90"/>
  <c r="L96" i="80"/>
  <c r="H95" i="75"/>
  <c r="E125" i="41"/>
  <c r="BX76" i="90"/>
  <c r="E135" i="41"/>
  <c r="BX96" i="90"/>
  <c r="L66" i="78"/>
  <c r="M121" i="77"/>
  <c r="M124" i="79"/>
  <c r="CD113" i="90"/>
  <c r="CD67" i="90"/>
  <c r="L108" i="78"/>
  <c r="H107" i="73"/>
  <c r="BX58" i="90"/>
  <c r="CD44" i="90"/>
  <c r="N52" i="80"/>
  <c r="BX111" i="90"/>
  <c r="CD25" i="90"/>
  <c r="BR75" i="90"/>
  <c r="K120" i="78"/>
  <c r="E114" i="41"/>
  <c r="BX24" i="90"/>
  <c r="BR78" i="90"/>
  <c r="G60" i="74"/>
  <c r="K99" i="80"/>
  <c r="K101" i="78"/>
  <c r="CD111" i="90"/>
  <c r="BR26" i="90"/>
  <c r="L117" i="80"/>
  <c r="L34" i="79"/>
  <c r="BR54" i="90"/>
  <c r="CB302" i="4"/>
  <c r="BX47" i="90"/>
  <c r="E121" i="41"/>
  <c r="L91" i="79"/>
  <c r="CJ72" i="90"/>
  <c r="CB326" i="4"/>
  <c r="L37" i="77"/>
  <c r="BR118" i="90"/>
  <c r="CB248" i="4"/>
  <c r="CJ59" i="90"/>
  <c r="CD77" i="90"/>
  <c r="N78" i="77"/>
  <c r="M97" i="79"/>
  <c r="L125" i="77"/>
  <c r="CD47" i="90"/>
  <c r="CD41" i="90"/>
  <c r="N80" i="78"/>
  <c r="M120" i="77"/>
  <c r="K63" i="80"/>
  <c r="H41" i="75"/>
  <c r="N53" i="79"/>
  <c r="BX68" i="90"/>
  <c r="CB275" i="4"/>
  <c r="BR47" i="90"/>
  <c r="N31" i="77"/>
  <c r="CB240" i="4"/>
  <c r="N122" i="79"/>
  <c r="BX86" i="90"/>
  <c r="H64" i="73"/>
  <c r="BX20" i="90"/>
  <c r="CJ104" i="90"/>
  <c r="BX42" i="90"/>
  <c r="E213" i="41"/>
  <c r="E145" i="41"/>
  <c r="M36" i="79"/>
  <c r="CD46" i="90"/>
  <c r="M136" i="79"/>
  <c r="N121" i="78"/>
  <c r="L47" i="79"/>
  <c r="CD117" i="90"/>
  <c r="N97" i="77"/>
  <c r="CB328" i="4"/>
  <c r="BX36" i="90"/>
  <c r="CJ97" i="90"/>
  <c r="BR83" i="90"/>
  <c r="BR112" i="90"/>
  <c r="CB273" i="4"/>
  <c r="E157" i="41"/>
  <c r="CB291" i="4"/>
  <c r="CB301" i="4"/>
  <c r="E191" i="41"/>
  <c r="E136" i="41"/>
  <c r="CB249" i="4"/>
  <c r="CB230" i="4"/>
  <c r="CB260" i="4"/>
  <c r="CB237" i="4"/>
  <c r="CB298" i="4"/>
  <c r="CB331" i="4"/>
  <c r="BL75" i="90"/>
  <c r="CB247" i="4"/>
  <c r="E197" i="41"/>
  <c r="E144" i="41"/>
  <c r="E142" i="41"/>
  <c r="CB317" i="4"/>
  <c r="E175" i="41"/>
  <c r="E199" i="41"/>
  <c r="E112" i="41"/>
  <c r="E208" i="41"/>
  <c r="E111" i="41"/>
  <c r="CB242" i="4"/>
  <c r="CB292" i="4"/>
  <c r="CB324" i="4"/>
  <c r="CB225" i="4"/>
  <c r="CB305" i="4"/>
  <c r="CB265" i="4"/>
  <c r="CB312" i="4"/>
  <c r="CB254" i="4"/>
  <c r="CB241" i="4"/>
  <c r="E189" i="41"/>
  <c r="E198" i="41"/>
  <c r="E210" i="41"/>
  <c r="E176" i="41"/>
  <c r="E143" i="41"/>
  <c r="CB282" i="4"/>
  <c r="E123" i="41"/>
  <c r="CB327" i="4"/>
  <c r="CB276" i="4"/>
  <c r="E154" i="41"/>
  <c r="J27" i="79"/>
  <c r="CB315" i="4"/>
  <c r="E201" i="41"/>
  <c r="E155" i="41"/>
  <c r="E164" i="41"/>
  <c r="CB274" i="4"/>
  <c r="CB231" i="4"/>
  <c r="CB227" i="4"/>
  <c r="CB257" i="4"/>
  <c r="CB314" i="4"/>
  <c r="CB232" i="4"/>
  <c r="CB252" i="4"/>
  <c r="CB308" i="4"/>
  <c r="CB243" i="4"/>
  <c r="CB253" i="4"/>
  <c r="CB304" i="4"/>
  <c r="E131" i="41"/>
  <c r="CB235" i="4"/>
  <c r="E211" i="41"/>
  <c r="E122" i="41"/>
  <c r="E110" i="41"/>
  <c r="CB297" i="4"/>
  <c r="CB303" i="4"/>
  <c r="CB325" i="4"/>
  <c r="I27" i="79"/>
  <c r="CB229" i="4"/>
  <c r="CB228" i="4"/>
  <c r="CB295" i="4"/>
  <c r="E200" i="41"/>
  <c r="E167" i="41"/>
  <c r="E186" i="41"/>
  <c r="E134" i="41"/>
  <c r="CB270" i="4"/>
  <c r="CB290" i="4"/>
  <c r="CB283" i="4"/>
  <c r="CB318" i="4"/>
  <c r="H71" i="79"/>
  <c r="CB286" i="4"/>
  <c r="E113" i="41"/>
  <c r="E209" i="41"/>
  <c r="E177" i="41"/>
  <c r="CB268" i="4"/>
  <c r="CB313" i="4"/>
  <c r="CB262" i="4"/>
  <c r="CB293" i="4"/>
  <c r="CB309" i="4"/>
  <c r="J71" i="79"/>
  <c r="CB258" i="4"/>
  <c r="CB287" i="4"/>
  <c r="E133" i="41"/>
  <c r="E124" i="41"/>
  <c r="I71" i="79"/>
  <c r="CB306" i="4"/>
  <c r="E178" i="41"/>
  <c r="E156" i="41"/>
  <c r="CB284" i="4"/>
  <c r="CB251" i="4"/>
  <c r="CB226" i="4"/>
  <c r="CB269" i="4"/>
  <c r="F125" i="77"/>
  <c r="CB271" i="4"/>
  <c r="CB239" i="4"/>
  <c r="CB285" i="4"/>
  <c r="CB323" i="4"/>
  <c r="CB272" i="4"/>
  <c r="E180" i="41"/>
  <c r="CB261" i="4"/>
  <c r="E202" i="41"/>
  <c r="H27" i="79"/>
  <c r="CB296" i="4"/>
  <c r="CB246" i="4"/>
  <c r="CB280" i="4"/>
  <c r="CB281" i="4"/>
  <c r="CB329" i="4"/>
  <c r="E153" i="41"/>
  <c r="E169" i="41"/>
  <c r="E187" i="41"/>
  <c r="CB330" i="4"/>
  <c r="CB263" i="4"/>
  <c r="E166" i="41"/>
  <c r="CB264" i="4"/>
  <c r="E158" i="41"/>
  <c r="CB307" i="4"/>
  <c r="E168" i="41"/>
  <c r="CB319" i="4"/>
  <c r="CB320" i="4"/>
  <c r="CB316" i="4"/>
  <c r="CB236" i="4"/>
  <c r="L52" i="80"/>
  <c r="K121" i="77"/>
  <c r="N97" i="79"/>
  <c r="E203" i="41"/>
  <c r="E132" i="41"/>
  <c r="E212" i="41"/>
  <c r="CB259" i="4"/>
  <c r="E190" i="41"/>
  <c r="E188" i="41"/>
  <c r="CB224" i="4"/>
  <c r="CB294" i="4"/>
  <c r="CB250" i="4"/>
  <c r="E179" i="41"/>
  <c r="L36" i="80"/>
  <c r="N47" i="78"/>
  <c r="L47" i="78"/>
  <c r="M47" i="78"/>
  <c r="K47" i="78"/>
  <c r="I6" i="4"/>
  <c r="I10" i="4"/>
  <c r="E146" i="41"/>
  <c r="A146" i="41"/>
  <c r="I7" i="4"/>
  <c r="I5" i="4"/>
  <c r="I9" i="4"/>
  <c r="I4" i="4"/>
  <c r="I11" i="4"/>
  <c r="A159" i="41"/>
  <c r="E159" i="41"/>
  <c r="A214" i="41"/>
  <c r="E214" i="41"/>
  <c r="A204" i="41"/>
  <c r="E204" i="41"/>
  <c r="E126" i="41"/>
  <c r="A126" i="41"/>
  <c r="E115" i="41"/>
  <c r="A115" i="41"/>
  <c r="A137" i="41"/>
  <c r="E137" i="41"/>
  <c r="E181" i="41"/>
  <c r="A181" i="41"/>
  <c r="A192" i="41"/>
  <c r="E192" i="41"/>
  <c r="E170" i="41"/>
  <c r="A170" i="41"/>
  <c r="EK7" i="4"/>
  <c r="BL53" i="90"/>
  <c r="BL55" i="90"/>
  <c r="BL39" i="90"/>
  <c r="BL96" i="90"/>
  <c r="BL79" i="90"/>
  <c r="BL35" i="90"/>
  <c r="BL105" i="90"/>
  <c r="BL49" i="90"/>
  <c r="BL115" i="90"/>
  <c r="BL86" i="90"/>
  <c r="M35" i="72"/>
  <c r="BL73" i="90"/>
  <c r="BL59" i="90"/>
  <c r="BL88" i="90"/>
  <c r="BL77" i="90"/>
  <c r="BL119" i="90"/>
  <c r="BL47" i="90"/>
  <c r="BL109" i="90"/>
  <c r="BL57" i="90"/>
  <c r="L32" i="72"/>
  <c r="BL66" i="90"/>
  <c r="BL68" i="90"/>
  <c r="BL117" i="90"/>
  <c r="BL107" i="90"/>
  <c r="BL98" i="90"/>
  <c r="BL27" i="90"/>
  <c r="BL103" i="90"/>
  <c r="N31" i="72"/>
  <c r="L131" i="72"/>
  <c r="D38" i="2"/>
  <c r="G63" i="103" l="1"/>
  <c r="C63" i="103"/>
  <c r="S60" i="103"/>
  <c r="V60" i="103"/>
  <c r="T60" i="103"/>
  <c r="V65" i="103"/>
  <c r="T65" i="103"/>
  <c r="S65" i="103"/>
  <c r="V61" i="103"/>
  <c r="S61" i="103"/>
  <c r="T61" i="103"/>
  <c r="T62" i="103"/>
  <c r="S62" i="103"/>
  <c r="V62" i="103"/>
  <c r="S70" i="103"/>
  <c r="V70" i="103"/>
  <c r="T70" i="103"/>
  <c r="S77" i="103"/>
  <c r="T77" i="103"/>
  <c r="V77" i="103"/>
  <c r="T68" i="103"/>
  <c r="S68" i="103"/>
  <c r="T64" i="103"/>
  <c r="S64" i="103"/>
  <c r="V64" i="103"/>
  <c r="V63" i="103"/>
  <c r="S63" i="103"/>
  <c r="T63" i="103"/>
  <c r="T59" i="103"/>
  <c r="V59" i="103"/>
  <c r="S59" i="103"/>
  <c r="V72" i="103"/>
  <c r="S72" i="103"/>
  <c r="T72" i="103"/>
  <c r="V57" i="103"/>
  <c r="V58" i="103"/>
  <c r="S71" i="103"/>
  <c r="V71" i="103"/>
  <c r="T71" i="103"/>
  <c r="S74" i="103"/>
  <c r="V74" i="103"/>
  <c r="T74" i="103"/>
  <c r="S76" i="103"/>
  <c r="T76" i="103"/>
  <c r="V76" i="103"/>
  <c r="T66" i="103"/>
  <c r="S66" i="103"/>
  <c r="V66" i="103"/>
  <c r="V75" i="103"/>
  <c r="T75" i="103"/>
  <c r="S75" i="103"/>
  <c r="T73" i="103"/>
  <c r="S73" i="103"/>
  <c r="V73" i="103"/>
  <c r="T69" i="103"/>
  <c r="V69" i="103"/>
  <c r="S69" i="103"/>
  <c r="N36" i="78"/>
  <c r="M37" i="77"/>
  <c r="N32" i="78"/>
  <c r="M32" i="78"/>
  <c r="M36" i="80"/>
  <c r="L36" i="78"/>
  <c r="W63" i="70"/>
  <c r="S63" i="70"/>
  <c r="U63" i="70"/>
  <c r="Q63" i="70"/>
  <c r="W61" i="70"/>
  <c r="S61" i="70"/>
  <c r="U61" i="70"/>
  <c r="U60" i="70"/>
  <c r="W60" i="70"/>
  <c r="W59" i="70"/>
  <c r="S59" i="70"/>
  <c r="U59" i="70"/>
  <c r="W62" i="70"/>
  <c r="S62" i="70"/>
  <c r="U62" i="70"/>
  <c r="Q62" i="70"/>
  <c r="OH4343" i="4"/>
  <c r="GA4343" i="4"/>
  <c r="V26" i="70"/>
  <c r="GA4344" i="4"/>
  <c r="T26" i="70"/>
  <c r="R26" i="70"/>
  <c r="P26" i="70"/>
  <c r="GA4346" i="4"/>
  <c r="V24" i="70"/>
  <c r="T24" i="70"/>
  <c r="R24" i="70"/>
  <c r="OF4343" i="4"/>
  <c r="FY4346" i="4"/>
  <c r="FY4343" i="4"/>
  <c r="FY4344" i="4"/>
  <c r="P25" i="70"/>
  <c r="OG4343" i="4"/>
  <c r="V25" i="70"/>
  <c r="FZ4343" i="4"/>
  <c r="T25" i="70"/>
  <c r="R25" i="70"/>
  <c r="FZ4344" i="4"/>
  <c r="FZ4346" i="4"/>
  <c r="V23" i="70"/>
  <c r="T23" i="70"/>
  <c r="FX4346" i="4"/>
  <c r="FX4343" i="4"/>
  <c r="OE4343" i="4"/>
  <c r="V22" i="70"/>
  <c r="T22" i="70"/>
  <c r="R22" i="70"/>
  <c r="FW4346" i="4"/>
  <c r="FW4343" i="4"/>
  <c r="FW4344" i="4"/>
  <c r="OD4343" i="4"/>
  <c r="CB22" i="4"/>
  <c r="CB472" i="4"/>
  <c r="CF472" i="4"/>
  <c r="CB493" i="4"/>
  <c r="CF493" i="4"/>
  <c r="CB456" i="4"/>
  <c r="CF456" i="4"/>
  <c r="CB504" i="4"/>
  <c r="CF504" i="4"/>
  <c r="CB473" i="4"/>
  <c r="CF473" i="4"/>
  <c r="CB499" i="4"/>
  <c r="CF499" i="4"/>
  <c r="CB513" i="4"/>
  <c r="CF513" i="4"/>
  <c r="CB455" i="4"/>
  <c r="CF455" i="4"/>
  <c r="CB482" i="4"/>
  <c r="CF482" i="4"/>
  <c r="CB447" i="4"/>
  <c r="CF447" i="4"/>
  <c r="CB540" i="4"/>
  <c r="CF540" i="4"/>
  <c r="CB523" i="4"/>
  <c r="CF523" i="4"/>
  <c r="CB549" i="4"/>
  <c r="CF549" i="4"/>
  <c r="CB479" i="4"/>
  <c r="CF479" i="4"/>
  <c r="CB446" i="4"/>
  <c r="CF446" i="4"/>
  <c r="CF6" i="4"/>
  <c r="CB6" i="4"/>
  <c r="CB488" i="4"/>
  <c r="CF488" i="4"/>
  <c r="CB539" i="4"/>
  <c r="CF539" i="4"/>
  <c r="CB481" i="4"/>
  <c r="CF481" i="4"/>
  <c r="CB466" i="4"/>
  <c r="CF466" i="4"/>
  <c r="CB492" i="4"/>
  <c r="CF492" i="4"/>
  <c r="CB548" i="4"/>
  <c r="CF548" i="4"/>
  <c r="CB527" i="4"/>
  <c r="CF527" i="4"/>
  <c r="CB517" i="4"/>
  <c r="CF517" i="4"/>
  <c r="CB478" i="4"/>
  <c r="CF478" i="4"/>
  <c r="CB483" i="4"/>
  <c r="CF483" i="4"/>
  <c r="CB462" i="4"/>
  <c r="CF462" i="4"/>
  <c r="CB458" i="4"/>
  <c r="CF458" i="4"/>
  <c r="CB514" i="4"/>
  <c r="CF514" i="4"/>
  <c r="CF4" i="4"/>
  <c r="CE4" i="4" s="1"/>
  <c r="CB4" i="4"/>
  <c r="CB537" i="4"/>
  <c r="CF537" i="4"/>
  <c r="CB457" i="4"/>
  <c r="CF457" i="4"/>
  <c r="CB545" i="4"/>
  <c r="CF545" i="4"/>
  <c r="CB480" i="4"/>
  <c r="CF480" i="4"/>
  <c r="CB500" i="4"/>
  <c r="CF500" i="4"/>
  <c r="CB525" i="4"/>
  <c r="CF525" i="4"/>
  <c r="CB536" i="4"/>
  <c r="CF536" i="4"/>
  <c r="CF10" i="4"/>
  <c r="CB10" i="4"/>
  <c r="CB460" i="4"/>
  <c r="CF460" i="4"/>
  <c r="CB507" i="4"/>
  <c r="CF507" i="4"/>
  <c r="CB444" i="4"/>
  <c r="CF444" i="4"/>
  <c r="CB468" i="4"/>
  <c r="CF468" i="4"/>
  <c r="CB485" i="4"/>
  <c r="CF485" i="4"/>
  <c r="CB451" i="4"/>
  <c r="CF451" i="4"/>
  <c r="CB502" i="4"/>
  <c r="CF502" i="4"/>
  <c r="CB550" i="4"/>
  <c r="CF550" i="4"/>
  <c r="CB526" i="4"/>
  <c r="CF526" i="4"/>
  <c r="CB489" i="4"/>
  <c r="CF489" i="4"/>
  <c r="CB521" i="4"/>
  <c r="CF521" i="4"/>
  <c r="CB534" i="4"/>
  <c r="CF534" i="4"/>
  <c r="CB543" i="4"/>
  <c r="CF543" i="4"/>
  <c r="CB450" i="4"/>
  <c r="CF450" i="4"/>
  <c r="CB459" i="4"/>
  <c r="CF459" i="4"/>
  <c r="CB551" i="4"/>
  <c r="CF551" i="4"/>
  <c r="CB448" i="4"/>
  <c r="CF448" i="4"/>
  <c r="CB470" i="4"/>
  <c r="CF470" i="4"/>
  <c r="CF9" i="4"/>
  <c r="CB9" i="4"/>
  <c r="CB506" i="4"/>
  <c r="CF506" i="4"/>
  <c r="CB515" i="4"/>
  <c r="CF515" i="4"/>
  <c r="CB528" i="4"/>
  <c r="CF528" i="4"/>
  <c r="CB510" i="4"/>
  <c r="CF510" i="4"/>
  <c r="CB518" i="4"/>
  <c r="CF518" i="4"/>
  <c r="CB463" i="4"/>
  <c r="CF463" i="4"/>
  <c r="CB491" i="4"/>
  <c r="CF491" i="4"/>
  <c r="CB495" i="4"/>
  <c r="CF495" i="4"/>
  <c r="CB484" i="4"/>
  <c r="CF484" i="4"/>
  <c r="CB467" i="4"/>
  <c r="CF467" i="4"/>
  <c r="CB449" i="4"/>
  <c r="CF449" i="4"/>
  <c r="CB544" i="4"/>
  <c r="CF544" i="4"/>
  <c r="CF8" i="4"/>
  <c r="CB8" i="4"/>
  <c r="CB505" i="4"/>
  <c r="CF505" i="4"/>
  <c r="CB490" i="4"/>
  <c r="CF490" i="4"/>
  <c r="CB461" i="4"/>
  <c r="CF461" i="4"/>
  <c r="CB512" i="4"/>
  <c r="CF512" i="4"/>
  <c r="CB524" i="4"/>
  <c r="CF524" i="4"/>
  <c r="CB516" i="4"/>
  <c r="CF516" i="4"/>
  <c r="CB494" i="4"/>
  <c r="CF494" i="4"/>
  <c r="CB533" i="4"/>
  <c r="CF533" i="4"/>
  <c r="CB501" i="4"/>
  <c r="CF501" i="4"/>
  <c r="CB538" i="4"/>
  <c r="CF538" i="4"/>
  <c r="CB532" i="4"/>
  <c r="CF532" i="4"/>
  <c r="CB522" i="4"/>
  <c r="CF522" i="4"/>
  <c r="CB443" i="4"/>
  <c r="CF443" i="4"/>
  <c r="CB529" i="4"/>
  <c r="CF529" i="4"/>
  <c r="CB503" i="4"/>
  <c r="CF503" i="4"/>
  <c r="CB477" i="4"/>
  <c r="CF477" i="4"/>
  <c r="CB452" i="4"/>
  <c r="CF452" i="4"/>
  <c r="CB496" i="4"/>
  <c r="CF496" i="4"/>
  <c r="CB445" i="4"/>
  <c r="CF445" i="4"/>
  <c r="CB471" i="4"/>
  <c r="CF471" i="4"/>
  <c r="CB535" i="4"/>
  <c r="CF535" i="4"/>
  <c r="CB511" i="4"/>
  <c r="CF511" i="4"/>
  <c r="CB469" i="4"/>
  <c r="CF469" i="4"/>
  <c r="CB547" i="4"/>
  <c r="CF547" i="4"/>
  <c r="CB474" i="4"/>
  <c r="CF474" i="4"/>
  <c r="CB546" i="4"/>
  <c r="CF546" i="4"/>
  <c r="CF5" i="4"/>
  <c r="CB5" i="4"/>
  <c r="CF7" i="4"/>
  <c r="CB7" i="4"/>
  <c r="L121" i="77"/>
  <c r="CI36" i="90"/>
  <c r="CI143" i="90" s="1"/>
  <c r="N121" i="77"/>
  <c r="Z36" i="90"/>
  <c r="G64" i="73"/>
  <c r="G117" i="75"/>
  <c r="L34" i="78"/>
  <c r="N34" i="78"/>
  <c r="M34" i="78"/>
  <c r="K27" i="80"/>
  <c r="P23" i="70" s="1"/>
  <c r="M27" i="80"/>
  <c r="DO64" i="4" s="1"/>
  <c r="A33" i="99"/>
  <c r="N38" i="78"/>
  <c r="N40" i="78" s="1"/>
  <c r="L38" i="78"/>
  <c r="L39" i="78" s="1"/>
  <c r="N35" i="78"/>
  <c r="M35" i="78"/>
  <c r="L35" i="78"/>
  <c r="N31" i="78"/>
  <c r="M31" i="78"/>
  <c r="L31" i="78"/>
  <c r="N27" i="78"/>
  <c r="DP53" i="4" s="1"/>
  <c r="DS4" i="4" s="1"/>
  <c r="L27" i="78"/>
  <c r="L29" i="78" s="1"/>
  <c r="G33" i="71"/>
  <c r="C20" i="90"/>
  <c r="D20" i="90" s="1"/>
  <c r="BL20" i="90"/>
  <c r="H33" i="71"/>
  <c r="N46" i="78"/>
  <c r="M46" i="78"/>
  <c r="L46" i="78"/>
  <c r="K46" i="78"/>
  <c r="CB3" i="4"/>
  <c r="CA3" i="4" s="1"/>
  <c r="CF3" i="4"/>
  <c r="CE3" i="4" s="1"/>
  <c r="BK20" i="90"/>
  <c r="BK127" i="90" s="1"/>
  <c r="B20" i="90"/>
  <c r="N39" i="78"/>
  <c r="DP52" i="4" s="1"/>
  <c r="K39" i="78"/>
  <c r="N41" i="78"/>
  <c r="L41" i="78"/>
  <c r="L33" i="80"/>
  <c r="M33" i="80"/>
  <c r="N33" i="80"/>
  <c r="N44" i="78"/>
  <c r="M44" i="78"/>
  <c r="K44" i="78"/>
  <c r="L44" i="78"/>
  <c r="M33" i="78"/>
  <c r="L33" i="78"/>
  <c r="N33" i="78"/>
  <c r="K27" i="78"/>
  <c r="K37" i="78" s="1"/>
  <c r="A30" i="99"/>
  <c r="M27" i="78"/>
  <c r="L31" i="80"/>
  <c r="M31" i="80"/>
  <c r="N31" i="80"/>
  <c r="M35" i="80"/>
  <c r="L35" i="80"/>
  <c r="N35" i="80"/>
  <c r="M45" i="78"/>
  <c r="N45" i="78"/>
  <c r="L45" i="78"/>
  <c r="K45" i="78"/>
  <c r="M40" i="78"/>
  <c r="K40" i="78"/>
  <c r="N34" i="80"/>
  <c r="M34" i="80"/>
  <c r="L34" i="80"/>
  <c r="M38" i="78"/>
  <c r="M39" i="78" s="1"/>
  <c r="DO52" i="4" s="1"/>
  <c r="K38" i="78"/>
  <c r="K41" i="78" s="1"/>
  <c r="L43" i="78"/>
  <c r="M43" i="78"/>
  <c r="K43" i="78"/>
  <c r="N43" i="78"/>
  <c r="N30" i="78"/>
  <c r="M30" i="78"/>
  <c r="L30" i="78"/>
  <c r="M32" i="80"/>
  <c r="L32" i="80"/>
  <c r="N32" i="80"/>
  <c r="L42" i="78"/>
  <c r="M42" i="78"/>
  <c r="K42" i="78"/>
  <c r="N42" i="78"/>
  <c r="N27" i="80"/>
  <c r="L27" i="80"/>
  <c r="BM27" i="90"/>
  <c r="BN27" i="90"/>
  <c r="BM66" i="90"/>
  <c r="BN66" i="90"/>
  <c r="BM119" i="90"/>
  <c r="BN119" i="90"/>
  <c r="BM73" i="90"/>
  <c r="BN73" i="90"/>
  <c r="BM39" i="90"/>
  <c r="BN39" i="90"/>
  <c r="BY42" i="90"/>
  <c r="BZ42" i="90"/>
  <c r="CF113" i="90"/>
  <c r="CE113" i="90"/>
  <c r="BY76" i="90"/>
  <c r="BZ76" i="90"/>
  <c r="C61" i="103"/>
  <c r="D61" i="103"/>
  <c r="G61" i="103"/>
  <c r="D57" i="103"/>
  <c r="G57" i="103"/>
  <c r="C57" i="103"/>
  <c r="H20" i="90"/>
  <c r="BQ20" i="90"/>
  <c r="BQ127" i="90" s="1"/>
  <c r="CB113" i="4"/>
  <c r="CB19" i="4"/>
  <c r="CF19" i="4"/>
  <c r="BM105" i="90"/>
  <c r="BN105" i="90"/>
  <c r="BM55" i="90"/>
  <c r="BN55" i="90"/>
  <c r="BS112" i="90"/>
  <c r="BT112" i="90"/>
  <c r="CE117" i="90"/>
  <c r="CF117" i="90"/>
  <c r="CE46" i="90"/>
  <c r="CF46" i="90"/>
  <c r="CK104" i="90"/>
  <c r="CL104" i="90"/>
  <c r="BS118" i="90"/>
  <c r="BT118" i="90"/>
  <c r="CF44" i="90"/>
  <c r="CE44" i="90"/>
  <c r="C70" i="103"/>
  <c r="D70" i="103"/>
  <c r="G70" i="103"/>
  <c r="CB14" i="4"/>
  <c r="CF14" i="4"/>
  <c r="C65" i="103"/>
  <c r="D65" i="103"/>
  <c r="G65" i="103"/>
  <c r="G59" i="103"/>
  <c r="D59" i="103"/>
  <c r="C59" i="103"/>
  <c r="CB20" i="4"/>
  <c r="CF20" i="4"/>
  <c r="D76" i="103"/>
  <c r="C76" i="103"/>
  <c r="G76" i="103"/>
  <c r="C72" i="103"/>
  <c r="G72" i="103"/>
  <c r="D72" i="103"/>
  <c r="BM25" i="90"/>
  <c r="BN25" i="90"/>
  <c r="BM57" i="90"/>
  <c r="BN57" i="90"/>
  <c r="BM77" i="90"/>
  <c r="BN77" i="90"/>
  <c r="BM35" i="90"/>
  <c r="BN35" i="90"/>
  <c r="BS83" i="90"/>
  <c r="BT83" i="90"/>
  <c r="BZ20" i="90"/>
  <c r="BY20" i="90"/>
  <c r="BS47" i="90"/>
  <c r="BT47" i="90"/>
  <c r="G77" i="103"/>
  <c r="C77" i="103"/>
  <c r="D77" i="103"/>
  <c r="BQ30" i="90"/>
  <c r="BQ137" i="90" s="1"/>
  <c r="CB124" i="4"/>
  <c r="H30" i="90"/>
  <c r="CB17" i="4"/>
  <c r="CF17" i="4"/>
  <c r="CB21" i="4"/>
  <c r="CF21" i="4"/>
  <c r="G44" i="74"/>
  <c r="O30" i="90"/>
  <c r="BX30" i="90"/>
  <c r="H44" i="74"/>
  <c r="BR80" i="90"/>
  <c r="I80" i="90"/>
  <c r="H99" i="73"/>
  <c r="G99" i="73"/>
  <c r="CB18" i="4"/>
  <c r="CF18" i="4"/>
  <c r="C71" i="103"/>
  <c r="D71" i="103"/>
  <c r="G71" i="103"/>
  <c r="BM109" i="90"/>
  <c r="BN109" i="90"/>
  <c r="BM86" i="90"/>
  <c r="BN86" i="90"/>
  <c r="BM53" i="90"/>
  <c r="BN53" i="90"/>
  <c r="CE77" i="90"/>
  <c r="CF77" i="90"/>
  <c r="BS26" i="90"/>
  <c r="BT26" i="90"/>
  <c r="BS78" i="90"/>
  <c r="BT78" i="90"/>
  <c r="BS75" i="90"/>
  <c r="BT75" i="90"/>
  <c r="BY58" i="90"/>
  <c r="BZ58" i="90"/>
  <c r="C80" i="103"/>
  <c r="G80" i="103"/>
  <c r="D80" i="103"/>
  <c r="D85" i="103"/>
  <c r="G85" i="103"/>
  <c r="C85" i="103"/>
  <c r="CB15" i="4"/>
  <c r="CF15" i="4"/>
  <c r="CB234" i="4"/>
  <c r="N30" i="90"/>
  <c r="BW30" i="90"/>
  <c r="BW137" i="90" s="1"/>
  <c r="BR30" i="90"/>
  <c r="G44" i="73"/>
  <c r="DO12" i="4" s="1"/>
  <c r="DR2" i="4" s="1"/>
  <c r="F107" i="41" s="1"/>
  <c r="F109" i="41" s="1"/>
  <c r="H44" i="73"/>
  <c r="DP12" i="4" s="1"/>
  <c r="DS2" i="4" s="1"/>
  <c r="G107" i="41" s="1"/>
  <c r="G108" i="41" s="1"/>
  <c r="I30" i="90"/>
  <c r="BM117" i="90"/>
  <c r="BN117" i="90"/>
  <c r="BM37" i="90"/>
  <c r="BN37" i="90"/>
  <c r="BM115" i="90"/>
  <c r="BN115" i="90"/>
  <c r="BM29" i="90"/>
  <c r="BN29" i="90"/>
  <c r="CK97" i="90"/>
  <c r="CL97" i="90"/>
  <c r="BZ68" i="90"/>
  <c r="BY68" i="90"/>
  <c r="BY47" i="90"/>
  <c r="BZ47" i="90"/>
  <c r="CE111" i="90"/>
  <c r="CF111" i="90"/>
  <c r="BY24" i="90"/>
  <c r="BZ24" i="90"/>
  <c r="G75" i="103"/>
  <c r="D75" i="103"/>
  <c r="C75" i="103"/>
  <c r="C64" i="103"/>
  <c r="D64" i="103"/>
  <c r="G64" i="103"/>
  <c r="CB12" i="4"/>
  <c r="CF12" i="4"/>
  <c r="C62" i="103"/>
  <c r="D62" i="103"/>
  <c r="G62" i="103"/>
  <c r="BM47" i="90"/>
  <c r="BN47" i="90"/>
  <c r="BM88" i="90"/>
  <c r="BN88" i="90"/>
  <c r="BM49" i="90"/>
  <c r="BN49" i="90"/>
  <c r="BM79" i="90"/>
  <c r="BN79" i="90"/>
  <c r="BZ36" i="90"/>
  <c r="BY36" i="90"/>
  <c r="BY86" i="90"/>
  <c r="BZ86" i="90"/>
  <c r="CF41" i="90"/>
  <c r="CE41" i="90"/>
  <c r="CL59" i="90"/>
  <c r="CK59" i="90"/>
  <c r="CK72" i="90"/>
  <c r="CL72" i="90"/>
  <c r="CF25" i="90"/>
  <c r="CE25" i="90"/>
  <c r="BY32" i="90"/>
  <c r="BZ32" i="90"/>
  <c r="BR20" i="90"/>
  <c r="G33" i="73"/>
  <c r="H33" i="73"/>
  <c r="I20" i="90"/>
  <c r="G74" i="103"/>
  <c r="C74" i="103"/>
  <c r="D74" i="103"/>
  <c r="G83" i="103"/>
  <c r="C83" i="103"/>
  <c r="D83" i="103"/>
  <c r="CB16" i="4"/>
  <c r="CF16" i="4"/>
  <c r="G68" i="103"/>
  <c r="C68" i="103"/>
  <c r="D68" i="103"/>
  <c r="G69" i="103"/>
  <c r="C69" i="103"/>
  <c r="D69" i="103"/>
  <c r="BM98" i="90"/>
  <c r="BN98" i="90"/>
  <c r="BM75" i="90"/>
  <c r="BN75" i="90"/>
  <c r="CE47" i="90"/>
  <c r="CF47" i="90"/>
  <c r="BS54" i="90"/>
  <c r="BT54" i="90"/>
  <c r="BY111" i="90"/>
  <c r="BZ111" i="90"/>
  <c r="CE67" i="90"/>
  <c r="CF67" i="90"/>
  <c r="C66" i="103"/>
  <c r="D66" i="103"/>
  <c r="G66" i="103"/>
  <c r="C58" i="103"/>
  <c r="D58" i="103"/>
  <c r="G58" i="103"/>
  <c r="C87" i="103"/>
  <c r="D87" i="103"/>
  <c r="G87" i="103"/>
  <c r="CB23" i="4"/>
  <c r="CF23" i="4"/>
  <c r="BM103" i="90"/>
  <c r="BN103" i="90"/>
  <c r="BM107" i="90"/>
  <c r="BN107" i="90"/>
  <c r="BM68" i="90"/>
  <c r="BN68" i="90"/>
  <c r="BM59" i="90"/>
  <c r="BN59" i="90"/>
  <c r="BM96" i="90"/>
  <c r="BN96" i="90"/>
  <c r="BY96" i="90"/>
  <c r="BZ96" i="90"/>
  <c r="BY59" i="90"/>
  <c r="BZ59" i="90"/>
  <c r="D86" i="103"/>
  <c r="C86" i="103"/>
  <c r="G86" i="103"/>
  <c r="F108" i="41"/>
  <c r="C84" i="103"/>
  <c r="G84" i="103"/>
  <c r="D84" i="103"/>
  <c r="CB179" i="4"/>
  <c r="H80" i="90"/>
  <c r="BQ80" i="90"/>
  <c r="BQ187" i="90" s="1"/>
  <c r="C60" i="103"/>
  <c r="D60" i="103"/>
  <c r="G60" i="103"/>
  <c r="K53" i="79"/>
  <c r="F204" i="41"/>
  <c r="G204" i="41"/>
  <c r="F203" i="41"/>
  <c r="G203" i="41"/>
  <c r="G199" i="41"/>
  <c r="F199" i="41"/>
  <c r="F136" i="41"/>
  <c r="G136" i="41"/>
  <c r="G181" i="41"/>
  <c r="F181" i="41"/>
  <c r="G124" i="41"/>
  <c r="F124" i="41"/>
  <c r="F133" i="41"/>
  <c r="G133" i="41"/>
  <c r="G177" i="41"/>
  <c r="F177" i="41"/>
  <c r="G191" i="41"/>
  <c r="F191" i="41"/>
  <c r="F137" i="41"/>
  <c r="G137" i="41"/>
  <c r="F180" i="41"/>
  <c r="G180" i="41"/>
  <c r="G134" i="41"/>
  <c r="F134" i="41"/>
  <c r="G110" i="41"/>
  <c r="F110" i="41"/>
  <c r="G157" i="41"/>
  <c r="F157" i="41"/>
  <c r="F125" i="41"/>
  <c r="G125" i="41"/>
  <c r="F214" i="41"/>
  <c r="G214" i="41"/>
  <c r="G179" i="41"/>
  <c r="F179" i="41"/>
  <c r="F166" i="41"/>
  <c r="G166" i="41"/>
  <c r="F156" i="41"/>
  <c r="G156" i="41"/>
  <c r="F122" i="41"/>
  <c r="G122" i="41"/>
  <c r="G146" i="41"/>
  <c r="F146" i="41"/>
  <c r="F132" i="41"/>
  <c r="G132" i="41"/>
  <c r="G158" i="41"/>
  <c r="F158" i="41"/>
  <c r="F169" i="41"/>
  <c r="G169" i="41"/>
  <c r="F202" i="41"/>
  <c r="G202" i="41"/>
  <c r="F178" i="41"/>
  <c r="G178" i="41"/>
  <c r="F167" i="41"/>
  <c r="G167" i="41"/>
  <c r="G211" i="41"/>
  <c r="F211" i="41"/>
  <c r="F155" i="41"/>
  <c r="G155" i="41"/>
  <c r="F189" i="41"/>
  <c r="G189" i="41"/>
  <c r="F115" i="41"/>
  <c r="G115" i="41"/>
  <c r="G188" i="41"/>
  <c r="F188" i="41"/>
  <c r="G168" i="41"/>
  <c r="F168" i="41"/>
  <c r="F200" i="41"/>
  <c r="G200" i="41"/>
  <c r="F201" i="41"/>
  <c r="G201" i="41"/>
  <c r="G123" i="41"/>
  <c r="F123" i="41"/>
  <c r="F111" i="41"/>
  <c r="G111" i="41"/>
  <c r="F145" i="41"/>
  <c r="G145" i="41"/>
  <c r="G135" i="41"/>
  <c r="F135" i="41"/>
  <c r="F170" i="41"/>
  <c r="G170" i="41"/>
  <c r="F192" i="41"/>
  <c r="G192" i="41"/>
  <c r="G190" i="41"/>
  <c r="F190" i="41"/>
  <c r="G210" i="41"/>
  <c r="F210" i="41"/>
  <c r="F213" i="41"/>
  <c r="G213" i="41"/>
  <c r="F159" i="41"/>
  <c r="G159" i="41"/>
  <c r="G126" i="41"/>
  <c r="F126" i="41"/>
  <c r="G212" i="41"/>
  <c r="F212" i="41"/>
  <c r="G113" i="41"/>
  <c r="F113" i="41"/>
  <c r="G112" i="41"/>
  <c r="F112" i="41"/>
  <c r="F144" i="41"/>
  <c r="G144" i="41"/>
  <c r="F114" i="41"/>
  <c r="G114" i="41"/>
  <c r="CF364" i="4"/>
  <c r="CB364" i="4"/>
  <c r="CF187" i="4"/>
  <c r="CB187" i="4"/>
  <c r="CF349" i="4"/>
  <c r="CB349" i="4"/>
  <c r="CF426" i="4"/>
  <c r="CB426" i="4"/>
  <c r="CF390" i="4"/>
  <c r="CB390" i="4"/>
  <c r="CF417" i="4"/>
  <c r="CB417" i="4"/>
  <c r="CF154" i="4"/>
  <c r="CB154" i="4"/>
  <c r="CF195" i="4"/>
  <c r="CB195" i="4"/>
  <c r="CF153" i="4"/>
  <c r="CB153" i="4"/>
  <c r="CF127" i="4"/>
  <c r="CB127" i="4"/>
  <c r="CF397" i="4"/>
  <c r="CB397" i="4"/>
  <c r="CF369" i="4"/>
  <c r="CB369" i="4"/>
  <c r="CF393" i="4"/>
  <c r="CB393" i="4"/>
  <c r="CF337" i="4"/>
  <c r="CB337" i="4"/>
  <c r="CF434" i="4"/>
  <c r="CB434" i="4"/>
  <c r="CF210" i="4"/>
  <c r="CB210" i="4"/>
  <c r="CF338" i="4"/>
  <c r="CB338" i="4"/>
  <c r="CF429" i="4"/>
  <c r="CB429" i="4"/>
  <c r="CF173" i="4"/>
  <c r="CB173" i="4"/>
  <c r="CF131" i="4"/>
  <c r="CB131" i="4"/>
  <c r="CF353" i="4"/>
  <c r="CB353" i="4"/>
  <c r="CF350" i="4"/>
  <c r="CB350" i="4"/>
  <c r="CF394" i="4"/>
  <c r="CB394" i="4"/>
  <c r="CF122" i="4"/>
  <c r="CB122" i="4"/>
  <c r="CF380" i="4"/>
  <c r="CB380" i="4"/>
  <c r="CF427" i="4"/>
  <c r="CB427" i="4"/>
  <c r="CF372" i="4"/>
  <c r="CB372" i="4"/>
  <c r="CF141" i="4"/>
  <c r="CB141" i="4"/>
  <c r="CF166" i="4"/>
  <c r="CB166" i="4"/>
  <c r="CF121" i="4"/>
  <c r="CB121" i="4"/>
  <c r="CF341" i="4"/>
  <c r="CB341" i="4"/>
  <c r="CF161" i="4"/>
  <c r="CB161" i="4"/>
  <c r="CF213" i="4"/>
  <c r="CB213" i="4"/>
  <c r="CF198" i="4"/>
  <c r="CB198" i="4"/>
  <c r="CF391" i="4"/>
  <c r="CB391" i="4"/>
  <c r="CF158" i="4"/>
  <c r="CB158" i="4"/>
  <c r="CF347" i="4"/>
  <c r="CB347" i="4"/>
  <c r="CF204" i="4"/>
  <c r="CB204" i="4"/>
  <c r="CF126" i="4"/>
  <c r="CB126" i="4"/>
  <c r="CF140" i="4"/>
  <c r="CB140" i="4"/>
  <c r="CF336" i="4"/>
  <c r="CB336" i="4"/>
  <c r="CF352" i="4"/>
  <c r="CB352" i="4"/>
  <c r="CF363" i="4"/>
  <c r="CB363" i="4"/>
  <c r="CF132" i="4"/>
  <c r="CB132" i="4"/>
  <c r="CF345" i="4"/>
  <c r="CB345" i="4"/>
  <c r="CF207" i="4"/>
  <c r="CB207" i="4"/>
  <c r="CF186" i="4"/>
  <c r="CB186" i="4"/>
  <c r="CF425" i="4"/>
  <c r="CB425" i="4"/>
  <c r="CF414" i="4"/>
  <c r="CB414" i="4"/>
  <c r="CF406" i="4"/>
  <c r="CB406" i="4"/>
  <c r="CF197" i="4"/>
  <c r="CB197" i="4"/>
  <c r="CF401" i="4"/>
  <c r="CB401" i="4"/>
  <c r="CF217" i="4"/>
  <c r="CB217" i="4"/>
  <c r="CF176" i="4"/>
  <c r="CB176" i="4"/>
  <c r="CF430" i="4"/>
  <c r="CB430" i="4"/>
  <c r="CF116" i="4"/>
  <c r="CB116" i="4"/>
  <c r="CF203" i="4"/>
  <c r="CB203" i="4"/>
  <c r="CF392" i="4"/>
  <c r="CB392" i="4"/>
  <c r="CF188" i="4"/>
  <c r="CB188" i="4"/>
  <c r="CF163" i="4"/>
  <c r="CB163" i="4"/>
  <c r="CF214" i="4"/>
  <c r="CB214" i="4"/>
  <c r="CF143" i="4"/>
  <c r="CB143" i="4"/>
  <c r="CF419" i="4"/>
  <c r="CB419" i="4"/>
  <c r="CF180" i="4"/>
  <c r="CB180" i="4"/>
  <c r="CF149" i="4"/>
  <c r="CB149" i="4"/>
  <c r="CF202" i="4"/>
  <c r="CB202" i="4"/>
  <c r="CF181" i="4"/>
  <c r="CB181" i="4"/>
  <c r="CF368" i="4"/>
  <c r="CB368" i="4"/>
  <c r="CF441" i="4"/>
  <c r="CB441" i="4"/>
  <c r="CF205" i="4"/>
  <c r="CB205" i="4"/>
  <c r="CF435" i="4"/>
  <c r="CB435" i="4"/>
  <c r="CF439" i="4"/>
  <c r="CB439" i="4"/>
  <c r="CF395" i="4"/>
  <c r="CB395" i="4"/>
  <c r="CF424" i="4"/>
  <c r="CB424" i="4"/>
  <c r="CF144" i="4"/>
  <c r="CB144" i="4"/>
  <c r="CF136" i="4"/>
  <c r="CB136" i="4"/>
  <c r="CF405" i="4"/>
  <c r="CB405" i="4"/>
  <c r="CF221" i="4"/>
  <c r="CB221" i="4"/>
  <c r="CF125" i="4"/>
  <c r="CB125" i="4"/>
  <c r="CF184" i="4"/>
  <c r="CB184" i="4"/>
  <c r="CF177" i="4"/>
  <c r="CB177" i="4"/>
  <c r="CF413" i="4"/>
  <c r="CB413" i="4"/>
  <c r="CF400" i="4"/>
  <c r="CB400" i="4"/>
  <c r="CF378" i="4"/>
  <c r="CB378" i="4"/>
  <c r="CF385" i="4"/>
  <c r="CB385" i="4"/>
  <c r="CF375" i="4"/>
  <c r="CB375" i="4"/>
  <c r="CF339" i="4"/>
  <c r="CB339" i="4"/>
  <c r="CF384" i="4"/>
  <c r="CB384" i="4"/>
  <c r="CF346" i="4"/>
  <c r="CB346" i="4"/>
  <c r="CF220" i="4"/>
  <c r="CB220" i="4"/>
  <c r="CF171" i="4"/>
  <c r="CB171" i="4"/>
  <c r="CF340" i="4"/>
  <c r="CB340" i="4"/>
  <c r="CF175" i="4"/>
  <c r="CB175" i="4"/>
  <c r="CF151" i="4"/>
  <c r="CB151" i="4"/>
  <c r="CF117" i="4"/>
  <c r="CB117" i="4"/>
  <c r="CF129" i="4"/>
  <c r="CB129" i="4"/>
  <c r="CF162" i="4"/>
  <c r="CB162" i="4"/>
  <c r="CF119" i="4"/>
  <c r="CB119" i="4"/>
  <c r="CF185" i="4"/>
  <c r="CB185" i="4"/>
  <c r="CF206" i="4"/>
  <c r="CB206" i="4"/>
  <c r="CF367" i="4"/>
  <c r="CB367" i="4"/>
  <c r="CF389" i="4"/>
  <c r="CB389" i="4"/>
  <c r="CF342" i="4"/>
  <c r="CB342" i="4"/>
  <c r="CF192" i="4"/>
  <c r="CB192" i="4"/>
  <c r="CF411" i="4"/>
  <c r="CB411" i="4"/>
  <c r="CF433" i="4"/>
  <c r="CB433" i="4"/>
  <c r="CF138" i="4"/>
  <c r="CB138" i="4"/>
  <c r="CF218" i="4"/>
  <c r="CB218" i="4"/>
  <c r="CF362" i="4"/>
  <c r="CB362" i="4"/>
  <c r="CF164" i="4"/>
  <c r="CB164" i="4"/>
  <c r="CF160" i="4"/>
  <c r="CB160" i="4"/>
  <c r="CF219" i="4"/>
  <c r="CB219" i="4"/>
  <c r="CF428" i="4"/>
  <c r="CB428" i="4"/>
  <c r="CF415" i="4"/>
  <c r="CB415" i="4"/>
  <c r="CF142" i="4"/>
  <c r="CB142" i="4"/>
  <c r="CF361" i="4"/>
  <c r="CB361" i="4"/>
  <c r="CF382" i="4"/>
  <c r="CB382" i="4"/>
  <c r="CF159" i="4"/>
  <c r="CB159" i="4"/>
  <c r="CF182" i="4"/>
  <c r="CB182" i="4"/>
  <c r="CF333" i="4"/>
  <c r="CB333" i="4"/>
  <c r="CF130" i="4"/>
  <c r="CB130" i="4"/>
  <c r="CF358" i="4"/>
  <c r="CB358" i="4"/>
  <c r="CF148" i="4"/>
  <c r="CB148" i="4"/>
  <c r="CF436" i="4"/>
  <c r="CB436" i="4"/>
  <c r="CF170" i="4"/>
  <c r="CB170" i="4"/>
  <c r="CF348" i="4"/>
  <c r="CB348" i="4"/>
  <c r="CF438" i="4"/>
  <c r="CB438" i="4"/>
  <c r="CF120" i="4"/>
  <c r="CB120" i="4"/>
  <c r="CF209" i="4"/>
  <c r="CB209" i="4"/>
  <c r="CF412" i="4"/>
  <c r="CB412" i="4"/>
  <c r="CF407" i="4"/>
  <c r="CB407" i="4"/>
  <c r="CF169" i="4"/>
  <c r="CB169" i="4"/>
  <c r="CF147" i="4"/>
  <c r="CB147" i="4"/>
  <c r="CF133" i="4"/>
  <c r="CB133" i="4"/>
  <c r="CF115" i="4"/>
  <c r="CB115" i="4"/>
  <c r="CF334" i="4"/>
  <c r="CB334" i="4"/>
  <c r="CF208" i="4"/>
  <c r="CB208" i="4"/>
  <c r="CF114" i="4"/>
  <c r="CB114" i="4"/>
  <c r="CF440" i="4"/>
  <c r="CB440" i="4"/>
  <c r="CF359" i="4"/>
  <c r="CB359" i="4"/>
  <c r="CF418" i="4"/>
  <c r="CB418" i="4"/>
  <c r="CF416" i="4"/>
  <c r="CB416" i="4"/>
  <c r="CF360" i="4"/>
  <c r="CB360" i="4"/>
  <c r="CF373" i="4"/>
  <c r="CB373" i="4"/>
  <c r="CF396" i="4"/>
  <c r="CB396" i="4"/>
  <c r="CF370" i="4"/>
  <c r="CB370" i="4"/>
  <c r="CF137" i="4"/>
  <c r="CB137" i="4"/>
  <c r="CF381" i="4"/>
  <c r="CB381" i="4"/>
  <c r="CF174" i="4"/>
  <c r="CB174" i="4"/>
  <c r="CF371" i="4"/>
  <c r="CB371" i="4"/>
  <c r="CF155" i="4"/>
  <c r="CB155" i="4"/>
  <c r="CF383" i="4"/>
  <c r="CB383" i="4"/>
  <c r="CF335" i="4"/>
  <c r="CB335" i="4"/>
  <c r="CF118" i="4"/>
  <c r="CB118" i="4"/>
  <c r="CF408" i="4"/>
  <c r="CB408" i="4"/>
  <c r="CF199" i="4"/>
  <c r="CB199" i="4"/>
  <c r="CF374" i="4"/>
  <c r="CB374" i="4"/>
  <c r="CF423" i="4"/>
  <c r="CB423" i="4"/>
  <c r="CF194" i="4"/>
  <c r="CB194" i="4"/>
  <c r="CF165" i="4"/>
  <c r="CB165" i="4"/>
  <c r="CF404" i="4"/>
  <c r="CB404" i="4"/>
  <c r="CF357" i="4"/>
  <c r="CB357" i="4"/>
  <c r="CF402" i="4"/>
  <c r="CB402" i="4"/>
  <c r="CF183" i="4"/>
  <c r="CB183" i="4"/>
  <c r="CF422" i="4"/>
  <c r="CB422" i="4"/>
  <c r="CF437" i="4"/>
  <c r="CB437" i="4"/>
  <c r="CF386" i="4"/>
  <c r="CB386" i="4"/>
  <c r="CF196" i="4"/>
  <c r="CB196" i="4"/>
  <c r="CF152" i="4"/>
  <c r="CB152" i="4"/>
  <c r="CF216" i="4"/>
  <c r="CB216" i="4"/>
  <c r="CF351" i="4"/>
  <c r="CB351" i="4"/>
  <c r="CF191" i="4"/>
  <c r="CB191" i="4"/>
  <c r="CF193" i="4"/>
  <c r="CB193" i="4"/>
  <c r="CF379" i="4"/>
  <c r="CB379" i="4"/>
  <c r="CF356" i="4"/>
  <c r="CB356" i="4"/>
  <c r="CF128" i="4"/>
  <c r="CB128" i="4"/>
  <c r="CF139" i="4"/>
  <c r="CB139" i="4"/>
  <c r="CF150" i="4"/>
  <c r="CB150" i="4"/>
  <c r="CF215" i="4"/>
  <c r="CB215" i="4"/>
  <c r="CF403" i="4"/>
  <c r="CB403" i="4"/>
  <c r="CF172" i="4"/>
  <c r="CB172" i="4"/>
  <c r="CB31" i="4"/>
  <c r="CF31" i="4"/>
  <c r="CB42" i="4"/>
  <c r="CF42" i="4"/>
  <c r="CB40" i="4"/>
  <c r="CF40" i="4"/>
  <c r="CB33" i="4"/>
  <c r="CF33" i="4"/>
  <c r="CB100" i="4"/>
  <c r="CF100" i="4"/>
  <c r="CB75" i="4"/>
  <c r="CF75" i="4"/>
  <c r="CB36" i="4"/>
  <c r="CF36" i="4"/>
  <c r="CB103" i="4"/>
  <c r="CF103" i="4"/>
  <c r="CB77" i="4"/>
  <c r="CF77" i="4"/>
  <c r="CB43" i="4"/>
  <c r="CF43" i="4"/>
  <c r="CB63" i="4"/>
  <c r="CF63" i="4"/>
  <c r="CB107" i="4"/>
  <c r="CF107" i="4"/>
  <c r="CB45" i="4"/>
  <c r="CF45" i="4"/>
  <c r="CB38" i="4"/>
  <c r="CF38" i="4"/>
  <c r="CB64" i="4"/>
  <c r="CF64" i="4"/>
  <c r="CB110" i="4"/>
  <c r="CF110" i="4"/>
  <c r="CB95" i="4"/>
  <c r="CF95" i="4"/>
  <c r="CB66" i="4"/>
  <c r="CF66" i="4"/>
  <c r="CB52" i="4"/>
  <c r="CF52" i="4"/>
  <c r="CB29" i="4"/>
  <c r="CF29" i="4"/>
  <c r="CB67" i="4"/>
  <c r="CF67" i="4"/>
  <c r="CB98" i="4"/>
  <c r="CF98" i="4"/>
  <c r="CB84" i="4"/>
  <c r="CF84" i="4"/>
  <c r="CB87" i="4"/>
  <c r="CF87" i="4"/>
  <c r="CB51" i="4"/>
  <c r="CF51" i="4"/>
  <c r="CB56" i="4"/>
  <c r="CF56" i="4"/>
  <c r="CB82" i="4"/>
  <c r="CF82" i="4"/>
  <c r="CB105" i="4"/>
  <c r="CF105" i="4"/>
  <c r="CB96" i="4"/>
  <c r="CF96" i="4"/>
  <c r="CB53" i="4"/>
  <c r="CF53" i="4"/>
  <c r="CB25" i="4"/>
  <c r="CF25" i="4"/>
  <c r="CB89" i="4"/>
  <c r="CF89" i="4"/>
  <c r="CB48" i="4"/>
  <c r="CF48" i="4"/>
  <c r="CB104" i="4"/>
  <c r="CF104" i="4"/>
  <c r="CB85" i="4"/>
  <c r="CF85" i="4"/>
  <c r="CB62" i="4"/>
  <c r="CF62" i="4"/>
  <c r="CB55" i="4"/>
  <c r="CF55" i="4"/>
  <c r="CB88" i="4"/>
  <c r="CF88" i="4"/>
  <c r="CB65" i="4"/>
  <c r="CF65" i="4"/>
  <c r="CB70" i="4"/>
  <c r="CF70" i="4"/>
  <c r="CB60" i="4"/>
  <c r="CF60" i="4"/>
  <c r="CB108" i="4"/>
  <c r="CF108" i="4"/>
  <c r="CB94" i="4"/>
  <c r="CF94" i="4"/>
  <c r="CB61" i="4"/>
  <c r="CF61" i="4"/>
  <c r="CB32" i="4"/>
  <c r="CF32" i="4"/>
  <c r="CB44" i="4"/>
  <c r="CF44" i="4"/>
  <c r="CB54" i="4"/>
  <c r="CF54" i="4"/>
  <c r="CB76" i="4"/>
  <c r="CF76" i="4"/>
  <c r="CB93" i="4"/>
  <c r="CF93" i="4"/>
  <c r="CB92" i="4"/>
  <c r="CF92" i="4"/>
  <c r="CB26" i="4"/>
  <c r="CF26" i="4"/>
  <c r="CB50" i="4"/>
  <c r="CF50" i="4"/>
  <c r="CB99" i="4"/>
  <c r="CF99" i="4"/>
  <c r="CB73" i="4"/>
  <c r="CF73" i="4"/>
  <c r="CB83" i="4"/>
  <c r="CF83" i="4"/>
  <c r="CB34" i="4"/>
  <c r="CF34" i="4"/>
  <c r="CB86" i="4"/>
  <c r="CF86" i="4"/>
  <c r="CB109" i="4"/>
  <c r="CF109" i="4"/>
  <c r="CB74" i="4"/>
  <c r="CF74" i="4"/>
  <c r="CB78" i="4"/>
  <c r="CF78" i="4"/>
  <c r="CB30" i="4"/>
  <c r="CF30" i="4"/>
  <c r="CB27" i="4"/>
  <c r="CF27" i="4"/>
  <c r="CB72" i="4"/>
  <c r="CF72" i="4"/>
  <c r="CB106" i="4"/>
  <c r="CF106" i="4"/>
  <c r="CB97" i="4"/>
  <c r="CF97" i="4"/>
  <c r="CB111" i="4"/>
  <c r="CF111" i="4"/>
  <c r="CB41" i="4"/>
  <c r="CF41" i="4"/>
  <c r="A36" i="99"/>
  <c r="G95" i="75"/>
  <c r="N125" i="80"/>
  <c r="M125" i="80"/>
  <c r="K125" i="80"/>
  <c r="M63" i="80"/>
  <c r="L97" i="77"/>
  <c r="L120" i="78"/>
  <c r="M120" i="78"/>
  <c r="LL4346" i="4"/>
  <c r="FK4343" i="4"/>
  <c r="NR4343" i="4"/>
  <c r="HQ4343" i="4"/>
  <c r="T10" i="70"/>
  <c r="R10" i="70"/>
  <c r="FK4346" i="4"/>
  <c r="V10" i="70"/>
  <c r="FK4344" i="4"/>
  <c r="BK61" i="90"/>
  <c r="BK168" i="90" s="1"/>
  <c r="BK58" i="90"/>
  <c r="BK165" i="90" s="1"/>
  <c r="BK26" i="90"/>
  <c r="BK133" i="90" s="1"/>
  <c r="BK22" i="90"/>
  <c r="BK129" i="90" s="1"/>
  <c r="BK76" i="90"/>
  <c r="BK183" i="90" s="1"/>
  <c r="BK84" i="90"/>
  <c r="BK191" i="90" s="1"/>
  <c r="BK49" i="90"/>
  <c r="BK156" i="90" s="1"/>
  <c r="BK96" i="90"/>
  <c r="BK203" i="90" s="1"/>
  <c r="BK73" i="90"/>
  <c r="BK180" i="90" s="1"/>
  <c r="BK50" i="90"/>
  <c r="BK157" i="90" s="1"/>
  <c r="BK111" i="90"/>
  <c r="BK218" i="90" s="1"/>
  <c r="BK56" i="90"/>
  <c r="BK163" i="90" s="1"/>
  <c r="BK54" i="90"/>
  <c r="BK161" i="90" s="1"/>
  <c r="BK114" i="90"/>
  <c r="BK221" i="90" s="1"/>
  <c r="BK95" i="90"/>
  <c r="BK202" i="90" s="1"/>
  <c r="BK113" i="90"/>
  <c r="BK220" i="90" s="1"/>
  <c r="BK105" i="90"/>
  <c r="BK212" i="90" s="1"/>
  <c r="BK55" i="90"/>
  <c r="BK162" i="90" s="1"/>
  <c r="BK117" i="90"/>
  <c r="BK224" i="90" s="1"/>
  <c r="BK47" i="90"/>
  <c r="BK154" i="90" s="1"/>
  <c r="BK89" i="90"/>
  <c r="BK196" i="90" s="1"/>
  <c r="BK67" i="90"/>
  <c r="BK174" i="90" s="1"/>
  <c r="BK118" i="90"/>
  <c r="BK225" i="90" s="1"/>
  <c r="BK104" i="90"/>
  <c r="BK211" i="90" s="1"/>
  <c r="BK78" i="90"/>
  <c r="BK185" i="90" s="1"/>
  <c r="BK106" i="90"/>
  <c r="BK213" i="90" s="1"/>
  <c r="BK31" i="90"/>
  <c r="BK138" i="90" s="1"/>
  <c r="BK116" i="90"/>
  <c r="BK223" i="90" s="1"/>
  <c r="BK74" i="90"/>
  <c r="BK181" i="90" s="1"/>
  <c r="BK68" i="90"/>
  <c r="BK175" i="90" s="1"/>
  <c r="BK98" i="90"/>
  <c r="BK205" i="90" s="1"/>
  <c r="BK86" i="90"/>
  <c r="BK193" i="90" s="1"/>
  <c r="BK52" i="90"/>
  <c r="BK159" i="90" s="1"/>
  <c r="BK32" i="90"/>
  <c r="BK139" i="90" s="1"/>
  <c r="BK65" i="90"/>
  <c r="BK172" i="90" s="1"/>
  <c r="BK33" i="90"/>
  <c r="BK140" i="90" s="1"/>
  <c r="BK93" i="90"/>
  <c r="BK200" i="90" s="1"/>
  <c r="BK37" i="90"/>
  <c r="BK144" i="90" s="1"/>
  <c r="BK88" i="90"/>
  <c r="BK195" i="90" s="1"/>
  <c r="BK57" i="90"/>
  <c r="BK164" i="90" s="1"/>
  <c r="BK27" i="90"/>
  <c r="BK134" i="90" s="1"/>
  <c r="BK40" i="90"/>
  <c r="BK147" i="90" s="1"/>
  <c r="BK85" i="90"/>
  <c r="BK192" i="90" s="1"/>
  <c r="BK34" i="90"/>
  <c r="BK141" i="90" s="1"/>
  <c r="BK94" i="90"/>
  <c r="BK201" i="90" s="1"/>
  <c r="BK99" i="90"/>
  <c r="BK206" i="90" s="1"/>
  <c r="BK81" i="90"/>
  <c r="BK188" i="90" s="1"/>
  <c r="BK64" i="90"/>
  <c r="BK171" i="90" s="1"/>
  <c r="BK69" i="90"/>
  <c r="BK176" i="90" s="1"/>
  <c r="BK92" i="90"/>
  <c r="BK199" i="90" s="1"/>
  <c r="BK24" i="90"/>
  <c r="BK131" i="90" s="1"/>
  <c r="BK28" i="90"/>
  <c r="BK135" i="90" s="1"/>
  <c r="BK29" i="90"/>
  <c r="BK136" i="90" s="1"/>
  <c r="BK79" i="90"/>
  <c r="BK186" i="90" s="1"/>
  <c r="BK75" i="90"/>
  <c r="BK182" i="90" s="1"/>
  <c r="BK115" i="90"/>
  <c r="BK222" i="90" s="1"/>
  <c r="BK59" i="90"/>
  <c r="BK166" i="90" s="1"/>
  <c r="BK97" i="90"/>
  <c r="BK204" i="90" s="1"/>
  <c r="BK87" i="90"/>
  <c r="BK194" i="90" s="1"/>
  <c r="BK112" i="90"/>
  <c r="BK219" i="90" s="1"/>
  <c r="BK44" i="90"/>
  <c r="BK151" i="90" s="1"/>
  <c r="BK119" i="90"/>
  <c r="BK226" i="90" s="1"/>
  <c r="BK25" i="90"/>
  <c r="BK132" i="90" s="1"/>
  <c r="BK107" i="90"/>
  <c r="BK214" i="90" s="1"/>
  <c r="BK30" i="90"/>
  <c r="BK137" i="90" s="1"/>
  <c r="BK46" i="90"/>
  <c r="BK153" i="90" s="1"/>
  <c r="BK38" i="90"/>
  <c r="BK145" i="90" s="1"/>
  <c r="BK45" i="90"/>
  <c r="BK152" i="90" s="1"/>
  <c r="BK102" i="90"/>
  <c r="BK209" i="90" s="1"/>
  <c r="BK101" i="90"/>
  <c r="BK208" i="90" s="1"/>
  <c r="BK72" i="90"/>
  <c r="BK179" i="90" s="1"/>
  <c r="BK48" i="90"/>
  <c r="BK155" i="90" s="1"/>
  <c r="BK109" i="90"/>
  <c r="BK216" i="90" s="1"/>
  <c r="BK103" i="90"/>
  <c r="BK210" i="90" s="1"/>
  <c r="BK77" i="90"/>
  <c r="BK184" i="90" s="1"/>
  <c r="BK66" i="90"/>
  <c r="BK173" i="90" s="1"/>
  <c r="BK35" i="90"/>
  <c r="BK142" i="90" s="1"/>
  <c r="BK36" i="90"/>
  <c r="BK143" i="90" s="1"/>
  <c r="BK42" i="90"/>
  <c r="BK149" i="90" s="1"/>
  <c r="BK83" i="90"/>
  <c r="BK190" i="90" s="1"/>
  <c r="BK41" i="90"/>
  <c r="BK148" i="90" s="1"/>
  <c r="BK63" i="90"/>
  <c r="BK170" i="90" s="1"/>
  <c r="BK108" i="90"/>
  <c r="BK215" i="90" s="1"/>
  <c r="BK23" i="90"/>
  <c r="BK130" i="90" s="1"/>
  <c r="BK39" i="90"/>
  <c r="BK146" i="90" s="1"/>
  <c r="M52" i="80"/>
  <c r="N120" i="78"/>
  <c r="H60" i="74"/>
  <c r="K52" i="80"/>
  <c r="G41" i="75"/>
  <c r="K97" i="79"/>
  <c r="L97" i="79"/>
  <c r="IE4343" i="4"/>
  <c r="IC4343" i="4"/>
  <c r="ET25" i="90"/>
  <c r="ET131" i="90"/>
  <c r="K78" i="77"/>
  <c r="L63" i="80"/>
  <c r="L78" i="77"/>
  <c r="N117" i="80"/>
  <c r="M78" i="77"/>
  <c r="M125" i="77"/>
  <c r="C58" i="90"/>
  <c r="BL58" i="90"/>
  <c r="Z20" i="90"/>
  <c r="CI20" i="90"/>
  <c r="CI127" i="90" s="1"/>
  <c r="U86" i="90"/>
  <c r="CD86" i="90"/>
  <c r="U106" i="90"/>
  <c r="CD106" i="90"/>
  <c r="O78" i="90"/>
  <c r="BX78" i="90"/>
  <c r="Z54" i="90"/>
  <c r="CI54" i="90"/>
  <c r="CI161" i="90" s="1"/>
  <c r="H28" i="90"/>
  <c r="H135" i="90" s="1"/>
  <c r="BQ28" i="90"/>
  <c r="BQ135" i="90" s="1"/>
  <c r="Z72" i="90"/>
  <c r="CI72" i="90"/>
  <c r="CI179" i="90" s="1"/>
  <c r="U88" i="90"/>
  <c r="CD88" i="90"/>
  <c r="Z88" i="90"/>
  <c r="CI88" i="90"/>
  <c r="CI195" i="90" s="1"/>
  <c r="AA103" i="90"/>
  <c r="CJ103" i="90"/>
  <c r="Z57" i="90"/>
  <c r="CI57" i="90"/>
  <c r="CI164" i="90" s="1"/>
  <c r="T33" i="90"/>
  <c r="T140" i="90" s="1"/>
  <c r="CC33" i="90"/>
  <c r="CC140" i="90" s="1"/>
  <c r="I91" i="90"/>
  <c r="BR91" i="90"/>
  <c r="H103" i="90"/>
  <c r="H210" i="90" s="1"/>
  <c r="BQ103" i="90"/>
  <c r="BQ210" i="90" s="1"/>
  <c r="T38" i="90"/>
  <c r="EN133" i="90" s="1"/>
  <c r="CC38" i="90"/>
  <c r="CC145" i="90" s="1"/>
  <c r="T108" i="90"/>
  <c r="T215" i="90" s="1"/>
  <c r="CC108" i="90"/>
  <c r="CC215" i="90" s="1"/>
  <c r="Z53" i="90"/>
  <c r="CI53" i="90"/>
  <c r="CI160" i="90" s="1"/>
  <c r="N36" i="90"/>
  <c r="N143" i="90" s="1"/>
  <c r="BW36" i="90"/>
  <c r="BW143" i="90" s="1"/>
  <c r="G92" i="73"/>
  <c r="BR74" i="90"/>
  <c r="T39" i="90"/>
  <c r="T146" i="90" s="1"/>
  <c r="CC39" i="90"/>
  <c r="CC146" i="90" s="1"/>
  <c r="BX203" i="90"/>
  <c r="BX166" i="90"/>
  <c r="C116" i="90"/>
  <c r="BL116" i="90"/>
  <c r="C71" i="90"/>
  <c r="BL71" i="90"/>
  <c r="C112" i="90"/>
  <c r="BL112" i="90"/>
  <c r="C26" i="90"/>
  <c r="BL26" i="90"/>
  <c r="C84" i="90"/>
  <c r="BL84" i="90"/>
  <c r="BL175" i="90"/>
  <c r="T36" i="90"/>
  <c r="T143" i="90" s="1"/>
  <c r="CC36" i="90"/>
  <c r="CC143" i="90" s="1"/>
  <c r="T76" i="90"/>
  <c r="T183" i="90" s="1"/>
  <c r="CC76" i="90"/>
  <c r="CC183" i="90" s="1"/>
  <c r="O65" i="90"/>
  <c r="BX65" i="90"/>
  <c r="Z79" i="90"/>
  <c r="CI79" i="90"/>
  <c r="CI186" i="90" s="1"/>
  <c r="U33" i="90"/>
  <c r="CD33" i="90"/>
  <c r="N32" i="90"/>
  <c r="EH127" i="90" s="1"/>
  <c r="BW32" i="90"/>
  <c r="BW139" i="90" s="1"/>
  <c r="N108" i="90"/>
  <c r="EH203" i="90" s="1"/>
  <c r="BW108" i="90"/>
  <c r="BW215" i="90" s="1"/>
  <c r="O107" i="90"/>
  <c r="BX107" i="90"/>
  <c r="O71" i="90"/>
  <c r="BX71" i="90"/>
  <c r="U58" i="90"/>
  <c r="CD58" i="90"/>
  <c r="AA81" i="90"/>
  <c r="CJ81" i="90"/>
  <c r="AA63" i="90"/>
  <c r="CJ63" i="90"/>
  <c r="N73" i="90"/>
  <c r="N180" i="90" s="1"/>
  <c r="BW73" i="90"/>
  <c r="BW180" i="90" s="1"/>
  <c r="AA37" i="90"/>
  <c r="CJ37" i="90"/>
  <c r="AA47" i="90"/>
  <c r="CJ47" i="90"/>
  <c r="T113" i="90"/>
  <c r="T220" i="90" s="1"/>
  <c r="CC113" i="90"/>
  <c r="CC220" i="90" s="1"/>
  <c r="N65" i="90"/>
  <c r="N172" i="90" s="1"/>
  <c r="BW65" i="90"/>
  <c r="BW172" i="90" s="1"/>
  <c r="N35" i="90"/>
  <c r="N142" i="90" s="1"/>
  <c r="BW35" i="90"/>
  <c r="BW142" i="90" s="1"/>
  <c r="T117" i="90"/>
  <c r="EN212" i="90" s="1"/>
  <c r="CC117" i="90"/>
  <c r="CC224" i="90" s="1"/>
  <c r="I106" i="90"/>
  <c r="BR106" i="90"/>
  <c r="Z98" i="90"/>
  <c r="CI98" i="90"/>
  <c r="CI205" i="90" s="1"/>
  <c r="C50" i="90"/>
  <c r="BL50" i="90"/>
  <c r="I119" i="90"/>
  <c r="BR119" i="90"/>
  <c r="O105" i="90"/>
  <c r="BX105" i="90"/>
  <c r="N46" i="90"/>
  <c r="N153" i="90" s="1"/>
  <c r="BW46" i="90"/>
  <c r="BW153" i="90" s="1"/>
  <c r="AA42" i="90"/>
  <c r="CJ42" i="90"/>
  <c r="I34" i="90"/>
  <c r="BR34" i="90"/>
  <c r="AA29" i="90"/>
  <c r="CJ29" i="90"/>
  <c r="I68" i="90"/>
  <c r="BR68" i="90"/>
  <c r="Z59" i="90"/>
  <c r="CI59" i="90"/>
  <c r="CI166" i="90" s="1"/>
  <c r="AA91" i="90"/>
  <c r="CJ91" i="90"/>
  <c r="N99" i="90"/>
  <c r="N206" i="90" s="1"/>
  <c r="BW99" i="90"/>
  <c r="BW206" i="90" s="1"/>
  <c r="I62" i="90"/>
  <c r="BR62" i="90"/>
  <c r="N61" i="90"/>
  <c r="N168" i="90" s="1"/>
  <c r="BW61" i="90"/>
  <c r="BW168" i="90" s="1"/>
  <c r="H97" i="90"/>
  <c r="EB192" i="90" s="1"/>
  <c r="BQ97" i="90"/>
  <c r="BQ204" i="90" s="1"/>
  <c r="T82" i="90"/>
  <c r="T189" i="90" s="1"/>
  <c r="CC82" i="90"/>
  <c r="CC189" i="90" s="1"/>
  <c r="H115" i="90"/>
  <c r="H222" i="90" s="1"/>
  <c r="BQ115" i="90"/>
  <c r="BQ222" i="90" s="1"/>
  <c r="AA24" i="90"/>
  <c r="CJ24" i="90"/>
  <c r="H78" i="90"/>
  <c r="EB173" i="90" s="1"/>
  <c r="BQ78" i="90"/>
  <c r="BQ185" i="90" s="1"/>
  <c r="Z28" i="90"/>
  <c r="CI28" i="90"/>
  <c r="CI135" i="90" s="1"/>
  <c r="N75" i="90"/>
  <c r="N182" i="90" s="1"/>
  <c r="BW75" i="90"/>
  <c r="BW182" i="90" s="1"/>
  <c r="O87" i="90"/>
  <c r="BX87" i="90"/>
  <c r="Z74" i="90"/>
  <c r="CI74" i="90"/>
  <c r="CI181" i="90" s="1"/>
  <c r="U95" i="90"/>
  <c r="CD95" i="90"/>
  <c r="I32" i="90"/>
  <c r="BR32" i="90"/>
  <c r="I23" i="90"/>
  <c r="BR23" i="90"/>
  <c r="N86" i="90"/>
  <c r="EH181" i="90" s="1"/>
  <c r="BW86" i="90"/>
  <c r="BW193" i="90" s="1"/>
  <c r="I33" i="90"/>
  <c r="BR33" i="90"/>
  <c r="T109" i="90"/>
  <c r="T216" i="90" s="1"/>
  <c r="CC109" i="90"/>
  <c r="CC216" i="90" s="1"/>
  <c r="Z118" i="90"/>
  <c r="CI118" i="90"/>
  <c r="CI225" i="90" s="1"/>
  <c r="Z96" i="90"/>
  <c r="CI96" i="90"/>
  <c r="CI203" i="90" s="1"/>
  <c r="AA23" i="90"/>
  <c r="CJ23" i="90"/>
  <c r="N39" i="90"/>
  <c r="N146" i="90" s="1"/>
  <c r="BW39" i="90"/>
  <c r="BW146" i="90" s="1"/>
  <c r="U118" i="90"/>
  <c r="CD118" i="90"/>
  <c r="H23" i="90"/>
  <c r="EB118" i="90" s="1"/>
  <c r="BQ23" i="90"/>
  <c r="BQ130" i="90" s="1"/>
  <c r="H102" i="90"/>
  <c r="H209" i="90" s="1"/>
  <c r="BQ102" i="90"/>
  <c r="BQ209" i="90" s="1"/>
  <c r="T74" i="90"/>
  <c r="T181" i="90" s="1"/>
  <c r="CC74" i="90"/>
  <c r="CC181" i="90" s="1"/>
  <c r="N24" i="90"/>
  <c r="EH119" i="90" s="1"/>
  <c r="BW24" i="90"/>
  <c r="BW131" i="90" s="1"/>
  <c r="AA116" i="90"/>
  <c r="CJ116" i="90"/>
  <c r="H89" i="90"/>
  <c r="H196" i="90" s="1"/>
  <c r="BQ89" i="90"/>
  <c r="BQ196" i="90" s="1"/>
  <c r="N28" i="90"/>
  <c r="N135" i="90" s="1"/>
  <c r="BW28" i="90"/>
  <c r="BW135" i="90" s="1"/>
  <c r="N67" i="90"/>
  <c r="EH162" i="90" s="1"/>
  <c r="BW67" i="90"/>
  <c r="BW174" i="90" s="1"/>
  <c r="AA51" i="90"/>
  <c r="CJ51" i="90"/>
  <c r="H66" i="90"/>
  <c r="H173" i="90" s="1"/>
  <c r="BQ66" i="90"/>
  <c r="BQ173" i="90" s="1"/>
  <c r="AA85" i="90"/>
  <c r="CJ85" i="90"/>
  <c r="H112" i="90"/>
  <c r="EB207" i="90" s="1"/>
  <c r="BQ112" i="90"/>
  <c r="BQ219" i="90" s="1"/>
  <c r="O91" i="90"/>
  <c r="BX91" i="90"/>
  <c r="N74" i="90"/>
  <c r="N181" i="90" s="1"/>
  <c r="BW74" i="90"/>
  <c r="BW181" i="90" s="1"/>
  <c r="C40" i="90"/>
  <c r="BL40" i="90"/>
  <c r="N22" i="90"/>
  <c r="EH117" i="90" s="1"/>
  <c r="BW22" i="90"/>
  <c r="BW129" i="90" s="1"/>
  <c r="I61" i="90"/>
  <c r="BR61" i="90"/>
  <c r="H48" i="90"/>
  <c r="H155" i="90" s="1"/>
  <c r="BQ48" i="90"/>
  <c r="BQ155" i="90" s="1"/>
  <c r="U66" i="90"/>
  <c r="CD66" i="90"/>
  <c r="I99" i="90"/>
  <c r="BR99" i="90"/>
  <c r="T99" i="90"/>
  <c r="EN194" i="90" s="1"/>
  <c r="CC99" i="90"/>
  <c r="CC206" i="90" s="1"/>
  <c r="H81" i="90"/>
  <c r="H188" i="90" s="1"/>
  <c r="BQ81" i="90"/>
  <c r="BQ188" i="90" s="1"/>
  <c r="O118" i="90"/>
  <c r="BX118" i="90"/>
  <c r="T48" i="90"/>
  <c r="EN143" i="90" s="1"/>
  <c r="CC48" i="90"/>
  <c r="CC155" i="90" s="1"/>
  <c r="AA38" i="90"/>
  <c r="CJ38" i="90"/>
  <c r="Z34" i="90"/>
  <c r="CI34" i="90"/>
  <c r="CI141" i="90" s="1"/>
  <c r="U82" i="90"/>
  <c r="CD82" i="90"/>
  <c r="H38" i="90"/>
  <c r="EB133" i="90" s="1"/>
  <c r="BQ38" i="90"/>
  <c r="BQ145" i="90" s="1"/>
  <c r="BX149" i="90"/>
  <c r="AA28" i="90"/>
  <c r="CJ28" i="90"/>
  <c r="T31" i="90"/>
  <c r="EN126" i="90" s="1"/>
  <c r="CC31" i="90"/>
  <c r="CC138" i="90" s="1"/>
  <c r="O45" i="90"/>
  <c r="BX45" i="90"/>
  <c r="CD220" i="90"/>
  <c r="Z85" i="90"/>
  <c r="CI85" i="90"/>
  <c r="CI192" i="90" s="1"/>
  <c r="BX183" i="90"/>
  <c r="N20" i="90"/>
  <c r="EH115" i="90" s="1"/>
  <c r="BW20" i="90"/>
  <c r="BW127" i="90" s="1"/>
  <c r="N34" i="90"/>
  <c r="N141" i="90" s="1"/>
  <c r="BW34" i="90"/>
  <c r="BW141" i="90" s="1"/>
  <c r="N21" i="90"/>
  <c r="EH116" i="90" s="1"/>
  <c r="BW21" i="90"/>
  <c r="BW128" i="90" s="1"/>
  <c r="U43" i="90"/>
  <c r="CD43" i="90"/>
  <c r="T42" i="90"/>
  <c r="T149" i="90" s="1"/>
  <c r="CC42" i="90"/>
  <c r="CC149" i="90" s="1"/>
  <c r="O25" i="90"/>
  <c r="BX25" i="90"/>
  <c r="AA86" i="90"/>
  <c r="CJ86" i="90"/>
  <c r="O67" i="90"/>
  <c r="BX67" i="90"/>
  <c r="I82" i="90"/>
  <c r="BR82" i="90"/>
  <c r="H46" i="90"/>
  <c r="H153" i="90" s="1"/>
  <c r="BQ46" i="90"/>
  <c r="BQ153" i="90" s="1"/>
  <c r="O94" i="90"/>
  <c r="BX94" i="90"/>
  <c r="U57" i="90"/>
  <c r="CD57" i="90"/>
  <c r="N63" i="90"/>
  <c r="N170" i="90" s="1"/>
  <c r="BW63" i="90"/>
  <c r="BW170" i="90" s="1"/>
  <c r="H111" i="90"/>
  <c r="H218" i="90" s="1"/>
  <c r="BQ111" i="90"/>
  <c r="BQ218" i="90" s="1"/>
  <c r="I22" i="90"/>
  <c r="BR22" i="90"/>
  <c r="O54" i="90"/>
  <c r="BX54" i="90"/>
  <c r="H98" i="90"/>
  <c r="H205" i="90" s="1"/>
  <c r="BQ98" i="90"/>
  <c r="BQ205" i="90" s="1"/>
  <c r="Z52" i="90"/>
  <c r="CI52" i="90"/>
  <c r="CI159" i="90" s="1"/>
  <c r="N104" i="90"/>
  <c r="EH199" i="90" s="1"/>
  <c r="BW104" i="90"/>
  <c r="BW211" i="90" s="1"/>
  <c r="AA94" i="90"/>
  <c r="CJ94" i="90"/>
  <c r="N115" i="90"/>
  <c r="N222" i="90" s="1"/>
  <c r="BW115" i="90"/>
  <c r="BW222" i="90" s="1"/>
  <c r="N49" i="90"/>
  <c r="N156" i="90" s="1"/>
  <c r="BW49" i="90"/>
  <c r="BW156" i="90" s="1"/>
  <c r="H32" i="90"/>
  <c r="EB127" i="90" s="1"/>
  <c r="BQ32" i="90"/>
  <c r="BQ139" i="90" s="1"/>
  <c r="O85" i="90"/>
  <c r="BX85" i="90"/>
  <c r="T23" i="90"/>
  <c r="T130" i="90" s="1"/>
  <c r="CC23" i="90"/>
  <c r="CC130" i="90" s="1"/>
  <c r="U35" i="90"/>
  <c r="CD35" i="90"/>
  <c r="U79" i="90"/>
  <c r="CD79" i="90"/>
  <c r="AA58" i="90"/>
  <c r="CJ58" i="90"/>
  <c r="N82" i="90"/>
  <c r="N189" i="90" s="1"/>
  <c r="BW82" i="90"/>
  <c r="BW189" i="90" s="1"/>
  <c r="N116" i="90"/>
  <c r="N223" i="90" s="1"/>
  <c r="BW116" i="90"/>
  <c r="BW223" i="90" s="1"/>
  <c r="H75" i="90"/>
  <c r="EB170" i="90" s="1"/>
  <c r="BQ75" i="90"/>
  <c r="BQ182" i="90" s="1"/>
  <c r="Z23" i="90"/>
  <c r="CI23" i="90"/>
  <c r="CI130" i="90" s="1"/>
  <c r="H37" i="90"/>
  <c r="H144" i="90" s="1"/>
  <c r="BQ37" i="90"/>
  <c r="BQ144" i="90" s="1"/>
  <c r="C76" i="90"/>
  <c r="BL76" i="90"/>
  <c r="C34" i="90"/>
  <c r="BL34" i="90"/>
  <c r="C93" i="90"/>
  <c r="BL93" i="90"/>
  <c r="BK21" i="90"/>
  <c r="C42" i="90"/>
  <c r="BL42" i="90"/>
  <c r="C91" i="90"/>
  <c r="BL91" i="90"/>
  <c r="C108" i="90"/>
  <c r="BL108" i="90"/>
  <c r="C102" i="90"/>
  <c r="BL102" i="90"/>
  <c r="C118" i="90"/>
  <c r="BL118" i="90"/>
  <c r="C69" i="90"/>
  <c r="BL69" i="90"/>
  <c r="C36" i="90"/>
  <c r="BL36" i="90"/>
  <c r="C85" i="90"/>
  <c r="BL85" i="90"/>
  <c r="BL173" i="90"/>
  <c r="BL226" i="90"/>
  <c r="BL166" i="90"/>
  <c r="BL203" i="90"/>
  <c r="H106" i="90"/>
  <c r="H213" i="90" s="1"/>
  <c r="BQ106" i="90"/>
  <c r="BQ213" i="90" s="1"/>
  <c r="AA54" i="90"/>
  <c r="CJ54" i="90"/>
  <c r="U103" i="90"/>
  <c r="CD103" i="90"/>
  <c r="H87" i="90"/>
  <c r="EB182" i="90" s="1"/>
  <c r="BQ87" i="90"/>
  <c r="BQ194" i="90" s="1"/>
  <c r="O53" i="90"/>
  <c r="BX53" i="90"/>
  <c r="I81" i="90"/>
  <c r="BR81" i="90"/>
  <c r="U89" i="90"/>
  <c r="CD89" i="90"/>
  <c r="T47" i="90"/>
  <c r="EN142" i="90" s="1"/>
  <c r="CC47" i="90"/>
  <c r="CC154" i="90" s="1"/>
  <c r="AA26" i="90"/>
  <c r="CJ26" i="90"/>
  <c r="H67" i="90"/>
  <c r="H174" i="90" s="1"/>
  <c r="BQ67" i="90"/>
  <c r="BQ174" i="90" s="1"/>
  <c r="I67" i="90"/>
  <c r="BR67" i="90"/>
  <c r="I86" i="90"/>
  <c r="BR86" i="90"/>
  <c r="I44" i="90"/>
  <c r="BR44" i="90"/>
  <c r="T105" i="90"/>
  <c r="T212" i="90" s="1"/>
  <c r="CC105" i="90"/>
  <c r="CC212" i="90" s="1"/>
  <c r="AA34" i="90"/>
  <c r="CJ34" i="90"/>
  <c r="O81" i="90"/>
  <c r="BX81" i="90"/>
  <c r="U97" i="90"/>
  <c r="CD97" i="90"/>
  <c r="N87" i="90"/>
  <c r="N194" i="90" s="1"/>
  <c r="BW87" i="90"/>
  <c r="BW194" i="90" s="1"/>
  <c r="Z83" i="90"/>
  <c r="CI83" i="90"/>
  <c r="CI190" i="90" s="1"/>
  <c r="AA118" i="90"/>
  <c r="CJ118" i="90"/>
  <c r="N55" i="90"/>
  <c r="N162" i="90" s="1"/>
  <c r="BW55" i="90"/>
  <c r="BW162" i="90" s="1"/>
  <c r="H118" i="90"/>
  <c r="H225" i="90" s="1"/>
  <c r="BQ118" i="90"/>
  <c r="BQ225" i="90" s="1"/>
  <c r="I89" i="90"/>
  <c r="BR89" i="90"/>
  <c r="AA108" i="90"/>
  <c r="CJ108" i="90"/>
  <c r="AA84" i="90"/>
  <c r="CJ84" i="90"/>
  <c r="I29" i="90"/>
  <c r="BR29" i="90"/>
  <c r="AA69" i="90"/>
  <c r="CJ69" i="90"/>
  <c r="H73" i="90"/>
  <c r="EB168" i="90" s="1"/>
  <c r="BQ73" i="90"/>
  <c r="BQ180" i="90" s="1"/>
  <c r="T27" i="90"/>
  <c r="T134" i="90" s="1"/>
  <c r="CC27" i="90"/>
  <c r="CC134" i="90" s="1"/>
  <c r="H77" i="90"/>
  <c r="H184" i="90" s="1"/>
  <c r="BQ77" i="90"/>
  <c r="BQ184" i="90" s="1"/>
  <c r="H55" i="90"/>
  <c r="H162" i="90" s="1"/>
  <c r="BQ55" i="90"/>
  <c r="BQ162" i="90" s="1"/>
  <c r="T77" i="90"/>
  <c r="EN172" i="90" s="1"/>
  <c r="CC77" i="90"/>
  <c r="CC184" i="90" s="1"/>
  <c r="U74" i="90"/>
  <c r="CD74" i="90"/>
  <c r="Z81" i="90"/>
  <c r="CI81" i="90"/>
  <c r="CI188" i="90" s="1"/>
  <c r="AA107" i="90"/>
  <c r="CJ107" i="90"/>
  <c r="AA65" i="90"/>
  <c r="CJ65" i="90"/>
  <c r="T103" i="90"/>
  <c r="T210" i="90" s="1"/>
  <c r="CC103" i="90"/>
  <c r="CC210" i="90" s="1"/>
  <c r="U114" i="90"/>
  <c r="CD114" i="90"/>
  <c r="H49" i="90"/>
  <c r="H156" i="90" s="1"/>
  <c r="BQ49" i="90"/>
  <c r="BQ156" i="90" s="1"/>
  <c r="O84" i="90"/>
  <c r="BX84" i="90"/>
  <c r="U29" i="90"/>
  <c r="CD29" i="90"/>
  <c r="H41" i="90"/>
  <c r="H148" i="90" s="1"/>
  <c r="BQ41" i="90"/>
  <c r="BQ148" i="90" s="1"/>
  <c r="T86" i="90"/>
  <c r="T193" i="90" s="1"/>
  <c r="CC86" i="90"/>
  <c r="CC193" i="90" s="1"/>
  <c r="Z89" i="90"/>
  <c r="CI89" i="90"/>
  <c r="CI196" i="90" s="1"/>
  <c r="AA98" i="90"/>
  <c r="CJ98" i="90"/>
  <c r="H119" i="90"/>
  <c r="H226" i="90" s="1"/>
  <c r="BQ119" i="90"/>
  <c r="BQ226" i="90" s="1"/>
  <c r="Z39" i="90"/>
  <c r="CI39" i="90"/>
  <c r="CI146" i="90" s="1"/>
  <c r="O37" i="90"/>
  <c r="BX37" i="90"/>
  <c r="H31" i="90"/>
  <c r="H138" i="90" s="1"/>
  <c r="BQ31" i="90"/>
  <c r="BQ138" i="90" s="1"/>
  <c r="H85" i="90"/>
  <c r="H192" i="90" s="1"/>
  <c r="BQ85" i="90"/>
  <c r="BQ192" i="90" s="1"/>
  <c r="O109" i="90"/>
  <c r="BX109" i="90"/>
  <c r="Z64" i="90"/>
  <c r="CI64" i="90"/>
  <c r="CI171" i="90" s="1"/>
  <c r="U65" i="90"/>
  <c r="CD65" i="90"/>
  <c r="N88" i="90"/>
  <c r="N195" i="90" s="1"/>
  <c r="BW88" i="90"/>
  <c r="BW195" i="90" s="1"/>
  <c r="N94" i="90"/>
  <c r="N201" i="90" s="1"/>
  <c r="BW94" i="90"/>
  <c r="BW201" i="90" s="1"/>
  <c r="I64" i="90"/>
  <c r="BR64" i="90"/>
  <c r="O35" i="90"/>
  <c r="BX35" i="90"/>
  <c r="H79" i="90"/>
  <c r="H186" i="90" s="1"/>
  <c r="BQ79" i="90"/>
  <c r="BQ186" i="90" s="1"/>
  <c r="Z62" i="90"/>
  <c r="CI62" i="90"/>
  <c r="CI169" i="90" s="1"/>
  <c r="U112" i="90"/>
  <c r="CD112" i="90"/>
  <c r="T93" i="90"/>
  <c r="T200" i="90" s="1"/>
  <c r="CC93" i="90"/>
  <c r="CC200" i="90" s="1"/>
  <c r="AA20" i="90"/>
  <c r="CJ20" i="90"/>
  <c r="Z91" i="90"/>
  <c r="CI91" i="90"/>
  <c r="CI198" i="90" s="1"/>
  <c r="O38" i="90"/>
  <c r="BX38" i="90"/>
  <c r="T81" i="90"/>
  <c r="T188" i="90" s="1"/>
  <c r="CC81" i="90"/>
  <c r="CC188" i="90" s="1"/>
  <c r="N69" i="90"/>
  <c r="N176" i="90" s="1"/>
  <c r="BW69" i="90"/>
  <c r="BW176" i="90" s="1"/>
  <c r="U31" i="90"/>
  <c r="CD31" i="90"/>
  <c r="T61" i="90"/>
  <c r="EN156" i="90" s="1"/>
  <c r="CC61" i="90"/>
  <c r="CC168" i="90" s="1"/>
  <c r="I114" i="90"/>
  <c r="BR114" i="90"/>
  <c r="U64" i="90"/>
  <c r="CD64" i="90"/>
  <c r="U53" i="90"/>
  <c r="CD53" i="90"/>
  <c r="AA43" i="90"/>
  <c r="CJ43" i="90"/>
  <c r="Z103" i="90"/>
  <c r="CI103" i="90"/>
  <c r="CI210" i="90" s="1"/>
  <c r="Z111" i="90"/>
  <c r="CI111" i="90"/>
  <c r="CI218" i="90" s="1"/>
  <c r="O75" i="90"/>
  <c r="BX75" i="90"/>
  <c r="O69" i="90"/>
  <c r="BX69" i="90"/>
  <c r="Z27" i="90"/>
  <c r="CI27" i="90"/>
  <c r="CI134" i="90" s="1"/>
  <c r="U63" i="90"/>
  <c r="CD63" i="90"/>
  <c r="N119" i="90"/>
  <c r="N226" i="90" s="1"/>
  <c r="BW119" i="90"/>
  <c r="BW226" i="90" s="1"/>
  <c r="AA41" i="90"/>
  <c r="CJ41" i="90"/>
  <c r="O93" i="90"/>
  <c r="BX93" i="90"/>
  <c r="T68" i="90"/>
  <c r="T175" i="90" s="1"/>
  <c r="CC68" i="90"/>
  <c r="CC175" i="90" s="1"/>
  <c r="T59" i="90"/>
  <c r="T166" i="90" s="1"/>
  <c r="CC59" i="90"/>
  <c r="CC166" i="90" s="1"/>
  <c r="O48" i="90"/>
  <c r="BX48" i="90"/>
  <c r="Z95" i="90"/>
  <c r="CI95" i="90"/>
  <c r="CI202" i="90" s="1"/>
  <c r="H53" i="90"/>
  <c r="H160" i="90" s="1"/>
  <c r="BQ53" i="90"/>
  <c r="BQ160" i="90" s="1"/>
  <c r="I66" i="90"/>
  <c r="BR66" i="90"/>
  <c r="BR219" i="90"/>
  <c r="CD224" i="90"/>
  <c r="CD153" i="90"/>
  <c r="CJ211" i="90"/>
  <c r="BR225" i="90"/>
  <c r="G72" i="73"/>
  <c r="BR56" i="90"/>
  <c r="H101" i="90"/>
  <c r="EB196" i="90" s="1"/>
  <c r="BQ101" i="90"/>
  <c r="BQ208" i="90" s="1"/>
  <c r="CD151" i="90"/>
  <c r="Z105" i="90"/>
  <c r="CI105" i="90"/>
  <c r="CI212" i="90" s="1"/>
  <c r="H82" i="90"/>
  <c r="EB177" i="90" s="1"/>
  <c r="BQ82" i="90"/>
  <c r="BQ189" i="90" s="1"/>
  <c r="C65" i="90"/>
  <c r="BL65" i="90"/>
  <c r="Z99" i="90"/>
  <c r="CI99" i="90"/>
  <c r="CI206" i="90" s="1"/>
  <c r="Z106" i="90"/>
  <c r="CI106" i="90"/>
  <c r="CI213" i="90" s="1"/>
  <c r="I58" i="90"/>
  <c r="BR58" i="90"/>
  <c r="Z43" i="90"/>
  <c r="CI43" i="90"/>
  <c r="CI150" i="90" s="1"/>
  <c r="U119" i="90"/>
  <c r="CD119" i="90"/>
  <c r="T56" i="90"/>
  <c r="T163" i="90" s="1"/>
  <c r="CC56" i="90"/>
  <c r="CC163" i="90" s="1"/>
  <c r="AA99" i="90"/>
  <c r="CJ99" i="90"/>
  <c r="AA66" i="90"/>
  <c r="CJ66" i="90"/>
  <c r="T28" i="90"/>
  <c r="T135" i="90" s="1"/>
  <c r="CC28" i="90"/>
  <c r="CC135" i="90" s="1"/>
  <c r="H64" i="90"/>
  <c r="H171" i="90" s="1"/>
  <c r="BQ64" i="90"/>
  <c r="BQ171" i="90" s="1"/>
  <c r="U96" i="90"/>
  <c r="CD96" i="90"/>
  <c r="N26" i="90"/>
  <c r="N133" i="90" s="1"/>
  <c r="BW26" i="90"/>
  <c r="BW133" i="90" s="1"/>
  <c r="I84" i="90"/>
  <c r="BR84" i="90"/>
  <c r="T73" i="90"/>
  <c r="T180" i="90" s="1"/>
  <c r="CC73" i="90"/>
  <c r="CC180" i="90" s="1"/>
  <c r="AA44" i="90"/>
  <c r="CJ44" i="90"/>
  <c r="O112" i="90"/>
  <c r="BX112" i="90"/>
  <c r="I42" i="90"/>
  <c r="BR42" i="90"/>
  <c r="H61" i="90"/>
  <c r="H168" i="90" s="1"/>
  <c r="BQ61" i="90"/>
  <c r="BQ168" i="90" s="1"/>
  <c r="U49" i="90"/>
  <c r="CD49" i="90"/>
  <c r="Z38" i="90"/>
  <c r="CI38" i="90"/>
  <c r="CI145" i="90" s="1"/>
  <c r="AA105" i="90"/>
  <c r="CJ105" i="90"/>
  <c r="H45" i="90"/>
  <c r="H152" i="90" s="1"/>
  <c r="BQ45" i="90"/>
  <c r="BQ152" i="90" s="1"/>
  <c r="N27" i="90"/>
  <c r="EH122" i="90" s="1"/>
  <c r="BW27" i="90"/>
  <c r="BW134" i="90" s="1"/>
  <c r="C52" i="90"/>
  <c r="BL52" i="90"/>
  <c r="C33" i="90"/>
  <c r="BL33" i="90"/>
  <c r="C106" i="90"/>
  <c r="BL106" i="90"/>
  <c r="C23" i="90"/>
  <c r="BL23" i="90"/>
  <c r="C95" i="90"/>
  <c r="BL95" i="90"/>
  <c r="C104" i="90"/>
  <c r="BL104" i="90"/>
  <c r="C51" i="90"/>
  <c r="BL51" i="90"/>
  <c r="C56" i="90"/>
  <c r="BL56" i="90"/>
  <c r="C113" i="90"/>
  <c r="BL113" i="90"/>
  <c r="C63" i="90"/>
  <c r="BL63" i="90"/>
  <c r="BL180" i="90"/>
  <c r="Z77" i="90"/>
  <c r="CI77" i="90"/>
  <c r="CI184" i="90" s="1"/>
  <c r="AA27" i="90"/>
  <c r="CJ27" i="90"/>
  <c r="AA115" i="90"/>
  <c r="CJ115" i="90"/>
  <c r="H39" i="90"/>
  <c r="H146" i="90" s="1"/>
  <c r="BQ39" i="90"/>
  <c r="BQ146" i="90" s="1"/>
  <c r="N105" i="90"/>
  <c r="EH200" i="90" s="1"/>
  <c r="BW105" i="90"/>
  <c r="BW212" i="90" s="1"/>
  <c r="AA68" i="90"/>
  <c r="CJ68" i="90"/>
  <c r="Z37" i="90"/>
  <c r="CI37" i="90"/>
  <c r="CI144" i="90" s="1"/>
  <c r="O74" i="90"/>
  <c r="BX74" i="90"/>
  <c r="I108" i="90"/>
  <c r="BR108" i="90"/>
  <c r="N111" i="90"/>
  <c r="EH206" i="90" s="1"/>
  <c r="BW111" i="90"/>
  <c r="BW218" i="90" s="1"/>
  <c r="AA64" i="90"/>
  <c r="CJ64" i="90"/>
  <c r="N64" i="90"/>
  <c r="N171" i="90" s="1"/>
  <c r="BW64" i="90"/>
  <c r="BW171" i="90" s="1"/>
  <c r="H117" i="90"/>
  <c r="EB212" i="90" s="1"/>
  <c r="BQ117" i="90"/>
  <c r="BQ224" i="90" s="1"/>
  <c r="T107" i="90"/>
  <c r="EN202" i="90" s="1"/>
  <c r="CC107" i="90"/>
  <c r="CC214" i="90" s="1"/>
  <c r="T95" i="90"/>
  <c r="T202" i="90" s="1"/>
  <c r="CC95" i="90"/>
  <c r="CC202" i="90" s="1"/>
  <c r="I73" i="90"/>
  <c r="BR73" i="90"/>
  <c r="O103" i="90"/>
  <c r="BX103" i="90"/>
  <c r="H47" i="90"/>
  <c r="EB142" i="90" s="1"/>
  <c r="BQ47" i="90"/>
  <c r="BQ154" i="90" s="1"/>
  <c r="Z75" i="90"/>
  <c r="CI75" i="90"/>
  <c r="CI182" i="90" s="1"/>
  <c r="Z51" i="90"/>
  <c r="CI51" i="90"/>
  <c r="CI158" i="90" s="1"/>
  <c r="O34" i="90"/>
  <c r="BX34" i="90"/>
  <c r="I25" i="90"/>
  <c r="BR25" i="90"/>
  <c r="T46" i="90"/>
  <c r="T153" i="90" s="1"/>
  <c r="CC46" i="90"/>
  <c r="CC153" i="90" s="1"/>
  <c r="N96" i="90"/>
  <c r="N203" i="90" s="1"/>
  <c r="BW96" i="90"/>
  <c r="BW203" i="90" s="1"/>
  <c r="I21" i="90"/>
  <c r="BR21" i="90"/>
  <c r="O79" i="90"/>
  <c r="BX79" i="90"/>
  <c r="Z94" i="90"/>
  <c r="CI94" i="90"/>
  <c r="CI201" i="90" s="1"/>
  <c r="I93" i="90"/>
  <c r="BR93" i="90"/>
  <c r="H24" i="90"/>
  <c r="H131" i="90" s="1"/>
  <c r="BQ24" i="90"/>
  <c r="BQ131" i="90" s="1"/>
  <c r="Z87" i="90"/>
  <c r="CI87" i="90"/>
  <c r="CI194" i="90" s="1"/>
  <c r="U20" i="90"/>
  <c r="CD20" i="90"/>
  <c r="N56" i="90"/>
  <c r="N163" i="90" s="1"/>
  <c r="BW56" i="90"/>
  <c r="BW163" i="90" s="1"/>
  <c r="I38" i="90"/>
  <c r="BR38" i="90"/>
  <c r="O106" i="90"/>
  <c r="BX106" i="90"/>
  <c r="Z67" i="90"/>
  <c r="CI67" i="90"/>
  <c r="CI174" i="90" s="1"/>
  <c r="O114" i="90"/>
  <c r="BX114" i="90"/>
  <c r="U48" i="90"/>
  <c r="CD48" i="90"/>
  <c r="O23" i="90"/>
  <c r="BX23" i="90"/>
  <c r="H35" i="90"/>
  <c r="H142" i="90" s="1"/>
  <c r="BQ35" i="90"/>
  <c r="BQ142" i="90" s="1"/>
  <c r="Z102" i="90"/>
  <c r="CI102" i="90"/>
  <c r="CI209" i="90" s="1"/>
  <c r="I115" i="90"/>
  <c r="BR115" i="90"/>
  <c r="U26" i="90"/>
  <c r="CD26" i="90"/>
  <c r="H65" i="90"/>
  <c r="H172" i="90" s="1"/>
  <c r="BQ65" i="90"/>
  <c r="BQ172" i="90" s="1"/>
  <c r="AA117" i="90"/>
  <c r="CJ117" i="90"/>
  <c r="H26" i="90"/>
  <c r="EB121" i="90" s="1"/>
  <c r="BQ26" i="90"/>
  <c r="BQ133" i="90" s="1"/>
  <c r="H86" i="90"/>
  <c r="EB181" i="90" s="1"/>
  <c r="BQ86" i="90"/>
  <c r="BQ193" i="90" s="1"/>
  <c r="AA96" i="90"/>
  <c r="CJ96" i="90"/>
  <c r="Z68" i="90"/>
  <c r="CI68" i="90"/>
  <c r="CI175" i="90" s="1"/>
  <c r="I105" i="90"/>
  <c r="BR105" i="90"/>
  <c r="I117" i="90"/>
  <c r="BR117" i="90"/>
  <c r="U59" i="90"/>
  <c r="CD59" i="90"/>
  <c r="O21" i="90"/>
  <c r="BX21" i="90"/>
  <c r="H105" i="90"/>
  <c r="EB200" i="90" s="1"/>
  <c r="BQ105" i="90"/>
  <c r="BQ212" i="90" s="1"/>
  <c r="T51" i="90"/>
  <c r="EN146" i="90" s="1"/>
  <c r="CC51" i="90"/>
  <c r="CC158" i="90" s="1"/>
  <c r="U71" i="90"/>
  <c r="CD71" i="90"/>
  <c r="U81" i="90"/>
  <c r="CD81" i="90"/>
  <c r="U116" i="90"/>
  <c r="CD116" i="90"/>
  <c r="Z58" i="90"/>
  <c r="CI58" i="90"/>
  <c r="CI165" i="90" s="1"/>
  <c r="U76" i="90"/>
  <c r="CD76" i="90"/>
  <c r="I55" i="90"/>
  <c r="BR55" i="90"/>
  <c r="U55" i="90"/>
  <c r="CD55" i="90"/>
  <c r="N83" i="90"/>
  <c r="EH178" i="90" s="1"/>
  <c r="BW83" i="90"/>
  <c r="BW190" i="90" s="1"/>
  <c r="Z42" i="90"/>
  <c r="CI42" i="90"/>
  <c r="CI149" i="90" s="1"/>
  <c r="N89" i="90"/>
  <c r="N196" i="90" s="1"/>
  <c r="BW89" i="90"/>
  <c r="BW196" i="90" s="1"/>
  <c r="O43" i="90"/>
  <c r="BX43" i="90"/>
  <c r="T71" i="90"/>
  <c r="EN166" i="90" s="1"/>
  <c r="CC71" i="90"/>
  <c r="CC178" i="90" s="1"/>
  <c r="T29" i="90"/>
  <c r="T136" i="90" s="1"/>
  <c r="CC29" i="90"/>
  <c r="CC136" i="90" s="1"/>
  <c r="Z35" i="90"/>
  <c r="CI35" i="90"/>
  <c r="CI142" i="90" s="1"/>
  <c r="T26" i="90"/>
  <c r="EN121" i="90" s="1"/>
  <c r="CC26" i="90"/>
  <c r="CC133" i="90" s="1"/>
  <c r="Z119" i="90"/>
  <c r="CI119" i="90"/>
  <c r="CI226" i="90" s="1"/>
  <c r="T67" i="90"/>
  <c r="T174" i="90" s="1"/>
  <c r="CC67" i="90"/>
  <c r="CC174" i="90" s="1"/>
  <c r="T32" i="90"/>
  <c r="T139" i="90" s="1"/>
  <c r="CC32" i="90"/>
  <c r="CC139" i="90" s="1"/>
  <c r="N66" i="90"/>
  <c r="EH161" i="90" s="1"/>
  <c r="BW66" i="90"/>
  <c r="BW173" i="90" s="1"/>
  <c r="BR190" i="90"/>
  <c r="BX127" i="90"/>
  <c r="BR154" i="90"/>
  <c r="G53" i="75"/>
  <c r="CJ39" i="90"/>
  <c r="Z25" i="90"/>
  <c r="CI25" i="90"/>
  <c r="CI132" i="90" s="1"/>
  <c r="Z45" i="90"/>
  <c r="CI45" i="90"/>
  <c r="CI152" i="90" s="1"/>
  <c r="N71" i="90"/>
  <c r="N178" i="90" s="1"/>
  <c r="BW71" i="90"/>
  <c r="BW178" i="90" s="1"/>
  <c r="O104" i="90"/>
  <c r="BX104" i="90"/>
  <c r="C43" i="90"/>
  <c r="BL43" i="90"/>
  <c r="BL146" i="90"/>
  <c r="U42" i="90"/>
  <c r="CD42" i="90"/>
  <c r="H94" i="90"/>
  <c r="H201" i="90" s="1"/>
  <c r="BQ94" i="90"/>
  <c r="BQ201" i="90" s="1"/>
  <c r="H104" i="90"/>
  <c r="H211" i="90" s="1"/>
  <c r="BQ104" i="90"/>
  <c r="BQ211" i="90" s="1"/>
  <c r="N41" i="90"/>
  <c r="EH136" i="90" s="1"/>
  <c r="BW41" i="90"/>
  <c r="BW148" i="90" s="1"/>
  <c r="AA62" i="90"/>
  <c r="CJ62" i="90"/>
  <c r="U61" i="90"/>
  <c r="CD61" i="90"/>
  <c r="I92" i="90"/>
  <c r="BR92" i="90"/>
  <c r="T20" i="90"/>
  <c r="EN115" i="90" s="1"/>
  <c r="CC20" i="90"/>
  <c r="CC127" i="90" s="1"/>
  <c r="Z46" i="90"/>
  <c r="CI46" i="90"/>
  <c r="CI153" i="90" s="1"/>
  <c r="AA109" i="90"/>
  <c r="CJ109" i="90"/>
  <c r="Z104" i="90"/>
  <c r="CI104" i="90"/>
  <c r="CI211" i="90" s="1"/>
  <c r="O83" i="90"/>
  <c r="BX83" i="90"/>
  <c r="Z82" i="90"/>
  <c r="CI82" i="90"/>
  <c r="CI189" i="90" s="1"/>
  <c r="Z44" i="90"/>
  <c r="CI44" i="90"/>
  <c r="CI151" i="90" s="1"/>
  <c r="U56" i="90"/>
  <c r="CD56" i="90"/>
  <c r="N25" i="90"/>
  <c r="N132" i="90" s="1"/>
  <c r="BW25" i="90"/>
  <c r="BW132" i="90" s="1"/>
  <c r="H36" i="90"/>
  <c r="EB131" i="90" s="1"/>
  <c r="BQ36" i="90"/>
  <c r="BQ143" i="90" s="1"/>
  <c r="T43" i="90"/>
  <c r="T150" i="90" s="1"/>
  <c r="CC43" i="90"/>
  <c r="CC150" i="90" s="1"/>
  <c r="I113" i="90"/>
  <c r="BR113" i="90"/>
  <c r="AA73" i="90"/>
  <c r="CJ73" i="90"/>
  <c r="N113" i="90"/>
  <c r="EH208" i="90" s="1"/>
  <c r="BW113" i="90"/>
  <c r="BW220" i="90" s="1"/>
  <c r="H52" i="90"/>
  <c r="H159" i="90" s="1"/>
  <c r="BQ52" i="90"/>
  <c r="BQ159" i="90" s="1"/>
  <c r="U24" i="90"/>
  <c r="CD24" i="90"/>
  <c r="AA71" i="90"/>
  <c r="CJ71" i="90"/>
  <c r="N31" i="90"/>
  <c r="EH126" i="90" s="1"/>
  <c r="BW31" i="90"/>
  <c r="BW138" i="90" s="1"/>
  <c r="N48" i="90"/>
  <c r="N155" i="90" s="1"/>
  <c r="BW48" i="90"/>
  <c r="BW155" i="90" s="1"/>
  <c r="O41" i="90"/>
  <c r="BX41" i="90"/>
  <c r="AA83" i="90"/>
  <c r="CJ83" i="90"/>
  <c r="N98" i="90"/>
  <c r="EH193" i="90" s="1"/>
  <c r="BW98" i="90"/>
  <c r="BW205" i="90" s="1"/>
  <c r="Z73" i="90"/>
  <c r="CI73" i="90"/>
  <c r="CI180" i="90" s="1"/>
  <c r="U52" i="90"/>
  <c r="CD52" i="90"/>
  <c r="O99" i="90"/>
  <c r="BX99" i="90"/>
  <c r="U69" i="90"/>
  <c r="CD69" i="90"/>
  <c r="Z107" i="90"/>
  <c r="CI107" i="90"/>
  <c r="CI214" i="90" s="1"/>
  <c r="T114" i="90"/>
  <c r="T221" i="90" s="1"/>
  <c r="CC114" i="90"/>
  <c r="CC221" i="90" s="1"/>
  <c r="H72" i="90"/>
  <c r="EB167" i="90" s="1"/>
  <c r="BQ72" i="90"/>
  <c r="BQ179" i="90" s="1"/>
  <c r="I94" i="90"/>
  <c r="BR94" i="90"/>
  <c r="Z101" i="90"/>
  <c r="CI101" i="90"/>
  <c r="CI208" i="90" s="1"/>
  <c r="U45" i="90"/>
  <c r="CD45" i="90"/>
  <c r="Z92" i="90"/>
  <c r="CI92" i="90"/>
  <c r="CI199" i="90" s="1"/>
  <c r="N37" i="90"/>
  <c r="EH132" i="90" s="1"/>
  <c r="BW37" i="90"/>
  <c r="BW144" i="90" s="1"/>
  <c r="O33" i="90"/>
  <c r="BX33" i="90"/>
  <c r="T34" i="90"/>
  <c r="T141" i="90" s="1"/>
  <c r="CC34" i="90"/>
  <c r="CC141" i="90" s="1"/>
  <c r="N112" i="90"/>
  <c r="N219" i="90" s="1"/>
  <c r="BW112" i="90"/>
  <c r="BW219" i="90" s="1"/>
  <c r="T116" i="90"/>
  <c r="EN211" i="90" s="1"/>
  <c r="CC116" i="90"/>
  <c r="CC223" i="90" s="1"/>
  <c r="H27" i="90"/>
  <c r="H134" i="90" s="1"/>
  <c r="BQ27" i="90"/>
  <c r="BQ134" i="90" s="1"/>
  <c r="H108" i="90"/>
  <c r="H215" i="90" s="1"/>
  <c r="BQ108" i="90"/>
  <c r="BQ215" i="90" s="1"/>
  <c r="N54" i="90"/>
  <c r="EH149" i="90" s="1"/>
  <c r="BW54" i="90"/>
  <c r="BW161" i="90" s="1"/>
  <c r="I53" i="90"/>
  <c r="BR53" i="90"/>
  <c r="O57" i="90"/>
  <c r="BX57" i="90"/>
  <c r="T92" i="90"/>
  <c r="T199" i="90" s="1"/>
  <c r="CC92" i="90"/>
  <c r="CC199" i="90" s="1"/>
  <c r="U72" i="90"/>
  <c r="CD72" i="90"/>
  <c r="H92" i="90"/>
  <c r="EB187" i="90" s="1"/>
  <c r="BQ92" i="90"/>
  <c r="BQ199" i="90" s="1"/>
  <c r="N91" i="90"/>
  <c r="N198" i="90" s="1"/>
  <c r="BW91" i="90"/>
  <c r="BW198" i="90" s="1"/>
  <c r="I65" i="90"/>
  <c r="BR65" i="90"/>
  <c r="AA22" i="90"/>
  <c r="CJ22" i="90"/>
  <c r="T91" i="90"/>
  <c r="EN186" i="90" s="1"/>
  <c r="CC91" i="90"/>
  <c r="CC198" i="90" s="1"/>
  <c r="O108" i="90"/>
  <c r="BX108" i="90"/>
  <c r="N68" i="90"/>
  <c r="N175" i="90" s="1"/>
  <c r="BW68" i="90"/>
  <c r="BW175" i="90" s="1"/>
  <c r="Z26" i="90"/>
  <c r="CI26" i="90"/>
  <c r="CI133" i="90" s="1"/>
  <c r="CD184" i="90"/>
  <c r="Z112" i="90"/>
  <c r="CI112" i="90"/>
  <c r="CI219" i="90" s="1"/>
  <c r="BR133" i="90"/>
  <c r="BR185" i="90"/>
  <c r="BR182" i="90"/>
  <c r="BX165" i="90"/>
  <c r="T111" i="90"/>
  <c r="T218" i="90" s="1"/>
  <c r="CC111" i="90"/>
  <c r="CC218" i="90" s="1"/>
  <c r="AA77" i="90"/>
  <c r="CJ77" i="90"/>
  <c r="C82" i="90"/>
  <c r="BL82" i="90"/>
  <c r="C22" i="90"/>
  <c r="BL22" i="90"/>
  <c r="C92" i="90"/>
  <c r="BL92" i="90"/>
  <c r="BL156" i="90"/>
  <c r="H88" i="90"/>
  <c r="EB183" i="90" s="1"/>
  <c r="BQ88" i="90"/>
  <c r="BQ195" i="90" s="1"/>
  <c r="AA76" i="90"/>
  <c r="CJ76" i="90"/>
  <c r="AA79" i="90"/>
  <c r="CJ79" i="90"/>
  <c r="I46" i="90"/>
  <c r="BR46" i="90"/>
  <c r="O119" i="90"/>
  <c r="BX119" i="90"/>
  <c r="H69" i="90"/>
  <c r="EB164" i="90" s="1"/>
  <c r="BQ69" i="90"/>
  <c r="BQ176" i="90" s="1"/>
  <c r="I24" i="90"/>
  <c r="BR24" i="90"/>
  <c r="C99" i="90"/>
  <c r="BL99" i="90"/>
  <c r="BL164" i="90"/>
  <c r="BL212" i="90"/>
  <c r="N85" i="90"/>
  <c r="N192" i="90" s="1"/>
  <c r="BW85" i="90"/>
  <c r="BW192" i="90" s="1"/>
  <c r="U93" i="90"/>
  <c r="CD93" i="90"/>
  <c r="Z78" i="90"/>
  <c r="CI78" i="90"/>
  <c r="CI185" i="90" s="1"/>
  <c r="I111" i="90"/>
  <c r="BR111" i="90"/>
  <c r="U36" i="90"/>
  <c r="CD36" i="90"/>
  <c r="I98" i="90"/>
  <c r="BR98" i="90"/>
  <c r="T118" i="90"/>
  <c r="EN213" i="90" s="1"/>
  <c r="CC118" i="90"/>
  <c r="CC225" i="90" s="1"/>
  <c r="AA55" i="90"/>
  <c r="CJ55" i="90"/>
  <c r="U32" i="90"/>
  <c r="CD32" i="90"/>
  <c r="T65" i="90"/>
  <c r="EN160" i="90" s="1"/>
  <c r="CC65" i="90"/>
  <c r="CC172" i="90" s="1"/>
  <c r="N84" i="90"/>
  <c r="EH179" i="90" s="1"/>
  <c r="BW84" i="90"/>
  <c r="BW191" i="90" s="1"/>
  <c r="Z22" i="90"/>
  <c r="CI22" i="90"/>
  <c r="CI129" i="90" s="1"/>
  <c r="H83" i="90"/>
  <c r="H190" i="90" s="1"/>
  <c r="BQ83" i="90"/>
  <c r="BQ190" i="90" s="1"/>
  <c r="U34" i="90"/>
  <c r="CD34" i="90"/>
  <c r="C21" i="90"/>
  <c r="BL21" i="90"/>
  <c r="C78" i="90"/>
  <c r="BL78" i="90"/>
  <c r="C87" i="90"/>
  <c r="BL87" i="90"/>
  <c r="C28" i="90"/>
  <c r="BL28" i="90"/>
  <c r="C44" i="90"/>
  <c r="BL44" i="90"/>
  <c r="C61" i="90"/>
  <c r="BL61" i="90"/>
  <c r="BL210" i="90"/>
  <c r="BL214" i="90"/>
  <c r="BL216" i="90"/>
  <c r="BL142" i="90"/>
  <c r="BL162" i="90"/>
  <c r="H43" i="90"/>
  <c r="H150" i="90" s="1"/>
  <c r="BQ43" i="90"/>
  <c r="BQ150" i="90" s="1"/>
  <c r="O77" i="90"/>
  <c r="BX77" i="90"/>
  <c r="Z47" i="90"/>
  <c r="CI47" i="90"/>
  <c r="CI154" i="90" s="1"/>
  <c r="H116" i="90"/>
  <c r="H223" i="90" s="1"/>
  <c r="BQ116" i="90"/>
  <c r="BQ223" i="90" s="1"/>
  <c r="O64" i="90"/>
  <c r="BX64" i="90"/>
  <c r="Z21" i="90"/>
  <c r="CI21" i="90"/>
  <c r="CI128" i="90" s="1"/>
  <c r="T35" i="90"/>
  <c r="T142" i="90" s="1"/>
  <c r="CC35" i="90"/>
  <c r="CC142" i="90" s="1"/>
  <c r="O31" i="90"/>
  <c r="BX31" i="90"/>
  <c r="N125" i="77"/>
  <c r="N58" i="90"/>
  <c r="N165" i="90" s="1"/>
  <c r="BW58" i="90"/>
  <c r="BW165" i="90" s="1"/>
  <c r="N57" i="90"/>
  <c r="EH152" i="90" s="1"/>
  <c r="BW57" i="90"/>
  <c r="BW164" i="90" s="1"/>
  <c r="I72" i="90"/>
  <c r="BR72" i="90"/>
  <c r="Z24" i="90"/>
  <c r="CI24" i="90"/>
  <c r="CI131" i="90" s="1"/>
  <c r="U91" i="90"/>
  <c r="CD91" i="90"/>
  <c r="AA46" i="90"/>
  <c r="CJ46" i="90"/>
  <c r="T83" i="90"/>
  <c r="EN178" i="90" s="1"/>
  <c r="CC83" i="90"/>
  <c r="CC190" i="90" s="1"/>
  <c r="O63" i="90"/>
  <c r="BX63" i="90"/>
  <c r="I48" i="90"/>
  <c r="BR48" i="90"/>
  <c r="H84" i="90"/>
  <c r="EB179" i="90" s="1"/>
  <c r="BQ84" i="90"/>
  <c r="BQ191" i="90" s="1"/>
  <c r="I31" i="90"/>
  <c r="BR31" i="90"/>
  <c r="U107" i="90"/>
  <c r="CD107" i="90"/>
  <c r="T101" i="90"/>
  <c r="T208" i="90" s="1"/>
  <c r="CC101" i="90"/>
  <c r="CC208" i="90" s="1"/>
  <c r="AA119" i="90"/>
  <c r="CJ119" i="90"/>
  <c r="Z109" i="90"/>
  <c r="CI109" i="90"/>
  <c r="CI216" i="90" s="1"/>
  <c r="T115" i="90"/>
  <c r="T222" i="90" s="1"/>
  <c r="CC115" i="90"/>
  <c r="CC222" i="90" s="1"/>
  <c r="T96" i="90"/>
  <c r="T203" i="90" s="1"/>
  <c r="CC96" i="90"/>
  <c r="CC203" i="90" s="1"/>
  <c r="I103" i="90"/>
  <c r="BR103" i="90"/>
  <c r="N79" i="90"/>
  <c r="EH174" i="90" s="1"/>
  <c r="BW79" i="90"/>
  <c r="BW186" i="90" s="1"/>
  <c r="T45" i="90"/>
  <c r="T152" i="90" s="1"/>
  <c r="CC45" i="90"/>
  <c r="CC152" i="90" s="1"/>
  <c r="I101" i="90"/>
  <c r="BR101" i="90"/>
  <c r="T57" i="90"/>
  <c r="T164" i="90" s="1"/>
  <c r="CC57" i="90"/>
  <c r="CC164" i="90" s="1"/>
  <c r="O52" i="90"/>
  <c r="BX52" i="90"/>
  <c r="I45" i="90"/>
  <c r="BR45" i="90"/>
  <c r="U21" i="90"/>
  <c r="CD21" i="90"/>
  <c r="U101" i="90"/>
  <c r="CD101" i="90"/>
  <c r="O62" i="90"/>
  <c r="BX62" i="90"/>
  <c r="O46" i="90"/>
  <c r="BX46" i="90"/>
  <c r="I69" i="90"/>
  <c r="BR69" i="90"/>
  <c r="I107" i="90"/>
  <c r="BR107" i="90"/>
  <c r="U108" i="90"/>
  <c r="CD108" i="90"/>
  <c r="N81" i="90"/>
  <c r="N188" i="90" s="1"/>
  <c r="BW81" i="90"/>
  <c r="BW188" i="90" s="1"/>
  <c r="O28" i="90"/>
  <c r="BX28" i="90"/>
  <c r="T78" i="90"/>
  <c r="EN173" i="90" s="1"/>
  <c r="CC78" i="90"/>
  <c r="CC185" i="90" s="1"/>
  <c r="AA56" i="90"/>
  <c r="CJ56" i="90"/>
  <c r="O117" i="90"/>
  <c r="BX117" i="90"/>
  <c r="Z66" i="90"/>
  <c r="CI66" i="90"/>
  <c r="CI173" i="90" s="1"/>
  <c r="AA25" i="90"/>
  <c r="CJ25" i="90"/>
  <c r="AA114" i="90"/>
  <c r="CJ114" i="90"/>
  <c r="T54" i="90"/>
  <c r="T161" i="90" s="1"/>
  <c r="CC54" i="90"/>
  <c r="CC161" i="90" s="1"/>
  <c r="N47" i="90"/>
  <c r="N154" i="90" s="1"/>
  <c r="BW47" i="90"/>
  <c r="BW154" i="90" s="1"/>
  <c r="N103" i="90"/>
  <c r="EH198" i="90" s="1"/>
  <c r="BW103" i="90"/>
  <c r="BW210" i="90" s="1"/>
  <c r="H42" i="90"/>
  <c r="EB137" i="90" s="1"/>
  <c r="BQ42" i="90"/>
  <c r="BQ149" i="90" s="1"/>
  <c r="I35" i="90"/>
  <c r="BR35" i="90"/>
  <c r="I36" i="90"/>
  <c r="BR36" i="90"/>
  <c r="Z115" i="90"/>
  <c r="CI115" i="90"/>
  <c r="CI222" i="90" s="1"/>
  <c r="O51" i="90"/>
  <c r="BX51" i="90"/>
  <c r="AA112" i="90"/>
  <c r="CJ112" i="90"/>
  <c r="T64" i="90"/>
  <c r="T171" i="90" s="1"/>
  <c r="CC64" i="90"/>
  <c r="CC171" i="90" s="1"/>
  <c r="H76" i="90"/>
  <c r="EB171" i="90" s="1"/>
  <c r="BQ76" i="90"/>
  <c r="BQ183" i="90" s="1"/>
  <c r="I41" i="90"/>
  <c r="BR41" i="90"/>
  <c r="AA75" i="90"/>
  <c r="CJ75" i="90"/>
  <c r="U68" i="90"/>
  <c r="CD68" i="90"/>
  <c r="T55" i="90"/>
  <c r="EN150" i="90" s="1"/>
  <c r="CC55" i="90"/>
  <c r="CC162" i="90" s="1"/>
  <c r="H59" i="90"/>
  <c r="EB154" i="90" s="1"/>
  <c r="BQ59" i="90"/>
  <c r="BQ166" i="90" s="1"/>
  <c r="N101" i="90"/>
  <c r="N208" i="90" s="1"/>
  <c r="BW101" i="90"/>
  <c r="BW208" i="90" s="1"/>
  <c r="O98" i="90"/>
  <c r="BX98" i="90"/>
  <c r="U94" i="90"/>
  <c r="CD94" i="90"/>
  <c r="T66" i="90"/>
  <c r="EN161" i="90" s="1"/>
  <c r="CC66" i="90"/>
  <c r="CC173" i="90" s="1"/>
  <c r="Z49" i="90"/>
  <c r="CI49" i="90"/>
  <c r="CI156" i="90" s="1"/>
  <c r="O89" i="90"/>
  <c r="BX89" i="90"/>
  <c r="N42" i="90"/>
  <c r="EH137" i="90" s="1"/>
  <c r="BW42" i="90"/>
  <c r="BW149" i="90" s="1"/>
  <c r="N33" i="90"/>
  <c r="EH128" i="90" s="1"/>
  <c r="BW33" i="90"/>
  <c r="BW140" i="90" s="1"/>
  <c r="I71" i="90"/>
  <c r="BR71" i="90"/>
  <c r="I52" i="90"/>
  <c r="BR52" i="90"/>
  <c r="Z114" i="90"/>
  <c r="CI114" i="90"/>
  <c r="CI221" i="90" s="1"/>
  <c r="T22" i="90"/>
  <c r="EN117" i="90" s="1"/>
  <c r="CC22" i="90"/>
  <c r="CC129" i="90" s="1"/>
  <c r="U54" i="90"/>
  <c r="CD54" i="90"/>
  <c r="H25" i="90"/>
  <c r="H132" i="90" s="1"/>
  <c r="BQ25" i="90"/>
  <c r="BQ132" i="90" s="1"/>
  <c r="AA87" i="90"/>
  <c r="CJ87" i="90"/>
  <c r="I59" i="90"/>
  <c r="BR59" i="90"/>
  <c r="AA101" i="90"/>
  <c r="CJ101" i="90"/>
  <c r="I102" i="90"/>
  <c r="BR102" i="90"/>
  <c r="CJ204" i="90"/>
  <c r="T88" i="90"/>
  <c r="T195" i="90" s="1"/>
  <c r="CC88" i="90"/>
  <c r="CC195" i="90" s="1"/>
  <c r="I49" i="90"/>
  <c r="BR49" i="90"/>
  <c r="BX175" i="90"/>
  <c r="N114" i="90"/>
  <c r="EH209" i="90" s="1"/>
  <c r="BW114" i="90"/>
  <c r="BW221" i="90" s="1"/>
  <c r="BX154" i="90"/>
  <c r="CD218" i="90"/>
  <c r="BX131" i="90"/>
  <c r="H71" i="90"/>
  <c r="H178" i="90" s="1"/>
  <c r="BQ71" i="90"/>
  <c r="BQ178" i="90" s="1"/>
  <c r="I88" i="90"/>
  <c r="BR88" i="90"/>
  <c r="C72" i="90"/>
  <c r="BL72" i="90"/>
  <c r="C64" i="90"/>
  <c r="BL64" i="90"/>
  <c r="T49" i="90"/>
  <c r="EN144" i="90" s="1"/>
  <c r="CC49" i="90"/>
  <c r="CC156" i="90" s="1"/>
  <c r="AA35" i="90"/>
  <c r="CJ35" i="90"/>
  <c r="C30" i="90"/>
  <c r="BL30" i="90"/>
  <c r="T94" i="90"/>
  <c r="T201" i="90" s="1"/>
  <c r="CC94" i="90"/>
  <c r="CC201" i="90" s="1"/>
  <c r="I39" i="90"/>
  <c r="BR39" i="90"/>
  <c r="O73" i="90"/>
  <c r="BX73" i="90"/>
  <c r="Z33" i="90"/>
  <c r="CI33" i="90"/>
  <c r="CI140" i="90" s="1"/>
  <c r="C54" i="90"/>
  <c r="BL54" i="90"/>
  <c r="C46" i="90"/>
  <c r="BL46" i="90"/>
  <c r="O115" i="90"/>
  <c r="BX115" i="90"/>
  <c r="O92" i="90"/>
  <c r="BX92" i="90"/>
  <c r="H68" i="90"/>
  <c r="H175" i="90" s="1"/>
  <c r="BQ68" i="90"/>
  <c r="BQ175" i="90" s="1"/>
  <c r="T119" i="90"/>
  <c r="T226" i="90" s="1"/>
  <c r="CC119" i="90"/>
  <c r="CC226" i="90" s="1"/>
  <c r="AA57" i="90"/>
  <c r="CJ57" i="90"/>
  <c r="Z86" i="90"/>
  <c r="CI86" i="90"/>
  <c r="CI193" i="90" s="1"/>
  <c r="U22" i="90"/>
  <c r="CD22" i="90"/>
  <c r="T44" i="90"/>
  <c r="T151" i="90" s="1"/>
  <c r="CC44" i="90"/>
  <c r="CC151" i="90" s="1"/>
  <c r="U51" i="90"/>
  <c r="CD51" i="90"/>
  <c r="Z29" i="90"/>
  <c r="CI29" i="90"/>
  <c r="CI136" i="90" s="1"/>
  <c r="H62" i="90"/>
  <c r="H169" i="90" s="1"/>
  <c r="BQ62" i="90"/>
  <c r="BQ169" i="90" s="1"/>
  <c r="Z69" i="90"/>
  <c r="CI69" i="90"/>
  <c r="CI176" i="90" s="1"/>
  <c r="N102" i="90"/>
  <c r="EH197" i="90" s="1"/>
  <c r="BW102" i="90"/>
  <c r="BW209" i="90" s="1"/>
  <c r="C74" i="90"/>
  <c r="BL74" i="90"/>
  <c r="C24" i="90"/>
  <c r="BL24" i="90"/>
  <c r="C62" i="90"/>
  <c r="BL62" i="90"/>
  <c r="C41" i="90"/>
  <c r="BL41" i="90"/>
  <c r="C45" i="90"/>
  <c r="BL45" i="90"/>
  <c r="BL134" i="90"/>
  <c r="BL224" i="90"/>
  <c r="BL144" i="90"/>
  <c r="BL193" i="90"/>
  <c r="H51" i="90"/>
  <c r="EB146" i="90" s="1"/>
  <c r="BQ51" i="90"/>
  <c r="BQ158" i="90" s="1"/>
  <c r="Z84" i="90"/>
  <c r="CI84" i="90"/>
  <c r="CI191" i="90" s="1"/>
  <c r="Z31" i="90"/>
  <c r="CI31" i="90"/>
  <c r="CI138" i="90" s="1"/>
  <c r="AA36" i="90"/>
  <c r="CJ36" i="90"/>
  <c r="I76" i="90"/>
  <c r="BR76" i="90"/>
  <c r="H63" i="90"/>
  <c r="H170" i="90" s="1"/>
  <c r="BQ63" i="90"/>
  <c r="BQ170" i="90" s="1"/>
  <c r="Z56" i="90"/>
  <c r="CI56" i="90"/>
  <c r="CI163" i="90" s="1"/>
  <c r="N72" i="90"/>
  <c r="N179" i="90" s="1"/>
  <c r="BW72" i="90"/>
  <c r="BW179" i="90" s="1"/>
  <c r="U85" i="90"/>
  <c r="CD85" i="90"/>
  <c r="T72" i="90"/>
  <c r="T179" i="90" s="1"/>
  <c r="CC72" i="90"/>
  <c r="CC179" i="90" s="1"/>
  <c r="N77" i="90"/>
  <c r="N184" i="90" s="1"/>
  <c r="BW77" i="90"/>
  <c r="BW184" i="90" s="1"/>
  <c r="T97" i="90"/>
  <c r="T204" i="90" s="1"/>
  <c r="CC97" i="90"/>
  <c r="CC204" i="90" s="1"/>
  <c r="I27" i="90"/>
  <c r="BR27" i="90"/>
  <c r="I85" i="90"/>
  <c r="BR85" i="90"/>
  <c r="O44" i="90"/>
  <c r="BX44" i="90"/>
  <c r="U37" i="90"/>
  <c r="CD37" i="90"/>
  <c r="AA111" i="90"/>
  <c r="CJ111" i="90"/>
  <c r="U27" i="90"/>
  <c r="CD27" i="90"/>
  <c r="I95" i="90"/>
  <c r="BR95" i="90"/>
  <c r="Z61" i="90"/>
  <c r="CI61" i="90"/>
  <c r="CI168" i="90" s="1"/>
  <c r="T69" i="90"/>
  <c r="EN164" i="90" s="1"/>
  <c r="CC69" i="90"/>
  <c r="CC176" i="90" s="1"/>
  <c r="I96" i="90"/>
  <c r="BR96" i="90"/>
  <c r="AA95" i="90"/>
  <c r="CJ95" i="90"/>
  <c r="O72" i="90"/>
  <c r="BX72" i="90"/>
  <c r="H96" i="90"/>
  <c r="EB191" i="90" s="1"/>
  <c r="BQ96" i="90"/>
  <c r="BQ203" i="90" s="1"/>
  <c r="O95" i="90"/>
  <c r="BX95" i="90"/>
  <c r="H56" i="90"/>
  <c r="H163" i="90" s="1"/>
  <c r="BQ56" i="90"/>
  <c r="BQ163" i="90" s="1"/>
  <c r="U98" i="90"/>
  <c r="CD98" i="90"/>
  <c r="H114" i="90"/>
  <c r="EB209" i="90" s="1"/>
  <c r="BQ114" i="90"/>
  <c r="BQ221" i="90" s="1"/>
  <c r="AA102" i="90"/>
  <c r="CJ102" i="90"/>
  <c r="T37" i="90"/>
  <c r="T144" i="90" s="1"/>
  <c r="CC37" i="90"/>
  <c r="CC144" i="90" s="1"/>
  <c r="I51" i="90"/>
  <c r="BR51" i="90"/>
  <c r="AA106" i="90"/>
  <c r="CJ106" i="90"/>
  <c r="U109" i="90"/>
  <c r="CD109" i="90"/>
  <c r="U102" i="90"/>
  <c r="CD102" i="90"/>
  <c r="H91" i="90"/>
  <c r="EB186" i="90" s="1"/>
  <c r="BQ91" i="90"/>
  <c r="BQ198" i="90" s="1"/>
  <c r="N93" i="90"/>
  <c r="EH188" i="90" s="1"/>
  <c r="BW93" i="90"/>
  <c r="BW200" i="90" s="1"/>
  <c r="O26" i="90"/>
  <c r="BX26" i="90"/>
  <c r="Z93" i="90"/>
  <c r="CI93" i="90"/>
  <c r="CI200" i="90" s="1"/>
  <c r="H93" i="90"/>
  <c r="H200" i="90" s="1"/>
  <c r="BQ93" i="90"/>
  <c r="BQ200" i="90" s="1"/>
  <c r="I104" i="90"/>
  <c r="BR104" i="90"/>
  <c r="AA88" i="90"/>
  <c r="CJ88" i="90"/>
  <c r="O22" i="90"/>
  <c r="BX22" i="90"/>
  <c r="O102" i="90"/>
  <c r="BX102" i="90"/>
  <c r="T62" i="90"/>
  <c r="EN157" i="90" s="1"/>
  <c r="CC62" i="90"/>
  <c r="CC169" i="90" s="1"/>
  <c r="Z32" i="90"/>
  <c r="CI32" i="90"/>
  <c r="CI139" i="90" s="1"/>
  <c r="T41" i="90"/>
  <c r="T148" i="90" s="1"/>
  <c r="CC41" i="90"/>
  <c r="CC148" i="90" s="1"/>
  <c r="O88" i="90"/>
  <c r="BX88" i="90"/>
  <c r="U92" i="90"/>
  <c r="CD92" i="90"/>
  <c r="O39" i="90"/>
  <c r="BX39" i="90"/>
  <c r="U115" i="90"/>
  <c r="CD115" i="90"/>
  <c r="U105" i="90"/>
  <c r="CD105" i="90"/>
  <c r="Z76" i="90"/>
  <c r="CI76" i="90"/>
  <c r="CI183" i="90" s="1"/>
  <c r="O27" i="90"/>
  <c r="BX27" i="90"/>
  <c r="Z48" i="90"/>
  <c r="CI48" i="90"/>
  <c r="CI155" i="90" s="1"/>
  <c r="U23" i="90"/>
  <c r="CD23" i="90"/>
  <c r="O82" i="90"/>
  <c r="BX82" i="90"/>
  <c r="AA45" i="90"/>
  <c r="CJ45" i="90"/>
  <c r="N59" i="90"/>
  <c r="N166" i="90" s="1"/>
  <c r="BW59" i="90"/>
  <c r="BW166" i="90" s="1"/>
  <c r="N95" i="90"/>
  <c r="EH190" i="90" s="1"/>
  <c r="BW95" i="90"/>
  <c r="BW202" i="90" s="1"/>
  <c r="H34" i="90"/>
  <c r="EB129" i="90" s="1"/>
  <c r="BQ34" i="90"/>
  <c r="BQ141" i="90" s="1"/>
  <c r="N38" i="90"/>
  <c r="N145" i="90" s="1"/>
  <c r="BW38" i="90"/>
  <c r="BW145" i="90" s="1"/>
  <c r="BL182" i="90"/>
  <c r="N44" i="90"/>
  <c r="N151" i="90" s="1"/>
  <c r="BW44" i="90"/>
  <c r="BW151" i="90" s="1"/>
  <c r="H44" i="90"/>
  <c r="EB139" i="90" s="1"/>
  <c r="BQ44" i="90"/>
  <c r="BQ151" i="90" s="1"/>
  <c r="AA89" i="90"/>
  <c r="CJ89" i="90"/>
  <c r="O29" i="90"/>
  <c r="BX29" i="90"/>
  <c r="BX143" i="90"/>
  <c r="BX193" i="90"/>
  <c r="T89" i="90"/>
  <c r="T196" i="90" s="1"/>
  <c r="CC89" i="90"/>
  <c r="CC196" i="90" s="1"/>
  <c r="CD148" i="90"/>
  <c r="CJ166" i="90"/>
  <c r="CJ179" i="90"/>
  <c r="N92" i="90"/>
  <c r="EH187" i="90" s="1"/>
  <c r="BW92" i="90"/>
  <c r="BW199" i="90" s="1"/>
  <c r="H99" i="90"/>
  <c r="H206" i="90" s="1"/>
  <c r="BQ99" i="90"/>
  <c r="BQ206" i="90" s="1"/>
  <c r="CD132" i="90"/>
  <c r="BX139" i="90"/>
  <c r="T58" i="90"/>
  <c r="T165" i="90" s="1"/>
  <c r="CC58" i="90"/>
  <c r="CC165" i="90" s="1"/>
  <c r="C67" i="90"/>
  <c r="BL67" i="90"/>
  <c r="BL132" i="90"/>
  <c r="BL186" i="90"/>
  <c r="O61" i="90"/>
  <c r="BX61" i="90"/>
  <c r="T52" i="90"/>
  <c r="T159" i="90" s="1"/>
  <c r="CC52" i="90"/>
  <c r="CC159" i="90" s="1"/>
  <c r="T85" i="90"/>
  <c r="EN180" i="90" s="1"/>
  <c r="CC85" i="90"/>
  <c r="CC192" i="90" s="1"/>
  <c r="U38" i="90"/>
  <c r="CD38" i="90"/>
  <c r="T104" i="90"/>
  <c r="T211" i="90" s="1"/>
  <c r="CC104" i="90"/>
  <c r="CC211" i="90" s="1"/>
  <c r="T87" i="90"/>
  <c r="EN182" i="90" s="1"/>
  <c r="CC87" i="90"/>
  <c r="CC194" i="90" s="1"/>
  <c r="Z113" i="90"/>
  <c r="CI113" i="90"/>
  <c r="CI220" i="90" s="1"/>
  <c r="O49" i="90"/>
  <c r="BX49" i="90"/>
  <c r="C97" i="90"/>
  <c r="BL97" i="90"/>
  <c r="C94" i="90"/>
  <c r="BL94" i="90"/>
  <c r="BL205" i="90"/>
  <c r="BL184" i="90"/>
  <c r="N45" i="90"/>
  <c r="N152" i="90" s="1"/>
  <c r="BW45" i="90"/>
  <c r="BW152" i="90" s="1"/>
  <c r="N53" i="90"/>
  <c r="EH148" i="90" s="1"/>
  <c r="BW53" i="90"/>
  <c r="BW160" i="90" s="1"/>
  <c r="O101" i="90"/>
  <c r="BX101" i="90"/>
  <c r="N97" i="90"/>
  <c r="N204" i="90" s="1"/>
  <c r="BW97" i="90"/>
  <c r="BW204" i="90" s="1"/>
  <c r="AA32" i="90"/>
  <c r="CJ32" i="90"/>
  <c r="H21" i="90"/>
  <c r="EB116" i="90" s="1"/>
  <c r="BQ21" i="90"/>
  <c r="BQ128" i="90" s="1"/>
  <c r="N62" i="90"/>
  <c r="N169" i="90" s="1"/>
  <c r="BW62" i="90"/>
  <c r="BW169" i="90" s="1"/>
  <c r="T98" i="90"/>
  <c r="T205" i="90" s="1"/>
  <c r="CC98" i="90"/>
  <c r="CC205" i="90" s="1"/>
  <c r="I116" i="90"/>
  <c r="BR116" i="90"/>
  <c r="N52" i="90"/>
  <c r="EH147" i="90" s="1"/>
  <c r="BW52" i="90"/>
  <c r="BW159" i="90" s="1"/>
  <c r="AA61" i="90"/>
  <c r="CJ61" i="90"/>
  <c r="C48" i="90"/>
  <c r="BL48" i="90"/>
  <c r="C114" i="90"/>
  <c r="BL114" i="90"/>
  <c r="C38" i="90"/>
  <c r="BL38" i="90"/>
  <c r="C81" i="90"/>
  <c r="BL81" i="90"/>
  <c r="C83" i="90"/>
  <c r="BL83" i="90"/>
  <c r="C32" i="90"/>
  <c r="BL32" i="90"/>
  <c r="C89" i="90"/>
  <c r="BL89" i="90"/>
  <c r="BL154" i="90"/>
  <c r="BL195" i="90"/>
  <c r="BL222" i="90"/>
  <c r="BL136" i="90"/>
  <c r="BL160" i="90"/>
  <c r="T102" i="90"/>
  <c r="EN197" i="90" s="1"/>
  <c r="CC102" i="90"/>
  <c r="CC209" i="90" s="1"/>
  <c r="AA52" i="90"/>
  <c r="CJ52" i="90"/>
  <c r="Z63" i="90"/>
  <c r="CI63" i="90"/>
  <c r="CI170" i="90" s="1"/>
  <c r="I109" i="90"/>
  <c r="BR109" i="90"/>
  <c r="N109" i="90"/>
  <c r="N216" i="90" s="1"/>
  <c r="BW109" i="90"/>
  <c r="BW216" i="90" s="1"/>
  <c r="AA74" i="90"/>
  <c r="CJ74" i="90"/>
  <c r="AA78" i="90"/>
  <c r="CJ78" i="90"/>
  <c r="H22" i="90"/>
  <c r="H129" i="90" s="1"/>
  <c r="BQ22" i="90"/>
  <c r="BQ129" i="90" s="1"/>
  <c r="T21" i="90"/>
  <c r="EN116" i="90" s="1"/>
  <c r="CC21" i="90"/>
  <c r="CC128" i="90" s="1"/>
  <c r="U99" i="90"/>
  <c r="CD99" i="90"/>
  <c r="H107" i="90"/>
  <c r="H214" i="90" s="1"/>
  <c r="BQ107" i="90"/>
  <c r="BQ214" i="90" s="1"/>
  <c r="I87" i="90"/>
  <c r="BR87" i="90"/>
  <c r="N118" i="90"/>
  <c r="EH213" i="90" s="1"/>
  <c r="BW118" i="90"/>
  <c r="BW225" i="90" s="1"/>
  <c r="O66" i="90"/>
  <c r="BX66" i="90"/>
  <c r="N117" i="90"/>
  <c r="N224" i="90" s="1"/>
  <c r="BW117" i="90"/>
  <c r="BW224" i="90" s="1"/>
  <c r="U87" i="90"/>
  <c r="CD87" i="90"/>
  <c r="I28" i="90"/>
  <c r="BR28" i="90"/>
  <c r="I43" i="90"/>
  <c r="BR43" i="90"/>
  <c r="O55" i="90"/>
  <c r="BX55" i="90"/>
  <c r="U84" i="90"/>
  <c r="CD84" i="90"/>
  <c r="H29" i="90"/>
  <c r="EB124" i="90" s="1"/>
  <c r="BQ29" i="90"/>
  <c r="BQ136" i="90" s="1"/>
  <c r="U75" i="90"/>
  <c r="CD75" i="90"/>
  <c r="U104" i="90"/>
  <c r="CD104" i="90"/>
  <c r="T63" i="90"/>
  <c r="T170" i="90" s="1"/>
  <c r="CC63" i="90"/>
  <c r="CC170" i="90" s="1"/>
  <c r="N23" i="90"/>
  <c r="EH118" i="90" s="1"/>
  <c r="BW23" i="90"/>
  <c r="BW130" i="90" s="1"/>
  <c r="T106" i="90"/>
  <c r="EN201" i="90" s="1"/>
  <c r="CC106" i="90"/>
  <c r="CC213" i="90" s="1"/>
  <c r="N76" i="90"/>
  <c r="N183" i="90" s="1"/>
  <c r="BW76" i="90"/>
  <c r="BW183" i="90" s="1"/>
  <c r="Z108" i="90"/>
  <c r="CI108" i="90"/>
  <c r="CI215" i="90" s="1"/>
  <c r="I79" i="90"/>
  <c r="BR79" i="90"/>
  <c r="Z55" i="90"/>
  <c r="CI55" i="90"/>
  <c r="CI162" i="90" s="1"/>
  <c r="Z41" i="90"/>
  <c r="CI41" i="90"/>
  <c r="CI148" i="90" s="1"/>
  <c r="AA31" i="90"/>
  <c r="CJ31" i="90"/>
  <c r="AA21" i="90"/>
  <c r="CJ21" i="90"/>
  <c r="Z65" i="90"/>
  <c r="CI65" i="90"/>
  <c r="CI172" i="90" s="1"/>
  <c r="N78" i="90"/>
  <c r="N185" i="90" s="1"/>
  <c r="BW78" i="90"/>
  <c r="BW185" i="90" s="1"/>
  <c r="H58" i="90"/>
  <c r="H165" i="90" s="1"/>
  <c r="BQ58" i="90"/>
  <c r="BQ165" i="90" s="1"/>
  <c r="AA92" i="90"/>
  <c r="CJ92" i="90"/>
  <c r="Z116" i="90"/>
  <c r="CI116" i="90"/>
  <c r="CI223" i="90" s="1"/>
  <c r="N107" i="90"/>
  <c r="N214" i="90" s="1"/>
  <c r="BW107" i="90"/>
  <c r="BW214" i="90" s="1"/>
  <c r="Z97" i="90"/>
  <c r="CI97" i="90"/>
  <c r="CI204" i="90" s="1"/>
  <c r="AA113" i="90"/>
  <c r="CJ113" i="90"/>
  <c r="AA82" i="90"/>
  <c r="CJ82" i="90"/>
  <c r="O113" i="90"/>
  <c r="BX113" i="90"/>
  <c r="AA93" i="90"/>
  <c r="CJ93" i="90"/>
  <c r="H95" i="90"/>
  <c r="EB190" i="90" s="1"/>
  <c r="BQ95" i="90"/>
  <c r="BQ202" i="90" s="1"/>
  <c r="H57" i="90"/>
  <c r="EB152" i="90" s="1"/>
  <c r="BQ57" i="90"/>
  <c r="BQ164" i="90" s="1"/>
  <c r="H33" i="90"/>
  <c r="H140" i="90" s="1"/>
  <c r="BQ33" i="90"/>
  <c r="BQ140" i="90" s="1"/>
  <c r="U39" i="90"/>
  <c r="CD39" i="90"/>
  <c r="AA49" i="90"/>
  <c r="CJ49" i="90"/>
  <c r="T79" i="90"/>
  <c r="EN174" i="90" s="1"/>
  <c r="CC79" i="90"/>
  <c r="CC186" i="90" s="1"/>
  <c r="I57" i="90"/>
  <c r="BR57" i="90"/>
  <c r="T53" i="90"/>
  <c r="T160" i="90" s="1"/>
  <c r="CC53" i="90"/>
  <c r="CC160" i="90" s="1"/>
  <c r="U62" i="90"/>
  <c r="CD62" i="90"/>
  <c r="AA53" i="90"/>
  <c r="CJ53" i="90"/>
  <c r="T75" i="90"/>
  <c r="EN170" i="90" s="1"/>
  <c r="CC75" i="90"/>
  <c r="CC182" i="90" s="1"/>
  <c r="I97" i="90"/>
  <c r="BR97" i="90"/>
  <c r="N29" i="90"/>
  <c r="EH124" i="90" s="1"/>
  <c r="BW29" i="90"/>
  <c r="BW136" i="90" s="1"/>
  <c r="N51" i="90"/>
  <c r="EH146" i="90" s="1"/>
  <c r="BW51" i="90"/>
  <c r="BW158" i="90" s="1"/>
  <c r="U83" i="90"/>
  <c r="CD83" i="90"/>
  <c r="T24" i="90"/>
  <c r="T131" i="90" s="1"/>
  <c r="CC24" i="90"/>
  <c r="CC131" i="90" s="1"/>
  <c r="AA67" i="90"/>
  <c r="CJ67" i="90"/>
  <c r="U28" i="90"/>
  <c r="CD28" i="90"/>
  <c r="I63" i="90"/>
  <c r="BR63" i="90"/>
  <c r="U78" i="90"/>
  <c r="CD78" i="90"/>
  <c r="U73" i="90"/>
  <c r="CD73" i="90"/>
  <c r="AA48" i="90"/>
  <c r="CJ48" i="90"/>
  <c r="T112" i="90"/>
  <c r="EN207" i="90" s="1"/>
  <c r="CC112" i="90"/>
  <c r="CC219" i="90" s="1"/>
  <c r="H109" i="90"/>
  <c r="H216" i="90" s="1"/>
  <c r="BQ109" i="90"/>
  <c r="BQ216" i="90" s="1"/>
  <c r="T25" i="90"/>
  <c r="EN120" i="90" s="1"/>
  <c r="CC25" i="90"/>
  <c r="CC132" i="90" s="1"/>
  <c r="I37" i="90"/>
  <c r="BR37" i="90"/>
  <c r="I77" i="90"/>
  <c r="BR77" i="90"/>
  <c r="N106" i="90"/>
  <c r="N213" i="90" s="1"/>
  <c r="BW106" i="90"/>
  <c r="BW213" i="90" s="1"/>
  <c r="Z117" i="90"/>
  <c r="CI117" i="90"/>
  <c r="CI224" i="90" s="1"/>
  <c r="AA33" i="90"/>
  <c r="CJ33" i="90"/>
  <c r="O116" i="90"/>
  <c r="BX116" i="90"/>
  <c r="O56" i="90"/>
  <c r="BX56" i="90"/>
  <c r="O97" i="90"/>
  <c r="BX97" i="90"/>
  <c r="H54" i="90"/>
  <c r="EB149" i="90" s="1"/>
  <c r="BQ54" i="90"/>
  <c r="BQ161" i="90" s="1"/>
  <c r="Z71" i="90"/>
  <c r="CI71" i="90"/>
  <c r="CI178" i="90" s="1"/>
  <c r="CD154" i="90"/>
  <c r="N43" i="90"/>
  <c r="N150" i="90" s="1"/>
  <c r="BW43" i="90"/>
  <c r="BW150" i="90" s="1"/>
  <c r="H113" i="90"/>
  <c r="H220" i="90" s="1"/>
  <c r="BQ113" i="90"/>
  <c r="BQ220" i="90" s="1"/>
  <c r="BR161" i="90"/>
  <c r="BX218" i="90"/>
  <c r="CD174" i="90"/>
  <c r="T84" i="90"/>
  <c r="T191" i="90" s="1"/>
  <c r="CC84" i="90"/>
  <c r="CC191" i="90" s="1"/>
  <c r="H74" i="90"/>
  <c r="EB169" i="90" s="1"/>
  <c r="BQ74" i="90"/>
  <c r="BQ181" i="90" s="1"/>
  <c r="N63" i="80"/>
  <c r="L135" i="78"/>
  <c r="B50" i="90"/>
  <c r="DV145" i="90" s="1"/>
  <c r="B46" i="90"/>
  <c r="B153" i="90" s="1"/>
  <c r="B38" i="90"/>
  <c r="DV133" i="90" s="1"/>
  <c r="B45" i="90"/>
  <c r="DV140" i="90" s="1"/>
  <c r="B102" i="90"/>
  <c r="DV197" i="90" s="1"/>
  <c r="B101" i="90"/>
  <c r="B208" i="90" s="1"/>
  <c r="B72" i="90"/>
  <c r="DV167" i="90" s="1"/>
  <c r="B48" i="90"/>
  <c r="DV143" i="90" s="1"/>
  <c r="B109" i="90"/>
  <c r="DV204" i="90" s="1"/>
  <c r="B103" i="90"/>
  <c r="B210" i="90" s="1"/>
  <c r="B77" i="90"/>
  <c r="DV172" i="90" s="1"/>
  <c r="B66" i="90"/>
  <c r="DV161" i="90" s="1"/>
  <c r="B35" i="90"/>
  <c r="DV130" i="90" s="1"/>
  <c r="B119" i="90"/>
  <c r="B226" i="90" s="1"/>
  <c r="B36" i="90"/>
  <c r="DV131" i="90" s="1"/>
  <c r="B42" i="90"/>
  <c r="DV137" i="90" s="1"/>
  <c r="B83" i="90"/>
  <c r="DV178" i="90" s="1"/>
  <c r="B41" i="90"/>
  <c r="DV136" i="90" s="1"/>
  <c r="B63" i="90"/>
  <c r="DV158" i="90" s="1"/>
  <c r="B108" i="90"/>
  <c r="DV203" i="90" s="1"/>
  <c r="B23" i="90"/>
  <c r="DV118" i="90" s="1"/>
  <c r="B39" i="90"/>
  <c r="DV134" i="90" s="1"/>
  <c r="B22" i="90"/>
  <c r="DV117" i="90" s="1"/>
  <c r="B40" i="90"/>
  <c r="DV135" i="90" s="1"/>
  <c r="B112" i="90"/>
  <c r="B219" i="90" s="1"/>
  <c r="B107" i="90"/>
  <c r="B214" i="90" s="1"/>
  <c r="B58" i="90"/>
  <c r="DV153" i="90" s="1"/>
  <c r="B73" i="90"/>
  <c r="DV168" i="90" s="1"/>
  <c r="B111" i="90"/>
  <c r="DV206" i="90" s="1"/>
  <c r="B56" i="90"/>
  <c r="B163" i="90" s="1"/>
  <c r="B54" i="90"/>
  <c r="DV149" i="90" s="1"/>
  <c r="B114" i="90"/>
  <c r="DV209" i="90" s="1"/>
  <c r="B95" i="90"/>
  <c r="B202" i="90" s="1"/>
  <c r="B113" i="90"/>
  <c r="DV208" i="90" s="1"/>
  <c r="B105" i="90"/>
  <c r="DV200" i="90" s="1"/>
  <c r="B55" i="90"/>
  <c r="DV150" i="90" s="1"/>
  <c r="B117" i="90"/>
  <c r="DV212" i="90" s="1"/>
  <c r="B47" i="90"/>
  <c r="B154" i="90" s="1"/>
  <c r="B61" i="90"/>
  <c r="DV156" i="90" s="1"/>
  <c r="B26" i="90"/>
  <c r="DV121" i="90" s="1"/>
  <c r="B89" i="90"/>
  <c r="DV184" i="90" s="1"/>
  <c r="B118" i="90"/>
  <c r="DV213" i="90" s="1"/>
  <c r="B104" i="90"/>
  <c r="DV199" i="90" s="1"/>
  <c r="B78" i="90"/>
  <c r="B185" i="90" s="1"/>
  <c r="B106" i="90"/>
  <c r="DV201" i="90" s="1"/>
  <c r="B31" i="90"/>
  <c r="DV126" i="90" s="1"/>
  <c r="B116" i="90"/>
  <c r="DV211" i="90" s="1"/>
  <c r="B74" i="90"/>
  <c r="B181" i="90" s="1"/>
  <c r="B68" i="90"/>
  <c r="DV163" i="90" s="1"/>
  <c r="B98" i="90"/>
  <c r="DV193" i="90" s="1"/>
  <c r="B86" i="90"/>
  <c r="DV181" i="90" s="1"/>
  <c r="B30" i="90"/>
  <c r="B137" i="90" s="1"/>
  <c r="B87" i="90"/>
  <c r="B194" i="90" s="1"/>
  <c r="B76" i="90"/>
  <c r="DV171" i="90" s="1"/>
  <c r="B49" i="90"/>
  <c r="DV144" i="90" s="1"/>
  <c r="B85" i="90"/>
  <c r="B192" i="90" s="1"/>
  <c r="B52" i="90"/>
  <c r="DV147" i="90" s="1"/>
  <c r="B34" i="90"/>
  <c r="DV129" i="90" s="1"/>
  <c r="B32" i="90"/>
  <c r="DV127" i="90" s="1"/>
  <c r="B65" i="90"/>
  <c r="B172" i="90" s="1"/>
  <c r="B33" i="90"/>
  <c r="DV128" i="90" s="1"/>
  <c r="B93" i="90"/>
  <c r="DV188" i="90" s="1"/>
  <c r="B37" i="90"/>
  <c r="DV132" i="90" s="1"/>
  <c r="B88" i="90"/>
  <c r="B195" i="90" s="1"/>
  <c r="B57" i="90"/>
  <c r="DV152" i="90" s="1"/>
  <c r="B27" i="90"/>
  <c r="DV122" i="90" s="1"/>
  <c r="B97" i="90"/>
  <c r="DV192" i="90" s="1"/>
  <c r="B44" i="90"/>
  <c r="B151" i="90" s="1"/>
  <c r="B25" i="90"/>
  <c r="DV120" i="90" s="1"/>
  <c r="B84" i="90"/>
  <c r="DV179" i="90" s="1"/>
  <c r="B96" i="90"/>
  <c r="DV191" i="90" s="1"/>
  <c r="B67" i="90"/>
  <c r="B174" i="90" s="1"/>
  <c r="B94" i="90"/>
  <c r="DV189" i="90" s="1"/>
  <c r="B99" i="90"/>
  <c r="DV194" i="90" s="1"/>
  <c r="B81" i="90"/>
  <c r="DV176" i="90" s="1"/>
  <c r="B64" i="90"/>
  <c r="B171" i="90" s="1"/>
  <c r="B69" i="90"/>
  <c r="B176" i="90" s="1"/>
  <c r="B92" i="90"/>
  <c r="DV187" i="90" s="1"/>
  <c r="B24" i="90"/>
  <c r="DV119" i="90" s="1"/>
  <c r="B28" i="90"/>
  <c r="B135" i="90" s="1"/>
  <c r="B29" i="90"/>
  <c r="DV124" i="90" s="1"/>
  <c r="B79" i="90"/>
  <c r="DV174" i="90" s="1"/>
  <c r="B75" i="90"/>
  <c r="DV170" i="90" s="1"/>
  <c r="B115" i="90"/>
  <c r="B222" i="90" s="1"/>
  <c r="B59" i="90"/>
  <c r="DV154" i="90" s="1"/>
  <c r="N136" i="79"/>
  <c r="N66" i="78"/>
  <c r="K136" i="79"/>
  <c r="DY3" i="4"/>
  <c r="DY2" i="4"/>
  <c r="DY8" i="4"/>
  <c r="DY10" i="4"/>
  <c r="DY9" i="4"/>
  <c r="DY6" i="4"/>
  <c r="DY4" i="4"/>
  <c r="DY5" i="4"/>
  <c r="DY11" i="4"/>
  <c r="DY7" i="4"/>
  <c r="B21" i="90"/>
  <c r="K125" i="77"/>
  <c r="N37" i="77"/>
  <c r="L136" i="79"/>
  <c r="G107" i="73"/>
  <c r="L53" i="79"/>
  <c r="L121" i="78"/>
  <c r="K117" i="80"/>
  <c r="M117" i="80"/>
  <c r="M111" i="77"/>
  <c r="H118" i="71"/>
  <c r="C98" i="90"/>
  <c r="G73" i="71"/>
  <c r="C57" i="90"/>
  <c r="G95" i="71"/>
  <c r="C77" i="90"/>
  <c r="G126" i="71"/>
  <c r="C105" i="90"/>
  <c r="H53" i="71"/>
  <c r="C39" i="90"/>
  <c r="H134" i="73"/>
  <c r="I112" i="90"/>
  <c r="H139" i="76"/>
  <c r="U117" i="90"/>
  <c r="G61" i="76"/>
  <c r="U46" i="90"/>
  <c r="H62" i="74"/>
  <c r="O47" i="90"/>
  <c r="H133" i="76"/>
  <c r="U111" i="90"/>
  <c r="H96" i="73"/>
  <c r="I78" i="90"/>
  <c r="G124" i="71"/>
  <c r="C103" i="90"/>
  <c r="G128" i="71"/>
  <c r="C107" i="90"/>
  <c r="G130" i="71"/>
  <c r="C109" i="90"/>
  <c r="G49" i="71"/>
  <c r="C35" i="90"/>
  <c r="H71" i="71"/>
  <c r="C55" i="90"/>
  <c r="G57" i="74"/>
  <c r="O42" i="90"/>
  <c r="H95" i="76"/>
  <c r="U77" i="90"/>
  <c r="G37" i="74"/>
  <c r="O24" i="90"/>
  <c r="G93" i="73"/>
  <c r="I75" i="90"/>
  <c r="H116" i="74"/>
  <c r="O96" i="90"/>
  <c r="G46" i="74"/>
  <c r="O32" i="90"/>
  <c r="H40" i="71"/>
  <c r="C27" i="90"/>
  <c r="G139" i="71"/>
  <c r="C117" i="90"/>
  <c r="G51" i="71"/>
  <c r="C37" i="90"/>
  <c r="H105" i="71"/>
  <c r="C86" i="90"/>
  <c r="H125" i="75"/>
  <c r="AA104" i="90"/>
  <c r="H56" i="76"/>
  <c r="U41" i="90"/>
  <c r="G70" i="73"/>
  <c r="I54" i="90"/>
  <c r="G74" i="74"/>
  <c r="O58" i="90"/>
  <c r="H135" i="76"/>
  <c r="U113" i="90"/>
  <c r="G94" i="74"/>
  <c r="O76" i="90"/>
  <c r="H62" i="71"/>
  <c r="C47" i="90"/>
  <c r="G107" i="71"/>
  <c r="C88" i="90"/>
  <c r="G137" i="71"/>
  <c r="C115" i="90"/>
  <c r="H42" i="71"/>
  <c r="C29" i="90"/>
  <c r="H69" i="71"/>
  <c r="C53" i="90"/>
  <c r="H117" i="75"/>
  <c r="AA97" i="90"/>
  <c r="G33" i="74"/>
  <c r="O20" i="90"/>
  <c r="H62" i="76"/>
  <c r="U47" i="90"/>
  <c r="H140" i="73"/>
  <c r="I118" i="90"/>
  <c r="H72" i="73"/>
  <c r="I56" i="90"/>
  <c r="H38" i="76"/>
  <c r="U25" i="90"/>
  <c r="H75" i="74"/>
  <c r="O59" i="90"/>
  <c r="G38" i="71"/>
  <c r="C25" i="90"/>
  <c r="G64" i="71"/>
  <c r="C49" i="90"/>
  <c r="G97" i="71"/>
  <c r="C79" i="90"/>
  <c r="G93" i="71"/>
  <c r="C75" i="90"/>
  <c r="H50" i="74"/>
  <c r="O36" i="90"/>
  <c r="G133" i="74"/>
  <c r="O111" i="90"/>
  <c r="H85" i="71"/>
  <c r="C68" i="90"/>
  <c r="H62" i="73"/>
  <c r="I47" i="90"/>
  <c r="H92" i="73"/>
  <c r="I74" i="90"/>
  <c r="H84" i="76"/>
  <c r="U67" i="90"/>
  <c r="G83" i="71"/>
  <c r="C66" i="90"/>
  <c r="G141" i="71"/>
  <c r="C119" i="90"/>
  <c r="G75" i="71"/>
  <c r="C59" i="90"/>
  <c r="G116" i="71"/>
  <c r="C96" i="90"/>
  <c r="H53" i="75"/>
  <c r="AA39" i="90"/>
  <c r="H91" i="71"/>
  <c r="C73" i="90"/>
  <c r="H105" i="74"/>
  <c r="O86" i="90"/>
  <c r="G85" i="74"/>
  <c r="O68" i="90"/>
  <c r="H75" i="75"/>
  <c r="AA59" i="90"/>
  <c r="H90" i="75"/>
  <c r="AA72" i="90"/>
  <c r="G39" i="73"/>
  <c r="I26" i="90"/>
  <c r="G59" i="76"/>
  <c r="U44" i="90"/>
  <c r="G102" i="73"/>
  <c r="I83" i="90"/>
  <c r="M135" i="78"/>
  <c r="N135" i="78"/>
  <c r="LX4346" i="4"/>
  <c r="LZ4346" i="4"/>
  <c r="H133" i="74"/>
  <c r="M108" i="78"/>
  <c r="G135" i="76"/>
  <c r="K121" i="78"/>
  <c r="K111" i="77"/>
  <c r="N27" i="79"/>
  <c r="L27" i="79"/>
  <c r="M27" i="79"/>
  <c r="M29" i="79" s="1"/>
  <c r="K27" i="79"/>
  <c r="P24" i="70" s="1"/>
  <c r="K91" i="79"/>
  <c r="N99" i="80"/>
  <c r="H94" i="74"/>
  <c r="M91" i="79"/>
  <c r="M99" i="80"/>
  <c r="N111" i="77"/>
  <c r="N91" i="79"/>
  <c r="M121" i="78"/>
  <c r="H70" i="73"/>
  <c r="H74" i="74"/>
  <c r="G56" i="76"/>
  <c r="G125" i="75"/>
  <c r="L99" i="80"/>
  <c r="K108" i="78"/>
  <c r="N124" i="79"/>
  <c r="N108" i="78"/>
  <c r="K124" i="79"/>
  <c r="G62" i="73"/>
  <c r="M53" i="79"/>
  <c r="L124" i="79"/>
  <c r="G62" i="76"/>
  <c r="G50" i="74"/>
  <c r="G75" i="74"/>
  <c r="G84" i="76"/>
  <c r="G75" i="75"/>
  <c r="H59" i="76"/>
  <c r="H37" i="74"/>
  <c r="M80" i="78"/>
  <c r="G96" i="73"/>
  <c r="G140" i="73"/>
  <c r="M34" i="79"/>
  <c r="L31" i="77"/>
  <c r="H46" i="74"/>
  <c r="N101" i="78"/>
  <c r="H93" i="73"/>
  <c r="K122" i="79"/>
  <c r="H61" i="76"/>
  <c r="M96" i="80"/>
  <c r="K96" i="80"/>
  <c r="G133" i="76"/>
  <c r="N96" i="80"/>
  <c r="N34" i="79"/>
  <c r="L122" i="79"/>
  <c r="G62" i="74"/>
  <c r="H33" i="74"/>
  <c r="G38" i="76"/>
  <c r="M31" i="77"/>
  <c r="G139" i="76"/>
  <c r="G134" i="73"/>
  <c r="M122" i="79"/>
  <c r="L80" i="78"/>
  <c r="H57" i="74"/>
  <c r="G95" i="76"/>
  <c r="N36" i="79"/>
  <c r="H102" i="73"/>
  <c r="G116" i="74"/>
  <c r="M101" i="78"/>
  <c r="M47" i="79"/>
  <c r="L36" i="79"/>
  <c r="N47" i="79"/>
  <c r="L101" i="78"/>
  <c r="K80" i="78"/>
  <c r="K47" i="79"/>
  <c r="K97" i="77"/>
  <c r="M66" i="78"/>
  <c r="H39" i="73"/>
  <c r="N120" i="77"/>
  <c r="M97" i="77"/>
  <c r="G90" i="75"/>
  <c r="H85" i="74"/>
  <c r="K120" i="77"/>
  <c r="G105" i="74"/>
  <c r="K66" i="78"/>
  <c r="L120" i="77"/>
  <c r="H93" i="71"/>
  <c r="H40" i="75"/>
  <c r="G40" i="75"/>
  <c r="N67" i="79"/>
  <c r="L67" i="79"/>
  <c r="K67" i="79"/>
  <c r="M67" i="79"/>
  <c r="L59" i="79"/>
  <c r="N59" i="79"/>
  <c r="K59" i="79"/>
  <c r="M59" i="79"/>
  <c r="H69" i="74"/>
  <c r="G69" i="74"/>
  <c r="H100" i="73"/>
  <c r="G100" i="73"/>
  <c r="N34" i="77"/>
  <c r="L34" i="77"/>
  <c r="M34" i="77"/>
  <c r="N98" i="79"/>
  <c r="M98" i="79"/>
  <c r="L98" i="79"/>
  <c r="K98" i="79"/>
  <c r="K56" i="77"/>
  <c r="N56" i="77"/>
  <c r="M56" i="77"/>
  <c r="L56" i="77"/>
  <c r="G85" i="75"/>
  <c r="H85" i="75"/>
  <c r="N121" i="79"/>
  <c r="M121" i="79"/>
  <c r="L121" i="79"/>
  <c r="K121" i="79"/>
  <c r="K45" i="77"/>
  <c r="N45" i="77"/>
  <c r="L45" i="77"/>
  <c r="M45" i="77"/>
  <c r="G83" i="74"/>
  <c r="H83" i="74"/>
  <c r="N75" i="80"/>
  <c r="M75" i="80"/>
  <c r="L75" i="80"/>
  <c r="K75" i="80"/>
  <c r="G104" i="76"/>
  <c r="H104" i="76"/>
  <c r="H61" i="75"/>
  <c r="G61" i="75"/>
  <c r="N92" i="79"/>
  <c r="M92" i="79"/>
  <c r="L92" i="79"/>
  <c r="K92" i="79"/>
  <c r="L81" i="79"/>
  <c r="K81" i="79"/>
  <c r="M81" i="79"/>
  <c r="N81" i="79"/>
  <c r="G103" i="76"/>
  <c r="H103" i="76"/>
  <c r="K106" i="80"/>
  <c r="N106" i="80"/>
  <c r="L106" i="80"/>
  <c r="M106" i="80"/>
  <c r="N57" i="79"/>
  <c r="M57" i="79"/>
  <c r="L57" i="79"/>
  <c r="K57" i="79"/>
  <c r="N128" i="77"/>
  <c r="M128" i="77"/>
  <c r="L128" i="77"/>
  <c r="K128" i="77"/>
  <c r="G104" i="73"/>
  <c r="H104" i="73"/>
  <c r="G59" i="74"/>
  <c r="H59" i="74"/>
  <c r="H51" i="76"/>
  <c r="G51" i="76"/>
  <c r="H133" i="75"/>
  <c r="G133" i="75"/>
  <c r="H40" i="76"/>
  <c r="G40" i="76"/>
  <c r="H115" i="73"/>
  <c r="G115" i="73"/>
  <c r="H48" i="73"/>
  <c r="G48" i="73"/>
  <c r="H141" i="76"/>
  <c r="G141" i="76"/>
  <c r="H96" i="74"/>
  <c r="G96" i="74"/>
  <c r="H97" i="73"/>
  <c r="G97" i="73"/>
  <c r="M98" i="77"/>
  <c r="L98" i="77"/>
  <c r="K98" i="77"/>
  <c r="N98" i="77"/>
  <c r="H45" i="75"/>
  <c r="G45" i="75"/>
  <c r="N48" i="78"/>
  <c r="M48" i="78"/>
  <c r="L48" i="78"/>
  <c r="K48" i="78"/>
  <c r="G34" i="75"/>
  <c r="H34" i="75"/>
  <c r="N133" i="77"/>
  <c r="L133" i="77"/>
  <c r="M133" i="77"/>
  <c r="K133" i="77"/>
  <c r="H37" i="75"/>
  <c r="G37" i="75"/>
  <c r="K91" i="80"/>
  <c r="N91" i="80"/>
  <c r="M91" i="80"/>
  <c r="L91" i="80"/>
  <c r="H37" i="73"/>
  <c r="G37" i="73"/>
  <c r="H64" i="74"/>
  <c r="G64" i="74"/>
  <c r="H101" i="75"/>
  <c r="G101" i="75"/>
  <c r="N123" i="80"/>
  <c r="M123" i="80"/>
  <c r="K123" i="80"/>
  <c r="L123" i="80"/>
  <c r="H135" i="74"/>
  <c r="G135" i="74"/>
  <c r="H113" i="75"/>
  <c r="G113" i="75"/>
  <c r="H102" i="74"/>
  <c r="G102" i="74"/>
  <c r="H63" i="76"/>
  <c r="G63" i="76"/>
  <c r="G36" i="74"/>
  <c r="H36" i="74"/>
  <c r="L91" i="78"/>
  <c r="K91" i="78"/>
  <c r="N91" i="78"/>
  <c r="M91" i="78"/>
  <c r="K125" i="79"/>
  <c r="N125" i="79"/>
  <c r="M125" i="79"/>
  <c r="L125" i="79"/>
  <c r="G82" i="76"/>
  <c r="H82" i="76"/>
  <c r="G36" i="75"/>
  <c r="H36" i="75"/>
  <c r="M113" i="80"/>
  <c r="K113" i="80"/>
  <c r="N113" i="80"/>
  <c r="L113" i="80"/>
  <c r="H56" i="74"/>
  <c r="G56" i="74"/>
  <c r="G102" i="75"/>
  <c r="H102" i="75"/>
  <c r="M95" i="78"/>
  <c r="K95" i="78"/>
  <c r="N95" i="78"/>
  <c r="L95" i="78"/>
  <c r="L135" i="80"/>
  <c r="N135" i="80"/>
  <c r="M135" i="80"/>
  <c r="K135" i="80"/>
  <c r="N99" i="79"/>
  <c r="M99" i="79"/>
  <c r="K99" i="79"/>
  <c r="L99" i="79"/>
  <c r="G116" i="75"/>
  <c r="H116" i="75"/>
  <c r="K78" i="80"/>
  <c r="L78" i="80"/>
  <c r="N78" i="80"/>
  <c r="M78" i="80"/>
  <c r="L128" i="80"/>
  <c r="N128" i="80"/>
  <c r="M128" i="80"/>
  <c r="K128" i="80"/>
  <c r="L73" i="78"/>
  <c r="K73" i="78"/>
  <c r="N73" i="78"/>
  <c r="M73" i="78"/>
  <c r="H52" i="74"/>
  <c r="G52" i="74"/>
  <c r="H67" i="74"/>
  <c r="G67" i="74"/>
  <c r="K64" i="80"/>
  <c r="N64" i="80"/>
  <c r="L64" i="80"/>
  <c r="M64" i="80"/>
  <c r="G114" i="73"/>
  <c r="H114" i="73"/>
  <c r="M92" i="77"/>
  <c r="L92" i="77"/>
  <c r="K92" i="77"/>
  <c r="N92" i="77"/>
  <c r="H60" i="76"/>
  <c r="G60" i="76"/>
  <c r="H47" i="74"/>
  <c r="G47" i="74"/>
  <c r="L117" i="77"/>
  <c r="K117" i="77"/>
  <c r="M117" i="77"/>
  <c r="N117" i="77"/>
  <c r="M63" i="79"/>
  <c r="L63" i="79"/>
  <c r="K63" i="79"/>
  <c r="N63" i="79"/>
  <c r="G71" i="73"/>
  <c r="H71" i="73"/>
  <c r="L87" i="77"/>
  <c r="K87" i="77"/>
  <c r="N87" i="77"/>
  <c r="M87" i="77"/>
  <c r="H71" i="76"/>
  <c r="G71" i="76"/>
  <c r="N96" i="79"/>
  <c r="M96" i="79"/>
  <c r="L96" i="79"/>
  <c r="K96" i="79"/>
  <c r="H83" i="76"/>
  <c r="G83" i="76"/>
  <c r="G119" i="73"/>
  <c r="H119" i="73"/>
  <c r="H69" i="73"/>
  <c r="G69" i="73"/>
  <c r="H58" i="74"/>
  <c r="G58" i="74"/>
  <c r="K131" i="79"/>
  <c r="N131" i="79"/>
  <c r="L131" i="79"/>
  <c r="M131" i="79"/>
  <c r="N118" i="78"/>
  <c r="L118" i="78"/>
  <c r="K118" i="78"/>
  <c r="M118" i="78"/>
  <c r="H72" i="74"/>
  <c r="G72" i="74"/>
  <c r="N62" i="80"/>
  <c r="L62" i="80"/>
  <c r="M62" i="80"/>
  <c r="K62" i="80"/>
  <c r="K87" i="79"/>
  <c r="N87" i="79"/>
  <c r="L87" i="79"/>
  <c r="M87" i="79"/>
  <c r="H123" i="73"/>
  <c r="G123" i="73"/>
  <c r="H137" i="74"/>
  <c r="G137" i="74"/>
  <c r="H57" i="76"/>
  <c r="G57" i="76"/>
  <c r="L54" i="78"/>
  <c r="K54" i="78"/>
  <c r="M54" i="78"/>
  <c r="N54" i="78"/>
  <c r="H137" i="75"/>
  <c r="G137" i="75"/>
  <c r="M57" i="78"/>
  <c r="L57" i="78"/>
  <c r="K57" i="78"/>
  <c r="N57" i="78"/>
  <c r="G112" i="74"/>
  <c r="H112" i="74"/>
  <c r="L129" i="78"/>
  <c r="K129" i="78"/>
  <c r="N129" i="78"/>
  <c r="M129" i="78"/>
  <c r="M51" i="79"/>
  <c r="N51" i="79"/>
  <c r="K51" i="79"/>
  <c r="L51" i="79"/>
  <c r="K46" i="79"/>
  <c r="N46" i="79"/>
  <c r="M46" i="79"/>
  <c r="L46" i="79"/>
  <c r="L132" i="78"/>
  <c r="N132" i="78"/>
  <c r="M132" i="78"/>
  <c r="K132" i="78"/>
  <c r="H113" i="76"/>
  <c r="G113" i="76"/>
  <c r="H73" i="75"/>
  <c r="G73" i="75"/>
  <c r="H52" i="76"/>
  <c r="G52" i="76"/>
  <c r="H97" i="75"/>
  <c r="G97" i="75"/>
  <c r="H106" i="76"/>
  <c r="G106" i="76"/>
  <c r="H41" i="73"/>
  <c r="G41" i="73"/>
  <c r="L136" i="80"/>
  <c r="N136" i="80"/>
  <c r="M136" i="80"/>
  <c r="K136" i="80"/>
  <c r="K119" i="80"/>
  <c r="N119" i="80"/>
  <c r="L119" i="80"/>
  <c r="M119" i="80"/>
  <c r="N70" i="79"/>
  <c r="M70" i="79"/>
  <c r="L70" i="79"/>
  <c r="K70" i="79"/>
  <c r="H46" i="75"/>
  <c r="G46" i="75"/>
  <c r="K101" i="77"/>
  <c r="N101" i="77"/>
  <c r="L101" i="77"/>
  <c r="M101" i="77"/>
  <c r="K95" i="80"/>
  <c r="N95" i="80"/>
  <c r="M95" i="80"/>
  <c r="L95" i="80"/>
  <c r="H38" i="74"/>
  <c r="G38" i="74"/>
  <c r="H93" i="76"/>
  <c r="G93" i="76"/>
  <c r="H125" i="76"/>
  <c r="G125" i="76"/>
  <c r="N73" i="77"/>
  <c r="M73" i="77"/>
  <c r="L73" i="77"/>
  <c r="K73" i="77"/>
  <c r="M81" i="78"/>
  <c r="L81" i="78"/>
  <c r="N81" i="78"/>
  <c r="K81" i="78"/>
  <c r="N122" i="80"/>
  <c r="L122" i="80"/>
  <c r="M122" i="80"/>
  <c r="K122" i="80"/>
  <c r="M43" i="77"/>
  <c r="L43" i="77"/>
  <c r="N43" i="77"/>
  <c r="K43" i="77"/>
  <c r="M54" i="80"/>
  <c r="N54" i="80"/>
  <c r="L54" i="80"/>
  <c r="K54" i="80"/>
  <c r="H42" i="75"/>
  <c r="G42" i="75"/>
  <c r="H101" i="73"/>
  <c r="G101" i="73"/>
  <c r="H141" i="74"/>
  <c r="G141" i="74"/>
  <c r="L121" i="80"/>
  <c r="M121" i="80"/>
  <c r="N121" i="80"/>
  <c r="K121" i="80"/>
  <c r="M42" i="77"/>
  <c r="N42" i="77"/>
  <c r="L42" i="77"/>
  <c r="K42" i="77"/>
  <c r="K47" i="80"/>
  <c r="M47" i="80"/>
  <c r="L47" i="80"/>
  <c r="N47" i="80"/>
  <c r="G136" i="76"/>
  <c r="H136" i="76"/>
  <c r="N37" i="80"/>
  <c r="L37" i="80"/>
  <c r="M37" i="80"/>
  <c r="H103" i="74"/>
  <c r="G103" i="74"/>
  <c r="H42" i="76"/>
  <c r="G42" i="76"/>
  <c r="G106" i="74"/>
  <c r="H106" i="74"/>
  <c r="N124" i="77"/>
  <c r="L124" i="77"/>
  <c r="M124" i="77"/>
  <c r="K124" i="77"/>
  <c r="H115" i="76"/>
  <c r="G115" i="76"/>
  <c r="H73" i="76"/>
  <c r="G73" i="76"/>
  <c r="G41" i="74"/>
  <c r="H41" i="74"/>
  <c r="M75" i="77"/>
  <c r="L75" i="77"/>
  <c r="K75" i="77"/>
  <c r="N75" i="77"/>
  <c r="H72" i="76"/>
  <c r="G72" i="76"/>
  <c r="M128" i="79"/>
  <c r="L128" i="79"/>
  <c r="K128" i="79"/>
  <c r="N128" i="79"/>
  <c r="L77" i="79"/>
  <c r="K77" i="79"/>
  <c r="M77" i="79"/>
  <c r="N77" i="79"/>
  <c r="M89" i="80"/>
  <c r="N89" i="80"/>
  <c r="L89" i="80"/>
  <c r="K89" i="80"/>
  <c r="M42" i="80"/>
  <c r="K42" i="80"/>
  <c r="L42" i="80"/>
  <c r="N42" i="80"/>
  <c r="M32" i="79"/>
  <c r="L32" i="79"/>
  <c r="N32" i="79"/>
  <c r="N59" i="80"/>
  <c r="M59" i="80"/>
  <c r="L59" i="80"/>
  <c r="K59" i="80"/>
  <c r="G68" i="76"/>
  <c r="H68" i="76"/>
  <c r="L119" i="79"/>
  <c r="M119" i="79"/>
  <c r="K119" i="79"/>
  <c r="N119" i="79"/>
  <c r="H119" i="74"/>
  <c r="G119" i="74"/>
  <c r="G86" i="76"/>
  <c r="H86" i="76"/>
  <c r="H126" i="73"/>
  <c r="G126" i="73"/>
  <c r="H137" i="76"/>
  <c r="G137" i="76"/>
  <c r="H134" i="75"/>
  <c r="G134" i="75"/>
  <c r="H56" i="73"/>
  <c r="G56" i="73"/>
  <c r="H93" i="75"/>
  <c r="G93" i="75"/>
  <c r="G85" i="76"/>
  <c r="H85" i="76"/>
  <c r="H118" i="74"/>
  <c r="G118" i="74"/>
  <c r="G114" i="76"/>
  <c r="H114" i="76"/>
  <c r="N33" i="77"/>
  <c r="M33" i="77"/>
  <c r="L33" i="77"/>
  <c r="H80" i="76"/>
  <c r="G80" i="76"/>
  <c r="N131" i="78"/>
  <c r="M131" i="78"/>
  <c r="L131" i="78"/>
  <c r="K131" i="78"/>
  <c r="H89" i="73"/>
  <c r="G89" i="73"/>
  <c r="G68" i="73"/>
  <c r="H68" i="73"/>
  <c r="L44" i="79"/>
  <c r="N44" i="79"/>
  <c r="M44" i="79"/>
  <c r="K44" i="79"/>
  <c r="H73" i="74"/>
  <c r="G73" i="74"/>
  <c r="N108" i="80"/>
  <c r="M108" i="80"/>
  <c r="L108" i="80"/>
  <c r="K108" i="80"/>
  <c r="K109" i="79"/>
  <c r="N109" i="79"/>
  <c r="M109" i="79"/>
  <c r="L109" i="79"/>
  <c r="N55" i="78"/>
  <c r="M55" i="78"/>
  <c r="L55" i="78"/>
  <c r="K55" i="78"/>
  <c r="G95" i="74"/>
  <c r="H95" i="74"/>
  <c r="N68" i="78"/>
  <c r="M68" i="78"/>
  <c r="K68" i="78"/>
  <c r="L68" i="78"/>
  <c r="L78" i="79"/>
  <c r="K78" i="79"/>
  <c r="N78" i="79"/>
  <c r="M78" i="79"/>
  <c r="M112" i="79"/>
  <c r="L112" i="79"/>
  <c r="K112" i="79"/>
  <c r="N112" i="79"/>
  <c r="L134" i="78"/>
  <c r="K134" i="78"/>
  <c r="M134" i="78"/>
  <c r="N134" i="78"/>
  <c r="H89" i="74"/>
  <c r="G89" i="74"/>
  <c r="K112" i="80"/>
  <c r="L112" i="80"/>
  <c r="N112" i="80"/>
  <c r="M112" i="80"/>
  <c r="N112" i="77"/>
  <c r="M112" i="77"/>
  <c r="L112" i="77"/>
  <c r="K112" i="77"/>
  <c r="G44" i="71"/>
  <c r="H44" i="71"/>
  <c r="N90" i="80"/>
  <c r="M90" i="80"/>
  <c r="L90" i="80"/>
  <c r="K90" i="80"/>
  <c r="G58" i="73"/>
  <c r="H58" i="73"/>
  <c r="H80" i="74"/>
  <c r="G80" i="74"/>
  <c r="M55" i="79"/>
  <c r="L55" i="79"/>
  <c r="K55" i="79"/>
  <c r="N55" i="79"/>
  <c r="G63" i="73"/>
  <c r="H63" i="73"/>
  <c r="M120" i="79"/>
  <c r="L120" i="79"/>
  <c r="K120" i="79"/>
  <c r="N120" i="79"/>
  <c r="G105" i="76"/>
  <c r="H105" i="76"/>
  <c r="H105" i="75"/>
  <c r="G105" i="75"/>
  <c r="N118" i="77"/>
  <c r="L118" i="77"/>
  <c r="K118" i="77"/>
  <c r="M118" i="77"/>
  <c r="H53" i="73"/>
  <c r="G53" i="73"/>
  <c r="H127" i="76"/>
  <c r="G127" i="76"/>
  <c r="M109" i="80"/>
  <c r="L109" i="80"/>
  <c r="N109" i="80"/>
  <c r="K109" i="80"/>
  <c r="G84" i="74"/>
  <c r="H84" i="74"/>
  <c r="G91" i="74"/>
  <c r="H91" i="74"/>
  <c r="N30" i="79"/>
  <c r="M30" i="79"/>
  <c r="L30" i="79"/>
  <c r="N128" i="78"/>
  <c r="M128" i="78"/>
  <c r="K128" i="78"/>
  <c r="L128" i="78"/>
  <c r="N69" i="78"/>
  <c r="L69" i="78"/>
  <c r="M69" i="78"/>
  <c r="K69" i="78"/>
  <c r="N67" i="78"/>
  <c r="M67" i="78"/>
  <c r="L67" i="78"/>
  <c r="K67" i="78"/>
  <c r="H92" i="76"/>
  <c r="G92" i="76"/>
  <c r="N65" i="77"/>
  <c r="M65" i="77"/>
  <c r="K65" i="77"/>
  <c r="L65" i="77"/>
  <c r="H85" i="73"/>
  <c r="G85" i="73"/>
  <c r="L114" i="78"/>
  <c r="K114" i="78"/>
  <c r="N114" i="78"/>
  <c r="M114" i="78"/>
  <c r="H111" i="75"/>
  <c r="G111" i="75"/>
  <c r="G79" i="73"/>
  <c r="H79" i="73"/>
  <c r="N70" i="80"/>
  <c r="M70" i="80"/>
  <c r="L70" i="80"/>
  <c r="K70" i="80"/>
  <c r="L54" i="77"/>
  <c r="K54" i="77"/>
  <c r="N54" i="77"/>
  <c r="M54" i="77"/>
  <c r="N130" i="78"/>
  <c r="M130" i="78"/>
  <c r="L130" i="78"/>
  <c r="K130" i="78"/>
  <c r="H118" i="75"/>
  <c r="G118" i="75"/>
  <c r="G46" i="73"/>
  <c r="H46" i="73"/>
  <c r="H36" i="73"/>
  <c r="G36" i="73"/>
  <c r="M51" i="77"/>
  <c r="L51" i="77"/>
  <c r="K51" i="77"/>
  <c r="N51" i="77"/>
  <c r="H127" i="75"/>
  <c r="G127" i="75"/>
  <c r="L69" i="79"/>
  <c r="K69" i="79"/>
  <c r="N69" i="79"/>
  <c r="M69" i="79"/>
  <c r="N29" i="77"/>
  <c r="L29" i="77"/>
  <c r="M29" i="77"/>
  <c r="H72" i="75"/>
  <c r="G72" i="75"/>
  <c r="L133" i="80"/>
  <c r="N133" i="80"/>
  <c r="K133" i="80"/>
  <c r="M133" i="80"/>
  <c r="H135" i="73"/>
  <c r="G135" i="73"/>
  <c r="G91" i="75"/>
  <c r="H91" i="75"/>
  <c r="K51" i="80"/>
  <c r="L51" i="80"/>
  <c r="N51" i="80"/>
  <c r="M51" i="80"/>
  <c r="G37" i="76"/>
  <c r="H37" i="76"/>
  <c r="H137" i="73"/>
  <c r="G137" i="73"/>
  <c r="H64" i="75"/>
  <c r="G64" i="75"/>
  <c r="H125" i="73"/>
  <c r="G125" i="73"/>
  <c r="H107" i="75"/>
  <c r="G107" i="75"/>
  <c r="K70" i="77"/>
  <c r="L70" i="77"/>
  <c r="M70" i="77"/>
  <c r="N70" i="77"/>
  <c r="H35" i="74"/>
  <c r="G35" i="74"/>
  <c r="L135" i="79"/>
  <c r="K135" i="79"/>
  <c r="M135" i="79"/>
  <c r="N135" i="79"/>
  <c r="N52" i="79"/>
  <c r="M52" i="79"/>
  <c r="L52" i="79"/>
  <c r="K52" i="79"/>
  <c r="G49" i="73"/>
  <c r="H49" i="73"/>
  <c r="M132" i="77"/>
  <c r="K132" i="77"/>
  <c r="N132" i="77"/>
  <c r="L132" i="77"/>
  <c r="L96" i="77"/>
  <c r="K96" i="77"/>
  <c r="M96" i="77"/>
  <c r="N96" i="77"/>
  <c r="N136" i="77"/>
  <c r="M136" i="77"/>
  <c r="L136" i="77"/>
  <c r="K136" i="77"/>
  <c r="M59" i="77"/>
  <c r="L59" i="77"/>
  <c r="N59" i="77"/>
  <c r="K59" i="77"/>
  <c r="N109" i="78"/>
  <c r="L109" i="78"/>
  <c r="M109" i="78"/>
  <c r="K109" i="78"/>
  <c r="H126" i="76"/>
  <c r="G126" i="76"/>
  <c r="H40" i="74"/>
  <c r="G40" i="74"/>
  <c r="L66" i="80"/>
  <c r="M66" i="80"/>
  <c r="K66" i="80"/>
  <c r="N66" i="80"/>
  <c r="H91" i="76"/>
  <c r="G91" i="76"/>
  <c r="H63" i="75"/>
  <c r="G63" i="75"/>
  <c r="K79" i="78"/>
  <c r="M79" i="78"/>
  <c r="L79" i="78"/>
  <c r="N79" i="78"/>
  <c r="G36" i="76"/>
  <c r="H36" i="76"/>
  <c r="G101" i="74"/>
  <c r="H101" i="74"/>
  <c r="G60" i="75"/>
  <c r="H60" i="75"/>
  <c r="M97" i="78"/>
  <c r="L97" i="78"/>
  <c r="K97" i="78"/>
  <c r="N97" i="78"/>
  <c r="M69" i="80"/>
  <c r="L69" i="80"/>
  <c r="N69" i="80"/>
  <c r="K69" i="80"/>
  <c r="N65" i="78"/>
  <c r="M65" i="78"/>
  <c r="L65" i="78"/>
  <c r="K65" i="78"/>
  <c r="G70" i="76"/>
  <c r="H70" i="76"/>
  <c r="H63" i="74"/>
  <c r="G63" i="74"/>
  <c r="H52" i="75"/>
  <c r="G52" i="75"/>
  <c r="H117" i="74"/>
  <c r="G117" i="74"/>
  <c r="M79" i="77"/>
  <c r="L79" i="77"/>
  <c r="K79" i="77"/>
  <c r="N79" i="77"/>
  <c r="H81" i="74"/>
  <c r="G81" i="74"/>
  <c r="G50" i="75"/>
  <c r="H50" i="75"/>
  <c r="K101" i="79"/>
  <c r="N101" i="79"/>
  <c r="M101" i="79"/>
  <c r="L101" i="79"/>
  <c r="H94" i="73"/>
  <c r="G94" i="73"/>
  <c r="K107" i="79"/>
  <c r="N107" i="79"/>
  <c r="M107" i="79"/>
  <c r="L107" i="79"/>
  <c r="L31" i="79"/>
  <c r="M31" i="79"/>
  <c r="N31" i="79"/>
  <c r="H45" i="74"/>
  <c r="G45" i="74"/>
  <c r="L42" i="79"/>
  <c r="K42" i="79"/>
  <c r="N42" i="79"/>
  <c r="M42" i="79"/>
  <c r="N33" i="79"/>
  <c r="M33" i="79"/>
  <c r="L33" i="79"/>
  <c r="N64" i="77"/>
  <c r="M64" i="77"/>
  <c r="K64" i="77"/>
  <c r="L64" i="77"/>
  <c r="H48" i="75"/>
  <c r="G48" i="75"/>
  <c r="M85" i="80"/>
  <c r="N85" i="80"/>
  <c r="K85" i="80"/>
  <c r="L85" i="80"/>
  <c r="N69" i="77"/>
  <c r="M69" i="77"/>
  <c r="L69" i="77"/>
  <c r="K69" i="77"/>
  <c r="H108" i="73"/>
  <c r="G108" i="73"/>
  <c r="H129" i="75"/>
  <c r="G129" i="75"/>
  <c r="K102" i="79"/>
  <c r="N102" i="79"/>
  <c r="M102" i="79"/>
  <c r="L102" i="79"/>
  <c r="H127" i="73"/>
  <c r="G127" i="73"/>
  <c r="N73" i="79"/>
  <c r="L73" i="79"/>
  <c r="M73" i="79"/>
  <c r="K73" i="79"/>
  <c r="K90" i="79"/>
  <c r="N90" i="79"/>
  <c r="M90" i="79"/>
  <c r="L90" i="79"/>
  <c r="G66" i="71"/>
  <c r="H66" i="71"/>
  <c r="H141" i="73"/>
  <c r="G141" i="73"/>
  <c r="G57" i="75"/>
  <c r="H57" i="75"/>
  <c r="M101" i="80"/>
  <c r="N101" i="80"/>
  <c r="K101" i="80"/>
  <c r="L101" i="80"/>
  <c r="G34" i="73"/>
  <c r="H34" i="73"/>
  <c r="N88" i="79"/>
  <c r="M88" i="79"/>
  <c r="L88" i="79"/>
  <c r="K88" i="79"/>
  <c r="H97" i="74"/>
  <c r="G97" i="74"/>
  <c r="G128" i="75"/>
  <c r="H128" i="75"/>
  <c r="G82" i="75"/>
  <c r="H82" i="75"/>
  <c r="L119" i="78"/>
  <c r="M119" i="78"/>
  <c r="K119" i="78"/>
  <c r="N119" i="78"/>
  <c r="L53" i="77"/>
  <c r="K53" i="77"/>
  <c r="N53" i="77"/>
  <c r="M53" i="77"/>
  <c r="N99" i="77"/>
  <c r="M99" i="77"/>
  <c r="L99" i="77"/>
  <c r="K99" i="77"/>
  <c r="M37" i="79"/>
  <c r="N37" i="79"/>
  <c r="L37" i="79"/>
  <c r="G79" i="74"/>
  <c r="H79" i="74"/>
  <c r="H48" i="76"/>
  <c r="G48" i="76"/>
  <c r="G78" i="75"/>
  <c r="H78" i="75"/>
  <c r="N76" i="79"/>
  <c r="M76" i="79"/>
  <c r="L76" i="79"/>
  <c r="K76" i="79"/>
  <c r="N88" i="77"/>
  <c r="M88" i="77"/>
  <c r="L88" i="77"/>
  <c r="K88" i="77"/>
  <c r="G79" i="75"/>
  <c r="H79" i="75"/>
  <c r="N122" i="77"/>
  <c r="M122" i="77"/>
  <c r="K122" i="77"/>
  <c r="L122" i="77"/>
  <c r="K107" i="80"/>
  <c r="N107" i="80"/>
  <c r="L107" i="80"/>
  <c r="M107" i="80"/>
  <c r="K87" i="80"/>
  <c r="M87" i="80"/>
  <c r="N87" i="80"/>
  <c r="L87" i="80"/>
  <c r="M73" i="80"/>
  <c r="L73" i="80"/>
  <c r="N73" i="80"/>
  <c r="K73" i="80"/>
  <c r="N114" i="80"/>
  <c r="L114" i="80"/>
  <c r="M114" i="80"/>
  <c r="K114" i="80"/>
  <c r="M89" i="77"/>
  <c r="K89" i="77"/>
  <c r="L89" i="77"/>
  <c r="N89" i="77"/>
  <c r="M95" i="79"/>
  <c r="K95" i="79"/>
  <c r="N95" i="79"/>
  <c r="L95" i="79"/>
  <c r="G139" i="74"/>
  <c r="H139" i="74"/>
  <c r="K131" i="77"/>
  <c r="N131" i="77"/>
  <c r="L131" i="77"/>
  <c r="M131" i="77"/>
  <c r="G38" i="75"/>
  <c r="H38" i="75"/>
  <c r="N92" i="78"/>
  <c r="M92" i="78"/>
  <c r="K92" i="78"/>
  <c r="L92" i="78"/>
  <c r="H89" i="75"/>
  <c r="G89" i="75"/>
  <c r="M120" i="80"/>
  <c r="K120" i="80"/>
  <c r="L120" i="80"/>
  <c r="N120" i="80"/>
  <c r="H73" i="73"/>
  <c r="G73" i="73"/>
  <c r="G79" i="76"/>
  <c r="H79" i="76"/>
  <c r="G69" i="75"/>
  <c r="H69" i="75"/>
  <c r="H117" i="73"/>
  <c r="G117" i="73"/>
  <c r="M68" i="77"/>
  <c r="L68" i="77"/>
  <c r="K68" i="77"/>
  <c r="N68" i="77"/>
  <c r="H107" i="74"/>
  <c r="G107" i="74"/>
  <c r="H50" i="73"/>
  <c r="G50" i="73"/>
  <c r="N98" i="80"/>
  <c r="L98" i="80"/>
  <c r="M98" i="80"/>
  <c r="K98" i="80"/>
  <c r="M79" i="79"/>
  <c r="L79" i="79"/>
  <c r="K79" i="79"/>
  <c r="N79" i="79"/>
  <c r="M47" i="77"/>
  <c r="L47" i="77"/>
  <c r="K47" i="77"/>
  <c r="N47" i="77"/>
  <c r="G96" i="76"/>
  <c r="H96" i="76"/>
  <c r="N48" i="77"/>
  <c r="M48" i="77"/>
  <c r="L48" i="77"/>
  <c r="K48" i="77"/>
  <c r="K45" i="79"/>
  <c r="N45" i="79"/>
  <c r="L45" i="79"/>
  <c r="M45" i="79"/>
  <c r="N90" i="78"/>
  <c r="M90" i="78"/>
  <c r="L90" i="78"/>
  <c r="K90" i="78"/>
  <c r="L32" i="77"/>
  <c r="M32" i="77"/>
  <c r="N32" i="77"/>
  <c r="K46" i="80"/>
  <c r="N46" i="80"/>
  <c r="L46" i="80"/>
  <c r="M46" i="80"/>
  <c r="G51" i="73"/>
  <c r="H51" i="73"/>
  <c r="M48" i="79"/>
  <c r="L48" i="79"/>
  <c r="N48" i="79"/>
  <c r="K48" i="79"/>
  <c r="N89" i="79"/>
  <c r="M89" i="79"/>
  <c r="L89" i="79"/>
  <c r="K89" i="79"/>
  <c r="N112" i="78"/>
  <c r="M112" i="78"/>
  <c r="L112" i="78"/>
  <c r="K112" i="78"/>
  <c r="M113" i="79"/>
  <c r="N113" i="79"/>
  <c r="L113" i="79"/>
  <c r="K113" i="79"/>
  <c r="L86" i="77"/>
  <c r="K86" i="77"/>
  <c r="N86" i="77"/>
  <c r="M86" i="77"/>
  <c r="M68" i="79"/>
  <c r="L68" i="79"/>
  <c r="N68" i="79"/>
  <c r="K68" i="79"/>
  <c r="K48" i="80"/>
  <c r="L48" i="80"/>
  <c r="N48" i="80"/>
  <c r="M48" i="80"/>
  <c r="M72" i="79"/>
  <c r="L72" i="79"/>
  <c r="K72" i="79"/>
  <c r="N72" i="79"/>
  <c r="L107" i="77"/>
  <c r="K107" i="77"/>
  <c r="N107" i="77"/>
  <c r="M107" i="77"/>
  <c r="H83" i="73"/>
  <c r="G83" i="73"/>
  <c r="L88" i="78"/>
  <c r="K88" i="78"/>
  <c r="N88" i="78"/>
  <c r="M88" i="78"/>
  <c r="G68" i="75"/>
  <c r="H68" i="75"/>
  <c r="N111" i="79"/>
  <c r="M111" i="79"/>
  <c r="L111" i="79"/>
  <c r="K111" i="79"/>
  <c r="L131" i="80"/>
  <c r="M131" i="80"/>
  <c r="N131" i="80"/>
  <c r="K131" i="80"/>
  <c r="M129" i="80"/>
  <c r="K129" i="80"/>
  <c r="N129" i="80"/>
  <c r="L129" i="80"/>
  <c r="M87" i="78"/>
  <c r="L87" i="78"/>
  <c r="K87" i="78"/>
  <c r="N87" i="78"/>
  <c r="H130" i="73"/>
  <c r="G130" i="73"/>
  <c r="G92" i="75"/>
  <c r="H92" i="75"/>
  <c r="K102" i="77"/>
  <c r="N102" i="77"/>
  <c r="M102" i="77"/>
  <c r="L102" i="77"/>
  <c r="H119" i="76"/>
  <c r="G119" i="76"/>
  <c r="H106" i="73"/>
  <c r="G106" i="73"/>
  <c r="H92" i="74"/>
  <c r="G92" i="74"/>
  <c r="H100" i="74"/>
  <c r="G100" i="74"/>
  <c r="H117" i="76"/>
  <c r="G117" i="76"/>
  <c r="L84" i="78"/>
  <c r="K84" i="78"/>
  <c r="M84" i="78"/>
  <c r="N84" i="78"/>
  <c r="H51" i="75"/>
  <c r="G51" i="75"/>
  <c r="N80" i="77"/>
  <c r="M80" i="77"/>
  <c r="L80" i="77"/>
  <c r="K80" i="77"/>
  <c r="G71" i="74"/>
  <c r="H71" i="74"/>
  <c r="G81" i="75"/>
  <c r="H81" i="75"/>
  <c r="M114" i="77"/>
  <c r="L114" i="77"/>
  <c r="K114" i="77"/>
  <c r="N114" i="77"/>
  <c r="L135" i="77"/>
  <c r="K135" i="77"/>
  <c r="N135" i="77"/>
  <c r="M135" i="77"/>
  <c r="G103" i="75"/>
  <c r="H103" i="75"/>
  <c r="G42" i="73"/>
  <c r="H42" i="73"/>
  <c r="N122" i="78"/>
  <c r="M122" i="78"/>
  <c r="L122" i="78"/>
  <c r="K122" i="78"/>
  <c r="H86" i="75"/>
  <c r="G86" i="75"/>
  <c r="H124" i="73"/>
  <c r="G124" i="73"/>
  <c r="H113" i="73"/>
  <c r="G113" i="73"/>
  <c r="M65" i="80"/>
  <c r="N65" i="80"/>
  <c r="L65" i="80"/>
  <c r="K65" i="80"/>
  <c r="G33" i="76"/>
  <c r="H33" i="76"/>
  <c r="M118" i="79"/>
  <c r="L118" i="79"/>
  <c r="K118" i="79"/>
  <c r="N118" i="79"/>
  <c r="G52" i="73"/>
  <c r="H52" i="73"/>
  <c r="M40" i="80"/>
  <c r="L40" i="80"/>
  <c r="K40" i="80"/>
  <c r="N40" i="80"/>
  <c r="G61" i="74"/>
  <c r="H61" i="74"/>
  <c r="L84" i="77"/>
  <c r="K84" i="77"/>
  <c r="N84" i="77"/>
  <c r="M84" i="77"/>
  <c r="G86" i="73"/>
  <c r="H86" i="73"/>
  <c r="K67" i="80"/>
  <c r="M67" i="80"/>
  <c r="L67" i="80"/>
  <c r="N67" i="80"/>
  <c r="G78" i="76"/>
  <c r="H78" i="76"/>
  <c r="H112" i="73"/>
  <c r="G112" i="73"/>
  <c r="G136" i="74"/>
  <c r="H136" i="74"/>
  <c r="N74" i="78"/>
  <c r="M74" i="78"/>
  <c r="L74" i="78"/>
  <c r="K74" i="78"/>
  <c r="K63" i="78"/>
  <c r="N63" i="78"/>
  <c r="M63" i="78"/>
  <c r="L63" i="78"/>
  <c r="H116" i="76"/>
  <c r="G116" i="76"/>
  <c r="K130" i="77"/>
  <c r="M130" i="77"/>
  <c r="L130" i="77"/>
  <c r="N130" i="77"/>
  <c r="M62" i="79"/>
  <c r="L62" i="79"/>
  <c r="K62" i="79"/>
  <c r="N62" i="79"/>
  <c r="H130" i="76"/>
  <c r="G130" i="76"/>
  <c r="G123" i="76"/>
  <c r="H123" i="76"/>
  <c r="H39" i="74"/>
  <c r="G39" i="74"/>
  <c r="M117" i="78"/>
  <c r="N117" i="78"/>
  <c r="L117" i="78"/>
  <c r="K117" i="78"/>
  <c r="G136" i="75"/>
  <c r="H136" i="75"/>
  <c r="N109" i="77"/>
  <c r="L109" i="77"/>
  <c r="K109" i="77"/>
  <c r="M109" i="77"/>
  <c r="G59" i="75"/>
  <c r="H59" i="75"/>
  <c r="H124" i="75"/>
  <c r="G124" i="75"/>
  <c r="M129" i="77"/>
  <c r="L129" i="77"/>
  <c r="K129" i="77"/>
  <c r="N129" i="77"/>
  <c r="M97" i="80"/>
  <c r="K97" i="80"/>
  <c r="N97" i="80"/>
  <c r="L97" i="80"/>
  <c r="K98" i="78"/>
  <c r="L98" i="78"/>
  <c r="N98" i="78"/>
  <c r="M98" i="78"/>
  <c r="G102" i="76"/>
  <c r="H102" i="76"/>
  <c r="H84" i="75"/>
  <c r="G84" i="75"/>
  <c r="G41" i="76"/>
  <c r="H41" i="76"/>
  <c r="H80" i="73"/>
  <c r="G80" i="73"/>
  <c r="G112" i="76"/>
  <c r="H112" i="76"/>
  <c r="H53" i="74"/>
  <c r="G53" i="74"/>
  <c r="H104" i="75"/>
  <c r="G104" i="75"/>
  <c r="H64" i="76"/>
  <c r="G64" i="76"/>
  <c r="H111" i="73"/>
  <c r="G111" i="73"/>
  <c r="H114" i="75"/>
  <c r="G114" i="75"/>
  <c r="M95" i="77"/>
  <c r="K95" i="77"/>
  <c r="L95" i="77"/>
  <c r="N95" i="77"/>
  <c r="G126" i="75"/>
  <c r="H126" i="75"/>
  <c r="H104" i="74"/>
  <c r="G104" i="74"/>
  <c r="G95" i="73"/>
  <c r="H95" i="73"/>
  <c r="K125" i="78"/>
  <c r="N125" i="78"/>
  <c r="L125" i="78"/>
  <c r="M125" i="78"/>
  <c r="N63" i="77"/>
  <c r="K63" i="77"/>
  <c r="M63" i="77"/>
  <c r="L63" i="77"/>
  <c r="K103" i="80"/>
  <c r="N103" i="80"/>
  <c r="M103" i="80"/>
  <c r="L103" i="80"/>
  <c r="K55" i="80"/>
  <c r="N55" i="80"/>
  <c r="M55" i="80"/>
  <c r="L55" i="80"/>
  <c r="H97" i="76"/>
  <c r="G97" i="76"/>
  <c r="L99" i="78"/>
  <c r="K99" i="78"/>
  <c r="N99" i="78"/>
  <c r="M99" i="78"/>
  <c r="H47" i="75"/>
  <c r="G47" i="75"/>
  <c r="N64" i="78"/>
  <c r="M64" i="78"/>
  <c r="L64" i="78"/>
  <c r="K64" i="78"/>
  <c r="K100" i="79"/>
  <c r="N100" i="79"/>
  <c r="L100" i="79"/>
  <c r="M100" i="79"/>
  <c r="H101" i="76"/>
  <c r="G101" i="76"/>
  <c r="G78" i="74"/>
  <c r="H78" i="74"/>
  <c r="K124" i="78"/>
  <c r="N124" i="78"/>
  <c r="M124" i="78"/>
  <c r="L124" i="78"/>
  <c r="K78" i="78"/>
  <c r="M78" i="78"/>
  <c r="N78" i="78"/>
  <c r="L78" i="78"/>
  <c r="H58" i="76"/>
  <c r="G58" i="76"/>
  <c r="H49" i="75"/>
  <c r="G49" i="75"/>
  <c r="H96" i="75"/>
  <c r="G96" i="75"/>
  <c r="G94" i="75"/>
  <c r="H94" i="75"/>
  <c r="K70" i="78"/>
  <c r="M70" i="78"/>
  <c r="N70" i="78"/>
  <c r="L70" i="78"/>
  <c r="N106" i="77"/>
  <c r="M106" i="77"/>
  <c r="L106" i="77"/>
  <c r="K106" i="77"/>
  <c r="L66" i="79"/>
  <c r="N66" i="79"/>
  <c r="K66" i="79"/>
  <c r="M66" i="79"/>
  <c r="M45" i="80"/>
  <c r="N45" i="80"/>
  <c r="L45" i="80"/>
  <c r="K45" i="80"/>
  <c r="G129" i="73"/>
  <c r="H129" i="73"/>
  <c r="K85" i="79"/>
  <c r="N85" i="79"/>
  <c r="M85" i="79"/>
  <c r="L85" i="79"/>
  <c r="H62" i="75"/>
  <c r="G62" i="75"/>
  <c r="G118" i="73"/>
  <c r="H118" i="73"/>
  <c r="L123" i="77"/>
  <c r="K123" i="77"/>
  <c r="N123" i="77"/>
  <c r="M123" i="77"/>
  <c r="M77" i="80"/>
  <c r="N77" i="80"/>
  <c r="L77" i="80"/>
  <c r="K77" i="80"/>
  <c r="H91" i="73"/>
  <c r="G91" i="73"/>
  <c r="K79" i="80"/>
  <c r="L79" i="80"/>
  <c r="N79" i="80"/>
  <c r="M79" i="80"/>
  <c r="K74" i="77"/>
  <c r="M74" i="77"/>
  <c r="L74" i="77"/>
  <c r="N74" i="77"/>
  <c r="G48" i="74"/>
  <c r="H48" i="74"/>
  <c r="G38" i="73"/>
  <c r="H38" i="73"/>
  <c r="M103" i="79"/>
  <c r="K103" i="79"/>
  <c r="L103" i="79"/>
  <c r="N103" i="79"/>
  <c r="N75" i="79"/>
  <c r="M75" i="79"/>
  <c r="L75" i="79"/>
  <c r="K75" i="79"/>
  <c r="L52" i="78"/>
  <c r="N52" i="78"/>
  <c r="M52" i="78"/>
  <c r="K52" i="78"/>
  <c r="N35" i="77"/>
  <c r="M35" i="77"/>
  <c r="L35" i="77"/>
  <c r="H123" i="75"/>
  <c r="G123" i="75"/>
  <c r="N84" i="79"/>
  <c r="L84" i="79"/>
  <c r="K84" i="79"/>
  <c r="M84" i="79"/>
  <c r="N86" i="80"/>
  <c r="L86" i="80"/>
  <c r="M86" i="80"/>
  <c r="K86" i="80"/>
  <c r="K67" i="77"/>
  <c r="N67" i="77"/>
  <c r="M67" i="77"/>
  <c r="L67" i="77"/>
  <c r="N102" i="78"/>
  <c r="L102" i="78"/>
  <c r="K102" i="78"/>
  <c r="M102" i="78"/>
  <c r="G128" i="73"/>
  <c r="H128" i="73"/>
  <c r="H129" i="76"/>
  <c r="G129" i="76"/>
  <c r="H130" i="75"/>
  <c r="G130" i="75"/>
  <c r="H35" i="73"/>
  <c r="G35" i="73"/>
  <c r="G107" i="76"/>
  <c r="H107" i="76"/>
  <c r="L123" i="79"/>
  <c r="K123" i="79"/>
  <c r="N123" i="79"/>
  <c r="M123" i="79"/>
  <c r="M59" i="78"/>
  <c r="L59" i="78"/>
  <c r="K59" i="78"/>
  <c r="N59" i="78"/>
  <c r="N66" i="77"/>
  <c r="M66" i="77"/>
  <c r="L66" i="77"/>
  <c r="K66" i="77"/>
  <c r="H140" i="76"/>
  <c r="G140" i="76"/>
  <c r="N76" i="78"/>
  <c r="M76" i="78"/>
  <c r="K76" i="78"/>
  <c r="L76" i="78"/>
  <c r="N40" i="79"/>
  <c r="M40" i="79"/>
  <c r="L40" i="79"/>
  <c r="K40" i="79"/>
  <c r="H134" i="74"/>
  <c r="G134" i="74"/>
  <c r="L62" i="77"/>
  <c r="K62" i="77"/>
  <c r="M62" i="77"/>
  <c r="N62" i="77"/>
  <c r="K40" i="77"/>
  <c r="L40" i="77"/>
  <c r="N40" i="77"/>
  <c r="M40" i="77"/>
  <c r="G57" i="73"/>
  <c r="H57" i="73"/>
  <c r="N51" i="78"/>
  <c r="K51" i="78"/>
  <c r="M51" i="78"/>
  <c r="L51" i="78"/>
  <c r="N100" i="77"/>
  <c r="M100" i="77"/>
  <c r="K100" i="77"/>
  <c r="L100" i="77"/>
  <c r="K100" i="80"/>
  <c r="N100" i="80"/>
  <c r="M100" i="80"/>
  <c r="L100" i="80"/>
  <c r="H111" i="74"/>
  <c r="G111" i="74"/>
  <c r="H69" i="76"/>
  <c r="G69" i="76"/>
  <c r="H55" i="71"/>
  <c r="DX2" i="4" s="1"/>
  <c r="G55" i="71"/>
  <c r="DW2" i="4" s="1"/>
  <c r="L65" i="79"/>
  <c r="K65" i="79"/>
  <c r="M65" i="79"/>
  <c r="N65" i="79"/>
  <c r="N113" i="77"/>
  <c r="M113" i="77"/>
  <c r="L113" i="77"/>
  <c r="K113" i="77"/>
  <c r="H49" i="76"/>
  <c r="G49" i="76"/>
  <c r="L56" i="80"/>
  <c r="N56" i="80"/>
  <c r="M56" i="80"/>
  <c r="K56" i="80"/>
  <c r="K133" i="78"/>
  <c r="N133" i="78"/>
  <c r="M133" i="78"/>
  <c r="L133" i="78"/>
  <c r="G138" i="74"/>
  <c r="H138" i="74"/>
  <c r="M55" i="77"/>
  <c r="L55" i="77"/>
  <c r="K55" i="77"/>
  <c r="N55" i="77"/>
  <c r="H90" i="76"/>
  <c r="G90" i="76"/>
  <c r="H82" i="73"/>
  <c r="G82" i="73"/>
  <c r="N106" i="79"/>
  <c r="M106" i="79"/>
  <c r="L106" i="79"/>
  <c r="K106" i="79"/>
  <c r="L134" i="77"/>
  <c r="K134" i="77"/>
  <c r="N134" i="77"/>
  <c r="M134" i="77"/>
  <c r="N106" i="78"/>
  <c r="M106" i="78"/>
  <c r="L106" i="78"/>
  <c r="K106" i="78"/>
  <c r="K52" i="77"/>
  <c r="L52" i="77"/>
  <c r="M52" i="77"/>
  <c r="N52" i="77"/>
  <c r="N103" i="78"/>
  <c r="L103" i="78"/>
  <c r="M103" i="78"/>
  <c r="K103" i="78"/>
  <c r="H47" i="76"/>
  <c r="G47" i="76"/>
  <c r="N132" i="79"/>
  <c r="M132" i="79"/>
  <c r="L132" i="79"/>
  <c r="K132" i="79"/>
  <c r="L119" i="77"/>
  <c r="M119" i="77"/>
  <c r="K119" i="77"/>
  <c r="N119" i="77"/>
  <c r="H74" i="76"/>
  <c r="G74" i="76"/>
  <c r="H100" i="75"/>
  <c r="G100" i="75"/>
  <c r="G80" i="75"/>
  <c r="H80" i="75"/>
  <c r="G74" i="73"/>
  <c r="H74" i="73"/>
  <c r="H90" i="73"/>
  <c r="G90" i="73"/>
  <c r="K77" i="78"/>
  <c r="N77" i="78"/>
  <c r="L77" i="78"/>
  <c r="M77" i="78"/>
  <c r="G133" i="73"/>
  <c r="H133" i="73"/>
  <c r="G35" i="76"/>
  <c r="H35" i="76"/>
  <c r="M132" i="80"/>
  <c r="K132" i="80"/>
  <c r="L132" i="80"/>
  <c r="N132" i="80"/>
  <c r="G45" i="73"/>
  <c r="H45" i="73"/>
  <c r="N77" i="77"/>
  <c r="L77" i="77"/>
  <c r="M77" i="77"/>
  <c r="K77" i="77"/>
  <c r="G128" i="76"/>
  <c r="H128" i="76"/>
  <c r="H71" i="75"/>
  <c r="G71" i="75"/>
  <c r="H67" i="76"/>
  <c r="G67" i="76"/>
  <c r="N56" i="79"/>
  <c r="M56" i="79"/>
  <c r="L56" i="79"/>
  <c r="K56" i="79"/>
  <c r="M30" i="77"/>
  <c r="L30" i="77"/>
  <c r="N30" i="77"/>
  <c r="G138" i="73"/>
  <c r="H138" i="73"/>
  <c r="K58" i="79"/>
  <c r="L58" i="79"/>
  <c r="M58" i="79"/>
  <c r="N58" i="79"/>
  <c r="H46" i="76"/>
  <c r="G46" i="76"/>
  <c r="N129" i="79"/>
  <c r="L129" i="79"/>
  <c r="M129" i="79"/>
  <c r="K129" i="79"/>
  <c r="H116" i="73"/>
  <c r="G116" i="73"/>
  <c r="G122" i="73"/>
  <c r="H122" i="73"/>
  <c r="G68" i="74"/>
  <c r="H68" i="74"/>
  <c r="G60" i="73"/>
  <c r="H60" i="73"/>
  <c r="H34" i="76"/>
  <c r="G34" i="76"/>
  <c r="G122" i="76"/>
  <c r="H122" i="76"/>
  <c r="L100" i="78"/>
  <c r="N100" i="78"/>
  <c r="M100" i="78"/>
  <c r="K100" i="78"/>
  <c r="G112" i="75"/>
  <c r="H112" i="75"/>
  <c r="L80" i="80"/>
  <c r="N80" i="80"/>
  <c r="M80" i="80"/>
  <c r="K80" i="80"/>
  <c r="L117" i="79"/>
  <c r="K117" i="79"/>
  <c r="N117" i="79"/>
  <c r="M117" i="79"/>
  <c r="M44" i="77"/>
  <c r="N44" i="77"/>
  <c r="L44" i="77"/>
  <c r="K44" i="77"/>
  <c r="M90" i="77"/>
  <c r="K90" i="77"/>
  <c r="N90" i="77"/>
  <c r="L90" i="77"/>
  <c r="M107" i="78"/>
  <c r="L107" i="78"/>
  <c r="K107" i="78"/>
  <c r="N107" i="78"/>
  <c r="K111" i="80"/>
  <c r="N111" i="80"/>
  <c r="L111" i="80"/>
  <c r="M111" i="80"/>
  <c r="N58" i="78"/>
  <c r="M58" i="78"/>
  <c r="L58" i="78"/>
  <c r="K58" i="78"/>
  <c r="H47" i="73"/>
  <c r="G47" i="73"/>
  <c r="N74" i="79"/>
  <c r="M74" i="79"/>
  <c r="L74" i="79"/>
  <c r="K74" i="79"/>
  <c r="H70" i="74"/>
  <c r="G70" i="74"/>
  <c r="L84" i="80"/>
  <c r="N84" i="80"/>
  <c r="K84" i="80"/>
  <c r="M84" i="80"/>
  <c r="H103" i="73"/>
  <c r="G103" i="73"/>
  <c r="K86" i="79"/>
  <c r="N86" i="79"/>
  <c r="M86" i="79"/>
  <c r="L86" i="79"/>
  <c r="K53" i="80"/>
  <c r="M53" i="80"/>
  <c r="N53" i="80"/>
  <c r="L53" i="80"/>
  <c r="M91" i="77"/>
  <c r="L91" i="77"/>
  <c r="N91" i="77"/>
  <c r="K91" i="77"/>
  <c r="H53" i="76"/>
  <c r="G53" i="76"/>
  <c r="N43" i="80"/>
  <c r="M43" i="80"/>
  <c r="L43" i="80"/>
  <c r="K43" i="80"/>
  <c r="G39" i="76"/>
  <c r="H39" i="76"/>
  <c r="G81" i="73"/>
  <c r="H81" i="73"/>
  <c r="H49" i="74"/>
  <c r="G49" i="74"/>
  <c r="H134" i="76"/>
  <c r="G134" i="76"/>
  <c r="N74" i="80"/>
  <c r="K74" i="80"/>
  <c r="L74" i="80"/>
  <c r="M74" i="80"/>
  <c r="G138" i="75"/>
  <c r="H138" i="75"/>
  <c r="N58" i="80"/>
  <c r="M58" i="80"/>
  <c r="L58" i="80"/>
  <c r="K58" i="80"/>
  <c r="L76" i="80"/>
  <c r="K76" i="80"/>
  <c r="N76" i="80"/>
  <c r="M76" i="80"/>
  <c r="N41" i="77"/>
  <c r="M41" i="77"/>
  <c r="L41" i="77"/>
  <c r="K41" i="77"/>
  <c r="H139" i="73"/>
  <c r="G139" i="73"/>
  <c r="N35" i="79"/>
  <c r="M35" i="79"/>
  <c r="L35" i="79"/>
  <c r="G45" i="76"/>
  <c r="H45" i="76"/>
  <c r="K85" i="77"/>
  <c r="N85" i="77"/>
  <c r="M85" i="77"/>
  <c r="L85" i="77"/>
  <c r="G136" i="73"/>
  <c r="H136" i="73"/>
  <c r="G81" i="76"/>
  <c r="H81" i="76"/>
  <c r="H58" i="75"/>
  <c r="G58" i="75"/>
  <c r="G78" i="73"/>
  <c r="H78" i="73"/>
  <c r="L118" i="80"/>
  <c r="K118" i="80"/>
  <c r="N118" i="80"/>
  <c r="M118" i="80"/>
  <c r="H108" i="74"/>
  <c r="G108" i="74"/>
  <c r="H56" i="75"/>
  <c r="G56" i="75"/>
  <c r="N81" i="80"/>
  <c r="L81" i="80"/>
  <c r="K81" i="80"/>
  <c r="M81" i="80"/>
  <c r="G74" i="75"/>
  <c r="H74" i="75"/>
  <c r="G106" i="75"/>
  <c r="H106" i="75"/>
  <c r="L88" i="80"/>
  <c r="M88" i="80"/>
  <c r="N88" i="80"/>
  <c r="K88" i="80"/>
  <c r="H75" i="73"/>
  <c r="G75" i="73"/>
  <c r="G122" i="75"/>
  <c r="H122" i="75"/>
  <c r="L54" i="79"/>
  <c r="K54" i="79"/>
  <c r="N54" i="79"/>
  <c r="M54" i="79"/>
  <c r="H70" i="75"/>
  <c r="G70" i="75"/>
  <c r="M41" i="80"/>
  <c r="N41" i="80"/>
  <c r="L41" i="80"/>
  <c r="K41" i="80"/>
  <c r="H124" i="76"/>
  <c r="G124" i="76"/>
  <c r="H82" i="74"/>
  <c r="G82" i="74"/>
  <c r="M41" i="79"/>
  <c r="K41" i="79"/>
  <c r="L41" i="79"/>
  <c r="N41" i="79"/>
  <c r="H108" i="76"/>
  <c r="G108" i="76"/>
  <c r="G39" i="75"/>
  <c r="H39" i="75"/>
  <c r="H84" i="73"/>
  <c r="G84" i="73"/>
  <c r="H105" i="73"/>
  <c r="G105" i="73"/>
  <c r="H59" i="73"/>
  <c r="G59" i="73"/>
  <c r="K43" i="79"/>
  <c r="L43" i="79"/>
  <c r="M43" i="79"/>
  <c r="N43" i="79"/>
  <c r="H111" i="76"/>
  <c r="G111" i="76"/>
  <c r="M86" i="78"/>
  <c r="L86" i="78"/>
  <c r="K86" i="78"/>
  <c r="N86" i="78"/>
  <c r="H50" i="76"/>
  <c r="G50" i="76"/>
  <c r="H140" i="75"/>
  <c r="G140" i="75"/>
  <c r="M81" i="77"/>
  <c r="K81" i="77"/>
  <c r="L81" i="77"/>
  <c r="N81" i="77"/>
  <c r="N130" i="80"/>
  <c r="L130" i="80"/>
  <c r="K130" i="80"/>
  <c r="M130" i="80"/>
  <c r="G40" i="73"/>
  <c r="H40" i="73"/>
  <c r="N37" i="78"/>
  <c r="L37" i="78"/>
  <c r="M37" i="78"/>
  <c r="M130" i="79"/>
  <c r="L130" i="79"/>
  <c r="K130" i="79"/>
  <c r="N130" i="79"/>
  <c r="M44" i="80"/>
  <c r="K44" i="80"/>
  <c r="N44" i="80"/>
  <c r="L44" i="80"/>
  <c r="L96" i="78"/>
  <c r="K96" i="78"/>
  <c r="M96" i="78"/>
  <c r="N96" i="78"/>
  <c r="H141" i="75"/>
  <c r="G141" i="75"/>
  <c r="M57" i="80"/>
  <c r="L57" i="80"/>
  <c r="K57" i="80"/>
  <c r="N57" i="80"/>
  <c r="G61" i="73"/>
  <c r="H61" i="73"/>
  <c r="H115" i="75"/>
  <c r="G115" i="75"/>
  <c r="M57" i="77"/>
  <c r="K57" i="77"/>
  <c r="L57" i="77"/>
  <c r="N57" i="77"/>
  <c r="H90" i="74"/>
  <c r="G90" i="74"/>
  <c r="H115" i="74"/>
  <c r="G115" i="74"/>
  <c r="H118" i="76"/>
  <c r="G118" i="76"/>
  <c r="M113" i="78"/>
  <c r="L113" i="78"/>
  <c r="K113" i="78"/>
  <c r="N113" i="78"/>
  <c r="K123" i="78"/>
  <c r="M123" i="78"/>
  <c r="N123" i="78"/>
  <c r="L123" i="78"/>
  <c r="N108" i="77"/>
  <c r="M108" i="77"/>
  <c r="K108" i="77"/>
  <c r="L108" i="77"/>
  <c r="H119" i="75"/>
  <c r="G119" i="75"/>
  <c r="G114" i="74"/>
  <c r="H114" i="74"/>
  <c r="H83" i="75"/>
  <c r="G83" i="75"/>
  <c r="L110" i="78"/>
  <c r="K110" i="78"/>
  <c r="M110" i="78"/>
  <c r="N110" i="78"/>
  <c r="K58" i="77"/>
  <c r="M58" i="77"/>
  <c r="N58" i="77"/>
  <c r="L58" i="77"/>
  <c r="G135" i="75"/>
  <c r="H135" i="75"/>
  <c r="M103" i="77"/>
  <c r="L103" i="77"/>
  <c r="K103" i="77"/>
  <c r="N103" i="77"/>
  <c r="H67" i="73"/>
  <c r="G67" i="73"/>
  <c r="M114" i="79"/>
  <c r="L114" i="79"/>
  <c r="K114" i="79"/>
  <c r="N114" i="79"/>
  <c r="H51" i="74"/>
  <c r="G51" i="74"/>
  <c r="M36" i="77"/>
  <c r="L36" i="77"/>
  <c r="N36" i="77"/>
  <c r="N92" i="80"/>
  <c r="M92" i="80"/>
  <c r="K92" i="80"/>
  <c r="L92" i="80"/>
  <c r="N56" i="78"/>
  <c r="M56" i="78"/>
  <c r="L56" i="78"/>
  <c r="K56" i="78"/>
  <c r="L108" i="79"/>
  <c r="K108" i="79"/>
  <c r="N108" i="79"/>
  <c r="M108" i="79"/>
  <c r="H139" i="75"/>
  <c r="G139" i="75"/>
  <c r="L134" i="80"/>
  <c r="K134" i="80"/>
  <c r="N134" i="80"/>
  <c r="M134" i="80"/>
  <c r="N64" i="79"/>
  <c r="M64" i="79"/>
  <c r="L64" i="79"/>
  <c r="K64" i="79"/>
  <c r="N89" i="78"/>
  <c r="M89" i="78"/>
  <c r="L89" i="78"/>
  <c r="K89" i="78"/>
  <c r="L110" i="77"/>
  <c r="K110" i="77"/>
  <c r="N110" i="77"/>
  <c r="M110" i="77"/>
  <c r="G33" i="75"/>
  <c r="H33" i="75"/>
  <c r="H67" i="75"/>
  <c r="G67" i="75"/>
  <c r="K68" i="80"/>
  <c r="L68" i="80"/>
  <c r="N68" i="80"/>
  <c r="M68" i="80"/>
  <c r="H75" i="76"/>
  <c r="G75" i="76"/>
  <c r="H34" i="74"/>
  <c r="G34" i="74"/>
  <c r="L46" i="77"/>
  <c r="K46" i="77"/>
  <c r="N46" i="77"/>
  <c r="M46" i="77"/>
  <c r="H89" i="76"/>
  <c r="G89" i="76"/>
  <c r="H100" i="76"/>
  <c r="G100" i="76"/>
  <c r="G138" i="76"/>
  <c r="H138" i="76"/>
  <c r="M75" i="78"/>
  <c r="L75" i="78"/>
  <c r="K75" i="78"/>
  <c r="N75" i="78"/>
  <c r="N62" i="78"/>
  <c r="M62" i="78"/>
  <c r="L62" i="78"/>
  <c r="K62" i="78"/>
  <c r="N110" i="80"/>
  <c r="M110" i="80"/>
  <c r="L110" i="80"/>
  <c r="K110" i="80"/>
  <c r="G94" i="76"/>
  <c r="H94" i="76"/>
  <c r="M134" i="79"/>
  <c r="K134" i="79"/>
  <c r="L134" i="79"/>
  <c r="N134" i="79"/>
  <c r="H93" i="74"/>
  <c r="G93" i="74"/>
  <c r="L102" i="80"/>
  <c r="N102" i="80"/>
  <c r="M102" i="80"/>
  <c r="K102" i="80"/>
  <c r="H86" i="74"/>
  <c r="G86" i="74"/>
  <c r="K53" i="78"/>
  <c r="L53" i="78"/>
  <c r="N53" i="78"/>
  <c r="M53" i="78"/>
  <c r="N136" i="78"/>
  <c r="M136" i="78"/>
  <c r="L136" i="78"/>
  <c r="K136" i="78"/>
  <c r="K76" i="77"/>
  <c r="N76" i="77"/>
  <c r="M76" i="77"/>
  <c r="L76" i="77"/>
  <c r="K80" i="79"/>
  <c r="N80" i="79"/>
  <c r="M80" i="79"/>
  <c r="L80" i="79"/>
  <c r="M124" i="80"/>
  <c r="K124" i="80"/>
  <c r="N124" i="80"/>
  <c r="L124" i="80"/>
  <c r="N133" i="79"/>
  <c r="M133" i="79"/>
  <c r="L133" i="79"/>
  <c r="K133" i="79"/>
  <c r="H113" i="74"/>
  <c r="G113" i="74"/>
  <c r="H140" i="74"/>
  <c r="G140" i="74"/>
  <c r="N110" i="79"/>
  <c r="M110" i="79"/>
  <c r="L110" i="79"/>
  <c r="K110" i="79"/>
  <c r="L111" i="78"/>
  <c r="K111" i="78"/>
  <c r="N111" i="78"/>
  <c r="M111" i="78"/>
  <c r="G108" i="75"/>
  <c r="H108" i="75"/>
  <c r="N85" i="78"/>
  <c r="M85" i="78"/>
  <c r="L85" i="78"/>
  <c r="K85" i="78"/>
  <c r="H42" i="74"/>
  <c r="G42" i="74"/>
  <c r="H35" i="75"/>
  <c r="G35" i="75"/>
  <c r="E147" i="41"/>
  <c r="A147" i="41"/>
  <c r="E205" i="41"/>
  <c r="A205" i="41"/>
  <c r="A171" i="41"/>
  <c r="E171" i="41"/>
  <c r="E116" i="41"/>
  <c r="A116" i="41"/>
  <c r="A127" i="41"/>
  <c r="E127" i="41"/>
  <c r="A193" i="41"/>
  <c r="E193" i="41"/>
  <c r="A138" i="41"/>
  <c r="E138" i="41"/>
  <c r="E215" i="41"/>
  <c r="A215" i="41"/>
  <c r="A160" i="41"/>
  <c r="E160" i="41"/>
  <c r="A182" i="41"/>
  <c r="E182" i="41"/>
  <c r="EK10" i="4"/>
  <c r="L35" i="72"/>
  <c r="G53" i="71"/>
  <c r="H49" i="71"/>
  <c r="G71" i="71"/>
  <c r="H137" i="71"/>
  <c r="G91" i="71"/>
  <c r="G69" i="71"/>
  <c r="H128" i="71"/>
  <c r="H130" i="71"/>
  <c r="H139" i="71"/>
  <c r="G105" i="71"/>
  <c r="H51" i="71"/>
  <c r="H75" i="71"/>
  <c r="H116" i="71"/>
  <c r="G42" i="71"/>
  <c r="H64" i="71"/>
  <c r="H73" i="71"/>
  <c r="H97" i="71"/>
  <c r="N35" i="72"/>
  <c r="H126" i="71"/>
  <c r="H95" i="71"/>
  <c r="G118" i="71"/>
  <c r="H141" i="71"/>
  <c r="H83" i="71"/>
  <c r="H124" i="71"/>
  <c r="G40" i="71"/>
  <c r="H107" i="71"/>
  <c r="G85" i="71"/>
  <c r="G62" i="71"/>
  <c r="H38" i="71"/>
  <c r="N32" i="72"/>
  <c r="M32" i="72"/>
  <c r="L59" i="72"/>
  <c r="M59" i="72"/>
  <c r="N59" i="72"/>
  <c r="K59" i="72"/>
  <c r="K62" i="72"/>
  <c r="L62" i="72"/>
  <c r="N62" i="72"/>
  <c r="M62" i="72"/>
  <c r="K114" i="72"/>
  <c r="L114" i="72"/>
  <c r="N114" i="72"/>
  <c r="M114" i="72"/>
  <c r="K90" i="72"/>
  <c r="N90" i="72"/>
  <c r="M90" i="72"/>
  <c r="L90" i="72"/>
  <c r="L96" i="72"/>
  <c r="M96" i="72"/>
  <c r="K96" i="72"/>
  <c r="N96" i="72"/>
  <c r="M98" i="72"/>
  <c r="K98" i="72"/>
  <c r="N98" i="72"/>
  <c r="L98" i="72"/>
  <c r="N109" i="72"/>
  <c r="M109" i="72"/>
  <c r="K109" i="72"/>
  <c r="L109" i="72"/>
  <c r="L34" i="72"/>
  <c r="N34" i="72"/>
  <c r="M34" i="72"/>
  <c r="G63" i="71"/>
  <c r="H63" i="71"/>
  <c r="H136" i="71"/>
  <c r="G136" i="71"/>
  <c r="H52" i="71"/>
  <c r="G52" i="71"/>
  <c r="H100" i="71"/>
  <c r="G100" i="71"/>
  <c r="H102" i="71"/>
  <c r="G102" i="71"/>
  <c r="K65" i="72"/>
  <c r="M65" i="72"/>
  <c r="L65" i="72"/>
  <c r="N65" i="72"/>
  <c r="M131" i="72"/>
  <c r="K131" i="72"/>
  <c r="N131" i="72"/>
  <c r="G46" i="71"/>
  <c r="H46" i="71"/>
  <c r="M67" i="72"/>
  <c r="N67" i="72"/>
  <c r="L67" i="72"/>
  <c r="K67" i="72"/>
  <c r="G108" i="71"/>
  <c r="H108" i="71"/>
  <c r="N80" i="72"/>
  <c r="L80" i="72"/>
  <c r="K80" i="72"/>
  <c r="M80" i="72"/>
  <c r="N64" i="72"/>
  <c r="L64" i="72"/>
  <c r="K64" i="72"/>
  <c r="M64" i="72"/>
  <c r="N52" i="72"/>
  <c r="K52" i="72"/>
  <c r="M52" i="72"/>
  <c r="L52" i="72"/>
  <c r="M66" i="72"/>
  <c r="L66" i="72"/>
  <c r="K66" i="72"/>
  <c r="N66" i="72"/>
  <c r="N111" i="72"/>
  <c r="K111" i="72"/>
  <c r="M111" i="72"/>
  <c r="L111" i="72"/>
  <c r="H74" i="71"/>
  <c r="G74" i="71"/>
  <c r="N76" i="72"/>
  <c r="L76" i="72"/>
  <c r="K76" i="72"/>
  <c r="M76" i="72"/>
  <c r="N100" i="72"/>
  <c r="M100" i="72"/>
  <c r="K100" i="72"/>
  <c r="L100" i="72"/>
  <c r="L128" i="72"/>
  <c r="M128" i="72"/>
  <c r="K128" i="72"/>
  <c r="N128" i="72"/>
  <c r="H101" i="71"/>
  <c r="G101" i="71"/>
  <c r="K53" i="72"/>
  <c r="M53" i="72"/>
  <c r="L53" i="72"/>
  <c r="N53" i="72"/>
  <c r="H82" i="71"/>
  <c r="G82" i="71"/>
  <c r="H84" i="71"/>
  <c r="G84" i="71"/>
  <c r="G35" i="71"/>
  <c r="H35" i="71"/>
  <c r="H90" i="71"/>
  <c r="G90" i="71"/>
  <c r="L46" i="72"/>
  <c r="K46" i="72"/>
  <c r="N46" i="72"/>
  <c r="M46" i="72"/>
  <c r="H112" i="71"/>
  <c r="G112" i="71"/>
  <c r="L45" i="72"/>
  <c r="N45" i="72"/>
  <c r="K45" i="72"/>
  <c r="M45" i="72"/>
  <c r="G81" i="71"/>
  <c r="H81" i="71"/>
  <c r="L58" i="72"/>
  <c r="K58" i="72"/>
  <c r="M58" i="72"/>
  <c r="N58" i="72"/>
  <c r="M88" i="72"/>
  <c r="L88" i="72"/>
  <c r="K88" i="72"/>
  <c r="N88" i="72"/>
  <c r="K97" i="72"/>
  <c r="L97" i="72"/>
  <c r="N97" i="72"/>
  <c r="M97" i="72"/>
  <c r="K136" i="72"/>
  <c r="M136" i="72"/>
  <c r="L136" i="72"/>
  <c r="N136" i="72"/>
  <c r="H138" i="71"/>
  <c r="G138" i="71"/>
  <c r="K55" i="72"/>
  <c r="M55" i="72"/>
  <c r="L55" i="72"/>
  <c r="N55" i="72"/>
  <c r="K63" i="72"/>
  <c r="M63" i="72"/>
  <c r="L63" i="72"/>
  <c r="N63" i="72"/>
  <c r="L129" i="72"/>
  <c r="M129" i="72"/>
  <c r="N129" i="72"/>
  <c r="K129" i="72"/>
  <c r="N117" i="72"/>
  <c r="L117" i="72"/>
  <c r="K117" i="72"/>
  <c r="M117" i="72"/>
  <c r="L57" i="72"/>
  <c r="M57" i="72"/>
  <c r="N57" i="72"/>
  <c r="K57" i="72"/>
  <c r="G89" i="71"/>
  <c r="H89" i="71"/>
  <c r="M30" i="72"/>
  <c r="L30" i="72"/>
  <c r="N30" i="72"/>
  <c r="M69" i="72"/>
  <c r="L69" i="72"/>
  <c r="K69" i="72"/>
  <c r="N69" i="72"/>
  <c r="H134" i="71"/>
  <c r="G134" i="71"/>
  <c r="H39" i="71"/>
  <c r="G39" i="71"/>
  <c r="H103" i="71"/>
  <c r="G103" i="71"/>
  <c r="K119" i="72"/>
  <c r="L119" i="72"/>
  <c r="M119" i="72"/>
  <c r="N119" i="72"/>
  <c r="K125" i="72"/>
  <c r="M125" i="72"/>
  <c r="N125" i="72"/>
  <c r="L125" i="72"/>
  <c r="N120" i="72"/>
  <c r="K120" i="72"/>
  <c r="M120" i="72"/>
  <c r="L120" i="72"/>
  <c r="N118" i="72"/>
  <c r="K118" i="72"/>
  <c r="M118" i="72"/>
  <c r="L118" i="72"/>
  <c r="M110" i="72"/>
  <c r="K110" i="72"/>
  <c r="L110" i="72"/>
  <c r="N110" i="72"/>
  <c r="G94" i="71"/>
  <c r="H94" i="71"/>
  <c r="G48" i="71"/>
  <c r="H48" i="71"/>
  <c r="L107" i="72"/>
  <c r="M107" i="72"/>
  <c r="N107" i="72"/>
  <c r="K107" i="72"/>
  <c r="K43" i="72"/>
  <c r="M43" i="72"/>
  <c r="N43" i="72"/>
  <c r="L43" i="72"/>
  <c r="M37" i="72"/>
  <c r="N37" i="72"/>
  <c r="L37" i="72"/>
  <c r="N41" i="72"/>
  <c r="M41" i="72"/>
  <c r="L41" i="72"/>
  <c r="K41" i="72"/>
  <c r="H113" i="71"/>
  <c r="G113" i="71"/>
  <c r="L51" i="72"/>
  <c r="M51" i="72"/>
  <c r="N51" i="72"/>
  <c r="K51" i="72"/>
  <c r="M73" i="72"/>
  <c r="N73" i="72"/>
  <c r="K73" i="72"/>
  <c r="L73" i="72"/>
  <c r="G57" i="71"/>
  <c r="H57" i="71"/>
  <c r="L54" i="72"/>
  <c r="K54" i="72"/>
  <c r="M54" i="72"/>
  <c r="N54" i="72"/>
  <c r="H111" i="71"/>
  <c r="G111" i="71"/>
  <c r="G129" i="71"/>
  <c r="H129" i="71"/>
  <c r="N99" i="72"/>
  <c r="L99" i="72"/>
  <c r="K99" i="72"/>
  <c r="M99" i="72"/>
  <c r="G123" i="71"/>
  <c r="H123" i="71"/>
  <c r="H140" i="71"/>
  <c r="G140" i="71"/>
  <c r="H86" i="71"/>
  <c r="G86" i="71"/>
  <c r="N84" i="72"/>
  <c r="K84" i="72"/>
  <c r="L84" i="72"/>
  <c r="M84" i="72"/>
  <c r="H50" i="71"/>
  <c r="G50" i="71"/>
  <c r="H104" i="71"/>
  <c r="G104" i="71"/>
  <c r="H47" i="71"/>
  <c r="G47" i="71"/>
  <c r="G127" i="71"/>
  <c r="H127" i="71"/>
  <c r="N113" i="72"/>
  <c r="L113" i="72"/>
  <c r="M113" i="72"/>
  <c r="K113" i="72"/>
  <c r="H36" i="71"/>
  <c r="G36" i="71"/>
  <c r="H115" i="71"/>
  <c r="G115" i="71"/>
  <c r="L77" i="72"/>
  <c r="K77" i="72"/>
  <c r="N77" i="72"/>
  <c r="M77" i="72"/>
  <c r="G125" i="71"/>
  <c r="H125" i="71"/>
  <c r="H67" i="71"/>
  <c r="G67" i="71"/>
  <c r="G72" i="71"/>
  <c r="H72" i="71"/>
  <c r="H135" i="71"/>
  <c r="G135" i="71"/>
  <c r="K132" i="72"/>
  <c r="L132" i="72"/>
  <c r="M132" i="72"/>
  <c r="N132" i="72"/>
  <c r="N133" i="72"/>
  <c r="M133" i="72"/>
  <c r="L133" i="72"/>
  <c r="K133" i="72"/>
  <c r="N101" i="72"/>
  <c r="L101" i="72"/>
  <c r="K101" i="72"/>
  <c r="M101" i="72"/>
  <c r="H80" i="71"/>
  <c r="G80" i="71"/>
  <c r="H70" i="71"/>
  <c r="G70" i="71"/>
  <c r="L86" i="72"/>
  <c r="K86" i="72"/>
  <c r="M86" i="72"/>
  <c r="N86" i="72"/>
  <c r="K70" i="72"/>
  <c r="M70" i="72"/>
  <c r="L70" i="72"/>
  <c r="N70" i="72"/>
  <c r="N42" i="72"/>
  <c r="L42" i="72"/>
  <c r="K42" i="72"/>
  <c r="M42" i="72"/>
  <c r="K108" i="72"/>
  <c r="L108" i="72"/>
  <c r="N108" i="72"/>
  <c r="M108" i="72"/>
  <c r="K40" i="72"/>
  <c r="L40" i="72"/>
  <c r="M40" i="72"/>
  <c r="N40" i="72"/>
  <c r="L102" i="72"/>
  <c r="M102" i="72"/>
  <c r="N102" i="72"/>
  <c r="K102" i="72"/>
  <c r="G117" i="71"/>
  <c r="H117" i="71"/>
  <c r="K103" i="72"/>
  <c r="L103" i="72"/>
  <c r="M103" i="72"/>
  <c r="N103" i="72"/>
  <c r="K123" i="72"/>
  <c r="M123" i="72"/>
  <c r="L123" i="72"/>
  <c r="N123" i="72"/>
  <c r="H119" i="71"/>
  <c r="G119" i="71"/>
  <c r="G58" i="71"/>
  <c r="H58" i="71"/>
  <c r="H61" i="71"/>
  <c r="G61" i="71"/>
  <c r="N56" i="72"/>
  <c r="K56" i="72"/>
  <c r="M56" i="72"/>
  <c r="L56" i="72"/>
  <c r="N79" i="72"/>
  <c r="K79" i="72"/>
  <c r="M79" i="72"/>
  <c r="L79" i="72"/>
  <c r="H114" i="71"/>
  <c r="G114" i="71"/>
  <c r="L31" i="72"/>
  <c r="M31" i="72"/>
  <c r="M81" i="72"/>
  <c r="N81" i="72"/>
  <c r="K81" i="72"/>
  <c r="L81" i="72"/>
  <c r="L130" i="72"/>
  <c r="M130" i="72"/>
  <c r="K130" i="72"/>
  <c r="N130" i="72"/>
  <c r="K74" i="72"/>
  <c r="L74" i="72"/>
  <c r="N74" i="72"/>
  <c r="M74" i="72"/>
  <c r="H34" i="71"/>
  <c r="G34" i="71"/>
  <c r="K91" i="72"/>
  <c r="M91" i="72"/>
  <c r="L91" i="72"/>
  <c r="N91" i="72"/>
  <c r="M47" i="72"/>
  <c r="N47" i="72"/>
  <c r="L47" i="72"/>
  <c r="K47" i="72"/>
  <c r="H96" i="71"/>
  <c r="G96" i="71"/>
  <c r="N75" i="72"/>
  <c r="L75" i="72"/>
  <c r="K75" i="72"/>
  <c r="M75" i="72"/>
  <c r="K106" i="72"/>
  <c r="L106" i="72"/>
  <c r="N106" i="72"/>
  <c r="M106" i="72"/>
  <c r="K92" i="72"/>
  <c r="M92" i="72"/>
  <c r="L92" i="72"/>
  <c r="N92" i="72"/>
  <c r="N48" i="72"/>
  <c r="K48" i="72"/>
  <c r="M48" i="72"/>
  <c r="L48" i="72"/>
  <c r="K85" i="72"/>
  <c r="N85" i="72"/>
  <c r="L85" i="72"/>
  <c r="M85" i="72"/>
  <c r="H106" i="71"/>
  <c r="G106" i="71"/>
  <c r="H41" i="71"/>
  <c r="G41" i="71"/>
  <c r="G59" i="71"/>
  <c r="H59" i="71"/>
  <c r="K78" i="72"/>
  <c r="L78" i="72"/>
  <c r="M78" i="72"/>
  <c r="N78" i="72"/>
  <c r="L36" i="72"/>
  <c r="M36" i="72"/>
  <c r="N36" i="72"/>
  <c r="H78" i="71"/>
  <c r="G78" i="71"/>
  <c r="G68" i="71"/>
  <c r="H68" i="71"/>
  <c r="M44" i="72"/>
  <c r="N44" i="72"/>
  <c r="L44" i="72"/>
  <c r="K44" i="72"/>
  <c r="K87" i="72"/>
  <c r="L87" i="72"/>
  <c r="N87" i="72"/>
  <c r="M87" i="72"/>
  <c r="N121" i="72"/>
  <c r="M121" i="72"/>
  <c r="K121" i="72"/>
  <c r="L121" i="72"/>
  <c r="L29" i="72"/>
  <c r="N29" i="72"/>
  <c r="M29" i="72"/>
  <c r="G92" i="71"/>
  <c r="H92" i="71"/>
  <c r="N134" i="72"/>
  <c r="M134" i="72"/>
  <c r="L134" i="72"/>
  <c r="K134" i="72"/>
  <c r="L122" i="72"/>
  <c r="K122" i="72"/>
  <c r="M122" i="72"/>
  <c r="N122" i="72"/>
  <c r="G37" i="71"/>
  <c r="H37" i="71"/>
  <c r="K68" i="72"/>
  <c r="M68" i="72"/>
  <c r="N68" i="72"/>
  <c r="L68" i="72"/>
  <c r="K95" i="72"/>
  <c r="L95" i="72"/>
  <c r="M95" i="72"/>
  <c r="N95" i="72"/>
  <c r="N124" i="72"/>
  <c r="K124" i="72"/>
  <c r="M124" i="72"/>
  <c r="L124" i="72"/>
  <c r="N33" i="72"/>
  <c r="L33" i="72"/>
  <c r="M33" i="72"/>
  <c r="G79" i="71"/>
  <c r="H79" i="71"/>
  <c r="M112" i="72"/>
  <c r="L112" i="72"/>
  <c r="K112" i="72"/>
  <c r="N112" i="72"/>
  <c r="G56" i="71"/>
  <c r="H56" i="71"/>
  <c r="N135" i="72"/>
  <c r="L135" i="72"/>
  <c r="M135" i="72"/>
  <c r="K135" i="72"/>
  <c r="K89" i="72"/>
  <c r="M89" i="72"/>
  <c r="L89" i="72"/>
  <c r="N89" i="72"/>
  <c r="H60" i="71"/>
  <c r="G60" i="71"/>
  <c r="U73" i="103" l="1"/>
  <c r="U71" i="103"/>
  <c r="U59" i="103"/>
  <c r="U76" i="103"/>
  <c r="L30" i="80"/>
  <c r="Q60" i="70"/>
  <c r="U64" i="103"/>
  <c r="FZ2" i="4"/>
  <c r="GA2" i="4"/>
  <c r="U63" i="103"/>
  <c r="U61" i="103"/>
  <c r="U4" i="103"/>
  <c r="X3" i="103" s="1"/>
  <c r="T4" i="103"/>
  <c r="W3" i="103" s="1"/>
  <c r="U72" i="103"/>
  <c r="U70" i="103"/>
  <c r="U62" i="103"/>
  <c r="U65" i="103"/>
  <c r="U75" i="103"/>
  <c r="U74" i="103"/>
  <c r="U66" i="103"/>
  <c r="U77" i="103"/>
  <c r="U60" i="103"/>
  <c r="G109" i="41"/>
  <c r="M41" i="78"/>
  <c r="EA2" i="4"/>
  <c r="L40" i="78"/>
  <c r="U57" i="103"/>
  <c r="U58" i="103" s="1"/>
  <c r="U136" i="103"/>
  <c r="U157" i="103"/>
  <c r="U156" i="103"/>
  <c r="U92" i="103"/>
  <c r="U112" i="103"/>
  <c r="U102" i="103"/>
  <c r="U114" i="103"/>
  <c r="U103" i="103"/>
  <c r="U135" i="103"/>
  <c r="U113" i="103"/>
  <c r="U125" i="103"/>
  <c r="U134" i="103"/>
  <c r="U91" i="103"/>
  <c r="U158" i="103"/>
  <c r="U146" i="103"/>
  <c r="U123" i="103"/>
  <c r="U145" i="103"/>
  <c r="U90" i="103"/>
  <c r="U124" i="103"/>
  <c r="U147" i="103"/>
  <c r="U101" i="103"/>
  <c r="U104" i="103"/>
  <c r="U115" i="103"/>
  <c r="U137" i="103"/>
  <c r="U105" i="103"/>
  <c r="U126" i="103"/>
  <c r="U93" i="103"/>
  <c r="U148" i="103"/>
  <c r="U82" i="103"/>
  <c r="U159" i="103"/>
  <c r="U83" i="103"/>
  <c r="U116" i="103"/>
  <c r="U94" i="103"/>
  <c r="U160" i="103"/>
  <c r="U106" i="103"/>
  <c r="U127" i="103"/>
  <c r="U149" i="103"/>
  <c r="U138" i="103"/>
  <c r="U161" i="103"/>
  <c r="U84" i="103"/>
  <c r="U128" i="103"/>
  <c r="U117" i="103"/>
  <c r="U150" i="103"/>
  <c r="U95" i="103"/>
  <c r="U107" i="103"/>
  <c r="U139" i="103"/>
  <c r="U108" i="103"/>
  <c r="U85" i="103"/>
  <c r="U140" i="103"/>
  <c r="U118" i="103"/>
  <c r="U129" i="103"/>
  <c r="U96" i="103"/>
  <c r="U151" i="103"/>
  <c r="U162" i="103"/>
  <c r="U163" i="103"/>
  <c r="U109" i="103"/>
  <c r="U97" i="103"/>
  <c r="U152" i="103"/>
  <c r="U86" i="103"/>
  <c r="U130" i="103"/>
  <c r="U119" i="103"/>
  <c r="U141" i="103"/>
  <c r="U110" i="103"/>
  <c r="U164" i="103"/>
  <c r="U98" i="103"/>
  <c r="U120" i="103"/>
  <c r="U131" i="103"/>
  <c r="U87" i="103"/>
  <c r="U142" i="103"/>
  <c r="U153" i="103"/>
  <c r="U132" i="103"/>
  <c r="U165" i="103"/>
  <c r="U88" i="103"/>
  <c r="U154" i="103"/>
  <c r="U143" i="103"/>
  <c r="U99" i="103"/>
  <c r="U121" i="103"/>
  <c r="EM53" i="4"/>
  <c r="DO53" i="4"/>
  <c r="DR4" i="4" s="1"/>
  <c r="K37" i="80"/>
  <c r="E81" i="41"/>
  <c r="G81" i="41" s="1"/>
  <c r="F88" i="41" s="1"/>
  <c r="Q64" i="70" s="1"/>
  <c r="DP64" i="4"/>
  <c r="DS3" i="4" s="1"/>
  <c r="M29" i="80"/>
  <c r="L29" i="80"/>
  <c r="S60" i="70" s="1"/>
  <c r="N30" i="80"/>
  <c r="N29" i="80"/>
  <c r="M30" i="80"/>
  <c r="N28" i="80"/>
  <c r="M28" i="80"/>
  <c r="D81" i="41"/>
  <c r="F81" i="41" s="1"/>
  <c r="D88" i="41" s="1"/>
  <c r="P27" i="70" s="1"/>
  <c r="M29" i="78"/>
  <c r="EN52" i="4"/>
  <c r="EN53" i="4"/>
  <c r="M28" i="78"/>
  <c r="EM52" i="4"/>
  <c r="N29" i="78"/>
  <c r="N28" i="78"/>
  <c r="F80" i="103"/>
  <c r="F77" i="103"/>
  <c r="F72" i="103"/>
  <c r="F81" i="103"/>
  <c r="CE12" i="4"/>
  <c r="P22" i="70"/>
  <c r="L28" i="78"/>
  <c r="Q59" i="70"/>
  <c r="L28" i="79"/>
  <c r="Q61" i="70"/>
  <c r="L28" i="80"/>
  <c r="A196" i="49"/>
  <c r="E196" i="49" s="1"/>
  <c r="DZ8" i="4"/>
  <c r="EA8" i="4"/>
  <c r="DZ7" i="4"/>
  <c r="EA7" i="4"/>
  <c r="DZ11" i="4"/>
  <c r="EA11" i="4"/>
  <c r="DZ3" i="4"/>
  <c r="EA3" i="4"/>
  <c r="A163" i="49"/>
  <c r="A164" i="49" s="1"/>
  <c r="DZ5" i="4"/>
  <c r="EA5" i="4"/>
  <c r="DZ4" i="4"/>
  <c r="EA4" i="4"/>
  <c r="A174" i="49"/>
  <c r="A175" i="49" s="1"/>
  <c r="DZ6" i="4"/>
  <c r="EA6" i="4"/>
  <c r="DZ9" i="4"/>
  <c r="EA9" i="4"/>
  <c r="EA10" i="4"/>
  <c r="DZ10" i="4"/>
  <c r="CA12" i="4"/>
  <c r="OH2" i="4"/>
  <c r="OG2" i="4"/>
  <c r="E79" i="51"/>
  <c r="G79" i="51" s="1"/>
  <c r="F89" i="51" s="1"/>
  <c r="Q66" i="70" s="1"/>
  <c r="TN2" i="4" s="1"/>
  <c r="F74" i="103"/>
  <c r="F84" i="103"/>
  <c r="F73" i="103"/>
  <c r="F60" i="103"/>
  <c r="F64" i="103"/>
  <c r="F63" i="103"/>
  <c r="F62" i="103"/>
  <c r="F66" i="103"/>
  <c r="F86" i="103"/>
  <c r="F87" i="103"/>
  <c r="F82" i="103"/>
  <c r="F71" i="103"/>
  <c r="E20" i="90"/>
  <c r="DW9" i="90"/>
  <c r="DW115" i="90"/>
  <c r="C127" i="90"/>
  <c r="K28" i="80"/>
  <c r="K29" i="80"/>
  <c r="K30" i="80"/>
  <c r="K31" i="80"/>
  <c r="K32" i="80"/>
  <c r="K33" i="80"/>
  <c r="K34" i="80"/>
  <c r="K35" i="80"/>
  <c r="K36" i="80"/>
  <c r="K28" i="78"/>
  <c r="K29" i="78"/>
  <c r="K30" i="78"/>
  <c r="K31" i="78"/>
  <c r="K32" i="78"/>
  <c r="K33" i="78"/>
  <c r="K35" i="78"/>
  <c r="K34" i="78"/>
  <c r="K36" i="78"/>
  <c r="F83" i="103"/>
  <c r="F75" i="103"/>
  <c r="B127" i="90"/>
  <c r="DV9" i="90"/>
  <c r="DV115" i="90"/>
  <c r="BN20" i="90"/>
  <c r="BM20" i="90"/>
  <c r="BL127" i="90"/>
  <c r="F59" i="103"/>
  <c r="F76" i="103"/>
  <c r="F65" i="103"/>
  <c r="F85" i="103"/>
  <c r="BY97" i="90"/>
  <c r="BZ97" i="90"/>
  <c r="CF73" i="90"/>
  <c r="CE73" i="90"/>
  <c r="CL67" i="90"/>
  <c r="CK67" i="90"/>
  <c r="CE62" i="90"/>
  <c r="CF62" i="90"/>
  <c r="CK49" i="90"/>
  <c r="CL49" i="90"/>
  <c r="CK113" i="90"/>
  <c r="CL113" i="90"/>
  <c r="CL92" i="90"/>
  <c r="CK92" i="90"/>
  <c r="CK21" i="90"/>
  <c r="CL21" i="90"/>
  <c r="BS79" i="90"/>
  <c r="BT79" i="90"/>
  <c r="BS28" i="90"/>
  <c r="BT28" i="90"/>
  <c r="DW184" i="90"/>
  <c r="E89" i="90"/>
  <c r="D89" i="90"/>
  <c r="DW133" i="90"/>
  <c r="E38" i="90"/>
  <c r="D38" i="90"/>
  <c r="DW192" i="90"/>
  <c r="E97" i="90"/>
  <c r="D97" i="90"/>
  <c r="EI156" i="90"/>
  <c r="Q61" i="90"/>
  <c r="P61" i="90"/>
  <c r="CE132" i="90"/>
  <c r="CF132" i="90"/>
  <c r="EI177" i="90"/>
  <c r="Q82" i="90"/>
  <c r="P82" i="90"/>
  <c r="EO187" i="90"/>
  <c r="V92" i="90"/>
  <c r="W92" i="90"/>
  <c r="EC199" i="90"/>
  <c r="K104" i="90"/>
  <c r="J104" i="90"/>
  <c r="EU201" i="90"/>
  <c r="AB106" i="90"/>
  <c r="AC106" i="90"/>
  <c r="EU206" i="90"/>
  <c r="AB111" i="90"/>
  <c r="AC111" i="90"/>
  <c r="EC122" i="90"/>
  <c r="K27" i="90"/>
  <c r="J27" i="90"/>
  <c r="EO180" i="90"/>
  <c r="V85" i="90"/>
  <c r="W85" i="90"/>
  <c r="EC171" i="90"/>
  <c r="K76" i="90"/>
  <c r="J76" i="90"/>
  <c r="DW136" i="90"/>
  <c r="D41" i="90"/>
  <c r="E41" i="90"/>
  <c r="EO146" i="90"/>
  <c r="V51" i="90"/>
  <c r="W51" i="90"/>
  <c r="EU152" i="90"/>
  <c r="AB57" i="90"/>
  <c r="AC57" i="90"/>
  <c r="EI210" i="90"/>
  <c r="Q115" i="90"/>
  <c r="P115" i="90"/>
  <c r="EI168" i="90"/>
  <c r="Q73" i="90"/>
  <c r="P73" i="90"/>
  <c r="EU130" i="90"/>
  <c r="AB35" i="90"/>
  <c r="AC35" i="90"/>
  <c r="EC183" i="90"/>
  <c r="K88" i="90"/>
  <c r="J88" i="90"/>
  <c r="BY175" i="90"/>
  <c r="BZ175" i="90"/>
  <c r="CK101" i="90"/>
  <c r="CL101" i="90"/>
  <c r="CE54" i="90"/>
  <c r="CF54" i="90"/>
  <c r="BS71" i="90"/>
  <c r="BT71" i="90"/>
  <c r="CL75" i="90"/>
  <c r="CK75" i="90"/>
  <c r="CK112" i="90"/>
  <c r="CL112" i="90"/>
  <c r="BS35" i="90"/>
  <c r="BT35" i="90"/>
  <c r="BY117" i="90"/>
  <c r="BZ117" i="90"/>
  <c r="BY46" i="90"/>
  <c r="BZ46" i="90"/>
  <c r="BS45" i="90"/>
  <c r="BT45" i="90"/>
  <c r="CE107" i="90"/>
  <c r="CF107" i="90"/>
  <c r="BY63" i="90"/>
  <c r="BZ63" i="90"/>
  <c r="EI159" i="90"/>
  <c r="Q64" i="90"/>
  <c r="P64" i="90"/>
  <c r="BM44" i="90"/>
  <c r="BN44" i="90"/>
  <c r="BM21" i="90"/>
  <c r="BN21" i="90"/>
  <c r="BM99" i="90"/>
  <c r="BN99" i="90"/>
  <c r="BS46" i="90"/>
  <c r="BT46" i="90"/>
  <c r="BM156" i="90"/>
  <c r="BN156" i="90"/>
  <c r="AB77" i="90"/>
  <c r="AC77" i="90"/>
  <c r="BS53" i="90"/>
  <c r="BT53" i="90"/>
  <c r="BS94" i="90"/>
  <c r="BT94" i="90"/>
  <c r="CE69" i="90"/>
  <c r="CF69" i="90"/>
  <c r="CK62" i="90"/>
  <c r="CL62" i="90"/>
  <c r="CE42" i="90"/>
  <c r="CF42" i="90"/>
  <c r="BY127" i="90"/>
  <c r="BZ127" i="90"/>
  <c r="BS117" i="90"/>
  <c r="BT117" i="90"/>
  <c r="CE26" i="90"/>
  <c r="CF26" i="90"/>
  <c r="BY23" i="90"/>
  <c r="BZ23" i="90"/>
  <c r="BY106" i="90"/>
  <c r="BZ106" i="90"/>
  <c r="BY79" i="90"/>
  <c r="BZ79" i="90"/>
  <c r="BS25" i="90"/>
  <c r="BT25" i="90"/>
  <c r="CL68" i="90"/>
  <c r="CK68" i="90"/>
  <c r="CL27" i="90"/>
  <c r="CK27" i="90"/>
  <c r="DW208" i="90"/>
  <c r="E113" i="90"/>
  <c r="D113" i="90"/>
  <c r="DW190" i="90"/>
  <c r="E95" i="90"/>
  <c r="D95" i="90"/>
  <c r="DW147" i="90"/>
  <c r="E52" i="90"/>
  <c r="D52" i="90"/>
  <c r="EI207" i="90"/>
  <c r="Q112" i="90"/>
  <c r="P112" i="90"/>
  <c r="AB66" i="90"/>
  <c r="AC66" i="90"/>
  <c r="DW160" i="90"/>
  <c r="E65" i="90"/>
  <c r="D65" i="90"/>
  <c r="BS56" i="90"/>
  <c r="BT56" i="90"/>
  <c r="EC161" i="90"/>
  <c r="K66" i="90"/>
  <c r="J66" i="90"/>
  <c r="EI170" i="90"/>
  <c r="Q75" i="90"/>
  <c r="P75" i="90"/>
  <c r="EO148" i="90"/>
  <c r="V53" i="90"/>
  <c r="W53" i="90"/>
  <c r="EO126" i="90"/>
  <c r="V31" i="90"/>
  <c r="W31" i="90"/>
  <c r="EI204" i="90"/>
  <c r="Q109" i="90"/>
  <c r="P109" i="90"/>
  <c r="AB107" i="90"/>
  <c r="AC107" i="90"/>
  <c r="AB69" i="90"/>
  <c r="AC69" i="90"/>
  <c r="EC184" i="90"/>
  <c r="K89" i="90"/>
  <c r="J89" i="90"/>
  <c r="AB34" i="90"/>
  <c r="AC34" i="90"/>
  <c r="EC162" i="90"/>
  <c r="K67" i="90"/>
  <c r="J67" i="90"/>
  <c r="EO184" i="90"/>
  <c r="V89" i="90"/>
  <c r="W89" i="90"/>
  <c r="EO198" i="90"/>
  <c r="V103" i="90"/>
  <c r="W103" i="90"/>
  <c r="BM173" i="90"/>
  <c r="BN173" i="90"/>
  <c r="DW213" i="90"/>
  <c r="E118" i="90"/>
  <c r="D118" i="90"/>
  <c r="DW137" i="90"/>
  <c r="E42" i="90"/>
  <c r="D42" i="90"/>
  <c r="BS82" i="90"/>
  <c r="BT82" i="90"/>
  <c r="EO177" i="90"/>
  <c r="V82" i="90"/>
  <c r="W82" i="90"/>
  <c r="EI213" i="90"/>
  <c r="Q118" i="90"/>
  <c r="P118" i="90"/>
  <c r="EO161" i="90"/>
  <c r="V66" i="90"/>
  <c r="W66" i="90"/>
  <c r="DW135" i="90"/>
  <c r="E40" i="90"/>
  <c r="D40" i="90"/>
  <c r="AB85" i="90"/>
  <c r="AC85" i="90"/>
  <c r="EC127" i="90"/>
  <c r="K32" i="90"/>
  <c r="J32" i="90"/>
  <c r="EC157" i="90"/>
  <c r="K62" i="90"/>
  <c r="J62" i="90"/>
  <c r="EC163" i="90"/>
  <c r="K68" i="90"/>
  <c r="J68" i="90"/>
  <c r="EI166" i="90"/>
  <c r="Q71" i="90"/>
  <c r="P71" i="90"/>
  <c r="EO128" i="90"/>
  <c r="V33" i="90"/>
  <c r="W33" i="90"/>
  <c r="BM71" i="90"/>
  <c r="BN71" i="90"/>
  <c r="BS74" i="90"/>
  <c r="BT74" i="90"/>
  <c r="CE106" i="90"/>
  <c r="CF106" i="90"/>
  <c r="EH125" i="90"/>
  <c r="N137" i="90"/>
  <c r="EH19" i="90"/>
  <c r="F57" i="103"/>
  <c r="F58" i="103" s="1"/>
  <c r="F123" i="103"/>
  <c r="F113" i="103"/>
  <c r="F101" i="103"/>
  <c r="F102" i="103"/>
  <c r="F134" i="103"/>
  <c r="F157" i="103"/>
  <c r="F146" i="103"/>
  <c r="F92" i="103"/>
  <c r="F114" i="103"/>
  <c r="F135" i="103"/>
  <c r="F156" i="103"/>
  <c r="F147" i="103"/>
  <c r="F90" i="103"/>
  <c r="F145" i="103"/>
  <c r="F103" i="103"/>
  <c r="F158" i="103"/>
  <c r="F124" i="103"/>
  <c r="F91" i="103"/>
  <c r="F148" i="103"/>
  <c r="F136" i="103"/>
  <c r="F115" i="103"/>
  <c r="F104" i="103"/>
  <c r="F125" i="103"/>
  <c r="F159" i="103"/>
  <c r="F93" i="103"/>
  <c r="F160" i="103"/>
  <c r="F105" i="103"/>
  <c r="F116" i="103"/>
  <c r="F94" i="103"/>
  <c r="F149" i="103"/>
  <c r="F137" i="103"/>
  <c r="F126" i="103"/>
  <c r="F106" i="103"/>
  <c r="F117" i="103"/>
  <c r="F95" i="103"/>
  <c r="F150" i="103"/>
  <c r="F138" i="103"/>
  <c r="F161" i="103"/>
  <c r="F127" i="103"/>
  <c r="F96" i="103"/>
  <c r="F128" i="103"/>
  <c r="F139" i="103"/>
  <c r="F118" i="103"/>
  <c r="F107" i="103"/>
  <c r="F162" i="103"/>
  <c r="F151" i="103"/>
  <c r="F119" i="103"/>
  <c r="F152" i="103"/>
  <c r="F129" i="103"/>
  <c r="F108" i="103"/>
  <c r="F97" i="103"/>
  <c r="F163" i="103"/>
  <c r="F140" i="103"/>
  <c r="F141" i="103"/>
  <c r="F130" i="103"/>
  <c r="F120" i="103"/>
  <c r="F153" i="103"/>
  <c r="F98" i="103"/>
  <c r="F164" i="103"/>
  <c r="F109" i="103"/>
  <c r="F142" i="103"/>
  <c r="F131" i="103"/>
  <c r="F165" i="103"/>
  <c r="F110" i="103"/>
  <c r="F99" i="103"/>
  <c r="F121" i="103"/>
  <c r="F154" i="103"/>
  <c r="F132" i="103"/>
  <c r="F143" i="103"/>
  <c r="EC178" i="90"/>
  <c r="K83" i="90"/>
  <c r="J83" i="90"/>
  <c r="AB59" i="90"/>
  <c r="AC59" i="90"/>
  <c r="AB39" i="90"/>
  <c r="AC39" i="90"/>
  <c r="DW161" i="90"/>
  <c r="E66" i="90"/>
  <c r="D66" i="90"/>
  <c r="DW163" i="90"/>
  <c r="E68" i="90"/>
  <c r="D68" i="90"/>
  <c r="DW174" i="90"/>
  <c r="E79" i="90"/>
  <c r="D79" i="90"/>
  <c r="EO120" i="90"/>
  <c r="V25" i="90"/>
  <c r="W25" i="90"/>
  <c r="EI115" i="90"/>
  <c r="P20" i="90"/>
  <c r="Q20" i="90"/>
  <c r="DW210" i="90"/>
  <c r="E115" i="90"/>
  <c r="D115" i="90"/>
  <c r="EO208" i="90"/>
  <c r="V113" i="90"/>
  <c r="W113" i="90"/>
  <c r="AB104" i="90"/>
  <c r="AC104" i="90"/>
  <c r="DW122" i="90"/>
  <c r="E27" i="90"/>
  <c r="D27" i="90"/>
  <c r="EI119" i="90"/>
  <c r="Q24" i="90"/>
  <c r="P24" i="90"/>
  <c r="DW130" i="90"/>
  <c r="E35" i="90"/>
  <c r="D35" i="90"/>
  <c r="EC173" i="90"/>
  <c r="K78" i="90"/>
  <c r="J78" i="90"/>
  <c r="EO212" i="90"/>
  <c r="V117" i="90"/>
  <c r="W117" i="90"/>
  <c r="DW172" i="90"/>
  <c r="E77" i="90"/>
  <c r="D77" i="90"/>
  <c r="EI192" i="90"/>
  <c r="Q97" i="90"/>
  <c r="P97" i="90"/>
  <c r="EO168" i="90"/>
  <c r="V73" i="90"/>
  <c r="W73" i="90"/>
  <c r="EU162" i="90"/>
  <c r="AB67" i="90"/>
  <c r="AC67" i="90"/>
  <c r="EO157" i="90"/>
  <c r="V62" i="90"/>
  <c r="W62" i="90"/>
  <c r="EU144" i="90"/>
  <c r="AB49" i="90"/>
  <c r="AC49" i="90"/>
  <c r="EU208" i="90"/>
  <c r="AB113" i="90"/>
  <c r="AC113" i="90"/>
  <c r="EU187" i="90"/>
  <c r="AB92" i="90"/>
  <c r="AC92" i="90"/>
  <c r="EU116" i="90"/>
  <c r="AB21" i="90"/>
  <c r="AC21" i="90"/>
  <c r="EC174" i="90"/>
  <c r="K79" i="90"/>
  <c r="J79" i="90"/>
  <c r="EC123" i="90"/>
  <c r="K28" i="90"/>
  <c r="J28" i="90"/>
  <c r="BM32" i="90"/>
  <c r="BN32" i="90"/>
  <c r="BM114" i="90"/>
  <c r="BN114" i="90"/>
  <c r="BS116" i="90"/>
  <c r="BT116" i="90"/>
  <c r="CK32" i="90"/>
  <c r="CL32" i="90"/>
  <c r="BY49" i="90"/>
  <c r="BZ49" i="90"/>
  <c r="CE38" i="90"/>
  <c r="CF38" i="90"/>
  <c r="BN186" i="90"/>
  <c r="BM186" i="90"/>
  <c r="CE23" i="90"/>
  <c r="CF23" i="90"/>
  <c r="CF105" i="90"/>
  <c r="CE105" i="90"/>
  <c r="BY88" i="90"/>
  <c r="BZ88" i="90"/>
  <c r="BY102" i="90"/>
  <c r="BZ102" i="90"/>
  <c r="BS51" i="90"/>
  <c r="BT51" i="90"/>
  <c r="CE98" i="90"/>
  <c r="CF98" i="90"/>
  <c r="BY72" i="90"/>
  <c r="BZ72" i="90"/>
  <c r="CE37" i="90"/>
  <c r="CF37" i="90"/>
  <c r="CK36" i="90"/>
  <c r="CL36" i="90"/>
  <c r="BM193" i="90"/>
  <c r="BN193" i="90"/>
  <c r="BM62" i="90"/>
  <c r="BN62" i="90"/>
  <c r="BM46" i="90"/>
  <c r="BN46" i="90"/>
  <c r="BS39" i="90"/>
  <c r="BT39" i="90"/>
  <c r="BS49" i="90"/>
  <c r="BT49" i="90"/>
  <c r="AB101" i="90"/>
  <c r="AC101" i="90"/>
  <c r="EO149" i="90"/>
  <c r="V54" i="90"/>
  <c r="W54" i="90"/>
  <c r="EC166" i="90"/>
  <c r="K71" i="90"/>
  <c r="J71" i="90"/>
  <c r="AB75" i="90"/>
  <c r="AC75" i="90"/>
  <c r="AB112" i="90"/>
  <c r="AC112" i="90"/>
  <c r="EC130" i="90"/>
  <c r="K35" i="90"/>
  <c r="J35" i="90"/>
  <c r="EI212" i="90"/>
  <c r="Q117" i="90"/>
  <c r="P117" i="90"/>
  <c r="EI141" i="90"/>
  <c r="Q46" i="90"/>
  <c r="P46" i="90"/>
  <c r="EC140" i="90"/>
  <c r="K45" i="90"/>
  <c r="J45" i="90"/>
  <c r="EO202" i="90"/>
  <c r="V107" i="90"/>
  <c r="W107" i="90"/>
  <c r="EI158" i="90"/>
  <c r="Q63" i="90"/>
  <c r="P63" i="90"/>
  <c r="BY31" i="90"/>
  <c r="BZ31" i="90"/>
  <c r="BN162" i="90"/>
  <c r="BM162" i="90"/>
  <c r="DW139" i="90"/>
  <c r="E44" i="90"/>
  <c r="D44" i="90"/>
  <c r="DW116" i="90"/>
  <c r="D21" i="90"/>
  <c r="E21" i="90"/>
  <c r="DW194" i="90"/>
  <c r="E99" i="90"/>
  <c r="D99" i="90"/>
  <c r="EC141" i="90"/>
  <c r="K46" i="90"/>
  <c r="J46" i="90"/>
  <c r="BM92" i="90"/>
  <c r="BN92" i="90"/>
  <c r="CE184" i="90"/>
  <c r="CF184" i="90"/>
  <c r="EC148" i="90"/>
  <c r="K53" i="90"/>
  <c r="J53" i="90"/>
  <c r="EC189" i="90"/>
  <c r="K94" i="90"/>
  <c r="J94" i="90"/>
  <c r="EO164" i="90"/>
  <c r="V69" i="90"/>
  <c r="W69" i="90"/>
  <c r="EU157" i="90"/>
  <c r="AB62" i="90"/>
  <c r="AC62" i="90"/>
  <c r="EO137" i="90"/>
  <c r="V42" i="90"/>
  <c r="W42" i="90"/>
  <c r="BS190" i="90"/>
  <c r="BT190" i="90"/>
  <c r="EC212" i="90"/>
  <c r="K117" i="90"/>
  <c r="J117" i="90"/>
  <c r="EO121" i="90"/>
  <c r="V26" i="90"/>
  <c r="W26" i="90"/>
  <c r="EI118" i="90"/>
  <c r="Q23" i="90"/>
  <c r="P23" i="90"/>
  <c r="EI201" i="90"/>
  <c r="Q106" i="90"/>
  <c r="P106" i="90"/>
  <c r="EI174" i="90"/>
  <c r="Q79" i="90"/>
  <c r="P79" i="90"/>
  <c r="EC120" i="90"/>
  <c r="K25" i="90"/>
  <c r="J25" i="90"/>
  <c r="EU163" i="90"/>
  <c r="AB68" i="90"/>
  <c r="AC68" i="90"/>
  <c r="EU122" i="90"/>
  <c r="AB27" i="90"/>
  <c r="AC27" i="90"/>
  <c r="BM56" i="90"/>
  <c r="BN56" i="90"/>
  <c r="BM23" i="90"/>
  <c r="BN23" i="90"/>
  <c r="CF49" i="90"/>
  <c r="CE49" i="90"/>
  <c r="CL44" i="90"/>
  <c r="CK44" i="90"/>
  <c r="CF96" i="90"/>
  <c r="CE96" i="90"/>
  <c r="CL99" i="90"/>
  <c r="CK99" i="90"/>
  <c r="BS58" i="90"/>
  <c r="BT58" i="90"/>
  <c r="CE63" i="90"/>
  <c r="CF63" i="90"/>
  <c r="CF64" i="90"/>
  <c r="CE64" i="90"/>
  <c r="CL20" i="90"/>
  <c r="CK20" i="90"/>
  <c r="CE114" i="90"/>
  <c r="CF114" i="90"/>
  <c r="BS29" i="90"/>
  <c r="BT29" i="90"/>
  <c r="BS81" i="90"/>
  <c r="BT81" i="90"/>
  <c r="CK54" i="90"/>
  <c r="CL54" i="90"/>
  <c r="BM85" i="90"/>
  <c r="BN85" i="90"/>
  <c r="BM102" i="90"/>
  <c r="BN102" i="90"/>
  <c r="EC177" i="90"/>
  <c r="K82" i="90"/>
  <c r="J82" i="90"/>
  <c r="CL23" i="90"/>
  <c r="CK23" i="90"/>
  <c r="BS33" i="90"/>
  <c r="BT33" i="90"/>
  <c r="CE95" i="90"/>
  <c r="CF95" i="90"/>
  <c r="CK29" i="90"/>
  <c r="CL29" i="90"/>
  <c r="BY105" i="90"/>
  <c r="BZ105" i="90"/>
  <c r="BS106" i="90"/>
  <c r="BT106" i="90"/>
  <c r="CL63" i="90"/>
  <c r="CK63" i="90"/>
  <c r="BY107" i="90"/>
  <c r="BZ107" i="90"/>
  <c r="BM175" i="90"/>
  <c r="BN175" i="90"/>
  <c r="DW166" i="90"/>
  <c r="E71" i="90"/>
  <c r="D71" i="90"/>
  <c r="EO201" i="90"/>
  <c r="V106" i="90"/>
  <c r="W106" i="90"/>
  <c r="EC115" i="90"/>
  <c r="K20" i="90"/>
  <c r="J20" i="90"/>
  <c r="I127" i="90"/>
  <c r="EC9" i="90"/>
  <c r="EC175" i="90"/>
  <c r="K80" i="90"/>
  <c r="J80" i="90"/>
  <c r="I187" i="90"/>
  <c r="EC69" i="90"/>
  <c r="BY56" i="90"/>
  <c r="BZ56" i="90"/>
  <c r="CE78" i="90"/>
  <c r="CF78" i="90"/>
  <c r="BS97" i="90"/>
  <c r="BT97" i="90"/>
  <c r="CE39" i="90"/>
  <c r="CF39" i="90"/>
  <c r="CK93" i="90"/>
  <c r="CL93" i="90"/>
  <c r="CL31" i="90"/>
  <c r="CK31" i="90"/>
  <c r="CF84" i="90"/>
  <c r="CE84" i="90"/>
  <c r="CE87" i="90"/>
  <c r="CF87" i="90"/>
  <c r="BS87" i="90"/>
  <c r="BT87" i="90"/>
  <c r="BS109" i="90"/>
  <c r="BT109" i="90"/>
  <c r="BM160" i="90"/>
  <c r="BN160" i="90"/>
  <c r="DW127" i="90"/>
  <c r="E32" i="90"/>
  <c r="D32" i="90"/>
  <c r="DW209" i="90"/>
  <c r="E114" i="90"/>
  <c r="D114" i="90"/>
  <c r="EC211" i="90"/>
  <c r="K116" i="90"/>
  <c r="J116" i="90"/>
  <c r="AB32" i="90"/>
  <c r="AC32" i="90"/>
  <c r="EI144" i="90"/>
  <c r="Q49" i="90"/>
  <c r="P49" i="90"/>
  <c r="EO133" i="90"/>
  <c r="V38" i="90"/>
  <c r="W38" i="90"/>
  <c r="BM132" i="90"/>
  <c r="BN132" i="90"/>
  <c r="BY193" i="90"/>
  <c r="BZ193" i="90"/>
  <c r="EO118" i="90"/>
  <c r="V23" i="90"/>
  <c r="W23" i="90"/>
  <c r="EO200" i="90"/>
  <c r="V105" i="90"/>
  <c r="W105" i="90"/>
  <c r="EI183" i="90"/>
  <c r="Q88" i="90"/>
  <c r="P88" i="90"/>
  <c r="EI197" i="90"/>
  <c r="Q102" i="90"/>
  <c r="P102" i="90"/>
  <c r="EC146" i="90"/>
  <c r="K51" i="90"/>
  <c r="J51" i="90"/>
  <c r="EO193" i="90"/>
  <c r="V98" i="90"/>
  <c r="W98" i="90"/>
  <c r="EI167" i="90"/>
  <c r="Q72" i="90"/>
  <c r="P72" i="90"/>
  <c r="EO132" i="90"/>
  <c r="V37" i="90"/>
  <c r="W37" i="90"/>
  <c r="AB36" i="90"/>
  <c r="AC36" i="90"/>
  <c r="BM144" i="90"/>
  <c r="BN144" i="90"/>
  <c r="DW157" i="90"/>
  <c r="E62" i="90"/>
  <c r="D62" i="90"/>
  <c r="DW141" i="90"/>
  <c r="E46" i="90"/>
  <c r="D46" i="90"/>
  <c r="EC134" i="90"/>
  <c r="K39" i="90"/>
  <c r="J39" i="90"/>
  <c r="EC144" i="90"/>
  <c r="K49" i="90"/>
  <c r="J49" i="90"/>
  <c r="BS59" i="90"/>
  <c r="BT59" i="90"/>
  <c r="BS41" i="90"/>
  <c r="BT41" i="90"/>
  <c r="BY51" i="90"/>
  <c r="BZ51" i="90"/>
  <c r="CK114" i="90"/>
  <c r="CL114" i="90"/>
  <c r="CK56" i="90"/>
  <c r="CL56" i="90"/>
  <c r="CF108" i="90"/>
  <c r="CE108" i="90"/>
  <c r="BY62" i="90"/>
  <c r="BZ62" i="90"/>
  <c r="BZ52" i="90"/>
  <c r="BY52" i="90"/>
  <c r="BS31" i="90"/>
  <c r="BT31" i="90"/>
  <c r="BS72" i="90"/>
  <c r="BT72" i="90"/>
  <c r="EI126" i="90"/>
  <c r="P31" i="90"/>
  <c r="Q31" i="90"/>
  <c r="BN142" i="90"/>
  <c r="BM142" i="90"/>
  <c r="BM28" i="90"/>
  <c r="BN28" i="90"/>
  <c r="CE34" i="90"/>
  <c r="CF34" i="90"/>
  <c r="BS98" i="90"/>
  <c r="BT98" i="90"/>
  <c r="CE93" i="90"/>
  <c r="CF93" i="90"/>
  <c r="BS24" i="90"/>
  <c r="BT24" i="90"/>
  <c r="CL79" i="90"/>
  <c r="CK79" i="90"/>
  <c r="DW187" i="90"/>
  <c r="E92" i="90"/>
  <c r="D92" i="90"/>
  <c r="CK22" i="90"/>
  <c r="CL22" i="90"/>
  <c r="CF72" i="90"/>
  <c r="CE72" i="90"/>
  <c r="BY99" i="90"/>
  <c r="BZ99" i="90"/>
  <c r="CL83" i="90"/>
  <c r="CK83" i="90"/>
  <c r="CL71" i="90"/>
  <c r="CK71" i="90"/>
  <c r="CK73" i="90"/>
  <c r="CL73" i="90"/>
  <c r="BY83" i="90"/>
  <c r="BZ83" i="90"/>
  <c r="BN146" i="90"/>
  <c r="BM146" i="90"/>
  <c r="BY43" i="90"/>
  <c r="BZ43" i="90"/>
  <c r="CE55" i="90"/>
  <c r="CF55" i="90"/>
  <c r="CE116" i="90"/>
  <c r="CF116" i="90"/>
  <c r="BS105" i="90"/>
  <c r="BT105" i="90"/>
  <c r="BS115" i="90"/>
  <c r="BT115" i="90"/>
  <c r="CF48" i="90"/>
  <c r="CE48" i="90"/>
  <c r="BS38" i="90"/>
  <c r="BT38" i="90"/>
  <c r="BS21" i="90"/>
  <c r="BT21" i="90"/>
  <c r="BY34" i="90"/>
  <c r="BZ34" i="90"/>
  <c r="BY103" i="90"/>
  <c r="BZ103" i="90"/>
  <c r="BS108" i="90"/>
  <c r="BT108" i="90"/>
  <c r="DW151" i="90"/>
  <c r="E56" i="90"/>
  <c r="D56" i="90"/>
  <c r="DW118" i="90"/>
  <c r="E23" i="90"/>
  <c r="D23" i="90"/>
  <c r="EO144" i="90"/>
  <c r="V49" i="90"/>
  <c r="W49" i="90"/>
  <c r="EU139" i="90"/>
  <c r="AB44" i="90"/>
  <c r="AC44" i="90"/>
  <c r="EO191" i="90"/>
  <c r="V96" i="90"/>
  <c r="W96" i="90"/>
  <c r="EU194" i="90"/>
  <c r="AB99" i="90"/>
  <c r="AC99" i="90"/>
  <c r="EC153" i="90"/>
  <c r="K58" i="90"/>
  <c r="J58" i="90"/>
  <c r="BT225" i="90"/>
  <c r="BS225" i="90"/>
  <c r="EO158" i="90"/>
  <c r="V63" i="90"/>
  <c r="W63" i="90"/>
  <c r="EO159" i="90"/>
  <c r="V64" i="90"/>
  <c r="W64" i="90"/>
  <c r="AC20" i="90"/>
  <c r="AB20" i="90"/>
  <c r="EO209" i="90"/>
  <c r="V114" i="90"/>
  <c r="W114" i="90"/>
  <c r="EC124" i="90"/>
  <c r="K29" i="90"/>
  <c r="J29" i="90"/>
  <c r="EC176" i="90"/>
  <c r="K81" i="90"/>
  <c r="J81" i="90"/>
  <c r="AB54" i="90"/>
  <c r="AC54" i="90"/>
  <c r="DW180" i="90"/>
  <c r="E85" i="90"/>
  <c r="D85" i="90"/>
  <c r="DW197" i="90"/>
  <c r="E102" i="90"/>
  <c r="D102" i="90"/>
  <c r="BM93" i="90"/>
  <c r="BN93" i="90"/>
  <c r="CK58" i="90"/>
  <c r="CL58" i="90"/>
  <c r="BY85" i="90"/>
  <c r="BZ85" i="90"/>
  <c r="CK94" i="90"/>
  <c r="CL94" i="90"/>
  <c r="BY54" i="90"/>
  <c r="BZ54" i="90"/>
  <c r="CF57" i="90"/>
  <c r="CE57" i="90"/>
  <c r="BY67" i="90"/>
  <c r="BZ67" i="90"/>
  <c r="CE43" i="90"/>
  <c r="CF43" i="90"/>
  <c r="BY183" i="90"/>
  <c r="BZ183" i="90"/>
  <c r="CK28" i="90"/>
  <c r="CL28" i="90"/>
  <c r="AB23" i="90"/>
  <c r="AC23" i="90"/>
  <c r="EC128" i="90"/>
  <c r="K33" i="90"/>
  <c r="J33" i="90"/>
  <c r="EO190" i="90"/>
  <c r="V95" i="90"/>
  <c r="W95" i="90"/>
  <c r="AB29" i="90"/>
  <c r="AC29" i="90"/>
  <c r="EI200" i="90"/>
  <c r="Q105" i="90"/>
  <c r="P105" i="90"/>
  <c r="EC201" i="90"/>
  <c r="K106" i="90"/>
  <c r="J106" i="90"/>
  <c r="AB63" i="90"/>
  <c r="AC63" i="90"/>
  <c r="EI202" i="90"/>
  <c r="Q107" i="90"/>
  <c r="P107" i="90"/>
  <c r="BM84" i="90"/>
  <c r="BN84" i="90"/>
  <c r="BM116" i="90"/>
  <c r="BN116" i="90"/>
  <c r="CL103" i="90"/>
  <c r="CK103" i="90"/>
  <c r="CE86" i="90"/>
  <c r="CF86" i="90"/>
  <c r="BS80" i="90"/>
  <c r="BT80" i="90"/>
  <c r="BR187" i="90"/>
  <c r="EO139" i="90"/>
  <c r="V44" i="90"/>
  <c r="W44" i="90"/>
  <c r="EI163" i="90"/>
  <c r="Q68" i="90"/>
  <c r="P68" i="90"/>
  <c r="DW191" i="90"/>
  <c r="D96" i="90"/>
  <c r="E96" i="90"/>
  <c r="EO162" i="90"/>
  <c r="V67" i="90"/>
  <c r="W67" i="90"/>
  <c r="EI206" i="90"/>
  <c r="Q111" i="90"/>
  <c r="P111" i="90"/>
  <c r="DW144" i="90"/>
  <c r="D49" i="90"/>
  <c r="E49" i="90"/>
  <c r="EC151" i="90"/>
  <c r="K56" i="90"/>
  <c r="J56" i="90"/>
  <c r="AB97" i="90"/>
  <c r="AC97" i="90"/>
  <c r="DW183" i="90"/>
  <c r="E88" i="90"/>
  <c r="D88" i="90"/>
  <c r="EI153" i="90"/>
  <c r="Q58" i="90"/>
  <c r="P58" i="90"/>
  <c r="DW181" i="90"/>
  <c r="E86" i="90"/>
  <c r="D86" i="90"/>
  <c r="EI127" i="90"/>
  <c r="Q32" i="90"/>
  <c r="P32" i="90"/>
  <c r="EO172" i="90"/>
  <c r="V77" i="90"/>
  <c r="W77" i="90"/>
  <c r="DW204" i="90"/>
  <c r="E109" i="90"/>
  <c r="D109" i="90"/>
  <c r="EO206" i="90"/>
  <c r="V111" i="90"/>
  <c r="W111" i="90"/>
  <c r="EC207" i="90"/>
  <c r="K112" i="90"/>
  <c r="J112" i="90"/>
  <c r="DW152" i="90"/>
  <c r="E57" i="90"/>
  <c r="D57" i="90"/>
  <c r="CE154" i="90"/>
  <c r="CF154" i="90"/>
  <c r="EI151" i="90"/>
  <c r="Q56" i="90"/>
  <c r="P56" i="90"/>
  <c r="EO173" i="90"/>
  <c r="V78" i="90"/>
  <c r="W78" i="90"/>
  <c r="EC192" i="90"/>
  <c r="K97" i="90"/>
  <c r="J97" i="90"/>
  <c r="EO134" i="90"/>
  <c r="V39" i="90"/>
  <c r="W39" i="90"/>
  <c r="AB93" i="90"/>
  <c r="AC93" i="90"/>
  <c r="AB31" i="90"/>
  <c r="AC31" i="90"/>
  <c r="EO179" i="90"/>
  <c r="V84" i="90"/>
  <c r="W84" i="90"/>
  <c r="EO182" i="90"/>
  <c r="V87" i="90"/>
  <c r="W87" i="90"/>
  <c r="EC182" i="90"/>
  <c r="K87" i="90"/>
  <c r="J87" i="90"/>
  <c r="EC204" i="90"/>
  <c r="K109" i="90"/>
  <c r="J109" i="90"/>
  <c r="BM136" i="90"/>
  <c r="BN136" i="90"/>
  <c r="BM83" i="90"/>
  <c r="BN83" i="90"/>
  <c r="BM48" i="90"/>
  <c r="BN48" i="90"/>
  <c r="BM184" i="90"/>
  <c r="BN184" i="90"/>
  <c r="BM67" i="90"/>
  <c r="BN67" i="90"/>
  <c r="BY143" i="90"/>
  <c r="BZ143" i="90"/>
  <c r="CE115" i="90"/>
  <c r="CF115" i="90"/>
  <c r="BY22" i="90"/>
  <c r="BZ22" i="90"/>
  <c r="CE102" i="90"/>
  <c r="CF102" i="90"/>
  <c r="CL95" i="90"/>
  <c r="CK95" i="90"/>
  <c r="BS95" i="90"/>
  <c r="BT95" i="90"/>
  <c r="BY44" i="90"/>
  <c r="BZ44" i="90"/>
  <c r="BM224" i="90"/>
  <c r="BN224" i="90"/>
  <c r="BM24" i="90"/>
  <c r="BN24" i="90"/>
  <c r="CE22" i="90"/>
  <c r="CF22" i="90"/>
  <c r="BM54" i="90"/>
  <c r="BN54" i="90"/>
  <c r="BM64" i="90"/>
  <c r="BN64" i="90"/>
  <c r="BY131" i="90"/>
  <c r="BZ131" i="90"/>
  <c r="EC154" i="90"/>
  <c r="K59" i="90"/>
  <c r="J59" i="90"/>
  <c r="EC136" i="90"/>
  <c r="K41" i="90"/>
  <c r="J41" i="90"/>
  <c r="EI146" i="90"/>
  <c r="Q51" i="90"/>
  <c r="P51" i="90"/>
  <c r="EU209" i="90"/>
  <c r="AB114" i="90"/>
  <c r="AC114" i="90"/>
  <c r="EU151" i="90"/>
  <c r="AB56" i="90"/>
  <c r="AC56" i="90"/>
  <c r="EO203" i="90"/>
  <c r="V108" i="90"/>
  <c r="W108" i="90"/>
  <c r="EI157" i="90"/>
  <c r="Q62" i="90"/>
  <c r="P62" i="90"/>
  <c r="EI147" i="90"/>
  <c r="Q52" i="90"/>
  <c r="P52" i="90"/>
  <c r="EC126" i="90"/>
  <c r="K31" i="90"/>
  <c r="J31" i="90"/>
  <c r="EC167" i="90"/>
  <c r="K72" i="90"/>
  <c r="J72" i="90"/>
  <c r="BM216" i="90"/>
  <c r="BN216" i="90"/>
  <c r="DW123" i="90"/>
  <c r="E28" i="90"/>
  <c r="D28" i="90"/>
  <c r="EO129" i="90"/>
  <c r="V34" i="90"/>
  <c r="W34" i="90"/>
  <c r="EC193" i="90"/>
  <c r="K98" i="90"/>
  <c r="J98" i="90"/>
  <c r="EO188" i="90"/>
  <c r="V93" i="90"/>
  <c r="W93" i="90"/>
  <c r="EC119" i="90"/>
  <c r="K24" i="90"/>
  <c r="J24" i="90"/>
  <c r="AB79" i="90"/>
  <c r="AC79" i="90"/>
  <c r="BM22" i="90"/>
  <c r="BN22" i="90"/>
  <c r="BY165" i="90"/>
  <c r="BZ165" i="90"/>
  <c r="EU117" i="90"/>
  <c r="AB22" i="90"/>
  <c r="AC22" i="90"/>
  <c r="EO167" i="90"/>
  <c r="V72" i="90"/>
  <c r="W72" i="90"/>
  <c r="EI194" i="90"/>
  <c r="Q99" i="90"/>
  <c r="P99" i="90"/>
  <c r="EU178" i="90"/>
  <c r="AB83" i="90"/>
  <c r="AC83" i="90"/>
  <c r="EU166" i="90"/>
  <c r="AB71" i="90"/>
  <c r="AC71" i="90"/>
  <c r="EU168" i="90"/>
  <c r="AB73" i="90"/>
  <c r="AC73" i="90"/>
  <c r="EI178" i="90"/>
  <c r="Q83" i="90"/>
  <c r="P83" i="90"/>
  <c r="BM43" i="90"/>
  <c r="BN43" i="90"/>
  <c r="EI138" i="90"/>
  <c r="Q43" i="90"/>
  <c r="P43" i="90"/>
  <c r="EO150" i="90"/>
  <c r="V55" i="90"/>
  <c r="W55" i="90"/>
  <c r="EO211" i="90"/>
  <c r="V116" i="90"/>
  <c r="W116" i="90"/>
  <c r="EC200" i="90"/>
  <c r="K105" i="90"/>
  <c r="J105" i="90"/>
  <c r="EC210" i="90"/>
  <c r="K115" i="90"/>
  <c r="J115" i="90"/>
  <c r="EO143" i="90"/>
  <c r="V48" i="90"/>
  <c r="W48" i="90"/>
  <c r="EC133" i="90"/>
  <c r="K38" i="90"/>
  <c r="J38" i="90"/>
  <c r="EC116" i="90"/>
  <c r="K21" i="90"/>
  <c r="J21" i="90"/>
  <c r="EI129" i="90"/>
  <c r="Q34" i="90"/>
  <c r="P34" i="90"/>
  <c r="EI198" i="90"/>
  <c r="Q103" i="90"/>
  <c r="P103" i="90"/>
  <c r="EC203" i="90"/>
  <c r="K108" i="90"/>
  <c r="J108" i="90"/>
  <c r="BM51" i="90"/>
  <c r="BN51" i="90"/>
  <c r="BM106" i="90"/>
  <c r="BN106" i="90"/>
  <c r="CK211" i="90"/>
  <c r="CL211" i="90"/>
  <c r="BY93" i="90"/>
  <c r="BZ93" i="90"/>
  <c r="BS114" i="90"/>
  <c r="BT114" i="90"/>
  <c r="BY35" i="90"/>
  <c r="BZ35" i="90"/>
  <c r="CF65" i="90"/>
  <c r="CE65" i="90"/>
  <c r="CK98" i="90"/>
  <c r="CL98" i="90"/>
  <c r="CE29" i="90"/>
  <c r="CF29" i="90"/>
  <c r="CE74" i="90"/>
  <c r="CF74" i="90"/>
  <c r="CL84" i="90"/>
  <c r="CK84" i="90"/>
  <c r="CF97" i="90"/>
  <c r="CE97" i="90"/>
  <c r="BS44" i="90"/>
  <c r="BT44" i="90"/>
  <c r="CK26" i="90"/>
  <c r="CL26" i="90"/>
  <c r="BY53" i="90"/>
  <c r="BZ53" i="90"/>
  <c r="BM36" i="90"/>
  <c r="BN36" i="90"/>
  <c r="BM108" i="90"/>
  <c r="BN108" i="90"/>
  <c r="DW188" i="90"/>
  <c r="E93" i="90"/>
  <c r="D93" i="90"/>
  <c r="AB58" i="90"/>
  <c r="AC58" i="90"/>
  <c r="EI180" i="90"/>
  <c r="Q85" i="90"/>
  <c r="P85" i="90"/>
  <c r="AB94" i="90"/>
  <c r="AC94" i="90"/>
  <c r="EI149" i="90"/>
  <c r="Q54" i="90"/>
  <c r="P54" i="90"/>
  <c r="EO152" i="90"/>
  <c r="V57" i="90"/>
  <c r="W57" i="90"/>
  <c r="EI162" i="90"/>
  <c r="Q67" i="90"/>
  <c r="P67" i="90"/>
  <c r="EO138" i="90"/>
  <c r="V43" i="90"/>
  <c r="W43" i="90"/>
  <c r="AB28" i="90"/>
  <c r="AC28" i="90"/>
  <c r="CK38" i="90"/>
  <c r="CL38" i="90"/>
  <c r="BS61" i="90"/>
  <c r="BT61" i="90"/>
  <c r="BY91" i="90"/>
  <c r="BZ91" i="90"/>
  <c r="CL51" i="90"/>
  <c r="CK51" i="90"/>
  <c r="CL116" i="90"/>
  <c r="CK116" i="90"/>
  <c r="CL91" i="90"/>
  <c r="CK91" i="90"/>
  <c r="BS34" i="90"/>
  <c r="BT34" i="90"/>
  <c r="BS119" i="90"/>
  <c r="BT119" i="90"/>
  <c r="CL47" i="90"/>
  <c r="CK47" i="90"/>
  <c r="CK81" i="90"/>
  <c r="CL81" i="90"/>
  <c r="BY65" i="90"/>
  <c r="BZ65" i="90"/>
  <c r="DW179" i="90"/>
  <c r="E84" i="90"/>
  <c r="D84" i="90"/>
  <c r="DW211" i="90"/>
  <c r="E116" i="90"/>
  <c r="D116" i="90"/>
  <c r="AB103" i="90"/>
  <c r="AC103" i="90"/>
  <c r="EO181" i="90"/>
  <c r="V86" i="90"/>
  <c r="W86" i="90"/>
  <c r="EC125" i="90"/>
  <c r="K30" i="90"/>
  <c r="J30" i="90"/>
  <c r="I137" i="90"/>
  <c r="EC19" i="90"/>
  <c r="EB125" i="90"/>
  <c r="H137" i="90"/>
  <c r="EB19" i="90"/>
  <c r="CE174" i="90"/>
  <c r="CF174" i="90"/>
  <c r="BZ116" i="90"/>
  <c r="BY116" i="90"/>
  <c r="BS77" i="90"/>
  <c r="BT77" i="90"/>
  <c r="BS63" i="90"/>
  <c r="BT63" i="90"/>
  <c r="CE83" i="90"/>
  <c r="CF83" i="90"/>
  <c r="BS57" i="90"/>
  <c r="BT57" i="90"/>
  <c r="BY113" i="90"/>
  <c r="BZ113" i="90"/>
  <c r="CF104" i="90"/>
  <c r="CE104" i="90"/>
  <c r="BY55" i="90"/>
  <c r="BZ55" i="90"/>
  <c r="CK78" i="90"/>
  <c r="CL78" i="90"/>
  <c r="BN222" i="90"/>
  <c r="BM222" i="90"/>
  <c r="DW178" i="90"/>
  <c r="E83" i="90"/>
  <c r="D83" i="90"/>
  <c r="DW143" i="90"/>
  <c r="E48" i="90"/>
  <c r="D48" i="90"/>
  <c r="BM205" i="90"/>
  <c r="BN205" i="90"/>
  <c r="DW162" i="90"/>
  <c r="E67" i="90"/>
  <c r="D67" i="90"/>
  <c r="BY29" i="90"/>
  <c r="BZ29" i="90"/>
  <c r="BN182" i="90"/>
  <c r="BM182" i="90"/>
  <c r="EO210" i="90"/>
  <c r="V115" i="90"/>
  <c r="W115" i="90"/>
  <c r="EI117" i="90"/>
  <c r="Q22" i="90"/>
  <c r="P22" i="90"/>
  <c r="EO197" i="90"/>
  <c r="V102" i="90"/>
  <c r="W102" i="90"/>
  <c r="AB95" i="90"/>
  <c r="AC95" i="90"/>
  <c r="EC190" i="90"/>
  <c r="K95" i="90"/>
  <c r="J95" i="90"/>
  <c r="EI139" i="90"/>
  <c r="Q44" i="90"/>
  <c r="P44" i="90"/>
  <c r="BN134" i="90"/>
  <c r="BM134" i="90"/>
  <c r="DW119" i="90"/>
  <c r="E24" i="90"/>
  <c r="D24" i="90"/>
  <c r="EO117" i="90"/>
  <c r="V22" i="90"/>
  <c r="W22" i="90"/>
  <c r="DW149" i="90"/>
  <c r="E54" i="90"/>
  <c r="D54" i="90"/>
  <c r="DW159" i="90"/>
  <c r="E64" i="90"/>
  <c r="D64" i="90"/>
  <c r="CF218" i="90"/>
  <c r="CE218" i="90"/>
  <c r="CL87" i="90"/>
  <c r="CK87" i="90"/>
  <c r="CE94" i="90"/>
  <c r="CF94" i="90"/>
  <c r="CK25" i="90"/>
  <c r="CL25" i="90"/>
  <c r="BS107" i="90"/>
  <c r="BT107" i="90"/>
  <c r="CE101" i="90"/>
  <c r="CF101" i="90"/>
  <c r="BS103" i="90"/>
  <c r="BT103" i="90"/>
  <c r="CL119" i="90"/>
  <c r="CK119" i="90"/>
  <c r="CK46" i="90"/>
  <c r="CL46" i="90"/>
  <c r="BN214" i="90"/>
  <c r="BM214" i="90"/>
  <c r="BM87" i="90"/>
  <c r="BN87" i="90"/>
  <c r="CF32" i="90"/>
  <c r="CE32" i="90"/>
  <c r="CF36" i="90"/>
  <c r="CE36" i="90"/>
  <c r="CL76" i="90"/>
  <c r="CK76" i="90"/>
  <c r="DW117" i="90"/>
  <c r="E22" i="90"/>
  <c r="D22" i="90"/>
  <c r="BS182" i="90"/>
  <c r="BT182" i="90"/>
  <c r="BS65" i="90"/>
  <c r="BT65" i="90"/>
  <c r="CE45" i="90"/>
  <c r="CF45" i="90"/>
  <c r="CF52" i="90"/>
  <c r="CE52" i="90"/>
  <c r="BY41" i="90"/>
  <c r="BZ41" i="90"/>
  <c r="CF24" i="90"/>
  <c r="CE24" i="90"/>
  <c r="BS113" i="90"/>
  <c r="BT113" i="90"/>
  <c r="CF56" i="90"/>
  <c r="CE56" i="90"/>
  <c r="BS92" i="90"/>
  <c r="BT92" i="90"/>
  <c r="DW138" i="90"/>
  <c r="E43" i="90"/>
  <c r="D43" i="90"/>
  <c r="BS55" i="90"/>
  <c r="BT55" i="90"/>
  <c r="CF81" i="90"/>
  <c r="CE81" i="90"/>
  <c r="BY21" i="90"/>
  <c r="BZ21" i="90"/>
  <c r="CK117" i="90"/>
  <c r="CL117" i="90"/>
  <c r="BY114" i="90"/>
  <c r="BZ114" i="90"/>
  <c r="BS93" i="90"/>
  <c r="BT93" i="90"/>
  <c r="BS73" i="90"/>
  <c r="BT73" i="90"/>
  <c r="BY74" i="90"/>
  <c r="BZ74" i="90"/>
  <c r="BM180" i="90"/>
  <c r="BN180" i="90"/>
  <c r="DW146" i="90"/>
  <c r="D51" i="90"/>
  <c r="E51" i="90"/>
  <c r="DW201" i="90"/>
  <c r="E106" i="90"/>
  <c r="D106" i="90"/>
  <c r="CE153" i="90"/>
  <c r="CF153" i="90"/>
  <c r="EI188" i="90"/>
  <c r="Q93" i="90"/>
  <c r="P93" i="90"/>
  <c r="EC209" i="90"/>
  <c r="K114" i="90"/>
  <c r="J114" i="90"/>
  <c r="EI130" i="90"/>
  <c r="Q35" i="90"/>
  <c r="P35" i="90"/>
  <c r="EO160" i="90"/>
  <c r="V65" i="90"/>
  <c r="W65" i="90"/>
  <c r="AB98" i="90"/>
  <c r="AC98" i="90"/>
  <c r="EO124" i="90"/>
  <c r="V29" i="90"/>
  <c r="W29" i="90"/>
  <c r="EO169" i="90"/>
  <c r="V74" i="90"/>
  <c r="W74" i="90"/>
  <c r="AB84" i="90"/>
  <c r="AC84" i="90"/>
  <c r="EO192" i="90"/>
  <c r="V97" i="90"/>
  <c r="W97" i="90"/>
  <c r="EC139" i="90"/>
  <c r="K44" i="90"/>
  <c r="J44" i="90"/>
  <c r="AB26" i="90"/>
  <c r="AC26" i="90"/>
  <c r="EI148" i="90"/>
  <c r="Q53" i="90"/>
  <c r="P53" i="90"/>
  <c r="DW131" i="90"/>
  <c r="E36" i="90"/>
  <c r="D36" i="90"/>
  <c r="DW203" i="90"/>
  <c r="E108" i="90"/>
  <c r="D108" i="90"/>
  <c r="BM34" i="90"/>
  <c r="BN34" i="90"/>
  <c r="CE79" i="90"/>
  <c r="CF79" i="90"/>
  <c r="BS22" i="90"/>
  <c r="BT22" i="90"/>
  <c r="BY94" i="90"/>
  <c r="BZ94" i="90"/>
  <c r="CK86" i="90"/>
  <c r="CL86" i="90"/>
  <c r="BY149" i="90"/>
  <c r="BZ149" i="90"/>
  <c r="EU133" i="90"/>
  <c r="AB38" i="90"/>
  <c r="AC38" i="90"/>
  <c r="EC156" i="90"/>
  <c r="K61" i="90"/>
  <c r="J61" i="90"/>
  <c r="EI186" i="90"/>
  <c r="Q91" i="90"/>
  <c r="P91" i="90"/>
  <c r="EU146" i="90"/>
  <c r="AB51" i="90"/>
  <c r="AC51" i="90"/>
  <c r="EU211" i="90"/>
  <c r="AB116" i="90"/>
  <c r="AC116" i="90"/>
  <c r="EU186" i="90"/>
  <c r="AB91" i="90"/>
  <c r="AC91" i="90"/>
  <c r="EC129" i="90"/>
  <c r="K34" i="90"/>
  <c r="J34" i="90"/>
  <c r="EC214" i="90"/>
  <c r="K119" i="90"/>
  <c r="J119" i="90"/>
  <c r="EU142" i="90"/>
  <c r="AB47" i="90"/>
  <c r="AC47" i="90"/>
  <c r="EU176" i="90"/>
  <c r="AB81" i="90"/>
  <c r="AC81" i="90"/>
  <c r="EI160" i="90"/>
  <c r="Q65" i="90"/>
  <c r="P65" i="90"/>
  <c r="BM26" i="90"/>
  <c r="BN26" i="90"/>
  <c r="BY166" i="90"/>
  <c r="BZ166" i="90"/>
  <c r="BS91" i="90"/>
  <c r="BT91" i="90"/>
  <c r="BT20" i="90"/>
  <c r="BS20" i="90"/>
  <c r="BR127" i="90"/>
  <c r="BY30" i="90"/>
  <c r="BZ30" i="90"/>
  <c r="BX137" i="90"/>
  <c r="F61" i="103"/>
  <c r="EC121" i="90"/>
  <c r="K26" i="90"/>
  <c r="J26" i="90"/>
  <c r="EI181" i="90"/>
  <c r="Q86" i="90"/>
  <c r="P86" i="90"/>
  <c r="DW154" i="90"/>
  <c r="E59" i="90"/>
  <c r="D59" i="90"/>
  <c r="EC169" i="90"/>
  <c r="K74" i="90"/>
  <c r="J74" i="90"/>
  <c r="EI131" i="90"/>
  <c r="Q36" i="90"/>
  <c r="P36" i="90"/>
  <c r="DW120" i="90"/>
  <c r="D25" i="90"/>
  <c r="E25" i="90"/>
  <c r="EC213" i="90"/>
  <c r="K118" i="90"/>
  <c r="J118" i="90"/>
  <c r="DW148" i="90"/>
  <c r="D53" i="90"/>
  <c r="E53" i="90"/>
  <c r="DW142" i="90"/>
  <c r="E47" i="90"/>
  <c r="D47" i="90"/>
  <c r="EC149" i="90"/>
  <c r="K54" i="90"/>
  <c r="J54" i="90"/>
  <c r="DW132" i="90"/>
  <c r="E37" i="90"/>
  <c r="D37" i="90"/>
  <c r="EI191" i="90"/>
  <c r="Q96" i="90"/>
  <c r="P96" i="90"/>
  <c r="EI137" i="90"/>
  <c r="Q42" i="90"/>
  <c r="P42" i="90"/>
  <c r="DW202" i="90"/>
  <c r="E107" i="90"/>
  <c r="D107" i="90"/>
  <c r="EI142" i="90"/>
  <c r="Q47" i="90"/>
  <c r="P47" i="90"/>
  <c r="DW134" i="90"/>
  <c r="E39" i="90"/>
  <c r="D39" i="90"/>
  <c r="DW193" i="90"/>
  <c r="E98" i="90"/>
  <c r="D98" i="90"/>
  <c r="BY218" i="90"/>
  <c r="BZ218" i="90"/>
  <c r="EI211" i="90"/>
  <c r="Q116" i="90"/>
  <c r="P116" i="90"/>
  <c r="EC172" i="90"/>
  <c r="K77" i="90"/>
  <c r="J77" i="90"/>
  <c r="EC158" i="90"/>
  <c r="K63" i="90"/>
  <c r="J63" i="90"/>
  <c r="EO178" i="90"/>
  <c r="V83" i="90"/>
  <c r="W83" i="90"/>
  <c r="EC152" i="90"/>
  <c r="K57" i="90"/>
  <c r="J57" i="90"/>
  <c r="EI208" i="90"/>
  <c r="Q113" i="90"/>
  <c r="P113" i="90"/>
  <c r="EO199" i="90"/>
  <c r="V104" i="90"/>
  <c r="W104" i="90"/>
  <c r="EI150" i="90"/>
  <c r="Q55" i="90"/>
  <c r="P55" i="90"/>
  <c r="AB78" i="90"/>
  <c r="AC78" i="90"/>
  <c r="BM195" i="90"/>
  <c r="BN195" i="90"/>
  <c r="BM81" i="90"/>
  <c r="BN81" i="90"/>
  <c r="CK61" i="90"/>
  <c r="CL61" i="90"/>
  <c r="BY101" i="90"/>
  <c r="BZ101" i="90"/>
  <c r="BM94" i="90"/>
  <c r="BN94" i="90"/>
  <c r="CK179" i="90"/>
  <c r="CL179" i="90"/>
  <c r="EI124" i="90"/>
  <c r="Q29" i="90"/>
  <c r="P29" i="90"/>
  <c r="CK45" i="90"/>
  <c r="CL45" i="90"/>
  <c r="BY27" i="90"/>
  <c r="BZ27" i="90"/>
  <c r="BY39" i="90"/>
  <c r="BZ39" i="90"/>
  <c r="CK88" i="90"/>
  <c r="CL88" i="90"/>
  <c r="BY26" i="90"/>
  <c r="BZ26" i="90"/>
  <c r="CE109" i="90"/>
  <c r="CF109" i="90"/>
  <c r="CK102" i="90"/>
  <c r="CL102" i="90"/>
  <c r="BY95" i="90"/>
  <c r="BZ95" i="90"/>
  <c r="BS96" i="90"/>
  <c r="BT96" i="90"/>
  <c r="CE27" i="90"/>
  <c r="CF27" i="90"/>
  <c r="BS85" i="90"/>
  <c r="BT85" i="90"/>
  <c r="BM45" i="90"/>
  <c r="BN45" i="90"/>
  <c r="BM74" i="90"/>
  <c r="BN74" i="90"/>
  <c r="BY92" i="90"/>
  <c r="BZ92" i="90"/>
  <c r="BM30" i="90"/>
  <c r="BN30" i="90"/>
  <c r="BM72" i="90"/>
  <c r="BN72" i="90"/>
  <c r="BY154" i="90"/>
  <c r="BZ154" i="90"/>
  <c r="CK204" i="90"/>
  <c r="CL204" i="90"/>
  <c r="EU182" i="90"/>
  <c r="AB87" i="90"/>
  <c r="AC87" i="90"/>
  <c r="EO189" i="90"/>
  <c r="V94" i="90"/>
  <c r="W94" i="90"/>
  <c r="EU120" i="90"/>
  <c r="AB25" i="90"/>
  <c r="AC25" i="90"/>
  <c r="EC202" i="90"/>
  <c r="K107" i="90"/>
  <c r="J107" i="90"/>
  <c r="EO196" i="90"/>
  <c r="V101" i="90"/>
  <c r="W101" i="90"/>
  <c r="EC198" i="90"/>
  <c r="K103" i="90"/>
  <c r="J103" i="90"/>
  <c r="EU214" i="90"/>
  <c r="AB119" i="90"/>
  <c r="AC119" i="90"/>
  <c r="EU141" i="90"/>
  <c r="AB46" i="90"/>
  <c r="AC46" i="90"/>
  <c r="BY77" i="90"/>
  <c r="BZ77" i="90"/>
  <c r="BN210" i="90"/>
  <c r="BM210" i="90"/>
  <c r="DW182" i="90"/>
  <c r="E87" i="90"/>
  <c r="D87" i="90"/>
  <c r="EO127" i="90"/>
  <c r="V32" i="90"/>
  <c r="W32" i="90"/>
  <c r="EO131" i="90"/>
  <c r="V36" i="90"/>
  <c r="W36" i="90"/>
  <c r="EU171" i="90"/>
  <c r="AB76" i="90"/>
  <c r="AC76" i="90"/>
  <c r="BM82" i="90"/>
  <c r="BN82" i="90"/>
  <c r="BT185" i="90"/>
  <c r="BS185" i="90"/>
  <c r="EC160" i="90"/>
  <c r="K65" i="90"/>
  <c r="J65" i="90"/>
  <c r="EO140" i="90"/>
  <c r="V45" i="90"/>
  <c r="W45" i="90"/>
  <c r="EO147" i="90"/>
  <c r="V52" i="90"/>
  <c r="W52" i="90"/>
  <c r="EI136" i="90"/>
  <c r="Q41" i="90"/>
  <c r="P41" i="90"/>
  <c r="EO119" i="90"/>
  <c r="V24" i="90"/>
  <c r="W24" i="90"/>
  <c r="EC208" i="90"/>
  <c r="K113" i="90"/>
  <c r="J113" i="90"/>
  <c r="EO151" i="90"/>
  <c r="V56" i="90"/>
  <c r="W56" i="90"/>
  <c r="EC187" i="90"/>
  <c r="K92" i="90"/>
  <c r="J92" i="90"/>
  <c r="BY104" i="90"/>
  <c r="BZ104" i="90"/>
  <c r="CL39" i="90"/>
  <c r="CK39" i="90"/>
  <c r="EC150" i="90"/>
  <c r="K55" i="90"/>
  <c r="J55" i="90"/>
  <c r="EO176" i="90"/>
  <c r="V81" i="90"/>
  <c r="W81" i="90"/>
  <c r="P21" i="90"/>
  <c r="Q21" i="90"/>
  <c r="AB117" i="90"/>
  <c r="AC117" i="90"/>
  <c r="EI209" i="90"/>
  <c r="Q114" i="90"/>
  <c r="P114" i="90"/>
  <c r="EC188" i="90"/>
  <c r="K93" i="90"/>
  <c r="J93" i="90"/>
  <c r="EC168" i="90"/>
  <c r="K73" i="90"/>
  <c r="J73" i="90"/>
  <c r="EI169" i="90"/>
  <c r="Q74" i="90"/>
  <c r="P74" i="90"/>
  <c r="BM63" i="90"/>
  <c r="BN63" i="90"/>
  <c r="BM104" i="90"/>
  <c r="BN104" i="90"/>
  <c r="BM33" i="90"/>
  <c r="BN33" i="90"/>
  <c r="CK105" i="90"/>
  <c r="CL105" i="90"/>
  <c r="BS42" i="90"/>
  <c r="BT42" i="90"/>
  <c r="BS84" i="90"/>
  <c r="BT84" i="90"/>
  <c r="CF119" i="90"/>
  <c r="CE119" i="90"/>
  <c r="CE151" i="90"/>
  <c r="CF151" i="90"/>
  <c r="CE224" i="90"/>
  <c r="CF224" i="90"/>
  <c r="BY48" i="90"/>
  <c r="BZ48" i="90"/>
  <c r="CK41" i="90"/>
  <c r="CL41" i="90"/>
  <c r="BY69" i="90"/>
  <c r="BZ69" i="90"/>
  <c r="CL43" i="90"/>
  <c r="CK43" i="90"/>
  <c r="BY38" i="90"/>
  <c r="BZ38" i="90"/>
  <c r="CF112" i="90"/>
  <c r="CE112" i="90"/>
  <c r="BS64" i="90"/>
  <c r="BT64" i="90"/>
  <c r="BY37" i="90"/>
  <c r="BZ37" i="90"/>
  <c r="BZ84" i="90"/>
  <c r="BY84" i="90"/>
  <c r="CK65" i="90"/>
  <c r="CL65" i="90"/>
  <c r="CL108" i="90"/>
  <c r="CK108" i="90"/>
  <c r="CK118" i="90"/>
  <c r="CL118" i="90"/>
  <c r="BY81" i="90"/>
  <c r="BZ81" i="90"/>
  <c r="BS86" i="90"/>
  <c r="BT86" i="90"/>
  <c r="BM203" i="90"/>
  <c r="BN203" i="90"/>
  <c r="BM69" i="90"/>
  <c r="BN69" i="90"/>
  <c r="BM91" i="90"/>
  <c r="BN91" i="90"/>
  <c r="DW129" i="90"/>
  <c r="E34" i="90"/>
  <c r="D34" i="90"/>
  <c r="EO174" i="90"/>
  <c r="V79" i="90"/>
  <c r="W79" i="90"/>
  <c r="EC117" i="90"/>
  <c r="K22" i="90"/>
  <c r="J22" i="90"/>
  <c r="EI189" i="90"/>
  <c r="Q94" i="90"/>
  <c r="P94" i="90"/>
  <c r="EU181" i="90"/>
  <c r="AB86" i="90"/>
  <c r="AC86" i="90"/>
  <c r="CE220" i="90"/>
  <c r="CF220" i="90"/>
  <c r="BS99" i="90"/>
  <c r="BT99" i="90"/>
  <c r="CE118" i="90"/>
  <c r="CF118" i="90"/>
  <c r="BS23" i="90"/>
  <c r="BT23" i="90"/>
  <c r="BY87" i="90"/>
  <c r="BZ87" i="90"/>
  <c r="CK24" i="90"/>
  <c r="CL24" i="90"/>
  <c r="CK42" i="90"/>
  <c r="CL42" i="90"/>
  <c r="BM50" i="90"/>
  <c r="BN50" i="90"/>
  <c r="CK37" i="90"/>
  <c r="CL37" i="90"/>
  <c r="CE58" i="90"/>
  <c r="CF58" i="90"/>
  <c r="DW121" i="90"/>
  <c r="E26" i="90"/>
  <c r="D26" i="90"/>
  <c r="BY203" i="90"/>
  <c r="BZ203" i="90"/>
  <c r="EC186" i="90"/>
  <c r="K91" i="90"/>
  <c r="J91" i="90"/>
  <c r="EB175" i="90"/>
  <c r="H187" i="90"/>
  <c r="EB69" i="90"/>
  <c r="EI125" i="90"/>
  <c r="P30" i="90"/>
  <c r="Q30" i="90"/>
  <c r="O137" i="90"/>
  <c r="EI19" i="90"/>
  <c r="BT161" i="90"/>
  <c r="BS161" i="90"/>
  <c r="CK33" i="90"/>
  <c r="CL33" i="90"/>
  <c r="BS37" i="90"/>
  <c r="BT37" i="90"/>
  <c r="CK48" i="90"/>
  <c r="CL48" i="90"/>
  <c r="CF28" i="90"/>
  <c r="CE28" i="90"/>
  <c r="CK53" i="90"/>
  <c r="CL53" i="90"/>
  <c r="CK82" i="90"/>
  <c r="CL82" i="90"/>
  <c r="CE75" i="90"/>
  <c r="CF75" i="90"/>
  <c r="BS43" i="90"/>
  <c r="BT43" i="90"/>
  <c r="BY66" i="90"/>
  <c r="BZ66" i="90"/>
  <c r="CE99" i="90"/>
  <c r="CF99" i="90"/>
  <c r="CK74" i="90"/>
  <c r="CL74" i="90"/>
  <c r="CL52" i="90"/>
  <c r="CK52" i="90"/>
  <c r="BN154" i="90"/>
  <c r="BM154" i="90"/>
  <c r="DW176" i="90"/>
  <c r="E81" i="90"/>
  <c r="D81" i="90"/>
  <c r="AB61" i="90"/>
  <c r="AC61" i="90"/>
  <c r="EI196" i="90"/>
  <c r="Q101" i="90"/>
  <c r="P101" i="90"/>
  <c r="DW189" i="90"/>
  <c r="E94" i="90"/>
  <c r="D94" i="90"/>
  <c r="CK166" i="90"/>
  <c r="CL166" i="90"/>
  <c r="CK89" i="90"/>
  <c r="CL89" i="90"/>
  <c r="AB45" i="90"/>
  <c r="AC45" i="90"/>
  <c r="EI122" i="90"/>
  <c r="Q27" i="90"/>
  <c r="P27" i="90"/>
  <c r="EI134" i="90"/>
  <c r="Q39" i="90"/>
  <c r="P39" i="90"/>
  <c r="AB88" i="90"/>
  <c r="AC88" i="90"/>
  <c r="EI121" i="90"/>
  <c r="Q26" i="90"/>
  <c r="P26" i="90"/>
  <c r="EO204" i="90"/>
  <c r="V109" i="90"/>
  <c r="W109" i="90"/>
  <c r="AB102" i="90"/>
  <c r="AC102" i="90"/>
  <c r="EI190" i="90"/>
  <c r="Q95" i="90"/>
  <c r="P95" i="90"/>
  <c r="EC191" i="90"/>
  <c r="K96" i="90"/>
  <c r="J96" i="90"/>
  <c r="EO122" i="90"/>
  <c r="V27" i="90"/>
  <c r="W27" i="90"/>
  <c r="EC180" i="90"/>
  <c r="K85" i="90"/>
  <c r="J85" i="90"/>
  <c r="DW140" i="90"/>
  <c r="D45" i="90"/>
  <c r="E45" i="90"/>
  <c r="DW169" i="90"/>
  <c r="E74" i="90"/>
  <c r="D74" i="90"/>
  <c r="EI187" i="90"/>
  <c r="Q92" i="90"/>
  <c r="P92" i="90"/>
  <c r="DW125" i="90"/>
  <c r="E30" i="90"/>
  <c r="D30" i="90"/>
  <c r="DW167" i="90"/>
  <c r="E72" i="90"/>
  <c r="D72" i="90"/>
  <c r="BS102" i="90"/>
  <c r="BT102" i="90"/>
  <c r="BS52" i="90"/>
  <c r="BT52" i="90"/>
  <c r="BY89" i="90"/>
  <c r="BZ89" i="90"/>
  <c r="BY98" i="90"/>
  <c r="BZ98" i="90"/>
  <c r="CF68" i="90"/>
  <c r="CE68" i="90"/>
  <c r="BS36" i="90"/>
  <c r="BT36" i="90"/>
  <c r="BY28" i="90"/>
  <c r="BZ28" i="90"/>
  <c r="BS69" i="90"/>
  <c r="BT69" i="90"/>
  <c r="CE21" i="90"/>
  <c r="CF21" i="90"/>
  <c r="BS101" i="90"/>
  <c r="BT101" i="90"/>
  <c r="BS48" i="90"/>
  <c r="BT48" i="90"/>
  <c r="CE91" i="90"/>
  <c r="CF91" i="90"/>
  <c r="EI172" i="90"/>
  <c r="Q77" i="90"/>
  <c r="P77" i="90"/>
  <c r="BM61" i="90"/>
  <c r="BN61" i="90"/>
  <c r="BM78" i="90"/>
  <c r="BN78" i="90"/>
  <c r="CL55" i="90"/>
  <c r="CK55" i="90"/>
  <c r="BS111" i="90"/>
  <c r="BT111" i="90"/>
  <c r="BM212" i="90"/>
  <c r="BN212" i="90"/>
  <c r="BY119" i="90"/>
  <c r="BZ119" i="90"/>
  <c r="DW177" i="90"/>
  <c r="E82" i="90"/>
  <c r="D82" i="90"/>
  <c r="BT133" i="90"/>
  <c r="BS133" i="90"/>
  <c r="BY108" i="90"/>
  <c r="BZ108" i="90"/>
  <c r="BY57" i="90"/>
  <c r="BZ57" i="90"/>
  <c r="BY33" i="90"/>
  <c r="BZ33" i="90"/>
  <c r="CK109" i="90"/>
  <c r="CL109" i="90"/>
  <c r="CE61" i="90"/>
  <c r="CF61" i="90"/>
  <c r="EI199" i="90"/>
  <c r="Q104" i="90"/>
  <c r="P104" i="90"/>
  <c r="CF76" i="90"/>
  <c r="CE76" i="90"/>
  <c r="CE71" i="90"/>
  <c r="CF71" i="90"/>
  <c r="CE59" i="90"/>
  <c r="CF59" i="90"/>
  <c r="CK96" i="90"/>
  <c r="CL96" i="90"/>
  <c r="CF20" i="90"/>
  <c r="CE20" i="90"/>
  <c r="CK64" i="90"/>
  <c r="CL64" i="90"/>
  <c r="CL115" i="90"/>
  <c r="CK115" i="90"/>
  <c r="DW158" i="90"/>
  <c r="E63" i="90"/>
  <c r="D63" i="90"/>
  <c r="DW199" i="90"/>
  <c r="E104" i="90"/>
  <c r="D104" i="90"/>
  <c r="DW128" i="90"/>
  <c r="D33" i="90"/>
  <c r="E33" i="90"/>
  <c r="AB105" i="90"/>
  <c r="AC105" i="90"/>
  <c r="EC137" i="90"/>
  <c r="K42" i="90"/>
  <c r="J42" i="90"/>
  <c r="EC179" i="90"/>
  <c r="K84" i="90"/>
  <c r="J84" i="90"/>
  <c r="EO214" i="90"/>
  <c r="V119" i="90"/>
  <c r="W119" i="90"/>
  <c r="BS219" i="90"/>
  <c r="BT219" i="90"/>
  <c r="EI143" i="90"/>
  <c r="Q48" i="90"/>
  <c r="P48" i="90"/>
  <c r="EU136" i="90"/>
  <c r="AB41" i="90"/>
  <c r="AC41" i="90"/>
  <c r="EI164" i="90"/>
  <c r="Q69" i="90"/>
  <c r="P69" i="90"/>
  <c r="EU138" i="90"/>
  <c r="AB43" i="90"/>
  <c r="AC43" i="90"/>
  <c r="EI133" i="90"/>
  <c r="Q38" i="90"/>
  <c r="P38" i="90"/>
  <c r="EO207" i="90"/>
  <c r="V112" i="90"/>
  <c r="W112" i="90"/>
  <c r="EC159" i="90"/>
  <c r="K64" i="90"/>
  <c r="J64" i="90"/>
  <c r="EI132" i="90"/>
  <c r="Q37" i="90"/>
  <c r="P37" i="90"/>
  <c r="EI179" i="90"/>
  <c r="Q84" i="90"/>
  <c r="P84" i="90"/>
  <c r="EU160" i="90"/>
  <c r="AB65" i="90"/>
  <c r="AC65" i="90"/>
  <c r="EU203" i="90"/>
  <c r="AB108" i="90"/>
  <c r="AC108" i="90"/>
  <c r="EU213" i="90"/>
  <c r="AB118" i="90"/>
  <c r="AC118" i="90"/>
  <c r="EI176" i="90"/>
  <c r="Q81" i="90"/>
  <c r="P81" i="90"/>
  <c r="EC181" i="90"/>
  <c r="K86" i="90"/>
  <c r="J86" i="90"/>
  <c r="BN166" i="90"/>
  <c r="BM166" i="90"/>
  <c r="DW164" i="90"/>
  <c r="E69" i="90"/>
  <c r="D69" i="90"/>
  <c r="DW186" i="90"/>
  <c r="E91" i="90"/>
  <c r="D91" i="90"/>
  <c r="BM76" i="90"/>
  <c r="BN76" i="90"/>
  <c r="CE35" i="90"/>
  <c r="CF35" i="90"/>
  <c r="BY25" i="90"/>
  <c r="BZ25" i="90"/>
  <c r="BY45" i="90"/>
  <c r="BZ45" i="90"/>
  <c r="EC194" i="90"/>
  <c r="K99" i="90"/>
  <c r="J99" i="90"/>
  <c r="EO213" i="90"/>
  <c r="V118" i="90"/>
  <c r="W118" i="90"/>
  <c r="EC118" i="90"/>
  <c r="K23" i="90"/>
  <c r="J23" i="90"/>
  <c r="EI182" i="90"/>
  <c r="Q87" i="90"/>
  <c r="P87" i="90"/>
  <c r="EU119" i="90"/>
  <c r="AB24" i="90"/>
  <c r="AC24" i="90"/>
  <c r="EU137" i="90"/>
  <c r="AB42" i="90"/>
  <c r="AC42" i="90"/>
  <c r="DW145" i="90"/>
  <c r="E50" i="90"/>
  <c r="D50" i="90"/>
  <c r="EU132" i="90"/>
  <c r="AB37" i="90"/>
  <c r="AC37" i="90"/>
  <c r="EO153" i="90"/>
  <c r="V58" i="90"/>
  <c r="W58" i="90"/>
  <c r="BM112" i="90"/>
  <c r="BN112" i="90"/>
  <c r="CF88" i="90"/>
  <c r="CE88" i="90"/>
  <c r="BY78" i="90"/>
  <c r="BZ78" i="90"/>
  <c r="BM58" i="90"/>
  <c r="BN58" i="90"/>
  <c r="BS30" i="90"/>
  <c r="BT30" i="90"/>
  <c r="BR137" i="90"/>
  <c r="EB115" i="90"/>
  <c r="H127" i="90"/>
  <c r="EB9" i="90"/>
  <c r="AB72" i="90"/>
  <c r="AC72" i="90"/>
  <c r="DW168" i="90"/>
  <c r="E73" i="90"/>
  <c r="D73" i="90"/>
  <c r="DW214" i="90"/>
  <c r="E119" i="90"/>
  <c r="D119" i="90"/>
  <c r="EC142" i="90"/>
  <c r="K47" i="90"/>
  <c r="J47" i="90"/>
  <c r="DW170" i="90"/>
  <c r="E75" i="90"/>
  <c r="D75" i="90"/>
  <c r="EI154" i="90"/>
  <c r="Q59" i="90"/>
  <c r="P59" i="90"/>
  <c r="EO142" i="90"/>
  <c r="V47" i="90"/>
  <c r="W47" i="90"/>
  <c r="DW124" i="90"/>
  <c r="D29" i="90"/>
  <c r="E29" i="90"/>
  <c r="EI171" i="90"/>
  <c r="Q76" i="90"/>
  <c r="P76" i="90"/>
  <c r="EO136" i="90"/>
  <c r="V41" i="90"/>
  <c r="W41" i="90"/>
  <c r="DW212" i="90"/>
  <c r="E117" i="90"/>
  <c r="D117" i="90"/>
  <c r="EC170" i="90"/>
  <c r="K75" i="90"/>
  <c r="J75" i="90"/>
  <c r="DW150" i="90"/>
  <c r="E55" i="90"/>
  <c r="D55" i="90"/>
  <c r="DW198" i="90"/>
  <c r="E103" i="90"/>
  <c r="D103" i="90"/>
  <c r="EO141" i="90"/>
  <c r="V46" i="90"/>
  <c r="W46" i="90"/>
  <c r="DW200" i="90"/>
  <c r="E105" i="90"/>
  <c r="D105" i="90"/>
  <c r="EU128" i="90"/>
  <c r="AB33" i="90"/>
  <c r="AC33" i="90"/>
  <c r="EC132" i="90"/>
  <c r="K37" i="90"/>
  <c r="J37" i="90"/>
  <c r="EU143" i="90"/>
  <c r="AB48" i="90"/>
  <c r="AC48" i="90"/>
  <c r="EO123" i="90"/>
  <c r="V28" i="90"/>
  <c r="W28" i="90"/>
  <c r="EU148" i="90"/>
  <c r="AB53" i="90"/>
  <c r="AC53" i="90"/>
  <c r="EU177" i="90"/>
  <c r="AB82" i="90"/>
  <c r="AC82" i="90"/>
  <c r="EO170" i="90"/>
  <c r="V75" i="90"/>
  <c r="W75" i="90"/>
  <c r="EC138" i="90"/>
  <c r="K43" i="90"/>
  <c r="J43" i="90"/>
  <c r="EI161" i="90"/>
  <c r="Q66" i="90"/>
  <c r="P66" i="90"/>
  <c r="EO194" i="90"/>
  <c r="V99" i="90"/>
  <c r="W99" i="90"/>
  <c r="EU169" i="90"/>
  <c r="AB74" i="90"/>
  <c r="AC74" i="90"/>
  <c r="EU147" i="90"/>
  <c r="AB52" i="90"/>
  <c r="AC52" i="90"/>
  <c r="BM89" i="90"/>
  <c r="BN89" i="90"/>
  <c r="BM38" i="90"/>
  <c r="BN38" i="90"/>
  <c r="BM97" i="90"/>
  <c r="BN97" i="90"/>
  <c r="BY61" i="90"/>
  <c r="BZ61" i="90"/>
  <c r="BY139" i="90"/>
  <c r="BZ139" i="90"/>
  <c r="CE148" i="90"/>
  <c r="CF148" i="90"/>
  <c r="EU184" i="90"/>
  <c r="AB89" i="90"/>
  <c r="AC89" i="90"/>
  <c r="BY82" i="90"/>
  <c r="BZ82" i="90"/>
  <c r="CF92" i="90"/>
  <c r="CE92" i="90"/>
  <c r="BS104" i="90"/>
  <c r="BT104" i="90"/>
  <c r="CK106" i="90"/>
  <c r="CL106" i="90"/>
  <c r="CL111" i="90"/>
  <c r="CK111" i="90"/>
  <c r="BS27" i="90"/>
  <c r="BT27" i="90"/>
  <c r="CE85" i="90"/>
  <c r="CF85" i="90"/>
  <c r="BS76" i="90"/>
  <c r="BT76" i="90"/>
  <c r="BM41" i="90"/>
  <c r="BN41" i="90"/>
  <c r="CE51" i="90"/>
  <c r="CF51" i="90"/>
  <c r="CK57" i="90"/>
  <c r="CL57" i="90"/>
  <c r="BY115" i="90"/>
  <c r="BZ115" i="90"/>
  <c r="BY73" i="90"/>
  <c r="BZ73" i="90"/>
  <c r="CL35" i="90"/>
  <c r="CK35" i="90"/>
  <c r="BS88" i="90"/>
  <c r="BT88" i="90"/>
  <c r="EC197" i="90"/>
  <c r="K102" i="90"/>
  <c r="J102" i="90"/>
  <c r="EC147" i="90"/>
  <c r="K52" i="90"/>
  <c r="J52" i="90"/>
  <c r="EI184" i="90"/>
  <c r="Q89" i="90"/>
  <c r="P89" i="90"/>
  <c r="EI193" i="90"/>
  <c r="Q98" i="90"/>
  <c r="P98" i="90"/>
  <c r="EO163" i="90"/>
  <c r="V68" i="90"/>
  <c r="W68" i="90"/>
  <c r="EC131" i="90"/>
  <c r="J36" i="90"/>
  <c r="K36" i="90"/>
  <c r="EI123" i="90"/>
  <c r="P28" i="90"/>
  <c r="Q28" i="90"/>
  <c r="EC164" i="90"/>
  <c r="K69" i="90"/>
  <c r="J69" i="90"/>
  <c r="EO116" i="90"/>
  <c r="V21" i="90"/>
  <c r="W21" i="90"/>
  <c r="EC196" i="90"/>
  <c r="K101" i="90"/>
  <c r="J101" i="90"/>
  <c r="EC143" i="90"/>
  <c r="K48" i="90"/>
  <c r="J48" i="90"/>
  <c r="EO186" i="90"/>
  <c r="V91" i="90"/>
  <c r="W91" i="90"/>
  <c r="BY64" i="90"/>
  <c r="BZ64" i="90"/>
  <c r="DW156" i="90"/>
  <c r="E61" i="90"/>
  <c r="D61" i="90"/>
  <c r="DW173" i="90"/>
  <c r="E78" i="90"/>
  <c r="D78" i="90"/>
  <c r="AB55" i="90"/>
  <c r="AC55" i="90"/>
  <c r="EC206" i="90"/>
  <c r="K111" i="90"/>
  <c r="J111" i="90"/>
  <c r="BM164" i="90"/>
  <c r="BN164" i="90"/>
  <c r="EI214" i="90"/>
  <c r="Q119" i="90"/>
  <c r="P119" i="90"/>
  <c r="CK77" i="90"/>
  <c r="CL77" i="90"/>
  <c r="EI203" i="90"/>
  <c r="Q108" i="90"/>
  <c r="P108" i="90"/>
  <c r="EI152" i="90"/>
  <c r="Q57" i="90"/>
  <c r="P57" i="90"/>
  <c r="EI128" i="90"/>
  <c r="Q33" i="90"/>
  <c r="P33" i="90"/>
  <c r="AB109" i="90"/>
  <c r="AC109" i="90"/>
  <c r="EO156" i="90"/>
  <c r="V61" i="90"/>
  <c r="W61" i="90"/>
  <c r="BS154" i="90"/>
  <c r="BT154" i="90"/>
  <c r="EO171" i="90"/>
  <c r="V76" i="90"/>
  <c r="W76" i="90"/>
  <c r="EO166" i="90"/>
  <c r="V71" i="90"/>
  <c r="W71" i="90"/>
  <c r="EO154" i="90"/>
  <c r="V59" i="90"/>
  <c r="W59" i="90"/>
  <c r="AB96" i="90"/>
  <c r="AC96" i="90"/>
  <c r="EO115" i="90"/>
  <c r="W20" i="90"/>
  <c r="V20" i="90"/>
  <c r="AB64" i="90"/>
  <c r="AC64" i="90"/>
  <c r="AB115" i="90"/>
  <c r="AC115" i="90"/>
  <c r="BM113" i="90"/>
  <c r="BN113" i="90"/>
  <c r="BM95" i="90"/>
  <c r="BN95" i="90"/>
  <c r="BM52" i="90"/>
  <c r="BN52" i="90"/>
  <c r="BY112" i="90"/>
  <c r="BZ112" i="90"/>
  <c r="CK66" i="90"/>
  <c r="CL66" i="90"/>
  <c r="BM65" i="90"/>
  <c r="BN65" i="90"/>
  <c r="BS66" i="90"/>
  <c r="BT66" i="90"/>
  <c r="BY75" i="90"/>
  <c r="BZ75" i="90"/>
  <c r="CE53" i="90"/>
  <c r="CF53" i="90"/>
  <c r="CE31" i="90"/>
  <c r="CF31" i="90"/>
  <c r="BY109" i="90"/>
  <c r="BZ109" i="90"/>
  <c r="CL107" i="90"/>
  <c r="CK107" i="90"/>
  <c r="CK69" i="90"/>
  <c r="CL69" i="90"/>
  <c r="BS89" i="90"/>
  <c r="BT89" i="90"/>
  <c r="CK34" i="90"/>
  <c r="CL34" i="90"/>
  <c r="BS67" i="90"/>
  <c r="BT67" i="90"/>
  <c r="CF89" i="90"/>
  <c r="CE89" i="90"/>
  <c r="CE103" i="90"/>
  <c r="CF103" i="90"/>
  <c r="BN226" i="90"/>
  <c r="BM226" i="90"/>
  <c r="BM118" i="90"/>
  <c r="BN118" i="90"/>
  <c r="BM42" i="90"/>
  <c r="BN42" i="90"/>
  <c r="DW171" i="90"/>
  <c r="E76" i="90"/>
  <c r="D76" i="90"/>
  <c r="EO130" i="90"/>
  <c r="V35" i="90"/>
  <c r="W35" i="90"/>
  <c r="EI120" i="90"/>
  <c r="P25" i="90"/>
  <c r="Q25" i="90"/>
  <c r="EI140" i="90"/>
  <c r="Q45" i="90"/>
  <c r="P45" i="90"/>
  <c r="CE82" i="90"/>
  <c r="CF82" i="90"/>
  <c r="BY118" i="90"/>
  <c r="BZ118" i="90"/>
  <c r="CE66" i="90"/>
  <c r="CF66" i="90"/>
  <c r="BM40" i="90"/>
  <c r="BN40" i="90"/>
  <c r="CK85" i="90"/>
  <c r="CL85" i="90"/>
  <c r="BS32" i="90"/>
  <c r="BT32" i="90"/>
  <c r="BS62" i="90"/>
  <c r="BT62" i="90"/>
  <c r="BS68" i="90"/>
  <c r="BT68" i="90"/>
  <c r="BY71" i="90"/>
  <c r="BZ71" i="90"/>
  <c r="CF33" i="90"/>
  <c r="CE33" i="90"/>
  <c r="DW207" i="90"/>
  <c r="E112" i="90"/>
  <c r="D112" i="90"/>
  <c r="EO183" i="90"/>
  <c r="V88" i="90"/>
  <c r="W88" i="90"/>
  <c r="EI173" i="90"/>
  <c r="Q78" i="90"/>
  <c r="P78" i="90"/>
  <c r="DW153" i="90"/>
  <c r="E58" i="90"/>
  <c r="D58" i="90"/>
  <c r="F70" i="103"/>
  <c r="G160" i="41"/>
  <c r="F160" i="41"/>
  <c r="G205" i="41"/>
  <c r="F205" i="41"/>
  <c r="F127" i="41"/>
  <c r="G127" i="41"/>
  <c r="F147" i="41"/>
  <c r="G147" i="41"/>
  <c r="G215" i="41"/>
  <c r="F215" i="41"/>
  <c r="G116" i="41"/>
  <c r="F116" i="41"/>
  <c r="G171" i="41"/>
  <c r="F171" i="41"/>
  <c r="G138" i="41"/>
  <c r="F138" i="41"/>
  <c r="F182" i="41"/>
  <c r="G182" i="41"/>
  <c r="F193" i="41"/>
  <c r="G193" i="41"/>
  <c r="M28" i="79"/>
  <c r="D19" i="103"/>
  <c r="G5" i="103" s="1"/>
  <c r="E19" i="103"/>
  <c r="H5" i="103" s="1"/>
  <c r="CE5" i="4"/>
  <c r="CE6" i="4" s="1"/>
  <c r="N29" i="79"/>
  <c r="EI116" i="90"/>
  <c r="CA4" i="4"/>
  <c r="CE27" i="4"/>
  <c r="CE20" i="4"/>
  <c r="CE22" i="4"/>
  <c r="CE21" i="4"/>
  <c r="CE16" i="4"/>
  <c r="CE32" i="4"/>
  <c r="CE42" i="4"/>
  <c r="CE31" i="4"/>
  <c r="CE29" i="4"/>
  <c r="CE38" i="4"/>
  <c r="CE34" i="4"/>
  <c r="CE19" i="4"/>
  <c r="CE43" i="4"/>
  <c r="CE17" i="4"/>
  <c r="CE44" i="4"/>
  <c r="CE45" i="4"/>
  <c r="CE41" i="4"/>
  <c r="CE33" i="4"/>
  <c r="CE30" i="4"/>
  <c r="CE18" i="4"/>
  <c r="CE40" i="4"/>
  <c r="CE36" i="4"/>
  <c r="ET105" i="90"/>
  <c r="ET211" i="90"/>
  <c r="ET54" i="90"/>
  <c r="ET160" i="90"/>
  <c r="ET44" i="90"/>
  <c r="ET150" i="90"/>
  <c r="ET98" i="90"/>
  <c r="ET204" i="90"/>
  <c r="ET67" i="90"/>
  <c r="ET173" i="90"/>
  <c r="ET71" i="90"/>
  <c r="ET177" i="90"/>
  <c r="ET35" i="90"/>
  <c r="ET141" i="90"/>
  <c r="ET108" i="90"/>
  <c r="ET214" i="90"/>
  <c r="ET47" i="90"/>
  <c r="ET153" i="90"/>
  <c r="ET76" i="90"/>
  <c r="ET182" i="90"/>
  <c r="ET85" i="90"/>
  <c r="ET191" i="90"/>
  <c r="ET63" i="90"/>
  <c r="ET169" i="90"/>
  <c r="EH32" i="90"/>
  <c r="EH138" i="90"/>
  <c r="EU50" i="90"/>
  <c r="EU156" i="90"/>
  <c r="EH51" i="90"/>
  <c r="EH157" i="90"/>
  <c r="EN47" i="90"/>
  <c r="EN153" i="90"/>
  <c r="EB88" i="90"/>
  <c r="EB194" i="90"/>
  <c r="EH27" i="90"/>
  <c r="EH133" i="90"/>
  <c r="EU34" i="90"/>
  <c r="EU140" i="90"/>
  <c r="ET21" i="90"/>
  <c r="ET127" i="90"/>
  <c r="EU77" i="90"/>
  <c r="EU183" i="90"/>
  <c r="EU91" i="90"/>
  <c r="EU197" i="90"/>
  <c r="EN61" i="90"/>
  <c r="EN167" i="90"/>
  <c r="EB52" i="90"/>
  <c r="EB158" i="90"/>
  <c r="ET73" i="90"/>
  <c r="ET179" i="90"/>
  <c r="ET18" i="90"/>
  <c r="ET124" i="90"/>
  <c r="ET75" i="90"/>
  <c r="ET181" i="90"/>
  <c r="ET22" i="90"/>
  <c r="ET128" i="90"/>
  <c r="EN24" i="90"/>
  <c r="EN130" i="90"/>
  <c r="ET36" i="90"/>
  <c r="ET142" i="90"/>
  <c r="EH60" i="90"/>
  <c r="EH166" i="90"/>
  <c r="ET27" i="90"/>
  <c r="ET133" i="90"/>
  <c r="EH15" i="90"/>
  <c r="EH121" i="90"/>
  <c r="EU55" i="90"/>
  <c r="EU161" i="90"/>
  <c r="ET32" i="90"/>
  <c r="ET138" i="90"/>
  <c r="ET84" i="90"/>
  <c r="ET190" i="90"/>
  <c r="ET16" i="90"/>
  <c r="ET122" i="90"/>
  <c r="ET92" i="90"/>
  <c r="ET198" i="90"/>
  <c r="EN70" i="90"/>
  <c r="EN176" i="90"/>
  <c r="EN82" i="90"/>
  <c r="EN188" i="90"/>
  <c r="EB20" i="90"/>
  <c r="EB126" i="90"/>
  <c r="EU87" i="90"/>
  <c r="EU193" i="90"/>
  <c r="EN92" i="90"/>
  <c r="EN198" i="90"/>
  <c r="EN16" i="90"/>
  <c r="EN122" i="90"/>
  <c r="EU73" i="90"/>
  <c r="EU179" i="90"/>
  <c r="EH44" i="90"/>
  <c r="EH150" i="90"/>
  <c r="EU15" i="90"/>
  <c r="EU121" i="90"/>
  <c r="EB95" i="90"/>
  <c r="EB201" i="90"/>
  <c r="ET12" i="90"/>
  <c r="ET118" i="90"/>
  <c r="EU47" i="90"/>
  <c r="EU153" i="90"/>
  <c r="EU83" i="90"/>
  <c r="EU189" i="90"/>
  <c r="EN28" i="90"/>
  <c r="EN134" i="90"/>
  <c r="EN97" i="90"/>
  <c r="EN203" i="90"/>
  <c r="EN22" i="90"/>
  <c r="EN128" i="90"/>
  <c r="ET106" i="90"/>
  <c r="ET212" i="90"/>
  <c r="EH98" i="90"/>
  <c r="EH204" i="90"/>
  <c r="ET103" i="90"/>
  <c r="ET209" i="90"/>
  <c r="ET104" i="90"/>
  <c r="ET210" i="90"/>
  <c r="EN46" i="90"/>
  <c r="EN152" i="90"/>
  <c r="ET15" i="90"/>
  <c r="ET121" i="90"/>
  <c r="EH101" i="90"/>
  <c r="EH207" i="90"/>
  <c r="ET81" i="90"/>
  <c r="ET187" i="90"/>
  <c r="EH14" i="90"/>
  <c r="EH120" i="90"/>
  <c r="EB13" i="90"/>
  <c r="EB119" i="90"/>
  <c r="ET66" i="90"/>
  <c r="ET172" i="90"/>
  <c r="ET107" i="90"/>
  <c r="ET213" i="90"/>
  <c r="EH50" i="90"/>
  <c r="EH156" i="90"/>
  <c r="ET48" i="90"/>
  <c r="ET154" i="90"/>
  <c r="EH24" i="90"/>
  <c r="EH130" i="90"/>
  <c r="EN65" i="90"/>
  <c r="EN171" i="90"/>
  <c r="EU61" i="90"/>
  <c r="EU167" i="90"/>
  <c r="EU93" i="90"/>
  <c r="EU199" i="90"/>
  <c r="ET102" i="90"/>
  <c r="ET208" i="90"/>
  <c r="ET65" i="90"/>
  <c r="ET171" i="90"/>
  <c r="ET10" i="90"/>
  <c r="ET116" i="90"/>
  <c r="ET34" i="90"/>
  <c r="ET140" i="90"/>
  <c r="ET53" i="90"/>
  <c r="ET159" i="90"/>
  <c r="ET78" i="90"/>
  <c r="ET184" i="90"/>
  <c r="ET46" i="90"/>
  <c r="ET152" i="90"/>
  <c r="ET61" i="90"/>
  <c r="ET167" i="90"/>
  <c r="DV36" i="90"/>
  <c r="DV142" i="90"/>
  <c r="DV45" i="90"/>
  <c r="DV151" i="90"/>
  <c r="DV96" i="90"/>
  <c r="DV202" i="90"/>
  <c r="DV108" i="90"/>
  <c r="DV214" i="90"/>
  <c r="DV92" i="90"/>
  <c r="DV198" i="90"/>
  <c r="DV90" i="90"/>
  <c r="DV196" i="90"/>
  <c r="DV35" i="90"/>
  <c r="DV141" i="90"/>
  <c r="EN73" i="90"/>
  <c r="EN179" i="90"/>
  <c r="EH95" i="90"/>
  <c r="EH201" i="90"/>
  <c r="EB98" i="90"/>
  <c r="EB204" i="90"/>
  <c r="EN13" i="90"/>
  <c r="EN119" i="90"/>
  <c r="EN42" i="90"/>
  <c r="EN148" i="90"/>
  <c r="EU82" i="90"/>
  <c r="EU188" i="90"/>
  <c r="ET86" i="90"/>
  <c r="ET192" i="90"/>
  <c r="EB47" i="90"/>
  <c r="EB153" i="90"/>
  <c r="EU20" i="90"/>
  <c r="EU126" i="90"/>
  <c r="ET97" i="90"/>
  <c r="ET203" i="90"/>
  <c r="EN52" i="90"/>
  <c r="EN158" i="90"/>
  <c r="EB11" i="90"/>
  <c r="EB117" i="90"/>
  <c r="EH33" i="90"/>
  <c r="EH139" i="90"/>
  <c r="EB14" i="90"/>
  <c r="EB120" i="90"/>
  <c r="EN53" i="90"/>
  <c r="EN159" i="90"/>
  <c r="EH36" i="90"/>
  <c r="EH142" i="90"/>
  <c r="ET55" i="90"/>
  <c r="ET161" i="90"/>
  <c r="EN85" i="90"/>
  <c r="EN191" i="90"/>
  <c r="EN90" i="90"/>
  <c r="EN196" i="90"/>
  <c r="EH47" i="90"/>
  <c r="EH153" i="90"/>
  <c r="EB72" i="90"/>
  <c r="EB178" i="90"/>
  <c r="EH74" i="90"/>
  <c r="EH180" i="90"/>
  <c r="EH57" i="90"/>
  <c r="EH163" i="90"/>
  <c r="EN81" i="90"/>
  <c r="EN187" i="90"/>
  <c r="EB97" i="90"/>
  <c r="EB203" i="90"/>
  <c r="EN23" i="90"/>
  <c r="EN129" i="90"/>
  <c r="EN103" i="90"/>
  <c r="EN209" i="90"/>
  <c r="ET93" i="90"/>
  <c r="ET199" i="90"/>
  <c r="EB93" i="90"/>
  <c r="EB199" i="90"/>
  <c r="EN21" i="90"/>
  <c r="EN127" i="90"/>
  <c r="ET24" i="90"/>
  <c r="ET130" i="90"/>
  <c r="EH78" i="90"/>
  <c r="EH184" i="90"/>
  <c r="ET57" i="90"/>
  <c r="ET163" i="90"/>
  <c r="EU106" i="90"/>
  <c r="EU212" i="90"/>
  <c r="ET91" i="90"/>
  <c r="ET197" i="90"/>
  <c r="EH45" i="90"/>
  <c r="EH151" i="90"/>
  <c r="EH85" i="90"/>
  <c r="EH191" i="90"/>
  <c r="ET40" i="90"/>
  <c r="ET146" i="90"/>
  <c r="EH53" i="90"/>
  <c r="EH159" i="90"/>
  <c r="EB28" i="90"/>
  <c r="EB134" i="90"/>
  <c r="ET74" i="90"/>
  <c r="ET180" i="90"/>
  <c r="EU74" i="90"/>
  <c r="EU180" i="90"/>
  <c r="EH17" i="90"/>
  <c r="EH123" i="90"/>
  <c r="EN63" i="90"/>
  <c r="EN169" i="90"/>
  <c r="EH28" i="90"/>
  <c r="EH134" i="90"/>
  <c r="EN98" i="90"/>
  <c r="EN204" i="90"/>
  <c r="EH64" i="90"/>
  <c r="EH170" i="90"/>
  <c r="EB104" i="90"/>
  <c r="EB210" i="90"/>
  <c r="EH35" i="90"/>
  <c r="EH141" i="90"/>
  <c r="ET87" i="90"/>
  <c r="ET193" i="90"/>
  <c r="EH54" i="90"/>
  <c r="EH160" i="90"/>
  <c r="EH62" i="90"/>
  <c r="EH168" i="90"/>
  <c r="EN25" i="90"/>
  <c r="EN131" i="90"/>
  <c r="EU48" i="90"/>
  <c r="EU154" i="90"/>
  <c r="EU28" i="90"/>
  <c r="EU134" i="90"/>
  <c r="DV10" i="90"/>
  <c r="DV116" i="90"/>
  <c r="DV58" i="90"/>
  <c r="DV164" i="90"/>
  <c r="DV76" i="90"/>
  <c r="DV182" i="90"/>
  <c r="EU21" i="90"/>
  <c r="EU127" i="90"/>
  <c r="EH34" i="90"/>
  <c r="EH140" i="90"/>
  <c r="EN41" i="90"/>
  <c r="EN147" i="90"/>
  <c r="EB82" i="90"/>
  <c r="EB188" i="90"/>
  <c r="ET50" i="90"/>
  <c r="ET156" i="90"/>
  <c r="EN86" i="90"/>
  <c r="EN192" i="90"/>
  <c r="EH61" i="90"/>
  <c r="EH167" i="90"/>
  <c r="EU25" i="90"/>
  <c r="EU131" i="90"/>
  <c r="ET58" i="90"/>
  <c r="ET164" i="90"/>
  <c r="EN33" i="90"/>
  <c r="EN139" i="90"/>
  <c r="EN108" i="90"/>
  <c r="EN214" i="90"/>
  <c r="EB60" i="90"/>
  <c r="EB166" i="90"/>
  <c r="EB32" i="90"/>
  <c r="EB138" i="90"/>
  <c r="EU66" i="90"/>
  <c r="EU172" i="90"/>
  <c r="ET101" i="90"/>
  <c r="ET207" i="90"/>
  <c r="ET14" i="90"/>
  <c r="ET120" i="90"/>
  <c r="EB34" i="90"/>
  <c r="EB140" i="90"/>
  <c r="EB50" i="90"/>
  <c r="EB156" i="90"/>
  <c r="EN62" i="90"/>
  <c r="EN168" i="90"/>
  <c r="EB53" i="90"/>
  <c r="EB159" i="90"/>
  <c r="EN45" i="90"/>
  <c r="EN151" i="90"/>
  <c r="ET95" i="90"/>
  <c r="ET201" i="90"/>
  <c r="ET94" i="90"/>
  <c r="ET200" i="90"/>
  <c r="EN48" i="90"/>
  <c r="EN154" i="90"/>
  <c r="EH108" i="90"/>
  <c r="EH214" i="90"/>
  <c r="ET80" i="90"/>
  <c r="ET186" i="90"/>
  <c r="ET51" i="90"/>
  <c r="ET157" i="90"/>
  <c r="EH83" i="90"/>
  <c r="EH189" i="90"/>
  <c r="ET28" i="90"/>
  <c r="ET134" i="90"/>
  <c r="EN75" i="90"/>
  <c r="EN181" i="90"/>
  <c r="EB38" i="90"/>
  <c r="EB144" i="90"/>
  <c r="EU96" i="90"/>
  <c r="EU202" i="90"/>
  <c r="EB44" i="90"/>
  <c r="EB150" i="90"/>
  <c r="EU58" i="90"/>
  <c r="EU164" i="90"/>
  <c r="ET72" i="90"/>
  <c r="ET178" i="90"/>
  <c r="EU23" i="90"/>
  <c r="EU129" i="90"/>
  <c r="EH105" i="90"/>
  <c r="EH211" i="90"/>
  <c r="EH38" i="90"/>
  <c r="EH144" i="90"/>
  <c r="ET41" i="90"/>
  <c r="ET147" i="90"/>
  <c r="EB100" i="90"/>
  <c r="EB206" i="90"/>
  <c r="EB35" i="90"/>
  <c r="EB141" i="90"/>
  <c r="EH23" i="90"/>
  <c r="EH129" i="90"/>
  <c r="EU17" i="90"/>
  <c r="EU123" i="90"/>
  <c r="EH25" i="90"/>
  <c r="EH131" i="90"/>
  <c r="EB92" i="90"/>
  <c r="EB198" i="90"/>
  <c r="EU92" i="90"/>
  <c r="EU198" i="90"/>
  <c r="EB17" i="90"/>
  <c r="EB123" i="90"/>
  <c r="EU86" i="90"/>
  <c r="EU192" i="90"/>
  <c r="DV84" i="90"/>
  <c r="DV190" i="90"/>
  <c r="DV101" i="90"/>
  <c r="DV207" i="90"/>
  <c r="ET60" i="90"/>
  <c r="ET166" i="90"/>
  <c r="EB22" i="90"/>
  <c r="EB128" i="90"/>
  <c r="EH96" i="90"/>
  <c r="EH202" i="90"/>
  <c r="EH67" i="90"/>
  <c r="EH173" i="90"/>
  <c r="ET30" i="90"/>
  <c r="ET136" i="90"/>
  <c r="EH65" i="90"/>
  <c r="EH171" i="90"/>
  <c r="EH106" i="90"/>
  <c r="EH212" i="90"/>
  <c r="EB96" i="90"/>
  <c r="EB202" i="90"/>
  <c r="EU67" i="90"/>
  <c r="EU173" i="90"/>
  <c r="ET52" i="90"/>
  <c r="ET158" i="90"/>
  <c r="EN78" i="90"/>
  <c r="EN184" i="90"/>
  <c r="EU90" i="90"/>
  <c r="EU196" i="90"/>
  <c r="ET38" i="90"/>
  <c r="ET144" i="90"/>
  <c r="EH90" i="90"/>
  <c r="EH196" i="90"/>
  <c r="EU64" i="90"/>
  <c r="EU170" i="90"/>
  <c r="EU101" i="90"/>
  <c r="EU207" i="90"/>
  <c r="EN43" i="90"/>
  <c r="EN149" i="90"/>
  <c r="EH70" i="90"/>
  <c r="EH176" i="90"/>
  <c r="EN34" i="90"/>
  <c r="EN140" i="90"/>
  <c r="EN104" i="90"/>
  <c r="EN210" i="90"/>
  <c r="ET13" i="90"/>
  <c r="ET119" i="90"/>
  <c r="ET11" i="90"/>
  <c r="ET117" i="90"/>
  <c r="EU44" i="90"/>
  <c r="EU150" i="90"/>
  <c r="EU68" i="90"/>
  <c r="EU174" i="90"/>
  <c r="EH80" i="90"/>
  <c r="EH186" i="90"/>
  <c r="EB16" i="90"/>
  <c r="EB122" i="90"/>
  <c r="ET90" i="90"/>
  <c r="ET196" i="90"/>
  <c r="ET96" i="90"/>
  <c r="ET202" i="90"/>
  <c r="ET62" i="90"/>
  <c r="ET168" i="90"/>
  <c r="EH37" i="90"/>
  <c r="EH143" i="90"/>
  <c r="EB41" i="90"/>
  <c r="EB147" i="90"/>
  <c r="EN32" i="90"/>
  <c r="EN138" i="90"/>
  <c r="ET33" i="90"/>
  <c r="ET139" i="90"/>
  <c r="EU98" i="90"/>
  <c r="EU204" i="90"/>
  <c r="EB83" i="90"/>
  <c r="EB189" i="90"/>
  <c r="EN56" i="90"/>
  <c r="EN162" i="90"/>
  <c r="EN18" i="90"/>
  <c r="EN124" i="90"/>
  <c r="ET31" i="90"/>
  <c r="ET137" i="90"/>
  <c r="EU85" i="90"/>
  <c r="EU191" i="90"/>
  <c r="EB54" i="90"/>
  <c r="EB160" i="90"/>
  <c r="EB24" i="90"/>
  <c r="EB130" i="90"/>
  <c r="ET56" i="90"/>
  <c r="ET162" i="90"/>
  <c r="ET83" i="90"/>
  <c r="ET189" i="90"/>
  <c r="EN35" i="90"/>
  <c r="EN141" i="90"/>
  <c r="ET64" i="90"/>
  <c r="ET170" i="90"/>
  <c r="EN84" i="90"/>
  <c r="EN190" i="90"/>
  <c r="EU53" i="90"/>
  <c r="EU159" i="90"/>
  <c r="ET26" i="90"/>
  <c r="ET132" i="90"/>
  <c r="EU104" i="90"/>
  <c r="EU210" i="90"/>
  <c r="ET23" i="90"/>
  <c r="ET129" i="90"/>
  <c r="EB70" i="90"/>
  <c r="EB176" i="90"/>
  <c r="EB37" i="90"/>
  <c r="EB143" i="90"/>
  <c r="EH63" i="90"/>
  <c r="EH169" i="90"/>
  <c r="EB55" i="90"/>
  <c r="EB161" i="90"/>
  <c r="EB78" i="90"/>
  <c r="EB184" i="90"/>
  <c r="EB91" i="90"/>
  <c r="EB197" i="90"/>
  <c r="EU12" i="90"/>
  <c r="EU118" i="90"/>
  <c r="ET17" i="90"/>
  <c r="ET123" i="90"/>
  <c r="EN71" i="90"/>
  <c r="EN177" i="90"/>
  <c r="EH88" i="90"/>
  <c r="EH194" i="90"/>
  <c r="EU18" i="90"/>
  <c r="EU124" i="90"/>
  <c r="EN102" i="90"/>
  <c r="EN208" i="90"/>
  <c r="EU52" i="90"/>
  <c r="EU158" i="90"/>
  <c r="ET68" i="90"/>
  <c r="ET174" i="90"/>
  <c r="DV104" i="90"/>
  <c r="DV210" i="90"/>
  <c r="DV17" i="90"/>
  <c r="DV123" i="90"/>
  <c r="DV53" i="90"/>
  <c r="DV159" i="90"/>
  <c r="DV56" i="90"/>
  <c r="DV162" i="90"/>
  <c r="DV33" i="90"/>
  <c r="DV139" i="90"/>
  <c r="DV77" i="90"/>
  <c r="DV183" i="90"/>
  <c r="DV54" i="90"/>
  <c r="DV160" i="90"/>
  <c r="DV74" i="90"/>
  <c r="DV180" i="90"/>
  <c r="DV19" i="90"/>
  <c r="DV125" i="90"/>
  <c r="DV63" i="90"/>
  <c r="DV169" i="90"/>
  <c r="DV67" i="90"/>
  <c r="DV173" i="90"/>
  <c r="EB102" i="90"/>
  <c r="EB208" i="90"/>
  <c r="EN87" i="90"/>
  <c r="EN193" i="90"/>
  <c r="EH86" i="90"/>
  <c r="EH192" i="90"/>
  <c r="EN93" i="90"/>
  <c r="EN199" i="90"/>
  <c r="EH48" i="90"/>
  <c r="EH154" i="90"/>
  <c r="ET37" i="90"/>
  <c r="ET143" i="90"/>
  <c r="EN30" i="90"/>
  <c r="EN136" i="90"/>
  <c r="ET82" i="90"/>
  <c r="ET188" i="90"/>
  <c r="EN26" i="90"/>
  <c r="EN132" i="90"/>
  <c r="EB45" i="90"/>
  <c r="EB151" i="90"/>
  <c r="EU84" i="90"/>
  <c r="EU190" i="90"/>
  <c r="EH66" i="90"/>
  <c r="EH172" i="90"/>
  <c r="ET45" i="90"/>
  <c r="ET151" i="90"/>
  <c r="ET20" i="90"/>
  <c r="ET126" i="90"/>
  <c r="EB51" i="90"/>
  <c r="EB157" i="90"/>
  <c r="EB57" i="90"/>
  <c r="EB163" i="90"/>
  <c r="EN83" i="90"/>
  <c r="EN189" i="90"/>
  <c r="EN77" i="90"/>
  <c r="EN183" i="90"/>
  <c r="EB105" i="90"/>
  <c r="EB211" i="90"/>
  <c r="EN100" i="90"/>
  <c r="EN206" i="90"/>
  <c r="EU94" i="90"/>
  <c r="EU200" i="90"/>
  <c r="EN17" i="90"/>
  <c r="EN123" i="90"/>
  <c r="ET88" i="90"/>
  <c r="ET194" i="90"/>
  <c r="EB42" i="90"/>
  <c r="EB148" i="90"/>
  <c r="EN57" i="90"/>
  <c r="EN163" i="90"/>
  <c r="ET100" i="90"/>
  <c r="ET206" i="90"/>
  <c r="EH58" i="90"/>
  <c r="EH164" i="90"/>
  <c r="EU9" i="90"/>
  <c r="EU115" i="90"/>
  <c r="EB68" i="90"/>
  <c r="EB174" i="90"/>
  <c r="EH77" i="90"/>
  <c r="EH183" i="90"/>
  <c r="EB74" i="90"/>
  <c r="EB180" i="90"/>
  <c r="EB108" i="90"/>
  <c r="EB214" i="90"/>
  <c r="EB30" i="90"/>
  <c r="EB136" i="90"/>
  <c r="ET70" i="90"/>
  <c r="ET176" i="90"/>
  <c r="EB66" i="90"/>
  <c r="EB172" i="90"/>
  <c r="EB107" i="90"/>
  <c r="EB213" i="90"/>
  <c r="EH76" i="90"/>
  <c r="EH182" i="90"/>
  <c r="EN94" i="90"/>
  <c r="EN200" i="90"/>
  <c r="EB56" i="90"/>
  <c r="EB162" i="90"/>
  <c r="EU43" i="90"/>
  <c r="EU149" i="90"/>
  <c r="EB26" i="90"/>
  <c r="EB132" i="90"/>
  <c r="EH71" i="90"/>
  <c r="EH177" i="90"/>
  <c r="EN12" i="90"/>
  <c r="EN118" i="90"/>
  <c r="EH104" i="90"/>
  <c r="EH210" i="90"/>
  <c r="EB87" i="90"/>
  <c r="EB193" i="90"/>
  <c r="EH52" i="90"/>
  <c r="EH158" i="90"/>
  <c r="EN31" i="90"/>
  <c r="EN137" i="90"/>
  <c r="ET42" i="90"/>
  <c r="ET148" i="90"/>
  <c r="ET77" i="90"/>
  <c r="ET183" i="90"/>
  <c r="ET43" i="90"/>
  <c r="ET149" i="90"/>
  <c r="ET9" i="90"/>
  <c r="ET115" i="90"/>
  <c r="I225" i="90"/>
  <c r="EC107" i="90"/>
  <c r="B180" i="90"/>
  <c r="DV62" i="90"/>
  <c r="EU42" i="90"/>
  <c r="T213" i="90"/>
  <c r="EN95" i="90"/>
  <c r="EU41" i="90"/>
  <c r="N221" i="90"/>
  <c r="EH103" i="90"/>
  <c r="I148" i="90"/>
  <c r="EC30" i="90"/>
  <c r="O169" i="90"/>
  <c r="EI51" i="90"/>
  <c r="I138" i="90"/>
  <c r="EC20" i="90"/>
  <c r="C151" i="90"/>
  <c r="DW33" i="90"/>
  <c r="H176" i="90"/>
  <c r="EB58" i="90"/>
  <c r="I201" i="90"/>
  <c r="EC83" i="90"/>
  <c r="N220" i="90"/>
  <c r="EH102" i="90"/>
  <c r="U149" i="90"/>
  <c r="EO31" i="90"/>
  <c r="N190" i="90"/>
  <c r="EH72" i="90"/>
  <c r="U133" i="90"/>
  <c r="EO15" i="90"/>
  <c r="T214" i="90"/>
  <c r="EN96" i="90"/>
  <c r="I168" i="90"/>
  <c r="EC50" i="90"/>
  <c r="N193" i="90"/>
  <c r="EH75" i="90"/>
  <c r="H185" i="90"/>
  <c r="EB67" i="90"/>
  <c r="EU80" i="90"/>
  <c r="I226" i="90"/>
  <c r="EC108" i="90"/>
  <c r="EU36" i="90"/>
  <c r="N215" i="90"/>
  <c r="EH97" i="90"/>
  <c r="I133" i="90"/>
  <c r="EC15" i="90"/>
  <c r="O193" i="90"/>
  <c r="EI75" i="90"/>
  <c r="C173" i="90"/>
  <c r="DW55" i="90"/>
  <c r="C182" i="90"/>
  <c r="DW64" i="90"/>
  <c r="C160" i="90"/>
  <c r="DW42" i="90"/>
  <c r="C154" i="90"/>
  <c r="DW36" i="90"/>
  <c r="O183" i="90"/>
  <c r="EI65" i="90"/>
  <c r="U148" i="90"/>
  <c r="EO30" i="90"/>
  <c r="C216" i="90"/>
  <c r="DW98" i="90"/>
  <c r="O154" i="90"/>
  <c r="EI36" i="90"/>
  <c r="B182" i="90"/>
  <c r="DV64" i="90"/>
  <c r="B131" i="90"/>
  <c r="DV13" i="90"/>
  <c r="B188" i="90"/>
  <c r="DV70" i="90"/>
  <c r="B203" i="90"/>
  <c r="DV85" i="90"/>
  <c r="B204" i="90"/>
  <c r="DV86" i="90"/>
  <c r="B144" i="90"/>
  <c r="DV26" i="90"/>
  <c r="B139" i="90"/>
  <c r="DV21" i="90"/>
  <c r="B156" i="90"/>
  <c r="DV38" i="90"/>
  <c r="B193" i="90"/>
  <c r="DV75" i="90"/>
  <c r="B223" i="90"/>
  <c r="DV105" i="90"/>
  <c r="B211" i="90"/>
  <c r="DV93" i="90"/>
  <c r="B168" i="90"/>
  <c r="DV50" i="90"/>
  <c r="C188" i="90"/>
  <c r="DW70" i="90"/>
  <c r="O208" i="90"/>
  <c r="EI90" i="90"/>
  <c r="O156" i="90"/>
  <c r="EI38" i="90"/>
  <c r="U145" i="90"/>
  <c r="EO27" i="90"/>
  <c r="O134" i="90"/>
  <c r="EI16" i="90"/>
  <c r="O146" i="90"/>
  <c r="EI28" i="90"/>
  <c r="O133" i="90"/>
  <c r="EI15" i="90"/>
  <c r="U216" i="90"/>
  <c r="EO98" i="90"/>
  <c r="O202" i="90"/>
  <c r="EI84" i="90"/>
  <c r="I203" i="90"/>
  <c r="EC85" i="90"/>
  <c r="U134" i="90"/>
  <c r="EO16" i="90"/>
  <c r="I192" i="90"/>
  <c r="EC74" i="90"/>
  <c r="C152" i="90"/>
  <c r="DW34" i="90"/>
  <c r="C181" i="90"/>
  <c r="DW63" i="90"/>
  <c r="O199" i="90"/>
  <c r="EI81" i="90"/>
  <c r="C137" i="90"/>
  <c r="DW19" i="90"/>
  <c r="C179" i="90"/>
  <c r="DW61" i="90"/>
  <c r="C129" i="90"/>
  <c r="DW11" i="90"/>
  <c r="C220" i="90"/>
  <c r="DW102" i="90"/>
  <c r="C202" i="90"/>
  <c r="DW84" i="90"/>
  <c r="C159" i="90"/>
  <c r="DW41" i="90"/>
  <c r="O219" i="90"/>
  <c r="EI101" i="90"/>
  <c r="C172" i="90"/>
  <c r="DW54" i="90"/>
  <c r="O200" i="90"/>
  <c r="EI82" i="90"/>
  <c r="I221" i="90"/>
  <c r="EC103" i="90"/>
  <c r="O142" i="90"/>
  <c r="EI24" i="90"/>
  <c r="U172" i="90"/>
  <c r="EO54" i="90"/>
  <c r="U136" i="90"/>
  <c r="EO18" i="90"/>
  <c r="U181" i="90"/>
  <c r="EO63" i="90"/>
  <c r="U204" i="90"/>
  <c r="EO86" i="90"/>
  <c r="I151" i="90"/>
  <c r="EC33" i="90"/>
  <c r="O160" i="90"/>
  <c r="EI42" i="90"/>
  <c r="C143" i="90"/>
  <c r="DW25" i="90"/>
  <c r="C215" i="90"/>
  <c r="DW97" i="90"/>
  <c r="C200" i="90"/>
  <c r="DW82" i="90"/>
  <c r="O192" i="90"/>
  <c r="EI74" i="90"/>
  <c r="O161" i="90"/>
  <c r="EI43" i="90"/>
  <c r="U164" i="90"/>
  <c r="EO46" i="90"/>
  <c r="O174" i="90"/>
  <c r="EI56" i="90"/>
  <c r="U150" i="90"/>
  <c r="EO32" i="90"/>
  <c r="O152" i="90"/>
  <c r="EI34" i="90"/>
  <c r="C191" i="90"/>
  <c r="DW73" i="90"/>
  <c r="C223" i="90"/>
  <c r="DW105" i="90"/>
  <c r="U195" i="90"/>
  <c r="EO77" i="90"/>
  <c r="O185" i="90"/>
  <c r="EI67" i="90"/>
  <c r="C165" i="90"/>
  <c r="DW47" i="90"/>
  <c r="B221" i="90"/>
  <c r="DV103" i="90"/>
  <c r="B155" i="90"/>
  <c r="DV37" i="90"/>
  <c r="EU37" i="90"/>
  <c r="EU71" i="90"/>
  <c r="U206" i="90"/>
  <c r="EO88" i="90"/>
  <c r="I166" i="90"/>
  <c r="EC48" i="90"/>
  <c r="EU45" i="90"/>
  <c r="N191" i="90"/>
  <c r="EH73" i="90"/>
  <c r="N144" i="90"/>
  <c r="EH26" i="90"/>
  <c r="H143" i="90"/>
  <c r="EB25" i="90"/>
  <c r="O213" i="90"/>
  <c r="EI95" i="90"/>
  <c r="U174" i="90"/>
  <c r="EO56" i="90"/>
  <c r="I154" i="90"/>
  <c r="EC36" i="90"/>
  <c r="C132" i="90"/>
  <c r="DW14" i="90"/>
  <c r="O166" i="90"/>
  <c r="EI48" i="90"/>
  <c r="U154" i="90"/>
  <c r="EO36" i="90"/>
  <c r="C144" i="90"/>
  <c r="DW26" i="90"/>
  <c r="O139" i="90"/>
  <c r="EI21" i="90"/>
  <c r="U184" i="90"/>
  <c r="EO66" i="90"/>
  <c r="C146" i="90"/>
  <c r="DW28" i="90"/>
  <c r="C205" i="90"/>
  <c r="DW87" i="90"/>
  <c r="B212" i="90"/>
  <c r="DV94" i="90"/>
  <c r="B161" i="90"/>
  <c r="DV43" i="90"/>
  <c r="B165" i="90"/>
  <c r="DV47" i="90"/>
  <c r="B129" i="90"/>
  <c r="DV11" i="90"/>
  <c r="B170" i="90"/>
  <c r="DV52" i="90"/>
  <c r="B143" i="90"/>
  <c r="DV25" i="90"/>
  <c r="B184" i="90"/>
  <c r="DV66" i="90"/>
  <c r="B179" i="90"/>
  <c r="DV61" i="90"/>
  <c r="B145" i="90"/>
  <c r="DV27" i="90"/>
  <c r="H181" i="90"/>
  <c r="EB63" i="90"/>
  <c r="O204" i="90"/>
  <c r="EI86" i="90"/>
  <c r="T132" i="90"/>
  <c r="EN14" i="90"/>
  <c r="U180" i="90"/>
  <c r="EO62" i="90"/>
  <c r="EU56" i="90"/>
  <c r="N136" i="90"/>
  <c r="EH18" i="90"/>
  <c r="U169" i="90"/>
  <c r="EO51" i="90"/>
  <c r="EU38" i="90"/>
  <c r="H202" i="90"/>
  <c r="EB84" i="90"/>
  <c r="EU102" i="90"/>
  <c r="EU81" i="90"/>
  <c r="EU10" i="90"/>
  <c r="I186" i="90"/>
  <c r="EC68" i="90"/>
  <c r="N130" i="90"/>
  <c r="EH12" i="90"/>
  <c r="H136" i="90"/>
  <c r="EB18" i="90"/>
  <c r="I135" i="90"/>
  <c r="EC17" i="90"/>
  <c r="N225" i="90"/>
  <c r="EH107" i="90"/>
  <c r="T128" i="90"/>
  <c r="EN10" i="90"/>
  <c r="T209" i="90"/>
  <c r="EN91" i="90"/>
  <c r="H151" i="90"/>
  <c r="EB33" i="90"/>
  <c r="EU76" i="90"/>
  <c r="N149" i="90"/>
  <c r="EH31" i="90"/>
  <c r="U201" i="90"/>
  <c r="EO83" i="90"/>
  <c r="T162" i="90"/>
  <c r="EN44" i="90"/>
  <c r="H183" i="90"/>
  <c r="EB65" i="90"/>
  <c r="N210" i="90"/>
  <c r="EH92" i="90"/>
  <c r="EU14" i="90"/>
  <c r="T185" i="90"/>
  <c r="EN67" i="90"/>
  <c r="I214" i="90"/>
  <c r="EC96" i="90"/>
  <c r="U208" i="90"/>
  <c r="EO90" i="90"/>
  <c r="I210" i="90"/>
  <c r="EC92" i="90"/>
  <c r="EU108" i="90"/>
  <c r="H191" i="90"/>
  <c r="EB73" i="90"/>
  <c r="EU35" i="90"/>
  <c r="N164" i="90"/>
  <c r="EH46" i="90"/>
  <c r="C135" i="90"/>
  <c r="DW17" i="90"/>
  <c r="U141" i="90"/>
  <c r="EO23" i="90"/>
  <c r="T172" i="90"/>
  <c r="EN54" i="90"/>
  <c r="I205" i="90"/>
  <c r="EC87" i="90"/>
  <c r="U200" i="90"/>
  <c r="EO82" i="90"/>
  <c r="O226" i="90"/>
  <c r="EI108" i="90"/>
  <c r="H195" i="90"/>
  <c r="EB77" i="90"/>
  <c r="EU11" i="90"/>
  <c r="U179" i="90"/>
  <c r="EO61" i="90"/>
  <c r="N161" i="90"/>
  <c r="EH43" i="90"/>
  <c r="H179" i="90"/>
  <c r="EB61" i="90"/>
  <c r="O206" i="90"/>
  <c r="EI88" i="90"/>
  <c r="EU72" i="90"/>
  <c r="EU60" i="90"/>
  <c r="EU62" i="90"/>
  <c r="O190" i="90"/>
  <c r="EI72" i="90"/>
  <c r="T127" i="90"/>
  <c r="EN9" i="90"/>
  <c r="N148" i="90"/>
  <c r="EH30" i="90"/>
  <c r="N173" i="90"/>
  <c r="EH55" i="90"/>
  <c r="T133" i="90"/>
  <c r="EN15" i="90"/>
  <c r="O150" i="90"/>
  <c r="EI32" i="90"/>
  <c r="U162" i="90"/>
  <c r="EO44" i="90"/>
  <c r="U223" i="90"/>
  <c r="EO105" i="90"/>
  <c r="H212" i="90"/>
  <c r="EB94" i="90"/>
  <c r="I212" i="90"/>
  <c r="EC94" i="90"/>
  <c r="H133" i="90"/>
  <c r="EB15" i="90"/>
  <c r="I222" i="90"/>
  <c r="EC104" i="90"/>
  <c r="U155" i="90"/>
  <c r="EO37" i="90"/>
  <c r="I145" i="90"/>
  <c r="EC27" i="90"/>
  <c r="I128" i="90"/>
  <c r="EC10" i="90"/>
  <c r="O141" i="90"/>
  <c r="EI23" i="90"/>
  <c r="O210" i="90"/>
  <c r="EI92" i="90"/>
  <c r="H224" i="90"/>
  <c r="EB106" i="90"/>
  <c r="I215" i="90"/>
  <c r="EC97" i="90"/>
  <c r="N212" i="90"/>
  <c r="EH94" i="90"/>
  <c r="H208" i="90"/>
  <c r="EB90" i="90"/>
  <c r="H145" i="90"/>
  <c r="EB27" i="90"/>
  <c r="T155" i="90"/>
  <c r="EN37" i="90"/>
  <c r="I206" i="90"/>
  <c r="EC88" i="90"/>
  <c r="N129" i="90"/>
  <c r="EH11" i="90"/>
  <c r="H219" i="90"/>
  <c r="EB101" i="90"/>
  <c r="N174" i="90"/>
  <c r="EH56" i="90"/>
  <c r="N131" i="90"/>
  <c r="EH13" i="90"/>
  <c r="U225" i="90"/>
  <c r="EO107" i="90"/>
  <c r="I130" i="90"/>
  <c r="EC12" i="90"/>
  <c r="O194" i="90"/>
  <c r="EI76" i="90"/>
  <c r="EU13" i="90"/>
  <c r="EU31" i="90"/>
  <c r="C157" i="90"/>
  <c r="DW39" i="90"/>
  <c r="EU26" i="90"/>
  <c r="U165" i="90"/>
  <c r="EO47" i="90"/>
  <c r="N139" i="90"/>
  <c r="EH21" i="90"/>
  <c r="C175" i="90"/>
  <c r="DW57" i="90"/>
  <c r="C164" i="90"/>
  <c r="DW46" i="90"/>
  <c r="B215" i="90"/>
  <c r="DV97" i="90"/>
  <c r="U135" i="90"/>
  <c r="EO17" i="90"/>
  <c r="H164" i="90"/>
  <c r="EB46" i="90"/>
  <c r="I150" i="90"/>
  <c r="EC32" i="90"/>
  <c r="N140" i="90"/>
  <c r="EH22" i="90"/>
  <c r="U215" i="90"/>
  <c r="EO97" i="90"/>
  <c r="T190" i="90"/>
  <c r="EN72" i="90"/>
  <c r="T198" i="90"/>
  <c r="EN80" i="90"/>
  <c r="N205" i="90"/>
  <c r="EH87" i="90"/>
  <c r="I224" i="90"/>
  <c r="EC106" i="90"/>
  <c r="H154" i="90"/>
  <c r="EB36" i="90"/>
  <c r="T206" i="90"/>
  <c r="EN88" i="90"/>
  <c r="C203" i="90"/>
  <c r="DW85" i="90"/>
  <c r="O218" i="90"/>
  <c r="EI100" i="90"/>
  <c r="C136" i="90"/>
  <c r="DW18" i="90"/>
  <c r="U220" i="90"/>
  <c r="EO102" i="90"/>
  <c r="C214" i="90"/>
  <c r="DW96" i="90"/>
  <c r="U153" i="90"/>
  <c r="EO35" i="90"/>
  <c r="B186" i="90"/>
  <c r="DV68" i="90"/>
  <c r="B199" i="90"/>
  <c r="DV81" i="90"/>
  <c r="B206" i="90"/>
  <c r="DV88" i="90"/>
  <c r="B191" i="90"/>
  <c r="DV73" i="90"/>
  <c r="B134" i="90"/>
  <c r="DV16" i="90"/>
  <c r="B200" i="90"/>
  <c r="DV82" i="90"/>
  <c r="B141" i="90"/>
  <c r="DV23" i="90"/>
  <c r="B183" i="90"/>
  <c r="DV65" i="90"/>
  <c r="B205" i="90"/>
  <c r="DV87" i="90"/>
  <c r="B138" i="90"/>
  <c r="DV20" i="90"/>
  <c r="B225" i="90"/>
  <c r="DV107" i="90"/>
  <c r="C196" i="90"/>
  <c r="DW78" i="90"/>
  <c r="C145" i="90"/>
  <c r="DW27" i="90"/>
  <c r="N159" i="90"/>
  <c r="EH41" i="90"/>
  <c r="H128" i="90"/>
  <c r="EB10" i="90"/>
  <c r="N160" i="90"/>
  <c r="EH42" i="90"/>
  <c r="T192" i="90"/>
  <c r="EN74" i="90"/>
  <c r="N199" i="90"/>
  <c r="EH81" i="90"/>
  <c r="H141" i="90"/>
  <c r="EB23" i="90"/>
  <c r="O189" i="90"/>
  <c r="EI71" i="90"/>
  <c r="U199" i="90"/>
  <c r="EO81" i="90"/>
  <c r="T169" i="90"/>
  <c r="EN51" i="90"/>
  <c r="I211" i="90"/>
  <c r="EC93" i="90"/>
  <c r="N200" i="90"/>
  <c r="EH82" i="90"/>
  <c r="EU95" i="90"/>
  <c r="H221" i="90"/>
  <c r="EB103" i="90"/>
  <c r="H203" i="90"/>
  <c r="EB85" i="90"/>
  <c r="T176" i="90"/>
  <c r="EN58" i="90"/>
  <c r="EU100" i="90"/>
  <c r="I134" i="90"/>
  <c r="EC16" i="90"/>
  <c r="U192" i="90"/>
  <c r="EO74" i="90"/>
  <c r="I183" i="90"/>
  <c r="EC65" i="90"/>
  <c r="H158" i="90"/>
  <c r="EB40" i="90"/>
  <c r="C148" i="90"/>
  <c r="DW30" i="90"/>
  <c r="N209" i="90"/>
  <c r="EH91" i="90"/>
  <c r="U158" i="90"/>
  <c r="EO40" i="90"/>
  <c r="EU46" i="90"/>
  <c r="O222" i="90"/>
  <c r="EI104" i="90"/>
  <c r="O180" i="90"/>
  <c r="EI62" i="90"/>
  <c r="EU24" i="90"/>
  <c r="I195" i="90"/>
  <c r="EC77" i="90"/>
  <c r="O184" i="90"/>
  <c r="EI66" i="90"/>
  <c r="C189" i="90"/>
  <c r="DW71" i="90"/>
  <c r="C163" i="90"/>
  <c r="DW45" i="90"/>
  <c r="C130" i="90"/>
  <c r="DW12" i="90"/>
  <c r="N134" i="90"/>
  <c r="EH16" i="90"/>
  <c r="U156" i="90"/>
  <c r="EO38" i="90"/>
  <c r="EU33" i="90"/>
  <c r="U203" i="90"/>
  <c r="EO85" i="90"/>
  <c r="EU88" i="90"/>
  <c r="I165" i="90"/>
  <c r="EC47" i="90"/>
  <c r="H189" i="90"/>
  <c r="EB71" i="90"/>
  <c r="O155" i="90"/>
  <c r="EI37" i="90"/>
  <c r="EU30" i="90"/>
  <c r="O176" i="90"/>
  <c r="EI58" i="90"/>
  <c r="EU32" i="90"/>
  <c r="T168" i="90"/>
  <c r="EN50" i="90"/>
  <c r="O145" i="90"/>
  <c r="EI27" i="90"/>
  <c r="U219" i="90"/>
  <c r="EO101" i="90"/>
  <c r="I171" i="90"/>
  <c r="EC53" i="90"/>
  <c r="O144" i="90"/>
  <c r="EI26" i="90"/>
  <c r="O191" i="90"/>
  <c r="EI73" i="90"/>
  <c r="EU54" i="90"/>
  <c r="T184" i="90"/>
  <c r="EN66" i="90"/>
  <c r="H180" i="90"/>
  <c r="EB62" i="90"/>
  <c r="EU97" i="90"/>
  <c r="EU107" i="90"/>
  <c r="O188" i="90"/>
  <c r="EI70" i="90"/>
  <c r="I193" i="90"/>
  <c r="EC75" i="90"/>
  <c r="T154" i="90"/>
  <c r="EN36" i="90"/>
  <c r="H194" i="90"/>
  <c r="EB76" i="90"/>
  <c r="C176" i="90"/>
  <c r="DW58" i="90"/>
  <c r="C198" i="90"/>
  <c r="DW80" i="90"/>
  <c r="C141" i="90"/>
  <c r="DW23" i="90"/>
  <c r="H182" i="90"/>
  <c r="EB64" i="90"/>
  <c r="U186" i="90"/>
  <c r="EO68" i="90"/>
  <c r="H139" i="90"/>
  <c r="EB21" i="90"/>
  <c r="N211" i="90"/>
  <c r="EH93" i="90"/>
  <c r="I129" i="90"/>
  <c r="EC11" i="90"/>
  <c r="O201" i="90"/>
  <c r="EI83" i="90"/>
  <c r="EU75" i="90"/>
  <c r="N128" i="90"/>
  <c r="EH10" i="90"/>
  <c r="T138" i="90"/>
  <c r="EN20" i="90"/>
  <c r="C133" i="90"/>
  <c r="DW15" i="90"/>
  <c r="T145" i="90"/>
  <c r="EN27" i="90"/>
  <c r="U213" i="90"/>
  <c r="EO95" i="90"/>
  <c r="B149" i="90"/>
  <c r="DV31" i="90"/>
  <c r="H161" i="90"/>
  <c r="EB43" i="90"/>
  <c r="T186" i="90"/>
  <c r="EN68" i="90"/>
  <c r="U182" i="90"/>
  <c r="EO64" i="90"/>
  <c r="EU78" i="90"/>
  <c r="H166" i="90"/>
  <c r="EB48" i="90"/>
  <c r="O159" i="90"/>
  <c r="EI41" i="90"/>
  <c r="C128" i="90"/>
  <c r="DW10" i="90"/>
  <c r="EU65" i="90"/>
  <c r="I160" i="90"/>
  <c r="EC42" i="90"/>
  <c r="H193" i="90"/>
  <c r="EB75" i="90"/>
  <c r="I132" i="90"/>
  <c r="EC14" i="90"/>
  <c r="EU16" i="90"/>
  <c r="EU40" i="90"/>
  <c r="I181" i="90"/>
  <c r="EC63" i="90"/>
  <c r="U132" i="90"/>
  <c r="EO14" i="90"/>
  <c r="O127" i="90"/>
  <c r="EI9" i="90"/>
  <c r="C224" i="90"/>
  <c r="DW106" i="90"/>
  <c r="O203" i="90"/>
  <c r="EI85" i="90"/>
  <c r="O149" i="90"/>
  <c r="EI31" i="90"/>
  <c r="C212" i="90"/>
  <c r="DW94" i="90"/>
  <c r="B220" i="90"/>
  <c r="DV102" i="90"/>
  <c r="B146" i="90"/>
  <c r="DV28" i="90"/>
  <c r="B148" i="90"/>
  <c r="DV30" i="90"/>
  <c r="O163" i="90"/>
  <c r="EI45" i="90"/>
  <c r="U185" i="90"/>
  <c r="EO67" i="90"/>
  <c r="I204" i="90"/>
  <c r="EC86" i="90"/>
  <c r="U146" i="90"/>
  <c r="EO28" i="90"/>
  <c r="U191" i="90"/>
  <c r="EO73" i="90"/>
  <c r="U194" i="90"/>
  <c r="EO76" i="90"/>
  <c r="I194" i="90"/>
  <c r="EC76" i="90"/>
  <c r="I216" i="90"/>
  <c r="EC98" i="90"/>
  <c r="I209" i="90"/>
  <c r="EC91" i="90"/>
  <c r="I159" i="90"/>
  <c r="EC41" i="90"/>
  <c r="O196" i="90"/>
  <c r="EI78" i="90"/>
  <c r="O205" i="90"/>
  <c r="EI87" i="90"/>
  <c r="U175" i="90"/>
  <c r="EO57" i="90"/>
  <c r="I143" i="90"/>
  <c r="EC25" i="90"/>
  <c r="O135" i="90"/>
  <c r="EI17" i="90"/>
  <c r="I176" i="90"/>
  <c r="EC58" i="90"/>
  <c r="U128" i="90"/>
  <c r="EO10" i="90"/>
  <c r="I208" i="90"/>
  <c r="EC90" i="90"/>
  <c r="I155" i="90"/>
  <c r="EC37" i="90"/>
  <c r="U198" i="90"/>
  <c r="EO80" i="90"/>
  <c r="C194" i="90"/>
  <c r="DW76" i="90"/>
  <c r="U139" i="90"/>
  <c r="EO21" i="90"/>
  <c r="U143" i="90"/>
  <c r="EO25" i="90"/>
  <c r="C206" i="90"/>
  <c r="DW88" i="90"/>
  <c r="I153" i="90"/>
  <c r="EC35" i="90"/>
  <c r="I172" i="90"/>
  <c r="EC54" i="90"/>
  <c r="U152" i="90"/>
  <c r="EO34" i="90"/>
  <c r="U159" i="90"/>
  <c r="EO41" i="90"/>
  <c r="O148" i="90"/>
  <c r="EI30" i="90"/>
  <c r="U131" i="90"/>
  <c r="EO13" i="90"/>
  <c r="I220" i="90"/>
  <c r="EC102" i="90"/>
  <c r="U163" i="90"/>
  <c r="EO45" i="90"/>
  <c r="I199" i="90"/>
  <c r="EC81" i="90"/>
  <c r="I162" i="90"/>
  <c r="EC44" i="90"/>
  <c r="U188" i="90"/>
  <c r="EO70" i="90"/>
  <c r="O128" i="90"/>
  <c r="EI10" i="90"/>
  <c r="O221" i="90"/>
  <c r="EI103" i="90"/>
  <c r="I200" i="90"/>
  <c r="EC82" i="90"/>
  <c r="I180" i="90"/>
  <c r="EC62" i="90"/>
  <c r="O181" i="90"/>
  <c r="EI63" i="90"/>
  <c r="U189" i="90"/>
  <c r="EO71" i="90"/>
  <c r="O225" i="90"/>
  <c r="EI107" i="90"/>
  <c r="U173" i="90"/>
  <c r="EO55" i="90"/>
  <c r="C147" i="90"/>
  <c r="DW29" i="90"/>
  <c r="I139" i="90"/>
  <c r="EC21" i="90"/>
  <c r="I169" i="90"/>
  <c r="EC51" i="90"/>
  <c r="I175" i="90"/>
  <c r="EC57" i="90"/>
  <c r="O178" i="90"/>
  <c r="EI60" i="90"/>
  <c r="U140" i="90"/>
  <c r="EO22" i="90"/>
  <c r="O131" i="90"/>
  <c r="EI13" i="90"/>
  <c r="B162" i="90"/>
  <c r="DV44" i="90"/>
  <c r="N158" i="90"/>
  <c r="EH40" i="90"/>
  <c r="EU63" i="90"/>
  <c r="T129" i="90"/>
  <c r="EN11" i="90"/>
  <c r="O158" i="90"/>
  <c r="EI40" i="90"/>
  <c r="N186" i="90"/>
  <c r="EH68" i="90"/>
  <c r="T223" i="90"/>
  <c r="EN105" i="90"/>
  <c r="N138" i="90"/>
  <c r="EH20" i="90"/>
  <c r="T158" i="90"/>
  <c r="EN40" i="90"/>
  <c r="O186" i="90"/>
  <c r="EI68" i="90"/>
  <c r="O198" i="90"/>
  <c r="EI80" i="90"/>
  <c r="H130" i="90"/>
  <c r="EB12" i="90"/>
  <c r="H204" i="90"/>
  <c r="EB86" i="90"/>
  <c r="I141" i="90"/>
  <c r="EC23" i="90"/>
  <c r="T224" i="90"/>
  <c r="EN106" i="90"/>
  <c r="EU70" i="90"/>
  <c r="O172" i="90"/>
  <c r="EI54" i="90"/>
  <c r="C166" i="90"/>
  <c r="DW48" i="90"/>
  <c r="O143" i="90"/>
  <c r="EI25" i="90"/>
  <c r="C222" i="90"/>
  <c r="DW104" i="90"/>
  <c r="O165" i="90"/>
  <c r="EI47" i="90"/>
  <c r="C162" i="90"/>
  <c r="DW44" i="90"/>
  <c r="C210" i="90"/>
  <c r="DW92" i="90"/>
  <c r="I185" i="90"/>
  <c r="EC67" i="90"/>
  <c r="U224" i="90"/>
  <c r="EO106" i="90"/>
  <c r="B166" i="90"/>
  <c r="DV48" i="90"/>
  <c r="B136" i="90"/>
  <c r="DV18" i="90"/>
  <c r="B201" i="90"/>
  <c r="DV83" i="90"/>
  <c r="B132" i="90"/>
  <c r="DV14" i="90"/>
  <c r="B164" i="90"/>
  <c r="DV46" i="90"/>
  <c r="B140" i="90"/>
  <c r="DV22" i="90"/>
  <c r="B159" i="90"/>
  <c r="DV41" i="90"/>
  <c r="B175" i="90"/>
  <c r="DV57" i="90"/>
  <c r="B213" i="90"/>
  <c r="DV95" i="90"/>
  <c r="B196" i="90"/>
  <c r="DV78" i="90"/>
  <c r="C139" i="90"/>
  <c r="DW21" i="90"/>
  <c r="C221" i="90"/>
  <c r="DW103" i="90"/>
  <c r="I223" i="90"/>
  <c r="EC105" i="90"/>
  <c r="C201" i="90"/>
  <c r="DW83" i="90"/>
  <c r="T194" i="90"/>
  <c r="EN76" i="90"/>
  <c r="N202" i="90"/>
  <c r="EH84" i="90"/>
  <c r="U130" i="90"/>
  <c r="EO12" i="90"/>
  <c r="U212" i="90"/>
  <c r="EO94" i="90"/>
  <c r="O195" i="90"/>
  <c r="EI77" i="90"/>
  <c r="O209" i="90"/>
  <c r="EI91" i="90"/>
  <c r="H198" i="90"/>
  <c r="EB80" i="90"/>
  <c r="I158" i="90"/>
  <c r="EC40" i="90"/>
  <c r="U205" i="90"/>
  <c r="EO87" i="90"/>
  <c r="O179" i="90"/>
  <c r="EI61" i="90"/>
  <c r="U144" i="90"/>
  <c r="EO26" i="90"/>
  <c r="C169" i="90"/>
  <c r="DW51" i="90"/>
  <c r="C153" i="90"/>
  <c r="DW35" i="90"/>
  <c r="I146" i="90"/>
  <c r="EC28" i="90"/>
  <c r="T156" i="90"/>
  <c r="EN38" i="90"/>
  <c r="I156" i="90"/>
  <c r="EC38" i="90"/>
  <c r="O171" i="90"/>
  <c r="EI53" i="90"/>
  <c r="C150" i="90"/>
  <c r="DW32" i="90"/>
  <c r="C158" i="90"/>
  <c r="DW40" i="90"/>
  <c r="C213" i="90"/>
  <c r="DW95" i="90"/>
  <c r="I173" i="90"/>
  <c r="EC55" i="90"/>
  <c r="O182" i="90"/>
  <c r="EI64" i="90"/>
  <c r="U160" i="90"/>
  <c r="EO42" i="90"/>
  <c r="U138" i="90"/>
  <c r="EO20" i="90"/>
  <c r="O216" i="90"/>
  <c r="EI98" i="90"/>
  <c r="I196" i="90"/>
  <c r="EC78" i="90"/>
  <c r="I174" i="90"/>
  <c r="EC56" i="90"/>
  <c r="U196" i="90"/>
  <c r="EO78" i="90"/>
  <c r="U210" i="90"/>
  <c r="EO92" i="90"/>
  <c r="C225" i="90"/>
  <c r="DW107" i="90"/>
  <c r="C149" i="90"/>
  <c r="DW31" i="90"/>
  <c r="C183" i="90"/>
  <c r="DW65" i="90"/>
  <c r="U142" i="90"/>
  <c r="EO24" i="90"/>
  <c r="O132" i="90"/>
  <c r="EI14" i="90"/>
  <c r="C219" i="90"/>
  <c r="DW101" i="90"/>
  <c r="U193" i="90"/>
  <c r="EO75" i="90"/>
  <c r="B173" i="90"/>
  <c r="DV55" i="90"/>
  <c r="EU22" i="90"/>
  <c r="T173" i="90"/>
  <c r="EN55" i="90"/>
  <c r="H149" i="90"/>
  <c r="EB31" i="90"/>
  <c r="T225" i="90"/>
  <c r="EN107" i="90"/>
  <c r="U176" i="90"/>
  <c r="EO58" i="90"/>
  <c r="EU51" i="90"/>
  <c r="O130" i="90"/>
  <c r="EI12" i="90"/>
  <c r="N218" i="90"/>
  <c r="EH100" i="90"/>
  <c r="EU105" i="90"/>
  <c r="C186" i="90"/>
  <c r="DW68" i="90"/>
  <c r="I163" i="90"/>
  <c r="EC45" i="90"/>
  <c r="C134" i="90"/>
  <c r="DW16" i="90"/>
  <c r="I182" i="90"/>
  <c r="EC64" i="90"/>
  <c r="C184" i="90"/>
  <c r="DW66" i="90"/>
  <c r="B224" i="90"/>
  <c r="DV106" i="90"/>
  <c r="B218" i="90"/>
  <c r="DV100" i="90"/>
  <c r="B130" i="90"/>
  <c r="DV12" i="90"/>
  <c r="B190" i="90"/>
  <c r="DV72" i="90"/>
  <c r="B142" i="90"/>
  <c r="DV24" i="90"/>
  <c r="B216" i="90"/>
  <c r="DV98" i="90"/>
  <c r="B209" i="90"/>
  <c r="DV91" i="90"/>
  <c r="B157" i="90"/>
  <c r="DV39" i="90"/>
  <c r="O223" i="90"/>
  <c r="EI105" i="90"/>
  <c r="I184" i="90"/>
  <c r="EC66" i="90"/>
  <c r="T219" i="90"/>
  <c r="EN101" i="90"/>
  <c r="I170" i="90"/>
  <c r="EC52" i="90"/>
  <c r="U190" i="90"/>
  <c r="EO72" i="90"/>
  <c r="T182" i="90"/>
  <c r="EN64" i="90"/>
  <c r="I164" i="90"/>
  <c r="EC46" i="90"/>
  <c r="O220" i="90"/>
  <c r="EI102" i="90"/>
  <c r="U211" i="90"/>
  <c r="EO93" i="90"/>
  <c r="O162" i="90"/>
  <c r="EI44" i="90"/>
  <c r="O136" i="90"/>
  <c r="EI18" i="90"/>
  <c r="U161" i="90"/>
  <c r="EO43" i="90"/>
  <c r="I178" i="90"/>
  <c r="EC60" i="90"/>
  <c r="I142" i="90"/>
  <c r="EC24" i="90"/>
  <c r="O224" i="90"/>
  <c r="EI106" i="90"/>
  <c r="O153" i="90"/>
  <c r="EI35" i="90"/>
  <c r="I152" i="90"/>
  <c r="EC34" i="90"/>
  <c r="U214" i="90"/>
  <c r="EO96" i="90"/>
  <c r="O170" i="90"/>
  <c r="EI52" i="90"/>
  <c r="C168" i="90"/>
  <c r="DW50" i="90"/>
  <c r="C185" i="90"/>
  <c r="DW67" i="90"/>
  <c r="I218" i="90"/>
  <c r="EC100" i="90"/>
  <c r="I131" i="90"/>
  <c r="EC13" i="90"/>
  <c r="O215" i="90"/>
  <c r="EI97" i="90"/>
  <c r="O164" i="90"/>
  <c r="EI46" i="90"/>
  <c r="O140" i="90"/>
  <c r="EI22" i="90"/>
  <c r="U168" i="90"/>
  <c r="EO50" i="90"/>
  <c r="U183" i="90"/>
  <c r="EO65" i="90"/>
  <c r="U178" i="90"/>
  <c r="EO60" i="90"/>
  <c r="U166" i="90"/>
  <c r="EO48" i="90"/>
  <c r="U127" i="90"/>
  <c r="EO9" i="90"/>
  <c r="I140" i="90"/>
  <c r="EC22" i="90"/>
  <c r="U202" i="90"/>
  <c r="EO84" i="90"/>
  <c r="O212" i="90"/>
  <c r="EI94" i="90"/>
  <c r="I213" i="90"/>
  <c r="EC95" i="90"/>
  <c r="O214" i="90"/>
  <c r="EI96" i="90"/>
  <c r="C156" i="90"/>
  <c r="DW38" i="90"/>
  <c r="C193" i="90"/>
  <c r="DW75" i="90"/>
  <c r="B147" i="90"/>
  <c r="DV29" i="90"/>
  <c r="B152" i="90"/>
  <c r="DV34" i="90"/>
  <c r="I144" i="90"/>
  <c r="EC26" i="90"/>
  <c r="O173" i="90"/>
  <c r="EI55" i="90"/>
  <c r="EU103" i="90"/>
  <c r="I179" i="90"/>
  <c r="EC61" i="90"/>
  <c r="H199" i="90"/>
  <c r="EB81" i="90"/>
  <c r="T178" i="90"/>
  <c r="EN60" i="90"/>
  <c r="EU57" i="90"/>
  <c r="EU27" i="90"/>
  <c r="I190" i="90"/>
  <c r="EC72" i="90"/>
  <c r="U151" i="90"/>
  <c r="EO33" i="90"/>
  <c r="O175" i="90"/>
  <c r="EI57" i="90"/>
  <c r="C180" i="90"/>
  <c r="DW62" i="90"/>
  <c r="C226" i="90"/>
  <c r="DW108" i="90"/>
  <c r="C195" i="90"/>
  <c r="DW77" i="90"/>
  <c r="I161" i="90"/>
  <c r="EC43" i="90"/>
  <c r="C142" i="90"/>
  <c r="DW24" i="90"/>
  <c r="U218" i="90"/>
  <c r="EO100" i="90"/>
  <c r="I219" i="90"/>
  <c r="EC101" i="90"/>
  <c r="B133" i="90"/>
  <c r="DV15" i="90"/>
  <c r="C190" i="90"/>
  <c r="DW72" i="90"/>
  <c r="C155" i="90"/>
  <c r="DW37" i="90"/>
  <c r="C204" i="90"/>
  <c r="DW86" i="90"/>
  <c r="O168" i="90"/>
  <c r="EI50" i="90"/>
  <c r="C174" i="90"/>
  <c r="DW56" i="90"/>
  <c r="U222" i="90"/>
  <c r="EO104" i="90"/>
  <c r="O129" i="90"/>
  <c r="EI11" i="90"/>
  <c r="U209" i="90"/>
  <c r="EO91" i="90"/>
  <c r="I202" i="90"/>
  <c r="EC84" i="90"/>
  <c r="O151" i="90"/>
  <c r="EI33" i="90"/>
  <c r="C131" i="90"/>
  <c r="DW13" i="90"/>
  <c r="U129" i="90"/>
  <c r="EO11" i="90"/>
  <c r="C161" i="90"/>
  <c r="DW43" i="90"/>
  <c r="C171" i="90"/>
  <c r="DW53" i="90"/>
  <c r="O138" i="90"/>
  <c r="EI20" i="90"/>
  <c r="C199" i="90"/>
  <c r="DW81" i="90"/>
  <c r="O211" i="90"/>
  <c r="EI93" i="90"/>
  <c r="C170" i="90"/>
  <c r="DW52" i="90"/>
  <c r="C211" i="90"/>
  <c r="DW93" i="90"/>
  <c r="C140" i="90"/>
  <c r="DW22" i="90"/>
  <c r="I149" i="90"/>
  <c r="EC31" i="90"/>
  <c r="I191" i="90"/>
  <c r="EC73" i="90"/>
  <c r="U226" i="90"/>
  <c r="EO108" i="90"/>
  <c r="U170" i="90"/>
  <c r="EO52" i="90"/>
  <c r="U171" i="90"/>
  <c r="EO53" i="90"/>
  <c r="U221" i="90"/>
  <c r="EO103" i="90"/>
  <c r="I136" i="90"/>
  <c r="EC18" i="90"/>
  <c r="I188" i="90"/>
  <c r="EC70" i="90"/>
  <c r="C192" i="90"/>
  <c r="DW74" i="90"/>
  <c r="C209" i="90"/>
  <c r="DW91" i="90"/>
  <c r="I189" i="90"/>
  <c r="EC71" i="90"/>
  <c r="N127" i="90"/>
  <c r="EH9" i="90"/>
  <c r="C178" i="90"/>
  <c r="DW60" i="90"/>
  <c r="I198" i="90"/>
  <c r="EC80" i="90"/>
  <c r="CD213" i="90"/>
  <c r="BL145" i="90"/>
  <c r="BX189" i="90"/>
  <c r="CD199" i="90"/>
  <c r="BR211" i="90"/>
  <c r="CJ213" i="90"/>
  <c r="BR134" i="90"/>
  <c r="BR183" i="90"/>
  <c r="BX222" i="90"/>
  <c r="CJ151" i="90"/>
  <c r="CJ148" i="90"/>
  <c r="CJ150" i="90"/>
  <c r="BX145" i="90"/>
  <c r="BR171" i="90"/>
  <c r="BX144" i="90"/>
  <c r="BX188" i="90"/>
  <c r="BL176" i="90"/>
  <c r="CD186" i="90"/>
  <c r="BR129" i="90"/>
  <c r="BX201" i="90"/>
  <c r="CJ193" i="90"/>
  <c r="BL133" i="90"/>
  <c r="BR181" i="90"/>
  <c r="BX163" i="90"/>
  <c r="CD185" i="90"/>
  <c r="BR204" i="90"/>
  <c r="CD146" i="90"/>
  <c r="CJ200" i="90"/>
  <c r="CJ138" i="90"/>
  <c r="CD191" i="90"/>
  <c r="CD194" i="90"/>
  <c r="BR194" i="90"/>
  <c r="BR216" i="90"/>
  <c r="BR209" i="90"/>
  <c r="BR159" i="90"/>
  <c r="BX196" i="90"/>
  <c r="BX205" i="90"/>
  <c r="CD175" i="90"/>
  <c r="BR143" i="90"/>
  <c r="BX135" i="90"/>
  <c r="BR176" i="90"/>
  <c r="CD128" i="90"/>
  <c r="BR208" i="90"/>
  <c r="BR155" i="90"/>
  <c r="CD198" i="90"/>
  <c r="BL194" i="90"/>
  <c r="CD139" i="90"/>
  <c r="CD143" i="90"/>
  <c r="BL206" i="90"/>
  <c r="BR153" i="90"/>
  <c r="BR172" i="90"/>
  <c r="CD152" i="90"/>
  <c r="CD159" i="90"/>
  <c r="BX148" i="90"/>
  <c r="CD131" i="90"/>
  <c r="BR220" i="90"/>
  <c r="CD163" i="90"/>
  <c r="BR199" i="90"/>
  <c r="BR162" i="90"/>
  <c r="CD188" i="90"/>
  <c r="BX128" i="90"/>
  <c r="CJ224" i="90"/>
  <c r="BX221" i="90"/>
  <c r="BR200" i="90"/>
  <c r="BR180" i="90"/>
  <c r="BX181" i="90"/>
  <c r="BR163" i="90"/>
  <c r="CD189" i="90"/>
  <c r="BX225" i="90"/>
  <c r="CD173" i="90"/>
  <c r="BL147" i="90"/>
  <c r="CJ192" i="90"/>
  <c r="BR139" i="90"/>
  <c r="BR169" i="90"/>
  <c r="BR175" i="90"/>
  <c r="BX178" i="90"/>
  <c r="CD140" i="90"/>
  <c r="CD192" i="90"/>
  <c r="BL148" i="90"/>
  <c r="CJ164" i="90"/>
  <c r="BX180" i="90"/>
  <c r="BR195" i="90"/>
  <c r="BL189" i="90"/>
  <c r="BL163" i="90"/>
  <c r="CD156" i="90"/>
  <c r="CJ206" i="90"/>
  <c r="BR165" i="90"/>
  <c r="BX155" i="90"/>
  <c r="BX191" i="90"/>
  <c r="CJ225" i="90"/>
  <c r="BR193" i="90"/>
  <c r="BL198" i="90"/>
  <c r="A130" i="49"/>
  <c r="BL139" i="90"/>
  <c r="BL221" i="90"/>
  <c r="BR223" i="90"/>
  <c r="CJ139" i="90"/>
  <c r="BL201" i="90"/>
  <c r="CD130" i="90"/>
  <c r="CD212" i="90"/>
  <c r="BX195" i="90"/>
  <c r="BX209" i="90"/>
  <c r="BR158" i="90"/>
  <c r="CD205" i="90"/>
  <c r="BX179" i="90"/>
  <c r="CD144" i="90"/>
  <c r="CJ143" i="90"/>
  <c r="BL169" i="90"/>
  <c r="BL153" i="90"/>
  <c r="BR146" i="90"/>
  <c r="BR156" i="90"/>
  <c r="BX171" i="90"/>
  <c r="CJ184" i="90"/>
  <c r="BL150" i="90"/>
  <c r="BL158" i="90"/>
  <c r="BL213" i="90"/>
  <c r="BR173" i="90"/>
  <c r="BX182" i="90"/>
  <c r="CD160" i="90"/>
  <c r="CD138" i="90"/>
  <c r="BX216" i="90"/>
  <c r="CJ214" i="90"/>
  <c r="CJ176" i="90"/>
  <c r="BR196" i="90"/>
  <c r="CJ141" i="90"/>
  <c r="BR174" i="90"/>
  <c r="CD196" i="90"/>
  <c r="CD210" i="90"/>
  <c r="BL225" i="90"/>
  <c r="BL149" i="90"/>
  <c r="BL183" i="90"/>
  <c r="CD142" i="90"/>
  <c r="BX132" i="90"/>
  <c r="CJ135" i="90"/>
  <c r="BL219" i="90"/>
  <c r="CJ210" i="90"/>
  <c r="CD193" i="90"/>
  <c r="BL196" i="90"/>
  <c r="CJ218" i="90"/>
  <c r="CD158" i="90"/>
  <c r="CJ142" i="90"/>
  <c r="BX184" i="90"/>
  <c r="BL130" i="90"/>
  <c r="CD203" i="90"/>
  <c r="BX176" i="90"/>
  <c r="CD219" i="90"/>
  <c r="CJ172" i="90"/>
  <c r="CJ215" i="90"/>
  <c r="BL141" i="90"/>
  <c r="BX223" i="90"/>
  <c r="BR184" i="90"/>
  <c r="BR170" i="90"/>
  <c r="CD190" i="90"/>
  <c r="BR164" i="90"/>
  <c r="BX220" i="90"/>
  <c r="CD211" i="90"/>
  <c r="BX162" i="90"/>
  <c r="CJ185" i="90"/>
  <c r="BX136" i="90"/>
  <c r="CJ208" i="90"/>
  <c r="CD161" i="90"/>
  <c r="BR178" i="90"/>
  <c r="CJ182" i="90"/>
  <c r="CJ219" i="90"/>
  <c r="BR142" i="90"/>
  <c r="BX224" i="90"/>
  <c r="BX153" i="90"/>
  <c r="BR152" i="90"/>
  <c r="CD214" i="90"/>
  <c r="BX170" i="90"/>
  <c r="BL168" i="90"/>
  <c r="BL185" i="90"/>
  <c r="CJ162" i="90"/>
  <c r="BR218" i="90"/>
  <c r="BR131" i="90"/>
  <c r="CJ186" i="90"/>
  <c r="BX215" i="90"/>
  <c r="BX164" i="90"/>
  <c r="BX140" i="90"/>
  <c r="CJ216" i="90"/>
  <c r="CD168" i="90"/>
  <c r="CD183" i="90"/>
  <c r="CD178" i="90"/>
  <c r="CD166" i="90"/>
  <c r="CJ203" i="90"/>
  <c r="CD127" i="90"/>
  <c r="CJ171" i="90"/>
  <c r="CJ222" i="90"/>
  <c r="CJ130" i="90"/>
  <c r="BR140" i="90"/>
  <c r="CD202" i="90"/>
  <c r="CJ136" i="90"/>
  <c r="BX212" i="90"/>
  <c r="BR213" i="90"/>
  <c r="CJ170" i="90"/>
  <c r="BX214" i="90"/>
  <c r="BL190" i="90"/>
  <c r="BL155" i="90"/>
  <c r="BL204" i="90"/>
  <c r="BX168" i="90"/>
  <c r="BL174" i="90"/>
  <c r="CD222" i="90"/>
  <c r="BX129" i="90"/>
  <c r="CD209" i="90"/>
  <c r="CJ202" i="90"/>
  <c r="BR202" i="90"/>
  <c r="BX151" i="90"/>
  <c r="BL131" i="90"/>
  <c r="CD129" i="90"/>
  <c r="BL161" i="90"/>
  <c r="BL171" i="90"/>
  <c r="BX138" i="90"/>
  <c r="BL199" i="90"/>
  <c r="BX211" i="90"/>
  <c r="CJ146" i="90"/>
  <c r="BL170" i="90"/>
  <c r="BL211" i="90"/>
  <c r="BL140" i="90"/>
  <c r="CJ212" i="90"/>
  <c r="BR149" i="90"/>
  <c r="BR191" i="90"/>
  <c r="CD226" i="90"/>
  <c r="CD170" i="90"/>
  <c r="CD171" i="90"/>
  <c r="CJ127" i="90"/>
  <c r="CD221" i="90"/>
  <c r="BR136" i="90"/>
  <c r="BR188" i="90"/>
  <c r="CJ161" i="90"/>
  <c r="BL192" i="90"/>
  <c r="BL209" i="90"/>
  <c r="BK128" i="90"/>
  <c r="BR189" i="90"/>
  <c r="BL178" i="90"/>
  <c r="BR198" i="90"/>
  <c r="CJ140" i="90"/>
  <c r="BR144" i="90"/>
  <c r="CJ155" i="90"/>
  <c r="CD135" i="90"/>
  <c r="CJ160" i="90"/>
  <c r="CJ189" i="90"/>
  <c r="CD182" i="90"/>
  <c r="BR150" i="90"/>
  <c r="BX173" i="90"/>
  <c r="CD206" i="90"/>
  <c r="CJ181" i="90"/>
  <c r="CJ159" i="90"/>
  <c r="CJ196" i="90"/>
  <c r="BR166" i="90"/>
  <c r="BR148" i="90"/>
  <c r="BX158" i="90"/>
  <c r="CJ221" i="90"/>
  <c r="CJ163" i="90"/>
  <c r="CD215" i="90"/>
  <c r="BX169" i="90"/>
  <c r="BX159" i="90"/>
  <c r="BR138" i="90"/>
  <c r="BR179" i="90"/>
  <c r="BL151" i="90"/>
  <c r="BL128" i="90"/>
  <c r="CJ183" i="90"/>
  <c r="BR160" i="90"/>
  <c r="BR201" i="90"/>
  <c r="CD176" i="90"/>
  <c r="CJ169" i="90"/>
  <c r="CD149" i="90"/>
  <c r="BR224" i="90"/>
  <c r="CD133" i="90"/>
  <c r="BX130" i="90"/>
  <c r="BX213" i="90"/>
  <c r="BX186" i="90"/>
  <c r="BR132" i="90"/>
  <c r="CJ175" i="90"/>
  <c r="CJ134" i="90"/>
  <c r="CJ145" i="90"/>
  <c r="BR168" i="90"/>
  <c r="BX198" i="90"/>
  <c r="CJ158" i="90"/>
  <c r="CJ223" i="90"/>
  <c r="CJ198" i="90"/>
  <c r="BR141" i="90"/>
  <c r="BR226" i="90"/>
  <c r="CJ154" i="90"/>
  <c r="CJ188" i="90"/>
  <c r="BX172" i="90"/>
  <c r="CA63" i="4"/>
  <c r="CA80" i="4"/>
  <c r="BL188" i="90"/>
  <c r="CJ168" i="90"/>
  <c r="BX208" i="90"/>
  <c r="BX156" i="90"/>
  <c r="CD145" i="90"/>
  <c r="CJ152" i="90"/>
  <c r="BX134" i="90"/>
  <c r="BX146" i="90"/>
  <c r="CJ195" i="90"/>
  <c r="BX133" i="90"/>
  <c r="CD216" i="90"/>
  <c r="CJ209" i="90"/>
  <c r="BX202" i="90"/>
  <c r="BR203" i="90"/>
  <c r="CD134" i="90"/>
  <c r="BR192" i="90"/>
  <c r="BL152" i="90"/>
  <c r="BL181" i="90"/>
  <c r="BX199" i="90"/>
  <c r="BL137" i="90"/>
  <c r="BL179" i="90"/>
  <c r="BL129" i="90"/>
  <c r="BL220" i="90"/>
  <c r="BL202" i="90"/>
  <c r="BL159" i="90"/>
  <c r="BX219" i="90"/>
  <c r="CJ173" i="90"/>
  <c r="BL172" i="90"/>
  <c r="BX200" i="90"/>
  <c r="BR221" i="90"/>
  <c r="BX142" i="90"/>
  <c r="CD172" i="90"/>
  <c r="CJ205" i="90"/>
  <c r="CD136" i="90"/>
  <c r="CD181" i="90"/>
  <c r="CJ191" i="90"/>
  <c r="CD204" i="90"/>
  <c r="BR151" i="90"/>
  <c r="CJ133" i="90"/>
  <c r="BX160" i="90"/>
  <c r="BL143" i="90"/>
  <c r="BL215" i="90"/>
  <c r="BL200" i="90"/>
  <c r="CJ165" i="90"/>
  <c r="BX192" i="90"/>
  <c r="CJ201" i="90"/>
  <c r="BX161" i="90"/>
  <c r="CD164" i="90"/>
  <c r="BX174" i="90"/>
  <c r="CD150" i="90"/>
  <c r="BX152" i="90"/>
  <c r="BL191" i="90"/>
  <c r="BL223" i="90"/>
  <c r="CD195" i="90"/>
  <c r="BX185" i="90"/>
  <c r="BL165" i="90"/>
  <c r="BX204" i="90"/>
  <c r="CD180" i="90"/>
  <c r="CJ174" i="90"/>
  <c r="CD169" i="90"/>
  <c r="CJ156" i="90"/>
  <c r="CJ220" i="90"/>
  <c r="CJ199" i="90"/>
  <c r="CJ128" i="90"/>
  <c r="BR186" i="90"/>
  <c r="BR135" i="90"/>
  <c r="CJ194" i="90"/>
  <c r="CD201" i="90"/>
  <c r="CJ132" i="90"/>
  <c r="BR214" i="90"/>
  <c r="CD208" i="90"/>
  <c r="BR210" i="90"/>
  <c r="CJ226" i="90"/>
  <c r="CJ153" i="90"/>
  <c r="BL135" i="90"/>
  <c r="CD141" i="90"/>
  <c r="BR205" i="90"/>
  <c r="CD200" i="90"/>
  <c r="BX226" i="90"/>
  <c r="CJ129" i="90"/>
  <c r="CD179" i="90"/>
  <c r="BX206" i="90"/>
  <c r="CJ190" i="90"/>
  <c r="CJ178" i="90"/>
  <c r="CJ180" i="90"/>
  <c r="BX190" i="90"/>
  <c r="BX150" i="90"/>
  <c r="CD162" i="90"/>
  <c r="CD223" i="90"/>
  <c r="BR212" i="90"/>
  <c r="BR222" i="90"/>
  <c r="CD155" i="90"/>
  <c r="BR145" i="90"/>
  <c r="BR128" i="90"/>
  <c r="BX141" i="90"/>
  <c r="BX210" i="90"/>
  <c r="BR215" i="90"/>
  <c r="BR206" i="90"/>
  <c r="CD225" i="90"/>
  <c r="BR130" i="90"/>
  <c r="BX194" i="90"/>
  <c r="CJ131" i="90"/>
  <c r="CJ149" i="90"/>
  <c r="BL157" i="90"/>
  <c r="CJ144" i="90"/>
  <c r="CD165" i="90"/>
  <c r="B128" i="90"/>
  <c r="CA61" i="4"/>
  <c r="CA99" i="4"/>
  <c r="CA53" i="4"/>
  <c r="A141" i="49"/>
  <c r="CA41" i="4"/>
  <c r="CA106" i="4"/>
  <c r="CA30" i="4"/>
  <c r="CA33" i="4"/>
  <c r="CA107" i="4"/>
  <c r="CA51" i="4"/>
  <c r="CA54" i="4"/>
  <c r="CA29" i="4"/>
  <c r="CA77" i="4"/>
  <c r="CA52" i="4"/>
  <c r="CA74" i="4"/>
  <c r="CA62" i="4"/>
  <c r="CA66" i="4"/>
  <c r="CA91" i="4"/>
  <c r="CA69" i="4"/>
  <c r="CA96" i="4"/>
  <c r="CA40" i="4"/>
  <c r="CA44" i="4"/>
  <c r="CA50" i="4"/>
  <c r="CA20" i="4"/>
  <c r="CA65" i="4"/>
  <c r="CA60" i="4"/>
  <c r="CA22" i="4"/>
  <c r="CA70" i="4"/>
  <c r="CA86" i="4"/>
  <c r="CA87" i="4"/>
  <c r="CA21" i="4"/>
  <c r="CA34" i="4"/>
  <c r="CA75" i="4"/>
  <c r="CA108" i="4"/>
  <c r="CA95" i="4"/>
  <c r="CA48" i="4"/>
  <c r="CA32" i="4"/>
  <c r="CA105" i="4"/>
  <c r="CA42" i="4"/>
  <c r="CA98" i="4"/>
  <c r="CA111" i="4"/>
  <c r="CA94" i="4"/>
  <c r="CA92" i="4"/>
  <c r="CA31" i="4"/>
  <c r="CA67" i="4"/>
  <c r="CA82" i="4"/>
  <c r="CA89" i="4"/>
  <c r="CA73" i="4"/>
  <c r="CA83" i="4"/>
  <c r="CA18" i="4"/>
  <c r="CA64" i="4"/>
  <c r="CA88" i="4"/>
  <c r="CA110" i="4"/>
  <c r="CA58" i="4"/>
  <c r="CA47" i="4"/>
  <c r="CA109" i="4"/>
  <c r="CA85" i="4"/>
  <c r="CA103" i="4"/>
  <c r="CA104" i="4"/>
  <c r="CA72" i="4"/>
  <c r="CA19" i="4"/>
  <c r="CA100" i="4"/>
  <c r="CA93" i="4"/>
  <c r="CA36" i="4"/>
  <c r="CA45" i="4"/>
  <c r="CA56" i="4"/>
  <c r="CA84" i="4"/>
  <c r="CA43" i="4"/>
  <c r="CA17" i="4"/>
  <c r="CA38" i="4"/>
  <c r="CA76" i="4"/>
  <c r="CA55" i="4"/>
  <c r="CA97" i="4"/>
  <c r="CA78" i="4"/>
  <c r="CA102" i="4"/>
  <c r="DZ2" i="4"/>
  <c r="A152" i="49"/>
  <c r="A218" i="49"/>
  <c r="A207" i="49"/>
  <c r="A185" i="49"/>
  <c r="A123" i="51"/>
  <c r="E122" i="51"/>
  <c r="E123" i="51"/>
  <c r="A229" i="49"/>
  <c r="A189" i="51"/>
  <c r="E188" i="51"/>
  <c r="E189" i="51"/>
  <c r="E133" i="51"/>
  <c r="A134" i="51"/>
  <c r="E134" i="51"/>
  <c r="A200" i="51"/>
  <c r="E199" i="51"/>
  <c r="E200" i="51"/>
  <c r="L29" i="79"/>
  <c r="N28" i="79"/>
  <c r="K30" i="79"/>
  <c r="K36" i="79"/>
  <c r="K34" i="79"/>
  <c r="K35" i="79"/>
  <c r="K31" i="79"/>
  <c r="K37" i="79"/>
  <c r="K33" i="79"/>
  <c r="K28" i="79"/>
  <c r="K29" i="79"/>
  <c r="K32" i="79"/>
  <c r="E148" i="41"/>
  <c r="A148" i="41"/>
  <c r="E117" i="41"/>
  <c r="A117" i="41"/>
  <c r="A216" i="41"/>
  <c r="E216" i="41"/>
  <c r="A161" i="41"/>
  <c r="E161" i="41"/>
  <c r="A194" i="41"/>
  <c r="E194" i="41"/>
  <c r="A172" i="41"/>
  <c r="E172" i="41"/>
  <c r="A183" i="41"/>
  <c r="E183" i="41"/>
  <c r="A139" i="41"/>
  <c r="E139" i="41"/>
  <c r="E128" i="41"/>
  <c r="A128" i="41"/>
  <c r="EK52" i="4"/>
  <c r="EK53" i="4" s="1"/>
  <c r="OE2" i="4" l="1"/>
  <c r="OF2" i="4"/>
  <c r="E175" i="49"/>
  <c r="A197" i="49"/>
  <c r="E174" i="49"/>
  <c r="OD2" i="4"/>
  <c r="E164" i="49"/>
  <c r="G164" i="49" s="1"/>
  <c r="E163" i="49"/>
  <c r="S56" i="103"/>
  <c r="S133" i="103"/>
  <c r="S144" i="103"/>
  <c r="S67" i="103"/>
  <c r="S100" i="103"/>
  <c r="S89" i="103"/>
  <c r="S78" i="103"/>
  <c r="S122" i="103"/>
  <c r="S111" i="103"/>
  <c r="S155" i="103"/>
  <c r="T56" i="103"/>
  <c r="T67" i="103"/>
  <c r="T100" i="103"/>
  <c r="T144" i="103"/>
  <c r="T78" i="103"/>
  <c r="T89" i="103"/>
  <c r="T111" i="103"/>
  <c r="T155" i="103"/>
  <c r="T122" i="103"/>
  <c r="T133" i="103"/>
  <c r="S57" i="103"/>
  <c r="S58" i="103"/>
  <c r="T57" i="103"/>
  <c r="T58" i="103"/>
  <c r="DR3" i="4"/>
  <c r="F118" i="41" s="1"/>
  <c r="F120" i="41" s="1"/>
  <c r="F197" i="41"/>
  <c r="F198" i="41"/>
  <c r="F164" i="41"/>
  <c r="F165" i="41"/>
  <c r="F154" i="41"/>
  <c r="F153" i="41"/>
  <c r="F209" i="41"/>
  <c r="F208" i="41"/>
  <c r="F143" i="41"/>
  <c r="F142" i="41"/>
  <c r="F175" i="41"/>
  <c r="F176" i="41"/>
  <c r="F187" i="41"/>
  <c r="F186" i="41"/>
  <c r="F130" i="41"/>
  <c r="F131" i="41"/>
  <c r="F121" i="41"/>
  <c r="G118" i="41"/>
  <c r="G120" i="41" s="1"/>
  <c r="G140" i="41"/>
  <c r="G162" i="41"/>
  <c r="G129" i="41"/>
  <c r="G173" i="41"/>
  <c r="G184" i="41"/>
  <c r="G195" i="41"/>
  <c r="G151" i="41"/>
  <c r="G206" i="41"/>
  <c r="R23" i="70"/>
  <c r="FX4344" i="4"/>
  <c r="G121" i="41"/>
  <c r="G163" i="49"/>
  <c r="E153" i="49"/>
  <c r="E152" i="49"/>
  <c r="D78" i="103"/>
  <c r="D89" i="103"/>
  <c r="D111" i="103"/>
  <c r="D144" i="103"/>
  <c r="D100" i="103"/>
  <c r="D133" i="103"/>
  <c r="D155" i="103"/>
  <c r="D122" i="103"/>
  <c r="C78" i="103"/>
  <c r="C144" i="103"/>
  <c r="C155" i="103"/>
  <c r="C133" i="103"/>
  <c r="C89" i="103"/>
  <c r="C100" i="103"/>
  <c r="C111" i="103"/>
  <c r="C122" i="103"/>
  <c r="E197" i="49"/>
  <c r="G197" i="49" s="1"/>
  <c r="G196" i="49"/>
  <c r="G174" i="49"/>
  <c r="FW2" i="4"/>
  <c r="FX2" i="4"/>
  <c r="FY2" i="4"/>
  <c r="BM127" i="90"/>
  <c r="BN127" i="90"/>
  <c r="E127" i="90"/>
  <c r="D127" i="90"/>
  <c r="DY115" i="90"/>
  <c r="DX115" i="90"/>
  <c r="DY9" i="90"/>
  <c r="DX9" i="90"/>
  <c r="BY194" i="90"/>
  <c r="BZ194" i="90"/>
  <c r="BT145" i="90"/>
  <c r="BS145" i="90"/>
  <c r="CK180" i="90"/>
  <c r="CL180" i="90"/>
  <c r="BT205" i="90"/>
  <c r="BS205" i="90"/>
  <c r="CK132" i="90"/>
  <c r="CL132" i="90"/>
  <c r="CK156" i="90"/>
  <c r="CL156" i="90"/>
  <c r="BM223" i="90"/>
  <c r="BN223" i="90"/>
  <c r="BZ192" i="90"/>
  <c r="BY192" i="90"/>
  <c r="CE204" i="90"/>
  <c r="CF204" i="90"/>
  <c r="BZ200" i="90"/>
  <c r="BY200" i="90"/>
  <c r="BM179" i="90"/>
  <c r="BN179" i="90"/>
  <c r="BY202" i="90"/>
  <c r="BZ202" i="90"/>
  <c r="CE145" i="90"/>
  <c r="CF145" i="90"/>
  <c r="CK188" i="90"/>
  <c r="CL188" i="90"/>
  <c r="BS168" i="90"/>
  <c r="BT168" i="90"/>
  <c r="CE133" i="90"/>
  <c r="CF133" i="90"/>
  <c r="BM128" i="90"/>
  <c r="BN128" i="90"/>
  <c r="CK221" i="90"/>
  <c r="CL221" i="90"/>
  <c r="BY173" i="90"/>
  <c r="BZ173" i="90"/>
  <c r="CK140" i="90"/>
  <c r="CL140" i="90"/>
  <c r="BS188" i="90"/>
  <c r="BT188" i="90"/>
  <c r="BT149" i="90"/>
  <c r="BS149" i="90"/>
  <c r="BY138" i="90"/>
  <c r="BZ138" i="90"/>
  <c r="CE209" i="90"/>
  <c r="CF209" i="90"/>
  <c r="BY214" i="90"/>
  <c r="BZ214" i="90"/>
  <c r="CK222" i="90"/>
  <c r="CL222" i="90"/>
  <c r="CK216" i="90"/>
  <c r="CL216" i="90"/>
  <c r="BM185" i="90"/>
  <c r="BN185" i="90"/>
  <c r="CK219" i="90"/>
  <c r="CL219" i="90"/>
  <c r="CE211" i="90"/>
  <c r="CF211" i="90"/>
  <c r="CK215" i="90"/>
  <c r="CL215" i="90"/>
  <c r="CE158" i="90"/>
  <c r="CF158" i="90"/>
  <c r="CE142" i="90"/>
  <c r="CF142" i="90"/>
  <c r="BS196" i="90"/>
  <c r="BT196" i="90"/>
  <c r="BM213" i="90"/>
  <c r="BN213" i="90"/>
  <c r="BM169" i="90"/>
  <c r="BN169" i="90"/>
  <c r="CF212" i="90"/>
  <c r="CE212" i="90"/>
  <c r="BN198" i="90"/>
  <c r="BM198" i="90"/>
  <c r="BM163" i="90"/>
  <c r="BN163" i="90"/>
  <c r="BY178" i="90"/>
  <c r="BZ178" i="90"/>
  <c r="CE189" i="90"/>
  <c r="CF189" i="90"/>
  <c r="CE188" i="90"/>
  <c r="CF188" i="90"/>
  <c r="CE152" i="90"/>
  <c r="CF152" i="90"/>
  <c r="BS155" i="90"/>
  <c r="BT155" i="90"/>
  <c r="BZ196" i="90"/>
  <c r="BY196" i="90"/>
  <c r="CK200" i="90"/>
  <c r="CL200" i="90"/>
  <c r="BY201" i="90"/>
  <c r="BZ201" i="90"/>
  <c r="CK150" i="90"/>
  <c r="CL150" i="90"/>
  <c r="CE199" i="90"/>
  <c r="CF199" i="90"/>
  <c r="EE70" i="90"/>
  <c r="ED70" i="90"/>
  <c r="EP52" i="90"/>
  <c r="EQ52" i="90"/>
  <c r="DX22" i="90"/>
  <c r="DY22" i="90"/>
  <c r="DX81" i="90"/>
  <c r="DY81" i="90"/>
  <c r="EP11" i="90"/>
  <c r="EQ11" i="90"/>
  <c r="EP91" i="90"/>
  <c r="EQ91" i="90"/>
  <c r="EJ50" i="90"/>
  <c r="EK50" i="90"/>
  <c r="ED43" i="90"/>
  <c r="EE43" i="90"/>
  <c r="EJ57" i="90"/>
  <c r="EK57" i="90"/>
  <c r="P173" i="90"/>
  <c r="Q173" i="90"/>
  <c r="D193" i="90"/>
  <c r="E193" i="90"/>
  <c r="P212" i="90"/>
  <c r="Q212" i="90"/>
  <c r="V166" i="90"/>
  <c r="W166" i="90"/>
  <c r="Q140" i="90"/>
  <c r="P140" i="90"/>
  <c r="J218" i="90"/>
  <c r="K218" i="90"/>
  <c r="V214" i="90"/>
  <c r="W214" i="90"/>
  <c r="J142" i="90"/>
  <c r="K142" i="90"/>
  <c r="Q162" i="90"/>
  <c r="P162" i="90"/>
  <c r="K184" i="90"/>
  <c r="J184" i="90"/>
  <c r="D134" i="90"/>
  <c r="E134" i="90"/>
  <c r="EJ12" i="90"/>
  <c r="EK12" i="90"/>
  <c r="DX101" i="90"/>
  <c r="DY101" i="90"/>
  <c r="DX31" i="90"/>
  <c r="DY31" i="90"/>
  <c r="ED56" i="90"/>
  <c r="EE56" i="90"/>
  <c r="EQ42" i="90"/>
  <c r="EP42" i="90"/>
  <c r="DX40" i="90"/>
  <c r="DY40" i="90"/>
  <c r="EP26" i="90"/>
  <c r="EQ26" i="90"/>
  <c r="EP12" i="90"/>
  <c r="EQ12" i="90"/>
  <c r="ED105" i="90"/>
  <c r="EE105" i="90"/>
  <c r="DX44" i="90"/>
  <c r="DY44" i="90"/>
  <c r="DX48" i="90"/>
  <c r="DY48" i="90"/>
  <c r="K141" i="90"/>
  <c r="J141" i="90"/>
  <c r="Q186" i="90"/>
  <c r="P186" i="90"/>
  <c r="ED57" i="90"/>
  <c r="EE57" i="90"/>
  <c r="EP55" i="90"/>
  <c r="EQ55" i="90"/>
  <c r="EE62" i="90"/>
  <c r="ED62" i="90"/>
  <c r="EQ70" i="90"/>
  <c r="EP70" i="90"/>
  <c r="EE102" i="90"/>
  <c r="ED102" i="90"/>
  <c r="EP34" i="90"/>
  <c r="EQ34" i="90"/>
  <c r="EP25" i="90"/>
  <c r="EQ25" i="90"/>
  <c r="ED37" i="90"/>
  <c r="EE37" i="90"/>
  <c r="EJ17" i="90"/>
  <c r="EK17" i="90"/>
  <c r="EJ78" i="90"/>
  <c r="EK78" i="90"/>
  <c r="ED76" i="90"/>
  <c r="EE76" i="90"/>
  <c r="EE86" i="90"/>
  <c r="ED86" i="90"/>
  <c r="EJ85" i="90"/>
  <c r="EK85" i="90"/>
  <c r="ED63" i="90"/>
  <c r="EE63" i="90"/>
  <c r="EE42" i="90"/>
  <c r="ED42" i="90"/>
  <c r="K129" i="90"/>
  <c r="J129" i="90"/>
  <c r="EV97" i="90"/>
  <c r="EW97" i="90"/>
  <c r="EJ26" i="90"/>
  <c r="EK26" i="90"/>
  <c r="EQ38" i="90"/>
  <c r="EP38" i="90"/>
  <c r="DX71" i="90"/>
  <c r="DY71" i="90"/>
  <c r="Q180" i="90"/>
  <c r="P180" i="90"/>
  <c r="DX30" i="90"/>
  <c r="DY30" i="90"/>
  <c r="ED16" i="90"/>
  <c r="EE16" i="90"/>
  <c r="EP81" i="90"/>
  <c r="EQ81" i="90"/>
  <c r="DX27" i="90"/>
  <c r="DY27" i="90"/>
  <c r="DX18" i="90"/>
  <c r="DY18" i="90"/>
  <c r="DX57" i="90"/>
  <c r="DY57" i="90"/>
  <c r="D157" i="90"/>
  <c r="E157" i="90"/>
  <c r="V225" i="90"/>
  <c r="W225" i="90"/>
  <c r="P210" i="90"/>
  <c r="Q210" i="90"/>
  <c r="V155" i="90"/>
  <c r="W155" i="90"/>
  <c r="P190" i="90"/>
  <c r="Q190" i="90"/>
  <c r="Q226" i="90"/>
  <c r="P226" i="90"/>
  <c r="V141" i="90"/>
  <c r="W141" i="90"/>
  <c r="EV108" i="90"/>
  <c r="EW108" i="90"/>
  <c r="EP83" i="90"/>
  <c r="EQ83" i="90"/>
  <c r="EQ62" i="90"/>
  <c r="EP62" i="90"/>
  <c r="EJ21" i="90"/>
  <c r="EK21" i="90"/>
  <c r="DX14" i="90"/>
  <c r="DY14" i="90"/>
  <c r="J166" i="90"/>
  <c r="K166" i="90"/>
  <c r="D223" i="90"/>
  <c r="E223" i="90"/>
  <c r="Q174" i="90"/>
  <c r="P174" i="90"/>
  <c r="D200" i="90"/>
  <c r="E200" i="90"/>
  <c r="K151" i="90"/>
  <c r="J151" i="90"/>
  <c r="V172" i="90"/>
  <c r="W172" i="90"/>
  <c r="D172" i="90"/>
  <c r="E172" i="90"/>
  <c r="D220" i="90"/>
  <c r="E220" i="90"/>
  <c r="P199" i="90"/>
  <c r="Q199" i="90"/>
  <c r="V134" i="90"/>
  <c r="W134" i="90"/>
  <c r="Q133" i="90"/>
  <c r="P133" i="90"/>
  <c r="Q156" i="90"/>
  <c r="P156" i="90"/>
  <c r="D216" i="90"/>
  <c r="E216" i="90"/>
  <c r="D160" i="90"/>
  <c r="E160" i="90"/>
  <c r="K133" i="90"/>
  <c r="J133" i="90"/>
  <c r="V133" i="90"/>
  <c r="W133" i="90"/>
  <c r="K201" i="90"/>
  <c r="J201" i="90"/>
  <c r="P169" i="90"/>
  <c r="Q169" i="90"/>
  <c r="EV42" i="90"/>
  <c r="EW42" i="90"/>
  <c r="EV18" i="90"/>
  <c r="EW18" i="90"/>
  <c r="EV12" i="90"/>
  <c r="EW12" i="90"/>
  <c r="EV104" i="90"/>
  <c r="EW104" i="90"/>
  <c r="EV67" i="90"/>
  <c r="EW67" i="90"/>
  <c r="EV17" i="90"/>
  <c r="EW17" i="90"/>
  <c r="EV20" i="90"/>
  <c r="EW20" i="90"/>
  <c r="EV93" i="90"/>
  <c r="EW93" i="90"/>
  <c r="EJ173" i="90"/>
  <c r="EK173" i="90"/>
  <c r="EJ120" i="90"/>
  <c r="EK120" i="90"/>
  <c r="EJ123" i="90"/>
  <c r="EK123" i="90"/>
  <c r="EP194" i="90"/>
  <c r="EQ194" i="90"/>
  <c r="ED132" i="90"/>
  <c r="EE132" i="90"/>
  <c r="EP136" i="90"/>
  <c r="EQ136" i="90"/>
  <c r="DX168" i="90"/>
  <c r="DY168" i="90"/>
  <c r="EP213" i="90"/>
  <c r="EQ213" i="90"/>
  <c r="EJ132" i="90"/>
  <c r="EK132" i="90"/>
  <c r="ED137" i="90"/>
  <c r="EE137" i="90"/>
  <c r="DX199" i="90"/>
  <c r="DY199" i="90"/>
  <c r="DX125" i="90"/>
  <c r="DY125" i="90"/>
  <c r="ED187" i="90"/>
  <c r="EE187" i="90"/>
  <c r="ED202" i="90"/>
  <c r="EE202" i="90"/>
  <c r="EJ124" i="90"/>
  <c r="EK124" i="90"/>
  <c r="ED158" i="90"/>
  <c r="EE158" i="90"/>
  <c r="ED149" i="90"/>
  <c r="EE149" i="90"/>
  <c r="EJ181" i="90"/>
  <c r="EK181" i="90"/>
  <c r="BT127" i="90"/>
  <c r="BS127" i="90"/>
  <c r="ED129" i="90"/>
  <c r="EE129" i="90"/>
  <c r="F68" i="103"/>
  <c r="DX211" i="90"/>
  <c r="DY211" i="90"/>
  <c r="ED210" i="90"/>
  <c r="EE210" i="90"/>
  <c r="EP167" i="90"/>
  <c r="EQ167" i="90"/>
  <c r="DX123" i="90"/>
  <c r="DY123" i="90"/>
  <c r="ED126" i="90"/>
  <c r="EE126" i="90"/>
  <c r="ED154" i="90"/>
  <c r="EE154" i="90"/>
  <c r="EP179" i="90"/>
  <c r="EQ179" i="90"/>
  <c r="EJ151" i="90"/>
  <c r="EK151" i="90"/>
  <c r="ED207" i="90"/>
  <c r="EE207" i="90"/>
  <c r="EJ206" i="90"/>
  <c r="EK206" i="90"/>
  <c r="DX151" i="90"/>
  <c r="DY151" i="90"/>
  <c r="EJ183" i="90"/>
  <c r="EK183" i="90"/>
  <c r="EJ144" i="90"/>
  <c r="EK144" i="90"/>
  <c r="DX209" i="90"/>
  <c r="DY209" i="90"/>
  <c r="J127" i="90"/>
  <c r="K127" i="90"/>
  <c r="EJ118" i="90"/>
  <c r="EK118" i="90"/>
  <c r="EP157" i="90"/>
  <c r="EQ157" i="90"/>
  <c r="EJ119" i="90"/>
  <c r="EK119" i="90"/>
  <c r="EP208" i="90"/>
  <c r="EQ208" i="90"/>
  <c r="ED127" i="90"/>
  <c r="EE127" i="90"/>
  <c r="EP161" i="90"/>
  <c r="EQ161" i="90"/>
  <c r="EP126" i="90"/>
  <c r="EQ126" i="90"/>
  <c r="EJ168" i="90"/>
  <c r="EK168" i="90"/>
  <c r="EV206" i="90"/>
  <c r="EW206" i="90"/>
  <c r="BS130" i="90"/>
  <c r="BT130" i="90"/>
  <c r="CE155" i="90"/>
  <c r="CF155" i="90"/>
  <c r="CK178" i="90"/>
  <c r="CL178" i="90"/>
  <c r="CE141" i="90"/>
  <c r="CF141" i="90"/>
  <c r="CE201" i="90"/>
  <c r="CF201" i="90"/>
  <c r="CE169" i="90"/>
  <c r="CF169" i="90"/>
  <c r="BM191" i="90"/>
  <c r="BN191" i="90"/>
  <c r="CK165" i="90"/>
  <c r="CL165" i="90"/>
  <c r="CK191" i="90"/>
  <c r="CL191" i="90"/>
  <c r="BM172" i="90"/>
  <c r="BN172" i="90"/>
  <c r="BM137" i="90"/>
  <c r="BN137" i="90"/>
  <c r="CK209" i="90"/>
  <c r="CL209" i="90"/>
  <c r="BZ156" i="90"/>
  <c r="BY156" i="90"/>
  <c r="CK154" i="90"/>
  <c r="CL154" i="90"/>
  <c r="CK145" i="90"/>
  <c r="CL145" i="90"/>
  <c r="BS224" i="90"/>
  <c r="BT224" i="90"/>
  <c r="BM151" i="90"/>
  <c r="BN151" i="90"/>
  <c r="BY158" i="90"/>
  <c r="BZ158" i="90"/>
  <c r="BS150" i="90"/>
  <c r="BT150" i="90"/>
  <c r="BS198" i="90"/>
  <c r="BT198" i="90"/>
  <c r="BS136" i="90"/>
  <c r="BT136" i="90"/>
  <c r="CK212" i="90"/>
  <c r="CL212" i="90"/>
  <c r="BM171" i="90"/>
  <c r="BN171" i="90"/>
  <c r="BZ129" i="90"/>
  <c r="BY129" i="90"/>
  <c r="CK170" i="90"/>
  <c r="CL170" i="90"/>
  <c r="CK171" i="90"/>
  <c r="CL171" i="90"/>
  <c r="BZ140" i="90"/>
  <c r="BY140" i="90"/>
  <c r="BM168" i="90"/>
  <c r="BN168" i="90"/>
  <c r="CK182" i="90"/>
  <c r="CL182" i="90"/>
  <c r="BZ220" i="90"/>
  <c r="BY220" i="90"/>
  <c r="CK172" i="90"/>
  <c r="CL172" i="90"/>
  <c r="CK218" i="90"/>
  <c r="CL218" i="90"/>
  <c r="BM183" i="90"/>
  <c r="BN183" i="90"/>
  <c r="CK176" i="90"/>
  <c r="CL176" i="90"/>
  <c r="BN158" i="90"/>
  <c r="BM158" i="90"/>
  <c r="CK143" i="90"/>
  <c r="CL143" i="90"/>
  <c r="CE130" i="90"/>
  <c r="CF130" i="90"/>
  <c r="BT193" i="90"/>
  <c r="BS193" i="90"/>
  <c r="BM189" i="90"/>
  <c r="BN189" i="90"/>
  <c r="BS175" i="90"/>
  <c r="BT175" i="90"/>
  <c r="BS163" i="90"/>
  <c r="BT163" i="90"/>
  <c r="BS162" i="90"/>
  <c r="BT162" i="90"/>
  <c r="BS172" i="90"/>
  <c r="BT172" i="90"/>
  <c r="BS208" i="90"/>
  <c r="BT208" i="90"/>
  <c r="BS159" i="90"/>
  <c r="BT159" i="90"/>
  <c r="CE146" i="90"/>
  <c r="CF146" i="90"/>
  <c r="BT129" i="90"/>
  <c r="BS129" i="90"/>
  <c r="CK148" i="90"/>
  <c r="CL148" i="90"/>
  <c r="BY189" i="90"/>
  <c r="BZ189" i="90"/>
  <c r="J188" i="90"/>
  <c r="K188" i="90"/>
  <c r="V170" i="90"/>
  <c r="W170" i="90"/>
  <c r="D140" i="90"/>
  <c r="E140" i="90"/>
  <c r="D199" i="90"/>
  <c r="E199" i="90"/>
  <c r="V129" i="90"/>
  <c r="W129" i="90"/>
  <c r="V209" i="90"/>
  <c r="W209" i="90"/>
  <c r="Q168" i="90"/>
  <c r="P168" i="90"/>
  <c r="K161" i="90"/>
  <c r="J161" i="90"/>
  <c r="P175" i="90"/>
  <c r="Q175" i="90"/>
  <c r="EE26" i="90"/>
  <c r="ED26" i="90"/>
  <c r="DX38" i="90"/>
  <c r="DY38" i="90"/>
  <c r="EP84" i="90"/>
  <c r="EQ84" i="90"/>
  <c r="EP60" i="90"/>
  <c r="EQ60" i="90"/>
  <c r="EJ46" i="90"/>
  <c r="EK46" i="90"/>
  <c r="DX67" i="90"/>
  <c r="DY67" i="90"/>
  <c r="EE34" i="90"/>
  <c r="ED34" i="90"/>
  <c r="ED60" i="90"/>
  <c r="EE60" i="90"/>
  <c r="EP93" i="90"/>
  <c r="EQ93" i="90"/>
  <c r="EP72" i="90"/>
  <c r="EQ72" i="90"/>
  <c r="EJ105" i="90"/>
  <c r="EK105" i="90"/>
  <c r="ED45" i="90"/>
  <c r="EE45" i="90"/>
  <c r="P130" i="90"/>
  <c r="Q130" i="90"/>
  <c r="D219" i="90"/>
  <c r="E219" i="90"/>
  <c r="D149" i="90"/>
  <c r="E149" i="90"/>
  <c r="J174" i="90"/>
  <c r="K174" i="90"/>
  <c r="V160" i="90"/>
  <c r="W160" i="90"/>
  <c r="D158" i="90"/>
  <c r="E158" i="90"/>
  <c r="V144" i="90"/>
  <c r="W144" i="90"/>
  <c r="V130" i="90"/>
  <c r="W130" i="90"/>
  <c r="K223" i="90"/>
  <c r="J223" i="90"/>
  <c r="D162" i="90"/>
  <c r="E162" i="90"/>
  <c r="D166" i="90"/>
  <c r="E166" i="90"/>
  <c r="EJ40" i="90"/>
  <c r="EK40" i="90"/>
  <c r="K175" i="90"/>
  <c r="J175" i="90"/>
  <c r="V173" i="90"/>
  <c r="W173" i="90"/>
  <c r="J180" i="90"/>
  <c r="K180" i="90"/>
  <c r="V188" i="90"/>
  <c r="W188" i="90"/>
  <c r="J220" i="90"/>
  <c r="K220" i="90"/>
  <c r="V152" i="90"/>
  <c r="W152" i="90"/>
  <c r="V143" i="90"/>
  <c r="W143" i="90"/>
  <c r="K155" i="90"/>
  <c r="J155" i="90"/>
  <c r="Q135" i="90"/>
  <c r="P135" i="90"/>
  <c r="P196" i="90"/>
  <c r="Q196" i="90"/>
  <c r="J194" i="90"/>
  <c r="K194" i="90"/>
  <c r="J204" i="90"/>
  <c r="K204" i="90"/>
  <c r="P203" i="90"/>
  <c r="Q203" i="90"/>
  <c r="K181" i="90"/>
  <c r="J181" i="90"/>
  <c r="J160" i="90"/>
  <c r="K160" i="90"/>
  <c r="EV78" i="90"/>
  <c r="EW78" i="90"/>
  <c r="DX23" i="90"/>
  <c r="DY23" i="90"/>
  <c r="Q144" i="90"/>
  <c r="P144" i="90"/>
  <c r="V156" i="90"/>
  <c r="W156" i="90"/>
  <c r="D189" i="90"/>
  <c r="E189" i="90"/>
  <c r="EJ104" i="90"/>
  <c r="EK104" i="90"/>
  <c r="D148" i="90"/>
  <c r="E148" i="90"/>
  <c r="J134" i="90"/>
  <c r="K134" i="90"/>
  <c r="EV95" i="90"/>
  <c r="EW95" i="90"/>
  <c r="V199" i="90"/>
  <c r="W199" i="90"/>
  <c r="D145" i="90"/>
  <c r="E145" i="90"/>
  <c r="D136" i="90"/>
  <c r="E136" i="90"/>
  <c r="D175" i="90"/>
  <c r="E175" i="90"/>
  <c r="EV31" i="90"/>
  <c r="EW31" i="90"/>
  <c r="ED88" i="90"/>
  <c r="EE88" i="90"/>
  <c r="EK23" i="90"/>
  <c r="EJ23" i="90"/>
  <c r="ED104" i="90"/>
  <c r="EE104" i="90"/>
  <c r="EP105" i="90"/>
  <c r="EQ105" i="90"/>
  <c r="EV62" i="90"/>
  <c r="EW62" i="90"/>
  <c r="EQ82" i="90"/>
  <c r="EP82" i="90"/>
  <c r="DX17" i="90"/>
  <c r="DY17" i="90"/>
  <c r="ED92" i="90"/>
  <c r="EE92" i="90"/>
  <c r="EV14" i="90"/>
  <c r="EW14" i="90"/>
  <c r="V201" i="90"/>
  <c r="W201" i="90"/>
  <c r="V180" i="90"/>
  <c r="W180" i="90"/>
  <c r="P139" i="90"/>
  <c r="Q139" i="90"/>
  <c r="D132" i="90"/>
  <c r="E132" i="90"/>
  <c r="EP88" i="90"/>
  <c r="EQ88" i="90"/>
  <c r="DX47" i="90"/>
  <c r="DY47" i="90"/>
  <c r="DX73" i="90"/>
  <c r="DY73" i="90"/>
  <c r="EQ46" i="90"/>
  <c r="EP46" i="90"/>
  <c r="DX97" i="90"/>
  <c r="DY97" i="90"/>
  <c r="EQ86" i="90"/>
  <c r="EP86" i="90"/>
  <c r="EJ24" i="90"/>
  <c r="EK24" i="90"/>
  <c r="EJ101" i="90"/>
  <c r="EK101" i="90"/>
  <c r="DX11" i="90"/>
  <c r="DY11" i="90"/>
  <c r="DX63" i="90"/>
  <c r="DY63" i="90"/>
  <c r="ED85" i="90"/>
  <c r="EE85" i="90"/>
  <c r="EJ28" i="90"/>
  <c r="EK28" i="90"/>
  <c r="EJ90" i="90"/>
  <c r="EK90" i="90"/>
  <c r="EP30" i="90"/>
  <c r="EQ30" i="90"/>
  <c r="DX64" i="90"/>
  <c r="DY64" i="90"/>
  <c r="EE30" i="90"/>
  <c r="ED30" i="90"/>
  <c r="EV200" i="90"/>
  <c r="EW200" i="90"/>
  <c r="EV174" i="90"/>
  <c r="EW174" i="90"/>
  <c r="EV207" i="90"/>
  <c r="EW207" i="90"/>
  <c r="EV196" i="90"/>
  <c r="EW196" i="90"/>
  <c r="EV198" i="90"/>
  <c r="EW198" i="90"/>
  <c r="EV164" i="90"/>
  <c r="EW164" i="90"/>
  <c r="EV172" i="90"/>
  <c r="EW172" i="90"/>
  <c r="EV167" i="90"/>
  <c r="EW167" i="90"/>
  <c r="EV189" i="90"/>
  <c r="EW189" i="90"/>
  <c r="EV121" i="90"/>
  <c r="EW121" i="90"/>
  <c r="EV140" i="90"/>
  <c r="EW140" i="90"/>
  <c r="DX173" i="90"/>
  <c r="DY173" i="90"/>
  <c r="EP186" i="90"/>
  <c r="EQ186" i="90"/>
  <c r="EJ193" i="90"/>
  <c r="EK193" i="90"/>
  <c r="EP170" i="90"/>
  <c r="EQ170" i="90"/>
  <c r="EP141" i="90"/>
  <c r="EQ141" i="90"/>
  <c r="EP142" i="90"/>
  <c r="EQ142" i="90"/>
  <c r="DX145" i="90"/>
  <c r="DY145" i="90"/>
  <c r="DX164" i="90"/>
  <c r="DY164" i="90"/>
  <c r="EJ176" i="90"/>
  <c r="EK176" i="90"/>
  <c r="EJ133" i="90"/>
  <c r="EK133" i="90"/>
  <c r="DX140" i="90"/>
  <c r="DY140" i="90"/>
  <c r="EJ196" i="90"/>
  <c r="EK196" i="90"/>
  <c r="EJ125" i="90"/>
  <c r="EK125" i="90"/>
  <c r="ED117" i="90"/>
  <c r="EE117" i="90"/>
  <c r="ED168" i="90"/>
  <c r="EE168" i="90"/>
  <c r="ED150" i="90"/>
  <c r="EE150" i="90"/>
  <c r="EP119" i="90"/>
  <c r="EQ119" i="90"/>
  <c r="EV182" i="90"/>
  <c r="EW182" i="90"/>
  <c r="EJ150" i="90"/>
  <c r="EK150" i="90"/>
  <c r="EJ142" i="90"/>
  <c r="EK142" i="90"/>
  <c r="ED213" i="90"/>
  <c r="EE213" i="90"/>
  <c r="EV146" i="90"/>
  <c r="EW146" i="90"/>
  <c r="DX203" i="90"/>
  <c r="DY203" i="90"/>
  <c r="DX149" i="90"/>
  <c r="DY149" i="90"/>
  <c r="DX162" i="90"/>
  <c r="DY162" i="90"/>
  <c r="DX178" i="90"/>
  <c r="DY178" i="90"/>
  <c r="EJ162" i="90"/>
  <c r="EK162" i="90"/>
  <c r="DX188" i="90"/>
  <c r="DY188" i="90"/>
  <c r="EJ198" i="90"/>
  <c r="EK198" i="90"/>
  <c r="EP150" i="90"/>
  <c r="EQ150" i="90"/>
  <c r="EJ178" i="90"/>
  <c r="EK178" i="90"/>
  <c r="EP203" i="90"/>
  <c r="EQ203" i="90"/>
  <c r="EP172" i="90"/>
  <c r="EQ172" i="90"/>
  <c r="EJ163" i="90"/>
  <c r="EK163" i="90"/>
  <c r="EP209" i="90"/>
  <c r="EQ209" i="90"/>
  <c r="EP158" i="90"/>
  <c r="EQ158" i="90"/>
  <c r="EV194" i="90"/>
  <c r="EW194" i="90"/>
  <c r="DX187" i="90"/>
  <c r="DY187" i="90"/>
  <c r="ED144" i="90"/>
  <c r="EE144" i="90"/>
  <c r="EP132" i="90"/>
  <c r="EQ132" i="90"/>
  <c r="DX166" i="90"/>
  <c r="DY166" i="90"/>
  <c r="EV122" i="90"/>
  <c r="EW122" i="90"/>
  <c r="EP164" i="90"/>
  <c r="EQ164" i="90"/>
  <c r="DX194" i="90"/>
  <c r="DY194" i="90"/>
  <c r="EP202" i="90"/>
  <c r="EQ202" i="90"/>
  <c r="ED174" i="90"/>
  <c r="EE174" i="90"/>
  <c r="EJ192" i="90"/>
  <c r="EK192" i="90"/>
  <c r="EP120" i="90"/>
  <c r="EQ120" i="90"/>
  <c r="ED178" i="90"/>
  <c r="EE178" i="90"/>
  <c r="ED162" i="90"/>
  <c r="EE162" i="90"/>
  <c r="ED161" i="90"/>
  <c r="EE161" i="90"/>
  <c r="DX190" i="90"/>
  <c r="DY190" i="90"/>
  <c r="EP146" i="90"/>
  <c r="EQ146" i="90"/>
  <c r="EP187" i="90"/>
  <c r="EQ187" i="90"/>
  <c r="EJ156" i="90"/>
  <c r="EK156" i="90"/>
  <c r="CE225" i="90"/>
  <c r="CF225" i="90"/>
  <c r="BS222" i="90"/>
  <c r="BT222" i="90"/>
  <c r="CK190" i="90"/>
  <c r="CL190" i="90"/>
  <c r="BM135" i="90"/>
  <c r="BN135" i="90"/>
  <c r="CK194" i="90"/>
  <c r="CL194" i="90"/>
  <c r="CK174" i="90"/>
  <c r="CL174" i="90"/>
  <c r="BY152" i="90"/>
  <c r="BZ152" i="90"/>
  <c r="BM200" i="90"/>
  <c r="BN200" i="90"/>
  <c r="CE181" i="90"/>
  <c r="CF181" i="90"/>
  <c r="CK173" i="90"/>
  <c r="CL173" i="90"/>
  <c r="BY199" i="90"/>
  <c r="BZ199" i="90"/>
  <c r="CE216" i="90"/>
  <c r="CF216" i="90"/>
  <c r="BZ208" i="90"/>
  <c r="BY208" i="90"/>
  <c r="BS226" i="90"/>
  <c r="BT226" i="90"/>
  <c r="CK134" i="90"/>
  <c r="CL134" i="90"/>
  <c r="CE149" i="90"/>
  <c r="CF149" i="90"/>
  <c r="BS179" i="90"/>
  <c r="BT179" i="90"/>
  <c r="BS148" i="90"/>
  <c r="BT148" i="90"/>
  <c r="CE182" i="90"/>
  <c r="CF182" i="90"/>
  <c r="BN178" i="90"/>
  <c r="BM178" i="90"/>
  <c r="CE221" i="90"/>
  <c r="CF221" i="90"/>
  <c r="BM140" i="90"/>
  <c r="BN140" i="90"/>
  <c r="BM161" i="90"/>
  <c r="BN161" i="90"/>
  <c r="CE222" i="90"/>
  <c r="CF222" i="90"/>
  <c r="BT213" i="90"/>
  <c r="BS213" i="90"/>
  <c r="CF127" i="90"/>
  <c r="CE127" i="90"/>
  <c r="BZ164" i="90"/>
  <c r="BY164" i="90"/>
  <c r="BY170" i="90"/>
  <c r="BZ170" i="90"/>
  <c r="BS178" i="90"/>
  <c r="BT178" i="90"/>
  <c r="BS164" i="90"/>
  <c r="BT164" i="90"/>
  <c r="CE219" i="90"/>
  <c r="CF219" i="90"/>
  <c r="BM196" i="90"/>
  <c r="BN196" i="90"/>
  <c r="BM149" i="90"/>
  <c r="BN149" i="90"/>
  <c r="CK214" i="90"/>
  <c r="CL214" i="90"/>
  <c r="BN150" i="90"/>
  <c r="BM150" i="90"/>
  <c r="CE144" i="90"/>
  <c r="CF144" i="90"/>
  <c r="BM201" i="90"/>
  <c r="BN201" i="90"/>
  <c r="CK225" i="90"/>
  <c r="CL225" i="90"/>
  <c r="BS195" i="90"/>
  <c r="BT195" i="90"/>
  <c r="BT169" i="90"/>
  <c r="BS169" i="90"/>
  <c r="BY181" i="90"/>
  <c r="BZ181" i="90"/>
  <c r="BS199" i="90"/>
  <c r="BT199" i="90"/>
  <c r="BT153" i="90"/>
  <c r="BS153" i="90"/>
  <c r="CE128" i="90"/>
  <c r="CF128" i="90"/>
  <c r="BT209" i="90"/>
  <c r="BS209" i="90"/>
  <c r="BS204" i="90"/>
  <c r="BT204" i="90"/>
  <c r="CF186" i="90"/>
  <c r="CE186" i="90"/>
  <c r="CK151" i="90"/>
  <c r="CL151" i="90"/>
  <c r="BM145" i="90"/>
  <c r="BN145" i="90"/>
  <c r="ED71" i="90"/>
  <c r="EE71" i="90"/>
  <c r="EE18" i="90"/>
  <c r="ED18" i="90"/>
  <c r="EP108" i="90"/>
  <c r="EQ108" i="90"/>
  <c r="DX93" i="90"/>
  <c r="DY93" i="90"/>
  <c r="EJ20" i="90"/>
  <c r="EK20" i="90"/>
  <c r="DX13" i="90"/>
  <c r="DY13" i="90"/>
  <c r="EK11" i="90"/>
  <c r="EJ11" i="90"/>
  <c r="DX86" i="90"/>
  <c r="DY86" i="90"/>
  <c r="ED101" i="90"/>
  <c r="EE101" i="90"/>
  <c r="DX77" i="90"/>
  <c r="DY77" i="90"/>
  <c r="EP33" i="90"/>
  <c r="EQ33" i="90"/>
  <c r="J144" i="90"/>
  <c r="K144" i="90"/>
  <c r="D156" i="90"/>
  <c r="E156" i="90"/>
  <c r="V202" i="90"/>
  <c r="W202" i="90"/>
  <c r="V178" i="90"/>
  <c r="W178" i="90"/>
  <c r="Q164" i="90"/>
  <c r="P164" i="90"/>
  <c r="D185" i="90"/>
  <c r="E185" i="90"/>
  <c r="K152" i="90"/>
  <c r="J152" i="90"/>
  <c r="J178" i="90"/>
  <c r="K178" i="90"/>
  <c r="V211" i="90"/>
  <c r="W211" i="90"/>
  <c r="V190" i="90"/>
  <c r="W190" i="90"/>
  <c r="P223" i="90"/>
  <c r="Q223" i="90"/>
  <c r="K163" i="90"/>
  <c r="J163" i="90"/>
  <c r="EV51" i="90"/>
  <c r="EW51" i="90"/>
  <c r="EJ14" i="90"/>
  <c r="EK14" i="90"/>
  <c r="DX107" i="90"/>
  <c r="DY107" i="90"/>
  <c r="EE78" i="90"/>
  <c r="ED78" i="90"/>
  <c r="EJ64" i="90"/>
  <c r="EK64" i="90"/>
  <c r="DX32" i="90"/>
  <c r="DY32" i="90"/>
  <c r="ED28" i="90"/>
  <c r="EE28" i="90"/>
  <c r="EJ61" i="90"/>
  <c r="EK61" i="90"/>
  <c r="EK91" i="90"/>
  <c r="EJ91" i="90"/>
  <c r="DX103" i="90"/>
  <c r="DY103" i="90"/>
  <c r="EQ106" i="90"/>
  <c r="EP106" i="90"/>
  <c r="EK47" i="90"/>
  <c r="EJ47" i="90"/>
  <c r="EJ54" i="90"/>
  <c r="EK54" i="90"/>
  <c r="Q158" i="90"/>
  <c r="P158" i="90"/>
  <c r="EJ13" i="90"/>
  <c r="EK13" i="90"/>
  <c r="ED51" i="90"/>
  <c r="EE51" i="90"/>
  <c r="EJ107" i="90"/>
  <c r="EK107" i="90"/>
  <c r="EE82" i="90"/>
  <c r="ED82" i="90"/>
  <c r="ED44" i="90"/>
  <c r="EE44" i="90"/>
  <c r="EP13" i="90"/>
  <c r="EQ13" i="90"/>
  <c r="EE54" i="90"/>
  <c r="ED54" i="90"/>
  <c r="EP21" i="90"/>
  <c r="EQ21" i="90"/>
  <c r="EE90" i="90"/>
  <c r="ED90" i="90"/>
  <c r="ED25" i="90"/>
  <c r="EE25" i="90"/>
  <c r="ED41" i="90"/>
  <c r="EE41" i="90"/>
  <c r="EP76" i="90"/>
  <c r="EQ76" i="90"/>
  <c r="EP67" i="90"/>
  <c r="EQ67" i="90"/>
  <c r="DX106" i="90"/>
  <c r="DY106" i="90"/>
  <c r="EV40" i="90"/>
  <c r="EW40" i="90"/>
  <c r="EV65" i="90"/>
  <c r="EW65" i="90"/>
  <c r="EP64" i="90"/>
  <c r="EQ64" i="90"/>
  <c r="EP95" i="90"/>
  <c r="EQ95" i="90"/>
  <c r="E141" i="90"/>
  <c r="D141" i="90"/>
  <c r="ED53" i="90"/>
  <c r="EE53" i="90"/>
  <c r="EV32" i="90"/>
  <c r="EW32" i="90"/>
  <c r="ED47" i="90"/>
  <c r="EE47" i="90"/>
  <c r="EJ66" i="90"/>
  <c r="EK66" i="90"/>
  <c r="Q222" i="90"/>
  <c r="P222" i="90"/>
  <c r="EV100" i="90"/>
  <c r="EW100" i="90"/>
  <c r="EK71" i="90"/>
  <c r="EJ71" i="90"/>
  <c r="DX78" i="90"/>
  <c r="DY78" i="90"/>
  <c r="EP35" i="90"/>
  <c r="EQ35" i="90"/>
  <c r="EJ100" i="90"/>
  <c r="EK100" i="90"/>
  <c r="EE106" i="90"/>
  <c r="ED106" i="90"/>
  <c r="EP97" i="90"/>
  <c r="EQ97" i="90"/>
  <c r="EP17" i="90"/>
  <c r="EQ17" i="90"/>
  <c r="EV13" i="90"/>
  <c r="EW13" i="90"/>
  <c r="J206" i="90"/>
  <c r="K206" i="90"/>
  <c r="Q141" i="90"/>
  <c r="P141" i="90"/>
  <c r="J222" i="90"/>
  <c r="K222" i="90"/>
  <c r="V223" i="90"/>
  <c r="W223" i="90"/>
  <c r="EV60" i="90"/>
  <c r="EW60" i="90"/>
  <c r="EP61" i="90"/>
  <c r="EQ61" i="90"/>
  <c r="V200" i="90"/>
  <c r="W200" i="90"/>
  <c r="D135" i="90"/>
  <c r="E135" i="90"/>
  <c r="J210" i="90"/>
  <c r="K210" i="90"/>
  <c r="EV38" i="90"/>
  <c r="EW38" i="90"/>
  <c r="DX87" i="90"/>
  <c r="DY87" i="90"/>
  <c r="DX26" i="90"/>
  <c r="DY26" i="90"/>
  <c r="ED36" i="90"/>
  <c r="EE36" i="90"/>
  <c r="V206" i="90"/>
  <c r="W206" i="90"/>
  <c r="D165" i="90"/>
  <c r="E165" i="90"/>
  <c r="D191" i="90"/>
  <c r="E191" i="90"/>
  <c r="V164" i="90"/>
  <c r="W164" i="90"/>
  <c r="D215" i="90"/>
  <c r="E215" i="90"/>
  <c r="V204" i="90"/>
  <c r="W204" i="90"/>
  <c r="Q142" i="90"/>
  <c r="P142" i="90"/>
  <c r="P219" i="90"/>
  <c r="Q219" i="90"/>
  <c r="D129" i="90"/>
  <c r="E129" i="90"/>
  <c r="D181" i="90"/>
  <c r="E181" i="90"/>
  <c r="K203" i="90"/>
  <c r="J203" i="90"/>
  <c r="Q146" i="90"/>
  <c r="P146" i="90"/>
  <c r="P208" i="90"/>
  <c r="Q208" i="90"/>
  <c r="V148" i="90"/>
  <c r="W148" i="90"/>
  <c r="D182" i="90"/>
  <c r="E182" i="90"/>
  <c r="J148" i="90"/>
  <c r="K148" i="90"/>
  <c r="EV94" i="90"/>
  <c r="EW94" i="90"/>
  <c r="EV68" i="90"/>
  <c r="EW68" i="90"/>
  <c r="EV101" i="90"/>
  <c r="EW101" i="90"/>
  <c r="EV90" i="90"/>
  <c r="EW90" i="90"/>
  <c r="EV92" i="90"/>
  <c r="EW92" i="90"/>
  <c r="EV58" i="90"/>
  <c r="EW58" i="90"/>
  <c r="EV66" i="90"/>
  <c r="EW66" i="90"/>
  <c r="EV61" i="90"/>
  <c r="EW61" i="90"/>
  <c r="EV83" i="90"/>
  <c r="EW83" i="90"/>
  <c r="EV15" i="90"/>
  <c r="EW15" i="90"/>
  <c r="EV34" i="90"/>
  <c r="EW34" i="90"/>
  <c r="EP171" i="90"/>
  <c r="EQ171" i="90"/>
  <c r="EJ203" i="90"/>
  <c r="EK203" i="90"/>
  <c r="EP116" i="90"/>
  <c r="EQ116" i="90"/>
  <c r="ED197" i="90"/>
  <c r="EE197" i="90"/>
  <c r="EV147" i="90"/>
  <c r="EW147" i="90"/>
  <c r="EP123" i="90"/>
  <c r="EQ123" i="90"/>
  <c r="ED170" i="90"/>
  <c r="EE170" i="90"/>
  <c r="ED142" i="90"/>
  <c r="EE142" i="90"/>
  <c r="EJ182" i="90"/>
  <c r="EK182" i="90"/>
  <c r="EV160" i="90"/>
  <c r="EW160" i="90"/>
  <c r="EV136" i="90"/>
  <c r="EW136" i="90"/>
  <c r="EP214" i="90"/>
  <c r="EQ214" i="90"/>
  <c r="EJ172" i="90"/>
  <c r="EK172" i="90"/>
  <c r="ED191" i="90"/>
  <c r="EE191" i="90"/>
  <c r="EP204" i="90"/>
  <c r="EQ204" i="90"/>
  <c r="EJ134" i="90"/>
  <c r="EK134" i="90"/>
  <c r="EP140" i="90"/>
  <c r="EQ140" i="90"/>
  <c r="EP127" i="90"/>
  <c r="EQ127" i="90"/>
  <c r="ED198" i="90"/>
  <c r="EE198" i="90"/>
  <c r="ED152" i="90"/>
  <c r="EE152" i="90"/>
  <c r="EJ191" i="90"/>
  <c r="EK191" i="90"/>
  <c r="ED169" i="90"/>
  <c r="EE169" i="90"/>
  <c r="EV142" i="90"/>
  <c r="EW142" i="90"/>
  <c r="EV133" i="90"/>
  <c r="EW133" i="90"/>
  <c r="ED209" i="90"/>
  <c r="EE209" i="90"/>
  <c r="DX201" i="90"/>
  <c r="DY201" i="90"/>
  <c r="DX138" i="90"/>
  <c r="DY138" i="90"/>
  <c r="EP210" i="90"/>
  <c r="EQ210" i="90"/>
  <c r="ED133" i="90"/>
  <c r="EE133" i="90"/>
  <c r="EV178" i="90"/>
  <c r="EW178" i="90"/>
  <c r="ED193" i="90"/>
  <c r="EE193" i="90"/>
  <c r="EJ146" i="90"/>
  <c r="EK146" i="90"/>
  <c r="ED182" i="90"/>
  <c r="EE182" i="90"/>
  <c r="ED192" i="90"/>
  <c r="EE192" i="90"/>
  <c r="EJ153" i="90"/>
  <c r="EK153" i="90"/>
  <c r="ED151" i="90"/>
  <c r="EE151" i="90"/>
  <c r="EJ202" i="90"/>
  <c r="EK202" i="90"/>
  <c r="EJ200" i="90"/>
  <c r="EK200" i="90"/>
  <c r="ED128" i="90"/>
  <c r="EE128" i="90"/>
  <c r="EP144" i="90"/>
  <c r="EQ144" i="90"/>
  <c r="EJ126" i="90"/>
  <c r="EK126" i="90"/>
  <c r="DX157" i="90"/>
  <c r="DY157" i="90"/>
  <c r="ED146" i="90"/>
  <c r="EE146" i="90"/>
  <c r="ED69" i="90"/>
  <c r="EE69" i="90"/>
  <c r="EJ174" i="90"/>
  <c r="EK174" i="90"/>
  <c r="EJ212" i="90"/>
  <c r="EK212" i="90"/>
  <c r="EV208" i="90"/>
  <c r="EW208" i="90"/>
  <c r="ED173" i="90"/>
  <c r="EE173" i="90"/>
  <c r="DX161" i="90"/>
  <c r="DY161" i="90"/>
  <c r="ED163" i="90"/>
  <c r="EE163" i="90"/>
  <c r="ED183" i="90"/>
  <c r="EE183" i="90"/>
  <c r="EP180" i="90"/>
  <c r="EQ180" i="90"/>
  <c r="DX184" i="90"/>
  <c r="DY184" i="90"/>
  <c r="CE165" i="90"/>
  <c r="CF165" i="90"/>
  <c r="BS206" i="90"/>
  <c r="BT206" i="90"/>
  <c r="BS212" i="90"/>
  <c r="BT212" i="90"/>
  <c r="BY206" i="90"/>
  <c r="BZ206" i="90"/>
  <c r="CK153" i="90"/>
  <c r="CL153" i="90"/>
  <c r="BS135" i="90"/>
  <c r="BT135" i="90"/>
  <c r="CE180" i="90"/>
  <c r="CF180" i="90"/>
  <c r="CE150" i="90"/>
  <c r="CF150" i="90"/>
  <c r="BM215" i="90"/>
  <c r="BN215" i="90"/>
  <c r="CE136" i="90"/>
  <c r="CF136" i="90"/>
  <c r="BY219" i="90"/>
  <c r="BZ219" i="90"/>
  <c r="BM181" i="90"/>
  <c r="BN181" i="90"/>
  <c r="BY133" i="90"/>
  <c r="BZ133" i="90"/>
  <c r="CK168" i="90"/>
  <c r="CL168" i="90"/>
  <c r="BT141" i="90"/>
  <c r="BS141" i="90"/>
  <c r="CK175" i="90"/>
  <c r="CL175" i="90"/>
  <c r="CK169" i="90"/>
  <c r="CL169" i="90"/>
  <c r="BS138" i="90"/>
  <c r="BT138" i="90"/>
  <c r="BS166" i="90"/>
  <c r="BT166" i="90"/>
  <c r="CK189" i="90"/>
  <c r="CL189" i="90"/>
  <c r="BT189" i="90"/>
  <c r="BS189" i="90"/>
  <c r="CL127" i="90"/>
  <c r="CK127" i="90"/>
  <c r="BM211" i="90"/>
  <c r="BN211" i="90"/>
  <c r="CE129" i="90"/>
  <c r="CF129" i="90"/>
  <c r="BN174" i="90"/>
  <c r="BM174" i="90"/>
  <c r="BZ212" i="90"/>
  <c r="BY212" i="90"/>
  <c r="CK203" i="90"/>
  <c r="CL203" i="90"/>
  <c r="BY215" i="90"/>
  <c r="BZ215" i="90"/>
  <c r="CE214" i="90"/>
  <c r="CF214" i="90"/>
  <c r="CE161" i="90"/>
  <c r="CF161" i="90"/>
  <c r="CE190" i="90"/>
  <c r="CF190" i="90"/>
  <c r="BZ176" i="90"/>
  <c r="BY176" i="90"/>
  <c r="CE193" i="90"/>
  <c r="CF193" i="90"/>
  <c r="BM225" i="90"/>
  <c r="BN225" i="90"/>
  <c r="BZ216" i="90"/>
  <c r="BY216" i="90"/>
  <c r="CK184" i="90"/>
  <c r="CL184" i="90"/>
  <c r="BY179" i="90"/>
  <c r="BZ179" i="90"/>
  <c r="CK139" i="90"/>
  <c r="CL139" i="90"/>
  <c r="BY191" i="90"/>
  <c r="BZ191" i="90"/>
  <c r="BZ180" i="90"/>
  <c r="BY180" i="90"/>
  <c r="BS139" i="90"/>
  <c r="BT139" i="90"/>
  <c r="BS180" i="90"/>
  <c r="BT180" i="90"/>
  <c r="CE163" i="90"/>
  <c r="CF163" i="90"/>
  <c r="BN206" i="90"/>
  <c r="BM206" i="90"/>
  <c r="BS176" i="90"/>
  <c r="BT176" i="90"/>
  <c r="BS216" i="90"/>
  <c r="BT216" i="90"/>
  <c r="CE185" i="90"/>
  <c r="CF185" i="90"/>
  <c r="BM176" i="90"/>
  <c r="BN176" i="90"/>
  <c r="BY222" i="90"/>
  <c r="BZ222" i="90"/>
  <c r="CE213" i="90"/>
  <c r="CF213" i="90"/>
  <c r="K189" i="90"/>
  <c r="J189" i="90"/>
  <c r="K136" i="90"/>
  <c r="J136" i="90"/>
  <c r="V226" i="90"/>
  <c r="W226" i="90"/>
  <c r="D211" i="90"/>
  <c r="E211" i="90"/>
  <c r="P138" i="90"/>
  <c r="Q138" i="90"/>
  <c r="D131" i="90"/>
  <c r="E131" i="90"/>
  <c r="P129" i="90"/>
  <c r="Q129" i="90"/>
  <c r="D204" i="90"/>
  <c r="E204" i="90"/>
  <c r="K219" i="90"/>
  <c r="J219" i="90"/>
  <c r="D195" i="90"/>
  <c r="E195" i="90"/>
  <c r="V151" i="90"/>
  <c r="W151" i="90"/>
  <c r="EJ96" i="90"/>
  <c r="EK96" i="90"/>
  <c r="EE22" i="90"/>
  <c r="ED22" i="90"/>
  <c r="EP65" i="90"/>
  <c r="EQ65" i="90"/>
  <c r="EJ97" i="90"/>
  <c r="EK97" i="90"/>
  <c r="DX50" i="90"/>
  <c r="DY50" i="90"/>
  <c r="EK35" i="90"/>
  <c r="EJ35" i="90"/>
  <c r="EP43" i="90"/>
  <c r="EQ43" i="90"/>
  <c r="EK102" i="90"/>
  <c r="EJ102" i="90"/>
  <c r="ED52" i="90"/>
  <c r="EE52" i="90"/>
  <c r="DX66" i="90"/>
  <c r="DY66" i="90"/>
  <c r="DX68" i="90"/>
  <c r="DY68" i="90"/>
  <c r="EQ58" i="90"/>
  <c r="EP58" i="90"/>
  <c r="EV22" i="90"/>
  <c r="EW22" i="90"/>
  <c r="P132" i="90"/>
  <c r="Q132" i="90"/>
  <c r="D225" i="90"/>
  <c r="E225" i="90"/>
  <c r="J196" i="90"/>
  <c r="K196" i="90"/>
  <c r="Q182" i="90"/>
  <c r="P182" i="90"/>
  <c r="D150" i="90"/>
  <c r="E150" i="90"/>
  <c r="J146" i="90"/>
  <c r="K146" i="90"/>
  <c r="P179" i="90"/>
  <c r="Q179" i="90"/>
  <c r="Q209" i="90"/>
  <c r="P209" i="90"/>
  <c r="D221" i="90"/>
  <c r="E221" i="90"/>
  <c r="V224" i="90"/>
  <c r="W224" i="90"/>
  <c r="P165" i="90"/>
  <c r="Q165" i="90"/>
  <c r="Q172" i="90"/>
  <c r="P172" i="90"/>
  <c r="P131" i="90"/>
  <c r="Q131" i="90"/>
  <c r="K169" i="90"/>
  <c r="J169" i="90"/>
  <c r="P225" i="90"/>
  <c r="Q225" i="90"/>
  <c r="K200" i="90"/>
  <c r="J200" i="90"/>
  <c r="J162" i="90"/>
  <c r="K162" i="90"/>
  <c r="V131" i="90"/>
  <c r="W131" i="90"/>
  <c r="J172" i="90"/>
  <c r="K172" i="90"/>
  <c r="V139" i="90"/>
  <c r="W139" i="90"/>
  <c r="J208" i="90"/>
  <c r="K208" i="90"/>
  <c r="K143" i="90"/>
  <c r="J143" i="90"/>
  <c r="K159" i="90"/>
  <c r="J159" i="90"/>
  <c r="V194" i="90"/>
  <c r="W194" i="90"/>
  <c r="V185" i="90"/>
  <c r="W185" i="90"/>
  <c r="D224" i="90"/>
  <c r="E224" i="90"/>
  <c r="EV16" i="90"/>
  <c r="EW16" i="90"/>
  <c r="DX10" i="90"/>
  <c r="DY10" i="90"/>
  <c r="V182" i="90"/>
  <c r="W182" i="90"/>
  <c r="V213" i="90"/>
  <c r="W213" i="90"/>
  <c r="DX80" i="90"/>
  <c r="DY80" i="90"/>
  <c r="ED75" i="90"/>
  <c r="EE75" i="90"/>
  <c r="K171" i="90"/>
  <c r="J171" i="90"/>
  <c r="EJ58" i="90"/>
  <c r="EK58" i="90"/>
  <c r="K165" i="90"/>
  <c r="J165" i="90"/>
  <c r="Q184" i="90"/>
  <c r="P184" i="90"/>
  <c r="EV46" i="90"/>
  <c r="EW46" i="90"/>
  <c r="P189" i="90"/>
  <c r="Q189" i="90"/>
  <c r="D196" i="90"/>
  <c r="E196" i="90"/>
  <c r="V153" i="90"/>
  <c r="W153" i="90"/>
  <c r="P218" i="90"/>
  <c r="Q218" i="90"/>
  <c r="J224" i="90"/>
  <c r="K224" i="90"/>
  <c r="V215" i="90"/>
  <c r="W215" i="90"/>
  <c r="V135" i="90"/>
  <c r="W135" i="90"/>
  <c r="EJ76" i="90"/>
  <c r="EK76" i="90"/>
  <c r="ED97" i="90"/>
  <c r="EE97" i="90"/>
  <c r="EE10" i="90"/>
  <c r="ED10" i="90"/>
  <c r="EP44" i="90"/>
  <c r="EQ44" i="90"/>
  <c r="EV72" i="90"/>
  <c r="EW72" i="90"/>
  <c r="V179" i="90"/>
  <c r="W179" i="90"/>
  <c r="ED87" i="90"/>
  <c r="EE87" i="90"/>
  <c r="EQ90" i="90"/>
  <c r="EP90" i="90"/>
  <c r="ED68" i="90"/>
  <c r="EE68" i="90"/>
  <c r="EP51" i="90"/>
  <c r="EQ51" i="90"/>
  <c r="D205" i="90"/>
  <c r="E205" i="90"/>
  <c r="D144" i="90"/>
  <c r="E144" i="90"/>
  <c r="J154" i="90"/>
  <c r="K154" i="90"/>
  <c r="EV71" i="90"/>
  <c r="EW71" i="90"/>
  <c r="EK67" i="90"/>
  <c r="EJ67" i="90"/>
  <c r="EJ34" i="90"/>
  <c r="EK34" i="90"/>
  <c r="EK43" i="90"/>
  <c r="EJ43" i="90"/>
  <c r="DX25" i="90"/>
  <c r="DY25" i="90"/>
  <c r="EP63" i="90"/>
  <c r="EQ63" i="90"/>
  <c r="ED103" i="90"/>
  <c r="EE103" i="90"/>
  <c r="DX41" i="90"/>
  <c r="DY41" i="90"/>
  <c r="DX61" i="90"/>
  <c r="DY61" i="90"/>
  <c r="DX34" i="90"/>
  <c r="DY34" i="90"/>
  <c r="EJ84" i="90"/>
  <c r="EK84" i="90"/>
  <c r="EJ16" i="90"/>
  <c r="EK16" i="90"/>
  <c r="DX70" i="90"/>
  <c r="DY70" i="90"/>
  <c r="EJ65" i="90"/>
  <c r="EK65" i="90"/>
  <c r="DX55" i="90"/>
  <c r="DY55" i="90"/>
  <c r="EV36" i="90"/>
  <c r="EW36" i="90"/>
  <c r="EE50" i="90"/>
  <c r="ED50" i="90"/>
  <c r="EP31" i="90"/>
  <c r="EQ31" i="90"/>
  <c r="DX33" i="90"/>
  <c r="DY33" i="90"/>
  <c r="ED107" i="90"/>
  <c r="EE107" i="90"/>
  <c r="EV149" i="90"/>
  <c r="EW149" i="90"/>
  <c r="EW115" i="90"/>
  <c r="EV115" i="90"/>
  <c r="EV158" i="90"/>
  <c r="EW158" i="90"/>
  <c r="EV159" i="90"/>
  <c r="EW159" i="90"/>
  <c r="EV191" i="90"/>
  <c r="EW191" i="90"/>
  <c r="EV150" i="90"/>
  <c r="EW150" i="90"/>
  <c r="EV170" i="90"/>
  <c r="EW170" i="90"/>
  <c r="EV127" i="90"/>
  <c r="EW127" i="90"/>
  <c r="EV134" i="90"/>
  <c r="EW134" i="90"/>
  <c r="EV153" i="90"/>
  <c r="EW153" i="90"/>
  <c r="EV193" i="90"/>
  <c r="EW193" i="90"/>
  <c r="EV161" i="90"/>
  <c r="EW161" i="90"/>
  <c r="EV197" i="90"/>
  <c r="EW197" i="90"/>
  <c r="EV156" i="90"/>
  <c r="EW156" i="90"/>
  <c r="EP183" i="90"/>
  <c r="EQ183" i="90"/>
  <c r="EP130" i="90"/>
  <c r="EQ130" i="90"/>
  <c r="ED131" i="90"/>
  <c r="EE131" i="90"/>
  <c r="EV184" i="90"/>
  <c r="EW184" i="90"/>
  <c r="EJ161" i="90"/>
  <c r="EK161" i="90"/>
  <c r="EV128" i="90"/>
  <c r="EW128" i="90"/>
  <c r="EJ171" i="90"/>
  <c r="EK171" i="90"/>
  <c r="EP153" i="90"/>
  <c r="EQ153" i="90"/>
  <c r="ED194" i="90"/>
  <c r="EE194" i="90"/>
  <c r="ED159" i="90"/>
  <c r="EE159" i="90"/>
  <c r="DX158" i="90"/>
  <c r="DY158" i="90"/>
  <c r="DX177" i="90"/>
  <c r="DY177" i="90"/>
  <c r="EJ187" i="90"/>
  <c r="EK187" i="90"/>
  <c r="EV181" i="90"/>
  <c r="EW181" i="90"/>
  <c r="EP151" i="90"/>
  <c r="EQ151" i="90"/>
  <c r="EV120" i="90"/>
  <c r="EW120" i="90"/>
  <c r="ED172" i="90"/>
  <c r="EE172" i="90"/>
  <c r="DX193" i="90"/>
  <c r="DY193" i="90"/>
  <c r="DX142" i="90"/>
  <c r="DY142" i="90"/>
  <c r="ED121" i="90"/>
  <c r="EE121" i="90"/>
  <c r="EV186" i="90"/>
  <c r="EW186" i="90"/>
  <c r="ED19" i="90"/>
  <c r="EE19" i="90"/>
  <c r="EP181" i="90"/>
  <c r="EQ181" i="90"/>
  <c r="DX179" i="90"/>
  <c r="DY179" i="90"/>
  <c r="ED200" i="90"/>
  <c r="EE200" i="90"/>
  <c r="EV117" i="90"/>
  <c r="EW117" i="90"/>
  <c r="EJ147" i="90"/>
  <c r="EK147" i="90"/>
  <c r="EP206" i="90"/>
  <c r="EQ206" i="90"/>
  <c r="EP162" i="90"/>
  <c r="EQ162" i="90"/>
  <c r="DX197" i="90"/>
  <c r="DY197" i="90"/>
  <c r="ED176" i="90"/>
  <c r="EE176" i="90"/>
  <c r="EP200" i="90"/>
  <c r="EQ200" i="90"/>
  <c r="DX127" i="90"/>
  <c r="DY127" i="90"/>
  <c r="K187" i="90"/>
  <c r="J187" i="90"/>
  <c r="EE115" i="90"/>
  <c r="ED115" i="90"/>
  <c r="EP121" i="90"/>
  <c r="EQ121" i="90"/>
  <c r="EP137" i="90"/>
  <c r="EQ137" i="90"/>
  <c r="EV162" i="90"/>
  <c r="EW162" i="90"/>
  <c r="DX122" i="90"/>
  <c r="DY122" i="90"/>
  <c r="DX210" i="90"/>
  <c r="DY210" i="90"/>
  <c r="EJ213" i="90"/>
  <c r="EK213" i="90"/>
  <c r="DX137" i="90"/>
  <c r="DY137" i="90"/>
  <c r="EP198" i="90"/>
  <c r="EQ198" i="90"/>
  <c r="EP148" i="90"/>
  <c r="EQ148" i="90"/>
  <c r="EJ207" i="90"/>
  <c r="EK207" i="90"/>
  <c r="EJ210" i="90"/>
  <c r="EK210" i="90"/>
  <c r="EV201" i="90"/>
  <c r="EW201" i="90"/>
  <c r="CK144" i="90"/>
  <c r="CL144" i="90"/>
  <c r="BS215" i="90"/>
  <c r="BT215" i="90"/>
  <c r="CF223" i="90"/>
  <c r="CE223" i="90"/>
  <c r="CE179" i="90"/>
  <c r="CF179" i="90"/>
  <c r="CK226" i="90"/>
  <c r="CL226" i="90"/>
  <c r="BS186" i="90"/>
  <c r="BT186" i="90"/>
  <c r="BZ204" i="90"/>
  <c r="BY204" i="90"/>
  <c r="BY174" i="90"/>
  <c r="BZ174" i="90"/>
  <c r="BM143" i="90"/>
  <c r="BN143" i="90"/>
  <c r="CK205" i="90"/>
  <c r="CL205" i="90"/>
  <c r="BM159" i="90"/>
  <c r="BN159" i="90"/>
  <c r="BM152" i="90"/>
  <c r="BN152" i="90"/>
  <c r="CK195" i="90"/>
  <c r="CL195" i="90"/>
  <c r="BM188" i="90"/>
  <c r="BN188" i="90"/>
  <c r="CK198" i="90"/>
  <c r="CL198" i="90"/>
  <c r="BS132" i="90"/>
  <c r="BT132" i="90"/>
  <c r="CE176" i="90"/>
  <c r="CF176" i="90"/>
  <c r="BY159" i="90"/>
  <c r="BZ159" i="90"/>
  <c r="CK196" i="90"/>
  <c r="CL196" i="90"/>
  <c r="CK160" i="90"/>
  <c r="CL160" i="90"/>
  <c r="CE171" i="90"/>
  <c r="CF171" i="90"/>
  <c r="BN170" i="90"/>
  <c r="BM170" i="90"/>
  <c r="BM131" i="90"/>
  <c r="BN131" i="90"/>
  <c r="BZ168" i="90"/>
  <c r="BY168" i="90"/>
  <c r="CK136" i="90"/>
  <c r="CL136" i="90"/>
  <c r="CE166" i="90"/>
  <c r="CF166" i="90"/>
  <c r="CK186" i="90"/>
  <c r="CL186" i="90"/>
  <c r="BS152" i="90"/>
  <c r="BT152" i="90"/>
  <c r="CK208" i="90"/>
  <c r="CL208" i="90"/>
  <c r="BS170" i="90"/>
  <c r="BT170" i="90"/>
  <c r="CE203" i="90"/>
  <c r="CF203" i="90"/>
  <c r="CK210" i="90"/>
  <c r="CL210" i="90"/>
  <c r="CE210" i="90"/>
  <c r="CF210" i="90"/>
  <c r="CE138" i="90"/>
  <c r="CF138" i="90"/>
  <c r="BY171" i="90"/>
  <c r="BZ171" i="90"/>
  <c r="CE205" i="90"/>
  <c r="CF205" i="90"/>
  <c r="BS223" i="90"/>
  <c r="BT223" i="90"/>
  <c r="BY155" i="90"/>
  <c r="BZ155" i="90"/>
  <c r="CK164" i="90"/>
  <c r="CL164" i="90"/>
  <c r="CK192" i="90"/>
  <c r="CL192" i="90"/>
  <c r="BS200" i="90"/>
  <c r="BT200" i="90"/>
  <c r="BS220" i="90"/>
  <c r="BT220" i="90"/>
  <c r="CE143" i="90"/>
  <c r="CF143" i="90"/>
  <c r="BZ135" i="90"/>
  <c r="BY135" i="90"/>
  <c r="BS194" i="90"/>
  <c r="BT194" i="90"/>
  <c r="BY163" i="90"/>
  <c r="BZ163" i="90"/>
  <c r="BZ188" i="90"/>
  <c r="BY188" i="90"/>
  <c r="BS183" i="90"/>
  <c r="BT183" i="90"/>
  <c r="ED80" i="90"/>
  <c r="EE80" i="90"/>
  <c r="DX91" i="90"/>
  <c r="DY91" i="90"/>
  <c r="EP103" i="90"/>
  <c r="EQ103" i="90"/>
  <c r="ED73" i="90"/>
  <c r="EE73" i="90"/>
  <c r="DX52" i="90"/>
  <c r="DY52" i="90"/>
  <c r="DX53" i="90"/>
  <c r="DY53" i="90"/>
  <c r="EJ33" i="90"/>
  <c r="EK33" i="90"/>
  <c r="EP104" i="90"/>
  <c r="EQ104" i="90"/>
  <c r="DX37" i="90"/>
  <c r="DY37" i="90"/>
  <c r="EP100" i="90"/>
  <c r="EQ100" i="90"/>
  <c r="DX108" i="90"/>
  <c r="DY108" i="90"/>
  <c r="ED72" i="90"/>
  <c r="EE72" i="90"/>
  <c r="ED61" i="90"/>
  <c r="EE61" i="90"/>
  <c r="P214" i="90"/>
  <c r="Q214" i="90"/>
  <c r="J140" i="90"/>
  <c r="K140" i="90"/>
  <c r="V183" i="90"/>
  <c r="W183" i="90"/>
  <c r="P215" i="90"/>
  <c r="Q215" i="90"/>
  <c r="D168" i="90"/>
  <c r="E168" i="90"/>
  <c r="P153" i="90"/>
  <c r="Q153" i="90"/>
  <c r="V161" i="90"/>
  <c r="W161" i="90"/>
  <c r="P220" i="90"/>
  <c r="Q220" i="90"/>
  <c r="J170" i="90"/>
  <c r="K170" i="90"/>
  <c r="D184" i="90"/>
  <c r="E184" i="90"/>
  <c r="D186" i="90"/>
  <c r="E186" i="90"/>
  <c r="V176" i="90"/>
  <c r="W176" i="90"/>
  <c r="EP24" i="90"/>
  <c r="EQ24" i="90"/>
  <c r="EP92" i="90"/>
  <c r="EQ92" i="90"/>
  <c r="EK98" i="90"/>
  <c r="EJ98" i="90"/>
  <c r="ED55" i="90"/>
  <c r="EE55" i="90"/>
  <c r="EJ53" i="90"/>
  <c r="EK53" i="90"/>
  <c r="DX35" i="90"/>
  <c r="DY35" i="90"/>
  <c r="EP87" i="90"/>
  <c r="EQ87" i="90"/>
  <c r="EJ77" i="90"/>
  <c r="EK77" i="90"/>
  <c r="DX21" i="90"/>
  <c r="DY21" i="90"/>
  <c r="ED67" i="90"/>
  <c r="EE67" i="90"/>
  <c r="DX104" i="90"/>
  <c r="DY104" i="90"/>
  <c r="EV70" i="90"/>
  <c r="EW70" i="90"/>
  <c r="EP22" i="90"/>
  <c r="EQ22" i="90"/>
  <c r="ED21" i="90"/>
  <c r="EE21" i="90"/>
  <c r="EP71" i="90"/>
  <c r="EQ71" i="90"/>
  <c r="EJ103" i="90"/>
  <c r="EK103" i="90"/>
  <c r="ED81" i="90"/>
  <c r="EE81" i="90"/>
  <c r="EJ30" i="90"/>
  <c r="EK30" i="90"/>
  <c r="ED35" i="90"/>
  <c r="EE35" i="90"/>
  <c r="DX76" i="90"/>
  <c r="DY76" i="90"/>
  <c r="EP10" i="90"/>
  <c r="EQ10" i="90"/>
  <c r="EP57" i="90"/>
  <c r="EQ57" i="90"/>
  <c r="ED91" i="90"/>
  <c r="EE91" i="90"/>
  <c r="EP73" i="90"/>
  <c r="EQ73" i="90"/>
  <c r="EJ45" i="90"/>
  <c r="EK45" i="90"/>
  <c r="DX94" i="90"/>
  <c r="DY94" i="90"/>
  <c r="EK9" i="90"/>
  <c r="EJ9" i="90"/>
  <c r="EE14" i="90"/>
  <c r="ED14" i="90"/>
  <c r="D128" i="90"/>
  <c r="E128" i="90"/>
  <c r="EV75" i="90"/>
  <c r="EW75" i="90"/>
  <c r="D198" i="90"/>
  <c r="E198" i="90"/>
  <c r="K193" i="90"/>
  <c r="J193" i="90"/>
  <c r="EP101" i="90"/>
  <c r="EQ101" i="90"/>
  <c r="Q176" i="90"/>
  <c r="P176" i="90"/>
  <c r="EV88" i="90"/>
  <c r="EW88" i="90"/>
  <c r="DY12" i="90"/>
  <c r="DX12" i="90"/>
  <c r="ED77" i="90"/>
  <c r="EE77" i="90"/>
  <c r="EP40" i="90"/>
  <c r="EQ40" i="90"/>
  <c r="ED65" i="90"/>
  <c r="EE65" i="90"/>
  <c r="ED93" i="90"/>
  <c r="EE93" i="90"/>
  <c r="DX96" i="90"/>
  <c r="DY96" i="90"/>
  <c r="DX85" i="90"/>
  <c r="DY85" i="90"/>
  <c r="EP47" i="90"/>
  <c r="EQ47" i="90"/>
  <c r="P194" i="90"/>
  <c r="Q194" i="90"/>
  <c r="K215" i="90"/>
  <c r="J215" i="90"/>
  <c r="J128" i="90"/>
  <c r="K128" i="90"/>
  <c r="V162" i="90"/>
  <c r="W162" i="90"/>
  <c r="EJ88" i="90"/>
  <c r="EK88" i="90"/>
  <c r="EV11" i="90"/>
  <c r="EW11" i="90"/>
  <c r="K205" i="90"/>
  <c r="J205" i="90"/>
  <c r="V208" i="90"/>
  <c r="W208" i="90"/>
  <c r="EV76" i="90"/>
  <c r="EW76" i="90"/>
  <c r="J186" i="90"/>
  <c r="K186" i="90"/>
  <c r="V169" i="90"/>
  <c r="W169" i="90"/>
  <c r="EJ86" i="90"/>
  <c r="EK86" i="90"/>
  <c r="DX28" i="90"/>
  <c r="DY28" i="90"/>
  <c r="EP36" i="90"/>
  <c r="EQ36" i="90"/>
  <c r="EP56" i="90"/>
  <c r="EQ56" i="90"/>
  <c r="EV37" i="90"/>
  <c r="EW37" i="90"/>
  <c r="P185" i="90"/>
  <c r="Q185" i="90"/>
  <c r="Q152" i="90"/>
  <c r="P152" i="90"/>
  <c r="P161" i="90"/>
  <c r="Q161" i="90"/>
  <c r="D143" i="90"/>
  <c r="E143" i="90"/>
  <c r="V181" i="90"/>
  <c r="W181" i="90"/>
  <c r="K221" i="90"/>
  <c r="J221" i="90"/>
  <c r="D159" i="90"/>
  <c r="E159" i="90"/>
  <c r="D179" i="90"/>
  <c r="E179" i="90"/>
  <c r="D152" i="90"/>
  <c r="E152" i="90"/>
  <c r="P202" i="90"/>
  <c r="Q202" i="90"/>
  <c r="P134" i="90"/>
  <c r="Q134" i="90"/>
  <c r="D188" i="90"/>
  <c r="E188" i="90"/>
  <c r="P183" i="90"/>
  <c r="Q183" i="90"/>
  <c r="D173" i="90"/>
  <c r="E173" i="90"/>
  <c r="ED108" i="90"/>
  <c r="EE108" i="90"/>
  <c r="K168" i="90"/>
  <c r="J168" i="90"/>
  <c r="V149" i="90"/>
  <c r="W149" i="90"/>
  <c r="D151" i="90"/>
  <c r="E151" i="90"/>
  <c r="K225" i="90"/>
  <c r="J225" i="90"/>
  <c r="EV43" i="90"/>
  <c r="EW43" i="90"/>
  <c r="EW9" i="90"/>
  <c r="EV9" i="90"/>
  <c r="EV52" i="90"/>
  <c r="EW52" i="90"/>
  <c r="EV53" i="90"/>
  <c r="EW53" i="90"/>
  <c r="EV85" i="90"/>
  <c r="EW85" i="90"/>
  <c r="EV44" i="90"/>
  <c r="EW44" i="90"/>
  <c r="EV64" i="90"/>
  <c r="EW64" i="90"/>
  <c r="EV21" i="90"/>
  <c r="EW21" i="90"/>
  <c r="EV28" i="90"/>
  <c r="EW28" i="90"/>
  <c r="EV47" i="90"/>
  <c r="EW47" i="90"/>
  <c r="EV87" i="90"/>
  <c r="EW87" i="90"/>
  <c r="EV55" i="90"/>
  <c r="EW55" i="90"/>
  <c r="EV91" i="90"/>
  <c r="EW91" i="90"/>
  <c r="EV50" i="90"/>
  <c r="EW50" i="90"/>
  <c r="EP154" i="90"/>
  <c r="EQ154" i="90"/>
  <c r="EJ128" i="90"/>
  <c r="EK128" i="90"/>
  <c r="ED206" i="90"/>
  <c r="EE206" i="90"/>
  <c r="DX156" i="90"/>
  <c r="DY156" i="90"/>
  <c r="ED143" i="90"/>
  <c r="EE143" i="90"/>
  <c r="EJ184" i="90"/>
  <c r="EK184" i="90"/>
  <c r="EV177" i="90"/>
  <c r="EW177" i="90"/>
  <c r="DX198" i="90"/>
  <c r="DY198" i="90"/>
  <c r="EJ154" i="90"/>
  <c r="EK154" i="90"/>
  <c r="EV137" i="90"/>
  <c r="EW137" i="90"/>
  <c r="EV213" i="90"/>
  <c r="EW213" i="90"/>
  <c r="EV138" i="90"/>
  <c r="EW138" i="90"/>
  <c r="EJ199" i="90"/>
  <c r="EK199" i="90"/>
  <c r="ED180" i="90"/>
  <c r="EE180" i="90"/>
  <c r="DX121" i="90"/>
  <c r="DY121" i="90"/>
  <c r="EP174" i="90"/>
  <c r="EQ174" i="90"/>
  <c r="ED188" i="90"/>
  <c r="EE188" i="90"/>
  <c r="EJ136" i="90"/>
  <c r="EK136" i="90"/>
  <c r="EV171" i="90"/>
  <c r="EW171" i="90"/>
  <c r="EV141" i="90"/>
  <c r="EW141" i="90"/>
  <c r="EP199" i="90"/>
  <c r="EQ199" i="90"/>
  <c r="DX202" i="90"/>
  <c r="DY202" i="90"/>
  <c r="DX120" i="90"/>
  <c r="DY120" i="90"/>
  <c r="EJ160" i="90"/>
  <c r="EK160" i="90"/>
  <c r="EJ186" i="90"/>
  <c r="EK186" i="90"/>
  <c r="DX131" i="90"/>
  <c r="DY131" i="90"/>
  <c r="ED139" i="90"/>
  <c r="EE139" i="90"/>
  <c r="EP169" i="90"/>
  <c r="EQ169" i="90"/>
  <c r="EP160" i="90"/>
  <c r="EQ160" i="90"/>
  <c r="EP117" i="90"/>
  <c r="EQ117" i="90"/>
  <c r="EJ139" i="90"/>
  <c r="EK139" i="90"/>
  <c r="EP197" i="90"/>
  <c r="EQ197" i="90"/>
  <c r="K137" i="90"/>
  <c r="J137" i="90"/>
  <c r="EP152" i="90"/>
  <c r="EQ152" i="90"/>
  <c r="EJ180" i="90"/>
  <c r="EK180" i="90"/>
  <c r="EJ129" i="90"/>
  <c r="EK129" i="90"/>
  <c r="EJ138" i="90"/>
  <c r="EK138" i="90"/>
  <c r="EV168" i="90"/>
  <c r="EW168" i="90"/>
  <c r="ED119" i="90"/>
  <c r="EE119" i="90"/>
  <c r="EV151" i="90"/>
  <c r="EW151" i="90"/>
  <c r="EJ127" i="90"/>
  <c r="EK127" i="90"/>
  <c r="EP139" i="90"/>
  <c r="EQ139" i="90"/>
  <c r="EP191" i="90"/>
  <c r="EQ191" i="90"/>
  <c r="ED134" i="90"/>
  <c r="EE134" i="90"/>
  <c r="EJ167" i="90"/>
  <c r="EK167" i="90"/>
  <c r="EV163" i="90"/>
  <c r="EW163" i="90"/>
  <c r="ED189" i="90"/>
  <c r="EE189" i="90"/>
  <c r="DX116" i="90"/>
  <c r="DY116" i="90"/>
  <c r="ED140" i="90"/>
  <c r="EE140" i="90"/>
  <c r="ED166" i="90"/>
  <c r="EE166" i="90"/>
  <c r="EV116" i="90"/>
  <c r="EW116" i="90"/>
  <c r="DX172" i="90"/>
  <c r="DY172" i="90"/>
  <c r="DX174" i="90"/>
  <c r="DY174" i="90"/>
  <c r="EP128" i="90"/>
  <c r="EQ128" i="90"/>
  <c r="DX208" i="90"/>
  <c r="DY208" i="90"/>
  <c r="DX136" i="90"/>
  <c r="DY136" i="90"/>
  <c r="EJ177" i="90"/>
  <c r="EK177" i="90"/>
  <c r="DX192" i="90"/>
  <c r="DY192" i="90"/>
  <c r="BM157" i="90"/>
  <c r="BN157" i="90"/>
  <c r="BY210" i="90"/>
  <c r="BZ210" i="90"/>
  <c r="CE162" i="90"/>
  <c r="CF162" i="90"/>
  <c r="CK129" i="90"/>
  <c r="CL129" i="90"/>
  <c r="BS210" i="90"/>
  <c r="BT210" i="90"/>
  <c r="CK128" i="90"/>
  <c r="CL128" i="90"/>
  <c r="BM165" i="90"/>
  <c r="BN165" i="90"/>
  <c r="CE164" i="90"/>
  <c r="CF164" i="90"/>
  <c r="BZ160" i="90"/>
  <c r="BY160" i="90"/>
  <c r="CE172" i="90"/>
  <c r="CF172" i="90"/>
  <c r="BN202" i="90"/>
  <c r="BM202" i="90"/>
  <c r="BS192" i="90"/>
  <c r="BT192" i="90"/>
  <c r="BY146" i="90"/>
  <c r="BZ146" i="90"/>
  <c r="CK223" i="90"/>
  <c r="CL223" i="90"/>
  <c r="BY186" i="90"/>
  <c r="BZ186" i="90"/>
  <c r="BT201" i="90"/>
  <c r="BS201" i="90"/>
  <c r="BY169" i="90"/>
  <c r="BZ169" i="90"/>
  <c r="CK159" i="90"/>
  <c r="CL159" i="90"/>
  <c r="CE135" i="90"/>
  <c r="CF135" i="90"/>
  <c r="BM209" i="90"/>
  <c r="BN209" i="90"/>
  <c r="CE170" i="90"/>
  <c r="CF170" i="90"/>
  <c r="CK146" i="90"/>
  <c r="CL146" i="90"/>
  <c r="BZ151" i="90"/>
  <c r="BY151" i="90"/>
  <c r="BM204" i="90"/>
  <c r="BN204" i="90"/>
  <c r="CF202" i="90"/>
  <c r="CE202" i="90"/>
  <c r="CE178" i="90"/>
  <c r="CF178" i="90"/>
  <c r="BS131" i="90"/>
  <c r="BT131" i="90"/>
  <c r="BY153" i="90"/>
  <c r="BZ153" i="90"/>
  <c r="BY136" i="90"/>
  <c r="BZ136" i="90"/>
  <c r="BS184" i="90"/>
  <c r="BT184" i="90"/>
  <c r="BN130" i="90"/>
  <c r="BM130" i="90"/>
  <c r="BM219" i="90"/>
  <c r="BN219" i="90"/>
  <c r="CF196" i="90"/>
  <c r="CE196" i="90"/>
  <c r="CE160" i="90"/>
  <c r="CF160" i="90"/>
  <c r="BS156" i="90"/>
  <c r="BT156" i="90"/>
  <c r="BS158" i="90"/>
  <c r="BT158" i="90"/>
  <c r="BM221" i="90"/>
  <c r="BN221" i="90"/>
  <c r="BT165" i="90"/>
  <c r="BS165" i="90"/>
  <c r="BM148" i="90"/>
  <c r="BN148" i="90"/>
  <c r="BM147" i="90"/>
  <c r="BN147" i="90"/>
  <c r="BY221" i="90"/>
  <c r="BZ221" i="90"/>
  <c r="CE131" i="90"/>
  <c r="CF131" i="90"/>
  <c r="CE139" i="90"/>
  <c r="CF139" i="90"/>
  <c r="BS143" i="90"/>
  <c r="BT143" i="90"/>
  <c r="CE194" i="90"/>
  <c r="CF194" i="90"/>
  <c r="BT181" i="90"/>
  <c r="BS181" i="90"/>
  <c r="BY144" i="90"/>
  <c r="BZ144" i="90"/>
  <c r="BS134" i="90"/>
  <c r="BT134" i="90"/>
  <c r="J198" i="90"/>
  <c r="K198" i="90"/>
  <c r="D209" i="90"/>
  <c r="E209" i="90"/>
  <c r="V221" i="90"/>
  <c r="W221" i="90"/>
  <c r="K191" i="90"/>
  <c r="J191" i="90"/>
  <c r="D170" i="90"/>
  <c r="E170" i="90"/>
  <c r="D171" i="90"/>
  <c r="E171" i="90"/>
  <c r="P151" i="90"/>
  <c r="Q151" i="90"/>
  <c r="V222" i="90"/>
  <c r="W222" i="90"/>
  <c r="D155" i="90"/>
  <c r="E155" i="90"/>
  <c r="V218" i="90"/>
  <c r="W218" i="90"/>
  <c r="D226" i="90"/>
  <c r="E226" i="90"/>
  <c r="J190" i="90"/>
  <c r="K190" i="90"/>
  <c r="K179" i="90"/>
  <c r="J179" i="90"/>
  <c r="ED95" i="90"/>
  <c r="EE95" i="90"/>
  <c r="EQ9" i="90"/>
  <c r="EP9" i="90"/>
  <c r="EQ50" i="90"/>
  <c r="EP50" i="90"/>
  <c r="ED13" i="90"/>
  <c r="EE13" i="90"/>
  <c r="EJ52" i="90"/>
  <c r="EK52" i="90"/>
  <c r="EK106" i="90"/>
  <c r="EJ106" i="90"/>
  <c r="EJ18" i="90"/>
  <c r="EK18" i="90"/>
  <c r="EE46" i="90"/>
  <c r="ED46" i="90"/>
  <c r="ED64" i="90"/>
  <c r="EE64" i="90"/>
  <c r="EV105" i="90"/>
  <c r="EW105" i="90"/>
  <c r="V142" i="90"/>
  <c r="W142" i="90"/>
  <c r="V210" i="90"/>
  <c r="W210" i="90"/>
  <c r="P216" i="90"/>
  <c r="Q216" i="90"/>
  <c r="K173" i="90"/>
  <c r="J173" i="90"/>
  <c r="P171" i="90"/>
  <c r="Q171" i="90"/>
  <c r="D153" i="90"/>
  <c r="E153" i="90"/>
  <c r="V205" i="90"/>
  <c r="W205" i="90"/>
  <c r="P195" i="90"/>
  <c r="Q195" i="90"/>
  <c r="E139" i="90"/>
  <c r="D139" i="90"/>
  <c r="K185" i="90"/>
  <c r="J185" i="90"/>
  <c r="D222" i="90"/>
  <c r="E222" i="90"/>
  <c r="EJ80" i="90"/>
  <c r="EK80" i="90"/>
  <c r="EV63" i="90"/>
  <c r="EW63" i="90"/>
  <c r="V140" i="90"/>
  <c r="W140" i="90"/>
  <c r="K139" i="90"/>
  <c r="J139" i="90"/>
  <c r="V189" i="90"/>
  <c r="W189" i="90"/>
  <c r="P221" i="90"/>
  <c r="Q221" i="90"/>
  <c r="K199" i="90"/>
  <c r="J199" i="90"/>
  <c r="Q148" i="90"/>
  <c r="P148" i="90"/>
  <c r="K153" i="90"/>
  <c r="J153" i="90"/>
  <c r="D194" i="90"/>
  <c r="E194" i="90"/>
  <c r="W128" i="90"/>
  <c r="V128" i="90"/>
  <c r="V175" i="90"/>
  <c r="W175" i="90"/>
  <c r="K209" i="90"/>
  <c r="J209" i="90"/>
  <c r="V191" i="90"/>
  <c r="W191" i="90"/>
  <c r="P163" i="90"/>
  <c r="Q163" i="90"/>
  <c r="D212" i="90"/>
  <c r="E212" i="90"/>
  <c r="P127" i="90"/>
  <c r="Q127" i="90"/>
  <c r="J132" i="90"/>
  <c r="K132" i="90"/>
  <c r="EJ41" i="90"/>
  <c r="EK41" i="90"/>
  <c r="EK83" i="90"/>
  <c r="EJ83" i="90"/>
  <c r="EP68" i="90"/>
  <c r="EQ68" i="90"/>
  <c r="DX58" i="90"/>
  <c r="DY58" i="90"/>
  <c r="EJ70" i="90"/>
  <c r="EK70" i="90"/>
  <c r="EV54" i="90"/>
  <c r="EW54" i="90"/>
  <c r="V219" i="90"/>
  <c r="W219" i="90"/>
  <c r="EV30" i="90"/>
  <c r="EW30" i="90"/>
  <c r="EP85" i="90"/>
  <c r="EQ85" i="90"/>
  <c r="D130" i="90"/>
  <c r="E130" i="90"/>
  <c r="K195" i="90"/>
  <c r="J195" i="90"/>
  <c r="V158" i="90"/>
  <c r="W158" i="90"/>
  <c r="K183" i="90"/>
  <c r="J183" i="90"/>
  <c r="K211" i="90"/>
  <c r="J211" i="90"/>
  <c r="D214" i="90"/>
  <c r="E214" i="90"/>
  <c r="D203" i="90"/>
  <c r="E203" i="90"/>
  <c r="V165" i="90"/>
  <c r="W165" i="90"/>
  <c r="ED12" i="90"/>
  <c r="EE12" i="90"/>
  <c r="ED27" i="90"/>
  <c r="EE27" i="90"/>
  <c r="EE94" i="90"/>
  <c r="ED94" i="90"/>
  <c r="EJ32" i="90"/>
  <c r="EK32" i="90"/>
  <c r="P206" i="90"/>
  <c r="Q206" i="90"/>
  <c r="EV35" i="90"/>
  <c r="EW35" i="90"/>
  <c r="ED96" i="90"/>
  <c r="EE96" i="90"/>
  <c r="ED17" i="90"/>
  <c r="EE17" i="90"/>
  <c r="EV10" i="90"/>
  <c r="EW10" i="90"/>
  <c r="P204" i="90"/>
  <c r="Q204" i="90"/>
  <c r="D146" i="90"/>
  <c r="E146" i="90"/>
  <c r="V154" i="90"/>
  <c r="W154" i="90"/>
  <c r="V174" i="90"/>
  <c r="W174" i="90"/>
  <c r="EP77" i="90"/>
  <c r="EQ77" i="90"/>
  <c r="EP32" i="90"/>
  <c r="EQ32" i="90"/>
  <c r="EJ74" i="90"/>
  <c r="EK74" i="90"/>
  <c r="EJ42" i="90"/>
  <c r="EK42" i="90"/>
  <c r="EP18" i="90"/>
  <c r="EQ18" i="90"/>
  <c r="EJ82" i="90"/>
  <c r="EK82" i="90"/>
  <c r="DX84" i="90"/>
  <c r="DY84" i="90"/>
  <c r="DX19" i="90"/>
  <c r="DY19" i="90"/>
  <c r="EE74" i="90"/>
  <c r="ED74" i="90"/>
  <c r="EQ98" i="90"/>
  <c r="EP98" i="90"/>
  <c r="EP27" i="90"/>
  <c r="EQ27" i="90"/>
  <c r="EJ36" i="90"/>
  <c r="EK36" i="90"/>
  <c r="DX36" i="90"/>
  <c r="DY36" i="90"/>
  <c r="EK75" i="90"/>
  <c r="EJ75" i="90"/>
  <c r="J226" i="90"/>
  <c r="K226" i="90"/>
  <c r="ED20" i="90"/>
  <c r="EE20" i="90"/>
  <c r="EV41" i="90"/>
  <c r="EW41" i="90"/>
  <c r="EV190" i="90"/>
  <c r="EW190" i="90"/>
  <c r="EV204" i="90"/>
  <c r="EW204" i="90"/>
  <c r="EV192" i="90"/>
  <c r="EW192" i="90"/>
  <c r="EV129" i="90"/>
  <c r="EW129" i="90"/>
  <c r="EV202" i="90"/>
  <c r="EW202" i="90"/>
  <c r="EV131" i="90"/>
  <c r="EW131" i="90"/>
  <c r="EV154" i="90"/>
  <c r="EW154" i="90"/>
  <c r="EV180" i="90"/>
  <c r="EW180" i="90"/>
  <c r="EV212" i="90"/>
  <c r="EW212" i="90"/>
  <c r="EV188" i="90"/>
  <c r="EW188" i="90"/>
  <c r="EV179" i="90"/>
  <c r="EW179" i="90"/>
  <c r="EV183" i="90"/>
  <c r="EW183" i="90"/>
  <c r="DX153" i="90"/>
  <c r="DY153" i="90"/>
  <c r="EJ140" i="90"/>
  <c r="EK140" i="90"/>
  <c r="ED164" i="90"/>
  <c r="EE164" i="90"/>
  <c r="EV169" i="90"/>
  <c r="EW169" i="90"/>
  <c r="EV143" i="90"/>
  <c r="EW143" i="90"/>
  <c r="DX212" i="90"/>
  <c r="DY212" i="90"/>
  <c r="DX214" i="90"/>
  <c r="DY214" i="90"/>
  <c r="ED118" i="90"/>
  <c r="EE118" i="90"/>
  <c r="EJ179" i="90"/>
  <c r="EK179" i="90"/>
  <c r="EJ143" i="90"/>
  <c r="EK143" i="90"/>
  <c r="ED179" i="90"/>
  <c r="EE179" i="90"/>
  <c r="DX128" i="90"/>
  <c r="DY128" i="90"/>
  <c r="DX167" i="90"/>
  <c r="DY167" i="90"/>
  <c r="EJ190" i="90"/>
  <c r="EK190" i="90"/>
  <c r="EJ121" i="90"/>
  <c r="EK121" i="90"/>
  <c r="EJ122" i="90"/>
  <c r="EK122" i="90"/>
  <c r="EK19" i="90"/>
  <c r="EJ19" i="90"/>
  <c r="ED160" i="90"/>
  <c r="EE160" i="90"/>
  <c r="DX182" i="90"/>
  <c r="DY182" i="90"/>
  <c r="EP196" i="90"/>
  <c r="EQ196" i="90"/>
  <c r="EP178" i="90"/>
  <c r="EQ178" i="90"/>
  <c r="DX132" i="90"/>
  <c r="DY132" i="90"/>
  <c r="DX154" i="90"/>
  <c r="DY154" i="90"/>
  <c r="BY137" i="90"/>
  <c r="BZ137" i="90"/>
  <c r="ED214" i="90"/>
  <c r="EE214" i="90"/>
  <c r="EJ188" i="90"/>
  <c r="EK188" i="90"/>
  <c r="DX146" i="90"/>
  <c r="DY146" i="90"/>
  <c r="EP143" i="90"/>
  <c r="EQ143" i="90"/>
  <c r="EJ194" i="90"/>
  <c r="EK194" i="90"/>
  <c r="EP129" i="90"/>
  <c r="EQ129" i="90"/>
  <c r="ED167" i="90"/>
  <c r="EE167" i="90"/>
  <c r="ED136" i="90"/>
  <c r="EE136" i="90"/>
  <c r="EP182" i="90"/>
  <c r="EQ182" i="90"/>
  <c r="EP173" i="90"/>
  <c r="EQ173" i="90"/>
  <c r="DX152" i="90"/>
  <c r="DY152" i="90"/>
  <c r="DX183" i="90"/>
  <c r="DY183" i="90"/>
  <c r="DX144" i="90"/>
  <c r="DY144" i="90"/>
  <c r="BS187" i="90"/>
  <c r="BT187" i="90"/>
  <c r="DX118" i="90"/>
  <c r="DY118" i="90"/>
  <c r="EJ197" i="90"/>
  <c r="EK197" i="90"/>
  <c r="EP133" i="90"/>
  <c r="EQ133" i="90"/>
  <c r="ED211" i="90"/>
  <c r="EE211" i="90"/>
  <c r="EJ201" i="90"/>
  <c r="EK201" i="90"/>
  <c r="ED130" i="90"/>
  <c r="EE130" i="90"/>
  <c r="EV144" i="90"/>
  <c r="EW144" i="90"/>
  <c r="DX130" i="90"/>
  <c r="DY130" i="90"/>
  <c r="ED157" i="90"/>
  <c r="EE157" i="90"/>
  <c r="DX135" i="90"/>
  <c r="DY135" i="90"/>
  <c r="EJ204" i="90"/>
  <c r="EK204" i="90"/>
  <c r="EV130" i="90"/>
  <c r="EW130" i="90"/>
  <c r="ED122" i="90"/>
  <c r="EE122" i="90"/>
  <c r="CK149" i="90"/>
  <c r="CL149" i="90"/>
  <c r="BY141" i="90"/>
  <c r="BZ141" i="90"/>
  <c r="BY150" i="90"/>
  <c r="BZ150" i="90"/>
  <c r="BY226" i="90"/>
  <c r="BZ226" i="90"/>
  <c r="CE208" i="90"/>
  <c r="CF208" i="90"/>
  <c r="CK199" i="90"/>
  <c r="CL199" i="90"/>
  <c r="BY185" i="90"/>
  <c r="BZ185" i="90"/>
  <c r="BY161" i="90"/>
  <c r="BZ161" i="90"/>
  <c r="CK133" i="90"/>
  <c r="CL133" i="90"/>
  <c r="BY142" i="90"/>
  <c r="BZ142" i="90"/>
  <c r="BM220" i="90"/>
  <c r="BN220" i="90"/>
  <c r="CE134" i="90"/>
  <c r="CF134" i="90"/>
  <c r="BY134" i="90"/>
  <c r="BZ134" i="90"/>
  <c r="CK158" i="90"/>
  <c r="CL158" i="90"/>
  <c r="BY213" i="90"/>
  <c r="BZ213" i="90"/>
  <c r="BS160" i="90"/>
  <c r="BT160" i="90"/>
  <c r="CE215" i="90"/>
  <c r="CF215" i="90"/>
  <c r="CK181" i="90"/>
  <c r="CL181" i="90"/>
  <c r="CK155" i="90"/>
  <c r="CL155" i="90"/>
  <c r="BM192" i="90"/>
  <c r="BN192" i="90"/>
  <c r="CE226" i="90"/>
  <c r="CF226" i="90"/>
  <c r="BY211" i="90"/>
  <c r="BZ211" i="90"/>
  <c r="BS202" i="90"/>
  <c r="BT202" i="90"/>
  <c r="BM155" i="90"/>
  <c r="BN155" i="90"/>
  <c r="BS140" i="90"/>
  <c r="BT140" i="90"/>
  <c r="CE183" i="90"/>
  <c r="CF183" i="90"/>
  <c r="BS218" i="90"/>
  <c r="BT218" i="90"/>
  <c r="BZ224" i="90"/>
  <c r="BY224" i="90"/>
  <c r="CK185" i="90"/>
  <c r="CL185" i="90"/>
  <c r="BY223" i="90"/>
  <c r="BZ223" i="90"/>
  <c r="BZ184" i="90"/>
  <c r="BY184" i="90"/>
  <c r="CK135" i="90"/>
  <c r="CL135" i="90"/>
  <c r="BS174" i="90"/>
  <c r="BT174" i="90"/>
  <c r="BY182" i="90"/>
  <c r="BZ182" i="90"/>
  <c r="BS146" i="90"/>
  <c r="BT146" i="90"/>
  <c r="BY209" i="90"/>
  <c r="BZ209" i="90"/>
  <c r="BM139" i="90"/>
  <c r="BN139" i="90"/>
  <c r="CK206" i="90"/>
  <c r="CL206" i="90"/>
  <c r="CE192" i="90"/>
  <c r="CF192" i="90"/>
  <c r="CE173" i="90"/>
  <c r="CF173" i="90"/>
  <c r="CK224" i="90"/>
  <c r="CL224" i="90"/>
  <c r="BY148" i="90"/>
  <c r="BZ148" i="90"/>
  <c r="BN194" i="90"/>
  <c r="BM194" i="90"/>
  <c r="CE175" i="90"/>
  <c r="CF175" i="90"/>
  <c r="CF191" i="90"/>
  <c r="CE191" i="90"/>
  <c r="BM133" i="90"/>
  <c r="BN133" i="90"/>
  <c r="BS171" i="90"/>
  <c r="BT171" i="90"/>
  <c r="CK213" i="90"/>
  <c r="CL213" i="90"/>
  <c r="DX60" i="90"/>
  <c r="DY60" i="90"/>
  <c r="DX74" i="90"/>
  <c r="DY74" i="90"/>
  <c r="EP53" i="90"/>
  <c r="EQ53" i="90"/>
  <c r="ED31" i="90"/>
  <c r="EE31" i="90"/>
  <c r="EJ93" i="90"/>
  <c r="EK93" i="90"/>
  <c r="DX43" i="90"/>
  <c r="DY43" i="90"/>
  <c r="ED84" i="90"/>
  <c r="EE84" i="90"/>
  <c r="DX56" i="90"/>
  <c r="DY56" i="90"/>
  <c r="DX72" i="90"/>
  <c r="DY72" i="90"/>
  <c r="DY24" i="90"/>
  <c r="DX24" i="90"/>
  <c r="DX62" i="90"/>
  <c r="DY62" i="90"/>
  <c r="EV27" i="90"/>
  <c r="EW27" i="90"/>
  <c r="EV103" i="90"/>
  <c r="EW103" i="90"/>
  <c r="K213" i="90"/>
  <c r="J213" i="90"/>
  <c r="W127" i="90"/>
  <c r="V127" i="90"/>
  <c r="V168" i="90"/>
  <c r="W168" i="90"/>
  <c r="K131" i="90"/>
  <c r="J131" i="90"/>
  <c r="Q170" i="90"/>
  <c r="P170" i="90"/>
  <c r="Q224" i="90"/>
  <c r="P224" i="90"/>
  <c r="P136" i="90"/>
  <c r="Q136" i="90"/>
  <c r="J164" i="90"/>
  <c r="K164" i="90"/>
  <c r="J182" i="90"/>
  <c r="K182" i="90"/>
  <c r="EP75" i="90"/>
  <c r="EQ75" i="90"/>
  <c r="DX65" i="90"/>
  <c r="DY65" i="90"/>
  <c r="EQ78" i="90"/>
  <c r="EP78" i="90"/>
  <c r="EP20" i="90"/>
  <c r="EQ20" i="90"/>
  <c r="DX95" i="90"/>
  <c r="DY95" i="90"/>
  <c r="EE38" i="90"/>
  <c r="ED38" i="90"/>
  <c r="DX51" i="90"/>
  <c r="DY51" i="90"/>
  <c r="ED40" i="90"/>
  <c r="EE40" i="90"/>
  <c r="EQ94" i="90"/>
  <c r="EP94" i="90"/>
  <c r="DX83" i="90"/>
  <c r="DY83" i="90"/>
  <c r="DX92" i="90"/>
  <c r="DY92" i="90"/>
  <c r="EJ25" i="90"/>
  <c r="EK25" i="90"/>
  <c r="P198" i="90"/>
  <c r="Q198" i="90"/>
  <c r="EJ60" i="90"/>
  <c r="EK60" i="90"/>
  <c r="DX29" i="90"/>
  <c r="DY29" i="90"/>
  <c r="EK63" i="90"/>
  <c r="EJ63" i="90"/>
  <c r="EJ10" i="90"/>
  <c r="EK10" i="90"/>
  <c r="EP45" i="90"/>
  <c r="EQ45" i="90"/>
  <c r="EP41" i="90"/>
  <c r="EQ41" i="90"/>
  <c r="DX88" i="90"/>
  <c r="DY88" i="90"/>
  <c r="EP80" i="90"/>
  <c r="EQ80" i="90"/>
  <c r="EE58" i="90"/>
  <c r="ED58" i="90"/>
  <c r="EK87" i="90"/>
  <c r="EJ87" i="90"/>
  <c r="EE98" i="90"/>
  <c r="ED98" i="90"/>
  <c r="EP28" i="90"/>
  <c r="EQ28" i="90"/>
  <c r="EK31" i="90"/>
  <c r="EJ31" i="90"/>
  <c r="EP14" i="90"/>
  <c r="EQ14" i="90"/>
  <c r="P159" i="90"/>
  <c r="Q159" i="90"/>
  <c r="DX15" i="90"/>
  <c r="DY15" i="90"/>
  <c r="Q201" i="90"/>
  <c r="P201" i="90"/>
  <c r="V186" i="90"/>
  <c r="W186" i="90"/>
  <c r="D176" i="90"/>
  <c r="E176" i="90"/>
  <c r="Q188" i="90"/>
  <c r="P188" i="90"/>
  <c r="EJ73" i="90"/>
  <c r="EK73" i="90"/>
  <c r="EK27" i="90"/>
  <c r="EJ27" i="90"/>
  <c r="EJ37" i="90"/>
  <c r="EK37" i="90"/>
  <c r="V203" i="90"/>
  <c r="W203" i="90"/>
  <c r="DX45" i="90"/>
  <c r="DY45" i="90"/>
  <c r="EV24" i="90"/>
  <c r="EW24" i="90"/>
  <c r="EQ74" i="90"/>
  <c r="EP74" i="90"/>
  <c r="EQ102" i="90"/>
  <c r="EP102" i="90"/>
  <c r="ED32" i="90"/>
  <c r="EE32" i="90"/>
  <c r="DX46" i="90"/>
  <c r="DY46" i="90"/>
  <c r="EV26" i="90"/>
  <c r="EW26" i="90"/>
  <c r="J130" i="90"/>
  <c r="K130" i="90"/>
  <c r="K145" i="90"/>
  <c r="J145" i="90"/>
  <c r="J212" i="90"/>
  <c r="K212" i="90"/>
  <c r="Q150" i="90"/>
  <c r="P150" i="90"/>
  <c r="J214" i="90"/>
  <c r="K214" i="90"/>
  <c r="K135" i="90"/>
  <c r="J135" i="90"/>
  <c r="EV81" i="90"/>
  <c r="EW81" i="90"/>
  <c r="EQ66" i="90"/>
  <c r="EP66" i="90"/>
  <c r="EJ48" i="90"/>
  <c r="EK48" i="90"/>
  <c r="EK95" i="90"/>
  <c r="EJ95" i="90"/>
  <c r="EV45" i="90"/>
  <c r="EW45" i="90"/>
  <c r="V195" i="90"/>
  <c r="W195" i="90"/>
  <c r="V150" i="90"/>
  <c r="W150" i="90"/>
  <c r="P192" i="90"/>
  <c r="Q192" i="90"/>
  <c r="Q160" i="90"/>
  <c r="P160" i="90"/>
  <c r="V136" i="90"/>
  <c r="W136" i="90"/>
  <c r="P200" i="90"/>
  <c r="Q200" i="90"/>
  <c r="D202" i="90"/>
  <c r="E202" i="90"/>
  <c r="E137" i="90"/>
  <c r="D137" i="90"/>
  <c r="J192" i="90"/>
  <c r="K192" i="90"/>
  <c r="V216" i="90"/>
  <c r="W216" i="90"/>
  <c r="V145" i="90"/>
  <c r="W145" i="90"/>
  <c r="Q154" i="90"/>
  <c r="P154" i="90"/>
  <c r="D154" i="90"/>
  <c r="E154" i="90"/>
  <c r="Q193" i="90"/>
  <c r="P193" i="90"/>
  <c r="EV80" i="90"/>
  <c r="EW80" i="90"/>
  <c r="J138" i="90"/>
  <c r="K138" i="90"/>
  <c r="EV84" i="90"/>
  <c r="EW84" i="90"/>
  <c r="EV98" i="90"/>
  <c r="EW98" i="90"/>
  <c r="EV86" i="90"/>
  <c r="EW86" i="90"/>
  <c r="EV23" i="90"/>
  <c r="EW23" i="90"/>
  <c r="EV96" i="90"/>
  <c r="EW96" i="90"/>
  <c r="EV25" i="90"/>
  <c r="EW25" i="90"/>
  <c r="EV48" i="90"/>
  <c r="EW48" i="90"/>
  <c r="EV74" i="90"/>
  <c r="EW74" i="90"/>
  <c r="EV106" i="90"/>
  <c r="EW106" i="90"/>
  <c r="EV82" i="90"/>
  <c r="EW82" i="90"/>
  <c r="EV73" i="90"/>
  <c r="EW73" i="90"/>
  <c r="EV77" i="90"/>
  <c r="EW77" i="90"/>
  <c r="DX207" i="90"/>
  <c r="DY207" i="90"/>
  <c r="DX171" i="90"/>
  <c r="DY171" i="90"/>
  <c r="EP163" i="90"/>
  <c r="EQ163" i="90"/>
  <c r="ED138" i="90"/>
  <c r="EE138" i="90"/>
  <c r="DX200" i="90"/>
  <c r="DY200" i="90"/>
  <c r="DX124" i="90"/>
  <c r="DY124" i="90"/>
  <c r="BT137" i="90"/>
  <c r="BS137" i="90"/>
  <c r="EV132" i="90"/>
  <c r="EW132" i="90"/>
  <c r="DX186" i="90"/>
  <c r="DY186" i="90"/>
  <c r="ED181" i="90"/>
  <c r="EE181" i="90"/>
  <c r="EP207" i="90"/>
  <c r="EQ207" i="90"/>
  <c r="DX169" i="90"/>
  <c r="DY169" i="90"/>
  <c r="DX189" i="90"/>
  <c r="DY189" i="90"/>
  <c r="DX176" i="90"/>
  <c r="DY176" i="90"/>
  <c r="P137" i="90"/>
  <c r="Q137" i="90"/>
  <c r="EJ189" i="90"/>
  <c r="EK189" i="90"/>
  <c r="EJ169" i="90"/>
  <c r="EK169" i="90"/>
  <c r="EP176" i="90"/>
  <c r="EQ176" i="90"/>
  <c r="ED208" i="90"/>
  <c r="EE208" i="90"/>
  <c r="EP189" i="90"/>
  <c r="EQ189" i="90"/>
  <c r="EJ211" i="90"/>
  <c r="EK211" i="90"/>
  <c r="DX134" i="90"/>
  <c r="DY134" i="90"/>
  <c r="DX148" i="90"/>
  <c r="DY148" i="90"/>
  <c r="EV211" i="90"/>
  <c r="EW211" i="90"/>
  <c r="DX159" i="90"/>
  <c r="DY159" i="90"/>
  <c r="DX143" i="90"/>
  <c r="DY143" i="90"/>
  <c r="EP138" i="90"/>
  <c r="EQ138" i="90"/>
  <c r="ED203" i="90"/>
  <c r="EE203" i="90"/>
  <c r="EP211" i="90"/>
  <c r="EQ211" i="90"/>
  <c r="EJ157" i="90"/>
  <c r="EK157" i="90"/>
  <c r="DX204" i="90"/>
  <c r="DY204" i="90"/>
  <c r="DX191" i="90"/>
  <c r="DY191" i="90"/>
  <c r="DX180" i="90"/>
  <c r="DY180" i="90"/>
  <c r="ED124" i="90"/>
  <c r="EE124" i="90"/>
  <c r="EP159" i="90"/>
  <c r="EQ159" i="90"/>
  <c r="ED153" i="90"/>
  <c r="EE153" i="90"/>
  <c r="EP118" i="90"/>
  <c r="EQ118" i="90"/>
  <c r="ED175" i="90"/>
  <c r="EE175" i="90"/>
  <c r="EP201" i="90"/>
  <c r="EQ201" i="90"/>
  <c r="ED177" i="90"/>
  <c r="EE177" i="90"/>
  <c r="ED212" i="90"/>
  <c r="EE212" i="90"/>
  <c r="EV157" i="90"/>
  <c r="EW157" i="90"/>
  <c r="ED141" i="90"/>
  <c r="EE141" i="90"/>
  <c r="EJ158" i="90"/>
  <c r="EK158" i="90"/>
  <c r="ED123" i="90"/>
  <c r="EE123" i="90"/>
  <c r="EP168" i="90"/>
  <c r="EQ168" i="90"/>
  <c r="EK115" i="90"/>
  <c r="EJ115" i="90"/>
  <c r="EP177" i="90"/>
  <c r="EQ177" i="90"/>
  <c r="DX213" i="90"/>
  <c r="DY213" i="90"/>
  <c r="EP184" i="90"/>
  <c r="EQ184" i="90"/>
  <c r="ED184" i="90"/>
  <c r="EE184" i="90"/>
  <c r="EJ170" i="90"/>
  <c r="EK170" i="90"/>
  <c r="DX160" i="90"/>
  <c r="DY160" i="90"/>
  <c r="DX147" i="90"/>
  <c r="DY147" i="90"/>
  <c r="EV152" i="90"/>
  <c r="EW152" i="90"/>
  <c r="ED199" i="90"/>
  <c r="EE199" i="90"/>
  <c r="CK131" i="90"/>
  <c r="CL131" i="90"/>
  <c r="BS128" i="90"/>
  <c r="BT128" i="90"/>
  <c r="BY190" i="90"/>
  <c r="BZ190" i="90"/>
  <c r="CE200" i="90"/>
  <c r="CF200" i="90"/>
  <c r="BS214" i="90"/>
  <c r="BT214" i="90"/>
  <c r="CK220" i="90"/>
  <c r="CL220" i="90"/>
  <c r="CE195" i="90"/>
  <c r="CF195" i="90"/>
  <c r="CK201" i="90"/>
  <c r="CL201" i="90"/>
  <c r="BS151" i="90"/>
  <c r="BT151" i="90"/>
  <c r="BT221" i="90"/>
  <c r="BS221" i="90"/>
  <c r="BM129" i="90"/>
  <c r="BN129" i="90"/>
  <c r="BS203" i="90"/>
  <c r="BT203" i="90"/>
  <c r="CK152" i="90"/>
  <c r="CL152" i="90"/>
  <c r="BZ172" i="90"/>
  <c r="BY172" i="90"/>
  <c r="BY198" i="90"/>
  <c r="BZ198" i="90"/>
  <c r="BY130" i="90"/>
  <c r="BZ130" i="90"/>
  <c r="CK183" i="90"/>
  <c r="CL183" i="90"/>
  <c r="CK163" i="90"/>
  <c r="CL163" i="90"/>
  <c r="CE206" i="90"/>
  <c r="CF206" i="90"/>
  <c r="BS144" i="90"/>
  <c r="BT144" i="90"/>
  <c r="CK161" i="90"/>
  <c r="CL161" i="90"/>
  <c r="BS191" i="90"/>
  <c r="BT191" i="90"/>
  <c r="BM199" i="90"/>
  <c r="BN199" i="90"/>
  <c r="CK202" i="90"/>
  <c r="CL202" i="90"/>
  <c r="BN190" i="90"/>
  <c r="BM190" i="90"/>
  <c r="CK130" i="90"/>
  <c r="CL130" i="90"/>
  <c r="CE168" i="90"/>
  <c r="CF168" i="90"/>
  <c r="CK162" i="90"/>
  <c r="CL162" i="90"/>
  <c r="BS142" i="90"/>
  <c r="BT142" i="90"/>
  <c r="BY162" i="90"/>
  <c r="BZ162" i="90"/>
  <c r="BM141" i="90"/>
  <c r="BN141" i="90"/>
  <c r="CK142" i="90"/>
  <c r="CL142" i="90"/>
  <c r="BY132" i="90"/>
  <c r="BZ132" i="90"/>
  <c r="CK141" i="90"/>
  <c r="CL141" i="90"/>
  <c r="BT173" i="90"/>
  <c r="BS173" i="90"/>
  <c r="BM153" i="90"/>
  <c r="BN153" i="90"/>
  <c r="BY195" i="90"/>
  <c r="BZ195" i="90"/>
  <c r="CE156" i="90"/>
  <c r="CF156" i="90"/>
  <c r="CE140" i="90"/>
  <c r="CF140" i="90"/>
  <c r="BY225" i="90"/>
  <c r="BZ225" i="90"/>
  <c r="BY128" i="90"/>
  <c r="BZ128" i="90"/>
  <c r="CE159" i="90"/>
  <c r="CF159" i="90"/>
  <c r="CE198" i="90"/>
  <c r="CF198" i="90"/>
  <c r="BY205" i="90"/>
  <c r="BZ205" i="90"/>
  <c r="CK138" i="90"/>
  <c r="CL138" i="90"/>
  <c r="CK193" i="90"/>
  <c r="CL193" i="90"/>
  <c r="BZ145" i="90"/>
  <c r="BY145" i="90"/>
  <c r="BS211" i="90"/>
  <c r="BT211" i="90"/>
  <c r="D178" i="90"/>
  <c r="E178" i="90"/>
  <c r="D192" i="90"/>
  <c r="E192" i="90"/>
  <c r="V171" i="90"/>
  <c r="W171" i="90"/>
  <c r="K149" i="90"/>
  <c r="J149" i="90"/>
  <c r="P211" i="90"/>
  <c r="Q211" i="90"/>
  <c r="D161" i="90"/>
  <c r="E161" i="90"/>
  <c r="J202" i="90"/>
  <c r="K202" i="90"/>
  <c r="D174" i="90"/>
  <c r="E174" i="90"/>
  <c r="D190" i="90"/>
  <c r="E190" i="90"/>
  <c r="D142" i="90"/>
  <c r="E142" i="90"/>
  <c r="D180" i="90"/>
  <c r="E180" i="90"/>
  <c r="EV57" i="90"/>
  <c r="EW57" i="90"/>
  <c r="EK55" i="90"/>
  <c r="EJ55" i="90"/>
  <c r="DX75" i="90"/>
  <c r="DY75" i="90"/>
  <c r="EJ94" i="90"/>
  <c r="EK94" i="90"/>
  <c r="EP48" i="90"/>
  <c r="EQ48" i="90"/>
  <c r="EJ22" i="90"/>
  <c r="EK22" i="90"/>
  <c r="ED100" i="90"/>
  <c r="EE100" i="90"/>
  <c r="EP96" i="90"/>
  <c r="EQ96" i="90"/>
  <c r="ED24" i="90"/>
  <c r="EE24" i="90"/>
  <c r="EJ44" i="90"/>
  <c r="EK44" i="90"/>
  <c r="EE66" i="90"/>
  <c r="ED66" i="90"/>
  <c r="DY16" i="90"/>
  <c r="DX16" i="90"/>
  <c r="V193" i="90"/>
  <c r="W193" i="90"/>
  <c r="D183" i="90"/>
  <c r="E183" i="90"/>
  <c r="V196" i="90"/>
  <c r="W196" i="90"/>
  <c r="V138" i="90"/>
  <c r="W138" i="90"/>
  <c r="D213" i="90"/>
  <c r="E213" i="90"/>
  <c r="J156" i="90"/>
  <c r="K156" i="90"/>
  <c r="D169" i="90"/>
  <c r="E169" i="90"/>
  <c r="J158" i="90"/>
  <c r="K158" i="90"/>
  <c r="V212" i="90"/>
  <c r="W212" i="90"/>
  <c r="D201" i="90"/>
  <c r="E201" i="90"/>
  <c r="D210" i="90"/>
  <c r="E210" i="90"/>
  <c r="P143" i="90"/>
  <c r="Q143" i="90"/>
  <c r="ED23" i="90"/>
  <c r="EE23" i="90"/>
  <c r="EJ68" i="90"/>
  <c r="EK68" i="90"/>
  <c r="Q178" i="90"/>
  <c r="P178" i="90"/>
  <c r="D147" i="90"/>
  <c r="E147" i="90"/>
  <c r="P181" i="90"/>
  <c r="Q181" i="90"/>
  <c r="P128" i="90"/>
  <c r="Q128" i="90"/>
  <c r="V163" i="90"/>
  <c r="W163" i="90"/>
  <c r="V159" i="90"/>
  <c r="W159" i="90"/>
  <c r="D206" i="90"/>
  <c r="E206" i="90"/>
  <c r="V198" i="90"/>
  <c r="W198" i="90"/>
  <c r="J176" i="90"/>
  <c r="K176" i="90"/>
  <c r="Q205" i="90"/>
  <c r="P205" i="90"/>
  <c r="K216" i="90"/>
  <c r="J216" i="90"/>
  <c r="V146" i="90"/>
  <c r="W146" i="90"/>
  <c r="P149" i="90"/>
  <c r="Q149" i="90"/>
  <c r="V132" i="90"/>
  <c r="W132" i="90"/>
  <c r="D133" i="90"/>
  <c r="E133" i="90"/>
  <c r="ED11" i="90"/>
  <c r="EE11" i="90"/>
  <c r="EV107" i="90"/>
  <c r="EW107" i="90"/>
  <c r="P191" i="90"/>
  <c r="Q191" i="90"/>
  <c r="P145" i="90"/>
  <c r="Q145" i="90"/>
  <c r="P155" i="90"/>
  <c r="Q155" i="90"/>
  <c r="EV33" i="90"/>
  <c r="EW33" i="90"/>
  <c r="D163" i="90"/>
  <c r="E163" i="90"/>
  <c r="EJ62" i="90"/>
  <c r="EK62" i="90"/>
  <c r="V192" i="90"/>
  <c r="W192" i="90"/>
  <c r="V220" i="90"/>
  <c r="W220" i="90"/>
  <c r="J150" i="90"/>
  <c r="K150" i="90"/>
  <c r="D164" i="90"/>
  <c r="E164" i="90"/>
  <c r="DX39" i="90"/>
  <c r="DY39" i="90"/>
  <c r="EP107" i="90"/>
  <c r="EQ107" i="90"/>
  <c r="EJ92" i="90"/>
  <c r="EK92" i="90"/>
  <c r="EP37" i="90"/>
  <c r="EQ37" i="90"/>
  <c r="EJ72" i="90"/>
  <c r="EK72" i="90"/>
  <c r="EJ108" i="90"/>
  <c r="EK108" i="90"/>
  <c r="EP23" i="90"/>
  <c r="EQ23" i="90"/>
  <c r="EV102" i="90"/>
  <c r="EW102" i="90"/>
  <c r="EV56" i="90"/>
  <c r="EW56" i="90"/>
  <c r="V184" i="90"/>
  <c r="W184" i="90"/>
  <c r="Q166" i="90"/>
  <c r="P166" i="90"/>
  <c r="Q213" i="90"/>
  <c r="P213" i="90"/>
  <c r="ED48" i="90"/>
  <c r="EE48" i="90"/>
  <c r="DX105" i="90"/>
  <c r="DY105" i="90"/>
  <c r="EJ56" i="90"/>
  <c r="EK56" i="90"/>
  <c r="DX82" i="90"/>
  <c r="DY82" i="90"/>
  <c r="ED33" i="90"/>
  <c r="EE33" i="90"/>
  <c r="EQ54" i="90"/>
  <c r="EP54" i="90"/>
  <c r="DX54" i="90"/>
  <c r="DY54" i="90"/>
  <c r="DX102" i="90"/>
  <c r="DY102" i="90"/>
  <c r="EJ81" i="90"/>
  <c r="EK81" i="90"/>
  <c r="EP16" i="90"/>
  <c r="EQ16" i="90"/>
  <c r="EK15" i="90"/>
  <c r="EJ15" i="90"/>
  <c r="EJ38" i="90"/>
  <c r="EK38" i="90"/>
  <c r="DX98" i="90"/>
  <c r="DY98" i="90"/>
  <c r="DX42" i="90"/>
  <c r="DY42" i="90"/>
  <c r="ED15" i="90"/>
  <c r="EE15" i="90"/>
  <c r="EP15" i="90"/>
  <c r="EQ15" i="90"/>
  <c r="ED83" i="90"/>
  <c r="EE83" i="90"/>
  <c r="EK51" i="90"/>
  <c r="EJ51" i="90"/>
  <c r="EV124" i="90"/>
  <c r="EW124" i="90"/>
  <c r="EV118" i="90"/>
  <c r="EW118" i="90"/>
  <c r="EV210" i="90"/>
  <c r="EW210" i="90"/>
  <c r="EV173" i="90"/>
  <c r="EW173" i="90"/>
  <c r="EV123" i="90"/>
  <c r="EW123" i="90"/>
  <c r="EV126" i="90"/>
  <c r="EW126" i="90"/>
  <c r="EV199" i="90"/>
  <c r="EW199" i="90"/>
  <c r="EJ116" i="90"/>
  <c r="EK116" i="90"/>
  <c r="EQ115" i="90"/>
  <c r="EP115" i="90"/>
  <c r="EP166" i="90"/>
  <c r="EQ166" i="90"/>
  <c r="EP156" i="90"/>
  <c r="EQ156" i="90"/>
  <c r="EJ152" i="90"/>
  <c r="EK152" i="90"/>
  <c r="EJ214" i="90"/>
  <c r="EK214" i="90"/>
  <c r="ED196" i="90"/>
  <c r="EE196" i="90"/>
  <c r="ED147" i="90"/>
  <c r="EE147" i="90"/>
  <c r="EV148" i="90"/>
  <c r="EW148" i="90"/>
  <c r="DX150" i="90"/>
  <c r="DY150" i="90"/>
  <c r="DX170" i="90"/>
  <c r="DY170" i="90"/>
  <c r="EV119" i="90"/>
  <c r="EW119" i="90"/>
  <c r="EV203" i="90"/>
  <c r="EW203" i="90"/>
  <c r="EJ164" i="90"/>
  <c r="EK164" i="90"/>
  <c r="EP122" i="90"/>
  <c r="EQ122" i="90"/>
  <c r="ED186" i="90"/>
  <c r="EE186" i="90"/>
  <c r="DX129" i="90"/>
  <c r="DY129" i="90"/>
  <c r="EJ209" i="90"/>
  <c r="EK209" i="90"/>
  <c r="EP147" i="90"/>
  <c r="EQ147" i="90"/>
  <c r="EP131" i="90"/>
  <c r="EQ131" i="90"/>
  <c r="EV214" i="90"/>
  <c r="EW214" i="90"/>
  <c r="EJ208" i="90"/>
  <c r="EK208" i="90"/>
  <c r="EJ137" i="90"/>
  <c r="EK137" i="90"/>
  <c r="EJ131" i="90"/>
  <c r="EK131" i="90"/>
  <c r="EV176" i="90"/>
  <c r="EW176" i="90"/>
  <c r="ED156" i="90"/>
  <c r="EE156" i="90"/>
  <c r="EJ148" i="90"/>
  <c r="EK148" i="90"/>
  <c r="EP192" i="90"/>
  <c r="EQ192" i="90"/>
  <c r="EP124" i="90"/>
  <c r="EQ124" i="90"/>
  <c r="EJ130" i="90"/>
  <c r="EK130" i="90"/>
  <c r="DX117" i="90"/>
  <c r="DY117" i="90"/>
  <c r="DX119" i="90"/>
  <c r="DY119" i="90"/>
  <c r="ED190" i="90"/>
  <c r="EE190" i="90"/>
  <c r="EJ117" i="90"/>
  <c r="EK117" i="90"/>
  <c r="ED125" i="90"/>
  <c r="EE125" i="90"/>
  <c r="EJ149" i="90"/>
  <c r="EK149" i="90"/>
  <c r="ED116" i="90"/>
  <c r="EE116" i="90"/>
  <c r="EV166" i="90"/>
  <c r="EW166" i="90"/>
  <c r="EP188" i="90"/>
  <c r="EQ188" i="90"/>
  <c r="EV209" i="90"/>
  <c r="EW209" i="90"/>
  <c r="ED204" i="90"/>
  <c r="EE204" i="90"/>
  <c r="EP134" i="90"/>
  <c r="EQ134" i="90"/>
  <c r="DX181" i="90"/>
  <c r="DY181" i="90"/>
  <c r="ED201" i="90"/>
  <c r="EE201" i="90"/>
  <c r="EP190" i="90"/>
  <c r="EQ190" i="90"/>
  <c r="EV139" i="90"/>
  <c r="EW139" i="90"/>
  <c r="DX141" i="90"/>
  <c r="DY141" i="90"/>
  <c r="EP193" i="90"/>
  <c r="EQ193" i="90"/>
  <c r="EE9" i="90"/>
  <c r="ED9" i="90"/>
  <c r="ED120" i="90"/>
  <c r="EE120" i="90"/>
  <c r="ED148" i="90"/>
  <c r="EE148" i="90"/>
  <c r="DX139" i="90"/>
  <c r="DY139" i="90"/>
  <c r="EJ141" i="90"/>
  <c r="EK141" i="90"/>
  <c r="EP149" i="90"/>
  <c r="EQ149" i="90"/>
  <c r="EV187" i="90"/>
  <c r="EW187" i="90"/>
  <c r="EP212" i="90"/>
  <c r="EQ212" i="90"/>
  <c r="DX163" i="90"/>
  <c r="DY163" i="90"/>
  <c r="EJ166" i="90"/>
  <c r="EK166" i="90"/>
  <c r="EJ159" i="90"/>
  <c r="EK159" i="90"/>
  <c r="ED171" i="90"/>
  <c r="EE171" i="90"/>
  <c r="DX133" i="90"/>
  <c r="DY133" i="90"/>
  <c r="F161" i="41"/>
  <c r="G161" i="41"/>
  <c r="G183" i="41"/>
  <c r="F183" i="41"/>
  <c r="G216" i="41"/>
  <c r="F216" i="41"/>
  <c r="F200" i="51"/>
  <c r="G200" i="51"/>
  <c r="G189" i="51"/>
  <c r="F189" i="51"/>
  <c r="F128" i="41"/>
  <c r="G128" i="41"/>
  <c r="G172" i="41"/>
  <c r="F172" i="41"/>
  <c r="G175" i="49"/>
  <c r="F175" i="49"/>
  <c r="G117" i="41"/>
  <c r="F117" i="41"/>
  <c r="F123" i="51"/>
  <c r="G123" i="51"/>
  <c r="G194" i="41"/>
  <c r="F194" i="41"/>
  <c r="F197" i="49"/>
  <c r="G134" i="51"/>
  <c r="F134" i="51"/>
  <c r="F148" i="41"/>
  <c r="G148" i="41"/>
  <c r="F139" i="41"/>
  <c r="G139" i="41"/>
  <c r="D88" i="103"/>
  <c r="D79" i="103"/>
  <c r="C88" i="103"/>
  <c r="C79" i="103"/>
  <c r="E177" i="51"/>
  <c r="E141" i="49"/>
  <c r="E145" i="51"/>
  <c r="E130" i="49"/>
  <c r="CA5" i="4"/>
  <c r="CA6" i="4" s="1"/>
  <c r="F196" i="49"/>
  <c r="F163" i="49"/>
  <c r="F174" i="49"/>
  <c r="F207" i="49"/>
  <c r="F218" i="49"/>
  <c r="CE7" i="4"/>
  <c r="E131" i="49"/>
  <c r="A131" i="49"/>
  <c r="A132" i="49" s="1"/>
  <c r="G130" i="49"/>
  <c r="F141" i="49"/>
  <c r="E142" i="49"/>
  <c r="A142" i="49"/>
  <c r="A143" i="49" s="1"/>
  <c r="G141" i="49"/>
  <c r="G152" i="49"/>
  <c r="A112" i="51"/>
  <c r="E113" i="51" s="1"/>
  <c r="E112" i="51"/>
  <c r="E111" i="51"/>
  <c r="E178" i="51"/>
  <c r="E218" i="49"/>
  <c r="A178" i="51"/>
  <c r="A179" i="51" s="1"/>
  <c r="A153" i="49"/>
  <c r="E219" i="49"/>
  <c r="G218" i="49"/>
  <c r="F130" i="49"/>
  <c r="E156" i="51"/>
  <c r="E144" i="51"/>
  <c r="A219" i="49"/>
  <c r="A220" i="49" s="1"/>
  <c r="A145" i="51"/>
  <c r="A146" i="51" s="1"/>
  <c r="F152" i="49"/>
  <c r="E207" i="49"/>
  <c r="G207" i="49"/>
  <c r="E208" i="49"/>
  <c r="A208" i="49"/>
  <c r="A209" i="49" s="1"/>
  <c r="A156" i="51"/>
  <c r="A157" i="51" s="1"/>
  <c r="E155" i="51"/>
  <c r="A124" i="51"/>
  <c r="E124" i="51"/>
  <c r="A198" i="49"/>
  <c r="E198" i="49"/>
  <c r="A135" i="51"/>
  <c r="E135" i="51"/>
  <c r="E166" i="51"/>
  <c r="E167" i="51"/>
  <c r="A167" i="51"/>
  <c r="A165" i="49"/>
  <c r="E165" i="49"/>
  <c r="E211" i="51"/>
  <c r="A211" i="51"/>
  <c r="E210" i="51"/>
  <c r="G185" i="49"/>
  <c r="E186" i="49"/>
  <c r="A186" i="49"/>
  <c r="F185" i="49"/>
  <c r="E185" i="49"/>
  <c r="E230" i="49"/>
  <c r="G229" i="49"/>
  <c r="F229" i="49"/>
  <c r="E229" i="49"/>
  <c r="A230" i="49"/>
  <c r="A190" i="51"/>
  <c r="E190" i="51"/>
  <c r="A201" i="51"/>
  <c r="E201" i="51"/>
  <c r="A176" i="49"/>
  <c r="E176" i="49"/>
  <c r="E149" i="41"/>
  <c r="A149" i="41"/>
  <c r="EK75" i="4"/>
  <c r="D55" i="49"/>
  <c r="D54" i="49"/>
  <c r="D49" i="41"/>
  <c r="D48" i="41"/>
  <c r="F164" i="49" l="1"/>
  <c r="F206" i="41"/>
  <c r="F151" i="41"/>
  <c r="F162" i="41"/>
  <c r="F195" i="41"/>
  <c r="F173" i="41"/>
  <c r="F184" i="41"/>
  <c r="F140" i="41"/>
  <c r="F129" i="41"/>
  <c r="F119" i="41"/>
  <c r="G119" i="41"/>
  <c r="G187" i="41"/>
  <c r="G186" i="41"/>
  <c r="G175" i="41"/>
  <c r="G176" i="41"/>
  <c r="G164" i="41"/>
  <c r="G165" i="41"/>
  <c r="G143" i="41"/>
  <c r="G142" i="41"/>
  <c r="G209" i="41"/>
  <c r="G208" i="41"/>
  <c r="G154" i="41"/>
  <c r="G153" i="41"/>
  <c r="G198" i="41"/>
  <c r="G197" i="41"/>
  <c r="G130" i="41"/>
  <c r="G131" i="41"/>
  <c r="A154" i="49"/>
  <c r="E155" i="49" s="1"/>
  <c r="E154" i="49"/>
  <c r="F69" i="103"/>
  <c r="G211" i="51"/>
  <c r="F211" i="51"/>
  <c r="F135" i="51"/>
  <c r="G135" i="51"/>
  <c r="F112" i="51"/>
  <c r="G112" i="51"/>
  <c r="F165" i="49"/>
  <c r="G165" i="49"/>
  <c r="F113" i="51"/>
  <c r="G113" i="51"/>
  <c r="F190" i="51"/>
  <c r="G190" i="51"/>
  <c r="F186" i="49"/>
  <c r="G186" i="49"/>
  <c r="F198" i="49"/>
  <c r="G198" i="49"/>
  <c r="G208" i="49"/>
  <c r="F208" i="49"/>
  <c r="F149" i="41"/>
  <c r="G149" i="41"/>
  <c r="F167" i="51"/>
  <c r="G167" i="51"/>
  <c r="F124" i="51"/>
  <c r="G124" i="51"/>
  <c r="F156" i="51"/>
  <c r="G156" i="51"/>
  <c r="F178" i="51"/>
  <c r="G178" i="51"/>
  <c r="G131" i="49"/>
  <c r="F131" i="49"/>
  <c r="G176" i="49"/>
  <c r="F176" i="49"/>
  <c r="G153" i="49"/>
  <c r="F153" i="49"/>
  <c r="F201" i="51"/>
  <c r="G201" i="51"/>
  <c r="G230" i="49"/>
  <c r="F230" i="49"/>
  <c r="G219" i="49"/>
  <c r="F219" i="49"/>
  <c r="G142" i="49"/>
  <c r="F142" i="49"/>
  <c r="G145" i="51"/>
  <c r="F145" i="51"/>
  <c r="CA7" i="4"/>
  <c r="CA8" i="4" s="1"/>
  <c r="CE8" i="4"/>
  <c r="CE9" i="4" s="1"/>
  <c r="E143" i="49"/>
  <c r="E132" i="49"/>
  <c r="A113" i="51"/>
  <c r="E114" i="51" s="1"/>
  <c r="E146" i="51"/>
  <c r="E179" i="51"/>
  <c r="E220" i="49"/>
  <c r="E157" i="51"/>
  <c r="E209" i="49"/>
  <c r="A136" i="51"/>
  <c r="E136" i="51"/>
  <c r="A180" i="51"/>
  <c r="E180" i="51"/>
  <c r="A147" i="51"/>
  <c r="E147" i="51"/>
  <c r="A166" i="49"/>
  <c r="E166" i="49"/>
  <c r="A231" i="49"/>
  <c r="E231" i="49"/>
  <c r="A212" i="51"/>
  <c r="E212" i="51"/>
  <c r="A144" i="49"/>
  <c r="E144" i="49"/>
  <c r="A199" i="49"/>
  <c r="E199" i="49"/>
  <c r="A158" i="51"/>
  <c r="E158" i="51"/>
  <c r="A187" i="49"/>
  <c r="E187" i="49"/>
  <c r="A168" i="51"/>
  <c r="E168" i="51"/>
  <c r="A210" i="49"/>
  <c r="E210" i="49"/>
  <c r="A125" i="51"/>
  <c r="E125" i="51"/>
  <c r="A221" i="49"/>
  <c r="E221" i="49"/>
  <c r="A177" i="49"/>
  <c r="E177" i="49"/>
  <c r="A202" i="51"/>
  <c r="E202" i="51"/>
  <c r="A133" i="49"/>
  <c r="E133" i="49"/>
  <c r="A191" i="51"/>
  <c r="E191" i="51"/>
  <c r="F90" i="49"/>
  <c r="F110" i="49" s="1"/>
  <c r="G65" i="70" s="1"/>
  <c r="D90" i="49"/>
  <c r="F92" i="49"/>
  <c r="F112" i="49" s="1"/>
  <c r="F93" i="49"/>
  <c r="F113" i="49" s="1"/>
  <c r="F91" i="49"/>
  <c r="F111" i="49" s="1"/>
  <c r="I65" i="70" s="1"/>
  <c r="I77" i="70" s="1"/>
  <c r="B56" i="108" s="1"/>
  <c r="D93" i="49"/>
  <c r="D113" i="49" s="1"/>
  <c r="D92" i="49"/>
  <c r="D112" i="49" s="1"/>
  <c r="D91" i="49"/>
  <c r="D111" i="49" s="1"/>
  <c r="H28" i="70" s="1"/>
  <c r="H40" i="70" s="1"/>
  <c r="EK80" i="4"/>
  <c r="EO3" i="4" s="1"/>
  <c r="A150" i="41"/>
  <c r="E150" i="41"/>
  <c r="D76" i="41"/>
  <c r="GB4339" i="4" s="1"/>
  <c r="F76" i="41"/>
  <c r="F75" i="41"/>
  <c r="D75" i="41"/>
  <c r="GB4338" i="4" s="1"/>
  <c r="F82" i="41"/>
  <c r="F83" i="41"/>
  <c r="GD4339" i="4" s="1"/>
  <c r="B67" i="108" l="1"/>
  <c r="D67" i="108" s="1"/>
  <c r="D56" i="108"/>
  <c r="J56" i="108" s="1"/>
  <c r="L56" i="108" s="1"/>
  <c r="A155" i="49"/>
  <c r="E156" i="49" s="1"/>
  <c r="EQ3" i="4"/>
  <c r="G46" i="27" s="1"/>
  <c r="EP3" i="4"/>
  <c r="F46" i="27" s="1"/>
  <c r="EO2" i="4"/>
  <c r="A35" i="27" s="1"/>
  <c r="D110" i="49"/>
  <c r="F28" i="70" s="1"/>
  <c r="GG4339" i="4"/>
  <c r="HG4339" i="4" s="1"/>
  <c r="MJ4342" i="4"/>
  <c r="NH4342" i="4" s="1"/>
  <c r="G96" i="95" s="1"/>
  <c r="L28" i="70"/>
  <c r="L40" i="70" s="1"/>
  <c r="C18" i="55"/>
  <c r="G18" i="55" s="1"/>
  <c r="OL4342" i="4"/>
  <c r="PG4342" i="4" s="1"/>
  <c r="M97" i="95" s="1"/>
  <c r="I102" i="104" s="1"/>
  <c r="M65" i="70"/>
  <c r="M77" i="70" s="1"/>
  <c r="B58" i="108" s="1"/>
  <c r="MJ4341" i="4"/>
  <c r="NH4341" i="4" s="1"/>
  <c r="G94" i="95" s="1"/>
  <c r="J28" i="70"/>
  <c r="J40" i="70" s="1"/>
  <c r="OL4341" i="4"/>
  <c r="PG4341" i="4" s="1"/>
  <c r="M95" i="95" s="1"/>
  <c r="K65" i="70"/>
  <c r="K77" i="70" s="1"/>
  <c r="HH4338" i="4"/>
  <c r="H92" i="95" s="1"/>
  <c r="HL4338" i="4"/>
  <c r="L92" i="95" s="1"/>
  <c r="HJ4338" i="4"/>
  <c r="J92" i="95" s="1"/>
  <c r="HI4338" i="4"/>
  <c r="I92" i="95" s="1"/>
  <c r="HK4338" i="4"/>
  <c r="K92" i="95" s="1"/>
  <c r="F79" i="103"/>
  <c r="F88" i="103" s="1"/>
  <c r="F132" i="49"/>
  <c r="G132" i="49"/>
  <c r="G150" i="41"/>
  <c r="OI2" i="4" s="1"/>
  <c r="F150" i="41"/>
  <c r="F147" i="51"/>
  <c r="G147" i="51"/>
  <c r="G209" i="49"/>
  <c r="F209" i="49"/>
  <c r="F143" i="49"/>
  <c r="G143" i="49"/>
  <c r="G157" i="51"/>
  <c r="F157" i="51"/>
  <c r="G168" i="51"/>
  <c r="F168" i="51"/>
  <c r="F191" i="51"/>
  <c r="G191" i="51"/>
  <c r="G187" i="49"/>
  <c r="F187" i="49"/>
  <c r="F212" i="51"/>
  <c r="G212" i="51"/>
  <c r="F180" i="51"/>
  <c r="G180" i="51"/>
  <c r="G220" i="49"/>
  <c r="F220" i="49"/>
  <c r="G177" i="49"/>
  <c r="F177" i="49"/>
  <c r="G221" i="49"/>
  <c r="F221" i="49"/>
  <c r="G179" i="51"/>
  <c r="F179" i="51"/>
  <c r="G125" i="51"/>
  <c r="F125" i="51"/>
  <c r="G231" i="49"/>
  <c r="F231" i="49"/>
  <c r="G136" i="51"/>
  <c r="F136" i="51"/>
  <c r="G146" i="51"/>
  <c r="F146" i="51"/>
  <c r="G144" i="49"/>
  <c r="F144" i="49"/>
  <c r="F133" i="49"/>
  <c r="G133" i="49"/>
  <c r="F158" i="51"/>
  <c r="G158" i="51"/>
  <c r="F154" i="49"/>
  <c r="G154" i="49"/>
  <c r="G202" i="51"/>
  <c r="F202" i="51"/>
  <c r="F210" i="49"/>
  <c r="G210" i="49"/>
  <c r="G199" i="49"/>
  <c r="F199" i="49"/>
  <c r="F166" i="49"/>
  <c r="G166" i="49"/>
  <c r="F155" i="49"/>
  <c r="G155" i="49"/>
  <c r="F114" i="51"/>
  <c r="G114" i="51"/>
  <c r="EO8" i="4"/>
  <c r="CE10" i="4"/>
  <c r="CE11" i="4" s="1"/>
  <c r="CE14" i="4" s="1"/>
  <c r="CE15" i="4" s="1"/>
  <c r="CE23" i="4" s="1"/>
  <c r="CE25" i="4" s="1"/>
  <c r="F85" i="41"/>
  <c r="G85" i="41"/>
  <c r="A114" i="51"/>
  <c r="A115" i="51" s="1"/>
  <c r="CA9" i="4"/>
  <c r="A134" i="49"/>
  <c r="E134" i="49"/>
  <c r="A203" i="51"/>
  <c r="E203" i="51"/>
  <c r="A211" i="49"/>
  <c r="E211" i="49"/>
  <c r="A232" i="49"/>
  <c r="E232" i="49"/>
  <c r="A181" i="51"/>
  <c r="E181" i="51"/>
  <c r="A178" i="49"/>
  <c r="E178" i="49"/>
  <c r="A169" i="51"/>
  <c r="E169" i="51"/>
  <c r="A213" i="51"/>
  <c r="E213" i="51"/>
  <c r="A137" i="51"/>
  <c r="E137" i="51"/>
  <c r="A192" i="51"/>
  <c r="E192" i="51"/>
  <c r="A222" i="49"/>
  <c r="E222" i="49"/>
  <c r="A159" i="51"/>
  <c r="E159" i="51"/>
  <c r="A200" i="49"/>
  <c r="E200" i="49"/>
  <c r="A167" i="49"/>
  <c r="E167" i="49"/>
  <c r="A126" i="51"/>
  <c r="E126" i="51"/>
  <c r="A188" i="49"/>
  <c r="E188" i="49"/>
  <c r="A145" i="49"/>
  <c r="E145" i="49"/>
  <c r="A148" i="51"/>
  <c r="E148" i="51"/>
  <c r="EO7" i="4"/>
  <c r="EO4" i="4"/>
  <c r="EO11" i="4"/>
  <c r="EO10" i="4"/>
  <c r="EO5" i="4"/>
  <c r="EO9" i="4"/>
  <c r="EO6" i="4"/>
  <c r="D89" i="41"/>
  <c r="A46" i="27"/>
  <c r="G83" i="41"/>
  <c r="F90" i="41" s="1"/>
  <c r="G64" i="70" s="1"/>
  <c r="G77" i="70" s="1"/>
  <c r="B54" i="108" s="1"/>
  <c r="D90" i="41"/>
  <c r="F27" i="70" s="1"/>
  <c r="G82" i="41"/>
  <c r="F89" i="41" s="1"/>
  <c r="E64" i="70" s="1"/>
  <c r="E77" i="70" s="1"/>
  <c r="A156" i="49" l="1"/>
  <c r="E157" i="49" s="1"/>
  <c r="KG4339" i="4"/>
  <c r="B65" i="108"/>
  <c r="D65" i="108" s="1"/>
  <c r="D54" i="108"/>
  <c r="J54" i="108" s="1"/>
  <c r="L54" i="108" s="1"/>
  <c r="B69" i="108"/>
  <c r="D69" i="108" s="1"/>
  <c r="D58" i="108"/>
  <c r="J58" i="108" s="1"/>
  <c r="L58" i="108" s="1"/>
  <c r="B53" i="108"/>
  <c r="B29" i="108"/>
  <c r="D29" i="108" s="1"/>
  <c r="K29" i="108" s="1"/>
  <c r="B31" i="108"/>
  <c r="D31" i="108" s="1"/>
  <c r="B57" i="108"/>
  <c r="F40" i="70"/>
  <c r="A134" i="27"/>
  <c r="A135" i="27" s="1"/>
  <c r="E136" i="27" s="1"/>
  <c r="EP11" i="4"/>
  <c r="F134" i="27" s="1"/>
  <c r="EQ11" i="4"/>
  <c r="G134" i="27" s="1"/>
  <c r="A57" i="27"/>
  <c r="E58" i="27" s="1"/>
  <c r="EQ4" i="4"/>
  <c r="G57" i="27" s="1"/>
  <c r="EP4" i="4"/>
  <c r="F57" i="27" s="1"/>
  <c r="A90" i="27"/>
  <c r="E91" i="27" s="1"/>
  <c r="EP7" i="4"/>
  <c r="F90" i="27" s="1"/>
  <c r="EQ7" i="4"/>
  <c r="G90" i="27" s="1"/>
  <c r="E47" i="27"/>
  <c r="G47" i="27" s="1"/>
  <c r="A79" i="27"/>
  <c r="E80" i="27" s="1"/>
  <c r="EP6" i="4"/>
  <c r="F79" i="27" s="1"/>
  <c r="EQ6" i="4"/>
  <c r="G79" i="27" s="1"/>
  <c r="A112" i="27"/>
  <c r="E113" i="27" s="1"/>
  <c r="EQ9" i="4"/>
  <c r="G112" i="27" s="1"/>
  <c r="EP9" i="4"/>
  <c r="F112" i="27" s="1"/>
  <c r="A68" i="27"/>
  <c r="EQ5" i="4"/>
  <c r="G68" i="27" s="1"/>
  <c r="EP5" i="4"/>
  <c r="F68" i="27" s="1"/>
  <c r="EP2" i="4"/>
  <c r="F35" i="27" s="1"/>
  <c r="EQ2" i="4"/>
  <c r="G35" i="27" s="1"/>
  <c r="A123" i="27"/>
  <c r="E124" i="27" s="1"/>
  <c r="EQ10" i="4"/>
  <c r="G123" i="27" s="1"/>
  <c r="EP10" i="4"/>
  <c r="F123" i="27" s="1"/>
  <c r="E36" i="27"/>
  <c r="A101" i="27"/>
  <c r="E101" i="27" s="1"/>
  <c r="EQ8" i="4"/>
  <c r="G101" i="27" s="1"/>
  <c r="EP8" i="4"/>
  <c r="F101" i="27" s="1"/>
  <c r="HH4339" i="4"/>
  <c r="H90" i="95" s="1"/>
  <c r="HI4339" i="4"/>
  <c r="I90" i="95" s="1"/>
  <c r="HL4339" i="4"/>
  <c r="L90" i="95" s="1"/>
  <c r="HJ4339" i="4"/>
  <c r="J90" i="95" s="1"/>
  <c r="HK4339" i="4"/>
  <c r="K90" i="95" s="1"/>
  <c r="C20" i="55"/>
  <c r="G20" i="55" s="1"/>
  <c r="C19" i="55"/>
  <c r="G19" i="55" s="1"/>
  <c r="H98" i="104"/>
  <c r="CE26" i="4"/>
  <c r="G200" i="49"/>
  <c r="F200" i="49"/>
  <c r="F137" i="51"/>
  <c r="G137" i="51"/>
  <c r="F181" i="51"/>
  <c r="G181" i="51"/>
  <c r="G134" i="49"/>
  <c r="F134" i="49"/>
  <c r="F188" i="49"/>
  <c r="G188" i="49"/>
  <c r="F126" i="51"/>
  <c r="G126" i="51"/>
  <c r="F159" i="51"/>
  <c r="G159" i="51"/>
  <c r="F213" i="51"/>
  <c r="G213" i="51"/>
  <c r="G232" i="49"/>
  <c r="F232" i="49"/>
  <c r="G148" i="51"/>
  <c r="F148" i="51"/>
  <c r="G156" i="49"/>
  <c r="F156" i="49"/>
  <c r="F222" i="49"/>
  <c r="G222" i="49"/>
  <c r="F169" i="51"/>
  <c r="G169" i="51"/>
  <c r="F211" i="49"/>
  <c r="G211" i="49"/>
  <c r="F167" i="49"/>
  <c r="G167" i="49"/>
  <c r="F145" i="49"/>
  <c r="G145" i="49"/>
  <c r="G192" i="51"/>
  <c r="F192" i="51"/>
  <c r="F178" i="49"/>
  <c r="G178" i="49"/>
  <c r="G203" i="51"/>
  <c r="F203" i="51"/>
  <c r="N96" i="95"/>
  <c r="O96" i="95" s="1"/>
  <c r="G101" i="104"/>
  <c r="N94" i="95"/>
  <c r="G100" i="104"/>
  <c r="N95" i="95"/>
  <c r="N97" i="95"/>
  <c r="C22" i="55"/>
  <c r="G22" i="55" s="1"/>
  <c r="GD4338" i="4"/>
  <c r="HG4338" i="4" s="1"/>
  <c r="D27" i="70"/>
  <c r="D40" i="70" s="1"/>
  <c r="C21" i="55"/>
  <c r="G21" i="55" s="1"/>
  <c r="A36" i="27"/>
  <c r="E37" i="27" s="1"/>
  <c r="E35" i="27"/>
  <c r="CA10" i="4"/>
  <c r="CA11" i="4" s="1"/>
  <c r="CA14" i="4" s="1"/>
  <c r="CA15" i="4" s="1"/>
  <c r="E115" i="51"/>
  <c r="G84" i="41"/>
  <c r="F91" i="41" s="1"/>
  <c r="OI4343" i="4" s="1"/>
  <c r="F92" i="41"/>
  <c r="S64" i="70" s="1"/>
  <c r="F84" i="41"/>
  <c r="D92" i="41"/>
  <c r="R27" i="70" s="1"/>
  <c r="KD4339" i="4"/>
  <c r="OI4338" i="4"/>
  <c r="PG4338" i="4" s="1"/>
  <c r="A189" i="49"/>
  <c r="E189" i="49"/>
  <c r="A168" i="49"/>
  <c r="E168" i="49"/>
  <c r="A214" i="51"/>
  <c r="E214" i="51"/>
  <c r="A212" i="49"/>
  <c r="E212" i="49"/>
  <c r="A127" i="51"/>
  <c r="E127" i="51"/>
  <c r="A170" i="51"/>
  <c r="E170" i="51"/>
  <c r="A182" i="51"/>
  <c r="E182" i="51"/>
  <c r="A204" i="51"/>
  <c r="E204" i="51"/>
  <c r="A201" i="49"/>
  <c r="E201" i="49"/>
  <c r="A149" i="51"/>
  <c r="E149" i="51"/>
  <c r="A160" i="51"/>
  <c r="E160" i="51"/>
  <c r="A193" i="51"/>
  <c r="E193" i="51"/>
  <c r="A179" i="49"/>
  <c r="E179" i="49"/>
  <c r="A233" i="49"/>
  <c r="E233" i="49"/>
  <c r="A135" i="49"/>
  <c r="E135" i="49"/>
  <c r="A146" i="49"/>
  <c r="E146" i="49"/>
  <c r="A157" i="49"/>
  <c r="A223" i="49"/>
  <c r="E223" i="49"/>
  <c r="A116" i="51"/>
  <c r="E116" i="51"/>
  <c r="A138" i="51"/>
  <c r="E138" i="51"/>
  <c r="E135" i="27"/>
  <c r="E134" i="27"/>
  <c r="A69" i="27"/>
  <c r="E70" i="27" s="1"/>
  <c r="E69" i="27"/>
  <c r="A47" i="27"/>
  <c r="E48" i="27" s="1"/>
  <c r="E68" i="27"/>
  <c r="E46" i="27"/>
  <c r="A214" i="30"/>
  <c r="E57" i="27" l="1"/>
  <c r="I57" i="27" s="1"/>
  <c r="E123" i="27"/>
  <c r="A58" i="27"/>
  <c r="E59" i="27" s="1"/>
  <c r="E79" i="27"/>
  <c r="H79" i="27" s="1"/>
  <c r="B68" i="108"/>
  <c r="D68" i="108" s="1"/>
  <c r="D57" i="108"/>
  <c r="J57" i="108" s="1"/>
  <c r="L57" i="108" s="1"/>
  <c r="B64" i="108"/>
  <c r="D64" i="108" s="1"/>
  <c r="D53" i="108"/>
  <c r="J53" i="108" s="1"/>
  <c r="A80" i="27"/>
  <c r="A81" i="27" s="1"/>
  <c r="A82" i="27" s="1"/>
  <c r="G36" i="27"/>
  <c r="I36" i="27" s="1"/>
  <c r="A113" i="27"/>
  <c r="A114" i="27" s="1"/>
  <c r="E115" i="27" s="1"/>
  <c r="F115" i="27" s="1"/>
  <c r="A124" i="27"/>
  <c r="E125" i="27" s="1"/>
  <c r="F36" i="27"/>
  <c r="H36" i="27" s="1"/>
  <c r="H47" i="27"/>
  <c r="F47" i="27"/>
  <c r="E112" i="27"/>
  <c r="I112" i="27" s="1"/>
  <c r="I47" i="27"/>
  <c r="E90" i="27"/>
  <c r="H90" i="27" s="1"/>
  <c r="E102" i="27"/>
  <c r="I102" i="27" s="1"/>
  <c r="A91" i="27"/>
  <c r="E92" i="27" s="1"/>
  <c r="F92" i="27" s="1"/>
  <c r="A102" i="27"/>
  <c r="E103" i="27" s="1"/>
  <c r="H101" i="27"/>
  <c r="I101" i="27"/>
  <c r="G136" i="27"/>
  <c r="I136" i="27" s="1"/>
  <c r="F136" i="27"/>
  <c r="H136" i="27" s="1"/>
  <c r="F37" i="27"/>
  <c r="H37" i="27" s="1"/>
  <c r="G37" i="27"/>
  <c r="I37" i="27" s="1"/>
  <c r="G70" i="27"/>
  <c r="I70" i="27" s="1"/>
  <c r="F70" i="27"/>
  <c r="H70" i="27" s="1"/>
  <c r="F59" i="27"/>
  <c r="H59" i="27" s="1"/>
  <c r="I59" i="27"/>
  <c r="G59" i="27"/>
  <c r="H57" i="27"/>
  <c r="H68" i="27"/>
  <c r="I68" i="27"/>
  <c r="G69" i="27"/>
  <c r="F69" i="27"/>
  <c r="H69" i="27"/>
  <c r="I69" i="27"/>
  <c r="F124" i="27"/>
  <c r="H124" i="27"/>
  <c r="I124" i="27"/>
  <c r="G124" i="27"/>
  <c r="G48" i="27"/>
  <c r="H48" i="27"/>
  <c r="I48" i="27"/>
  <c r="F48" i="27"/>
  <c r="H58" i="27"/>
  <c r="I58" i="27"/>
  <c r="G58" i="27"/>
  <c r="F58" i="27"/>
  <c r="H123" i="27"/>
  <c r="I123" i="27"/>
  <c r="I35" i="27"/>
  <c r="H35" i="27"/>
  <c r="G91" i="27"/>
  <c r="F91" i="27"/>
  <c r="H91" i="27"/>
  <c r="I91" i="27"/>
  <c r="H80" i="27"/>
  <c r="G80" i="27"/>
  <c r="I80" i="27"/>
  <c r="F80" i="27"/>
  <c r="H134" i="27"/>
  <c r="I134" i="27"/>
  <c r="H46" i="27"/>
  <c r="I46" i="27"/>
  <c r="G113" i="27"/>
  <c r="F113" i="27"/>
  <c r="H113" i="27"/>
  <c r="I113" i="27"/>
  <c r="G135" i="27"/>
  <c r="F135" i="27"/>
  <c r="H135" i="27"/>
  <c r="I135" i="27"/>
  <c r="H96" i="104"/>
  <c r="G138" i="51"/>
  <c r="F138" i="51"/>
  <c r="G193" i="51"/>
  <c r="F193" i="51"/>
  <c r="F204" i="51"/>
  <c r="G204" i="51"/>
  <c r="G212" i="49"/>
  <c r="F212" i="49"/>
  <c r="G146" i="49"/>
  <c r="F146" i="49"/>
  <c r="G116" i="51"/>
  <c r="F116" i="51"/>
  <c r="G135" i="49"/>
  <c r="F135" i="49"/>
  <c r="F160" i="51"/>
  <c r="G160" i="51"/>
  <c r="F182" i="51"/>
  <c r="G182" i="51"/>
  <c r="F214" i="51"/>
  <c r="G214" i="51"/>
  <c r="F223" i="49"/>
  <c r="G223" i="49"/>
  <c r="F233" i="49"/>
  <c r="G233" i="49"/>
  <c r="F149" i="51"/>
  <c r="G149" i="51"/>
  <c r="F170" i="51"/>
  <c r="G170" i="51"/>
  <c r="G168" i="49"/>
  <c r="F168" i="49"/>
  <c r="G157" i="49"/>
  <c r="F157" i="49"/>
  <c r="F179" i="49"/>
  <c r="G179" i="49"/>
  <c r="G201" i="49"/>
  <c r="F201" i="49"/>
  <c r="F127" i="51"/>
  <c r="G127" i="51"/>
  <c r="G189" i="49"/>
  <c r="F189" i="49"/>
  <c r="F115" i="51"/>
  <c r="G115" i="51"/>
  <c r="K101" i="104"/>
  <c r="J100" i="104"/>
  <c r="O94" i="95"/>
  <c r="O97" i="95"/>
  <c r="K102" i="104" s="1"/>
  <c r="J102" i="104"/>
  <c r="J101" i="104"/>
  <c r="O95" i="95"/>
  <c r="D91" i="41"/>
  <c r="N27" i="70" s="1"/>
  <c r="G92" i="95"/>
  <c r="G98" i="104" s="1"/>
  <c r="CA16" i="4"/>
  <c r="CA23" i="4" s="1"/>
  <c r="CA25" i="4" s="1"/>
  <c r="CA26" i="4" s="1"/>
  <c r="A37" i="27"/>
  <c r="E38" i="27" s="1"/>
  <c r="O64" i="70"/>
  <c r="LB4339" i="4"/>
  <c r="G91" i="95" s="1"/>
  <c r="M93" i="95"/>
  <c r="I99" i="104" s="1"/>
  <c r="G90" i="95"/>
  <c r="G96" i="104" s="1"/>
  <c r="A234" i="49"/>
  <c r="E234" i="49"/>
  <c r="A150" i="51"/>
  <c r="E150" i="51"/>
  <c r="A205" i="51"/>
  <c r="E205" i="51"/>
  <c r="A213" i="49"/>
  <c r="E213" i="49"/>
  <c r="A180" i="49"/>
  <c r="E180" i="49"/>
  <c r="A183" i="51"/>
  <c r="E183" i="51"/>
  <c r="A215" i="51"/>
  <c r="E215" i="51"/>
  <c r="A224" i="49"/>
  <c r="E224" i="49"/>
  <c r="A158" i="49"/>
  <c r="E158" i="49"/>
  <c r="A194" i="51"/>
  <c r="E194" i="51"/>
  <c r="A171" i="51"/>
  <c r="E171" i="51"/>
  <c r="A169" i="49"/>
  <c r="E169" i="49"/>
  <c r="A117" i="51"/>
  <c r="E117" i="51"/>
  <c r="A139" i="51"/>
  <c r="E139" i="51"/>
  <c r="A147" i="49"/>
  <c r="E147" i="49"/>
  <c r="A136" i="49"/>
  <c r="E136" i="49"/>
  <c r="A161" i="51"/>
  <c r="E161" i="51"/>
  <c r="A202" i="49"/>
  <c r="E202" i="49"/>
  <c r="A128" i="51"/>
  <c r="E128" i="51"/>
  <c r="A190" i="49"/>
  <c r="E190" i="49"/>
  <c r="A136" i="27"/>
  <c r="A137" i="27" s="1"/>
  <c r="A70" i="27"/>
  <c r="A71" i="27" s="1"/>
  <c r="A48" i="27"/>
  <c r="E49" i="27" s="1"/>
  <c r="A59" i="27"/>
  <c r="G31" i="30"/>
  <c r="G32" i="30"/>
  <c r="G33" i="30"/>
  <c r="G34" i="30"/>
  <c r="G35" i="30"/>
  <c r="G36" i="30"/>
  <c r="G37" i="30"/>
  <c r="G38" i="30"/>
  <c r="G39" i="30"/>
  <c r="G40" i="30"/>
  <c r="G41" i="30"/>
  <c r="G42" i="30"/>
  <c r="G43" i="30"/>
  <c r="G44" i="30"/>
  <c r="G45" i="30"/>
  <c r="G46" i="30"/>
  <c r="G47" i="30"/>
  <c r="G48" i="30"/>
  <c r="G49" i="30"/>
  <c r="G50" i="30"/>
  <c r="G51" i="30"/>
  <c r="G52" i="30"/>
  <c r="G53" i="30"/>
  <c r="G54" i="30"/>
  <c r="G55" i="30"/>
  <c r="G56" i="30"/>
  <c r="G57" i="30"/>
  <c r="G30" i="30"/>
  <c r="E31" i="30"/>
  <c r="E32" i="30"/>
  <c r="E33" i="30"/>
  <c r="E34" i="30"/>
  <c r="E35" i="30"/>
  <c r="E36" i="30"/>
  <c r="E37" i="30"/>
  <c r="E38" i="30"/>
  <c r="E39" i="30"/>
  <c r="E40" i="30"/>
  <c r="E41" i="30"/>
  <c r="E42" i="30"/>
  <c r="E43" i="30"/>
  <c r="E44" i="30"/>
  <c r="E45" i="30"/>
  <c r="E46" i="30"/>
  <c r="E47" i="30"/>
  <c r="E48" i="30"/>
  <c r="E49" i="30"/>
  <c r="E50" i="30"/>
  <c r="E51" i="30"/>
  <c r="E52" i="30"/>
  <c r="E53" i="30"/>
  <c r="E54" i="30"/>
  <c r="E55" i="30"/>
  <c r="E30" i="30"/>
  <c r="D31" i="30"/>
  <c r="D32" i="30"/>
  <c r="D33" i="30"/>
  <c r="D34" i="30"/>
  <c r="D35" i="30"/>
  <c r="D36" i="30"/>
  <c r="D37" i="30"/>
  <c r="D38" i="30"/>
  <c r="D39" i="30"/>
  <c r="D40" i="30"/>
  <c r="D41" i="30"/>
  <c r="D42" i="30"/>
  <c r="D43" i="30"/>
  <c r="D44" i="30"/>
  <c r="D45" i="30"/>
  <c r="D46" i="30"/>
  <c r="D47" i="30"/>
  <c r="D48" i="30"/>
  <c r="D49" i="30"/>
  <c r="D50" i="30"/>
  <c r="D51" i="30"/>
  <c r="D52" i="30"/>
  <c r="D53" i="30"/>
  <c r="D54" i="30"/>
  <c r="D55" i="30"/>
  <c r="D56" i="30"/>
  <c r="D57" i="30"/>
  <c r="D58" i="30"/>
  <c r="D30" i="30"/>
  <c r="PK64" i="4"/>
  <c r="B91" i="30" s="1"/>
  <c r="PK63" i="4"/>
  <c r="B90" i="30" s="1"/>
  <c r="B89" i="30"/>
  <c r="PK61" i="4"/>
  <c r="B88" i="30" s="1"/>
  <c r="PK60" i="4"/>
  <c r="B87" i="30" s="1"/>
  <c r="PK59" i="4"/>
  <c r="B86" i="30" s="1"/>
  <c r="PK58" i="4"/>
  <c r="B85" i="30" s="1"/>
  <c r="PK57" i="4"/>
  <c r="B84" i="30" s="1"/>
  <c r="PK56" i="4"/>
  <c r="B83" i="30" s="1"/>
  <c r="B82" i="30"/>
  <c r="B81" i="30"/>
  <c r="PK53" i="4"/>
  <c r="B80" i="30" s="1"/>
  <c r="PK52" i="4"/>
  <c r="B79" i="30" s="1"/>
  <c r="PK51" i="4"/>
  <c r="B78" i="30" s="1"/>
  <c r="PK50" i="4"/>
  <c r="B77" i="30" s="1"/>
  <c r="PK49" i="4"/>
  <c r="B76" i="30" s="1"/>
  <c r="PK48" i="4"/>
  <c r="B75" i="30" s="1"/>
  <c r="PK47" i="4"/>
  <c r="B74" i="30" s="1"/>
  <c r="PK46" i="4"/>
  <c r="B73" i="30" s="1"/>
  <c r="PK45" i="4"/>
  <c r="B72" i="30" s="1"/>
  <c r="PK44" i="4"/>
  <c r="B71" i="30" s="1"/>
  <c r="PK43" i="4"/>
  <c r="B70" i="30" s="1"/>
  <c r="PK42" i="4"/>
  <c r="B69" i="30" s="1"/>
  <c r="PK41" i="4"/>
  <c r="B68" i="30" s="1"/>
  <c r="PK40" i="4"/>
  <c r="B67" i="30" s="1"/>
  <c r="PK39" i="4"/>
  <c r="B66" i="30" s="1"/>
  <c r="PK38" i="4"/>
  <c r="B65" i="30" s="1"/>
  <c r="PK37" i="4"/>
  <c r="B64" i="30" s="1"/>
  <c r="PK36" i="4"/>
  <c r="B63" i="30" s="1"/>
  <c r="B62" i="30"/>
  <c r="B58" i="30"/>
  <c r="B57" i="30"/>
  <c r="B56" i="30"/>
  <c r="B55" i="30"/>
  <c r="B54" i="30"/>
  <c r="B53" i="30"/>
  <c r="B52" i="30"/>
  <c r="B51" i="30"/>
  <c r="B50" i="30"/>
  <c r="B49" i="30"/>
  <c r="B48" i="30"/>
  <c r="B47" i="30"/>
  <c r="B46" i="30"/>
  <c r="B45" i="30"/>
  <c r="B44" i="30"/>
  <c r="B43" i="30"/>
  <c r="B42" i="30"/>
  <c r="B37" i="30"/>
  <c r="B41" i="30"/>
  <c r="B40" i="30"/>
  <c r="B39" i="30"/>
  <c r="B38" i="30"/>
  <c r="B36" i="30"/>
  <c r="B35" i="30"/>
  <c r="PK7" i="4"/>
  <c r="B34" i="30" s="1"/>
  <c r="PK6" i="4"/>
  <c r="B33" i="30" s="1"/>
  <c r="PK5" i="4"/>
  <c r="B32" i="30" s="1"/>
  <c r="PK4" i="4"/>
  <c r="B31" i="30" s="1"/>
  <c r="PK3" i="4"/>
  <c r="B30" i="30" s="1"/>
  <c r="PJ38" i="4"/>
  <c r="A65" i="30" s="1"/>
  <c r="PJ37" i="4"/>
  <c r="A64" i="30" s="1"/>
  <c r="PJ64" i="4"/>
  <c r="A91" i="30" s="1"/>
  <c r="PJ63" i="4"/>
  <c r="A90" i="30" s="1"/>
  <c r="PJ62" i="4"/>
  <c r="A89" i="30" s="1"/>
  <c r="PJ61" i="4"/>
  <c r="A88" i="30" s="1"/>
  <c r="PJ60" i="4"/>
  <c r="A87" i="30" s="1"/>
  <c r="PJ59" i="4"/>
  <c r="A86" i="30" s="1"/>
  <c r="PJ58" i="4"/>
  <c r="A85" i="30" s="1"/>
  <c r="PJ57" i="4"/>
  <c r="A84" i="30" s="1"/>
  <c r="PJ56" i="4"/>
  <c r="A83" i="30" s="1"/>
  <c r="PJ55" i="4"/>
  <c r="A82" i="30" s="1"/>
  <c r="PJ54" i="4"/>
  <c r="A81" i="30" s="1"/>
  <c r="PJ53" i="4"/>
  <c r="A80" i="30" s="1"/>
  <c r="PJ52" i="4"/>
  <c r="A79" i="30" s="1"/>
  <c r="PJ51" i="4"/>
  <c r="A78" i="30" s="1"/>
  <c r="PJ50" i="4"/>
  <c r="A77" i="30" s="1"/>
  <c r="PJ49" i="4"/>
  <c r="A76" i="30" s="1"/>
  <c r="PJ48" i="4"/>
  <c r="A75" i="30" s="1"/>
  <c r="PJ47" i="4"/>
  <c r="A74" i="30" s="1"/>
  <c r="PJ46" i="4"/>
  <c r="A73" i="30" s="1"/>
  <c r="PJ45" i="4"/>
  <c r="A72" i="30" s="1"/>
  <c r="PJ44" i="4"/>
  <c r="A71" i="30" s="1"/>
  <c r="PJ43" i="4"/>
  <c r="A70" i="30" s="1"/>
  <c r="PJ42" i="4"/>
  <c r="A69" i="30" s="1"/>
  <c r="PJ41" i="4"/>
  <c r="A68" i="30" s="1"/>
  <c r="PJ40" i="4"/>
  <c r="A67" i="30" s="1"/>
  <c r="PJ39" i="4"/>
  <c r="A66" i="30" s="1"/>
  <c r="PJ36" i="4"/>
  <c r="A63" i="30" s="1"/>
  <c r="A62" i="30"/>
  <c r="PJ31" i="4"/>
  <c r="A58" i="30" s="1"/>
  <c r="PJ30" i="4"/>
  <c r="A57" i="30" s="1"/>
  <c r="PJ29" i="4"/>
  <c r="A56" i="30" s="1"/>
  <c r="PJ28" i="4"/>
  <c r="A55" i="30" s="1"/>
  <c r="PJ27" i="4"/>
  <c r="A54" i="30" s="1"/>
  <c r="PJ26" i="4"/>
  <c r="A53" i="30" s="1"/>
  <c r="PJ25" i="4"/>
  <c r="A52" i="30" s="1"/>
  <c r="PJ24" i="4"/>
  <c r="A51" i="30" s="1"/>
  <c r="PJ23" i="4"/>
  <c r="A50" i="30" s="1"/>
  <c r="PJ22" i="4"/>
  <c r="A49" i="30" s="1"/>
  <c r="PJ21" i="4"/>
  <c r="A48" i="30" s="1"/>
  <c r="PJ20" i="4"/>
  <c r="A47" i="30" s="1"/>
  <c r="PJ19" i="4"/>
  <c r="A46" i="30" s="1"/>
  <c r="PJ18" i="4"/>
  <c r="A45" i="30" s="1"/>
  <c r="PJ17" i="4"/>
  <c r="A44" i="30" s="1"/>
  <c r="PJ16" i="4"/>
  <c r="A43" i="30" s="1"/>
  <c r="PJ15" i="4"/>
  <c r="A42" i="30" s="1"/>
  <c r="PJ14" i="4"/>
  <c r="A41" i="30" s="1"/>
  <c r="PJ13" i="4"/>
  <c r="A40" i="30" s="1"/>
  <c r="PJ12" i="4"/>
  <c r="A39" i="30" s="1"/>
  <c r="PJ11" i="4"/>
  <c r="A38" i="30" s="1"/>
  <c r="PJ10" i="4"/>
  <c r="A37" i="30" s="1"/>
  <c r="PJ9" i="4"/>
  <c r="A36" i="30" s="1"/>
  <c r="PJ8" i="4"/>
  <c r="A35" i="30" s="1"/>
  <c r="PJ7" i="4"/>
  <c r="A34" i="30" s="1"/>
  <c r="PJ6" i="4"/>
  <c r="A33" i="30" s="1"/>
  <c r="PJ5" i="4"/>
  <c r="A32" i="30" s="1"/>
  <c r="PJ4" i="4"/>
  <c r="A31" i="30" s="1"/>
  <c r="PJ3" i="4"/>
  <c r="A30" i="30" s="1"/>
  <c r="I79" i="27" l="1"/>
  <c r="E82" i="27"/>
  <c r="F82" i="27" s="1"/>
  <c r="H82" i="27" s="1"/>
  <c r="E81" i="27"/>
  <c r="F81" i="27" s="1"/>
  <c r="A115" i="27"/>
  <c r="A116" i="27" s="1"/>
  <c r="E117" i="27" s="1"/>
  <c r="H117" i="27" s="1"/>
  <c r="E114" i="27"/>
  <c r="I114" i="27" s="1"/>
  <c r="A92" i="27"/>
  <c r="E93" i="27" s="1"/>
  <c r="G93" i="27" s="1"/>
  <c r="I93" i="27" s="1"/>
  <c r="A103" i="27"/>
  <c r="E104" i="27" s="1"/>
  <c r="F104" i="27" s="1"/>
  <c r="L53" i="108"/>
  <c r="G115" i="27"/>
  <c r="I115" i="27"/>
  <c r="H115" i="27"/>
  <c r="H112" i="27"/>
  <c r="F29" i="27" s="1"/>
  <c r="P30" i="70" s="1"/>
  <c r="G125" i="27"/>
  <c r="I125" i="27" s="1"/>
  <c r="F125" i="27"/>
  <c r="H125" i="27" s="1"/>
  <c r="A125" i="27"/>
  <c r="E126" i="27" s="1"/>
  <c r="G102" i="27"/>
  <c r="F102" i="27"/>
  <c r="H102" i="27"/>
  <c r="H92" i="27"/>
  <c r="I92" i="27"/>
  <c r="G92" i="27"/>
  <c r="G103" i="27"/>
  <c r="I90" i="27"/>
  <c r="H29" i="27" s="1"/>
  <c r="Q67" i="70" s="1"/>
  <c r="F103" i="27"/>
  <c r="H103" i="27" s="1"/>
  <c r="I103" i="27"/>
  <c r="I38" i="27"/>
  <c r="F38" i="27"/>
  <c r="H38" i="27" s="1"/>
  <c r="G38" i="27"/>
  <c r="F49" i="27"/>
  <c r="G49" i="27"/>
  <c r="I49" i="27" s="1"/>
  <c r="H49" i="27"/>
  <c r="N91" i="95"/>
  <c r="J97" i="104" s="1"/>
  <c r="G97" i="104"/>
  <c r="F128" i="51"/>
  <c r="G128" i="51"/>
  <c r="F147" i="49"/>
  <c r="G147" i="49"/>
  <c r="F171" i="51"/>
  <c r="G171" i="51"/>
  <c r="G215" i="51"/>
  <c r="F215" i="51"/>
  <c r="F205" i="51"/>
  <c r="G205" i="51"/>
  <c r="G202" i="49"/>
  <c r="F202" i="49"/>
  <c r="F139" i="51"/>
  <c r="G139" i="51"/>
  <c r="G194" i="51"/>
  <c r="F194" i="51"/>
  <c r="G183" i="51"/>
  <c r="F183" i="51"/>
  <c r="G150" i="51"/>
  <c r="F150" i="51"/>
  <c r="G161" i="51"/>
  <c r="F161" i="51"/>
  <c r="F117" i="51"/>
  <c r="G117" i="51"/>
  <c r="F158" i="49"/>
  <c r="G158" i="49"/>
  <c r="G180" i="49"/>
  <c r="F180" i="49"/>
  <c r="F234" i="49"/>
  <c r="G234" i="49"/>
  <c r="G190" i="49"/>
  <c r="F190" i="49"/>
  <c r="F136" i="49"/>
  <c r="G136" i="49"/>
  <c r="F169" i="49"/>
  <c r="G169" i="49"/>
  <c r="F224" i="49"/>
  <c r="G224" i="49"/>
  <c r="F213" i="49"/>
  <c r="G213" i="49"/>
  <c r="K100" i="104"/>
  <c r="N93" i="95"/>
  <c r="J99" i="104" s="1"/>
  <c r="N92" i="95"/>
  <c r="J98" i="104" s="1"/>
  <c r="N90" i="95"/>
  <c r="J96" i="104" s="1"/>
  <c r="CA27" i="4"/>
  <c r="A38" i="27"/>
  <c r="E39" i="27" s="1"/>
  <c r="A60" i="27"/>
  <c r="A61" i="27" s="1"/>
  <c r="E60" i="27"/>
  <c r="A195" i="51"/>
  <c r="E195" i="51"/>
  <c r="A225" i="49"/>
  <c r="E225" i="49"/>
  <c r="A181" i="49"/>
  <c r="E181" i="49"/>
  <c r="A203" i="49"/>
  <c r="E203" i="49"/>
  <c r="A206" i="51"/>
  <c r="E206" i="51"/>
  <c r="A162" i="51"/>
  <c r="E162" i="51"/>
  <c r="A151" i="51"/>
  <c r="E151" i="51"/>
  <c r="A118" i="51"/>
  <c r="E118" i="51"/>
  <c r="A191" i="49"/>
  <c r="E191" i="49"/>
  <c r="A137" i="49"/>
  <c r="E137" i="49"/>
  <c r="A235" i="49"/>
  <c r="E235" i="49"/>
  <c r="A148" i="49"/>
  <c r="E148" i="49"/>
  <c r="A170" i="49"/>
  <c r="E170" i="49"/>
  <c r="A216" i="51"/>
  <c r="E216" i="51"/>
  <c r="A129" i="51"/>
  <c r="E129" i="51"/>
  <c r="A214" i="49"/>
  <c r="E214" i="49"/>
  <c r="A140" i="51"/>
  <c r="E140" i="51"/>
  <c r="A172" i="51"/>
  <c r="E172" i="51"/>
  <c r="A159" i="49"/>
  <c r="E159" i="49"/>
  <c r="A184" i="51"/>
  <c r="E184" i="51"/>
  <c r="E137" i="27"/>
  <c r="E71" i="27"/>
  <c r="A49" i="27"/>
  <c r="E116" i="27"/>
  <c r="E138" i="27"/>
  <c r="A138" i="27"/>
  <c r="E72" i="27"/>
  <c r="A72" i="27"/>
  <c r="A83" i="27"/>
  <c r="E83" i="27"/>
  <c r="I37" i="30"/>
  <c r="J37" i="30" s="1"/>
  <c r="I87" i="30"/>
  <c r="J87" i="30" s="1"/>
  <c r="I79" i="30"/>
  <c r="J79" i="30" s="1"/>
  <c r="I71" i="30"/>
  <c r="J71" i="30" s="1"/>
  <c r="I63" i="30"/>
  <c r="J63" i="30" s="1"/>
  <c r="I55" i="30"/>
  <c r="J55" i="30" s="1"/>
  <c r="I47" i="30"/>
  <c r="J47" i="30" s="1"/>
  <c r="I39" i="30"/>
  <c r="J39" i="30" s="1"/>
  <c r="I31" i="30"/>
  <c r="J31" i="30" s="1"/>
  <c r="I85" i="30"/>
  <c r="J85" i="30" s="1"/>
  <c r="I77" i="30"/>
  <c r="J77" i="30" s="1"/>
  <c r="I69" i="30"/>
  <c r="J69" i="30" s="1"/>
  <c r="I61" i="30"/>
  <c r="J61" i="30" s="1"/>
  <c r="I53" i="30"/>
  <c r="J53" i="30" s="1"/>
  <c r="I45" i="30"/>
  <c r="J45" i="30" s="1"/>
  <c r="I88" i="30"/>
  <c r="J88" i="30" s="1"/>
  <c r="I80" i="30"/>
  <c r="J80" i="30" s="1"/>
  <c r="I72" i="30"/>
  <c r="J72" i="30" s="1"/>
  <c r="I64" i="30"/>
  <c r="J64" i="30" s="1"/>
  <c r="I56" i="30"/>
  <c r="J56" i="30" s="1"/>
  <c r="I48" i="30"/>
  <c r="J48" i="30" s="1"/>
  <c r="I40" i="30"/>
  <c r="J40" i="30" s="1"/>
  <c r="I32" i="30"/>
  <c r="J32" i="30" s="1"/>
  <c r="I86" i="30"/>
  <c r="J86" i="30" s="1"/>
  <c r="I78" i="30"/>
  <c r="J78" i="30" s="1"/>
  <c r="I70" i="30"/>
  <c r="J70" i="30" s="1"/>
  <c r="I62" i="30"/>
  <c r="J62" i="30" s="1"/>
  <c r="I54" i="30"/>
  <c r="J54" i="30" s="1"/>
  <c r="I46" i="30"/>
  <c r="J46" i="30" s="1"/>
  <c r="I38" i="30"/>
  <c r="J38" i="30" s="1"/>
  <c r="I76" i="30"/>
  <c r="J76" i="30" s="1"/>
  <c r="I68" i="30"/>
  <c r="J68" i="30" s="1"/>
  <c r="I44" i="30"/>
  <c r="J44" i="30" s="1"/>
  <c r="I36" i="30"/>
  <c r="J36" i="30" s="1"/>
  <c r="I84" i="30"/>
  <c r="J84" i="30" s="1"/>
  <c r="I60" i="30"/>
  <c r="J60" i="30" s="1"/>
  <c r="I30" i="30"/>
  <c r="J30" i="30" s="1"/>
  <c r="I52" i="30"/>
  <c r="J52" i="30" s="1"/>
  <c r="I91" i="30"/>
  <c r="J91" i="30" s="1"/>
  <c r="I83" i="30"/>
  <c r="J83" i="30" s="1"/>
  <c r="I75" i="30"/>
  <c r="J75" i="30" s="1"/>
  <c r="I67" i="30"/>
  <c r="J67" i="30" s="1"/>
  <c r="I59" i="30"/>
  <c r="J59" i="30" s="1"/>
  <c r="I51" i="30"/>
  <c r="J51" i="30" s="1"/>
  <c r="I43" i="30"/>
  <c r="J43" i="30" s="1"/>
  <c r="I35" i="30"/>
  <c r="J35" i="30" s="1"/>
  <c r="I90" i="30"/>
  <c r="J90" i="30" s="1"/>
  <c r="I82" i="30"/>
  <c r="J82" i="30" s="1"/>
  <c r="I74" i="30"/>
  <c r="J74" i="30" s="1"/>
  <c r="I66" i="30"/>
  <c r="J66" i="30" s="1"/>
  <c r="I58" i="30"/>
  <c r="J58" i="30" s="1"/>
  <c r="I50" i="30"/>
  <c r="J50" i="30" s="1"/>
  <c r="I42" i="30"/>
  <c r="J42" i="30" s="1"/>
  <c r="I34" i="30"/>
  <c r="J34" i="30" s="1"/>
  <c r="I89" i="30"/>
  <c r="J89" i="30" s="1"/>
  <c r="I81" i="30"/>
  <c r="J81" i="30" s="1"/>
  <c r="I73" i="30"/>
  <c r="J73" i="30" s="1"/>
  <c r="I65" i="30"/>
  <c r="J65" i="30" s="1"/>
  <c r="I57" i="30"/>
  <c r="J57" i="30" s="1"/>
  <c r="I49" i="30"/>
  <c r="J49" i="30" s="1"/>
  <c r="I41" i="30"/>
  <c r="J41" i="30" s="1"/>
  <c r="I33" i="30"/>
  <c r="J33" i="30" s="1"/>
  <c r="H206" i="30"/>
  <c r="G114" i="27" l="1"/>
  <c r="A117" i="27"/>
  <c r="A118" i="27" s="1"/>
  <c r="H81" i="27"/>
  <c r="G81" i="27"/>
  <c r="I81" i="27" s="1"/>
  <c r="I82" i="27"/>
  <c r="F114" i="27"/>
  <c r="H114" i="27" s="1"/>
  <c r="G82" i="27"/>
  <c r="G117" i="27"/>
  <c r="F117" i="27"/>
  <c r="I117" i="27"/>
  <c r="H93" i="27"/>
  <c r="F93" i="27"/>
  <c r="A93" i="27"/>
  <c r="E94" i="27" s="1"/>
  <c r="G94" i="27" s="1"/>
  <c r="H104" i="27"/>
  <c r="G104" i="27"/>
  <c r="I104" i="27" s="1"/>
  <c r="A104" i="27"/>
  <c r="A105" i="27" s="1"/>
  <c r="A106" i="27" s="1"/>
  <c r="A107" i="27" s="1"/>
  <c r="E108" i="27" s="1"/>
  <c r="A126" i="27"/>
  <c r="E127" i="27" s="1"/>
  <c r="F127" i="27" s="1"/>
  <c r="G126" i="27"/>
  <c r="I126" i="27" s="1"/>
  <c r="F126" i="27"/>
  <c r="H126" i="27" s="1"/>
  <c r="F71" i="27"/>
  <c r="H71" i="27" s="1"/>
  <c r="G71" i="27"/>
  <c r="I71" i="27" s="1"/>
  <c r="H138" i="27"/>
  <c r="I138" i="27"/>
  <c r="G138" i="27"/>
  <c r="F138" i="27"/>
  <c r="F137" i="27"/>
  <c r="H137" i="27" s="1"/>
  <c r="G137" i="27"/>
  <c r="I137" i="27" s="1"/>
  <c r="H60" i="27"/>
  <c r="F60" i="27"/>
  <c r="I60" i="27"/>
  <c r="G60" i="27"/>
  <c r="F116" i="27"/>
  <c r="G116" i="27"/>
  <c r="H116" i="27"/>
  <c r="I116" i="27"/>
  <c r="H83" i="27"/>
  <c r="I83" i="27"/>
  <c r="G83" i="27"/>
  <c r="F83" i="27"/>
  <c r="H39" i="27"/>
  <c r="I39" i="27"/>
  <c r="G39" i="27"/>
  <c r="F39" i="27"/>
  <c r="F72" i="27"/>
  <c r="G72" i="27"/>
  <c r="H72" i="27"/>
  <c r="I72" i="27"/>
  <c r="A50" i="27"/>
  <c r="E51" i="27" s="1"/>
  <c r="E50" i="27"/>
  <c r="O91" i="95"/>
  <c r="K97" i="104" s="1"/>
  <c r="G181" i="49"/>
  <c r="F181" i="49"/>
  <c r="G235" i="49"/>
  <c r="F235" i="49"/>
  <c r="F172" i="51"/>
  <c r="G172" i="51"/>
  <c r="F216" i="51"/>
  <c r="G216" i="51"/>
  <c r="F137" i="49"/>
  <c r="G137" i="49"/>
  <c r="F162" i="51"/>
  <c r="G162" i="51"/>
  <c r="F225" i="49"/>
  <c r="G225" i="49"/>
  <c r="F159" i="49"/>
  <c r="G159" i="49"/>
  <c r="F140" i="51"/>
  <c r="G140" i="51"/>
  <c r="G170" i="49"/>
  <c r="F170" i="49"/>
  <c r="G191" i="49"/>
  <c r="F191" i="49"/>
  <c r="G206" i="51"/>
  <c r="F206" i="51"/>
  <c r="F195" i="51"/>
  <c r="G195" i="51"/>
  <c r="F151" i="51"/>
  <c r="G151" i="51"/>
  <c r="G129" i="51"/>
  <c r="F129" i="51"/>
  <c r="G184" i="51"/>
  <c r="F184" i="51"/>
  <c r="F214" i="49"/>
  <c r="G214" i="49"/>
  <c r="F148" i="49"/>
  <c r="G148" i="49"/>
  <c r="G118" i="51"/>
  <c r="F118" i="51"/>
  <c r="F203" i="49"/>
  <c r="G203" i="49"/>
  <c r="O90" i="95"/>
  <c r="K96" i="104" s="1"/>
  <c r="O93" i="95"/>
  <c r="K99" i="104" s="1"/>
  <c r="O92" i="95"/>
  <c r="K98" i="104" s="1"/>
  <c r="A39" i="27"/>
  <c r="E40" i="27" s="1"/>
  <c r="E61" i="27"/>
  <c r="E182" i="49"/>
  <c r="A182" i="49"/>
  <c r="A152" i="51"/>
  <c r="E152" i="51"/>
  <c r="A185" i="51"/>
  <c r="E185" i="51"/>
  <c r="A149" i="49"/>
  <c r="E149" i="49"/>
  <c r="E207" i="51"/>
  <c r="A207" i="51"/>
  <c r="E160" i="49"/>
  <c r="A160" i="49"/>
  <c r="A119" i="51"/>
  <c r="E119" i="51"/>
  <c r="A226" i="49"/>
  <c r="E226" i="49"/>
  <c r="E173" i="51"/>
  <c r="A173" i="51"/>
  <c r="E215" i="49"/>
  <c r="A215" i="49"/>
  <c r="E217" i="51"/>
  <c r="A217" i="51"/>
  <c r="A236" i="49"/>
  <c r="E236" i="49"/>
  <c r="A138" i="49"/>
  <c r="E138" i="49"/>
  <c r="A204" i="49"/>
  <c r="E204" i="49"/>
  <c r="E196" i="51"/>
  <c r="A196" i="51"/>
  <c r="A141" i="51"/>
  <c r="E141" i="51"/>
  <c r="E130" i="51"/>
  <c r="A130" i="51"/>
  <c r="A171" i="49"/>
  <c r="E171" i="49"/>
  <c r="A192" i="49"/>
  <c r="E192" i="49"/>
  <c r="E163" i="51"/>
  <c r="A163" i="51"/>
  <c r="E107" i="27"/>
  <c r="E118" i="27"/>
  <c r="E62" i="27"/>
  <c r="A62" i="27"/>
  <c r="A84" i="27"/>
  <c r="E84" i="27"/>
  <c r="E73" i="27"/>
  <c r="A73" i="27"/>
  <c r="E139" i="27"/>
  <c r="A139" i="27"/>
  <c r="E119" i="27"/>
  <c r="A119" i="27"/>
  <c r="I92" i="30"/>
  <c r="P35" i="70" s="1"/>
  <c r="P40" i="70" s="1"/>
  <c r="B145" i="30"/>
  <c r="B146" i="30"/>
  <c r="B147" i="30"/>
  <c r="B148" i="30"/>
  <c r="B149" i="30"/>
  <c r="B179" i="30"/>
  <c r="B180" i="30"/>
  <c r="B181" i="30"/>
  <c r="B186" i="30"/>
  <c r="B188" i="30"/>
  <c r="B189" i="30"/>
  <c r="B190" i="30"/>
  <c r="B191" i="30"/>
  <c r="B192" i="30"/>
  <c r="B193" i="30"/>
  <c r="B194" i="30"/>
  <c r="B195" i="30"/>
  <c r="B196" i="30"/>
  <c r="B197" i="30"/>
  <c r="B198" i="30"/>
  <c r="B199" i="30"/>
  <c r="E105" i="27" l="1"/>
  <c r="E106" i="27"/>
  <c r="A108" i="27"/>
  <c r="A109" i="27" s="1"/>
  <c r="H94" i="27"/>
  <c r="A94" i="27"/>
  <c r="A95" i="27" s="1"/>
  <c r="E96" i="27" s="1"/>
  <c r="F94" i="27"/>
  <c r="I94" i="27"/>
  <c r="H127" i="27"/>
  <c r="A127" i="27"/>
  <c r="E128" i="27" s="1"/>
  <c r="H128" i="27" s="1"/>
  <c r="G127" i="27"/>
  <c r="I127" i="27"/>
  <c r="A51" i="27"/>
  <c r="E52" i="27" s="1"/>
  <c r="G61" i="27"/>
  <c r="H61" i="27"/>
  <c r="F61" i="27"/>
  <c r="I61" i="27"/>
  <c r="F40" i="27"/>
  <c r="G40" i="27"/>
  <c r="H40" i="27"/>
  <c r="I40" i="27"/>
  <c r="H51" i="27"/>
  <c r="I51" i="27"/>
  <c r="F51" i="27"/>
  <c r="G51" i="27"/>
  <c r="F73" i="27"/>
  <c r="G73" i="27"/>
  <c r="H73" i="27"/>
  <c r="I73" i="27"/>
  <c r="H118" i="27"/>
  <c r="I118" i="27"/>
  <c r="G118" i="27"/>
  <c r="F118" i="27"/>
  <c r="F84" i="27"/>
  <c r="G84" i="27"/>
  <c r="H84" i="27"/>
  <c r="I84" i="27"/>
  <c r="H106" i="27"/>
  <c r="I106" i="27"/>
  <c r="F106" i="27"/>
  <c r="G106" i="27"/>
  <c r="H139" i="27"/>
  <c r="I139" i="27"/>
  <c r="F139" i="27"/>
  <c r="G139" i="27"/>
  <c r="F108" i="27"/>
  <c r="H108" i="27"/>
  <c r="I108" i="27"/>
  <c r="G108" i="27"/>
  <c r="F105" i="27"/>
  <c r="G105" i="27"/>
  <c r="H105" i="27"/>
  <c r="I105" i="27"/>
  <c r="H50" i="27"/>
  <c r="I50" i="27"/>
  <c r="F50" i="27"/>
  <c r="G50" i="27"/>
  <c r="F119" i="27"/>
  <c r="G119" i="27"/>
  <c r="H119" i="27"/>
  <c r="I119" i="27"/>
  <c r="H62" i="27"/>
  <c r="F62" i="27"/>
  <c r="I62" i="27"/>
  <c r="G62" i="27"/>
  <c r="H107" i="27"/>
  <c r="I107" i="27"/>
  <c r="F107" i="27"/>
  <c r="G107" i="27"/>
  <c r="G215" i="49"/>
  <c r="F215" i="49"/>
  <c r="F130" i="51"/>
  <c r="G130" i="51"/>
  <c r="G173" i="51"/>
  <c r="F173" i="51"/>
  <c r="G207" i="51"/>
  <c r="F207" i="51"/>
  <c r="F182" i="49"/>
  <c r="G182" i="49"/>
  <c r="G160" i="49"/>
  <c r="F160" i="49"/>
  <c r="F141" i="51"/>
  <c r="G141" i="51"/>
  <c r="F226" i="49"/>
  <c r="G226" i="49"/>
  <c r="G149" i="49"/>
  <c r="F149" i="49"/>
  <c r="G138" i="49"/>
  <c r="F138" i="49"/>
  <c r="F236" i="49"/>
  <c r="G236" i="49"/>
  <c r="F163" i="51"/>
  <c r="G163" i="51"/>
  <c r="G192" i="49"/>
  <c r="F192" i="49"/>
  <c r="G119" i="51"/>
  <c r="F119" i="51"/>
  <c r="F185" i="51"/>
  <c r="G185" i="51"/>
  <c r="G196" i="51"/>
  <c r="F196" i="51"/>
  <c r="F217" i="51"/>
  <c r="G217" i="51"/>
  <c r="F171" i="49"/>
  <c r="G171" i="49"/>
  <c r="F204" i="49"/>
  <c r="G204" i="49"/>
  <c r="F152" i="51"/>
  <c r="G152" i="51"/>
  <c r="A40" i="27"/>
  <c r="E41" i="27" s="1"/>
  <c r="E172" i="49"/>
  <c r="A172" i="49"/>
  <c r="A150" i="49"/>
  <c r="E150" i="49"/>
  <c r="E131" i="51"/>
  <c r="A131" i="51"/>
  <c r="E216" i="49"/>
  <c r="A216" i="49"/>
  <c r="A205" i="49"/>
  <c r="E205" i="49"/>
  <c r="A120" i="51"/>
  <c r="E120" i="51"/>
  <c r="E186" i="51"/>
  <c r="A186" i="51"/>
  <c r="A174" i="51"/>
  <c r="E174" i="51"/>
  <c r="A161" i="49"/>
  <c r="E161" i="49"/>
  <c r="A142" i="51"/>
  <c r="E142" i="51"/>
  <c r="E139" i="49"/>
  <c r="A139" i="49"/>
  <c r="A183" i="49"/>
  <c r="E183" i="49"/>
  <c r="A208" i="51"/>
  <c r="E208" i="51"/>
  <c r="A193" i="49"/>
  <c r="E193" i="49"/>
  <c r="A237" i="49"/>
  <c r="E237" i="49"/>
  <c r="E153" i="51"/>
  <c r="A153" i="51"/>
  <c r="A164" i="51"/>
  <c r="E164" i="51"/>
  <c r="A197" i="51"/>
  <c r="E197" i="51"/>
  <c r="A218" i="51"/>
  <c r="E218" i="51"/>
  <c r="E227" i="49"/>
  <c r="A227" i="49"/>
  <c r="I139" i="30"/>
  <c r="I131" i="30"/>
  <c r="I123" i="30"/>
  <c r="I115" i="30"/>
  <c r="I107" i="30"/>
  <c r="I99" i="30"/>
  <c r="I144" i="30"/>
  <c r="I136" i="30"/>
  <c r="I128" i="30"/>
  <c r="I120" i="30"/>
  <c r="I112" i="30"/>
  <c r="I104" i="30"/>
  <c r="I96" i="30"/>
  <c r="I141" i="30"/>
  <c r="I133" i="30"/>
  <c r="I125" i="30"/>
  <c r="I117" i="30"/>
  <c r="I109" i="30"/>
  <c r="I101" i="30"/>
  <c r="I138" i="30"/>
  <c r="I130" i="30"/>
  <c r="I122" i="30"/>
  <c r="I114" i="30"/>
  <c r="I106" i="30"/>
  <c r="I98" i="30"/>
  <c r="I142" i="30"/>
  <c r="I134" i="30"/>
  <c r="I126" i="30"/>
  <c r="I118" i="30"/>
  <c r="I110" i="30"/>
  <c r="I102" i="30"/>
  <c r="I143" i="30"/>
  <c r="I135" i="30"/>
  <c r="I127" i="30"/>
  <c r="I119" i="30"/>
  <c r="I111" i="30"/>
  <c r="I103" i="30"/>
  <c r="I140" i="30"/>
  <c r="I132" i="30"/>
  <c r="I124" i="30"/>
  <c r="I116" i="30"/>
  <c r="I108" i="30"/>
  <c r="I100" i="30"/>
  <c r="I137" i="30"/>
  <c r="I129" i="30"/>
  <c r="I121" i="30"/>
  <c r="I113" i="30"/>
  <c r="I105" i="30"/>
  <c r="I97" i="30"/>
  <c r="I173" i="30"/>
  <c r="I165" i="30"/>
  <c r="I157" i="30"/>
  <c r="I178" i="30"/>
  <c r="I170" i="30"/>
  <c r="I162" i="30"/>
  <c r="I154" i="30"/>
  <c r="I150" i="30"/>
  <c r="I152" i="30"/>
  <c r="I175" i="30"/>
  <c r="I167" i="30"/>
  <c r="I159" i="30"/>
  <c r="I151" i="30"/>
  <c r="I166" i="30"/>
  <c r="I160" i="30"/>
  <c r="I172" i="30"/>
  <c r="I164" i="30"/>
  <c r="I156" i="30"/>
  <c r="I174" i="30"/>
  <c r="I176" i="30"/>
  <c r="I177" i="30"/>
  <c r="I169" i="30"/>
  <c r="I161" i="30"/>
  <c r="I153" i="30"/>
  <c r="I158" i="30"/>
  <c r="I171" i="30"/>
  <c r="I163" i="30"/>
  <c r="I155" i="30"/>
  <c r="I168" i="30"/>
  <c r="I204" i="30"/>
  <c r="I205" i="30"/>
  <c r="I201" i="30"/>
  <c r="I200" i="30"/>
  <c r="I203" i="30"/>
  <c r="I202" i="30"/>
  <c r="I187" i="30"/>
  <c r="I185" i="30"/>
  <c r="I182" i="30"/>
  <c r="I184" i="30"/>
  <c r="I183" i="30"/>
  <c r="E95" i="27"/>
  <c r="A63" i="27"/>
  <c r="E63" i="27"/>
  <c r="E140" i="27"/>
  <c r="A140" i="27"/>
  <c r="E74" i="27"/>
  <c r="A74" i="27"/>
  <c r="A85" i="27"/>
  <c r="E85" i="27"/>
  <c r="E120" i="27"/>
  <c r="E109" i="27"/>
  <c r="A120" i="27"/>
  <c r="J92" i="30"/>
  <c r="Q72" i="70" s="1"/>
  <c r="I146" i="30"/>
  <c r="I189" i="30"/>
  <c r="I198" i="30"/>
  <c r="I147" i="30"/>
  <c r="I190" i="30"/>
  <c r="I199" i="30"/>
  <c r="I188" i="30"/>
  <c r="I191" i="30"/>
  <c r="I145" i="30"/>
  <c r="I197" i="30"/>
  <c r="I148" i="30"/>
  <c r="I181" i="30"/>
  <c r="I149" i="30"/>
  <c r="I192" i="30"/>
  <c r="I195" i="30"/>
  <c r="I196" i="30"/>
  <c r="I179" i="30"/>
  <c r="I193" i="30"/>
  <c r="I180" i="30"/>
  <c r="I194" i="30"/>
  <c r="I186" i="30"/>
  <c r="A96" i="27" l="1"/>
  <c r="A128" i="27"/>
  <c r="A129" i="27" s="1"/>
  <c r="F128" i="27"/>
  <c r="I128" i="27"/>
  <c r="G128" i="27"/>
  <c r="A52" i="27"/>
  <c r="A53" i="27" s="1"/>
  <c r="H95" i="27"/>
  <c r="I95" i="27"/>
  <c r="F95" i="27"/>
  <c r="G95" i="27"/>
  <c r="H140" i="27"/>
  <c r="I140" i="27"/>
  <c r="G140" i="27"/>
  <c r="F140" i="27"/>
  <c r="F109" i="27"/>
  <c r="G109" i="27"/>
  <c r="H109" i="27"/>
  <c r="I109" i="27"/>
  <c r="H96" i="27"/>
  <c r="F96" i="27"/>
  <c r="I96" i="27"/>
  <c r="G96" i="27"/>
  <c r="H41" i="27"/>
  <c r="I41" i="27"/>
  <c r="F41" i="27"/>
  <c r="G41" i="27"/>
  <c r="H63" i="27"/>
  <c r="F63" i="27"/>
  <c r="I63" i="27"/>
  <c r="G63" i="27"/>
  <c r="F120" i="27"/>
  <c r="G120" i="27"/>
  <c r="H120" i="27"/>
  <c r="I120" i="27"/>
  <c r="F85" i="27"/>
  <c r="G85" i="27"/>
  <c r="H85" i="27"/>
  <c r="I85" i="27"/>
  <c r="H74" i="27"/>
  <c r="G74" i="27"/>
  <c r="I74" i="27"/>
  <c r="F74" i="27"/>
  <c r="G52" i="27"/>
  <c r="F52" i="27"/>
  <c r="H52" i="27"/>
  <c r="I52" i="27"/>
  <c r="HE2" i="4"/>
  <c r="F186" i="51"/>
  <c r="G186" i="51"/>
  <c r="F131" i="51"/>
  <c r="G131" i="51"/>
  <c r="F197" i="51"/>
  <c r="G197" i="51"/>
  <c r="G193" i="49"/>
  <c r="F193" i="49"/>
  <c r="G142" i="51"/>
  <c r="F142" i="51"/>
  <c r="F120" i="51"/>
  <c r="G120" i="51"/>
  <c r="F150" i="49"/>
  <c r="G150" i="49"/>
  <c r="F208" i="51"/>
  <c r="G208" i="51"/>
  <c r="F164" i="51"/>
  <c r="G164" i="51"/>
  <c r="G161" i="49"/>
  <c r="F161" i="49"/>
  <c r="F172" i="49"/>
  <c r="G172" i="49"/>
  <c r="G139" i="49"/>
  <c r="F139" i="49"/>
  <c r="F205" i="49"/>
  <c r="G205" i="49"/>
  <c r="F183" i="49"/>
  <c r="G183" i="49"/>
  <c r="G174" i="51"/>
  <c r="F174" i="51"/>
  <c r="G227" i="49"/>
  <c r="F227" i="49"/>
  <c r="F153" i="51"/>
  <c r="G153" i="51"/>
  <c r="F216" i="49"/>
  <c r="G216" i="49"/>
  <c r="F218" i="51"/>
  <c r="G218" i="51"/>
  <c r="F237" i="49"/>
  <c r="G237" i="49"/>
  <c r="A41" i="27"/>
  <c r="E42" i="27" s="1"/>
  <c r="A154" i="51"/>
  <c r="E154" i="51"/>
  <c r="A219" i="51"/>
  <c r="E219" i="51"/>
  <c r="A194" i="49"/>
  <c r="E194" i="49"/>
  <c r="A184" i="49"/>
  <c r="E184" i="49"/>
  <c r="A143" i="51"/>
  <c r="E143" i="51"/>
  <c r="A132" i="51"/>
  <c r="E132" i="51"/>
  <c r="E175" i="51"/>
  <c r="A175" i="51"/>
  <c r="E198" i="51"/>
  <c r="A198" i="51"/>
  <c r="A206" i="49"/>
  <c r="E206" i="49"/>
  <c r="A151" i="49"/>
  <c r="E151" i="49"/>
  <c r="A187" i="51"/>
  <c r="E187" i="51"/>
  <c r="A217" i="49"/>
  <c r="E217" i="49"/>
  <c r="E173" i="49"/>
  <c r="A173" i="49"/>
  <c r="A228" i="49"/>
  <c r="E228" i="49"/>
  <c r="E140" i="49"/>
  <c r="A140" i="49"/>
  <c r="E121" i="51"/>
  <c r="A121" i="51"/>
  <c r="A165" i="51"/>
  <c r="E165" i="51"/>
  <c r="E238" i="49"/>
  <c r="A238" i="49"/>
  <c r="E209" i="51"/>
  <c r="A209" i="51"/>
  <c r="E162" i="49"/>
  <c r="A162" i="49"/>
  <c r="E129" i="27"/>
  <c r="J144" i="30"/>
  <c r="J136" i="30"/>
  <c r="J128" i="30"/>
  <c r="J120" i="30"/>
  <c r="J112" i="30"/>
  <c r="J104" i="30"/>
  <c r="J96" i="30"/>
  <c r="J141" i="30"/>
  <c r="J133" i="30"/>
  <c r="J125" i="30"/>
  <c r="J117" i="30"/>
  <c r="J109" i="30"/>
  <c r="J101" i="30"/>
  <c r="J138" i="30"/>
  <c r="J130" i="30"/>
  <c r="J122" i="30"/>
  <c r="J114" i="30"/>
  <c r="J106" i="30"/>
  <c r="J98" i="30"/>
  <c r="J143" i="30"/>
  <c r="J135" i="30"/>
  <c r="J127" i="30"/>
  <c r="J119" i="30"/>
  <c r="J111" i="30"/>
  <c r="J103" i="30"/>
  <c r="J139" i="30"/>
  <c r="J131" i="30"/>
  <c r="J123" i="30"/>
  <c r="J115" i="30"/>
  <c r="J107" i="30"/>
  <c r="J99" i="30"/>
  <c r="J140" i="30"/>
  <c r="J132" i="30"/>
  <c r="J124" i="30"/>
  <c r="J116" i="30"/>
  <c r="J108" i="30"/>
  <c r="J100" i="30"/>
  <c r="J137" i="30"/>
  <c r="J129" i="30"/>
  <c r="J121" i="30"/>
  <c r="J113" i="30"/>
  <c r="J105" i="30"/>
  <c r="J97" i="30"/>
  <c r="J142" i="30"/>
  <c r="J134" i="30"/>
  <c r="J126" i="30"/>
  <c r="J118" i="30"/>
  <c r="J110" i="30"/>
  <c r="J102" i="30"/>
  <c r="J178" i="30"/>
  <c r="J170" i="30"/>
  <c r="J162" i="30"/>
  <c r="J154" i="30"/>
  <c r="J175" i="30"/>
  <c r="J167" i="30"/>
  <c r="J159" i="30"/>
  <c r="J151" i="30"/>
  <c r="J155" i="30"/>
  <c r="J172" i="30"/>
  <c r="J164" i="30"/>
  <c r="J156" i="30"/>
  <c r="J163" i="30"/>
  <c r="J165" i="30"/>
  <c r="J157" i="30"/>
  <c r="J177" i="30"/>
  <c r="J169" i="30"/>
  <c r="J161" i="30"/>
  <c r="J153" i="30"/>
  <c r="J171" i="30"/>
  <c r="J173" i="30"/>
  <c r="J174" i="30"/>
  <c r="J166" i="30"/>
  <c r="J158" i="30"/>
  <c r="J150" i="30"/>
  <c r="J176" i="30"/>
  <c r="J168" i="30"/>
  <c r="J160" i="30"/>
  <c r="J152" i="30"/>
  <c r="J201" i="30"/>
  <c r="J203" i="30"/>
  <c r="J205" i="30"/>
  <c r="J202" i="30"/>
  <c r="J200" i="30"/>
  <c r="J204" i="30"/>
  <c r="J187" i="30"/>
  <c r="J182" i="30"/>
  <c r="J184" i="30"/>
  <c r="J183" i="30"/>
  <c r="J185" i="30"/>
  <c r="E64" i="27"/>
  <c r="A64" i="27"/>
  <c r="A97" i="27"/>
  <c r="E97" i="27"/>
  <c r="E130" i="27"/>
  <c r="A130" i="27"/>
  <c r="A86" i="27"/>
  <c r="E86" i="27"/>
  <c r="E75" i="27"/>
  <c r="A75" i="27"/>
  <c r="A141" i="27"/>
  <c r="E141" i="27"/>
  <c r="E121" i="27"/>
  <c r="E110" i="27"/>
  <c r="A110" i="27"/>
  <c r="A121" i="27"/>
  <c r="J147" i="30"/>
  <c r="J190" i="30"/>
  <c r="J199" i="30"/>
  <c r="J148" i="30"/>
  <c r="J191" i="30"/>
  <c r="J198" i="30"/>
  <c r="J149" i="30"/>
  <c r="J146" i="30"/>
  <c r="J189" i="30"/>
  <c r="J181" i="30"/>
  <c r="J192" i="30"/>
  <c r="J179" i="30"/>
  <c r="J193" i="30"/>
  <c r="J145" i="30"/>
  <c r="J188" i="30"/>
  <c r="J197" i="30"/>
  <c r="J180" i="30"/>
  <c r="J194" i="30"/>
  <c r="J196" i="30"/>
  <c r="J186" i="30"/>
  <c r="J195" i="30"/>
  <c r="I206" i="30"/>
  <c r="E53" i="27" l="1"/>
  <c r="H53" i="27" s="1"/>
  <c r="F64" i="27"/>
  <c r="H64" i="27"/>
  <c r="I64" i="27"/>
  <c r="G64" i="27"/>
  <c r="H86" i="27"/>
  <c r="I86" i="27"/>
  <c r="F86" i="27"/>
  <c r="G86" i="27"/>
  <c r="H110" i="27"/>
  <c r="I110" i="27"/>
  <c r="F110" i="27"/>
  <c r="G110" i="27"/>
  <c r="F121" i="27"/>
  <c r="G121" i="27"/>
  <c r="H121" i="27"/>
  <c r="I121" i="27"/>
  <c r="H130" i="27"/>
  <c r="I130" i="27"/>
  <c r="G130" i="27"/>
  <c r="F130" i="27"/>
  <c r="F129" i="27"/>
  <c r="G129" i="27"/>
  <c r="H129" i="27"/>
  <c r="I129" i="27"/>
  <c r="F75" i="27"/>
  <c r="G75" i="27"/>
  <c r="H75" i="27"/>
  <c r="I75" i="27"/>
  <c r="F141" i="27"/>
  <c r="G141" i="27"/>
  <c r="I141" i="27"/>
  <c r="H141" i="27"/>
  <c r="F97" i="27"/>
  <c r="G97" i="27"/>
  <c r="H97" i="27"/>
  <c r="I97" i="27"/>
  <c r="H42" i="27"/>
  <c r="F42" i="27"/>
  <c r="G42" i="27"/>
  <c r="I42" i="27"/>
  <c r="PE2" i="4"/>
  <c r="F165" i="51"/>
  <c r="G165" i="51"/>
  <c r="F206" i="49"/>
  <c r="G206" i="49"/>
  <c r="G143" i="51"/>
  <c r="F143" i="51"/>
  <c r="G154" i="51"/>
  <c r="F154" i="51"/>
  <c r="G173" i="49"/>
  <c r="F173" i="49"/>
  <c r="F217" i="49"/>
  <c r="G217" i="49"/>
  <c r="F162" i="49"/>
  <c r="G162" i="49"/>
  <c r="G121" i="51"/>
  <c r="F121" i="51"/>
  <c r="G198" i="51"/>
  <c r="F198" i="51"/>
  <c r="G187" i="51"/>
  <c r="F187" i="51"/>
  <c r="F194" i="49"/>
  <c r="G194" i="49"/>
  <c r="F209" i="51"/>
  <c r="G209" i="51"/>
  <c r="F140" i="49"/>
  <c r="G140" i="49"/>
  <c r="F175" i="51"/>
  <c r="G175" i="51"/>
  <c r="F228" i="49"/>
  <c r="G228" i="49"/>
  <c r="F151" i="49"/>
  <c r="G151" i="49"/>
  <c r="F132" i="51"/>
  <c r="G132" i="51"/>
  <c r="G219" i="51"/>
  <c r="F219" i="51"/>
  <c r="G238" i="49"/>
  <c r="F238" i="49"/>
  <c r="G184" i="49"/>
  <c r="F184" i="49"/>
  <c r="A42" i="27"/>
  <c r="E43" i="27" s="1"/>
  <c r="A195" i="49"/>
  <c r="E195" i="49"/>
  <c r="A176" i="51"/>
  <c r="E176" i="51"/>
  <c r="E239" i="49"/>
  <c r="A239" i="49"/>
  <c r="A220" i="51"/>
  <c r="E220" i="51"/>
  <c r="E54" i="27"/>
  <c r="A54" i="27"/>
  <c r="E65" i="27"/>
  <c r="A65" i="27"/>
  <c r="A98" i="27"/>
  <c r="E98" i="27"/>
  <c r="A76" i="27"/>
  <c r="E76" i="27"/>
  <c r="E87" i="27"/>
  <c r="A87" i="27"/>
  <c r="A131" i="27"/>
  <c r="E131" i="27"/>
  <c r="E142" i="27"/>
  <c r="A142" i="27"/>
  <c r="E122" i="27"/>
  <c r="E111" i="27"/>
  <c r="A122" i="27"/>
  <c r="A111" i="27"/>
  <c r="J206" i="30"/>
  <c r="G53" i="27" l="1"/>
  <c r="F53" i="27"/>
  <c r="I53" i="27"/>
  <c r="H54" i="27"/>
  <c r="I54" i="27"/>
  <c r="F54" i="27"/>
  <c r="G54" i="27"/>
  <c r="G43" i="27"/>
  <c r="H43" i="27"/>
  <c r="I43" i="27"/>
  <c r="F43" i="27"/>
  <c r="H87" i="27"/>
  <c r="G87" i="27"/>
  <c r="I87" i="27"/>
  <c r="F87" i="27"/>
  <c r="H98" i="27"/>
  <c r="I98" i="27"/>
  <c r="F98" i="27"/>
  <c r="G98" i="27"/>
  <c r="H122" i="27"/>
  <c r="I122" i="27"/>
  <c r="G122" i="27"/>
  <c r="F122" i="27"/>
  <c r="H142" i="27"/>
  <c r="I142" i="27"/>
  <c r="F142" i="27"/>
  <c r="G142" i="27"/>
  <c r="F76" i="27"/>
  <c r="G76" i="27"/>
  <c r="H76" i="27"/>
  <c r="I76" i="27"/>
  <c r="F131" i="27"/>
  <c r="H131" i="27"/>
  <c r="G131" i="27"/>
  <c r="I131" i="27"/>
  <c r="H111" i="27"/>
  <c r="I111" i="27"/>
  <c r="F111" i="27"/>
  <c r="G111" i="27"/>
  <c r="G65" i="27"/>
  <c r="H65" i="27"/>
  <c r="F65" i="27"/>
  <c r="I65" i="27"/>
  <c r="F220" i="51"/>
  <c r="G220" i="51"/>
  <c r="F239" i="49"/>
  <c r="G239" i="49"/>
  <c r="G176" i="51"/>
  <c r="OO2" i="4" s="1"/>
  <c r="F176" i="51"/>
  <c r="G195" i="49"/>
  <c r="F195" i="49"/>
  <c r="A43" i="27"/>
  <c r="E44" i="27" s="1"/>
  <c r="F86" i="51"/>
  <c r="GN4344" i="4" s="1"/>
  <c r="G86" i="51"/>
  <c r="G105" i="49"/>
  <c r="F105" i="49"/>
  <c r="E55" i="27"/>
  <c r="A55" i="27"/>
  <c r="E66" i="27"/>
  <c r="A66" i="27"/>
  <c r="E99" i="27"/>
  <c r="A99" i="27"/>
  <c r="A132" i="27"/>
  <c r="E132" i="27"/>
  <c r="A88" i="27"/>
  <c r="E88" i="27"/>
  <c r="E143" i="27"/>
  <c r="A143" i="27"/>
  <c r="E77" i="27"/>
  <c r="A77" i="27"/>
  <c r="OL2" i="4" l="1"/>
  <c r="GN2" i="4"/>
  <c r="H66" i="27"/>
  <c r="F66" i="27"/>
  <c r="I66" i="27"/>
  <c r="G66" i="27"/>
  <c r="H143" i="27"/>
  <c r="I143" i="27"/>
  <c r="F143" i="27"/>
  <c r="G143" i="27"/>
  <c r="F88" i="27"/>
  <c r="G88" i="27"/>
  <c r="H88" i="27"/>
  <c r="I88" i="27"/>
  <c r="F132" i="27"/>
  <c r="G132" i="27"/>
  <c r="H132" i="27"/>
  <c r="I132" i="27"/>
  <c r="H55" i="27"/>
  <c r="I55" i="27"/>
  <c r="F55" i="27"/>
  <c r="G55" i="27"/>
  <c r="F77" i="27"/>
  <c r="G77" i="27"/>
  <c r="H77" i="27"/>
  <c r="I77" i="27"/>
  <c r="H99" i="27"/>
  <c r="F99" i="27"/>
  <c r="I99" i="27"/>
  <c r="G99" i="27"/>
  <c r="F44" i="27"/>
  <c r="G44" i="27"/>
  <c r="H44" i="27"/>
  <c r="I44" i="27"/>
  <c r="A44" i="27"/>
  <c r="E45" i="27" s="1"/>
  <c r="F104" i="49"/>
  <c r="D115" i="49"/>
  <c r="R28" i="70" s="1"/>
  <c r="G104" i="49"/>
  <c r="F114" i="49" s="1"/>
  <c r="F115" i="49"/>
  <c r="S65" i="70" s="1"/>
  <c r="F85" i="51"/>
  <c r="D96" i="51"/>
  <c r="GL65" i="4" s="1"/>
  <c r="G85" i="51"/>
  <c r="F95" i="51" s="1"/>
  <c r="F96" i="51"/>
  <c r="S66" i="70" s="1"/>
  <c r="A56" i="27"/>
  <c r="E56" i="27"/>
  <c r="A67" i="27"/>
  <c r="E67" i="27"/>
  <c r="A100" i="27"/>
  <c r="E100" i="27"/>
  <c r="E78" i="27"/>
  <c r="A78" i="27"/>
  <c r="E144" i="27"/>
  <c r="A144" i="27"/>
  <c r="A89" i="27"/>
  <c r="E89" i="27"/>
  <c r="A133" i="27"/>
  <c r="E133" i="27"/>
  <c r="H30" i="27" l="1"/>
  <c r="S67" i="70" s="1"/>
  <c r="F31" i="27"/>
  <c r="F30" i="27"/>
  <c r="GR4344" i="4" s="1"/>
  <c r="H31" i="27"/>
  <c r="H78" i="27"/>
  <c r="I78" i="27"/>
  <c r="G78" i="27"/>
  <c r="F78" i="27"/>
  <c r="G100" i="27"/>
  <c r="H100" i="27"/>
  <c r="I100" i="27"/>
  <c r="F100" i="27"/>
  <c r="F133" i="27"/>
  <c r="G133" i="27"/>
  <c r="I133" i="27"/>
  <c r="H133" i="27"/>
  <c r="F89" i="27"/>
  <c r="G89" i="27"/>
  <c r="H89" i="27"/>
  <c r="I89" i="27"/>
  <c r="H67" i="27"/>
  <c r="F67" i="27"/>
  <c r="I67" i="27"/>
  <c r="G67" i="27"/>
  <c r="G144" i="27"/>
  <c r="H144" i="27"/>
  <c r="I144" i="27"/>
  <c r="F144" i="27"/>
  <c r="G56" i="27"/>
  <c r="H56" i="27"/>
  <c r="I56" i="27"/>
  <c r="F56" i="27"/>
  <c r="H45" i="27"/>
  <c r="I45" i="27"/>
  <c r="F45" i="27"/>
  <c r="G45" i="27"/>
  <c r="R29" i="70"/>
  <c r="IT4343" i="4"/>
  <c r="MO4343" i="4"/>
  <c r="D95" i="51"/>
  <c r="GL64" i="4" s="1"/>
  <c r="GN4343" i="4"/>
  <c r="A45" i="27"/>
  <c r="OO4343" i="4"/>
  <c r="O66" i="70"/>
  <c r="OL4343" i="4"/>
  <c r="O65" i="70"/>
  <c r="D114" i="49"/>
  <c r="MS4346" i="4" l="1"/>
  <c r="GR4346" i="4"/>
  <c r="OR2" i="4"/>
  <c r="GR2" i="4"/>
  <c r="N29" i="70"/>
  <c r="T30" i="70"/>
  <c r="O77" i="70"/>
  <c r="U67" i="70"/>
  <c r="N28" i="70"/>
  <c r="R30" i="70"/>
  <c r="CF81" i="4"/>
  <c r="B32" i="108" l="1"/>
  <c r="D32" i="108" s="1"/>
  <c r="B55" i="108"/>
  <c r="N40" i="70"/>
  <c r="CB59" i="4"/>
  <c r="CA59" i="4" s="1"/>
  <c r="CF59" i="4"/>
  <c r="CB37" i="4"/>
  <c r="CA37" i="4" s="1"/>
  <c r="CF37" i="4"/>
  <c r="CE37" i="4" s="1"/>
  <c r="CB39" i="4"/>
  <c r="CA39" i="4" s="1"/>
  <c r="CF39" i="4"/>
  <c r="CE39" i="4" s="1"/>
  <c r="CB71" i="4"/>
  <c r="CA71" i="4" s="1"/>
  <c r="CF71" i="4"/>
  <c r="CB28" i="4"/>
  <c r="CA28" i="4" s="1"/>
  <c r="CF28" i="4"/>
  <c r="CB49" i="4"/>
  <c r="CA49" i="4" s="1"/>
  <c r="CF49" i="4"/>
  <c r="CE49" i="4" s="1"/>
  <c r="CE81" i="4"/>
  <c r="CB81" i="4"/>
  <c r="CA81" i="4" s="1"/>
  <c r="T7" i="70"/>
  <c r="V7" i="70"/>
  <c r="Q77" i="70"/>
  <c r="R7" i="70"/>
  <c r="C23" i="55"/>
  <c r="G23" i="55" s="1"/>
  <c r="BK51" i="90"/>
  <c r="BK158" i="90" s="1"/>
  <c r="BK71" i="90"/>
  <c r="BK178" i="90" s="1"/>
  <c r="BK53" i="90"/>
  <c r="BK160" i="90" s="1"/>
  <c r="BK82" i="90"/>
  <c r="BK189" i="90" s="1"/>
  <c r="BK62" i="90"/>
  <c r="BK169" i="90" s="1"/>
  <c r="HN4343" i="4"/>
  <c r="NO4343" i="4"/>
  <c r="FH4346" i="4"/>
  <c r="FH4343" i="4"/>
  <c r="BK91" i="90"/>
  <c r="BK198" i="90" s="1"/>
  <c r="FH4344" i="4"/>
  <c r="BK43" i="90"/>
  <c r="C31" i="90"/>
  <c r="BL31" i="90"/>
  <c r="C111" i="90"/>
  <c r="BL111" i="90"/>
  <c r="C101" i="90"/>
  <c r="BL101" i="90"/>
  <c r="B82" i="90"/>
  <c r="DV177" i="90" s="1"/>
  <c r="B62" i="90"/>
  <c r="DV157" i="90" s="1"/>
  <c r="B91" i="90"/>
  <c r="B51" i="90"/>
  <c r="DV146" i="90" s="1"/>
  <c r="B71" i="90"/>
  <c r="DV166" i="90" s="1"/>
  <c r="B53" i="90"/>
  <c r="DV148" i="90" s="1"/>
  <c r="LI4346" i="4"/>
  <c r="B43" i="90"/>
  <c r="G45" i="71"/>
  <c r="H45" i="71"/>
  <c r="H133" i="71"/>
  <c r="G133" i="71"/>
  <c r="G122" i="71"/>
  <c r="H122" i="71"/>
  <c r="F51" i="2"/>
  <c r="F21" i="2"/>
  <c r="F28" i="2"/>
  <c r="G140" i="1"/>
  <c r="B30" i="108" l="1"/>
  <c r="D30" i="108" s="1"/>
  <c r="K30" i="108" s="1"/>
  <c r="K33" i="108" s="1"/>
  <c r="B59" i="108"/>
  <c r="B66" i="108"/>
  <c r="D66" i="108" s="1"/>
  <c r="D55" i="108"/>
  <c r="J55" i="108" s="1"/>
  <c r="CE28" i="4"/>
  <c r="CE74" i="4"/>
  <c r="CE80" i="4"/>
  <c r="CE82" i="4"/>
  <c r="CE93" i="4"/>
  <c r="CE54" i="4"/>
  <c r="CE106" i="4"/>
  <c r="CE66" i="4"/>
  <c r="CE96" i="4"/>
  <c r="CE65" i="4"/>
  <c r="CE75" i="4"/>
  <c r="CE83" i="4"/>
  <c r="CE89" i="4"/>
  <c r="CE98" i="4"/>
  <c r="CE73" i="4"/>
  <c r="CE53" i="4"/>
  <c r="CE78" i="4"/>
  <c r="CE60" i="4"/>
  <c r="CE108" i="4"/>
  <c r="CE105" i="4"/>
  <c r="CE109" i="4"/>
  <c r="CE104" i="4"/>
  <c r="CE61" i="4"/>
  <c r="CE95" i="4"/>
  <c r="CE88" i="4"/>
  <c r="CE85" i="4"/>
  <c r="CE47" i="4"/>
  <c r="CE91" i="4"/>
  <c r="CE64" i="4"/>
  <c r="CE111" i="4"/>
  <c r="CE86" i="4"/>
  <c r="CE94" i="4"/>
  <c r="CE110" i="4"/>
  <c r="CE103" i="4"/>
  <c r="CE76" i="4"/>
  <c r="CE48" i="4"/>
  <c r="CE99" i="4"/>
  <c r="CE69" i="4"/>
  <c r="CE58" i="4"/>
  <c r="CE92" i="4"/>
  <c r="CE72" i="4"/>
  <c r="CE56" i="4"/>
  <c r="CE77" i="4"/>
  <c r="CE107" i="4"/>
  <c r="CE87" i="4"/>
  <c r="CE63" i="4"/>
  <c r="CE102" i="4"/>
  <c r="CE55" i="4"/>
  <c r="CE84" i="4"/>
  <c r="CE52" i="4"/>
  <c r="CE51" i="4"/>
  <c r="CE50" i="4"/>
  <c r="CE70" i="4"/>
  <c r="CE67" i="4"/>
  <c r="CE100" i="4"/>
  <c r="CE97" i="4"/>
  <c r="CE62" i="4"/>
  <c r="CE59" i="4"/>
  <c r="CE71" i="4"/>
  <c r="BM31" i="90"/>
  <c r="BN31" i="90"/>
  <c r="DW126" i="90"/>
  <c r="E31" i="90"/>
  <c r="D31" i="90"/>
  <c r="DW196" i="90"/>
  <c r="E101" i="90"/>
  <c r="D101" i="90"/>
  <c r="BM111" i="90"/>
  <c r="BN111" i="90"/>
  <c r="BM101" i="90"/>
  <c r="BN101" i="90"/>
  <c r="DW206" i="90"/>
  <c r="E111" i="90"/>
  <c r="D111" i="90"/>
  <c r="C17" i="55"/>
  <c r="G17" i="55" s="1"/>
  <c r="CE135" i="4"/>
  <c r="CE306" i="4"/>
  <c r="CE278" i="4"/>
  <c r="CE116" i="4"/>
  <c r="CE191" i="4"/>
  <c r="CE296" i="4"/>
  <c r="CE319" i="4"/>
  <c r="CE120" i="4"/>
  <c r="CE303" i="4"/>
  <c r="CE213" i="4"/>
  <c r="CE396" i="4"/>
  <c r="CE439" i="4"/>
  <c r="CE421" i="4"/>
  <c r="CE281" i="4"/>
  <c r="CE506" i="4"/>
  <c r="CE262" i="4"/>
  <c r="CE337" i="4"/>
  <c r="CE425" i="4"/>
  <c r="CE353" i="4"/>
  <c r="CE469" i="4"/>
  <c r="CE476" i="4"/>
  <c r="CE528" i="4"/>
  <c r="CE141" i="4"/>
  <c r="CE434" i="4"/>
  <c r="CE435" i="4"/>
  <c r="CE393" i="4"/>
  <c r="CE270" i="4"/>
  <c r="CE456" i="4"/>
  <c r="CE541" i="4"/>
  <c r="CE173" i="4"/>
  <c r="CE347" i="4"/>
  <c r="CE218" i="4"/>
  <c r="CE370" i="4"/>
  <c r="CE269" i="4"/>
  <c r="CE256" i="4"/>
  <c r="CE463" i="4"/>
  <c r="CE157" i="4"/>
  <c r="CE433" i="4"/>
  <c r="CE389" i="4"/>
  <c r="CE548" i="4"/>
  <c r="CE486" i="4"/>
  <c r="CE297" i="4"/>
  <c r="CE471" i="4"/>
  <c r="CE416" i="4"/>
  <c r="CE133" i="4"/>
  <c r="CE208" i="4"/>
  <c r="CE324" i="4"/>
  <c r="CE551" i="4"/>
  <c r="CE232" i="4"/>
  <c r="CE161" i="4"/>
  <c r="CE368" i="4"/>
  <c r="CE383" i="4"/>
  <c r="CE438" i="4"/>
  <c r="CE210" i="4"/>
  <c r="CE348" i="4"/>
  <c r="CE115" i="4"/>
  <c r="CE384" i="4"/>
  <c r="CE419" i="4"/>
  <c r="CE127" i="4"/>
  <c r="CE171" i="4"/>
  <c r="CE146" i="4"/>
  <c r="CE408" i="4"/>
  <c r="CE143" i="4"/>
  <c r="CE211" i="4"/>
  <c r="CE154" i="4"/>
  <c r="CE123" i="4"/>
  <c r="CE212" i="4"/>
  <c r="CE346" i="4"/>
  <c r="CE121" i="4"/>
  <c r="CE392" i="4"/>
  <c r="CE386" i="4"/>
  <c r="CE198" i="4"/>
  <c r="CE194" i="4"/>
  <c r="CE202" i="4"/>
  <c r="CE341" i="4"/>
  <c r="CE130" i="4"/>
  <c r="CE313" i="4"/>
  <c r="CE322" i="4"/>
  <c r="CE448" i="4"/>
  <c r="CE291" i="4"/>
  <c r="CE287" i="4"/>
  <c r="CE484" i="4"/>
  <c r="CE268" i="4"/>
  <c r="CE515" i="4"/>
  <c r="CE465" i="4"/>
  <c r="CE512" i="4"/>
  <c r="CE312" i="4"/>
  <c r="CE449" i="4"/>
  <c r="CE526" i="4"/>
  <c r="CE529" i="4"/>
  <c r="CE246" i="4"/>
  <c r="CE536" i="4"/>
  <c r="CE532" i="4"/>
  <c r="CE255" i="4"/>
  <c r="CE307" i="4"/>
  <c r="CE139" i="4"/>
  <c r="CE302" i="4"/>
  <c r="CE326" i="4"/>
  <c r="CE282" i="4"/>
  <c r="CE242" i="4"/>
  <c r="CE311" i="4"/>
  <c r="CE534" i="4"/>
  <c r="CE513" i="4"/>
  <c r="CE388" i="4"/>
  <c r="CE431" i="4"/>
  <c r="CE216" i="4"/>
  <c r="CE197" i="4"/>
  <c r="CE414" i="4"/>
  <c r="CE315" i="4"/>
  <c r="CE395" i="4"/>
  <c r="CE355" i="4"/>
  <c r="CE343" i="4"/>
  <c r="CE147" i="4"/>
  <c r="CE190" i="4"/>
  <c r="CE405" i="4"/>
  <c r="CE420" i="4"/>
  <c r="CE354" i="4"/>
  <c r="CE156" i="4"/>
  <c r="CE391" i="4"/>
  <c r="CE364" i="4"/>
  <c r="CE352" i="4"/>
  <c r="CE122" i="4"/>
  <c r="CE126" i="4"/>
  <c r="CE305" i="4"/>
  <c r="CE519" i="4"/>
  <c r="CE276" i="4"/>
  <c r="CE286" i="4"/>
  <c r="CE241" i="4"/>
  <c r="CE477" i="4"/>
  <c r="CE330" i="4"/>
  <c r="CE293" i="4"/>
  <c r="CE475" i="4"/>
  <c r="CE545" i="4"/>
  <c r="CE317" i="4"/>
  <c r="CE447" i="4"/>
  <c r="CE533" i="4"/>
  <c r="CE460" i="4"/>
  <c r="CE547" i="4"/>
  <c r="CE275" i="4"/>
  <c r="CE550" i="4"/>
  <c r="CE499" i="4"/>
  <c r="CE245" i="4"/>
  <c r="CE450" i="4"/>
  <c r="CE240" i="4"/>
  <c r="CE252" i="4"/>
  <c r="CE298" i="4"/>
  <c r="CE502" i="4"/>
  <c r="CE488" i="4"/>
  <c r="CE453" i="4"/>
  <c r="CE518" i="4"/>
  <c r="CE226" i="4"/>
  <c r="CE507" i="4"/>
  <c r="CE209" i="4"/>
  <c r="CE129" i="4"/>
  <c r="CE400" i="4"/>
  <c r="CE398" i="4"/>
  <c r="CE196" i="4"/>
  <c r="CE181" i="4"/>
  <c r="CE344" i="4"/>
  <c r="CE382" i="4"/>
  <c r="CE427" i="4"/>
  <c r="CE168" i="4"/>
  <c r="CE160" i="4"/>
  <c r="CE430" i="4"/>
  <c r="CE356" i="4"/>
  <c r="CE377" i="4"/>
  <c r="CE365" i="4"/>
  <c r="CE203" i="4"/>
  <c r="CE214" i="4"/>
  <c r="CE339" i="4"/>
  <c r="CE366" i="4"/>
  <c r="CE277" i="4"/>
  <c r="CE263" i="4"/>
  <c r="CE458" i="4"/>
  <c r="CE474" i="4"/>
  <c r="CE243" i="4"/>
  <c r="CE466" i="4"/>
  <c r="CE271" i="4"/>
  <c r="CE257" i="4"/>
  <c r="CE494" i="4"/>
  <c r="CE523" i="4"/>
  <c r="CE491" i="4"/>
  <c r="CE267" i="4"/>
  <c r="CE138" i="4"/>
  <c r="CE140" i="4"/>
  <c r="CE131" i="4"/>
  <c r="CE379" i="4"/>
  <c r="CE358" i="4"/>
  <c r="CE207" i="4"/>
  <c r="CE167" i="4"/>
  <c r="CE374" i="4"/>
  <c r="CE174" i="4"/>
  <c r="CE359" i="4"/>
  <c r="CE407" i="4"/>
  <c r="CE361" i="4"/>
  <c r="CE153" i="4"/>
  <c r="CE418" i="4"/>
  <c r="CE485" i="4"/>
  <c r="CE363" i="4"/>
  <c r="CE142" i="4"/>
  <c r="CE424" i="4"/>
  <c r="CE119" i="4"/>
  <c r="CE411" i="4"/>
  <c r="CE159" i="4"/>
  <c r="CE217" i="4"/>
  <c r="CE132" i="4"/>
  <c r="CE378" i="4"/>
  <c r="CE360" i="4"/>
  <c r="CE235" i="4"/>
  <c r="CE542" i="4"/>
  <c r="CE517" i="4"/>
  <c r="CE496" i="4"/>
  <c r="CE509" i="4"/>
  <c r="CE273" i="4"/>
  <c r="CE549" i="4"/>
  <c r="CE540" i="4"/>
  <c r="CE495" i="4"/>
  <c r="CE309" i="4"/>
  <c r="CE316" i="4"/>
  <c r="CE531" i="4"/>
  <c r="CE483" i="4"/>
  <c r="CE481" i="4"/>
  <c r="CE501" i="4"/>
  <c r="CE323" i="4"/>
  <c r="CE478" i="4"/>
  <c r="CE294" i="4"/>
  <c r="CE497" i="4"/>
  <c r="CE514" i="4"/>
  <c r="CE284" i="4"/>
  <c r="CE228" i="4"/>
  <c r="CE490" i="4"/>
  <c r="CE468" i="4"/>
  <c r="CE546" i="4"/>
  <c r="CE260" i="4"/>
  <c r="CE274" i="4"/>
  <c r="CE178" i="4"/>
  <c r="CE397" i="4"/>
  <c r="CE437" i="4"/>
  <c r="CE192" i="4"/>
  <c r="CE204" i="4"/>
  <c r="CE394" i="4"/>
  <c r="CE136" i="4"/>
  <c r="CE342" i="4"/>
  <c r="CE176" i="4"/>
  <c r="CE415" i="4"/>
  <c r="CE422" i="4"/>
  <c r="CE206" i="4"/>
  <c r="CE381" i="4"/>
  <c r="CE184" i="4"/>
  <c r="CE285" i="4"/>
  <c r="CE510" i="4"/>
  <c r="CE498" i="4"/>
  <c r="CE215" i="4"/>
  <c r="CE544" i="4"/>
  <c r="CE538" i="4"/>
  <c r="CE461" i="4"/>
  <c r="CE251" i="4"/>
  <c r="CE234" i="4"/>
  <c r="CE527" i="4"/>
  <c r="CE236" i="4"/>
  <c r="CE516" i="4"/>
  <c r="CE239" i="4"/>
  <c r="CE308" i="4"/>
  <c r="CE327" i="4"/>
  <c r="CE145" i="4"/>
  <c r="CE134" i="4"/>
  <c r="CE177" i="4"/>
  <c r="CE380" i="4"/>
  <c r="CE357" i="4"/>
  <c r="CE428" i="4"/>
  <c r="CE165" i="4"/>
  <c r="CE369" i="4"/>
  <c r="CE375" i="4"/>
  <c r="CE170" i="4"/>
  <c r="CE410" i="4"/>
  <c r="CE186" i="4"/>
  <c r="CE180" i="4"/>
  <c r="CE373" i="4"/>
  <c r="CE399" i="4"/>
  <c r="CE151" i="4"/>
  <c r="CE367" i="4"/>
  <c r="CE413" i="4"/>
  <c r="CE351" i="4"/>
  <c r="CE404" i="4"/>
  <c r="CE158" i="4"/>
  <c r="CE162" i="4"/>
  <c r="CE185" i="4"/>
  <c r="CE371" i="4"/>
  <c r="CE193" i="4"/>
  <c r="CE237" i="4"/>
  <c r="CE511" i="4"/>
  <c r="CE231" i="4"/>
  <c r="CE265" i="4"/>
  <c r="CE530" i="4"/>
  <c r="CE521" i="4"/>
  <c r="CE492" i="4"/>
  <c r="CE522" i="4"/>
  <c r="CE503" i="4"/>
  <c r="CE230" i="4"/>
  <c r="CE482" i="4"/>
  <c r="CE244" i="4"/>
  <c r="CE459" i="4"/>
  <c r="CE472" i="4"/>
  <c r="CE233" i="4"/>
  <c r="CE500" i="4"/>
  <c r="CE150" i="4"/>
  <c r="CE457" i="4"/>
  <c r="CE480" i="4"/>
  <c r="CE525" i="4"/>
  <c r="CE325" i="4"/>
  <c r="CE454" i="4"/>
  <c r="CE279" i="4"/>
  <c r="CE479" i="4"/>
  <c r="CE493" i="4"/>
  <c r="CE467" i="4"/>
  <c r="CE283" i="4"/>
  <c r="CE340" i="4"/>
  <c r="CE426" i="4"/>
  <c r="CE387" i="4"/>
  <c r="CE164" i="4"/>
  <c r="CE440" i="4"/>
  <c r="CE199" i="4"/>
  <c r="CE149" i="4"/>
  <c r="CE152" i="4"/>
  <c r="CE441" i="4"/>
  <c r="CE155" i="4"/>
  <c r="CE201" i="4"/>
  <c r="CE182" i="4"/>
  <c r="CE112" i="4"/>
  <c r="CE113" i="4" s="1"/>
  <c r="CE114" i="4" s="1"/>
  <c r="CE432" i="4"/>
  <c r="CE402" i="4"/>
  <c r="CE345" i="4"/>
  <c r="CE200" i="4"/>
  <c r="CE166" i="4"/>
  <c r="CE189" i="4"/>
  <c r="CE412" i="4"/>
  <c r="CE220" i="4"/>
  <c r="CE175" i="4"/>
  <c r="CE349" i="4"/>
  <c r="CE436" i="4"/>
  <c r="CE187" i="4"/>
  <c r="CE328" i="4"/>
  <c r="CE290" i="4"/>
  <c r="CE292" i="4"/>
  <c r="CE451" i="4"/>
  <c r="CE280" i="4"/>
  <c r="CE508" i="4"/>
  <c r="CE261" i="4"/>
  <c r="CE264" i="4"/>
  <c r="CE520" i="4"/>
  <c r="CE462" i="4"/>
  <c r="CE128" i="4"/>
  <c r="CE504" i="4"/>
  <c r="CE289" i="4"/>
  <c r="CE304" i="4"/>
  <c r="CE248" i="4"/>
  <c r="CE266" i="4"/>
  <c r="CE331" i="4"/>
  <c r="CE446" i="4"/>
  <c r="CE314" i="4"/>
  <c r="CE301" i="4"/>
  <c r="CE295" i="4"/>
  <c r="CE249" i="4"/>
  <c r="CE487" i="4"/>
  <c r="CE543" i="4"/>
  <c r="CE318" i="4"/>
  <c r="CE505" i="4"/>
  <c r="CE524" i="4"/>
  <c r="CE272" i="4"/>
  <c r="CE385" i="4"/>
  <c r="CE163" i="4"/>
  <c r="CE118" i="4"/>
  <c r="CE423" i="4"/>
  <c r="CE401" i="4"/>
  <c r="CE409" i="4"/>
  <c r="CE390" i="4"/>
  <c r="CE376" i="4"/>
  <c r="CE336" i="4"/>
  <c r="CE117" i="4"/>
  <c r="CE148" i="4"/>
  <c r="CE350" i="4"/>
  <c r="CE195" i="4"/>
  <c r="CE183" i="4"/>
  <c r="CE169" i="4"/>
  <c r="CE403" i="4"/>
  <c r="CE144" i="4"/>
  <c r="CE429" i="4"/>
  <c r="CE372" i="4"/>
  <c r="CE219" i="4"/>
  <c r="CE221" i="4"/>
  <c r="CE338" i="4"/>
  <c r="CE362" i="4"/>
  <c r="CE137" i="4"/>
  <c r="CE406" i="4"/>
  <c r="CE417" i="4"/>
  <c r="CE329" i="4"/>
  <c r="CE288" i="4"/>
  <c r="CE238" i="4"/>
  <c r="CE172" i="4"/>
  <c r="CE247" i="4"/>
  <c r="CE258" i="4"/>
  <c r="CE227" i="4"/>
  <c r="CE473" i="4"/>
  <c r="CE299" i="4"/>
  <c r="CE489" i="4"/>
  <c r="CE205" i="4"/>
  <c r="CE452" i="4"/>
  <c r="CE464" i="4"/>
  <c r="CE455" i="4"/>
  <c r="CE259" i="4"/>
  <c r="CE321" i="4"/>
  <c r="CE537" i="4"/>
  <c r="CE539" i="4"/>
  <c r="CE253" i="4"/>
  <c r="CE320" i="4"/>
  <c r="CE229" i="4"/>
  <c r="CE250" i="4"/>
  <c r="CE310" i="4"/>
  <c r="CE254" i="4"/>
  <c r="CE535" i="4"/>
  <c r="CE300" i="4"/>
  <c r="CE470" i="4"/>
  <c r="DV32" i="90"/>
  <c r="DV138" i="90"/>
  <c r="DV80" i="90"/>
  <c r="DV186" i="90"/>
  <c r="C218" i="90"/>
  <c r="DW100" i="90"/>
  <c r="C138" i="90"/>
  <c r="DW20" i="90"/>
  <c r="C208" i="90"/>
  <c r="DW90" i="90"/>
  <c r="B160" i="90"/>
  <c r="DV42" i="90"/>
  <c r="B189" i="90"/>
  <c r="DV71" i="90"/>
  <c r="B158" i="90"/>
  <c r="DV40" i="90"/>
  <c r="B169" i="90"/>
  <c r="DV51" i="90"/>
  <c r="B178" i="90"/>
  <c r="DV60" i="90"/>
  <c r="BL218" i="90"/>
  <c r="BL138" i="90"/>
  <c r="BK150" i="90"/>
  <c r="BL208" i="90"/>
  <c r="B198" i="90"/>
  <c r="B150" i="90"/>
  <c r="CA213" i="4"/>
  <c r="CA112" i="4"/>
  <c r="CA144" i="4"/>
  <c r="CA488" i="4"/>
  <c r="CA180" i="4"/>
  <c r="CA285" i="4"/>
  <c r="CA313" i="4"/>
  <c r="CA536" i="4"/>
  <c r="CA357" i="4"/>
  <c r="CA406" i="4"/>
  <c r="CA325" i="4"/>
  <c r="CA235" i="4"/>
  <c r="CA506" i="4"/>
  <c r="CA326" i="4"/>
  <c r="CA493" i="4"/>
  <c r="CA311" i="4"/>
  <c r="CA469" i="4"/>
  <c r="CA456" i="4"/>
  <c r="CA186" i="4"/>
  <c r="CA345" i="4"/>
  <c r="CA227" i="4"/>
  <c r="CA546" i="4"/>
  <c r="CA128" i="4"/>
  <c r="CA264" i="4"/>
  <c r="CA432" i="4"/>
  <c r="CA535" i="4"/>
  <c r="CA464" i="4"/>
  <c r="CA275" i="4"/>
  <c r="CA300" i="4"/>
  <c r="CA276" i="4"/>
  <c r="CA301" i="4"/>
  <c r="CA338" i="4"/>
  <c r="CA520" i="4"/>
  <c r="CA461" i="4"/>
  <c r="CA254" i="4"/>
  <c r="CA541" i="4"/>
  <c r="CA462" i="4"/>
  <c r="CA233" i="4"/>
  <c r="CA120" i="4"/>
  <c r="CA201" i="4"/>
  <c r="CA459" i="4"/>
  <c r="CA479" i="4"/>
  <c r="CA273" i="4"/>
  <c r="CA378" i="4"/>
  <c r="CA137" i="4"/>
  <c r="CA368" i="4"/>
  <c r="CA511" i="4"/>
  <c r="CA534" i="4"/>
  <c r="CA438" i="4"/>
  <c r="CA485" i="4"/>
  <c r="CA176" i="4"/>
  <c r="CA303" i="4"/>
  <c r="CA460" i="4"/>
  <c r="CA412" i="4"/>
  <c r="CA252" i="4"/>
  <c r="CA383" i="4"/>
  <c r="CA327" i="4"/>
  <c r="CA274" i="4"/>
  <c r="CA526" i="4"/>
  <c r="CA182" i="4"/>
  <c r="CA467" i="4"/>
  <c r="CA157" i="4"/>
  <c r="CA193" i="4"/>
  <c r="CA503" i="4"/>
  <c r="CA154" i="4"/>
  <c r="CA236" i="4"/>
  <c r="CA293" i="4"/>
  <c r="CA492" i="4"/>
  <c r="CA231" i="4"/>
  <c r="CA143" i="4"/>
  <c r="CA232" i="4"/>
  <c r="CA297" i="4"/>
  <c r="CA203" i="4"/>
  <c r="CA391" i="4"/>
  <c r="CA249" i="4"/>
  <c r="CA353" i="4"/>
  <c r="CA122" i="4"/>
  <c r="CA380" i="4"/>
  <c r="CA160" i="4"/>
  <c r="CA187" i="4"/>
  <c r="CA523" i="4"/>
  <c r="CA381" i="4"/>
  <c r="CA414" i="4"/>
  <c r="CA487" i="4"/>
  <c r="CA377" i="4"/>
  <c r="CA481" i="4"/>
  <c r="CA290" i="4"/>
  <c r="CA139" i="4"/>
  <c r="CA471" i="4"/>
  <c r="CA545" i="4"/>
  <c r="CA261" i="4"/>
  <c r="CA323" i="4"/>
  <c r="CA319" i="4"/>
  <c r="CA389" i="4"/>
  <c r="CA411" i="4"/>
  <c r="CA135" i="4"/>
  <c r="CA117" i="4"/>
  <c r="CA348" i="4"/>
  <c r="CA390" i="4"/>
  <c r="CA510" i="4"/>
  <c r="CA149" i="4"/>
  <c r="CA423" i="4"/>
  <c r="CA291" i="4"/>
  <c r="CA522" i="4"/>
  <c r="CA498" i="4"/>
  <c r="CA405" i="4"/>
  <c r="CA470" i="4"/>
  <c r="CA418" i="4"/>
  <c r="CA392" i="4"/>
  <c r="CA331" i="4"/>
  <c r="CA533" i="4"/>
  <c r="CA550" i="4"/>
  <c r="CA295" i="4"/>
  <c r="CA472" i="4"/>
  <c r="CA341" i="4"/>
  <c r="CA129" i="4"/>
  <c r="CA211" i="4"/>
  <c r="CA126" i="4"/>
  <c r="CA237" i="4"/>
  <c r="CA336" i="4"/>
  <c r="CA134" i="4"/>
  <c r="CA159" i="4"/>
  <c r="CA457" i="4"/>
  <c r="CA387" i="4"/>
  <c r="CA152" i="4"/>
  <c r="CA246" i="4"/>
  <c r="CA465" i="4"/>
  <c r="CA426" i="4"/>
  <c r="CA289" i="4"/>
  <c r="CA299" i="4"/>
  <c r="CA316" i="4"/>
  <c r="CA396" i="4"/>
  <c r="CA409" i="4"/>
  <c r="CA178" i="4"/>
  <c r="CA416" i="4"/>
  <c r="CA500" i="4"/>
  <c r="CA450" i="4"/>
  <c r="CA532" i="4"/>
  <c r="CA263" i="4"/>
  <c r="CA150" i="4"/>
  <c r="CA514" i="4"/>
  <c r="CA317" i="4"/>
  <c r="CA542" i="4"/>
  <c r="CA215" i="4"/>
  <c r="CA477" i="4"/>
  <c r="CA425" i="4"/>
  <c r="CA517" i="4"/>
  <c r="CA525" i="4"/>
  <c r="CA347" i="4"/>
  <c r="CA197" i="4"/>
  <c r="CA142" i="4"/>
  <c r="CA245" i="4"/>
  <c r="CA257" i="4"/>
  <c r="CA229" i="4"/>
  <c r="CA527" i="4"/>
  <c r="CA486" i="4"/>
  <c r="CA234" i="4"/>
  <c r="CA343" i="4"/>
  <c r="CA148" i="4"/>
  <c r="CA404" i="4"/>
  <c r="CA267" i="4"/>
  <c r="CA439" i="4"/>
  <c r="CA401" i="4"/>
  <c r="CA431" i="4"/>
  <c r="CA284" i="4"/>
  <c r="CA429" i="4"/>
  <c r="CA371" i="4"/>
  <c r="CA312" i="4"/>
  <c r="CA271" i="4"/>
  <c r="CA191" i="4"/>
  <c r="CA530" i="4"/>
  <c r="CA278" i="4"/>
  <c r="CA250" i="4"/>
  <c r="CA269" i="4"/>
  <c r="CA505" i="4"/>
  <c r="CA286" i="4"/>
  <c r="CA362" i="4"/>
  <c r="CA239" i="4"/>
  <c r="CA226" i="4"/>
  <c r="CA427" i="4"/>
  <c r="CA408" i="4"/>
  <c r="CA115" i="4"/>
  <c r="CA266" i="4"/>
  <c r="CA352" i="4"/>
  <c r="CA434" i="4"/>
  <c r="CA549" i="4"/>
  <c r="CA399" i="4"/>
  <c r="CA199" i="4"/>
  <c r="CA209" i="4"/>
  <c r="CA294" i="4"/>
  <c r="CA437" i="4"/>
  <c r="CA474" i="4"/>
  <c r="CA280" i="4"/>
  <c r="CA151" i="4"/>
  <c r="CA221" i="4"/>
  <c r="CA346" i="4"/>
  <c r="CA240" i="4"/>
  <c r="CA484" i="4"/>
  <c r="CA277" i="4"/>
  <c r="CA478" i="4"/>
  <c r="CA455" i="4"/>
  <c r="CA466" i="4"/>
  <c r="CA419" i="4"/>
  <c r="CA440" i="4"/>
  <c r="CA475" i="4"/>
  <c r="CA281" i="4"/>
  <c r="CA140" i="4"/>
  <c r="CA393" i="4"/>
  <c r="CA495" i="4"/>
  <c r="CA168" i="4"/>
  <c r="CA386" i="4"/>
  <c r="CA207" i="4"/>
  <c r="CA513" i="4"/>
  <c r="CA310" i="4"/>
  <c r="CA340" i="4"/>
  <c r="CA497" i="4"/>
  <c r="CA147" i="4"/>
  <c r="CA468" i="4"/>
  <c r="CA279" i="4"/>
  <c r="CA162" i="4"/>
  <c r="CA158" i="4"/>
  <c r="CA192" i="4"/>
  <c r="CA385" i="4"/>
  <c r="CA248" i="4"/>
  <c r="CA196" i="4"/>
  <c r="CA394" i="4"/>
  <c r="CA205" i="4"/>
  <c r="CA537" i="4"/>
  <c r="CA153" i="4"/>
  <c r="CA330" i="4"/>
  <c r="CA315" i="4"/>
  <c r="CA119" i="4"/>
  <c r="CA360" i="4"/>
  <c r="CA175" i="4"/>
  <c r="CA504" i="4"/>
  <c r="CA370" i="4"/>
  <c r="CA127" i="4"/>
  <c r="CA260" i="4"/>
  <c r="CA202" i="4"/>
  <c r="CA507" i="4"/>
  <c r="CA230" i="4"/>
  <c r="CA415" i="4"/>
  <c r="CA543" i="4"/>
  <c r="CA364" i="4"/>
  <c r="CA519" i="4"/>
  <c r="CA375" i="4"/>
  <c r="CA547" i="4"/>
  <c r="CA410" i="4"/>
  <c r="CA216" i="4"/>
  <c r="CA133" i="4"/>
  <c r="CA447" i="4"/>
  <c r="CA131" i="4"/>
  <c r="CA322" i="4"/>
  <c r="CA420" i="4"/>
  <c r="CA270" i="4"/>
  <c r="CA288" i="4"/>
  <c r="CA163" i="4"/>
  <c r="CA548" i="4"/>
  <c r="CA210" i="4"/>
  <c r="CA365" i="4"/>
  <c r="CA309" i="4"/>
  <c r="CA494" i="4"/>
  <c r="CA212" i="4"/>
  <c r="CA204" i="4"/>
  <c r="CA141" i="4"/>
  <c r="CA458" i="4"/>
  <c r="CA253" i="4"/>
  <c r="CA177" i="4"/>
  <c r="CA156" i="4"/>
  <c r="CA512" i="4"/>
  <c r="CA130" i="4"/>
  <c r="CA476" i="4"/>
  <c r="CA502" i="4"/>
  <c r="CA454" i="4"/>
  <c r="CA407" i="4"/>
  <c r="CA379" i="4"/>
  <c r="CA329" i="4"/>
  <c r="CA259" i="4"/>
  <c r="CA321" i="4"/>
  <c r="CA518" i="4"/>
  <c r="CA132" i="4"/>
  <c r="CA282" i="4"/>
  <c r="CA255" i="4"/>
  <c r="CA185" i="4"/>
  <c r="CA208" i="4"/>
  <c r="CA551" i="4"/>
  <c r="CA242" i="4"/>
  <c r="CA433" i="4"/>
  <c r="CA296" i="4"/>
  <c r="CA138" i="4"/>
  <c r="CA220" i="4"/>
  <c r="CA373" i="4"/>
  <c r="CA167" i="4"/>
  <c r="CA441" i="4"/>
  <c r="CA445" i="4"/>
  <c r="CA473" i="4"/>
  <c r="CA367" i="4"/>
  <c r="CA169" i="4"/>
  <c r="CA298" i="4"/>
  <c r="CA328" i="4"/>
  <c r="CA449" i="4"/>
  <c r="CA483" i="4"/>
  <c r="CA453" i="4"/>
  <c r="CA114" i="4"/>
  <c r="CA529" i="4"/>
  <c r="CA337" i="4"/>
  <c r="CA499" i="4"/>
  <c r="CA480" i="4"/>
  <c r="CA361" i="4"/>
  <c r="CA443" i="4"/>
  <c r="CA509" i="4"/>
  <c r="CA422" i="4"/>
  <c r="CA241" i="4"/>
  <c r="CA366" i="4"/>
  <c r="CA395" i="4"/>
  <c r="CA174" i="4"/>
  <c r="CA292" i="4"/>
  <c r="CA190" i="4"/>
  <c r="CA123" i="4"/>
  <c r="CA181" i="4"/>
  <c r="CA318" i="4"/>
  <c r="CA146" i="4"/>
  <c r="CA448" i="4"/>
  <c r="CA356" i="4"/>
  <c r="CA374" i="4"/>
  <c r="CA287" i="4"/>
  <c r="CA198" i="4"/>
  <c r="CA446" i="4"/>
  <c r="CA171" i="4"/>
  <c r="CA195" i="4"/>
  <c r="CA165" i="4"/>
  <c r="CA262" i="4"/>
  <c r="CA482" i="4"/>
  <c r="CA540" i="4"/>
  <c r="CA258" i="4"/>
  <c r="CA121" i="4"/>
  <c r="CA307" i="4"/>
  <c r="CA145" i="4"/>
  <c r="CA219" i="4"/>
  <c r="CA369" i="4"/>
  <c r="CA451" i="4"/>
  <c r="CA189" i="4"/>
  <c r="CA173" i="4"/>
  <c r="CA501" i="4"/>
  <c r="CA489" i="4"/>
  <c r="CA359" i="4"/>
  <c r="CA256" i="4"/>
  <c r="CA283" i="4"/>
  <c r="CA413" i="4"/>
  <c r="CA544" i="4"/>
  <c r="CA350" i="4"/>
  <c r="CA496" i="4"/>
  <c r="CA382" i="4"/>
  <c r="CA388" i="4"/>
  <c r="CA342" i="4"/>
  <c r="CA398" i="4"/>
  <c r="CA244" i="4"/>
  <c r="CA172" i="4"/>
  <c r="CA218" i="4"/>
  <c r="CA435" i="4"/>
  <c r="CA184" i="4"/>
  <c r="CA516" i="4"/>
  <c r="CA166" i="4"/>
  <c r="CA247" i="4"/>
  <c r="CA308" i="4"/>
  <c r="CA508" i="4"/>
  <c r="CA397" i="4"/>
  <c r="CA538" i="4"/>
  <c r="CA170" i="4"/>
  <c r="CA355" i="4"/>
  <c r="CA400" i="4"/>
  <c r="CA339" i="4"/>
  <c r="CA531" i="4"/>
  <c r="CA384" i="4"/>
  <c r="CA161" i="4"/>
  <c r="CA521" i="4"/>
  <c r="CA164" i="4"/>
  <c r="CA306" i="4"/>
  <c r="CA265" i="4"/>
  <c r="CA206" i="4"/>
  <c r="CA490" i="4"/>
  <c r="CA539" i="4"/>
  <c r="CA358" i="4"/>
  <c r="CA268" i="4"/>
  <c r="CA320" i="4"/>
  <c r="CA436" i="4"/>
  <c r="CA304" i="4"/>
  <c r="CA314" i="4"/>
  <c r="CA214" i="4"/>
  <c r="CA194" i="4"/>
  <c r="CA349" i="4"/>
  <c r="CA243" i="4"/>
  <c r="CA136" i="4"/>
  <c r="CA155" i="4"/>
  <c r="CA524" i="4"/>
  <c r="CA463" i="4"/>
  <c r="CA372" i="4"/>
  <c r="CA113" i="4"/>
  <c r="CA217" i="4"/>
  <c r="CA444" i="4"/>
  <c r="CA251" i="4"/>
  <c r="CA402" i="4"/>
  <c r="CA403" i="4"/>
  <c r="CA200" i="4"/>
  <c r="CA354" i="4"/>
  <c r="CA452" i="4"/>
  <c r="CA351" i="4"/>
  <c r="CA376" i="4"/>
  <c r="CA324" i="4"/>
  <c r="CA421" i="4"/>
  <c r="CA116" i="4"/>
  <c r="CA305" i="4"/>
  <c r="CA417" i="4"/>
  <c r="CA238" i="4"/>
  <c r="CA272" i="4"/>
  <c r="CA424" i="4"/>
  <c r="CA344" i="4"/>
  <c r="CA363" i="4"/>
  <c r="CA302" i="4"/>
  <c r="CA183" i="4"/>
  <c r="CA428" i="4"/>
  <c r="CA118" i="4"/>
  <c r="CA430" i="4"/>
  <c r="CA515" i="4"/>
  <c r="CA528" i="4"/>
  <c r="CA491" i="4"/>
  <c r="D37" i="2"/>
  <c r="Y91" i="4"/>
  <c r="FG91" i="4" s="1"/>
  <c r="Y105" i="4"/>
  <c r="FG105" i="4" s="1"/>
  <c r="Y16" i="4"/>
  <c r="FG16" i="4" s="1"/>
  <c r="Y46" i="4"/>
  <c r="FG46" i="4" s="1"/>
  <c r="Y29" i="4"/>
  <c r="FG29" i="4" s="1"/>
  <c r="Y83" i="4"/>
  <c r="FG83" i="4" s="1"/>
  <c r="Y97" i="4"/>
  <c r="FG97" i="4" s="1"/>
  <c r="Y8" i="4"/>
  <c r="FG8" i="4" s="1"/>
  <c r="Y102" i="4"/>
  <c r="FG102" i="4" s="1"/>
  <c r="Y38" i="4"/>
  <c r="FG38" i="4" s="1"/>
  <c r="Y85" i="4"/>
  <c r="FG85" i="4" s="1"/>
  <c r="Y21" i="4"/>
  <c r="FG21" i="4" s="1"/>
  <c r="Y68" i="4"/>
  <c r="FG68" i="4" s="1"/>
  <c r="Y4" i="4"/>
  <c r="FG4" i="4" s="1"/>
  <c r="Y75" i="4"/>
  <c r="FG75" i="4" s="1"/>
  <c r="Y11" i="4"/>
  <c r="FG11" i="4" s="1"/>
  <c r="Y50" i="4"/>
  <c r="FG50" i="4" s="1"/>
  <c r="Y89" i="4"/>
  <c r="FG89" i="4" s="1"/>
  <c r="Y25" i="4"/>
  <c r="FG25" i="4" s="1"/>
  <c r="Y64" i="4"/>
  <c r="FG64" i="4" s="1"/>
  <c r="Y111" i="4"/>
  <c r="FG111" i="4" s="1"/>
  <c r="Y47" i="4"/>
  <c r="FG47" i="4" s="1"/>
  <c r="Y94" i="4"/>
  <c r="FG94" i="4" s="1"/>
  <c r="Y30" i="4"/>
  <c r="FG30" i="4" s="1"/>
  <c r="Y77" i="4"/>
  <c r="FG77" i="4" s="1"/>
  <c r="Y13" i="4"/>
  <c r="FG13" i="4" s="1"/>
  <c r="Y60" i="4"/>
  <c r="FG60" i="4" s="1"/>
  <c r="Y67" i="4"/>
  <c r="FG67" i="4" s="1"/>
  <c r="Y106" i="4"/>
  <c r="FG106" i="4" s="1"/>
  <c r="Y42" i="4"/>
  <c r="FG42" i="4" s="1"/>
  <c r="Y81" i="4"/>
  <c r="FG81" i="4" s="1"/>
  <c r="Y17" i="4"/>
  <c r="FG17" i="4" s="1"/>
  <c r="Y56" i="4"/>
  <c r="FG56" i="4" s="1"/>
  <c r="Y103" i="4"/>
  <c r="FG103" i="4" s="1"/>
  <c r="Y39" i="4"/>
  <c r="FG39" i="4" s="1"/>
  <c r="Y86" i="4"/>
  <c r="FG86" i="4" s="1"/>
  <c r="Y22" i="4"/>
  <c r="FG22" i="4" s="1"/>
  <c r="Y69" i="4"/>
  <c r="FG69" i="4" s="1"/>
  <c r="Y5" i="4"/>
  <c r="FG5" i="4" s="1"/>
  <c r="Y52" i="4"/>
  <c r="FG52" i="4" s="1"/>
  <c r="Y66" i="4"/>
  <c r="FG66" i="4" s="1"/>
  <c r="Y80" i="4"/>
  <c r="FG80" i="4" s="1"/>
  <c r="Y110" i="4"/>
  <c r="FG110" i="4" s="1"/>
  <c r="Y76" i="4"/>
  <c r="FG76" i="4" s="1"/>
  <c r="Y19" i="4"/>
  <c r="FG19" i="4" s="1"/>
  <c r="Y33" i="4"/>
  <c r="FG33" i="4" s="1"/>
  <c r="Y59" i="4"/>
  <c r="FG59" i="4" s="1"/>
  <c r="Y34" i="4"/>
  <c r="FG34" i="4" s="1"/>
  <c r="Y9" i="4"/>
  <c r="FG9" i="4" s="1"/>
  <c r="Y31" i="4"/>
  <c r="FG31" i="4" s="1"/>
  <c r="Y108" i="4"/>
  <c r="FG108" i="4" s="1"/>
  <c r="Y51" i="4"/>
  <c r="FG51" i="4" s="1"/>
  <c r="Y65" i="4"/>
  <c r="FG65" i="4" s="1"/>
  <c r="Y40" i="4"/>
  <c r="FG40" i="4" s="1"/>
  <c r="Y70" i="4"/>
  <c r="FG70" i="4" s="1"/>
  <c r="Y100" i="4"/>
  <c r="FG100" i="4" s="1"/>
  <c r="Y43" i="4"/>
  <c r="FG43" i="4" s="1"/>
  <c r="Y57" i="4"/>
  <c r="FG57" i="4" s="1"/>
  <c r="Y32" i="4"/>
  <c r="FG32" i="4" s="1"/>
  <c r="Y79" i="4"/>
  <c r="FG79" i="4" s="1"/>
  <c r="Y15" i="4"/>
  <c r="FG15" i="4" s="1"/>
  <c r="Y62" i="4"/>
  <c r="FG62" i="4" s="1"/>
  <c r="Y109" i="4"/>
  <c r="FG109" i="4" s="1"/>
  <c r="Y45" i="4"/>
  <c r="FG45" i="4" s="1"/>
  <c r="Y92" i="4"/>
  <c r="FG92" i="4" s="1"/>
  <c r="Y28" i="4"/>
  <c r="FG28" i="4" s="1"/>
  <c r="Y27" i="4"/>
  <c r="FG27" i="4" s="1"/>
  <c r="Y41" i="4"/>
  <c r="FG41" i="4" s="1"/>
  <c r="Y63" i="4"/>
  <c r="FG63" i="4" s="1"/>
  <c r="Y93" i="4"/>
  <c r="FG93" i="4" s="1"/>
  <c r="Y12" i="4"/>
  <c r="FG12" i="4" s="1"/>
  <c r="Y58" i="4"/>
  <c r="FG58" i="4" s="1"/>
  <c r="Y72" i="4"/>
  <c r="FG72" i="4" s="1"/>
  <c r="Y55" i="4"/>
  <c r="FG55" i="4" s="1"/>
  <c r="Y98" i="4"/>
  <c r="FG98" i="4" s="1"/>
  <c r="Y73" i="4"/>
  <c r="FG73" i="4" s="1"/>
  <c r="Y48" i="4"/>
  <c r="FG48" i="4" s="1"/>
  <c r="Y95" i="4"/>
  <c r="FG95" i="4" s="1"/>
  <c r="Y78" i="4"/>
  <c r="FG78" i="4" s="1"/>
  <c r="Y14" i="4"/>
  <c r="FG14" i="4" s="1"/>
  <c r="Y61" i="4"/>
  <c r="FG61" i="4" s="1"/>
  <c r="Y44" i="4"/>
  <c r="FG44" i="4" s="1"/>
  <c r="Y90" i="4"/>
  <c r="FG90" i="4" s="1"/>
  <c r="Y26" i="4"/>
  <c r="FG26" i="4" s="1"/>
  <c r="Y104" i="4"/>
  <c r="FG104" i="4" s="1"/>
  <c r="Y87" i="4"/>
  <c r="FG87" i="4" s="1"/>
  <c r="Y23" i="4"/>
  <c r="FG23" i="4" s="1"/>
  <c r="Y6" i="4"/>
  <c r="FG6" i="4" s="1"/>
  <c r="Y53" i="4"/>
  <c r="FG53" i="4" s="1"/>
  <c r="Y36" i="4"/>
  <c r="FG36" i="4" s="1"/>
  <c r="Y107" i="4"/>
  <c r="FG107" i="4" s="1"/>
  <c r="Y82" i="4"/>
  <c r="FG82" i="4" s="1"/>
  <c r="Y18" i="4"/>
  <c r="FG18" i="4" s="1"/>
  <c r="Y96" i="4"/>
  <c r="FG96" i="4" s="1"/>
  <c r="Y99" i="4"/>
  <c r="FG99" i="4" s="1"/>
  <c r="Y35" i="4"/>
  <c r="FG35" i="4" s="1"/>
  <c r="Y74" i="4"/>
  <c r="FG74" i="4" s="1"/>
  <c r="Y10" i="4"/>
  <c r="FG10" i="4" s="1"/>
  <c r="Y49" i="4"/>
  <c r="FG49" i="4" s="1"/>
  <c r="Y88" i="4"/>
  <c r="FG88" i="4" s="1"/>
  <c r="Y24" i="4"/>
  <c r="FG24" i="4" s="1"/>
  <c r="Y71" i="4"/>
  <c r="FG71" i="4" s="1"/>
  <c r="Y7" i="4"/>
  <c r="FG7" i="4" s="1"/>
  <c r="Y54" i="4"/>
  <c r="FG54" i="4" s="1"/>
  <c r="Y101" i="4"/>
  <c r="FG101" i="4" s="1"/>
  <c r="Y37" i="4"/>
  <c r="FG37" i="4" s="1"/>
  <c r="Y84" i="4"/>
  <c r="FG84" i="4" s="1"/>
  <c r="Y20" i="4"/>
  <c r="FG20" i="4" s="1"/>
  <c r="Y3" i="4"/>
  <c r="FG3" i="4" s="1"/>
  <c r="A33" i="108" l="1"/>
  <c r="H33" i="108"/>
  <c r="L55" i="108"/>
  <c r="B70" i="108"/>
  <c r="D70" i="108" s="1"/>
  <c r="D59" i="108"/>
  <c r="J59" i="108" s="1"/>
  <c r="FZ95" i="4"/>
  <c r="GB95" i="4"/>
  <c r="GA95" i="4"/>
  <c r="FZ93" i="4"/>
  <c r="GB93" i="4"/>
  <c r="GA93" i="4"/>
  <c r="FZ62" i="4"/>
  <c r="GB62" i="4"/>
  <c r="GA62" i="4"/>
  <c r="FZ40" i="4"/>
  <c r="GB40" i="4"/>
  <c r="GA40" i="4"/>
  <c r="FZ33" i="4"/>
  <c r="GB33" i="4"/>
  <c r="GA33" i="4"/>
  <c r="FZ69" i="4"/>
  <c r="GB69" i="4"/>
  <c r="GA69" i="4"/>
  <c r="FZ42" i="4"/>
  <c r="GB42" i="4"/>
  <c r="GA42" i="4"/>
  <c r="FZ47" i="4"/>
  <c r="GB47" i="4"/>
  <c r="GA47" i="4"/>
  <c r="FZ4" i="4"/>
  <c r="GB4" i="4"/>
  <c r="GA4" i="4"/>
  <c r="FZ83" i="4"/>
  <c r="GB83" i="4"/>
  <c r="GA83" i="4"/>
  <c r="FZ71" i="4"/>
  <c r="GB71" i="4"/>
  <c r="GA71" i="4"/>
  <c r="FZ24" i="4"/>
  <c r="GB24" i="4"/>
  <c r="GA24" i="4"/>
  <c r="FZ18" i="4"/>
  <c r="GB18" i="4"/>
  <c r="GA18" i="4"/>
  <c r="FZ104" i="4"/>
  <c r="GB104" i="4"/>
  <c r="GA104" i="4"/>
  <c r="FZ48" i="4"/>
  <c r="GB48" i="4"/>
  <c r="GA48" i="4"/>
  <c r="FZ63" i="4"/>
  <c r="GB63" i="4"/>
  <c r="GA63" i="4"/>
  <c r="FZ15" i="4"/>
  <c r="GB15" i="4"/>
  <c r="GA15" i="4"/>
  <c r="FZ65" i="4"/>
  <c r="GB65" i="4"/>
  <c r="GA65" i="4"/>
  <c r="FZ19" i="4"/>
  <c r="GB19" i="4"/>
  <c r="GA19" i="4"/>
  <c r="FZ22" i="4"/>
  <c r="GB22" i="4"/>
  <c r="GA22" i="4"/>
  <c r="FZ106" i="4"/>
  <c r="GB106" i="4"/>
  <c r="GA106" i="4"/>
  <c r="FZ111" i="4"/>
  <c r="GB111" i="4"/>
  <c r="GA111" i="4"/>
  <c r="FZ68" i="4"/>
  <c r="GB68" i="4"/>
  <c r="GA68" i="4"/>
  <c r="FZ29" i="4"/>
  <c r="GB29" i="4"/>
  <c r="GA29" i="4"/>
  <c r="FZ20" i="4"/>
  <c r="GB20" i="4"/>
  <c r="GA20" i="4"/>
  <c r="FZ88" i="4"/>
  <c r="GB88" i="4"/>
  <c r="GA88" i="4"/>
  <c r="FZ82" i="4"/>
  <c r="GB82" i="4"/>
  <c r="GA82" i="4"/>
  <c r="FZ26" i="4"/>
  <c r="GB26" i="4"/>
  <c r="GA26" i="4"/>
  <c r="FZ73" i="4"/>
  <c r="GB73" i="4"/>
  <c r="GA73" i="4"/>
  <c r="FZ41" i="4"/>
  <c r="GB41" i="4"/>
  <c r="GA41" i="4"/>
  <c r="FZ79" i="4"/>
  <c r="GB79" i="4"/>
  <c r="GA79" i="4"/>
  <c r="FZ51" i="4"/>
  <c r="GB51" i="4"/>
  <c r="GA51" i="4"/>
  <c r="FZ76" i="4"/>
  <c r="GB76" i="4"/>
  <c r="GA76" i="4"/>
  <c r="FZ86" i="4"/>
  <c r="GB86" i="4"/>
  <c r="GA86" i="4"/>
  <c r="FZ67" i="4"/>
  <c r="GB67" i="4"/>
  <c r="GA67" i="4"/>
  <c r="FZ64" i="4"/>
  <c r="GB64" i="4"/>
  <c r="GA64" i="4"/>
  <c r="FZ21" i="4"/>
  <c r="GB21" i="4"/>
  <c r="GA21" i="4"/>
  <c r="FZ46" i="4"/>
  <c r="GB46" i="4"/>
  <c r="GA46" i="4"/>
  <c r="FZ84" i="4"/>
  <c r="GB84" i="4"/>
  <c r="GA84" i="4"/>
  <c r="FZ107" i="4"/>
  <c r="GB107" i="4"/>
  <c r="GA107" i="4"/>
  <c r="FZ90" i="4"/>
  <c r="GB90" i="4"/>
  <c r="GA90" i="4"/>
  <c r="FZ98" i="4"/>
  <c r="GB98" i="4"/>
  <c r="GA98" i="4"/>
  <c r="FZ27" i="4"/>
  <c r="GB27" i="4"/>
  <c r="GA27" i="4"/>
  <c r="FZ32" i="4"/>
  <c r="GB32" i="4"/>
  <c r="GA32" i="4"/>
  <c r="FZ108" i="4"/>
  <c r="GB108" i="4"/>
  <c r="GA108" i="4"/>
  <c r="FZ110" i="4"/>
  <c r="GB110" i="4"/>
  <c r="GA110" i="4"/>
  <c r="FZ39" i="4"/>
  <c r="GB39" i="4"/>
  <c r="GA39" i="4"/>
  <c r="FZ60" i="4"/>
  <c r="GB60" i="4"/>
  <c r="GA60" i="4"/>
  <c r="FZ25" i="4"/>
  <c r="GB25" i="4"/>
  <c r="GA25" i="4"/>
  <c r="FZ85" i="4"/>
  <c r="GB85" i="4"/>
  <c r="GA85" i="4"/>
  <c r="FZ16" i="4"/>
  <c r="GB16" i="4"/>
  <c r="GA16" i="4"/>
  <c r="FZ87" i="4"/>
  <c r="GB87" i="4"/>
  <c r="GA87" i="4"/>
  <c r="FZ49" i="4"/>
  <c r="GB49" i="4"/>
  <c r="GA49" i="4"/>
  <c r="FZ37" i="4"/>
  <c r="GB37" i="4"/>
  <c r="GA37" i="4"/>
  <c r="GB10" i="4"/>
  <c r="FZ10" i="4"/>
  <c r="GA10" i="4"/>
  <c r="FZ36" i="4"/>
  <c r="GB36" i="4"/>
  <c r="GA36" i="4"/>
  <c r="FZ44" i="4"/>
  <c r="GB44" i="4"/>
  <c r="GA44" i="4"/>
  <c r="FZ55" i="4"/>
  <c r="GB55" i="4"/>
  <c r="GA55" i="4"/>
  <c r="FZ28" i="4"/>
  <c r="GB28" i="4"/>
  <c r="GA28" i="4"/>
  <c r="FZ57" i="4"/>
  <c r="GB57" i="4"/>
  <c r="GA57" i="4"/>
  <c r="FZ31" i="4"/>
  <c r="GB31" i="4"/>
  <c r="GA31" i="4"/>
  <c r="FZ80" i="4"/>
  <c r="GB80" i="4"/>
  <c r="GA80" i="4"/>
  <c r="FZ103" i="4"/>
  <c r="GB103" i="4"/>
  <c r="GA103" i="4"/>
  <c r="FZ13" i="4"/>
  <c r="GB13" i="4"/>
  <c r="GA13" i="4"/>
  <c r="FZ89" i="4"/>
  <c r="GB89" i="4"/>
  <c r="GA89" i="4"/>
  <c r="FZ38" i="4"/>
  <c r="GB38" i="4"/>
  <c r="GA38" i="4"/>
  <c r="FZ105" i="4"/>
  <c r="GB105" i="4"/>
  <c r="GA105" i="4"/>
  <c r="FZ101" i="4"/>
  <c r="GB101" i="4"/>
  <c r="GA101" i="4"/>
  <c r="FZ53" i="4"/>
  <c r="GB53" i="4"/>
  <c r="GA53" i="4"/>
  <c r="FZ61" i="4"/>
  <c r="GB61" i="4"/>
  <c r="GA61" i="4"/>
  <c r="FZ72" i="4"/>
  <c r="GB72" i="4"/>
  <c r="GA72" i="4"/>
  <c r="FZ92" i="4"/>
  <c r="GB92" i="4"/>
  <c r="GA92" i="4"/>
  <c r="FZ43" i="4"/>
  <c r="GB43" i="4"/>
  <c r="GA43" i="4"/>
  <c r="FZ9" i="4"/>
  <c r="GB9" i="4"/>
  <c r="GA9" i="4"/>
  <c r="FZ66" i="4"/>
  <c r="GB66" i="4"/>
  <c r="GA66" i="4"/>
  <c r="FZ56" i="4"/>
  <c r="GB56" i="4"/>
  <c r="GA56" i="4"/>
  <c r="FZ77" i="4"/>
  <c r="GB77" i="4"/>
  <c r="GA77" i="4"/>
  <c r="FZ50" i="4"/>
  <c r="GB50" i="4"/>
  <c r="GA50" i="4"/>
  <c r="FZ102" i="4"/>
  <c r="GB102" i="4"/>
  <c r="GA102" i="4"/>
  <c r="FZ91" i="4"/>
  <c r="GB91" i="4"/>
  <c r="GA91" i="4"/>
  <c r="FZ96" i="4"/>
  <c r="GB96" i="4"/>
  <c r="GA96" i="4"/>
  <c r="FZ3" i="4"/>
  <c r="GB3" i="4"/>
  <c r="GA3" i="4"/>
  <c r="FZ74" i="4"/>
  <c r="GB74" i="4"/>
  <c r="GA74" i="4"/>
  <c r="FZ54" i="4"/>
  <c r="GB54" i="4"/>
  <c r="GA54" i="4"/>
  <c r="FZ35" i="4"/>
  <c r="GB35" i="4"/>
  <c r="GA35" i="4"/>
  <c r="GB6" i="4"/>
  <c r="FZ6" i="4"/>
  <c r="GA6" i="4"/>
  <c r="FZ14" i="4"/>
  <c r="GB14" i="4"/>
  <c r="GA14" i="4"/>
  <c r="FZ58" i="4"/>
  <c r="GB58" i="4"/>
  <c r="GA58" i="4"/>
  <c r="FZ45" i="4"/>
  <c r="GB45" i="4"/>
  <c r="GA45" i="4"/>
  <c r="FZ100" i="4"/>
  <c r="GB100" i="4"/>
  <c r="GA100" i="4"/>
  <c r="FZ34" i="4"/>
  <c r="GB34" i="4"/>
  <c r="GA34" i="4"/>
  <c r="FZ52" i="4"/>
  <c r="GB52" i="4"/>
  <c r="GA52" i="4"/>
  <c r="FZ17" i="4"/>
  <c r="GB17" i="4"/>
  <c r="GA17" i="4"/>
  <c r="FZ30" i="4"/>
  <c r="GB30" i="4"/>
  <c r="GA30" i="4"/>
  <c r="FZ11" i="4"/>
  <c r="GB11" i="4"/>
  <c r="GA11" i="4"/>
  <c r="FZ8" i="4"/>
  <c r="GB8" i="4"/>
  <c r="GA8" i="4"/>
  <c r="FZ7" i="4"/>
  <c r="GB7" i="4"/>
  <c r="GA7" i="4"/>
  <c r="FZ99" i="4"/>
  <c r="GB99" i="4"/>
  <c r="GA99" i="4"/>
  <c r="FZ23" i="4"/>
  <c r="GB23" i="4"/>
  <c r="GA23" i="4"/>
  <c r="FZ78" i="4"/>
  <c r="GB78" i="4"/>
  <c r="GA78" i="4"/>
  <c r="FZ12" i="4"/>
  <c r="GB12" i="4"/>
  <c r="GA12" i="4"/>
  <c r="FZ109" i="4"/>
  <c r="GB109" i="4"/>
  <c r="GA109" i="4"/>
  <c r="FZ70" i="4"/>
  <c r="GB70" i="4"/>
  <c r="GA70" i="4"/>
  <c r="FZ59" i="4"/>
  <c r="GB59" i="4"/>
  <c r="GA59" i="4"/>
  <c r="FZ5" i="4"/>
  <c r="GB5" i="4"/>
  <c r="GA5" i="4"/>
  <c r="FZ81" i="4"/>
  <c r="GB81" i="4"/>
  <c r="GA81" i="4"/>
  <c r="FZ94" i="4"/>
  <c r="GB94" i="4"/>
  <c r="GA94" i="4"/>
  <c r="FZ75" i="4"/>
  <c r="GB75" i="4"/>
  <c r="GA75" i="4"/>
  <c r="FZ97" i="4"/>
  <c r="GB97" i="4"/>
  <c r="GA97" i="4"/>
  <c r="OH35" i="4"/>
  <c r="OD35" i="4"/>
  <c r="OL35" i="4"/>
  <c r="OF35" i="4"/>
  <c r="OR35" i="4"/>
  <c r="OI35" i="4"/>
  <c r="OO35" i="4"/>
  <c r="PF35" i="4"/>
  <c r="OE35" i="4"/>
  <c r="OG35" i="4"/>
  <c r="FW35" i="4"/>
  <c r="GM35" i="4"/>
  <c r="HF35" i="4"/>
  <c r="FY35" i="4"/>
  <c r="GQ35" i="4"/>
  <c r="FX35" i="4"/>
  <c r="GN35" i="4"/>
  <c r="GR35" i="4"/>
  <c r="HE35" i="4"/>
  <c r="PE35" i="4"/>
  <c r="OG84" i="4"/>
  <c r="OO84" i="4"/>
  <c r="OR84" i="4"/>
  <c r="OD84" i="4"/>
  <c r="OL84" i="4"/>
  <c r="OE84" i="4"/>
  <c r="PF84" i="4"/>
  <c r="OF84" i="4"/>
  <c r="OH84" i="4"/>
  <c r="OI84" i="4"/>
  <c r="FX84" i="4"/>
  <c r="GN84" i="4"/>
  <c r="FW84" i="4"/>
  <c r="GR84" i="4"/>
  <c r="HF84" i="4"/>
  <c r="GM84" i="4"/>
  <c r="FY84" i="4"/>
  <c r="GQ84" i="4"/>
  <c r="HE84" i="4"/>
  <c r="PE84" i="4"/>
  <c r="OD107" i="4"/>
  <c r="OL107" i="4"/>
  <c r="OE107" i="4"/>
  <c r="PF107" i="4"/>
  <c r="OG107" i="4"/>
  <c r="OO107" i="4"/>
  <c r="OH107" i="4"/>
  <c r="OR107" i="4"/>
  <c r="OF107" i="4"/>
  <c r="OI107" i="4"/>
  <c r="FX107" i="4"/>
  <c r="GN107" i="4"/>
  <c r="FY107" i="4"/>
  <c r="GR107" i="4"/>
  <c r="HF107" i="4"/>
  <c r="GM107" i="4"/>
  <c r="GQ107" i="4"/>
  <c r="FW107" i="4"/>
  <c r="HE107" i="4"/>
  <c r="PE107" i="4"/>
  <c r="OD90" i="4"/>
  <c r="OL90" i="4"/>
  <c r="OF90" i="4"/>
  <c r="OG90" i="4"/>
  <c r="OO90" i="4"/>
  <c r="PF90" i="4"/>
  <c r="OE90" i="4"/>
  <c r="OR90" i="4"/>
  <c r="OH90" i="4"/>
  <c r="OI90" i="4"/>
  <c r="FW90" i="4"/>
  <c r="GM90" i="4"/>
  <c r="HF90" i="4"/>
  <c r="FX90" i="4"/>
  <c r="GN90" i="4"/>
  <c r="FY90" i="4"/>
  <c r="GQ90" i="4"/>
  <c r="GR90" i="4"/>
  <c r="HE90" i="4"/>
  <c r="PE90" i="4"/>
  <c r="OD98" i="4"/>
  <c r="OL98" i="4"/>
  <c r="OF98" i="4"/>
  <c r="OG98" i="4"/>
  <c r="OO98" i="4"/>
  <c r="PF98" i="4"/>
  <c r="OE98" i="4"/>
  <c r="OR98" i="4"/>
  <c r="OH98" i="4"/>
  <c r="OI98" i="4"/>
  <c r="FX98" i="4"/>
  <c r="GN98" i="4"/>
  <c r="FY98" i="4"/>
  <c r="GR98" i="4"/>
  <c r="HF98" i="4"/>
  <c r="GM98" i="4"/>
  <c r="GQ98" i="4"/>
  <c r="FW98" i="4"/>
  <c r="HE98" i="4"/>
  <c r="PE98" i="4"/>
  <c r="OH27" i="4"/>
  <c r="OD27" i="4"/>
  <c r="OL27" i="4"/>
  <c r="OE27" i="4"/>
  <c r="OF27" i="4"/>
  <c r="OR27" i="4"/>
  <c r="OO27" i="4"/>
  <c r="PF27" i="4"/>
  <c r="OG27" i="4"/>
  <c r="OI27" i="4"/>
  <c r="FW27" i="4"/>
  <c r="GM27" i="4"/>
  <c r="HF27" i="4"/>
  <c r="FX27" i="4"/>
  <c r="GN27" i="4"/>
  <c r="GR27" i="4"/>
  <c r="GQ27" i="4"/>
  <c r="FY27" i="4"/>
  <c r="HE27" i="4"/>
  <c r="PE27" i="4"/>
  <c r="OF32" i="4"/>
  <c r="OG32" i="4"/>
  <c r="OO32" i="4"/>
  <c r="OD32" i="4"/>
  <c r="PF32" i="4"/>
  <c r="OH32" i="4"/>
  <c r="OI32" i="4"/>
  <c r="OE32" i="4"/>
  <c r="OL32" i="4"/>
  <c r="OR32" i="4"/>
  <c r="FW32" i="4"/>
  <c r="GM32" i="4"/>
  <c r="HF32" i="4"/>
  <c r="FX32" i="4"/>
  <c r="GQ32" i="4"/>
  <c r="GN32" i="4"/>
  <c r="GR32" i="4"/>
  <c r="FY32" i="4"/>
  <c r="HE32" i="4"/>
  <c r="PE32" i="4"/>
  <c r="OR108" i="4"/>
  <c r="OD108" i="4"/>
  <c r="OL108" i="4"/>
  <c r="OF108" i="4"/>
  <c r="OG108" i="4"/>
  <c r="OO108" i="4"/>
  <c r="OH108" i="4"/>
  <c r="PF108" i="4"/>
  <c r="OI108" i="4"/>
  <c r="OE108" i="4"/>
  <c r="FX108" i="4"/>
  <c r="GN108" i="4"/>
  <c r="FY108" i="4"/>
  <c r="GR108" i="4"/>
  <c r="HF108" i="4"/>
  <c r="GQ108" i="4"/>
  <c r="GM108" i="4"/>
  <c r="FW108" i="4"/>
  <c r="HE108" i="4"/>
  <c r="PE108" i="4"/>
  <c r="OH110" i="4"/>
  <c r="OR110" i="4"/>
  <c r="OD110" i="4"/>
  <c r="OL110" i="4"/>
  <c r="OE110" i="4"/>
  <c r="PF110" i="4"/>
  <c r="OO110" i="4"/>
  <c r="OF110" i="4"/>
  <c r="OG110" i="4"/>
  <c r="OI110" i="4"/>
  <c r="FX110" i="4"/>
  <c r="GN110" i="4"/>
  <c r="FY110" i="4"/>
  <c r="GR110" i="4"/>
  <c r="FW110" i="4"/>
  <c r="GM110" i="4"/>
  <c r="HF110" i="4"/>
  <c r="GQ110" i="4"/>
  <c r="HE110" i="4"/>
  <c r="PE110" i="4"/>
  <c r="OD39" i="4"/>
  <c r="OL39" i="4"/>
  <c r="OH39" i="4"/>
  <c r="OI39" i="4"/>
  <c r="OE39" i="4"/>
  <c r="OG39" i="4"/>
  <c r="OO39" i="4"/>
  <c r="OR39" i="4"/>
  <c r="PF39" i="4"/>
  <c r="OF39" i="4"/>
  <c r="FW39" i="4"/>
  <c r="GM39" i="4"/>
  <c r="HF39" i="4"/>
  <c r="FY39" i="4"/>
  <c r="GQ39" i="4"/>
  <c r="FX39" i="4"/>
  <c r="GN39" i="4"/>
  <c r="GR39" i="4"/>
  <c r="HE39" i="4"/>
  <c r="PE39" i="4"/>
  <c r="OH60" i="4"/>
  <c r="OR60" i="4"/>
  <c r="OD60" i="4"/>
  <c r="OL60" i="4"/>
  <c r="OE60" i="4"/>
  <c r="PF60" i="4"/>
  <c r="OF60" i="4"/>
  <c r="OG60" i="4"/>
  <c r="OI60" i="4"/>
  <c r="OO60" i="4"/>
  <c r="FY60" i="4"/>
  <c r="FW60" i="4"/>
  <c r="FX60" i="4"/>
  <c r="GM60" i="4"/>
  <c r="GN60" i="4"/>
  <c r="HF60" i="4"/>
  <c r="GQ60" i="4"/>
  <c r="GR60" i="4"/>
  <c r="HE60" i="4"/>
  <c r="PE60" i="4"/>
  <c r="OR25" i="4"/>
  <c r="OE25" i="4"/>
  <c r="PF25" i="4"/>
  <c r="OF25" i="4"/>
  <c r="OD25" i="4"/>
  <c r="OG25" i="4"/>
  <c r="OI25" i="4"/>
  <c r="OL25" i="4"/>
  <c r="OH25" i="4"/>
  <c r="OO25" i="4"/>
  <c r="FW25" i="4"/>
  <c r="GM25" i="4"/>
  <c r="HF25" i="4"/>
  <c r="FX25" i="4"/>
  <c r="GN25" i="4"/>
  <c r="GR25" i="4"/>
  <c r="GQ25" i="4"/>
  <c r="FY25" i="4"/>
  <c r="HE25" i="4"/>
  <c r="PE25" i="4"/>
  <c r="OF85" i="4"/>
  <c r="OI85" i="4"/>
  <c r="OR85" i="4"/>
  <c r="OD85" i="4"/>
  <c r="OL85" i="4"/>
  <c r="OG85" i="4"/>
  <c r="PF85" i="4"/>
  <c r="OH85" i="4"/>
  <c r="OE85" i="4"/>
  <c r="OO85" i="4"/>
  <c r="FW85" i="4"/>
  <c r="GM85" i="4"/>
  <c r="HF85" i="4"/>
  <c r="FX85" i="4"/>
  <c r="GN85" i="4"/>
  <c r="FY85" i="4"/>
  <c r="GQ85" i="4"/>
  <c r="GR85" i="4"/>
  <c r="HE85" i="4"/>
  <c r="PE85" i="4"/>
  <c r="OF16" i="4"/>
  <c r="OG16" i="4"/>
  <c r="OO16" i="4"/>
  <c r="OH16" i="4"/>
  <c r="OI16" i="4"/>
  <c r="PF16" i="4"/>
  <c r="OR16" i="4"/>
  <c r="OE16" i="4"/>
  <c r="OL16" i="4"/>
  <c r="OD16" i="4"/>
  <c r="FW16" i="4"/>
  <c r="GQ16" i="4"/>
  <c r="HF16" i="4"/>
  <c r="FX16" i="4"/>
  <c r="GR16" i="4"/>
  <c r="FY16" i="4"/>
  <c r="GM16" i="4"/>
  <c r="GN16" i="4"/>
  <c r="HE16" i="4"/>
  <c r="PE16" i="4"/>
  <c r="OE14" i="4"/>
  <c r="PF14" i="4"/>
  <c r="OH14" i="4"/>
  <c r="OI14" i="4"/>
  <c r="OR14" i="4"/>
  <c r="OG14" i="4"/>
  <c r="OL14" i="4"/>
  <c r="OF14" i="4"/>
  <c r="OD14" i="4"/>
  <c r="OO14" i="4"/>
  <c r="FW14" i="4"/>
  <c r="GQ14" i="4"/>
  <c r="HF14" i="4"/>
  <c r="FX14" i="4"/>
  <c r="GR14" i="4"/>
  <c r="FY14" i="4"/>
  <c r="GM14" i="4"/>
  <c r="GN14" i="4"/>
  <c r="HE14" i="4"/>
  <c r="PE14" i="4"/>
  <c r="OI49" i="4"/>
  <c r="OD49" i="4"/>
  <c r="OL49" i="4"/>
  <c r="OE49" i="4"/>
  <c r="OO49" i="4"/>
  <c r="OG49" i="4"/>
  <c r="OR49" i="4"/>
  <c r="PF49" i="4"/>
  <c r="OH49" i="4"/>
  <c r="OF49" i="4"/>
  <c r="FY49" i="4"/>
  <c r="GM49" i="4"/>
  <c r="GQ49" i="4"/>
  <c r="HF49" i="4"/>
  <c r="GR49" i="4"/>
  <c r="FW49" i="4"/>
  <c r="GN49" i="4"/>
  <c r="FX49" i="4"/>
  <c r="HE49" i="4"/>
  <c r="PE49" i="4"/>
  <c r="OF37" i="4"/>
  <c r="OR37" i="4"/>
  <c r="OI37" i="4"/>
  <c r="OL37" i="4"/>
  <c r="OD37" i="4"/>
  <c r="OG37" i="4"/>
  <c r="OH37" i="4"/>
  <c r="OO37" i="4"/>
  <c r="PF37" i="4"/>
  <c r="OE37" i="4"/>
  <c r="FW37" i="4"/>
  <c r="GM37" i="4"/>
  <c r="HF37" i="4"/>
  <c r="FY37" i="4"/>
  <c r="GQ37" i="4"/>
  <c r="GN37" i="4"/>
  <c r="GR37" i="4"/>
  <c r="FX37" i="4"/>
  <c r="HE37" i="4"/>
  <c r="PE37" i="4"/>
  <c r="OI10" i="4"/>
  <c r="OD10" i="4"/>
  <c r="OL10" i="4"/>
  <c r="OE10" i="4"/>
  <c r="PF10" i="4"/>
  <c r="OF10" i="4"/>
  <c r="OG10" i="4"/>
  <c r="OO10" i="4"/>
  <c r="OH10" i="4"/>
  <c r="OR10" i="4"/>
  <c r="GQ10" i="4"/>
  <c r="GN10" i="4"/>
  <c r="HF10" i="4"/>
  <c r="GR10" i="4"/>
  <c r="FW10" i="4"/>
  <c r="FX10" i="4"/>
  <c r="FY10" i="4"/>
  <c r="GM10" i="4"/>
  <c r="HE10" i="4"/>
  <c r="PE10" i="4"/>
  <c r="OG36" i="4"/>
  <c r="OO36" i="4"/>
  <c r="OI36" i="4"/>
  <c r="OL36" i="4"/>
  <c r="OE36" i="4"/>
  <c r="OF36" i="4"/>
  <c r="OR36" i="4"/>
  <c r="OD36" i="4"/>
  <c r="PF36" i="4"/>
  <c r="OH36" i="4"/>
  <c r="FW36" i="4"/>
  <c r="GM36" i="4"/>
  <c r="HF36" i="4"/>
  <c r="FY36" i="4"/>
  <c r="GQ36" i="4"/>
  <c r="GN36" i="4"/>
  <c r="GR36" i="4"/>
  <c r="FX36" i="4"/>
  <c r="HE36" i="4"/>
  <c r="PE36" i="4"/>
  <c r="OF44" i="4"/>
  <c r="OH44" i="4"/>
  <c r="OI44" i="4"/>
  <c r="OL44" i="4"/>
  <c r="OD44" i="4"/>
  <c r="OE44" i="4"/>
  <c r="OG44" i="4"/>
  <c r="PF44" i="4"/>
  <c r="OO44" i="4"/>
  <c r="OR44" i="4"/>
  <c r="FY44" i="4"/>
  <c r="FW44" i="4"/>
  <c r="GM44" i="4"/>
  <c r="GN44" i="4"/>
  <c r="GQ44" i="4"/>
  <c r="HF44" i="4"/>
  <c r="GR44" i="4"/>
  <c r="FX44" i="4"/>
  <c r="HE44" i="4"/>
  <c r="PE44" i="4"/>
  <c r="OH55" i="4"/>
  <c r="OR55" i="4"/>
  <c r="OF55" i="4"/>
  <c r="OI55" i="4"/>
  <c r="OD55" i="4"/>
  <c r="OO55" i="4"/>
  <c r="PF55" i="4"/>
  <c r="OL55" i="4"/>
  <c r="OE55" i="4"/>
  <c r="OG55" i="4"/>
  <c r="FW55" i="4"/>
  <c r="GM55" i="4"/>
  <c r="HF55" i="4"/>
  <c r="FY55" i="4"/>
  <c r="FX55" i="4"/>
  <c r="GN55" i="4"/>
  <c r="GQ55" i="4"/>
  <c r="GR55" i="4"/>
  <c r="HE55" i="4"/>
  <c r="PE55" i="4"/>
  <c r="OG28" i="4"/>
  <c r="OO28" i="4"/>
  <c r="OR28" i="4"/>
  <c r="OH28" i="4"/>
  <c r="OI28" i="4"/>
  <c r="PF28" i="4"/>
  <c r="OF28" i="4"/>
  <c r="OL28" i="4"/>
  <c r="OD28" i="4"/>
  <c r="OE28" i="4"/>
  <c r="FW28" i="4"/>
  <c r="GM28" i="4"/>
  <c r="HF28" i="4"/>
  <c r="FX28" i="4"/>
  <c r="GN28" i="4"/>
  <c r="GR28" i="4"/>
  <c r="GQ28" i="4"/>
  <c r="FY28" i="4"/>
  <c r="HE28" i="4"/>
  <c r="PE28" i="4"/>
  <c r="OF57" i="4"/>
  <c r="OI57" i="4"/>
  <c r="OL57" i="4"/>
  <c r="OD57" i="4"/>
  <c r="OO57" i="4"/>
  <c r="OG57" i="4"/>
  <c r="OR57" i="4"/>
  <c r="OH57" i="4"/>
  <c r="PF57" i="4"/>
  <c r="OE57" i="4"/>
  <c r="FY57" i="4"/>
  <c r="FX57" i="4"/>
  <c r="GM57" i="4"/>
  <c r="GN57" i="4"/>
  <c r="HF57" i="4"/>
  <c r="GQ57" i="4"/>
  <c r="GR57" i="4"/>
  <c r="FW57" i="4"/>
  <c r="HE57" i="4"/>
  <c r="PE57" i="4"/>
  <c r="OD31" i="4"/>
  <c r="OL31" i="4"/>
  <c r="OG31" i="4"/>
  <c r="OO31" i="4"/>
  <c r="OH31" i="4"/>
  <c r="PF31" i="4"/>
  <c r="OI31" i="4"/>
  <c r="OF31" i="4"/>
  <c r="OR31" i="4"/>
  <c r="OE31" i="4"/>
  <c r="FW31" i="4"/>
  <c r="GM31" i="4"/>
  <c r="HF31" i="4"/>
  <c r="FX31" i="4"/>
  <c r="GN31" i="4"/>
  <c r="GQ31" i="4"/>
  <c r="GR31" i="4"/>
  <c r="FY31" i="4"/>
  <c r="HE31" i="4"/>
  <c r="PE31" i="4"/>
  <c r="OD80" i="4"/>
  <c r="OL80" i="4"/>
  <c r="OF80" i="4"/>
  <c r="OG80" i="4"/>
  <c r="OO80" i="4"/>
  <c r="OH80" i="4"/>
  <c r="OI80" i="4"/>
  <c r="PF80" i="4"/>
  <c r="OE80" i="4"/>
  <c r="OR80" i="4"/>
  <c r="GR80" i="4"/>
  <c r="FW80" i="4"/>
  <c r="GM80" i="4"/>
  <c r="HF80" i="4"/>
  <c r="FX80" i="4"/>
  <c r="GN80" i="4"/>
  <c r="FY80" i="4"/>
  <c r="GQ80" i="4"/>
  <c r="HE80" i="4"/>
  <c r="PE80" i="4"/>
  <c r="OG103" i="4"/>
  <c r="OO103" i="4"/>
  <c r="OR103" i="4"/>
  <c r="OE103" i="4"/>
  <c r="OF103" i="4"/>
  <c r="OL103" i="4"/>
  <c r="OD103" i="4"/>
  <c r="OH103" i="4"/>
  <c r="PF103" i="4"/>
  <c r="OI103" i="4"/>
  <c r="FX103" i="4"/>
  <c r="GN103" i="4"/>
  <c r="FY103" i="4"/>
  <c r="GR103" i="4"/>
  <c r="GM103" i="4"/>
  <c r="GQ103" i="4"/>
  <c r="FW103" i="4"/>
  <c r="HF103" i="4"/>
  <c r="HE103" i="4"/>
  <c r="PE103" i="4"/>
  <c r="OF13" i="4"/>
  <c r="OI13" i="4"/>
  <c r="OR13" i="4"/>
  <c r="OD13" i="4"/>
  <c r="OL13" i="4"/>
  <c r="OH13" i="4"/>
  <c r="PF13" i="4"/>
  <c r="OE13" i="4"/>
  <c r="OG13" i="4"/>
  <c r="OO13" i="4"/>
  <c r="GM13" i="4"/>
  <c r="GN13" i="4"/>
  <c r="FW13" i="4"/>
  <c r="GQ13" i="4"/>
  <c r="HF13" i="4"/>
  <c r="FX13" i="4"/>
  <c r="GR13" i="4"/>
  <c r="FY13" i="4"/>
  <c r="HE13" i="4"/>
  <c r="PE13" i="4"/>
  <c r="OE89" i="4"/>
  <c r="PF89" i="4"/>
  <c r="OG89" i="4"/>
  <c r="OO89" i="4"/>
  <c r="OH89" i="4"/>
  <c r="OI89" i="4"/>
  <c r="OD89" i="4"/>
  <c r="OF89" i="4"/>
  <c r="OL89" i="4"/>
  <c r="OR89" i="4"/>
  <c r="FW89" i="4"/>
  <c r="GM89" i="4"/>
  <c r="GR89" i="4"/>
  <c r="GN89" i="4"/>
  <c r="GQ89" i="4"/>
  <c r="FX89" i="4"/>
  <c r="HF89" i="4"/>
  <c r="FY89" i="4"/>
  <c r="HE89" i="4"/>
  <c r="PE89" i="4"/>
  <c r="OE38" i="4"/>
  <c r="PF38" i="4"/>
  <c r="OI38" i="4"/>
  <c r="OH38" i="4"/>
  <c r="OL38" i="4"/>
  <c r="OD38" i="4"/>
  <c r="OG38" i="4"/>
  <c r="OO38" i="4"/>
  <c r="OR38" i="4"/>
  <c r="OF38" i="4"/>
  <c r="FW38" i="4"/>
  <c r="GM38" i="4"/>
  <c r="HF38" i="4"/>
  <c r="FY38" i="4"/>
  <c r="GQ38" i="4"/>
  <c r="GN38" i="4"/>
  <c r="GR38" i="4"/>
  <c r="FX38" i="4"/>
  <c r="HE38" i="4"/>
  <c r="PE38" i="4"/>
  <c r="OH105" i="4"/>
  <c r="OI105" i="4"/>
  <c r="OD105" i="4"/>
  <c r="OL105" i="4"/>
  <c r="OE105" i="4"/>
  <c r="PF105" i="4"/>
  <c r="OR105" i="4"/>
  <c r="OF105" i="4"/>
  <c r="OG105" i="4"/>
  <c r="OO105" i="4"/>
  <c r="FX105" i="4"/>
  <c r="GN105" i="4"/>
  <c r="FY105" i="4"/>
  <c r="GR105" i="4"/>
  <c r="GM105" i="4"/>
  <c r="GQ105" i="4"/>
  <c r="FW105" i="4"/>
  <c r="HF105" i="4"/>
  <c r="HE105" i="4"/>
  <c r="PE105" i="4"/>
  <c r="OD74" i="4"/>
  <c r="OL74" i="4"/>
  <c r="OG74" i="4"/>
  <c r="OO74" i="4"/>
  <c r="OH74" i="4"/>
  <c r="OE74" i="4"/>
  <c r="OR74" i="4"/>
  <c r="OF74" i="4"/>
  <c r="OI74" i="4"/>
  <c r="PF74" i="4"/>
  <c r="GR74" i="4"/>
  <c r="FW74" i="4"/>
  <c r="GM74" i="4"/>
  <c r="HF74" i="4"/>
  <c r="FX74" i="4"/>
  <c r="GN74" i="4"/>
  <c r="FY74" i="4"/>
  <c r="GQ74" i="4"/>
  <c r="HE74" i="4"/>
  <c r="PE74" i="4"/>
  <c r="OR53" i="4"/>
  <c r="OD53" i="4"/>
  <c r="OL53" i="4"/>
  <c r="OE53" i="4"/>
  <c r="PF53" i="4"/>
  <c r="OF53" i="4"/>
  <c r="OG53" i="4"/>
  <c r="OH53" i="4"/>
  <c r="OO53" i="4"/>
  <c r="OI53" i="4"/>
  <c r="GQ53" i="4"/>
  <c r="GM53" i="4"/>
  <c r="HF53" i="4"/>
  <c r="FX53" i="4"/>
  <c r="GN53" i="4"/>
  <c r="FW53" i="4"/>
  <c r="GR53" i="4"/>
  <c r="FY53" i="4"/>
  <c r="HE53" i="4"/>
  <c r="PE53" i="4"/>
  <c r="OG61" i="4"/>
  <c r="OO61" i="4"/>
  <c r="OI61" i="4"/>
  <c r="OD61" i="4"/>
  <c r="OL61" i="4"/>
  <c r="OE61" i="4"/>
  <c r="PF61" i="4"/>
  <c r="OF61" i="4"/>
  <c r="OH61" i="4"/>
  <c r="OR61" i="4"/>
  <c r="FY61" i="4"/>
  <c r="FX61" i="4"/>
  <c r="GM61" i="4"/>
  <c r="GN61" i="4"/>
  <c r="HF61" i="4"/>
  <c r="GQ61" i="4"/>
  <c r="GR61" i="4"/>
  <c r="FW61" i="4"/>
  <c r="HE61" i="4"/>
  <c r="PE61" i="4"/>
  <c r="OF72" i="4"/>
  <c r="OI72" i="4"/>
  <c r="OR72" i="4"/>
  <c r="OD72" i="4"/>
  <c r="PF72" i="4"/>
  <c r="OE72" i="4"/>
  <c r="OG72" i="4"/>
  <c r="OH72" i="4"/>
  <c r="OL72" i="4"/>
  <c r="OO72" i="4"/>
  <c r="GR72" i="4"/>
  <c r="FW72" i="4"/>
  <c r="GM72" i="4"/>
  <c r="HF72" i="4"/>
  <c r="FX72" i="4"/>
  <c r="GN72" i="4"/>
  <c r="FY72" i="4"/>
  <c r="GQ72" i="4"/>
  <c r="HE72" i="4"/>
  <c r="PE72" i="4"/>
  <c r="OR92" i="4"/>
  <c r="OD92" i="4"/>
  <c r="OL92" i="4"/>
  <c r="OE92" i="4"/>
  <c r="PF92" i="4"/>
  <c r="OF92" i="4"/>
  <c r="OG92" i="4"/>
  <c r="OH92" i="4"/>
  <c r="OI92" i="4"/>
  <c r="OO92" i="4"/>
  <c r="FW92" i="4"/>
  <c r="GM92" i="4"/>
  <c r="HF92" i="4"/>
  <c r="FX92" i="4"/>
  <c r="GN92" i="4"/>
  <c r="FY92" i="4"/>
  <c r="GQ92" i="4"/>
  <c r="GR92" i="4"/>
  <c r="HE92" i="4"/>
  <c r="PE92" i="4"/>
  <c r="OG43" i="4"/>
  <c r="OO43" i="4"/>
  <c r="OI43" i="4"/>
  <c r="OR43" i="4"/>
  <c r="OD43" i="4"/>
  <c r="PF43" i="4"/>
  <c r="OF43" i="4"/>
  <c r="OH43" i="4"/>
  <c r="OE43" i="4"/>
  <c r="OL43" i="4"/>
  <c r="FW43" i="4"/>
  <c r="FY43" i="4"/>
  <c r="FX43" i="4"/>
  <c r="GM43" i="4"/>
  <c r="GQ43" i="4"/>
  <c r="HF43" i="4"/>
  <c r="GN43" i="4"/>
  <c r="GR43" i="4"/>
  <c r="HE43" i="4"/>
  <c r="PE43" i="4"/>
  <c r="OR9" i="4"/>
  <c r="OD9" i="4"/>
  <c r="OL9" i="4"/>
  <c r="OE9" i="4"/>
  <c r="PF9" i="4"/>
  <c r="OF9" i="4"/>
  <c r="OG9" i="4"/>
  <c r="OO9" i="4"/>
  <c r="OH9" i="4"/>
  <c r="OI9" i="4"/>
  <c r="GQ9" i="4"/>
  <c r="FX9" i="4"/>
  <c r="FY9" i="4"/>
  <c r="GM9" i="4"/>
  <c r="GN9" i="4"/>
  <c r="HF9" i="4"/>
  <c r="GR9" i="4"/>
  <c r="FW9" i="4"/>
  <c r="HE9" i="4"/>
  <c r="PE9" i="4"/>
  <c r="OD66" i="4"/>
  <c r="OL66" i="4"/>
  <c r="OF66" i="4"/>
  <c r="OG66" i="4"/>
  <c r="OO66" i="4"/>
  <c r="OH66" i="4"/>
  <c r="OI66" i="4"/>
  <c r="PF66" i="4"/>
  <c r="OR66" i="4"/>
  <c r="OE66" i="4"/>
  <c r="FY66" i="4"/>
  <c r="GQ66" i="4"/>
  <c r="FW66" i="4"/>
  <c r="GR66" i="4"/>
  <c r="HF66" i="4"/>
  <c r="FX66" i="4"/>
  <c r="GM66" i="4"/>
  <c r="GN66" i="4"/>
  <c r="HE66" i="4"/>
  <c r="PE66" i="4"/>
  <c r="OG56" i="4"/>
  <c r="OO56" i="4"/>
  <c r="OR56" i="4"/>
  <c r="OE56" i="4"/>
  <c r="OH56" i="4"/>
  <c r="PF56" i="4"/>
  <c r="OI56" i="4"/>
  <c r="OD56" i="4"/>
  <c r="OF56" i="4"/>
  <c r="OL56" i="4"/>
  <c r="FW56" i="4"/>
  <c r="FY56" i="4"/>
  <c r="FX56" i="4"/>
  <c r="GM56" i="4"/>
  <c r="GN56" i="4"/>
  <c r="HF56" i="4"/>
  <c r="GQ56" i="4"/>
  <c r="GR56" i="4"/>
  <c r="HE56" i="4"/>
  <c r="PE56" i="4"/>
  <c r="OI77" i="4"/>
  <c r="OE77" i="4"/>
  <c r="PF77" i="4"/>
  <c r="OF77" i="4"/>
  <c r="OG77" i="4"/>
  <c r="OR77" i="4"/>
  <c r="OH77" i="4"/>
  <c r="OL77" i="4"/>
  <c r="OO77" i="4"/>
  <c r="OD77" i="4"/>
  <c r="GR77" i="4"/>
  <c r="FW77" i="4"/>
  <c r="GM77" i="4"/>
  <c r="HF77" i="4"/>
  <c r="FX77" i="4"/>
  <c r="GN77" i="4"/>
  <c r="FY77" i="4"/>
  <c r="GQ77" i="4"/>
  <c r="HE77" i="4"/>
  <c r="PE77" i="4"/>
  <c r="OD50" i="4"/>
  <c r="PF50" i="4"/>
  <c r="OF50" i="4"/>
  <c r="OO50" i="4"/>
  <c r="OG50" i="4"/>
  <c r="OH50" i="4"/>
  <c r="OI50" i="4"/>
  <c r="OL50" i="4"/>
  <c r="OR50" i="4"/>
  <c r="OE50" i="4"/>
  <c r="FY50" i="4"/>
  <c r="GN50" i="4"/>
  <c r="GQ50" i="4"/>
  <c r="FX50" i="4"/>
  <c r="FW50" i="4"/>
  <c r="HF50" i="4"/>
  <c r="GM50" i="4"/>
  <c r="GR50" i="4"/>
  <c r="HE50" i="4"/>
  <c r="PE50" i="4"/>
  <c r="OH102" i="4"/>
  <c r="OD102" i="4"/>
  <c r="OE102" i="4"/>
  <c r="OO102" i="4"/>
  <c r="OI102" i="4"/>
  <c r="OG102" i="4"/>
  <c r="PF102" i="4"/>
  <c r="OL102" i="4"/>
  <c r="OR102" i="4"/>
  <c r="OF102" i="4"/>
  <c r="FX102" i="4"/>
  <c r="GN102" i="4"/>
  <c r="FY102" i="4"/>
  <c r="GR102" i="4"/>
  <c r="FW102" i="4"/>
  <c r="GM102" i="4"/>
  <c r="GQ102" i="4"/>
  <c r="HF102" i="4"/>
  <c r="HE102" i="4"/>
  <c r="PE102" i="4"/>
  <c r="OE91" i="4"/>
  <c r="PF91" i="4"/>
  <c r="OF91" i="4"/>
  <c r="OI91" i="4"/>
  <c r="OD91" i="4"/>
  <c r="OG91" i="4"/>
  <c r="OH91" i="4"/>
  <c r="OL91" i="4"/>
  <c r="OR91" i="4"/>
  <c r="OO91" i="4"/>
  <c r="FW91" i="4"/>
  <c r="GM91" i="4"/>
  <c r="HF91" i="4"/>
  <c r="FX91" i="4"/>
  <c r="GN91" i="4"/>
  <c r="FY91" i="4"/>
  <c r="GQ91" i="4"/>
  <c r="GR91" i="4"/>
  <c r="HE91" i="4"/>
  <c r="PE91" i="4"/>
  <c r="OE6" i="4"/>
  <c r="PF6" i="4"/>
  <c r="OF6" i="4"/>
  <c r="OG6" i="4"/>
  <c r="OO6" i="4"/>
  <c r="OH6" i="4"/>
  <c r="OI6" i="4"/>
  <c r="OR6" i="4"/>
  <c r="OD6" i="4"/>
  <c r="OL6" i="4"/>
  <c r="GQ6" i="4"/>
  <c r="GN6" i="4"/>
  <c r="HF6" i="4"/>
  <c r="GR6" i="4"/>
  <c r="FW6" i="4"/>
  <c r="FX6" i="4"/>
  <c r="FY6" i="4"/>
  <c r="GM6" i="4"/>
  <c r="HE6" i="4"/>
  <c r="PE6" i="4"/>
  <c r="OE58" i="4"/>
  <c r="PF58" i="4"/>
  <c r="OH58" i="4"/>
  <c r="OF58" i="4"/>
  <c r="OG58" i="4"/>
  <c r="OR58" i="4"/>
  <c r="OI58" i="4"/>
  <c r="OD58" i="4"/>
  <c r="OL58" i="4"/>
  <c r="OO58" i="4"/>
  <c r="FY58" i="4"/>
  <c r="GN58" i="4"/>
  <c r="HF58" i="4"/>
  <c r="GQ58" i="4"/>
  <c r="GR58" i="4"/>
  <c r="FW58" i="4"/>
  <c r="FX58" i="4"/>
  <c r="GM58" i="4"/>
  <c r="HE58" i="4"/>
  <c r="PE58" i="4"/>
  <c r="OE45" i="4"/>
  <c r="PF45" i="4"/>
  <c r="OG45" i="4"/>
  <c r="OO45" i="4"/>
  <c r="OH45" i="4"/>
  <c r="OF45" i="4"/>
  <c r="OI45" i="4"/>
  <c r="OL45" i="4"/>
  <c r="OR45" i="4"/>
  <c r="OD45" i="4"/>
  <c r="FY45" i="4"/>
  <c r="GM45" i="4"/>
  <c r="GQ45" i="4"/>
  <c r="HF45" i="4"/>
  <c r="GR45" i="4"/>
  <c r="FW45" i="4"/>
  <c r="FX45" i="4"/>
  <c r="GN45" i="4"/>
  <c r="HE45" i="4"/>
  <c r="PE45" i="4"/>
  <c r="OR100" i="4"/>
  <c r="OD100" i="4"/>
  <c r="OL100" i="4"/>
  <c r="OE100" i="4"/>
  <c r="PF100" i="4"/>
  <c r="OF100" i="4"/>
  <c r="OG100" i="4"/>
  <c r="OH100" i="4"/>
  <c r="OI100" i="4"/>
  <c r="OO100" i="4"/>
  <c r="FX100" i="4"/>
  <c r="GN100" i="4"/>
  <c r="FY100" i="4"/>
  <c r="GR100" i="4"/>
  <c r="HF100" i="4"/>
  <c r="GM100" i="4"/>
  <c r="GQ100" i="4"/>
  <c r="FW100" i="4"/>
  <c r="HE100" i="4"/>
  <c r="PE100" i="4"/>
  <c r="OI34" i="4"/>
  <c r="OD34" i="4"/>
  <c r="OL34" i="4"/>
  <c r="OE34" i="4"/>
  <c r="PF34" i="4"/>
  <c r="OO34" i="4"/>
  <c r="OR34" i="4"/>
  <c r="OF34" i="4"/>
  <c r="OH34" i="4"/>
  <c r="OG34" i="4"/>
  <c r="FW34" i="4"/>
  <c r="GM34" i="4"/>
  <c r="HF34" i="4"/>
  <c r="FY34" i="4"/>
  <c r="GQ34" i="4"/>
  <c r="GN34" i="4"/>
  <c r="GR34" i="4"/>
  <c r="FX34" i="4"/>
  <c r="HE34" i="4"/>
  <c r="PE34" i="4"/>
  <c r="OE52" i="4"/>
  <c r="PF52" i="4"/>
  <c r="OF52" i="4"/>
  <c r="OI52" i="4"/>
  <c r="OL52" i="4"/>
  <c r="OO52" i="4"/>
  <c r="OD52" i="4"/>
  <c r="OG52" i="4"/>
  <c r="OR52" i="4"/>
  <c r="OH52" i="4"/>
  <c r="FY52" i="4"/>
  <c r="GN52" i="4"/>
  <c r="FX52" i="4"/>
  <c r="GR52" i="4"/>
  <c r="GM52" i="4"/>
  <c r="GQ52" i="4"/>
  <c r="FW52" i="4"/>
  <c r="HF52" i="4"/>
  <c r="HE52" i="4"/>
  <c r="PE52" i="4"/>
  <c r="OR17" i="4"/>
  <c r="OE17" i="4"/>
  <c r="PF17" i="4"/>
  <c r="OF17" i="4"/>
  <c r="OG17" i="4"/>
  <c r="OO17" i="4"/>
  <c r="OH17" i="4"/>
  <c r="OL17" i="4"/>
  <c r="OI17" i="4"/>
  <c r="OD17" i="4"/>
  <c r="GM17" i="4"/>
  <c r="GN17" i="4"/>
  <c r="FW17" i="4"/>
  <c r="GQ17" i="4"/>
  <c r="HF17" i="4"/>
  <c r="FX17" i="4"/>
  <c r="GR17" i="4"/>
  <c r="FY17" i="4"/>
  <c r="HE17" i="4"/>
  <c r="PE17" i="4"/>
  <c r="OE30" i="4"/>
  <c r="PF30" i="4"/>
  <c r="OH30" i="4"/>
  <c r="OI30" i="4"/>
  <c r="OG30" i="4"/>
  <c r="OL30" i="4"/>
  <c r="OO30" i="4"/>
  <c r="OF30" i="4"/>
  <c r="OR30" i="4"/>
  <c r="OD30" i="4"/>
  <c r="FW30" i="4"/>
  <c r="GM30" i="4"/>
  <c r="HF30" i="4"/>
  <c r="FX30" i="4"/>
  <c r="GN30" i="4"/>
  <c r="FY30" i="4"/>
  <c r="GQ30" i="4"/>
  <c r="GR30" i="4"/>
  <c r="HE30" i="4"/>
  <c r="PE30" i="4"/>
  <c r="OH11" i="4"/>
  <c r="OD11" i="4"/>
  <c r="OL11" i="4"/>
  <c r="OE11" i="4"/>
  <c r="PF11" i="4"/>
  <c r="OF11" i="4"/>
  <c r="OR11" i="4"/>
  <c r="OG11" i="4"/>
  <c r="OI11" i="4"/>
  <c r="OO11" i="4"/>
  <c r="GQ11" i="4"/>
  <c r="GR11" i="4"/>
  <c r="FW11" i="4"/>
  <c r="FX11" i="4"/>
  <c r="FY11" i="4"/>
  <c r="GM11" i="4"/>
  <c r="GN11" i="4"/>
  <c r="HF11" i="4"/>
  <c r="HE11" i="4"/>
  <c r="PE11" i="4"/>
  <c r="OD8" i="4"/>
  <c r="OL8" i="4"/>
  <c r="OE8" i="4"/>
  <c r="PF8" i="4"/>
  <c r="OF8" i="4"/>
  <c r="OG8" i="4"/>
  <c r="OO8" i="4"/>
  <c r="OH8" i="4"/>
  <c r="OI8" i="4"/>
  <c r="OR8" i="4"/>
  <c r="GQ8" i="4"/>
  <c r="FW8" i="4"/>
  <c r="FX8" i="4"/>
  <c r="FY8" i="4"/>
  <c r="GM8" i="4"/>
  <c r="GN8" i="4"/>
  <c r="HF8" i="4"/>
  <c r="GR8" i="4"/>
  <c r="HE8" i="4"/>
  <c r="PE8" i="4"/>
  <c r="OI54" i="4"/>
  <c r="OD54" i="4"/>
  <c r="OL54" i="4"/>
  <c r="OO54" i="4"/>
  <c r="PF54" i="4"/>
  <c r="OF54" i="4"/>
  <c r="OR54" i="4"/>
  <c r="OG54" i="4"/>
  <c r="OH54" i="4"/>
  <c r="OE54" i="4"/>
  <c r="GQ54" i="4"/>
  <c r="FW54" i="4"/>
  <c r="GM54" i="4"/>
  <c r="HF54" i="4"/>
  <c r="FY54" i="4"/>
  <c r="GN54" i="4"/>
  <c r="FX54" i="4"/>
  <c r="GR54" i="4"/>
  <c r="HE54" i="4"/>
  <c r="PE54" i="4"/>
  <c r="OH78" i="4"/>
  <c r="OD78" i="4"/>
  <c r="OL78" i="4"/>
  <c r="OF78" i="4"/>
  <c r="OG78" i="4"/>
  <c r="OR78" i="4"/>
  <c r="PF78" i="4"/>
  <c r="OI78" i="4"/>
  <c r="OE78" i="4"/>
  <c r="OO78" i="4"/>
  <c r="GR78" i="4"/>
  <c r="FW78" i="4"/>
  <c r="GM78" i="4"/>
  <c r="HF78" i="4"/>
  <c r="FX78" i="4"/>
  <c r="GN78" i="4"/>
  <c r="FY78" i="4"/>
  <c r="GQ78" i="4"/>
  <c r="HE78" i="4"/>
  <c r="PE78" i="4"/>
  <c r="OI109" i="4"/>
  <c r="OR109" i="4"/>
  <c r="OE109" i="4"/>
  <c r="PF109" i="4"/>
  <c r="OF109" i="4"/>
  <c r="OD109" i="4"/>
  <c r="OG109" i="4"/>
  <c r="OH109" i="4"/>
  <c r="OL109" i="4"/>
  <c r="OO109" i="4"/>
  <c r="FX109" i="4"/>
  <c r="GN109" i="4"/>
  <c r="FY109" i="4"/>
  <c r="GR109" i="4"/>
  <c r="GQ109" i="4"/>
  <c r="HF109" i="4"/>
  <c r="GM109" i="4"/>
  <c r="FW109" i="4"/>
  <c r="HE109" i="4"/>
  <c r="PE109" i="4"/>
  <c r="OH70" i="4"/>
  <c r="OD70" i="4"/>
  <c r="OL70" i="4"/>
  <c r="OO70" i="4"/>
  <c r="PF70" i="4"/>
  <c r="OE70" i="4"/>
  <c r="OF70" i="4"/>
  <c r="OR70" i="4"/>
  <c r="OG70" i="4"/>
  <c r="OI70" i="4"/>
  <c r="GR70" i="4"/>
  <c r="FW70" i="4"/>
  <c r="GM70" i="4"/>
  <c r="HF70" i="4"/>
  <c r="FX70" i="4"/>
  <c r="GN70" i="4"/>
  <c r="FY70" i="4"/>
  <c r="GQ70" i="4"/>
  <c r="HE70" i="4"/>
  <c r="PE70" i="4"/>
  <c r="OD59" i="4"/>
  <c r="OL59" i="4"/>
  <c r="OG59" i="4"/>
  <c r="OO59" i="4"/>
  <c r="OE59" i="4"/>
  <c r="OH59" i="4"/>
  <c r="OR59" i="4"/>
  <c r="PF59" i="4"/>
  <c r="OI59" i="4"/>
  <c r="OF59" i="4"/>
  <c r="FY59" i="4"/>
  <c r="GQ59" i="4"/>
  <c r="GR59" i="4"/>
  <c r="FW59" i="4"/>
  <c r="FX59" i="4"/>
  <c r="GM59" i="4"/>
  <c r="GN59" i="4"/>
  <c r="HF59" i="4"/>
  <c r="HE59" i="4"/>
  <c r="PE59" i="4"/>
  <c r="OF5" i="4"/>
  <c r="OG5" i="4"/>
  <c r="OO5" i="4"/>
  <c r="OH5" i="4"/>
  <c r="OI5" i="4"/>
  <c r="OR5" i="4"/>
  <c r="OD5" i="4"/>
  <c r="OL5" i="4"/>
  <c r="OE5" i="4"/>
  <c r="PF5" i="4"/>
  <c r="GQ5" i="4"/>
  <c r="FX5" i="4"/>
  <c r="FY5" i="4"/>
  <c r="GM5" i="4"/>
  <c r="GN5" i="4"/>
  <c r="HF5" i="4"/>
  <c r="GR5" i="4"/>
  <c r="FW5" i="4"/>
  <c r="HE5" i="4"/>
  <c r="PE5" i="4"/>
  <c r="OR81" i="4"/>
  <c r="OE81" i="4"/>
  <c r="PF81" i="4"/>
  <c r="OF81" i="4"/>
  <c r="OG81" i="4"/>
  <c r="OO81" i="4"/>
  <c r="OH81" i="4"/>
  <c r="OL81" i="4"/>
  <c r="OD81" i="4"/>
  <c r="OI81" i="4"/>
  <c r="GR81" i="4"/>
  <c r="FW81" i="4"/>
  <c r="GM81" i="4"/>
  <c r="HF81" i="4"/>
  <c r="FX81" i="4"/>
  <c r="GN81" i="4"/>
  <c r="FY81" i="4"/>
  <c r="GQ81" i="4"/>
  <c r="HE81" i="4"/>
  <c r="PE81" i="4"/>
  <c r="OH94" i="4"/>
  <c r="OR94" i="4"/>
  <c r="OF94" i="4"/>
  <c r="OG94" i="4"/>
  <c r="OI94" i="4"/>
  <c r="OL94" i="4"/>
  <c r="OO94" i="4"/>
  <c r="OD94" i="4"/>
  <c r="OE94" i="4"/>
  <c r="PF94" i="4"/>
  <c r="FW94" i="4"/>
  <c r="GM94" i="4"/>
  <c r="HF94" i="4"/>
  <c r="FX94" i="4"/>
  <c r="GN94" i="4"/>
  <c r="FY94" i="4"/>
  <c r="GQ94" i="4"/>
  <c r="GR94" i="4"/>
  <c r="HE94" i="4"/>
  <c r="PE94" i="4"/>
  <c r="OF75" i="4"/>
  <c r="OG75" i="4"/>
  <c r="OO75" i="4"/>
  <c r="OL75" i="4"/>
  <c r="OD75" i="4"/>
  <c r="PF75" i="4"/>
  <c r="OE75" i="4"/>
  <c r="OR75" i="4"/>
  <c r="OH75" i="4"/>
  <c r="OI75" i="4"/>
  <c r="GR75" i="4"/>
  <c r="FW75" i="4"/>
  <c r="GM75" i="4"/>
  <c r="HF75" i="4"/>
  <c r="FX75" i="4"/>
  <c r="GN75" i="4"/>
  <c r="FY75" i="4"/>
  <c r="GQ75" i="4"/>
  <c r="HE75" i="4"/>
  <c r="PE75" i="4"/>
  <c r="OE97" i="4"/>
  <c r="PF97" i="4"/>
  <c r="OG97" i="4"/>
  <c r="OO97" i="4"/>
  <c r="OH97" i="4"/>
  <c r="OI97" i="4"/>
  <c r="OL97" i="4"/>
  <c r="OR97" i="4"/>
  <c r="OD97" i="4"/>
  <c r="OF97" i="4"/>
  <c r="FW97" i="4"/>
  <c r="GM97" i="4"/>
  <c r="FX97" i="4"/>
  <c r="GN97" i="4"/>
  <c r="FY97" i="4"/>
  <c r="GR97" i="4"/>
  <c r="GQ97" i="4"/>
  <c r="HF97" i="4"/>
  <c r="HE97" i="4"/>
  <c r="PE97" i="4"/>
  <c r="OD7" i="4"/>
  <c r="OL7" i="4"/>
  <c r="OE7" i="4"/>
  <c r="PF7" i="4"/>
  <c r="OF7" i="4"/>
  <c r="OG7" i="4"/>
  <c r="OO7" i="4"/>
  <c r="OH7" i="4"/>
  <c r="OI7" i="4"/>
  <c r="OR7" i="4"/>
  <c r="GQ7" i="4"/>
  <c r="GR7" i="4"/>
  <c r="FW7" i="4"/>
  <c r="FX7" i="4"/>
  <c r="FY7" i="4"/>
  <c r="GM7" i="4"/>
  <c r="GN7" i="4"/>
  <c r="HF7" i="4"/>
  <c r="HE7" i="4"/>
  <c r="PE7" i="4"/>
  <c r="OG12" i="4"/>
  <c r="OO12" i="4"/>
  <c r="OR12" i="4"/>
  <c r="OD12" i="4"/>
  <c r="OL12" i="4"/>
  <c r="OE12" i="4"/>
  <c r="PF12" i="4"/>
  <c r="OF12" i="4"/>
  <c r="OH12" i="4"/>
  <c r="OI12" i="4"/>
  <c r="FW12" i="4"/>
  <c r="GQ12" i="4"/>
  <c r="HF12" i="4"/>
  <c r="FX12" i="4"/>
  <c r="GR12" i="4"/>
  <c r="FY12" i="4"/>
  <c r="GM12" i="4"/>
  <c r="GN12" i="4"/>
  <c r="HE12" i="4"/>
  <c r="PE12" i="4"/>
  <c r="OG71" i="4"/>
  <c r="OO71" i="4"/>
  <c r="OR71" i="4"/>
  <c r="OI71" i="4"/>
  <c r="OL71" i="4"/>
  <c r="OD71" i="4"/>
  <c r="PF71" i="4"/>
  <c r="OE71" i="4"/>
  <c r="OF71" i="4"/>
  <c r="OH71" i="4"/>
  <c r="GR71" i="4"/>
  <c r="FW71" i="4"/>
  <c r="GM71" i="4"/>
  <c r="HF71" i="4"/>
  <c r="FX71" i="4"/>
  <c r="GN71" i="4"/>
  <c r="FY71" i="4"/>
  <c r="GQ71" i="4"/>
  <c r="HE71" i="4"/>
  <c r="PE71" i="4"/>
  <c r="OF96" i="4"/>
  <c r="OH96" i="4"/>
  <c r="OI96" i="4"/>
  <c r="OG96" i="4"/>
  <c r="OO96" i="4"/>
  <c r="OL96" i="4"/>
  <c r="OR96" i="4"/>
  <c r="OD96" i="4"/>
  <c r="OE96" i="4"/>
  <c r="PF96" i="4"/>
  <c r="FW96" i="4"/>
  <c r="GM96" i="4"/>
  <c r="HF96" i="4"/>
  <c r="FX96" i="4"/>
  <c r="GN96" i="4"/>
  <c r="FY96" i="4"/>
  <c r="GQ96" i="4"/>
  <c r="GR96" i="4"/>
  <c r="HE96" i="4"/>
  <c r="PE96" i="4"/>
  <c r="OD87" i="4"/>
  <c r="OL87" i="4"/>
  <c r="OG87" i="4"/>
  <c r="OO87" i="4"/>
  <c r="OH87" i="4"/>
  <c r="OI87" i="4"/>
  <c r="OR87" i="4"/>
  <c r="OE87" i="4"/>
  <c r="OF87" i="4"/>
  <c r="PF87" i="4"/>
  <c r="FW87" i="4"/>
  <c r="GM87" i="4"/>
  <c r="HF87" i="4"/>
  <c r="FX87" i="4"/>
  <c r="GN87" i="4"/>
  <c r="GQ87" i="4"/>
  <c r="GR87" i="4"/>
  <c r="FY87" i="4"/>
  <c r="HE87" i="4"/>
  <c r="PE87" i="4"/>
  <c r="OG95" i="4"/>
  <c r="OO95" i="4"/>
  <c r="OI95" i="4"/>
  <c r="OR95" i="4"/>
  <c r="OD95" i="4"/>
  <c r="PF95" i="4"/>
  <c r="OH95" i="4"/>
  <c r="OL95" i="4"/>
  <c r="OE95" i="4"/>
  <c r="OF95" i="4"/>
  <c r="FW95" i="4"/>
  <c r="GM95" i="4"/>
  <c r="HF95" i="4"/>
  <c r="FX95" i="4"/>
  <c r="GN95" i="4"/>
  <c r="FY95" i="4"/>
  <c r="GQ95" i="4"/>
  <c r="GR95" i="4"/>
  <c r="HE95" i="4"/>
  <c r="PE95" i="4"/>
  <c r="OI93" i="4"/>
  <c r="OD93" i="4"/>
  <c r="OL93" i="4"/>
  <c r="OF93" i="4"/>
  <c r="OR93" i="4"/>
  <c r="OG93" i="4"/>
  <c r="OH93" i="4"/>
  <c r="OO93" i="4"/>
  <c r="OE93" i="4"/>
  <c r="PF93" i="4"/>
  <c r="FW93" i="4"/>
  <c r="GM93" i="4"/>
  <c r="HF93" i="4"/>
  <c r="FX93" i="4"/>
  <c r="GN93" i="4"/>
  <c r="FY93" i="4"/>
  <c r="GQ93" i="4"/>
  <c r="GR93" i="4"/>
  <c r="HE93" i="4"/>
  <c r="PE93" i="4"/>
  <c r="OF62" i="4"/>
  <c r="OH62" i="4"/>
  <c r="OR62" i="4"/>
  <c r="OD62" i="4"/>
  <c r="OL62" i="4"/>
  <c r="OO62" i="4"/>
  <c r="OE62" i="4"/>
  <c r="OG62" i="4"/>
  <c r="PF62" i="4"/>
  <c r="OI62" i="4"/>
  <c r="FY62" i="4"/>
  <c r="GN62" i="4"/>
  <c r="GQ62" i="4"/>
  <c r="HF62" i="4"/>
  <c r="GR62" i="4"/>
  <c r="FW62" i="4"/>
  <c r="FX62" i="4"/>
  <c r="GM62" i="4"/>
  <c r="HE62" i="4"/>
  <c r="PE62" i="4"/>
  <c r="OG40" i="4"/>
  <c r="OO40" i="4"/>
  <c r="OI40" i="4"/>
  <c r="OR40" i="4"/>
  <c r="OL40" i="4"/>
  <c r="PF40" i="4"/>
  <c r="OE40" i="4"/>
  <c r="OH40" i="4"/>
  <c r="OD40" i="4"/>
  <c r="OF40" i="4"/>
  <c r="FW40" i="4"/>
  <c r="GM40" i="4"/>
  <c r="HF40" i="4"/>
  <c r="FY40" i="4"/>
  <c r="GQ40" i="4"/>
  <c r="GN40" i="4"/>
  <c r="FX40" i="4"/>
  <c r="GR40" i="4"/>
  <c r="HE40" i="4"/>
  <c r="PE40" i="4"/>
  <c r="OR33" i="4"/>
  <c r="OF33" i="4"/>
  <c r="OD33" i="4"/>
  <c r="OO33" i="4"/>
  <c r="OH33" i="4"/>
  <c r="PF33" i="4"/>
  <c r="OI33" i="4"/>
  <c r="OG33" i="4"/>
  <c r="OL33" i="4"/>
  <c r="OE33" i="4"/>
  <c r="FW33" i="4"/>
  <c r="GM33" i="4"/>
  <c r="HF33" i="4"/>
  <c r="FY33" i="4"/>
  <c r="GQ33" i="4"/>
  <c r="GN33" i="4"/>
  <c r="GR33" i="4"/>
  <c r="FX33" i="4"/>
  <c r="HE33" i="4"/>
  <c r="PE33" i="4"/>
  <c r="OI69" i="4"/>
  <c r="OD69" i="4"/>
  <c r="OL69" i="4"/>
  <c r="OE69" i="4"/>
  <c r="PF69" i="4"/>
  <c r="OG69" i="4"/>
  <c r="OH69" i="4"/>
  <c r="OO69" i="4"/>
  <c r="OR69" i="4"/>
  <c r="OF69" i="4"/>
  <c r="FY69" i="4"/>
  <c r="GR69" i="4"/>
  <c r="GM69" i="4"/>
  <c r="HF69" i="4"/>
  <c r="GN69" i="4"/>
  <c r="FW69" i="4"/>
  <c r="FX69" i="4"/>
  <c r="GQ69" i="4"/>
  <c r="HE69" i="4"/>
  <c r="PE69" i="4"/>
  <c r="OH42" i="4"/>
  <c r="OR42" i="4"/>
  <c r="OG42" i="4"/>
  <c r="OL42" i="4"/>
  <c r="OD42" i="4"/>
  <c r="OE42" i="4"/>
  <c r="OF42" i="4"/>
  <c r="PF42" i="4"/>
  <c r="OI42" i="4"/>
  <c r="OO42" i="4"/>
  <c r="FW42" i="4"/>
  <c r="GM42" i="4"/>
  <c r="HF42" i="4"/>
  <c r="FY42" i="4"/>
  <c r="GN42" i="4"/>
  <c r="FX42" i="4"/>
  <c r="GR42" i="4"/>
  <c r="GQ42" i="4"/>
  <c r="HE42" i="4"/>
  <c r="PE42" i="4"/>
  <c r="OE47" i="4"/>
  <c r="PF47" i="4"/>
  <c r="OF47" i="4"/>
  <c r="OD47" i="4"/>
  <c r="OH47" i="4"/>
  <c r="OI47" i="4"/>
  <c r="OG47" i="4"/>
  <c r="OL47" i="4"/>
  <c r="OO47" i="4"/>
  <c r="OR47" i="4"/>
  <c r="FY47" i="4"/>
  <c r="FW47" i="4"/>
  <c r="FX47" i="4"/>
  <c r="GM47" i="4"/>
  <c r="GQ47" i="4"/>
  <c r="HF47" i="4"/>
  <c r="GN47" i="4"/>
  <c r="GR47" i="4"/>
  <c r="HE47" i="4"/>
  <c r="PE47" i="4"/>
  <c r="OG4" i="4"/>
  <c r="OO4" i="4"/>
  <c r="OH4" i="4"/>
  <c r="OI4" i="4"/>
  <c r="OR4" i="4"/>
  <c r="OD4" i="4"/>
  <c r="OL4" i="4"/>
  <c r="OE4" i="4"/>
  <c r="PF4" i="4"/>
  <c r="OF4" i="4"/>
  <c r="GQ4" i="4"/>
  <c r="FW4" i="4"/>
  <c r="FX4" i="4"/>
  <c r="FY4" i="4"/>
  <c r="GM4" i="4"/>
  <c r="GN4" i="4"/>
  <c r="HF4" i="4"/>
  <c r="GR4" i="4"/>
  <c r="HE4" i="4"/>
  <c r="PE4" i="4"/>
  <c r="OH83" i="4"/>
  <c r="OD83" i="4"/>
  <c r="OL83" i="4"/>
  <c r="OE83" i="4"/>
  <c r="PF83" i="4"/>
  <c r="OF83" i="4"/>
  <c r="OG83" i="4"/>
  <c r="OI83" i="4"/>
  <c r="OR83" i="4"/>
  <c r="OO83" i="4"/>
  <c r="GR83" i="4"/>
  <c r="FW83" i="4"/>
  <c r="GM83" i="4"/>
  <c r="HF83" i="4"/>
  <c r="FX83" i="4"/>
  <c r="GN83" i="4"/>
  <c r="FY83" i="4"/>
  <c r="GQ83" i="4"/>
  <c r="HE83" i="4"/>
  <c r="PE83" i="4"/>
  <c r="OI101" i="4"/>
  <c r="OD101" i="4"/>
  <c r="OL101" i="4"/>
  <c r="OE101" i="4"/>
  <c r="OO101" i="4"/>
  <c r="OF101" i="4"/>
  <c r="OR101" i="4"/>
  <c r="OG101" i="4"/>
  <c r="PF101" i="4"/>
  <c r="OH101" i="4"/>
  <c r="FX101" i="4"/>
  <c r="GN101" i="4"/>
  <c r="FY101" i="4"/>
  <c r="GR101" i="4"/>
  <c r="GQ101" i="4"/>
  <c r="HF101" i="4"/>
  <c r="FW101" i="4"/>
  <c r="GM101" i="4"/>
  <c r="HE101" i="4"/>
  <c r="PE101" i="4"/>
  <c r="OD23" i="4"/>
  <c r="OL23" i="4"/>
  <c r="OG23" i="4"/>
  <c r="OO23" i="4"/>
  <c r="OH23" i="4"/>
  <c r="PF23" i="4"/>
  <c r="OR23" i="4"/>
  <c r="OE23" i="4"/>
  <c r="OF23" i="4"/>
  <c r="OI23" i="4"/>
  <c r="FW23" i="4"/>
  <c r="GM23" i="4"/>
  <c r="HF23" i="4"/>
  <c r="FX23" i="4"/>
  <c r="GN23" i="4"/>
  <c r="GQ23" i="4"/>
  <c r="GR23" i="4"/>
  <c r="FY23" i="4"/>
  <c r="HE23" i="4"/>
  <c r="PE23" i="4"/>
  <c r="OF24" i="4"/>
  <c r="OG24" i="4"/>
  <c r="OO24" i="4"/>
  <c r="OD24" i="4"/>
  <c r="PF24" i="4"/>
  <c r="OI24" i="4"/>
  <c r="OL24" i="4"/>
  <c r="OR24" i="4"/>
  <c r="OE24" i="4"/>
  <c r="OH24" i="4"/>
  <c r="FW24" i="4"/>
  <c r="GM24" i="4"/>
  <c r="HF24" i="4"/>
  <c r="FX24" i="4"/>
  <c r="GN24" i="4"/>
  <c r="GQ24" i="4"/>
  <c r="GR24" i="4"/>
  <c r="FY24" i="4"/>
  <c r="HE24" i="4"/>
  <c r="PE24" i="4"/>
  <c r="OI104" i="4"/>
  <c r="OR104" i="4"/>
  <c r="OE104" i="4"/>
  <c r="PF104" i="4"/>
  <c r="OF104" i="4"/>
  <c r="OH104" i="4"/>
  <c r="OL104" i="4"/>
  <c r="OD104" i="4"/>
  <c r="OG104" i="4"/>
  <c r="OO104" i="4"/>
  <c r="FX104" i="4"/>
  <c r="GN104" i="4"/>
  <c r="FY104" i="4"/>
  <c r="GR104" i="4"/>
  <c r="HF104" i="4"/>
  <c r="GM104" i="4"/>
  <c r="GQ104" i="4"/>
  <c r="FW104" i="4"/>
  <c r="HE104" i="4"/>
  <c r="PE104" i="4"/>
  <c r="OE63" i="4"/>
  <c r="PF63" i="4"/>
  <c r="OG63" i="4"/>
  <c r="OO63" i="4"/>
  <c r="OI63" i="4"/>
  <c r="OR63" i="4"/>
  <c r="OH63" i="4"/>
  <c r="OL63" i="4"/>
  <c r="OD63" i="4"/>
  <c r="OF63" i="4"/>
  <c r="FY63" i="4"/>
  <c r="GM63" i="4"/>
  <c r="GN63" i="4"/>
  <c r="GQ63" i="4"/>
  <c r="FW63" i="4"/>
  <c r="GR63" i="4"/>
  <c r="HF63" i="4"/>
  <c r="FX63" i="4"/>
  <c r="HE63" i="4"/>
  <c r="PE63" i="4"/>
  <c r="OD15" i="4"/>
  <c r="OL15" i="4"/>
  <c r="OG15" i="4"/>
  <c r="OO15" i="4"/>
  <c r="OH15" i="4"/>
  <c r="OI15" i="4"/>
  <c r="OR15" i="4"/>
  <c r="OE15" i="4"/>
  <c r="OF15" i="4"/>
  <c r="PF15" i="4"/>
  <c r="GM15" i="4"/>
  <c r="GN15" i="4"/>
  <c r="FW15" i="4"/>
  <c r="GQ15" i="4"/>
  <c r="HF15" i="4"/>
  <c r="FX15" i="4"/>
  <c r="GR15" i="4"/>
  <c r="FY15" i="4"/>
  <c r="HE15" i="4"/>
  <c r="PE15" i="4"/>
  <c r="OE65" i="4"/>
  <c r="PF65" i="4"/>
  <c r="OG65" i="4"/>
  <c r="OO65" i="4"/>
  <c r="OH65" i="4"/>
  <c r="OI65" i="4"/>
  <c r="OR65" i="4"/>
  <c r="OD65" i="4"/>
  <c r="OF65" i="4"/>
  <c r="OL65" i="4"/>
  <c r="FY65" i="4"/>
  <c r="GM65" i="4"/>
  <c r="GN65" i="4"/>
  <c r="GQ65" i="4"/>
  <c r="FW65" i="4"/>
  <c r="GR65" i="4"/>
  <c r="HF65" i="4"/>
  <c r="FX65" i="4"/>
  <c r="HE65" i="4"/>
  <c r="PE65" i="4"/>
  <c r="OH19" i="4"/>
  <c r="OD19" i="4"/>
  <c r="OL19" i="4"/>
  <c r="OE19" i="4"/>
  <c r="PF19" i="4"/>
  <c r="OF19" i="4"/>
  <c r="OI19" i="4"/>
  <c r="OR19" i="4"/>
  <c r="OO19" i="4"/>
  <c r="OG19" i="4"/>
  <c r="FX19" i="4"/>
  <c r="FY19" i="4"/>
  <c r="GQ19" i="4"/>
  <c r="GR19" i="4"/>
  <c r="HF19" i="4"/>
  <c r="GM19" i="4"/>
  <c r="GN19" i="4"/>
  <c r="FW19" i="4"/>
  <c r="HE19" i="4"/>
  <c r="PE19" i="4"/>
  <c r="OE22" i="4"/>
  <c r="PF22" i="4"/>
  <c r="OH22" i="4"/>
  <c r="OI22" i="4"/>
  <c r="OF22" i="4"/>
  <c r="OG22" i="4"/>
  <c r="OD22" i="4"/>
  <c r="OL22" i="4"/>
  <c r="OO22" i="4"/>
  <c r="OR22" i="4"/>
  <c r="FW22" i="4"/>
  <c r="GM22" i="4"/>
  <c r="HF22" i="4"/>
  <c r="FX22" i="4"/>
  <c r="GN22" i="4"/>
  <c r="FY22" i="4"/>
  <c r="GQ22" i="4"/>
  <c r="GR22" i="4"/>
  <c r="HE22" i="4"/>
  <c r="PE22" i="4"/>
  <c r="OH106" i="4"/>
  <c r="OD106" i="4"/>
  <c r="OL106" i="4"/>
  <c r="OE106" i="4"/>
  <c r="OO106" i="4"/>
  <c r="OF106" i="4"/>
  <c r="OG106" i="4"/>
  <c r="OR106" i="4"/>
  <c r="PF106" i="4"/>
  <c r="OI106" i="4"/>
  <c r="FX106" i="4"/>
  <c r="GN106" i="4"/>
  <c r="FY106" i="4"/>
  <c r="GR106" i="4"/>
  <c r="FW106" i="4"/>
  <c r="GM106" i="4"/>
  <c r="GQ106" i="4"/>
  <c r="HF106" i="4"/>
  <c r="HE106" i="4"/>
  <c r="PE106" i="4"/>
  <c r="OG111" i="4"/>
  <c r="OI111" i="4"/>
  <c r="OD111" i="4"/>
  <c r="OL111" i="4"/>
  <c r="OO111" i="4"/>
  <c r="PF111" i="4"/>
  <c r="OE111" i="4"/>
  <c r="OR111" i="4"/>
  <c r="OF111" i="4"/>
  <c r="OH111" i="4"/>
  <c r="FX111" i="4"/>
  <c r="GN111" i="4"/>
  <c r="FY111" i="4"/>
  <c r="GR111" i="4"/>
  <c r="GQ111" i="4"/>
  <c r="FW111" i="4"/>
  <c r="GM111" i="4"/>
  <c r="HF111" i="4"/>
  <c r="HE111" i="4"/>
  <c r="PE111" i="4"/>
  <c r="OR68" i="4"/>
  <c r="OE68" i="4"/>
  <c r="PF68" i="4"/>
  <c r="OF68" i="4"/>
  <c r="OL68" i="4"/>
  <c r="OO68" i="4"/>
  <c r="OD68" i="4"/>
  <c r="OG68" i="4"/>
  <c r="OH68" i="4"/>
  <c r="OI68" i="4"/>
  <c r="FY68" i="4"/>
  <c r="GQ68" i="4"/>
  <c r="FW68" i="4"/>
  <c r="GR68" i="4"/>
  <c r="HF68" i="4"/>
  <c r="FX68" i="4"/>
  <c r="GM68" i="4"/>
  <c r="GN68" i="4"/>
  <c r="HE68" i="4"/>
  <c r="PE68" i="4"/>
  <c r="OF29" i="4"/>
  <c r="OI29" i="4"/>
  <c r="OR29" i="4"/>
  <c r="OO29" i="4"/>
  <c r="OG29" i="4"/>
  <c r="OH29" i="4"/>
  <c r="OE29" i="4"/>
  <c r="PF29" i="4"/>
  <c r="OL29" i="4"/>
  <c r="OD29" i="4"/>
  <c r="FW29" i="4"/>
  <c r="GM29" i="4"/>
  <c r="HF29" i="4"/>
  <c r="FX29" i="4"/>
  <c r="GN29" i="4"/>
  <c r="FY29" i="4"/>
  <c r="GR29" i="4"/>
  <c r="GQ29" i="4"/>
  <c r="HE29" i="4"/>
  <c r="PE29" i="4"/>
  <c r="OE99" i="4"/>
  <c r="PF99" i="4"/>
  <c r="OF99" i="4"/>
  <c r="OD99" i="4"/>
  <c r="OI99" i="4"/>
  <c r="OO99" i="4"/>
  <c r="OR99" i="4"/>
  <c r="OG99" i="4"/>
  <c r="OH99" i="4"/>
  <c r="OL99" i="4"/>
  <c r="FX99" i="4"/>
  <c r="GN99" i="4"/>
  <c r="FY99" i="4"/>
  <c r="GR99" i="4"/>
  <c r="GQ99" i="4"/>
  <c r="HF99" i="4"/>
  <c r="FW99" i="4"/>
  <c r="GM99" i="4"/>
  <c r="HE99" i="4"/>
  <c r="PE99" i="4"/>
  <c r="OH3" i="4"/>
  <c r="OI3" i="4"/>
  <c r="OR3" i="4"/>
  <c r="OD3" i="4"/>
  <c r="OL3" i="4"/>
  <c r="OE3" i="4"/>
  <c r="PF3" i="4"/>
  <c r="OF3" i="4"/>
  <c r="OG3" i="4"/>
  <c r="OO3" i="4"/>
  <c r="GQ3" i="4"/>
  <c r="GR3" i="4"/>
  <c r="FW3" i="4"/>
  <c r="FX3" i="4"/>
  <c r="FY3" i="4"/>
  <c r="GM3" i="4"/>
  <c r="GN3" i="4"/>
  <c r="HF3" i="4"/>
  <c r="HE3" i="4"/>
  <c r="PE3" i="4"/>
  <c r="OI18" i="4"/>
  <c r="OD18" i="4"/>
  <c r="OL18" i="4"/>
  <c r="OE18" i="4"/>
  <c r="PF18" i="4"/>
  <c r="OF18" i="4"/>
  <c r="OG18" i="4"/>
  <c r="OO18" i="4"/>
  <c r="OR18" i="4"/>
  <c r="OH18" i="4"/>
  <c r="FW18" i="4"/>
  <c r="GQ18" i="4"/>
  <c r="HF18" i="4"/>
  <c r="FX18" i="4"/>
  <c r="GR18" i="4"/>
  <c r="FY18" i="4"/>
  <c r="GM18" i="4"/>
  <c r="GN18" i="4"/>
  <c r="HE18" i="4"/>
  <c r="PE18" i="4"/>
  <c r="OR48" i="4"/>
  <c r="OD48" i="4"/>
  <c r="OL48" i="4"/>
  <c r="OE48" i="4"/>
  <c r="PF48" i="4"/>
  <c r="OF48" i="4"/>
  <c r="OO48" i="4"/>
  <c r="OG48" i="4"/>
  <c r="OH48" i="4"/>
  <c r="OI48" i="4"/>
  <c r="FY48" i="4"/>
  <c r="FW48" i="4"/>
  <c r="GM48" i="4"/>
  <c r="GN48" i="4"/>
  <c r="GQ48" i="4"/>
  <c r="HF48" i="4"/>
  <c r="FX48" i="4"/>
  <c r="GR48" i="4"/>
  <c r="HE48" i="4"/>
  <c r="PE48" i="4"/>
  <c r="OG20" i="4"/>
  <c r="OO20" i="4"/>
  <c r="OR20" i="4"/>
  <c r="OF20" i="4"/>
  <c r="OH20" i="4"/>
  <c r="OL20" i="4"/>
  <c r="OD20" i="4"/>
  <c r="OE20" i="4"/>
  <c r="PF20" i="4"/>
  <c r="OI20" i="4"/>
  <c r="FW20" i="4"/>
  <c r="GM20" i="4"/>
  <c r="HF20" i="4"/>
  <c r="FX20" i="4"/>
  <c r="GN20" i="4"/>
  <c r="FY20" i="4"/>
  <c r="GQ20" i="4"/>
  <c r="GR20" i="4"/>
  <c r="HE20" i="4"/>
  <c r="PE20" i="4"/>
  <c r="OF88" i="4"/>
  <c r="OG88" i="4"/>
  <c r="OO88" i="4"/>
  <c r="OH88" i="4"/>
  <c r="OI88" i="4"/>
  <c r="OR88" i="4"/>
  <c r="PF88" i="4"/>
  <c r="OD88" i="4"/>
  <c r="OL88" i="4"/>
  <c r="OE88" i="4"/>
  <c r="FW88" i="4"/>
  <c r="GM88" i="4"/>
  <c r="HF88" i="4"/>
  <c r="GR88" i="4"/>
  <c r="FX88" i="4"/>
  <c r="FY88" i="4"/>
  <c r="GN88" i="4"/>
  <c r="GQ88" i="4"/>
  <c r="HE88" i="4"/>
  <c r="PE88" i="4"/>
  <c r="OI82" i="4"/>
  <c r="OD82" i="4"/>
  <c r="OL82" i="4"/>
  <c r="OE82" i="4"/>
  <c r="PF82" i="4"/>
  <c r="OF82" i="4"/>
  <c r="OG82" i="4"/>
  <c r="OO82" i="4"/>
  <c r="OR82" i="4"/>
  <c r="OH82" i="4"/>
  <c r="GR82" i="4"/>
  <c r="FW82" i="4"/>
  <c r="GM82" i="4"/>
  <c r="HF82" i="4"/>
  <c r="FX82" i="4"/>
  <c r="GN82" i="4"/>
  <c r="FY82" i="4"/>
  <c r="GQ82" i="4"/>
  <c r="HE82" i="4"/>
  <c r="PE82" i="4"/>
  <c r="OI26" i="4"/>
  <c r="OD26" i="4"/>
  <c r="OL26" i="4"/>
  <c r="OE26" i="4"/>
  <c r="PF26" i="4"/>
  <c r="OF26" i="4"/>
  <c r="OR26" i="4"/>
  <c r="OG26" i="4"/>
  <c r="OO26" i="4"/>
  <c r="OH26" i="4"/>
  <c r="FW26" i="4"/>
  <c r="GM26" i="4"/>
  <c r="HF26" i="4"/>
  <c r="FX26" i="4"/>
  <c r="GN26" i="4"/>
  <c r="GR26" i="4"/>
  <c r="GQ26" i="4"/>
  <c r="FY26" i="4"/>
  <c r="HE26" i="4"/>
  <c r="PE26" i="4"/>
  <c r="OE73" i="4"/>
  <c r="PF73" i="4"/>
  <c r="OH73" i="4"/>
  <c r="OI73" i="4"/>
  <c r="OL73" i="4"/>
  <c r="OO73" i="4"/>
  <c r="OD73" i="4"/>
  <c r="OR73" i="4"/>
  <c r="OF73" i="4"/>
  <c r="OG73" i="4"/>
  <c r="GR73" i="4"/>
  <c r="FW73" i="4"/>
  <c r="GM73" i="4"/>
  <c r="HF73" i="4"/>
  <c r="FX73" i="4"/>
  <c r="GN73" i="4"/>
  <c r="FY73" i="4"/>
  <c r="GQ73" i="4"/>
  <c r="HE73" i="4"/>
  <c r="PE73" i="4"/>
  <c r="OI41" i="4"/>
  <c r="OD41" i="4"/>
  <c r="OL41" i="4"/>
  <c r="OE41" i="4"/>
  <c r="OF41" i="4"/>
  <c r="OR41" i="4"/>
  <c r="OG41" i="4"/>
  <c r="OH41" i="4"/>
  <c r="PF41" i="4"/>
  <c r="OO41" i="4"/>
  <c r="FW41" i="4"/>
  <c r="GM41" i="4"/>
  <c r="HF41" i="4"/>
  <c r="FY41" i="4"/>
  <c r="GQ41" i="4"/>
  <c r="GN41" i="4"/>
  <c r="GR41" i="4"/>
  <c r="FX41" i="4"/>
  <c r="HE41" i="4"/>
  <c r="PE41" i="4"/>
  <c r="OG79" i="4"/>
  <c r="OO79" i="4"/>
  <c r="OF79" i="4"/>
  <c r="OH79" i="4"/>
  <c r="OR79" i="4"/>
  <c r="PF79" i="4"/>
  <c r="OI79" i="4"/>
  <c r="OL79" i="4"/>
  <c r="OD79" i="4"/>
  <c r="OE79" i="4"/>
  <c r="GR79" i="4"/>
  <c r="FW79" i="4"/>
  <c r="GM79" i="4"/>
  <c r="HF79" i="4"/>
  <c r="FX79" i="4"/>
  <c r="GN79" i="4"/>
  <c r="FY79" i="4"/>
  <c r="GQ79" i="4"/>
  <c r="HE79" i="4"/>
  <c r="PE79" i="4"/>
  <c r="OD51" i="4"/>
  <c r="OL51" i="4"/>
  <c r="OF51" i="4"/>
  <c r="OG51" i="4"/>
  <c r="OO51" i="4"/>
  <c r="PF51" i="4"/>
  <c r="OE51" i="4"/>
  <c r="OR51" i="4"/>
  <c r="OH51" i="4"/>
  <c r="OI51" i="4"/>
  <c r="FY51" i="4"/>
  <c r="GQ51" i="4"/>
  <c r="FX51" i="4"/>
  <c r="GN51" i="4"/>
  <c r="HF51" i="4"/>
  <c r="GM51" i="4"/>
  <c r="GR51" i="4"/>
  <c r="FW51" i="4"/>
  <c r="HE51" i="4"/>
  <c r="PE51" i="4"/>
  <c r="OR76" i="4"/>
  <c r="OE76" i="4"/>
  <c r="OF76" i="4"/>
  <c r="OG76" i="4"/>
  <c r="OH76" i="4"/>
  <c r="PF76" i="4"/>
  <c r="OI76" i="4"/>
  <c r="OL76" i="4"/>
  <c r="OO76" i="4"/>
  <c r="OD76" i="4"/>
  <c r="GR76" i="4"/>
  <c r="FW76" i="4"/>
  <c r="GM76" i="4"/>
  <c r="HF76" i="4"/>
  <c r="FX76" i="4"/>
  <c r="GN76" i="4"/>
  <c r="FY76" i="4"/>
  <c r="GQ76" i="4"/>
  <c r="HE76" i="4"/>
  <c r="PE76" i="4"/>
  <c r="OE86" i="4"/>
  <c r="PF86" i="4"/>
  <c r="OH86" i="4"/>
  <c r="OI86" i="4"/>
  <c r="OR86" i="4"/>
  <c r="OG86" i="4"/>
  <c r="OL86" i="4"/>
  <c r="OD86" i="4"/>
  <c r="OO86" i="4"/>
  <c r="OF86" i="4"/>
  <c r="FW86" i="4"/>
  <c r="GM86" i="4"/>
  <c r="HF86" i="4"/>
  <c r="FX86" i="4"/>
  <c r="GN86" i="4"/>
  <c r="FY86" i="4"/>
  <c r="GQ86" i="4"/>
  <c r="GR86" i="4"/>
  <c r="HE86" i="4"/>
  <c r="PE86" i="4"/>
  <c r="OF67" i="4"/>
  <c r="OG67" i="4"/>
  <c r="OO67" i="4"/>
  <c r="OE67" i="4"/>
  <c r="OR67" i="4"/>
  <c r="OH67" i="4"/>
  <c r="OI67" i="4"/>
  <c r="OL67" i="4"/>
  <c r="PF67" i="4"/>
  <c r="OD67" i="4"/>
  <c r="FY67" i="4"/>
  <c r="GM67" i="4"/>
  <c r="GN67" i="4"/>
  <c r="GQ67" i="4"/>
  <c r="FW67" i="4"/>
  <c r="GR67" i="4"/>
  <c r="HF67" i="4"/>
  <c r="FX67" i="4"/>
  <c r="HE67" i="4"/>
  <c r="PE67" i="4"/>
  <c r="OD64" i="4"/>
  <c r="OL64" i="4"/>
  <c r="OF64" i="4"/>
  <c r="OH64" i="4"/>
  <c r="OI64" i="4"/>
  <c r="OR64" i="4"/>
  <c r="OE64" i="4"/>
  <c r="OG64" i="4"/>
  <c r="PF64" i="4"/>
  <c r="OO64" i="4"/>
  <c r="FY64" i="4"/>
  <c r="GQ64" i="4"/>
  <c r="FW64" i="4"/>
  <c r="GR64" i="4"/>
  <c r="HF64" i="4"/>
  <c r="FX64" i="4"/>
  <c r="GM64" i="4"/>
  <c r="GN64" i="4"/>
  <c r="HE64" i="4"/>
  <c r="PE64" i="4"/>
  <c r="OF21" i="4"/>
  <c r="OI21" i="4"/>
  <c r="OR21" i="4"/>
  <c r="OH21" i="4"/>
  <c r="OO21" i="4"/>
  <c r="OG21" i="4"/>
  <c r="PF21" i="4"/>
  <c r="OL21" i="4"/>
  <c r="OD21" i="4"/>
  <c r="OE21" i="4"/>
  <c r="FW21" i="4"/>
  <c r="GM21" i="4"/>
  <c r="HF21" i="4"/>
  <c r="FX21" i="4"/>
  <c r="GN21" i="4"/>
  <c r="FY21" i="4"/>
  <c r="GQ21" i="4"/>
  <c r="GR21" i="4"/>
  <c r="HE21" i="4"/>
  <c r="PE21" i="4"/>
  <c r="OD46" i="4"/>
  <c r="OL46" i="4"/>
  <c r="OF46" i="4"/>
  <c r="OG46" i="4"/>
  <c r="OO46" i="4"/>
  <c r="PF46" i="4"/>
  <c r="OI46" i="4"/>
  <c r="OR46" i="4"/>
  <c r="OE46" i="4"/>
  <c r="OH46" i="4"/>
  <c r="FY46" i="4"/>
  <c r="GQ46" i="4"/>
  <c r="HF46" i="4"/>
  <c r="FW46" i="4"/>
  <c r="GM46" i="4"/>
  <c r="GN46" i="4"/>
  <c r="GR46" i="4"/>
  <c r="FX46" i="4"/>
  <c r="HE46" i="4"/>
  <c r="PE46" i="4"/>
  <c r="A112" i="95"/>
  <c r="A127" i="95"/>
  <c r="A129" i="95"/>
  <c r="A197" i="95"/>
  <c r="A191" i="95"/>
  <c r="A135" i="95"/>
  <c r="A182" i="95"/>
  <c r="A150" i="95"/>
  <c r="A188" i="95"/>
  <c r="A160" i="95"/>
  <c r="A185" i="95"/>
  <c r="A195" i="95"/>
  <c r="A176" i="95"/>
  <c r="A173" i="95"/>
  <c r="A130" i="95"/>
  <c r="A155" i="95"/>
  <c r="A158" i="95"/>
  <c r="A207" i="95"/>
  <c r="A136" i="95"/>
  <c r="A141" i="95"/>
  <c r="A217" i="95"/>
  <c r="A219" i="95"/>
  <c r="A148" i="95"/>
  <c r="A169" i="95"/>
  <c r="A134" i="95"/>
  <c r="A194" i="95"/>
  <c r="A125" i="95"/>
  <c r="DX90" i="90"/>
  <c r="DY90" i="90"/>
  <c r="A216" i="95"/>
  <c r="A119" i="95"/>
  <c r="A145" i="95"/>
  <c r="A153" i="95"/>
  <c r="A164" i="95"/>
  <c r="A137" i="95"/>
  <c r="A166" i="95"/>
  <c r="A140" i="95"/>
  <c r="A189" i="95"/>
  <c r="A212" i="95"/>
  <c r="A122" i="95"/>
  <c r="A198" i="95"/>
  <c r="A147" i="95"/>
  <c r="A214" i="95"/>
  <c r="D208" i="90"/>
  <c r="E208" i="90"/>
  <c r="DX196" i="90"/>
  <c r="DY196" i="90"/>
  <c r="A199" i="95"/>
  <c r="A210" i="95"/>
  <c r="A162" i="95"/>
  <c r="A181" i="95"/>
  <c r="A152" i="95"/>
  <c r="A118" i="95"/>
  <c r="A175" i="95"/>
  <c r="A165" i="95"/>
  <c r="A186" i="95"/>
  <c r="A159" i="95"/>
  <c r="A211" i="95"/>
  <c r="A200" i="95"/>
  <c r="BM208" i="90"/>
  <c r="BN208" i="90"/>
  <c r="DY20" i="90"/>
  <c r="DX20" i="90"/>
  <c r="DX206" i="90"/>
  <c r="DY206" i="90"/>
  <c r="A193" i="95"/>
  <c r="A146" i="95"/>
  <c r="B146" i="95" s="1"/>
  <c r="A183" i="95"/>
  <c r="A170" i="95"/>
  <c r="A201" i="95"/>
  <c r="A163" i="95"/>
  <c r="A144" i="95"/>
  <c r="A115" i="95"/>
  <c r="A123" i="95"/>
  <c r="A167" i="95"/>
  <c r="A154" i="95"/>
  <c r="A209" i="95"/>
  <c r="A143" i="95"/>
  <c r="A161" i="95"/>
  <c r="A126" i="95"/>
  <c r="A139" i="95"/>
  <c r="A120" i="95"/>
  <c r="A117" i="95"/>
  <c r="D138" i="90"/>
  <c r="E138" i="90"/>
  <c r="A116" i="95"/>
  <c r="A132" i="95"/>
  <c r="A121" i="95"/>
  <c r="A218" i="95"/>
  <c r="A179" i="95"/>
  <c r="A168" i="95"/>
  <c r="A114" i="95"/>
  <c r="A190" i="95"/>
  <c r="A203" i="95"/>
  <c r="A184" i="95"/>
  <c r="A206" i="95"/>
  <c r="BN138" i="90"/>
  <c r="BM138" i="90"/>
  <c r="DX100" i="90"/>
  <c r="DY100" i="90"/>
  <c r="DX126" i="90"/>
  <c r="DY126" i="90"/>
  <c r="A208" i="95"/>
  <c r="A187" i="95"/>
  <c r="A180" i="95"/>
  <c r="A205" i="95"/>
  <c r="A196" i="95"/>
  <c r="A204" i="95"/>
  <c r="A202" i="95"/>
  <c r="A171" i="95"/>
  <c r="A149" i="95"/>
  <c r="A142" i="95"/>
  <c r="A178" i="95"/>
  <c r="A151" i="95"/>
  <c r="A156" i="95"/>
  <c r="A113" i="95"/>
  <c r="A192" i="95"/>
  <c r="BN218" i="90"/>
  <c r="BM218" i="90"/>
  <c r="D218" i="90"/>
  <c r="E218" i="90"/>
  <c r="A133" i="95"/>
  <c r="A213" i="95"/>
  <c r="A157" i="95"/>
  <c r="A172" i="95"/>
  <c r="A124" i="95"/>
  <c r="A174" i="95"/>
  <c r="A128" i="95"/>
  <c r="A131" i="95"/>
  <c r="A215" i="95"/>
  <c r="A220" i="95"/>
  <c r="A177" i="95"/>
  <c r="A138" i="95"/>
  <c r="CA124" i="4"/>
  <c r="CA125" i="4" s="1"/>
  <c r="CE124" i="4"/>
  <c r="CE125" i="4" s="1"/>
  <c r="CE179" i="4" s="1"/>
  <c r="CE188" i="4" s="1"/>
  <c r="CE223" i="4"/>
  <c r="CE224" i="4" s="1"/>
  <c r="CA333" i="4"/>
  <c r="CA334" i="4" s="1"/>
  <c r="L59" i="108" l="1"/>
  <c r="K59" i="108"/>
  <c r="K61" i="108" s="1"/>
  <c r="CE222" i="4"/>
  <c r="A173" i="104"/>
  <c r="A286" i="104" s="1"/>
  <c r="A400" i="104" s="1"/>
  <c r="A220" i="104"/>
  <c r="A333" i="104" s="1"/>
  <c r="A447" i="104" s="1"/>
  <c r="A164" i="104"/>
  <c r="A277" i="104" s="1"/>
  <c r="A391" i="104" s="1"/>
  <c r="A181" i="104"/>
  <c r="A294" i="104" s="1"/>
  <c r="A408" i="104" s="1"/>
  <c r="A161" i="104"/>
  <c r="A274" i="104" s="1"/>
  <c r="A388" i="104" s="1"/>
  <c r="A182" i="104"/>
  <c r="A295" i="104" s="1"/>
  <c r="A409" i="104" s="1"/>
  <c r="A184" i="104"/>
  <c r="A297" i="104" s="1"/>
  <c r="A411" i="104" s="1"/>
  <c r="A183" i="104"/>
  <c r="A296" i="104" s="1"/>
  <c r="A410" i="104" s="1"/>
  <c r="A121" i="104"/>
  <c r="A234" i="104" s="1"/>
  <c r="A348" i="104" s="1"/>
  <c r="A171" i="104"/>
  <c r="A284" i="104" s="1"/>
  <c r="A398" i="104" s="1"/>
  <c r="A215" i="104"/>
  <c r="A328" i="104" s="1"/>
  <c r="A442" i="104" s="1"/>
  <c r="A185" i="104"/>
  <c r="A298" i="104" s="1"/>
  <c r="A412" i="104" s="1"/>
  <c r="A216" i="104"/>
  <c r="A329" i="104" s="1"/>
  <c r="A443" i="104" s="1"/>
  <c r="A123" i="104"/>
  <c r="A236" i="104" s="1"/>
  <c r="A350" i="104" s="1"/>
  <c r="A203" i="104"/>
  <c r="A316" i="104" s="1"/>
  <c r="A430" i="104" s="1"/>
  <c r="A152" i="104"/>
  <c r="A265" i="104" s="1"/>
  <c r="A379" i="104" s="1"/>
  <c r="A162" i="104"/>
  <c r="A275" i="104" s="1"/>
  <c r="A389" i="104" s="1"/>
  <c r="A192" i="104"/>
  <c r="A305" i="104" s="1"/>
  <c r="A419" i="104" s="1"/>
  <c r="A224" i="104"/>
  <c r="A337" i="104" s="1"/>
  <c r="A451" i="104" s="1"/>
  <c r="A217" i="104"/>
  <c r="A330" i="104" s="1"/>
  <c r="A444" i="104" s="1"/>
  <c r="A146" i="104"/>
  <c r="A259" i="104" s="1"/>
  <c r="A373" i="104" s="1"/>
  <c r="A133" i="104"/>
  <c r="A246" i="104" s="1"/>
  <c r="A360" i="104" s="1"/>
  <c r="A222" i="104"/>
  <c r="A335" i="104" s="1"/>
  <c r="A449" i="104" s="1"/>
  <c r="A124" i="104"/>
  <c r="A237" i="104" s="1"/>
  <c r="A351" i="104" s="1"/>
  <c r="A127" i="104"/>
  <c r="A240" i="104" s="1"/>
  <c r="A354" i="104" s="1"/>
  <c r="A163" i="104"/>
  <c r="A276" i="104" s="1"/>
  <c r="A390" i="104" s="1"/>
  <c r="A174" i="104"/>
  <c r="A287" i="104" s="1"/>
  <c r="A401" i="104" s="1"/>
  <c r="A193" i="104"/>
  <c r="A306" i="104" s="1"/>
  <c r="A420" i="104" s="1"/>
  <c r="A150" i="104"/>
  <c r="A263" i="104" s="1"/>
  <c r="A377" i="104" s="1"/>
  <c r="A223" i="104"/>
  <c r="A336" i="104" s="1"/>
  <c r="A450" i="104" s="1"/>
  <c r="A159" i="104"/>
  <c r="A272" i="104" s="1"/>
  <c r="A386" i="104" s="1"/>
  <c r="A154" i="104"/>
  <c r="A267" i="104" s="1"/>
  <c r="A381" i="104" s="1"/>
  <c r="A219" i="104"/>
  <c r="A332" i="104" s="1"/>
  <c r="A446" i="104" s="1"/>
  <c r="A131" i="104"/>
  <c r="A244" i="104" s="1"/>
  <c r="A358" i="104" s="1"/>
  <c r="A153" i="104"/>
  <c r="A266" i="104" s="1"/>
  <c r="A380" i="104" s="1"/>
  <c r="A210" i="104"/>
  <c r="A323" i="104" s="1"/>
  <c r="A437" i="104" s="1"/>
  <c r="A125" i="104"/>
  <c r="A238" i="104" s="1"/>
  <c r="A352" i="104" s="1"/>
  <c r="A143" i="104"/>
  <c r="A256" i="104" s="1"/>
  <c r="A370" i="104" s="1"/>
  <c r="A119" i="104"/>
  <c r="A232" i="104" s="1"/>
  <c r="A346" i="104" s="1"/>
  <c r="A190" i="104"/>
  <c r="A303" i="104" s="1"/>
  <c r="A417" i="104" s="1"/>
  <c r="A187" i="104"/>
  <c r="A300" i="104" s="1"/>
  <c r="A414" i="104" s="1"/>
  <c r="A144" i="104"/>
  <c r="A257" i="104" s="1"/>
  <c r="A371" i="104" s="1"/>
  <c r="A221" i="104"/>
  <c r="A334" i="104" s="1"/>
  <c r="A448" i="104" s="1"/>
  <c r="A134" i="104"/>
  <c r="A247" i="104" s="1"/>
  <c r="A361" i="104" s="1"/>
  <c r="A186" i="104"/>
  <c r="A299" i="104" s="1"/>
  <c r="A413" i="104" s="1"/>
  <c r="A135" i="104"/>
  <c r="A248" i="104" s="1"/>
  <c r="A362" i="104" s="1"/>
  <c r="A137" i="104"/>
  <c r="A250" i="104" s="1"/>
  <c r="A364" i="104" s="1"/>
  <c r="A175" i="104"/>
  <c r="A288" i="104" s="1"/>
  <c r="A402" i="104" s="1"/>
  <c r="A188" i="104"/>
  <c r="A301" i="104" s="1"/>
  <c r="A415" i="104" s="1"/>
  <c r="A191" i="104"/>
  <c r="A304" i="104" s="1"/>
  <c r="A418" i="104" s="1"/>
  <c r="A130" i="104"/>
  <c r="A243" i="104" s="1"/>
  <c r="A357" i="104" s="1"/>
  <c r="A148" i="104"/>
  <c r="A261" i="104" s="1"/>
  <c r="A375" i="104" s="1"/>
  <c r="A169" i="104"/>
  <c r="A282" i="104" s="1"/>
  <c r="A396" i="104" s="1"/>
  <c r="A116" i="104"/>
  <c r="A229" i="104" s="1"/>
  <c r="A343" i="104" s="1"/>
  <c r="A170" i="104"/>
  <c r="A283" i="104" s="1"/>
  <c r="A397" i="104" s="1"/>
  <c r="A145" i="104"/>
  <c r="A258" i="104" s="1"/>
  <c r="A372" i="104" s="1"/>
  <c r="A177" i="104"/>
  <c r="A290" i="104" s="1"/>
  <c r="A404" i="104" s="1"/>
  <c r="A139" i="104"/>
  <c r="A252" i="104" s="1"/>
  <c r="A366" i="104" s="1"/>
  <c r="A132" i="104"/>
  <c r="A245" i="104" s="1"/>
  <c r="A359" i="104" s="1"/>
  <c r="A196" i="104"/>
  <c r="A309" i="104" s="1"/>
  <c r="A423" i="104" s="1"/>
  <c r="A206" i="104"/>
  <c r="A319" i="104" s="1"/>
  <c r="A433" i="104" s="1"/>
  <c r="A207" i="104"/>
  <c r="A320" i="104" s="1"/>
  <c r="A434" i="104" s="1"/>
  <c r="A136" i="104"/>
  <c r="A249" i="104" s="1"/>
  <c r="A363" i="104" s="1"/>
  <c r="A165" i="104"/>
  <c r="A278" i="104" s="1"/>
  <c r="A392" i="104" s="1"/>
  <c r="A167" i="104"/>
  <c r="A280" i="104" s="1"/>
  <c r="A394" i="104" s="1"/>
  <c r="A179" i="104"/>
  <c r="A292" i="104" s="1"/>
  <c r="A406" i="104" s="1"/>
  <c r="A218" i="104"/>
  <c r="A331" i="104" s="1"/>
  <c r="A445" i="104" s="1"/>
  <c r="A141" i="104"/>
  <c r="A254" i="104" s="1"/>
  <c r="A368" i="104" s="1"/>
  <c r="A129" i="104"/>
  <c r="A242" i="104" s="1"/>
  <c r="A356" i="104" s="1"/>
  <c r="A140" i="104"/>
  <c r="A253" i="104" s="1"/>
  <c r="A367" i="104" s="1"/>
  <c r="A180" i="104"/>
  <c r="A293" i="104" s="1"/>
  <c r="A407" i="104" s="1"/>
  <c r="A195" i="104"/>
  <c r="A308" i="104" s="1"/>
  <c r="A422" i="104" s="1"/>
  <c r="A178" i="104"/>
  <c r="A291" i="104" s="1"/>
  <c r="A405" i="104" s="1"/>
  <c r="A117" i="104"/>
  <c r="A230" i="104" s="1"/>
  <c r="A344" i="104" s="1"/>
  <c r="A208" i="104"/>
  <c r="A321" i="104" s="1"/>
  <c r="A435" i="104" s="1"/>
  <c r="A194" i="104"/>
  <c r="A307" i="104" s="1"/>
  <c r="A421" i="104" s="1"/>
  <c r="A212" i="104"/>
  <c r="A325" i="104" s="1"/>
  <c r="A439" i="104" s="1"/>
  <c r="A147" i="104"/>
  <c r="A260" i="104" s="1"/>
  <c r="A374" i="104" s="1"/>
  <c r="A166" i="104"/>
  <c r="A279" i="104" s="1"/>
  <c r="A393" i="104" s="1"/>
  <c r="A122" i="104"/>
  <c r="A235" i="104" s="1"/>
  <c r="A349" i="104" s="1"/>
  <c r="A151" i="104"/>
  <c r="A264" i="104" s="1"/>
  <c r="A378" i="104" s="1"/>
  <c r="A168" i="104"/>
  <c r="A281" i="104" s="1"/>
  <c r="A395" i="104" s="1"/>
  <c r="A198" i="104"/>
  <c r="A311" i="104" s="1"/>
  <c r="A425" i="104" s="1"/>
  <c r="A211" i="104"/>
  <c r="A324" i="104" s="1"/>
  <c r="A438" i="104" s="1"/>
  <c r="A199" i="104"/>
  <c r="A312" i="104" s="1"/>
  <c r="A426" i="104" s="1"/>
  <c r="A201" i="104"/>
  <c r="A314" i="104" s="1"/>
  <c r="A428" i="104" s="1"/>
  <c r="A128" i="104"/>
  <c r="A241" i="104" s="1"/>
  <c r="A355" i="104" s="1"/>
  <c r="A160" i="104"/>
  <c r="A273" i="104" s="1"/>
  <c r="A387" i="104" s="1"/>
  <c r="A200" i="104"/>
  <c r="A313" i="104" s="1"/>
  <c r="A427" i="104" s="1"/>
  <c r="A118" i="104"/>
  <c r="A231" i="104" s="1"/>
  <c r="A345" i="104" s="1"/>
  <c r="A120" i="104"/>
  <c r="A233" i="104" s="1"/>
  <c r="A347" i="104" s="1"/>
  <c r="A213" i="104"/>
  <c r="A326" i="104" s="1"/>
  <c r="A440" i="104" s="1"/>
  <c r="A197" i="104"/>
  <c r="A310" i="104" s="1"/>
  <c r="A424" i="104" s="1"/>
  <c r="A156" i="104"/>
  <c r="A269" i="104" s="1"/>
  <c r="A383" i="104" s="1"/>
  <c r="A202" i="104"/>
  <c r="A315" i="104" s="1"/>
  <c r="A429" i="104" s="1"/>
  <c r="A157" i="104"/>
  <c r="A270" i="104" s="1"/>
  <c r="A384" i="104" s="1"/>
  <c r="A138" i="104"/>
  <c r="A251" i="104" s="1"/>
  <c r="A365" i="104" s="1"/>
  <c r="A189" i="104"/>
  <c r="A302" i="104" s="1"/>
  <c r="A416" i="104" s="1"/>
  <c r="A142" i="104"/>
  <c r="A255" i="104" s="1"/>
  <c r="A369" i="104" s="1"/>
  <c r="A176" i="104"/>
  <c r="A289" i="104" s="1"/>
  <c r="A403" i="104" s="1"/>
  <c r="A155" i="104"/>
  <c r="A268" i="104" s="1"/>
  <c r="A382" i="104" s="1"/>
  <c r="A209" i="104"/>
  <c r="A322" i="104" s="1"/>
  <c r="A436" i="104" s="1"/>
  <c r="A172" i="104"/>
  <c r="A285" i="104" s="1"/>
  <c r="A399" i="104" s="1"/>
  <c r="A214" i="104"/>
  <c r="A327" i="104" s="1"/>
  <c r="A441" i="104" s="1"/>
  <c r="A158" i="104"/>
  <c r="A271" i="104" s="1"/>
  <c r="A385" i="104" s="1"/>
  <c r="A204" i="104"/>
  <c r="A317" i="104" s="1"/>
  <c r="A431" i="104" s="1"/>
  <c r="A205" i="104"/>
  <c r="A318" i="104" s="1"/>
  <c r="A432" i="104" s="1"/>
  <c r="A126" i="104"/>
  <c r="A239" i="104" s="1"/>
  <c r="A353" i="104" s="1"/>
  <c r="A149" i="104"/>
  <c r="A262" i="104" s="1"/>
  <c r="A376" i="104" s="1"/>
  <c r="CA179" i="4"/>
  <c r="B259" i="95"/>
  <c r="B373" i="95" s="1"/>
  <c r="B150" i="104"/>
  <c r="B263" i="104" s="1"/>
  <c r="B377" i="104" s="1"/>
  <c r="A232" i="95"/>
  <c r="A346" i="95" s="1"/>
  <c r="A277" i="95"/>
  <c r="I277" i="95" s="1"/>
  <c r="CA228" i="4"/>
  <c r="A258" i="95"/>
  <c r="I258" i="95" s="1"/>
  <c r="B122" i="95"/>
  <c r="B166" i="95"/>
  <c r="B119" i="95"/>
  <c r="A233" i="95"/>
  <c r="A347" i="95" s="1"/>
  <c r="A260" i="95"/>
  <c r="I260" i="95" s="1"/>
  <c r="B112" i="95"/>
  <c r="A255" i="95"/>
  <c r="I255" i="95" s="1"/>
  <c r="A236" i="95"/>
  <c r="G236" i="95" s="1"/>
  <c r="A294" i="95"/>
  <c r="I294" i="95" s="1"/>
  <c r="A235" i="95"/>
  <c r="A349" i="95" s="1"/>
  <c r="B125" i="95"/>
  <c r="B191" i="95"/>
  <c r="A314" i="95"/>
  <c r="I314" i="95" s="1"/>
  <c r="B164" i="95"/>
  <c r="A283" i="95"/>
  <c r="I283" i="95" s="1"/>
  <c r="B179" i="95"/>
  <c r="B154" i="95"/>
  <c r="A288" i="95"/>
  <c r="I288" i="95" s="1"/>
  <c r="B137" i="95"/>
  <c r="B216" i="95"/>
  <c r="A241" i="95"/>
  <c r="I241" i="95" s="1"/>
  <c r="A276" i="95"/>
  <c r="I276" i="95" s="1"/>
  <c r="A325" i="95"/>
  <c r="I325" i="95" s="1"/>
  <c r="A259" i="95"/>
  <c r="I259" i="95" s="1"/>
  <c r="A230" i="95"/>
  <c r="A344" i="95" s="1"/>
  <c r="A289" i="95"/>
  <c r="I289" i="95" s="1"/>
  <c r="A297" i="95"/>
  <c r="I297" i="95" s="1"/>
  <c r="B187" i="95"/>
  <c r="A231" i="95"/>
  <c r="A345" i="95" s="1"/>
  <c r="B202" i="95"/>
  <c r="A303" i="95"/>
  <c r="I303" i="95" s="1"/>
  <c r="A242" i="95"/>
  <c r="I242" i="95" s="1"/>
  <c r="A270" i="95"/>
  <c r="I270" i="95" s="1"/>
  <c r="A226" i="95"/>
  <c r="G226" i="95" s="1"/>
  <c r="A300" i="95"/>
  <c r="I300" i="95" s="1"/>
  <c r="B163" i="95"/>
  <c r="B170" i="95"/>
  <c r="A249" i="95"/>
  <c r="I249" i="95" s="1"/>
  <c r="B174" i="95"/>
  <c r="A284" i="95"/>
  <c r="I284" i="95" s="1"/>
  <c r="A321" i="95"/>
  <c r="I321" i="95" s="1"/>
  <c r="B200" i="95"/>
  <c r="A286" i="95"/>
  <c r="I286" i="95" s="1"/>
  <c r="A326" i="95"/>
  <c r="I326" i="95" s="1"/>
  <c r="B204" i="95"/>
  <c r="B176" i="95"/>
  <c r="A238" i="95"/>
  <c r="I238" i="95" s="1"/>
  <c r="A333" i="95"/>
  <c r="I333" i="95" s="1"/>
  <c r="B184" i="95"/>
  <c r="B210" i="95"/>
  <c r="B160" i="95"/>
  <c r="A316" i="95"/>
  <c r="I316" i="95" s="1"/>
  <c r="A247" i="95"/>
  <c r="I247" i="95" s="1"/>
  <c r="B135" i="95"/>
  <c r="A291" i="95"/>
  <c r="I291" i="95" s="1"/>
  <c r="B203" i="95"/>
  <c r="B161" i="95"/>
  <c r="B175" i="95"/>
  <c r="B147" i="95"/>
  <c r="B148" i="95"/>
  <c r="A304" i="95"/>
  <c r="I304" i="95" s="1"/>
  <c r="A264" i="95"/>
  <c r="I264" i="95" s="1"/>
  <c r="A243" i="95"/>
  <c r="I243" i="95" s="1"/>
  <c r="A251" i="95"/>
  <c r="I251" i="95" s="1"/>
  <c r="A246" i="95"/>
  <c r="I246" i="95" s="1"/>
  <c r="A315" i="95"/>
  <c r="I315" i="95" s="1"/>
  <c r="A239" i="95"/>
  <c r="I239" i="95" s="1"/>
  <c r="A313" i="95"/>
  <c r="I313" i="95" s="1"/>
  <c r="A254" i="95"/>
  <c r="I254" i="95" s="1"/>
  <c r="B185" i="95"/>
  <c r="B131" i="95"/>
  <c r="B217" i="95"/>
  <c r="B192" i="95"/>
  <c r="A317" i="95"/>
  <c r="I317" i="95" s="1"/>
  <c r="B218" i="95"/>
  <c r="B143" i="95"/>
  <c r="B159" i="95"/>
  <c r="B162" i="95"/>
  <c r="A250" i="95"/>
  <c r="I250" i="95" s="1"/>
  <c r="B199" i="95"/>
  <c r="B182" i="95"/>
  <c r="B128" i="95"/>
  <c r="A267" i="95"/>
  <c r="I267" i="95" s="1"/>
  <c r="A320" i="95"/>
  <c r="I320" i="95" s="1"/>
  <c r="A281" i="95"/>
  <c r="I281" i="95" s="1"/>
  <c r="B117" i="95"/>
  <c r="A280" i="95"/>
  <c r="I280" i="95" s="1"/>
  <c r="B211" i="95"/>
  <c r="B169" i="95"/>
  <c r="A329" i="95"/>
  <c r="I329" i="95" s="1"/>
  <c r="A273" i="95"/>
  <c r="I273" i="95" s="1"/>
  <c r="A290" i="95"/>
  <c r="I290" i="95" s="1"/>
  <c r="B157" i="95"/>
  <c r="B151" i="95"/>
  <c r="B205" i="95"/>
  <c r="A331" i="95"/>
  <c r="I331" i="95" s="1"/>
  <c r="B120" i="95"/>
  <c r="A257" i="95"/>
  <c r="I257" i="95" s="1"/>
  <c r="A278" i="95"/>
  <c r="I278" i="95" s="1"/>
  <c r="A275" i="95"/>
  <c r="I275" i="95" s="1"/>
  <c r="A302" i="95"/>
  <c r="I302" i="95" s="1"/>
  <c r="A330" i="95"/>
  <c r="I330" i="95" s="1"/>
  <c r="B158" i="95"/>
  <c r="B188" i="95"/>
  <c r="A244" i="95"/>
  <c r="I244" i="95" s="1"/>
  <c r="B213" i="95"/>
  <c r="A305" i="95"/>
  <c r="I305" i="95" s="1"/>
  <c r="B142" i="95"/>
  <c r="A293" i="95"/>
  <c r="I293" i="95" s="1"/>
  <c r="A292" i="95"/>
  <c r="I292" i="95" s="1"/>
  <c r="B208" i="95"/>
  <c r="A256" i="95"/>
  <c r="I256" i="95" s="1"/>
  <c r="B144" i="95"/>
  <c r="A272" i="95"/>
  <c r="I272" i="95" s="1"/>
  <c r="B201" i="95"/>
  <c r="A327" i="95"/>
  <c r="I327" i="95" s="1"/>
  <c r="A279" i="95"/>
  <c r="I279" i="95" s="1"/>
  <c r="A261" i="95"/>
  <c r="I261" i="95" s="1"/>
  <c r="A312" i="95"/>
  <c r="I312" i="95" s="1"/>
  <c r="B173" i="95"/>
  <c r="A295" i="95"/>
  <c r="I295" i="95" s="1"/>
  <c r="B177" i="95"/>
  <c r="B172" i="95"/>
  <c r="B178" i="95"/>
  <c r="A318" i="95"/>
  <c r="I318" i="95" s="1"/>
  <c r="B190" i="95"/>
  <c r="A245" i="95"/>
  <c r="I245" i="95" s="1"/>
  <c r="A274" i="95"/>
  <c r="I274" i="95" s="1"/>
  <c r="B123" i="95"/>
  <c r="A324" i="95"/>
  <c r="I324" i="95" s="1"/>
  <c r="B118" i="95"/>
  <c r="A323" i="95"/>
  <c r="I323" i="95" s="1"/>
  <c r="B212" i="95"/>
  <c r="A282" i="95"/>
  <c r="I282" i="95" s="1"/>
  <c r="B136" i="95"/>
  <c r="B130" i="95"/>
  <c r="A301" i="95"/>
  <c r="I301" i="95" s="1"/>
  <c r="B138" i="95"/>
  <c r="A287" i="95"/>
  <c r="I287" i="95" s="1"/>
  <c r="B133" i="95"/>
  <c r="B113" i="95"/>
  <c r="B171" i="95"/>
  <c r="B180" i="95"/>
  <c r="B168" i="95"/>
  <c r="B132" i="95"/>
  <c r="B126" i="95"/>
  <c r="B167" i="95"/>
  <c r="B129" i="95"/>
  <c r="B165" i="95"/>
  <c r="B181" i="95"/>
  <c r="B214" i="95"/>
  <c r="B189" i="95"/>
  <c r="B145" i="95"/>
  <c r="B134" i="95"/>
  <c r="B141" i="95"/>
  <c r="A271" i="95"/>
  <c r="I271" i="95" s="1"/>
  <c r="A298" i="95"/>
  <c r="I298" i="95" s="1"/>
  <c r="A248" i="95"/>
  <c r="I248" i="95" s="1"/>
  <c r="B220" i="95"/>
  <c r="A285" i="95"/>
  <c r="I285" i="95" s="1"/>
  <c r="A225" i="95"/>
  <c r="F225" i="95" s="1"/>
  <c r="B219" i="95"/>
  <c r="A307" i="95"/>
  <c r="I307" i="95" s="1"/>
  <c r="A310" i="95"/>
  <c r="I310" i="95" s="1"/>
  <c r="A263" i="95"/>
  <c r="I263" i="95" s="1"/>
  <c r="A308" i="95"/>
  <c r="I308" i="95" s="1"/>
  <c r="A268" i="95"/>
  <c r="I268" i="95" s="1"/>
  <c r="B197" i="95"/>
  <c r="B194" i="95"/>
  <c r="A332" i="95"/>
  <c r="I332" i="95" s="1"/>
  <c r="B207" i="95"/>
  <c r="B155" i="95"/>
  <c r="B195" i="95"/>
  <c r="B150" i="95"/>
  <c r="B193" i="95"/>
  <c r="B186" i="95"/>
  <c r="B152" i="95"/>
  <c r="A306" i="95"/>
  <c r="I306" i="95" s="1"/>
  <c r="A299" i="95"/>
  <c r="I299" i="95" s="1"/>
  <c r="A265" i="95"/>
  <c r="I265" i="95" s="1"/>
  <c r="A269" i="95"/>
  <c r="I269" i="95" s="1"/>
  <c r="A262" i="95"/>
  <c r="I262" i="95" s="1"/>
  <c r="A309" i="95"/>
  <c r="I309" i="95" s="1"/>
  <c r="A319" i="95"/>
  <c r="I319" i="95" s="1"/>
  <c r="A227" i="95"/>
  <c r="F227" i="95" s="1"/>
  <c r="A234" i="95"/>
  <c r="A348" i="95" s="1"/>
  <c r="A229" i="95"/>
  <c r="G229" i="95" s="1"/>
  <c r="A252" i="95"/>
  <c r="I252" i="95" s="1"/>
  <c r="A322" i="95"/>
  <c r="I322" i="95" s="1"/>
  <c r="A228" i="95"/>
  <c r="G228" i="95" s="1"/>
  <c r="A296" i="95"/>
  <c r="I296" i="95" s="1"/>
  <c r="A311" i="95"/>
  <c r="I311" i="95" s="1"/>
  <c r="A253" i="95"/>
  <c r="I253" i="95" s="1"/>
  <c r="A266" i="95"/>
  <c r="I266" i="95" s="1"/>
  <c r="A328" i="95"/>
  <c r="I328" i="95" s="1"/>
  <c r="A237" i="95"/>
  <c r="I237" i="95" s="1"/>
  <c r="A240" i="95"/>
  <c r="I240" i="95" s="1"/>
  <c r="B156" i="95"/>
  <c r="B149" i="95"/>
  <c r="B196" i="95"/>
  <c r="B206" i="95"/>
  <c r="B114" i="95"/>
  <c r="B121" i="95"/>
  <c r="B116" i="95"/>
  <c r="B139" i="95"/>
  <c r="B209" i="95"/>
  <c r="B115" i="95"/>
  <c r="B183" i="95"/>
  <c r="B198" i="95"/>
  <c r="B140" i="95"/>
  <c r="B153" i="95"/>
  <c r="B215" i="95"/>
  <c r="B124" i="95"/>
  <c r="B127" i="95"/>
  <c r="CE225" i="4"/>
  <c r="CE332" i="4" s="1"/>
  <c r="H284" i="95"/>
  <c r="CA335" i="4"/>
  <c r="G255" i="95" l="1"/>
  <c r="G232" i="95"/>
  <c r="F291" i="95"/>
  <c r="F232" i="95"/>
  <c r="F236" i="104" s="1"/>
  <c r="G233" i="95"/>
  <c r="H347" i="95" s="1"/>
  <c r="F351" i="104" s="1"/>
  <c r="H320" i="95"/>
  <c r="J320" i="95" s="1"/>
  <c r="K320" i="95" s="1"/>
  <c r="F233" i="95"/>
  <c r="F347" i="95" s="1"/>
  <c r="E351" i="104" s="1"/>
  <c r="G320" i="95"/>
  <c r="H434" i="95" s="1"/>
  <c r="F438" i="104" s="1"/>
  <c r="A440" i="95"/>
  <c r="D440" i="95" s="1"/>
  <c r="A430" i="95"/>
  <c r="A398" i="95"/>
  <c r="D398" i="95" s="1"/>
  <c r="F258" i="95"/>
  <c r="F372" i="95" s="1"/>
  <c r="E376" i="104" s="1"/>
  <c r="F313" i="95"/>
  <c r="F427" i="95" s="1"/>
  <c r="E431" i="104" s="1"/>
  <c r="G326" i="95"/>
  <c r="G330" i="104" s="1"/>
  <c r="H313" i="95"/>
  <c r="J313" i="95" s="1"/>
  <c r="K313" i="95" s="1"/>
  <c r="A417" i="95"/>
  <c r="D417" i="95" s="1"/>
  <c r="A397" i="95"/>
  <c r="D397" i="95" s="1"/>
  <c r="G277" i="95"/>
  <c r="A391" i="95"/>
  <c r="D391" i="95" s="1"/>
  <c r="G241" i="95"/>
  <c r="H355" i="95" s="1"/>
  <c r="F359" i="104" s="1"/>
  <c r="A428" i="95"/>
  <c r="D428" i="95" s="1"/>
  <c r="H314" i="95"/>
  <c r="J314" i="95" s="1"/>
  <c r="K314" i="95" s="1"/>
  <c r="G260" i="95"/>
  <c r="G264" i="104" s="1"/>
  <c r="A374" i="95"/>
  <c r="D374" i="95" s="1"/>
  <c r="H277" i="95"/>
  <c r="J277" i="95" s="1"/>
  <c r="K277" i="95" s="1"/>
  <c r="H260" i="95"/>
  <c r="G314" i="95"/>
  <c r="G318" i="104" s="1"/>
  <c r="H241" i="95"/>
  <c r="J241" i="95" s="1"/>
  <c r="K241" i="95" s="1"/>
  <c r="F277" i="95"/>
  <c r="F391" i="95" s="1"/>
  <c r="E395" i="104" s="1"/>
  <c r="G258" i="95"/>
  <c r="G262" i="104" s="1"/>
  <c r="F333" i="95"/>
  <c r="F447" i="95" s="1"/>
  <c r="E451" i="104" s="1"/>
  <c r="A373" i="95"/>
  <c r="D373" i="95" s="1"/>
  <c r="A447" i="95"/>
  <c r="D447" i="95" s="1"/>
  <c r="F236" i="95"/>
  <c r="A356" i="95"/>
  <c r="D356" i="95" s="1"/>
  <c r="F314" i="95"/>
  <c r="F428" i="95" s="1"/>
  <c r="E432" i="104" s="1"/>
  <c r="H316" i="95"/>
  <c r="H320" i="104" s="1"/>
  <c r="H250" i="95"/>
  <c r="J250" i="95" s="1"/>
  <c r="K250" i="95" s="1"/>
  <c r="A427" i="95"/>
  <c r="D427" i="95" s="1"/>
  <c r="A355" i="95"/>
  <c r="D355" i="95" s="1"/>
  <c r="F326" i="95"/>
  <c r="F330" i="104" s="1"/>
  <c r="H333" i="95"/>
  <c r="G259" i="95"/>
  <c r="G263" i="104" s="1"/>
  <c r="G333" i="95"/>
  <c r="H447" i="95" s="1"/>
  <c r="F451" i="104" s="1"/>
  <c r="H259" i="95"/>
  <c r="H263" i="104" s="1"/>
  <c r="A372" i="95"/>
  <c r="D372" i="95" s="1"/>
  <c r="F251" i="95"/>
  <c r="F365" i="95" s="1"/>
  <c r="E369" i="104" s="1"/>
  <c r="H242" i="95"/>
  <c r="J242" i="95" s="1"/>
  <c r="K242" i="95" s="1"/>
  <c r="H236" i="95"/>
  <c r="H240" i="104" s="1"/>
  <c r="H251" i="95"/>
  <c r="F242" i="95"/>
  <c r="F356" i="95" s="1"/>
  <c r="E360" i="104" s="1"/>
  <c r="H258" i="95"/>
  <c r="J258" i="95" s="1"/>
  <c r="K258" i="95" s="1"/>
  <c r="A350" i="95"/>
  <c r="D350" i="95" s="1"/>
  <c r="A365" i="95"/>
  <c r="D365" i="95" s="1"/>
  <c r="G242" i="95"/>
  <c r="G246" i="104" s="1"/>
  <c r="F259" i="95"/>
  <c r="F263" i="104" s="1"/>
  <c r="A399" i="95"/>
  <c r="D399" i="95" s="1"/>
  <c r="F256" i="95"/>
  <c r="A361" i="95"/>
  <c r="H311" i="95"/>
  <c r="H315" i="104" s="1"/>
  <c r="F310" i="95"/>
  <c r="F424" i="95" s="1"/>
  <c r="E428" i="104" s="1"/>
  <c r="F235" i="95"/>
  <c r="F349" i="95" s="1"/>
  <c r="E353" i="104" s="1"/>
  <c r="G313" i="95"/>
  <c r="H427" i="95" s="1"/>
  <c r="F431" i="104" s="1"/>
  <c r="G251" i="95"/>
  <c r="H365" i="95" s="1"/>
  <c r="F369" i="104" s="1"/>
  <c r="F241" i="95"/>
  <c r="F355" i="95" s="1"/>
  <c r="E359" i="104" s="1"/>
  <c r="H326" i="95"/>
  <c r="J326" i="95" s="1"/>
  <c r="K326" i="95" s="1"/>
  <c r="F260" i="95"/>
  <c r="F374" i="95" s="1"/>
  <c r="E378" i="104" s="1"/>
  <c r="H256" i="95"/>
  <c r="J256" i="95" s="1"/>
  <c r="K256" i="95" s="1"/>
  <c r="F284" i="95"/>
  <c r="F398" i="95" s="1"/>
  <c r="E402" i="104" s="1"/>
  <c r="G316" i="95"/>
  <c r="H430" i="95" s="1"/>
  <c r="F434" i="104" s="1"/>
  <c r="G288" i="95"/>
  <c r="G292" i="104" s="1"/>
  <c r="G285" i="95"/>
  <c r="H399" i="95" s="1"/>
  <c r="F403" i="104" s="1"/>
  <c r="H304" i="95"/>
  <c r="J304" i="95" s="1"/>
  <c r="K304" i="95" s="1"/>
  <c r="A410" i="95"/>
  <c r="D410" i="95" s="1"/>
  <c r="F293" i="95"/>
  <c r="F297" i="104" s="1"/>
  <c r="F271" i="95"/>
  <c r="F385" i="95" s="1"/>
  <c r="E389" i="104" s="1"/>
  <c r="F323" i="95"/>
  <c r="F437" i="95" s="1"/>
  <c r="E441" i="104" s="1"/>
  <c r="A418" i="95"/>
  <c r="D418" i="95" s="1"/>
  <c r="F285" i="95"/>
  <c r="F399" i="95" s="1"/>
  <c r="E403" i="104" s="1"/>
  <c r="A370" i="95"/>
  <c r="D370" i="95" s="1"/>
  <c r="A385" i="95"/>
  <c r="D385" i="95" s="1"/>
  <c r="A434" i="95"/>
  <c r="D434" i="95" s="1"/>
  <c r="F316" i="95"/>
  <c r="F320" i="104" s="1"/>
  <c r="G290" i="95"/>
  <c r="H404" i="95" s="1"/>
  <c r="F408" i="104" s="1"/>
  <c r="G323" i="95"/>
  <c r="H437" i="95" s="1"/>
  <c r="F441" i="104" s="1"/>
  <c r="H323" i="95"/>
  <c r="J323" i="95" s="1"/>
  <c r="K323" i="95" s="1"/>
  <c r="G327" i="95"/>
  <c r="H441" i="95" s="1"/>
  <c r="F445" i="104" s="1"/>
  <c r="A437" i="95"/>
  <c r="D437" i="95" s="1"/>
  <c r="H321" i="95"/>
  <c r="H325" i="104" s="1"/>
  <c r="F290" i="95"/>
  <c r="F404" i="95" s="1"/>
  <c r="E408" i="104" s="1"/>
  <c r="H275" i="95"/>
  <c r="H279" i="104" s="1"/>
  <c r="G245" i="95"/>
  <c r="H359" i="95" s="1"/>
  <c r="F363" i="104" s="1"/>
  <c r="A364" i="95"/>
  <c r="D364" i="95" s="1"/>
  <c r="H243" i="95"/>
  <c r="J243" i="95" s="1"/>
  <c r="K243" i="95" s="1"/>
  <c r="A439" i="95"/>
  <c r="D439" i="95" s="1"/>
  <c r="A394" i="95"/>
  <c r="D394" i="95" s="1"/>
  <c r="A352" i="95"/>
  <c r="D352" i="95" s="1"/>
  <c r="A369" i="95"/>
  <c r="D369" i="95" s="1"/>
  <c r="A357" i="95"/>
  <c r="F280" i="95"/>
  <c r="F394" i="95" s="1"/>
  <c r="E398" i="104" s="1"/>
  <c r="H238" i="95"/>
  <c r="J238" i="95" s="1"/>
  <c r="K238" i="95" s="1"/>
  <c r="G325" i="95"/>
  <c r="H439" i="95" s="1"/>
  <c r="F443" i="104" s="1"/>
  <c r="F243" i="95"/>
  <c r="F247" i="104" s="1"/>
  <c r="H283" i="95"/>
  <c r="H287" i="104" s="1"/>
  <c r="F283" i="95"/>
  <c r="F287" i="104" s="1"/>
  <c r="A405" i="95"/>
  <c r="D405" i="95" s="1"/>
  <c r="F303" i="95"/>
  <c r="F307" i="104" s="1"/>
  <c r="F238" i="95"/>
  <c r="F352" i="95" s="1"/>
  <c r="E356" i="104" s="1"/>
  <c r="A426" i="95"/>
  <c r="D426" i="95" s="1"/>
  <c r="G283" i="95"/>
  <c r="H397" i="95" s="1"/>
  <c r="F401" i="104" s="1"/>
  <c r="H291" i="95"/>
  <c r="J291" i="95" s="1"/>
  <c r="K291" i="95" s="1"/>
  <c r="G303" i="95"/>
  <c r="H417" i="95" s="1"/>
  <c r="F421" i="104" s="1"/>
  <c r="G238" i="95"/>
  <c r="H352" i="95" s="1"/>
  <c r="F356" i="104" s="1"/>
  <c r="F325" i="95"/>
  <c r="F439" i="95" s="1"/>
  <c r="E443" i="104" s="1"/>
  <c r="H280" i="95"/>
  <c r="J280" i="95" s="1"/>
  <c r="K280" i="95" s="1"/>
  <c r="G291" i="95"/>
  <c r="H405" i="95" s="1"/>
  <c r="F409" i="104" s="1"/>
  <c r="H303" i="95"/>
  <c r="J303" i="95" s="1"/>
  <c r="K303" i="95" s="1"/>
  <c r="F250" i="95"/>
  <c r="F364" i="95" s="1"/>
  <c r="E368" i="104" s="1"/>
  <c r="H255" i="95"/>
  <c r="J255" i="95" s="1"/>
  <c r="K255" i="95" s="1"/>
  <c r="G243" i="95"/>
  <c r="H357" i="95" s="1"/>
  <c r="F361" i="104" s="1"/>
  <c r="H325" i="95"/>
  <c r="J325" i="95" s="1"/>
  <c r="K325" i="95" s="1"/>
  <c r="G280" i="95"/>
  <c r="H394" i="95" s="1"/>
  <c r="F398" i="104" s="1"/>
  <c r="G250" i="95"/>
  <c r="G254" i="104" s="1"/>
  <c r="F255" i="95"/>
  <c r="F369" i="95" s="1"/>
  <c r="E373" i="104" s="1"/>
  <c r="A404" i="95"/>
  <c r="D404" i="95" s="1"/>
  <c r="F274" i="95"/>
  <c r="F388" i="95" s="1"/>
  <c r="E392" i="104" s="1"/>
  <c r="A415" i="95"/>
  <c r="D415" i="95" s="1"/>
  <c r="H285" i="95"/>
  <c r="H289" i="104" s="1"/>
  <c r="A443" i="95"/>
  <c r="D443" i="95" s="1"/>
  <c r="G256" i="95"/>
  <c r="H370" i="95" s="1"/>
  <c r="F374" i="104" s="1"/>
  <c r="F289" i="95"/>
  <c r="F293" i="104" s="1"/>
  <c r="H281" i="95"/>
  <c r="J281" i="95" s="1"/>
  <c r="K281" i="95" s="1"/>
  <c r="A431" i="95"/>
  <c r="D431" i="95" s="1"/>
  <c r="F254" i="95"/>
  <c r="F368" i="95" s="1"/>
  <c r="E372" i="104" s="1"/>
  <c r="G319" i="95"/>
  <c r="H433" i="95" s="1"/>
  <c r="F437" i="104" s="1"/>
  <c r="H301" i="95"/>
  <c r="J301" i="95" s="1"/>
  <c r="K301" i="95" s="1"/>
  <c r="A407" i="95"/>
  <c r="D407" i="95" s="1"/>
  <c r="F226" i="95"/>
  <c r="F230" i="104" s="1"/>
  <c r="G270" i="95"/>
  <c r="H384" i="95" s="1"/>
  <c r="F388" i="104" s="1"/>
  <c r="A403" i="95"/>
  <c r="D403" i="95" s="1"/>
  <c r="A424" i="95"/>
  <c r="D424" i="95" s="1"/>
  <c r="H290" i="95"/>
  <c r="J290" i="95" s="1"/>
  <c r="K290" i="95" s="1"/>
  <c r="G231" i="95"/>
  <c r="H345" i="95" s="1"/>
  <c r="F349" i="104" s="1"/>
  <c r="G275" i="95"/>
  <c r="H389" i="95" s="1"/>
  <c r="F393" i="104" s="1"/>
  <c r="A445" i="95"/>
  <c r="D445" i="95" s="1"/>
  <c r="F245" i="95"/>
  <c r="F359" i="95" s="1"/>
  <c r="E363" i="104" s="1"/>
  <c r="G312" i="95"/>
  <c r="H426" i="95" s="1"/>
  <c r="F430" i="104" s="1"/>
  <c r="F300" i="95"/>
  <c r="F414" i="95" s="1"/>
  <c r="E418" i="104" s="1"/>
  <c r="A359" i="95"/>
  <c r="D359" i="95" s="1"/>
  <c r="F312" i="95"/>
  <c r="F426" i="95" s="1"/>
  <c r="E430" i="104" s="1"/>
  <c r="G305" i="95"/>
  <c r="H419" i="95" s="1"/>
  <c r="F423" i="104" s="1"/>
  <c r="H312" i="95"/>
  <c r="J312" i="95" s="1"/>
  <c r="K312" i="95" s="1"/>
  <c r="A401" i="95"/>
  <c r="D401" i="95" s="1"/>
  <c r="H239" i="95"/>
  <c r="J239" i="95" s="1"/>
  <c r="G268" i="95"/>
  <c r="H382" i="95" s="1"/>
  <c r="F386" i="104" s="1"/>
  <c r="H245" i="95"/>
  <c r="H249" i="104" s="1"/>
  <c r="F327" i="95"/>
  <c r="F441" i="95" s="1"/>
  <c r="E445" i="104" s="1"/>
  <c r="G279" i="95"/>
  <c r="H393" i="95" s="1"/>
  <c r="F397" i="104" s="1"/>
  <c r="H322" i="95"/>
  <c r="H326" i="104" s="1"/>
  <c r="H265" i="95"/>
  <c r="H269" i="104" s="1"/>
  <c r="H315" i="95"/>
  <c r="H319" i="104" s="1"/>
  <c r="A395" i="95"/>
  <c r="D395" i="95" s="1"/>
  <c r="A386" i="95"/>
  <c r="D386" i="95" s="1"/>
  <c r="H329" i="95"/>
  <c r="J329" i="95" s="1"/>
  <c r="A340" i="95"/>
  <c r="D340" i="95" s="1"/>
  <c r="G324" i="95"/>
  <c r="G328" i="104" s="1"/>
  <c r="H254" i="95"/>
  <c r="H258" i="104" s="1"/>
  <c r="A389" i="95"/>
  <c r="D389" i="95" s="1"/>
  <c r="F331" i="95"/>
  <c r="F445" i="95" s="1"/>
  <c r="E449" i="104" s="1"/>
  <c r="G284" i="95"/>
  <c r="G288" i="104" s="1"/>
  <c r="F304" i="95"/>
  <c r="F418" i="95" s="1"/>
  <c r="E422" i="104" s="1"/>
  <c r="F281" i="95"/>
  <c r="F395" i="95" s="1"/>
  <c r="E399" i="104" s="1"/>
  <c r="H247" i="95"/>
  <c r="J247" i="95" s="1"/>
  <c r="K247" i="95" s="1"/>
  <c r="F231" i="95"/>
  <c r="F345" i="95" s="1"/>
  <c r="E349" i="104" s="1"/>
  <c r="A393" i="95"/>
  <c r="D393" i="95" s="1"/>
  <c r="F265" i="95"/>
  <c r="F379" i="95" s="1"/>
  <c r="E383" i="104" s="1"/>
  <c r="H318" i="95"/>
  <c r="J318" i="95" s="1"/>
  <c r="K318" i="95" s="1"/>
  <c r="G247" i="95"/>
  <c r="G251" i="104" s="1"/>
  <c r="A368" i="95"/>
  <c r="D368" i="95" s="1"/>
  <c r="G331" i="95"/>
  <c r="G335" i="104" s="1"/>
  <c r="F269" i="95"/>
  <c r="F383" i="95" s="1"/>
  <c r="E387" i="104" s="1"/>
  <c r="G293" i="95"/>
  <c r="H407" i="95" s="1"/>
  <c r="F411" i="104" s="1"/>
  <c r="G304" i="95"/>
  <c r="H418" i="95" s="1"/>
  <c r="F422" i="104" s="1"/>
  <c r="G281" i="95"/>
  <c r="H395" i="95" s="1"/>
  <c r="F399" i="104" s="1"/>
  <c r="A388" i="95"/>
  <c r="D388" i="95" s="1"/>
  <c r="G310" i="95"/>
  <c r="G314" i="104" s="1"/>
  <c r="H327" i="95"/>
  <c r="H331" i="104" s="1"/>
  <c r="F302" i="95"/>
  <c r="F416" i="95" s="1"/>
  <c r="E420" i="104" s="1"/>
  <c r="CA188" i="4"/>
  <c r="CA222" i="4"/>
  <c r="G269" i="95"/>
  <c r="H383" i="95" s="1"/>
  <c r="F387" i="104" s="1"/>
  <c r="A351" i="95"/>
  <c r="D351" i="95" s="1"/>
  <c r="H324" i="95"/>
  <c r="J324" i="95" s="1"/>
  <c r="F318" i="95"/>
  <c r="F432" i="95" s="1"/>
  <c r="E436" i="104" s="1"/>
  <c r="F247" i="95"/>
  <c r="F251" i="104" s="1"/>
  <c r="A441" i="95"/>
  <c r="D441" i="95" s="1"/>
  <c r="G274" i="95"/>
  <c r="H388" i="95" s="1"/>
  <c r="F392" i="104" s="1"/>
  <c r="H331" i="95"/>
  <c r="J331" i="95" s="1"/>
  <c r="K331" i="95" s="1"/>
  <c r="G254" i="95"/>
  <c r="H368" i="95" s="1"/>
  <c r="F372" i="104" s="1"/>
  <c r="A362" i="95"/>
  <c r="D362" i="95" s="1"/>
  <c r="F324" i="95"/>
  <c r="F438" i="95" s="1"/>
  <c r="E442" i="104" s="1"/>
  <c r="H330" i="95"/>
  <c r="H334" i="104" s="1"/>
  <c r="F282" i="95"/>
  <c r="F396" i="95" s="1"/>
  <c r="E400" i="104" s="1"/>
  <c r="F246" i="95"/>
  <c r="F250" i="104" s="1"/>
  <c r="G292" i="95"/>
  <c r="G296" i="104" s="1"/>
  <c r="F263" i="95"/>
  <c r="F377" i="95" s="1"/>
  <c r="E381" i="104" s="1"/>
  <c r="A408" i="95"/>
  <c r="D408" i="95" s="1"/>
  <c r="A378" i="95"/>
  <c r="D378" i="95" s="1"/>
  <c r="H276" i="95"/>
  <c r="J276" i="95" s="1"/>
  <c r="K276" i="95" s="1"/>
  <c r="A416" i="95"/>
  <c r="D416" i="95" s="1"/>
  <c r="H261" i="95"/>
  <c r="H265" i="104" s="1"/>
  <c r="H295" i="95"/>
  <c r="H299" i="104" s="1"/>
  <c r="F321" i="95"/>
  <c r="F435" i="95" s="1"/>
  <c r="E439" i="104" s="1"/>
  <c r="H263" i="95"/>
  <c r="J263" i="95" s="1"/>
  <c r="K263" i="95" s="1"/>
  <c r="G294" i="95"/>
  <c r="H408" i="95" s="1"/>
  <c r="F412" i="104" s="1"/>
  <c r="H302" i="95"/>
  <c r="J302" i="95" s="1"/>
  <c r="K302" i="95" s="1"/>
  <c r="G321" i="95"/>
  <c r="H435" i="95" s="1"/>
  <c r="F439" i="104" s="1"/>
  <c r="F249" i="95"/>
  <c r="F363" i="95" s="1"/>
  <c r="E367" i="104" s="1"/>
  <c r="G298" i="95"/>
  <c r="G302" i="104" s="1"/>
  <c r="F301" i="95"/>
  <c r="F415" i="95" s="1"/>
  <c r="E419" i="104" s="1"/>
  <c r="G225" i="95"/>
  <c r="H225" i="95" s="1"/>
  <c r="H229" i="104" s="1"/>
  <c r="G318" i="95"/>
  <c r="H432" i="95" s="1"/>
  <c r="F436" i="104" s="1"/>
  <c r="F279" i="95"/>
  <c r="F393" i="95" s="1"/>
  <c r="E397" i="104" s="1"/>
  <c r="F230" i="95"/>
  <c r="F234" i="104" s="1"/>
  <c r="G244" i="95"/>
  <c r="H358" i="95" s="1"/>
  <c r="F362" i="104" s="1"/>
  <c r="G264" i="95"/>
  <c r="G268" i="104" s="1"/>
  <c r="A390" i="95"/>
  <c r="D390" i="95" s="1"/>
  <c r="G302" i="95"/>
  <c r="H416" i="95" s="1"/>
  <c r="F420" i="104" s="1"/>
  <c r="H279" i="95"/>
  <c r="J279" i="95" s="1"/>
  <c r="K279" i="95" s="1"/>
  <c r="H272" i="95"/>
  <c r="J272" i="95" s="1"/>
  <c r="G230" i="95"/>
  <c r="H344" i="95" s="1"/>
  <c r="F348" i="104" s="1"/>
  <c r="F273" i="95"/>
  <c r="F387" i="95" s="1"/>
  <c r="E391" i="104" s="1"/>
  <c r="A363" i="95"/>
  <c r="D363" i="95" s="1"/>
  <c r="H278" i="95"/>
  <c r="J278" i="95" s="1"/>
  <c r="K278" i="95" s="1"/>
  <c r="H246" i="95"/>
  <c r="J246" i="95" s="1"/>
  <c r="K246" i="95" s="1"/>
  <c r="G263" i="95"/>
  <c r="H377" i="95" s="1"/>
  <c r="F381" i="104" s="1"/>
  <c r="G235" i="95"/>
  <c r="H349" i="95" s="1"/>
  <c r="F353" i="104" s="1"/>
  <c r="A438" i="95"/>
  <c r="D438" i="95" s="1"/>
  <c r="H297" i="95"/>
  <c r="H301" i="104" s="1"/>
  <c r="G276" i="95"/>
  <c r="G280" i="104" s="1"/>
  <c r="F286" i="95"/>
  <c r="F400" i="95" s="1"/>
  <c r="E404" i="104" s="1"/>
  <c r="H288" i="95"/>
  <c r="H292" i="104" s="1"/>
  <c r="G272" i="95"/>
  <c r="H386" i="95" s="1"/>
  <c r="F390" i="104" s="1"/>
  <c r="A387" i="95"/>
  <c r="D387" i="95" s="1"/>
  <c r="G262" i="95"/>
  <c r="H376" i="95" s="1"/>
  <c r="F380" i="104" s="1"/>
  <c r="G249" i="95"/>
  <c r="G253" i="104" s="1"/>
  <c r="F278" i="95"/>
  <c r="F282" i="104" s="1"/>
  <c r="G246" i="95"/>
  <c r="H360" i="95" s="1"/>
  <c r="F364" i="104" s="1"/>
  <c r="A377" i="95"/>
  <c r="D377" i="95" s="1"/>
  <c r="A381" i="95"/>
  <c r="D381" i="95" s="1"/>
  <c r="H270" i="95"/>
  <c r="H274" i="104" s="1"/>
  <c r="H298" i="95"/>
  <c r="J298" i="95" s="1"/>
  <c r="K298" i="95" s="1"/>
  <c r="A414" i="95"/>
  <c r="D414" i="95" s="1"/>
  <c r="F297" i="95"/>
  <c r="F411" i="95" s="1"/>
  <c r="E415" i="104" s="1"/>
  <c r="H273" i="95"/>
  <c r="J273" i="95" s="1"/>
  <c r="K273" i="95" s="1"/>
  <c r="F315" i="95"/>
  <c r="F429" i="95" s="1"/>
  <c r="E433" i="104" s="1"/>
  <c r="A392" i="95"/>
  <c r="D392" i="95" s="1"/>
  <c r="G278" i="95"/>
  <c r="G282" i="104" s="1"/>
  <c r="H286" i="95"/>
  <c r="J286" i="95" s="1"/>
  <c r="K286" i="95" s="1"/>
  <c r="A411" i="95"/>
  <c r="D411" i="95" s="1"/>
  <c r="F239" i="95"/>
  <c r="F353" i="95" s="1"/>
  <c r="E357" i="104" s="1"/>
  <c r="F272" i="95"/>
  <c r="F386" i="95" s="1"/>
  <c r="E390" i="104" s="1"/>
  <c r="G317" i="95"/>
  <c r="H431" i="95" s="1"/>
  <c r="F435" i="104" s="1"/>
  <c r="H267" i="95"/>
  <c r="J267" i="95" s="1"/>
  <c r="A442" i="95"/>
  <c r="D442" i="95" s="1"/>
  <c r="F261" i="95"/>
  <c r="F265" i="104" s="1"/>
  <c r="F288" i="95"/>
  <c r="F402" i="95" s="1"/>
  <c r="E406" i="104" s="1"/>
  <c r="G239" i="95"/>
  <c r="H353" i="95" s="1"/>
  <c r="F357" i="104" s="1"/>
  <c r="F295" i="95"/>
  <c r="F409" i="95" s="1"/>
  <c r="E413" i="104" s="1"/>
  <c r="F330" i="95"/>
  <c r="F444" i="95" s="1"/>
  <c r="E448" i="104" s="1"/>
  <c r="F292" i="95"/>
  <c r="F406" i="95" s="1"/>
  <c r="E410" i="104" s="1"/>
  <c r="G329" i="95"/>
  <c r="H443" i="95" s="1"/>
  <c r="F447" i="104" s="1"/>
  <c r="H317" i="95"/>
  <c r="J317" i="95" s="1"/>
  <c r="K317" i="95" s="1"/>
  <c r="G315" i="95"/>
  <c r="H429" i="95" s="1"/>
  <c r="F433" i="104" s="1"/>
  <c r="H289" i="95"/>
  <c r="J289" i="95" s="1"/>
  <c r="K289" i="95" s="1"/>
  <c r="A360" i="95"/>
  <c r="D360" i="95" s="1"/>
  <c r="G267" i="95"/>
  <c r="H381" i="95" s="1"/>
  <c r="F385" i="104" s="1"/>
  <c r="F270" i="95"/>
  <c r="F274" i="104" s="1"/>
  <c r="H257" i="95"/>
  <c r="H261" i="104" s="1"/>
  <c r="G301" i="95"/>
  <c r="H415" i="95" s="1"/>
  <c r="F419" i="104" s="1"/>
  <c r="A375" i="95"/>
  <c r="D375" i="95" s="1"/>
  <c r="A402" i="95"/>
  <c r="D402" i="95" s="1"/>
  <c r="A353" i="95"/>
  <c r="D353" i="95" s="1"/>
  <c r="A409" i="95"/>
  <c r="D409" i="95" s="1"/>
  <c r="H292" i="95"/>
  <c r="J292" i="95" s="1"/>
  <c r="K292" i="95" s="1"/>
  <c r="F329" i="95"/>
  <c r="F333" i="104" s="1"/>
  <c r="A435" i="95"/>
  <c r="D435" i="95" s="1"/>
  <c r="F317" i="95"/>
  <c r="F321" i="104" s="1"/>
  <c r="A429" i="95"/>
  <c r="D429" i="95" s="1"/>
  <c r="G289" i="95"/>
  <c r="H403" i="95" s="1"/>
  <c r="F407" i="104" s="1"/>
  <c r="F244" i="95"/>
  <c r="F248" i="104" s="1"/>
  <c r="F294" i="95"/>
  <c r="F408" i="95" s="1"/>
  <c r="E412" i="104" s="1"/>
  <c r="H305" i="95"/>
  <c r="J305" i="95" s="1"/>
  <c r="K305" i="95" s="1"/>
  <c r="A384" i="95"/>
  <c r="D384" i="95" s="1"/>
  <c r="H274" i="95"/>
  <c r="J274" i="95" s="1"/>
  <c r="K274" i="95" s="1"/>
  <c r="G257" i="95"/>
  <c r="H371" i="95" s="1"/>
  <c r="F375" i="104" s="1"/>
  <c r="G328" i="95"/>
  <c r="H442" i="95" s="1"/>
  <c r="F446" i="104" s="1"/>
  <c r="G261" i="95"/>
  <c r="H375" i="95" s="1"/>
  <c r="F379" i="104" s="1"/>
  <c r="G330" i="95"/>
  <c r="H444" i="95" s="1"/>
  <c r="F448" i="104" s="1"/>
  <c r="G282" i="95"/>
  <c r="H396" i="95" s="1"/>
  <c r="F400" i="104" s="1"/>
  <c r="H244" i="95"/>
  <c r="H248" i="104" s="1"/>
  <c r="A400" i="95"/>
  <c r="D400" i="95" s="1"/>
  <c r="A406" i="95"/>
  <c r="D406" i="95" s="1"/>
  <c r="A376" i="95"/>
  <c r="D376" i="95" s="1"/>
  <c r="H249" i="95"/>
  <c r="J249" i="95" s="1"/>
  <c r="K249" i="95" s="1"/>
  <c r="F264" i="95"/>
  <c r="F378" i="95" s="1"/>
  <c r="E382" i="104" s="1"/>
  <c r="F276" i="95"/>
  <c r="F390" i="95" s="1"/>
  <c r="E394" i="104" s="1"/>
  <c r="F287" i="95"/>
  <c r="F401" i="95" s="1"/>
  <c r="E405" i="104" s="1"/>
  <c r="A412" i="95"/>
  <c r="D412" i="95" s="1"/>
  <c r="H308" i="95"/>
  <c r="H312" i="104" s="1"/>
  <c r="H233" i="95"/>
  <c r="H237" i="104" s="1"/>
  <c r="H300" i="95"/>
  <c r="J300" i="95" s="1"/>
  <c r="K300" i="95" s="1"/>
  <c r="A339" i="95"/>
  <c r="D339" i="95" s="1"/>
  <c r="D343" i="104" s="1"/>
  <c r="G295" i="95"/>
  <c r="H409" i="95" s="1"/>
  <c r="F413" i="104" s="1"/>
  <c r="A444" i="95"/>
  <c r="D444" i="95" s="1"/>
  <c r="G273" i="95"/>
  <c r="H387" i="95" s="1"/>
  <c r="F391" i="104" s="1"/>
  <c r="A396" i="95"/>
  <c r="D396" i="95" s="1"/>
  <c r="A419" i="95"/>
  <c r="D419" i="95" s="1"/>
  <c r="F248" i="95"/>
  <c r="F362" i="95" s="1"/>
  <c r="E366" i="104" s="1"/>
  <c r="G308" i="95"/>
  <c r="H422" i="95" s="1"/>
  <c r="F426" i="104" s="1"/>
  <c r="A358" i="95"/>
  <c r="D358" i="95" s="1"/>
  <c r="H294" i="95"/>
  <c r="H298" i="104" s="1"/>
  <c r="F267" i="95"/>
  <c r="F381" i="95" s="1"/>
  <c r="E385" i="104" s="1"/>
  <c r="H264" i="95"/>
  <c r="J264" i="95" s="1"/>
  <c r="G297" i="95"/>
  <c r="G301" i="104" s="1"/>
  <c r="G248" i="95"/>
  <c r="G252" i="104" s="1"/>
  <c r="H248" i="95"/>
  <c r="J248" i="95" s="1"/>
  <c r="K248" i="95" s="1"/>
  <c r="G287" i="95"/>
  <c r="H401" i="95" s="1"/>
  <c r="F405" i="104" s="1"/>
  <c r="G286" i="95"/>
  <c r="H400" i="95" s="1"/>
  <c r="F404" i="104" s="1"/>
  <c r="H307" i="95"/>
  <c r="J307" i="95" s="1"/>
  <c r="K307" i="95" s="1"/>
  <c r="F309" i="95"/>
  <c r="F423" i="95" s="1"/>
  <c r="E427" i="104" s="1"/>
  <c r="A421" i="95"/>
  <c r="D421" i="95" s="1"/>
  <c r="F228" i="95"/>
  <c r="H228" i="95" s="1"/>
  <c r="G309" i="95"/>
  <c r="G313" i="104" s="1"/>
  <c r="A342" i="95"/>
  <c r="D342" i="95" s="1"/>
  <c r="A423" i="95"/>
  <c r="D423" i="95" s="1"/>
  <c r="F296" i="95"/>
  <c r="F300" i="104" s="1"/>
  <c r="A436" i="95"/>
  <c r="D436" i="95" s="1"/>
  <c r="F307" i="95"/>
  <c r="F421" i="95" s="1"/>
  <c r="E425" i="104" s="1"/>
  <c r="A422" i="95"/>
  <c r="D422" i="95" s="1"/>
  <c r="H268" i="95"/>
  <c r="J268" i="95" s="1"/>
  <c r="K268" i="95" s="1"/>
  <c r="F308" i="95"/>
  <c r="F422" i="95" s="1"/>
  <c r="E426" i="104" s="1"/>
  <c r="G307" i="95"/>
  <c r="G311" i="104" s="1"/>
  <c r="H253" i="95"/>
  <c r="J253" i="95" s="1"/>
  <c r="K253" i="95" s="1"/>
  <c r="F240" i="95"/>
  <c r="F244" i="104" s="1"/>
  <c r="F229" i="95"/>
  <c r="H229" i="95" s="1"/>
  <c r="H233" i="104" s="1"/>
  <c r="F268" i="95"/>
  <c r="F382" i="95" s="1"/>
  <c r="E386" i="104" s="1"/>
  <c r="F328" i="95"/>
  <c r="F442" i="95" s="1"/>
  <c r="E446" i="104" s="1"/>
  <c r="A343" i="95"/>
  <c r="D343" i="95" s="1"/>
  <c r="D347" i="104" s="1"/>
  <c r="A432" i="95"/>
  <c r="D432" i="95" s="1"/>
  <c r="F257" i="95"/>
  <c r="F261" i="104" s="1"/>
  <c r="A341" i="95"/>
  <c r="D341" i="95" s="1"/>
  <c r="G300" i="95"/>
  <c r="H414" i="95" s="1"/>
  <c r="F418" i="104" s="1"/>
  <c r="F320" i="95"/>
  <c r="F434" i="95" s="1"/>
  <c r="E438" i="104" s="1"/>
  <c r="H293" i="95"/>
  <c r="J293" i="95" s="1"/>
  <c r="K293" i="95" s="1"/>
  <c r="G265" i="95"/>
  <c r="H379" i="95" s="1"/>
  <c r="F383" i="104" s="1"/>
  <c r="A382" i="95"/>
  <c r="D382" i="95" s="1"/>
  <c r="F305" i="95"/>
  <c r="F309" i="104" s="1"/>
  <c r="F298" i="95"/>
  <c r="F412" i="95" s="1"/>
  <c r="E416" i="104" s="1"/>
  <c r="H287" i="95"/>
  <c r="J287" i="95" s="1"/>
  <c r="K287" i="95" s="1"/>
  <c r="F275" i="95"/>
  <c r="F389" i="95" s="1"/>
  <c r="E393" i="104" s="1"/>
  <c r="F306" i="95"/>
  <c r="F420" i="95" s="1"/>
  <c r="E424" i="104" s="1"/>
  <c r="A371" i="95"/>
  <c r="D371" i="95" s="1"/>
  <c r="A379" i="95"/>
  <c r="D379" i="95" s="1"/>
  <c r="A367" i="95"/>
  <c r="D367" i="95" s="1"/>
  <c r="H328" i="95"/>
  <c r="J328" i="95" s="1"/>
  <c r="K328" i="95" s="1"/>
  <c r="F332" i="95"/>
  <c r="F336" i="104" s="1"/>
  <c r="H309" i="95"/>
  <c r="J309" i="95" s="1"/>
  <c r="K309" i="95" s="1"/>
  <c r="A420" i="95"/>
  <c r="D420" i="95" s="1"/>
  <c r="G266" i="95"/>
  <c r="H380" i="95" s="1"/>
  <c r="F384" i="104" s="1"/>
  <c r="H296" i="95"/>
  <c r="H300" i="104" s="1"/>
  <c r="G252" i="95"/>
  <c r="H366" i="95" s="1"/>
  <c r="F370" i="104" s="1"/>
  <c r="G271" i="95"/>
  <c r="H385" i="95" s="1"/>
  <c r="F389" i="104" s="1"/>
  <c r="F266" i="95"/>
  <c r="F270" i="104" s="1"/>
  <c r="G234" i="95"/>
  <c r="G238" i="104" s="1"/>
  <c r="A366" i="95"/>
  <c r="D366" i="95" s="1"/>
  <c r="A380" i="95"/>
  <c r="D380" i="95" s="1"/>
  <c r="F299" i="95"/>
  <c r="F303" i="104" s="1"/>
  <c r="H271" i="95"/>
  <c r="H275" i="104" s="1"/>
  <c r="G311" i="95"/>
  <c r="G315" i="104" s="1"/>
  <c r="G227" i="95"/>
  <c r="H341" i="95" s="1"/>
  <c r="F345" i="104" s="1"/>
  <c r="H282" i="95"/>
  <c r="J282" i="95" s="1"/>
  <c r="F234" i="95"/>
  <c r="F238" i="104" s="1"/>
  <c r="G237" i="95"/>
  <c r="G241" i="104" s="1"/>
  <c r="H310" i="95"/>
  <c r="J310" i="95" s="1"/>
  <c r="K310" i="95" s="1"/>
  <c r="F262" i="95"/>
  <c r="F266" i="104" s="1"/>
  <c r="H237" i="95"/>
  <c r="H241" i="104" s="1"/>
  <c r="G296" i="95"/>
  <c r="G300" i="104" s="1"/>
  <c r="H252" i="95"/>
  <c r="J252" i="95" s="1"/>
  <c r="K252" i="95" s="1"/>
  <c r="A413" i="95"/>
  <c r="D413" i="95" s="1"/>
  <c r="H266" i="95"/>
  <c r="H270" i="104" s="1"/>
  <c r="H299" i="95"/>
  <c r="H303" i="104" s="1"/>
  <c r="F311" i="95"/>
  <c r="F315" i="104" s="1"/>
  <c r="G332" i="95"/>
  <c r="G336" i="104" s="1"/>
  <c r="H262" i="95"/>
  <c r="J262" i="95" s="1"/>
  <c r="K262" i="95" s="1"/>
  <c r="F237" i="95"/>
  <c r="F241" i="104" s="1"/>
  <c r="F252" i="95"/>
  <c r="F256" i="104" s="1"/>
  <c r="A425" i="95"/>
  <c r="D425" i="95" s="1"/>
  <c r="F319" i="95"/>
  <c r="F433" i="95" s="1"/>
  <c r="E437" i="104" s="1"/>
  <c r="H319" i="95"/>
  <c r="H323" i="104" s="1"/>
  <c r="G299" i="95"/>
  <c r="H413" i="95" s="1"/>
  <c r="F417" i="104" s="1"/>
  <c r="B296" i="95"/>
  <c r="B410" i="95" s="1"/>
  <c r="B187" i="104"/>
  <c r="B300" i="104" s="1"/>
  <c r="B414" i="104" s="1"/>
  <c r="B309" i="95"/>
  <c r="B423" i="95" s="1"/>
  <c r="B200" i="104"/>
  <c r="B313" i="104" s="1"/>
  <c r="B427" i="104" s="1"/>
  <c r="I270" i="104"/>
  <c r="I303" i="104"/>
  <c r="B320" i="95"/>
  <c r="B434" i="95" s="1"/>
  <c r="B211" i="104"/>
  <c r="B324" i="104" s="1"/>
  <c r="B438" i="104" s="1"/>
  <c r="B332" i="95"/>
  <c r="B446" i="95" s="1"/>
  <c r="B223" i="104"/>
  <c r="B336" i="104" s="1"/>
  <c r="B450" i="104" s="1"/>
  <c r="I275" i="104"/>
  <c r="B242" i="95"/>
  <c r="B356" i="95" s="1"/>
  <c r="B133" i="104"/>
  <c r="B246" i="104" s="1"/>
  <c r="B360" i="104" s="1"/>
  <c r="I286" i="104"/>
  <c r="B303" i="95"/>
  <c r="B417" i="95" s="1"/>
  <c r="B194" i="104"/>
  <c r="B307" i="104" s="1"/>
  <c r="B421" i="104" s="1"/>
  <c r="I331" i="104"/>
  <c r="B255" i="95"/>
  <c r="B369" i="95" s="1"/>
  <c r="B146" i="104"/>
  <c r="B259" i="104" s="1"/>
  <c r="B373" i="104" s="1"/>
  <c r="I282" i="104"/>
  <c r="I284" i="104"/>
  <c r="B272" i="95"/>
  <c r="B386" i="95" s="1"/>
  <c r="B163" i="104"/>
  <c r="B276" i="104" s="1"/>
  <c r="B390" i="104" s="1"/>
  <c r="I250" i="104"/>
  <c r="B261" i="95"/>
  <c r="B375" i="95" s="1"/>
  <c r="B152" i="104"/>
  <c r="B265" i="104" s="1"/>
  <c r="B379" i="104" s="1"/>
  <c r="B276" i="95"/>
  <c r="B390" i="95" s="1"/>
  <c r="B167" i="104"/>
  <c r="B280" i="104" s="1"/>
  <c r="B394" i="104" s="1"/>
  <c r="I307" i="104"/>
  <c r="I245" i="104"/>
  <c r="B267" i="95"/>
  <c r="B381" i="95" s="1"/>
  <c r="B158" i="104"/>
  <c r="B271" i="104" s="1"/>
  <c r="B385" i="104" s="1"/>
  <c r="I281" i="104"/>
  <c r="F341" i="95"/>
  <c r="E345" i="104" s="1"/>
  <c r="F231" i="104"/>
  <c r="I310" i="104"/>
  <c r="B265" i="95"/>
  <c r="B379" i="95" s="1"/>
  <c r="B156" i="104"/>
  <c r="B269" i="104" s="1"/>
  <c r="B383" i="104" s="1"/>
  <c r="I336" i="104"/>
  <c r="B254" i="95"/>
  <c r="B368" i="95" s="1"/>
  <c r="B145" i="104"/>
  <c r="B258" i="104" s="1"/>
  <c r="B372" i="104" s="1"/>
  <c r="B280" i="95"/>
  <c r="B394" i="95" s="1"/>
  <c r="B171" i="104"/>
  <c r="B284" i="104" s="1"/>
  <c r="B398" i="104" s="1"/>
  <c r="B325" i="95"/>
  <c r="B439" i="95" s="1"/>
  <c r="B216" i="104"/>
  <c r="B329" i="104" s="1"/>
  <c r="B443" i="104" s="1"/>
  <c r="I322" i="104"/>
  <c r="B285" i="95"/>
  <c r="B399" i="95" s="1"/>
  <c r="B176" i="104"/>
  <c r="B289" i="104" s="1"/>
  <c r="B403" i="104" s="1"/>
  <c r="B314" i="95"/>
  <c r="B428" i="95" s="1"/>
  <c r="B205" i="104"/>
  <c r="B318" i="104" s="1"/>
  <c r="B432" i="104" s="1"/>
  <c r="I309" i="104"/>
  <c r="B326" i="95"/>
  <c r="B440" i="95" s="1"/>
  <c r="B217" i="104"/>
  <c r="B330" i="104" s="1"/>
  <c r="B444" i="104" s="1"/>
  <c r="I261" i="104"/>
  <c r="B230" i="95"/>
  <c r="B344" i="95" s="1"/>
  <c r="B121" i="104"/>
  <c r="B234" i="104" s="1"/>
  <c r="B348" i="104" s="1"/>
  <c r="I324" i="104"/>
  <c r="B256" i="95"/>
  <c r="B370" i="95" s="1"/>
  <c r="B147" i="104"/>
  <c r="B260" i="104" s="1"/>
  <c r="B374" i="104" s="1"/>
  <c r="I255" i="104"/>
  <c r="B260" i="95"/>
  <c r="B374" i="95" s="1"/>
  <c r="B151" i="104"/>
  <c r="B264" i="104" s="1"/>
  <c r="B378" i="104" s="1"/>
  <c r="B289" i="95"/>
  <c r="B403" i="95" s="1"/>
  <c r="B180" i="104"/>
  <c r="B293" i="104" s="1"/>
  <c r="B407" i="104" s="1"/>
  <c r="I304" i="104"/>
  <c r="B235" i="95"/>
  <c r="B349" i="95" s="1"/>
  <c r="B126" i="104"/>
  <c r="B239" i="104" s="1"/>
  <c r="B353" i="104" s="1"/>
  <c r="B228" i="95"/>
  <c r="B342" i="95" s="1"/>
  <c r="B119" i="104"/>
  <c r="B232" i="104" s="1"/>
  <c r="B346" i="104" s="1"/>
  <c r="B262" i="95"/>
  <c r="B376" i="95" s="1"/>
  <c r="B153" i="104"/>
  <c r="B266" i="104" s="1"/>
  <c r="B380" i="104" s="1"/>
  <c r="I257" i="104"/>
  <c r="H340" i="95"/>
  <c r="F344" i="104" s="1"/>
  <c r="G230" i="104"/>
  <c r="B240" i="95"/>
  <c r="B354" i="95" s="1"/>
  <c r="B131" i="104"/>
  <c r="B244" i="104" s="1"/>
  <c r="B358" i="104" s="1"/>
  <c r="B322" i="95"/>
  <c r="B436" i="95" s="1"/>
  <c r="B213" i="104"/>
  <c r="B326" i="104" s="1"/>
  <c r="B440" i="104" s="1"/>
  <c r="B269" i="95"/>
  <c r="B383" i="95" s="1"/>
  <c r="B160" i="104"/>
  <c r="B273" i="104" s="1"/>
  <c r="B387" i="104" s="1"/>
  <c r="I315" i="104"/>
  <c r="I323" i="104"/>
  <c r="B299" i="95"/>
  <c r="B413" i="95" s="1"/>
  <c r="B190" i="104"/>
  <c r="B303" i="104" s="1"/>
  <c r="B417" i="104" s="1"/>
  <c r="B307" i="95"/>
  <c r="B421" i="95" s="1"/>
  <c r="B198" i="104"/>
  <c r="B311" i="104" s="1"/>
  <c r="B425" i="104" s="1"/>
  <c r="B247" i="95"/>
  <c r="B361" i="95" s="1"/>
  <c r="B138" i="104"/>
  <c r="B251" i="104" s="1"/>
  <c r="B365" i="104" s="1"/>
  <c r="B239" i="95"/>
  <c r="B353" i="95" s="1"/>
  <c r="B130" i="104"/>
  <c r="B243" i="104" s="1"/>
  <c r="B357" i="104" s="1"/>
  <c r="B246" i="95"/>
  <c r="B360" i="95" s="1"/>
  <c r="B137" i="104"/>
  <c r="B250" i="104" s="1"/>
  <c r="B364" i="104" s="1"/>
  <c r="I327" i="104"/>
  <c r="B291" i="95"/>
  <c r="B405" i="95" s="1"/>
  <c r="B182" i="104"/>
  <c r="B295" i="104" s="1"/>
  <c r="B409" i="104" s="1"/>
  <c r="B290" i="95"/>
  <c r="B404" i="95" s="1"/>
  <c r="B181" i="104"/>
  <c r="B294" i="104" s="1"/>
  <c r="B408" i="104" s="1"/>
  <c r="I276" i="104"/>
  <c r="I248" i="104"/>
  <c r="B233" i="95"/>
  <c r="B347" i="95" s="1"/>
  <c r="B124" i="104"/>
  <c r="B237" i="104" s="1"/>
  <c r="B351" i="104" s="1"/>
  <c r="B270" i="95"/>
  <c r="B384" i="95" s="1"/>
  <c r="B161" i="104"/>
  <c r="B274" i="104" s="1"/>
  <c r="B388" i="104" s="1"/>
  <c r="I285" i="104"/>
  <c r="I271" i="104"/>
  <c r="B331" i="95"/>
  <c r="B445" i="95" s="1"/>
  <c r="B222" i="104"/>
  <c r="B335" i="104" s="1"/>
  <c r="B449" i="104" s="1"/>
  <c r="B244" i="95"/>
  <c r="B358" i="95" s="1"/>
  <c r="B135" i="104"/>
  <c r="B248" i="104" s="1"/>
  <c r="B362" i="104" s="1"/>
  <c r="B288" i="95"/>
  <c r="B402" i="95" s="1"/>
  <c r="B179" i="104"/>
  <c r="B292" i="104" s="1"/>
  <c r="B406" i="104" s="1"/>
  <c r="I337" i="104"/>
  <c r="B317" i="95"/>
  <c r="B431" i="95" s="1"/>
  <c r="B208" i="104"/>
  <c r="B321" i="104" s="1"/>
  <c r="B435" i="104" s="1"/>
  <c r="I330" i="104"/>
  <c r="B315" i="95"/>
  <c r="B429" i="95" s="1"/>
  <c r="B206" i="104"/>
  <c r="B319" i="104" s="1"/>
  <c r="B433" i="104" s="1"/>
  <c r="B300" i="95"/>
  <c r="B414" i="95" s="1"/>
  <c r="B191" i="104"/>
  <c r="B304" i="104" s="1"/>
  <c r="B418" i="104" s="1"/>
  <c r="B277" i="95"/>
  <c r="B391" i="95" s="1"/>
  <c r="B168" i="104"/>
  <c r="B281" i="104" s="1"/>
  <c r="B395" i="104" s="1"/>
  <c r="I259" i="104"/>
  <c r="B232" i="95"/>
  <c r="B346" i="95" s="1"/>
  <c r="B123" i="104"/>
  <c r="B236" i="104" s="1"/>
  <c r="B350" i="104" s="1"/>
  <c r="H342" i="95"/>
  <c r="F346" i="104" s="1"/>
  <c r="G232" i="104"/>
  <c r="J333" i="95"/>
  <c r="K333" i="95" s="1"/>
  <c r="H337" i="104"/>
  <c r="B258" i="95"/>
  <c r="B372" i="95" s="1"/>
  <c r="B149" i="104"/>
  <c r="B262" i="104" s="1"/>
  <c r="B376" i="104" s="1"/>
  <c r="B245" i="95"/>
  <c r="B359" i="95" s="1"/>
  <c r="B136" i="104"/>
  <c r="B249" i="104" s="1"/>
  <c r="B363" i="104" s="1"/>
  <c r="I291" i="104"/>
  <c r="B231" i="95"/>
  <c r="B345" i="95" s="1"/>
  <c r="B122" i="104"/>
  <c r="B235" i="104" s="1"/>
  <c r="B349" i="104" s="1"/>
  <c r="I299" i="104"/>
  <c r="B257" i="95"/>
  <c r="B371" i="95" s="1"/>
  <c r="B148" i="104"/>
  <c r="B261" i="104" s="1"/>
  <c r="B375" i="104" s="1"/>
  <c r="B301" i="95"/>
  <c r="B415" i="95" s="1"/>
  <c r="B192" i="104"/>
  <c r="B305" i="104" s="1"/>
  <c r="B419" i="104" s="1"/>
  <c r="I335" i="104"/>
  <c r="I294" i="104"/>
  <c r="B241" i="95"/>
  <c r="B355" i="95" s="1"/>
  <c r="B132" i="104"/>
  <c r="B245" i="104" s="1"/>
  <c r="B359" i="104" s="1"/>
  <c r="I321" i="104"/>
  <c r="B298" i="95"/>
  <c r="B412" i="95" s="1"/>
  <c r="B189" i="104"/>
  <c r="B302" i="104" s="1"/>
  <c r="B416" i="104" s="1"/>
  <c r="I247" i="104"/>
  <c r="B274" i="95"/>
  <c r="B388" i="95" s="1"/>
  <c r="B165" i="104"/>
  <c r="B278" i="104" s="1"/>
  <c r="B392" i="104" s="1"/>
  <c r="I320" i="104"/>
  <c r="I242" i="104"/>
  <c r="I290" i="104"/>
  <c r="I301" i="104"/>
  <c r="B292" i="95"/>
  <c r="B406" i="95" s="1"/>
  <c r="B183" i="104"/>
  <c r="B296" i="104" s="1"/>
  <c r="B410" i="104" s="1"/>
  <c r="I318" i="104"/>
  <c r="I262" i="104"/>
  <c r="I300" i="104"/>
  <c r="I313" i="104"/>
  <c r="I272" i="104"/>
  <c r="H428" i="95"/>
  <c r="F432" i="104" s="1"/>
  <c r="F405" i="95"/>
  <c r="E409" i="104" s="1"/>
  <c r="F295" i="104"/>
  <c r="J316" i="95"/>
  <c r="K316" i="95" s="1"/>
  <c r="H235" i="95"/>
  <c r="B328" i="95"/>
  <c r="B442" i="95" s="1"/>
  <c r="B219" i="104"/>
  <c r="B332" i="104" s="1"/>
  <c r="B446" i="104" s="1"/>
  <c r="B229" i="95"/>
  <c r="B343" i="95" s="1"/>
  <c r="B120" i="104"/>
  <c r="B233" i="104" s="1"/>
  <c r="B347" i="104" s="1"/>
  <c r="I266" i="104"/>
  <c r="I312" i="104"/>
  <c r="I311" i="104"/>
  <c r="I289" i="104"/>
  <c r="B302" i="95"/>
  <c r="B416" i="95" s="1"/>
  <c r="B193" i="104"/>
  <c r="B306" i="104" s="1"/>
  <c r="B420" i="104" s="1"/>
  <c r="B281" i="95"/>
  <c r="B395" i="95" s="1"/>
  <c r="B172" i="104"/>
  <c r="B285" i="104" s="1"/>
  <c r="B399" i="104" s="1"/>
  <c r="B251" i="95"/>
  <c r="B365" i="95" s="1"/>
  <c r="B142" i="104"/>
  <c r="B255" i="104" s="1"/>
  <c r="B369" i="104" s="1"/>
  <c r="I328" i="104"/>
  <c r="B286" i="95"/>
  <c r="B400" i="95" s="1"/>
  <c r="B177" i="104"/>
  <c r="B290" i="104" s="1"/>
  <c r="B404" i="104" s="1"/>
  <c r="I260" i="104"/>
  <c r="B271" i="95"/>
  <c r="B385" i="95" s="1"/>
  <c r="B162" i="104"/>
  <c r="B275" i="104" s="1"/>
  <c r="B389" i="104" s="1"/>
  <c r="B318" i="95"/>
  <c r="B432" i="95" s="1"/>
  <c r="B209" i="104"/>
  <c r="B322" i="104" s="1"/>
  <c r="B436" i="104" s="1"/>
  <c r="I277" i="104"/>
  <c r="B295" i="95"/>
  <c r="B409" i="95" s="1"/>
  <c r="B186" i="104"/>
  <c r="B299" i="104" s="1"/>
  <c r="B413" i="104" s="1"/>
  <c r="B305" i="95"/>
  <c r="B419" i="95" s="1"/>
  <c r="B196" i="104"/>
  <c r="B309" i="104" s="1"/>
  <c r="B423" i="104" s="1"/>
  <c r="I258" i="104"/>
  <c r="I268" i="104"/>
  <c r="B316" i="95"/>
  <c r="B430" i="95" s="1"/>
  <c r="B207" i="104"/>
  <c r="B320" i="104" s="1"/>
  <c r="B434" i="104" s="1"/>
  <c r="B273" i="95"/>
  <c r="B387" i="95" s="1"/>
  <c r="B164" i="104"/>
  <c r="B277" i="104" s="1"/>
  <c r="B391" i="104" s="1"/>
  <c r="B313" i="95"/>
  <c r="B427" i="95" s="1"/>
  <c r="B204" i="104"/>
  <c r="B317" i="104" s="1"/>
  <c r="B431" i="104" s="1"/>
  <c r="I293" i="104"/>
  <c r="I263" i="104"/>
  <c r="B329" i="95"/>
  <c r="B443" i="95" s="1"/>
  <c r="B220" i="104"/>
  <c r="B333" i="104" s="1"/>
  <c r="B447" i="104" s="1"/>
  <c r="B304" i="95"/>
  <c r="B418" i="95" s="1"/>
  <c r="B195" i="104"/>
  <c r="B308" i="104" s="1"/>
  <c r="B422" i="104" s="1"/>
  <c r="B225" i="95"/>
  <c r="B339" i="95" s="1"/>
  <c r="B116" i="104"/>
  <c r="B229" i="104" s="1"/>
  <c r="B343" i="104" s="1"/>
  <c r="H391" i="95"/>
  <c r="F395" i="104" s="1"/>
  <c r="G281" i="104"/>
  <c r="F370" i="95"/>
  <c r="E374" i="104" s="1"/>
  <c r="F260" i="104"/>
  <c r="H346" i="95"/>
  <c r="F350" i="104" s="1"/>
  <c r="G236" i="104"/>
  <c r="F346" i="95"/>
  <c r="E350" i="104" s="1"/>
  <c r="B237" i="95"/>
  <c r="B351" i="95" s="1"/>
  <c r="B128" i="104"/>
  <c r="B241" i="104" s="1"/>
  <c r="B355" i="104" s="1"/>
  <c r="B252" i="95"/>
  <c r="B366" i="95" s="1"/>
  <c r="B143" i="104"/>
  <c r="B256" i="104" s="1"/>
  <c r="B370" i="104" s="1"/>
  <c r="B306" i="95"/>
  <c r="B420" i="95" s="1"/>
  <c r="B197" i="104"/>
  <c r="B310" i="104" s="1"/>
  <c r="B424" i="104" s="1"/>
  <c r="H232" i="95"/>
  <c r="H350" i="95"/>
  <c r="F354" i="104" s="1"/>
  <c r="G240" i="104"/>
  <c r="H369" i="95"/>
  <c r="F373" i="104" s="1"/>
  <c r="G259" i="104"/>
  <c r="B266" i="95"/>
  <c r="B380" i="95" s="1"/>
  <c r="B157" i="104"/>
  <c r="B270" i="104" s="1"/>
  <c r="B384" i="104" s="1"/>
  <c r="B234" i="95"/>
  <c r="B348" i="95" s="1"/>
  <c r="B125" i="104"/>
  <c r="B238" i="104" s="1"/>
  <c r="B352" i="104" s="1"/>
  <c r="I244" i="104"/>
  <c r="I326" i="104"/>
  <c r="I273" i="104"/>
  <c r="B263" i="95"/>
  <c r="B377" i="95" s="1"/>
  <c r="B154" i="104"/>
  <c r="B267" i="104" s="1"/>
  <c r="B381" i="104" s="1"/>
  <c r="I267" i="104"/>
  <c r="B333" i="95"/>
  <c r="B447" i="95" s="1"/>
  <c r="B224" i="104"/>
  <c r="B337" i="104" s="1"/>
  <c r="B451" i="104" s="1"/>
  <c r="B327" i="95"/>
  <c r="B441" i="95" s="1"/>
  <c r="B218" i="104"/>
  <c r="B331" i="104" s="1"/>
  <c r="B445" i="104" s="1"/>
  <c r="B293" i="95"/>
  <c r="B407" i="95" s="1"/>
  <c r="B184" i="104"/>
  <c r="B297" i="104" s="1"/>
  <c r="B411" i="104" s="1"/>
  <c r="I305" i="104"/>
  <c r="B236" i="95"/>
  <c r="B350" i="95" s="1"/>
  <c r="B127" i="104"/>
  <c r="B240" i="104" s="1"/>
  <c r="B354" i="104" s="1"/>
  <c r="I316" i="104"/>
  <c r="B321" i="95"/>
  <c r="B435" i="95" s="1"/>
  <c r="B212" i="104"/>
  <c r="B325" i="104" s="1"/>
  <c r="B439" i="104" s="1"/>
  <c r="I334" i="104"/>
  <c r="B264" i="95"/>
  <c r="B378" i="95" s="1"/>
  <c r="B155" i="104"/>
  <c r="B268" i="104" s="1"/>
  <c r="B382" i="104" s="1"/>
  <c r="I333" i="104"/>
  <c r="B312" i="95"/>
  <c r="B426" i="95" s="1"/>
  <c r="B203" i="104"/>
  <c r="B316" i="104" s="1"/>
  <c r="B430" i="104" s="1"/>
  <c r="B330" i="95"/>
  <c r="B444" i="95" s="1"/>
  <c r="B221" i="104"/>
  <c r="B334" i="104" s="1"/>
  <c r="B448" i="104" s="1"/>
  <c r="I317" i="104"/>
  <c r="I295" i="104"/>
  <c r="B323" i="95"/>
  <c r="B437" i="95" s="1"/>
  <c r="B214" i="104"/>
  <c r="B327" i="104" s="1"/>
  <c r="B441" i="104" s="1"/>
  <c r="I325" i="104"/>
  <c r="B287" i="95"/>
  <c r="B401" i="95" s="1"/>
  <c r="B178" i="104"/>
  <c r="B291" i="104" s="1"/>
  <c r="B405" i="104" s="1"/>
  <c r="I329" i="104"/>
  <c r="B250" i="95"/>
  <c r="B364" i="95" s="1"/>
  <c r="B141" i="104"/>
  <c r="B254" i="104" s="1"/>
  <c r="B368" i="104" s="1"/>
  <c r="B238" i="95"/>
  <c r="B352" i="95" s="1"/>
  <c r="B129" i="104"/>
  <c r="B242" i="104" s="1"/>
  <c r="B356" i="104" s="1"/>
  <c r="I264" i="104"/>
  <c r="B279" i="95"/>
  <c r="B393" i="95" s="1"/>
  <c r="B170" i="104"/>
  <c r="B283" i="104" s="1"/>
  <c r="B397" i="104" s="1"/>
  <c r="B253" i="95"/>
  <c r="B367" i="95" s="1"/>
  <c r="B144" i="104"/>
  <c r="B257" i="104" s="1"/>
  <c r="B371" i="104" s="1"/>
  <c r="B227" i="95"/>
  <c r="B341" i="95" s="1"/>
  <c r="B118" i="104"/>
  <c r="B231" i="104" s="1"/>
  <c r="B345" i="104" s="1"/>
  <c r="I241" i="104"/>
  <c r="I256" i="104"/>
  <c r="B308" i="95"/>
  <c r="B422" i="95" s="1"/>
  <c r="B199" i="104"/>
  <c r="B312" i="104" s="1"/>
  <c r="B426" i="104" s="1"/>
  <c r="I314" i="104"/>
  <c r="I252" i="104"/>
  <c r="B294" i="95"/>
  <c r="B408" i="95" s="1"/>
  <c r="B185" i="104"/>
  <c r="B298" i="104" s="1"/>
  <c r="B412" i="104" s="1"/>
  <c r="B284" i="95"/>
  <c r="B398" i="95" s="1"/>
  <c r="B175" i="104"/>
  <c r="B288" i="104" s="1"/>
  <c r="B402" i="104" s="1"/>
  <c r="B243" i="95"/>
  <c r="B357" i="95" s="1"/>
  <c r="B134" i="104"/>
  <c r="B247" i="104" s="1"/>
  <c r="B361" i="104" s="1"/>
  <c r="I278" i="104"/>
  <c r="I265" i="104"/>
  <c r="I296" i="104"/>
  <c r="I306" i="104"/>
  <c r="B282" i="95"/>
  <c r="B396" i="95" s="1"/>
  <c r="B173" i="104"/>
  <c r="B286" i="104" s="1"/>
  <c r="B400" i="104" s="1"/>
  <c r="I254" i="104"/>
  <c r="I243" i="104"/>
  <c r="B248" i="95"/>
  <c r="B362" i="95" s="1"/>
  <c r="B139" i="104"/>
  <c r="B252" i="104" s="1"/>
  <c r="B366" i="104" s="1"/>
  <c r="B297" i="95"/>
  <c r="B411" i="95" s="1"/>
  <c r="B188" i="104"/>
  <c r="B301" i="104" s="1"/>
  <c r="B415" i="104" s="1"/>
  <c r="I288" i="104"/>
  <c r="I253" i="104"/>
  <c r="I274" i="104"/>
  <c r="I280" i="104"/>
  <c r="I292" i="104"/>
  <c r="J251" i="95"/>
  <c r="K251" i="95" s="1"/>
  <c r="H255" i="104"/>
  <c r="H343" i="95"/>
  <c r="F347" i="104" s="1"/>
  <c r="G233" i="104"/>
  <c r="F339" i="95"/>
  <c r="E343" i="104" s="1"/>
  <c r="F229" i="104"/>
  <c r="G274" i="104"/>
  <c r="F350" i="95"/>
  <c r="E354" i="104" s="1"/>
  <c r="F240" i="104"/>
  <c r="J284" i="95"/>
  <c r="K284" i="95" s="1"/>
  <c r="H288" i="104"/>
  <c r="F317" i="104"/>
  <c r="J260" i="95"/>
  <c r="K260" i="95" s="1"/>
  <c r="H264" i="104"/>
  <c r="B311" i="95"/>
  <c r="B425" i="95" s="1"/>
  <c r="B202" i="104"/>
  <c r="B315" i="104" s="1"/>
  <c r="B429" i="104" s="1"/>
  <c r="B319" i="95"/>
  <c r="B433" i="95" s="1"/>
  <c r="B210" i="104"/>
  <c r="B323" i="104" s="1"/>
  <c r="B437" i="104" s="1"/>
  <c r="I332" i="104"/>
  <c r="I269" i="104"/>
  <c r="B268" i="95"/>
  <c r="B382" i="95" s="1"/>
  <c r="B159" i="104"/>
  <c r="B272" i="104" s="1"/>
  <c r="B386" i="104" s="1"/>
  <c r="B310" i="95"/>
  <c r="B424" i="95" s="1"/>
  <c r="B201" i="104"/>
  <c r="B314" i="104" s="1"/>
  <c r="B428" i="104" s="1"/>
  <c r="I302" i="104"/>
  <c r="B278" i="95"/>
  <c r="B392" i="95" s="1"/>
  <c r="B169" i="104"/>
  <c r="B282" i="104" s="1"/>
  <c r="B396" i="104" s="1"/>
  <c r="B226" i="95"/>
  <c r="B340" i="95" s="1"/>
  <c r="B117" i="104"/>
  <c r="B230" i="104" s="1"/>
  <c r="B344" i="104" s="1"/>
  <c r="B249" i="95"/>
  <c r="B363" i="95" s="1"/>
  <c r="B140" i="104"/>
  <c r="B253" i="104" s="1"/>
  <c r="B367" i="104" s="1"/>
  <c r="I249" i="104"/>
  <c r="I283" i="104"/>
  <c r="I297" i="104"/>
  <c r="I279" i="104"/>
  <c r="B324" i="95"/>
  <c r="B438" i="95" s="1"/>
  <c r="B215" i="104"/>
  <c r="B328" i="104" s="1"/>
  <c r="B442" i="104" s="1"/>
  <c r="B275" i="95"/>
  <c r="B389" i="95" s="1"/>
  <c r="B166" i="104"/>
  <c r="B279" i="104" s="1"/>
  <c r="B393" i="104" s="1"/>
  <c r="I319" i="104"/>
  <c r="I308" i="104"/>
  <c r="I251" i="104"/>
  <c r="B283" i="95"/>
  <c r="B397" i="95" s="1"/>
  <c r="B174" i="104"/>
  <c r="B287" i="104" s="1"/>
  <c r="B401" i="104" s="1"/>
  <c r="I246" i="104"/>
  <c r="I287" i="104"/>
  <c r="I298" i="104"/>
  <c r="A446" i="95"/>
  <c r="D446" i="95" s="1"/>
  <c r="H332" i="95"/>
  <c r="H306" i="95"/>
  <c r="F253" i="95"/>
  <c r="G306" i="95"/>
  <c r="G253" i="95"/>
  <c r="G322" i="95"/>
  <c r="A383" i="95"/>
  <c r="D383" i="95" s="1"/>
  <c r="F322" i="95"/>
  <c r="H269" i="95"/>
  <c r="G240" i="95"/>
  <c r="A354" i="95"/>
  <c r="D354" i="95" s="1"/>
  <c r="H240" i="95"/>
  <c r="A433" i="95"/>
  <c r="D433" i="95" s="1"/>
  <c r="CE333" i="4"/>
  <c r="CE334" i="4" s="1"/>
  <c r="CE335" i="4" s="1"/>
  <c r="I236" i="95"/>
  <c r="I240" i="104" s="1"/>
  <c r="D348" i="95"/>
  <c r="D352" i="104" s="1"/>
  <c r="D344" i="95"/>
  <c r="D361" i="95"/>
  <c r="D430" i="95"/>
  <c r="D347" i="95"/>
  <c r="D349" i="95"/>
  <c r="D345" i="95"/>
  <c r="D346" i="95"/>
  <c r="D350" i="104" s="1"/>
  <c r="D357" i="95"/>
  <c r="G237" i="104" l="1"/>
  <c r="J259" i="95"/>
  <c r="K259" i="95" s="1"/>
  <c r="F281" i="104"/>
  <c r="F288" i="104"/>
  <c r="H246" i="104"/>
  <c r="H440" i="95"/>
  <c r="F444" i="104" s="1"/>
  <c r="H254" i="104"/>
  <c r="H324" i="104"/>
  <c r="H318" i="104"/>
  <c r="F237" i="104"/>
  <c r="F269" i="104"/>
  <c r="H374" i="95"/>
  <c r="F378" i="104" s="1"/>
  <c r="F373" i="95"/>
  <c r="E377" i="104" s="1"/>
  <c r="H251" i="104"/>
  <c r="G324" i="104"/>
  <c r="F314" i="104"/>
  <c r="H317" i="104"/>
  <c r="H373" i="95"/>
  <c r="F377" i="104" s="1"/>
  <c r="F407" i="95"/>
  <c r="E411" i="104" s="1"/>
  <c r="F246" i="104"/>
  <c r="F417" i="95"/>
  <c r="E421" i="104" s="1"/>
  <c r="F308" i="104"/>
  <c r="F403" i="95"/>
  <c r="E407" i="104" s="1"/>
  <c r="F361" i="95"/>
  <c r="E365" i="104" s="1"/>
  <c r="G334" i="104"/>
  <c r="G316" i="104"/>
  <c r="F286" i="104"/>
  <c r="F292" i="104"/>
  <c r="H412" i="95"/>
  <c r="F416" i="104" s="1"/>
  <c r="H364" i="95"/>
  <c r="F368" i="104" s="1"/>
  <c r="F430" i="95"/>
  <c r="E434" i="104" s="1"/>
  <c r="F262" i="104"/>
  <c r="G245" i="104"/>
  <c r="F242" i="104"/>
  <c r="H372" i="95"/>
  <c r="F376" i="104" s="1"/>
  <c r="F337" i="104"/>
  <c r="H280" i="104"/>
  <c r="H281" i="104"/>
  <c r="G325" i="104"/>
  <c r="F397" i="95"/>
  <c r="E401" i="104" s="1"/>
  <c r="F245" i="104"/>
  <c r="J321" i="95"/>
  <c r="K321" i="95" s="1"/>
  <c r="K325" i="104" s="1"/>
  <c r="F440" i="95"/>
  <c r="E444" i="104" s="1"/>
  <c r="J236" i="95"/>
  <c r="J240" i="104" s="1"/>
  <c r="H308" i="104"/>
  <c r="F239" i="104"/>
  <c r="J311" i="95"/>
  <c r="K311" i="95" s="1"/>
  <c r="K315" i="104" s="1"/>
  <c r="J295" i="95"/>
  <c r="K295" i="95" s="1"/>
  <c r="K299" i="104" s="1"/>
  <c r="F305" i="104"/>
  <c r="H245" i="104"/>
  <c r="H445" i="95"/>
  <c r="F449" i="104" s="1"/>
  <c r="G249" i="104"/>
  <c r="F275" i="104"/>
  <c r="G306" i="104"/>
  <c r="F304" i="104"/>
  <c r="F306" i="104"/>
  <c r="J245" i="95"/>
  <c r="K245" i="95" s="1"/>
  <c r="K249" i="104" s="1"/>
  <c r="F360" i="95"/>
  <c r="E364" i="104" s="1"/>
  <c r="H285" i="104"/>
  <c r="G277" i="104"/>
  <c r="F259" i="104"/>
  <c r="H425" i="95"/>
  <c r="F429" i="104" s="1"/>
  <c r="G295" i="104"/>
  <c r="F284" i="104"/>
  <c r="G337" i="104"/>
  <c r="H262" i="104"/>
  <c r="G294" i="104"/>
  <c r="F285" i="104"/>
  <c r="H260" i="104"/>
  <c r="H333" i="104"/>
  <c r="F318" i="104"/>
  <c r="F410" i="95"/>
  <c r="E414" i="104" s="1"/>
  <c r="F425" i="95"/>
  <c r="E429" i="104" s="1"/>
  <c r="H329" i="104"/>
  <c r="H321" i="104"/>
  <c r="G242" i="104"/>
  <c r="G290" i="104"/>
  <c r="J315" i="95"/>
  <c r="K315" i="95" s="1"/>
  <c r="K319" i="104" s="1"/>
  <c r="G248" i="104"/>
  <c r="J270" i="95"/>
  <c r="K270" i="95" s="1"/>
  <c r="K274" i="104" s="1"/>
  <c r="H284" i="104"/>
  <c r="J275" i="95"/>
  <c r="K275" i="95" s="1"/>
  <c r="K279" i="104" s="1"/>
  <c r="J261" i="95"/>
  <c r="K261" i="95" s="1"/>
  <c r="K265" i="104" s="1"/>
  <c r="J327" i="95"/>
  <c r="K327" i="95" s="1"/>
  <c r="K331" i="104" s="1"/>
  <c r="H290" i="104"/>
  <c r="F264" i="104"/>
  <c r="F280" i="104"/>
  <c r="H250" i="104"/>
  <c r="H293" i="104"/>
  <c r="G272" i="104"/>
  <c r="G276" i="104"/>
  <c r="F358" i="95"/>
  <c r="E362" i="104" s="1"/>
  <c r="G320" i="104"/>
  <c r="H356" i="95"/>
  <c r="F360" i="104" s="1"/>
  <c r="H402" i="95"/>
  <c r="F406" i="104" s="1"/>
  <c r="F258" i="104"/>
  <c r="G329" i="104"/>
  <c r="F255" i="104"/>
  <c r="H327" i="104"/>
  <c r="G317" i="104"/>
  <c r="F328" i="104"/>
  <c r="G289" i="104"/>
  <c r="G255" i="104"/>
  <c r="G279" i="104"/>
  <c r="G285" i="104"/>
  <c r="J283" i="95"/>
  <c r="K283" i="95" s="1"/>
  <c r="K287" i="104" s="1"/>
  <c r="H294" i="104"/>
  <c r="J265" i="95"/>
  <c r="K265" i="95" s="1"/>
  <c r="K269" i="104" s="1"/>
  <c r="H330" i="104"/>
  <c r="G260" i="104"/>
  <c r="F294" i="104"/>
  <c r="F329" i="104"/>
  <c r="G284" i="104"/>
  <c r="J285" i="95"/>
  <c r="K285" i="95" s="1"/>
  <c r="K289" i="104" s="1"/>
  <c r="F327" i="104"/>
  <c r="F331" i="104"/>
  <c r="H406" i="95"/>
  <c r="F410" i="104" s="1"/>
  <c r="G327" i="104"/>
  <c r="G297" i="104"/>
  <c r="G278" i="104"/>
  <c r="H335" i="104"/>
  <c r="F443" i="95"/>
  <c r="E447" i="104" s="1"/>
  <c r="J308" i="95"/>
  <c r="K308" i="95" s="1"/>
  <c r="K312" i="104" s="1"/>
  <c r="G239" i="104"/>
  <c r="H267" i="104"/>
  <c r="F267" i="104"/>
  <c r="F446" i="95"/>
  <c r="E450" i="104" s="1"/>
  <c r="H307" i="104"/>
  <c r="F325" i="104"/>
  <c r="H309" i="104"/>
  <c r="F276" i="104"/>
  <c r="H242" i="104"/>
  <c r="F273" i="104"/>
  <c r="F334" i="104"/>
  <c r="F384" i="95"/>
  <c r="E388" i="104" s="1"/>
  <c r="F431" i="95"/>
  <c r="E435" i="104" s="1"/>
  <c r="H424" i="95"/>
  <c r="F428" i="104" s="1"/>
  <c r="H231" i="95"/>
  <c r="H235" i="104" s="1"/>
  <c r="H363" i="95"/>
  <c r="F367" i="104" s="1"/>
  <c r="H230" i="95"/>
  <c r="H234" i="104" s="1"/>
  <c r="G287" i="104"/>
  <c r="F254" i="104"/>
  <c r="F278" i="104"/>
  <c r="H362" i="95"/>
  <c r="F366" i="104" s="1"/>
  <c r="H276" i="104"/>
  <c r="F344" i="95"/>
  <c r="E348" i="104" s="1"/>
  <c r="F351" i="95"/>
  <c r="E355" i="104" s="1"/>
  <c r="G283" i="104"/>
  <c r="H247" i="104"/>
  <c r="F235" i="104"/>
  <c r="F316" i="104"/>
  <c r="H438" i="95"/>
  <c r="F442" i="104" s="1"/>
  <c r="F332" i="104"/>
  <c r="F419" i="95"/>
  <c r="E423" i="104" s="1"/>
  <c r="J330" i="95"/>
  <c r="K330" i="95" s="1"/>
  <c r="K334" i="104" s="1"/>
  <c r="J288" i="95"/>
  <c r="K288" i="95" s="1"/>
  <c r="K292" i="104" s="1"/>
  <c r="H398" i="95"/>
  <c r="F402" i="104" s="1"/>
  <c r="H226" i="95"/>
  <c r="H230" i="104" s="1"/>
  <c r="H361" i="95"/>
  <c r="F365" i="104" s="1"/>
  <c r="F268" i="104"/>
  <c r="G265" i="104"/>
  <c r="H378" i="95"/>
  <c r="F382" i="104" s="1"/>
  <c r="H257" i="104"/>
  <c r="H304" i="104"/>
  <c r="H282" i="104"/>
  <c r="H392" i="95"/>
  <c r="F396" i="104" s="1"/>
  <c r="G291" i="104"/>
  <c r="F322" i="104"/>
  <c r="G319" i="104"/>
  <c r="F249" i="104"/>
  <c r="G293" i="104"/>
  <c r="F253" i="104"/>
  <c r="F340" i="95"/>
  <c r="E344" i="104" s="1"/>
  <c r="H243" i="104"/>
  <c r="G312" i="104"/>
  <c r="J254" i="95"/>
  <c r="K254" i="95" s="1"/>
  <c r="K258" i="104" s="1"/>
  <c r="J322" i="95"/>
  <c r="K322" i="95" s="1"/>
  <c r="K326" i="104" s="1"/>
  <c r="F283" i="104"/>
  <c r="J257" i="95"/>
  <c r="K257" i="95" s="1"/>
  <c r="K261" i="104" s="1"/>
  <c r="G273" i="104"/>
  <c r="G331" i="104"/>
  <c r="F357" i="95"/>
  <c r="E361" i="104" s="1"/>
  <c r="F392" i="95"/>
  <c r="E396" i="104" s="1"/>
  <c r="H295" i="104"/>
  <c r="J297" i="95"/>
  <c r="K297" i="95" s="1"/>
  <c r="K301" i="104" s="1"/>
  <c r="G298" i="104"/>
  <c r="H277" i="104"/>
  <c r="H278" i="104"/>
  <c r="H411" i="95"/>
  <c r="F415" i="104" s="1"/>
  <c r="F296" i="104"/>
  <c r="H259" i="104"/>
  <c r="G309" i="104"/>
  <c r="G235" i="104"/>
  <c r="G323" i="104"/>
  <c r="G234" i="104"/>
  <c r="F289" i="104"/>
  <c r="G321" i="104"/>
  <c r="G258" i="104"/>
  <c r="G308" i="104"/>
  <c r="G250" i="104"/>
  <c r="F319" i="104"/>
  <c r="F380" i="95"/>
  <c r="E384" i="104" s="1"/>
  <c r="H332" i="104"/>
  <c r="H390" i="95"/>
  <c r="F394" i="104" s="1"/>
  <c r="G261" i="104"/>
  <c r="H306" i="104"/>
  <c r="H305" i="104"/>
  <c r="H271" i="104"/>
  <c r="H423" i="95"/>
  <c r="F427" i="104" s="1"/>
  <c r="F277" i="104"/>
  <c r="G333" i="104"/>
  <c r="H316" i="104"/>
  <c r="G305" i="104"/>
  <c r="G307" i="104"/>
  <c r="G247" i="104"/>
  <c r="F301" i="104"/>
  <c r="G271" i="104"/>
  <c r="F290" i="104"/>
  <c r="F302" i="104"/>
  <c r="H252" i="104"/>
  <c r="H322" i="104"/>
  <c r="H421" i="95"/>
  <c r="F425" i="104" s="1"/>
  <c r="G332" i="104"/>
  <c r="H328" i="104"/>
  <c r="H253" i="104"/>
  <c r="F335" i="104"/>
  <c r="F371" i="95"/>
  <c r="E375" i="104" s="1"/>
  <c r="F375" i="95"/>
  <c r="E379" i="104" s="1"/>
  <c r="H410" i="95"/>
  <c r="F414" i="104" s="1"/>
  <c r="F312" i="104"/>
  <c r="CA332" i="4"/>
  <c r="CA223" i="4"/>
  <c r="CA224" i="4" s="1"/>
  <c r="CA225" i="4" s="1"/>
  <c r="CA442" i="4"/>
  <c r="G275" i="104"/>
  <c r="H268" i="104"/>
  <c r="F354" i="95"/>
  <c r="E358" i="104" s="1"/>
  <c r="J233" i="95"/>
  <c r="J237" i="104" s="1"/>
  <c r="G322" i="104"/>
  <c r="G267" i="104"/>
  <c r="G286" i="104"/>
  <c r="H283" i="104"/>
  <c r="J294" i="95"/>
  <c r="K294" i="95" s="1"/>
  <c r="K298" i="104" s="1"/>
  <c r="G303" i="104"/>
  <c r="F252" i="104"/>
  <c r="G229" i="104"/>
  <c r="H339" i="95"/>
  <c r="F343" i="104" s="1"/>
  <c r="J244" i="95"/>
  <c r="K244" i="95" s="1"/>
  <c r="K248" i="104" s="1"/>
  <c r="J296" i="95"/>
  <c r="K296" i="95" s="1"/>
  <c r="K300" i="104" s="1"/>
  <c r="G243" i="104"/>
  <c r="F298" i="104"/>
  <c r="F272" i="104"/>
  <c r="F313" i="104"/>
  <c r="H302" i="104"/>
  <c r="H296" i="104"/>
  <c r="H311" i="104"/>
  <c r="G266" i="104"/>
  <c r="G299" i="104"/>
  <c r="F291" i="104"/>
  <c r="F271" i="104"/>
  <c r="H297" i="104"/>
  <c r="F299" i="104"/>
  <c r="F311" i="104"/>
  <c r="F243" i="104"/>
  <c r="F310" i="104"/>
  <c r="F376" i="95"/>
  <c r="E380" i="104" s="1"/>
  <c r="F324" i="104"/>
  <c r="F413" i="95"/>
  <c r="E417" i="104" s="1"/>
  <c r="H446" i="95"/>
  <c r="F450" i="104" s="1"/>
  <c r="H256" i="104"/>
  <c r="G270" i="104"/>
  <c r="H234" i="95"/>
  <c r="F366" i="95"/>
  <c r="E370" i="104" s="1"/>
  <c r="G231" i="104"/>
  <c r="H227" i="95"/>
  <c r="H314" i="104"/>
  <c r="J271" i="95"/>
  <c r="K271" i="95" s="1"/>
  <c r="K275" i="104" s="1"/>
  <c r="J237" i="95"/>
  <c r="K237" i="95" s="1"/>
  <c r="H291" i="104"/>
  <c r="H313" i="104"/>
  <c r="F342" i="95"/>
  <c r="E346" i="104" s="1"/>
  <c r="G256" i="104"/>
  <c r="H266" i="104"/>
  <c r="G269" i="104"/>
  <c r="H272" i="104"/>
  <c r="F232" i="104"/>
  <c r="H232" i="104"/>
  <c r="F279" i="104"/>
  <c r="J319" i="95"/>
  <c r="K319" i="95" s="1"/>
  <c r="K323" i="104" s="1"/>
  <c r="H351" i="95"/>
  <c r="F355" i="104" s="1"/>
  <c r="F233" i="104"/>
  <c r="F343" i="95"/>
  <c r="E347" i="104" s="1"/>
  <c r="G304" i="104"/>
  <c r="J299" i="95"/>
  <c r="K299" i="95" s="1"/>
  <c r="K303" i="104" s="1"/>
  <c r="J266" i="95"/>
  <c r="K266" i="95" s="1"/>
  <c r="K270" i="104" s="1"/>
  <c r="F348" i="95"/>
  <c r="E352" i="104" s="1"/>
  <c r="H348" i="95"/>
  <c r="F352" i="104" s="1"/>
  <c r="F323" i="104"/>
  <c r="H286" i="104"/>
  <c r="L363" i="95"/>
  <c r="I367" i="104" s="1"/>
  <c r="D367" i="104"/>
  <c r="J417" i="95"/>
  <c r="G421" i="104" s="1"/>
  <c r="D421" i="104"/>
  <c r="L350" i="95"/>
  <c r="I354" i="104" s="1"/>
  <c r="D354" i="104"/>
  <c r="J372" i="95"/>
  <c r="G376" i="104" s="1"/>
  <c r="D376" i="104"/>
  <c r="J428" i="95"/>
  <c r="G432" i="104" s="1"/>
  <c r="D432" i="104"/>
  <c r="L409" i="95"/>
  <c r="I413" i="104" s="1"/>
  <c r="D413" i="104"/>
  <c r="J351" i="95"/>
  <c r="G355" i="104" s="1"/>
  <c r="D355" i="104"/>
  <c r="L442" i="95"/>
  <c r="I446" i="104" s="1"/>
  <c r="D446" i="104"/>
  <c r="L426" i="95"/>
  <c r="I430" i="104" s="1"/>
  <c r="D430" i="104"/>
  <c r="J396" i="95"/>
  <c r="G400" i="104" s="1"/>
  <c r="D400" i="104"/>
  <c r="L371" i="95"/>
  <c r="I375" i="104" s="1"/>
  <c r="D375" i="104"/>
  <c r="L361" i="95"/>
  <c r="I365" i="104" s="1"/>
  <c r="D365" i="104"/>
  <c r="J380" i="95"/>
  <c r="G384" i="104" s="1"/>
  <c r="D384" i="104"/>
  <c r="L399" i="95"/>
  <c r="I403" i="104" s="1"/>
  <c r="D403" i="104"/>
  <c r="J406" i="95"/>
  <c r="G410" i="104" s="1"/>
  <c r="D410" i="104"/>
  <c r="J446" i="95"/>
  <c r="G450" i="104" s="1"/>
  <c r="D450" i="104"/>
  <c r="L368" i="95"/>
  <c r="I372" i="104" s="1"/>
  <c r="D372" i="104"/>
  <c r="L435" i="95"/>
  <c r="I439" i="104" s="1"/>
  <c r="D439" i="104"/>
  <c r="L447" i="95"/>
  <c r="I451" i="104" s="1"/>
  <c r="D451" i="104"/>
  <c r="J416" i="95"/>
  <c r="G420" i="104" s="1"/>
  <c r="D420" i="104"/>
  <c r="L386" i="95"/>
  <c r="I390" i="104" s="1"/>
  <c r="D390" i="104"/>
  <c r="L370" i="95"/>
  <c r="I374" i="104" s="1"/>
  <c r="D374" i="104"/>
  <c r="J389" i="95"/>
  <c r="G393" i="104" s="1"/>
  <c r="D393" i="104"/>
  <c r="L376" i="95"/>
  <c r="I380" i="104" s="1"/>
  <c r="D380" i="104"/>
  <c r="D344" i="104"/>
  <c r="J384" i="95"/>
  <c r="G388" i="104" s="1"/>
  <c r="D388" i="104"/>
  <c r="J443" i="95"/>
  <c r="G447" i="104" s="1"/>
  <c r="D447" i="104"/>
  <c r="L390" i="95"/>
  <c r="I394" i="104" s="1"/>
  <c r="D394" i="104"/>
  <c r="J429" i="95"/>
  <c r="G433" i="104" s="1"/>
  <c r="D433" i="104"/>
  <c r="L404" i="95"/>
  <c r="I408" i="104" s="1"/>
  <c r="D408" i="104"/>
  <c r="L402" i="95"/>
  <c r="I406" i="104" s="1"/>
  <c r="D406" i="104"/>
  <c r="J431" i="95"/>
  <c r="G435" i="104" s="1"/>
  <c r="D435" i="104"/>
  <c r="L423" i="95"/>
  <c r="I427" i="104" s="1"/>
  <c r="D427" i="104"/>
  <c r="L383" i="95"/>
  <c r="I387" i="104" s="1"/>
  <c r="D387" i="104"/>
  <c r="J439" i="95"/>
  <c r="G443" i="104" s="1"/>
  <c r="D443" i="104"/>
  <c r="L356" i="95"/>
  <c r="I360" i="104" s="1"/>
  <c r="D360" i="104"/>
  <c r="J375" i="95"/>
  <c r="G379" i="104" s="1"/>
  <c r="D379" i="104"/>
  <c r="L403" i="95"/>
  <c r="I407" i="104" s="1"/>
  <c r="D407" i="104"/>
  <c r="J388" i="95"/>
  <c r="G392" i="104" s="1"/>
  <c r="D392" i="104"/>
  <c r="L401" i="95"/>
  <c r="I405" i="104" s="1"/>
  <c r="D405" i="104"/>
  <c r="D349" i="104"/>
  <c r="L415" i="95"/>
  <c r="I419" i="104" s="1"/>
  <c r="D419" i="104"/>
  <c r="L441" i="95"/>
  <c r="I445" i="104" s="1"/>
  <c r="D445" i="104"/>
  <c r="D346" i="104"/>
  <c r="L398" i="95"/>
  <c r="I402" i="104" s="1"/>
  <c r="D402" i="104"/>
  <c r="L364" i="95"/>
  <c r="I368" i="104" s="1"/>
  <c r="D368" i="104"/>
  <c r="L355" i="95"/>
  <c r="I359" i="104" s="1"/>
  <c r="D359" i="104"/>
  <c r="L430" i="95"/>
  <c r="I434" i="104" s="1"/>
  <c r="D434" i="104"/>
  <c r="J445" i="95"/>
  <c r="G449" i="104" s="1"/>
  <c r="D449" i="104"/>
  <c r="J381" i="95"/>
  <c r="G385" i="104" s="1"/>
  <c r="D385" i="104"/>
  <c r="J438" i="95"/>
  <c r="G442" i="104" s="1"/>
  <c r="D442" i="104"/>
  <c r="J422" i="95"/>
  <c r="G426" i="104" s="1"/>
  <c r="D426" i="104"/>
  <c r="L374" i="95"/>
  <c r="I378" i="104" s="1"/>
  <c r="D378" i="104"/>
  <c r="L433" i="95"/>
  <c r="I437" i="104" s="1"/>
  <c r="D437" i="104"/>
  <c r="L408" i="95"/>
  <c r="I412" i="104" s="1"/>
  <c r="D412" i="104"/>
  <c r="J436" i="95"/>
  <c r="G440" i="104" s="1"/>
  <c r="D440" i="104"/>
  <c r="L405" i="95"/>
  <c r="I409" i="104" s="1"/>
  <c r="D409" i="104"/>
  <c r="J357" i="95"/>
  <c r="G361" i="104" s="1"/>
  <c r="D361" i="104"/>
  <c r="L407" i="95"/>
  <c r="I411" i="104" s="1"/>
  <c r="D411" i="104"/>
  <c r="L419" i="95"/>
  <c r="I423" i="104" s="1"/>
  <c r="D423" i="104"/>
  <c r="J412" i="95"/>
  <c r="G416" i="104" s="1"/>
  <c r="D416" i="104"/>
  <c r="J367" i="95"/>
  <c r="G371" i="104" s="1"/>
  <c r="D371" i="104"/>
  <c r="J420" i="95"/>
  <c r="G424" i="104" s="1"/>
  <c r="D424" i="104"/>
  <c r="J424" i="95"/>
  <c r="G428" i="104" s="1"/>
  <c r="D428" i="104"/>
  <c r="L353" i="95"/>
  <c r="I357" i="104" s="1"/>
  <c r="D357" i="104"/>
  <c r="D353" i="104"/>
  <c r="J437" i="95"/>
  <c r="G441" i="104" s="1"/>
  <c r="D441" i="104"/>
  <c r="J392" i="95"/>
  <c r="G396" i="104" s="1"/>
  <c r="D396" i="104"/>
  <c r="L393" i="95"/>
  <c r="I397" i="104" s="1"/>
  <c r="D397" i="104"/>
  <c r="J397" i="95"/>
  <c r="G401" i="104" s="1"/>
  <c r="D401" i="104"/>
  <c r="J413" i="95"/>
  <c r="G417" i="104" s="1"/>
  <c r="D417" i="104"/>
  <c r="L387" i="95"/>
  <c r="I391" i="104" s="1"/>
  <c r="D391" i="104"/>
  <c r="J394" i="95"/>
  <c r="G398" i="104" s="1"/>
  <c r="D398" i="104"/>
  <c r="J359" i="95"/>
  <c r="G363" i="104" s="1"/>
  <c r="D363" i="104"/>
  <c r="J411" i="95"/>
  <c r="G415" i="104" s="1"/>
  <c r="D415" i="104"/>
  <c r="J377" i="95"/>
  <c r="G381" i="104" s="1"/>
  <c r="D381" i="104"/>
  <c r="J434" i="95"/>
  <c r="G438" i="104" s="1"/>
  <c r="D438" i="104"/>
  <c r="J360" i="95"/>
  <c r="G364" i="104" s="1"/>
  <c r="D364" i="104"/>
  <c r="L365" i="95"/>
  <c r="I369" i="104" s="1"/>
  <c r="D369" i="104"/>
  <c r="J421" i="95"/>
  <c r="G425" i="104" s="1"/>
  <c r="D425" i="104"/>
  <c r="L410" i="95"/>
  <c r="I414" i="104" s="1"/>
  <c r="D414" i="104"/>
  <c r="J369" i="95"/>
  <c r="G373" i="104" s="1"/>
  <c r="D373" i="104"/>
  <c r="L414" i="95"/>
  <c r="I418" i="104" s="1"/>
  <c r="D418" i="104"/>
  <c r="J427" i="95"/>
  <c r="G431" i="104" s="1"/>
  <c r="D431" i="104"/>
  <c r="J440" i="95"/>
  <c r="G444" i="104" s="1"/>
  <c r="D444" i="104"/>
  <c r="J354" i="95"/>
  <c r="G358" i="104" s="1"/>
  <c r="D358" i="104"/>
  <c r="L418" i="95"/>
  <c r="I422" i="104" s="1"/>
  <c r="D422" i="104"/>
  <c r="J382" i="95"/>
  <c r="G386" i="104" s="1"/>
  <c r="D386" i="104"/>
  <c r="J444" i="95"/>
  <c r="G448" i="104" s="1"/>
  <c r="D448" i="104"/>
  <c r="L358" i="95"/>
  <c r="I362" i="104" s="1"/>
  <c r="D362" i="104"/>
  <c r="J379" i="95"/>
  <c r="G383" i="104" s="1"/>
  <c r="D383" i="104"/>
  <c r="J432" i="95"/>
  <c r="G436" i="104" s="1"/>
  <c r="D436" i="104"/>
  <c r="L378" i="95"/>
  <c r="I382" i="104" s="1"/>
  <c r="D382" i="104"/>
  <c r="L395" i="95"/>
  <c r="I399" i="104" s="1"/>
  <c r="D399" i="104"/>
  <c r="J385" i="95"/>
  <c r="G389" i="104" s="1"/>
  <c r="D389" i="104"/>
  <c r="L366" i="95"/>
  <c r="I370" i="104" s="1"/>
  <c r="D370" i="104"/>
  <c r="L425" i="95"/>
  <c r="I429" i="104" s="1"/>
  <c r="D429" i="104"/>
  <c r="L347" i="95"/>
  <c r="I351" i="104" s="1"/>
  <c r="D351" i="104"/>
  <c r="J373" i="95"/>
  <c r="G377" i="104" s="1"/>
  <c r="D377" i="104"/>
  <c r="L362" i="95"/>
  <c r="I366" i="104" s="1"/>
  <c r="D366" i="104"/>
  <c r="J352" i="95"/>
  <c r="G356" i="104" s="1"/>
  <c r="D356" i="104"/>
  <c r="D345" i="104"/>
  <c r="D348" i="104"/>
  <c r="J400" i="95"/>
  <c r="G404" i="104" s="1"/>
  <c r="D404" i="104"/>
  <c r="J391" i="95"/>
  <c r="G395" i="104" s="1"/>
  <c r="D395" i="104"/>
  <c r="K256" i="104"/>
  <c r="K290" i="104"/>
  <c r="K250" i="104"/>
  <c r="K320" i="104"/>
  <c r="K282" i="104"/>
  <c r="K280" i="104"/>
  <c r="K304" i="104"/>
  <c r="J271" i="104"/>
  <c r="J276" i="104"/>
  <c r="J250" i="104"/>
  <c r="J286" i="104"/>
  <c r="J243" i="104"/>
  <c r="J328" i="104"/>
  <c r="J333" i="104"/>
  <c r="J268" i="104"/>
  <c r="K254" i="104"/>
  <c r="K291" i="104"/>
  <c r="K242" i="104"/>
  <c r="K263" i="104"/>
  <c r="K293" i="104"/>
  <c r="K294" i="104"/>
  <c r="K252" i="104"/>
  <c r="K313" i="104"/>
  <c r="K251" i="104"/>
  <c r="H436" i="95"/>
  <c r="F440" i="104" s="1"/>
  <c r="G326" i="104"/>
  <c r="J288" i="104"/>
  <c r="J255" i="104"/>
  <c r="J296" i="104"/>
  <c r="J307" i="104"/>
  <c r="J278" i="104"/>
  <c r="J235" i="95"/>
  <c r="H239" i="104"/>
  <c r="J247" i="104"/>
  <c r="J259" i="104"/>
  <c r="J262" i="104"/>
  <c r="J317" i="104"/>
  <c r="K267" i="104"/>
  <c r="K302" i="104"/>
  <c r="K278" i="104"/>
  <c r="K317" i="104"/>
  <c r="K307" i="104"/>
  <c r="K267" i="95"/>
  <c r="K281" i="104"/>
  <c r="K253" i="104"/>
  <c r="K337" i="104"/>
  <c r="H367" i="95"/>
  <c r="F371" i="104" s="1"/>
  <c r="G257" i="104"/>
  <c r="J291" i="104"/>
  <c r="J246" i="104"/>
  <c r="H236" i="104"/>
  <c r="J281" i="104"/>
  <c r="J260" i="104"/>
  <c r="J320" i="104"/>
  <c r="J332" i="104"/>
  <c r="J242" i="104"/>
  <c r="K297" i="104"/>
  <c r="K308" i="104"/>
  <c r="K246" i="104"/>
  <c r="K239" i="95"/>
  <c r="K257" i="104"/>
  <c r="K295" i="104"/>
  <c r="K259" i="104"/>
  <c r="J240" i="95"/>
  <c r="H244" i="104"/>
  <c r="H420" i="95"/>
  <c r="F424" i="104" s="1"/>
  <c r="G310" i="104"/>
  <c r="J329" i="104"/>
  <c r="J285" i="104"/>
  <c r="J297" i="104"/>
  <c r="J327" i="104"/>
  <c r="J257" i="104"/>
  <c r="J277" i="104"/>
  <c r="J304" i="104"/>
  <c r="J295" i="104"/>
  <c r="J306" i="104"/>
  <c r="K285" i="104"/>
  <c r="K272" i="95"/>
  <c r="K316" i="104"/>
  <c r="K264" i="104"/>
  <c r="K309" i="104"/>
  <c r="K282" i="95"/>
  <c r="K327" i="104"/>
  <c r="K283" i="104"/>
  <c r="K324" i="104"/>
  <c r="F367" i="95"/>
  <c r="E371" i="104" s="1"/>
  <c r="F257" i="104"/>
  <c r="J335" i="104"/>
  <c r="J283" i="104"/>
  <c r="J251" i="104"/>
  <c r="J318" i="104"/>
  <c r="J321" i="104"/>
  <c r="J282" i="104"/>
  <c r="J272" i="104"/>
  <c r="J314" i="104"/>
  <c r="J311" i="104"/>
  <c r="J254" i="104"/>
  <c r="K324" i="95"/>
  <c r="K296" i="104"/>
  <c r="K330" i="104"/>
  <c r="K255" i="104"/>
  <c r="K329" i="95"/>
  <c r="K314" i="104"/>
  <c r="K321" i="104"/>
  <c r="K264" i="95"/>
  <c r="H354" i="95"/>
  <c r="F358" i="104" s="1"/>
  <c r="G244" i="104"/>
  <c r="J306" i="95"/>
  <c r="H310" i="104"/>
  <c r="J263" i="104"/>
  <c r="J313" i="104"/>
  <c r="J309" i="104"/>
  <c r="J266" i="104"/>
  <c r="J293" i="104"/>
  <c r="J322" i="104"/>
  <c r="K266" i="104"/>
  <c r="K335" i="104"/>
  <c r="K288" i="104"/>
  <c r="K272" i="104"/>
  <c r="K284" i="104"/>
  <c r="K311" i="104"/>
  <c r="K332" i="104"/>
  <c r="K245" i="104"/>
  <c r="K262" i="104"/>
  <c r="K277" i="104"/>
  <c r="K260" i="104"/>
  <c r="J269" i="95"/>
  <c r="H273" i="104"/>
  <c r="J332" i="95"/>
  <c r="H336" i="104"/>
  <c r="J280" i="104"/>
  <c r="J264" i="104"/>
  <c r="J253" i="104"/>
  <c r="J284" i="104"/>
  <c r="J252" i="104"/>
  <c r="J308" i="104"/>
  <c r="J324" i="104"/>
  <c r="K306" i="104"/>
  <c r="K318" i="104"/>
  <c r="K305" i="104"/>
  <c r="K329" i="104"/>
  <c r="K322" i="104"/>
  <c r="K247" i="104"/>
  <c r="F436" i="95"/>
  <c r="E440" i="104" s="1"/>
  <c r="F326" i="104"/>
  <c r="J330" i="104"/>
  <c r="J302" i="104"/>
  <c r="J267" i="104"/>
  <c r="J290" i="104"/>
  <c r="J316" i="104"/>
  <c r="J294" i="104"/>
  <c r="J245" i="104"/>
  <c r="J337" i="104"/>
  <c r="J256" i="104"/>
  <c r="J305" i="104"/>
  <c r="CE442" i="4"/>
  <c r="CE443" i="4" s="1"/>
  <c r="CE444" i="4" s="1"/>
  <c r="J426" i="95"/>
  <c r="G430" i="104" s="1"/>
  <c r="J365" i="95"/>
  <c r="G369" i="104" s="1"/>
  <c r="J435" i="95"/>
  <c r="G439" i="104" s="1"/>
  <c r="J358" i="95"/>
  <c r="G362" i="104" s="1"/>
  <c r="J356" i="95"/>
  <c r="G360" i="104" s="1"/>
  <c r="J447" i="95"/>
  <c r="G451" i="104" s="1"/>
  <c r="J387" i="95"/>
  <c r="G391" i="104" s="1"/>
  <c r="J442" i="95"/>
  <c r="G446" i="104" s="1"/>
  <c r="J441" i="95"/>
  <c r="G445" i="104" s="1"/>
  <c r="J374" i="95"/>
  <c r="G378" i="104" s="1"/>
  <c r="J425" i="95"/>
  <c r="G429" i="104" s="1"/>
  <c r="J390" i="95"/>
  <c r="G394" i="104" s="1"/>
  <c r="J371" i="95"/>
  <c r="G375" i="104" s="1"/>
  <c r="J404" i="95"/>
  <c r="G408" i="104" s="1"/>
  <c r="J363" i="95"/>
  <c r="G367" i="104" s="1"/>
  <c r="J403" i="95"/>
  <c r="G407" i="104" s="1"/>
  <c r="J398" i="95"/>
  <c r="G402" i="104" s="1"/>
  <c r="J415" i="95"/>
  <c r="G419" i="104" s="1"/>
  <c r="J408" i="95"/>
  <c r="G412" i="104" s="1"/>
  <c r="J366" i="95"/>
  <c r="G370" i="104" s="1"/>
  <c r="J386" i="95"/>
  <c r="G390" i="104" s="1"/>
  <c r="J401" i="95"/>
  <c r="G405" i="104" s="1"/>
  <c r="J376" i="95"/>
  <c r="G380" i="104" s="1"/>
  <c r="J353" i="95"/>
  <c r="G357" i="104" s="1"/>
  <c r="J393" i="95"/>
  <c r="G397" i="104" s="1"/>
  <c r="J410" i="95"/>
  <c r="G414" i="104" s="1"/>
  <c r="J361" i="95"/>
  <c r="G365" i="104" s="1"/>
  <c r="J423" i="95"/>
  <c r="G427" i="104" s="1"/>
  <c r="J419" i="95"/>
  <c r="G423" i="104" s="1"/>
  <c r="J370" i="95"/>
  <c r="G374" i="104" s="1"/>
  <c r="J409" i="95"/>
  <c r="G413" i="104" s="1"/>
  <c r="J418" i="95"/>
  <c r="G422" i="104" s="1"/>
  <c r="J355" i="95"/>
  <c r="G359" i="104" s="1"/>
  <c r="J378" i="95"/>
  <c r="G382" i="104" s="1"/>
  <c r="J399" i="95"/>
  <c r="G403" i="104" s="1"/>
  <c r="J368" i="95"/>
  <c r="G372" i="104" s="1"/>
  <c r="J414" i="95"/>
  <c r="G418" i="104" s="1"/>
  <c r="J407" i="95"/>
  <c r="G411" i="104" s="1"/>
  <c r="J383" i="95"/>
  <c r="G387" i="104" s="1"/>
  <c r="J364" i="95"/>
  <c r="G368" i="104" s="1"/>
  <c r="J402" i="95"/>
  <c r="G406" i="104" s="1"/>
  <c r="J362" i="95"/>
  <c r="G366" i="104" s="1"/>
  <c r="J430" i="95"/>
  <c r="G434" i="104" s="1"/>
  <c r="J350" i="95"/>
  <c r="G354" i="104" s="1"/>
  <c r="J395" i="95"/>
  <c r="G399" i="104" s="1"/>
  <c r="J433" i="95"/>
  <c r="G437" i="104" s="1"/>
  <c r="J405" i="95"/>
  <c r="G409" i="104" s="1"/>
  <c r="L443" i="95"/>
  <c r="I447" i="104" s="1"/>
  <c r="L434" i="95"/>
  <c r="I438" i="104" s="1"/>
  <c r="L381" i="95"/>
  <c r="I385" i="104" s="1"/>
  <c r="L388" i="95"/>
  <c r="I392" i="104" s="1"/>
  <c r="L351" i="95"/>
  <c r="I355" i="104" s="1"/>
  <c r="L372" i="95"/>
  <c r="I376" i="104" s="1"/>
  <c r="L357" i="95"/>
  <c r="I361" i="104" s="1"/>
  <c r="L428" i="95"/>
  <c r="I432" i="104" s="1"/>
  <c r="L354" i="95"/>
  <c r="I358" i="104" s="1"/>
  <c r="L359" i="95"/>
  <c r="I363" i="104" s="1"/>
  <c r="L412" i="95"/>
  <c r="I416" i="104" s="1"/>
  <c r="L379" i="95"/>
  <c r="I383" i="104" s="1"/>
  <c r="L424" i="95"/>
  <c r="I428" i="104" s="1"/>
  <c r="L439" i="95"/>
  <c r="I443" i="104" s="1"/>
  <c r="L417" i="95"/>
  <c r="I421" i="104" s="1"/>
  <c r="L382" i="95"/>
  <c r="I386" i="104" s="1"/>
  <c r="L411" i="95"/>
  <c r="I415" i="104" s="1"/>
  <c r="L384" i="95"/>
  <c r="I388" i="104" s="1"/>
  <c r="L391" i="95"/>
  <c r="I395" i="104" s="1"/>
  <c r="L369" i="95"/>
  <c r="I373" i="104" s="1"/>
  <c r="L413" i="95"/>
  <c r="I417" i="104" s="1"/>
  <c r="L360" i="95"/>
  <c r="I364" i="104" s="1"/>
  <c r="L422" i="95"/>
  <c r="I426" i="104" s="1"/>
  <c r="L446" i="95"/>
  <c r="I450" i="104" s="1"/>
  <c r="L431" i="95"/>
  <c r="I435" i="104" s="1"/>
  <c r="L400" i="95"/>
  <c r="I404" i="104" s="1"/>
  <c r="L392" i="95"/>
  <c r="I396" i="104" s="1"/>
  <c r="L444" i="95"/>
  <c r="I448" i="104" s="1"/>
  <c r="L429" i="95"/>
  <c r="I433" i="104" s="1"/>
  <c r="L420" i="95"/>
  <c r="I424" i="104" s="1"/>
  <c r="L437" i="95"/>
  <c r="I441" i="104" s="1"/>
  <c r="L406" i="95"/>
  <c r="I410" i="104" s="1"/>
  <c r="L396" i="95"/>
  <c r="I400" i="104" s="1"/>
  <c r="L385" i="95"/>
  <c r="I389" i="104" s="1"/>
  <c r="L377" i="95"/>
  <c r="I381" i="104" s="1"/>
  <c r="L380" i="95"/>
  <c r="I384" i="104" s="1"/>
  <c r="L421" i="95"/>
  <c r="I425" i="104" s="1"/>
  <c r="L367" i="95"/>
  <c r="I371" i="104" s="1"/>
  <c r="L445" i="95"/>
  <c r="I449" i="104" s="1"/>
  <c r="L373" i="95"/>
  <c r="I377" i="104" s="1"/>
  <c r="L438" i="95"/>
  <c r="I442" i="104" s="1"/>
  <c r="L394" i="95"/>
  <c r="I398" i="104" s="1"/>
  <c r="L416" i="95"/>
  <c r="I420" i="104" s="1"/>
  <c r="L397" i="95"/>
  <c r="I401" i="104" s="1"/>
  <c r="L349" i="95"/>
  <c r="I353" i="104" s="1"/>
  <c r="L436" i="95"/>
  <c r="I440" i="104" s="1"/>
  <c r="L352" i="95"/>
  <c r="I356" i="104" s="1"/>
  <c r="L375" i="95"/>
  <c r="I379" i="104" s="1"/>
  <c r="L389" i="95"/>
  <c r="I393" i="104" s="1"/>
  <c r="L440" i="95"/>
  <c r="I444" i="104" s="1"/>
  <c r="L432" i="95"/>
  <c r="I436" i="104" s="1"/>
  <c r="L427" i="95"/>
  <c r="I431" i="104" s="1"/>
  <c r="J265" i="104" l="1"/>
  <c r="J249" i="104"/>
  <c r="J315" i="104"/>
  <c r="K236" i="95"/>
  <c r="J319" i="104"/>
  <c r="J274" i="104"/>
  <c r="J299" i="104"/>
  <c r="J279" i="104"/>
  <c r="J325" i="104"/>
  <c r="J331" i="104"/>
  <c r="J287" i="104"/>
  <c r="J289" i="104"/>
  <c r="J269" i="104"/>
  <c r="J312" i="104"/>
  <c r="J258" i="104"/>
  <c r="J334" i="104"/>
  <c r="J261" i="104"/>
  <c r="J292" i="104"/>
  <c r="J301" i="104"/>
  <c r="J326" i="104"/>
  <c r="J241" i="104"/>
  <c r="J248" i="104"/>
  <c r="J323" i="104"/>
  <c r="J300" i="104"/>
  <c r="J298" i="104"/>
  <c r="J275" i="104"/>
  <c r="CC3" i="4"/>
  <c r="CG13" i="4"/>
  <c r="CG38" i="4"/>
  <c r="CG24" i="4"/>
  <c r="CG39" i="4"/>
  <c r="CG47" i="4"/>
  <c r="CG55" i="4"/>
  <c r="CG52" i="4"/>
  <c r="CG89" i="4"/>
  <c r="CG78" i="4"/>
  <c r="CG20" i="4"/>
  <c r="CG88" i="4"/>
  <c r="CG73" i="4"/>
  <c r="CC31" i="4"/>
  <c r="CC61" i="4"/>
  <c r="CC96" i="4"/>
  <c r="CC29" i="4"/>
  <c r="CC37" i="4"/>
  <c r="CC49" i="4"/>
  <c r="CC97" i="4"/>
  <c r="CC16" i="4"/>
  <c r="CC17" i="4"/>
  <c r="CC73" i="4"/>
  <c r="CC95" i="4"/>
  <c r="CC34" i="4"/>
  <c r="CC5" i="4"/>
  <c r="CC4" i="4"/>
  <c r="CG14" i="4"/>
  <c r="CG27" i="4"/>
  <c r="CG44" i="4"/>
  <c r="CG70" i="4"/>
  <c r="CG92" i="4"/>
  <c r="CG59" i="4"/>
  <c r="CG18" i="4"/>
  <c r="CG30" i="4"/>
  <c r="CG34" i="4"/>
  <c r="CG101" i="4"/>
  <c r="CG19" i="4"/>
  <c r="CG84" i="4"/>
  <c r="CC66" i="4"/>
  <c r="CC99" i="4"/>
  <c r="CC51" i="4"/>
  <c r="CC20" i="4"/>
  <c r="CC82" i="4"/>
  <c r="CC85" i="4"/>
  <c r="CC75" i="4"/>
  <c r="CC88" i="4"/>
  <c r="CC52" i="4"/>
  <c r="CC41" i="4"/>
  <c r="CC78" i="4"/>
  <c r="CC62" i="4"/>
  <c r="CG2" i="4"/>
  <c r="CG3" i="4"/>
  <c r="CG12" i="4"/>
  <c r="CG74" i="4"/>
  <c r="CG93" i="4"/>
  <c r="CG91" i="4"/>
  <c r="CG25" i="4"/>
  <c r="CG51" i="4"/>
  <c r="CG33" i="4"/>
  <c r="CG53" i="4"/>
  <c r="CG54" i="4"/>
  <c r="CG62" i="4"/>
  <c r="CG45" i="4"/>
  <c r="CG71" i="4"/>
  <c r="CC69" i="4"/>
  <c r="CC89" i="4"/>
  <c r="CC28" i="4"/>
  <c r="CC18" i="4"/>
  <c r="CC53" i="4"/>
  <c r="CC56" i="4"/>
  <c r="CC57" i="4"/>
  <c r="CC98" i="4"/>
  <c r="CC32" i="4"/>
  <c r="CC19" i="4"/>
  <c r="CC39" i="4"/>
  <c r="CC55" i="4"/>
  <c r="CC12" i="4"/>
  <c r="CG11" i="4"/>
  <c r="CG9" i="4"/>
  <c r="CG29" i="4"/>
  <c r="CG61" i="4"/>
  <c r="CG80" i="4"/>
  <c r="CG99" i="4"/>
  <c r="CG46" i="4"/>
  <c r="CG58" i="4"/>
  <c r="CG68" i="4"/>
  <c r="CG82" i="4"/>
  <c r="CG48" i="4"/>
  <c r="CG42" i="4"/>
  <c r="CG102" i="4"/>
  <c r="CC7" i="4"/>
  <c r="CC74" i="4"/>
  <c r="CC48" i="4"/>
  <c r="CC100" i="4"/>
  <c r="CC14" i="4"/>
  <c r="CC64" i="4"/>
  <c r="CC30" i="4"/>
  <c r="CC93" i="4"/>
  <c r="CC45" i="4"/>
  <c r="CC42" i="4"/>
  <c r="CC91" i="4"/>
  <c r="CC13" i="4"/>
  <c r="CC2" i="4"/>
  <c r="CG8" i="4"/>
  <c r="CG37" i="4"/>
  <c r="CG23" i="4"/>
  <c r="CG43" i="4"/>
  <c r="CG83" i="4"/>
  <c r="CG56" i="4"/>
  <c r="CG31" i="4"/>
  <c r="CG21" i="4"/>
  <c r="CG100" i="4"/>
  <c r="CG17" i="4"/>
  <c r="CG41" i="4"/>
  <c r="CG57" i="4"/>
  <c r="CC23" i="4"/>
  <c r="CC70" i="4"/>
  <c r="CC21" i="4"/>
  <c r="CC40" i="4"/>
  <c r="CC58" i="4"/>
  <c r="CC25" i="4"/>
  <c r="CC77" i="4"/>
  <c r="CC68" i="4"/>
  <c r="CC76" i="4"/>
  <c r="CC44" i="4"/>
  <c r="CC54" i="4"/>
  <c r="CC10" i="4"/>
  <c r="CC79" i="4"/>
  <c r="CG4" i="4"/>
  <c r="CG69" i="4"/>
  <c r="CG98" i="4"/>
  <c r="CG90" i="4"/>
  <c r="CG64" i="4"/>
  <c r="CG35" i="4"/>
  <c r="CG49" i="4"/>
  <c r="CG26" i="4"/>
  <c r="CG72" i="4"/>
  <c r="CG67" i="4"/>
  <c r="CG60" i="4"/>
  <c r="CG87" i="4"/>
  <c r="CC47" i="4"/>
  <c r="CC81" i="4"/>
  <c r="CC15" i="4"/>
  <c r="CC90" i="4"/>
  <c r="CC65" i="4"/>
  <c r="CC27" i="4"/>
  <c r="CC84" i="4"/>
  <c r="CC83" i="4"/>
  <c r="CC59" i="4"/>
  <c r="CC102" i="4"/>
  <c r="CC101" i="4"/>
  <c r="CC9" i="4"/>
  <c r="CG7" i="4"/>
  <c r="CG6" i="4"/>
  <c r="CG28" i="4"/>
  <c r="CG94" i="4"/>
  <c r="CG86" i="4"/>
  <c r="CG95" i="4"/>
  <c r="CG96" i="4"/>
  <c r="CG97" i="4"/>
  <c r="CG76" i="4"/>
  <c r="CG85" i="4"/>
  <c r="CG75" i="4"/>
  <c r="CG36" i="4"/>
  <c r="CG50" i="4"/>
  <c r="CC33" i="4"/>
  <c r="CC67" i="4"/>
  <c r="CC92" i="4"/>
  <c r="CC87" i="4"/>
  <c r="CC50" i="4"/>
  <c r="CC8" i="4"/>
  <c r="CC63" i="4"/>
  <c r="CC46" i="4"/>
  <c r="CC35" i="4"/>
  <c r="CC22" i="4"/>
  <c r="CC60" i="4"/>
  <c r="CC11" i="4"/>
  <c r="CG10" i="4"/>
  <c r="CG5" i="4"/>
  <c r="CG15" i="4"/>
  <c r="CG40" i="4"/>
  <c r="CG16" i="4"/>
  <c r="CG77" i="4"/>
  <c r="CG79" i="4"/>
  <c r="CG63" i="4"/>
  <c r="CG81" i="4"/>
  <c r="CG22" i="4"/>
  <c r="CG66" i="4"/>
  <c r="CG32" i="4"/>
  <c r="CG65" i="4"/>
  <c r="CC24" i="4"/>
  <c r="CC72" i="4"/>
  <c r="CC38" i="4"/>
  <c r="CC26" i="4"/>
  <c r="CC36" i="4"/>
  <c r="CC71" i="4"/>
  <c r="CC94" i="4"/>
  <c r="CC86" i="4"/>
  <c r="CC43" i="4"/>
  <c r="CC80" i="4"/>
  <c r="CC6" i="4"/>
  <c r="H231" i="104"/>
  <c r="J270" i="104"/>
  <c r="J234" i="95"/>
  <c r="H238" i="104"/>
  <c r="J303" i="104"/>
  <c r="N352" i="95"/>
  <c r="K356" i="104" s="1"/>
  <c r="N406" i="95"/>
  <c r="K410" i="104" s="1"/>
  <c r="N431" i="95"/>
  <c r="K435" i="104" s="1"/>
  <c r="N411" i="95"/>
  <c r="K415" i="104" s="1"/>
  <c r="K306" i="95"/>
  <c r="J310" i="104"/>
  <c r="K328" i="104"/>
  <c r="N436" i="95"/>
  <c r="K440" i="104" s="1"/>
  <c r="N445" i="95"/>
  <c r="K449" i="104" s="1"/>
  <c r="N437" i="95"/>
  <c r="K441" i="104" s="1"/>
  <c r="N446" i="95"/>
  <c r="K450" i="104" s="1"/>
  <c r="N382" i="95"/>
  <c r="K386" i="104" s="1"/>
  <c r="N388" i="95"/>
  <c r="K392" i="104" s="1"/>
  <c r="K269" i="95"/>
  <c r="J273" i="104"/>
  <c r="K241" i="104"/>
  <c r="N367" i="95"/>
  <c r="K371" i="104" s="1"/>
  <c r="N420" i="95"/>
  <c r="K424" i="104" s="1"/>
  <c r="N422" i="95"/>
  <c r="K426" i="104" s="1"/>
  <c r="N417" i="95"/>
  <c r="K421" i="104" s="1"/>
  <c r="N359" i="95"/>
  <c r="K363" i="104" s="1"/>
  <c r="N381" i="95"/>
  <c r="K385" i="104" s="1"/>
  <c r="K286" i="104"/>
  <c r="N427" i="95"/>
  <c r="K431" i="104" s="1"/>
  <c r="N397" i="95"/>
  <c r="K401" i="104" s="1"/>
  <c r="N421" i="95"/>
  <c r="K425" i="104" s="1"/>
  <c r="N429" i="95"/>
  <c r="K433" i="104" s="1"/>
  <c r="N360" i="95"/>
  <c r="K364" i="104" s="1"/>
  <c r="N439" i="95"/>
  <c r="K443" i="104" s="1"/>
  <c r="N354" i="95"/>
  <c r="K358" i="104" s="1"/>
  <c r="N434" i="95"/>
  <c r="K438" i="104" s="1"/>
  <c r="K333" i="104"/>
  <c r="N432" i="95"/>
  <c r="K436" i="104" s="1"/>
  <c r="N416" i="95"/>
  <c r="K420" i="104" s="1"/>
  <c r="N380" i="95"/>
  <c r="K384" i="104" s="1"/>
  <c r="N444" i="95"/>
  <c r="K448" i="104" s="1"/>
  <c r="N413" i="95"/>
  <c r="K417" i="104" s="1"/>
  <c r="N424" i="95"/>
  <c r="K428" i="104" s="1"/>
  <c r="N428" i="95"/>
  <c r="K432" i="104" s="1"/>
  <c r="N443" i="95"/>
  <c r="K447" i="104" s="1"/>
  <c r="K268" i="104"/>
  <c r="K276" i="104"/>
  <c r="K243" i="104"/>
  <c r="J239" i="104"/>
  <c r="N440" i="95"/>
  <c r="K444" i="104" s="1"/>
  <c r="N394" i="95"/>
  <c r="K398" i="104" s="1"/>
  <c r="N377" i="95"/>
  <c r="K381" i="104" s="1"/>
  <c r="N392" i="95"/>
  <c r="K396" i="104" s="1"/>
  <c r="N369" i="95"/>
  <c r="K373" i="104" s="1"/>
  <c r="N379" i="95"/>
  <c r="K383" i="104" s="1"/>
  <c r="N357" i="95"/>
  <c r="K361" i="104" s="1"/>
  <c r="N389" i="95"/>
  <c r="K393" i="104" s="1"/>
  <c r="N438" i="95"/>
  <c r="K442" i="104" s="1"/>
  <c r="N385" i="95"/>
  <c r="K389" i="104" s="1"/>
  <c r="N400" i="95"/>
  <c r="K404" i="104" s="1"/>
  <c r="N391" i="95"/>
  <c r="K395" i="104" s="1"/>
  <c r="N372" i="95"/>
  <c r="K376" i="104" s="1"/>
  <c r="K332" i="95"/>
  <c r="J336" i="104"/>
  <c r="J244" i="104"/>
  <c r="K240" i="95"/>
  <c r="N375" i="95"/>
  <c r="K379" i="104" s="1"/>
  <c r="N373" i="95"/>
  <c r="K377" i="104" s="1"/>
  <c r="N396" i="95"/>
  <c r="K400" i="104" s="1"/>
  <c r="N384" i="95"/>
  <c r="K388" i="104" s="1"/>
  <c r="N412" i="95"/>
  <c r="K416" i="104" s="1"/>
  <c r="N351" i="95"/>
  <c r="K355" i="104" s="1"/>
  <c r="K240" i="104"/>
  <c r="K271" i="104"/>
  <c r="N356" i="95"/>
  <c r="K360" i="104" s="1"/>
  <c r="N410" i="95"/>
  <c r="K414" i="104" s="1"/>
  <c r="N393" i="95"/>
  <c r="K397" i="104" s="1"/>
  <c r="N415" i="95"/>
  <c r="K419" i="104" s="1"/>
  <c r="N374" i="95"/>
  <c r="K378" i="104" s="1"/>
  <c r="N435" i="95"/>
  <c r="K439" i="104" s="1"/>
  <c r="N408" i="95"/>
  <c r="K412" i="104" s="1"/>
  <c r="N418" i="95"/>
  <c r="K422" i="104" s="1"/>
  <c r="N395" i="95"/>
  <c r="K399" i="104" s="1"/>
  <c r="N414" i="95"/>
  <c r="K418" i="104" s="1"/>
  <c r="N409" i="95"/>
  <c r="K413" i="104" s="1"/>
  <c r="N353" i="95"/>
  <c r="K357" i="104" s="1"/>
  <c r="N398" i="95"/>
  <c r="K402" i="104" s="1"/>
  <c r="N365" i="95"/>
  <c r="K369" i="104" s="1"/>
  <c r="N364" i="95"/>
  <c r="K368" i="104" s="1"/>
  <c r="N383" i="95"/>
  <c r="K387" i="104" s="1"/>
  <c r="N425" i="95"/>
  <c r="K429" i="104" s="1"/>
  <c r="N350" i="95"/>
  <c r="K354" i="104" s="1"/>
  <c r="N368" i="95"/>
  <c r="K372" i="104" s="1"/>
  <c r="N370" i="95"/>
  <c r="K374" i="104" s="1"/>
  <c r="N376" i="95"/>
  <c r="K380" i="104" s="1"/>
  <c r="N403" i="95"/>
  <c r="K407" i="104" s="1"/>
  <c r="N441" i="95"/>
  <c r="K445" i="104" s="1"/>
  <c r="N426" i="95"/>
  <c r="K430" i="104" s="1"/>
  <c r="N430" i="95"/>
  <c r="K434" i="104" s="1"/>
  <c r="N399" i="95"/>
  <c r="K403" i="104" s="1"/>
  <c r="N419" i="95"/>
  <c r="K423" i="104" s="1"/>
  <c r="N401" i="95"/>
  <c r="K405" i="104" s="1"/>
  <c r="N363" i="95"/>
  <c r="K367" i="104" s="1"/>
  <c r="N442" i="95"/>
  <c r="K446" i="104" s="1"/>
  <c r="N362" i="95"/>
  <c r="K366" i="104" s="1"/>
  <c r="N378" i="95"/>
  <c r="K382" i="104" s="1"/>
  <c r="N423" i="95"/>
  <c r="K427" i="104" s="1"/>
  <c r="N386" i="95"/>
  <c r="K390" i="104" s="1"/>
  <c r="N404" i="95"/>
  <c r="K408" i="104" s="1"/>
  <c r="N387" i="95"/>
  <c r="K391" i="104" s="1"/>
  <c r="N390" i="95"/>
  <c r="K394" i="104" s="1"/>
  <c r="N405" i="95"/>
  <c r="K409" i="104" s="1"/>
  <c r="N358" i="95"/>
  <c r="K362" i="104" s="1"/>
  <c r="N402" i="95"/>
  <c r="K406" i="104" s="1"/>
  <c r="N355" i="95"/>
  <c r="K359" i="104" s="1"/>
  <c r="N361" i="95"/>
  <c r="K365" i="104" s="1"/>
  <c r="N366" i="95"/>
  <c r="K370" i="104" s="1"/>
  <c r="N371" i="95"/>
  <c r="K375" i="104" s="1"/>
  <c r="N447" i="95"/>
  <c r="K451" i="104" s="1"/>
  <c r="FE220" i="90"/>
  <c r="EC323" i="90" s="1"/>
  <c r="EZ220" i="90"/>
  <c r="EB323" i="90" s="1"/>
  <c r="CE445" i="4"/>
  <c r="CV233" i="90"/>
  <c r="CQ233" i="90"/>
  <c r="CV232" i="90"/>
  <c r="CQ232" i="90"/>
  <c r="N433" i="95"/>
  <c r="K437" i="104" s="1"/>
  <c r="N407" i="95"/>
  <c r="K411" i="104" s="1"/>
  <c r="BJ300" i="90" l="1"/>
  <c r="AE88" i="90"/>
  <c r="BJ403" i="90"/>
  <c r="CO195" i="90"/>
  <c r="AE195" i="90"/>
  <c r="CN88" i="90"/>
  <c r="DU386" i="90"/>
  <c r="DU283" i="90"/>
  <c r="EY178" i="90"/>
  <c r="EY72" i="90"/>
  <c r="EY21" i="90"/>
  <c r="DU335" i="90"/>
  <c r="DU232" i="90"/>
  <c r="EY127" i="90"/>
  <c r="AE187" i="90"/>
  <c r="BJ292" i="90"/>
  <c r="CO187" i="90"/>
  <c r="BJ395" i="90"/>
  <c r="AE80" i="90"/>
  <c r="CN80" i="90"/>
  <c r="EY148" i="90"/>
  <c r="EY42" i="90"/>
  <c r="DU356" i="90"/>
  <c r="DU253" i="90"/>
  <c r="DU414" i="90"/>
  <c r="DU311" i="90"/>
  <c r="EY206" i="90"/>
  <c r="EY100" i="90"/>
  <c r="CO207" i="90"/>
  <c r="BJ415" i="90"/>
  <c r="BJ312" i="90"/>
  <c r="AE207" i="90"/>
  <c r="AE100" i="90"/>
  <c r="AM100" i="90" s="1"/>
  <c r="CN100" i="90"/>
  <c r="DU407" i="90"/>
  <c r="DU304" i="90"/>
  <c r="EY199" i="90"/>
  <c r="EY93" i="90"/>
  <c r="EY202" i="90"/>
  <c r="EY96" i="90"/>
  <c r="DU410" i="90"/>
  <c r="DU307" i="90"/>
  <c r="AE200" i="90"/>
  <c r="CN93" i="90"/>
  <c r="BJ408" i="90"/>
  <c r="CO200" i="90"/>
  <c r="AE93" i="90"/>
  <c r="A305" i="90" s="1"/>
  <c r="BJ305" i="90"/>
  <c r="AE40" i="90"/>
  <c r="AM40" i="90" s="1"/>
  <c r="AE147" i="90"/>
  <c r="CO147" i="90"/>
  <c r="CN40" i="90"/>
  <c r="BJ355" i="90"/>
  <c r="BJ252" i="90"/>
  <c r="DU403" i="90"/>
  <c r="DU300" i="90"/>
  <c r="EY195" i="90"/>
  <c r="EY89" i="90"/>
  <c r="BJ374" i="90"/>
  <c r="BJ271" i="90"/>
  <c r="AE166" i="90"/>
  <c r="CO166" i="90"/>
  <c r="CN59" i="90"/>
  <c r="AE59" i="90"/>
  <c r="AM59" i="90" s="1"/>
  <c r="AE198" i="90"/>
  <c r="CN91" i="90"/>
  <c r="BJ303" i="90"/>
  <c r="CO198" i="90"/>
  <c r="AE91" i="90"/>
  <c r="BJ406" i="90"/>
  <c r="EY158" i="90"/>
  <c r="EY52" i="90"/>
  <c r="DU366" i="90"/>
  <c r="DU263" i="90"/>
  <c r="CO179" i="90"/>
  <c r="AE179" i="90"/>
  <c r="BJ284" i="90"/>
  <c r="CN72" i="90"/>
  <c r="AE72" i="90"/>
  <c r="A284" i="90" s="1"/>
  <c r="BJ387" i="90"/>
  <c r="CO142" i="90"/>
  <c r="BJ350" i="90"/>
  <c r="BJ247" i="90"/>
  <c r="AE142" i="90"/>
  <c r="AE35" i="90"/>
  <c r="CN35" i="90"/>
  <c r="EY165" i="90"/>
  <c r="EY59" i="90"/>
  <c r="DU373" i="90"/>
  <c r="DU270" i="90"/>
  <c r="EY115" i="90"/>
  <c r="DU220" i="90"/>
  <c r="EY9" i="90"/>
  <c r="DU323" i="90"/>
  <c r="BJ417" i="90"/>
  <c r="BJ314" i="90"/>
  <c r="AE209" i="90"/>
  <c r="CN102" i="90"/>
  <c r="CO209" i="90"/>
  <c r="AE102" i="90"/>
  <c r="EY213" i="90"/>
  <c r="EY107" i="90"/>
  <c r="DU421" i="90"/>
  <c r="DU318" i="90"/>
  <c r="EY139" i="90"/>
  <c r="EY33" i="90"/>
  <c r="DU347" i="90"/>
  <c r="DU244" i="90"/>
  <c r="AE33" i="90"/>
  <c r="CN33" i="90"/>
  <c r="CO140" i="90"/>
  <c r="BJ245" i="90"/>
  <c r="AE140" i="90"/>
  <c r="BJ348" i="90"/>
  <c r="DU393" i="90"/>
  <c r="DU290" i="90"/>
  <c r="EY185" i="90"/>
  <c r="EY79" i="90"/>
  <c r="EY151" i="90"/>
  <c r="EY45" i="90"/>
  <c r="DU359" i="90"/>
  <c r="DU256" i="90"/>
  <c r="BJ368" i="90"/>
  <c r="CN53" i="90"/>
  <c r="CO160" i="90"/>
  <c r="AE160" i="90"/>
  <c r="AE53" i="90"/>
  <c r="A265" i="90" s="1"/>
  <c r="BJ265" i="90"/>
  <c r="EY134" i="90"/>
  <c r="EY28" i="90"/>
  <c r="DU342" i="90"/>
  <c r="DU239" i="90"/>
  <c r="DU222" i="90"/>
  <c r="EY11" i="90"/>
  <c r="DU325" i="90"/>
  <c r="EY117" i="90"/>
  <c r="BJ340" i="90"/>
  <c r="CO132" i="90"/>
  <c r="CN25" i="90"/>
  <c r="AE132" i="90"/>
  <c r="AE25" i="90"/>
  <c r="BJ237" i="90"/>
  <c r="DU395" i="90"/>
  <c r="DU292" i="90"/>
  <c r="EY187" i="90"/>
  <c r="EY81" i="90"/>
  <c r="EY140" i="90"/>
  <c r="EY34" i="90"/>
  <c r="DU348" i="90"/>
  <c r="DU245" i="90"/>
  <c r="CN101" i="90"/>
  <c r="AE101" i="90"/>
  <c r="AM101" i="90" s="1"/>
  <c r="BJ416" i="90"/>
  <c r="BJ313" i="90"/>
  <c r="AE208" i="90"/>
  <c r="CO208" i="90"/>
  <c r="EY172" i="90"/>
  <c r="EY66" i="90"/>
  <c r="DU380" i="90"/>
  <c r="DU277" i="90"/>
  <c r="DU418" i="90"/>
  <c r="DU315" i="90"/>
  <c r="EY210" i="90"/>
  <c r="EY104" i="90"/>
  <c r="CO192" i="90"/>
  <c r="BJ400" i="90"/>
  <c r="BJ297" i="90"/>
  <c r="AE192" i="90"/>
  <c r="AE85" i="90"/>
  <c r="AM85" i="90" s="1"/>
  <c r="CN85" i="90"/>
  <c r="EY169" i="90"/>
  <c r="EY63" i="90"/>
  <c r="DU377" i="90"/>
  <c r="DU274" i="90"/>
  <c r="DU363" i="90"/>
  <c r="DU260" i="90"/>
  <c r="EY155" i="90"/>
  <c r="EY49" i="90"/>
  <c r="BJ377" i="90"/>
  <c r="BJ274" i="90"/>
  <c r="AE169" i="90"/>
  <c r="CO169" i="90"/>
  <c r="CN62" i="90"/>
  <c r="AE62" i="90"/>
  <c r="AM62" i="90" s="1"/>
  <c r="BJ339" i="90"/>
  <c r="CO131" i="90"/>
  <c r="AE24" i="90"/>
  <c r="CN24" i="90"/>
  <c r="BJ236" i="90"/>
  <c r="AE131" i="90"/>
  <c r="DU419" i="90"/>
  <c r="DU316" i="90"/>
  <c r="EY211" i="90"/>
  <c r="EY105" i="90"/>
  <c r="BJ371" i="90"/>
  <c r="BJ268" i="90"/>
  <c r="CO163" i="90"/>
  <c r="AE56" i="90"/>
  <c r="AM56" i="90" s="1"/>
  <c r="AE163" i="90"/>
  <c r="CN56" i="90"/>
  <c r="AE152" i="90"/>
  <c r="BJ360" i="90"/>
  <c r="CN45" i="90"/>
  <c r="AE45" i="90"/>
  <c r="A360" i="90" s="1"/>
  <c r="BJ257" i="90"/>
  <c r="CO152" i="90"/>
  <c r="EY145" i="90"/>
  <c r="EY39" i="90"/>
  <c r="DU353" i="90"/>
  <c r="DU250" i="90"/>
  <c r="AE99" i="90"/>
  <c r="AE206" i="90"/>
  <c r="CN99" i="90"/>
  <c r="CO206" i="90"/>
  <c r="BJ311" i="90"/>
  <c r="BJ414" i="90"/>
  <c r="DU354" i="90"/>
  <c r="DU251" i="90"/>
  <c r="EY146" i="90"/>
  <c r="EY40" i="90"/>
  <c r="EY20" i="90"/>
  <c r="DU334" i="90"/>
  <c r="DU231" i="90"/>
  <c r="EY126" i="90"/>
  <c r="BJ429" i="90"/>
  <c r="AE221" i="90"/>
  <c r="CN114" i="90"/>
  <c r="CO221" i="90"/>
  <c r="AE114" i="90"/>
  <c r="A326" i="90" s="1"/>
  <c r="BJ326" i="90"/>
  <c r="EY200" i="90"/>
  <c r="EY94" i="90"/>
  <c r="DU408" i="90"/>
  <c r="DU305" i="90"/>
  <c r="EY136" i="90"/>
  <c r="EY30" i="90"/>
  <c r="DU344" i="90"/>
  <c r="DU241" i="90"/>
  <c r="AE150" i="90"/>
  <c r="CN43" i="90"/>
  <c r="CO150" i="90"/>
  <c r="AE43" i="90"/>
  <c r="BJ358" i="90"/>
  <c r="BJ255" i="90"/>
  <c r="DU401" i="90"/>
  <c r="DU298" i="90"/>
  <c r="EY193" i="90"/>
  <c r="EY87" i="90"/>
  <c r="DU330" i="90"/>
  <c r="DU227" i="90"/>
  <c r="EY122" i="90"/>
  <c r="EY16" i="90"/>
  <c r="AE174" i="90"/>
  <c r="BJ279" i="90"/>
  <c r="CO174" i="90"/>
  <c r="AE67" i="90"/>
  <c r="AM67" i="90" s="1"/>
  <c r="BJ382" i="90"/>
  <c r="CN67" i="90"/>
  <c r="EY197" i="90"/>
  <c r="EY91" i="90"/>
  <c r="DU405" i="90"/>
  <c r="DU302" i="90"/>
  <c r="DU326" i="90"/>
  <c r="DU223" i="90"/>
  <c r="EY118" i="90"/>
  <c r="EY12" i="90"/>
  <c r="BJ359" i="90"/>
  <c r="AE44" i="90"/>
  <c r="AE151" i="90"/>
  <c r="CN44" i="90"/>
  <c r="BJ256" i="90"/>
  <c r="CO151" i="90"/>
  <c r="DU387" i="90"/>
  <c r="DU284" i="90"/>
  <c r="EY179" i="90"/>
  <c r="EY73" i="90"/>
  <c r="DU389" i="90"/>
  <c r="DU286" i="90"/>
  <c r="EY181" i="90"/>
  <c r="EY75" i="90"/>
  <c r="AE94" i="90"/>
  <c r="AM94" i="90" s="1"/>
  <c r="AE201" i="90"/>
  <c r="BJ409" i="90"/>
  <c r="BJ306" i="90"/>
  <c r="CN94" i="90"/>
  <c r="CO201" i="90"/>
  <c r="DU361" i="90"/>
  <c r="DU258" i="90"/>
  <c r="EY153" i="90"/>
  <c r="EY47" i="90"/>
  <c r="EY135" i="90"/>
  <c r="EY29" i="90"/>
  <c r="DU343" i="90"/>
  <c r="DU240" i="90"/>
  <c r="BJ322" i="90"/>
  <c r="CN110" i="90"/>
  <c r="AE110" i="90"/>
  <c r="AM110" i="90" s="1"/>
  <c r="AE217" i="90"/>
  <c r="CO217" i="90"/>
  <c r="BJ425" i="90"/>
  <c r="DU422" i="90"/>
  <c r="DU319" i="90"/>
  <c r="EY214" i="90"/>
  <c r="EY108" i="90"/>
  <c r="EY192" i="90"/>
  <c r="EY86" i="90"/>
  <c r="DU400" i="90"/>
  <c r="DU297" i="90"/>
  <c r="AE36" i="90"/>
  <c r="AE143" i="90"/>
  <c r="BJ351" i="90"/>
  <c r="BJ248" i="90"/>
  <c r="CN36" i="90"/>
  <c r="CO143" i="90"/>
  <c r="AE106" i="90"/>
  <c r="BJ421" i="90"/>
  <c r="AE213" i="90"/>
  <c r="CN106" i="90"/>
  <c r="BJ318" i="90"/>
  <c r="CO213" i="90"/>
  <c r="DU371" i="90"/>
  <c r="DU268" i="90"/>
  <c r="EY163" i="90"/>
  <c r="EY57" i="90"/>
  <c r="BJ394" i="90"/>
  <c r="CO186" i="90"/>
  <c r="CN79" i="90"/>
  <c r="AE79" i="90"/>
  <c r="AM79" i="90" s="1"/>
  <c r="AE186" i="90"/>
  <c r="BJ291" i="90"/>
  <c r="CO144" i="90"/>
  <c r="AE37" i="90"/>
  <c r="AE144" i="90"/>
  <c r="CN37" i="90"/>
  <c r="BJ352" i="90"/>
  <c r="BJ249" i="90"/>
  <c r="EY142" i="90"/>
  <c r="EY36" i="90"/>
  <c r="DU350" i="90"/>
  <c r="DU247" i="90"/>
  <c r="AE128" i="90"/>
  <c r="BJ336" i="90"/>
  <c r="BJ233" i="90"/>
  <c r="CO128" i="90"/>
  <c r="CN21" i="90"/>
  <c r="AE21" i="90"/>
  <c r="BJ381" i="90"/>
  <c r="CO173" i="90"/>
  <c r="AE66" i="90"/>
  <c r="BJ278" i="90"/>
  <c r="AE173" i="90"/>
  <c r="CN66" i="90"/>
  <c r="DU340" i="90"/>
  <c r="DU237" i="90"/>
  <c r="EY132" i="90"/>
  <c r="EY26" i="90"/>
  <c r="DU358" i="90"/>
  <c r="DU255" i="90"/>
  <c r="EY150" i="90"/>
  <c r="EY44" i="90"/>
  <c r="BJ338" i="90"/>
  <c r="AE130" i="90"/>
  <c r="CN23" i="90"/>
  <c r="CO130" i="90"/>
  <c r="BJ235" i="90"/>
  <c r="AE23" i="90"/>
  <c r="BJ370" i="90"/>
  <c r="BJ267" i="90"/>
  <c r="CO162" i="90"/>
  <c r="AE55" i="90"/>
  <c r="A370" i="90" s="1"/>
  <c r="AE162" i="90"/>
  <c r="CN55" i="90"/>
  <c r="EY175" i="90"/>
  <c r="EY69" i="90"/>
  <c r="DU383" i="90"/>
  <c r="DU280" i="90"/>
  <c r="AE28" i="90"/>
  <c r="AM28" i="90" s="1"/>
  <c r="CN28" i="90"/>
  <c r="CO135" i="90"/>
  <c r="BJ343" i="90"/>
  <c r="BJ240" i="90"/>
  <c r="AE135" i="90"/>
  <c r="BJ316" i="90"/>
  <c r="BJ419" i="90"/>
  <c r="AE104" i="90"/>
  <c r="AM104" i="90" s="1"/>
  <c r="CO211" i="90"/>
  <c r="AE211" i="90"/>
  <c r="CN104" i="90"/>
  <c r="DU396" i="90"/>
  <c r="DU293" i="90"/>
  <c r="EY188" i="90"/>
  <c r="EY82" i="90"/>
  <c r="EY13" i="90"/>
  <c r="DU327" i="90"/>
  <c r="EY119" i="90"/>
  <c r="DU224" i="90"/>
  <c r="CN82" i="90"/>
  <c r="AE82" i="90"/>
  <c r="AM82" i="90" s="1"/>
  <c r="BJ397" i="90"/>
  <c r="BJ294" i="90"/>
  <c r="AE189" i="90"/>
  <c r="CO189" i="90"/>
  <c r="EY184" i="90"/>
  <c r="EY78" i="90"/>
  <c r="DU392" i="90"/>
  <c r="DU289" i="90"/>
  <c r="EY116" i="90"/>
  <c r="EY10" i="90"/>
  <c r="DU324" i="90"/>
  <c r="DU221" i="90"/>
  <c r="CN42" i="90"/>
  <c r="CO149" i="90"/>
  <c r="BJ254" i="90"/>
  <c r="BJ357" i="90"/>
  <c r="AE42" i="90"/>
  <c r="A357" i="90" s="1"/>
  <c r="AE149" i="90"/>
  <c r="EY129" i="90"/>
  <c r="EY23" i="90"/>
  <c r="DU337" i="90"/>
  <c r="DU234" i="90"/>
  <c r="DU357" i="90"/>
  <c r="DU254" i="90"/>
  <c r="EY149" i="90"/>
  <c r="EY43" i="90"/>
  <c r="BJ259" i="90"/>
  <c r="AE154" i="90"/>
  <c r="CO154" i="90"/>
  <c r="CN47" i="90"/>
  <c r="BJ362" i="90"/>
  <c r="AE47" i="90"/>
  <c r="EY154" i="90"/>
  <c r="EY48" i="90"/>
  <c r="DU362" i="90"/>
  <c r="DU259" i="90"/>
  <c r="DU381" i="90"/>
  <c r="DU278" i="90"/>
  <c r="EY173" i="90"/>
  <c r="EY67" i="90"/>
  <c r="BJ261" i="90"/>
  <c r="AE156" i="90"/>
  <c r="CN49" i="90"/>
  <c r="CO156" i="90"/>
  <c r="BJ364" i="90"/>
  <c r="AE49" i="90"/>
  <c r="BJ401" i="90"/>
  <c r="AE193" i="90"/>
  <c r="AE86" i="90"/>
  <c r="CN86" i="90"/>
  <c r="CO193" i="90"/>
  <c r="BJ298" i="90"/>
  <c r="EY137" i="90"/>
  <c r="EY31" i="90"/>
  <c r="DU345" i="90"/>
  <c r="DU242" i="90"/>
  <c r="CN95" i="90"/>
  <c r="CO202" i="90"/>
  <c r="AE95" i="90"/>
  <c r="AM95" i="90" s="1"/>
  <c r="BJ410" i="90"/>
  <c r="AE202" i="90"/>
  <c r="BJ307" i="90"/>
  <c r="AE68" i="90"/>
  <c r="BJ383" i="90"/>
  <c r="AE175" i="90"/>
  <c r="CN68" i="90"/>
  <c r="BJ280" i="90"/>
  <c r="CO175" i="90"/>
  <c r="EY24" i="90"/>
  <c r="EY130" i="90"/>
  <c r="DU338" i="90"/>
  <c r="DU235" i="90"/>
  <c r="AE129" i="90"/>
  <c r="CN22" i="90"/>
  <c r="CO129" i="90"/>
  <c r="AE22" i="90"/>
  <c r="BJ234" i="90"/>
  <c r="BJ337" i="90"/>
  <c r="BJ369" i="90"/>
  <c r="AE54" i="90"/>
  <c r="BJ266" i="90"/>
  <c r="AE161" i="90"/>
  <c r="CN54" i="90"/>
  <c r="CO161" i="90"/>
  <c r="EY190" i="90"/>
  <c r="EY84" i="90"/>
  <c r="DU398" i="90"/>
  <c r="DU295" i="90"/>
  <c r="DU333" i="90"/>
  <c r="DU230" i="90"/>
  <c r="EY125" i="90"/>
  <c r="EY19" i="90"/>
  <c r="AE97" i="90"/>
  <c r="BJ412" i="90"/>
  <c r="CN97" i="90"/>
  <c r="CO204" i="90"/>
  <c r="AE204" i="90"/>
  <c r="BJ309" i="90"/>
  <c r="AE89" i="90"/>
  <c r="AM89" i="90" s="1"/>
  <c r="CN89" i="90"/>
  <c r="BJ404" i="90"/>
  <c r="BJ301" i="90"/>
  <c r="CO196" i="90"/>
  <c r="AE196" i="90"/>
  <c r="EY191" i="90"/>
  <c r="EY85" i="90"/>
  <c r="DU399" i="90"/>
  <c r="DU296" i="90"/>
  <c r="AE77" i="90"/>
  <c r="A289" i="90" s="1"/>
  <c r="BJ289" i="90"/>
  <c r="BJ392" i="90"/>
  <c r="CN77" i="90"/>
  <c r="CO184" i="90"/>
  <c r="AE184" i="90"/>
  <c r="BJ424" i="90"/>
  <c r="CN109" i="90"/>
  <c r="CO216" i="90"/>
  <c r="AE216" i="90"/>
  <c r="AE109" i="90"/>
  <c r="A424" i="90" s="1"/>
  <c r="BJ321" i="90"/>
  <c r="DU417" i="90"/>
  <c r="DU314" i="90"/>
  <c r="EY209" i="90"/>
  <c r="EY103" i="90"/>
  <c r="BJ341" i="90"/>
  <c r="AE26" i="90"/>
  <c r="BJ238" i="90"/>
  <c r="CN26" i="90"/>
  <c r="CO133" i="90"/>
  <c r="AE133" i="90"/>
  <c r="AE214" i="90"/>
  <c r="CO214" i="90"/>
  <c r="CN107" i="90"/>
  <c r="AE107" i="90"/>
  <c r="BJ422" i="90"/>
  <c r="BJ319" i="90"/>
  <c r="DU346" i="90"/>
  <c r="DU243" i="90"/>
  <c r="EY138" i="90"/>
  <c r="EY32" i="90"/>
  <c r="BJ308" i="90"/>
  <c r="CO203" i="90"/>
  <c r="AE96" i="90"/>
  <c r="BJ411" i="90"/>
  <c r="CN96" i="90"/>
  <c r="AE203" i="90"/>
  <c r="AE75" i="90"/>
  <c r="AM75" i="90" s="1"/>
  <c r="CN75" i="90"/>
  <c r="BJ390" i="90"/>
  <c r="BJ287" i="90"/>
  <c r="AE182" i="90"/>
  <c r="CO182" i="90"/>
  <c r="DU420" i="90"/>
  <c r="DU317" i="90"/>
  <c r="EY212" i="90"/>
  <c r="EY106" i="90"/>
  <c r="EY120" i="90"/>
  <c r="EY14" i="90"/>
  <c r="DU328" i="90"/>
  <c r="DU225" i="90"/>
  <c r="AE81" i="90"/>
  <c r="CN81" i="90"/>
  <c r="BJ396" i="90"/>
  <c r="BJ293" i="90"/>
  <c r="CO188" i="90"/>
  <c r="AE188" i="90"/>
  <c r="DU368" i="90"/>
  <c r="DU265" i="90"/>
  <c r="EY160" i="90"/>
  <c r="EY54" i="90"/>
  <c r="EY141" i="90"/>
  <c r="EY35" i="90"/>
  <c r="DU349" i="90"/>
  <c r="DU246" i="90"/>
  <c r="AE115" i="90"/>
  <c r="BJ430" i="90"/>
  <c r="AE222" i="90"/>
  <c r="CO222" i="90"/>
  <c r="CN115" i="90"/>
  <c r="BJ327" i="90"/>
  <c r="EY77" i="90"/>
  <c r="EY183" i="90"/>
  <c r="DU391" i="90"/>
  <c r="DU288" i="90"/>
  <c r="EY203" i="90"/>
  <c r="EY97" i="90"/>
  <c r="DU411" i="90"/>
  <c r="DU308" i="90"/>
  <c r="CO165" i="90"/>
  <c r="BJ373" i="90"/>
  <c r="BJ270" i="90"/>
  <c r="AE58" i="90"/>
  <c r="AE165" i="90"/>
  <c r="CN58" i="90"/>
  <c r="BJ431" i="90"/>
  <c r="BJ328" i="90"/>
  <c r="AE223" i="90"/>
  <c r="CO223" i="90"/>
  <c r="CN116" i="90"/>
  <c r="AE116" i="90"/>
  <c r="DU379" i="90"/>
  <c r="DU276" i="90"/>
  <c r="EY171" i="90"/>
  <c r="EY65" i="90"/>
  <c r="BJ263" i="90"/>
  <c r="CO158" i="90"/>
  <c r="CN51" i="90"/>
  <c r="AE51" i="90"/>
  <c r="AM51" i="90" s="1"/>
  <c r="BJ366" i="90"/>
  <c r="AE158" i="90"/>
  <c r="AE46" i="90"/>
  <c r="AM46" i="90" s="1"/>
  <c r="AE153" i="90"/>
  <c r="CO153" i="90"/>
  <c r="BJ361" i="90"/>
  <c r="BJ258" i="90"/>
  <c r="CN46" i="90"/>
  <c r="DU409" i="90"/>
  <c r="DU306" i="90"/>
  <c r="EY201" i="90"/>
  <c r="EY95" i="90"/>
  <c r="CO127" i="90"/>
  <c r="BJ232" i="90"/>
  <c r="AE127" i="90"/>
  <c r="CN20" i="90"/>
  <c r="AE20" i="90"/>
  <c r="BJ335" i="90"/>
  <c r="CN60" i="90"/>
  <c r="CO167" i="90"/>
  <c r="AE60" i="90"/>
  <c r="A272" i="90" s="1"/>
  <c r="BJ375" i="90"/>
  <c r="BJ272" i="90"/>
  <c r="AE167" i="90"/>
  <c r="BJ356" i="90"/>
  <c r="CN41" i="90"/>
  <c r="CO148" i="90"/>
  <c r="AE41" i="90"/>
  <c r="A253" i="90" s="1"/>
  <c r="AE148" i="90"/>
  <c r="BJ253" i="90"/>
  <c r="DU397" i="90"/>
  <c r="DU294" i="90"/>
  <c r="EY189" i="90"/>
  <c r="EY83" i="90"/>
  <c r="AE146" i="90"/>
  <c r="CN39" i="90"/>
  <c r="CO146" i="90"/>
  <c r="BJ354" i="90"/>
  <c r="BJ251" i="90"/>
  <c r="AE39" i="90"/>
  <c r="BJ399" i="90"/>
  <c r="BJ296" i="90"/>
  <c r="CO191" i="90"/>
  <c r="CN84" i="90"/>
  <c r="AE84" i="90"/>
  <c r="AE191" i="90"/>
  <c r="DU416" i="90"/>
  <c r="DU313" i="90"/>
  <c r="EY208" i="90"/>
  <c r="EY102" i="90"/>
  <c r="CN118" i="90"/>
  <c r="CO225" i="90"/>
  <c r="BJ433" i="90"/>
  <c r="AE118" i="90"/>
  <c r="AE225" i="90"/>
  <c r="BJ330" i="90"/>
  <c r="CO139" i="90"/>
  <c r="AE139" i="90"/>
  <c r="CN32" i="90"/>
  <c r="AE32" i="90"/>
  <c r="BJ347" i="90"/>
  <c r="BJ244" i="90"/>
  <c r="DU369" i="90"/>
  <c r="DU266" i="90"/>
  <c r="EY55" i="90"/>
  <c r="EY161" i="90"/>
  <c r="CO134" i="90"/>
  <c r="AE27" i="90"/>
  <c r="CN27" i="90"/>
  <c r="BJ239" i="90"/>
  <c r="AE134" i="90"/>
  <c r="BJ342" i="90"/>
  <c r="CN57" i="90"/>
  <c r="AE164" i="90"/>
  <c r="BJ372" i="90"/>
  <c r="AE57" i="90"/>
  <c r="CO164" i="90"/>
  <c r="BJ269" i="90"/>
  <c r="EY133" i="90"/>
  <c r="EY27" i="90"/>
  <c r="DU341" i="90"/>
  <c r="DU238" i="90"/>
  <c r="AE31" i="90"/>
  <c r="AM31" i="90" s="1"/>
  <c r="AE138" i="90"/>
  <c r="BJ346" i="90"/>
  <c r="BJ243" i="90"/>
  <c r="CN31" i="90"/>
  <c r="CO138" i="90"/>
  <c r="EY194" i="90"/>
  <c r="EY88" i="90"/>
  <c r="DU402" i="90"/>
  <c r="DU299" i="90"/>
  <c r="EY121" i="90"/>
  <c r="EY15" i="90"/>
  <c r="DU226" i="90"/>
  <c r="DU329" i="90"/>
  <c r="BJ389" i="90"/>
  <c r="BJ286" i="90"/>
  <c r="AE181" i="90"/>
  <c r="CO181" i="90"/>
  <c r="AE74" i="90"/>
  <c r="CN74" i="90"/>
  <c r="DU365" i="90"/>
  <c r="DU262" i="90"/>
  <c r="EY157" i="90"/>
  <c r="EY51" i="90"/>
  <c r="DU413" i="90"/>
  <c r="DU310" i="90"/>
  <c r="EY205" i="90"/>
  <c r="EY99" i="90"/>
  <c r="CN69" i="90"/>
  <c r="CO176" i="90"/>
  <c r="AE69" i="90"/>
  <c r="A384" i="90" s="1"/>
  <c r="BJ384" i="90"/>
  <c r="AE176" i="90"/>
  <c r="BJ281" i="90"/>
  <c r="AE190" i="90"/>
  <c r="CO190" i="90"/>
  <c r="AE83" i="90"/>
  <c r="A295" i="90" s="1"/>
  <c r="BJ295" i="90"/>
  <c r="CN83" i="90"/>
  <c r="BJ398" i="90"/>
  <c r="EY204" i="90"/>
  <c r="EY98" i="90"/>
  <c r="DU412" i="90"/>
  <c r="DU309" i="90"/>
  <c r="BJ427" i="90"/>
  <c r="BJ324" i="90"/>
  <c r="CO219" i="90"/>
  <c r="CN112" i="90"/>
  <c r="AE112" i="90"/>
  <c r="AM112" i="90" s="1"/>
  <c r="AE219" i="90"/>
  <c r="CN113" i="90"/>
  <c r="CO220" i="90"/>
  <c r="AE220" i="90"/>
  <c r="AE113" i="90"/>
  <c r="BJ325" i="90"/>
  <c r="BJ428" i="90"/>
  <c r="DU372" i="90"/>
  <c r="DU269" i="90"/>
  <c r="EY164" i="90"/>
  <c r="EY58" i="90"/>
  <c r="BJ315" i="90"/>
  <c r="AE210" i="90"/>
  <c r="CN103" i="90"/>
  <c r="BJ418" i="90"/>
  <c r="AE103" i="90"/>
  <c r="AM103" i="90" s="1"/>
  <c r="CO210" i="90"/>
  <c r="DU385" i="90"/>
  <c r="DU282" i="90"/>
  <c r="EY177" i="90"/>
  <c r="EY71" i="90"/>
  <c r="EY128" i="90"/>
  <c r="EY22" i="90"/>
  <c r="DU336" i="90"/>
  <c r="DU233" i="90"/>
  <c r="AE159" i="90"/>
  <c r="BJ264" i="90"/>
  <c r="CO159" i="90"/>
  <c r="AE52" i="90"/>
  <c r="AM52" i="90" s="1"/>
  <c r="BJ367" i="90"/>
  <c r="CN52" i="90"/>
  <c r="AE157" i="90"/>
  <c r="CO157" i="90"/>
  <c r="CN50" i="90"/>
  <c r="BJ262" i="90"/>
  <c r="AE50" i="90"/>
  <c r="BJ365" i="90"/>
  <c r="EY207" i="90"/>
  <c r="EY101" i="90"/>
  <c r="DU415" i="90"/>
  <c r="DU312" i="90"/>
  <c r="AE119" i="90"/>
  <c r="BJ434" i="90"/>
  <c r="BJ331" i="90"/>
  <c r="CN119" i="90"/>
  <c r="AE226" i="90"/>
  <c r="CO226" i="90"/>
  <c r="CO205" i="90"/>
  <c r="BJ413" i="90"/>
  <c r="CN98" i="90"/>
  <c r="BJ310" i="90"/>
  <c r="AE205" i="90"/>
  <c r="AE98" i="90"/>
  <c r="DU355" i="90"/>
  <c r="DU252" i="90"/>
  <c r="EY147" i="90"/>
  <c r="EY41" i="90"/>
  <c r="AE178" i="90"/>
  <c r="BJ283" i="90"/>
  <c r="CO178" i="90"/>
  <c r="AE71" i="90"/>
  <c r="BJ386" i="90"/>
  <c r="CN71" i="90"/>
  <c r="AE145" i="90"/>
  <c r="BJ353" i="90"/>
  <c r="BJ250" i="90"/>
  <c r="CN38" i="90"/>
  <c r="CO145" i="90"/>
  <c r="AE38" i="90"/>
  <c r="EY143" i="90"/>
  <c r="EY37" i="90"/>
  <c r="DU351" i="90"/>
  <c r="DU248" i="90"/>
  <c r="CO137" i="90"/>
  <c r="BJ345" i="90"/>
  <c r="AE30" i="90"/>
  <c r="BJ242" i="90"/>
  <c r="AE137" i="90"/>
  <c r="CN30" i="90"/>
  <c r="CO224" i="90"/>
  <c r="BJ329" i="90"/>
  <c r="AE117" i="90"/>
  <c r="AE224" i="90"/>
  <c r="CN117" i="90"/>
  <c r="BJ432" i="90"/>
  <c r="DU388" i="90"/>
  <c r="DU285" i="90"/>
  <c r="EY180" i="90"/>
  <c r="EY74" i="90"/>
  <c r="EY17" i="90"/>
  <c r="FG17" i="90" s="1"/>
  <c r="EY123" i="90"/>
  <c r="DU331" i="90"/>
  <c r="DU228" i="90"/>
  <c r="BJ285" i="90"/>
  <c r="AE180" i="90"/>
  <c r="AE73" i="90"/>
  <c r="AM73" i="90" s="1"/>
  <c r="BJ388" i="90"/>
  <c r="CN73" i="90"/>
  <c r="CO180" i="90"/>
  <c r="EY174" i="90"/>
  <c r="EY68" i="90"/>
  <c r="DU382" i="90"/>
  <c r="DU279" i="90"/>
  <c r="EY186" i="90"/>
  <c r="EY80" i="90"/>
  <c r="DU394" i="90"/>
  <c r="DU291" i="90"/>
  <c r="CN105" i="90"/>
  <c r="AE212" i="90"/>
  <c r="BJ420" i="90"/>
  <c r="AE105" i="90"/>
  <c r="AM105" i="90" s="1"/>
  <c r="CO212" i="90"/>
  <c r="BJ317" i="90"/>
  <c r="EY196" i="90"/>
  <c r="EY90" i="90"/>
  <c r="DU404" i="90"/>
  <c r="DU301" i="90"/>
  <c r="DU390" i="90"/>
  <c r="DU287" i="90"/>
  <c r="EY182" i="90"/>
  <c r="EY76" i="90"/>
  <c r="AE90" i="90"/>
  <c r="BJ405" i="90"/>
  <c r="AE197" i="90"/>
  <c r="CN90" i="90"/>
  <c r="CO197" i="90"/>
  <c r="BJ302" i="90"/>
  <c r="CN78" i="90"/>
  <c r="CO185" i="90"/>
  <c r="AE78" i="90"/>
  <c r="BJ393" i="90"/>
  <c r="AE185" i="90"/>
  <c r="BJ290" i="90"/>
  <c r="DU375" i="90"/>
  <c r="DU272" i="90"/>
  <c r="EY167" i="90"/>
  <c r="EY61" i="90"/>
  <c r="AE111" i="90"/>
  <c r="CN111" i="90"/>
  <c r="CO218" i="90"/>
  <c r="BJ323" i="90"/>
  <c r="BJ426" i="90"/>
  <c r="AE218" i="90"/>
  <c r="EY144" i="90"/>
  <c r="EY38" i="90"/>
  <c r="DU352" i="90"/>
  <c r="DU249" i="90"/>
  <c r="DU360" i="90"/>
  <c r="DU257" i="90"/>
  <c r="EY152" i="90"/>
  <c r="EY46" i="90"/>
  <c r="BJ275" i="90"/>
  <c r="AE170" i="90"/>
  <c r="CO170" i="90"/>
  <c r="AE63" i="90"/>
  <c r="CN63" i="90"/>
  <c r="BJ378" i="90"/>
  <c r="DU370" i="90"/>
  <c r="DU267" i="90"/>
  <c r="EY162" i="90"/>
  <c r="EY56" i="90"/>
  <c r="DU406" i="90"/>
  <c r="DU303" i="90"/>
  <c r="EY198" i="90"/>
  <c r="EY92" i="90"/>
  <c r="BJ391" i="90"/>
  <c r="AE183" i="90"/>
  <c r="CO183" i="90"/>
  <c r="CN76" i="90"/>
  <c r="AE76" i="90"/>
  <c r="BJ288" i="90"/>
  <c r="BJ379" i="90"/>
  <c r="CN64" i="90"/>
  <c r="AE171" i="90"/>
  <c r="CO171" i="90"/>
  <c r="AE64" i="90"/>
  <c r="AM64" i="90" s="1"/>
  <c r="BJ276" i="90"/>
  <c r="DU384" i="90"/>
  <c r="DU281" i="90"/>
  <c r="EY176" i="90"/>
  <c r="EY70" i="90"/>
  <c r="CO168" i="90"/>
  <c r="BJ376" i="90"/>
  <c r="BJ273" i="90"/>
  <c r="CN61" i="90"/>
  <c r="AE61" i="90"/>
  <c r="AE168" i="90"/>
  <c r="CN87" i="90"/>
  <c r="BJ402" i="90"/>
  <c r="BJ299" i="90"/>
  <c r="AE194" i="90"/>
  <c r="AE87" i="90"/>
  <c r="AM87" i="90" s="1"/>
  <c r="CO194" i="90"/>
  <c r="EY168" i="90"/>
  <c r="EY62" i="90"/>
  <c r="DU376" i="90"/>
  <c r="DU273" i="90"/>
  <c r="AE108" i="90"/>
  <c r="A320" i="90" s="1"/>
  <c r="BJ423" i="90"/>
  <c r="BJ320" i="90"/>
  <c r="CN108" i="90"/>
  <c r="CO215" i="90"/>
  <c r="AE215" i="90"/>
  <c r="BJ380" i="90"/>
  <c r="AE172" i="90"/>
  <c r="AE65" i="90"/>
  <c r="CN65" i="90"/>
  <c r="BJ277" i="90"/>
  <c r="CO172" i="90"/>
  <c r="EY170" i="90"/>
  <c r="EY64" i="90"/>
  <c r="DU378" i="90"/>
  <c r="DU275" i="90"/>
  <c r="AE29" i="90"/>
  <c r="AE136" i="90"/>
  <c r="BJ344" i="90"/>
  <c r="BJ241" i="90"/>
  <c r="CN29" i="90"/>
  <c r="CO136" i="90"/>
  <c r="BJ385" i="90"/>
  <c r="AE177" i="90"/>
  <c r="CN70" i="90"/>
  <c r="CO177" i="90"/>
  <c r="AE70" i="90"/>
  <c r="AM70" i="90" s="1"/>
  <c r="BJ282" i="90"/>
  <c r="DU374" i="90"/>
  <c r="DU271" i="90"/>
  <c r="EY166" i="90"/>
  <c r="EY60" i="90"/>
  <c r="DU229" i="90"/>
  <c r="EY124" i="90"/>
  <c r="EY18" i="90"/>
  <c r="DU332" i="90"/>
  <c r="BJ407" i="90"/>
  <c r="BJ304" i="90"/>
  <c r="AE199" i="90"/>
  <c r="CN92" i="90"/>
  <c r="CO199" i="90"/>
  <c r="AE92" i="90"/>
  <c r="AM92" i="90" s="1"/>
  <c r="DU339" i="90"/>
  <c r="DU236" i="90"/>
  <c r="EY131" i="90"/>
  <c r="EY25" i="90"/>
  <c r="EY156" i="90"/>
  <c r="EY50" i="90"/>
  <c r="DU364" i="90"/>
  <c r="DU261" i="90"/>
  <c r="BJ246" i="90"/>
  <c r="AE34" i="90"/>
  <c r="BJ349" i="90"/>
  <c r="CN34" i="90"/>
  <c r="AE141" i="90"/>
  <c r="CO141" i="90"/>
  <c r="BJ260" i="90"/>
  <c r="CN48" i="90"/>
  <c r="AE48" i="90"/>
  <c r="AM48" i="90" s="1"/>
  <c r="CO155" i="90"/>
  <c r="AE155" i="90"/>
  <c r="BJ363" i="90"/>
  <c r="EY159" i="90"/>
  <c r="EY53" i="90"/>
  <c r="DU367" i="90"/>
  <c r="DU264" i="90"/>
  <c r="J238" i="104"/>
  <c r="L348" i="95"/>
  <c r="I352" i="104" s="1"/>
  <c r="K336" i="104"/>
  <c r="K310" i="104"/>
  <c r="K273" i="104"/>
  <c r="K244" i="104"/>
  <c r="EZ230" i="90"/>
  <c r="EB333" i="90" s="1"/>
  <c r="EZ225" i="90"/>
  <c r="EB328" i="90" s="1"/>
  <c r="EZ267" i="90"/>
  <c r="EB370" i="90" s="1"/>
  <c r="EZ268" i="90"/>
  <c r="EB371" i="90" s="1"/>
  <c r="EZ284" i="90"/>
  <c r="EB387" i="90" s="1"/>
  <c r="EZ278" i="90"/>
  <c r="EB381" i="90" s="1"/>
  <c r="EZ272" i="90"/>
  <c r="EB375" i="90" s="1"/>
  <c r="EZ285" i="90"/>
  <c r="EB388" i="90" s="1"/>
  <c r="EZ229" i="90"/>
  <c r="EB332" i="90" s="1"/>
  <c r="FE303" i="90"/>
  <c r="EC406" i="90" s="1"/>
  <c r="FE298" i="90"/>
  <c r="EC401" i="90" s="1"/>
  <c r="FE314" i="90"/>
  <c r="EC417" i="90" s="1"/>
  <c r="FE226" i="90"/>
  <c r="EC329" i="90" s="1"/>
  <c r="FE239" i="90"/>
  <c r="EC342" i="90" s="1"/>
  <c r="FE244" i="90"/>
  <c r="EC347" i="90" s="1"/>
  <c r="FE273" i="90"/>
  <c r="EC376" i="90" s="1"/>
  <c r="FE277" i="90"/>
  <c r="EC380" i="90" s="1"/>
  <c r="FE307" i="90"/>
  <c r="EC410" i="90" s="1"/>
  <c r="FE238" i="90"/>
  <c r="EC341" i="90" s="1"/>
  <c r="FE299" i="90"/>
  <c r="EC402" i="90" s="1"/>
  <c r="FE308" i="90"/>
  <c r="EC411" i="90" s="1"/>
  <c r="FE280" i="90"/>
  <c r="EC383" i="90" s="1"/>
  <c r="FE248" i="90"/>
  <c r="EC351" i="90" s="1"/>
  <c r="FE227" i="90"/>
  <c r="EC330" i="90" s="1"/>
  <c r="FE223" i="90"/>
  <c r="EC326" i="90" s="1"/>
  <c r="FE252" i="90"/>
  <c r="EC355" i="90" s="1"/>
  <c r="FE292" i="90"/>
  <c r="EC395" i="90" s="1"/>
  <c r="FE300" i="90"/>
  <c r="EC403" i="90" s="1"/>
  <c r="FE243" i="90"/>
  <c r="EC346" i="90" s="1"/>
  <c r="FE257" i="90"/>
  <c r="EC360" i="90" s="1"/>
  <c r="FE260" i="90"/>
  <c r="EC363" i="90" s="1"/>
  <c r="FE294" i="90"/>
  <c r="EC397" i="90" s="1"/>
  <c r="FE231" i="90"/>
  <c r="EC334" i="90" s="1"/>
  <c r="EZ303" i="90"/>
  <c r="EB406" i="90" s="1"/>
  <c r="EZ298" i="90"/>
  <c r="EB401" i="90" s="1"/>
  <c r="EZ314" i="90"/>
  <c r="EB417" i="90" s="1"/>
  <c r="EZ226" i="90"/>
  <c r="EB329" i="90" s="1"/>
  <c r="EZ239" i="90"/>
  <c r="EB342" i="90" s="1"/>
  <c r="EZ244" i="90"/>
  <c r="EB347" i="90" s="1"/>
  <c r="EZ273" i="90"/>
  <c r="EB376" i="90" s="1"/>
  <c r="EZ277" i="90"/>
  <c r="EB380" i="90" s="1"/>
  <c r="EZ307" i="90"/>
  <c r="EB410" i="90" s="1"/>
  <c r="EZ238" i="90"/>
  <c r="EB341" i="90" s="1"/>
  <c r="EZ299" i="90"/>
  <c r="EB402" i="90" s="1"/>
  <c r="EZ308" i="90"/>
  <c r="EB411" i="90" s="1"/>
  <c r="EZ280" i="90"/>
  <c r="EB383" i="90" s="1"/>
  <c r="EZ248" i="90"/>
  <c r="EB351" i="90" s="1"/>
  <c r="EZ227" i="90"/>
  <c r="EB330" i="90" s="1"/>
  <c r="EZ223" i="90"/>
  <c r="EB326" i="90" s="1"/>
  <c r="EZ252" i="90"/>
  <c r="EB355" i="90" s="1"/>
  <c r="EZ292" i="90"/>
  <c r="EB395" i="90" s="1"/>
  <c r="EZ300" i="90"/>
  <c r="EB403" i="90" s="1"/>
  <c r="EZ243" i="90"/>
  <c r="EB346" i="90" s="1"/>
  <c r="EZ257" i="90"/>
  <c r="EB360" i="90" s="1"/>
  <c r="EZ260" i="90"/>
  <c r="EB363" i="90" s="1"/>
  <c r="EZ294" i="90"/>
  <c r="EB397" i="90" s="1"/>
  <c r="EZ231" i="90"/>
  <c r="EB334" i="90" s="1"/>
  <c r="FE262" i="90"/>
  <c r="EC365" i="90" s="1"/>
  <c r="FE254" i="90"/>
  <c r="EC357" i="90" s="1"/>
  <c r="FE287" i="90"/>
  <c r="EC390" i="90" s="1"/>
  <c r="FE313" i="90"/>
  <c r="EC416" i="90" s="1"/>
  <c r="FE221" i="90"/>
  <c r="EC324" i="90" s="1"/>
  <c r="FE275" i="90"/>
  <c r="EC378" i="90" s="1"/>
  <c r="FE253" i="90"/>
  <c r="EC356" i="90" s="1"/>
  <c r="FE312" i="90"/>
  <c r="EC415" i="90" s="1"/>
  <c r="FE289" i="90"/>
  <c r="EC392" i="90" s="1"/>
  <c r="FE261" i="90"/>
  <c r="EC364" i="90" s="1"/>
  <c r="FE242" i="90"/>
  <c r="EC345" i="90" s="1"/>
  <c r="FE309" i="90"/>
  <c r="EC412" i="90" s="1"/>
  <c r="FE279" i="90"/>
  <c r="EC382" i="90" s="1"/>
  <c r="FE301" i="90"/>
  <c r="EC404" i="90" s="1"/>
  <c r="FE246" i="90"/>
  <c r="EC349" i="90" s="1"/>
  <c r="FE256" i="90"/>
  <c r="EC359" i="90" s="1"/>
  <c r="FE224" i="90"/>
  <c r="EC327" i="90" s="1"/>
  <c r="FE282" i="90"/>
  <c r="EC385" i="90" s="1"/>
  <c r="FE281" i="90"/>
  <c r="EC384" i="90" s="1"/>
  <c r="FE293" i="90"/>
  <c r="EC396" i="90" s="1"/>
  <c r="FE310" i="90"/>
  <c r="EC413" i="90" s="1"/>
  <c r="FE276" i="90"/>
  <c r="EC379" i="90" s="1"/>
  <c r="FE258" i="90"/>
  <c r="EC361" i="90" s="1"/>
  <c r="FE319" i="90"/>
  <c r="EC422" i="90" s="1"/>
  <c r="FE286" i="90"/>
  <c r="EC389" i="90" s="1"/>
  <c r="FE222" i="90"/>
  <c r="EC325" i="90" s="1"/>
  <c r="EZ262" i="90"/>
  <c r="EB365" i="90" s="1"/>
  <c r="EZ254" i="90"/>
  <c r="EB357" i="90" s="1"/>
  <c r="EZ287" i="90"/>
  <c r="EB390" i="90" s="1"/>
  <c r="EZ313" i="90"/>
  <c r="EB416" i="90" s="1"/>
  <c r="EZ221" i="90"/>
  <c r="EB324" i="90" s="1"/>
  <c r="EZ275" i="90"/>
  <c r="EB378" i="90" s="1"/>
  <c r="EZ253" i="90"/>
  <c r="EB356" i="90" s="1"/>
  <c r="EZ312" i="90"/>
  <c r="EB415" i="90" s="1"/>
  <c r="EZ289" i="90"/>
  <c r="EB392" i="90" s="1"/>
  <c r="EZ261" i="90"/>
  <c r="EB364" i="90" s="1"/>
  <c r="EZ242" i="90"/>
  <c r="EB345" i="90" s="1"/>
  <c r="EZ309" i="90"/>
  <c r="EB412" i="90" s="1"/>
  <c r="EZ279" i="90"/>
  <c r="EB382" i="90" s="1"/>
  <c r="EZ301" i="90"/>
  <c r="EB404" i="90" s="1"/>
  <c r="EZ246" i="90"/>
  <c r="EB349" i="90" s="1"/>
  <c r="EZ256" i="90"/>
  <c r="EB359" i="90" s="1"/>
  <c r="EZ224" i="90"/>
  <c r="EB327" i="90" s="1"/>
  <c r="EZ282" i="90"/>
  <c r="EB385" i="90" s="1"/>
  <c r="EZ281" i="90"/>
  <c r="EB384" i="90" s="1"/>
  <c r="EZ293" i="90"/>
  <c r="EB396" i="90" s="1"/>
  <c r="EZ310" i="90"/>
  <c r="EB413" i="90" s="1"/>
  <c r="EZ276" i="90"/>
  <c r="EB379" i="90" s="1"/>
  <c r="EZ258" i="90"/>
  <c r="EB361" i="90" s="1"/>
  <c r="EZ319" i="90"/>
  <c r="EB422" i="90" s="1"/>
  <c r="EZ286" i="90"/>
  <c r="EB389" i="90" s="1"/>
  <c r="EZ222" i="90"/>
  <c r="EB325" i="90" s="1"/>
  <c r="FE266" i="90"/>
  <c r="EC369" i="90" s="1"/>
  <c r="FE271" i="90"/>
  <c r="EC374" i="90" s="1"/>
  <c r="FE236" i="90"/>
  <c r="EC339" i="90" s="1"/>
  <c r="FE290" i="90"/>
  <c r="EC393" i="90" s="1"/>
  <c r="FE311" i="90"/>
  <c r="EC414" i="90" s="1"/>
  <c r="FE263" i="90"/>
  <c r="EC366" i="90" s="1"/>
  <c r="FE302" i="90"/>
  <c r="EC405" i="90" s="1"/>
  <c r="FE240" i="90"/>
  <c r="EC343" i="90" s="1"/>
  <c r="FE274" i="90"/>
  <c r="EC377" i="90" s="1"/>
  <c r="FE245" i="90"/>
  <c r="EC348" i="90" s="1"/>
  <c r="FE297" i="90"/>
  <c r="EC400" i="90" s="1"/>
  <c r="FE270" i="90"/>
  <c r="EC373" i="90" s="1"/>
  <c r="FE318" i="90"/>
  <c r="EC421" i="90" s="1"/>
  <c r="FE305" i="90"/>
  <c r="EC408" i="90" s="1"/>
  <c r="FE291" i="90"/>
  <c r="EC394" i="90" s="1"/>
  <c r="FE288" i="90"/>
  <c r="EC391" i="90" s="1"/>
  <c r="FE283" i="90"/>
  <c r="EC386" i="90" s="1"/>
  <c r="FE315" i="90"/>
  <c r="EC418" i="90" s="1"/>
  <c r="FE269" i="90"/>
  <c r="EC372" i="90" s="1"/>
  <c r="FE304" i="90"/>
  <c r="EC407" i="90" s="1"/>
  <c r="FE316" i="90"/>
  <c r="EC419" i="90" s="1"/>
  <c r="FE317" i="90"/>
  <c r="EC420" i="90" s="1"/>
  <c r="FE265" i="90"/>
  <c r="EC368" i="90" s="1"/>
  <c r="EZ266" i="90"/>
  <c r="EB369" i="90" s="1"/>
  <c r="EZ271" i="90"/>
  <c r="EB374" i="90" s="1"/>
  <c r="EZ236" i="90"/>
  <c r="EB339" i="90" s="1"/>
  <c r="EZ290" i="90"/>
  <c r="EB393" i="90" s="1"/>
  <c r="EZ311" i="90"/>
  <c r="EB414" i="90" s="1"/>
  <c r="EZ263" i="90"/>
  <c r="EB366" i="90" s="1"/>
  <c r="EZ302" i="90"/>
  <c r="EB405" i="90" s="1"/>
  <c r="EZ240" i="90"/>
  <c r="EB343" i="90" s="1"/>
  <c r="EZ274" i="90"/>
  <c r="EB377" i="90" s="1"/>
  <c r="EZ245" i="90"/>
  <c r="EB348" i="90" s="1"/>
  <c r="EZ297" i="90"/>
  <c r="EB400" i="90" s="1"/>
  <c r="EZ270" i="90"/>
  <c r="EB373" i="90" s="1"/>
  <c r="EZ318" i="90"/>
  <c r="EB421" i="90" s="1"/>
  <c r="EZ305" i="90"/>
  <c r="EB408" i="90" s="1"/>
  <c r="EZ291" i="90"/>
  <c r="EB394" i="90" s="1"/>
  <c r="EZ288" i="90"/>
  <c r="EB391" i="90" s="1"/>
  <c r="EZ283" i="90"/>
  <c r="EB386" i="90" s="1"/>
  <c r="EZ315" i="90"/>
  <c r="EB418" i="90" s="1"/>
  <c r="EZ269" i="90"/>
  <c r="EB372" i="90" s="1"/>
  <c r="EZ304" i="90"/>
  <c r="EB407" i="90" s="1"/>
  <c r="EZ316" i="90"/>
  <c r="EB419" i="90" s="1"/>
  <c r="EZ317" i="90"/>
  <c r="EB420" i="90" s="1"/>
  <c r="EZ265" i="90"/>
  <c r="EB368" i="90" s="1"/>
  <c r="FE306" i="90"/>
  <c r="EC409" i="90" s="1"/>
  <c r="FE251" i="90"/>
  <c r="EC354" i="90" s="1"/>
  <c r="FE237" i="90"/>
  <c r="EC340" i="90" s="1"/>
  <c r="FE255" i="90"/>
  <c r="EC358" i="90" s="1"/>
  <c r="FE232" i="90"/>
  <c r="EC335" i="90" s="1"/>
  <c r="FE249" i="90"/>
  <c r="EC352" i="90" s="1"/>
  <c r="FE233" i="90"/>
  <c r="EC336" i="90" s="1"/>
  <c r="FE250" i="90"/>
  <c r="EC353" i="90" s="1"/>
  <c r="FE241" i="90"/>
  <c r="EC344" i="90" s="1"/>
  <c r="FE296" i="90"/>
  <c r="EC399" i="90" s="1"/>
  <c r="FE234" i="90"/>
  <c r="EC337" i="90" s="1"/>
  <c r="FE259" i="90"/>
  <c r="EC362" i="90" s="1"/>
  <c r="FE235" i="90"/>
  <c r="EC338" i="90" s="1"/>
  <c r="FE264" i="90"/>
  <c r="EC367" i="90" s="1"/>
  <c r="FE247" i="90"/>
  <c r="EC350" i="90" s="1"/>
  <c r="FE295" i="90"/>
  <c r="EC398" i="90" s="1"/>
  <c r="FE228" i="90"/>
  <c r="EC331" i="90" s="1"/>
  <c r="FE230" i="90"/>
  <c r="EC333" i="90" s="1"/>
  <c r="FE225" i="90"/>
  <c r="EC328" i="90" s="1"/>
  <c r="FE267" i="90"/>
  <c r="EC370" i="90" s="1"/>
  <c r="FE268" i="90"/>
  <c r="EC371" i="90" s="1"/>
  <c r="FE284" i="90"/>
  <c r="EC387" i="90" s="1"/>
  <c r="FE278" i="90"/>
  <c r="EC381" i="90" s="1"/>
  <c r="FE272" i="90"/>
  <c r="EC375" i="90" s="1"/>
  <c r="FE285" i="90"/>
  <c r="EC388" i="90" s="1"/>
  <c r="FE229" i="90"/>
  <c r="EC332" i="90" s="1"/>
  <c r="EZ306" i="90"/>
  <c r="EB409" i="90" s="1"/>
  <c r="EZ251" i="90"/>
  <c r="EB354" i="90" s="1"/>
  <c r="EZ237" i="90"/>
  <c r="EB340" i="90" s="1"/>
  <c r="EZ255" i="90"/>
  <c r="EB358" i="90" s="1"/>
  <c r="EZ232" i="90"/>
  <c r="EB335" i="90" s="1"/>
  <c r="EZ249" i="90"/>
  <c r="EB352" i="90" s="1"/>
  <c r="EZ233" i="90"/>
  <c r="EB336" i="90" s="1"/>
  <c r="EZ250" i="90"/>
  <c r="EB353" i="90" s="1"/>
  <c r="EZ241" i="90"/>
  <c r="EB344" i="90" s="1"/>
  <c r="EZ296" i="90"/>
  <c r="EB399" i="90" s="1"/>
  <c r="EZ234" i="90"/>
  <c r="EB337" i="90" s="1"/>
  <c r="EZ259" i="90"/>
  <c r="EB362" i="90" s="1"/>
  <c r="EZ235" i="90"/>
  <c r="EB338" i="90" s="1"/>
  <c r="EZ264" i="90"/>
  <c r="EB367" i="90" s="1"/>
  <c r="EZ247" i="90"/>
  <c r="EB350" i="90" s="1"/>
  <c r="EZ295" i="90"/>
  <c r="EB398" i="90" s="1"/>
  <c r="EZ228" i="90"/>
  <c r="EB331" i="90" s="1"/>
  <c r="CQ295" i="90"/>
  <c r="CQ263" i="90"/>
  <c r="CQ311" i="90"/>
  <c r="CQ273" i="90"/>
  <c r="CQ259" i="90"/>
  <c r="CQ240" i="90"/>
  <c r="CV246" i="90"/>
  <c r="CQ313" i="90"/>
  <c r="CV286" i="90"/>
  <c r="CV284" i="90"/>
  <c r="CQ291" i="90"/>
  <c r="CV322" i="90"/>
  <c r="CQ289" i="90"/>
  <c r="CV304" i="90"/>
  <c r="CV275" i="90"/>
  <c r="CQ278" i="90"/>
  <c r="CQ272" i="90"/>
  <c r="CQ256" i="90"/>
  <c r="CQ287" i="90"/>
  <c r="CV300" i="90"/>
  <c r="CQ276" i="90"/>
  <c r="CQ320" i="90"/>
  <c r="CV234" i="90"/>
  <c r="CQ307" i="90"/>
  <c r="CV263" i="90"/>
  <c r="CV311" i="90"/>
  <c r="CV273" i="90"/>
  <c r="CV326" i="90"/>
  <c r="CV258" i="90"/>
  <c r="CQ244" i="90"/>
  <c r="CV259" i="90"/>
  <c r="CV240" i="90"/>
  <c r="CQ277" i="90"/>
  <c r="CV235" i="90"/>
  <c r="CQ285" i="90"/>
  <c r="CQ260" i="90"/>
  <c r="CV314" i="90"/>
  <c r="CQ275" i="90"/>
  <c r="CV278" i="90"/>
  <c r="CV272" i="90"/>
  <c r="CV256" i="90"/>
  <c r="CV287" i="90"/>
  <c r="CQ300" i="90"/>
  <c r="CV276" i="90"/>
  <c r="CV320" i="90"/>
  <c r="CQ234" i="90"/>
  <c r="CV307" i="90"/>
  <c r="CQ326" i="90"/>
  <c r="CQ258" i="90"/>
  <c r="CV244" i="90"/>
  <c r="CV242" i="90"/>
  <c r="CV310" i="90"/>
  <c r="CV249" i="90"/>
  <c r="CV265" i="90"/>
  <c r="CQ293" i="90"/>
  <c r="CV308" i="90"/>
  <c r="CV277" i="90"/>
  <c r="CQ235" i="90"/>
  <c r="CV285" i="90"/>
  <c r="CV260" i="90"/>
  <c r="CQ314" i="90"/>
  <c r="CQ252" i="90"/>
  <c r="CV288" i="90"/>
  <c r="CV294" i="90"/>
  <c r="CQ280" i="90"/>
  <c r="CV243" i="90"/>
  <c r="CV264" i="90"/>
  <c r="CQ254" i="90"/>
  <c r="CV325" i="90"/>
  <c r="CV319" i="90"/>
  <c r="CQ301" i="90"/>
  <c r="CQ242" i="90"/>
  <c r="CQ310" i="90"/>
  <c r="CQ249" i="90"/>
  <c r="CQ265" i="90"/>
  <c r="CV293" i="90"/>
  <c r="CQ308" i="90"/>
  <c r="CV315" i="90"/>
  <c r="CV305" i="90"/>
  <c r="CV248" i="90"/>
  <c r="CQ316" i="90"/>
  <c r="CV292" i="90"/>
  <c r="CQ239" i="90"/>
  <c r="CQ302" i="90"/>
  <c r="CV269" i="90"/>
  <c r="CV252" i="90"/>
  <c r="CQ288" i="90"/>
  <c r="CQ294" i="90"/>
  <c r="CV280" i="90"/>
  <c r="CQ243" i="90"/>
  <c r="CQ264" i="90"/>
  <c r="CV254" i="90"/>
  <c r="CQ325" i="90"/>
  <c r="CQ319" i="90"/>
  <c r="CV253" i="90"/>
  <c r="CV250" i="90"/>
  <c r="CQ238" i="90"/>
  <c r="CQ271" i="90"/>
  <c r="CQ261" i="90"/>
  <c r="CQ328" i="90"/>
  <c r="CV290" i="90"/>
  <c r="CV301" i="90"/>
  <c r="CQ315" i="90"/>
  <c r="CQ305" i="90"/>
  <c r="CQ248" i="90"/>
  <c r="CV316" i="90"/>
  <c r="CQ292" i="90"/>
  <c r="CV239" i="90"/>
  <c r="CV302" i="90"/>
  <c r="CQ269" i="90"/>
  <c r="CV267" i="90"/>
  <c r="CV283" i="90"/>
  <c r="CV323" i="90"/>
  <c r="CQ266" i="90"/>
  <c r="CV241" i="90"/>
  <c r="CQ268" i="90"/>
  <c r="CQ331" i="90"/>
  <c r="CV330" i="90"/>
  <c r="CQ253" i="90"/>
  <c r="CQ250" i="90"/>
  <c r="CV238" i="90"/>
  <c r="CV271" i="90"/>
  <c r="CV261" i="90"/>
  <c r="CV328" i="90"/>
  <c r="CQ290" i="90"/>
  <c r="CV255" i="90"/>
  <c r="CQ236" i="90"/>
  <c r="CV303" i="90"/>
  <c r="CV306" i="90"/>
  <c r="CV327" i="90"/>
  <c r="CV247" i="90"/>
  <c r="CQ237" i="90"/>
  <c r="CV317" i="90"/>
  <c r="CQ267" i="90"/>
  <c r="CQ283" i="90"/>
  <c r="CQ323" i="90"/>
  <c r="CV266" i="90"/>
  <c r="CQ241" i="90"/>
  <c r="CV268" i="90"/>
  <c r="CV331" i="90"/>
  <c r="CQ330" i="90"/>
  <c r="CV274" i="90"/>
  <c r="CV282" i="90"/>
  <c r="CQ270" i="90"/>
  <c r="CQ255" i="90"/>
  <c r="CV262" i="90"/>
  <c r="CQ329" i="90"/>
  <c r="CQ321" i="90"/>
  <c r="CQ297" i="90"/>
  <c r="CV236" i="90"/>
  <c r="CQ303" i="90"/>
  <c r="CQ306" i="90"/>
  <c r="CQ327" i="90"/>
  <c r="CQ247" i="90"/>
  <c r="CV237" i="90"/>
  <c r="CQ317" i="90"/>
  <c r="CV324" i="90"/>
  <c r="CQ245" i="90"/>
  <c r="CV251" i="90"/>
  <c r="CV279" i="90"/>
  <c r="CQ257" i="90"/>
  <c r="CV318" i="90"/>
  <c r="CQ312" i="90"/>
  <c r="CQ298" i="90"/>
  <c r="CV309" i="90"/>
  <c r="CV296" i="90"/>
  <c r="CQ299" i="90"/>
  <c r="CV281" i="90"/>
  <c r="CV295" i="90"/>
  <c r="CQ274" i="90"/>
  <c r="CQ282" i="90"/>
  <c r="CV270" i="90"/>
  <c r="CQ262" i="90"/>
  <c r="CV329" i="90"/>
  <c r="CV321" i="90"/>
  <c r="CV297" i="90"/>
  <c r="CQ246" i="90"/>
  <c r="CV313" i="90"/>
  <c r="CQ286" i="90"/>
  <c r="CQ284" i="90"/>
  <c r="CV291" i="90"/>
  <c r="CQ322" i="90"/>
  <c r="CV289" i="90"/>
  <c r="CQ304" i="90"/>
  <c r="CQ324" i="90"/>
  <c r="CV245" i="90"/>
  <c r="CQ251" i="90"/>
  <c r="CQ279" i="90"/>
  <c r="CV257" i="90"/>
  <c r="CQ318" i="90"/>
  <c r="CV312" i="90"/>
  <c r="CV298" i="90"/>
  <c r="CQ309" i="90"/>
  <c r="CQ296" i="90"/>
  <c r="CV299" i="90"/>
  <c r="CQ281" i="90"/>
  <c r="A318" i="90"/>
  <c r="A256" i="90"/>
  <c r="A240" i="90"/>
  <c r="A329" i="90"/>
  <c r="A368" i="90" l="1"/>
  <c r="A281" i="90"/>
  <c r="A387" i="90"/>
  <c r="A408" i="90"/>
  <c r="AK181" i="90"/>
  <c r="AA286" i="90" s="1"/>
  <c r="AM181" i="90"/>
  <c r="AK180" i="90"/>
  <c r="AA285" i="90" s="1"/>
  <c r="AM180" i="90"/>
  <c r="AK164" i="90"/>
  <c r="AA269" i="90" s="1"/>
  <c r="AM164" i="90"/>
  <c r="AK139" i="90"/>
  <c r="AA244" i="90" s="1"/>
  <c r="AM139" i="90"/>
  <c r="AK158" i="90"/>
  <c r="AA263" i="90" s="1"/>
  <c r="AM158" i="90"/>
  <c r="AK203" i="90"/>
  <c r="AA308" i="90" s="1"/>
  <c r="AM203" i="90"/>
  <c r="AK133" i="90"/>
  <c r="AA238" i="90" s="1"/>
  <c r="AM133" i="90"/>
  <c r="AK184" i="90"/>
  <c r="AA289" i="90" s="1"/>
  <c r="AM184" i="90"/>
  <c r="AK161" i="90"/>
  <c r="AA266" i="90" s="1"/>
  <c r="AM161" i="90"/>
  <c r="AK156" i="90"/>
  <c r="AA261" i="90" s="1"/>
  <c r="AM156" i="90"/>
  <c r="AK149" i="90"/>
  <c r="AA254" i="90" s="1"/>
  <c r="AM149" i="90"/>
  <c r="AK192" i="90"/>
  <c r="AA297" i="90" s="1"/>
  <c r="AM192" i="90"/>
  <c r="AK207" i="90"/>
  <c r="AA312" i="90" s="1"/>
  <c r="AM207" i="90"/>
  <c r="AK146" i="90"/>
  <c r="AA251" i="90" s="1"/>
  <c r="AM146" i="90"/>
  <c r="AK136" i="90"/>
  <c r="AA241" i="90" s="1"/>
  <c r="AM136" i="90"/>
  <c r="AK194" i="90"/>
  <c r="AA299" i="90" s="1"/>
  <c r="AM194" i="90"/>
  <c r="AK183" i="90"/>
  <c r="AA288" i="90" s="1"/>
  <c r="AM183" i="90"/>
  <c r="AK218" i="90"/>
  <c r="AA323" i="90" s="1"/>
  <c r="AM218" i="90"/>
  <c r="A388" i="90"/>
  <c r="AK29" i="90"/>
  <c r="AM29" i="90"/>
  <c r="AK65" i="90"/>
  <c r="AM65" i="90"/>
  <c r="AK108" i="90"/>
  <c r="AM108" i="90"/>
  <c r="AK171" i="90"/>
  <c r="AA276" i="90" s="1"/>
  <c r="AM171" i="90"/>
  <c r="AK137" i="90"/>
  <c r="AA242" i="90" s="1"/>
  <c r="AM137" i="90"/>
  <c r="AK226" i="90"/>
  <c r="AA331" i="90" s="1"/>
  <c r="AM226" i="90"/>
  <c r="AK69" i="90"/>
  <c r="AM69" i="90"/>
  <c r="AK20" i="90"/>
  <c r="AM20" i="90"/>
  <c r="AK165" i="90"/>
  <c r="AA270" i="90" s="1"/>
  <c r="AM165" i="90"/>
  <c r="AK222" i="90"/>
  <c r="AA327" i="90" s="1"/>
  <c r="AM222" i="90"/>
  <c r="AK81" i="90"/>
  <c r="AM81" i="90"/>
  <c r="AK204" i="90"/>
  <c r="AA309" i="90" s="1"/>
  <c r="AM204" i="90"/>
  <c r="AK129" i="90"/>
  <c r="AA234" i="90" s="1"/>
  <c r="AM129" i="90"/>
  <c r="AK175" i="90"/>
  <c r="AA280" i="90" s="1"/>
  <c r="AM175" i="90"/>
  <c r="AK86" i="90"/>
  <c r="AM86" i="90"/>
  <c r="AK42" i="90"/>
  <c r="AM42" i="90"/>
  <c r="AK173" i="90"/>
  <c r="AA278" i="90" s="1"/>
  <c r="AM173" i="90"/>
  <c r="AK150" i="90"/>
  <c r="AA255" i="90" s="1"/>
  <c r="AM150" i="90"/>
  <c r="AK163" i="90"/>
  <c r="AA268" i="90" s="1"/>
  <c r="AM163" i="90"/>
  <c r="AK53" i="90"/>
  <c r="AM53" i="90"/>
  <c r="AK72" i="90"/>
  <c r="AM72" i="90"/>
  <c r="AK93" i="90"/>
  <c r="AM93" i="90"/>
  <c r="AK187" i="90"/>
  <c r="AA292" i="90" s="1"/>
  <c r="AM187" i="90"/>
  <c r="AK177" i="90"/>
  <c r="AA282" i="90" s="1"/>
  <c r="AM177" i="90"/>
  <c r="AK172" i="90"/>
  <c r="AA277" i="90" s="1"/>
  <c r="AM172" i="90"/>
  <c r="AK212" i="90"/>
  <c r="AA317" i="90" s="1"/>
  <c r="AM212" i="90"/>
  <c r="AK38" i="90"/>
  <c r="AM38" i="90"/>
  <c r="AK71" i="90"/>
  <c r="AM71" i="90"/>
  <c r="AK98" i="90"/>
  <c r="AM98" i="90"/>
  <c r="AK210" i="90"/>
  <c r="AA315" i="90" s="1"/>
  <c r="AM210" i="90"/>
  <c r="AK113" i="90"/>
  <c r="AM113" i="90"/>
  <c r="AK39" i="90"/>
  <c r="AM39" i="90"/>
  <c r="AK167" i="90"/>
  <c r="AA272" i="90" s="1"/>
  <c r="AM167" i="90"/>
  <c r="AK116" i="90"/>
  <c r="AM116" i="90"/>
  <c r="AK58" i="90"/>
  <c r="AM58" i="90"/>
  <c r="AK196" i="90"/>
  <c r="AA301" i="90" s="1"/>
  <c r="AM196" i="90"/>
  <c r="AK54" i="90"/>
  <c r="AM54" i="90"/>
  <c r="AK193" i="90"/>
  <c r="AA298" i="90" s="1"/>
  <c r="AM193" i="90"/>
  <c r="AK47" i="90"/>
  <c r="AM47" i="90"/>
  <c r="AK135" i="90"/>
  <c r="AA240" i="90" s="1"/>
  <c r="AM135" i="90"/>
  <c r="AK23" i="90"/>
  <c r="AM23" i="90"/>
  <c r="AK143" i="90"/>
  <c r="AA248" i="90" s="1"/>
  <c r="AM143" i="90"/>
  <c r="AK131" i="90"/>
  <c r="AA236" i="90" s="1"/>
  <c r="AM131" i="90"/>
  <c r="AK160" i="90"/>
  <c r="AA265" i="90" s="1"/>
  <c r="AM160" i="90"/>
  <c r="AK157" i="90"/>
  <c r="AA262" i="90" s="1"/>
  <c r="AM157" i="90"/>
  <c r="AK141" i="90"/>
  <c r="AA246" i="90" s="1"/>
  <c r="AM141" i="90"/>
  <c r="AK199" i="90"/>
  <c r="AA304" i="90" s="1"/>
  <c r="AM199" i="90"/>
  <c r="AK185" i="90"/>
  <c r="AA290" i="90" s="1"/>
  <c r="AM185" i="90"/>
  <c r="AK197" i="90"/>
  <c r="AA302" i="90" s="1"/>
  <c r="AM197" i="90"/>
  <c r="AK30" i="90"/>
  <c r="AM30" i="90"/>
  <c r="AK205" i="90"/>
  <c r="AA310" i="90" s="1"/>
  <c r="AM205" i="90"/>
  <c r="AK50" i="90"/>
  <c r="AM50" i="90"/>
  <c r="AK220" i="90"/>
  <c r="AA325" i="90" s="1"/>
  <c r="AM220" i="90"/>
  <c r="AK83" i="90"/>
  <c r="AM83" i="90"/>
  <c r="AK134" i="90"/>
  <c r="AA239" i="90" s="1"/>
  <c r="AM134" i="90"/>
  <c r="AK225" i="90"/>
  <c r="AA330" i="90" s="1"/>
  <c r="AM225" i="90"/>
  <c r="AK127" i="90"/>
  <c r="AA232" i="90" s="1"/>
  <c r="AM127" i="90"/>
  <c r="AK115" i="90"/>
  <c r="AM115" i="90"/>
  <c r="AK182" i="90"/>
  <c r="AA287" i="90" s="1"/>
  <c r="AM182" i="90"/>
  <c r="AK96" i="90"/>
  <c r="AM96" i="90"/>
  <c r="AK109" i="90"/>
  <c r="AM109" i="90"/>
  <c r="AK68" i="90"/>
  <c r="AM68" i="90"/>
  <c r="AK66" i="90"/>
  <c r="AM66" i="90"/>
  <c r="AK128" i="90"/>
  <c r="AA233" i="90" s="1"/>
  <c r="AM128" i="90"/>
  <c r="AK144" i="90"/>
  <c r="AA249" i="90" s="1"/>
  <c r="AM144" i="90"/>
  <c r="AK213" i="90"/>
  <c r="AA318" i="90" s="1"/>
  <c r="AM213" i="90"/>
  <c r="AK36" i="90"/>
  <c r="AM36" i="90"/>
  <c r="AK151" i="90"/>
  <c r="AA256" i="90" s="1"/>
  <c r="AM151" i="90"/>
  <c r="AK174" i="90"/>
  <c r="AA279" i="90" s="1"/>
  <c r="AM174" i="90"/>
  <c r="AK114" i="90"/>
  <c r="AM114" i="90"/>
  <c r="AK169" i="90"/>
  <c r="AA274" i="90" s="1"/>
  <c r="AM169" i="90"/>
  <c r="AK25" i="90"/>
  <c r="AM25" i="90"/>
  <c r="AK33" i="90"/>
  <c r="AM33" i="90"/>
  <c r="AK35" i="90"/>
  <c r="AM35" i="90"/>
  <c r="AK91" i="90"/>
  <c r="AM91" i="90"/>
  <c r="AK166" i="90"/>
  <c r="AA271" i="90" s="1"/>
  <c r="AM166" i="90"/>
  <c r="AK195" i="90"/>
  <c r="AA300" i="90" s="1"/>
  <c r="AM195" i="90"/>
  <c r="AK215" i="90"/>
  <c r="AA320" i="90" s="1"/>
  <c r="AM215" i="90"/>
  <c r="AK168" i="90"/>
  <c r="AA273" i="90" s="1"/>
  <c r="AM168" i="90"/>
  <c r="AK63" i="90"/>
  <c r="AM63" i="90"/>
  <c r="AK224" i="90"/>
  <c r="AA329" i="90" s="1"/>
  <c r="AM224" i="90"/>
  <c r="AK118" i="90"/>
  <c r="AM118" i="90"/>
  <c r="AK191" i="90"/>
  <c r="AA296" i="90" s="1"/>
  <c r="AM191" i="90"/>
  <c r="AK188" i="90"/>
  <c r="AA293" i="90" s="1"/>
  <c r="AM188" i="90"/>
  <c r="AK107" i="90"/>
  <c r="AM107" i="90"/>
  <c r="AK26" i="90"/>
  <c r="AM26" i="90"/>
  <c r="AK216" i="90"/>
  <c r="AA321" i="90" s="1"/>
  <c r="AM216" i="90"/>
  <c r="AK49" i="90"/>
  <c r="AM49" i="90"/>
  <c r="AK37" i="90"/>
  <c r="AM37" i="90"/>
  <c r="AK44" i="90"/>
  <c r="AM44" i="90"/>
  <c r="AK206" i="90"/>
  <c r="AA311" i="90" s="1"/>
  <c r="AM206" i="90"/>
  <c r="AK45" i="90"/>
  <c r="AM45" i="90"/>
  <c r="AK132" i="90"/>
  <c r="AA237" i="90" s="1"/>
  <c r="AM132" i="90"/>
  <c r="AK102" i="90"/>
  <c r="AM102" i="90"/>
  <c r="AK142" i="90"/>
  <c r="AA247" i="90" s="1"/>
  <c r="AM142" i="90"/>
  <c r="AK179" i="90"/>
  <c r="AA284" i="90" s="1"/>
  <c r="AM179" i="90"/>
  <c r="AK145" i="90"/>
  <c r="AA250" i="90" s="1"/>
  <c r="AM145" i="90"/>
  <c r="AK155" i="90"/>
  <c r="AA260" i="90" s="1"/>
  <c r="AM155" i="90"/>
  <c r="AK61" i="90"/>
  <c r="AM61" i="90"/>
  <c r="AK76" i="90"/>
  <c r="AM76" i="90"/>
  <c r="AK111" i="90"/>
  <c r="AM111" i="90"/>
  <c r="AK78" i="90"/>
  <c r="AM78" i="90"/>
  <c r="AK90" i="90"/>
  <c r="AM90" i="90"/>
  <c r="AK117" i="90"/>
  <c r="AM117" i="90"/>
  <c r="AK178" i="90"/>
  <c r="AA283" i="90" s="1"/>
  <c r="AM178" i="90"/>
  <c r="AK119" i="90"/>
  <c r="AM119" i="90"/>
  <c r="AK159" i="90"/>
  <c r="AA264" i="90" s="1"/>
  <c r="AM159" i="90"/>
  <c r="AK190" i="90"/>
  <c r="AA295" i="90" s="1"/>
  <c r="AM190" i="90"/>
  <c r="AK74" i="90"/>
  <c r="AM74" i="90"/>
  <c r="AK84" i="90"/>
  <c r="AM84" i="90"/>
  <c r="AK148" i="90"/>
  <c r="AA253" i="90" s="1"/>
  <c r="AM148" i="90"/>
  <c r="AK60" i="90"/>
  <c r="AM60" i="90"/>
  <c r="AK223" i="90"/>
  <c r="AA328" i="90" s="1"/>
  <c r="AM223" i="90"/>
  <c r="AK77" i="90"/>
  <c r="AM77" i="90"/>
  <c r="AK97" i="90"/>
  <c r="AM97" i="90"/>
  <c r="AK202" i="90"/>
  <c r="AA307" i="90" s="1"/>
  <c r="AM202" i="90"/>
  <c r="AK211" i="90"/>
  <c r="AA316" i="90" s="1"/>
  <c r="AM211" i="90"/>
  <c r="AK162" i="90"/>
  <c r="AA267" i="90" s="1"/>
  <c r="AM162" i="90"/>
  <c r="AK106" i="90"/>
  <c r="AM106" i="90"/>
  <c r="AK99" i="90"/>
  <c r="AM99" i="90"/>
  <c r="AK24" i="90"/>
  <c r="AM24" i="90"/>
  <c r="AK208" i="90"/>
  <c r="AA313" i="90" s="1"/>
  <c r="AM208" i="90"/>
  <c r="AK200" i="90"/>
  <c r="AA305" i="90" s="1"/>
  <c r="AM200" i="90"/>
  <c r="AK80" i="90"/>
  <c r="AM80" i="90"/>
  <c r="AK34" i="90"/>
  <c r="AM34" i="90"/>
  <c r="AK170" i="90"/>
  <c r="AA275" i="90" s="1"/>
  <c r="AM170" i="90"/>
  <c r="AK219" i="90"/>
  <c r="AA324" i="90" s="1"/>
  <c r="AM219" i="90"/>
  <c r="AK138" i="90"/>
  <c r="AA243" i="90" s="1"/>
  <c r="AM138" i="90"/>
  <c r="AK57" i="90"/>
  <c r="AM57" i="90"/>
  <c r="AK27" i="90"/>
  <c r="AM27" i="90"/>
  <c r="AK32" i="90"/>
  <c r="AM32" i="90"/>
  <c r="AK41" i="90"/>
  <c r="AM41" i="90"/>
  <c r="AK153" i="90"/>
  <c r="AA258" i="90" s="1"/>
  <c r="AM153" i="90"/>
  <c r="AK22" i="90"/>
  <c r="AM22" i="90"/>
  <c r="AK154" i="90"/>
  <c r="AA259" i="90" s="1"/>
  <c r="AM154" i="90"/>
  <c r="AK55" i="90"/>
  <c r="AM55" i="90"/>
  <c r="AK130" i="90"/>
  <c r="AA235" i="90" s="1"/>
  <c r="AM130" i="90"/>
  <c r="AK21" i="90"/>
  <c r="AM21" i="90"/>
  <c r="AK217" i="90"/>
  <c r="AA322" i="90" s="1"/>
  <c r="AM217" i="90"/>
  <c r="AK201" i="90"/>
  <c r="AA306" i="90" s="1"/>
  <c r="AM201" i="90"/>
  <c r="AK43" i="90"/>
  <c r="AM43" i="90"/>
  <c r="AK221" i="90"/>
  <c r="AA326" i="90" s="1"/>
  <c r="AM221" i="90"/>
  <c r="AK147" i="90"/>
  <c r="AA252" i="90" s="1"/>
  <c r="AM147" i="90"/>
  <c r="AK88" i="90"/>
  <c r="AM88" i="90"/>
  <c r="AK176" i="90"/>
  <c r="AA281" i="90" s="1"/>
  <c r="AM176" i="90"/>
  <c r="AK214" i="90"/>
  <c r="AA319" i="90" s="1"/>
  <c r="AM214" i="90"/>
  <c r="AK189" i="90"/>
  <c r="AA294" i="90" s="1"/>
  <c r="AM189" i="90"/>
  <c r="AK186" i="90"/>
  <c r="AA291" i="90" s="1"/>
  <c r="AM186" i="90"/>
  <c r="AK152" i="90"/>
  <c r="AA257" i="90" s="1"/>
  <c r="AM152" i="90"/>
  <c r="AK140" i="90"/>
  <c r="AA245" i="90" s="1"/>
  <c r="AM140" i="90"/>
  <c r="AK209" i="90"/>
  <c r="AA314" i="90" s="1"/>
  <c r="AM209" i="90"/>
  <c r="AK198" i="90"/>
  <c r="AA303" i="90" s="1"/>
  <c r="AM198" i="90"/>
  <c r="A416" i="90"/>
  <c r="AK101" i="90"/>
  <c r="A374" i="90"/>
  <c r="AK59" i="90"/>
  <c r="A407" i="90"/>
  <c r="AK92" i="90"/>
  <c r="A420" i="90"/>
  <c r="AK105" i="90"/>
  <c r="A291" i="90"/>
  <c r="AK79" i="90"/>
  <c r="A382" i="90"/>
  <c r="AK67" i="90"/>
  <c r="A274" i="90"/>
  <c r="AK62" i="90"/>
  <c r="A367" i="90"/>
  <c r="AK52" i="90"/>
  <c r="A263" i="90"/>
  <c r="AK51" i="90"/>
  <c r="A294" i="90"/>
  <c r="AK82" i="90"/>
  <c r="A268" i="90"/>
  <c r="AK56" i="90"/>
  <c r="A363" i="90"/>
  <c r="AK48" i="90"/>
  <c r="A385" i="90"/>
  <c r="AK70" i="90"/>
  <c r="A299" i="90"/>
  <c r="AK87" i="90"/>
  <c r="A379" i="90"/>
  <c r="AK64" i="90"/>
  <c r="A285" i="90"/>
  <c r="AK73" i="90"/>
  <c r="A418" i="90"/>
  <c r="AK103" i="90"/>
  <c r="A427" i="90"/>
  <c r="AK112" i="90"/>
  <c r="A346" i="90"/>
  <c r="AK31" i="90"/>
  <c r="A361" i="90"/>
  <c r="AK46" i="90"/>
  <c r="A390" i="90"/>
  <c r="AK75" i="90"/>
  <c r="A301" i="90"/>
  <c r="AK89" i="90"/>
  <c r="A307" i="90"/>
  <c r="AK95" i="90"/>
  <c r="A419" i="90"/>
  <c r="AK104" i="90"/>
  <c r="A343" i="90"/>
  <c r="AK28" i="90"/>
  <c r="A425" i="90"/>
  <c r="AK110" i="90"/>
  <c r="A306" i="90"/>
  <c r="AK94" i="90"/>
  <c r="A400" i="90"/>
  <c r="AK85" i="90"/>
  <c r="A252" i="90"/>
  <c r="AK40" i="90"/>
  <c r="A415" i="90"/>
  <c r="AK100" i="90"/>
  <c r="FG124" i="90"/>
  <c r="FB124" i="90"/>
  <c r="FB46" i="90"/>
  <c r="FG46" i="90"/>
  <c r="FB37" i="90"/>
  <c r="FG37" i="90"/>
  <c r="FG101" i="90"/>
  <c r="FB101" i="90"/>
  <c r="FB22" i="90"/>
  <c r="FG22" i="90"/>
  <c r="FG51" i="90"/>
  <c r="FB51" i="90"/>
  <c r="FG88" i="90"/>
  <c r="FB88" i="90"/>
  <c r="FG161" i="90"/>
  <c r="FB161" i="90"/>
  <c r="FB102" i="90"/>
  <c r="FG102" i="90"/>
  <c r="FG83" i="90"/>
  <c r="FB83" i="90"/>
  <c r="FG97" i="90"/>
  <c r="FB97" i="90"/>
  <c r="FG54" i="90"/>
  <c r="FB54" i="90"/>
  <c r="FG85" i="90"/>
  <c r="FB85" i="90"/>
  <c r="FB48" i="90"/>
  <c r="FG48" i="90"/>
  <c r="FG43" i="90"/>
  <c r="FB43" i="90"/>
  <c r="FG10" i="90"/>
  <c r="FB10" i="90"/>
  <c r="FG82" i="90"/>
  <c r="FB82" i="90"/>
  <c r="FB44" i="90"/>
  <c r="FG44" i="90"/>
  <c r="FG108" i="90"/>
  <c r="FB108" i="90"/>
  <c r="FG75" i="90"/>
  <c r="FB75" i="90"/>
  <c r="FG87" i="90"/>
  <c r="FB87" i="90"/>
  <c r="FB94" i="90"/>
  <c r="FG94" i="90"/>
  <c r="FB126" i="90"/>
  <c r="FG126" i="90"/>
  <c r="FG39" i="90"/>
  <c r="FB39" i="90"/>
  <c r="FG117" i="90"/>
  <c r="FB117" i="90"/>
  <c r="FG45" i="90"/>
  <c r="FB45" i="90"/>
  <c r="FB59" i="90"/>
  <c r="FG59" i="90"/>
  <c r="FB52" i="90"/>
  <c r="FG52" i="90"/>
  <c r="FB96" i="90"/>
  <c r="FG96" i="90"/>
  <c r="FG152" i="90"/>
  <c r="FB152" i="90"/>
  <c r="FB143" i="90"/>
  <c r="FG143" i="90"/>
  <c r="FB207" i="90"/>
  <c r="FG207" i="90"/>
  <c r="FB128" i="90"/>
  <c r="FG128" i="90"/>
  <c r="FB157" i="90"/>
  <c r="FG157" i="90"/>
  <c r="FB194" i="90"/>
  <c r="FG194" i="90"/>
  <c r="FG55" i="90"/>
  <c r="FB55" i="90"/>
  <c r="FG208" i="90"/>
  <c r="FB208" i="90"/>
  <c r="FG189" i="90"/>
  <c r="FB189" i="90"/>
  <c r="FG203" i="90"/>
  <c r="FB203" i="90"/>
  <c r="FG160" i="90"/>
  <c r="FB160" i="90"/>
  <c r="FG191" i="90"/>
  <c r="FB191" i="90"/>
  <c r="FG154" i="90"/>
  <c r="FB154" i="90"/>
  <c r="FB149" i="90"/>
  <c r="FG149" i="90"/>
  <c r="FG116" i="90"/>
  <c r="FB116" i="90"/>
  <c r="FG188" i="90"/>
  <c r="FB188" i="90"/>
  <c r="FG150" i="90"/>
  <c r="FB150" i="90"/>
  <c r="FB214" i="90"/>
  <c r="FG214" i="90"/>
  <c r="FG181" i="90"/>
  <c r="FB181" i="90"/>
  <c r="FB193" i="90"/>
  <c r="FG193" i="90"/>
  <c r="FG200" i="90"/>
  <c r="FB200" i="90"/>
  <c r="FB145" i="90"/>
  <c r="FG145" i="90"/>
  <c r="FB151" i="90"/>
  <c r="FG151" i="90"/>
  <c r="FB165" i="90"/>
  <c r="FG165" i="90"/>
  <c r="FG158" i="90"/>
  <c r="FB158" i="90"/>
  <c r="FG202" i="90"/>
  <c r="FB202" i="90"/>
  <c r="FB53" i="90"/>
  <c r="FG53" i="90"/>
  <c r="FB50" i="90"/>
  <c r="FG50" i="90"/>
  <c r="FG60" i="90"/>
  <c r="FB60" i="90"/>
  <c r="FG70" i="90"/>
  <c r="FB70" i="90"/>
  <c r="FG92" i="90"/>
  <c r="FB92" i="90"/>
  <c r="FG68" i="90"/>
  <c r="FB68" i="90"/>
  <c r="FG71" i="90"/>
  <c r="FB71" i="90"/>
  <c r="FB27" i="90"/>
  <c r="FG27" i="90"/>
  <c r="FB67" i="90"/>
  <c r="FG67" i="90"/>
  <c r="FG69" i="90"/>
  <c r="FB69" i="90"/>
  <c r="FG66" i="90"/>
  <c r="FB66" i="90"/>
  <c r="FB11" i="90"/>
  <c r="FG11" i="90"/>
  <c r="FB79" i="90"/>
  <c r="FG79" i="90"/>
  <c r="FG107" i="90"/>
  <c r="FB107" i="90"/>
  <c r="FB93" i="90"/>
  <c r="FG93" i="90"/>
  <c r="FG42" i="90"/>
  <c r="FB42" i="90"/>
  <c r="FB127" i="90"/>
  <c r="FG127" i="90"/>
  <c r="FG159" i="90"/>
  <c r="FB159" i="90"/>
  <c r="FG156" i="90"/>
  <c r="FB156" i="90"/>
  <c r="FG166" i="90"/>
  <c r="FB166" i="90"/>
  <c r="FG176" i="90"/>
  <c r="FB176" i="90"/>
  <c r="FG198" i="90"/>
  <c r="FB198" i="90"/>
  <c r="FB174" i="90"/>
  <c r="FG174" i="90"/>
  <c r="FG177" i="90"/>
  <c r="FB177" i="90"/>
  <c r="FB133" i="90"/>
  <c r="FG133" i="90"/>
  <c r="FB173" i="90"/>
  <c r="FG173" i="90"/>
  <c r="FG175" i="90"/>
  <c r="FB175" i="90"/>
  <c r="FB20" i="90"/>
  <c r="FG20" i="90"/>
  <c r="FB172" i="90"/>
  <c r="FG172" i="90"/>
  <c r="FB185" i="90"/>
  <c r="FG185" i="90"/>
  <c r="FB213" i="90"/>
  <c r="FG213" i="90"/>
  <c r="FG9" i="90"/>
  <c r="FB9" i="90"/>
  <c r="FG199" i="90"/>
  <c r="FB199" i="90"/>
  <c r="FB148" i="90"/>
  <c r="FG148" i="90"/>
  <c r="FG25" i="90"/>
  <c r="FB25" i="90"/>
  <c r="FG64" i="90"/>
  <c r="FB64" i="90"/>
  <c r="FB62" i="90"/>
  <c r="FG62" i="90"/>
  <c r="FB90" i="90"/>
  <c r="FG90" i="90"/>
  <c r="FG123" i="90"/>
  <c r="FB123" i="90"/>
  <c r="FG58" i="90"/>
  <c r="FB58" i="90"/>
  <c r="FB99" i="90"/>
  <c r="FG99" i="90"/>
  <c r="FB15" i="90"/>
  <c r="FG15" i="90"/>
  <c r="FG183" i="90"/>
  <c r="FB183" i="90"/>
  <c r="FG14" i="90"/>
  <c r="FB14" i="90"/>
  <c r="FG84" i="90"/>
  <c r="FB84" i="90"/>
  <c r="FB130" i="90"/>
  <c r="FG130" i="90"/>
  <c r="FG31" i="90"/>
  <c r="FB31" i="90"/>
  <c r="FG78" i="90"/>
  <c r="FB78" i="90"/>
  <c r="FB26" i="90"/>
  <c r="FG26" i="90"/>
  <c r="FG57" i="90"/>
  <c r="FB57" i="90"/>
  <c r="FB29" i="90"/>
  <c r="FG29" i="90"/>
  <c r="FG73" i="90"/>
  <c r="FB73" i="90"/>
  <c r="FB91" i="90"/>
  <c r="FG91" i="90"/>
  <c r="FG16" i="90"/>
  <c r="FB16" i="90"/>
  <c r="FB30" i="90"/>
  <c r="FG30" i="90"/>
  <c r="FB40" i="90"/>
  <c r="FG40" i="90"/>
  <c r="FG63" i="90"/>
  <c r="FB63" i="90"/>
  <c r="FG104" i="90"/>
  <c r="FB104" i="90"/>
  <c r="FG34" i="90"/>
  <c r="FB34" i="90"/>
  <c r="FG100" i="90"/>
  <c r="FB100" i="90"/>
  <c r="FG131" i="90"/>
  <c r="FB131" i="90"/>
  <c r="FB170" i="90"/>
  <c r="FG170" i="90"/>
  <c r="FB168" i="90"/>
  <c r="FG168" i="90"/>
  <c r="FB196" i="90"/>
  <c r="FG196" i="90"/>
  <c r="FB164" i="90"/>
  <c r="FG164" i="90"/>
  <c r="FG205" i="90"/>
  <c r="FB205" i="90"/>
  <c r="FG121" i="90"/>
  <c r="FB121" i="90"/>
  <c r="FG77" i="90"/>
  <c r="FB77" i="90"/>
  <c r="FG120" i="90"/>
  <c r="FB120" i="90"/>
  <c r="FB190" i="90"/>
  <c r="FG190" i="90"/>
  <c r="FB24" i="90"/>
  <c r="FG24" i="90"/>
  <c r="FG137" i="90"/>
  <c r="FB137" i="90"/>
  <c r="FG184" i="90"/>
  <c r="FB184" i="90"/>
  <c r="FB119" i="90"/>
  <c r="FG119" i="90"/>
  <c r="FB132" i="90"/>
  <c r="FG132" i="90"/>
  <c r="FG163" i="90"/>
  <c r="FB163" i="90"/>
  <c r="FG135" i="90"/>
  <c r="FB135" i="90"/>
  <c r="FG179" i="90"/>
  <c r="FB179" i="90"/>
  <c r="FB197" i="90"/>
  <c r="FG197" i="90"/>
  <c r="FB122" i="90"/>
  <c r="FG122" i="90"/>
  <c r="FG136" i="90"/>
  <c r="FB136" i="90"/>
  <c r="FG146" i="90"/>
  <c r="FB146" i="90"/>
  <c r="FG169" i="90"/>
  <c r="FB169" i="90"/>
  <c r="FB210" i="90"/>
  <c r="FG210" i="90"/>
  <c r="FG140" i="90"/>
  <c r="FB140" i="90"/>
  <c r="FG115" i="90"/>
  <c r="FB115" i="90"/>
  <c r="FG206" i="90"/>
  <c r="FB206" i="90"/>
  <c r="FG21" i="90"/>
  <c r="FB21" i="90"/>
  <c r="FB56" i="90"/>
  <c r="FG56" i="90"/>
  <c r="FB38" i="90"/>
  <c r="FG38" i="90"/>
  <c r="FG61" i="90"/>
  <c r="FB61" i="90"/>
  <c r="FG76" i="90"/>
  <c r="FB76" i="90"/>
  <c r="FG80" i="90"/>
  <c r="FB80" i="90"/>
  <c r="FB74" i="90"/>
  <c r="FG74" i="90"/>
  <c r="FG41" i="90"/>
  <c r="FB41" i="90"/>
  <c r="FG98" i="90"/>
  <c r="FB98" i="90"/>
  <c r="FG95" i="90"/>
  <c r="FB95" i="90"/>
  <c r="FG65" i="90"/>
  <c r="FB65" i="90"/>
  <c r="FB35" i="90"/>
  <c r="FG35" i="90"/>
  <c r="FB106" i="90"/>
  <c r="FG106" i="90"/>
  <c r="FG32" i="90"/>
  <c r="FB32" i="90"/>
  <c r="FB103" i="90"/>
  <c r="FG103" i="90"/>
  <c r="FB19" i="90"/>
  <c r="FG19" i="90"/>
  <c r="FG23" i="90"/>
  <c r="FB23" i="90"/>
  <c r="FG36" i="90"/>
  <c r="FB36" i="90"/>
  <c r="FB86" i="90"/>
  <c r="FG86" i="90"/>
  <c r="FG47" i="90"/>
  <c r="FB47" i="90"/>
  <c r="FG12" i="90"/>
  <c r="FB12" i="90"/>
  <c r="FB105" i="90"/>
  <c r="FG105" i="90"/>
  <c r="FB49" i="90"/>
  <c r="FG49" i="90"/>
  <c r="FB81" i="90"/>
  <c r="FG81" i="90"/>
  <c r="FG28" i="90"/>
  <c r="FB28" i="90"/>
  <c r="FB33" i="90"/>
  <c r="FG33" i="90"/>
  <c r="FG89" i="90"/>
  <c r="FB89" i="90"/>
  <c r="FB72" i="90"/>
  <c r="FG72" i="90"/>
  <c r="FB18" i="90"/>
  <c r="FG18" i="90"/>
  <c r="FB162" i="90"/>
  <c r="FG162" i="90"/>
  <c r="FG144" i="90"/>
  <c r="FB144" i="90"/>
  <c r="FG167" i="90"/>
  <c r="FB167" i="90"/>
  <c r="FG182" i="90"/>
  <c r="FB182" i="90"/>
  <c r="FG186" i="90"/>
  <c r="FB186" i="90"/>
  <c r="FB180" i="90"/>
  <c r="FG180" i="90"/>
  <c r="FB147" i="90"/>
  <c r="FG147" i="90"/>
  <c r="FB204" i="90"/>
  <c r="FG204" i="90"/>
  <c r="FG201" i="90"/>
  <c r="FB201" i="90"/>
  <c r="FG171" i="90"/>
  <c r="FB171" i="90"/>
  <c r="FB141" i="90"/>
  <c r="FG141" i="90"/>
  <c r="FG212" i="90"/>
  <c r="FB212" i="90"/>
  <c r="FB138" i="90"/>
  <c r="FG138" i="90"/>
  <c r="FG209" i="90"/>
  <c r="FB209" i="90"/>
  <c r="FB125" i="90"/>
  <c r="FG125" i="90"/>
  <c r="FG129" i="90"/>
  <c r="FB129" i="90"/>
  <c r="FG13" i="90"/>
  <c r="FB13" i="90"/>
  <c r="FG142" i="90"/>
  <c r="FB142" i="90"/>
  <c r="FB192" i="90"/>
  <c r="FG192" i="90"/>
  <c r="FG153" i="90"/>
  <c r="FB153" i="90"/>
  <c r="FG118" i="90"/>
  <c r="FB118" i="90"/>
  <c r="FB211" i="90"/>
  <c r="FG211" i="90"/>
  <c r="FG155" i="90"/>
  <c r="FB155" i="90"/>
  <c r="FG187" i="90"/>
  <c r="FB187" i="90"/>
  <c r="FB134" i="90"/>
  <c r="FG134" i="90"/>
  <c r="FB139" i="90"/>
  <c r="FG139" i="90"/>
  <c r="FB195" i="90"/>
  <c r="FG195" i="90"/>
  <c r="FG178" i="90"/>
  <c r="FB178" i="90"/>
  <c r="A409" i="90"/>
  <c r="A287" i="90"/>
  <c r="A258" i="90"/>
  <c r="A243" i="90"/>
  <c r="A324" i="90"/>
  <c r="A312" i="90"/>
  <c r="A276" i="90"/>
  <c r="A355" i="90"/>
  <c r="A402" i="90"/>
  <c r="A322" i="90"/>
  <c r="A315" i="90"/>
  <c r="A260" i="90"/>
  <c r="A404" i="90"/>
  <c r="A297" i="90"/>
  <c r="A410" i="90"/>
  <c r="A282" i="90"/>
  <c r="A316" i="90"/>
  <c r="FA124" i="90"/>
  <c r="FU229" i="90" s="1"/>
  <c r="EF332" i="90" s="1"/>
  <c r="FF124" i="90"/>
  <c r="FZ229" i="90" s="1"/>
  <c r="EG332" i="90" s="1"/>
  <c r="FF46" i="90"/>
  <c r="FA46" i="90"/>
  <c r="FA37" i="90"/>
  <c r="FF37" i="90"/>
  <c r="FF101" i="90"/>
  <c r="FA101" i="90"/>
  <c r="FA22" i="90"/>
  <c r="FF22" i="90"/>
  <c r="FA51" i="90"/>
  <c r="FF51" i="90"/>
  <c r="FF88" i="90"/>
  <c r="FA88" i="90"/>
  <c r="FF161" i="90"/>
  <c r="FZ266" i="90" s="1"/>
  <c r="EG369" i="90" s="1"/>
  <c r="FA161" i="90"/>
  <c r="FU266" i="90" s="1"/>
  <c r="EF369" i="90" s="1"/>
  <c r="FA102" i="90"/>
  <c r="FF102" i="90"/>
  <c r="FA83" i="90"/>
  <c r="FF83" i="90"/>
  <c r="FA97" i="90"/>
  <c r="FF97" i="90"/>
  <c r="FA54" i="90"/>
  <c r="FF54" i="90"/>
  <c r="FF85" i="90"/>
  <c r="FA85" i="90"/>
  <c r="FA48" i="90"/>
  <c r="FF48" i="90"/>
  <c r="FA43" i="90"/>
  <c r="FF43" i="90"/>
  <c r="FF10" i="90"/>
  <c r="FA10" i="90"/>
  <c r="FA82" i="90"/>
  <c r="FF82" i="90"/>
  <c r="FA44" i="90"/>
  <c r="FF44" i="90"/>
  <c r="FA108" i="90"/>
  <c r="FF108" i="90"/>
  <c r="FA75" i="90"/>
  <c r="FF75" i="90"/>
  <c r="FF87" i="90"/>
  <c r="FA87" i="90"/>
  <c r="FA94" i="90"/>
  <c r="FF94" i="90"/>
  <c r="FA126" i="90"/>
  <c r="FU231" i="90" s="1"/>
  <c r="EF334" i="90" s="1"/>
  <c r="FF126" i="90"/>
  <c r="FZ231" i="90" s="1"/>
  <c r="EG334" i="90" s="1"/>
  <c r="FA39" i="90"/>
  <c r="FF39" i="90"/>
  <c r="FA117" i="90"/>
  <c r="FU222" i="90" s="1"/>
  <c r="EF325" i="90" s="1"/>
  <c r="FF117" i="90"/>
  <c r="FZ222" i="90" s="1"/>
  <c r="EG325" i="90" s="1"/>
  <c r="FA45" i="90"/>
  <c r="FF45" i="90"/>
  <c r="FF59" i="90"/>
  <c r="FA59" i="90"/>
  <c r="FA52" i="90"/>
  <c r="FF52" i="90"/>
  <c r="FA96" i="90"/>
  <c r="FF96" i="90"/>
  <c r="FA152" i="90"/>
  <c r="FU257" i="90" s="1"/>
  <c r="EF360" i="90" s="1"/>
  <c r="FF152" i="90"/>
  <c r="FZ257" i="90" s="1"/>
  <c r="EG360" i="90" s="1"/>
  <c r="FF143" i="90"/>
  <c r="FZ248" i="90" s="1"/>
  <c r="EG351" i="90" s="1"/>
  <c r="FA143" i="90"/>
  <c r="FU248" i="90" s="1"/>
  <c r="EF351" i="90" s="1"/>
  <c r="FA207" i="90"/>
  <c r="FU312" i="90" s="1"/>
  <c r="EF415" i="90" s="1"/>
  <c r="FF207" i="90"/>
  <c r="FZ312" i="90" s="1"/>
  <c r="EG415" i="90" s="1"/>
  <c r="FF128" i="90"/>
  <c r="FZ233" i="90" s="1"/>
  <c r="EG336" i="90" s="1"/>
  <c r="FA128" i="90"/>
  <c r="FU233" i="90" s="1"/>
  <c r="EF336" i="90" s="1"/>
  <c r="FF157" i="90"/>
  <c r="FZ262" i="90" s="1"/>
  <c r="EG365" i="90" s="1"/>
  <c r="FA157" i="90"/>
  <c r="FU262" i="90" s="1"/>
  <c r="EF365" i="90" s="1"/>
  <c r="FF194" i="90"/>
  <c r="FZ299" i="90" s="1"/>
  <c r="EG402" i="90" s="1"/>
  <c r="FA194" i="90"/>
  <c r="FU299" i="90" s="1"/>
  <c r="EF402" i="90" s="1"/>
  <c r="FA55" i="90"/>
  <c r="FF55" i="90"/>
  <c r="FF208" i="90"/>
  <c r="FZ313" i="90" s="1"/>
  <c r="EG416" i="90" s="1"/>
  <c r="FA208" i="90"/>
  <c r="FU313" i="90" s="1"/>
  <c r="EF416" i="90" s="1"/>
  <c r="FF189" i="90"/>
  <c r="FZ294" i="90" s="1"/>
  <c r="EG397" i="90" s="1"/>
  <c r="FA189" i="90"/>
  <c r="FU294" i="90" s="1"/>
  <c r="EF397" i="90" s="1"/>
  <c r="FF203" i="90"/>
  <c r="FZ308" i="90" s="1"/>
  <c r="EG411" i="90" s="1"/>
  <c r="FA203" i="90"/>
  <c r="FU308" i="90" s="1"/>
  <c r="EF411" i="90" s="1"/>
  <c r="FA160" i="90"/>
  <c r="FU265" i="90" s="1"/>
  <c r="EF368" i="90" s="1"/>
  <c r="FF160" i="90"/>
  <c r="FZ265" i="90" s="1"/>
  <c r="EG368" i="90" s="1"/>
  <c r="FA191" i="90"/>
  <c r="FU296" i="90" s="1"/>
  <c r="EF399" i="90" s="1"/>
  <c r="FF191" i="90"/>
  <c r="FZ296" i="90" s="1"/>
  <c r="EG399" i="90" s="1"/>
  <c r="FF154" i="90"/>
  <c r="FZ259" i="90" s="1"/>
  <c r="EG362" i="90" s="1"/>
  <c r="FA154" i="90"/>
  <c r="FU259" i="90" s="1"/>
  <c r="EF362" i="90" s="1"/>
  <c r="FF149" i="90"/>
  <c r="FZ254" i="90" s="1"/>
  <c r="EG357" i="90" s="1"/>
  <c r="FA149" i="90"/>
  <c r="FU254" i="90" s="1"/>
  <c r="EF357" i="90" s="1"/>
  <c r="FF116" i="90"/>
  <c r="FZ221" i="90" s="1"/>
  <c r="EG324" i="90" s="1"/>
  <c r="FA116" i="90"/>
  <c r="FU221" i="90" s="1"/>
  <c r="EF324" i="90" s="1"/>
  <c r="FA188" i="90"/>
  <c r="FU293" i="90" s="1"/>
  <c r="EF396" i="90" s="1"/>
  <c r="FF188" i="90"/>
  <c r="FZ293" i="90" s="1"/>
  <c r="EG396" i="90" s="1"/>
  <c r="FA150" i="90"/>
  <c r="FU255" i="90" s="1"/>
  <c r="EF358" i="90" s="1"/>
  <c r="FF150" i="90"/>
  <c r="FZ255" i="90" s="1"/>
  <c r="EG358" i="90" s="1"/>
  <c r="FA214" i="90"/>
  <c r="FU319" i="90" s="1"/>
  <c r="EF422" i="90" s="1"/>
  <c r="FF214" i="90"/>
  <c r="FZ319" i="90" s="1"/>
  <c r="EG422" i="90" s="1"/>
  <c r="FA181" i="90"/>
  <c r="FU286" i="90" s="1"/>
  <c r="EF389" i="90" s="1"/>
  <c r="FF181" i="90"/>
  <c r="FZ286" i="90" s="1"/>
  <c r="EG389" i="90" s="1"/>
  <c r="FA193" i="90"/>
  <c r="FU298" i="90" s="1"/>
  <c r="EF401" i="90" s="1"/>
  <c r="FF193" i="90"/>
  <c r="FZ298" i="90" s="1"/>
  <c r="EG401" i="90" s="1"/>
  <c r="FF200" i="90"/>
  <c r="FZ305" i="90" s="1"/>
  <c r="EG408" i="90" s="1"/>
  <c r="FA200" i="90"/>
  <c r="FU305" i="90" s="1"/>
  <c r="EF408" i="90" s="1"/>
  <c r="FA145" i="90"/>
  <c r="FU250" i="90" s="1"/>
  <c r="EF353" i="90" s="1"/>
  <c r="FF145" i="90"/>
  <c r="FZ250" i="90" s="1"/>
  <c r="EG353" i="90" s="1"/>
  <c r="FF151" i="90"/>
  <c r="FZ256" i="90" s="1"/>
  <c r="EG359" i="90" s="1"/>
  <c r="FA151" i="90"/>
  <c r="FU256" i="90" s="1"/>
  <c r="EF359" i="90" s="1"/>
  <c r="FA165" i="90"/>
  <c r="FU270" i="90" s="1"/>
  <c r="EF373" i="90" s="1"/>
  <c r="FF165" i="90"/>
  <c r="FZ270" i="90" s="1"/>
  <c r="EG373" i="90" s="1"/>
  <c r="FF158" i="90"/>
  <c r="FZ263" i="90" s="1"/>
  <c r="EG366" i="90" s="1"/>
  <c r="FA158" i="90"/>
  <c r="FU263" i="90" s="1"/>
  <c r="EF366" i="90" s="1"/>
  <c r="FA202" i="90"/>
  <c r="FU307" i="90" s="1"/>
  <c r="EF410" i="90" s="1"/>
  <c r="FF202" i="90"/>
  <c r="FZ307" i="90" s="1"/>
  <c r="EG410" i="90" s="1"/>
  <c r="FF53" i="90"/>
  <c r="FA53" i="90"/>
  <c r="FF50" i="90"/>
  <c r="FA50" i="90"/>
  <c r="FA60" i="90"/>
  <c r="FF60" i="90"/>
  <c r="FF70" i="90"/>
  <c r="FA70" i="90"/>
  <c r="FA92" i="90"/>
  <c r="FF92" i="90"/>
  <c r="FA68" i="90"/>
  <c r="FF68" i="90"/>
  <c r="FF71" i="90"/>
  <c r="FA71" i="90"/>
  <c r="FA27" i="90"/>
  <c r="FF27" i="90"/>
  <c r="FA67" i="90"/>
  <c r="FF67" i="90"/>
  <c r="FA69" i="90"/>
  <c r="FF69" i="90"/>
  <c r="FF66" i="90"/>
  <c r="FA66" i="90"/>
  <c r="FA11" i="90"/>
  <c r="FF11" i="90"/>
  <c r="FF79" i="90"/>
  <c r="FA79" i="90"/>
  <c r="FF107" i="90"/>
  <c r="FA107" i="90"/>
  <c r="FA93" i="90"/>
  <c r="FF93" i="90"/>
  <c r="FF42" i="90"/>
  <c r="FA42" i="90"/>
  <c r="FA127" i="90"/>
  <c r="FU232" i="90" s="1"/>
  <c r="EF335" i="90" s="1"/>
  <c r="FF127" i="90"/>
  <c r="FZ232" i="90" s="1"/>
  <c r="EG335" i="90" s="1"/>
  <c r="FF159" i="90"/>
  <c r="FZ264" i="90" s="1"/>
  <c r="EG367" i="90" s="1"/>
  <c r="FA159" i="90"/>
  <c r="FU264" i="90" s="1"/>
  <c r="EF367" i="90" s="1"/>
  <c r="FF156" i="90"/>
  <c r="FZ261" i="90" s="1"/>
  <c r="EG364" i="90" s="1"/>
  <c r="FA156" i="90"/>
  <c r="FU261" i="90" s="1"/>
  <c r="EF364" i="90" s="1"/>
  <c r="FF166" i="90"/>
  <c r="FZ271" i="90" s="1"/>
  <c r="EG374" i="90" s="1"/>
  <c r="FA166" i="90"/>
  <c r="FU271" i="90" s="1"/>
  <c r="EF374" i="90" s="1"/>
  <c r="FF176" i="90"/>
  <c r="FZ281" i="90" s="1"/>
  <c r="EG384" i="90" s="1"/>
  <c r="FA176" i="90"/>
  <c r="FU281" i="90" s="1"/>
  <c r="EF384" i="90" s="1"/>
  <c r="FA198" i="90"/>
  <c r="FU303" i="90" s="1"/>
  <c r="EF406" i="90" s="1"/>
  <c r="FF198" i="90"/>
  <c r="FZ303" i="90" s="1"/>
  <c r="EG406" i="90" s="1"/>
  <c r="FF174" i="90"/>
  <c r="FZ279" i="90" s="1"/>
  <c r="EG382" i="90" s="1"/>
  <c r="FA174" i="90"/>
  <c r="FU279" i="90" s="1"/>
  <c r="EF382" i="90" s="1"/>
  <c r="FA177" i="90"/>
  <c r="FU282" i="90" s="1"/>
  <c r="EF385" i="90" s="1"/>
  <c r="FF177" i="90"/>
  <c r="FZ282" i="90" s="1"/>
  <c r="EG385" i="90" s="1"/>
  <c r="FA133" i="90"/>
  <c r="FU238" i="90" s="1"/>
  <c r="EF341" i="90" s="1"/>
  <c r="FF133" i="90"/>
  <c r="FZ238" i="90" s="1"/>
  <c r="EG341" i="90" s="1"/>
  <c r="FF173" i="90"/>
  <c r="FZ278" i="90" s="1"/>
  <c r="EG381" i="90" s="1"/>
  <c r="FA173" i="90"/>
  <c r="FU278" i="90" s="1"/>
  <c r="EF381" i="90" s="1"/>
  <c r="FF175" i="90"/>
  <c r="FZ280" i="90" s="1"/>
  <c r="EG383" i="90" s="1"/>
  <c r="FA175" i="90"/>
  <c r="FU280" i="90" s="1"/>
  <c r="EF383" i="90" s="1"/>
  <c r="FF20" i="90"/>
  <c r="FA20" i="90"/>
  <c r="FA172" i="90"/>
  <c r="FU277" i="90" s="1"/>
  <c r="EF380" i="90" s="1"/>
  <c r="FF172" i="90"/>
  <c r="FZ277" i="90" s="1"/>
  <c r="EG380" i="90" s="1"/>
  <c r="FA185" i="90"/>
  <c r="FU290" i="90" s="1"/>
  <c r="EF393" i="90" s="1"/>
  <c r="FF185" i="90"/>
  <c r="FZ290" i="90" s="1"/>
  <c r="EG393" i="90" s="1"/>
  <c r="FA213" i="90"/>
  <c r="FU318" i="90" s="1"/>
  <c r="EF421" i="90" s="1"/>
  <c r="FF213" i="90"/>
  <c r="FZ318" i="90" s="1"/>
  <c r="EG421" i="90" s="1"/>
  <c r="FF9" i="90"/>
  <c r="FA9" i="90"/>
  <c r="FF199" i="90"/>
  <c r="FZ304" i="90" s="1"/>
  <c r="EG407" i="90" s="1"/>
  <c r="FA199" i="90"/>
  <c r="FU304" i="90" s="1"/>
  <c r="EF407" i="90" s="1"/>
  <c r="FF148" i="90"/>
  <c r="FZ253" i="90" s="1"/>
  <c r="EG356" i="90" s="1"/>
  <c r="FA148" i="90"/>
  <c r="FU253" i="90" s="1"/>
  <c r="EF356" i="90" s="1"/>
  <c r="FA25" i="90"/>
  <c r="FF25" i="90"/>
  <c r="FF64" i="90"/>
  <c r="FA64" i="90"/>
  <c r="FA62" i="90"/>
  <c r="FF62" i="90"/>
  <c r="FF90" i="90"/>
  <c r="FA90" i="90"/>
  <c r="FA123" i="90"/>
  <c r="FU228" i="90" s="1"/>
  <c r="EF331" i="90" s="1"/>
  <c r="FF123" i="90"/>
  <c r="FZ228" i="90" s="1"/>
  <c r="EG331" i="90" s="1"/>
  <c r="FA58" i="90"/>
  <c r="FF58" i="90"/>
  <c r="FF99" i="90"/>
  <c r="FA99" i="90"/>
  <c r="FA15" i="90"/>
  <c r="FF15" i="90"/>
  <c r="FF183" i="90"/>
  <c r="FZ288" i="90" s="1"/>
  <c r="EG391" i="90" s="1"/>
  <c r="FA183" i="90"/>
  <c r="FU288" i="90" s="1"/>
  <c r="EF391" i="90" s="1"/>
  <c r="FF14" i="90"/>
  <c r="FA14" i="90"/>
  <c r="FF84" i="90"/>
  <c r="FA84" i="90"/>
  <c r="FA130" i="90"/>
  <c r="FU235" i="90" s="1"/>
  <c r="EF338" i="90" s="1"/>
  <c r="FF130" i="90"/>
  <c r="FZ235" i="90" s="1"/>
  <c r="EG338" i="90" s="1"/>
  <c r="FF31" i="90"/>
  <c r="FA31" i="90"/>
  <c r="FA78" i="90"/>
  <c r="FF78" i="90"/>
  <c r="FA26" i="90"/>
  <c r="FF26" i="90"/>
  <c r="FF57" i="90"/>
  <c r="FA57" i="90"/>
  <c r="FF29" i="90"/>
  <c r="FA29" i="90"/>
  <c r="FA73" i="90"/>
  <c r="FF73" i="90"/>
  <c r="FF91" i="90"/>
  <c r="FA91" i="90"/>
  <c r="FA16" i="90"/>
  <c r="FF16" i="90"/>
  <c r="FA30" i="90"/>
  <c r="FF30" i="90"/>
  <c r="FF40" i="90"/>
  <c r="FA40" i="90"/>
  <c r="FF63" i="90"/>
  <c r="FA63" i="90"/>
  <c r="FF104" i="90"/>
  <c r="FA104" i="90"/>
  <c r="FA34" i="90"/>
  <c r="FF34" i="90"/>
  <c r="FA100" i="90"/>
  <c r="FF100" i="90"/>
  <c r="FF131" i="90"/>
  <c r="FZ236" i="90" s="1"/>
  <c r="EG339" i="90" s="1"/>
  <c r="FA131" i="90"/>
  <c r="FU236" i="90" s="1"/>
  <c r="EF339" i="90" s="1"/>
  <c r="FA170" i="90"/>
  <c r="FU275" i="90" s="1"/>
  <c r="EF378" i="90" s="1"/>
  <c r="FF170" i="90"/>
  <c r="FZ275" i="90" s="1"/>
  <c r="EG378" i="90" s="1"/>
  <c r="FF168" i="90"/>
  <c r="FZ273" i="90" s="1"/>
  <c r="EG376" i="90" s="1"/>
  <c r="FA168" i="90"/>
  <c r="FU273" i="90" s="1"/>
  <c r="EF376" i="90" s="1"/>
  <c r="FF196" i="90"/>
  <c r="FZ301" i="90" s="1"/>
  <c r="EG404" i="90" s="1"/>
  <c r="FA196" i="90"/>
  <c r="FU301" i="90" s="1"/>
  <c r="EF404" i="90" s="1"/>
  <c r="FF17" i="90"/>
  <c r="FA17" i="90"/>
  <c r="FA164" i="90"/>
  <c r="FU269" i="90" s="1"/>
  <c r="EF372" i="90" s="1"/>
  <c r="FF164" i="90"/>
  <c r="FZ269" i="90" s="1"/>
  <c r="EG372" i="90" s="1"/>
  <c r="FF205" i="90"/>
  <c r="FZ310" i="90" s="1"/>
  <c r="EG413" i="90" s="1"/>
  <c r="FA205" i="90"/>
  <c r="FU310" i="90" s="1"/>
  <c r="EF413" i="90" s="1"/>
  <c r="FF121" i="90"/>
  <c r="FZ226" i="90" s="1"/>
  <c r="EG329" i="90" s="1"/>
  <c r="FA121" i="90"/>
  <c r="FU226" i="90" s="1"/>
  <c r="EF329" i="90" s="1"/>
  <c r="FA77" i="90"/>
  <c r="FF77" i="90"/>
  <c r="FA120" i="90"/>
  <c r="FU225" i="90" s="1"/>
  <c r="EF328" i="90" s="1"/>
  <c r="FF120" i="90"/>
  <c r="FZ225" i="90" s="1"/>
  <c r="EG328" i="90" s="1"/>
  <c r="FA190" i="90"/>
  <c r="FU295" i="90" s="1"/>
  <c r="EF398" i="90" s="1"/>
  <c r="FF190" i="90"/>
  <c r="FZ295" i="90" s="1"/>
  <c r="EG398" i="90" s="1"/>
  <c r="FA24" i="90"/>
  <c r="FF24" i="90"/>
  <c r="FA137" i="90"/>
  <c r="FU242" i="90" s="1"/>
  <c r="EF345" i="90" s="1"/>
  <c r="FF137" i="90"/>
  <c r="FZ242" i="90" s="1"/>
  <c r="EG345" i="90" s="1"/>
  <c r="FA184" i="90"/>
  <c r="FU289" i="90" s="1"/>
  <c r="EF392" i="90" s="1"/>
  <c r="FF184" i="90"/>
  <c r="FZ289" i="90" s="1"/>
  <c r="EG392" i="90" s="1"/>
  <c r="FF119" i="90"/>
  <c r="FZ224" i="90" s="1"/>
  <c r="EG327" i="90" s="1"/>
  <c r="FA119" i="90"/>
  <c r="FU224" i="90" s="1"/>
  <c r="EF327" i="90" s="1"/>
  <c r="FA132" i="90"/>
  <c r="FU237" i="90" s="1"/>
  <c r="EF340" i="90" s="1"/>
  <c r="FF132" i="90"/>
  <c r="FZ237" i="90" s="1"/>
  <c r="EG340" i="90" s="1"/>
  <c r="FA163" i="90"/>
  <c r="FU268" i="90" s="1"/>
  <c r="EF371" i="90" s="1"/>
  <c r="FF163" i="90"/>
  <c r="FZ268" i="90" s="1"/>
  <c r="EG371" i="90" s="1"/>
  <c r="FA135" i="90"/>
  <c r="FU240" i="90" s="1"/>
  <c r="EF343" i="90" s="1"/>
  <c r="FF135" i="90"/>
  <c r="FZ240" i="90" s="1"/>
  <c r="EG343" i="90" s="1"/>
  <c r="FA179" i="90"/>
  <c r="FU284" i="90" s="1"/>
  <c r="EF387" i="90" s="1"/>
  <c r="FF179" i="90"/>
  <c r="FZ284" i="90" s="1"/>
  <c r="EG387" i="90" s="1"/>
  <c r="FA197" i="90"/>
  <c r="FU302" i="90" s="1"/>
  <c r="EF405" i="90" s="1"/>
  <c r="FF197" i="90"/>
  <c r="FZ302" i="90" s="1"/>
  <c r="EG405" i="90" s="1"/>
  <c r="FF122" i="90"/>
  <c r="FZ227" i="90" s="1"/>
  <c r="EG330" i="90" s="1"/>
  <c r="FA122" i="90"/>
  <c r="FU227" i="90" s="1"/>
  <c r="EF330" i="90" s="1"/>
  <c r="FA136" i="90"/>
  <c r="FU241" i="90" s="1"/>
  <c r="EF344" i="90" s="1"/>
  <c r="FF136" i="90"/>
  <c r="FZ241" i="90" s="1"/>
  <c r="EG344" i="90" s="1"/>
  <c r="FF146" i="90"/>
  <c r="FZ251" i="90" s="1"/>
  <c r="EG354" i="90" s="1"/>
  <c r="FA146" i="90"/>
  <c r="FU251" i="90" s="1"/>
  <c r="EF354" i="90" s="1"/>
  <c r="FA169" i="90"/>
  <c r="FU274" i="90" s="1"/>
  <c r="EF377" i="90" s="1"/>
  <c r="FF169" i="90"/>
  <c r="FZ274" i="90" s="1"/>
  <c r="EG377" i="90" s="1"/>
  <c r="FA210" i="90"/>
  <c r="FU315" i="90" s="1"/>
  <c r="EF418" i="90" s="1"/>
  <c r="FF210" i="90"/>
  <c r="FZ315" i="90" s="1"/>
  <c r="EG418" i="90" s="1"/>
  <c r="FA140" i="90"/>
  <c r="FU245" i="90" s="1"/>
  <c r="EF348" i="90" s="1"/>
  <c r="FF140" i="90"/>
  <c r="FZ245" i="90" s="1"/>
  <c r="EG348" i="90" s="1"/>
  <c r="FF115" i="90"/>
  <c r="FZ220" i="90" s="1"/>
  <c r="EG323" i="90" s="1"/>
  <c r="FA115" i="90"/>
  <c r="FU220" i="90" s="1"/>
  <c r="EF323" i="90" s="1"/>
  <c r="FF206" i="90"/>
  <c r="FZ311" i="90" s="1"/>
  <c r="EG414" i="90" s="1"/>
  <c r="FA206" i="90"/>
  <c r="FU311" i="90" s="1"/>
  <c r="EF414" i="90" s="1"/>
  <c r="FA21" i="90"/>
  <c r="FF21" i="90"/>
  <c r="FF56" i="90"/>
  <c r="FA56" i="90"/>
  <c r="FF38" i="90"/>
  <c r="FA38" i="90"/>
  <c r="FF61" i="90"/>
  <c r="FA61" i="90"/>
  <c r="FA76" i="90"/>
  <c r="FF76" i="90"/>
  <c r="FA80" i="90"/>
  <c r="FF80" i="90"/>
  <c r="FF74" i="90"/>
  <c r="FA74" i="90"/>
  <c r="FF41" i="90"/>
  <c r="FA41" i="90"/>
  <c r="FA98" i="90"/>
  <c r="FF98" i="90"/>
  <c r="FA95" i="90"/>
  <c r="FF95" i="90"/>
  <c r="FF65" i="90"/>
  <c r="FA65" i="90"/>
  <c r="FA35" i="90"/>
  <c r="FF35" i="90"/>
  <c r="FA106" i="90"/>
  <c r="FF106" i="90"/>
  <c r="FF32" i="90"/>
  <c r="FA32" i="90"/>
  <c r="FF103" i="90"/>
  <c r="FA103" i="90"/>
  <c r="FF19" i="90"/>
  <c r="FA19" i="90"/>
  <c r="FF23" i="90"/>
  <c r="FA23" i="90"/>
  <c r="FF36" i="90"/>
  <c r="FA36" i="90"/>
  <c r="FF86" i="90"/>
  <c r="FA86" i="90"/>
  <c r="FF47" i="90"/>
  <c r="FA47" i="90"/>
  <c r="FF12" i="90"/>
  <c r="FA12" i="90"/>
  <c r="FA105" i="90"/>
  <c r="FF105" i="90"/>
  <c r="FF49" i="90"/>
  <c r="FA49" i="90"/>
  <c r="FF81" i="90"/>
  <c r="FA81" i="90"/>
  <c r="FF28" i="90"/>
  <c r="FA28" i="90"/>
  <c r="FF33" i="90"/>
  <c r="FA33" i="90"/>
  <c r="FF89" i="90"/>
  <c r="FA89" i="90"/>
  <c r="FA72" i="90"/>
  <c r="FF72" i="90"/>
  <c r="FF18" i="90"/>
  <c r="FA18" i="90"/>
  <c r="FA162" i="90"/>
  <c r="FU267" i="90" s="1"/>
  <c r="EF370" i="90" s="1"/>
  <c r="FF162" i="90"/>
  <c r="FZ267" i="90" s="1"/>
  <c r="EG370" i="90" s="1"/>
  <c r="FA144" i="90"/>
  <c r="FU249" i="90" s="1"/>
  <c r="EF352" i="90" s="1"/>
  <c r="FF144" i="90"/>
  <c r="FZ249" i="90" s="1"/>
  <c r="EG352" i="90" s="1"/>
  <c r="FA167" i="90"/>
  <c r="FU272" i="90" s="1"/>
  <c r="EF375" i="90" s="1"/>
  <c r="FF167" i="90"/>
  <c r="FZ272" i="90" s="1"/>
  <c r="EG375" i="90" s="1"/>
  <c r="FA182" i="90"/>
  <c r="FU287" i="90" s="1"/>
  <c r="EF390" i="90" s="1"/>
  <c r="FF182" i="90"/>
  <c r="FZ287" i="90" s="1"/>
  <c r="EG390" i="90" s="1"/>
  <c r="FF186" i="90"/>
  <c r="FZ291" i="90" s="1"/>
  <c r="EG394" i="90" s="1"/>
  <c r="FA186" i="90"/>
  <c r="FU291" i="90" s="1"/>
  <c r="EF394" i="90" s="1"/>
  <c r="FA180" i="90"/>
  <c r="FU285" i="90" s="1"/>
  <c r="EF388" i="90" s="1"/>
  <c r="FF180" i="90"/>
  <c r="FZ285" i="90" s="1"/>
  <c r="EG388" i="90" s="1"/>
  <c r="FA147" i="90"/>
  <c r="FU252" i="90" s="1"/>
  <c r="EF355" i="90" s="1"/>
  <c r="FF147" i="90"/>
  <c r="FZ252" i="90" s="1"/>
  <c r="EG355" i="90" s="1"/>
  <c r="FF204" i="90"/>
  <c r="FZ309" i="90" s="1"/>
  <c r="EG412" i="90" s="1"/>
  <c r="FA204" i="90"/>
  <c r="FU309" i="90" s="1"/>
  <c r="EF412" i="90" s="1"/>
  <c r="FF201" i="90"/>
  <c r="FZ306" i="90" s="1"/>
  <c r="EG409" i="90" s="1"/>
  <c r="FA201" i="90"/>
  <c r="FU306" i="90" s="1"/>
  <c r="EF409" i="90" s="1"/>
  <c r="FA171" i="90"/>
  <c r="FU276" i="90" s="1"/>
  <c r="EF379" i="90" s="1"/>
  <c r="FF171" i="90"/>
  <c r="FZ276" i="90" s="1"/>
  <c r="EG379" i="90" s="1"/>
  <c r="FF141" i="90"/>
  <c r="FZ246" i="90" s="1"/>
  <c r="EG349" i="90" s="1"/>
  <c r="FA141" i="90"/>
  <c r="FU246" i="90" s="1"/>
  <c r="EF349" i="90" s="1"/>
  <c r="FA212" i="90"/>
  <c r="FU317" i="90" s="1"/>
  <c r="EF420" i="90" s="1"/>
  <c r="FF212" i="90"/>
  <c r="FZ317" i="90" s="1"/>
  <c r="EG420" i="90" s="1"/>
  <c r="FA138" i="90"/>
  <c r="FU243" i="90" s="1"/>
  <c r="EF346" i="90" s="1"/>
  <c r="FF138" i="90"/>
  <c r="FZ243" i="90" s="1"/>
  <c r="EG346" i="90" s="1"/>
  <c r="FA209" i="90"/>
  <c r="FU314" i="90" s="1"/>
  <c r="EF417" i="90" s="1"/>
  <c r="FF209" i="90"/>
  <c r="FZ314" i="90" s="1"/>
  <c r="EG417" i="90" s="1"/>
  <c r="FA125" i="90"/>
  <c r="FU230" i="90" s="1"/>
  <c r="EF333" i="90" s="1"/>
  <c r="FF125" i="90"/>
  <c r="FZ230" i="90" s="1"/>
  <c r="EG333" i="90" s="1"/>
  <c r="FA129" i="90"/>
  <c r="FU234" i="90" s="1"/>
  <c r="EF337" i="90" s="1"/>
  <c r="FF129" i="90"/>
  <c r="FZ234" i="90" s="1"/>
  <c r="EG337" i="90" s="1"/>
  <c r="FA13" i="90"/>
  <c r="FF13" i="90"/>
  <c r="FF142" i="90"/>
  <c r="FZ247" i="90" s="1"/>
  <c r="EG350" i="90" s="1"/>
  <c r="FA142" i="90"/>
  <c r="FU247" i="90" s="1"/>
  <c r="EF350" i="90" s="1"/>
  <c r="FA192" i="90"/>
  <c r="FU297" i="90" s="1"/>
  <c r="EF400" i="90" s="1"/>
  <c r="FF192" i="90"/>
  <c r="FZ297" i="90" s="1"/>
  <c r="EG400" i="90" s="1"/>
  <c r="FA153" i="90"/>
  <c r="FU258" i="90" s="1"/>
  <c r="EF361" i="90" s="1"/>
  <c r="FF153" i="90"/>
  <c r="FZ258" i="90" s="1"/>
  <c r="EG361" i="90" s="1"/>
  <c r="FF118" i="90"/>
  <c r="FZ223" i="90" s="1"/>
  <c r="EG326" i="90" s="1"/>
  <c r="FA118" i="90"/>
  <c r="FU223" i="90" s="1"/>
  <c r="EF326" i="90" s="1"/>
  <c r="FF211" i="90"/>
  <c r="FZ316" i="90" s="1"/>
  <c r="EG419" i="90" s="1"/>
  <c r="FA211" i="90"/>
  <c r="FU316" i="90" s="1"/>
  <c r="EF419" i="90" s="1"/>
  <c r="FA155" i="90"/>
  <c r="FU260" i="90" s="1"/>
  <c r="EF363" i="90" s="1"/>
  <c r="FF155" i="90"/>
  <c r="FZ260" i="90" s="1"/>
  <c r="EG363" i="90" s="1"/>
  <c r="FA187" i="90"/>
  <c r="FU292" i="90" s="1"/>
  <c r="EF395" i="90" s="1"/>
  <c r="FF187" i="90"/>
  <c r="FZ292" i="90" s="1"/>
  <c r="EG395" i="90" s="1"/>
  <c r="FF134" i="90"/>
  <c r="FZ239" i="90" s="1"/>
  <c r="EG342" i="90" s="1"/>
  <c r="FA134" i="90"/>
  <c r="FU239" i="90" s="1"/>
  <c r="EF342" i="90" s="1"/>
  <c r="FF139" i="90"/>
  <c r="FZ244" i="90" s="1"/>
  <c r="EG347" i="90" s="1"/>
  <c r="FA139" i="90"/>
  <c r="FU244" i="90" s="1"/>
  <c r="EF347" i="90" s="1"/>
  <c r="FA195" i="90"/>
  <c r="FU300" i="90" s="1"/>
  <c r="EF403" i="90" s="1"/>
  <c r="FF195" i="90"/>
  <c r="FZ300" i="90" s="1"/>
  <c r="EG403" i="90" s="1"/>
  <c r="FF178" i="90"/>
  <c r="FZ283" i="90" s="1"/>
  <c r="EG386" i="90" s="1"/>
  <c r="FA178" i="90"/>
  <c r="FU283" i="90" s="1"/>
  <c r="EF386" i="90" s="1"/>
  <c r="GK84" i="4"/>
  <c r="ON90" i="4"/>
  <c r="ON27" i="4"/>
  <c r="ON28" i="4"/>
  <c r="ON103" i="4"/>
  <c r="ON74" i="4"/>
  <c r="ON72" i="4"/>
  <c r="ON43" i="4"/>
  <c r="ON56" i="4"/>
  <c r="ON50" i="4"/>
  <c r="GK50" i="4"/>
  <c r="ON35" i="4"/>
  <c r="ON32" i="4"/>
  <c r="GK25" i="4"/>
  <c r="GK16" i="4"/>
  <c r="ON80" i="4"/>
  <c r="GK103" i="4"/>
  <c r="ON105" i="4"/>
  <c r="GK105" i="4"/>
  <c r="ON85" i="4"/>
  <c r="ON14" i="4"/>
  <c r="ON37" i="4"/>
  <c r="ON31" i="4"/>
  <c r="GK89" i="4"/>
  <c r="ON53" i="4"/>
  <c r="GK53" i="4"/>
  <c r="ON92" i="4"/>
  <c r="GK43" i="4"/>
  <c r="ON9" i="4"/>
  <c r="GK98" i="4"/>
  <c r="ON110" i="4"/>
  <c r="GK110" i="4"/>
  <c r="ON16" i="4"/>
  <c r="GK36" i="4"/>
  <c r="GK55" i="4"/>
  <c r="GK61" i="4"/>
  <c r="ON39" i="4"/>
  <c r="GK85" i="4"/>
  <c r="ON36" i="4"/>
  <c r="ON44" i="4"/>
  <c r="ON55" i="4"/>
  <c r="GK31" i="4"/>
  <c r="ON61" i="4"/>
  <c r="GK77" i="4"/>
  <c r="ON107" i="4"/>
  <c r="GK90" i="4"/>
  <c r="GK27" i="4"/>
  <c r="GK108" i="4"/>
  <c r="GK39" i="4"/>
  <c r="ON25" i="4"/>
  <c r="ON10" i="4"/>
  <c r="GK10" i="4"/>
  <c r="GK28" i="4"/>
  <c r="ON84" i="4"/>
  <c r="ON98" i="4"/>
  <c r="GK32" i="4"/>
  <c r="ON57" i="4"/>
  <c r="ON13" i="4"/>
  <c r="ON38" i="4"/>
  <c r="GK35" i="4"/>
  <c r="GK107" i="4"/>
  <c r="ON108" i="4"/>
  <c r="ON60" i="4"/>
  <c r="GK60" i="4"/>
  <c r="GK14" i="4"/>
  <c r="ON49" i="4"/>
  <c r="GK49" i="4"/>
  <c r="GK37" i="4"/>
  <c r="GK44" i="4"/>
  <c r="GK57" i="4"/>
  <c r="GK80" i="4"/>
  <c r="GK13" i="4"/>
  <c r="ON89" i="4"/>
  <c r="GK38" i="4"/>
  <c r="GK74" i="4"/>
  <c r="GK92" i="4"/>
  <c r="GK9" i="4"/>
  <c r="GK58" i="4"/>
  <c r="GK45" i="4"/>
  <c r="ON109" i="4"/>
  <c r="GK70" i="4"/>
  <c r="GK5" i="4"/>
  <c r="GK94" i="4"/>
  <c r="ON75" i="4"/>
  <c r="GK95" i="4"/>
  <c r="GK24" i="4"/>
  <c r="ON63" i="4"/>
  <c r="GK65" i="4"/>
  <c r="GK111" i="4"/>
  <c r="GK72" i="4"/>
  <c r="ON66" i="4"/>
  <c r="ON77" i="4"/>
  <c r="ON6" i="4"/>
  <c r="ON11" i="4"/>
  <c r="GK78" i="4"/>
  <c r="ON70" i="4"/>
  <c r="ON94" i="4"/>
  <c r="ON97" i="4"/>
  <c r="GK12" i="4"/>
  <c r="ON47" i="4"/>
  <c r="ON4" i="4"/>
  <c r="ON23" i="4"/>
  <c r="ON104" i="4"/>
  <c r="ON99" i="4"/>
  <c r="GK66" i="4"/>
  <c r="ON45" i="4"/>
  <c r="ON100" i="4"/>
  <c r="ON34" i="4"/>
  <c r="GK52" i="4"/>
  <c r="ON54" i="4"/>
  <c r="GK54" i="4"/>
  <c r="GK109" i="4"/>
  <c r="ON81" i="4"/>
  <c r="ON7" i="4"/>
  <c r="ON12" i="4"/>
  <c r="ON93" i="4"/>
  <c r="ON69" i="4"/>
  <c r="GK83" i="4"/>
  <c r="ON24" i="4"/>
  <c r="GK15" i="4"/>
  <c r="ON65" i="4"/>
  <c r="ON106" i="4"/>
  <c r="GK106" i="4"/>
  <c r="GK99" i="4"/>
  <c r="GK91" i="4"/>
  <c r="ON58" i="4"/>
  <c r="ON8" i="4"/>
  <c r="ON5" i="4"/>
  <c r="GK75" i="4"/>
  <c r="GK71" i="4"/>
  <c r="ON96" i="4"/>
  <c r="ON95" i="4"/>
  <c r="ON62" i="4"/>
  <c r="GK69" i="4"/>
  <c r="ON111" i="4"/>
  <c r="ON29" i="4"/>
  <c r="GK29" i="4"/>
  <c r="GK56" i="4"/>
  <c r="GK102" i="4"/>
  <c r="GK100" i="4"/>
  <c r="ON30" i="4"/>
  <c r="GK30" i="4"/>
  <c r="GK8" i="4"/>
  <c r="GK97" i="4"/>
  <c r="GK96" i="4"/>
  <c r="GK62" i="4"/>
  <c r="ON33" i="4"/>
  <c r="GK33" i="4"/>
  <c r="GK47" i="4"/>
  <c r="GK4" i="4"/>
  <c r="ON101" i="4"/>
  <c r="GK101" i="4"/>
  <c r="GK63" i="4"/>
  <c r="ON91" i="4"/>
  <c r="ON78" i="4"/>
  <c r="ON83" i="4"/>
  <c r="ON15" i="4"/>
  <c r="ON19" i="4"/>
  <c r="ON102" i="4"/>
  <c r="GK6" i="4"/>
  <c r="GK34" i="4"/>
  <c r="ON17" i="4"/>
  <c r="GK17" i="4"/>
  <c r="GK11" i="4"/>
  <c r="ON59" i="4"/>
  <c r="GK59" i="4"/>
  <c r="GK81" i="4"/>
  <c r="GK7" i="4"/>
  <c r="GK93" i="4"/>
  <c r="ON40" i="4"/>
  <c r="GK40" i="4"/>
  <c r="ON42" i="4"/>
  <c r="GK23" i="4"/>
  <c r="GK104" i="4"/>
  <c r="GK19" i="4"/>
  <c r="ON68" i="4"/>
  <c r="GK68" i="4"/>
  <c r="ON3" i="4"/>
  <c r="ON52" i="4"/>
  <c r="ON71" i="4"/>
  <c r="ON87" i="4"/>
  <c r="GK87" i="4"/>
  <c r="GK42" i="4"/>
  <c r="ON22" i="4"/>
  <c r="GK22" i="4"/>
  <c r="GK73" i="4"/>
  <c r="ON88" i="4"/>
  <c r="ON51" i="4"/>
  <c r="ON76" i="4"/>
  <c r="ON86" i="4"/>
  <c r="ON64" i="4"/>
  <c r="GK21" i="4"/>
  <c r="GK3" i="4"/>
  <c r="GK18" i="4"/>
  <c r="GK88" i="4"/>
  <c r="GK26" i="4"/>
  <c r="ON41" i="4"/>
  <c r="ON79" i="4"/>
  <c r="GK51" i="4"/>
  <c r="GK86" i="4"/>
  <c r="ON67" i="4"/>
  <c r="GK46" i="4"/>
  <c r="ON18" i="4"/>
  <c r="GK48" i="4"/>
  <c r="ON20" i="4"/>
  <c r="GK20" i="4"/>
  <c r="ON82" i="4"/>
  <c r="ON21" i="4"/>
  <c r="ON46" i="4"/>
  <c r="GK82" i="4"/>
  <c r="ON26" i="4"/>
  <c r="GK76" i="4"/>
  <c r="GK79" i="4"/>
  <c r="ON73" i="4"/>
  <c r="GK41" i="4"/>
  <c r="GK64" i="4"/>
  <c r="ON48" i="4"/>
  <c r="GK67" i="4"/>
  <c r="A377" i="90"/>
  <c r="A394" i="90"/>
  <c r="A279" i="90"/>
  <c r="A271" i="90"/>
  <c r="A313" i="90"/>
  <c r="FI124" i="90"/>
  <c r="FD124" i="90"/>
  <c r="FI46" i="90"/>
  <c r="FD46" i="90"/>
  <c r="FD37" i="90"/>
  <c r="FI37" i="90"/>
  <c r="FD101" i="90"/>
  <c r="FI101" i="90"/>
  <c r="FD22" i="90"/>
  <c r="FI22" i="90"/>
  <c r="FD51" i="90"/>
  <c r="FI51" i="90"/>
  <c r="FD88" i="90"/>
  <c r="FI88" i="90"/>
  <c r="FI161" i="90"/>
  <c r="FD161" i="90"/>
  <c r="FD102" i="90"/>
  <c r="FI102" i="90"/>
  <c r="FI83" i="90"/>
  <c r="FD83" i="90"/>
  <c r="FI97" i="90"/>
  <c r="FD97" i="90"/>
  <c r="FD54" i="90"/>
  <c r="FI54" i="90"/>
  <c r="FD85" i="90"/>
  <c r="FI85" i="90"/>
  <c r="FI48" i="90"/>
  <c r="FD48" i="90"/>
  <c r="FD43" i="90"/>
  <c r="FI43" i="90"/>
  <c r="FI10" i="90"/>
  <c r="FD10" i="90"/>
  <c r="FI82" i="90"/>
  <c r="FD82" i="90"/>
  <c r="FD44" i="90"/>
  <c r="FI44" i="90"/>
  <c r="FI108" i="90"/>
  <c r="FD108" i="90"/>
  <c r="FD75" i="90"/>
  <c r="FI75" i="90"/>
  <c r="FD87" i="90"/>
  <c r="FI87" i="90"/>
  <c r="FD94" i="90"/>
  <c r="FI94" i="90"/>
  <c r="FD126" i="90"/>
  <c r="FI126" i="90"/>
  <c r="FI39" i="90"/>
  <c r="FD39" i="90"/>
  <c r="FI117" i="90"/>
  <c r="FD117" i="90"/>
  <c r="FI45" i="90"/>
  <c r="FD45" i="90"/>
  <c r="FD59" i="90"/>
  <c r="FI59" i="90"/>
  <c r="FD52" i="90"/>
  <c r="FI52" i="90"/>
  <c r="FI96" i="90"/>
  <c r="FD96" i="90"/>
  <c r="FI152" i="90"/>
  <c r="FD152" i="90"/>
  <c r="FD143" i="90"/>
  <c r="FI143" i="90"/>
  <c r="FI207" i="90"/>
  <c r="FD207" i="90"/>
  <c r="FD128" i="90"/>
  <c r="FI128" i="90"/>
  <c r="FD157" i="90"/>
  <c r="FI157" i="90"/>
  <c r="FD194" i="90"/>
  <c r="FI194" i="90"/>
  <c r="FD55" i="90"/>
  <c r="FI55" i="90"/>
  <c r="FI208" i="90"/>
  <c r="FD208" i="90"/>
  <c r="FD189" i="90"/>
  <c r="FI189" i="90"/>
  <c r="FD203" i="90"/>
  <c r="FI203" i="90"/>
  <c r="FD160" i="90"/>
  <c r="FI160" i="90"/>
  <c r="FD191" i="90"/>
  <c r="FI191" i="90"/>
  <c r="FD154" i="90"/>
  <c r="FI154" i="90"/>
  <c r="FD149" i="90"/>
  <c r="FI149" i="90"/>
  <c r="FD116" i="90"/>
  <c r="FI116" i="90"/>
  <c r="FD188" i="90"/>
  <c r="FI188" i="90"/>
  <c r="FI150" i="90"/>
  <c r="FD150" i="90"/>
  <c r="FD214" i="90"/>
  <c r="FI214" i="90"/>
  <c r="FI181" i="90"/>
  <c r="FD181" i="90"/>
  <c r="FD193" i="90"/>
  <c r="FI193" i="90"/>
  <c r="FD200" i="90"/>
  <c r="FI200" i="90"/>
  <c r="FI145" i="90"/>
  <c r="FD145" i="90"/>
  <c r="FI151" i="90"/>
  <c r="FD151" i="90"/>
  <c r="FI165" i="90"/>
  <c r="FD165" i="90"/>
  <c r="FD158" i="90"/>
  <c r="FI158" i="90"/>
  <c r="FD202" i="90"/>
  <c r="FI202" i="90"/>
  <c r="FI53" i="90"/>
  <c r="FD53" i="90"/>
  <c r="FD50" i="90"/>
  <c r="FI50" i="90"/>
  <c r="FI60" i="90"/>
  <c r="FD60" i="90"/>
  <c r="FI70" i="90"/>
  <c r="FD70" i="90"/>
  <c r="FD92" i="90"/>
  <c r="FI92" i="90"/>
  <c r="FI68" i="90"/>
  <c r="FD68" i="90"/>
  <c r="FI71" i="90"/>
  <c r="FD71" i="90"/>
  <c r="FI27" i="90"/>
  <c r="FD27" i="90"/>
  <c r="FD67" i="90"/>
  <c r="FI67" i="90"/>
  <c r="FD69" i="90"/>
  <c r="FI69" i="90"/>
  <c r="FI66" i="90"/>
  <c r="FD66" i="90"/>
  <c r="FI11" i="90"/>
  <c r="FD11" i="90"/>
  <c r="FD79" i="90"/>
  <c r="FI79" i="90"/>
  <c r="FD107" i="90"/>
  <c r="FI107" i="90"/>
  <c r="FI93" i="90"/>
  <c r="FD93" i="90"/>
  <c r="FD42" i="90"/>
  <c r="FI42" i="90"/>
  <c r="FI127" i="90"/>
  <c r="FD127" i="90"/>
  <c r="FI159" i="90"/>
  <c r="FD159" i="90"/>
  <c r="FD156" i="90"/>
  <c r="FI156" i="90"/>
  <c r="FI166" i="90"/>
  <c r="FD166" i="90"/>
  <c r="FD176" i="90"/>
  <c r="FI176" i="90"/>
  <c r="FD198" i="90"/>
  <c r="FI198" i="90"/>
  <c r="FI174" i="90"/>
  <c r="FD174" i="90"/>
  <c r="FI177" i="90"/>
  <c r="FD177" i="90"/>
  <c r="FD133" i="90"/>
  <c r="FI133" i="90"/>
  <c r="FD173" i="90"/>
  <c r="FI173" i="90"/>
  <c r="FI175" i="90"/>
  <c r="FD175" i="90"/>
  <c r="FD20" i="90"/>
  <c r="FI20" i="90"/>
  <c r="FD172" i="90"/>
  <c r="FI172" i="90"/>
  <c r="FD185" i="90"/>
  <c r="FI185" i="90"/>
  <c r="FI213" i="90"/>
  <c r="FD213" i="90"/>
  <c r="FD9" i="90"/>
  <c r="FI9" i="90"/>
  <c r="FD199" i="90"/>
  <c r="FI199" i="90"/>
  <c r="FD148" i="90"/>
  <c r="FI148" i="90"/>
  <c r="FI25" i="90"/>
  <c r="FD25" i="90"/>
  <c r="FI64" i="90"/>
  <c r="FD64" i="90"/>
  <c r="FI62" i="90"/>
  <c r="FD62" i="90"/>
  <c r="FI90" i="90"/>
  <c r="FD90" i="90"/>
  <c r="FI123" i="90"/>
  <c r="FD123" i="90"/>
  <c r="FD58" i="90"/>
  <c r="FI58" i="90"/>
  <c r="FD99" i="90"/>
  <c r="FI99" i="90"/>
  <c r="FI15" i="90"/>
  <c r="FD15" i="90"/>
  <c r="FD183" i="90"/>
  <c r="FI183" i="90"/>
  <c r="FD14" i="90"/>
  <c r="FI14" i="90"/>
  <c r="FD84" i="90"/>
  <c r="FI84" i="90"/>
  <c r="FI130" i="90"/>
  <c r="FD130" i="90"/>
  <c r="FD31" i="90"/>
  <c r="FI31" i="90"/>
  <c r="FD78" i="90"/>
  <c r="FI78" i="90"/>
  <c r="FD26" i="90"/>
  <c r="FI26" i="90"/>
  <c r="FI57" i="90"/>
  <c r="FD57" i="90"/>
  <c r="FI29" i="90"/>
  <c r="FD29" i="90"/>
  <c r="FI73" i="90"/>
  <c r="FD73" i="90"/>
  <c r="FD91" i="90"/>
  <c r="FI91" i="90"/>
  <c r="FD16" i="90"/>
  <c r="FI16" i="90"/>
  <c r="FD30" i="90"/>
  <c r="FI30" i="90"/>
  <c r="FD40" i="90"/>
  <c r="FI40" i="90"/>
  <c r="FD63" i="90"/>
  <c r="FI63" i="90"/>
  <c r="FI104" i="90"/>
  <c r="FD104" i="90"/>
  <c r="FI34" i="90"/>
  <c r="FD34" i="90"/>
  <c r="FD100" i="90"/>
  <c r="FI100" i="90"/>
  <c r="FD131" i="90"/>
  <c r="FI131" i="90"/>
  <c r="FD170" i="90"/>
  <c r="FI170" i="90"/>
  <c r="FI168" i="90"/>
  <c r="FD168" i="90"/>
  <c r="FD196" i="90"/>
  <c r="FI196" i="90"/>
  <c r="FD17" i="90"/>
  <c r="FI17" i="90"/>
  <c r="FD164" i="90"/>
  <c r="FI164" i="90"/>
  <c r="FI205" i="90"/>
  <c r="FD205" i="90"/>
  <c r="FI121" i="90"/>
  <c r="FD121" i="90"/>
  <c r="FD77" i="90"/>
  <c r="FI77" i="90"/>
  <c r="FI120" i="90"/>
  <c r="FD120" i="90"/>
  <c r="FI190" i="90"/>
  <c r="FD190" i="90"/>
  <c r="FD24" i="90"/>
  <c r="FI24" i="90"/>
  <c r="FI137" i="90"/>
  <c r="FD137" i="90"/>
  <c r="FI184" i="90"/>
  <c r="FD184" i="90"/>
  <c r="FD119" i="90"/>
  <c r="FI119" i="90"/>
  <c r="FI132" i="90"/>
  <c r="FD132" i="90"/>
  <c r="FD163" i="90"/>
  <c r="FI163" i="90"/>
  <c r="FI135" i="90"/>
  <c r="FD135" i="90"/>
  <c r="FI179" i="90"/>
  <c r="FD179" i="90"/>
  <c r="FD197" i="90"/>
  <c r="FI197" i="90"/>
  <c r="FI122" i="90"/>
  <c r="FD122" i="90"/>
  <c r="FD136" i="90"/>
  <c r="FI136" i="90"/>
  <c r="FD146" i="90"/>
  <c r="FI146" i="90"/>
  <c r="FD169" i="90"/>
  <c r="FI169" i="90"/>
  <c r="FD210" i="90"/>
  <c r="FI210" i="90"/>
  <c r="FI140" i="90"/>
  <c r="FD140" i="90"/>
  <c r="FD115" i="90"/>
  <c r="FI115" i="90"/>
  <c r="FI206" i="90"/>
  <c r="FD206" i="90"/>
  <c r="FD21" i="90"/>
  <c r="FI21" i="90"/>
  <c r="FI56" i="90"/>
  <c r="FD56" i="90"/>
  <c r="FD38" i="90"/>
  <c r="FI38" i="90"/>
  <c r="FD61" i="90"/>
  <c r="FI61" i="90"/>
  <c r="FI76" i="90"/>
  <c r="FD76" i="90"/>
  <c r="FD80" i="90"/>
  <c r="FI80" i="90"/>
  <c r="FI74" i="90"/>
  <c r="FD74" i="90"/>
  <c r="FD41" i="90"/>
  <c r="FI41" i="90"/>
  <c r="FI98" i="90"/>
  <c r="FD98" i="90"/>
  <c r="FI95" i="90"/>
  <c r="FD95" i="90"/>
  <c r="FI65" i="90"/>
  <c r="FD65" i="90"/>
  <c r="FD35" i="90"/>
  <c r="FI35" i="90"/>
  <c r="FI106" i="90"/>
  <c r="FD106" i="90"/>
  <c r="FI32" i="90"/>
  <c r="FD32" i="90"/>
  <c r="FD103" i="90"/>
  <c r="FI103" i="90"/>
  <c r="FI19" i="90"/>
  <c r="FD19" i="90"/>
  <c r="FD23" i="90"/>
  <c r="FI23" i="90"/>
  <c r="FD36" i="90"/>
  <c r="FI36" i="90"/>
  <c r="FD86" i="90"/>
  <c r="FI86" i="90"/>
  <c r="FD47" i="90"/>
  <c r="FI47" i="90"/>
  <c r="FD12" i="90"/>
  <c r="FI12" i="90"/>
  <c r="FD105" i="90"/>
  <c r="FI105" i="90"/>
  <c r="FD49" i="90"/>
  <c r="FI49" i="90"/>
  <c r="FD81" i="90"/>
  <c r="FI81" i="90"/>
  <c r="FI28" i="90"/>
  <c r="FD28" i="90"/>
  <c r="FI33" i="90"/>
  <c r="FD33" i="90"/>
  <c r="FI89" i="90"/>
  <c r="FD89" i="90"/>
  <c r="FD72" i="90"/>
  <c r="FI72" i="90"/>
  <c r="FI18" i="90"/>
  <c r="FD18" i="90"/>
  <c r="FI162" i="90"/>
  <c r="FD162" i="90"/>
  <c r="FD144" i="90"/>
  <c r="FI144" i="90"/>
  <c r="FI167" i="90"/>
  <c r="FD167" i="90"/>
  <c r="FD182" i="90"/>
  <c r="FI182" i="90"/>
  <c r="FD186" i="90"/>
  <c r="FI186" i="90"/>
  <c r="FD180" i="90"/>
  <c r="FI180" i="90"/>
  <c r="FD147" i="90"/>
  <c r="FI147" i="90"/>
  <c r="FD204" i="90"/>
  <c r="FI204" i="90"/>
  <c r="FD201" i="90"/>
  <c r="FI201" i="90"/>
  <c r="FD171" i="90"/>
  <c r="FI171" i="90"/>
  <c r="FD141" i="90"/>
  <c r="FI141" i="90"/>
  <c r="FI212" i="90"/>
  <c r="FD212" i="90"/>
  <c r="FI138" i="90"/>
  <c r="FD138" i="90"/>
  <c r="FI209" i="90"/>
  <c r="FD209" i="90"/>
  <c r="FI125" i="90"/>
  <c r="FD125" i="90"/>
  <c r="FD129" i="90"/>
  <c r="FI129" i="90"/>
  <c r="FI13" i="90"/>
  <c r="FD13" i="90"/>
  <c r="FD142" i="90"/>
  <c r="FI142" i="90"/>
  <c r="FD192" i="90"/>
  <c r="FI192" i="90"/>
  <c r="FI153" i="90"/>
  <c r="FD153" i="90"/>
  <c r="FD118" i="90"/>
  <c r="FI118" i="90"/>
  <c r="FD211" i="90"/>
  <c r="FI211" i="90"/>
  <c r="FI155" i="90"/>
  <c r="FD155" i="90"/>
  <c r="FI187" i="90"/>
  <c r="FD187" i="90"/>
  <c r="FD134" i="90"/>
  <c r="FI134" i="90"/>
  <c r="FI139" i="90"/>
  <c r="FD139" i="90"/>
  <c r="FD195" i="90"/>
  <c r="FI195" i="90"/>
  <c r="FD178" i="90"/>
  <c r="FI178" i="90"/>
  <c r="A304" i="90"/>
  <c r="A317" i="90"/>
  <c r="CO48" i="90"/>
  <c r="CT48" i="90"/>
  <c r="AF92" i="90"/>
  <c r="CP177" i="90"/>
  <c r="CU177" i="90"/>
  <c r="G241" i="90"/>
  <c r="C344" i="90" s="1"/>
  <c r="AF136" i="90"/>
  <c r="CO65" i="90"/>
  <c r="CT65" i="90"/>
  <c r="G299" i="90"/>
  <c r="C402" i="90" s="1"/>
  <c r="AF194" i="90"/>
  <c r="CP171" i="90"/>
  <c r="CU171" i="90"/>
  <c r="AF183" i="90"/>
  <c r="G288" i="90"/>
  <c r="C391" i="90" s="1"/>
  <c r="AF218" i="90"/>
  <c r="G323" i="90"/>
  <c r="C426" i="90" s="1"/>
  <c r="AF105" i="90"/>
  <c r="AF180" i="90"/>
  <c r="G285" i="90"/>
  <c r="C388" i="90" s="1"/>
  <c r="CT30" i="90"/>
  <c r="CO30" i="90"/>
  <c r="CO71" i="90"/>
  <c r="CT71" i="90"/>
  <c r="CU226" i="90"/>
  <c r="CP226" i="90"/>
  <c r="CO52" i="90"/>
  <c r="CT52" i="90"/>
  <c r="CO112" i="90"/>
  <c r="CT112" i="90"/>
  <c r="AF164" i="90"/>
  <c r="G269" i="90"/>
  <c r="C372" i="90" s="1"/>
  <c r="G244" i="90"/>
  <c r="C347" i="90" s="1"/>
  <c r="AF139" i="90"/>
  <c r="CT41" i="90"/>
  <c r="CO41" i="90"/>
  <c r="AF158" i="90"/>
  <c r="G263" i="90"/>
  <c r="C366" i="90" s="1"/>
  <c r="CT58" i="90"/>
  <c r="CO58" i="90"/>
  <c r="CU222" i="90"/>
  <c r="CP222" i="90"/>
  <c r="CO81" i="90"/>
  <c r="CT81" i="90"/>
  <c r="AF203" i="90"/>
  <c r="G308" i="90"/>
  <c r="C411" i="90" s="1"/>
  <c r="G238" i="90"/>
  <c r="C341" i="90" s="1"/>
  <c r="AF133" i="90"/>
  <c r="AF184" i="90"/>
  <c r="G289" i="90"/>
  <c r="C392" i="90" s="1"/>
  <c r="AF161" i="90"/>
  <c r="G266" i="90"/>
  <c r="C369" i="90" s="1"/>
  <c r="CT22" i="90"/>
  <c r="CO22" i="90"/>
  <c r="CT68" i="90"/>
  <c r="CO68" i="90"/>
  <c r="CP202" i="90"/>
  <c r="CU202" i="90"/>
  <c r="CO86" i="90"/>
  <c r="CT86" i="90"/>
  <c r="AF156" i="90"/>
  <c r="G261" i="90"/>
  <c r="C364" i="90" s="1"/>
  <c r="G254" i="90"/>
  <c r="C357" i="90" s="1"/>
  <c r="AF149" i="90"/>
  <c r="CO66" i="90"/>
  <c r="CT66" i="90"/>
  <c r="CU128" i="90"/>
  <c r="CP128" i="90"/>
  <c r="AF79" i="90"/>
  <c r="CP213" i="90"/>
  <c r="CU213" i="90"/>
  <c r="CT110" i="90"/>
  <c r="CO110" i="90"/>
  <c r="CU151" i="90"/>
  <c r="CP151" i="90"/>
  <c r="AF67" i="90"/>
  <c r="CO43" i="90"/>
  <c r="CT43" i="90"/>
  <c r="CT56" i="90"/>
  <c r="CO56" i="90"/>
  <c r="AF62" i="90"/>
  <c r="AF192" i="90"/>
  <c r="G297" i="90"/>
  <c r="C400" i="90" s="1"/>
  <c r="AF101" i="90"/>
  <c r="AF59" i="90"/>
  <c r="G312" i="90"/>
  <c r="C415" i="90" s="1"/>
  <c r="AF207" i="90"/>
  <c r="CP199" i="90"/>
  <c r="CU199" i="90"/>
  <c r="CO70" i="90"/>
  <c r="CT70" i="90"/>
  <c r="AF29" i="90"/>
  <c r="AF65" i="90"/>
  <c r="AF108" i="90"/>
  <c r="CU168" i="90"/>
  <c r="CP168" i="90"/>
  <c r="AF171" i="90"/>
  <c r="G276" i="90"/>
  <c r="C379" i="90" s="1"/>
  <c r="CU197" i="90"/>
  <c r="CP197" i="90"/>
  <c r="G242" i="90"/>
  <c r="C345" i="90" s="1"/>
  <c r="AF137" i="90"/>
  <c r="AF226" i="90"/>
  <c r="G331" i="90"/>
  <c r="C434" i="90" s="1"/>
  <c r="CO103" i="90"/>
  <c r="CT103" i="90"/>
  <c r="CP219" i="90"/>
  <c r="CU219" i="90"/>
  <c r="CO83" i="90"/>
  <c r="CT83" i="90"/>
  <c r="AF69" i="90"/>
  <c r="CO57" i="90"/>
  <c r="CT57" i="90"/>
  <c r="CU139" i="90"/>
  <c r="CP139" i="90"/>
  <c r="AF20" i="90"/>
  <c r="G270" i="90"/>
  <c r="C373" i="90" s="1"/>
  <c r="AF165" i="90"/>
  <c r="AF222" i="90"/>
  <c r="G327" i="90"/>
  <c r="C430" i="90" s="1"/>
  <c r="AF81" i="90"/>
  <c r="CT96" i="90"/>
  <c r="CO96" i="90"/>
  <c r="CU133" i="90"/>
  <c r="CP133" i="90"/>
  <c r="CU184" i="90"/>
  <c r="CP184" i="90"/>
  <c r="G309" i="90"/>
  <c r="C412" i="90" s="1"/>
  <c r="AF204" i="90"/>
  <c r="G234" i="90"/>
  <c r="C337" i="90" s="1"/>
  <c r="AF129" i="90"/>
  <c r="G280" i="90"/>
  <c r="C383" i="90" s="1"/>
  <c r="AF175" i="90"/>
  <c r="CO95" i="90"/>
  <c r="CT95" i="90"/>
  <c r="AF86" i="90"/>
  <c r="AF42" i="90"/>
  <c r="G278" i="90"/>
  <c r="C381" i="90" s="1"/>
  <c r="AF173" i="90"/>
  <c r="CO79" i="90"/>
  <c r="CT79" i="90"/>
  <c r="CU174" i="90"/>
  <c r="CP174" i="90"/>
  <c r="AF150" i="90"/>
  <c r="G255" i="90"/>
  <c r="C358" i="90" s="1"/>
  <c r="G268" i="90"/>
  <c r="C371" i="90" s="1"/>
  <c r="AF163" i="90"/>
  <c r="CT62" i="90"/>
  <c r="CO62" i="90"/>
  <c r="CT101" i="90"/>
  <c r="CO101" i="90"/>
  <c r="AF53" i="90"/>
  <c r="CP140" i="90"/>
  <c r="CU140" i="90"/>
  <c r="AF72" i="90"/>
  <c r="CT59" i="90"/>
  <c r="CO59" i="90"/>
  <c r="AF93" i="90"/>
  <c r="AF187" i="90"/>
  <c r="G292" i="90"/>
  <c r="C395" i="90" s="1"/>
  <c r="CP141" i="90"/>
  <c r="CU141" i="90"/>
  <c r="CO92" i="90"/>
  <c r="CT92" i="90"/>
  <c r="G282" i="90"/>
  <c r="C385" i="90" s="1"/>
  <c r="AF177" i="90"/>
  <c r="AF172" i="90"/>
  <c r="G277" i="90"/>
  <c r="C380" i="90" s="1"/>
  <c r="CO64" i="90"/>
  <c r="CT64" i="90"/>
  <c r="CT90" i="90"/>
  <c r="CO90" i="90"/>
  <c r="AF212" i="90"/>
  <c r="G317" i="90"/>
  <c r="C420" i="90" s="1"/>
  <c r="A353" i="90"/>
  <c r="AF38" i="90"/>
  <c r="A283" i="90"/>
  <c r="AF71" i="90"/>
  <c r="A310" i="90"/>
  <c r="AF98" i="90"/>
  <c r="CT119" i="90"/>
  <c r="CO119" i="90"/>
  <c r="A264" i="90"/>
  <c r="AF52" i="90"/>
  <c r="G315" i="90"/>
  <c r="C418" i="90" s="1"/>
  <c r="AF210" i="90"/>
  <c r="A428" i="90"/>
  <c r="AF113" i="90"/>
  <c r="CP176" i="90"/>
  <c r="CU176" i="90"/>
  <c r="CU138" i="90"/>
  <c r="CP138" i="90"/>
  <c r="AF39" i="90"/>
  <c r="G272" i="90"/>
  <c r="C375" i="90" s="1"/>
  <c r="AF167" i="90"/>
  <c r="CO20" i="90"/>
  <c r="CT20" i="90"/>
  <c r="CO46" i="90"/>
  <c r="CT46" i="90"/>
  <c r="A366" i="90"/>
  <c r="AF51" i="90"/>
  <c r="A431" i="90"/>
  <c r="AF116" i="90"/>
  <c r="A373" i="90"/>
  <c r="AF58" i="90"/>
  <c r="CU182" i="90"/>
  <c r="CP182" i="90"/>
  <c r="CO26" i="90"/>
  <c r="CT26" i="90"/>
  <c r="CO77" i="90"/>
  <c r="CT77" i="90"/>
  <c r="G301" i="90"/>
  <c r="C404" i="90" s="1"/>
  <c r="AF196" i="90"/>
  <c r="CU204" i="90"/>
  <c r="CP204" i="90"/>
  <c r="A369" i="90"/>
  <c r="AF54" i="90"/>
  <c r="G298" i="90"/>
  <c r="C401" i="90" s="1"/>
  <c r="AF193" i="90"/>
  <c r="A259" i="90"/>
  <c r="AF47" i="90"/>
  <c r="A397" i="90"/>
  <c r="AF82" i="90"/>
  <c r="AF135" i="90"/>
  <c r="G240" i="90"/>
  <c r="C343" i="90" s="1"/>
  <c r="AF23" i="90"/>
  <c r="CT37" i="90"/>
  <c r="CO37" i="90"/>
  <c r="CU186" i="90"/>
  <c r="CP186" i="90"/>
  <c r="CT106" i="90"/>
  <c r="CO106" i="90"/>
  <c r="AF143" i="90"/>
  <c r="G248" i="90"/>
  <c r="C351" i="90" s="1"/>
  <c r="CU201" i="90"/>
  <c r="CP201" i="90"/>
  <c r="CO44" i="90"/>
  <c r="CT44" i="90"/>
  <c r="CU206" i="90"/>
  <c r="CP206" i="90"/>
  <c r="CU152" i="90"/>
  <c r="CP152" i="90"/>
  <c r="A371" i="90"/>
  <c r="AF56" i="90"/>
  <c r="G236" i="90"/>
  <c r="C339" i="90" s="1"/>
  <c r="AF131" i="90"/>
  <c r="CP169" i="90"/>
  <c r="CU169" i="90"/>
  <c r="AF160" i="90"/>
  <c r="G265" i="90"/>
  <c r="C368" i="90" s="1"/>
  <c r="CT33" i="90"/>
  <c r="CO33" i="90"/>
  <c r="CO35" i="90"/>
  <c r="CT35" i="90"/>
  <c r="CT72" i="90"/>
  <c r="CO72" i="90"/>
  <c r="CP166" i="90"/>
  <c r="CU166" i="90"/>
  <c r="CU200" i="90"/>
  <c r="CP200" i="90"/>
  <c r="CO88" i="90"/>
  <c r="CT88" i="90"/>
  <c r="AF141" i="90"/>
  <c r="G246" i="90"/>
  <c r="C349" i="90" s="1"/>
  <c r="AF199" i="90"/>
  <c r="G304" i="90"/>
  <c r="C407" i="90" s="1"/>
  <c r="CT87" i="90"/>
  <c r="CO87" i="90"/>
  <c r="CT63" i="90"/>
  <c r="CO63" i="90"/>
  <c r="CP218" i="90"/>
  <c r="CU218" i="90"/>
  <c r="AF185" i="90"/>
  <c r="G290" i="90"/>
  <c r="C393" i="90" s="1"/>
  <c r="AF197" i="90"/>
  <c r="G302" i="90"/>
  <c r="C405" i="90" s="1"/>
  <c r="CT105" i="90"/>
  <c r="CO105" i="90"/>
  <c r="CO117" i="90"/>
  <c r="CT117" i="90"/>
  <c r="AF30" i="90"/>
  <c r="CP145" i="90"/>
  <c r="CU145" i="90"/>
  <c r="CU178" i="90"/>
  <c r="CP178" i="90"/>
  <c r="AF205" i="90"/>
  <c r="G310" i="90"/>
  <c r="C413" i="90" s="1"/>
  <c r="AF50" i="90"/>
  <c r="CP159" i="90"/>
  <c r="CU159" i="90"/>
  <c r="G325" i="90"/>
  <c r="C428" i="90" s="1"/>
  <c r="AF220" i="90"/>
  <c r="AF83" i="90"/>
  <c r="CT69" i="90"/>
  <c r="CO69" i="90"/>
  <c r="CO31" i="90"/>
  <c r="CT31" i="90"/>
  <c r="AF134" i="90"/>
  <c r="G239" i="90"/>
  <c r="C342" i="90" s="1"/>
  <c r="G330" i="90"/>
  <c r="C433" i="90" s="1"/>
  <c r="AF225" i="90"/>
  <c r="G232" i="90"/>
  <c r="C335" i="90" s="1"/>
  <c r="AF127" i="90"/>
  <c r="CO51" i="90"/>
  <c r="CT51" i="90"/>
  <c r="CO116" i="90"/>
  <c r="CT116" i="90"/>
  <c r="AF115" i="90"/>
  <c r="G287" i="90"/>
  <c r="C390" i="90" s="1"/>
  <c r="AF182" i="90"/>
  <c r="AF96" i="90"/>
  <c r="AF109" i="90"/>
  <c r="CU196" i="90"/>
  <c r="CP196" i="90"/>
  <c r="CT97" i="90"/>
  <c r="CO97" i="90"/>
  <c r="AF68" i="90"/>
  <c r="CO82" i="90"/>
  <c r="CT82" i="90"/>
  <c r="AF66" i="90"/>
  <c r="BH233" i="90"/>
  <c r="AF128" i="90"/>
  <c r="G233" i="90"/>
  <c r="C336" i="90" s="1"/>
  <c r="G249" i="90"/>
  <c r="C352" i="90" s="1"/>
  <c r="AF144" i="90"/>
  <c r="G318" i="90"/>
  <c r="C421" i="90" s="1"/>
  <c r="AF213" i="90"/>
  <c r="AF36" i="90"/>
  <c r="CO94" i="90"/>
  <c r="CT94" i="90"/>
  <c r="G256" i="90"/>
  <c r="C359" i="90" s="1"/>
  <c r="AF151" i="90"/>
  <c r="AF174" i="90"/>
  <c r="G279" i="90"/>
  <c r="C382" i="90" s="1"/>
  <c r="AF114" i="90"/>
  <c r="CO99" i="90"/>
  <c r="CT99" i="90"/>
  <c r="CP163" i="90"/>
  <c r="CU163" i="90"/>
  <c r="AF169" i="90"/>
  <c r="G274" i="90"/>
  <c r="C377" i="90" s="1"/>
  <c r="CU192" i="90"/>
  <c r="CP192" i="90"/>
  <c r="AF25" i="90"/>
  <c r="R8" i="70" s="1"/>
  <c r="CU160" i="90"/>
  <c r="CP160" i="90"/>
  <c r="AF33" i="90"/>
  <c r="AF35" i="90"/>
  <c r="AF91" i="90"/>
  <c r="G271" i="90"/>
  <c r="C374" i="90" s="1"/>
  <c r="AF166" i="90"/>
  <c r="CU207" i="90"/>
  <c r="CP207" i="90"/>
  <c r="AF195" i="90"/>
  <c r="G300" i="90"/>
  <c r="C403" i="90" s="1"/>
  <c r="CO34" i="90"/>
  <c r="CT34" i="90"/>
  <c r="CU136" i="90"/>
  <c r="CP136" i="90"/>
  <c r="AF215" i="90"/>
  <c r="G320" i="90"/>
  <c r="C423" i="90" s="1"/>
  <c r="AF168" i="90"/>
  <c r="G273" i="90"/>
  <c r="C376" i="90" s="1"/>
  <c r="AF63" i="90"/>
  <c r="CO111" i="90"/>
  <c r="CT111" i="90"/>
  <c r="CU180" i="90"/>
  <c r="CP180" i="90"/>
  <c r="AF224" i="90"/>
  <c r="G329" i="90"/>
  <c r="C432" i="90" s="1"/>
  <c r="CO38" i="90"/>
  <c r="CT38" i="90"/>
  <c r="CP220" i="90"/>
  <c r="CU220" i="90"/>
  <c r="CU190" i="90"/>
  <c r="CP190" i="90"/>
  <c r="CT74" i="90"/>
  <c r="CO74" i="90"/>
  <c r="AF118" i="90"/>
  <c r="AF191" i="90"/>
  <c r="G296" i="90"/>
  <c r="C399" i="90" s="1"/>
  <c r="CP158" i="90"/>
  <c r="CU158" i="90"/>
  <c r="CP223" i="90"/>
  <c r="CU223" i="90"/>
  <c r="AF188" i="90"/>
  <c r="G293" i="90"/>
  <c r="C396" i="90" s="1"/>
  <c r="CP203" i="90"/>
  <c r="CU203" i="90"/>
  <c r="AF107" i="90"/>
  <c r="AF26" i="90"/>
  <c r="G321" i="90"/>
  <c r="C424" i="90" s="1"/>
  <c r="AF216" i="90"/>
  <c r="AF49" i="90"/>
  <c r="CO47" i="90"/>
  <c r="CT47" i="90"/>
  <c r="CU149" i="90"/>
  <c r="CP149" i="90"/>
  <c r="CO104" i="90"/>
  <c r="CT104" i="90"/>
  <c r="CO55" i="90"/>
  <c r="CT55" i="90"/>
  <c r="CP130" i="90"/>
  <c r="CU130" i="90"/>
  <c r="CP173" i="90"/>
  <c r="CU173" i="90"/>
  <c r="AF37" i="90"/>
  <c r="AF44" i="90"/>
  <c r="CU221" i="90"/>
  <c r="CP221" i="90"/>
  <c r="AF206" i="90"/>
  <c r="G311" i="90"/>
  <c r="C414" i="90" s="1"/>
  <c r="AF45" i="90"/>
  <c r="CT24" i="90"/>
  <c r="CO24" i="90"/>
  <c r="CU208" i="90"/>
  <c r="CP208" i="90"/>
  <c r="AF132" i="90"/>
  <c r="G237" i="90"/>
  <c r="C340" i="90" s="1"/>
  <c r="CO53" i="90"/>
  <c r="CT53" i="90"/>
  <c r="AF102" i="90"/>
  <c r="AF142" i="90"/>
  <c r="G247" i="90"/>
  <c r="C350" i="90" s="1"/>
  <c r="G284" i="90"/>
  <c r="C387" i="90" s="1"/>
  <c r="AF179" i="90"/>
  <c r="CP198" i="90"/>
  <c r="CU198" i="90"/>
  <c r="CT40" i="90"/>
  <c r="CO40" i="90"/>
  <c r="CO93" i="90"/>
  <c r="CT93" i="90"/>
  <c r="CO80" i="90"/>
  <c r="CT80" i="90"/>
  <c r="CP195" i="90"/>
  <c r="CU195" i="90"/>
  <c r="AF155" i="90"/>
  <c r="G260" i="90"/>
  <c r="C363" i="90" s="1"/>
  <c r="CT29" i="90"/>
  <c r="CO29" i="90"/>
  <c r="CU215" i="90"/>
  <c r="CP215" i="90"/>
  <c r="AF61" i="90"/>
  <c r="AF76" i="90"/>
  <c r="CP170" i="90"/>
  <c r="CU170" i="90"/>
  <c r="AF111" i="90"/>
  <c r="AF78" i="90"/>
  <c r="AF90" i="90"/>
  <c r="CO73" i="90"/>
  <c r="CT73" i="90"/>
  <c r="AF117" i="90"/>
  <c r="CU137" i="90"/>
  <c r="CP137" i="90"/>
  <c r="AF178" i="90"/>
  <c r="G283" i="90"/>
  <c r="C386" i="90" s="1"/>
  <c r="CO98" i="90"/>
  <c r="CT98" i="90"/>
  <c r="AF119" i="90"/>
  <c r="CO50" i="90"/>
  <c r="CT50" i="90"/>
  <c r="AF159" i="90"/>
  <c r="G264" i="90"/>
  <c r="C367" i="90" s="1"/>
  <c r="CT113" i="90"/>
  <c r="CO113" i="90"/>
  <c r="BH295" i="90"/>
  <c r="AF190" i="90"/>
  <c r="G295" i="90"/>
  <c r="C398" i="90" s="1"/>
  <c r="AF74" i="90"/>
  <c r="CP164" i="90"/>
  <c r="CU164" i="90"/>
  <c r="CO27" i="90"/>
  <c r="CT27" i="90"/>
  <c r="AF84" i="90"/>
  <c r="CU146" i="90"/>
  <c r="CP146" i="90"/>
  <c r="G253" i="90"/>
  <c r="C356" i="90" s="1"/>
  <c r="AF148" i="90"/>
  <c r="AF60" i="90"/>
  <c r="CX127" i="90"/>
  <c r="CW232" i="90" s="1"/>
  <c r="CP127" i="90"/>
  <c r="CU127" i="90"/>
  <c r="CP153" i="90"/>
  <c r="CU153" i="90"/>
  <c r="AF223" i="90"/>
  <c r="G328" i="90"/>
  <c r="C431" i="90" s="1"/>
  <c r="CP165" i="90"/>
  <c r="CU165" i="90"/>
  <c r="CU188" i="90"/>
  <c r="CP188" i="90"/>
  <c r="CO107" i="90"/>
  <c r="CT107" i="90"/>
  <c r="CU216" i="90"/>
  <c r="CP216" i="90"/>
  <c r="AF77" i="90"/>
  <c r="AF97" i="90"/>
  <c r="AF202" i="90"/>
  <c r="G307" i="90"/>
  <c r="C410" i="90" s="1"/>
  <c r="CP154" i="90"/>
  <c r="CU154" i="90"/>
  <c r="CO42" i="90"/>
  <c r="CT42" i="90"/>
  <c r="AF211" i="90"/>
  <c r="G316" i="90"/>
  <c r="C419" i="90" s="1"/>
  <c r="CP135" i="90"/>
  <c r="CU135" i="90"/>
  <c r="G267" i="90"/>
  <c r="C370" i="90" s="1"/>
  <c r="AF162" i="90"/>
  <c r="CT23" i="90"/>
  <c r="CO23" i="90"/>
  <c r="CP144" i="90"/>
  <c r="CU144" i="90"/>
  <c r="AF106" i="90"/>
  <c r="CU217" i="90"/>
  <c r="CP217" i="90"/>
  <c r="CT114" i="90"/>
  <c r="CO114" i="90"/>
  <c r="AF99" i="90"/>
  <c r="CO45" i="90"/>
  <c r="CT45" i="90"/>
  <c r="G313" i="90"/>
  <c r="C416" i="90" s="1"/>
  <c r="AF208" i="90"/>
  <c r="CT25" i="90"/>
  <c r="CO25" i="90"/>
  <c r="CP209" i="90"/>
  <c r="CU209" i="90"/>
  <c r="CU179" i="90"/>
  <c r="CP179" i="90"/>
  <c r="CU147" i="90"/>
  <c r="CP147" i="90"/>
  <c r="AF200" i="90"/>
  <c r="G305" i="90"/>
  <c r="C408" i="90" s="1"/>
  <c r="AF80" i="90"/>
  <c r="CP155" i="90"/>
  <c r="CU155" i="90"/>
  <c r="AF34" i="90"/>
  <c r="CU172" i="90"/>
  <c r="CP172" i="90"/>
  <c r="CT108" i="90"/>
  <c r="CO108" i="90"/>
  <c r="CP194" i="90"/>
  <c r="CU194" i="90"/>
  <c r="CO61" i="90"/>
  <c r="CT61" i="90"/>
  <c r="CT76" i="90"/>
  <c r="CO76" i="90"/>
  <c r="AF170" i="90"/>
  <c r="G275" i="90"/>
  <c r="C378" i="90" s="1"/>
  <c r="CP185" i="90"/>
  <c r="CU185" i="90"/>
  <c r="CU157" i="90"/>
  <c r="CP157" i="90"/>
  <c r="CP210" i="90"/>
  <c r="CU210" i="90"/>
  <c r="G324" i="90"/>
  <c r="C427" i="90" s="1"/>
  <c r="AF219" i="90"/>
  <c r="CP181" i="90"/>
  <c r="CU181" i="90"/>
  <c r="AF138" i="90"/>
  <c r="G243" i="90"/>
  <c r="C346" i="90" s="1"/>
  <c r="AF57" i="90"/>
  <c r="AF27" i="90"/>
  <c r="AF32" i="90"/>
  <c r="CU225" i="90"/>
  <c r="CP225" i="90"/>
  <c r="CT84" i="90"/>
  <c r="CO84" i="90"/>
  <c r="CO39" i="90"/>
  <c r="CT39" i="90"/>
  <c r="AF41" i="90"/>
  <c r="CP167" i="90"/>
  <c r="CU167" i="90"/>
  <c r="G258" i="90"/>
  <c r="C361" i="90" s="1"/>
  <c r="AF153" i="90"/>
  <c r="CT75" i="90"/>
  <c r="CO75" i="90"/>
  <c r="CP214" i="90"/>
  <c r="CU214" i="90"/>
  <c r="CO109" i="90"/>
  <c r="CT109" i="90"/>
  <c r="CO89" i="90"/>
  <c r="CT89" i="90"/>
  <c r="CU161" i="90"/>
  <c r="CP161" i="90"/>
  <c r="AF22" i="90"/>
  <c r="CU175" i="90"/>
  <c r="CP175" i="90"/>
  <c r="CP156" i="90"/>
  <c r="CU156" i="90"/>
  <c r="AF154" i="90"/>
  <c r="G259" i="90"/>
  <c r="C362" i="90" s="1"/>
  <c r="CU189" i="90"/>
  <c r="CP189" i="90"/>
  <c r="CU211" i="90"/>
  <c r="CP211" i="90"/>
  <c r="CT28" i="90"/>
  <c r="CO28" i="90"/>
  <c r="AF55" i="90"/>
  <c r="G235" i="90"/>
  <c r="C338" i="90" s="1"/>
  <c r="AF130" i="90"/>
  <c r="AF21" i="90"/>
  <c r="CU143" i="90"/>
  <c r="CP143" i="90"/>
  <c r="G322" i="90"/>
  <c r="C425" i="90" s="1"/>
  <c r="AF217" i="90"/>
  <c r="AF201" i="90"/>
  <c r="G306" i="90"/>
  <c r="C409" i="90" s="1"/>
  <c r="CO67" i="90"/>
  <c r="CT67" i="90"/>
  <c r="AF43" i="90"/>
  <c r="G326" i="90"/>
  <c r="C429" i="90" s="1"/>
  <c r="AF221" i="90"/>
  <c r="CU131" i="90"/>
  <c r="CP131" i="90"/>
  <c r="CT85" i="90"/>
  <c r="CO85" i="90"/>
  <c r="CP132" i="90"/>
  <c r="CU132" i="90"/>
  <c r="CO102" i="90"/>
  <c r="CT102" i="90"/>
  <c r="CT91" i="90"/>
  <c r="CO91" i="90"/>
  <c r="AF147" i="90"/>
  <c r="G252" i="90"/>
  <c r="C355" i="90" s="1"/>
  <c r="CO100" i="90"/>
  <c r="CT100" i="90"/>
  <c r="AF88" i="90"/>
  <c r="AF48" i="90"/>
  <c r="AF70" i="90"/>
  <c r="AF87" i="90"/>
  <c r="AF64" i="90"/>
  <c r="CP183" i="90"/>
  <c r="CU183" i="90"/>
  <c r="CO78" i="90"/>
  <c r="CT78" i="90"/>
  <c r="CU212" i="90"/>
  <c r="CP212" i="90"/>
  <c r="AF73" i="90"/>
  <c r="CU224" i="90"/>
  <c r="CP224" i="90"/>
  <c r="G250" i="90"/>
  <c r="C353" i="90" s="1"/>
  <c r="AF145" i="90"/>
  <c r="CP205" i="90"/>
  <c r="CU205" i="90"/>
  <c r="BH262" i="90"/>
  <c r="G262" i="90"/>
  <c r="C365" i="90" s="1"/>
  <c r="AF157" i="90"/>
  <c r="AF103" i="90"/>
  <c r="AF112" i="90"/>
  <c r="G281" i="90"/>
  <c r="C384" i="90" s="1"/>
  <c r="AF176" i="90"/>
  <c r="AF181" i="90"/>
  <c r="G286" i="90"/>
  <c r="C389" i="90" s="1"/>
  <c r="AF31" i="90"/>
  <c r="CU134" i="90"/>
  <c r="CP134" i="90"/>
  <c r="CO32" i="90"/>
  <c r="CT32" i="90"/>
  <c r="CO118" i="90"/>
  <c r="CT118" i="90"/>
  <c r="CP191" i="90"/>
  <c r="CU191" i="90"/>
  <c r="AF146" i="90"/>
  <c r="G251" i="90"/>
  <c r="C354" i="90" s="1"/>
  <c r="CP148" i="90"/>
  <c r="CU148" i="90"/>
  <c r="CO60" i="90"/>
  <c r="CT60" i="90"/>
  <c r="AF46" i="90"/>
  <c r="CO115" i="90"/>
  <c r="CT115" i="90"/>
  <c r="AF75" i="90"/>
  <c r="AF214" i="90"/>
  <c r="G319" i="90"/>
  <c r="C422" i="90" s="1"/>
  <c r="AF89" i="90"/>
  <c r="CT54" i="90"/>
  <c r="CO54" i="90"/>
  <c r="CP129" i="90"/>
  <c r="CU129" i="90"/>
  <c r="AF95" i="90"/>
  <c r="CU193" i="90"/>
  <c r="CP193" i="90"/>
  <c r="CO49" i="90"/>
  <c r="CT49" i="90"/>
  <c r="AF189" i="90"/>
  <c r="G294" i="90"/>
  <c r="C397" i="90" s="1"/>
  <c r="AF104" i="90"/>
  <c r="AF28" i="90"/>
  <c r="CU162" i="90"/>
  <c r="CP162" i="90"/>
  <c r="CO21" i="90"/>
  <c r="CT21" i="90"/>
  <c r="AF186" i="90"/>
  <c r="G291" i="90"/>
  <c r="C394" i="90" s="1"/>
  <c r="CO36" i="90"/>
  <c r="CT36" i="90"/>
  <c r="AF110" i="90"/>
  <c r="AF94" i="90"/>
  <c r="CP150" i="90"/>
  <c r="CU150" i="90"/>
  <c r="G257" i="90"/>
  <c r="C360" i="90" s="1"/>
  <c r="AF152" i="90"/>
  <c r="AF85" i="90"/>
  <c r="G245" i="90"/>
  <c r="C348" i="90" s="1"/>
  <c r="AF140" i="90"/>
  <c r="AF209" i="90"/>
  <c r="G314" i="90"/>
  <c r="C417" i="90" s="1"/>
  <c r="CU142" i="90"/>
  <c r="CP142" i="90"/>
  <c r="G303" i="90"/>
  <c r="C406" i="90" s="1"/>
  <c r="AF198" i="90"/>
  <c r="AF40" i="90"/>
  <c r="AF100" i="90"/>
  <c r="CU187" i="90"/>
  <c r="CP187" i="90"/>
  <c r="A362" i="90"/>
  <c r="A250" i="90"/>
  <c r="A386" i="90"/>
  <c r="A325" i="90"/>
  <c r="A266" i="90"/>
  <c r="A413" i="90"/>
  <c r="A328" i="90"/>
  <c r="A270" i="90"/>
  <c r="CS199" i="90"/>
  <c r="CR304" i="90" s="1"/>
  <c r="CX199" i="90"/>
  <c r="CW304" i="90" s="1"/>
  <c r="CW70" i="90"/>
  <c r="CR70" i="90"/>
  <c r="A344" i="90"/>
  <c r="AI29" i="90"/>
  <c r="A277" i="90"/>
  <c r="AI65" i="90"/>
  <c r="A423" i="90"/>
  <c r="AI108" i="90"/>
  <c r="CS168" i="90"/>
  <c r="CR273" i="90" s="1"/>
  <c r="CX168" i="90"/>
  <c r="CW273" i="90" s="1"/>
  <c r="AI171" i="90"/>
  <c r="BC276" i="90" s="1"/>
  <c r="BH276" i="90"/>
  <c r="CS197" i="90"/>
  <c r="CR302" i="90" s="1"/>
  <c r="CX197" i="90"/>
  <c r="CW302" i="90" s="1"/>
  <c r="BH242" i="90"/>
  <c r="AI137" i="90"/>
  <c r="BC242" i="90" s="1"/>
  <c r="BH331" i="90"/>
  <c r="AI226" i="90"/>
  <c r="BC331" i="90" s="1"/>
  <c r="CW103" i="90"/>
  <c r="CR103" i="90"/>
  <c r="CS219" i="90"/>
  <c r="CR324" i="90" s="1"/>
  <c r="CX219" i="90"/>
  <c r="CW324" i="90" s="1"/>
  <c r="CW83" i="90"/>
  <c r="CR83" i="90"/>
  <c r="AI69" i="90"/>
  <c r="CW57" i="90"/>
  <c r="CR57" i="90"/>
  <c r="CX139" i="90"/>
  <c r="CW244" i="90" s="1"/>
  <c r="CS139" i="90"/>
  <c r="CR244" i="90" s="1"/>
  <c r="A335" i="90"/>
  <c r="AI20" i="90"/>
  <c r="AI165" i="90"/>
  <c r="BC270" i="90" s="1"/>
  <c r="BH270" i="90"/>
  <c r="BH327" i="90"/>
  <c r="AI222" i="90"/>
  <c r="BC327" i="90" s="1"/>
  <c r="A396" i="90"/>
  <c r="AI81" i="90"/>
  <c r="CW96" i="90"/>
  <c r="CR96" i="90"/>
  <c r="CS133" i="90"/>
  <c r="CR238" i="90" s="1"/>
  <c r="CX133" i="90"/>
  <c r="CW238" i="90" s="1"/>
  <c r="CS184" i="90"/>
  <c r="CR289" i="90" s="1"/>
  <c r="CX184" i="90"/>
  <c r="CW289" i="90" s="1"/>
  <c r="AI204" i="90"/>
  <c r="BC309" i="90" s="1"/>
  <c r="BH309" i="90"/>
  <c r="AI129" i="90"/>
  <c r="BC234" i="90" s="1"/>
  <c r="BH234" i="90"/>
  <c r="AI175" i="90"/>
  <c r="BC280" i="90" s="1"/>
  <c r="BH280" i="90"/>
  <c r="CW95" i="90"/>
  <c r="CR95" i="90"/>
  <c r="A298" i="90"/>
  <c r="AI86" i="90"/>
  <c r="A254" i="90"/>
  <c r="AI42" i="90"/>
  <c r="AI173" i="90"/>
  <c r="BC278" i="90" s="1"/>
  <c r="BH278" i="90"/>
  <c r="CR79" i="90"/>
  <c r="CW79" i="90"/>
  <c r="CS174" i="90"/>
  <c r="CR279" i="90" s="1"/>
  <c r="CX174" i="90"/>
  <c r="CW279" i="90" s="1"/>
  <c r="AI150" i="90"/>
  <c r="BC255" i="90" s="1"/>
  <c r="BH255" i="90"/>
  <c r="BH268" i="90"/>
  <c r="AI163" i="90"/>
  <c r="BC268" i="90" s="1"/>
  <c r="CR62" i="90"/>
  <c r="CW62" i="90"/>
  <c r="CW101" i="90"/>
  <c r="CR101" i="90"/>
  <c r="AI53" i="90"/>
  <c r="CS140" i="90"/>
  <c r="CR245" i="90" s="1"/>
  <c r="CX140" i="90"/>
  <c r="CW245" i="90" s="1"/>
  <c r="AI72" i="90"/>
  <c r="CW59" i="90"/>
  <c r="CR59" i="90"/>
  <c r="AI93" i="90"/>
  <c r="AI187" i="90"/>
  <c r="BC292" i="90" s="1"/>
  <c r="BH292" i="90"/>
  <c r="CS141" i="90"/>
  <c r="CR246" i="90" s="1"/>
  <c r="CX141" i="90"/>
  <c r="CW246" i="90" s="1"/>
  <c r="CW92" i="90"/>
  <c r="CR92" i="90"/>
  <c r="AI177" i="90"/>
  <c r="BC282" i="90" s="1"/>
  <c r="BH282" i="90"/>
  <c r="AI172" i="90"/>
  <c r="BC277" i="90" s="1"/>
  <c r="BH277" i="90"/>
  <c r="CR64" i="90"/>
  <c r="CW64" i="90"/>
  <c r="CR90" i="90"/>
  <c r="CW90" i="90"/>
  <c r="AI212" i="90"/>
  <c r="BC317" i="90" s="1"/>
  <c r="BH317" i="90"/>
  <c r="AI38" i="90"/>
  <c r="AI71" i="90"/>
  <c r="AI98" i="90"/>
  <c r="CW119" i="90"/>
  <c r="CR119" i="90"/>
  <c r="AI52" i="90"/>
  <c r="BH315" i="90"/>
  <c r="AI210" i="90"/>
  <c r="BC315" i="90" s="1"/>
  <c r="AI113" i="90"/>
  <c r="CS176" i="90"/>
  <c r="CR281" i="90" s="1"/>
  <c r="CX176" i="90"/>
  <c r="CW281" i="90" s="1"/>
  <c r="CS138" i="90"/>
  <c r="CR243" i="90" s="1"/>
  <c r="CX138" i="90"/>
  <c r="CW243" i="90" s="1"/>
  <c r="AI39" i="90"/>
  <c r="AI167" i="90"/>
  <c r="BC272" i="90" s="1"/>
  <c r="BH272" i="90"/>
  <c r="CR20" i="90"/>
  <c r="CW20" i="90"/>
  <c r="CW46" i="90"/>
  <c r="CR46" i="90"/>
  <c r="AI51" i="90"/>
  <c r="AI116" i="90"/>
  <c r="AI58" i="90"/>
  <c r="CS182" i="90"/>
  <c r="CR287" i="90" s="1"/>
  <c r="CX182" i="90"/>
  <c r="CW287" i="90" s="1"/>
  <c r="CR26" i="90"/>
  <c r="CW26" i="90"/>
  <c r="CW77" i="90"/>
  <c r="CR77" i="90"/>
  <c r="AI196" i="90"/>
  <c r="BC301" i="90" s="1"/>
  <c r="BH301" i="90"/>
  <c r="CX204" i="90"/>
  <c r="CW309" i="90" s="1"/>
  <c r="CS204" i="90"/>
  <c r="CR309" i="90" s="1"/>
  <c r="AI54" i="90"/>
  <c r="AI193" i="90"/>
  <c r="BC298" i="90" s="1"/>
  <c r="BH298" i="90"/>
  <c r="AI47" i="90"/>
  <c r="AI82" i="90"/>
  <c r="BH240" i="90"/>
  <c r="AI135" i="90"/>
  <c r="BC240" i="90" s="1"/>
  <c r="AI23" i="90"/>
  <c r="CR37" i="90"/>
  <c r="CW37" i="90"/>
  <c r="CS186" i="90"/>
  <c r="CR291" i="90" s="1"/>
  <c r="CX186" i="90"/>
  <c r="CW291" i="90" s="1"/>
  <c r="CW106" i="90"/>
  <c r="CR106" i="90"/>
  <c r="AI143" i="90"/>
  <c r="BC248" i="90" s="1"/>
  <c r="BH248" i="90"/>
  <c r="CS201" i="90"/>
  <c r="CR306" i="90" s="1"/>
  <c r="CX201" i="90"/>
  <c r="CW306" i="90" s="1"/>
  <c r="CR44" i="90"/>
  <c r="CW44" i="90"/>
  <c r="CS206" i="90"/>
  <c r="CR311" i="90" s="1"/>
  <c r="CX206" i="90"/>
  <c r="CW311" i="90" s="1"/>
  <c r="CS152" i="90"/>
  <c r="CR257" i="90" s="1"/>
  <c r="CX152" i="90"/>
  <c r="CW257" i="90" s="1"/>
  <c r="AI56" i="90"/>
  <c r="AI131" i="90"/>
  <c r="BC236" i="90" s="1"/>
  <c r="BH236" i="90"/>
  <c r="CS169" i="90"/>
  <c r="CR274" i="90" s="1"/>
  <c r="CX169" i="90"/>
  <c r="CW274" i="90" s="1"/>
  <c r="AI160" i="90"/>
  <c r="BC265" i="90" s="1"/>
  <c r="BH265" i="90"/>
  <c r="CR33" i="90"/>
  <c r="CW33" i="90"/>
  <c r="CW35" i="90"/>
  <c r="CR35" i="90"/>
  <c r="CW72" i="90"/>
  <c r="CR72" i="90"/>
  <c r="CS166" i="90"/>
  <c r="CR271" i="90" s="1"/>
  <c r="CX166" i="90"/>
  <c r="CW271" i="90" s="1"/>
  <c r="CS200" i="90"/>
  <c r="CR305" i="90" s="1"/>
  <c r="CX200" i="90"/>
  <c r="CW305" i="90" s="1"/>
  <c r="CR88" i="90"/>
  <c r="CW88" i="90"/>
  <c r="AI141" i="90"/>
  <c r="BC246" i="90" s="1"/>
  <c r="BH246" i="90"/>
  <c r="AI199" i="90"/>
  <c r="BC304" i="90" s="1"/>
  <c r="BH304" i="90"/>
  <c r="CR87" i="90"/>
  <c r="CW87" i="90"/>
  <c r="CR63" i="90"/>
  <c r="CW63" i="90"/>
  <c r="CS218" i="90"/>
  <c r="CR323" i="90" s="1"/>
  <c r="CX218" i="90"/>
  <c r="CW323" i="90" s="1"/>
  <c r="BH290" i="90"/>
  <c r="AI185" i="90"/>
  <c r="BC290" i="90" s="1"/>
  <c r="AI197" i="90"/>
  <c r="BC302" i="90" s="1"/>
  <c r="BH302" i="90"/>
  <c r="CR105" i="90"/>
  <c r="CW105" i="90"/>
  <c r="CR117" i="90"/>
  <c r="CW117" i="90"/>
  <c r="AI30" i="90"/>
  <c r="CS145" i="90"/>
  <c r="CR250" i="90" s="1"/>
  <c r="CX145" i="90"/>
  <c r="CW250" i="90" s="1"/>
  <c r="CS178" i="90"/>
  <c r="CR283" i="90" s="1"/>
  <c r="CX178" i="90"/>
  <c r="CW283" i="90" s="1"/>
  <c r="BH310" i="90"/>
  <c r="AI205" i="90"/>
  <c r="BC310" i="90" s="1"/>
  <c r="AI50" i="90"/>
  <c r="CS159" i="90"/>
  <c r="CR264" i="90" s="1"/>
  <c r="CX159" i="90"/>
  <c r="CW264" i="90" s="1"/>
  <c r="AI220" i="90"/>
  <c r="BC325" i="90" s="1"/>
  <c r="BH325" i="90"/>
  <c r="AI83" i="90"/>
  <c r="CW69" i="90"/>
  <c r="CR69" i="90"/>
  <c r="CW31" i="90"/>
  <c r="CR31" i="90"/>
  <c r="BH239" i="90"/>
  <c r="AI134" i="90"/>
  <c r="BC239" i="90" s="1"/>
  <c r="AI225" i="90"/>
  <c r="BC330" i="90" s="1"/>
  <c r="BH330" i="90"/>
  <c r="AI127" i="90"/>
  <c r="BC232" i="90" s="1"/>
  <c r="BH232" i="90"/>
  <c r="CW51" i="90"/>
  <c r="CR51" i="90"/>
  <c r="CW116" i="90"/>
  <c r="CR116" i="90"/>
  <c r="AI115" i="90"/>
  <c r="AI182" i="90"/>
  <c r="BC287" i="90" s="1"/>
  <c r="BH287" i="90"/>
  <c r="AI96" i="90"/>
  <c r="AI109" i="90"/>
  <c r="CX196" i="90"/>
  <c r="CW301" i="90" s="1"/>
  <c r="CS196" i="90"/>
  <c r="CR301" i="90" s="1"/>
  <c r="CR97" i="90"/>
  <c r="CW97" i="90"/>
  <c r="AI68" i="90"/>
  <c r="CW82" i="90"/>
  <c r="CR82" i="90"/>
  <c r="AI66" i="90"/>
  <c r="AI144" i="90"/>
  <c r="BC249" i="90" s="1"/>
  <c r="BH249" i="90"/>
  <c r="BH318" i="90"/>
  <c r="AI213" i="90"/>
  <c r="BC318" i="90" s="1"/>
  <c r="AI36" i="90"/>
  <c r="CW94" i="90"/>
  <c r="CR94" i="90"/>
  <c r="BH256" i="90"/>
  <c r="AI151" i="90"/>
  <c r="BC256" i="90" s="1"/>
  <c r="BH279" i="90"/>
  <c r="AI174" i="90"/>
  <c r="BC279" i="90" s="1"/>
  <c r="AI114" i="90"/>
  <c r="CW99" i="90"/>
  <c r="CR99" i="90"/>
  <c r="CX163" i="90"/>
  <c r="CW268" i="90" s="1"/>
  <c r="CS163" i="90"/>
  <c r="CR268" i="90" s="1"/>
  <c r="AI169" i="90"/>
  <c r="BC274" i="90" s="1"/>
  <c r="BH274" i="90"/>
  <c r="CS192" i="90"/>
  <c r="CR297" i="90" s="1"/>
  <c r="CX192" i="90"/>
  <c r="CW297" i="90" s="1"/>
  <c r="AI25" i="90"/>
  <c r="FR4344" i="4" s="1"/>
  <c r="CS160" i="90"/>
  <c r="CR265" i="90" s="1"/>
  <c r="CX160" i="90"/>
  <c r="CW265" i="90" s="1"/>
  <c r="AI33" i="90"/>
  <c r="AI35" i="90"/>
  <c r="AI91" i="90"/>
  <c r="AI166" i="90"/>
  <c r="BC271" i="90" s="1"/>
  <c r="BH271" i="90"/>
  <c r="CX207" i="90"/>
  <c r="CW312" i="90" s="1"/>
  <c r="CS207" i="90"/>
  <c r="CR312" i="90" s="1"/>
  <c r="AI195" i="90"/>
  <c r="BC300" i="90" s="1"/>
  <c r="BH300" i="90"/>
  <c r="CW34" i="90"/>
  <c r="CR34" i="90"/>
  <c r="CS136" i="90"/>
  <c r="CR241" i="90" s="1"/>
  <c r="CX136" i="90"/>
  <c r="CW241" i="90" s="1"/>
  <c r="BH320" i="90"/>
  <c r="AI215" i="90"/>
  <c r="BC320" i="90" s="1"/>
  <c r="AI168" i="90"/>
  <c r="BC273" i="90" s="1"/>
  <c r="BH273" i="90"/>
  <c r="AI63" i="90"/>
  <c r="CW111" i="90"/>
  <c r="CR111" i="90"/>
  <c r="CS180" i="90"/>
  <c r="CR285" i="90" s="1"/>
  <c r="CX180" i="90"/>
  <c r="CW285" i="90" s="1"/>
  <c r="BH329" i="90"/>
  <c r="AI224" i="90"/>
  <c r="BC329" i="90" s="1"/>
  <c r="CW38" i="90"/>
  <c r="CR38" i="90"/>
  <c r="CS220" i="90"/>
  <c r="CR325" i="90" s="1"/>
  <c r="CX220" i="90"/>
  <c r="CW325" i="90" s="1"/>
  <c r="CS190" i="90"/>
  <c r="CR295" i="90" s="1"/>
  <c r="CX190" i="90"/>
  <c r="CW295" i="90" s="1"/>
  <c r="CW74" i="90"/>
  <c r="CR74" i="90"/>
  <c r="AI118" i="90"/>
  <c r="AI191" i="90"/>
  <c r="BC296" i="90" s="1"/>
  <c r="BH296" i="90"/>
  <c r="CS158" i="90"/>
  <c r="CR263" i="90" s="1"/>
  <c r="CX158" i="90"/>
  <c r="CW263" i="90" s="1"/>
  <c r="CS223" i="90"/>
  <c r="CR328" i="90" s="1"/>
  <c r="CX223" i="90"/>
  <c r="CW328" i="90" s="1"/>
  <c r="AI188" i="90"/>
  <c r="BC293" i="90" s="1"/>
  <c r="BH293" i="90"/>
  <c r="CS203" i="90"/>
  <c r="CR308" i="90" s="1"/>
  <c r="CX203" i="90"/>
  <c r="CW308" i="90" s="1"/>
  <c r="AI107" i="90"/>
  <c r="AI26" i="90"/>
  <c r="AI216" i="90"/>
  <c r="BC321" i="90" s="1"/>
  <c r="BH321" i="90"/>
  <c r="AI49" i="90"/>
  <c r="CW47" i="90"/>
  <c r="CR47" i="90"/>
  <c r="CS149" i="90"/>
  <c r="CR254" i="90" s="1"/>
  <c r="CX149" i="90"/>
  <c r="CW254" i="90" s="1"/>
  <c r="CR104" i="90"/>
  <c r="CW104" i="90"/>
  <c r="CR55" i="90"/>
  <c r="CW55" i="90"/>
  <c r="CX130" i="90"/>
  <c r="CW235" i="90" s="1"/>
  <c r="CS130" i="90"/>
  <c r="CR235" i="90" s="1"/>
  <c r="CS173" i="90"/>
  <c r="CR278" i="90" s="1"/>
  <c r="CX173" i="90"/>
  <c r="CW278" i="90" s="1"/>
  <c r="AI37" i="90"/>
  <c r="AI44" i="90"/>
  <c r="CS221" i="90"/>
  <c r="CR326" i="90" s="1"/>
  <c r="CX221" i="90"/>
  <c r="CW326" i="90" s="1"/>
  <c r="AI206" i="90"/>
  <c r="BC311" i="90" s="1"/>
  <c r="BH311" i="90"/>
  <c r="AI45" i="90"/>
  <c r="CW24" i="90"/>
  <c r="CR24" i="90"/>
  <c r="CS208" i="90"/>
  <c r="CR313" i="90" s="1"/>
  <c r="CX208" i="90"/>
  <c r="CW313" i="90" s="1"/>
  <c r="BH237" i="90"/>
  <c r="AI132" i="90"/>
  <c r="BC237" i="90" s="1"/>
  <c r="CR53" i="90"/>
  <c r="CW53" i="90"/>
  <c r="AI102" i="90"/>
  <c r="BH247" i="90"/>
  <c r="AI142" i="90"/>
  <c r="BC247" i="90" s="1"/>
  <c r="AI179" i="90"/>
  <c r="BC284" i="90" s="1"/>
  <c r="BH284" i="90"/>
  <c r="CS198" i="90"/>
  <c r="CR303" i="90" s="1"/>
  <c r="CX198" i="90"/>
  <c r="CW303" i="90" s="1"/>
  <c r="CR40" i="90"/>
  <c r="CW40" i="90"/>
  <c r="CR93" i="90"/>
  <c r="CW93" i="90"/>
  <c r="CR80" i="90"/>
  <c r="CW80" i="90"/>
  <c r="CX195" i="90"/>
  <c r="CW300" i="90" s="1"/>
  <c r="CS195" i="90"/>
  <c r="CR300" i="90" s="1"/>
  <c r="AI155" i="90"/>
  <c r="BC260" i="90" s="1"/>
  <c r="BH260" i="90"/>
  <c r="CR29" i="90"/>
  <c r="CW29" i="90"/>
  <c r="CS215" i="90"/>
  <c r="CR320" i="90" s="1"/>
  <c r="CX215" i="90"/>
  <c r="CW320" i="90" s="1"/>
  <c r="AI61" i="90"/>
  <c r="AI76" i="90"/>
  <c r="CS170" i="90"/>
  <c r="CR275" i="90" s="1"/>
  <c r="CX170" i="90"/>
  <c r="CW275" i="90" s="1"/>
  <c r="AI111" i="90"/>
  <c r="AI78" i="90"/>
  <c r="AI90" i="90"/>
  <c r="CW73" i="90"/>
  <c r="CR73" i="90"/>
  <c r="AI117" i="90"/>
  <c r="CS137" i="90"/>
  <c r="CR242" i="90" s="1"/>
  <c r="CX137" i="90"/>
  <c r="CW242" i="90" s="1"/>
  <c r="AI178" i="90"/>
  <c r="BC283" i="90" s="1"/>
  <c r="BH283" i="90"/>
  <c r="CR98" i="90"/>
  <c r="CW98" i="90"/>
  <c r="AI119" i="90"/>
  <c r="CW50" i="90"/>
  <c r="CR50" i="90"/>
  <c r="AI159" i="90"/>
  <c r="BC264" i="90" s="1"/>
  <c r="BH264" i="90"/>
  <c r="CR113" i="90"/>
  <c r="CW113" i="90"/>
  <c r="AI74" i="90"/>
  <c r="CS164" i="90"/>
  <c r="CR269" i="90" s="1"/>
  <c r="CX164" i="90"/>
  <c r="CW269" i="90" s="1"/>
  <c r="CR27" i="90"/>
  <c r="CW27" i="90"/>
  <c r="AI84" i="90"/>
  <c r="CS146" i="90"/>
  <c r="CR251" i="90" s="1"/>
  <c r="CX146" i="90"/>
  <c r="CW251" i="90" s="1"/>
  <c r="AI148" i="90"/>
  <c r="BC253" i="90" s="1"/>
  <c r="BH253" i="90"/>
  <c r="AI60" i="90"/>
  <c r="CS153" i="90"/>
  <c r="CR258" i="90" s="1"/>
  <c r="CX153" i="90"/>
  <c r="CW258" i="90" s="1"/>
  <c r="AI223" i="90"/>
  <c r="BC328" i="90" s="1"/>
  <c r="BH328" i="90"/>
  <c r="CS165" i="90"/>
  <c r="CR270" i="90" s="1"/>
  <c r="CX165" i="90"/>
  <c r="CW270" i="90" s="1"/>
  <c r="CX188" i="90"/>
  <c r="CW293" i="90" s="1"/>
  <c r="CS188" i="90"/>
  <c r="CR293" i="90" s="1"/>
  <c r="CW107" i="90"/>
  <c r="CR107" i="90"/>
  <c r="CS216" i="90"/>
  <c r="CR321" i="90" s="1"/>
  <c r="CX216" i="90"/>
  <c r="CW321" i="90" s="1"/>
  <c r="AI77" i="90"/>
  <c r="AI97" i="90"/>
  <c r="AI202" i="90"/>
  <c r="BC307" i="90" s="1"/>
  <c r="BH307" i="90"/>
  <c r="CS154" i="90"/>
  <c r="CR259" i="90" s="1"/>
  <c r="CX154" i="90"/>
  <c r="CW259" i="90" s="1"/>
  <c r="CW42" i="90"/>
  <c r="CR42" i="90"/>
  <c r="BH316" i="90"/>
  <c r="AI211" i="90"/>
  <c r="BC316" i="90" s="1"/>
  <c r="CS135" i="90"/>
  <c r="CR240" i="90" s="1"/>
  <c r="CX135" i="90"/>
  <c r="CW240" i="90" s="1"/>
  <c r="AI162" i="90"/>
  <c r="BC267" i="90" s="1"/>
  <c r="BH267" i="90"/>
  <c r="CW23" i="90"/>
  <c r="CR23" i="90"/>
  <c r="CS144" i="90"/>
  <c r="CR249" i="90" s="1"/>
  <c r="CX144" i="90"/>
  <c r="CW249" i="90" s="1"/>
  <c r="AI106" i="90"/>
  <c r="CS217" i="90"/>
  <c r="CR322" i="90" s="1"/>
  <c r="CX217" i="90"/>
  <c r="CW322" i="90" s="1"/>
  <c r="CW114" i="90"/>
  <c r="CR114" i="90"/>
  <c r="AI99" i="90"/>
  <c r="CW45" i="90"/>
  <c r="CR45" i="90"/>
  <c r="AI24" i="90"/>
  <c r="AI208" i="90"/>
  <c r="BC313" i="90" s="1"/>
  <c r="BH313" i="90"/>
  <c r="CR25" i="90"/>
  <c r="CW25" i="90"/>
  <c r="CS209" i="90"/>
  <c r="CR314" i="90" s="1"/>
  <c r="CX209" i="90"/>
  <c r="CW314" i="90" s="1"/>
  <c r="CS179" i="90"/>
  <c r="CR284" i="90" s="1"/>
  <c r="CX179" i="90"/>
  <c r="CW284" i="90" s="1"/>
  <c r="CS147" i="90"/>
  <c r="CR252" i="90" s="1"/>
  <c r="CX147" i="90"/>
  <c r="CW252" i="90" s="1"/>
  <c r="BH305" i="90"/>
  <c r="AI200" i="90"/>
  <c r="BC305" i="90" s="1"/>
  <c r="AI80" i="90"/>
  <c r="CS155" i="90"/>
  <c r="CR260" i="90" s="1"/>
  <c r="CX155" i="90"/>
  <c r="CW260" i="90" s="1"/>
  <c r="AI34" i="90"/>
  <c r="CS172" i="90"/>
  <c r="CR277" i="90" s="1"/>
  <c r="CX172" i="90"/>
  <c r="CW277" i="90" s="1"/>
  <c r="CR108" i="90"/>
  <c r="CW108" i="90"/>
  <c r="CS194" i="90"/>
  <c r="CR299" i="90" s="1"/>
  <c r="CX194" i="90"/>
  <c r="CW299" i="90" s="1"/>
  <c r="CR61" i="90"/>
  <c r="CW61" i="90"/>
  <c r="CW76" i="90"/>
  <c r="CR76" i="90"/>
  <c r="AI170" i="90"/>
  <c r="BC275" i="90" s="1"/>
  <c r="BH275" i="90"/>
  <c r="CS185" i="90"/>
  <c r="CR290" i="90" s="1"/>
  <c r="CX185" i="90"/>
  <c r="CW290" i="90" s="1"/>
  <c r="CX157" i="90"/>
  <c r="CW262" i="90" s="1"/>
  <c r="CS157" i="90"/>
  <c r="CR262" i="90" s="1"/>
  <c r="CS210" i="90"/>
  <c r="CR315" i="90" s="1"/>
  <c r="CX210" i="90"/>
  <c r="CW315" i="90" s="1"/>
  <c r="BH324" i="90"/>
  <c r="AI219" i="90"/>
  <c r="BC324" i="90" s="1"/>
  <c r="CS181" i="90"/>
  <c r="CR286" i="90" s="1"/>
  <c r="CX181" i="90"/>
  <c r="CW286" i="90" s="1"/>
  <c r="BH243" i="90"/>
  <c r="AI138" i="90"/>
  <c r="BC243" i="90" s="1"/>
  <c r="A372" i="90"/>
  <c r="AI57" i="90"/>
  <c r="AI27" i="90"/>
  <c r="AI32" i="90"/>
  <c r="CX225" i="90"/>
  <c r="CW330" i="90" s="1"/>
  <c r="CS225" i="90"/>
  <c r="CR330" i="90" s="1"/>
  <c r="CR84" i="90"/>
  <c r="CW84" i="90"/>
  <c r="CW39" i="90"/>
  <c r="CR39" i="90"/>
  <c r="A356" i="90"/>
  <c r="AI41" i="90"/>
  <c r="CS167" i="90"/>
  <c r="CR272" i="90" s="1"/>
  <c r="CX167" i="90"/>
  <c r="CW272" i="90" s="1"/>
  <c r="BH258" i="90"/>
  <c r="AI153" i="90"/>
  <c r="BC258" i="90" s="1"/>
  <c r="CW75" i="90"/>
  <c r="CR75" i="90"/>
  <c r="CS214" i="90"/>
  <c r="CR319" i="90" s="1"/>
  <c r="CX214" i="90"/>
  <c r="CW319" i="90" s="1"/>
  <c r="CR109" i="90"/>
  <c r="CW109" i="90"/>
  <c r="CR89" i="90"/>
  <c r="CW89" i="90"/>
  <c r="CS161" i="90"/>
  <c r="CR266" i="90" s="1"/>
  <c r="CX161" i="90"/>
  <c r="CW266" i="90" s="1"/>
  <c r="AI22" i="90"/>
  <c r="CS175" i="90"/>
  <c r="CR280" i="90" s="1"/>
  <c r="CX175" i="90"/>
  <c r="CW280" i="90" s="1"/>
  <c r="CX156" i="90"/>
  <c r="CW261" i="90" s="1"/>
  <c r="CS156" i="90"/>
  <c r="CR261" i="90" s="1"/>
  <c r="AI154" i="90"/>
  <c r="BC259" i="90" s="1"/>
  <c r="BH259" i="90"/>
  <c r="CS189" i="90"/>
  <c r="CR294" i="90" s="1"/>
  <c r="CX189" i="90"/>
  <c r="CW294" i="90" s="1"/>
  <c r="CS211" i="90"/>
  <c r="CR316" i="90" s="1"/>
  <c r="CX211" i="90"/>
  <c r="CW316" i="90" s="1"/>
  <c r="CW28" i="90"/>
  <c r="CR28" i="90"/>
  <c r="AI55" i="90"/>
  <c r="AI130" i="90"/>
  <c r="BC235" i="90" s="1"/>
  <c r="BH235" i="90"/>
  <c r="A336" i="90"/>
  <c r="AI21" i="90"/>
  <c r="CS143" i="90"/>
  <c r="CR248" i="90" s="1"/>
  <c r="CX143" i="90"/>
  <c r="CW248" i="90" s="1"/>
  <c r="BH322" i="90"/>
  <c r="AI217" i="90"/>
  <c r="BC322" i="90" s="1"/>
  <c r="BH306" i="90"/>
  <c r="AI201" i="90"/>
  <c r="BC306" i="90" s="1"/>
  <c r="CW67" i="90"/>
  <c r="CR67" i="90"/>
  <c r="AI43" i="90"/>
  <c r="AI221" i="90"/>
  <c r="BC326" i="90" s="1"/>
  <c r="BH326" i="90"/>
  <c r="CX131" i="90"/>
  <c r="CW236" i="90" s="1"/>
  <c r="CS131" i="90"/>
  <c r="CR236" i="90" s="1"/>
  <c r="CW85" i="90"/>
  <c r="CR85" i="90"/>
  <c r="CS132" i="90"/>
  <c r="CR237" i="90" s="1"/>
  <c r="CX132" i="90"/>
  <c r="CW237" i="90" s="1"/>
  <c r="CW102" i="90"/>
  <c r="CR102" i="90"/>
  <c r="CR91" i="90"/>
  <c r="CW91" i="90"/>
  <c r="AI147" i="90"/>
  <c r="BC252" i="90" s="1"/>
  <c r="BH252" i="90"/>
  <c r="CR100" i="90"/>
  <c r="CW100" i="90"/>
  <c r="AI88" i="90"/>
  <c r="AI48" i="90"/>
  <c r="AI70" i="90"/>
  <c r="AI87" i="90"/>
  <c r="AI64" i="90"/>
  <c r="CS183" i="90"/>
  <c r="CR288" i="90" s="1"/>
  <c r="CX183" i="90"/>
  <c r="CW288" i="90" s="1"/>
  <c r="CR78" i="90"/>
  <c r="CW78" i="90"/>
  <c r="CX212" i="90"/>
  <c r="CW317" i="90" s="1"/>
  <c r="CS212" i="90"/>
  <c r="CR317" i="90" s="1"/>
  <c r="AI73" i="90"/>
  <c r="CS224" i="90"/>
  <c r="CR329" i="90" s="1"/>
  <c r="CX224" i="90"/>
  <c r="CW329" i="90" s="1"/>
  <c r="BH250" i="90"/>
  <c r="AI145" i="90"/>
  <c r="BC250" i="90" s="1"/>
  <c r="CS205" i="90"/>
  <c r="CR310" i="90" s="1"/>
  <c r="CX205" i="90"/>
  <c r="CW310" i="90" s="1"/>
  <c r="AI103" i="90"/>
  <c r="AI112" i="90"/>
  <c r="AI176" i="90"/>
  <c r="BC281" i="90" s="1"/>
  <c r="BH281" i="90"/>
  <c r="AI181" i="90"/>
  <c r="BC286" i="90" s="1"/>
  <c r="BH286" i="90"/>
  <c r="AI31" i="90"/>
  <c r="CS134" i="90"/>
  <c r="CR239" i="90" s="1"/>
  <c r="CX134" i="90"/>
  <c r="CW239" i="90" s="1"/>
  <c r="CR32" i="90"/>
  <c r="CW32" i="90"/>
  <c r="CR118" i="90"/>
  <c r="CW118" i="90"/>
  <c r="CX191" i="90"/>
  <c r="CW296" i="90" s="1"/>
  <c r="CS191" i="90"/>
  <c r="CR296" i="90" s="1"/>
  <c r="BH251" i="90"/>
  <c r="AI146" i="90"/>
  <c r="BC251" i="90" s="1"/>
  <c r="CS148" i="90"/>
  <c r="CR253" i="90" s="1"/>
  <c r="CX148" i="90"/>
  <c r="CW253" i="90" s="1"/>
  <c r="CR60" i="90"/>
  <c r="CW60" i="90"/>
  <c r="AI46" i="90"/>
  <c r="CW115" i="90"/>
  <c r="CR115" i="90"/>
  <c r="AI75" i="90"/>
  <c r="BH319" i="90"/>
  <c r="AI214" i="90"/>
  <c r="BC319" i="90" s="1"/>
  <c r="AI89" i="90"/>
  <c r="CR54" i="90"/>
  <c r="CW54" i="90"/>
  <c r="CX129" i="90"/>
  <c r="CW234" i="90" s="1"/>
  <c r="CS129" i="90"/>
  <c r="CR234" i="90" s="1"/>
  <c r="AI95" i="90"/>
  <c r="CS193" i="90"/>
  <c r="CR298" i="90" s="1"/>
  <c r="CX193" i="90"/>
  <c r="CW298" i="90" s="1"/>
  <c r="CR49" i="90"/>
  <c r="CW49" i="90"/>
  <c r="AI189" i="90"/>
  <c r="BC294" i="90" s="1"/>
  <c r="BH294" i="90"/>
  <c r="AI104" i="90"/>
  <c r="AI28" i="90"/>
  <c r="CS162" i="90"/>
  <c r="CR267" i="90" s="1"/>
  <c r="CX162" i="90"/>
  <c r="CW267" i="90" s="1"/>
  <c r="CR21" i="90"/>
  <c r="CW21" i="90"/>
  <c r="BH291" i="90"/>
  <c r="AI186" i="90"/>
  <c r="BC291" i="90" s="1"/>
  <c r="CR36" i="90"/>
  <c r="CW36" i="90"/>
  <c r="AI110" i="90"/>
  <c r="AI94" i="90"/>
  <c r="CS150" i="90"/>
  <c r="CR255" i="90" s="1"/>
  <c r="CX150" i="90"/>
  <c r="CW255" i="90" s="1"/>
  <c r="BH257" i="90"/>
  <c r="AI152" i="90"/>
  <c r="BC257" i="90" s="1"/>
  <c r="AI85" i="90"/>
  <c r="BH245" i="90"/>
  <c r="AI140" i="90"/>
  <c r="BC245" i="90" s="1"/>
  <c r="BH314" i="90"/>
  <c r="AI209" i="90"/>
  <c r="BC314" i="90" s="1"/>
  <c r="CS142" i="90"/>
  <c r="CR247" i="90" s="1"/>
  <c r="CX142" i="90"/>
  <c r="CW247" i="90" s="1"/>
  <c r="AI198" i="90"/>
  <c r="BC303" i="90" s="1"/>
  <c r="BH303" i="90"/>
  <c r="AI40" i="90"/>
  <c r="AI100" i="90"/>
  <c r="CX187" i="90"/>
  <c r="CW292" i="90" s="1"/>
  <c r="CS187" i="90"/>
  <c r="CR292" i="90" s="1"/>
  <c r="CR48" i="90"/>
  <c r="CW48" i="90"/>
  <c r="AI92" i="90"/>
  <c r="CS177" i="90"/>
  <c r="CR282" i="90" s="1"/>
  <c r="CX177" i="90"/>
  <c r="CW282" i="90" s="1"/>
  <c r="BH241" i="90"/>
  <c r="AI136" i="90"/>
  <c r="BC241" i="90" s="1"/>
  <c r="CW65" i="90"/>
  <c r="CR65" i="90"/>
  <c r="AI194" i="90"/>
  <c r="BC299" i="90" s="1"/>
  <c r="BH299" i="90"/>
  <c r="CS171" i="90"/>
  <c r="CR276" i="90" s="1"/>
  <c r="CX171" i="90"/>
  <c r="CW276" i="90" s="1"/>
  <c r="BH288" i="90"/>
  <c r="AI183" i="90"/>
  <c r="BC288" i="90" s="1"/>
  <c r="BH323" i="90"/>
  <c r="AI218" i="90"/>
  <c r="BC323" i="90" s="1"/>
  <c r="AI105" i="90"/>
  <c r="AI180" i="90"/>
  <c r="BC285" i="90" s="1"/>
  <c r="BH285" i="90"/>
  <c r="CW30" i="90"/>
  <c r="CR30" i="90"/>
  <c r="CW71" i="90"/>
  <c r="CR71" i="90"/>
  <c r="CS226" i="90"/>
  <c r="CR331" i="90" s="1"/>
  <c r="CX226" i="90"/>
  <c r="CW331" i="90" s="1"/>
  <c r="CW52" i="90"/>
  <c r="CR52" i="90"/>
  <c r="CR112" i="90"/>
  <c r="CW112" i="90"/>
  <c r="AI164" i="90"/>
  <c r="BC269" i="90" s="1"/>
  <c r="BH269" i="90"/>
  <c r="AI139" i="90"/>
  <c r="BC244" i="90" s="1"/>
  <c r="BH244" i="90"/>
  <c r="CR41" i="90"/>
  <c r="CW41" i="90"/>
  <c r="AI158" i="90"/>
  <c r="BC263" i="90" s="1"/>
  <c r="BH263" i="90"/>
  <c r="CW58" i="90"/>
  <c r="CR58" i="90"/>
  <c r="CS222" i="90"/>
  <c r="CR327" i="90" s="1"/>
  <c r="CX222" i="90"/>
  <c r="CW327" i="90" s="1"/>
  <c r="CR81" i="90"/>
  <c r="CW81" i="90"/>
  <c r="AI203" i="90"/>
  <c r="BC308" i="90" s="1"/>
  <c r="BH308" i="90"/>
  <c r="AI133" i="90"/>
  <c r="BC238" i="90" s="1"/>
  <c r="BH238" i="90"/>
  <c r="BH289" i="90"/>
  <c r="AI184" i="90"/>
  <c r="BC289" i="90" s="1"/>
  <c r="AI161" i="90"/>
  <c r="BC266" i="90" s="1"/>
  <c r="BH266" i="90"/>
  <c r="CW22" i="90"/>
  <c r="CR22" i="90"/>
  <c r="CR68" i="90"/>
  <c r="CW68" i="90"/>
  <c r="CS202" i="90"/>
  <c r="CR307" i="90" s="1"/>
  <c r="CX202" i="90"/>
  <c r="CW307" i="90" s="1"/>
  <c r="CR86" i="90"/>
  <c r="CW86" i="90"/>
  <c r="AI156" i="90"/>
  <c r="BC261" i="90" s="1"/>
  <c r="BH261" i="90"/>
  <c r="AI149" i="90"/>
  <c r="BC254" i="90" s="1"/>
  <c r="BH254" i="90"/>
  <c r="CR66" i="90"/>
  <c r="CW66" i="90"/>
  <c r="CS128" i="90"/>
  <c r="CR233" i="90" s="1"/>
  <c r="CX128" i="90"/>
  <c r="CW233" i="90" s="1"/>
  <c r="AI79" i="90"/>
  <c r="CS213" i="90"/>
  <c r="CR318" i="90" s="1"/>
  <c r="CX213" i="90"/>
  <c r="CW318" i="90" s="1"/>
  <c r="CR110" i="90"/>
  <c r="CW110" i="90"/>
  <c r="CS151" i="90"/>
  <c r="CR256" i="90" s="1"/>
  <c r="CX151" i="90"/>
  <c r="CW256" i="90" s="1"/>
  <c r="AI67" i="90"/>
  <c r="CW43" i="90"/>
  <c r="CR43" i="90"/>
  <c r="CR56" i="90"/>
  <c r="CW56" i="90"/>
  <c r="AI62" i="90"/>
  <c r="AI192" i="90"/>
  <c r="BC297" i="90" s="1"/>
  <c r="BH297" i="90"/>
  <c r="AI101" i="90"/>
  <c r="AI59" i="90"/>
  <c r="AI207" i="90"/>
  <c r="BC312" i="90" s="1"/>
  <c r="BH312" i="90"/>
  <c r="A380" i="90"/>
  <c r="A401" i="90"/>
  <c r="A232" i="90"/>
  <c r="A293" i="90"/>
  <c r="A241" i="90"/>
  <c r="CR185" i="90"/>
  <c r="CW185" i="90"/>
  <c r="CR157" i="90"/>
  <c r="CW157" i="90"/>
  <c r="AH27" i="90"/>
  <c r="CQ89" i="90"/>
  <c r="CV89" i="90"/>
  <c r="CW156" i="90"/>
  <c r="CR156" i="90"/>
  <c r="AH217" i="90"/>
  <c r="BB322" i="90" s="1"/>
  <c r="BG322" i="90"/>
  <c r="AH221" i="90"/>
  <c r="BB326" i="90" s="1"/>
  <c r="BG326" i="90"/>
  <c r="CQ85" i="90"/>
  <c r="CV85" i="90"/>
  <c r="CQ102" i="90"/>
  <c r="CV102" i="90"/>
  <c r="CQ91" i="90"/>
  <c r="CV91" i="90"/>
  <c r="AH88" i="90"/>
  <c r="A342" i="90"/>
  <c r="AH48" i="90"/>
  <c r="AH70" i="90"/>
  <c r="AH87" i="90"/>
  <c r="AH64" i="90"/>
  <c r="CR183" i="90"/>
  <c r="CW183" i="90"/>
  <c r="CQ78" i="90"/>
  <c r="CV78" i="90"/>
  <c r="CR212" i="90"/>
  <c r="CW212" i="90"/>
  <c r="AH73" i="90"/>
  <c r="CW224" i="90"/>
  <c r="CR224" i="90"/>
  <c r="AH145" i="90"/>
  <c r="BB250" i="90" s="1"/>
  <c r="BG250" i="90"/>
  <c r="CR205" i="90"/>
  <c r="CW205" i="90"/>
  <c r="BG262" i="90"/>
  <c r="AH157" i="90"/>
  <c r="BB262" i="90" s="1"/>
  <c r="AH103" i="90"/>
  <c r="AH112" i="90"/>
  <c r="AH176" i="90"/>
  <c r="BB281" i="90" s="1"/>
  <c r="BG281" i="90"/>
  <c r="AH181" i="90"/>
  <c r="BB286" i="90" s="1"/>
  <c r="BG286" i="90"/>
  <c r="AH31" i="90"/>
  <c r="CW134" i="90"/>
  <c r="CR134" i="90"/>
  <c r="CQ32" i="90"/>
  <c r="CV32" i="90"/>
  <c r="CV118" i="90"/>
  <c r="CQ118" i="90"/>
  <c r="CR191" i="90"/>
  <c r="CW191" i="90"/>
  <c r="AH146" i="90"/>
  <c r="BB251" i="90" s="1"/>
  <c r="BG251" i="90"/>
  <c r="CR148" i="90"/>
  <c r="CW148" i="90"/>
  <c r="CQ60" i="90"/>
  <c r="CV60" i="90"/>
  <c r="AH46" i="90"/>
  <c r="CV115" i="90"/>
  <c r="CQ115" i="90"/>
  <c r="AH75" i="90"/>
  <c r="AH214" i="90"/>
  <c r="BB319" i="90" s="1"/>
  <c r="BG319" i="90"/>
  <c r="AH89" i="90"/>
  <c r="CV54" i="90"/>
  <c r="CQ54" i="90"/>
  <c r="CR129" i="90"/>
  <c r="CW129" i="90"/>
  <c r="AH95" i="90"/>
  <c r="CW193" i="90"/>
  <c r="CR193" i="90"/>
  <c r="CQ49" i="90"/>
  <c r="CV49" i="90"/>
  <c r="AH189" i="90"/>
  <c r="BB294" i="90" s="1"/>
  <c r="BG294" i="90"/>
  <c r="AH104" i="90"/>
  <c r="AH28" i="90"/>
  <c r="CR162" i="90"/>
  <c r="CW162" i="90"/>
  <c r="CV21" i="90"/>
  <c r="CQ21" i="90"/>
  <c r="AH186" i="90"/>
  <c r="BB291" i="90" s="1"/>
  <c r="BG291" i="90"/>
  <c r="CQ36" i="90"/>
  <c r="CV36" i="90"/>
  <c r="AH110" i="90"/>
  <c r="AH94" i="90"/>
  <c r="CR150" i="90"/>
  <c r="CW150" i="90"/>
  <c r="AH152" i="90"/>
  <c r="BB257" i="90" s="1"/>
  <c r="BG257" i="90"/>
  <c r="AH85" i="90"/>
  <c r="AH140" i="90"/>
  <c r="BB245" i="90" s="1"/>
  <c r="BG245" i="90"/>
  <c r="AH209" i="90"/>
  <c r="BB314" i="90" s="1"/>
  <c r="BG314" i="90"/>
  <c r="CR142" i="90"/>
  <c r="CW142" i="90"/>
  <c r="BG303" i="90"/>
  <c r="AH198" i="90"/>
  <c r="BB303" i="90" s="1"/>
  <c r="AH40" i="90"/>
  <c r="AH100" i="90"/>
  <c r="CR187" i="90"/>
  <c r="CW187" i="90"/>
  <c r="CQ84" i="90"/>
  <c r="CV84" i="90"/>
  <c r="CW175" i="90"/>
  <c r="CR175" i="90"/>
  <c r="AH55" i="90"/>
  <c r="AH43" i="90"/>
  <c r="BG252" i="90"/>
  <c r="AH147" i="90"/>
  <c r="BB252" i="90" s="1"/>
  <c r="CQ48" i="90"/>
  <c r="CV48" i="90"/>
  <c r="AH92" i="90"/>
  <c r="CR177" i="90"/>
  <c r="CW177" i="90"/>
  <c r="AH136" i="90"/>
  <c r="BB241" i="90" s="1"/>
  <c r="BG241" i="90"/>
  <c r="CQ65" i="90"/>
  <c r="CV65" i="90"/>
  <c r="AH194" i="90"/>
  <c r="BB299" i="90" s="1"/>
  <c r="BG299" i="90"/>
  <c r="CW171" i="90"/>
  <c r="CR171" i="90"/>
  <c r="BG288" i="90"/>
  <c r="AH183" i="90"/>
  <c r="BB288" i="90" s="1"/>
  <c r="AH218" i="90"/>
  <c r="BB323" i="90" s="1"/>
  <c r="BG323" i="90"/>
  <c r="AH105" i="90"/>
  <c r="AH180" i="90"/>
  <c r="BB285" i="90" s="1"/>
  <c r="BG285" i="90"/>
  <c r="CQ30" i="90"/>
  <c r="CV30" i="90"/>
  <c r="CQ71" i="90"/>
  <c r="CV71" i="90"/>
  <c r="CW226" i="90"/>
  <c r="CR226" i="90"/>
  <c r="CV52" i="90"/>
  <c r="CQ52" i="90"/>
  <c r="CQ112" i="90"/>
  <c r="CV112" i="90"/>
  <c r="AH164" i="90"/>
  <c r="BB269" i="90" s="1"/>
  <c r="BG269" i="90"/>
  <c r="BG244" i="90"/>
  <c r="AH139" i="90"/>
  <c r="BB244" i="90" s="1"/>
  <c r="CQ41" i="90"/>
  <c r="CV41" i="90"/>
  <c r="AH158" i="90"/>
  <c r="BB263" i="90" s="1"/>
  <c r="BG263" i="90"/>
  <c r="CQ58" i="90"/>
  <c r="CV58" i="90"/>
  <c r="CR222" i="90"/>
  <c r="CW222" i="90"/>
  <c r="CQ81" i="90"/>
  <c r="CV81" i="90"/>
  <c r="AH203" i="90"/>
  <c r="BB308" i="90" s="1"/>
  <c r="BG308" i="90"/>
  <c r="AH133" i="90"/>
  <c r="BB238" i="90" s="1"/>
  <c r="BG238" i="90"/>
  <c r="AH184" i="90"/>
  <c r="BB289" i="90" s="1"/>
  <c r="BG289" i="90"/>
  <c r="BG266" i="90"/>
  <c r="AH161" i="90"/>
  <c r="BB266" i="90" s="1"/>
  <c r="CV22" i="90"/>
  <c r="CQ22" i="90"/>
  <c r="CQ68" i="90"/>
  <c r="CV68" i="90"/>
  <c r="CW202" i="90"/>
  <c r="CR202" i="90"/>
  <c r="CQ86" i="90"/>
  <c r="CV86" i="90"/>
  <c r="AH156" i="90"/>
  <c r="BB261" i="90" s="1"/>
  <c r="BG261" i="90"/>
  <c r="AH149" i="90"/>
  <c r="BB254" i="90" s="1"/>
  <c r="BG254" i="90"/>
  <c r="CQ66" i="90"/>
  <c r="CV66" i="90"/>
  <c r="CW128" i="90"/>
  <c r="CR128" i="90"/>
  <c r="AH79" i="90"/>
  <c r="CR213" i="90"/>
  <c r="CW213" i="90"/>
  <c r="CQ110" i="90"/>
  <c r="CV110" i="90"/>
  <c r="CW151" i="90"/>
  <c r="CR151" i="90"/>
  <c r="AH67" i="90"/>
  <c r="CQ43" i="90"/>
  <c r="CV43" i="90"/>
  <c r="CQ56" i="90"/>
  <c r="CV56" i="90"/>
  <c r="AH62" i="90"/>
  <c r="AH192" i="90"/>
  <c r="BB297" i="90" s="1"/>
  <c r="BG297" i="90"/>
  <c r="AH101" i="90"/>
  <c r="AH59" i="90"/>
  <c r="AH207" i="90"/>
  <c r="BB312" i="90" s="1"/>
  <c r="BG312" i="90"/>
  <c r="CR155" i="90"/>
  <c r="CW155" i="90"/>
  <c r="CQ108" i="90"/>
  <c r="CV108" i="90"/>
  <c r="AH170" i="90"/>
  <c r="BB275" i="90" s="1"/>
  <c r="BG275" i="90"/>
  <c r="BG324" i="90"/>
  <c r="AH219" i="90"/>
  <c r="BB324" i="90" s="1"/>
  <c r="AH138" i="90"/>
  <c r="BB243" i="90" s="1"/>
  <c r="BG243" i="90"/>
  <c r="CW167" i="90"/>
  <c r="CR167" i="90"/>
  <c r="AH22" i="90"/>
  <c r="AH21" i="90"/>
  <c r="A234" i="90"/>
  <c r="CW199" i="90"/>
  <c r="CR199" i="90"/>
  <c r="CQ70" i="90"/>
  <c r="CV70" i="90"/>
  <c r="AH29" i="90"/>
  <c r="AH65" i="90"/>
  <c r="AH108" i="90"/>
  <c r="CW168" i="90"/>
  <c r="CR168" i="90"/>
  <c r="AH171" i="90"/>
  <c r="BB276" i="90" s="1"/>
  <c r="BG276" i="90"/>
  <c r="CW197" i="90"/>
  <c r="CR197" i="90"/>
  <c r="AH137" i="90"/>
  <c r="BB242" i="90" s="1"/>
  <c r="BG242" i="90"/>
  <c r="AH226" i="90"/>
  <c r="BB331" i="90" s="1"/>
  <c r="BG331" i="90"/>
  <c r="CQ103" i="90"/>
  <c r="CV103" i="90"/>
  <c r="CR219" i="90"/>
  <c r="CW219" i="90"/>
  <c r="CQ83" i="90"/>
  <c r="CV83" i="90"/>
  <c r="AH69" i="90"/>
  <c r="CQ57" i="90"/>
  <c r="CV57" i="90"/>
  <c r="CR139" i="90"/>
  <c r="CW139" i="90"/>
  <c r="AH20" i="90"/>
  <c r="AH165" i="90"/>
  <c r="BB270" i="90" s="1"/>
  <c r="BG270" i="90"/>
  <c r="AH222" i="90"/>
  <c r="BB327" i="90" s="1"/>
  <c r="BG327" i="90"/>
  <c r="AH81" i="90"/>
  <c r="CQ96" i="90"/>
  <c r="CV96" i="90"/>
  <c r="CW133" i="90"/>
  <c r="CR133" i="90"/>
  <c r="CR184" i="90"/>
  <c r="CW184" i="90"/>
  <c r="AH204" i="90"/>
  <c r="BB309" i="90" s="1"/>
  <c r="BG309" i="90"/>
  <c r="AH129" i="90"/>
  <c r="BB234" i="90" s="1"/>
  <c r="BG234" i="90"/>
  <c r="AH175" i="90"/>
  <c r="BB280" i="90" s="1"/>
  <c r="BG280" i="90"/>
  <c r="CQ95" i="90"/>
  <c r="CV95" i="90"/>
  <c r="AH86" i="90"/>
  <c r="AH42" i="90"/>
  <c r="AH173" i="90"/>
  <c r="BB278" i="90" s="1"/>
  <c r="BG278" i="90"/>
  <c r="CQ79" i="90"/>
  <c r="CV79" i="90"/>
  <c r="CR174" i="90"/>
  <c r="CW174" i="90"/>
  <c r="AH150" i="90"/>
  <c r="BB255" i="90" s="1"/>
  <c r="BG255" i="90"/>
  <c r="AH163" i="90"/>
  <c r="BB268" i="90" s="1"/>
  <c r="BG268" i="90"/>
  <c r="CQ62" i="90"/>
  <c r="CV62" i="90"/>
  <c r="CQ101" i="90"/>
  <c r="CV101" i="90"/>
  <c r="AH53" i="90"/>
  <c r="CW140" i="90"/>
  <c r="CR140" i="90"/>
  <c r="AH72" i="90"/>
  <c r="CQ59" i="90"/>
  <c r="CV59" i="90"/>
  <c r="AH93" i="90"/>
  <c r="AH187" i="90"/>
  <c r="BB292" i="90" s="1"/>
  <c r="BG292" i="90"/>
  <c r="AH34" i="90"/>
  <c r="CR172" i="90"/>
  <c r="CW172" i="90"/>
  <c r="CR210" i="90"/>
  <c r="CW210" i="90"/>
  <c r="AH32" i="90"/>
  <c r="AH153" i="90"/>
  <c r="BB258" i="90" s="1"/>
  <c r="BG258" i="90"/>
  <c r="BG235" i="90"/>
  <c r="AH130" i="90"/>
  <c r="BB235" i="90" s="1"/>
  <c r="CR143" i="90"/>
  <c r="CW143" i="90"/>
  <c r="CW131" i="90"/>
  <c r="CR131" i="90"/>
  <c r="A269" i="90"/>
  <c r="A337" i="90"/>
  <c r="CW141" i="90"/>
  <c r="CR141" i="90"/>
  <c r="CQ92" i="90"/>
  <c r="CV92" i="90"/>
  <c r="AH177" i="90"/>
  <c r="BB282" i="90" s="1"/>
  <c r="BG282" i="90"/>
  <c r="AH172" i="90"/>
  <c r="BB277" i="90" s="1"/>
  <c r="BG277" i="90"/>
  <c r="CQ64" i="90"/>
  <c r="CV64" i="90"/>
  <c r="CQ90" i="90"/>
  <c r="CV90" i="90"/>
  <c r="AH212" i="90"/>
  <c r="BB317" i="90" s="1"/>
  <c r="BG317" i="90"/>
  <c r="AH38" i="90"/>
  <c r="AH71" i="90"/>
  <c r="AH98" i="90"/>
  <c r="CQ119" i="90"/>
  <c r="CV119" i="90"/>
  <c r="AH52" i="90"/>
  <c r="BG315" i="90"/>
  <c r="AH210" i="90"/>
  <c r="BB315" i="90" s="1"/>
  <c r="AH113" i="90"/>
  <c r="CR176" i="90"/>
  <c r="CW176" i="90"/>
  <c r="CR138" i="90"/>
  <c r="CW138" i="90"/>
  <c r="AH39" i="90"/>
  <c r="AH167" i="90"/>
  <c r="BB272" i="90" s="1"/>
  <c r="BG272" i="90"/>
  <c r="CQ20" i="90"/>
  <c r="CV20" i="90"/>
  <c r="CQ46" i="90"/>
  <c r="CV46" i="90"/>
  <c r="AH51" i="90"/>
  <c r="AH116" i="90"/>
  <c r="AH58" i="90"/>
  <c r="CW182" i="90"/>
  <c r="CR182" i="90"/>
  <c r="CQ26" i="90"/>
  <c r="CV26" i="90"/>
  <c r="CQ77" i="90"/>
  <c r="CV77" i="90"/>
  <c r="BG301" i="90"/>
  <c r="AH196" i="90"/>
  <c r="BB301" i="90" s="1"/>
  <c r="CR204" i="90"/>
  <c r="CW204" i="90"/>
  <c r="AH54" i="90"/>
  <c r="AH193" i="90"/>
  <c r="BB298" i="90" s="1"/>
  <c r="BG298" i="90"/>
  <c r="AH47" i="90"/>
  <c r="AH82" i="90"/>
  <c r="AH135" i="90"/>
  <c r="BB240" i="90" s="1"/>
  <c r="BG240" i="90"/>
  <c r="AH23" i="90"/>
  <c r="CQ37" i="90"/>
  <c r="CV37" i="90"/>
  <c r="CR186" i="90"/>
  <c r="CW186" i="90"/>
  <c r="CQ106" i="90"/>
  <c r="CV106" i="90"/>
  <c r="AH143" i="90"/>
  <c r="BB248" i="90" s="1"/>
  <c r="BG248" i="90"/>
  <c r="CR201" i="90"/>
  <c r="CW201" i="90"/>
  <c r="CQ44" i="90"/>
  <c r="CV44" i="90"/>
  <c r="CR206" i="90"/>
  <c r="CW206" i="90"/>
  <c r="CW152" i="90"/>
  <c r="CR152" i="90"/>
  <c r="AH56" i="90"/>
  <c r="AH131" i="90"/>
  <c r="BB236" i="90" s="1"/>
  <c r="BG236" i="90"/>
  <c r="CR169" i="90"/>
  <c r="CW169" i="90"/>
  <c r="AH160" i="90"/>
  <c r="BB265" i="90" s="1"/>
  <c r="BG265" i="90"/>
  <c r="CV33" i="90"/>
  <c r="CQ33" i="90"/>
  <c r="CQ35" i="90"/>
  <c r="CV35" i="90"/>
  <c r="CV72" i="90"/>
  <c r="CQ72" i="90"/>
  <c r="CW166" i="90"/>
  <c r="CR166" i="90"/>
  <c r="CR200" i="90"/>
  <c r="CW200" i="90"/>
  <c r="CQ88" i="90"/>
  <c r="CV88" i="90"/>
  <c r="CQ76" i="90"/>
  <c r="CV76" i="90"/>
  <c r="CQ39" i="90"/>
  <c r="CV39" i="90"/>
  <c r="CQ75" i="90"/>
  <c r="CV75" i="90"/>
  <c r="CW211" i="90"/>
  <c r="CR211" i="90"/>
  <c r="CQ67" i="90"/>
  <c r="CV67" i="90"/>
  <c r="CW132" i="90"/>
  <c r="CR132" i="90"/>
  <c r="CQ100" i="90"/>
  <c r="CV100" i="90"/>
  <c r="A239" i="90"/>
  <c r="A246" i="90"/>
  <c r="A244" i="90"/>
  <c r="AH141" i="90"/>
  <c r="BB246" i="90" s="1"/>
  <c r="BG246" i="90"/>
  <c r="AH199" i="90"/>
  <c r="BB304" i="90" s="1"/>
  <c r="BG304" i="90"/>
  <c r="CQ87" i="90"/>
  <c r="CV87" i="90"/>
  <c r="CQ63" i="90"/>
  <c r="CV63" i="90"/>
  <c r="CR218" i="90"/>
  <c r="CW218" i="90"/>
  <c r="AH185" i="90"/>
  <c r="BB290" i="90" s="1"/>
  <c r="BG290" i="90"/>
  <c r="AH197" i="90"/>
  <c r="BB302" i="90" s="1"/>
  <c r="BG302" i="90"/>
  <c r="CQ105" i="90"/>
  <c r="CV105" i="90"/>
  <c r="CQ117" i="90"/>
  <c r="CV117" i="90"/>
  <c r="AH30" i="90"/>
  <c r="CR145" i="90"/>
  <c r="CW145" i="90"/>
  <c r="CR178" i="90"/>
  <c r="CW178" i="90"/>
  <c r="BG310" i="90"/>
  <c r="AH205" i="90"/>
  <c r="BB310" i="90" s="1"/>
  <c r="AH50" i="90"/>
  <c r="CR159" i="90"/>
  <c r="CW159" i="90"/>
  <c r="AH220" i="90"/>
  <c r="BB325" i="90" s="1"/>
  <c r="BG325" i="90"/>
  <c r="AH83" i="90"/>
  <c r="CV69" i="90"/>
  <c r="CQ69" i="90"/>
  <c r="CV31" i="90"/>
  <c r="CQ31" i="90"/>
  <c r="AH134" i="90"/>
  <c r="BB239" i="90" s="1"/>
  <c r="BG239" i="90"/>
  <c r="BG330" i="90"/>
  <c r="AH225" i="90"/>
  <c r="BB330" i="90" s="1"/>
  <c r="AH127" i="90"/>
  <c r="BB232" i="90" s="1"/>
  <c r="BG232" i="90"/>
  <c r="CQ51" i="90"/>
  <c r="CV51" i="90"/>
  <c r="CQ116" i="90"/>
  <c r="CV116" i="90"/>
  <c r="AH115" i="90"/>
  <c r="AH182" i="90"/>
  <c r="BB287" i="90" s="1"/>
  <c r="BG287" i="90"/>
  <c r="AH96" i="90"/>
  <c r="AH109" i="90"/>
  <c r="CW196" i="90"/>
  <c r="CR196" i="90"/>
  <c r="CV97" i="90"/>
  <c r="CQ97" i="90"/>
  <c r="AH68" i="90"/>
  <c r="CQ82" i="90"/>
  <c r="CV82" i="90"/>
  <c r="AH66" i="90"/>
  <c r="AH128" i="90"/>
  <c r="BB233" i="90" s="1"/>
  <c r="BG233" i="90"/>
  <c r="AH144" i="90"/>
  <c r="BB249" i="90" s="1"/>
  <c r="BG249" i="90"/>
  <c r="AH213" i="90"/>
  <c r="BB318" i="90" s="1"/>
  <c r="BG318" i="90"/>
  <c r="AH36" i="90"/>
  <c r="CQ94" i="90"/>
  <c r="CV94" i="90"/>
  <c r="AH151" i="90"/>
  <c r="BB256" i="90" s="1"/>
  <c r="BG256" i="90"/>
  <c r="AH174" i="90"/>
  <c r="BB279" i="90" s="1"/>
  <c r="BG279" i="90"/>
  <c r="AH114" i="90"/>
  <c r="CQ99" i="90"/>
  <c r="CV99" i="90"/>
  <c r="CW163" i="90"/>
  <c r="CR163" i="90"/>
  <c r="AH169" i="90"/>
  <c r="BB274" i="90" s="1"/>
  <c r="BG274" i="90"/>
  <c r="CW192" i="90"/>
  <c r="CR192" i="90"/>
  <c r="AH25" i="90"/>
  <c r="FO4344" i="4" s="1"/>
  <c r="CR160" i="90"/>
  <c r="CW160" i="90"/>
  <c r="AH33" i="90"/>
  <c r="AH35" i="90"/>
  <c r="AH91" i="90"/>
  <c r="AH166" i="90"/>
  <c r="BB271" i="90" s="1"/>
  <c r="BG271" i="90"/>
  <c r="CW207" i="90"/>
  <c r="CR207" i="90"/>
  <c r="AH195" i="90"/>
  <c r="BB300" i="90" s="1"/>
  <c r="BG300" i="90"/>
  <c r="CQ61" i="90"/>
  <c r="CV61" i="90"/>
  <c r="CW181" i="90"/>
  <c r="CR181" i="90"/>
  <c r="CR225" i="90"/>
  <c r="CW225" i="90"/>
  <c r="CQ109" i="90"/>
  <c r="CV109" i="90"/>
  <c r="CR189" i="90"/>
  <c r="CW189" i="90"/>
  <c r="A233" i="90"/>
  <c r="A349" i="90"/>
  <c r="A347" i="90"/>
  <c r="CQ34" i="90"/>
  <c r="CV34" i="90"/>
  <c r="CR136" i="90"/>
  <c r="CW136" i="90"/>
  <c r="AH215" i="90"/>
  <c r="BB320" i="90" s="1"/>
  <c r="BG320" i="90"/>
  <c r="AH168" i="90"/>
  <c r="BB273" i="90" s="1"/>
  <c r="BG273" i="90"/>
  <c r="A378" i="90"/>
  <c r="AH63" i="90"/>
  <c r="CQ111" i="90"/>
  <c r="CV111" i="90"/>
  <c r="CR180" i="90"/>
  <c r="CW180" i="90"/>
  <c r="AH224" i="90"/>
  <c r="BB329" i="90" s="1"/>
  <c r="BG329" i="90"/>
  <c r="CQ38" i="90"/>
  <c r="CV38" i="90"/>
  <c r="CR220" i="90"/>
  <c r="CW220" i="90"/>
  <c r="CW190" i="90"/>
  <c r="CR190" i="90"/>
  <c r="CQ74" i="90"/>
  <c r="CV74" i="90"/>
  <c r="AH118" i="90"/>
  <c r="AH191" i="90"/>
  <c r="BB296" i="90" s="1"/>
  <c r="BG296" i="90"/>
  <c r="CR158" i="90"/>
  <c r="CW158" i="90"/>
  <c r="CW223" i="90"/>
  <c r="CR223" i="90"/>
  <c r="BG293" i="90"/>
  <c r="AH188" i="90"/>
  <c r="BB293" i="90" s="1"/>
  <c r="CR203" i="90"/>
  <c r="CW203" i="90"/>
  <c r="A422" i="90"/>
  <c r="AH107" i="90"/>
  <c r="AH26" i="90"/>
  <c r="AH216" i="90"/>
  <c r="BB321" i="90" s="1"/>
  <c r="BG321" i="90"/>
  <c r="AH49" i="90"/>
  <c r="CQ47" i="90"/>
  <c r="CV47" i="90"/>
  <c r="CW149" i="90"/>
  <c r="CR149" i="90"/>
  <c r="CQ104" i="90"/>
  <c r="CV104" i="90"/>
  <c r="CQ55" i="90"/>
  <c r="CV55" i="90"/>
  <c r="CW130" i="90"/>
  <c r="CR130" i="90"/>
  <c r="CW173" i="90"/>
  <c r="CR173" i="90"/>
  <c r="A352" i="90"/>
  <c r="AH37" i="90"/>
  <c r="A359" i="90"/>
  <c r="AH44" i="90"/>
  <c r="CR221" i="90"/>
  <c r="CW221" i="90"/>
  <c r="AH206" i="90"/>
  <c r="BB311" i="90" s="1"/>
  <c r="BG311" i="90"/>
  <c r="AH45" i="90"/>
  <c r="CQ24" i="90"/>
  <c r="CV24" i="90"/>
  <c r="CR208" i="90"/>
  <c r="CW208" i="90"/>
  <c r="AH132" i="90"/>
  <c r="BB237" i="90" s="1"/>
  <c r="BG237" i="90"/>
  <c r="CQ53" i="90"/>
  <c r="CV53" i="90"/>
  <c r="AH102" i="90"/>
  <c r="AH142" i="90"/>
  <c r="BB247" i="90" s="1"/>
  <c r="BG247" i="90"/>
  <c r="AH179" i="90"/>
  <c r="BB284" i="90" s="1"/>
  <c r="BG284" i="90"/>
  <c r="CR198" i="90"/>
  <c r="CW198" i="90"/>
  <c r="CQ40" i="90"/>
  <c r="CV40" i="90"/>
  <c r="CQ93" i="90"/>
  <c r="CV93" i="90"/>
  <c r="CQ80" i="90"/>
  <c r="CV80" i="90"/>
  <c r="CR195" i="90"/>
  <c r="CW195" i="90"/>
  <c r="CW194" i="90"/>
  <c r="CR194" i="90"/>
  <c r="AH57" i="90"/>
  <c r="AH41" i="90"/>
  <c r="CR214" i="90"/>
  <c r="CW214" i="90"/>
  <c r="CW161" i="90"/>
  <c r="CR161" i="90"/>
  <c r="BG259" i="90"/>
  <c r="AH154" i="90"/>
  <c r="BB259" i="90" s="1"/>
  <c r="CQ28" i="90"/>
  <c r="CV28" i="90"/>
  <c r="AH201" i="90"/>
  <c r="BB306" i="90" s="1"/>
  <c r="BG306" i="90"/>
  <c r="A267" i="90"/>
  <c r="AH155" i="90"/>
  <c r="BB260" i="90" s="1"/>
  <c r="BG260" i="90"/>
  <c r="CQ29" i="90"/>
  <c r="CV29" i="90"/>
  <c r="CW215" i="90"/>
  <c r="CR215" i="90"/>
  <c r="A273" i="90"/>
  <c r="AH61" i="90"/>
  <c r="A391" i="90"/>
  <c r="AH76" i="90"/>
  <c r="CR170" i="90"/>
  <c r="CW170" i="90"/>
  <c r="A426" i="90"/>
  <c r="AH111" i="90"/>
  <c r="A393" i="90"/>
  <c r="AH78" i="90"/>
  <c r="A405" i="90"/>
  <c r="AH90" i="90"/>
  <c r="CQ73" i="90"/>
  <c r="CV73" i="90"/>
  <c r="A432" i="90"/>
  <c r="AH117" i="90"/>
  <c r="CR137" i="90"/>
  <c r="CW137" i="90"/>
  <c r="AH178" i="90"/>
  <c r="BB283" i="90" s="1"/>
  <c r="BG283" i="90"/>
  <c r="CQ98" i="90"/>
  <c r="CV98" i="90"/>
  <c r="A434" i="90"/>
  <c r="AH119" i="90"/>
  <c r="CQ50" i="90"/>
  <c r="CV50" i="90"/>
  <c r="AH159" i="90"/>
  <c r="BB264" i="90" s="1"/>
  <c r="BG264" i="90"/>
  <c r="CQ113" i="90"/>
  <c r="CV113" i="90"/>
  <c r="AH190" i="90"/>
  <c r="BB295" i="90" s="1"/>
  <c r="BG295" i="90"/>
  <c r="A389" i="90"/>
  <c r="AH74" i="90"/>
  <c r="CR164" i="90"/>
  <c r="CW164" i="90"/>
  <c r="CQ27" i="90"/>
  <c r="CV27" i="90"/>
  <c r="A399" i="90"/>
  <c r="AH84" i="90"/>
  <c r="CR146" i="90"/>
  <c r="CW146" i="90"/>
  <c r="AH148" i="90"/>
  <c r="BB253" i="90" s="1"/>
  <c r="BG253" i="90"/>
  <c r="A375" i="90"/>
  <c r="AH60" i="90"/>
  <c r="CR127" i="90"/>
  <c r="CW127" i="90"/>
  <c r="CW153" i="90"/>
  <c r="CR153" i="90"/>
  <c r="AH223" i="90"/>
  <c r="BB328" i="90" s="1"/>
  <c r="BG328" i="90"/>
  <c r="CW165" i="90"/>
  <c r="CR165" i="90"/>
  <c r="CW188" i="90"/>
  <c r="CR188" i="90"/>
  <c r="CQ107" i="90"/>
  <c r="CV107" i="90"/>
  <c r="CW216" i="90"/>
  <c r="CR216" i="90"/>
  <c r="A392" i="90"/>
  <c r="AH77" i="90"/>
  <c r="A309" i="90"/>
  <c r="AH97" i="90"/>
  <c r="AH202" i="90"/>
  <c r="BB307" i="90" s="1"/>
  <c r="BG307" i="90"/>
  <c r="CW154" i="90"/>
  <c r="CR154" i="90"/>
  <c r="CQ42" i="90"/>
  <c r="CV42" i="90"/>
  <c r="AH211" i="90"/>
  <c r="BB316" i="90" s="1"/>
  <c r="BG316" i="90"/>
  <c r="CW135" i="90"/>
  <c r="CR135" i="90"/>
  <c r="AH162" i="90"/>
  <c r="BB267" i="90" s="1"/>
  <c r="BG267" i="90"/>
  <c r="CQ23" i="90"/>
  <c r="CV23" i="90"/>
  <c r="CR144" i="90"/>
  <c r="CW144" i="90"/>
  <c r="A421" i="90"/>
  <c r="AH106" i="90"/>
  <c r="CW217" i="90"/>
  <c r="CR217" i="90"/>
  <c r="CQ114" i="90"/>
  <c r="CV114" i="90"/>
  <c r="A311" i="90"/>
  <c r="AH99" i="90"/>
  <c r="CQ45" i="90"/>
  <c r="CV45" i="90"/>
  <c r="AH24" i="90"/>
  <c r="AH208" i="90"/>
  <c r="BB313" i="90" s="1"/>
  <c r="BG313" i="90"/>
  <c r="CQ25" i="90"/>
  <c r="FP4344" i="4" s="1"/>
  <c r="CV25" i="90"/>
  <c r="S51" i="70" s="1"/>
  <c r="CW209" i="90"/>
  <c r="CR209" i="90"/>
  <c r="CW179" i="90"/>
  <c r="CR179" i="90"/>
  <c r="CW147" i="90"/>
  <c r="CR147" i="90"/>
  <c r="AH200" i="90"/>
  <c r="BB305" i="90" s="1"/>
  <c r="BG305" i="90"/>
  <c r="A292" i="90"/>
  <c r="AH80" i="90"/>
  <c r="A414" i="90"/>
  <c r="A236" i="90"/>
  <c r="A286" i="90"/>
  <c r="A302" i="90"/>
  <c r="A331" i="90"/>
  <c r="A395" i="90"/>
  <c r="A288" i="90"/>
  <c r="A296" i="90"/>
  <c r="A376" i="90"/>
  <c r="A412" i="90"/>
  <c r="A290" i="90"/>
  <c r="A323" i="90"/>
  <c r="A339" i="90"/>
  <c r="CP38" i="90"/>
  <c r="CU38" i="90"/>
  <c r="CQ158" i="90"/>
  <c r="CV158" i="90"/>
  <c r="CV203" i="90"/>
  <c r="CQ203" i="90"/>
  <c r="CQ149" i="90"/>
  <c r="CV149" i="90"/>
  <c r="CU55" i="90"/>
  <c r="CP55" i="90"/>
  <c r="AG45" i="90"/>
  <c r="CP24" i="90"/>
  <c r="CU24" i="90"/>
  <c r="CQ208" i="90"/>
  <c r="CV208" i="90"/>
  <c r="AV237" i="90"/>
  <c r="K340" i="90" s="1"/>
  <c r="AG132" i="90"/>
  <c r="AQ237" i="90" s="1"/>
  <c r="J340" i="90" s="1"/>
  <c r="CP53" i="90"/>
  <c r="CU53" i="90"/>
  <c r="AV247" i="90"/>
  <c r="K350" i="90" s="1"/>
  <c r="AG142" i="90"/>
  <c r="AQ247" i="90" s="1"/>
  <c r="J350" i="90" s="1"/>
  <c r="CQ198" i="90"/>
  <c r="CV198" i="90"/>
  <c r="A257" i="90"/>
  <c r="AV260" i="90"/>
  <c r="K363" i="90" s="1"/>
  <c r="AG155" i="90"/>
  <c r="AQ260" i="90" s="1"/>
  <c r="J363" i="90" s="1"/>
  <c r="CP29" i="90"/>
  <c r="CU29" i="90"/>
  <c r="CV215" i="90"/>
  <c r="CQ215" i="90"/>
  <c r="AG61" i="90"/>
  <c r="AG76" i="90"/>
  <c r="CQ170" i="90"/>
  <c r="CV170" i="90"/>
  <c r="AG111" i="90"/>
  <c r="AG78" i="90"/>
  <c r="AG90" i="90"/>
  <c r="CU73" i="90"/>
  <c r="CP73" i="90"/>
  <c r="AG117" i="90"/>
  <c r="CV137" i="90"/>
  <c r="CQ137" i="90"/>
  <c r="AG178" i="90"/>
  <c r="AQ283" i="90" s="1"/>
  <c r="J386" i="90" s="1"/>
  <c r="AV283" i="90"/>
  <c r="K386" i="90" s="1"/>
  <c r="CP98" i="90"/>
  <c r="CU98" i="90"/>
  <c r="AG119" i="90"/>
  <c r="CP50" i="90"/>
  <c r="CU50" i="90"/>
  <c r="AG159" i="90"/>
  <c r="AQ264" i="90" s="1"/>
  <c r="J367" i="90" s="1"/>
  <c r="AV264" i="90"/>
  <c r="K367" i="90" s="1"/>
  <c r="CP113" i="90"/>
  <c r="CU113" i="90"/>
  <c r="AG190" i="90"/>
  <c r="AQ295" i="90" s="1"/>
  <c r="J398" i="90" s="1"/>
  <c r="AV295" i="90"/>
  <c r="K398" i="90" s="1"/>
  <c r="AG74" i="90"/>
  <c r="CV164" i="90"/>
  <c r="CQ164" i="90"/>
  <c r="CP27" i="90"/>
  <c r="CU27" i="90"/>
  <c r="AG84" i="90"/>
  <c r="CV146" i="90"/>
  <c r="CQ146" i="90"/>
  <c r="AG148" i="90"/>
  <c r="AQ253" i="90" s="1"/>
  <c r="J356" i="90" s="1"/>
  <c r="AV253" i="90"/>
  <c r="K356" i="90" s="1"/>
  <c r="AG60" i="90"/>
  <c r="CQ127" i="90"/>
  <c r="CV127" i="90"/>
  <c r="CV153" i="90"/>
  <c r="CQ153" i="90"/>
  <c r="AG223" i="90"/>
  <c r="AQ328" i="90" s="1"/>
  <c r="J431" i="90" s="1"/>
  <c r="AV328" i="90"/>
  <c r="K431" i="90" s="1"/>
  <c r="CV165" i="90"/>
  <c r="CQ165" i="90"/>
  <c r="CV188" i="90"/>
  <c r="CQ188" i="90"/>
  <c r="CP107" i="90"/>
  <c r="CU107" i="90"/>
  <c r="CV216" i="90"/>
  <c r="CQ216" i="90"/>
  <c r="AG77" i="90"/>
  <c r="AG97" i="90"/>
  <c r="AG202" i="90"/>
  <c r="AQ307" i="90" s="1"/>
  <c r="J410" i="90" s="1"/>
  <c r="AV307" i="90"/>
  <c r="K410" i="90" s="1"/>
  <c r="CQ154" i="90"/>
  <c r="CV154" i="90"/>
  <c r="CU42" i="90"/>
  <c r="CP42" i="90"/>
  <c r="AG211" i="90"/>
  <c r="AQ316" i="90" s="1"/>
  <c r="J419" i="90" s="1"/>
  <c r="AV316" i="90"/>
  <c r="K419" i="90" s="1"/>
  <c r="CV135" i="90"/>
  <c r="CQ135" i="90"/>
  <c r="AG162" i="90"/>
  <c r="AQ267" i="90" s="1"/>
  <c r="J370" i="90" s="1"/>
  <c r="AV267" i="90"/>
  <c r="K370" i="90" s="1"/>
  <c r="CU23" i="90"/>
  <c r="CP23" i="90"/>
  <c r="CQ144" i="90"/>
  <c r="CV144" i="90"/>
  <c r="AG106" i="90"/>
  <c r="CQ217" i="90"/>
  <c r="CV217" i="90"/>
  <c r="CU114" i="90"/>
  <c r="CP114" i="90"/>
  <c r="AG99" i="90"/>
  <c r="CU45" i="90"/>
  <c r="CP45" i="90"/>
  <c r="AG24" i="90"/>
  <c r="AV313" i="90"/>
  <c r="K416" i="90" s="1"/>
  <c r="AG208" i="90"/>
  <c r="AQ313" i="90" s="1"/>
  <c r="J416" i="90" s="1"/>
  <c r="CU25" i="90"/>
  <c r="S48" i="70" s="1"/>
  <c r="CP25" i="90"/>
  <c r="FM4344" i="4" s="1"/>
  <c r="CV209" i="90"/>
  <c r="CQ209" i="90"/>
  <c r="CQ179" i="90"/>
  <c r="CV179" i="90"/>
  <c r="CQ147" i="90"/>
  <c r="CV147" i="90"/>
  <c r="AG200" i="90"/>
  <c r="AQ305" i="90" s="1"/>
  <c r="J408" i="90" s="1"/>
  <c r="AV305" i="90"/>
  <c r="K408" i="90" s="1"/>
  <c r="AG80" i="90"/>
  <c r="AG118" i="90"/>
  <c r="AG26" i="90"/>
  <c r="AG49" i="90"/>
  <c r="CU104" i="90"/>
  <c r="CP104" i="90"/>
  <c r="AG102" i="90"/>
  <c r="AG179" i="90"/>
  <c r="AQ284" i="90" s="1"/>
  <c r="J387" i="90" s="1"/>
  <c r="AV284" i="90"/>
  <c r="K387" i="90" s="1"/>
  <c r="CV195" i="90"/>
  <c r="CQ195" i="90"/>
  <c r="A314" i="90"/>
  <c r="A249" i="90"/>
  <c r="A319" i="90"/>
  <c r="CV155" i="90"/>
  <c r="CQ155" i="90"/>
  <c r="AG34" i="90"/>
  <c r="CQ172" i="90"/>
  <c r="CV172" i="90"/>
  <c r="CP108" i="90"/>
  <c r="CU108" i="90"/>
  <c r="CV194" i="90"/>
  <c r="CQ194" i="90"/>
  <c r="CP61" i="90"/>
  <c r="CU61" i="90"/>
  <c r="CP76" i="90"/>
  <c r="CU76" i="90"/>
  <c r="AG170" i="90"/>
  <c r="AQ275" i="90" s="1"/>
  <c r="J378" i="90" s="1"/>
  <c r="AV275" i="90"/>
  <c r="K378" i="90" s="1"/>
  <c r="CV185" i="90"/>
  <c r="CQ185" i="90"/>
  <c r="CV157" i="90"/>
  <c r="CQ157" i="90"/>
  <c r="CQ210" i="90"/>
  <c r="CV210" i="90"/>
  <c r="AG219" i="90"/>
  <c r="AQ324" i="90" s="1"/>
  <c r="J427" i="90" s="1"/>
  <c r="AV324" i="90"/>
  <c r="K427" i="90" s="1"/>
  <c r="CV181" i="90"/>
  <c r="CQ181" i="90"/>
  <c r="AG138" i="90"/>
  <c r="AQ243" i="90" s="1"/>
  <c r="J346" i="90" s="1"/>
  <c r="AV243" i="90"/>
  <c r="K346" i="90" s="1"/>
  <c r="AG57" i="90"/>
  <c r="AG27" i="90"/>
  <c r="AG32" i="90"/>
  <c r="CQ225" i="90"/>
  <c r="CV225" i="90"/>
  <c r="CP84" i="90"/>
  <c r="CU84" i="90"/>
  <c r="CU39" i="90"/>
  <c r="CP39" i="90"/>
  <c r="AG41" i="90"/>
  <c r="CQ167" i="90"/>
  <c r="CV167" i="90"/>
  <c r="AG153" i="90"/>
  <c r="AQ258" i="90" s="1"/>
  <c r="J361" i="90" s="1"/>
  <c r="AV258" i="90"/>
  <c r="K361" i="90" s="1"/>
  <c r="CU75" i="90"/>
  <c r="CP75" i="90"/>
  <c r="CQ214" i="90"/>
  <c r="CV214" i="90"/>
  <c r="CP109" i="90"/>
  <c r="CU109" i="90"/>
  <c r="CU89" i="90"/>
  <c r="CP89" i="90"/>
  <c r="CQ161" i="90"/>
  <c r="CV161" i="90"/>
  <c r="AG22" i="90"/>
  <c r="CQ175" i="90"/>
  <c r="CV175" i="90"/>
  <c r="CV156" i="90"/>
  <c r="CQ156" i="90"/>
  <c r="AG154" i="90"/>
  <c r="AQ259" i="90" s="1"/>
  <c r="J362" i="90" s="1"/>
  <c r="AV259" i="90"/>
  <c r="K362" i="90" s="1"/>
  <c r="CV189" i="90"/>
  <c r="CQ189" i="90"/>
  <c r="CQ211" i="90"/>
  <c r="CV211" i="90"/>
  <c r="CU28" i="90"/>
  <c r="CP28" i="90"/>
  <c r="AG55" i="90"/>
  <c r="AG130" i="90"/>
  <c r="AQ235" i="90" s="1"/>
  <c r="J338" i="90" s="1"/>
  <c r="AV235" i="90"/>
  <c r="K338" i="90" s="1"/>
  <c r="AG21" i="90"/>
  <c r="CQ143" i="90"/>
  <c r="CV143" i="90"/>
  <c r="AG217" i="90"/>
  <c r="AQ322" i="90" s="1"/>
  <c r="J425" i="90" s="1"/>
  <c r="AV322" i="90"/>
  <c r="K425" i="90" s="1"/>
  <c r="AV306" i="90"/>
  <c r="K409" i="90" s="1"/>
  <c r="AG201" i="90"/>
  <c r="AQ306" i="90" s="1"/>
  <c r="J409" i="90" s="1"/>
  <c r="CU67" i="90"/>
  <c r="CP67" i="90"/>
  <c r="AG43" i="90"/>
  <c r="AV326" i="90"/>
  <c r="K429" i="90" s="1"/>
  <c r="AG221" i="90"/>
  <c r="AQ326" i="90" s="1"/>
  <c r="J429" i="90" s="1"/>
  <c r="CV131" i="90"/>
  <c r="CQ131" i="90"/>
  <c r="CU85" i="90"/>
  <c r="CP85" i="90"/>
  <c r="CQ132" i="90"/>
  <c r="CV132" i="90"/>
  <c r="CU102" i="90"/>
  <c r="CP102" i="90"/>
  <c r="CP91" i="90"/>
  <c r="CU91" i="90"/>
  <c r="AG147" i="90"/>
  <c r="AQ252" i="90" s="1"/>
  <c r="J355" i="90" s="1"/>
  <c r="AV252" i="90"/>
  <c r="K355" i="90" s="1"/>
  <c r="CP100" i="90"/>
  <c r="CU100" i="90"/>
  <c r="AG88" i="90"/>
  <c r="AG216" i="90"/>
  <c r="AQ321" i="90" s="1"/>
  <c r="J424" i="90" s="1"/>
  <c r="AV321" i="90"/>
  <c r="K424" i="90" s="1"/>
  <c r="CP93" i="90"/>
  <c r="CU93" i="90"/>
  <c r="AG48" i="90"/>
  <c r="AG70" i="90"/>
  <c r="AG87" i="90"/>
  <c r="AG64" i="90"/>
  <c r="CQ183" i="90"/>
  <c r="CV183" i="90"/>
  <c r="CP78" i="90"/>
  <c r="CU78" i="90"/>
  <c r="CQ212" i="90"/>
  <c r="CV212" i="90"/>
  <c r="AG73" i="90"/>
  <c r="CV224" i="90"/>
  <c r="CQ224" i="90"/>
  <c r="AV250" i="90"/>
  <c r="K353" i="90" s="1"/>
  <c r="AG145" i="90"/>
  <c r="AQ250" i="90" s="1"/>
  <c r="J353" i="90" s="1"/>
  <c r="CV205" i="90"/>
  <c r="CQ205" i="90"/>
  <c r="AG157" i="90"/>
  <c r="AQ262" i="90" s="1"/>
  <c r="J365" i="90" s="1"/>
  <c r="AV262" i="90"/>
  <c r="K365" i="90" s="1"/>
  <c r="AG103" i="90"/>
  <c r="AG112" i="90"/>
  <c r="AG176" i="90"/>
  <c r="AQ281" i="90" s="1"/>
  <c r="J384" i="90" s="1"/>
  <c r="AV281" i="90"/>
  <c r="K384" i="90" s="1"/>
  <c r="AG181" i="90"/>
  <c r="AQ286" i="90" s="1"/>
  <c r="J389" i="90" s="1"/>
  <c r="AV286" i="90"/>
  <c r="K389" i="90" s="1"/>
  <c r="AG31" i="90"/>
  <c r="CQ134" i="90"/>
  <c r="CV134" i="90"/>
  <c r="CP32" i="90"/>
  <c r="CU32" i="90"/>
  <c r="CP118" i="90"/>
  <c r="CU118" i="90"/>
  <c r="CQ191" i="90"/>
  <c r="CV191" i="90"/>
  <c r="AG146" i="90"/>
  <c r="AQ251" i="90" s="1"/>
  <c r="J354" i="90" s="1"/>
  <c r="AV251" i="90"/>
  <c r="K354" i="90" s="1"/>
  <c r="CQ148" i="90"/>
  <c r="CV148" i="90"/>
  <c r="CP60" i="90"/>
  <c r="CU60" i="90"/>
  <c r="AG46" i="90"/>
  <c r="CP115" i="90"/>
  <c r="CU115" i="90"/>
  <c r="AG75" i="90"/>
  <c r="AG214" i="90"/>
  <c r="AQ319" i="90" s="1"/>
  <c r="J422" i="90" s="1"/>
  <c r="AV319" i="90"/>
  <c r="K422" i="90" s="1"/>
  <c r="AG89" i="90"/>
  <c r="CP54" i="90"/>
  <c r="CU54" i="90"/>
  <c r="CV129" i="90"/>
  <c r="CQ129" i="90"/>
  <c r="AG95" i="90"/>
  <c r="CV193" i="90"/>
  <c r="CQ193" i="90"/>
  <c r="CP49" i="90"/>
  <c r="CU49" i="90"/>
  <c r="AG189" i="90"/>
  <c r="AQ294" i="90" s="1"/>
  <c r="J397" i="90" s="1"/>
  <c r="AV294" i="90"/>
  <c r="K397" i="90" s="1"/>
  <c r="AG104" i="90"/>
  <c r="AG28" i="90"/>
  <c r="CV162" i="90"/>
  <c r="CQ162" i="90"/>
  <c r="CP21" i="90"/>
  <c r="CU21" i="90"/>
  <c r="AG186" i="90"/>
  <c r="AQ291" i="90" s="1"/>
  <c r="J394" i="90" s="1"/>
  <c r="AV291" i="90"/>
  <c r="K394" i="90" s="1"/>
  <c r="CP36" i="90"/>
  <c r="CU36" i="90"/>
  <c r="AG110" i="90"/>
  <c r="AG94" i="90"/>
  <c r="CQ150" i="90"/>
  <c r="CV150" i="90"/>
  <c r="AG152" i="90"/>
  <c r="AQ257" i="90" s="1"/>
  <c r="J360" i="90" s="1"/>
  <c r="AV257" i="90"/>
  <c r="K360" i="90" s="1"/>
  <c r="AG85" i="90"/>
  <c r="AG140" i="90"/>
  <c r="AQ245" i="90" s="1"/>
  <c r="J348" i="90" s="1"/>
  <c r="AV245" i="90"/>
  <c r="K348" i="90" s="1"/>
  <c r="AG209" i="90"/>
  <c r="AQ314" i="90" s="1"/>
  <c r="J417" i="90" s="1"/>
  <c r="AV314" i="90"/>
  <c r="K417" i="90" s="1"/>
  <c r="CQ142" i="90"/>
  <c r="CV142" i="90"/>
  <c r="AG198" i="90"/>
  <c r="AQ303" i="90" s="1"/>
  <c r="J406" i="90" s="1"/>
  <c r="AV303" i="90"/>
  <c r="K406" i="90" s="1"/>
  <c r="AG40" i="90"/>
  <c r="AG100" i="90"/>
  <c r="CV187" i="90"/>
  <c r="CQ187" i="90"/>
  <c r="CQ180" i="90"/>
  <c r="CV180" i="90"/>
  <c r="AG191" i="90"/>
  <c r="AQ296" i="90" s="1"/>
  <c r="J399" i="90" s="1"/>
  <c r="AV296" i="90"/>
  <c r="K399" i="90" s="1"/>
  <c r="CU48" i="90"/>
  <c r="CP48" i="90"/>
  <c r="AG92" i="90"/>
  <c r="CV177" i="90"/>
  <c r="CQ177" i="90"/>
  <c r="AG136" i="90"/>
  <c r="AQ241" i="90" s="1"/>
  <c r="J344" i="90" s="1"/>
  <c r="AV241" i="90"/>
  <c r="K344" i="90" s="1"/>
  <c r="CP65" i="90"/>
  <c r="CU65" i="90"/>
  <c r="AG194" i="90"/>
  <c r="AQ299" i="90" s="1"/>
  <c r="J402" i="90" s="1"/>
  <c r="AV299" i="90"/>
  <c r="K402" i="90" s="1"/>
  <c r="CV171" i="90"/>
  <c r="CQ171" i="90"/>
  <c r="AG183" i="90"/>
  <c r="AQ288" i="90" s="1"/>
  <c r="J391" i="90" s="1"/>
  <c r="AV288" i="90"/>
  <c r="K391" i="90" s="1"/>
  <c r="AG218" i="90"/>
  <c r="AQ323" i="90" s="1"/>
  <c r="J426" i="90" s="1"/>
  <c r="AV323" i="90"/>
  <c r="K426" i="90" s="1"/>
  <c r="AG105" i="90"/>
  <c r="AG180" i="90"/>
  <c r="AQ285" i="90" s="1"/>
  <c r="J388" i="90" s="1"/>
  <c r="AV285" i="90"/>
  <c r="K388" i="90" s="1"/>
  <c r="CP30" i="90"/>
  <c r="CU30" i="90"/>
  <c r="CP71" i="90"/>
  <c r="CU71" i="90"/>
  <c r="CQ226" i="90"/>
  <c r="CV226" i="90"/>
  <c r="CP52" i="90"/>
  <c r="CU52" i="90"/>
  <c r="CU112" i="90"/>
  <c r="CP112" i="90"/>
  <c r="AG164" i="90"/>
  <c r="AQ269" i="90" s="1"/>
  <c r="J372" i="90" s="1"/>
  <c r="AV269" i="90"/>
  <c r="K372" i="90" s="1"/>
  <c r="AG139" i="90"/>
  <c r="AQ244" i="90" s="1"/>
  <c r="J347" i="90" s="1"/>
  <c r="AV244" i="90"/>
  <c r="K347" i="90" s="1"/>
  <c r="CP41" i="90"/>
  <c r="CU41" i="90"/>
  <c r="AG158" i="90"/>
  <c r="AQ263" i="90" s="1"/>
  <c r="J366" i="90" s="1"/>
  <c r="AV263" i="90"/>
  <c r="K366" i="90" s="1"/>
  <c r="CP58" i="90"/>
  <c r="CU58" i="90"/>
  <c r="CV222" i="90"/>
  <c r="CQ222" i="90"/>
  <c r="CP81" i="90"/>
  <c r="CU81" i="90"/>
  <c r="AV308" i="90"/>
  <c r="K411" i="90" s="1"/>
  <c r="AG203" i="90"/>
  <c r="AQ308" i="90" s="1"/>
  <c r="J411" i="90" s="1"/>
  <c r="AG133" i="90"/>
  <c r="AQ238" i="90" s="1"/>
  <c r="J341" i="90" s="1"/>
  <c r="AV238" i="90"/>
  <c r="K341" i="90" s="1"/>
  <c r="AG184" i="90"/>
  <c r="AQ289" i="90" s="1"/>
  <c r="J392" i="90" s="1"/>
  <c r="AV289" i="90"/>
  <c r="K392" i="90" s="1"/>
  <c r="AG161" i="90"/>
  <c r="AQ266" i="90" s="1"/>
  <c r="J369" i="90" s="1"/>
  <c r="AV266" i="90"/>
  <c r="K369" i="90" s="1"/>
  <c r="CP22" i="90"/>
  <c r="CU22" i="90"/>
  <c r="CP68" i="90"/>
  <c r="CU68" i="90"/>
  <c r="CQ202" i="90"/>
  <c r="CV202" i="90"/>
  <c r="CU86" i="90"/>
  <c r="CP86" i="90"/>
  <c r="AG156" i="90"/>
  <c r="AQ261" i="90" s="1"/>
  <c r="J364" i="90" s="1"/>
  <c r="AV261" i="90"/>
  <c r="K364" i="90" s="1"/>
  <c r="AG149" i="90"/>
  <c r="AQ254" i="90" s="1"/>
  <c r="J357" i="90" s="1"/>
  <c r="AV254" i="90"/>
  <c r="K357" i="90" s="1"/>
  <c r="CP66" i="90"/>
  <c r="CU66" i="90"/>
  <c r="CV128" i="90"/>
  <c r="CQ128" i="90"/>
  <c r="AG79" i="90"/>
  <c r="CV213" i="90"/>
  <c r="CQ213" i="90"/>
  <c r="CP110" i="90"/>
  <c r="CU110" i="90"/>
  <c r="CQ151" i="90"/>
  <c r="CV151" i="90"/>
  <c r="AG67" i="90"/>
  <c r="CP43" i="90"/>
  <c r="CU43" i="90"/>
  <c r="CU56" i="90"/>
  <c r="CP56" i="90"/>
  <c r="AG62" i="90"/>
  <c r="AG192" i="90"/>
  <c r="AQ297" i="90" s="1"/>
  <c r="J400" i="90" s="1"/>
  <c r="AV297" i="90"/>
  <c r="K400" i="90" s="1"/>
  <c r="AG101" i="90"/>
  <c r="AG59" i="90"/>
  <c r="AG207" i="90"/>
  <c r="AQ312" i="90" s="1"/>
  <c r="J415" i="90" s="1"/>
  <c r="AV312" i="90"/>
  <c r="K415" i="90" s="1"/>
  <c r="AV273" i="90"/>
  <c r="K376" i="90" s="1"/>
  <c r="AG168" i="90"/>
  <c r="AQ273" i="90" s="1"/>
  <c r="J376" i="90" s="1"/>
  <c r="CP111" i="90"/>
  <c r="CU111" i="90"/>
  <c r="CV220" i="90"/>
  <c r="CQ220" i="90"/>
  <c r="CP74" i="90"/>
  <c r="CU74" i="90"/>
  <c r="CV223" i="90"/>
  <c r="CQ223" i="90"/>
  <c r="CQ173" i="90"/>
  <c r="CV173" i="90"/>
  <c r="CV221" i="90"/>
  <c r="CQ221" i="90"/>
  <c r="CP80" i="90"/>
  <c r="CU80" i="90"/>
  <c r="A261" i="90"/>
  <c r="A330" i="90"/>
  <c r="A275" i="90"/>
  <c r="A364" i="90"/>
  <c r="A433" i="90"/>
  <c r="CQ199" i="90"/>
  <c r="CV199" i="90"/>
  <c r="CU70" i="90"/>
  <c r="CP70" i="90"/>
  <c r="AG29" i="90"/>
  <c r="AG65" i="90"/>
  <c r="AG108" i="90"/>
  <c r="CV168" i="90"/>
  <c r="CQ168" i="90"/>
  <c r="AG171" i="90"/>
  <c r="AQ276" i="90" s="1"/>
  <c r="J379" i="90" s="1"/>
  <c r="AV276" i="90"/>
  <c r="K379" i="90" s="1"/>
  <c r="CQ197" i="90"/>
  <c r="CV197" i="90"/>
  <c r="AG137" i="90"/>
  <c r="AQ242" i="90" s="1"/>
  <c r="J345" i="90" s="1"/>
  <c r="AV242" i="90"/>
  <c r="K345" i="90" s="1"/>
  <c r="AG226" i="90"/>
  <c r="AQ331" i="90" s="1"/>
  <c r="J434" i="90" s="1"/>
  <c r="AV331" i="90"/>
  <c r="K434" i="90" s="1"/>
  <c r="CP103" i="90"/>
  <c r="CU103" i="90"/>
  <c r="CV219" i="90"/>
  <c r="CQ219" i="90"/>
  <c r="CP83" i="90"/>
  <c r="CU83" i="90"/>
  <c r="AG69" i="90"/>
  <c r="CP57" i="90"/>
  <c r="CU57" i="90"/>
  <c r="CV139" i="90"/>
  <c r="CQ139" i="90"/>
  <c r="AG20" i="90"/>
  <c r="AG165" i="90"/>
  <c r="AQ270" i="90" s="1"/>
  <c r="J373" i="90" s="1"/>
  <c r="AV270" i="90"/>
  <c r="K373" i="90" s="1"/>
  <c r="AG222" i="90"/>
  <c r="AQ327" i="90" s="1"/>
  <c r="J430" i="90" s="1"/>
  <c r="AV327" i="90"/>
  <c r="K430" i="90" s="1"/>
  <c r="AG81" i="90"/>
  <c r="CP96" i="90"/>
  <c r="CU96" i="90"/>
  <c r="CV133" i="90"/>
  <c r="CQ133" i="90"/>
  <c r="CV184" i="90"/>
  <c r="CQ184" i="90"/>
  <c r="AG204" i="90"/>
  <c r="AQ309" i="90" s="1"/>
  <c r="J412" i="90" s="1"/>
  <c r="AV309" i="90"/>
  <c r="K412" i="90" s="1"/>
  <c r="AG129" i="90"/>
  <c r="AQ234" i="90" s="1"/>
  <c r="J337" i="90" s="1"/>
  <c r="AV234" i="90"/>
  <c r="K337" i="90" s="1"/>
  <c r="AG175" i="90"/>
  <c r="AQ280" i="90" s="1"/>
  <c r="J383" i="90" s="1"/>
  <c r="AV280" i="90"/>
  <c r="K383" i="90" s="1"/>
  <c r="CP95" i="90"/>
  <c r="CU95" i="90"/>
  <c r="AG86" i="90"/>
  <c r="AG42" i="90"/>
  <c r="AV278" i="90"/>
  <c r="K381" i="90" s="1"/>
  <c r="AG173" i="90"/>
  <c r="AQ278" i="90" s="1"/>
  <c r="J381" i="90" s="1"/>
  <c r="CP79" i="90"/>
  <c r="CU79" i="90"/>
  <c r="CV174" i="90"/>
  <c r="CQ174" i="90"/>
  <c r="AV255" i="90"/>
  <c r="K358" i="90" s="1"/>
  <c r="AG150" i="90"/>
  <c r="AQ255" i="90" s="1"/>
  <c r="J358" i="90" s="1"/>
  <c r="AG163" i="90"/>
  <c r="AQ268" i="90" s="1"/>
  <c r="J371" i="90" s="1"/>
  <c r="AV268" i="90"/>
  <c r="K371" i="90" s="1"/>
  <c r="CU62" i="90"/>
  <c r="CP62" i="90"/>
  <c r="CP101" i="90"/>
  <c r="CU101" i="90"/>
  <c r="AG53" i="90"/>
  <c r="CQ140" i="90"/>
  <c r="CV140" i="90"/>
  <c r="AG72" i="90"/>
  <c r="CU59" i="90"/>
  <c r="CP59" i="90"/>
  <c r="AG93" i="90"/>
  <c r="AG187" i="90"/>
  <c r="AQ292" i="90" s="1"/>
  <c r="J395" i="90" s="1"/>
  <c r="AV292" i="90"/>
  <c r="K395" i="90" s="1"/>
  <c r="CP34" i="90"/>
  <c r="CU34" i="90"/>
  <c r="AG215" i="90"/>
  <c r="AQ320" i="90" s="1"/>
  <c r="J423" i="90" s="1"/>
  <c r="AV320" i="90"/>
  <c r="K423" i="90" s="1"/>
  <c r="AG224" i="90"/>
  <c r="AQ329" i="90" s="1"/>
  <c r="J432" i="90" s="1"/>
  <c r="AV329" i="90"/>
  <c r="K432" i="90" s="1"/>
  <c r="CQ190" i="90"/>
  <c r="CV190" i="90"/>
  <c r="AG188" i="90"/>
  <c r="AQ293" i="90" s="1"/>
  <c r="J396" i="90" s="1"/>
  <c r="AV293" i="90"/>
  <c r="K396" i="90" s="1"/>
  <c r="AG107" i="90"/>
  <c r="CU47" i="90"/>
  <c r="CP47" i="90"/>
  <c r="CV130" i="90"/>
  <c r="CQ130" i="90"/>
  <c r="AG37" i="90"/>
  <c r="AG44" i="90"/>
  <c r="AG206" i="90"/>
  <c r="AQ311" i="90" s="1"/>
  <c r="J414" i="90" s="1"/>
  <c r="AV311" i="90"/>
  <c r="K414" i="90" s="1"/>
  <c r="A417" i="90"/>
  <c r="A341" i="90"/>
  <c r="CV141" i="90"/>
  <c r="CQ141" i="90"/>
  <c r="CP92" i="90"/>
  <c r="CU92" i="90"/>
  <c r="AG177" i="90"/>
  <c r="AQ282" i="90" s="1"/>
  <c r="J385" i="90" s="1"/>
  <c r="AV282" i="90"/>
  <c r="K385" i="90" s="1"/>
  <c r="AG172" i="90"/>
  <c r="AQ277" i="90" s="1"/>
  <c r="J380" i="90" s="1"/>
  <c r="AV277" i="90"/>
  <c r="K380" i="90" s="1"/>
  <c r="CP64" i="90"/>
  <c r="CU64" i="90"/>
  <c r="CP90" i="90"/>
  <c r="CU90" i="90"/>
  <c r="AG212" i="90"/>
  <c r="AQ317" i="90" s="1"/>
  <c r="J420" i="90" s="1"/>
  <c r="AV317" i="90"/>
  <c r="K420" i="90" s="1"/>
  <c r="AG38" i="90"/>
  <c r="AG71" i="90"/>
  <c r="AG98" i="90"/>
  <c r="CP119" i="90"/>
  <c r="CU119" i="90"/>
  <c r="AG52" i="90"/>
  <c r="AG210" i="90"/>
  <c r="AQ315" i="90" s="1"/>
  <c r="J418" i="90" s="1"/>
  <c r="AV315" i="90"/>
  <c r="K418" i="90" s="1"/>
  <c r="AG113" i="90"/>
  <c r="CV176" i="90"/>
  <c r="CQ176" i="90"/>
  <c r="CQ138" i="90"/>
  <c r="CV138" i="90"/>
  <c r="AG39" i="90"/>
  <c r="AG167" i="90"/>
  <c r="AQ272" i="90" s="1"/>
  <c r="J375" i="90" s="1"/>
  <c r="AV272" i="90"/>
  <c r="K375" i="90" s="1"/>
  <c r="CP20" i="90"/>
  <c r="CU20" i="90"/>
  <c r="CP46" i="90"/>
  <c r="CU46" i="90"/>
  <c r="AG51" i="90"/>
  <c r="AG116" i="90"/>
  <c r="AG58" i="90"/>
  <c r="CV182" i="90"/>
  <c r="CQ182" i="90"/>
  <c r="CP26" i="90"/>
  <c r="CU26" i="90"/>
  <c r="CU77" i="90"/>
  <c r="CP77" i="90"/>
  <c r="AG196" i="90"/>
  <c r="AQ301" i="90" s="1"/>
  <c r="J404" i="90" s="1"/>
  <c r="AV301" i="90"/>
  <c r="K404" i="90" s="1"/>
  <c r="CQ204" i="90"/>
  <c r="CV204" i="90"/>
  <c r="AG54" i="90"/>
  <c r="AG193" i="90"/>
  <c r="AQ298" i="90" s="1"/>
  <c r="J401" i="90" s="1"/>
  <c r="AV298" i="90"/>
  <c r="K401" i="90" s="1"/>
  <c r="AG47" i="90"/>
  <c r="AG82" i="90"/>
  <c r="AG135" i="90"/>
  <c r="AQ240" i="90" s="1"/>
  <c r="J343" i="90" s="1"/>
  <c r="AV240" i="90"/>
  <c r="K343" i="90" s="1"/>
  <c r="AG23" i="90"/>
  <c r="CP37" i="90"/>
  <c r="CU37" i="90"/>
  <c r="CV186" i="90"/>
  <c r="CQ186" i="90"/>
  <c r="CP106" i="90"/>
  <c r="CU106" i="90"/>
  <c r="AG143" i="90"/>
  <c r="AQ248" i="90" s="1"/>
  <c r="J351" i="90" s="1"/>
  <c r="AV248" i="90"/>
  <c r="K351" i="90" s="1"/>
  <c r="CQ201" i="90"/>
  <c r="CV201" i="90"/>
  <c r="CP44" i="90"/>
  <c r="CU44" i="90"/>
  <c r="CQ206" i="90"/>
  <c r="CV206" i="90"/>
  <c r="CQ152" i="90"/>
  <c r="CV152" i="90"/>
  <c r="AG56" i="90"/>
  <c r="AV236" i="90"/>
  <c r="K339" i="90" s="1"/>
  <c r="AG131" i="90"/>
  <c r="AQ236" i="90" s="1"/>
  <c r="J339" i="90" s="1"/>
  <c r="CV169" i="90"/>
  <c r="CQ169" i="90"/>
  <c r="AV265" i="90"/>
  <c r="K368" i="90" s="1"/>
  <c r="AG160" i="90"/>
  <c r="AQ265" i="90" s="1"/>
  <c r="J368" i="90" s="1"/>
  <c r="CP33" i="90"/>
  <c r="CU33" i="90"/>
  <c r="CU35" i="90"/>
  <c r="CP35" i="90"/>
  <c r="CP72" i="90"/>
  <c r="CU72" i="90"/>
  <c r="CV166" i="90"/>
  <c r="CQ166" i="90"/>
  <c r="CV200" i="90"/>
  <c r="CQ200" i="90"/>
  <c r="CU88" i="90"/>
  <c r="CP88" i="90"/>
  <c r="CV136" i="90"/>
  <c r="CQ136" i="90"/>
  <c r="AG63" i="90"/>
  <c r="CU40" i="90"/>
  <c r="CP40" i="90"/>
  <c r="A238" i="90"/>
  <c r="AG141" i="90"/>
  <c r="AQ246" i="90" s="1"/>
  <c r="J349" i="90" s="1"/>
  <c r="AV246" i="90"/>
  <c r="K349" i="90" s="1"/>
  <c r="AG199" i="90"/>
  <c r="AQ304" i="90" s="1"/>
  <c r="J407" i="90" s="1"/>
  <c r="AV304" i="90"/>
  <c r="K407" i="90" s="1"/>
  <c r="CP87" i="90"/>
  <c r="CU87" i="90"/>
  <c r="CU63" i="90"/>
  <c r="CP63" i="90"/>
  <c r="CV218" i="90"/>
  <c r="CQ218" i="90"/>
  <c r="AV290" i="90"/>
  <c r="K393" i="90" s="1"/>
  <c r="AG185" i="90"/>
  <c r="AQ290" i="90" s="1"/>
  <c r="J393" i="90" s="1"/>
  <c r="AV302" i="90"/>
  <c r="K405" i="90" s="1"/>
  <c r="AG197" i="90"/>
  <c r="AQ302" i="90" s="1"/>
  <c r="J405" i="90" s="1"/>
  <c r="CP105" i="90"/>
  <c r="CU105" i="90"/>
  <c r="CP117" i="90"/>
  <c r="CU117" i="90"/>
  <c r="A345" i="90"/>
  <c r="AG30" i="90"/>
  <c r="CV145" i="90"/>
  <c r="CQ145" i="90"/>
  <c r="CQ178" i="90"/>
  <c r="CV178" i="90"/>
  <c r="AG205" i="90"/>
  <c r="AQ310" i="90" s="1"/>
  <c r="J413" i="90" s="1"/>
  <c r="AV310" i="90"/>
  <c r="K413" i="90" s="1"/>
  <c r="A262" i="90"/>
  <c r="AG50" i="90"/>
  <c r="CV159" i="90"/>
  <c r="CQ159" i="90"/>
  <c r="AV325" i="90"/>
  <c r="K428" i="90" s="1"/>
  <c r="AG220" i="90"/>
  <c r="AQ325" i="90" s="1"/>
  <c r="J428" i="90" s="1"/>
  <c r="A398" i="90"/>
  <c r="AG83" i="90"/>
  <c r="CU69" i="90"/>
  <c r="CP69" i="90"/>
  <c r="CP31" i="90"/>
  <c r="CU31" i="90"/>
  <c r="AG134" i="90"/>
  <c r="AQ239" i="90" s="1"/>
  <c r="J342" i="90" s="1"/>
  <c r="AV239" i="90"/>
  <c r="K342" i="90" s="1"/>
  <c r="AG225" i="90"/>
  <c r="AQ330" i="90" s="1"/>
  <c r="J433" i="90" s="1"/>
  <c r="AV330" i="90"/>
  <c r="K433" i="90" s="1"/>
  <c r="AG127" i="90"/>
  <c r="AQ232" i="90" s="1"/>
  <c r="J335" i="90" s="1"/>
  <c r="AV232" i="90"/>
  <c r="K335" i="90" s="1"/>
  <c r="CP51" i="90"/>
  <c r="CU51" i="90"/>
  <c r="CP116" i="90"/>
  <c r="CU116" i="90"/>
  <c r="A430" i="90"/>
  <c r="AG115" i="90"/>
  <c r="AV287" i="90"/>
  <c r="K390" i="90" s="1"/>
  <c r="AG182" i="90"/>
  <c r="AQ287" i="90" s="1"/>
  <c r="J390" i="90" s="1"/>
  <c r="A308" i="90"/>
  <c r="AG96" i="90"/>
  <c r="A321" i="90"/>
  <c r="AG109" i="90"/>
  <c r="CQ196" i="90"/>
  <c r="CV196" i="90"/>
  <c r="CP97" i="90"/>
  <c r="CU97" i="90"/>
  <c r="A383" i="90"/>
  <c r="AG68" i="90"/>
  <c r="CP82" i="90"/>
  <c r="CU82" i="90"/>
  <c r="A278" i="90"/>
  <c r="AG66" i="90"/>
  <c r="AG128" i="90"/>
  <c r="AQ233" i="90" s="1"/>
  <c r="J336" i="90" s="1"/>
  <c r="AV233" i="90"/>
  <c r="K336" i="90" s="1"/>
  <c r="AG144" i="90"/>
  <c r="AQ249" i="90" s="1"/>
  <c r="J352" i="90" s="1"/>
  <c r="AV249" i="90"/>
  <c r="K352" i="90" s="1"/>
  <c r="AG213" i="90"/>
  <c r="AQ318" i="90" s="1"/>
  <c r="J421" i="90" s="1"/>
  <c r="AV318" i="90"/>
  <c r="K421" i="90" s="1"/>
  <c r="A248" i="90"/>
  <c r="AG36" i="90"/>
  <c r="CU94" i="90"/>
  <c r="CP94" i="90"/>
  <c r="AG151" i="90"/>
  <c r="AQ256" i="90" s="1"/>
  <c r="J359" i="90" s="1"/>
  <c r="AV256" i="90"/>
  <c r="K359" i="90" s="1"/>
  <c r="AV279" i="90"/>
  <c r="K382" i="90" s="1"/>
  <c r="AG174" i="90"/>
  <c r="AQ279" i="90" s="1"/>
  <c r="J382" i="90" s="1"/>
  <c r="A429" i="90"/>
  <c r="AG114" i="90"/>
  <c r="CP99" i="90"/>
  <c r="CU99" i="90"/>
  <c r="CQ163" i="90"/>
  <c r="CV163" i="90"/>
  <c r="AG169" i="90"/>
  <c r="AQ274" i="90" s="1"/>
  <c r="J377" i="90" s="1"/>
  <c r="AV274" i="90"/>
  <c r="K377" i="90" s="1"/>
  <c r="CQ192" i="90"/>
  <c r="CV192" i="90"/>
  <c r="AG25" i="90"/>
  <c r="R12" i="70" s="1"/>
  <c r="CQ160" i="90"/>
  <c r="CV160" i="90"/>
  <c r="A348" i="90"/>
  <c r="AG33" i="90"/>
  <c r="A350" i="90"/>
  <c r="AG35" i="90"/>
  <c r="A406" i="90"/>
  <c r="AG91" i="90"/>
  <c r="AG166" i="90"/>
  <c r="AQ271" i="90" s="1"/>
  <c r="J374" i="90" s="1"/>
  <c r="AV271" i="90"/>
  <c r="K374" i="90" s="1"/>
  <c r="CV207" i="90"/>
  <c r="CQ207" i="90"/>
  <c r="AG195" i="90"/>
  <c r="AQ300" i="90" s="1"/>
  <c r="J403" i="90" s="1"/>
  <c r="AV300" i="90"/>
  <c r="K403" i="90" s="1"/>
  <c r="A247" i="90"/>
  <c r="A351" i="90"/>
  <c r="A381" i="90"/>
  <c r="S49" i="70"/>
  <c r="A280" i="90"/>
  <c r="A245" i="90"/>
  <c r="A411" i="90"/>
  <c r="A327" i="90"/>
  <c r="A242" i="90"/>
  <c r="S45" i="70"/>
  <c r="S52" i="70"/>
  <c r="A237" i="90"/>
  <c r="A365" i="90"/>
  <c r="A303" i="90"/>
  <c r="A340" i="90"/>
  <c r="EZ159" i="90"/>
  <c r="DV264" i="90" s="1"/>
  <c r="DV367" i="90" s="1"/>
  <c r="FE159" i="90"/>
  <c r="EA264" i="90" s="1"/>
  <c r="DW367" i="90" s="1"/>
  <c r="EZ156" i="90"/>
  <c r="DV261" i="90" s="1"/>
  <c r="DV364" i="90" s="1"/>
  <c r="FE156" i="90"/>
  <c r="EA261" i="90" s="1"/>
  <c r="DW364" i="90" s="1"/>
  <c r="EZ166" i="90"/>
  <c r="DV271" i="90" s="1"/>
  <c r="DV374" i="90" s="1"/>
  <c r="FE166" i="90"/>
  <c r="EA271" i="90" s="1"/>
  <c r="DW374" i="90" s="1"/>
  <c r="EZ176" i="90"/>
  <c r="DV281" i="90" s="1"/>
  <c r="DV384" i="90" s="1"/>
  <c r="FE176" i="90"/>
  <c r="EA281" i="90" s="1"/>
  <c r="DW384" i="90" s="1"/>
  <c r="EZ198" i="90"/>
  <c r="DV303" i="90" s="1"/>
  <c r="DV406" i="90" s="1"/>
  <c r="FE198" i="90"/>
  <c r="EA303" i="90" s="1"/>
  <c r="DW406" i="90" s="1"/>
  <c r="EZ174" i="90"/>
  <c r="DV279" i="90" s="1"/>
  <c r="DV382" i="90" s="1"/>
  <c r="FE174" i="90"/>
  <c r="EA279" i="90" s="1"/>
  <c r="DW382" i="90" s="1"/>
  <c r="EZ177" i="90"/>
  <c r="DV282" i="90" s="1"/>
  <c r="DV385" i="90" s="1"/>
  <c r="FE177" i="90"/>
  <c r="EA282" i="90" s="1"/>
  <c r="DW385" i="90" s="1"/>
  <c r="EZ133" i="90"/>
  <c r="DV238" i="90" s="1"/>
  <c r="DV341" i="90" s="1"/>
  <c r="FE133" i="90"/>
  <c r="EA238" i="90" s="1"/>
  <c r="DW341" i="90" s="1"/>
  <c r="EZ173" i="90"/>
  <c r="DV278" i="90" s="1"/>
  <c r="DV381" i="90" s="1"/>
  <c r="FE173" i="90"/>
  <c r="EA278" i="90" s="1"/>
  <c r="DW381" i="90" s="1"/>
  <c r="EZ175" i="90"/>
  <c r="DV280" i="90" s="1"/>
  <c r="DV383" i="90" s="1"/>
  <c r="FE175" i="90"/>
  <c r="EA280" i="90" s="1"/>
  <c r="DW383" i="90" s="1"/>
  <c r="EZ20" i="90"/>
  <c r="FE20" i="90"/>
  <c r="EZ172" i="90"/>
  <c r="DV277" i="90" s="1"/>
  <c r="DV380" i="90" s="1"/>
  <c r="FE172" i="90"/>
  <c r="EA277" i="90" s="1"/>
  <c r="DW380" i="90" s="1"/>
  <c r="EZ185" i="90"/>
  <c r="DV290" i="90" s="1"/>
  <c r="DV393" i="90" s="1"/>
  <c r="FE185" i="90"/>
  <c r="EA290" i="90" s="1"/>
  <c r="DW393" i="90" s="1"/>
  <c r="EZ213" i="90"/>
  <c r="DV318" i="90" s="1"/>
  <c r="DV421" i="90" s="1"/>
  <c r="FE213" i="90"/>
  <c r="EA318" i="90" s="1"/>
  <c r="DW421" i="90" s="1"/>
  <c r="FE9" i="90"/>
  <c r="EZ9" i="90"/>
  <c r="EZ199" i="90"/>
  <c r="DV304" i="90" s="1"/>
  <c r="DV407" i="90" s="1"/>
  <c r="FE199" i="90"/>
  <c r="EA304" i="90" s="1"/>
  <c r="DW407" i="90" s="1"/>
  <c r="EZ148" i="90"/>
  <c r="DV253" i="90" s="1"/>
  <c r="DV356" i="90" s="1"/>
  <c r="FE148" i="90"/>
  <c r="EA253" i="90" s="1"/>
  <c r="DW356" i="90" s="1"/>
  <c r="EZ25" i="90"/>
  <c r="FE25" i="90"/>
  <c r="EZ64" i="90"/>
  <c r="FE64" i="90"/>
  <c r="EZ62" i="90"/>
  <c r="FE62" i="90"/>
  <c r="EZ90" i="90"/>
  <c r="FE90" i="90"/>
  <c r="EZ123" i="90"/>
  <c r="DV228" i="90" s="1"/>
  <c r="DV331" i="90" s="1"/>
  <c r="FE123" i="90"/>
  <c r="EA228" i="90" s="1"/>
  <c r="DW331" i="90" s="1"/>
  <c r="EZ58" i="90"/>
  <c r="FE58" i="90"/>
  <c r="EZ99" i="90"/>
  <c r="FE99" i="90"/>
  <c r="EZ15" i="90"/>
  <c r="FE15" i="90"/>
  <c r="EZ183" i="90"/>
  <c r="DV288" i="90" s="1"/>
  <c r="DV391" i="90" s="1"/>
  <c r="FE183" i="90"/>
  <c r="EA288" i="90" s="1"/>
  <c r="DW391" i="90" s="1"/>
  <c r="EZ14" i="90"/>
  <c r="R9" i="70" s="1"/>
  <c r="FE14" i="90"/>
  <c r="S46" i="70" s="1"/>
  <c r="EZ84" i="90"/>
  <c r="FE84" i="90"/>
  <c r="EZ130" i="90"/>
  <c r="DV235" i="90" s="1"/>
  <c r="DV338" i="90" s="1"/>
  <c r="FE130" i="90"/>
  <c r="EA235" i="90" s="1"/>
  <c r="DW338" i="90" s="1"/>
  <c r="EZ31" i="90"/>
  <c r="FE31" i="90"/>
  <c r="EZ78" i="90"/>
  <c r="FE78" i="90"/>
  <c r="EZ26" i="90"/>
  <c r="FE26" i="90"/>
  <c r="EZ57" i="90"/>
  <c r="FE57" i="90"/>
  <c r="EZ29" i="90"/>
  <c r="FE29" i="90"/>
  <c r="EZ73" i="90"/>
  <c r="FE73" i="90"/>
  <c r="EZ91" i="90"/>
  <c r="FE91" i="90"/>
  <c r="EZ16" i="90"/>
  <c r="FE16" i="90"/>
  <c r="EZ30" i="90"/>
  <c r="FE30" i="90"/>
  <c r="EZ40" i="90"/>
  <c r="FE40" i="90"/>
  <c r="EZ63" i="90"/>
  <c r="FE63" i="90"/>
  <c r="EZ104" i="90"/>
  <c r="FE104" i="90"/>
  <c r="EZ34" i="90"/>
  <c r="FE34" i="90"/>
  <c r="EZ100" i="90"/>
  <c r="FE100" i="90"/>
  <c r="EZ131" i="90"/>
  <c r="DV236" i="90" s="1"/>
  <c r="DV339" i="90" s="1"/>
  <c r="FE131" i="90"/>
  <c r="EA236" i="90" s="1"/>
  <c r="DW339" i="90" s="1"/>
  <c r="EZ170" i="90"/>
  <c r="DV275" i="90" s="1"/>
  <c r="DV378" i="90" s="1"/>
  <c r="FE170" i="90"/>
  <c r="EA275" i="90" s="1"/>
  <c r="DW378" i="90" s="1"/>
  <c r="EZ168" i="90"/>
  <c r="DV273" i="90" s="1"/>
  <c r="DV376" i="90" s="1"/>
  <c r="FE168" i="90"/>
  <c r="EA273" i="90" s="1"/>
  <c r="DW376" i="90" s="1"/>
  <c r="EZ196" i="90"/>
  <c r="DV301" i="90" s="1"/>
  <c r="DV404" i="90" s="1"/>
  <c r="FE196" i="90"/>
  <c r="EA301" i="90" s="1"/>
  <c r="DW404" i="90" s="1"/>
  <c r="FE17" i="90"/>
  <c r="EZ17" i="90"/>
  <c r="EZ164" i="90"/>
  <c r="DV269" i="90" s="1"/>
  <c r="DV372" i="90" s="1"/>
  <c r="FE164" i="90"/>
  <c r="EA269" i="90" s="1"/>
  <c r="DW372" i="90" s="1"/>
  <c r="EZ205" i="90"/>
  <c r="DV310" i="90" s="1"/>
  <c r="DV413" i="90" s="1"/>
  <c r="FE205" i="90"/>
  <c r="EA310" i="90" s="1"/>
  <c r="DW413" i="90" s="1"/>
  <c r="EZ121" i="90"/>
  <c r="DV226" i="90" s="1"/>
  <c r="DV329" i="90" s="1"/>
  <c r="FE121" i="90"/>
  <c r="EA226" i="90" s="1"/>
  <c r="DW329" i="90" s="1"/>
  <c r="EZ77" i="90"/>
  <c r="FE77" i="90"/>
  <c r="EZ120" i="90"/>
  <c r="DV225" i="90" s="1"/>
  <c r="DV328" i="90" s="1"/>
  <c r="FE120" i="90"/>
  <c r="EA225" i="90" s="1"/>
  <c r="DW328" i="90" s="1"/>
  <c r="EZ190" i="90"/>
  <c r="DV295" i="90" s="1"/>
  <c r="DV398" i="90" s="1"/>
  <c r="FE190" i="90"/>
  <c r="EA295" i="90" s="1"/>
  <c r="DW398" i="90" s="1"/>
  <c r="EZ24" i="90"/>
  <c r="FE24" i="90"/>
  <c r="EZ137" i="90"/>
  <c r="DV242" i="90" s="1"/>
  <c r="DV345" i="90" s="1"/>
  <c r="FE137" i="90"/>
  <c r="EA242" i="90" s="1"/>
  <c r="DW345" i="90" s="1"/>
  <c r="EZ184" i="90"/>
  <c r="DV289" i="90" s="1"/>
  <c r="DV392" i="90" s="1"/>
  <c r="FE184" i="90"/>
  <c r="EA289" i="90" s="1"/>
  <c r="DW392" i="90" s="1"/>
  <c r="EZ119" i="90"/>
  <c r="DV224" i="90" s="1"/>
  <c r="DV327" i="90" s="1"/>
  <c r="FE119" i="90"/>
  <c r="EA224" i="90" s="1"/>
  <c r="DW327" i="90" s="1"/>
  <c r="EZ132" i="90"/>
  <c r="DV237" i="90" s="1"/>
  <c r="DV340" i="90" s="1"/>
  <c r="FE132" i="90"/>
  <c r="EA237" i="90" s="1"/>
  <c r="DW340" i="90" s="1"/>
  <c r="EZ163" i="90"/>
  <c r="DV268" i="90" s="1"/>
  <c r="DV371" i="90" s="1"/>
  <c r="FE163" i="90"/>
  <c r="EA268" i="90" s="1"/>
  <c r="DW371" i="90" s="1"/>
  <c r="EZ135" i="90"/>
  <c r="DV240" i="90" s="1"/>
  <c r="DV343" i="90" s="1"/>
  <c r="FE135" i="90"/>
  <c r="EA240" i="90" s="1"/>
  <c r="DW343" i="90" s="1"/>
  <c r="EZ179" i="90"/>
  <c r="DV284" i="90" s="1"/>
  <c r="DV387" i="90" s="1"/>
  <c r="FE179" i="90"/>
  <c r="EA284" i="90" s="1"/>
  <c r="DW387" i="90" s="1"/>
  <c r="EZ197" i="90"/>
  <c r="DV302" i="90" s="1"/>
  <c r="DV405" i="90" s="1"/>
  <c r="FE197" i="90"/>
  <c r="EA302" i="90" s="1"/>
  <c r="DW405" i="90" s="1"/>
  <c r="FE122" i="90"/>
  <c r="EA227" i="90" s="1"/>
  <c r="DW330" i="90" s="1"/>
  <c r="EZ122" i="90"/>
  <c r="DV227" i="90" s="1"/>
  <c r="DV330" i="90" s="1"/>
  <c r="EZ136" i="90"/>
  <c r="DV241" i="90" s="1"/>
  <c r="DV344" i="90" s="1"/>
  <c r="FE136" i="90"/>
  <c r="EA241" i="90" s="1"/>
  <c r="DW344" i="90" s="1"/>
  <c r="EZ146" i="90"/>
  <c r="DV251" i="90" s="1"/>
  <c r="DV354" i="90" s="1"/>
  <c r="FE146" i="90"/>
  <c r="EA251" i="90" s="1"/>
  <c r="DW354" i="90" s="1"/>
  <c r="EZ169" i="90"/>
  <c r="DV274" i="90" s="1"/>
  <c r="DV377" i="90" s="1"/>
  <c r="FE169" i="90"/>
  <c r="EA274" i="90" s="1"/>
  <c r="DW377" i="90" s="1"/>
  <c r="EZ210" i="90"/>
  <c r="DV315" i="90" s="1"/>
  <c r="DV418" i="90" s="1"/>
  <c r="FE210" i="90"/>
  <c r="EA315" i="90" s="1"/>
  <c r="DW418" i="90" s="1"/>
  <c r="EZ140" i="90"/>
  <c r="DV245" i="90" s="1"/>
  <c r="DV348" i="90" s="1"/>
  <c r="FE140" i="90"/>
  <c r="EA245" i="90" s="1"/>
  <c r="DW348" i="90" s="1"/>
  <c r="FE115" i="90"/>
  <c r="EA220" i="90" s="1"/>
  <c r="DW323" i="90" s="1"/>
  <c r="EZ115" i="90"/>
  <c r="DV220" i="90" s="1"/>
  <c r="DV323" i="90" s="1"/>
  <c r="EZ206" i="90"/>
  <c r="DV311" i="90" s="1"/>
  <c r="DV414" i="90" s="1"/>
  <c r="FE206" i="90"/>
  <c r="EA311" i="90" s="1"/>
  <c r="DW414" i="90" s="1"/>
  <c r="EZ21" i="90"/>
  <c r="FE21" i="90"/>
  <c r="EZ56" i="90"/>
  <c r="FE56" i="90"/>
  <c r="EZ38" i="90"/>
  <c r="FE38" i="90"/>
  <c r="EZ61" i="90"/>
  <c r="FE61" i="90"/>
  <c r="EZ76" i="90"/>
  <c r="FE76" i="90"/>
  <c r="FE80" i="90"/>
  <c r="EZ80" i="90"/>
  <c r="EZ74" i="90"/>
  <c r="FE74" i="90"/>
  <c r="EZ41" i="90"/>
  <c r="FE41" i="90"/>
  <c r="EZ98" i="90"/>
  <c r="FE98" i="90"/>
  <c r="EZ95" i="90"/>
  <c r="FE95" i="90"/>
  <c r="EZ65" i="90"/>
  <c r="FE65" i="90"/>
  <c r="EZ35" i="90"/>
  <c r="FE35" i="90"/>
  <c r="EZ106" i="90"/>
  <c r="FE106" i="90"/>
  <c r="EZ32" i="90"/>
  <c r="FE32" i="90"/>
  <c r="EZ103" i="90"/>
  <c r="FE103" i="90"/>
  <c r="EZ19" i="90"/>
  <c r="FE19" i="90"/>
  <c r="EZ23" i="90"/>
  <c r="FE23" i="90"/>
  <c r="EZ36" i="90"/>
  <c r="FE36" i="90"/>
  <c r="EZ86" i="90"/>
  <c r="FE86" i="90"/>
  <c r="EZ47" i="90"/>
  <c r="FE47" i="90"/>
  <c r="EZ12" i="90"/>
  <c r="FE12" i="90"/>
  <c r="EZ105" i="90"/>
  <c r="FE105" i="90"/>
  <c r="EZ49" i="90"/>
  <c r="FE49" i="90"/>
  <c r="EZ81" i="90"/>
  <c r="FE81" i="90"/>
  <c r="EZ28" i="90"/>
  <c r="FE28" i="90"/>
  <c r="EZ33" i="90"/>
  <c r="FE33" i="90"/>
  <c r="EZ89" i="90"/>
  <c r="FE89" i="90"/>
  <c r="EZ72" i="90"/>
  <c r="FE72" i="90"/>
  <c r="EZ18" i="90"/>
  <c r="FE18" i="90"/>
  <c r="EZ162" i="90"/>
  <c r="DV267" i="90" s="1"/>
  <c r="DV370" i="90" s="1"/>
  <c r="FE162" i="90"/>
  <c r="EA267" i="90" s="1"/>
  <c r="DW370" i="90" s="1"/>
  <c r="EZ144" i="90"/>
  <c r="DV249" i="90" s="1"/>
  <c r="DV352" i="90" s="1"/>
  <c r="FE144" i="90"/>
  <c r="EA249" i="90" s="1"/>
  <c r="DW352" i="90" s="1"/>
  <c r="EZ167" i="90"/>
  <c r="DV272" i="90" s="1"/>
  <c r="DV375" i="90" s="1"/>
  <c r="FE167" i="90"/>
  <c r="EA272" i="90" s="1"/>
  <c r="DW375" i="90" s="1"/>
  <c r="EZ182" i="90"/>
  <c r="DV287" i="90" s="1"/>
  <c r="DV390" i="90" s="1"/>
  <c r="FE182" i="90"/>
  <c r="EA287" i="90" s="1"/>
  <c r="DW390" i="90" s="1"/>
  <c r="EZ186" i="90"/>
  <c r="DV291" i="90" s="1"/>
  <c r="DV394" i="90" s="1"/>
  <c r="FE186" i="90"/>
  <c r="EA291" i="90" s="1"/>
  <c r="DW394" i="90" s="1"/>
  <c r="EZ180" i="90"/>
  <c r="DV285" i="90" s="1"/>
  <c r="DV388" i="90" s="1"/>
  <c r="FE180" i="90"/>
  <c r="EA285" i="90" s="1"/>
  <c r="DW388" i="90" s="1"/>
  <c r="FE147" i="90"/>
  <c r="EA252" i="90" s="1"/>
  <c r="DW355" i="90" s="1"/>
  <c r="EZ147" i="90"/>
  <c r="DV252" i="90" s="1"/>
  <c r="DV355" i="90" s="1"/>
  <c r="EZ204" i="90"/>
  <c r="DV309" i="90" s="1"/>
  <c r="DV412" i="90" s="1"/>
  <c r="FE204" i="90"/>
  <c r="EA309" i="90" s="1"/>
  <c r="DW412" i="90" s="1"/>
  <c r="EZ201" i="90"/>
  <c r="DV306" i="90" s="1"/>
  <c r="DV409" i="90" s="1"/>
  <c r="FE201" i="90"/>
  <c r="EA306" i="90" s="1"/>
  <c r="DW409" i="90" s="1"/>
  <c r="EZ171" i="90"/>
  <c r="DV276" i="90" s="1"/>
  <c r="DV379" i="90" s="1"/>
  <c r="FE171" i="90"/>
  <c r="EA276" i="90" s="1"/>
  <c r="DW379" i="90" s="1"/>
  <c r="EZ141" i="90"/>
  <c r="DV246" i="90" s="1"/>
  <c r="DV349" i="90" s="1"/>
  <c r="FE141" i="90"/>
  <c r="EA246" i="90" s="1"/>
  <c r="DW349" i="90" s="1"/>
  <c r="EZ212" i="90"/>
  <c r="DV317" i="90" s="1"/>
  <c r="DV420" i="90" s="1"/>
  <c r="FE212" i="90"/>
  <c r="EA317" i="90" s="1"/>
  <c r="DW420" i="90" s="1"/>
  <c r="FE138" i="90"/>
  <c r="EA243" i="90" s="1"/>
  <c r="DW346" i="90" s="1"/>
  <c r="EZ138" i="90"/>
  <c r="DV243" i="90" s="1"/>
  <c r="DV346" i="90" s="1"/>
  <c r="EZ209" i="90"/>
  <c r="DV314" i="90" s="1"/>
  <c r="DV417" i="90" s="1"/>
  <c r="FE209" i="90"/>
  <c r="EA314" i="90" s="1"/>
  <c r="DW417" i="90" s="1"/>
  <c r="EZ125" i="90"/>
  <c r="DV230" i="90" s="1"/>
  <c r="DV333" i="90" s="1"/>
  <c r="FE125" i="90"/>
  <c r="EA230" i="90" s="1"/>
  <c r="DW333" i="90" s="1"/>
  <c r="EZ129" i="90"/>
  <c r="DV234" i="90" s="1"/>
  <c r="DV337" i="90" s="1"/>
  <c r="FE129" i="90"/>
  <c r="EA234" i="90" s="1"/>
  <c r="DW337" i="90" s="1"/>
  <c r="EZ13" i="90"/>
  <c r="FE13" i="90"/>
  <c r="EZ142" i="90"/>
  <c r="DV247" i="90" s="1"/>
  <c r="DV350" i="90" s="1"/>
  <c r="FE142" i="90"/>
  <c r="EA247" i="90" s="1"/>
  <c r="DW350" i="90" s="1"/>
  <c r="EZ192" i="90"/>
  <c r="DV297" i="90" s="1"/>
  <c r="DV400" i="90" s="1"/>
  <c r="FE192" i="90"/>
  <c r="EA297" i="90" s="1"/>
  <c r="DW400" i="90" s="1"/>
  <c r="EZ153" i="90"/>
  <c r="DV258" i="90" s="1"/>
  <c r="DV361" i="90" s="1"/>
  <c r="FE153" i="90"/>
  <c r="EA258" i="90" s="1"/>
  <c r="DW361" i="90" s="1"/>
  <c r="FE118" i="90"/>
  <c r="EA223" i="90" s="1"/>
  <c r="DW326" i="90" s="1"/>
  <c r="EZ118" i="90"/>
  <c r="DV223" i="90" s="1"/>
  <c r="DV326" i="90" s="1"/>
  <c r="EZ211" i="90"/>
  <c r="DV316" i="90" s="1"/>
  <c r="DV419" i="90" s="1"/>
  <c r="FE211" i="90"/>
  <c r="EA316" i="90" s="1"/>
  <c r="DW419" i="90" s="1"/>
  <c r="FE155" i="90"/>
  <c r="EA260" i="90" s="1"/>
  <c r="DW363" i="90" s="1"/>
  <c r="EZ155" i="90"/>
  <c r="DV260" i="90" s="1"/>
  <c r="DV363" i="90" s="1"/>
  <c r="FE187" i="90"/>
  <c r="EA292" i="90" s="1"/>
  <c r="DW395" i="90" s="1"/>
  <c r="EZ187" i="90"/>
  <c r="DV292" i="90" s="1"/>
  <c r="DV395" i="90" s="1"/>
  <c r="EZ134" i="90"/>
  <c r="DV239" i="90" s="1"/>
  <c r="DV342" i="90" s="1"/>
  <c r="FE134" i="90"/>
  <c r="EA239" i="90" s="1"/>
  <c r="DW342" i="90" s="1"/>
  <c r="EZ139" i="90"/>
  <c r="DV244" i="90" s="1"/>
  <c r="DV347" i="90" s="1"/>
  <c r="FE139" i="90"/>
  <c r="EA244" i="90" s="1"/>
  <c r="DW347" i="90" s="1"/>
  <c r="FE195" i="90"/>
  <c r="EA300" i="90" s="1"/>
  <c r="DW403" i="90" s="1"/>
  <c r="EZ195" i="90"/>
  <c r="DV300" i="90" s="1"/>
  <c r="DV403" i="90" s="1"/>
  <c r="EZ178" i="90"/>
  <c r="DV283" i="90" s="1"/>
  <c r="DV386" i="90" s="1"/>
  <c r="FE178" i="90"/>
  <c r="EA283" i="90" s="1"/>
  <c r="DW386" i="90" s="1"/>
  <c r="EZ124" i="90"/>
  <c r="DV229" i="90" s="1"/>
  <c r="DV332" i="90" s="1"/>
  <c r="FE124" i="90"/>
  <c r="EA229" i="90" s="1"/>
  <c r="DW332" i="90" s="1"/>
  <c r="EZ46" i="90"/>
  <c r="FE46" i="90"/>
  <c r="EZ37" i="90"/>
  <c r="FE37" i="90"/>
  <c r="EZ101" i="90"/>
  <c r="FE101" i="90"/>
  <c r="EZ22" i="90"/>
  <c r="FE22" i="90"/>
  <c r="EZ51" i="90"/>
  <c r="FE51" i="90"/>
  <c r="EZ88" i="90"/>
  <c r="FE88" i="90"/>
  <c r="EZ161" i="90"/>
  <c r="DV266" i="90" s="1"/>
  <c r="DV369" i="90" s="1"/>
  <c r="FE161" i="90"/>
  <c r="EA266" i="90" s="1"/>
  <c r="DW369" i="90" s="1"/>
  <c r="EZ102" i="90"/>
  <c r="FE102" i="90"/>
  <c r="EZ83" i="90"/>
  <c r="FE83" i="90"/>
  <c r="EZ97" i="90"/>
  <c r="FE97" i="90"/>
  <c r="EZ54" i="90"/>
  <c r="FE54" i="90"/>
  <c r="EZ85" i="90"/>
  <c r="FE85" i="90"/>
  <c r="EZ48" i="90"/>
  <c r="FE48" i="90"/>
  <c r="EZ43" i="90"/>
  <c r="FE43" i="90"/>
  <c r="EZ10" i="90"/>
  <c r="FE10" i="90"/>
  <c r="EZ82" i="90"/>
  <c r="FE82" i="90"/>
  <c r="EZ44" i="90"/>
  <c r="FE44" i="90"/>
  <c r="EZ108" i="90"/>
  <c r="FE108" i="90"/>
  <c r="EZ75" i="90"/>
  <c r="FE75" i="90"/>
  <c r="EZ87" i="90"/>
  <c r="FE87" i="90"/>
  <c r="FE94" i="90"/>
  <c r="EZ94" i="90"/>
  <c r="FE126" i="90"/>
  <c r="EA231" i="90" s="1"/>
  <c r="DW334" i="90" s="1"/>
  <c r="EZ126" i="90"/>
  <c r="DV231" i="90" s="1"/>
  <c r="DV334" i="90" s="1"/>
  <c r="EZ39" i="90"/>
  <c r="FE39" i="90"/>
  <c r="EZ117" i="90"/>
  <c r="DV222" i="90" s="1"/>
  <c r="DV325" i="90" s="1"/>
  <c r="FE117" i="90"/>
  <c r="EA222" i="90" s="1"/>
  <c r="DW325" i="90" s="1"/>
  <c r="EZ45" i="90"/>
  <c r="FE45" i="90"/>
  <c r="FE59" i="90"/>
  <c r="EZ59" i="90"/>
  <c r="EZ52" i="90"/>
  <c r="FE52" i="90"/>
  <c r="EZ96" i="90"/>
  <c r="FE96" i="90"/>
  <c r="FE152" i="90"/>
  <c r="EA257" i="90" s="1"/>
  <c r="DW360" i="90" s="1"/>
  <c r="EZ152" i="90"/>
  <c r="DV257" i="90" s="1"/>
  <c r="DV360" i="90" s="1"/>
  <c r="EZ143" i="90"/>
  <c r="DV248" i="90" s="1"/>
  <c r="DV351" i="90" s="1"/>
  <c r="FE143" i="90"/>
  <c r="EA248" i="90" s="1"/>
  <c r="DW351" i="90" s="1"/>
  <c r="EZ207" i="90"/>
  <c r="DV312" i="90" s="1"/>
  <c r="DV415" i="90" s="1"/>
  <c r="FE207" i="90"/>
  <c r="EA312" i="90" s="1"/>
  <c r="DW415" i="90" s="1"/>
  <c r="EZ128" i="90"/>
  <c r="DV233" i="90" s="1"/>
  <c r="DV336" i="90" s="1"/>
  <c r="FE128" i="90"/>
  <c r="EA233" i="90" s="1"/>
  <c r="DW336" i="90" s="1"/>
  <c r="EZ157" i="90"/>
  <c r="DV262" i="90" s="1"/>
  <c r="DV365" i="90" s="1"/>
  <c r="FE157" i="90"/>
  <c r="EA262" i="90" s="1"/>
  <c r="DW365" i="90" s="1"/>
  <c r="EZ194" i="90"/>
  <c r="DV299" i="90" s="1"/>
  <c r="DV402" i="90" s="1"/>
  <c r="FE194" i="90"/>
  <c r="EA299" i="90" s="1"/>
  <c r="DW402" i="90" s="1"/>
  <c r="EZ55" i="90"/>
  <c r="FE55" i="90"/>
  <c r="EZ208" i="90"/>
  <c r="DV313" i="90" s="1"/>
  <c r="DV416" i="90" s="1"/>
  <c r="FE208" i="90"/>
  <c r="EA313" i="90" s="1"/>
  <c r="DW416" i="90" s="1"/>
  <c r="FE189" i="90"/>
  <c r="EA294" i="90" s="1"/>
  <c r="DW397" i="90" s="1"/>
  <c r="EZ189" i="90"/>
  <c r="DV294" i="90" s="1"/>
  <c r="DV397" i="90" s="1"/>
  <c r="EZ203" i="90"/>
  <c r="DV308" i="90" s="1"/>
  <c r="DV411" i="90" s="1"/>
  <c r="FE203" i="90"/>
  <c r="EA308" i="90" s="1"/>
  <c r="DW411" i="90" s="1"/>
  <c r="EZ160" i="90"/>
  <c r="DV265" i="90" s="1"/>
  <c r="DV368" i="90" s="1"/>
  <c r="FE160" i="90"/>
  <c r="EA265" i="90" s="1"/>
  <c r="DW368" i="90" s="1"/>
  <c r="EZ191" i="90"/>
  <c r="DV296" i="90" s="1"/>
  <c r="DV399" i="90" s="1"/>
  <c r="FE191" i="90"/>
  <c r="EA296" i="90" s="1"/>
  <c r="DW399" i="90" s="1"/>
  <c r="EZ154" i="90"/>
  <c r="DV259" i="90" s="1"/>
  <c r="DV362" i="90" s="1"/>
  <c r="FE154" i="90"/>
  <c r="EA259" i="90" s="1"/>
  <c r="DW362" i="90" s="1"/>
  <c r="EZ149" i="90"/>
  <c r="DV254" i="90" s="1"/>
  <c r="DV357" i="90" s="1"/>
  <c r="FE149" i="90"/>
  <c r="EA254" i="90" s="1"/>
  <c r="DW357" i="90" s="1"/>
  <c r="EZ116" i="90"/>
  <c r="DV221" i="90" s="1"/>
  <c r="DV324" i="90" s="1"/>
  <c r="FE116" i="90"/>
  <c r="EA221" i="90" s="1"/>
  <c r="DW324" i="90" s="1"/>
  <c r="EZ188" i="90"/>
  <c r="DV293" i="90" s="1"/>
  <c r="DV396" i="90" s="1"/>
  <c r="FE188" i="90"/>
  <c r="EA293" i="90" s="1"/>
  <c r="DW396" i="90" s="1"/>
  <c r="EZ150" i="90"/>
  <c r="DV255" i="90" s="1"/>
  <c r="DV358" i="90" s="1"/>
  <c r="FE150" i="90"/>
  <c r="EA255" i="90" s="1"/>
  <c r="DW358" i="90" s="1"/>
  <c r="EZ214" i="90"/>
  <c r="DV319" i="90" s="1"/>
  <c r="DV422" i="90" s="1"/>
  <c r="FE214" i="90"/>
  <c r="EA319" i="90" s="1"/>
  <c r="DW422" i="90" s="1"/>
  <c r="EZ181" i="90"/>
  <c r="DV286" i="90" s="1"/>
  <c r="DV389" i="90" s="1"/>
  <c r="FE181" i="90"/>
  <c r="EA286" i="90" s="1"/>
  <c r="DW389" i="90" s="1"/>
  <c r="EZ193" i="90"/>
  <c r="DV298" i="90" s="1"/>
  <c r="DV401" i="90" s="1"/>
  <c r="FE193" i="90"/>
  <c r="EA298" i="90" s="1"/>
  <c r="DW401" i="90" s="1"/>
  <c r="EZ200" i="90"/>
  <c r="DV305" i="90" s="1"/>
  <c r="DV408" i="90" s="1"/>
  <c r="FE200" i="90"/>
  <c r="EA305" i="90" s="1"/>
  <c r="DW408" i="90" s="1"/>
  <c r="EZ145" i="90"/>
  <c r="DV250" i="90" s="1"/>
  <c r="DV353" i="90" s="1"/>
  <c r="FE145" i="90"/>
  <c r="EA250" i="90" s="1"/>
  <c r="DW353" i="90" s="1"/>
  <c r="EZ151" i="90"/>
  <c r="DV256" i="90" s="1"/>
  <c r="DV359" i="90" s="1"/>
  <c r="FE151" i="90"/>
  <c r="EA256" i="90" s="1"/>
  <c r="DW359" i="90" s="1"/>
  <c r="EZ165" i="90"/>
  <c r="DV270" i="90" s="1"/>
  <c r="DV373" i="90" s="1"/>
  <c r="FE165" i="90"/>
  <c r="EA270" i="90" s="1"/>
  <c r="DW373" i="90" s="1"/>
  <c r="EZ158" i="90"/>
  <c r="DV263" i="90" s="1"/>
  <c r="DV366" i="90" s="1"/>
  <c r="FE158" i="90"/>
  <c r="EA263" i="90" s="1"/>
  <c r="DW366" i="90" s="1"/>
  <c r="EZ202" i="90"/>
  <c r="DV307" i="90" s="1"/>
  <c r="DV410" i="90" s="1"/>
  <c r="FE202" i="90"/>
  <c r="EA307" i="90" s="1"/>
  <c r="DW410" i="90" s="1"/>
  <c r="EZ53" i="90"/>
  <c r="FE53" i="90"/>
  <c r="EZ50" i="90"/>
  <c r="FE50" i="90"/>
  <c r="EZ60" i="90"/>
  <c r="FE60" i="90"/>
  <c r="EZ70" i="90"/>
  <c r="FE70" i="90"/>
  <c r="EZ92" i="90"/>
  <c r="FE92" i="90"/>
  <c r="EZ68" i="90"/>
  <c r="FE68" i="90"/>
  <c r="EZ71" i="90"/>
  <c r="FE71" i="90"/>
  <c r="EZ27" i="90"/>
  <c r="FE27" i="90"/>
  <c r="EZ67" i="90"/>
  <c r="FE67" i="90"/>
  <c r="EZ69" i="90"/>
  <c r="FE69" i="90"/>
  <c r="EZ66" i="90"/>
  <c r="FE66" i="90"/>
  <c r="EZ11" i="90"/>
  <c r="FE11" i="90"/>
  <c r="EZ79" i="90"/>
  <c r="FE79" i="90"/>
  <c r="FE107" i="90"/>
  <c r="EZ107" i="90"/>
  <c r="EZ93" i="90"/>
  <c r="FE93" i="90"/>
  <c r="EZ42" i="90"/>
  <c r="FE42" i="90"/>
  <c r="EZ127" i="90"/>
  <c r="DV232" i="90" s="1"/>
  <c r="DV335" i="90" s="1"/>
  <c r="FE127" i="90"/>
  <c r="EA232" i="90" s="1"/>
  <c r="DW335" i="90" s="1"/>
  <c r="S58" i="70"/>
  <c r="S55" i="70"/>
  <c r="CT199" i="90"/>
  <c r="CY199" i="90"/>
  <c r="CS70" i="90"/>
  <c r="CX70" i="90"/>
  <c r="AJ29" i="90"/>
  <c r="AJ65" i="90"/>
  <c r="AJ108" i="90"/>
  <c r="CY168" i="90"/>
  <c r="CT168" i="90"/>
  <c r="AJ171" i="90"/>
  <c r="Z276" i="90" s="1"/>
  <c r="AE276" i="90"/>
  <c r="FC152" i="90"/>
  <c r="FH152" i="90"/>
  <c r="CT197" i="90"/>
  <c r="CY197" i="90"/>
  <c r="AJ137" i="90"/>
  <c r="Z242" i="90" s="1"/>
  <c r="AE242" i="90"/>
  <c r="G345" i="90" s="1"/>
  <c r="FC143" i="90"/>
  <c r="FH143" i="90"/>
  <c r="AJ226" i="90"/>
  <c r="Z331" i="90" s="1"/>
  <c r="AE331" i="90"/>
  <c r="FC207" i="90"/>
  <c r="FH207" i="90"/>
  <c r="FC128" i="90"/>
  <c r="FH128" i="90"/>
  <c r="CS103" i="90"/>
  <c r="CX103" i="90"/>
  <c r="CY219" i="90"/>
  <c r="CT219" i="90"/>
  <c r="CX83" i="90"/>
  <c r="CS83" i="90"/>
  <c r="AJ69" i="90"/>
  <c r="FC157" i="90"/>
  <c r="FH157" i="90"/>
  <c r="FC194" i="90"/>
  <c r="FH194" i="90"/>
  <c r="CS57" i="90"/>
  <c r="CX57" i="90"/>
  <c r="FC55" i="90"/>
  <c r="FH55" i="90"/>
  <c r="CY139" i="90"/>
  <c r="CT139" i="90"/>
  <c r="FC208" i="90"/>
  <c r="FH208" i="90"/>
  <c r="FC189" i="90"/>
  <c r="FH189" i="90"/>
  <c r="W49" i="70"/>
  <c r="W45" i="70"/>
  <c r="U55" i="70"/>
  <c r="AJ20" i="90"/>
  <c r="U49" i="70"/>
  <c r="W52" i="70"/>
  <c r="U58" i="70"/>
  <c r="W55" i="70"/>
  <c r="U52" i="70"/>
  <c r="U45" i="70"/>
  <c r="W58" i="70"/>
  <c r="T18" i="70"/>
  <c r="T12" i="70"/>
  <c r="T21" i="70"/>
  <c r="T15" i="70"/>
  <c r="V8" i="70"/>
  <c r="T8" i="70"/>
  <c r="V15" i="70"/>
  <c r="V12" i="70"/>
  <c r="V21" i="70"/>
  <c r="V18" i="70"/>
  <c r="LJ4346" i="4"/>
  <c r="HX4343" i="4"/>
  <c r="FU4343" i="4"/>
  <c r="LP4346" i="4"/>
  <c r="LV4346" i="4"/>
  <c r="NV4343" i="4"/>
  <c r="LS4346" i="4"/>
  <c r="NY4343" i="4"/>
  <c r="NS4343" i="4"/>
  <c r="HR4343" i="4"/>
  <c r="FR4343" i="4"/>
  <c r="FU4346" i="4"/>
  <c r="IA4343" i="4"/>
  <c r="FI4346" i="4"/>
  <c r="FI4343" i="4"/>
  <c r="OB4343" i="4"/>
  <c r="FR4346" i="4"/>
  <c r="NP4343" i="4"/>
  <c r="HO4343" i="4"/>
  <c r="LM4346" i="4"/>
  <c r="FL4346" i="4"/>
  <c r="HU4343" i="4"/>
  <c r="FL4343" i="4"/>
  <c r="FO4343" i="4"/>
  <c r="FO4346" i="4"/>
  <c r="AJ165" i="90"/>
  <c r="Z270" i="90" s="1"/>
  <c r="AE270" i="90"/>
  <c r="G373" i="90" s="1"/>
  <c r="FC203" i="90"/>
  <c r="FH203" i="90"/>
  <c r="AJ222" i="90"/>
  <c r="Z327" i="90" s="1"/>
  <c r="AE327" i="90"/>
  <c r="FC160" i="90"/>
  <c r="FH160" i="90"/>
  <c r="AJ81" i="90"/>
  <c r="CS96" i="90"/>
  <c r="CX96" i="90"/>
  <c r="CT133" i="90"/>
  <c r="CY133" i="90"/>
  <c r="CT184" i="90"/>
  <c r="CY184" i="90"/>
  <c r="FC191" i="90"/>
  <c r="FH191" i="90"/>
  <c r="AJ204" i="90"/>
  <c r="Z309" i="90" s="1"/>
  <c r="AE309" i="90"/>
  <c r="AJ129" i="90"/>
  <c r="Z234" i="90" s="1"/>
  <c r="AE234" i="90"/>
  <c r="G337" i="90" s="1"/>
  <c r="AE280" i="90"/>
  <c r="AJ175" i="90"/>
  <c r="Z280" i="90" s="1"/>
  <c r="CS95" i="90"/>
  <c r="CX95" i="90"/>
  <c r="AJ86" i="90"/>
  <c r="FC154" i="90"/>
  <c r="FH154" i="90"/>
  <c r="FC149" i="90"/>
  <c r="FH149" i="90"/>
  <c r="AJ42" i="90"/>
  <c r="FC116" i="90"/>
  <c r="FH116" i="90"/>
  <c r="FC188" i="90"/>
  <c r="FH188" i="90"/>
  <c r="FC150" i="90"/>
  <c r="FH150" i="90"/>
  <c r="AE278" i="90"/>
  <c r="G381" i="90" s="1"/>
  <c r="AJ173" i="90"/>
  <c r="Z278" i="90" s="1"/>
  <c r="CS79" i="90"/>
  <c r="CX79" i="90"/>
  <c r="FC214" i="90"/>
  <c r="FH214" i="90"/>
  <c r="FC181" i="90"/>
  <c r="FH181" i="90"/>
  <c r="CT174" i="90"/>
  <c r="CY174" i="90"/>
  <c r="FC193" i="90"/>
  <c r="FH193" i="90"/>
  <c r="AJ150" i="90"/>
  <c r="Z255" i="90" s="1"/>
  <c r="AE255" i="90"/>
  <c r="FH200" i="90"/>
  <c r="FC200" i="90"/>
  <c r="FC145" i="90"/>
  <c r="FH145" i="90"/>
  <c r="AJ163" i="90"/>
  <c r="Z268" i="90" s="1"/>
  <c r="AE268" i="90"/>
  <c r="CS62" i="90"/>
  <c r="CX62" i="90"/>
  <c r="CS101" i="90"/>
  <c r="CX101" i="90"/>
  <c r="AJ53" i="90"/>
  <c r="FC151" i="90"/>
  <c r="FH151" i="90"/>
  <c r="CT140" i="90"/>
  <c r="CY140" i="90"/>
  <c r="FH165" i="90"/>
  <c r="FC165" i="90"/>
  <c r="AJ72" i="90"/>
  <c r="FH158" i="90"/>
  <c r="FC158" i="90"/>
  <c r="CS59" i="90"/>
  <c r="CX59" i="90"/>
  <c r="AJ93" i="90"/>
  <c r="FC202" i="90"/>
  <c r="FH202" i="90"/>
  <c r="AE292" i="90"/>
  <c r="AJ187" i="90"/>
  <c r="Z292" i="90" s="1"/>
  <c r="FC53" i="90"/>
  <c r="FH53" i="90"/>
  <c r="CT141" i="90"/>
  <c r="CY141" i="90"/>
  <c r="FH50" i="90"/>
  <c r="FC50" i="90"/>
  <c r="CS92" i="90"/>
  <c r="CX92" i="90"/>
  <c r="FC60" i="90"/>
  <c r="FH60" i="90"/>
  <c r="AJ177" i="90"/>
  <c r="Z282" i="90" s="1"/>
  <c r="AE282" i="90"/>
  <c r="AJ172" i="90"/>
  <c r="Z277" i="90" s="1"/>
  <c r="AE277" i="90"/>
  <c r="G380" i="90" s="1"/>
  <c r="FC70" i="90"/>
  <c r="FH70" i="90"/>
  <c r="CS64" i="90"/>
  <c r="CX64" i="90"/>
  <c r="FC92" i="90"/>
  <c r="FH92" i="90"/>
  <c r="CS90" i="90"/>
  <c r="CX90" i="90"/>
  <c r="AJ212" i="90"/>
  <c r="Z317" i="90" s="1"/>
  <c r="AE317" i="90"/>
  <c r="FC68" i="90"/>
  <c r="FH68" i="90"/>
  <c r="AJ38" i="90"/>
  <c r="AJ71" i="90"/>
  <c r="AJ98" i="90"/>
  <c r="CS119" i="90"/>
  <c r="CX119" i="90"/>
  <c r="AJ52" i="90"/>
  <c r="FC71" i="90"/>
  <c r="FH71" i="90"/>
  <c r="AE315" i="90"/>
  <c r="AJ210" i="90"/>
  <c r="Z315" i="90" s="1"/>
  <c r="AJ113" i="90"/>
  <c r="CY176" i="90"/>
  <c r="CT176" i="90"/>
  <c r="CT138" i="90"/>
  <c r="CY138" i="90"/>
  <c r="FC27" i="90"/>
  <c r="FH27" i="90"/>
  <c r="AJ39" i="90"/>
  <c r="A251" i="90"/>
  <c r="A354" i="90"/>
  <c r="AE272" i="90"/>
  <c r="G375" i="90" s="1"/>
  <c r="AJ167" i="90"/>
  <c r="Z272" i="90" s="1"/>
  <c r="W54" i="70"/>
  <c r="CX20" i="90"/>
  <c r="U54" i="70"/>
  <c r="W51" i="70"/>
  <c r="U57" i="70"/>
  <c r="W48" i="70"/>
  <c r="U51" i="70"/>
  <c r="W46" i="70"/>
  <c r="U48" i="70"/>
  <c r="W57" i="70"/>
  <c r="U46" i="70"/>
  <c r="CS20" i="90"/>
  <c r="V11" i="70"/>
  <c r="LT4346" i="4"/>
  <c r="NL4346" i="4" s="1"/>
  <c r="K105" i="95" s="1"/>
  <c r="LN4346" i="4"/>
  <c r="NJ4346" i="4" s="1"/>
  <c r="I105" i="95" s="1"/>
  <c r="T9" i="70"/>
  <c r="T11" i="70"/>
  <c r="HS4343" i="4"/>
  <c r="JO4343" i="4" s="1"/>
  <c r="LK4346" i="4"/>
  <c r="NI4346" i="4" s="1"/>
  <c r="H105" i="95" s="1"/>
  <c r="V14" i="70"/>
  <c r="T17" i="70"/>
  <c r="FM4343" i="4"/>
  <c r="FV4346" i="4"/>
  <c r="HL4346" i="4" s="1"/>
  <c r="L104" i="95" s="1"/>
  <c r="T20" i="70"/>
  <c r="LQ4346" i="4"/>
  <c r="NK4346" i="4" s="1"/>
  <c r="J105" i="95" s="1"/>
  <c r="FJ4343" i="4"/>
  <c r="HP4343" i="4"/>
  <c r="JN4343" i="4" s="1"/>
  <c r="V17" i="70"/>
  <c r="FS4343" i="4"/>
  <c r="IB4343" i="4"/>
  <c r="JR4343" i="4" s="1"/>
  <c r="FS4346" i="4"/>
  <c r="HK4346" i="4" s="1"/>
  <c r="K104" i="95" s="1"/>
  <c r="V9" i="70"/>
  <c r="HV4343" i="4"/>
  <c r="JP4343" i="4" s="1"/>
  <c r="FM4346" i="4"/>
  <c r="HI4346" i="4" s="1"/>
  <c r="I104" i="95" s="1"/>
  <c r="LW4346" i="4"/>
  <c r="NM4346" i="4" s="1"/>
  <c r="L105" i="95" s="1"/>
  <c r="T14" i="70"/>
  <c r="FJ4346" i="4"/>
  <c r="HH4346" i="4" s="1"/>
  <c r="H104" i="95" s="1"/>
  <c r="FV4343" i="4"/>
  <c r="FP4343" i="4"/>
  <c r="V20" i="70"/>
  <c r="FP4346" i="4"/>
  <c r="HJ4346" i="4" s="1"/>
  <c r="J104" i="95" s="1"/>
  <c r="HY4343" i="4"/>
  <c r="JQ4343" i="4" s="1"/>
  <c r="NZ4343" i="4"/>
  <c r="NT4343" i="4"/>
  <c r="NQ4343" i="4"/>
  <c r="NW4343" i="4"/>
  <c r="OC4343" i="4"/>
  <c r="CS46" i="90"/>
  <c r="CX46" i="90"/>
  <c r="AJ51" i="90"/>
  <c r="AJ116" i="90"/>
  <c r="AJ58" i="90"/>
  <c r="CT182" i="90"/>
  <c r="CY182" i="90"/>
  <c r="CS26" i="90"/>
  <c r="CX26" i="90"/>
  <c r="CS77" i="90"/>
  <c r="CX77" i="90"/>
  <c r="AJ196" i="90"/>
  <c r="Z301" i="90" s="1"/>
  <c r="AE301" i="90"/>
  <c r="CY204" i="90"/>
  <c r="CT204" i="90"/>
  <c r="AJ54" i="90"/>
  <c r="AJ193" i="90"/>
  <c r="Z298" i="90" s="1"/>
  <c r="AE298" i="90"/>
  <c r="FC67" i="90"/>
  <c r="FH67" i="90"/>
  <c r="AJ47" i="90"/>
  <c r="AJ82" i="90"/>
  <c r="AE240" i="90"/>
  <c r="G343" i="90" s="1"/>
  <c r="AJ135" i="90"/>
  <c r="Z240" i="90" s="1"/>
  <c r="FC69" i="90"/>
  <c r="FH69" i="90"/>
  <c r="AJ23" i="90"/>
  <c r="A338" i="90"/>
  <c r="A235" i="90"/>
  <c r="CS37" i="90"/>
  <c r="CX37" i="90"/>
  <c r="CT186" i="90"/>
  <c r="CY186" i="90"/>
  <c r="CS106" i="90"/>
  <c r="CX106" i="90"/>
  <c r="AE248" i="90"/>
  <c r="AJ143" i="90"/>
  <c r="Z248" i="90" s="1"/>
  <c r="CY201" i="90"/>
  <c r="CT201" i="90"/>
  <c r="CS44" i="90"/>
  <c r="CX44" i="90"/>
  <c r="CT206" i="90"/>
  <c r="CY206" i="90"/>
  <c r="CT152" i="90"/>
  <c r="CY152" i="90"/>
  <c r="AJ56" i="90"/>
  <c r="AE236" i="90"/>
  <c r="AJ131" i="90"/>
  <c r="Z236" i="90" s="1"/>
  <c r="CY169" i="90"/>
  <c r="CT169" i="90"/>
  <c r="FC66" i="90"/>
  <c r="FH66" i="90"/>
  <c r="FC11" i="90"/>
  <c r="FH11" i="90"/>
  <c r="AJ160" i="90"/>
  <c r="Z265" i="90" s="1"/>
  <c r="AE265" i="90"/>
  <c r="FC79" i="90"/>
  <c r="FH79" i="90"/>
  <c r="CS33" i="90"/>
  <c r="CX33" i="90"/>
  <c r="FH107" i="90"/>
  <c r="FC107" i="90"/>
  <c r="CS35" i="90"/>
  <c r="CX35" i="90"/>
  <c r="CS72" i="90"/>
  <c r="CX72" i="90"/>
  <c r="CT166" i="90"/>
  <c r="CY166" i="90"/>
  <c r="CY200" i="90"/>
  <c r="CT200" i="90"/>
  <c r="FC93" i="90"/>
  <c r="FH93" i="90"/>
  <c r="FH42" i="90"/>
  <c r="FC42" i="90"/>
  <c r="FC127" i="90"/>
  <c r="FH127" i="90"/>
  <c r="CS88" i="90"/>
  <c r="CX88" i="90"/>
  <c r="FC159" i="90"/>
  <c r="FH159" i="90"/>
  <c r="AJ141" i="90"/>
  <c r="Z246" i="90" s="1"/>
  <c r="AE246" i="90"/>
  <c r="FC156" i="90"/>
  <c r="FH156" i="90"/>
  <c r="AJ199" i="90"/>
  <c r="Z304" i="90" s="1"/>
  <c r="AE304" i="90"/>
  <c r="FC166" i="90"/>
  <c r="FH166" i="90"/>
  <c r="CS87" i="90"/>
  <c r="CX87" i="90"/>
  <c r="FC176" i="90"/>
  <c r="FH176" i="90"/>
  <c r="FC198" i="90"/>
  <c r="FH198" i="90"/>
  <c r="CX63" i="90"/>
  <c r="CS63" i="90"/>
  <c r="CT218" i="90"/>
  <c r="CY218" i="90"/>
  <c r="AJ185" i="90"/>
  <c r="Z290" i="90" s="1"/>
  <c r="AE290" i="90"/>
  <c r="AE302" i="90"/>
  <c r="G405" i="90" s="1"/>
  <c r="AJ197" i="90"/>
  <c r="Z302" i="90" s="1"/>
  <c r="CS105" i="90"/>
  <c r="CX105" i="90"/>
  <c r="FC174" i="90"/>
  <c r="FH174" i="90"/>
  <c r="CS117" i="90"/>
  <c r="CX117" i="90"/>
  <c r="AJ30" i="90"/>
  <c r="CY145" i="90"/>
  <c r="CT145" i="90"/>
  <c r="CT178" i="90"/>
  <c r="CY178" i="90"/>
  <c r="AJ205" i="90"/>
  <c r="Z310" i="90" s="1"/>
  <c r="AE310" i="90"/>
  <c r="AJ50" i="90"/>
  <c r="CT159" i="90"/>
  <c r="CY159" i="90"/>
  <c r="FC177" i="90"/>
  <c r="FH177" i="90"/>
  <c r="AJ220" i="90"/>
  <c r="Z325" i="90" s="1"/>
  <c r="AE325" i="90"/>
  <c r="G428" i="90" s="1"/>
  <c r="AJ83" i="90"/>
  <c r="CS69" i="90"/>
  <c r="CX69" i="90"/>
  <c r="CS31" i="90"/>
  <c r="CX31" i="90"/>
  <c r="FC133" i="90"/>
  <c r="FH133" i="90"/>
  <c r="AE239" i="90"/>
  <c r="AJ134" i="90"/>
  <c r="Z239" i="90" s="1"/>
  <c r="AJ225" i="90"/>
  <c r="Z330" i="90" s="1"/>
  <c r="AE330" i="90"/>
  <c r="AJ127" i="90"/>
  <c r="Z232" i="90" s="1"/>
  <c r="AE232" i="90"/>
  <c r="G335" i="90" s="1"/>
  <c r="CS51" i="90"/>
  <c r="CX51" i="90"/>
  <c r="CS116" i="90"/>
  <c r="CX116" i="90"/>
  <c r="AJ115" i="90"/>
  <c r="AJ182" i="90"/>
  <c r="Z287" i="90" s="1"/>
  <c r="AE287" i="90"/>
  <c r="AJ96" i="90"/>
  <c r="AJ109" i="90"/>
  <c r="CT196" i="90"/>
  <c r="CY196" i="90"/>
  <c r="CS97" i="90"/>
  <c r="CX97" i="90"/>
  <c r="AJ68" i="90"/>
  <c r="FC173" i="90"/>
  <c r="FH173" i="90"/>
  <c r="CS82" i="90"/>
  <c r="CX82" i="90"/>
  <c r="FC175" i="90"/>
  <c r="FH175" i="90"/>
  <c r="AJ66" i="90"/>
  <c r="AI128" i="90"/>
  <c r="BC233" i="90" s="1"/>
  <c r="AJ128" i="90"/>
  <c r="Z233" i="90" s="1"/>
  <c r="AE233" i="90"/>
  <c r="G336" i="90" s="1"/>
  <c r="AE249" i="90"/>
  <c r="G352" i="90" s="1"/>
  <c r="AJ144" i="90"/>
  <c r="Z249" i="90" s="1"/>
  <c r="AJ213" i="90"/>
  <c r="Z318" i="90" s="1"/>
  <c r="AE318" i="90"/>
  <c r="AJ36" i="90"/>
  <c r="CX94" i="90"/>
  <c r="CS94" i="90"/>
  <c r="AJ151" i="90"/>
  <c r="Z256" i="90" s="1"/>
  <c r="AE256" i="90"/>
  <c r="AE279" i="90"/>
  <c r="G382" i="90" s="1"/>
  <c r="AJ174" i="90"/>
  <c r="Z279" i="90" s="1"/>
  <c r="AJ114" i="90"/>
  <c r="FC20" i="90"/>
  <c r="FH20" i="90"/>
  <c r="CS99" i="90"/>
  <c r="CX99" i="90"/>
  <c r="CT163" i="90"/>
  <c r="CY163" i="90"/>
  <c r="AJ169" i="90"/>
  <c r="Z274" i="90" s="1"/>
  <c r="AE274" i="90"/>
  <c r="CT192" i="90"/>
  <c r="CY192" i="90"/>
  <c r="FC172" i="90"/>
  <c r="FH172" i="90"/>
  <c r="AJ25" i="90"/>
  <c r="FU4344" i="4" s="1"/>
  <c r="CT160" i="90"/>
  <c r="CY160" i="90"/>
  <c r="FC185" i="90"/>
  <c r="FH185" i="90"/>
  <c r="AJ33" i="90"/>
  <c r="FH213" i="90"/>
  <c r="FC213" i="90"/>
  <c r="FC9" i="90"/>
  <c r="FH9" i="90"/>
  <c r="AJ35" i="90"/>
  <c r="AJ91" i="90"/>
  <c r="AJ166" i="90"/>
  <c r="Z271" i="90" s="1"/>
  <c r="AE271" i="90"/>
  <c r="FC199" i="90"/>
  <c r="FH199" i="90"/>
  <c r="CY207" i="90"/>
  <c r="CT207" i="90"/>
  <c r="FC148" i="90"/>
  <c r="FH148" i="90"/>
  <c r="AJ195" i="90"/>
  <c r="Z300" i="90" s="1"/>
  <c r="AE300" i="90"/>
  <c r="G403" i="90" s="1"/>
  <c r="CS34" i="90"/>
  <c r="CX34" i="90"/>
  <c r="FC25" i="90"/>
  <c r="FH25" i="90"/>
  <c r="CY136" i="90"/>
  <c r="CT136" i="90"/>
  <c r="FH64" i="90"/>
  <c r="FC64" i="90"/>
  <c r="AJ215" i="90"/>
  <c r="Z320" i="90" s="1"/>
  <c r="AE320" i="90"/>
  <c r="FC62" i="90"/>
  <c r="FH62" i="90"/>
  <c r="AJ168" i="90"/>
  <c r="Z273" i="90" s="1"/>
  <c r="AE273" i="90"/>
  <c r="AJ63" i="90"/>
  <c r="CS111" i="90"/>
  <c r="CX111" i="90"/>
  <c r="FC90" i="90"/>
  <c r="FH90" i="90"/>
  <c r="CT180" i="90"/>
  <c r="CY180" i="90"/>
  <c r="FC123" i="90"/>
  <c r="FH123" i="90"/>
  <c r="AJ224" i="90"/>
  <c r="Z329" i="90" s="1"/>
  <c r="AE329" i="90"/>
  <c r="G432" i="90" s="1"/>
  <c r="CS38" i="90"/>
  <c r="CX38" i="90"/>
  <c r="FC58" i="90"/>
  <c r="FH58" i="90"/>
  <c r="CT220" i="90"/>
  <c r="CY220" i="90"/>
  <c r="CY190" i="90"/>
  <c r="CT190" i="90"/>
  <c r="FC99" i="90"/>
  <c r="FH99" i="90"/>
  <c r="CS74" i="90"/>
  <c r="CX74" i="90"/>
  <c r="FC15" i="90"/>
  <c r="FH15" i="90"/>
  <c r="AJ118" i="90"/>
  <c r="AJ191" i="90"/>
  <c r="Z296" i="90" s="1"/>
  <c r="AE296" i="90"/>
  <c r="CT158" i="90"/>
  <c r="CY158" i="90"/>
  <c r="CT223" i="90"/>
  <c r="CY223" i="90"/>
  <c r="FC183" i="90"/>
  <c r="FH183" i="90"/>
  <c r="AJ188" i="90"/>
  <c r="Z293" i="90" s="1"/>
  <c r="AE293" i="90"/>
  <c r="G396" i="90" s="1"/>
  <c r="FC14" i="90"/>
  <c r="FH14" i="90"/>
  <c r="D165" i="89" s="1"/>
  <c r="CT203" i="90"/>
  <c r="CY203" i="90"/>
  <c r="AJ107" i="90"/>
  <c r="AJ26" i="90"/>
  <c r="AJ216" i="90"/>
  <c r="Z321" i="90" s="1"/>
  <c r="AE321" i="90"/>
  <c r="FC84" i="90"/>
  <c r="FH84" i="90"/>
  <c r="FC130" i="90"/>
  <c r="FH130" i="90"/>
  <c r="FH31" i="90"/>
  <c r="FC31" i="90"/>
  <c r="AJ49" i="90"/>
  <c r="CS47" i="90"/>
  <c r="CX47" i="90"/>
  <c r="CY149" i="90"/>
  <c r="CT149" i="90"/>
  <c r="FH78" i="90"/>
  <c r="FC78" i="90"/>
  <c r="CS104" i="90"/>
  <c r="CX104" i="90"/>
  <c r="CS55" i="90"/>
  <c r="CX55" i="90"/>
  <c r="CT130" i="90"/>
  <c r="CY130" i="90"/>
  <c r="FC26" i="90"/>
  <c r="FH26" i="90"/>
  <c r="CT173" i="90"/>
  <c r="CY173" i="90"/>
  <c r="AJ37" i="90"/>
  <c r="FC57" i="90"/>
  <c r="FH57" i="90"/>
  <c r="FC29" i="90"/>
  <c r="FH29" i="90"/>
  <c r="FC73" i="90"/>
  <c r="FH73" i="90"/>
  <c r="AJ44" i="90"/>
  <c r="FC91" i="90"/>
  <c r="FH91" i="90"/>
  <c r="FC16" i="90"/>
  <c r="FH16" i="90"/>
  <c r="FC30" i="90"/>
  <c r="FH30" i="90"/>
  <c r="CT221" i="90"/>
  <c r="CY221" i="90"/>
  <c r="FC40" i="90"/>
  <c r="FH40" i="90"/>
  <c r="AJ206" i="90"/>
  <c r="Z311" i="90" s="1"/>
  <c r="AE311" i="90"/>
  <c r="AJ45" i="90"/>
  <c r="CS24" i="90"/>
  <c r="CX24" i="90"/>
  <c r="FC63" i="90"/>
  <c r="FH63" i="90"/>
  <c r="FC104" i="90"/>
  <c r="FH104" i="90"/>
  <c r="CT208" i="90"/>
  <c r="CY208" i="90"/>
  <c r="FC34" i="90"/>
  <c r="FH34" i="90"/>
  <c r="AJ132" i="90"/>
  <c r="Z237" i="90" s="1"/>
  <c r="AE237" i="90"/>
  <c r="G340" i="90" s="1"/>
  <c r="CS53" i="90"/>
  <c r="CX53" i="90"/>
  <c r="AJ102" i="90"/>
  <c r="AE247" i="90"/>
  <c r="AJ142" i="90"/>
  <c r="Z247" i="90" s="1"/>
  <c r="AJ179" i="90"/>
  <c r="Z284" i="90" s="1"/>
  <c r="AE284" i="90"/>
  <c r="CT198" i="90"/>
  <c r="CY198" i="90"/>
  <c r="CS40" i="90"/>
  <c r="CX40" i="90"/>
  <c r="CS93" i="90"/>
  <c r="CX93" i="90"/>
  <c r="FC100" i="90"/>
  <c r="FH100" i="90"/>
  <c r="CS80" i="90"/>
  <c r="CX80" i="90"/>
  <c r="CT195" i="90"/>
  <c r="CY195" i="90"/>
  <c r="AJ155" i="90"/>
  <c r="Z260" i="90" s="1"/>
  <c r="AE260" i="90"/>
  <c r="FC131" i="90"/>
  <c r="FH131" i="90"/>
  <c r="CS29" i="90"/>
  <c r="CX29" i="90"/>
  <c r="FC170" i="90"/>
  <c r="FH170" i="90"/>
  <c r="CT215" i="90"/>
  <c r="CY215" i="90"/>
  <c r="FC168" i="90"/>
  <c r="FH168" i="90"/>
  <c r="AJ61" i="90"/>
  <c r="AJ76" i="90"/>
  <c r="CT170" i="90"/>
  <c r="CY170" i="90"/>
  <c r="AJ111" i="90"/>
  <c r="AJ78" i="90"/>
  <c r="AJ90" i="90"/>
  <c r="FC196" i="90"/>
  <c r="FH196" i="90"/>
  <c r="CX73" i="90"/>
  <c r="CS73" i="90"/>
  <c r="FB17" i="90"/>
  <c r="FC17" i="90"/>
  <c r="FH17" i="90"/>
  <c r="AJ117" i="90"/>
  <c r="CY137" i="90"/>
  <c r="CT137" i="90"/>
  <c r="AE283" i="90"/>
  <c r="G386" i="90" s="1"/>
  <c r="AJ178" i="90"/>
  <c r="Z283" i="90" s="1"/>
  <c r="CS98" i="90"/>
  <c r="CX98" i="90"/>
  <c r="AJ119" i="90"/>
  <c r="CX50" i="90"/>
  <c r="CS50" i="90"/>
  <c r="AE264" i="90"/>
  <c r="AJ159" i="90"/>
  <c r="Z264" i="90" s="1"/>
  <c r="FC164" i="90"/>
  <c r="FH164" i="90"/>
  <c r="CS113" i="90"/>
  <c r="CX113" i="90"/>
  <c r="AI190" i="90"/>
  <c r="BC295" i="90" s="1"/>
  <c r="AJ190" i="90"/>
  <c r="Z295" i="90" s="1"/>
  <c r="AE295" i="90"/>
  <c r="FC205" i="90"/>
  <c r="FH205" i="90"/>
  <c r="AJ74" i="90"/>
  <c r="FC121" i="90"/>
  <c r="FH121" i="90"/>
  <c r="CT164" i="90"/>
  <c r="CY164" i="90"/>
  <c r="CS27" i="90"/>
  <c r="CX27" i="90"/>
  <c r="AJ84" i="90"/>
  <c r="CT146" i="90"/>
  <c r="CY146" i="90"/>
  <c r="AJ148" i="90"/>
  <c r="Z253" i="90" s="1"/>
  <c r="AE253" i="90"/>
  <c r="AJ60" i="90"/>
  <c r="CS127" i="90"/>
  <c r="CR232" i="90" s="1"/>
  <c r="CT127" i="90"/>
  <c r="CY127" i="90"/>
  <c r="CT153" i="90"/>
  <c r="CY153" i="90"/>
  <c r="AJ223" i="90"/>
  <c r="Z328" i="90" s="1"/>
  <c r="AE328" i="90"/>
  <c r="CT165" i="90"/>
  <c r="CY165" i="90"/>
  <c r="FC77" i="90"/>
  <c r="FH77" i="90"/>
  <c r="CT188" i="90"/>
  <c r="CY188" i="90"/>
  <c r="FC120" i="90"/>
  <c r="FH120" i="90"/>
  <c r="CS107" i="90"/>
  <c r="CX107" i="90"/>
  <c r="CY216" i="90"/>
  <c r="CT216" i="90"/>
  <c r="AJ77" i="90"/>
  <c r="AJ97" i="90"/>
  <c r="FC190" i="90"/>
  <c r="FH190" i="90"/>
  <c r="FH24" i="90"/>
  <c r="FC24" i="90"/>
  <c r="AJ202" i="90"/>
  <c r="Z307" i="90" s="1"/>
  <c r="AE307" i="90"/>
  <c r="FC137" i="90"/>
  <c r="FH137" i="90"/>
  <c r="CY154" i="90"/>
  <c r="CT154" i="90"/>
  <c r="CX42" i="90"/>
  <c r="CS42" i="90"/>
  <c r="FC184" i="90"/>
  <c r="FH184" i="90"/>
  <c r="FC119" i="90"/>
  <c r="FH119" i="90"/>
  <c r="AJ211" i="90"/>
  <c r="Z316" i="90" s="1"/>
  <c r="AE316" i="90"/>
  <c r="CT135" i="90"/>
  <c r="CY135" i="90"/>
  <c r="AJ162" i="90"/>
  <c r="Z267" i="90" s="1"/>
  <c r="AE267" i="90"/>
  <c r="CX23" i="90"/>
  <c r="CS23" i="90"/>
  <c r="FC132" i="90"/>
  <c r="FH132" i="90"/>
  <c r="CY144" i="90"/>
  <c r="CT144" i="90"/>
  <c r="FC163" i="90"/>
  <c r="FH163" i="90"/>
  <c r="AJ106" i="90"/>
  <c r="CT217" i="90"/>
  <c r="CY217" i="90"/>
  <c r="FH135" i="90"/>
  <c r="FC135" i="90"/>
  <c r="FC179" i="90"/>
  <c r="FH179" i="90"/>
  <c r="FH197" i="90"/>
  <c r="FC197" i="90"/>
  <c r="FH122" i="90"/>
  <c r="FC122" i="90"/>
  <c r="FC136" i="90"/>
  <c r="FH136" i="90"/>
  <c r="CS114" i="90"/>
  <c r="CX114" i="90"/>
  <c r="FC146" i="90"/>
  <c r="FH146" i="90"/>
  <c r="AJ99" i="90"/>
  <c r="CS45" i="90"/>
  <c r="CX45" i="90"/>
  <c r="AF24" i="90"/>
  <c r="AJ24" i="90"/>
  <c r="FH169" i="90"/>
  <c r="FC169" i="90"/>
  <c r="FC210" i="90"/>
  <c r="FH210" i="90"/>
  <c r="AE313" i="90"/>
  <c r="AJ208" i="90"/>
  <c r="Z313" i="90" s="1"/>
  <c r="FH140" i="90"/>
  <c r="FC140" i="90"/>
  <c r="CS25" i="90"/>
  <c r="R20" i="70" s="1"/>
  <c r="CX25" i="90"/>
  <c r="CY209" i="90"/>
  <c r="CT209" i="90"/>
  <c r="FC115" i="90"/>
  <c r="FH115" i="90"/>
  <c r="CT179" i="90"/>
  <c r="CY179" i="90"/>
  <c r="CT147" i="90"/>
  <c r="CY147" i="90"/>
  <c r="AJ200" i="90"/>
  <c r="Z305" i="90" s="1"/>
  <c r="AE305" i="90"/>
  <c r="FC206" i="90"/>
  <c r="FH206" i="90"/>
  <c r="AJ80" i="90"/>
  <c r="FH21" i="90"/>
  <c r="FC21" i="90"/>
  <c r="CT155" i="90"/>
  <c r="CY155" i="90"/>
  <c r="AJ34" i="90"/>
  <c r="CT172" i="90"/>
  <c r="CY172" i="90"/>
  <c r="CS108" i="90"/>
  <c r="CX108" i="90"/>
  <c r="CY194" i="90"/>
  <c r="CT194" i="90"/>
  <c r="CS61" i="90"/>
  <c r="CX61" i="90"/>
  <c r="CS76" i="90"/>
  <c r="CX76" i="90"/>
  <c r="FC56" i="90"/>
  <c r="FH56" i="90"/>
  <c r="AE275" i="90"/>
  <c r="AJ170" i="90"/>
  <c r="Z275" i="90" s="1"/>
  <c r="FC38" i="90"/>
  <c r="FH38" i="90"/>
  <c r="FC61" i="90"/>
  <c r="FH61" i="90"/>
  <c r="CT185" i="90"/>
  <c r="CY185" i="90"/>
  <c r="FC76" i="90"/>
  <c r="FH76" i="90"/>
  <c r="FH80" i="90"/>
  <c r="FC80" i="90"/>
  <c r="FC74" i="90"/>
  <c r="FH74" i="90"/>
  <c r="FC41" i="90"/>
  <c r="FH41" i="90"/>
  <c r="CT157" i="90"/>
  <c r="CY157" i="90"/>
  <c r="CT210" i="90"/>
  <c r="CY210" i="90"/>
  <c r="AJ219" i="90"/>
  <c r="Z324" i="90" s="1"/>
  <c r="AE324" i="90"/>
  <c r="FH98" i="90"/>
  <c r="FC98" i="90"/>
  <c r="CT181" i="90"/>
  <c r="CY181" i="90"/>
  <c r="AE243" i="90"/>
  <c r="AJ138" i="90"/>
  <c r="Z243" i="90" s="1"/>
  <c r="AJ57" i="90"/>
  <c r="AJ27" i="90"/>
  <c r="AJ32" i="90"/>
  <c r="CY225" i="90"/>
  <c r="CT225" i="90"/>
  <c r="CS84" i="90"/>
  <c r="CX84" i="90"/>
  <c r="CS39" i="90"/>
  <c r="CX39" i="90"/>
  <c r="AJ41" i="90"/>
  <c r="CT167" i="90"/>
  <c r="CY167" i="90"/>
  <c r="FC95" i="90"/>
  <c r="FH95" i="90"/>
  <c r="AJ153" i="90"/>
  <c r="Z258" i="90" s="1"/>
  <c r="AE258" i="90"/>
  <c r="FC65" i="90"/>
  <c r="FH65" i="90"/>
  <c r="FC35" i="90"/>
  <c r="FH35" i="90"/>
  <c r="FC106" i="90"/>
  <c r="FH106" i="90"/>
  <c r="CS75" i="90"/>
  <c r="CX75" i="90"/>
  <c r="FC32" i="90"/>
  <c r="FH32" i="90"/>
  <c r="CT214" i="90"/>
  <c r="CY214" i="90"/>
  <c r="FC103" i="90"/>
  <c r="FH103" i="90"/>
  <c r="CS109" i="90"/>
  <c r="CX109" i="90"/>
  <c r="CS89" i="90"/>
  <c r="CX89" i="90"/>
  <c r="FC19" i="90"/>
  <c r="FH19" i="90"/>
  <c r="CY161" i="90"/>
  <c r="CT161" i="90"/>
  <c r="AJ22" i="90"/>
  <c r="CT175" i="90"/>
  <c r="CY175" i="90"/>
  <c r="CT156" i="90"/>
  <c r="CY156" i="90"/>
  <c r="AJ154" i="90"/>
  <c r="Z259" i="90" s="1"/>
  <c r="AE259" i="90"/>
  <c r="FC23" i="90"/>
  <c r="FH23" i="90"/>
  <c r="CT189" i="90"/>
  <c r="CY189" i="90"/>
  <c r="CT211" i="90"/>
  <c r="CY211" i="90"/>
  <c r="CS28" i="90"/>
  <c r="CX28" i="90"/>
  <c r="AJ55" i="90"/>
  <c r="AJ130" i="90"/>
  <c r="Z235" i="90" s="1"/>
  <c r="AE235" i="90"/>
  <c r="AJ21" i="90"/>
  <c r="FC36" i="90"/>
  <c r="FH36" i="90"/>
  <c r="CT143" i="90"/>
  <c r="CY143" i="90"/>
  <c r="FC86" i="90"/>
  <c r="FH86" i="90"/>
  <c r="AJ217" i="90"/>
  <c r="Z322" i="90" s="1"/>
  <c r="AE322" i="90"/>
  <c r="FC47" i="90"/>
  <c r="FH47" i="90"/>
  <c r="AJ201" i="90"/>
  <c r="Z306" i="90" s="1"/>
  <c r="AE306" i="90"/>
  <c r="FC12" i="90"/>
  <c r="FH12" i="90"/>
  <c r="CX67" i="90"/>
  <c r="CS67" i="90"/>
  <c r="AJ43" i="90"/>
  <c r="A358" i="90"/>
  <c r="A255" i="90"/>
  <c r="AJ221" i="90"/>
  <c r="Z326" i="90" s="1"/>
  <c r="AE326" i="90"/>
  <c r="FC105" i="90"/>
  <c r="FH105" i="90"/>
  <c r="CT131" i="90"/>
  <c r="CY131" i="90"/>
  <c r="FC49" i="90"/>
  <c r="FH49" i="90"/>
  <c r="CS85" i="90"/>
  <c r="CX85" i="90"/>
  <c r="FC81" i="90"/>
  <c r="FH81" i="90"/>
  <c r="CT132" i="90"/>
  <c r="CY132" i="90"/>
  <c r="FC28" i="90"/>
  <c r="FH28" i="90"/>
  <c r="FC33" i="90"/>
  <c r="FH33" i="90"/>
  <c r="CS102" i="90"/>
  <c r="CX102" i="90"/>
  <c r="CS91" i="90"/>
  <c r="CX91" i="90"/>
  <c r="FC89" i="90"/>
  <c r="FH89" i="90"/>
  <c r="AJ147" i="90"/>
  <c r="Z252" i="90" s="1"/>
  <c r="AE252" i="90"/>
  <c r="CS100" i="90"/>
  <c r="CX100" i="90"/>
  <c r="FC72" i="90"/>
  <c r="FH72" i="90"/>
  <c r="AJ88" i="90"/>
  <c r="A403" i="90"/>
  <c r="A300" i="90"/>
  <c r="AJ48" i="90"/>
  <c r="FC18" i="90"/>
  <c r="FH18" i="90"/>
  <c r="AJ70" i="90"/>
  <c r="AJ87" i="90"/>
  <c r="AJ64" i="90"/>
  <c r="CT183" i="90"/>
  <c r="CY183" i="90"/>
  <c r="FC162" i="90"/>
  <c r="FH162" i="90"/>
  <c r="FC144" i="90"/>
  <c r="FH144" i="90"/>
  <c r="FC167" i="90"/>
  <c r="FH167" i="90"/>
  <c r="CS78" i="90"/>
  <c r="CX78" i="90"/>
  <c r="FC182" i="90"/>
  <c r="FH182" i="90"/>
  <c r="CT212" i="90"/>
  <c r="CY212" i="90"/>
  <c r="FH186" i="90"/>
  <c r="FC186" i="90"/>
  <c r="AJ73" i="90"/>
  <c r="FC180" i="90"/>
  <c r="FH180" i="90"/>
  <c r="CT224" i="90"/>
  <c r="CY224" i="90"/>
  <c r="AE250" i="90"/>
  <c r="G353" i="90" s="1"/>
  <c r="AJ145" i="90"/>
  <c r="Z250" i="90" s="1"/>
  <c r="FC147" i="90"/>
  <c r="FH147" i="90"/>
  <c r="CT205" i="90"/>
  <c r="CY205" i="90"/>
  <c r="AI157" i="90"/>
  <c r="BC262" i="90" s="1"/>
  <c r="AJ157" i="90"/>
  <c r="Z262" i="90" s="1"/>
  <c r="AE262" i="90"/>
  <c r="G365" i="90" s="1"/>
  <c r="AJ103" i="90"/>
  <c r="AJ112" i="90"/>
  <c r="FC204" i="90"/>
  <c r="FH204" i="90"/>
  <c r="AJ176" i="90"/>
  <c r="Z281" i="90" s="1"/>
  <c r="AE281" i="90"/>
  <c r="G384" i="90" s="1"/>
  <c r="AJ181" i="90"/>
  <c r="Z286" i="90" s="1"/>
  <c r="AE286" i="90"/>
  <c r="G389" i="90" s="1"/>
  <c r="AJ31" i="90"/>
  <c r="CT134" i="90"/>
  <c r="CY134" i="90"/>
  <c r="CS32" i="90"/>
  <c r="CX32" i="90"/>
  <c r="CS118" i="90"/>
  <c r="CX118" i="90"/>
  <c r="CY191" i="90"/>
  <c r="CT191" i="90"/>
  <c r="AJ146" i="90"/>
  <c r="Z251" i="90" s="1"/>
  <c r="AE251" i="90"/>
  <c r="G354" i="90" s="1"/>
  <c r="CT148" i="90"/>
  <c r="CY148" i="90"/>
  <c r="CS60" i="90"/>
  <c r="CX60" i="90"/>
  <c r="FC201" i="90"/>
  <c r="FH201" i="90"/>
  <c r="AJ46" i="90"/>
  <c r="FC171" i="90"/>
  <c r="FH171" i="90"/>
  <c r="CS115" i="90"/>
  <c r="CX115" i="90"/>
  <c r="FC141" i="90"/>
  <c r="FH141" i="90"/>
  <c r="FC212" i="90"/>
  <c r="FH212" i="90"/>
  <c r="AJ75" i="90"/>
  <c r="FC138" i="90"/>
  <c r="FH138" i="90"/>
  <c r="AJ214" i="90"/>
  <c r="Z319" i="90" s="1"/>
  <c r="AE319" i="90"/>
  <c r="FC209" i="90"/>
  <c r="FH209" i="90"/>
  <c r="AJ89" i="90"/>
  <c r="FC125" i="90"/>
  <c r="FH125" i="90"/>
  <c r="CS54" i="90"/>
  <c r="CX54" i="90"/>
  <c r="CT129" i="90"/>
  <c r="CY129" i="90"/>
  <c r="AJ95" i="90"/>
  <c r="CT193" i="90"/>
  <c r="CY193" i="90"/>
  <c r="CS49" i="90"/>
  <c r="CX49" i="90"/>
  <c r="FC129" i="90"/>
  <c r="FH129" i="90"/>
  <c r="AJ189" i="90"/>
  <c r="Z294" i="90" s="1"/>
  <c r="AE294" i="90"/>
  <c r="FC13" i="90"/>
  <c r="FH13" i="90"/>
  <c r="AJ104" i="90"/>
  <c r="AJ28" i="90"/>
  <c r="CT162" i="90"/>
  <c r="CY162" i="90"/>
  <c r="CS21" i="90"/>
  <c r="CX21" i="90"/>
  <c r="FC142" i="90"/>
  <c r="FH142" i="90"/>
  <c r="AJ186" i="90"/>
  <c r="Z291" i="90" s="1"/>
  <c r="AE291" i="90"/>
  <c r="CS36" i="90"/>
  <c r="CX36" i="90"/>
  <c r="FH192" i="90"/>
  <c r="FC192" i="90"/>
  <c r="AJ110" i="90"/>
  <c r="FC153" i="90"/>
  <c r="FH153" i="90"/>
  <c r="AJ94" i="90"/>
  <c r="FC118" i="90"/>
  <c r="FH118" i="90"/>
  <c r="CT150" i="90"/>
  <c r="CY150" i="90"/>
  <c r="AJ152" i="90"/>
  <c r="Z257" i="90" s="1"/>
  <c r="AE257" i="90"/>
  <c r="FC211" i="90"/>
  <c r="FH211" i="90"/>
  <c r="FC155" i="90"/>
  <c r="FH155" i="90"/>
  <c r="AJ85" i="90"/>
  <c r="FC187" i="90"/>
  <c r="FH187" i="90"/>
  <c r="FC134" i="90"/>
  <c r="FH134" i="90"/>
  <c r="AJ140" i="90"/>
  <c r="Z245" i="90" s="1"/>
  <c r="AE245" i="90"/>
  <c r="FC139" i="90"/>
  <c r="FH139" i="90"/>
  <c r="AE314" i="90"/>
  <c r="AJ209" i="90"/>
  <c r="Z314" i="90" s="1"/>
  <c r="CT142" i="90"/>
  <c r="CY142" i="90"/>
  <c r="AJ198" i="90"/>
  <c r="Z303" i="90" s="1"/>
  <c r="AE303" i="90"/>
  <c r="FC195" i="90"/>
  <c r="FH195" i="90"/>
  <c r="AJ40" i="90"/>
  <c r="AJ100" i="90"/>
  <c r="CT187" i="90"/>
  <c r="CY187" i="90"/>
  <c r="FC178" i="90"/>
  <c r="FH178" i="90"/>
  <c r="CS48" i="90"/>
  <c r="CX48" i="90"/>
  <c r="AJ92" i="90"/>
  <c r="FC124" i="90"/>
  <c r="FH124" i="90"/>
  <c r="CY177" i="90"/>
  <c r="CT177" i="90"/>
  <c r="AJ136" i="90"/>
  <c r="Z241" i="90" s="1"/>
  <c r="AE241" i="90"/>
  <c r="G344" i="90" s="1"/>
  <c r="CS65" i="90"/>
  <c r="CX65" i="90"/>
  <c r="AJ194" i="90"/>
  <c r="Z299" i="90" s="1"/>
  <c r="AE299" i="90"/>
  <c r="CT171" i="90"/>
  <c r="CY171" i="90"/>
  <c r="AJ183" i="90"/>
  <c r="Z288" i="90" s="1"/>
  <c r="AE288" i="90"/>
  <c r="FC46" i="90"/>
  <c r="FH46" i="90"/>
  <c r="AJ218" i="90"/>
  <c r="Z323" i="90" s="1"/>
  <c r="AE323" i="90"/>
  <c r="G426" i="90" s="1"/>
  <c r="AJ105" i="90"/>
  <c r="AJ180" i="90"/>
  <c r="Z285" i="90" s="1"/>
  <c r="AE285" i="90"/>
  <c r="G388" i="90" s="1"/>
  <c r="CS30" i="90"/>
  <c r="CX30" i="90"/>
  <c r="FH37" i="90"/>
  <c r="FC37" i="90"/>
  <c r="CS71" i="90"/>
  <c r="CX71" i="90"/>
  <c r="CT226" i="90"/>
  <c r="CY226" i="90"/>
  <c r="FH101" i="90"/>
  <c r="FC101" i="90"/>
  <c r="CS52" i="90"/>
  <c r="CX52" i="90"/>
  <c r="FC22" i="90"/>
  <c r="FH22" i="90"/>
  <c r="CS112" i="90"/>
  <c r="CX112" i="90"/>
  <c r="FC51" i="90"/>
  <c r="FH51" i="90"/>
  <c r="FC88" i="90"/>
  <c r="FH88" i="90"/>
  <c r="AJ164" i="90"/>
  <c r="Z269" i="90" s="1"/>
  <c r="AE269" i="90"/>
  <c r="G372" i="90" s="1"/>
  <c r="FC161" i="90"/>
  <c r="FH161" i="90"/>
  <c r="AJ139" i="90"/>
  <c r="Z244" i="90" s="1"/>
  <c r="AE244" i="90"/>
  <c r="FC102" i="90"/>
  <c r="FH102" i="90"/>
  <c r="FC83" i="90"/>
  <c r="FH83" i="90"/>
  <c r="CS41" i="90"/>
  <c r="CX41" i="90"/>
  <c r="GK2" i="4"/>
  <c r="ON2" i="4"/>
  <c r="AJ158" i="90"/>
  <c r="Z263" i="90" s="1"/>
  <c r="AE263" i="90"/>
  <c r="CX58" i="90"/>
  <c r="CS58" i="90"/>
  <c r="FC97" i="90"/>
  <c r="FH97" i="90"/>
  <c r="CT222" i="90"/>
  <c r="CY222" i="90"/>
  <c r="FC54" i="90"/>
  <c r="FH54" i="90"/>
  <c r="CS81" i="90"/>
  <c r="CX81" i="90"/>
  <c r="AJ203" i="90"/>
  <c r="Z308" i="90" s="1"/>
  <c r="AE308" i="90"/>
  <c r="G411" i="90" s="1"/>
  <c r="AJ133" i="90"/>
  <c r="Z238" i="90" s="1"/>
  <c r="AE238" i="90"/>
  <c r="G341" i="90" s="1"/>
  <c r="AJ184" i="90"/>
  <c r="Z289" i="90" s="1"/>
  <c r="AE289" i="90"/>
  <c r="FC85" i="90"/>
  <c r="FH85" i="90"/>
  <c r="AJ161" i="90"/>
  <c r="Z266" i="90" s="1"/>
  <c r="AE266" i="90"/>
  <c r="CS22" i="90"/>
  <c r="CX22" i="90"/>
  <c r="CS68" i="90"/>
  <c r="CX68" i="90"/>
  <c r="CT202" i="90"/>
  <c r="CY202" i="90"/>
  <c r="CS86" i="90"/>
  <c r="CX86" i="90"/>
  <c r="AJ156" i="90"/>
  <c r="Z261" i="90" s="1"/>
  <c r="AE261" i="90"/>
  <c r="G364" i="90" s="1"/>
  <c r="FC48" i="90"/>
  <c r="FH48" i="90"/>
  <c r="FC43" i="90"/>
  <c r="FH43" i="90"/>
  <c r="AJ149" i="90"/>
  <c r="Z254" i="90" s="1"/>
  <c r="AE254" i="90"/>
  <c r="G357" i="90" s="1"/>
  <c r="FH10" i="90"/>
  <c r="FC10" i="90"/>
  <c r="FC82" i="90"/>
  <c r="FH82" i="90"/>
  <c r="FC44" i="90"/>
  <c r="FH44" i="90"/>
  <c r="CX66" i="90"/>
  <c r="CS66" i="90"/>
  <c r="CY128" i="90"/>
  <c r="CT128" i="90"/>
  <c r="AJ79" i="90"/>
  <c r="CT213" i="90"/>
  <c r="CY213" i="90"/>
  <c r="FC108" i="90"/>
  <c r="FH108" i="90"/>
  <c r="CS110" i="90"/>
  <c r="CX110" i="90"/>
  <c r="FC75" i="90"/>
  <c r="FH75" i="90"/>
  <c r="CT151" i="90"/>
  <c r="CY151" i="90"/>
  <c r="AJ67" i="90"/>
  <c r="FC87" i="90"/>
  <c r="FH87" i="90"/>
  <c r="CS43" i="90"/>
  <c r="CX43" i="90"/>
  <c r="FH94" i="90"/>
  <c r="FC94" i="90"/>
  <c r="FC126" i="90"/>
  <c r="FH126" i="90"/>
  <c r="FC39" i="90"/>
  <c r="FH39" i="90"/>
  <c r="CS56" i="90"/>
  <c r="CX56" i="90"/>
  <c r="AJ62" i="90"/>
  <c r="AJ192" i="90"/>
  <c r="Z297" i="90" s="1"/>
  <c r="AE297" i="90"/>
  <c r="AJ101" i="90"/>
  <c r="FC117" i="90"/>
  <c r="FH117" i="90"/>
  <c r="FC45" i="90"/>
  <c r="FH45" i="90"/>
  <c r="FH59" i="90"/>
  <c r="FC59" i="90"/>
  <c r="FC52" i="90"/>
  <c r="FH52" i="90"/>
  <c r="AJ59" i="90"/>
  <c r="FC96" i="90"/>
  <c r="FH96" i="90"/>
  <c r="AJ207" i="90"/>
  <c r="Z312" i="90" s="1"/>
  <c r="AE312" i="90"/>
  <c r="G366" i="90" l="1"/>
  <c r="G391" i="90"/>
  <c r="G415" i="90"/>
  <c r="G369" i="90"/>
  <c r="G387" i="90"/>
  <c r="G412" i="90"/>
  <c r="G374" i="90"/>
  <c r="G433" i="90"/>
  <c r="G404" i="90"/>
  <c r="G385" i="90"/>
  <c r="G393" i="90"/>
  <c r="G379" i="90"/>
  <c r="G346" i="90"/>
  <c r="G406" i="90"/>
  <c r="G409" i="90"/>
  <c r="G359" i="90"/>
  <c r="G368" i="90"/>
  <c r="G362" i="90"/>
  <c r="G424" i="90"/>
  <c r="G399" i="90"/>
  <c r="G339" i="90"/>
  <c r="G390" i="90"/>
  <c r="G407" i="90"/>
  <c r="G425" i="90"/>
  <c r="G371" i="90"/>
  <c r="G376" i="90"/>
  <c r="G377" i="90"/>
  <c r="G413" i="90"/>
  <c r="G414" i="90"/>
  <c r="G342" i="90"/>
  <c r="G395" i="90"/>
  <c r="G401" i="90"/>
  <c r="G348" i="90"/>
  <c r="G349" i="90"/>
  <c r="G400" i="90"/>
  <c r="G402" i="90"/>
  <c r="G392" i="90"/>
  <c r="G347" i="90"/>
  <c r="G420" i="90"/>
  <c r="G378" i="90"/>
  <c r="G383" i="90"/>
  <c r="G430" i="90"/>
  <c r="G423" i="90"/>
  <c r="G358" i="90"/>
  <c r="G351" i="90"/>
  <c r="G418" i="90"/>
  <c r="G434" i="90"/>
  <c r="G416" i="90"/>
  <c r="G363" i="90"/>
  <c r="G421" i="90"/>
  <c r="G367" i="90"/>
  <c r="FI4344" i="4"/>
  <c r="G398" i="90"/>
  <c r="G360" i="90"/>
  <c r="G417" i="90"/>
  <c r="G397" i="90"/>
  <c r="G427" i="90"/>
  <c r="G419" i="90"/>
  <c r="G431" i="90"/>
  <c r="G356" i="90"/>
  <c r="G422" i="90"/>
  <c r="G338" i="90"/>
  <c r="G361" i="90"/>
  <c r="G408" i="90"/>
  <c r="G350" i="90"/>
  <c r="G394" i="90"/>
  <c r="G355" i="90"/>
  <c r="G429" i="90"/>
  <c r="G370" i="90"/>
  <c r="G410" i="90"/>
  <c r="R14" i="70"/>
  <c r="CL295" i="90"/>
  <c r="BP398" i="90" s="1"/>
  <c r="DP295" i="90"/>
  <c r="BV398" i="90" s="1"/>
  <c r="CL306" i="90"/>
  <c r="BP409" i="90" s="1"/>
  <c r="DP306" i="90"/>
  <c r="BV409" i="90" s="1"/>
  <c r="CL284" i="90"/>
  <c r="BP387" i="90" s="1"/>
  <c r="DP284" i="90"/>
  <c r="BV387" i="90" s="1"/>
  <c r="CL251" i="90"/>
  <c r="BP354" i="90" s="1"/>
  <c r="DP251" i="90"/>
  <c r="BV354" i="90" s="1"/>
  <c r="CL242" i="90"/>
  <c r="BP345" i="90" s="1"/>
  <c r="DP242" i="90"/>
  <c r="BV345" i="90" s="1"/>
  <c r="CL266" i="90"/>
  <c r="BP369" i="90" s="1"/>
  <c r="DP266" i="90"/>
  <c r="BV369" i="90" s="1"/>
  <c r="CL278" i="90"/>
  <c r="BP381" i="90" s="1"/>
  <c r="DP278" i="90"/>
  <c r="BV381" i="90" s="1"/>
  <c r="CL254" i="90"/>
  <c r="BP357" i="90" s="1"/>
  <c r="DP254" i="90"/>
  <c r="BV357" i="90" s="1"/>
  <c r="CL325" i="90"/>
  <c r="BP428" i="90" s="1"/>
  <c r="DP325" i="90"/>
  <c r="BV428" i="90" s="1"/>
  <c r="CL241" i="90"/>
  <c r="BP344" i="90" s="1"/>
  <c r="DP241" i="90"/>
  <c r="BV344" i="90" s="1"/>
  <c r="CL250" i="90"/>
  <c r="BP353" i="90" s="1"/>
  <c r="DP250" i="90"/>
  <c r="BV353" i="90" s="1"/>
  <c r="CL305" i="90"/>
  <c r="BP408" i="90" s="1"/>
  <c r="DP305" i="90"/>
  <c r="BV408" i="90" s="1"/>
  <c r="CL304" i="90"/>
  <c r="BP407" i="90" s="1"/>
  <c r="DP304" i="90"/>
  <c r="BV407" i="90" s="1"/>
  <c r="CL318" i="90"/>
  <c r="BP421" i="90" s="1"/>
  <c r="DP318" i="90"/>
  <c r="BV421" i="90" s="1"/>
  <c r="CL267" i="90"/>
  <c r="BP370" i="90" s="1"/>
  <c r="DP267" i="90"/>
  <c r="BV370" i="90" s="1"/>
  <c r="CL253" i="90"/>
  <c r="BP356" i="90" s="1"/>
  <c r="DP253" i="90"/>
  <c r="BV356" i="90" s="1"/>
  <c r="CL288" i="90"/>
  <c r="BP391" i="90" s="1"/>
  <c r="DP288" i="90"/>
  <c r="BV391" i="90" s="1"/>
  <c r="CL322" i="90"/>
  <c r="BP425" i="90" s="1"/>
  <c r="DP322" i="90"/>
  <c r="BV425" i="90" s="1"/>
  <c r="CL300" i="90"/>
  <c r="BP403" i="90" s="1"/>
  <c r="DP300" i="90"/>
  <c r="BV403" i="90" s="1"/>
  <c r="CL245" i="90"/>
  <c r="BP348" i="90" s="1"/>
  <c r="DP245" i="90"/>
  <c r="BV348" i="90" s="1"/>
  <c r="CL308" i="90"/>
  <c r="BP411" i="90" s="1"/>
  <c r="DP308" i="90"/>
  <c r="BV411" i="90" s="1"/>
  <c r="CL289" i="90"/>
  <c r="BP392" i="90" s="1"/>
  <c r="DP289" i="90"/>
  <c r="BV392" i="90" s="1"/>
  <c r="CL314" i="90"/>
  <c r="BP417" i="90" s="1"/>
  <c r="DP314" i="90"/>
  <c r="BV417" i="90" s="1"/>
  <c r="CL249" i="90"/>
  <c r="BP352" i="90" s="1"/>
  <c r="DP249" i="90"/>
  <c r="BV352" i="90" s="1"/>
  <c r="CL232" i="90"/>
  <c r="BP335" i="90" s="1"/>
  <c r="DP232" i="90"/>
  <c r="BV335" i="90" s="1"/>
  <c r="CL313" i="90"/>
  <c r="BP416" i="90" s="1"/>
  <c r="DP313" i="90"/>
  <c r="BV416" i="90" s="1"/>
  <c r="CL235" i="90"/>
  <c r="BP338" i="90" s="1"/>
  <c r="DP235" i="90"/>
  <c r="BV338" i="90" s="1"/>
  <c r="CL265" i="90"/>
  <c r="BP368" i="90" s="1"/>
  <c r="DP265" i="90"/>
  <c r="BV368" i="90" s="1"/>
  <c r="CL268" i="90"/>
  <c r="BP371" i="90" s="1"/>
  <c r="DP268" i="90"/>
  <c r="BV371" i="90" s="1"/>
  <c r="CL301" i="90"/>
  <c r="BP404" i="90" s="1"/>
  <c r="DP301" i="90"/>
  <c r="BV404" i="90" s="1"/>
  <c r="CL257" i="90"/>
  <c r="BP360" i="90" s="1"/>
  <c r="DP257" i="90"/>
  <c r="BV360" i="90" s="1"/>
  <c r="CL287" i="90"/>
  <c r="BP390" i="90" s="1"/>
  <c r="DP287" i="90"/>
  <c r="BV390" i="90" s="1"/>
  <c r="CL282" i="90"/>
  <c r="BP385" i="90" s="1"/>
  <c r="DP282" i="90"/>
  <c r="BV385" i="90" s="1"/>
  <c r="CL329" i="90"/>
  <c r="BP432" i="90" s="1"/>
  <c r="DP329" i="90"/>
  <c r="BV432" i="90" s="1"/>
  <c r="CL303" i="90"/>
  <c r="BP406" i="90" s="1"/>
  <c r="DP303" i="90"/>
  <c r="BV406" i="90" s="1"/>
  <c r="CL246" i="90"/>
  <c r="BP349" i="90" s="1"/>
  <c r="DP246" i="90"/>
  <c r="BV349" i="90" s="1"/>
  <c r="CL326" i="90"/>
  <c r="BP429" i="90" s="1"/>
  <c r="DP326" i="90"/>
  <c r="BV429" i="90" s="1"/>
  <c r="CL298" i="90"/>
  <c r="BP401" i="90" s="1"/>
  <c r="DP298" i="90"/>
  <c r="BV401" i="90" s="1"/>
  <c r="CL320" i="90"/>
  <c r="BP423" i="90" s="1"/>
  <c r="DP320" i="90"/>
  <c r="BV423" i="90" s="1"/>
  <c r="CL271" i="90"/>
  <c r="BP374" i="90" s="1"/>
  <c r="DP271" i="90"/>
  <c r="BV374" i="90" s="1"/>
  <c r="CL311" i="90"/>
  <c r="BP414" i="90" s="1"/>
  <c r="DP311" i="90"/>
  <c r="BV414" i="90" s="1"/>
  <c r="CL236" i="90"/>
  <c r="BP339" i="90" s="1"/>
  <c r="DP236" i="90"/>
  <c r="BV339" i="90" s="1"/>
  <c r="CL315" i="90"/>
  <c r="BP418" i="90" s="1"/>
  <c r="DP315" i="90"/>
  <c r="BV418" i="90" s="1"/>
  <c r="CL276" i="90"/>
  <c r="BP379" i="90" s="1"/>
  <c r="DP276" i="90"/>
  <c r="BV379" i="90" s="1"/>
  <c r="CL234" i="90"/>
  <c r="BP337" i="90" s="1"/>
  <c r="DP234" i="90"/>
  <c r="BV337" i="90" s="1"/>
  <c r="CL239" i="90"/>
  <c r="BP342" i="90" s="1"/>
  <c r="DP239" i="90"/>
  <c r="BV342" i="90" s="1"/>
  <c r="CL261" i="90"/>
  <c r="BP364" i="90" s="1"/>
  <c r="DP261" i="90"/>
  <c r="BV364" i="90" s="1"/>
  <c r="CL321" i="90"/>
  <c r="BP424" i="90" s="1"/>
  <c r="DP321" i="90"/>
  <c r="BV424" i="90" s="1"/>
  <c r="CL294" i="90"/>
  <c r="BP397" i="90" s="1"/>
  <c r="DP294" i="90"/>
  <c r="BV397" i="90" s="1"/>
  <c r="CL292" i="90"/>
  <c r="BP395" i="90" s="1"/>
  <c r="DP292" i="90"/>
  <c r="BV395" i="90" s="1"/>
  <c r="CL319" i="90"/>
  <c r="BP422" i="90" s="1"/>
  <c r="DP319" i="90"/>
  <c r="BV422" i="90" s="1"/>
  <c r="CL264" i="90"/>
  <c r="BP367" i="90" s="1"/>
  <c r="DP264" i="90"/>
  <c r="BV367" i="90" s="1"/>
  <c r="CL290" i="90"/>
  <c r="BP393" i="90" s="1"/>
  <c r="DP290" i="90"/>
  <c r="BV393" i="90" s="1"/>
  <c r="CL293" i="90"/>
  <c r="BP396" i="90" s="1"/>
  <c r="DP293" i="90"/>
  <c r="BV396" i="90" s="1"/>
  <c r="CL323" i="90"/>
  <c r="BP426" i="90" s="1"/>
  <c r="DP323" i="90"/>
  <c r="BV426" i="90" s="1"/>
  <c r="CL275" i="90"/>
  <c r="BP378" i="90" s="1"/>
  <c r="DP275" i="90"/>
  <c r="BV378" i="90" s="1"/>
  <c r="CL312" i="90"/>
  <c r="BP415" i="90" s="1"/>
  <c r="DP312" i="90"/>
  <c r="BV415" i="90" s="1"/>
  <c r="CL274" i="90"/>
  <c r="BP377" i="90" s="1"/>
  <c r="DP274" i="90"/>
  <c r="BV377" i="90" s="1"/>
  <c r="CL248" i="90"/>
  <c r="BP351" i="90" s="1"/>
  <c r="DP248" i="90"/>
  <c r="BV351" i="90" s="1"/>
  <c r="CL238" i="90"/>
  <c r="BP341" i="90" s="1"/>
  <c r="DP238" i="90"/>
  <c r="BV341" i="90" s="1"/>
  <c r="CL324" i="90"/>
  <c r="BP427" i="90" s="1"/>
  <c r="DP324" i="90"/>
  <c r="BV427" i="90" s="1"/>
  <c r="CL233" i="90"/>
  <c r="BP336" i="90" s="1"/>
  <c r="DP233" i="90"/>
  <c r="BV336" i="90" s="1"/>
  <c r="CL280" i="90"/>
  <c r="BP383" i="90" s="1"/>
  <c r="DP280" i="90"/>
  <c r="BV383" i="90" s="1"/>
  <c r="CL296" i="90"/>
  <c r="BP399" i="90" s="1"/>
  <c r="DP296" i="90"/>
  <c r="BV399" i="90" s="1"/>
  <c r="CL317" i="90"/>
  <c r="BP420" i="90" s="1"/>
  <c r="DP317" i="90"/>
  <c r="BV420" i="90" s="1"/>
  <c r="CL263" i="90"/>
  <c r="BP366" i="90" s="1"/>
  <c r="DP263" i="90"/>
  <c r="BV366" i="90" s="1"/>
  <c r="CL281" i="90"/>
  <c r="BP384" i="90" s="1"/>
  <c r="DP281" i="90"/>
  <c r="BV384" i="90" s="1"/>
  <c r="CL258" i="90"/>
  <c r="BP361" i="90" s="1"/>
  <c r="DP258" i="90"/>
  <c r="BV361" i="90" s="1"/>
  <c r="CL279" i="90"/>
  <c r="BP382" i="90" s="1"/>
  <c r="DP279" i="90"/>
  <c r="BV382" i="90" s="1"/>
  <c r="CL237" i="90"/>
  <c r="BP340" i="90" s="1"/>
  <c r="DP237" i="90"/>
  <c r="BV340" i="90" s="1"/>
  <c r="CL270" i="90"/>
  <c r="BP373" i="90" s="1"/>
  <c r="DP270" i="90"/>
  <c r="BV373" i="90" s="1"/>
  <c r="CL291" i="90"/>
  <c r="BP394" i="90" s="1"/>
  <c r="DP291" i="90"/>
  <c r="BV394" i="90" s="1"/>
  <c r="CL243" i="90"/>
  <c r="BP346" i="90" s="1"/>
  <c r="DP243" i="90"/>
  <c r="BV346" i="90" s="1"/>
  <c r="CL277" i="90"/>
  <c r="BP380" i="90" s="1"/>
  <c r="DP277" i="90"/>
  <c r="BV380" i="90" s="1"/>
  <c r="CL244" i="90"/>
  <c r="BP347" i="90" s="1"/>
  <c r="DP244" i="90"/>
  <c r="BV347" i="90" s="1"/>
  <c r="CL302" i="90"/>
  <c r="BP405" i="90" s="1"/>
  <c r="DP302" i="90"/>
  <c r="BV405" i="90" s="1"/>
  <c r="CL272" i="90"/>
  <c r="BP375" i="90" s="1"/>
  <c r="DP272" i="90"/>
  <c r="BV375" i="90" s="1"/>
  <c r="CL256" i="90"/>
  <c r="BP359" i="90" s="1"/>
  <c r="DP256" i="90"/>
  <c r="BV359" i="90" s="1"/>
  <c r="CL327" i="90"/>
  <c r="BP430" i="90" s="1"/>
  <c r="DP327" i="90"/>
  <c r="BV430" i="90" s="1"/>
  <c r="CL247" i="90"/>
  <c r="BP350" i="90" s="1"/>
  <c r="DP247" i="90"/>
  <c r="BV350" i="90" s="1"/>
  <c r="CL310" i="90"/>
  <c r="BP413" i="90" s="1"/>
  <c r="DP310" i="90"/>
  <c r="BV413" i="90" s="1"/>
  <c r="CL259" i="90"/>
  <c r="BP362" i="90" s="1"/>
  <c r="DP259" i="90"/>
  <c r="BV362" i="90" s="1"/>
  <c r="CL316" i="90"/>
  <c r="BP419" i="90" s="1"/>
  <c r="DP316" i="90"/>
  <c r="BV419" i="90" s="1"/>
  <c r="CL262" i="90"/>
  <c r="BP365" i="90" s="1"/>
  <c r="DP262" i="90"/>
  <c r="BV365" i="90" s="1"/>
  <c r="CL240" i="90"/>
  <c r="BP343" i="90" s="1"/>
  <c r="DP240" i="90"/>
  <c r="BV343" i="90" s="1"/>
  <c r="CL309" i="90"/>
  <c r="BP412" i="90" s="1"/>
  <c r="DP309" i="90"/>
  <c r="BV412" i="90" s="1"/>
  <c r="CL273" i="90"/>
  <c r="BP376" i="90" s="1"/>
  <c r="DP273" i="90"/>
  <c r="BV376" i="90" s="1"/>
  <c r="CL330" i="90"/>
  <c r="BP433" i="90" s="1"/>
  <c r="DP330" i="90"/>
  <c r="BV433" i="90" s="1"/>
  <c r="CL252" i="90"/>
  <c r="BP355" i="90" s="1"/>
  <c r="DP252" i="90"/>
  <c r="BV355" i="90" s="1"/>
  <c r="CL269" i="90"/>
  <c r="BP372" i="90" s="1"/>
  <c r="DP269" i="90"/>
  <c r="BV372" i="90" s="1"/>
  <c r="CL299" i="90"/>
  <c r="BP402" i="90" s="1"/>
  <c r="DP299" i="90"/>
  <c r="BV402" i="90" s="1"/>
  <c r="CL328" i="90"/>
  <c r="BP431" i="90" s="1"/>
  <c r="DP328" i="90"/>
  <c r="BV431" i="90" s="1"/>
  <c r="CL285" i="90"/>
  <c r="BP388" i="90" s="1"/>
  <c r="DP285" i="90"/>
  <c r="BV388" i="90" s="1"/>
  <c r="CL286" i="90"/>
  <c r="BP389" i="90" s="1"/>
  <c r="DP286" i="90"/>
  <c r="BV389" i="90" s="1"/>
  <c r="CL297" i="90"/>
  <c r="BP400" i="90" s="1"/>
  <c r="DP297" i="90"/>
  <c r="BV400" i="90" s="1"/>
  <c r="CL283" i="90"/>
  <c r="BP386" i="90" s="1"/>
  <c r="DP283" i="90"/>
  <c r="BV386" i="90" s="1"/>
  <c r="CL260" i="90"/>
  <c r="BP363" i="90" s="1"/>
  <c r="DP260" i="90"/>
  <c r="BV363" i="90" s="1"/>
  <c r="CL307" i="90"/>
  <c r="BP410" i="90" s="1"/>
  <c r="DP307" i="90"/>
  <c r="BV410" i="90" s="1"/>
  <c r="CL331" i="90"/>
  <c r="BP434" i="90" s="1"/>
  <c r="DP331" i="90"/>
  <c r="BV434" i="90" s="1"/>
  <c r="CL255" i="90"/>
  <c r="BP358" i="90" s="1"/>
  <c r="DP255" i="90"/>
  <c r="BV358" i="90" s="1"/>
  <c r="CG270" i="90"/>
  <c r="BO373" i="90" s="1"/>
  <c r="DK270" i="90"/>
  <c r="BU373" i="90" s="1"/>
  <c r="CG330" i="90"/>
  <c r="BO433" i="90" s="1"/>
  <c r="DK330" i="90"/>
  <c r="BU433" i="90" s="1"/>
  <c r="CG323" i="90"/>
  <c r="BO426" i="90" s="1"/>
  <c r="DK323" i="90"/>
  <c r="BU426" i="90" s="1"/>
  <c r="CG311" i="90"/>
  <c r="BO414" i="90" s="1"/>
  <c r="DK311" i="90"/>
  <c r="BU414" i="90" s="1"/>
  <c r="CG315" i="90"/>
  <c r="BO418" i="90" s="1"/>
  <c r="DK315" i="90"/>
  <c r="BU418" i="90" s="1"/>
  <c r="CG302" i="90"/>
  <c r="BO405" i="90" s="1"/>
  <c r="DK302" i="90"/>
  <c r="BU405" i="90" s="1"/>
  <c r="CG272" i="90"/>
  <c r="BO375" i="90" s="1"/>
  <c r="DK272" i="90"/>
  <c r="BU375" i="90" s="1"/>
  <c r="CG256" i="90"/>
  <c r="BO359" i="90" s="1"/>
  <c r="DK256" i="90"/>
  <c r="BU359" i="90" s="1"/>
  <c r="CG234" i="90"/>
  <c r="BO337" i="90" s="1"/>
  <c r="DK234" i="90"/>
  <c r="BU337" i="90" s="1"/>
  <c r="CG252" i="90"/>
  <c r="BO355" i="90" s="1"/>
  <c r="DK252" i="90"/>
  <c r="BU355" i="90" s="1"/>
  <c r="CG274" i="90"/>
  <c r="BO377" i="90" s="1"/>
  <c r="DK274" i="90"/>
  <c r="BU377" i="90" s="1"/>
  <c r="CG307" i="90"/>
  <c r="BO410" i="90" s="1"/>
  <c r="DK307" i="90"/>
  <c r="BU410" i="90" s="1"/>
  <c r="CG297" i="90"/>
  <c r="BO400" i="90" s="1"/>
  <c r="DK297" i="90"/>
  <c r="BU400" i="90" s="1"/>
  <c r="CG248" i="90"/>
  <c r="BO351" i="90" s="1"/>
  <c r="DK248" i="90"/>
  <c r="BU351" i="90" s="1"/>
  <c r="CG322" i="90"/>
  <c r="BO425" i="90" s="1"/>
  <c r="DK322" i="90"/>
  <c r="BU425" i="90" s="1"/>
  <c r="CG259" i="90"/>
  <c r="BO362" i="90" s="1"/>
  <c r="DK259" i="90"/>
  <c r="BU362" i="90" s="1"/>
  <c r="CG321" i="90"/>
  <c r="BO424" i="90" s="1"/>
  <c r="DK321" i="90"/>
  <c r="BU424" i="90" s="1"/>
  <c r="CG295" i="90"/>
  <c r="BO398" i="90" s="1"/>
  <c r="DK295" i="90"/>
  <c r="BU398" i="90" s="1"/>
  <c r="CG316" i="90"/>
  <c r="BO419" i="90" s="1"/>
  <c r="DK316" i="90"/>
  <c r="BU419" i="90" s="1"/>
  <c r="CG291" i="90"/>
  <c r="BO394" i="90" s="1"/>
  <c r="DK291" i="90"/>
  <c r="BU394" i="90" s="1"/>
  <c r="CG243" i="90"/>
  <c r="BO346" i="90" s="1"/>
  <c r="DK243" i="90"/>
  <c r="BU346" i="90" s="1"/>
  <c r="CG246" i="90"/>
  <c r="BO349" i="90" s="1"/>
  <c r="DK246" i="90"/>
  <c r="BU349" i="90" s="1"/>
  <c r="CG277" i="90"/>
  <c r="BO380" i="90" s="1"/>
  <c r="DK277" i="90"/>
  <c r="BU380" i="90" s="1"/>
  <c r="CG245" i="90"/>
  <c r="BO348" i="90" s="1"/>
  <c r="DK245" i="90"/>
  <c r="BU348" i="90" s="1"/>
  <c r="CG244" i="90"/>
  <c r="BO347" i="90" s="1"/>
  <c r="DK244" i="90"/>
  <c r="BU347" i="90" s="1"/>
  <c r="CG327" i="90"/>
  <c r="BO430" i="90" s="1"/>
  <c r="DK327" i="90"/>
  <c r="BU430" i="90" s="1"/>
  <c r="CG247" i="90"/>
  <c r="BO350" i="90" s="1"/>
  <c r="DK247" i="90"/>
  <c r="BU350" i="90" s="1"/>
  <c r="CG310" i="90"/>
  <c r="BO413" i="90" s="1"/>
  <c r="DK310" i="90"/>
  <c r="BU413" i="90" s="1"/>
  <c r="CG275" i="90"/>
  <c r="BO378" i="90" s="1"/>
  <c r="DK275" i="90"/>
  <c r="BU378" i="90" s="1"/>
  <c r="CG331" i="90"/>
  <c r="BO434" i="90" s="1"/>
  <c r="DK331" i="90"/>
  <c r="BU434" i="90" s="1"/>
  <c r="CG284" i="90"/>
  <c r="BO387" i="90" s="1"/>
  <c r="DK284" i="90"/>
  <c r="BU387" i="90" s="1"/>
  <c r="CG269" i="90"/>
  <c r="BO372" i="90" s="1"/>
  <c r="DK269" i="90"/>
  <c r="BU372" i="90" s="1"/>
  <c r="CG266" i="90"/>
  <c r="BO369" i="90" s="1"/>
  <c r="DK266" i="90"/>
  <c r="BU369" i="90" s="1"/>
  <c r="CG278" i="90"/>
  <c r="BO381" i="90" s="1"/>
  <c r="DK278" i="90"/>
  <c r="BU381" i="90" s="1"/>
  <c r="CG254" i="90"/>
  <c r="BO357" i="90" s="1"/>
  <c r="DK254" i="90"/>
  <c r="BU357" i="90" s="1"/>
  <c r="CG285" i="90"/>
  <c r="BO388" i="90" s="1"/>
  <c r="DK285" i="90"/>
  <c r="BU388" i="90" s="1"/>
  <c r="CG283" i="90"/>
  <c r="BO386" i="90" s="1"/>
  <c r="DK283" i="90"/>
  <c r="BU386" i="90" s="1"/>
  <c r="CG304" i="90"/>
  <c r="BO407" i="90" s="1"/>
  <c r="DK304" i="90"/>
  <c r="BU407" i="90" s="1"/>
  <c r="CG260" i="90"/>
  <c r="BO363" i="90" s="1"/>
  <c r="DK260" i="90"/>
  <c r="BU363" i="90" s="1"/>
  <c r="CG255" i="90"/>
  <c r="BO358" i="90" s="1"/>
  <c r="DK255" i="90"/>
  <c r="BU358" i="90" s="1"/>
  <c r="CG286" i="90"/>
  <c r="BO389" i="90" s="1"/>
  <c r="DK286" i="90"/>
  <c r="BU389" i="90" s="1"/>
  <c r="CG296" i="90"/>
  <c r="BO399" i="90" s="1"/>
  <c r="DK296" i="90"/>
  <c r="BU399" i="90" s="1"/>
  <c r="CG240" i="90"/>
  <c r="BO343" i="90" s="1"/>
  <c r="DK240" i="90"/>
  <c r="BU343" i="90" s="1"/>
  <c r="CG258" i="90"/>
  <c r="BO361" i="90" s="1"/>
  <c r="DK258" i="90"/>
  <c r="BU361" i="90" s="1"/>
  <c r="CG300" i="90"/>
  <c r="BO403" i="90" s="1"/>
  <c r="DK300" i="90"/>
  <c r="BU403" i="90" s="1"/>
  <c r="CG303" i="90"/>
  <c r="BO406" i="90" s="1"/>
  <c r="DK303" i="90"/>
  <c r="BU406" i="90" s="1"/>
  <c r="CG263" i="90"/>
  <c r="BO366" i="90" s="1"/>
  <c r="DK263" i="90"/>
  <c r="BU366" i="90" s="1"/>
  <c r="CG294" i="90"/>
  <c r="BO397" i="90" s="1"/>
  <c r="DK294" i="90"/>
  <c r="BU397" i="90" s="1"/>
  <c r="CG306" i="90"/>
  <c r="BO409" i="90" s="1"/>
  <c r="DK306" i="90"/>
  <c r="BU409" i="90" s="1"/>
  <c r="CG281" i="90"/>
  <c r="BO384" i="90" s="1"/>
  <c r="DK281" i="90"/>
  <c r="BU384" i="90" s="1"/>
  <c r="CG273" i="90"/>
  <c r="BO376" i="90" s="1"/>
  <c r="DK273" i="90"/>
  <c r="BU376" i="90" s="1"/>
  <c r="CG292" i="90"/>
  <c r="BO395" i="90" s="1"/>
  <c r="DK292" i="90"/>
  <c r="BU395" i="90" s="1"/>
  <c r="CG298" i="90"/>
  <c r="BO401" i="90" s="1"/>
  <c r="DK298" i="90"/>
  <c r="BU401" i="90" s="1"/>
  <c r="CG262" i="90"/>
  <c r="BO365" i="90" s="1"/>
  <c r="DK262" i="90"/>
  <c r="BU365" i="90" s="1"/>
  <c r="CG328" i="90"/>
  <c r="BO431" i="90" s="1"/>
  <c r="DK328" i="90"/>
  <c r="BU431" i="90" s="1"/>
  <c r="CG324" i="90"/>
  <c r="BO427" i="90" s="1"/>
  <c r="DK324" i="90"/>
  <c r="BU427" i="90" s="1"/>
  <c r="CG314" i="90"/>
  <c r="BO417" i="90" s="1"/>
  <c r="DK314" i="90"/>
  <c r="BU417" i="90" s="1"/>
  <c r="CG251" i="90"/>
  <c r="BO354" i="90" s="1"/>
  <c r="DK251" i="90"/>
  <c r="BU354" i="90" s="1"/>
  <c r="CG242" i="90"/>
  <c r="BO345" i="90" s="1"/>
  <c r="DK242" i="90"/>
  <c r="BU345" i="90" s="1"/>
  <c r="CG235" i="90"/>
  <c r="BO338" i="90" s="1"/>
  <c r="DK235" i="90"/>
  <c r="BU338" i="90" s="1"/>
  <c r="CG325" i="90"/>
  <c r="BO428" i="90" s="1"/>
  <c r="DK325" i="90"/>
  <c r="BU428" i="90" s="1"/>
  <c r="CG241" i="90"/>
  <c r="BO344" i="90" s="1"/>
  <c r="DK241" i="90"/>
  <c r="BU344" i="90" s="1"/>
  <c r="CG268" i="90"/>
  <c r="BO371" i="90" s="1"/>
  <c r="DK268" i="90"/>
  <c r="BU371" i="90" s="1"/>
  <c r="CG301" i="90"/>
  <c r="BO404" i="90" s="1"/>
  <c r="DK301" i="90"/>
  <c r="BU404" i="90" s="1"/>
  <c r="CG250" i="90"/>
  <c r="BO353" i="90" s="1"/>
  <c r="DK250" i="90"/>
  <c r="BU353" i="90" s="1"/>
  <c r="CG305" i="90"/>
  <c r="BO408" i="90" s="1"/>
  <c r="DK305" i="90"/>
  <c r="BU408" i="90" s="1"/>
  <c r="CG257" i="90"/>
  <c r="BO360" i="90" s="1"/>
  <c r="DK257" i="90"/>
  <c r="BU360" i="90" s="1"/>
  <c r="CG287" i="90"/>
  <c r="BO390" i="90" s="1"/>
  <c r="DK287" i="90"/>
  <c r="BU390" i="90" s="1"/>
  <c r="CG318" i="90"/>
  <c r="BO421" i="90" s="1"/>
  <c r="DK318" i="90"/>
  <c r="BU421" i="90" s="1"/>
  <c r="CG267" i="90"/>
  <c r="BO370" i="90" s="1"/>
  <c r="DK267" i="90"/>
  <c r="BU370" i="90" s="1"/>
  <c r="CG253" i="90"/>
  <c r="BO356" i="90" s="1"/>
  <c r="DK253" i="90"/>
  <c r="BU356" i="90" s="1"/>
  <c r="CG329" i="90"/>
  <c r="BO432" i="90" s="1"/>
  <c r="DK329" i="90"/>
  <c r="BU432" i="90" s="1"/>
  <c r="CG288" i="90"/>
  <c r="BO391" i="90" s="1"/>
  <c r="DK288" i="90"/>
  <c r="BU391" i="90" s="1"/>
  <c r="CG299" i="90"/>
  <c r="BO402" i="90" s="1"/>
  <c r="DK299" i="90"/>
  <c r="BU402" i="90" s="1"/>
  <c r="CG317" i="90"/>
  <c r="BO420" i="90" s="1"/>
  <c r="DK317" i="90"/>
  <c r="BU420" i="90" s="1"/>
  <c r="CG293" i="90"/>
  <c r="BO396" i="90" s="1"/>
  <c r="DK293" i="90"/>
  <c r="BU396" i="90" s="1"/>
  <c r="CG320" i="90"/>
  <c r="BO423" i="90" s="1"/>
  <c r="DK320" i="90"/>
  <c r="BU423" i="90" s="1"/>
  <c r="CG319" i="90"/>
  <c r="BO422" i="90" s="1"/>
  <c r="DK319" i="90"/>
  <c r="BU422" i="90" s="1"/>
  <c r="CG326" i="90"/>
  <c r="BO429" i="90" s="1"/>
  <c r="DK326" i="90"/>
  <c r="BU429" i="90" s="1"/>
  <c r="CG308" i="90"/>
  <c r="BO411" i="90" s="1"/>
  <c r="DK308" i="90"/>
  <c r="BU411" i="90" s="1"/>
  <c r="CG264" i="90"/>
  <c r="BO367" i="90" s="1"/>
  <c r="DK264" i="90"/>
  <c r="BU367" i="90" s="1"/>
  <c r="CG237" i="90"/>
  <c r="BO340" i="90" s="1"/>
  <c r="DK237" i="90"/>
  <c r="BU340" i="90" s="1"/>
  <c r="CG271" i="90"/>
  <c r="BO374" i="90" s="1"/>
  <c r="DK271" i="90"/>
  <c r="BU374" i="90" s="1"/>
  <c r="CG309" i="90"/>
  <c r="BO412" i="90" s="1"/>
  <c r="DK309" i="90"/>
  <c r="BU412" i="90" s="1"/>
  <c r="CG236" i="90"/>
  <c r="BO339" i="90" s="1"/>
  <c r="DK236" i="90"/>
  <c r="BU339" i="90" s="1"/>
  <c r="CG279" i="90"/>
  <c r="BO382" i="90" s="1"/>
  <c r="DK279" i="90"/>
  <c r="BU382" i="90" s="1"/>
  <c r="CG289" i="90"/>
  <c r="BO392" i="90" s="1"/>
  <c r="DK289" i="90"/>
  <c r="BU392" i="90" s="1"/>
  <c r="CG276" i="90"/>
  <c r="BO379" i="90" s="1"/>
  <c r="DK276" i="90"/>
  <c r="BU379" i="90" s="1"/>
  <c r="CG239" i="90"/>
  <c r="BO342" i="90" s="1"/>
  <c r="DK239" i="90"/>
  <c r="BU342" i="90" s="1"/>
  <c r="CG261" i="90"/>
  <c r="BO364" i="90" s="1"/>
  <c r="DK261" i="90"/>
  <c r="BU364" i="90" s="1"/>
  <c r="CG290" i="90"/>
  <c r="BO393" i="90" s="1"/>
  <c r="DK290" i="90"/>
  <c r="BU393" i="90" s="1"/>
  <c r="CG249" i="90"/>
  <c r="BO352" i="90" s="1"/>
  <c r="DK249" i="90"/>
  <c r="BU352" i="90" s="1"/>
  <c r="CG232" i="90"/>
  <c r="BO335" i="90" s="1"/>
  <c r="DK232" i="90"/>
  <c r="BU335" i="90" s="1"/>
  <c r="CG313" i="90"/>
  <c r="BO416" i="90" s="1"/>
  <c r="DK313" i="90"/>
  <c r="BU416" i="90" s="1"/>
  <c r="CG312" i="90"/>
  <c r="BO415" i="90" s="1"/>
  <c r="DK312" i="90"/>
  <c r="BU415" i="90" s="1"/>
  <c r="CG265" i="90"/>
  <c r="BO368" i="90" s="1"/>
  <c r="DK265" i="90"/>
  <c r="BU368" i="90" s="1"/>
  <c r="CG238" i="90"/>
  <c r="BO341" i="90" s="1"/>
  <c r="DK238" i="90"/>
  <c r="BU341" i="90" s="1"/>
  <c r="CG233" i="90"/>
  <c r="BO336" i="90" s="1"/>
  <c r="DK233" i="90"/>
  <c r="BU336" i="90" s="1"/>
  <c r="CG282" i="90"/>
  <c r="BO385" i="90" s="1"/>
  <c r="DK282" i="90"/>
  <c r="BU385" i="90" s="1"/>
  <c r="CG280" i="90"/>
  <c r="BO383" i="90" s="1"/>
  <c r="DK280" i="90"/>
  <c r="BU383" i="90" s="1"/>
  <c r="D94" i="89"/>
  <c r="FL4344" i="4"/>
  <c r="R15" i="70"/>
  <c r="FS4344" i="4"/>
  <c r="R18" i="70"/>
  <c r="R11" i="70"/>
  <c r="B314" i="90"/>
  <c r="B417" i="90" s="1"/>
  <c r="V314" i="90"/>
  <c r="F417" i="90" s="1"/>
  <c r="B250" i="90"/>
  <c r="B353" i="90" s="1"/>
  <c r="V250" i="90"/>
  <c r="F353" i="90" s="1"/>
  <c r="B313" i="90"/>
  <c r="B416" i="90" s="1"/>
  <c r="V313" i="90"/>
  <c r="F416" i="90" s="1"/>
  <c r="B284" i="90"/>
  <c r="B387" i="90" s="1"/>
  <c r="V284" i="90"/>
  <c r="F387" i="90" s="1"/>
  <c r="B237" i="90"/>
  <c r="B340" i="90" s="1"/>
  <c r="V237" i="90"/>
  <c r="F340" i="90" s="1"/>
  <c r="B293" i="90"/>
  <c r="B396" i="90" s="1"/>
  <c r="V293" i="90"/>
  <c r="F396" i="90" s="1"/>
  <c r="B273" i="90"/>
  <c r="B376" i="90" s="1"/>
  <c r="V273" i="90"/>
  <c r="F376" i="90" s="1"/>
  <c r="B300" i="90"/>
  <c r="B403" i="90" s="1"/>
  <c r="V300" i="90"/>
  <c r="F403" i="90" s="1"/>
  <c r="B233" i="90"/>
  <c r="B336" i="90" s="1"/>
  <c r="V233" i="90"/>
  <c r="F336" i="90" s="1"/>
  <c r="B239" i="90"/>
  <c r="B342" i="90" s="1"/>
  <c r="V239" i="90"/>
  <c r="F342" i="90" s="1"/>
  <c r="B315" i="90"/>
  <c r="B418" i="90" s="1"/>
  <c r="V315" i="90"/>
  <c r="F418" i="90" s="1"/>
  <c r="B297" i="90"/>
  <c r="B400" i="90" s="1"/>
  <c r="V297" i="90"/>
  <c r="F400" i="90" s="1"/>
  <c r="B244" i="90"/>
  <c r="B347" i="90" s="1"/>
  <c r="V244" i="90"/>
  <c r="F347" i="90" s="1"/>
  <c r="B245" i="90"/>
  <c r="B348" i="90" s="1"/>
  <c r="V245" i="90"/>
  <c r="F348" i="90" s="1"/>
  <c r="B319" i="90"/>
  <c r="B422" i="90" s="1"/>
  <c r="V319" i="90"/>
  <c r="F422" i="90" s="1"/>
  <c r="B307" i="90"/>
  <c r="B410" i="90" s="1"/>
  <c r="V307" i="90"/>
  <c r="F410" i="90" s="1"/>
  <c r="B321" i="90"/>
  <c r="B424" i="90" s="1"/>
  <c r="V321" i="90"/>
  <c r="F424" i="90" s="1"/>
  <c r="B329" i="90"/>
  <c r="B432" i="90" s="1"/>
  <c r="V329" i="90"/>
  <c r="F432" i="90" s="1"/>
  <c r="B290" i="90"/>
  <c r="B393" i="90" s="1"/>
  <c r="V290" i="90"/>
  <c r="F393" i="90" s="1"/>
  <c r="B304" i="90"/>
  <c r="B407" i="90" s="1"/>
  <c r="V304" i="90"/>
  <c r="F407" i="90" s="1"/>
  <c r="B265" i="90"/>
  <c r="B368" i="90" s="1"/>
  <c r="V265" i="90"/>
  <c r="F368" i="90" s="1"/>
  <c r="B248" i="90"/>
  <c r="B351" i="90" s="1"/>
  <c r="V248" i="90"/>
  <c r="F351" i="90" s="1"/>
  <c r="B309" i="90"/>
  <c r="B412" i="90" s="1"/>
  <c r="V309" i="90"/>
  <c r="F412" i="90" s="1"/>
  <c r="B276" i="90"/>
  <c r="B379" i="90" s="1"/>
  <c r="V276" i="90"/>
  <c r="F379" i="90" s="1"/>
  <c r="B289" i="90"/>
  <c r="B392" i="90" s="1"/>
  <c r="V289" i="90"/>
  <c r="F392" i="90" s="1"/>
  <c r="B235" i="90"/>
  <c r="B338" i="90" s="1"/>
  <c r="V235" i="90"/>
  <c r="F338" i="90" s="1"/>
  <c r="B320" i="90"/>
  <c r="B423" i="90" s="1"/>
  <c r="V320" i="90"/>
  <c r="F423" i="90" s="1"/>
  <c r="B240" i="90"/>
  <c r="B343" i="90" s="1"/>
  <c r="V240" i="90"/>
  <c r="F343" i="90" s="1"/>
  <c r="B255" i="90"/>
  <c r="B358" i="90" s="1"/>
  <c r="V255" i="90"/>
  <c r="F358" i="90" s="1"/>
  <c r="B254" i="90"/>
  <c r="B357" i="90" s="1"/>
  <c r="V254" i="90"/>
  <c r="F357" i="90" s="1"/>
  <c r="B238" i="90"/>
  <c r="B341" i="90" s="1"/>
  <c r="V238" i="90"/>
  <c r="F341" i="90" s="1"/>
  <c r="B323" i="90"/>
  <c r="B426" i="90" s="1"/>
  <c r="V323" i="90"/>
  <c r="F426" i="90" s="1"/>
  <c r="B303" i="90"/>
  <c r="B406" i="90" s="1"/>
  <c r="V303" i="90"/>
  <c r="F406" i="90" s="1"/>
  <c r="B251" i="90"/>
  <c r="B354" i="90" s="1"/>
  <c r="V251" i="90"/>
  <c r="F354" i="90" s="1"/>
  <c r="B262" i="90"/>
  <c r="B365" i="90" s="1"/>
  <c r="V262" i="90"/>
  <c r="F365" i="90" s="1"/>
  <c r="B252" i="90"/>
  <c r="B355" i="90" s="1"/>
  <c r="V252" i="90"/>
  <c r="F355" i="90" s="1"/>
  <c r="B243" i="90"/>
  <c r="B346" i="90" s="1"/>
  <c r="V243" i="90"/>
  <c r="F346" i="90" s="1"/>
  <c r="B316" i="90"/>
  <c r="B419" i="90" s="1"/>
  <c r="V316" i="90"/>
  <c r="F419" i="90" s="1"/>
  <c r="B283" i="90"/>
  <c r="B386" i="90" s="1"/>
  <c r="V283" i="90"/>
  <c r="F386" i="90" s="1"/>
  <c r="B247" i="90"/>
  <c r="B350" i="90" s="1"/>
  <c r="V247" i="90"/>
  <c r="F350" i="90" s="1"/>
  <c r="B271" i="90"/>
  <c r="B374" i="90" s="1"/>
  <c r="V271" i="90"/>
  <c r="F374" i="90" s="1"/>
  <c r="B318" i="90"/>
  <c r="B421" i="90" s="1"/>
  <c r="V318" i="90"/>
  <c r="F421" i="90" s="1"/>
  <c r="B232" i="90"/>
  <c r="B335" i="90" s="1"/>
  <c r="V232" i="90"/>
  <c r="F335" i="90" s="1"/>
  <c r="B246" i="90"/>
  <c r="B349" i="90" s="1"/>
  <c r="V246" i="90"/>
  <c r="F349" i="90" s="1"/>
  <c r="B277" i="90"/>
  <c r="B380" i="90" s="1"/>
  <c r="V277" i="90"/>
  <c r="F380" i="90" s="1"/>
  <c r="B292" i="90"/>
  <c r="B395" i="90" s="1"/>
  <c r="V292" i="90"/>
  <c r="F395" i="90" s="1"/>
  <c r="B327" i="90"/>
  <c r="B430" i="90" s="1"/>
  <c r="V327" i="90"/>
  <c r="F430" i="90" s="1"/>
  <c r="B331" i="90"/>
  <c r="B434" i="90" s="1"/>
  <c r="V331" i="90"/>
  <c r="F434" i="90" s="1"/>
  <c r="B312" i="90"/>
  <c r="B415" i="90" s="1"/>
  <c r="V312" i="90"/>
  <c r="F415" i="90" s="1"/>
  <c r="B269" i="90"/>
  <c r="B372" i="90" s="1"/>
  <c r="V269" i="90"/>
  <c r="F372" i="90" s="1"/>
  <c r="B241" i="90"/>
  <c r="B344" i="90" s="1"/>
  <c r="V241" i="90"/>
  <c r="F344" i="90" s="1"/>
  <c r="B257" i="90"/>
  <c r="B360" i="90" s="1"/>
  <c r="V257" i="90"/>
  <c r="F360" i="90" s="1"/>
  <c r="B306" i="90"/>
  <c r="B409" i="90" s="1"/>
  <c r="V306" i="90"/>
  <c r="F409" i="90" s="1"/>
  <c r="B259" i="90"/>
  <c r="B362" i="90" s="1"/>
  <c r="V259" i="90"/>
  <c r="F362" i="90" s="1"/>
  <c r="B258" i="90"/>
  <c r="B361" i="90" s="1"/>
  <c r="V258" i="90"/>
  <c r="F361" i="90" s="1"/>
  <c r="B253" i="90"/>
  <c r="B356" i="90" s="1"/>
  <c r="V253" i="90"/>
  <c r="F356" i="90" s="1"/>
  <c r="B264" i="90"/>
  <c r="B367" i="90" s="1"/>
  <c r="V264" i="90"/>
  <c r="F367" i="90" s="1"/>
  <c r="B287" i="90"/>
  <c r="B390" i="90" s="1"/>
  <c r="V287" i="90"/>
  <c r="F390" i="90" s="1"/>
  <c r="B310" i="90"/>
  <c r="B413" i="90" s="1"/>
  <c r="V310" i="90"/>
  <c r="F413" i="90" s="1"/>
  <c r="B236" i="90"/>
  <c r="B339" i="90" s="1"/>
  <c r="V236" i="90"/>
  <c r="F339" i="90" s="1"/>
  <c r="B282" i="90"/>
  <c r="B385" i="90" s="1"/>
  <c r="V282" i="90"/>
  <c r="F385" i="90" s="1"/>
  <c r="B270" i="90"/>
  <c r="B373" i="90" s="1"/>
  <c r="V270" i="90"/>
  <c r="F373" i="90" s="1"/>
  <c r="B242" i="90"/>
  <c r="B345" i="90" s="1"/>
  <c r="V242" i="90"/>
  <c r="F345" i="90" s="1"/>
  <c r="B288" i="90"/>
  <c r="B391" i="90" s="1"/>
  <c r="V288" i="90"/>
  <c r="F391" i="90" s="1"/>
  <c r="B291" i="90"/>
  <c r="B394" i="90" s="1"/>
  <c r="V291" i="90"/>
  <c r="F394" i="90" s="1"/>
  <c r="B294" i="90"/>
  <c r="B397" i="90" s="1"/>
  <c r="V294" i="90"/>
  <c r="F397" i="90" s="1"/>
  <c r="B322" i="90"/>
  <c r="B425" i="90" s="1"/>
  <c r="V322" i="90"/>
  <c r="F425" i="90" s="1"/>
  <c r="B328" i="90"/>
  <c r="B431" i="90" s="1"/>
  <c r="V328" i="90"/>
  <c r="F431" i="90" s="1"/>
  <c r="B260" i="90"/>
  <c r="B363" i="90" s="1"/>
  <c r="V260" i="90"/>
  <c r="F363" i="90" s="1"/>
  <c r="B279" i="90"/>
  <c r="B382" i="90" s="1"/>
  <c r="V279" i="90"/>
  <c r="F382" i="90" s="1"/>
  <c r="B249" i="90"/>
  <c r="B352" i="90" s="1"/>
  <c r="V249" i="90"/>
  <c r="F352" i="90" s="1"/>
  <c r="B330" i="90"/>
  <c r="B433" i="90" s="1"/>
  <c r="V330" i="90"/>
  <c r="F433" i="90" s="1"/>
  <c r="B301" i="90"/>
  <c r="B404" i="90" s="1"/>
  <c r="V301" i="90"/>
  <c r="F404" i="90" s="1"/>
  <c r="B317" i="90"/>
  <c r="B420" i="90" s="1"/>
  <c r="V317" i="90"/>
  <c r="F420" i="90" s="1"/>
  <c r="B280" i="90"/>
  <c r="B383" i="90" s="1"/>
  <c r="V280" i="90"/>
  <c r="F383" i="90" s="1"/>
  <c r="B261" i="90"/>
  <c r="B364" i="90" s="1"/>
  <c r="V261" i="90"/>
  <c r="F364" i="90" s="1"/>
  <c r="B308" i="90"/>
  <c r="B411" i="90" s="1"/>
  <c r="V308" i="90"/>
  <c r="F411" i="90" s="1"/>
  <c r="B263" i="90"/>
  <c r="B366" i="90" s="1"/>
  <c r="V263" i="90"/>
  <c r="F366" i="90" s="1"/>
  <c r="B286" i="90"/>
  <c r="B389" i="90" s="1"/>
  <c r="V286" i="90"/>
  <c r="F389" i="90" s="1"/>
  <c r="B326" i="90"/>
  <c r="B429" i="90" s="1"/>
  <c r="V326" i="90"/>
  <c r="F429" i="90" s="1"/>
  <c r="B324" i="90"/>
  <c r="B427" i="90" s="1"/>
  <c r="V324" i="90"/>
  <c r="F427" i="90" s="1"/>
  <c r="B267" i="90"/>
  <c r="B370" i="90" s="1"/>
  <c r="V267" i="90"/>
  <c r="F370" i="90" s="1"/>
  <c r="B296" i="90"/>
  <c r="B399" i="90" s="1"/>
  <c r="V296" i="90"/>
  <c r="F399" i="90" s="1"/>
  <c r="B274" i="90"/>
  <c r="B377" i="90" s="1"/>
  <c r="V274" i="90"/>
  <c r="F377" i="90" s="1"/>
  <c r="B256" i="90"/>
  <c r="B359" i="90" s="1"/>
  <c r="V256" i="90"/>
  <c r="F359" i="90" s="1"/>
  <c r="B325" i="90"/>
  <c r="B428" i="90" s="1"/>
  <c r="V325" i="90"/>
  <c r="F428" i="90" s="1"/>
  <c r="B281" i="90"/>
  <c r="B384" i="90" s="1"/>
  <c r="V281" i="90"/>
  <c r="F384" i="90" s="1"/>
  <c r="B275" i="90"/>
  <c r="B378" i="90" s="1"/>
  <c r="V275" i="90"/>
  <c r="F378" i="90" s="1"/>
  <c r="B305" i="90"/>
  <c r="B408" i="90" s="1"/>
  <c r="V305" i="90"/>
  <c r="F408" i="90" s="1"/>
  <c r="B295" i="90"/>
  <c r="B398" i="90" s="1"/>
  <c r="V295" i="90"/>
  <c r="F398" i="90" s="1"/>
  <c r="B311" i="90"/>
  <c r="B414" i="90" s="1"/>
  <c r="V311" i="90"/>
  <c r="F414" i="90" s="1"/>
  <c r="B302" i="90"/>
  <c r="B405" i="90" s="1"/>
  <c r="V302" i="90"/>
  <c r="F405" i="90" s="1"/>
  <c r="B298" i="90"/>
  <c r="B401" i="90" s="1"/>
  <c r="V298" i="90"/>
  <c r="F401" i="90" s="1"/>
  <c r="B272" i="90"/>
  <c r="B375" i="90" s="1"/>
  <c r="V272" i="90"/>
  <c r="F375" i="90" s="1"/>
  <c r="B268" i="90"/>
  <c r="B371" i="90" s="1"/>
  <c r="V268" i="90"/>
  <c r="F371" i="90" s="1"/>
  <c r="B278" i="90"/>
  <c r="B381" i="90" s="1"/>
  <c r="V278" i="90"/>
  <c r="F381" i="90" s="1"/>
  <c r="B234" i="90"/>
  <c r="B337" i="90" s="1"/>
  <c r="V234" i="90"/>
  <c r="F337" i="90" s="1"/>
  <c r="B266" i="90"/>
  <c r="B369" i="90" s="1"/>
  <c r="V266" i="90"/>
  <c r="F369" i="90" s="1"/>
  <c r="B285" i="90"/>
  <c r="B388" i="90" s="1"/>
  <c r="V285" i="90"/>
  <c r="F388" i="90" s="1"/>
  <c r="B299" i="90"/>
  <c r="B402" i="90" s="1"/>
  <c r="V299" i="90"/>
  <c r="F402" i="90" s="1"/>
  <c r="FJ4344" i="4"/>
  <c r="S57" i="70"/>
  <c r="R21" i="70"/>
  <c r="FV4344" i="4"/>
  <c r="S54" i="70"/>
  <c r="R17" i="70"/>
  <c r="C165" i="89"/>
  <c r="C94" i="89"/>
  <c r="L356" i="90"/>
  <c r="L416" i="90"/>
  <c r="DD292" i="90"/>
  <c r="BT395" i="90" s="1"/>
  <c r="CT292" i="90"/>
  <c r="BR395" i="90" s="1"/>
  <c r="CY267" i="90"/>
  <c r="BS370" i="90" s="1"/>
  <c r="CO267" i="90"/>
  <c r="BQ370" i="90" s="1"/>
  <c r="CY298" i="90"/>
  <c r="BS401" i="90" s="1"/>
  <c r="CO298" i="90"/>
  <c r="BQ401" i="90" s="1"/>
  <c r="DD253" i="90"/>
  <c r="BT356" i="90" s="1"/>
  <c r="CT253" i="90"/>
  <c r="BR356" i="90" s="1"/>
  <c r="DD237" i="90"/>
  <c r="BT340" i="90" s="1"/>
  <c r="CT237" i="90"/>
  <c r="BR340" i="90" s="1"/>
  <c r="DD248" i="90"/>
  <c r="BT351" i="90" s="1"/>
  <c r="CT248" i="90"/>
  <c r="BR351" i="90" s="1"/>
  <c r="DD316" i="90"/>
  <c r="BT419" i="90" s="1"/>
  <c r="CT316" i="90"/>
  <c r="BR419" i="90" s="1"/>
  <c r="DD280" i="90"/>
  <c r="BT383" i="90" s="1"/>
  <c r="CT280" i="90"/>
  <c r="BR383" i="90" s="1"/>
  <c r="DD319" i="90"/>
  <c r="BT422" i="90" s="1"/>
  <c r="CT319" i="90"/>
  <c r="BR422" i="90" s="1"/>
  <c r="DD315" i="90"/>
  <c r="BT418" i="90" s="1"/>
  <c r="CT315" i="90"/>
  <c r="BR418" i="90" s="1"/>
  <c r="CY277" i="90"/>
  <c r="BS380" i="90" s="1"/>
  <c r="CO277" i="90"/>
  <c r="BQ380" i="90" s="1"/>
  <c r="CY252" i="90"/>
  <c r="BS355" i="90" s="1"/>
  <c r="CO252" i="90"/>
  <c r="BQ355" i="90" s="1"/>
  <c r="DD322" i="90"/>
  <c r="BT425" i="90" s="1"/>
  <c r="CT322" i="90"/>
  <c r="BR425" i="90" s="1"/>
  <c r="DD240" i="90"/>
  <c r="BT343" i="90" s="1"/>
  <c r="CT240" i="90"/>
  <c r="BR343" i="90" s="1"/>
  <c r="CY293" i="90"/>
  <c r="BS396" i="90" s="1"/>
  <c r="CO293" i="90"/>
  <c r="BQ396" i="90" s="1"/>
  <c r="DD232" i="90"/>
  <c r="BT335" i="90" s="1"/>
  <c r="CT232" i="90"/>
  <c r="BR335" i="90" s="1"/>
  <c r="CY320" i="90"/>
  <c r="BS423" i="90" s="1"/>
  <c r="CO320" i="90"/>
  <c r="BQ423" i="90" s="1"/>
  <c r="CY326" i="90"/>
  <c r="BS429" i="90" s="1"/>
  <c r="CO326" i="90"/>
  <c r="BQ429" i="90" s="1"/>
  <c r="CY265" i="90"/>
  <c r="BS368" i="90" s="1"/>
  <c r="CO265" i="90"/>
  <c r="BQ368" i="90" s="1"/>
  <c r="CY268" i="90"/>
  <c r="BS371" i="90" s="1"/>
  <c r="CO268" i="90"/>
  <c r="BQ371" i="90" s="1"/>
  <c r="CY301" i="90"/>
  <c r="BS404" i="90" s="1"/>
  <c r="CO301" i="90"/>
  <c r="BQ404" i="90" s="1"/>
  <c r="DD264" i="90"/>
  <c r="BT367" i="90" s="1"/>
  <c r="CT264" i="90"/>
  <c r="BR367" i="90" s="1"/>
  <c r="CY250" i="90"/>
  <c r="BS353" i="90" s="1"/>
  <c r="CO250" i="90"/>
  <c r="BQ353" i="90" s="1"/>
  <c r="DD271" i="90"/>
  <c r="BT374" i="90" s="1"/>
  <c r="CT271" i="90"/>
  <c r="BR374" i="90" s="1"/>
  <c r="CY257" i="90"/>
  <c r="BS360" i="90" s="1"/>
  <c r="CO257" i="90"/>
  <c r="BQ360" i="90" s="1"/>
  <c r="DD246" i="90"/>
  <c r="BT349" i="90" s="1"/>
  <c r="CT246" i="90"/>
  <c r="BR349" i="90" s="1"/>
  <c r="DD245" i="90"/>
  <c r="BT348" i="90" s="1"/>
  <c r="CT245" i="90"/>
  <c r="BR348" i="90" s="1"/>
  <c r="DD244" i="90"/>
  <c r="BT347" i="90" s="1"/>
  <c r="CT244" i="90"/>
  <c r="BR347" i="90" s="1"/>
  <c r="DD256" i="90"/>
  <c r="BT359" i="90" s="1"/>
  <c r="CT256" i="90"/>
  <c r="BR359" i="90" s="1"/>
  <c r="DD307" i="90"/>
  <c r="BT410" i="90" s="1"/>
  <c r="CT307" i="90"/>
  <c r="BR410" i="90" s="1"/>
  <c r="CY327" i="90"/>
  <c r="BS430" i="90" s="1"/>
  <c r="CO327" i="90"/>
  <c r="BQ430" i="90" s="1"/>
  <c r="CY331" i="90"/>
  <c r="BS434" i="90" s="1"/>
  <c r="CO331" i="90"/>
  <c r="BQ434" i="90" s="1"/>
  <c r="DD267" i="90"/>
  <c r="BT370" i="90" s="1"/>
  <c r="CT267" i="90"/>
  <c r="BR370" i="90" s="1"/>
  <c r="DD298" i="90"/>
  <c r="BT401" i="90" s="1"/>
  <c r="CT298" i="90"/>
  <c r="BR401" i="90" s="1"/>
  <c r="CY253" i="90"/>
  <c r="BS356" i="90" s="1"/>
  <c r="CO253" i="90"/>
  <c r="BQ356" i="90" s="1"/>
  <c r="DD288" i="90"/>
  <c r="BT391" i="90" s="1"/>
  <c r="CT288" i="90"/>
  <c r="BR391" i="90" s="1"/>
  <c r="CY237" i="90"/>
  <c r="BS340" i="90" s="1"/>
  <c r="CO237" i="90"/>
  <c r="BQ340" i="90" s="1"/>
  <c r="CY294" i="90"/>
  <c r="BS397" i="90" s="1"/>
  <c r="CO294" i="90"/>
  <c r="BQ397" i="90" s="1"/>
  <c r="CY319" i="90"/>
  <c r="BS422" i="90" s="1"/>
  <c r="CO319" i="90"/>
  <c r="BQ422" i="90" s="1"/>
  <c r="CY315" i="90"/>
  <c r="BS418" i="90" s="1"/>
  <c r="CO315" i="90"/>
  <c r="BQ418" i="90" s="1"/>
  <c r="DD277" i="90"/>
  <c r="BT380" i="90" s="1"/>
  <c r="CT277" i="90"/>
  <c r="BR380" i="90" s="1"/>
  <c r="DD252" i="90"/>
  <c r="BT355" i="90" s="1"/>
  <c r="CT252" i="90"/>
  <c r="BR355" i="90" s="1"/>
  <c r="CY240" i="90"/>
  <c r="BS343" i="90" s="1"/>
  <c r="CO240" i="90"/>
  <c r="BQ343" i="90" s="1"/>
  <c r="DD293" i="90"/>
  <c r="BT396" i="90" s="1"/>
  <c r="CT293" i="90"/>
  <c r="BR396" i="90" s="1"/>
  <c r="CY232" i="90"/>
  <c r="BS335" i="90" s="1"/>
  <c r="CO232" i="90"/>
  <c r="BQ335" i="90" s="1"/>
  <c r="DD320" i="90"/>
  <c r="BT423" i="90" s="1"/>
  <c r="CT320" i="90"/>
  <c r="BR423" i="90" s="1"/>
  <c r="CY313" i="90"/>
  <c r="BS416" i="90" s="1"/>
  <c r="CO313" i="90"/>
  <c r="BQ416" i="90" s="1"/>
  <c r="DD326" i="90"/>
  <c r="BT429" i="90" s="1"/>
  <c r="CT326" i="90"/>
  <c r="BR429" i="90" s="1"/>
  <c r="DD328" i="90"/>
  <c r="BT431" i="90" s="1"/>
  <c r="CT328" i="90"/>
  <c r="BR431" i="90" s="1"/>
  <c r="CY312" i="90"/>
  <c r="BS415" i="90" s="1"/>
  <c r="CO312" i="90"/>
  <c r="BQ415" i="90" s="1"/>
  <c r="DD265" i="90"/>
  <c r="BT368" i="90" s="1"/>
  <c r="CT265" i="90"/>
  <c r="BR368" i="90" s="1"/>
  <c r="DD301" i="90"/>
  <c r="BT404" i="90" s="1"/>
  <c r="CT301" i="90"/>
  <c r="BR404" i="90" s="1"/>
  <c r="CY264" i="90"/>
  <c r="BS367" i="90" s="1"/>
  <c r="CO264" i="90"/>
  <c r="BQ367" i="90" s="1"/>
  <c r="CY271" i="90"/>
  <c r="BS374" i="90" s="1"/>
  <c r="CO271" i="90"/>
  <c r="BQ374" i="90" s="1"/>
  <c r="DD257" i="90"/>
  <c r="BT360" i="90" s="1"/>
  <c r="CT257" i="90"/>
  <c r="BR360" i="90" s="1"/>
  <c r="CY246" i="90"/>
  <c r="BS349" i="90" s="1"/>
  <c r="CO246" i="90"/>
  <c r="BQ349" i="90" s="1"/>
  <c r="CY245" i="90"/>
  <c r="BS348" i="90" s="1"/>
  <c r="CO245" i="90"/>
  <c r="BQ348" i="90" s="1"/>
  <c r="DD304" i="90"/>
  <c r="BT407" i="90" s="1"/>
  <c r="CT304" i="90"/>
  <c r="BR407" i="90" s="1"/>
  <c r="CY307" i="90"/>
  <c r="BS410" i="90" s="1"/>
  <c r="CO307" i="90"/>
  <c r="BQ410" i="90" s="1"/>
  <c r="DD327" i="90"/>
  <c r="BT430" i="90" s="1"/>
  <c r="CT327" i="90"/>
  <c r="BR430" i="90" s="1"/>
  <c r="DD331" i="90"/>
  <c r="BT434" i="90" s="1"/>
  <c r="CT331" i="90"/>
  <c r="BR434" i="90" s="1"/>
  <c r="CY239" i="90"/>
  <c r="BS342" i="90" s="1"/>
  <c r="CO239" i="90"/>
  <c r="BQ342" i="90" s="1"/>
  <c r="CY329" i="90"/>
  <c r="BS432" i="90" s="1"/>
  <c r="CO329" i="90"/>
  <c r="BQ432" i="90" s="1"/>
  <c r="CY288" i="90"/>
  <c r="BS391" i="90" s="1"/>
  <c r="CO288" i="90"/>
  <c r="BQ391" i="90" s="1"/>
  <c r="DD294" i="90"/>
  <c r="BT397" i="90" s="1"/>
  <c r="CT294" i="90"/>
  <c r="BR397" i="90" s="1"/>
  <c r="CY266" i="90"/>
  <c r="BS369" i="90" s="1"/>
  <c r="CO266" i="90"/>
  <c r="BQ369" i="90" s="1"/>
  <c r="CY262" i="90"/>
  <c r="BS365" i="90" s="1"/>
  <c r="CO262" i="90"/>
  <c r="BQ365" i="90" s="1"/>
  <c r="CY284" i="90"/>
  <c r="BS387" i="90" s="1"/>
  <c r="CO284" i="90"/>
  <c r="BQ387" i="90" s="1"/>
  <c r="DD249" i="90"/>
  <c r="BT352" i="90" s="1"/>
  <c r="CT249" i="90"/>
  <c r="BR352" i="90" s="1"/>
  <c r="DD270" i="90"/>
  <c r="BT373" i="90" s="1"/>
  <c r="CT270" i="90"/>
  <c r="BR373" i="90" s="1"/>
  <c r="DD313" i="90"/>
  <c r="BT416" i="90" s="1"/>
  <c r="CT313" i="90"/>
  <c r="BR416" i="90" s="1"/>
  <c r="CY328" i="90"/>
  <c r="BS431" i="90" s="1"/>
  <c r="CO328" i="90"/>
  <c r="BQ431" i="90" s="1"/>
  <c r="CY295" i="90"/>
  <c r="BS398" i="90" s="1"/>
  <c r="CO295" i="90"/>
  <c r="BQ398" i="90" s="1"/>
  <c r="CY285" i="90"/>
  <c r="BS388" i="90" s="1"/>
  <c r="CO285" i="90"/>
  <c r="BQ388" i="90" s="1"/>
  <c r="DD312" i="90"/>
  <c r="BT415" i="90" s="1"/>
  <c r="CT312" i="90"/>
  <c r="BR415" i="90" s="1"/>
  <c r="DD323" i="90"/>
  <c r="BT426" i="90" s="1"/>
  <c r="CT323" i="90"/>
  <c r="BR426" i="90" s="1"/>
  <c r="DD274" i="90"/>
  <c r="BT377" i="90" s="1"/>
  <c r="CT274" i="90"/>
  <c r="BR377" i="90" s="1"/>
  <c r="CY311" i="90"/>
  <c r="BS414" i="90" s="1"/>
  <c r="CO311" i="90"/>
  <c r="BQ414" i="90" s="1"/>
  <c r="CY243" i="90"/>
  <c r="BS346" i="90" s="1"/>
  <c r="CO243" i="90"/>
  <c r="BQ346" i="90" s="1"/>
  <c r="CY273" i="90"/>
  <c r="BS376" i="90" s="1"/>
  <c r="CO273" i="90"/>
  <c r="BQ376" i="90" s="1"/>
  <c r="CY304" i="90"/>
  <c r="BS407" i="90" s="1"/>
  <c r="CO304" i="90"/>
  <c r="BQ407" i="90" s="1"/>
  <c r="DD234" i="90"/>
  <c r="BT337" i="90" s="1"/>
  <c r="CT234" i="90"/>
  <c r="BR337" i="90" s="1"/>
  <c r="DD239" i="90"/>
  <c r="BT342" i="90" s="1"/>
  <c r="CT239" i="90"/>
  <c r="BR342" i="90" s="1"/>
  <c r="DD329" i="90"/>
  <c r="BT432" i="90" s="1"/>
  <c r="CT329" i="90"/>
  <c r="BR432" i="90" s="1"/>
  <c r="DD266" i="90"/>
  <c r="BT369" i="90" s="1"/>
  <c r="CT266" i="90"/>
  <c r="BR369" i="90" s="1"/>
  <c r="DD262" i="90"/>
  <c r="BT365" i="90" s="1"/>
  <c r="CT262" i="90"/>
  <c r="BR365" i="90" s="1"/>
  <c r="DD260" i="90"/>
  <c r="BT363" i="90" s="1"/>
  <c r="CT260" i="90"/>
  <c r="BR363" i="90" s="1"/>
  <c r="DD284" i="90"/>
  <c r="BT387" i="90" s="1"/>
  <c r="CT284" i="90"/>
  <c r="BR387" i="90" s="1"/>
  <c r="CY249" i="90"/>
  <c r="BS352" i="90" s="1"/>
  <c r="CO249" i="90"/>
  <c r="BQ352" i="90" s="1"/>
  <c r="CY270" i="90"/>
  <c r="BS373" i="90" s="1"/>
  <c r="CO270" i="90"/>
  <c r="BQ373" i="90" s="1"/>
  <c r="DD269" i="90"/>
  <c r="BT372" i="90" s="1"/>
  <c r="CT269" i="90"/>
  <c r="BR372" i="90" s="1"/>
  <c r="DD263" i="90"/>
  <c r="BT366" i="90" s="1"/>
  <c r="CT263" i="90"/>
  <c r="BR366" i="90" s="1"/>
  <c r="DD295" i="90"/>
  <c r="BT398" i="90" s="1"/>
  <c r="CT295" i="90"/>
  <c r="BR398" i="90" s="1"/>
  <c r="DD285" i="90"/>
  <c r="BT388" i="90" s="1"/>
  <c r="CT285" i="90"/>
  <c r="BR388" i="90" s="1"/>
  <c r="CY241" i="90"/>
  <c r="BS344" i="90" s="1"/>
  <c r="CO241" i="90"/>
  <c r="BQ344" i="90" s="1"/>
  <c r="CY297" i="90"/>
  <c r="BS400" i="90" s="1"/>
  <c r="CO297" i="90"/>
  <c r="BQ400" i="90" s="1"/>
  <c r="CY323" i="90"/>
  <c r="BS426" i="90" s="1"/>
  <c r="CO323" i="90"/>
  <c r="BQ426" i="90" s="1"/>
  <c r="CY274" i="90"/>
  <c r="BS377" i="90" s="1"/>
  <c r="CO274" i="90"/>
  <c r="BQ377" i="90" s="1"/>
  <c r="DD311" i="90"/>
  <c r="BT414" i="90" s="1"/>
  <c r="CT311" i="90"/>
  <c r="BR414" i="90" s="1"/>
  <c r="CY309" i="90"/>
  <c r="BS412" i="90" s="1"/>
  <c r="CO309" i="90"/>
  <c r="BQ412" i="90" s="1"/>
  <c r="CY287" i="90"/>
  <c r="BS390" i="90" s="1"/>
  <c r="CO287" i="90"/>
  <c r="BQ390" i="90" s="1"/>
  <c r="DD243" i="90"/>
  <c r="BT346" i="90" s="1"/>
  <c r="CT243" i="90"/>
  <c r="BR346" i="90" s="1"/>
  <c r="CY279" i="90"/>
  <c r="BS382" i="90" s="1"/>
  <c r="CO279" i="90"/>
  <c r="BQ382" i="90" s="1"/>
  <c r="CY289" i="90"/>
  <c r="BS392" i="90" s="1"/>
  <c r="CO289" i="90"/>
  <c r="BQ392" i="90" s="1"/>
  <c r="DD273" i="90"/>
  <c r="BT376" i="90" s="1"/>
  <c r="CT273" i="90"/>
  <c r="BR376" i="90" s="1"/>
  <c r="DD318" i="90"/>
  <c r="BT421" i="90" s="1"/>
  <c r="CT318" i="90"/>
  <c r="BR421" i="90" s="1"/>
  <c r="CY234" i="90"/>
  <c r="BS337" i="90" s="1"/>
  <c r="CO234" i="90"/>
  <c r="BQ337" i="90" s="1"/>
  <c r="DD296" i="90"/>
  <c r="BT399" i="90" s="1"/>
  <c r="CT296" i="90"/>
  <c r="BR399" i="90" s="1"/>
  <c r="CY236" i="90"/>
  <c r="BS339" i="90" s="1"/>
  <c r="CO236" i="90"/>
  <c r="BQ339" i="90" s="1"/>
  <c r="DD286" i="90"/>
  <c r="BT389" i="90" s="1"/>
  <c r="CT286" i="90"/>
  <c r="BR389" i="90" s="1"/>
  <c r="DD290" i="90"/>
  <c r="BT393" i="90" s="1"/>
  <c r="CT290" i="90"/>
  <c r="BR393" i="90" s="1"/>
  <c r="DD299" i="90"/>
  <c r="BT402" i="90" s="1"/>
  <c r="CT299" i="90"/>
  <c r="BR402" i="90" s="1"/>
  <c r="CY260" i="90"/>
  <c r="BS363" i="90" s="1"/>
  <c r="CO260" i="90"/>
  <c r="BQ363" i="90" s="1"/>
  <c r="DD314" i="90"/>
  <c r="BT417" i="90" s="1"/>
  <c r="CT314" i="90"/>
  <c r="BR417" i="90" s="1"/>
  <c r="CY321" i="90"/>
  <c r="BS424" i="90" s="1"/>
  <c r="CO321" i="90"/>
  <c r="BQ424" i="90" s="1"/>
  <c r="CY269" i="90"/>
  <c r="BS372" i="90" s="1"/>
  <c r="CO269" i="90"/>
  <c r="BQ372" i="90" s="1"/>
  <c r="CY242" i="90"/>
  <c r="BS345" i="90" s="1"/>
  <c r="CO242" i="90"/>
  <c r="BQ345" i="90" s="1"/>
  <c r="DD275" i="90"/>
  <c r="BT378" i="90" s="1"/>
  <c r="CT275" i="90"/>
  <c r="BR378" i="90" s="1"/>
  <c r="DD278" i="90"/>
  <c r="BT381" i="90" s="1"/>
  <c r="CT278" i="90"/>
  <c r="BR381" i="90" s="1"/>
  <c r="CY254" i="90"/>
  <c r="BS357" i="90" s="1"/>
  <c r="CO254" i="90"/>
  <c r="BQ357" i="90" s="1"/>
  <c r="CY263" i="90"/>
  <c r="BS366" i="90" s="1"/>
  <c r="CO263" i="90"/>
  <c r="BQ366" i="90" s="1"/>
  <c r="DD325" i="90"/>
  <c r="BT428" i="90" s="1"/>
  <c r="CT325" i="90"/>
  <c r="BR428" i="90" s="1"/>
  <c r="DD241" i="90"/>
  <c r="BT344" i="90" s="1"/>
  <c r="CT241" i="90"/>
  <c r="BR344" i="90" s="1"/>
  <c r="DD297" i="90"/>
  <c r="BT400" i="90" s="1"/>
  <c r="CT297" i="90"/>
  <c r="BR400" i="90" s="1"/>
  <c r="CY291" i="90"/>
  <c r="BS394" i="90" s="1"/>
  <c r="CO291" i="90"/>
  <c r="BQ394" i="90" s="1"/>
  <c r="DD309" i="90"/>
  <c r="BT412" i="90" s="1"/>
  <c r="CT309" i="90"/>
  <c r="BR412" i="90" s="1"/>
  <c r="DD287" i="90"/>
  <c r="BT390" i="90" s="1"/>
  <c r="CT287" i="90"/>
  <c r="BR390" i="90" s="1"/>
  <c r="DD281" i="90"/>
  <c r="BT384" i="90" s="1"/>
  <c r="CT281" i="90"/>
  <c r="BR384" i="90" s="1"/>
  <c r="DD279" i="90"/>
  <c r="BT382" i="90" s="1"/>
  <c r="CT279" i="90"/>
  <c r="BR382" i="90" s="1"/>
  <c r="DD289" i="90"/>
  <c r="BT392" i="90" s="1"/>
  <c r="CT289" i="90"/>
  <c r="BR392" i="90" s="1"/>
  <c r="CY318" i="90"/>
  <c r="BS421" i="90" s="1"/>
  <c r="CO318" i="90"/>
  <c r="BQ421" i="90" s="1"/>
  <c r="CY247" i="90"/>
  <c r="BS350" i="90" s="1"/>
  <c r="CO247" i="90"/>
  <c r="BQ350" i="90" s="1"/>
  <c r="CY296" i="90"/>
  <c r="BS399" i="90" s="1"/>
  <c r="CO296" i="90"/>
  <c r="BQ399" i="90" s="1"/>
  <c r="CY317" i="90"/>
  <c r="BS420" i="90" s="1"/>
  <c r="CO317" i="90"/>
  <c r="BQ420" i="90" s="1"/>
  <c r="DD236" i="90"/>
  <c r="BT339" i="90" s="1"/>
  <c r="CT236" i="90"/>
  <c r="BR339" i="90" s="1"/>
  <c r="DD261" i="90"/>
  <c r="BT364" i="90" s="1"/>
  <c r="CT261" i="90"/>
  <c r="BR364" i="90" s="1"/>
  <c r="CY330" i="90"/>
  <c r="BS433" i="90" s="1"/>
  <c r="CO330" i="90"/>
  <c r="BQ433" i="90" s="1"/>
  <c r="CY286" i="90"/>
  <c r="BS389" i="90" s="1"/>
  <c r="CO286" i="90"/>
  <c r="BQ389" i="90" s="1"/>
  <c r="CY290" i="90"/>
  <c r="BS393" i="90" s="1"/>
  <c r="CO290" i="90"/>
  <c r="BQ393" i="90" s="1"/>
  <c r="CY299" i="90"/>
  <c r="BS402" i="90" s="1"/>
  <c r="CO299" i="90"/>
  <c r="BQ402" i="90" s="1"/>
  <c r="CY314" i="90"/>
  <c r="BS417" i="90" s="1"/>
  <c r="CO314" i="90"/>
  <c r="BQ417" i="90" s="1"/>
  <c r="DD321" i="90"/>
  <c r="BT424" i="90" s="1"/>
  <c r="CT321" i="90"/>
  <c r="BR424" i="90" s="1"/>
  <c r="DD242" i="90"/>
  <c r="BT345" i="90" s="1"/>
  <c r="CT242" i="90"/>
  <c r="BR345" i="90" s="1"/>
  <c r="CY275" i="90"/>
  <c r="BS378" i="90" s="1"/>
  <c r="CO275" i="90"/>
  <c r="BQ378" i="90" s="1"/>
  <c r="CY278" i="90"/>
  <c r="BS381" i="90" s="1"/>
  <c r="CO278" i="90"/>
  <c r="BQ381" i="90" s="1"/>
  <c r="DD254" i="90"/>
  <c r="BT357" i="90" s="1"/>
  <c r="CT254" i="90"/>
  <c r="BR357" i="90" s="1"/>
  <c r="DD308" i="90"/>
  <c r="BT411" i="90" s="1"/>
  <c r="CT308" i="90"/>
  <c r="BR411" i="90" s="1"/>
  <c r="CY325" i="90"/>
  <c r="BS428" i="90" s="1"/>
  <c r="CO325" i="90"/>
  <c r="BQ428" i="90" s="1"/>
  <c r="CY283" i="90"/>
  <c r="BS386" i="90" s="1"/>
  <c r="CO283" i="90"/>
  <c r="BQ386" i="90" s="1"/>
  <c r="DD291" i="90"/>
  <c r="BT394" i="90" s="1"/>
  <c r="CT291" i="90"/>
  <c r="BR394" i="90" s="1"/>
  <c r="CY281" i="90"/>
  <c r="BS384" i="90" s="1"/>
  <c r="CO281" i="90"/>
  <c r="BQ384" i="90" s="1"/>
  <c r="CY238" i="90"/>
  <c r="BS341" i="90" s="1"/>
  <c r="CO238" i="90"/>
  <c r="BQ341" i="90" s="1"/>
  <c r="DD276" i="90"/>
  <c r="BT379" i="90" s="1"/>
  <c r="CT276" i="90"/>
  <c r="BR379" i="90" s="1"/>
  <c r="DD282" i="90"/>
  <c r="BT385" i="90" s="1"/>
  <c r="CT282" i="90"/>
  <c r="BR385" i="90" s="1"/>
  <c r="DD247" i="90"/>
  <c r="BT350" i="90" s="1"/>
  <c r="CT247" i="90"/>
  <c r="BR350" i="90" s="1"/>
  <c r="DD255" i="90"/>
  <c r="BT358" i="90" s="1"/>
  <c r="CT255" i="90"/>
  <c r="BR358" i="90" s="1"/>
  <c r="DD310" i="90"/>
  <c r="BT413" i="90" s="1"/>
  <c r="CT310" i="90"/>
  <c r="BR413" i="90" s="1"/>
  <c r="DD317" i="90"/>
  <c r="BT420" i="90" s="1"/>
  <c r="CT317" i="90"/>
  <c r="BR420" i="90" s="1"/>
  <c r="CY261" i="90"/>
  <c r="BS364" i="90" s="1"/>
  <c r="CO261" i="90"/>
  <c r="BQ364" i="90" s="1"/>
  <c r="DD272" i="90"/>
  <c r="BT375" i="90" s="1"/>
  <c r="CT272" i="90"/>
  <c r="BR375" i="90" s="1"/>
  <c r="DD330" i="90"/>
  <c r="BT433" i="90" s="1"/>
  <c r="CT330" i="90"/>
  <c r="BR433" i="90" s="1"/>
  <c r="DD259" i="90"/>
  <c r="BT362" i="90" s="1"/>
  <c r="CT259" i="90"/>
  <c r="BR362" i="90" s="1"/>
  <c r="DD258" i="90"/>
  <c r="BT361" i="90" s="1"/>
  <c r="CT258" i="90"/>
  <c r="BR361" i="90" s="1"/>
  <c r="CY251" i="90"/>
  <c r="BS354" i="90" s="1"/>
  <c r="CO251" i="90"/>
  <c r="BQ354" i="90" s="1"/>
  <c r="DD300" i="90"/>
  <c r="BT403" i="90" s="1"/>
  <c r="CT300" i="90"/>
  <c r="BR403" i="90" s="1"/>
  <c r="DD303" i="90"/>
  <c r="BT406" i="90" s="1"/>
  <c r="CT303" i="90"/>
  <c r="BR406" i="90" s="1"/>
  <c r="DD235" i="90"/>
  <c r="BT338" i="90" s="1"/>
  <c r="CT235" i="90"/>
  <c r="BR338" i="90" s="1"/>
  <c r="CY308" i="90"/>
  <c r="BS411" i="90" s="1"/>
  <c r="CO308" i="90"/>
  <c r="BQ411" i="90" s="1"/>
  <c r="DD283" i="90"/>
  <c r="BT386" i="90" s="1"/>
  <c r="CT283" i="90"/>
  <c r="BR386" i="90" s="1"/>
  <c r="CY305" i="90"/>
  <c r="BS408" i="90" s="1"/>
  <c r="CO305" i="90"/>
  <c r="BQ408" i="90" s="1"/>
  <c r="CY306" i="90"/>
  <c r="BS409" i="90" s="1"/>
  <c r="CO306" i="90"/>
  <c r="BQ409" i="90" s="1"/>
  <c r="DD238" i="90"/>
  <c r="BT341" i="90" s="1"/>
  <c r="CT238" i="90"/>
  <c r="BR341" i="90" s="1"/>
  <c r="DD324" i="90"/>
  <c r="BT427" i="90" s="1"/>
  <c r="CT324" i="90"/>
  <c r="BR427" i="90" s="1"/>
  <c r="CY302" i="90"/>
  <c r="BS405" i="90" s="1"/>
  <c r="CO302" i="90"/>
  <c r="BQ405" i="90" s="1"/>
  <c r="CY233" i="90"/>
  <c r="BS336" i="90" s="1"/>
  <c r="CO233" i="90"/>
  <c r="BQ336" i="90" s="1"/>
  <c r="CY276" i="90"/>
  <c r="BS379" i="90" s="1"/>
  <c r="CO276" i="90"/>
  <c r="BQ379" i="90" s="1"/>
  <c r="CY282" i="90"/>
  <c r="BS385" i="90" s="1"/>
  <c r="CO282" i="90"/>
  <c r="BQ385" i="90" s="1"/>
  <c r="CY292" i="90"/>
  <c r="BS395" i="90" s="1"/>
  <c r="CO292" i="90"/>
  <c r="BQ395" i="90" s="1"/>
  <c r="CY255" i="90"/>
  <c r="BS358" i="90" s="1"/>
  <c r="CO255" i="90"/>
  <c r="BQ358" i="90" s="1"/>
  <c r="CY310" i="90"/>
  <c r="BS413" i="90" s="1"/>
  <c r="CO310" i="90"/>
  <c r="BQ413" i="90" s="1"/>
  <c r="CY248" i="90"/>
  <c r="BS351" i="90" s="1"/>
  <c r="CO248" i="90"/>
  <c r="BQ351" i="90" s="1"/>
  <c r="CY316" i="90"/>
  <c r="BS419" i="90" s="1"/>
  <c r="CO316" i="90"/>
  <c r="BQ419" i="90" s="1"/>
  <c r="CY280" i="90"/>
  <c r="BS383" i="90" s="1"/>
  <c r="CO280" i="90"/>
  <c r="BQ383" i="90" s="1"/>
  <c r="CY272" i="90"/>
  <c r="BS375" i="90" s="1"/>
  <c r="CO272" i="90"/>
  <c r="BQ375" i="90" s="1"/>
  <c r="CY322" i="90"/>
  <c r="BS425" i="90" s="1"/>
  <c r="CO322" i="90"/>
  <c r="BQ425" i="90" s="1"/>
  <c r="CY259" i="90"/>
  <c r="BS362" i="90" s="1"/>
  <c r="CO259" i="90"/>
  <c r="BQ362" i="90" s="1"/>
  <c r="CY258" i="90"/>
  <c r="BS361" i="90" s="1"/>
  <c r="CO258" i="90"/>
  <c r="BQ361" i="90" s="1"/>
  <c r="DD251" i="90"/>
  <c r="BT354" i="90" s="1"/>
  <c r="CT251" i="90"/>
  <c r="BR354" i="90" s="1"/>
  <c r="CY300" i="90"/>
  <c r="BS403" i="90" s="1"/>
  <c r="CO300" i="90"/>
  <c r="BQ403" i="90" s="1"/>
  <c r="CY303" i="90"/>
  <c r="BS406" i="90" s="1"/>
  <c r="CO303" i="90"/>
  <c r="BQ406" i="90" s="1"/>
  <c r="CY235" i="90"/>
  <c r="BS338" i="90" s="1"/>
  <c r="CO235" i="90"/>
  <c r="BQ338" i="90" s="1"/>
  <c r="DD268" i="90"/>
  <c r="BT371" i="90" s="1"/>
  <c r="CT268" i="90"/>
  <c r="BR371" i="90" s="1"/>
  <c r="DD250" i="90"/>
  <c r="BT353" i="90" s="1"/>
  <c r="CT250" i="90"/>
  <c r="BR353" i="90" s="1"/>
  <c r="DD305" i="90"/>
  <c r="BT408" i="90" s="1"/>
  <c r="CT305" i="90"/>
  <c r="BR408" i="90" s="1"/>
  <c r="DD306" i="90"/>
  <c r="BT409" i="90" s="1"/>
  <c r="CT306" i="90"/>
  <c r="BR409" i="90" s="1"/>
  <c r="CY244" i="90"/>
  <c r="BS347" i="90" s="1"/>
  <c r="CO244" i="90"/>
  <c r="BQ347" i="90" s="1"/>
  <c r="CY324" i="90"/>
  <c r="BS427" i="90" s="1"/>
  <c r="CO324" i="90"/>
  <c r="BQ427" i="90" s="1"/>
  <c r="DD302" i="90"/>
  <c r="BT405" i="90" s="1"/>
  <c r="CT302" i="90"/>
  <c r="BR405" i="90" s="1"/>
  <c r="CY256" i="90"/>
  <c r="BS359" i="90" s="1"/>
  <c r="CO256" i="90"/>
  <c r="BQ359" i="90" s="1"/>
  <c r="DD233" i="90"/>
  <c r="BT336" i="90" s="1"/>
  <c r="CT233" i="90"/>
  <c r="BR336" i="90" s="1"/>
  <c r="M434" i="90"/>
  <c r="M413" i="90"/>
  <c r="L349" i="90"/>
  <c r="L418" i="90"/>
  <c r="M412" i="90"/>
  <c r="M431" i="90"/>
  <c r="L350" i="90"/>
  <c r="M377" i="90"/>
  <c r="M371" i="90"/>
  <c r="L338" i="90"/>
  <c r="M346" i="90"/>
  <c r="M424" i="90"/>
  <c r="L413" i="90"/>
  <c r="M349" i="90"/>
  <c r="L368" i="90"/>
  <c r="L351" i="90"/>
  <c r="L401" i="90"/>
  <c r="L375" i="90"/>
  <c r="L337" i="90"/>
  <c r="L365" i="90"/>
  <c r="L423" i="90"/>
  <c r="L395" i="90"/>
  <c r="L381" i="90"/>
  <c r="M398" i="90"/>
  <c r="L382" i="90"/>
  <c r="L421" i="90"/>
  <c r="M405" i="90"/>
  <c r="L339" i="90"/>
  <c r="L380" i="90"/>
  <c r="L430" i="90"/>
  <c r="L367" i="90"/>
  <c r="M382" i="90"/>
  <c r="M421" i="90"/>
  <c r="L377" i="90"/>
  <c r="M430" i="90"/>
  <c r="M379" i="90"/>
  <c r="L405" i="90"/>
  <c r="M420" i="90"/>
  <c r="M385" i="90"/>
  <c r="M383" i="90"/>
  <c r="M404" i="90"/>
  <c r="M358" i="90"/>
  <c r="M340" i="90"/>
  <c r="M416" i="90"/>
  <c r="L376" i="90"/>
  <c r="L387" i="90"/>
  <c r="L414" i="90"/>
  <c r="L403" i="90"/>
  <c r="L336" i="90"/>
  <c r="M432" i="90"/>
  <c r="L363" i="90"/>
  <c r="L428" i="90"/>
  <c r="M339" i="90"/>
  <c r="M380" i="90"/>
  <c r="L386" i="90"/>
  <c r="L409" i="90"/>
  <c r="M399" i="90"/>
  <c r="M390" i="90"/>
  <c r="M335" i="90"/>
  <c r="M407" i="90"/>
  <c r="L420" i="90"/>
  <c r="L385" i="90"/>
  <c r="L371" i="90"/>
  <c r="L383" i="90"/>
  <c r="L353" i="90"/>
  <c r="M357" i="90"/>
  <c r="M341" i="90"/>
  <c r="M372" i="90"/>
  <c r="M348" i="90"/>
  <c r="L429" i="90"/>
  <c r="M343" i="90"/>
  <c r="L370" i="90"/>
  <c r="M414" i="90"/>
  <c r="M345" i="90"/>
  <c r="L340" i="90"/>
  <c r="M403" i="90"/>
  <c r="L431" i="90"/>
  <c r="L362" i="90"/>
  <c r="M428" i="90"/>
  <c r="M418" i="90"/>
  <c r="L412" i="90"/>
  <c r="L432" i="90"/>
  <c r="M376" i="90"/>
  <c r="L342" i="90"/>
  <c r="M365" i="90"/>
  <c r="L343" i="90"/>
  <c r="L427" i="90"/>
  <c r="L361" i="90"/>
  <c r="L415" i="90"/>
  <c r="L388" i="90"/>
  <c r="L390" i="90"/>
  <c r="L335" i="90"/>
  <c r="L407" i="90"/>
  <c r="M368" i="90"/>
  <c r="M351" i="90"/>
  <c r="M401" i="90"/>
  <c r="M375" i="90"/>
  <c r="M337" i="90"/>
  <c r="M410" i="90"/>
  <c r="L424" i="90"/>
  <c r="L396" i="90"/>
  <c r="L433" i="90"/>
  <c r="L345" i="90"/>
  <c r="L426" i="90"/>
  <c r="L397" i="90"/>
  <c r="L384" i="90"/>
  <c r="M353" i="90"/>
  <c r="FR2" i="4"/>
  <c r="M378" i="90"/>
  <c r="M393" i="90"/>
  <c r="L373" i="90"/>
  <c r="L434" i="90"/>
  <c r="L408" i="90"/>
  <c r="M396" i="90"/>
  <c r="M363" i="90"/>
  <c r="L419" i="90"/>
  <c r="M367" i="90"/>
  <c r="M386" i="90"/>
  <c r="M359" i="90"/>
  <c r="L374" i="90"/>
  <c r="L352" i="90"/>
  <c r="FV13" i="4"/>
  <c r="FO107" i="4"/>
  <c r="NQ60" i="4"/>
  <c r="FU16" i="4"/>
  <c r="GF76" i="4"/>
  <c r="NV13" i="4"/>
  <c r="NY49" i="4"/>
  <c r="FJ84" i="4"/>
  <c r="OC53" i="4"/>
  <c r="FR84" i="4"/>
  <c r="OB81" i="4"/>
  <c r="FI44" i="4"/>
  <c r="NT103" i="4"/>
  <c r="FL84" i="4"/>
  <c r="NW60" i="4"/>
  <c r="NZ35" i="4"/>
  <c r="NP57" i="4"/>
  <c r="FM55" i="4"/>
  <c r="FM35" i="4"/>
  <c r="FM27" i="4"/>
  <c r="FM38" i="4"/>
  <c r="FM56" i="4"/>
  <c r="FM100" i="4"/>
  <c r="FM96" i="4"/>
  <c r="FM6" i="4"/>
  <c r="FM40" i="4"/>
  <c r="FM42" i="4"/>
  <c r="FM58" i="4"/>
  <c r="FM82" i="4"/>
  <c r="FM20" i="4"/>
  <c r="FM29" i="4"/>
  <c r="NS72" i="4"/>
  <c r="NS110" i="4"/>
  <c r="NS85" i="4"/>
  <c r="NS84" i="4"/>
  <c r="NS37" i="4"/>
  <c r="NS55" i="4"/>
  <c r="NS74" i="4"/>
  <c r="NS53" i="4"/>
  <c r="NS60" i="4"/>
  <c r="NS6" i="4"/>
  <c r="NS90" i="4"/>
  <c r="NS12" i="4"/>
  <c r="NS78" i="4"/>
  <c r="NS94" i="4"/>
  <c r="NS69" i="4"/>
  <c r="NS62" i="4"/>
  <c r="NS65" i="4"/>
  <c r="NS35" i="4"/>
  <c r="NS49" i="4"/>
  <c r="NS108" i="4"/>
  <c r="NS57" i="4"/>
  <c r="NS28" i="4"/>
  <c r="NS44" i="4"/>
  <c r="NS92" i="4"/>
  <c r="NS31" i="4"/>
  <c r="NS83" i="4"/>
  <c r="NS101" i="4"/>
  <c r="NS52" i="4"/>
  <c r="NS104" i="4"/>
  <c r="NS70" i="4"/>
  <c r="FP37" i="4"/>
  <c r="FP43" i="4"/>
  <c r="FP110" i="4"/>
  <c r="FP101" i="4"/>
  <c r="FP8" i="4"/>
  <c r="FP70" i="4"/>
  <c r="FP111" i="4"/>
  <c r="FP66" i="4"/>
  <c r="FP78" i="4"/>
  <c r="FP106" i="4"/>
  <c r="FP87" i="4"/>
  <c r="FP50" i="4"/>
  <c r="FP33" i="4"/>
  <c r="FS16" i="4"/>
  <c r="FS53" i="4"/>
  <c r="FS27" i="4"/>
  <c r="FS14" i="4"/>
  <c r="FS39" i="4"/>
  <c r="FS89" i="4"/>
  <c r="FS109" i="4"/>
  <c r="FS101" i="4"/>
  <c r="FS12" i="4"/>
  <c r="FS104" i="4"/>
  <c r="FS73" i="4"/>
  <c r="FS46" i="4"/>
  <c r="NQ46" i="4"/>
  <c r="FM79" i="4"/>
  <c r="FS29" i="4"/>
  <c r="NZ76" i="4"/>
  <c r="FJ20" i="4"/>
  <c r="FS76" i="4"/>
  <c r="FV82" i="4"/>
  <c r="FJ29" i="4"/>
  <c r="FV51" i="4"/>
  <c r="NT3" i="4"/>
  <c r="NT86" i="4"/>
  <c r="NT18" i="4"/>
  <c r="FP86" i="4"/>
  <c r="FP20" i="4"/>
  <c r="NT46" i="4"/>
  <c r="FS51" i="4"/>
  <c r="FM26" i="4"/>
  <c r="OC48" i="4"/>
  <c r="NT79" i="4"/>
  <c r="NZ18" i="4"/>
  <c r="NZ106" i="4"/>
  <c r="FM24" i="4"/>
  <c r="FS40" i="4"/>
  <c r="FS7" i="4"/>
  <c r="FM54" i="4"/>
  <c r="NZ52" i="4"/>
  <c r="NW91" i="4"/>
  <c r="NT99" i="4"/>
  <c r="NQ63" i="4"/>
  <c r="OC69" i="4"/>
  <c r="FS96" i="4"/>
  <c r="FV75" i="4"/>
  <c r="NZ54" i="4"/>
  <c r="NW34" i="4"/>
  <c r="NZ43" i="4"/>
  <c r="FS22" i="4"/>
  <c r="FM23" i="4"/>
  <c r="FS33" i="4"/>
  <c r="NT95" i="4"/>
  <c r="FM94" i="4"/>
  <c r="NZ70" i="4"/>
  <c r="NT11" i="4"/>
  <c r="NW58" i="4"/>
  <c r="FV43" i="4"/>
  <c r="NW106" i="4"/>
  <c r="FP83" i="4"/>
  <c r="FJ71" i="4"/>
  <c r="FJ94" i="4"/>
  <c r="NT8" i="4"/>
  <c r="FJ18" i="4"/>
  <c r="FS106" i="4"/>
  <c r="FP24" i="4"/>
  <c r="FJ69" i="4"/>
  <c r="OC87" i="4"/>
  <c r="FP94" i="4"/>
  <c r="FM17" i="4"/>
  <c r="NQ6" i="4"/>
  <c r="NZ20" i="4"/>
  <c r="OC22" i="4"/>
  <c r="NZ104" i="4"/>
  <c r="NW47" i="4"/>
  <c r="NT12" i="4"/>
  <c r="OC59" i="4"/>
  <c r="FJ100" i="4"/>
  <c r="FS19" i="4"/>
  <c r="FP4" i="4"/>
  <c r="FV33" i="4"/>
  <c r="FP93" i="4"/>
  <c r="FS5" i="4"/>
  <c r="NQ54" i="4"/>
  <c r="NZ100" i="4"/>
  <c r="NW66" i="4"/>
  <c r="NW15" i="4"/>
  <c r="NT83" i="4"/>
  <c r="FV87" i="4"/>
  <c r="FJ97" i="4"/>
  <c r="NQ70" i="4"/>
  <c r="FP100" i="4"/>
  <c r="FM66" i="4"/>
  <c r="FV53" i="4"/>
  <c r="NW103" i="4"/>
  <c r="NZ10" i="4"/>
  <c r="FP108" i="4"/>
  <c r="OC84" i="4"/>
  <c r="FM103" i="4"/>
  <c r="FV36" i="4"/>
  <c r="FJ16" i="4"/>
  <c r="NZ108" i="4"/>
  <c r="OC72" i="4"/>
  <c r="OC38" i="4"/>
  <c r="FP10" i="4"/>
  <c r="NW110" i="4"/>
  <c r="FM91" i="4"/>
  <c r="NZ66" i="4"/>
  <c r="NW92" i="4"/>
  <c r="NW31" i="4"/>
  <c r="FS36" i="4"/>
  <c r="OC49" i="4"/>
  <c r="FM60" i="4"/>
  <c r="FS98" i="4"/>
  <c r="FJ72" i="4"/>
  <c r="NT13" i="4"/>
  <c r="NT28" i="4"/>
  <c r="OC85" i="4"/>
  <c r="FP107" i="4"/>
  <c r="OC66" i="4"/>
  <c r="NW53" i="4"/>
  <c r="FS28" i="4"/>
  <c r="NZ16" i="4"/>
  <c r="FM108" i="4"/>
  <c r="FJ35" i="4"/>
  <c r="FJ28" i="4"/>
  <c r="NT9" i="4"/>
  <c r="FS38" i="4"/>
  <c r="FJ31" i="4"/>
  <c r="FS37" i="4"/>
  <c r="FJ39" i="4"/>
  <c r="OC90" i="4"/>
  <c r="FO46" i="4"/>
  <c r="FU76" i="4"/>
  <c r="FO73" i="4"/>
  <c r="FL3" i="4"/>
  <c r="NV26" i="4"/>
  <c r="FR67" i="4"/>
  <c r="NS82" i="4"/>
  <c r="FU79" i="4"/>
  <c r="FR48" i="4"/>
  <c r="FO21" i="4"/>
  <c r="FI51" i="4"/>
  <c r="NP48" i="4"/>
  <c r="OB76" i="4"/>
  <c r="NY20" i="4"/>
  <c r="FR64" i="4"/>
  <c r="NP82" i="4"/>
  <c r="FU51" i="4"/>
  <c r="FU18" i="4"/>
  <c r="NV63" i="4"/>
  <c r="NV23" i="4"/>
  <c r="FL33" i="4"/>
  <c r="NY97" i="4"/>
  <c r="FO78" i="4"/>
  <c r="FL100" i="4"/>
  <c r="NS68" i="4"/>
  <c r="FO65" i="4"/>
  <c r="NS4" i="4"/>
  <c r="FI93" i="4"/>
  <c r="FR12" i="4"/>
  <c r="NS5" i="4"/>
  <c r="OB11" i="4"/>
  <c r="NP45" i="4"/>
  <c r="FR77" i="4"/>
  <c r="OB3" i="4"/>
  <c r="FO104" i="4"/>
  <c r="FU42" i="4"/>
  <c r="FL97" i="4"/>
  <c r="NY109" i="4"/>
  <c r="FI52" i="4"/>
  <c r="FL56" i="4"/>
  <c r="NS15" i="4"/>
  <c r="FR42" i="4"/>
  <c r="NY93" i="4"/>
  <c r="NV81" i="4"/>
  <c r="OB17" i="4"/>
  <c r="NY56" i="4"/>
  <c r="FL111" i="4"/>
  <c r="FL83" i="4"/>
  <c r="NS93" i="4"/>
  <c r="NY75" i="4"/>
  <c r="OB54" i="4"/>
  <c r="FR100" i="4"/>
  <c r="FO20" i="4"/>
  <c r="FI19" i="4"/>
  <c r="FI4" i="4"/>
  <c r="FR62" i="4"/>
  <c r="NS97" i="4"/>
  <c r="FI78" i="4"/>
  <c r="FR34" i="4"/>
  <c r="NV43" i="4"/>
  <c r="NY106" i="4"/>
  <c r="OB83" i="4"/>
  <c r="FO96" i="4"/>
  <c r="OB7" i="4"/>
  <c r="NV54" i="4"/>
  <c r="FO58" i="4"/>
  <c r="FO66" i="4"/>
  <c r="NP63" i="4"/>
  <c r="FR33" i="4"/>
  <c r="FI12" i="4"/>
  <c r="NS11" i="4"/>
  <c r="NV9" i="4"/>
  <c r="FU103" i="4"/>
  <c r="NV14" i="4"/>
  <c r="NV35" i="4"/>
  <c r="FI13" i="4"/>
  <c r="NS10" i="4"/>
  <c r="FL108" i="4"/>
  <c r="NS61" i="4"/>
  <c r="NV37" i="4"/>
  <c r="NV27" i="4"/>
  <c r="FL102" i="4"/>
  <c r="NV72" i="4"/>
  <c r="FL103" i="4"/>
  <c r="OB28" i="4"/>
  <c r="NY110" i="4"/>
  <c r="OB53" i="4"/>
  <c r="FR37" i="4"/>
  <c r="FR89" i="4"/>
  <c r="NV10" i="4"/>
  <c r="FI107" i="4"/>
  <c r="FU36" i="4"/>
  <c r="NS98" i="4"/>
  <c r="FL13" i="4"/>
  <c r="OB90" i="4"/>
  <c r="FV66" i="4"/>
  <c r="FV105" i="4"/>
  <c r="FV61" i="4"/>
  <c r="FV77" i="4"/>
  <c r="FV40" i="4"/>
  <c r="FV42" i="4"/>
  <c r="FV12" i="4"/>
  <c r="FV104" i="4"/>
  <c r="FV111" i="4"/>
  <c r="FV8" i="4"/>
  <c r="FV4" i="4"/>
  <c r="FV29" i="4"/>
  <c r="FV48" i="4"/>
  <c r="FV46" i="4"/>
  <c r="FV26" i="4"/>
  <c r="FV76" i="4"/>
  <c r="FO25" i="4"/>
  <c r="FO89" i="4"/>
  <c r="FO49" i="4"/>
  <c r="FO80" i="4"/>
  <c r="FO13" i="4"/>
  <c r="FO53" i="4"/>
  <c r="FO27" i="4"/>
  <c r="FO16" i="4"/>
  <c r="FO55" i="4"/>
  <c r="FO38" i="4"/>
  <c r="FO72" i="4"/>
  <c r="FO14" i="4"/>
  <c r="FO28" i="4"/>
  <c r="FO42" i="4"/>
  <c r="FO3" i="4"/>
  <c r="FO7" i="4"/>
  <c r="FO101" i="4"/>
  <c r="FO82" i="4"/>
  <c r="FO51" i="4"/>
  <c r="FO88" i="4"/>
  <c r="FO41" i="4"/>
  <c r="FO110" i="4"/>
  <c r="FO85" i="4"/>
  <c r="FO36" i="4"/>
  <c r="FO35" i="4"/>
  <c r="FO98" i="4"/>
  <c r="FO74" i="4"/>
  <c r="FO32" i="4"/>
  <c r="FO60" i="4"/>
  <c r="FO39" i="4"/>
  <c r="FO97" i="4"/>
  <c r="FO71" i="4"/>
  <c r="FO22" i="4"/>
  <c r="FO63" i="4"/>
  <c r="FO68" i="4"/>
  <c r="FO17" i="4"/>
  <c r="FO94" i="4"/>
  <c r="FO108" i="4"/>
  <c r="FO37" i="4"/>
  <c r="NQ39" i="4"/>
  <c r="NQ80" i="4"/>
  <c r="NQ35" i="4"/>
  <c r="NQ27" i="4"/>
  <c r="NQ85" i="4"/>
  <c r="NQ94" i="4"/>
  <c r="NQ40" i="4"/>
  <c r="NQ30" i="4"/>
  <c r="NQ75" i="4"/>
  <c r="NQ62" i="4"/>
  <c r="NQ81" i="4"/>
  <c r="NQ11" i="4"/>
  <c r="NQ58" i="4"/>
  <c r="NQ96" i="4"/>
  <c r="NQ76" i="4"/>
  <c r="FV64" i="4"/>
  <c r="NZ79" i="4"/>
  <c r="NQ21" i="4"/>
  <c r="FP51" i="4"/>
  <c r="NZ48" i="4"/>
  <c r="FP76" i="4"/>
  <c r="OC82" i="4"/>
  <c r="FP46" i="4"/>
  <c r="NT51" i="4"/>
  <c r="NZ46" i="4"/>
  <c r="NQ51" i="4"/>
  <c r="FV3" i="4"/>
  <c r="FS79" i="4"/>
  <c r="FP48" i="4"/>
  <c r="FM46" i="4"/>
  <c r="NW51" i="4"/>
  <c r="FP26" i="4"/>
  <c r="FP18" i="4"/>
  <c r="NW79" i="4"/>
  <c r="FM3" i="4"/>
  <c r="FP22" i="4"/>
  <c r="FV24" i="4"/>
  <c r="OC40" i="4"/>
  <c r="FP75" i="4"/>
  <c r="FS11" i="4"/>
  <c r="FS34" i="4"/>
  <c r="NZ102" i="4"/>
  <c r="NW29" i="4"/>
  <c r="FJ104" i="4"/>
  <c r="NZ69" i="4"/>
  <c r="FV96" i="4"/>
  <c r="NW75" i="4"/>
  <c r="OC54" i="4"/>
  <c r="FV100" i="4"/>
  <c r="FJ48" i="4"/>
  <c r="NT22" i="4"/>
  <c r="FP23" i="4"/>
  <c r="NQ33" i="4"/>
  <c r="NQ95" i="4"/>
  <c r="OC94" i="4"/>
  <c r="NQ109" i="4"/>
  <c r="FM30" i="4"/>
  <c r="NT6" i="4"/>
  <c r="FV92" i="4"/>
  <c r="FV22" i="4"/>
  <c r="NW4" i="4"/>
  <c r="FS71" i="4"/>
  <c r="NW94" i="4"/>
  <c r="FJ30" i="4"/>
  <c r="FM18" i="4"/>
  <c r="FP19" i="4"/>
  <c r="NT23" i="4"/>
  <c r="FM69" i="4"/>
  <c r="NT96" i="4"/>
  <c r="FS81" i="4"/>
  <c r="FJ52" i="4"/>
  <c r="NW6" i="4"/>
  <c r="OC18" i="4"/>
  <c r="FP65" i="4"/>
  <c r="NQ104" i="4"/>
  <c r="NT69" i="4"/>
  <c r="OC97" i="4"/>
  <c r="FJ70" i="4"/>
  <c r="FS58" i="4"/>
  <c r="FM63" i="4"/>
  <c r="FM4" i="4"/>
  <c r="FM33" i="4"/>
  <c r="NT93" i="4"/>
  <c r="NT5" i="4"/>
  <c r="FM8" i="4"/>
  <c r="NW100" i="4"/>
  <c r="FV9" i="4"/>
  <c r="NZ15" i="4"/>
  <c r="NW42" i="4"/>
  <c r="FJ96" i="4"/>
  <c r="FM75" i="4"/>
  <c r="NT78" i="4"/>
  <c r="NQ100" i="4"/>
  <c r="FS66" i="4"/>
  <c r="NQ53" i="4"/>
  <c r="FS31" i="4"/>
  <c r="NQ10" i="4"/>
  <c r="FJ32" i="4"/>
  <c r="NQ92" i="4"/>
  <c r="NQ103" i="4"/>
  <c r="FJ36" i="4"/>
  <c r="FM16" i="4"/>
  <c r="OC108" i="4"/>
  <c r="NT72" i="4"/>
  <c r="NZ89" i="4"/>
  <c r="NT16" i="4"/>
  <c r="NT110" i="4"/>
  <c r="NQ91" i="4"/>
  <c r="FJ9" i="4"/>
  <c r="NT92" i="4"/>
  <c r="FJ57" i="4"/>
  <c r="NQ36" i="4"/>
  <c r="FM14" i="4"/>
  <c r="NZ60" i="4"/>
  <c r="FM107" i="4"/>
  <c r="FJ61" i="4"/>
  <c r="NZ103" i="4"/>
  <c r="NQ55" i="4"/>
  <c r="NZ25" i="4"/>
  <c r="FV35" i="4"/>
  <c r="NT43" i="4"/>
  <c r="NT53" i="4"/>
  <c r="FS55" i="4"/>
  <c r="FV25" i="4"/>
  <c r="NT108" i="4"/>
  <c r="FP53" i="4"/>
  <c r="OC103" i="4"/>
  <c r="OC36" i="4"/>
  <c r="NQ108" i="4"/>
  <c r="FS43" i="4"/>
  <c r="NW38" i="4"/>
  <c r="NT31" i="4"/>
  <c r="NT14" i="4"/>
  <c r="FM110" i="4"/>
  <c r="FI46" i="4"/>
  <c r="FO76" i="4"/>
  <c r="NY73" i="4"/>
  <c r="NY21" i="4"/>
  <c r="NY82" i="4"/>
  <c r="NV76" i="4"/>
  <c r="FU88" i="4"/>
  <c r="NS79" i="4"/>
  <c r="OB18" i="4"/>
  <c r="NP46" i="4"/>
  <c r="NV51" i="4"/>
  <c r="FR46" i="4"/>
  <c r="FR41" i="4"/>
  <c r="FL18" i="4"/>
  <c r="FL67" i="4"/>
  <c r="FI20" i="4"/>
  <c r="NS51" i="4"/>
  <c r="FO99" i="4"/>
  <c r="OB63" i="4"/>
  <c r="FL101" i="4"/>
  <c r="FL40" i="4"/>
  <c r="FR81" i="4"/>
  <c r="FR54" i="4"/>
  <c r="NP100" i="4"/>
  <c r="FO111" i="4"/>
  <c r="FU65" i="4"/>
  <c r="NV47" i="4"/>
  <c r="FL95" i="4"/>
  <c r="NY12" i="4"/>
  <c r="NY5" i="4"/>
  <c r="NV11" i="4"/>
  <c r="FL58" i="4"/>
  <c r="NY77" i="4"/>
  <c r="FR29" i="4"/>
  <c r="FI24" i="4"/>
  <c r="FO33" i="4"/>
  <c r="FR94" i="4"/>
  <c r="FI54" i="4"/>
  <c r="NP52" i="4"/>
  <c r="FL92" i="4"/>
  <c r="FR104" i="4"/>
  <c r="NS42" i="4"/>
  <c r="FR95" i="4"/>
  <c r="NP59" i="4"/>
  <c r="FU34" i="4"/>
  <c r="NY9" i="4"/>
  <c r="FR19" i="4"/>
  <c r="NY83" i="4"/>
  <c r="FR87" i="4"/>
  <c r="FI59" i="4"/>
  <c r="NS54" i="4"/>
  <c r="FI45" i="4"/>
  <c r="FU3" i="4"/>
  <c r="NY19" i="4"/>
  <c r="FU4" i="4"/>
  <c r="OB62" i="4"/>
  <c r="FR75" i="4"/>
  <c r="NY78" i="4"/>
  <c r="FU100" i="4"/>
  <c r="FL29" i="4"/>
  <c r="FL22" i="4"/>
  <c r="NP42" i="4"/>
  <c r="OB96" i="4"/>
  <c r="FR97" i="4"/>
  <c r="NP8" i="4"/>
  <c r="NS58" i="4"/>
  <c r="OB9" i="4"/>
  <c r="FI104" i="4"/>
  <c r="NV33" i="4"/>
  <c r="NP7" i="4"/>
  <c r="NP30" i="4"/>
  <c r="NS43" i="4"/>
  <c r="NY103" i="4"/>
  <c r="FL72" i="4"/>
  <c r="FO103" i="4"/>
  <c r="FI108" i="4"/>
  <c r="NV105" i="4"/>
  <c r="OB37" i="4"/>
  <c r="FI90" i="4"/>
  <c r="FO56" i="4"/>
  <c r="FI53" i="4"/>
  <c r="OB80" i="4"/>
  <c r="NV55" i="4"/>
  <c r="FL32" i="4"/>
  <c r="OB105" i="4"/>
  <c r="FR16" i="4"/>
  <c r="FR35" i="4"/>
  <c r="FI49" i="4"/>
  <c r="NS107" i="4"/>
  <c r="OB14" i="4"/>
  <c r="OB107" i="4"/>
  <c r="NS13" i="4"/>
  <c r="FU84" i="4"/>
  <c r="FU39" i="4"/>
  <c r="FU74" i="4"/>
  <c r="FU60" i="4"/>
  <c r="FU13" i="4"/>
  <c r="FU92" i="4"/>
  <c r="FU80" i="4"/>
  <c r="FU52" i="4"/>
  <c r="FU109" i="4"/>
  <c r="FU55" i="4"/>
  <c r="FU31" i="4"/>
  <c r="FU10" i="4"/>
  <c r="FU27" i="4"/>
  <c r="FU14" i="4"/>
  <c r="FU44" i="4"/>
  <c r="FU77" i="4"/>
  <c r="FU8" i="4"/>
  <c r="FU62" i="4"/>
  <c r="FU47" i="4"/>
  <c r="FU17" i="4"/>
  <c r="FU59" i="4"/>
  <c r="FU83" i="4"/>
  <c r="FU81" i="4"/>
  <c r="FU94" i="4"/>
  <c r="FU71" i="4"/>
  <c r="FU21" i="4"/>
  <c r="FU73" i="4"/>
  <c r="FU67" i="4"/>
  <c r="FU32" i="4"/>
  <c r="FU89" i="4"/>
  <c r="FU108" i="4"/>
  <c r="FU35" i="4"/>
  <c r="FU49" i="4"/>
  <c r="FU57" i="4"/>
  <c r="FU56" i="4"/>
  <c r="FU6" i="4"/>
  <c r="FU11" i="4"/>
  <c r="FU69" i="4"/>
  <c r="FU19" i="4"/>
  <c r="FU61" i="4"/>
  <c r="GF80" i="4"/>
  <c r="GF44" i="4"/>
  <c r="GF92" i="4"/>
  <c r="GF27" i="4"/>
  <c r="GF28" i="4"/>
  <c r="GF4" i="4"/>
  <c r="GF75" i="4"/>
  <c r="GF45" i="4"/>
  <c r="GF11" i="4"/>
  <c r="GF12" i="4"/>
  <c r="GF15" i="4"/>
  <c r="GF82" i="4"/>
  <c r="GF99" i="4"/>
  <c r="GF86" i="4"/>
  <c r="GF13" i="4"/>
  <c r="GF91" i="4"/>
  <c r="GF35" i="4"/>
  <c r="GF52" i="4"/>
  <c r="GF5" i="4"/>
  <c r="GF78" i="4"/>
  <c r="GF106" i="4"/>
  <c r="GF41" i="4"/>
  <c r="GF20" i="4"/>
  <c r="GF57" i="4"/>
  <c r="GF84" i="4"/>
  <c r="GF90" i="4"/>
  <c r="GF39" i="4"/>
  <c r="GF38" i="4"/>
  <c r="GF85" i="4"/>
  <c r="GF105" i="4"/>
  <c r="GF97" i="4"/>
  <c r="GF33" i="4"/>
  <c r="GF56" i="4"/>
  <c r="GF17" i="4"/>
  <c r="GF42" i="4"/>
  <c r="GF43" i="4"/>
  <c r="GF6" i="4"/>
  <c r="GF111" i="4"/>
  <c r="GF26" i="4"/>
  <c r="GF32" i="4"/>
  <c r="GF60" i="4"/>
  <c r="GF110" i="4"/>
  <c r="GF16" i="4"/>
  <c r="GF103" i="4"/>
  <c r="GF22" i="4"/>
  <c r="GF95" i="4"/>
  <c r="GF109" i="4"/>
  <c r="GF47" i="4"/>
  <c r="GF21" i="4"/>
  <c r="GF18" i="4"/>
  <c r="GF68" i="4"/>
  <c r="GF67" i="4"/>
  <c r="GF108" i="4"/>
  <c r="GF49" i="4"/>
  <c r="GF74" i="4"/>
  <c r="GF87" i="4"/>
  <c r="GF69" i="4"/>
  <c r="GF30" i="4"/>
  <c r="GF104" i="4"/>
  <c r="GF94" i="4"/>
  <c r="GF51" i="4"/>
  <c r="GF77" i="4"/>
  <c r="GF53" i="4"/>
  <c r="GF61" i="4"/>
  <c r="GF14" i="4"/>
  <c r="GF36" i="4"/>
  <c r="GF71" i="4"/>
  <c r="GF29" i="4"/>
  <c r="GF102" i="4"/>
  <c r="GF100" i="4"/>
  <c r="GF81" i="4"/>
  <c r="GF19" i="4"/>
  <c r="GF9" i="4"/>
  <c r="GF50" i="4"/>
  <c r="GF23" i="4"/>
  <c r="GF79" i="4"/>
  <c r="GF48" i="4"/>
  <c r="GF3" i="4"/>
  <c r="GF73" i="4"/>
  <c r="GF37" i="4"/>
  <c r="GF31" i="4"/>
  <c r="GF89" i="4"/>
  <c r="GF107" i="4"/>
  <c r="GF55" i="4"/>
  <c r="GF96" i="4"/>
  <c r="GF40" i="4"/>
  <c r="GF70" i="4"/>
  <c r="GF93" i="4"/>
  <c r="GF24" i="4"/>
  <c r="GF8" i="4"/>
  <c r="GF65" i="4"/>
  <c r="GF64" i="4"/>
  <c r="GF98" i="4"/>
  <c r="GF25" i="4"/>
  <c r="GF10" i="4"/>
  <c r="GF72" i="4"/>
  <c r="GF66" i="4"/>
  <c r="GF34" i="4"/>
  <c r="GF54" i="4"/>
  <c r="GF101" i="4"/>
  <c r="GF58" i="4"/>
  <c r="GF59" i="4"/>
  <c r="GF63" i="4"/>
  <c r="GF7" i="4"/>
  <c r="GF83" i="4"/>
  <c r="GF62" i="4"/>
  <c r="GF46" i="4"/>
  <c r="GF88" i="4"/>
  <c r="NV103" i="4"/>
  <c r="NV28" i="4"/>
  <c r="NV85" i="4"/>
  <c r="NV66" i="4"/>
  <c r="NV98" i="4"/>
  <c r="NV90" i="4"/>
  <c r="NV77" i="4"/>
  <c r="NV89" i="4"/>
  <c r="NV39" i="4"/>
  <c r="NV8" i="4"/>
  <c r="NV45" i="4"/>
  <c r="NV34" i="4"/>
  <c r="NV71" i="4"/>
  <c r="NV22" i="4"/>
  <c r="NV106" i="4"/>
  <c r="NV30" i="4"/>
  <c r="NV78" i="4"/>
  <c r="NV58" i="4"/>
  <c r="NV17" i="4"/>
  <c r="NV7" i="4"/>
  <c r="NV67" i="4"/>
  <c r="NV32" i="4"/>
  <c r="NV84" i="4"/>
  <c r="NV36" i="4"/>
  <c r="NV61" i="4"/>
  <c r="NV108" i="4"/>
  <c r="NV16" i="4"/>
  <c r="NV74" i="4"/>
  <c r="NV62" i="4"/>
  <c r="NV68" i="4"/>
  <c r="NV100" i="4"/>
  <c r="NV107" i="4"/>
  <c r="NY60" i="4"/>
  <c r="NY10" i="4"/>
  <c r="NY98" i="4"/>
  <c r="NY107" i="4"/>
  <c r="NY92" i="4"/>
  <c r="NY44" i="4"/>
  <c r="NY38" i="4"/>
  <c r="NY39" i="4"/>
  <c r="NY68" i="4"/>
  <c r="NY87" i="4"/>
  <c r="NY33" i="4"/>
  <c r="NY15" i="4"/>
  <c r="NY34" i="4"/>
  <c r="NY4" i="4"/>
  <c r="NY63" i="4"/>
  <c r="NY64" i="4"/>
  <c r="NY51" i="4"/>
  <c r="NY67" i="4"/>
  <c r="NY105" i="4"/>
  <c r="NY32" i="4"/>
  <c r="NY37" i="4"/>
  <c r="NY66" i="4"/>
  <c r="NY35" i="4"/>
  <c r="NY31" i="4"/>
  <c r="NY43" i="4"/>
  <c r="NY91" i="4"/>
  <c r="NY96" i="4"/>
  <c r="NY58" i="4"/>
  <c r="NY47" i="4"/>
  <c r="FJ53" i="4"/>
  <c r="FJ60" i="4"/>
  <c r="FJ103" i="4"/>
  <c r="FJ14" i="4"/>
  <c r="FJ107" i="4"/>
  <c r="FJ49" i="4"/>
  <c r="FJ44" i="4"/>
  <c r="FJ77" i="4"/>
  <c r="FJ5" i="4"/>
  <c r="FJ92" i="4"/>
  <c r="FJ45" i="4"/>
  <c r="FJ59" i="4"/>
  <c r="FJ22" i="4"/>
  <c r="FJ99" i="4"/>
  <c r="FM86" i="4"/>
  <c r="FS41" i="4"/>
  <c r="FP64" i="4"/>
  <c r="NZ51" i="4"/>
  <c r="OC3" i="4"/>
  <c r="NW76" i="4"/>
  <c r="NQ82" i="4"/>
  <c r="FS64" i="4"/>
  <c r="NW41" i="4"/>
  <c r="FJ46" i="4"/>
  <c r="FM41" i="4"/>
  <c r="FM99" i="4"/>
  <c r="FV41" i="4"/>
  <c r="NW48" i="4"/>
  <c r="OC46" i="4"/>
  <c r="OC51" i="4"/>
  <c r="OC26" i="4"/>
  <c r="NQ3" i="4"/>
  <c r="FP41" i="4"/>
  <c r="FP99" i="4"/>
  <c r="FV19" i="4"/>
  <c r="FJ83" i="4"/>
  <c r="NW95" i="4"/>
  <c r="NZ75" i="4"/>
  <c r="NZ11" i="4"/>
  <c r="NT34" i="4"/>
  <c r="NT50" i="4"/>
  <c r="FP68" i="4"/>
  <c r="NT104" i="4"/>
  <c r="FS62" i="4"/>
  <c r="FV71" i="4"/>
  <c r="FJ81" i="4"/>
  <c r="FJ8" i="4"/>
  <c r="FP6" i="4"/>
  <c r="FS3" i="4"/>
  <c r="NQ22" i="4"/>
  <c r="NQ83" i="4"/>
  <c r="NT33" i="4"/>
  <c r="FJ87" i="4"/>
  <c r="NZ94" i="4"/>
  <c r="NQ78" i="4"/>
  <c r="NZ17" i="4"/>
  <c r="FJ91" i="4"/>
  <c r="FV72" i="4"/>
  <c r="NQ19" i="4"/>
  <c r="NQ47" i="4"/>
  <c r="NZ71" i="4"/>
  <c r="FP59" i="4"/>
  <c r="FP52" i="4"/>
  <c r="NQ18" i="4"/>
  <c r="FM19" i="4"/>
  <c r="NQ23" i="4"/>
  <c r="NQ69" i="4"/>
  <c r="NQ71" i="4"/>
  <c r="FM59" i="4"/>
  <c r="FM34" i="4"/>
  <c r="FS102" i="4"/>
  <c r="NW18" i="4"/>
  <c r="NT65" i="4"/>
  <c r="NW104" i="4"/>
  <c r="NW69" i="4"/>
  <c r="FS94" i="4"/>
  <c r="FS70" i="4"/>
  <c r="FV58" i="4"/>
  <c r="NW63" i="4"/>
  <c r="NT4" i="4"/>
  <c r="OC33" i="4"/>
  <c r="NQ93" i="4"/>
  <c r="OC70" i="4"/>
  <c r="FV30" i="4"/>
  <c r="NT100" i="4"/>
  <c r="FS92" i="4"/>
  <c r="FJ24" i="4"/>
  <c r="NQ42" i="4"/>
  <c r="FM71" i="4"/>
  <c r="FP81" i="4"/>
  <c r="NW54" i="4"/>
  <c r="FV45" i="4"/>
  <c r="FJ66" i="4"/>
  <c r="FV74" i="4"/>
  <c r="OC31" i="4"/>
  <c r="FS49" i="4"/>
  <c r="NT27" i="4"/>
  <c r="FM72" i="4"/>
  <c r="FM31" i="4"/>
  <c r="NT36" i="4"/>
  <c r="OC16" i="4"/>
  <c r="FV27" i="4"/>
  <c r="FP61" i="4"/>
  <c r="FP103" i="4"/>
  <c r="NQ16" i="4"/>
  <c r="FV32" i="4"/>
  <c r="OC91" i="4"/>
  <c r="FM9" i="4"/>
  <c r="FM74" i="4"/>
  <c r="FM57" i="4"/>
  <c r="FV37" i="4"/>
  <c r="OC14" i="4"/>
  <c r="NQ110" i="4"/>
  <c r="NT107" i="4"/>
  <c r="FS61" i="4"/>
  <c r="FM80" i="4"/>
  <c r="FV44" i="4"/>
  <c r="OC39" i="4"/>
  <c r="NT35" i="4"/>
  <c r="NQ43" i="4"/>
  <c r="FJ38" i="4"/>
  <c r="FS44" i="4"/>
  <c r="OC25" i="4"/>
  <c r="NZ32" i="4"/>
  <c r="FJ80" i="4"/>
  <c r="NT10" i="4"/>
  <c r="FJ27" i="4"/>
  <c r="FM61" i="4"/>
  <c r="FP89" i="4"/>
  <c r="NQ57" i="4"/>
  <c r="FV85" i="4"/>
  <c r="NZ110" i="4"/>
  <c r="FV84" i="4"/>
  <c r="NV46" i="4"/>
  <c r="NP76" i="4"/>
  <c r="FR26" i="4"/>
  <c r="FO67" i="4"/>
  <c r="FL88" i="4"/>
  <c r="FL79" i="4"/>
  <c r="FU20" i="4"/>
  <c r="FU41" i="4"/>
  <c r="NY18" i="4"/>
  <c r="OB64" i="4"/>
  <c r="FI79" i="4"/>
  <c r="FU46" i="4"/>
  <c r="FI73" i="4"/>
  <c r="NV18" i="4"/>
  <c r="FR86" i="4"/>
  <c r="NV20" i="4"/>
  <c r="FO79" i="4"/>
  <c r="FI111" i="4"/>
  <c r="NY104" i="4"/>
  <c r="FI101" i="4"/>
  <c r="FO40" i="4"/>
  <c r="FL81" i="4"/>
  <c r="FO54" i="4"/>
  <c r="FR58" i="4"/>
  <c r="FU111" i="4"/>
  <c r="NY65" i="4"/>
  <c r="OB42" i="4"/>
  <c r="FU95" i="4"/>
  <c r="NV97" i="4"/>
  <c r="FL59" i="4"/>
  <c r="FU30" i="4"/>
  <c r="FU58" i="4"/>
  <c r="OB20" i="4"/>
  <c r="NY29" i="4"/>
  <c r="FU24" i="4"/>
  <c r="FI40" i="4"/>
  <c r="NP94" i="4"/>
  <c r="NY54" i="4"/>
  <c r="FI34" i="4"/>
  <c r="FU68" i="4"/>
  <c r="FU104" i="4"/>
  <c r="NV42" i="4"/>
  <c r="FI96" i="4"/>
  <c r="OB59" i="4"/>
  <c r="FL45" i="4"/>
  <c r="NS18" i="4"/>
  <c r="NP19" i="4"/>
  <c r="NP83" i="4"/>
  <c r="NS87" i="4"/>
  <c r="NV59" i="4"/>
  <c r="NY11" i="4"/>
  <c r="OB58" i="4"/>
  <c r="NY3" i="4"/>
  <c r="NV19" i="4"/>
  <c r="OB4" i="4"/>
  <c r="OB93" i="4"/>
  <c r="NS75" i="4"/>
  <c r="FI8" i="4"/>
  <c r="OB100" i="4"/>
  <c r="FO29" i="4"/>
  <c r="OB19" i="4"/>
  <c r="NP69" i="4"/>
  <c r="NS96" i="4"/>
  <c r="FO75" i="4"/>
  <c r="FL11" i="4"/>
  <c r="FI91" i="4"/>
  <c r="NS111" i="4"/>
  <c r="OB24" i="4"/>
  <c r="NV40" i="4"/>
  <c r="FI94" i="4"/>
  <c r="FO52" i="4"/>
  <c r="FI72" i="4"/>
  <c r="FL31" i="4"/>
  <c r="NY25" i="4"/>
  <c r="NP72" i="4"/>
  <c r="NP103" i="4"/>
  <c r="NS16" i="4"/>
  <c r="FL98" i="4"/>
  <c r="FU38" i="4"/>
  <c r="NV49" i="4"/>
  <c r="FU107" i="4"/>
  <c r="FR9" i="4"/>
  <c r="FL74" i="4"/>
  <c r="NS80" i="4"/>
  <c r="FI14" i="4"/>
  <c r="NS27" i="4"/>
  <c r="FR13" i="4"/>
  <c r="FL25" i="4"/>
  <c r="NS77" i="4"/>
  <c r="FO31" i="4"/>
  <c r="FU85" i="4"/>
  <c r="NP16" i="4"/>
  <c r="NV50" i="4"/>
  <c r="FL80" i="4"/>
  <c r="OC89" i="4"/>
  <c r="OC60" i="4"/>
  <c r="OC44" i="4"/>
  <c r="OC10" i="4"/>
  <c r="OC57" i="4"/>
  <c r="OC28" i="4"/>
  <c r="OC102" i="4"/>
  <c r="OC23" i="4"/>
  <c r="OC15" i="4"/>
  <c r="OC71" i="4"/>
  <c r="OC50" i="4"/>
  <c r="OC7" i="4"/>
  <c r="OC30" i="4"/>
  <c r="OC79" i="4"/>
  <c r="OK84" i="4"/>
  <c r="OK28" i="4"/>
  <c r="OK89" i="4"/>
  <c r="OK60" i="4"/>
  <c r="OK72" i="4"/>
  <c r="OK9" i="4"/>
  <c r="OK61" i="4"/>
  <c r="OK111" i="4"/>
  <c r="OK71" i="4"/>
  <c r="OK5" i="4"/>
  <c r="OK100" i="4"/>
  <c r="OK46" i="4"/>
  <c r="OK26" i="4"/>
  <c r="OK51" i="4"/>
  <c r="OK36" i="4"/>
  <c r="OK10" i="4"/>
  <c r="OK108" i="4"/>
  <c r="OK37" i="4"/>
  <c r="OK31" i="4"/>
  <c r="OK105" i="4"/>
  <c r="OK83" i="4"/>
  <c r="OK42" i="4"/>
  <c r="OK17" i="4"/>
  <c r="OK33" i="4"/>
  <c r="OK15" i="4"/>
  <c r="OK59" i="4"/>
  <c r="OK29" i="4"/>
  <c r="OK8" i="4"/>
  <c r="OK23" i="4"/>
  <c r="OK65" i="4"/>
  <c r="OK12" i="4"/>
  <c r="OK69" i="4"/>
  <c r="OK64" i="4"/>
  <c r="OK25" i="4"/>
  <c r="OK43" i="4"/>
  <c r="OK74" i="4"/>
  <c r="OK66" i="4"/>
  <c r="OK6" i="4"/>
  <c r="OK32" i="4"/>
  <c r="OK57" i="4"/>
  <c r="OK16" i="4"/>
  <c r="OK97" i="4"/>
  <c r="OK70" i="4"/>
  <c r="OK68" i="4"/>
  <c r="OK22" i="4"/>
  <c r="OK11" i="4"/>
  <c r="OK75" i="4"/>
  <c r="OK87" i="4"/>
  <c r="OK78" i="4"/>
  <c r="OK96" i="4"/>
  <c r="OK109" i="4"/>
  <c r="OK73" i="4"/>
  <c r="OK49" i="4"/>
  <c r="OK35" i="4"/>
  <c r="OK107" i="4"/>
  <c r="OK45" i="4"/>
  <c r="OK95" i="4"/>
  <c r="OK52" i="4"/>
  <c r="OK94" i="4"/>
  <c r="OK24" i="4"/>
  <c r="OK41" i="4"/>
  <c r="OK98" i="4"/>
  <c r="OK55" i="4"/>
  <c r="OK110" i="4"/>
  <c r="OK103" i="4"/>
  <c r="OK14" i="4"/>
  <c r="OK102" i="4"/>
  <c r="OK56" i="4"/>
  <c r="OK50" i="4"/>
  <c r="OK62" i="4"/>
  <c r="OK4" i="4"/>
  <c r="OK104" i="4"/>
  <c r="OK99" i="4"/>
  <c r="OK48" i="4"/>
  <c r="OK3" i="4"/>
  <c r="OK27" i="4"/>
  <c r="OK85" i="4"/>
  <c r="OK53" i="4"/>
  <c r="OK81" i="4"/>
  <c r="OK47" i="4"/>
  <c r="OK63" i="4"/>
  <c r="OK7" i="4"/>
  <c r="OK30" i="4"/>
  <c r="OK88" i="4"/>
  <c r="OK79" i="4"/>
  <c r="OK86" i="4"/>
  <c r="OK13" i="4"/>
  <c r="OK90" i="4"/>
  <c r="OK39" i="4"/>
  <c r="OK80" i="4"/>
  <c r="OK101" i="4"/>
  <c r="OK20" i="4"/>
  <c r="OK77" i="4"/>
  <c r="OK34" i="4"/>
  <c r="OK91" i="4"/>
  <c r="OK40" i="4"/>
  <c r="OK58" i="4"/>
  <c r="OK93" i="4"/>
  <c r="OK76" i="4"/>
  <c r="OK67" i="4"/>
  <c r="OK18" i="4"/>
  <c r="OK38" i="4"/>
  <c r="OK44" i="4"/>
  <c r="OK92" i="4"/>
  <c r="OK19" i="4"/>
  <c r="OK106" i="4"/>
  <c r="OK54" i="4"/>
  <c r="OK82" i="4"/>
  <c r="OK21" i="4"/>
  <c r="FR107" i="4"/>
  <c r="FR72" i="4"/>
  <c r="FR31" i="4"/>
  <c r="FR27" i="4"/>
  <c r="FR92" i="4"/>
  <c r="FR98" i="4"/>
  <c r="FR14" i="4"/>
  <c r="FR108" i="4"/>
  <c r="FR32" i="4"/>
  <c r="FR50" i="4"/>
  <c r="FR39" i="4"/>
  <c r="FR53" i="4"/>
  <c r="FR66" i="4"/>
  <c r="FR106" i="4"/>
  <c r="FR6" i="4"/>
  <c r="FR23" i="4"/>
  <c r="FR8" i="4"/>
  <c r="FR70" i="4"/>
  <c r="FR82" i="4"/>
  <c r="FR88" i="4"/>
  <c r="FR55" i="4"/>
  <c r="FR80" i="4"/>
  <c r="FR105" i="4"/>
  <c r="FR103" i="4"/>
  <c r="FR38" i="4"/>
  <c r="FR90" i="4"/>
  <c r="FR49" i="4"/>
  <c r="OC86" i="4"/>
  <c r="OC73" i="4"/>
  <c r="OC64" i="4"/>
  <c r="FV79" i="4"/>
  <c r="NQ29" i="4"/>
  <c r="NQ79" i="4"/>
  <c r="FM88" i="4"/>
  <c r="FJ64" i="4"/>
  <c r="FV73" i="4"/>
  <c r="FM21" i="4"/>
  <c r="NT41" i="4"/>
  <c r="FJ21" i="4"/>
  <c r="OC41" i="4"/>
  <c r="FS18" i="4"/>
  <c r="FS21" i="4"/>
  <c r="FJ41" i="4"/>
  <c r="FV88" i="4"/>
  <c r="FS111" i="4"/>
  <c r="FS82" i="4"/>
  <c r="NZ99" i="4"/>
  <c r="OC19" i="4"/>
  <c r="OC83" i="4"/>
  <c r="FM87" i="4"/>
  <c r="FV81" i="4"/>
  <c r="FP30" i="4"/>
  <c r="FJ58" i="4"/>
  <c r="FP77" i="4"/>
  <c r="OC106" i="4"/>
  <c r="FS24" i="4"/>
  <c r="FV62" i="4"/>
  <c r="FM12" i="4"/>
  <c r="OC81" i="4"/>
  <c r="NZ30" i="4"/>
  <c r="NT91" i="4"/>
  <c r="NZ3" i="4"/>
  <c r="FM65" i="4"/>
  <c r="FS4" i="4"/>
  <c r="NT40" i="4"/>
  <c r="NZ96" i="4"/>
  <c r="FM5" i="4"/>
  <c r="FP54" i="4"/>
  <c r="NT52" i="4"/>
  <c r="FP91" i="4"/>
  <c r="OC29" i="4"/>
  <c r="FV15" i="4"/>
  <c r="FP42" i="4"/>
  <c r="FJ12" i="4"/>
  <c r="FP109" i="4"/>
  <c r="FP34" i="4"/>
  <c r="FJ3" i="4"/>
  <c r="NZ19" i="4"/>
  <c r="FJ101" i="4"/>
  <c r="NZ33" i="4"/>
  <c r="NZ12" i="4"/>
  <c r="NW78" i="4"/>
  <c r="NZ34" i="4"/>
  <c r="NQ102" i="4"/>
  <c r="NW99" i="4"/>
  <c r="NZ65" i="4"/>
  <c r="FJ23" i="4"/>
  <c r="FJ93" i="4"/>
  <c r="FV94" i="4"/>
  <c r="NZ109" i="4"/>
  <c r="OC58" i="4"/>
  <c r="FP104" i="4"/>
  <c r="FS47" i="4"/>
  <c r="NW33" i="4"/>
  <c r="NZ7" i="4"/>
  <c r="FJ109" i="4"/>
  <c r="NW30" i="4"/>
  <c r="OC45" i="4"/>
  <c r="NW111" i="4"/>
  <c r="FS23" i="4"/>
  <c r="FP40" i="4"/>
  <c r="FP12" i="4"/>
  <c r="FP5" i="4"/>
  <c r="FP11" i="4"/>
  <c r="FS45" i="4"/>
  <c r="NQ66" i="4"/>
  <c r="FV38" i="4"/>
  <c r="FS57" i="4"/>
  <c r="NT85" i="4"/>
  <c r="FP98" i="4"/>
  <c r="NZ61" i="4"/>
  <c r="NQ31" i="4"/>
  <c r="FS10" i="4"/>
  <c r="FS25" i="4"/>
  <c r="NZ27" i="4"/>
  <c r="NZ74" i="4"/>
  <c r="NZ28" i="4"/>
  <c r="FJ25" i="4"/>
  <c r="NT32" i="4"/>
  <c r="FJ50" i="4"/>
  <c r="NQ9" i="4"/>
  <c r="NT74" i="4"/>
  <c r="FM28" i="4"/>
  <c r="FM37" i="4"/>
  <c r="NW14" i="4"/>
  <c r="FJ108" i="4"/>
  <c r="NW107" i="4"/>
  <c r="OC74" i="4"/>
  <c r="NW80" i="4"/>
  <c r="FP49" i="4"/>
  <c r="NW108" i="4"/>
  <c r="FP56" i="4"/>
  <c r="FP92" i="4"/>
  <c r="FJ89" i="4"/>
  <c r="FJ10" i="4"/>
  <c r="NT25" i="4"/>
  <c r="NW27" i="4"/>
  <c r="NZ53" i="4"/>
  <c r="FP80" i="4"/>
  <c r="NW37" i="4"/>
  <c r="NW98" i="4"/>
  <c r="OC61" i="4"/>
  <c r="FM89" i="4"/>
  <c r="OC55" i="4"/>
  <c r="FP85" i="4"/>
  <c r="FM32" i="4"/>
  <c r="NZ84" i="4"/>
  <c r="FI21" i="4"/>
  <c r="NP51" i="4"/>
  <c r="OB82" i="4"/>
  <c r="NS67" i="4"/>
  <c r="FL20" i="4"/>
  <c r="OB79" i="4"/>
  <c r="FU64" i="4"/>
  <c r="OB41" i="4"/>
  <c r="FU99" i="4"/>
  <c r="NV64" i="4"/>
  <c r="FO26" i="4"/>
  <c r="NV21" i="4"/>
  <c r="NP73" i="4"/>
  <c r="FI3" i="4"/>
  <c r="FL76" i="4"/>
  <c r="FU48" i="4"/>
  <c r="NV73" i="4"/>
  <c r="NY22" i="4"/>
  <c r="NP104" i="4"/>
  <c r="FR4" i="4"/>
  <c r="NY62" i="4"/>
  <c r="NS81" i="4"/>
  <c r="NP11" i="4"/>
  <c r="FI6" i="4"/>
  <c r="NV111" i="4"/>
  <c r="FR15" i="4"/>
  <c r="FI69" i="4"/>
  <c r="NV95" i="4"/>
  <c r="FU75" i="4"/>
  <c r="FI70" i="4"/>
  <c r="FL52" i="4"/>
  <c r="NV6" i="4"/>
  <c r="FL48" i="4"/>
  <c r="NS29" i="4"/>
  <c r="FO24" i="4"/>
  <c r="FO62" i="4"/>
  <c r="FI81" i="4"/>
  <c r="NP54" i="4"/>
  <c r="NS100" i="4"/>
  <c r="OB68" i="4"/>
  <c r="NV24" i="4"/>
  <c r="FR69" i="4"/>
  <c r="NY71" i="4"/>
  <c r="FU70" i="4"/>
  <c r="NP58" i="4"/>
  <c r="FR3" i="4"/>
  <c r="FL15" i="4"/>
  <c r="FL47" i="4"/>
  <c r="FL71" i="4"/>
  <c r="FO70" i="4"/>
  <c r="OB30" i="4"/>
  <c r="FO6" i="4"/>
  <c r="FR99" i="4"/>
  <c r="FI65" i="4"/>
  <c r="NY42" i="4"/>
  <c r="NS95" i="4"/>
  <c r="NV94" i="4"/>
  <c r="FL30" i="4"/>
  <c r="FU102" i="4"/>
  <c r="OB29" i="4"/>
  <c r="NV65" i="4"/>
  <c r="OB40" i="4"/>
  <c r="NP96" i="4"/>
  <c r="FL5" i="4"/>
  <c r="FI11" i="4"/>
  <c r="FU91" i="4"/>
  <c r="FU106" i="4"/>
  <c r="NP24" i="4"/>
  <c r="NS40" i="4"/>
  <c r="FR45" i="4"/>
  <c r="FL61" i="4"/>
  <c r="NV57" i="4"/>
  <c r="FL110" i="4"/>
  <c r="NY53" i="4"/>
  <c r="FI80" i="4"/>
  <c r="NY16" i="4"/>
  <c r="NP90" i="4"/>
  <c r="NS38" i="4"/>
  <c r="NP14" i="4"/>
  <c r="FL35" i="4"/>
  <c r="FO9" i="4"/>
  <c r="FO105" i="4"/>
  <c r="NY80" i="4"/>
  <c r="NY14" i="4"/>
  <c r="FI98" i="4"/>
  <c r="NS103" i="4"/>
  <c r="NP25" i="4"/>
  <c r="FR43" i="4"/>
  <c r="NV31" i="4"/>
  <c r="NY85" i="4"/>
  <c r="NY74" i="4"/>
  <c r="NV25" i="4"/>
  <c r="FO77" i="4"/>
  <c r="FL44" i="4"/>
  <c r="OB66" i="4"/>
  <c r="OB44" i="4"/>
  <c r="OB31" i="4"/>
  <c r="OB74" i="4"/>
  <c r="OB85" i="4"/>
  <c r="OB32" i="4"/>
  <c r="OB57" i="4"/>
  <c r="OB27" i="4"/>
  <c r="OB89" i="4"/>
  <c r="OB8" i="4"/>
  <c r="OB5" i="4"/>
  <c r="OB48" i="4"/>
  <c r="OB52" i="4"/>
  <c r="OB91" i="4"/>
  <c r="OB43" i="4"/>
  <c r="OB111" i="4"/>
  <c r="OB21" i="4"/>
  <c r="OB67" i="4"/>
  <c r="OB60" i="4"/>
  <c r="OB108" i="4"/>
  <c r="OB36" i="4"/>
  <c r="OB49" i="4"/>
  <c r="OB61" i="4"/>
  <c r="OB38" i="4"/>
  <c r="OB72" i="4"/>
  <c r="OB78" i="4"/>
  <c r="OB97" i="4"/>
  <c r="OB15" i="4"/>
  <c r="OB94" i="4"/>
  <c r="OB75" i="4"/>
  <c r="OB101" i="4"/>
  <c r="GS35" i="4"/>
  <c r="OM84" i="4"/>
  <c r="GS107" i="4"/>
  <c r="GJ27" i="4"/>
  <c r="OJ32" i="4"/>
  <c r="OM32" i="4"/>
  <c r="OS108" i="4"/>
  <c r="OU110" i="4"/>
  <c r="OS110" i="4"/>
  <c r="GJ110" i="4"/>
  <c r="OU39" i="4"/>
  <c r="GS60" i="4"/>
  <c r="OM25" i="4"/>
  <c r="GJ85" i="4"/>
  <c r="OS16" i="4"/>
  <c r="GS14" i="4"/>
  <c r="OS49" i="4"/>
  <c r="GS49" i="4"/>
  <c r="GS37" i="4"/>
  <c r="OM10" i="4"/>
  <c r="OU36" i="4"/>
  <c r="GU36" i="4"/>
  <c r="GS44" i="4"/>
  <c r="GJ28" i="4"/>
  <c r="GS57" i="4"/>
  <c r="OS31" i="4"/>
  <c r="OJ80" i="4"/>
  <c r="GS13" i="4"/>
  <c r="GJ89" i="4"/>
  <c r="GS38" i="4"/>
  <c r="OU74" i="4"/>
  <c r="GJ53" i="4"/>
  <c r="GU72" i="4"/>
  <c r="GS92" i="4"/>
  <c r="GU92" i="4"/>
  <c r="GS9" i="4"/>
  <c r="GU66" i="4"/>
  <c r="OM56" i="4"/>
  <c r="GS56" i="4"/>
  <c r="GJ56" i="4"/>
  <c r="OU77" i="4"/>
  <c r="GS77" i="4"/>
  <c r="OU102" i="4"/>
  <c r="OJ35" i="4"/>
  <c r="OS84" i="4"/>
  <c r="OU84" i="4"/>
  <c r="GU84" i="4"/>
  <c r="OU32" i="4"/>
  <c r="OS60" i="4"/>
  <c r="GU60" i="4"/>
  <c r="OU25" i="4"/>
  <c r="OJ85" i="4"/>
  <c r="GU85" i="4"/>
  <c r="OJ16" i="4"/>
  <c r="OM16" i="4"/>
  <c r="GU14" i="4"/>
  <c r="OJ49" i="4"/>
  <c r="GJ37" i="4"/>
  <c r="OU10" i="4"/>
  <c r="OS10" i="4"/>
  <c r="OS44" i="4"/>
  <c r="GU44" i="4"/>
  <c r="OS28" i="4"/>
  <c r="GJ57" i="4"/>
  <c r="OM31" i="4"/>
  <c r="GS31" i="4"/>
  <c r="GJ80" i="4"/>
  <c r="OS13" i="4"/>
  <c r="OS89" i="4"/>
  <c r="GU107" i="4"/>
  <c r="OS98" i="4"/>
  <c r="GU27" i="4"/>
  <c r="OM108" i="4"/>
  <c r="GU108" i="4"/>
  <c r="GU39" i="4"/>
  <c r="OJ60" i="4"/>
  <c r="OM60" i="4"/>
  <c r="GS25" i="4"/>
  <c r="OU16" i="4"/>
  <c r="GS16" i="4"/>
  <c r="OJ14" i="4"/>
  <c r="GU49" i="4"/>
  <c r="OM36" i="4"/>
  <c r="OJ36" i="4"/>
  <c r="OM44" i="4"/>
  <c r="GJ44" i="4"/>
  <c r="OS55" i="4"/>
  <c r="OM55" i="4"/>
  <c r="GU28" i="4"/>
  <c r="OJ57" i="4"/>
  <c r="OU57" i="4"/>
  <c r="OS80" i="4"/>
  <c r="OM80" i="4"/>
  <c r="GS103" i="4"/>
  <c r="OU13" i="4"/>
  <c r="OM38" i="4"/>
  <c r="OS38" i="4"/>
  <c r="GS105" i="4"/>
  <c r="OJ74" i="4"/>
  <c r="GU53" i="4"/>
  <c r="OS61" i="4"/>
  <c r="OU61" i="4"/>
  <c r="OS43" i="4"/>
  <c r="OJ9" i="4"/>
  <c r="OJ66" i="4"/>
  <c r="GS66" i="4"/>
  <c r="OJ107" i="4"/>
  <c r="GJ107" i="4"/>
  <c r="OU98" i="4"/>
  <c r="GU98" i="4"/>
  <c r="OM27" i="4"/>
  <c r="OJ39" i="4"/>
  <c r="OU60" i="4"/>
  <c r="GU16" i="4"/>
  <c r="OU49" i="4"/>
  <c r="OS37" i="4"/>
  <c r="OU37" i="4"/>
  <c r="OS36" i="4"/>
  <c r="OU55" i="4"/>
  <c r="GU57" i="4"/>
  <c r="OU31" i="4"/>
  <c r="GS89" i="4"/>
  <c r="OU38" i="4"/>
  <c r="OM105" i="4"/>
  <c r="OS53" i="4"/>
  <c r="GS53" i="4"/>
  <c r="OJ61" i="4"/>
  <c r="OU72" i="4"/>
  <c r="OM72" i="4"/>
  <c r="OU35" i="4"/>
  <c r="GU35" i="4"/>
  <c r="GJ84" i="4"/>
  <c r="OM90" i="4"/>
  <c r="GJ90" i="4"/>
  <c r="GS98" i="4"/>
  <c r="OS27" i="4"/>
  <c r="OJ27" i="4"/>
  <c r="OJ108" i="4"/>
  <c r="GS110" i="4"/>
  <c r="GU110" i="4"/>
  <c r="OM39" i="4"/>
  <c r="GJ39" i="4"/>
  <c r="OJ25" i="4"/>
  <c r="GJ25" i="4"/>
  <c r="GJ14" i="4"/>
  <c r="GU37" i="4"/>
  <c r="GJ10" i="4"/>
  <c r="GS36" i="4"/>
  <c r="GS55" i="4"/>
  <c r="GU55" i="4"/>
  <c r="GJ55" i="4"/>
  <c r="OU28" i="4"/>
  <c r="OJ103" i="4"/>
  <c r="OM13" i="4"/>
  <c r="OM89" i="4"/>
  <c r="OJ89" i="4"/>
  <c r="GU38" i="4"/>
  <c r="GJ38" i="4"/>
  <c r="OU105" i="4"/>
  <c r="OJ53" i="4"/>
  <c r="OM53" i="4"/>
  <c r="GS61" i="4"/>
  <c r="OJ43" i="4"/>
  <c r="OJ56" i="4"/>
  <c r="OU56" i="4"/>
  <c r="GU56" i="4"/>
  <c r="OJ77" i="4"/>
  <c r="GU77" i="4"/>
  <c r="OS102" i="4"/>
  <c r="OM6" i="4"/>
  <c r="OJ84" i="4"/>
  <c r="GS84" i="4"/>
  <c r="OJ98" i="4"/>
  <c r="OU27" i="4"/>
  <c r="OS85" i="4"/>
  <c r="OU85" i="4"/>
  <c r="OM85" i="4"/>
  <c r="GS85" i="4"/>
  <c r="OM49" i="4"/>
  <c r="GJ49" i="4"/>
  <c r="OJ10" i="4"/>
  <c r="GU10" i="4"/>
  <c r="OJ44" i="4"/>
  <c r="OJ28" i="4"/>
  <c r="OJ31" i="4"/>
  <c r="GS80" i="4"/>
  <c r="OU103" i="4"/>
  <c r="OS103" i="4"/>
  <c r="GJ103" i="4"/>
  <c r="OJ13" i="4"/>
  <c r="OU89" i="4"/>
  <c r="OJ38" i="4"/>
  <c r="GJ105" i="4"/>
  <c r="GU105" i="4"/>
  <c r="OM74" i="4"/>
  <c r="GJ74" i="4"/>
  <c r="OU53" i="4"/>
  <c r="GJ61" i="4"/>
  <c r="OS92" i="4"/>
  <c r="OS35" i="4"/>
  <c r="OM107" i="4"/>
  <c r="OJ90" i="4"/>
  <c r="OS90" i="4"/>
  <c r="GS90" i="4"/>
  <c r="GU90" i="4"/>
  <c r="GS27" i="4"/>
  <c r="OS32" i="4"/>
  <c r="GU32" i="4"/>
  <c r="GJ32" i="4"/>
  <c r="GS108" i="4"/>
  <c r="GS39" i="4"/>
  <c r="GU25" i="4"/>
  <c r="GJ16" i="4"/>
  <c r="OM14" i="4"/>
  <c r="OS14" i="4"/>
  <c r="OJ37" i="4"/>
  <c r="GS10" i="4"/>
  <c r="GJ36" i="4"/>
  <c r="OU44" i="4"/>
  <c r="OJ55" i="4"/>
  <c r="OM28" i="4"/>
  <c r="GS28" i="4"/>
  <c r="OS57" i="4"/>
  <c r="GU31" i="4"/>
  <c r="GJ31" i="4"/>
  <c r="OM103" i="4"/>
  <c r="GJ13" i="4"/>
  <c r="GU89" i="4"/>
  <c r="OJ105" i="4"/>
  <c r="OS74" i="4"/>
  <c r="GU74" i="4"/>
  <c r="GS74" i="4"/>
  <c r="OS72" i="4"/>
  <c r="OJ92" i="4"/>
  <c r="OM92" i="4"/>
  <c r="GJ92" i="4"/>
  <c r="OU43" i="4"/>
  <c r="OS9" i="4"/>
  <c r="OU9" i="4"/>
  <c r="OM35" i="4"/>
  <c r="GJ35" i="4"/>
  <c r="OS107" i="4"/>
  <c r="OU107" i="4"/>
  <c r="OU90" i="4"/>
  <c r="OM98" i="4"/>
  <c r="GJ98" i="4"/>
  <c r="GS32" i="4"/>
  <c r="OU108" i="4"/>
  <c r="GJ108" i="4"/>
  <c r="OJ110" i="4"/>
  <c r="OM110" i="4"/>
  <c r="OS39" i="4"/>
  <c r="GJ60" i="4"/>
  <c r="OS25" i="4"/>
  <c r="OU14" i="4"/>
  <c r="OM37" i="4"/>
  <c r="OM57" i="4"/>
  <c r="OU80" i="4"/>
  <c r="GU80" i="4"/>
  <c r="GU103" i="4"/>
  <c r="GU13" i="4"/>
  <c r="OS105" i="4"/>
  <c r="GU61" i="4"/>
  <c r="OJ72" i="4"/>
  <c r="GJ72" i="4"/>
  <c r="GS72" i="4"/>
  <c r="OU92" i="4"/>
  <c r="OM43" i="4"/>
  <c r="GJ43" i="4"/>
  <c r="GU43" i="4"/>
  <c r="GU9" i="4"/>
  <c r="GJ66" i="4"/>
  <c r="OM61" i="4"/>
  <c r="OM9" i="4"/>
  <c r="OS56" i="4"/>
  <c r="OS77" i="4"/>
  <c r="OU58" i="4"/>
  <c r="OJ45" i="4"/>
  <c r="GJ100" i="4"/>
  <c r="OM34" i="4"/>
  <c r="OJ34" i="4"/>
  <c r="GU11" i="4"/>
  <c r="GJ8" i="4"/>
  <c r="OS54" i="4"/>
  <c r="OS78" i="4"/>
  <c r="OS109" i="4"/>
  <c r="OJ70" i="4"/>
  <c r="GU5" i="4"/>
  <c r="GJ81" i="4"/>
  <c r="OU75" i="4"/>
  <c r="OS97" i="4"/>
  <c r="GU7" i="4"/>
  <c r="OS12" i="4"/>
  <c r="OU12" i="4"/>
  <c r="OU96" i="4"/>
  <c r="OJ87" i="4"/>
  <c r="OS87" i="4"/>
  <c r="OS93" i="4"/>
  <c r="OU62" i="4"/>
  <c r="OM62" i="4"/>
  <c r="GJ62" i="4"/>
  <c r="OS69" i="4"/>
  <c r="GS42" i="4"/>
  <c r="OJ47" i="4"/>
  <c r="GU47" i="4"/>
  <c r="GJ4" i="4"/>
  <c r="OM83" i="4"/>
  <c r="OU101" i="4"/>
  <c r="GJ101" i="4"/>
  <c r="GU101" i="4"/>
  <c r="OJ24" i="4"/>
  <c r="GS24" i="4"/>
  <c r="OJ104" i="4"/>
  <c r="OJ63" i="4"/>
  <c r="GJ65" i="4"/>
  <c r="OM19" i="4"/>
  <c r="OJ22" i="4"/>
  <c r="OM106" i="4"/>
  <c r="OM77" i="4"/>
  <c r="OM50" i="4"/>
  <c r="GJ50" i="4"/>
  <c r="OM91" i="4"/>
  <c r="GS58" i="4"/>
  <c r="GS45" i="4"/>
  <c r="OU34" i="4"/>
  <c r="OM17" i="4"/>
  <c r="GU8" i="4"/>
  <c r="OM78" i="4"/>
  <c r="GS78" i="4"/>
  <c r="OJ59" i="4"/>
  <c r="GS5" i="4"/>
  <c r="OJ81" i="4"/>
  <c r="GS94" i="4"/>
  <c r="GU94" i="4"/>
  <c r="OM75" i="4"/>
  <c r="GS75" i="4"/>
  <c r="OU71" i="4"/>
  <c r="GS71" i="4"/>
  <c r="GJ87" i="4"/>
  <c r="OU95" i="4"/>
  <c r="GS95" i="4"/>
  <c r="GU95" i="4"/>
  <c r="GU33" i="4"/>
  <c r="GU69" i="4"/>
  <c r="OS47" i="4"/>
  <c r="GJ47" i="4"/>
  <c r="GU4" i="4"/>
  <c r="OS83" i="4"/>
  <c r="OU83" i="4"/>
  <c r="GU24" i="4"/>
  <c r="GJ104" i="4"/>
  <c r="OJ15" i="4"/>
  <c r="GJ15" i="4"/>
  <c r="GS65" i="4"/>
  <c r="GU65" i="4"/>
  <c r="OS19" i="4"/>
  <c r="OU19" i="4"/>
  <c r="OS22" i="4"/>
  <c r="GS22" i="4"/>
  <c r="OJ111" i="4"/>
  <c r="GS111" i="4"/>
  <c r="OM68" i="4"/>
  <c r="OM29" i="4"/>
  <c r="OS99" i="4"/>
  <c r="OM66" i="4"/>
  <c r="OU50" i="4"/>
  <c r="GU102" i="4"/>
  <c r="OU91" i="4"/>
  <c r="OJ91" i="4"/>
  <c r="OS6" i="4"/>
  <c r="OS58" i="4"/>
  <c r="OM52" i="4"/>
  <c r="OU17" i="4"/>
  <c r="OS17" i="4"/>
  <c r="GJ30" i="4"/>
  <c r="OJ11" i="4"/>
  <c r="OJ8" i="4"/>
  <c r="OU54" i="4"/>
  <c r="GJ78" i="4"/>
  <c r="GU109" i="4"/>
  <c r="OM70" i="4"/>
  <c r="OU59" i="4"/>
  <c r="OJ75" i="4"/>
  <c r="OJ7" i="4"/>
  <c r="GS12" i="4"/>
  <c r="OJ71" i="4"/>
  <c r="OM96" i="4"/>
  <c r="OU87" i="4"/>
  <c r="OJ93" i="4"/>
  <c r="GU62" i="4"/>
  <c r="OS33" i="4"/>
  <c r="OU33" i="4"/>
  <c r="GJ69" i="4"/>
  <c r="OJ83" i="4"/>
  <c r="GU83" i="4"/>
  <c r="OM23" i="4"/>
  <c r="GS23" i="4"/>
  <c r="GU15" i="4"/>
  <c r="OM65" i="4"/>
  <c r="GU19" i="4"/>
  <c r="GJ22" i="4"/>
  <c r="OJ106" i="4"/>
  <c r="GU106" i="4"/>
  <c r="OU68" i="4"/>
  <c r="OS68" i="4"/>
  <c r="OJ29" i="4"/>
  <c r="OU29" i="4"/>
  <c r="OS3" i="4"/>
  <c r="OU3" i="4"/>
  <c r="GS43" i="4"/>
  <c r="GU50" i="4"/>
  <c r="OM102" i="4"/>
  <c r="GU91" i="4"/>
  <c r="OJ100" i="4"/>
  <c r="OM100" i="4"/>
  <c r="GU34" i="4"/>
  <c r="GJ34" i="4"/>
  <c r="OU52" i="4"/>
  <c r="GS52" i="4"/>
  <c r="OM30" i="4"/>
  <c r="GS30" i="4"/>
  <c r="GS54" i="4"/>
  <c r="GU54" i="4"/>
  <c r="OJ78" i="4"/>
  <c r="GU78" i="4"/>
  <c r="OM109" i="4"/>
  <c r="GS109" i="4"/>
  <c r="OS70" i="4"/>
  <c r="OJ5" i="4"/>
  <c r="OS81" i="4"/>
  <c r="OJ94" i="4"/>
  <c r="OM97" i="4"/>
  <c r="GU12" i="4"/>
  <c r="GJ96" i="4"/>
  <c r="OJ62" i="4"/>
  <c r="OU40" i="4"/>
  <c r="GU40" i="4"/>
  <c r="OS42" i="4"/>
  <c r="OM42" i="4"/>
  <c r="GJ42" i="4"/>
  <c r="OJ4" i="4"/>
  <c r="GU23" i="4"/>
  <c r="GJ24" i="4"/>
  <c r="OM63" i="4"/>
  <c r="OS15" i="4"/>
  <c r="GS15" i="4"/>
  <c r="OU65" i="4"/>
  <c r="OJ65" i="4"/>
  <c r="OM22" i="4"/>
  <c r="OU106" i="4"/>
  <c r="OS106" i="4"/>
  <c r="GS106" i="4"/>
  <c r="OM111" i="4"/>
  <c r="GS99" i="4"/>
  <c r="GJ18" i="4"/>
  <c r="OJ48" i="4"/>
  <c r="OM48" i="4"/>
  <c r="GS91" i="4"/>
  <c r="GJ58" i="4"/>
  <c r="OU100" i="4"/>
  <c r="GU100" i="4"/>
  <c r="OS34" i="4"/>
  <c r="OJ52" i="4"/>
  <c r="OU30" i="4"/>
  <c r="OM11" i="4"/>
  <c r="OU78" i="4"/>
  <c r="OJ109" i="4"/>
  <c r="OU109" i="4"/>
  <c r="GJ109" i="4"/>
  <c r="OU70" i="4"/>
  <c r="GJ59" i="4"/>
  <c r="GS81" i="4"/>
  <c r="OU94" i="4"/>
  <c r="GJ75" i="4"/>
  <c r="OU97" i="4"/>
  <c r="OJ12" i="4"/>
  <c r="GJ71" i="4"/>
  <c r="GU87" i="4"/>
  <c r="OJ40" i="4"/>
  <c r="OM69" i="4"/>
  <c r="OJ69" i="4"/>
  <c r="GS69" i="4"/>
  <c r="OM47" i="4"/>
  <c r="GJ83" i="4"/>
  <c r="OS23" i="4"/>
  <c r="OM104" i="4"/>
  <c r="OS104" i="4"/>
  <c r="OU63" i="4"/>
  <c r="OS63" i="4"/>
  <c r="GJ63" i="4"/>
  <c r="OM15" i="4"/>
  <c r="OU22" i="4"/>
  <c r="GJ111" i="4"/>
  <c r="GJ68" i="4"/>
  <c r="OS29" i="4"/>
  <c r="GJ9" i="4"/>
  <c r="OS66" i="4"/>
  <c r="OS50" i="4"/>
  <c r="OJ102" i="4"/>
  <c r="GS102" i="4"/>
  <c r="OU6" i="4"/>
  <c r="GJ6" i="4"/>
  <c r="OM45" i="4"/>
  <c r="OS45" i="4"/>
  <c r="GU45" i="4"/>
  <c r="GS100" i="4"/>
  <c r="GJ52" i="4"/>
  <c r="OJ17" i="4"/>
  <c r="GJ17" i="4"/>
  <c r="GU30" i="4"/>
  <c r="OS11" i="4"/>
  <c r="OU11" i="4"/>
  <c r="GS8" i="4"/>
  <c r="OM59" i="4"/>
  <c r="OU5" i="4"/>
  <c r="OM81" i="4"/>
  <c r="OS75" i="4"/>
  <c r="GU75" i="4"/>
  <c r="GS97" i="4"/>
  <c r="GU97" i="4"/>
  <c r="OM7" i="4"/>
  <c r="OS7" i="4"/>
  <c r="OM71" i="4"/>
  <c r="GU71" i="4"/>
  <c r="GS96" i="4"/>
  <c r="GU96" i="4"/>
  <c r="OM87" i="4"/>
  <c r="OM95" i="4"/>
  <c r="GJ93" i="4"/>
  <c r="GS62" i="4"/>
  <c r="OM40" i="4"/>
  <c r="GJ40" i="4"/>
  <c r="GS33" i="4"/>
  <c r="OU69" i="4"/>
  <c r="GU42" i="4"/>
  <c r="OU47" i="4"/>
  <c r="GS47" i="4"/>
  <c r="GS4" i="4"/>
  <c r="GS101" i="4"/>
  <c r="OJ23" i="4"/>
  <c r="GJ23" i="4"/>
  <c r="OU104" i="4"/>
  <c r="GS63" i="4"/>
  <c r="GU63" i="4"/>
  <c r="OJ19" i="4"/>
  <c r="GJ19" i="4"/>
  <c r="GU22" i="4"/>
  <c r="GJ106" i="4"/>
  <c r="OS111" i="4"/>
  <c r="OU111" i="4"/>
  <c r="OJ68" i="4"/>
  <c r="GU68" i="4"/>
  <c r="GU29" i="4"/>
  <c r="OU99" i="4"/>
  <c r="GU99" i="4"/>
  <c r="GS3" i="4"/>
  <c r="GJ3" i="4"/>
  <c r="OU18" i="4"/>
  <c r="OS18" i="4"/>
  <c r="GJ77" i="4"/>
  <c r="OJ50" i="4"/>
  <c r="GS50" i="4"/>
  <c r="GJ102" i="4"/>
  <c r="OS91" i="4"/>
  <c r="GU6" i="4"/>
  <c r="OJ58" i="4"/>
  <c r="GU58" i="4"/>
  <c r="OU45" i="4"/>
  <c r="GJ45" i="4"/>
  <c r="GU52" i="4"/>
  <c r="GU17" i="4"/>
  <c r="OS30" i="4"/>
  <c r="OJ30" i="4"/>
  <c r="OM8" i="4"/>
  <c r="GJ54" i="4"/>
  <c r="GJ70" i="4"/>
  <c r="GU59" i="4"/>
  <c r="OU81" i="4"/>
  <c r="GU81" i="4"/>
  <c r="GJ97" i="4"/>
  <c r="OU7" i="4"/>
  <c r="GJ12" i="4"/>
  <c r="OS71" i="4"/>
  <c r="OS96" i="4"/>
  <c r="GJ33" i="4"/>
  <c r="OU42" i="4"/>
  <c r="OM4" i="4"/>
  <c r="GS83" i="4"/>
  <c r="OM101" i="4"/>
  <c r="OU23" i="4"/>
  <c r="GU104" i="4"/>
  <c r="OU15" i="4"/>
  <c r="OJ3" i="4"/>
  <c r="OU66" i="4"/>
  <c r="GJ91" i="4"/>
  <c r="OJ6" i="4"/>
  <c r="GS6" i="4"/>
  <c r="OM58" i="4"/>
  <c r="OS100" i="4"/>
  <c r="GS34" i="4"/>
  <c r="OS52" i="4"/>
  <c r="GS17" i="4"/>
  <c r="GS11" i="4"/>
  <c r="GJ11" i="4"/>
  <c r="OS8" i="4"/>
  <c r="OU8" i="4"/>
  <c r="OM54" i="4"/>
  <c r="OJ54" i="4"/>
  <c r="GU70" i="4"/>
  <c r="GS70" i="4"/>
  <c r="OS59" i="4"/>
  <c r="GS59" i="4"/>
  <c r="OS5" i="4"/>
  <c r="OM5" i="4"/>
  <c r="GJ5" i="4"/>
  <c r="OS94" i="4"/>
  <c r="OM94" i="4"/>
  <c r="GJ94" i="4"/>
  <c r="OJ97" i="4"/>
  <c r="GS7" i="4"/>
  <c r="GJ7" i="4"/>
  <c r="OM12" i="4"/>
  <c r="OJ96" i="4"/>
  <c r="GS87" i="4"/>
  <c r="OJ95" i="4"/>
  <c r="OS95" i="4"/>
  <c r="GJ95" i="4"/>
  <c r="OM93" i="4"/>
  <c r="OU93" i="4"/>
  <c r="GS93" i="4"/>
  <c r="GU93" i="4"/>
  <c r="OS62" i="4"/>
  <c r="OS40" i="4"/>
  <c r="GS40" i="4"/>
  <c r="OJ33" i="4"/>
  <c r="OM33" i="4"/>
  <c r="OJ42" i="4"/>
  <c r="OS4" i="4"/>
  <c r="OU4" i="4"/>
  <c r="OJ101" i="4"/>
  <c r="OS101" i="4"/>
  <c r="OS24" i="4"/>
  <c r="OU24" i="4"/>
  <c r="OM24" i="4"/>
  <c r="GS104" i="4"/>
  <c r="OS65" i="4"/>
  <c r="GS19" i="4"/>
  <c r="GU18" i="4"/>
  <c r="GU48" i="4"/>
  <c r="GJ20" i="4"/>
  <c r="OJ88" i="4"/>
  <c r="OS26" i="4"/>
  <c r="GJ41" i="4"/>
  <c r="OJ79" i="4"/>
  <c r="OS51" i="4"/>
  <c r="OM51" i="4"/>
  <c r="GU86" i="4"/>
  <c r="OS21" i="4"/>
  <c r="GU21" i="4"/>
  <c r="GU3" i="4"/>
  <c r="OS82" i="4"/>
  <c r="OU79" i="4"/>
  <c r="OM86" i="4"/>
  <c r="OS86" i="4"/>
  <c r="OJ67" i="4"/>
  <c r="GS67" i="4"/>
  <c r="GU67" i="4"/>
  <c r="OS64" i="4"/>
  <c r="OJ46" i="4"/>
  <c r="GJ46" i="4"/>
  <c r="GJ29" i="4"/>
  <c r="OM99" i="4"/>
  <c r="OJ99" i="4"/>
  <c r="OS20" i="4"/>
  <c r="OM88" i="4"/>
  <c r="GS82" i="4"/>
  <c r="GJ73" i="4"/>
  <c r="OU41" i="4"/>
  <c r="OM76" i="4"/>
  <c r="GJ76" i="4"/>
  <c r="GS76" i="4"/>
  <c r="OU86" i="4"/>
  <c r="OU64" i="4"/>
  <c r="OJ21" i="4"/>
  <c r="GS21" i="4"/>
  <c r="OS46" i="4"/>
  <c r="GS68" i="4"/>
  <c r="GJ99" i="4"/>
  <c r="GS18" i="4"/>
  <c r="OM20" i="4"/>
  <c r="GU88" i="4"/>
  <c r="OJ82" i="4"/>
  <c r="OJ26" i="4"/>
  <c r="GS26" i="4"/>
  <c r="OM73" i="4"/>
  <c r="GU73" i="4"/>
  <c r="GU41" i="4"/>
  <c r="GS79" i="4"/>
  <c r="OU51" i="4"/>
  <c r="GS51" i="4"/>
  <c r="OJ76" i="4"/>
  <c r="GU76" i="4"/>
  <c r="GS86" i="4"/>
  <c r="OU46" i="4"/>
  <c r="GS46" i="4"/>
  <c r="GS29" i="4"/>
  <c r="OM3" i="4"/>
  <c r="OU48" i="4"/>
  <c r="GS48" i="4"/>
  <c r="GU20" i="4"/>
  <c r="GS20" i="4"/>
  <c r="GS88" i="4"/>
  <c r="GU82" i="4"/>
  <c r="OM26" i="4"/>
  <c r="OU73" i="4"/>
  <c r="OS41" i="4"/>
  <c r="OS79" i="4"/>
  <c r="GU79" i="4"/>
  <c r="OJ51" i="4"/>
  <c r="GJ51" i="4"/>
  <c r="OJ64" i="4"/>
  <c r="GJ64" i="4"/>
  <c r="OS48" i="4"/>
  <c r="OU26" i="4"/>
  <c r="GJ26" i="4"/>
  <c r="OJ73" i="4"/>
  <c r="OS73" i="4"/>
  <c r="OJ41" i="4"/>
  <c r="GU51" i="4"/>
  <c r="OU76" i="4"/>
  <c r="OJ86" i="4"/>
  <c r="OM67" i="4"/>
  <c r="GU64" i="4"/>
  <c r="OU21" i="4"/>
  <c r="GU46" i="4"/>
  <c r="OJ18" i="4"/>
  <c r="GJ48" i="4"/>
  <c r="OJ20" i="4"/>
  <c r="OS88" i="4"/>
  <c r="OU88" i="4"/>
  <c r="OM82" i="4"/>
  <c r="GJ82" i="4"/>
  <c r="OM41" i="4"/>
  <c r="OM79" i="4"/>
  <c r="GJ79" i="4"/>
  <c r="OM64" i="4"/>
  <c r="GJ21" i="4"/>
  <c r="GU111" i="4"/>
  <c r="OM18" i="4"/>
  <c r="OU20" i="4"/>
  <c r="GJ88" i="4"/>
  <c r="OU82" i="4"/>
  <c r="GU26" i="4"/>
  <c r="GS73" i="4"/>
  <c r="GS41" i="4"/>
  <c r="OS76" i="4"/>
  <c r="OS67" i="4"/>
  <c r="GS64" i="4"/>
  <c r="OM21" i="4"/>
  <c r="OM46" i="4"/>
  <c r="GJ86" i="4"/>
  <c r="OU67" i="4"/>
  <c r="GJ67" i="4"/>
  <c r="NW86" i="4"/>
  <c r="FS26" i="4"/>
  <c r="FV67" i="4"/>
  <c r="FP79" i="4"/>
  <c r="FV68" i="4"/>
  <c r="FM73" i="4"/>
  <c r="FP88" i="4"/>
  <c r="NT67" i="4"/>
  <c r="NQ73" i="4"/>
  <c r="FM64" i="4"/>
  <c r="FJ82" i="4"/>
  <c r="FP21" i="4"/>
  <c r="FJ73" i="4"/>
  <c r="NW3" i="4"/>
  <c r="FV21" i="4"/>
  <c r="NZ41" i="4"/>
  <c r="FJ88" i="4"/>
  <c r="OC21" i="4"/>
  <c r="NZ88" i="4"/>
  <c r="NZ68" i="4"/>
  <c r="FP15" i="4"/>
  <c r="FP47" i="4"/>
  <c r="NZ87" i="4"/>
  <c r="NT81" i="4"/>
  <c r="NW17" i="4"/>
  <c r="NT58" i="4"/>
  <c r="NW77" i="4"/>
  <c r="NZ22" i="4"/>
  <c r="NZ101" i="4"/>
  <c r="NZ93" i="4"/>
  <c r="OC12" i="4"/>
  <c r="FV109" i="4"/>
  <c r="FS17" i="4"/>
  <c r="FV102" i="4"/>
  <c r="FV99" i="4"/>
  <c r="NQ65" i="4"/>
  <c r="OC4" i="4"/>
  <c r="OC62" i="4"/>
  <c r="NW12" i="4"/>
  <c r="OC5" i="4"/>
  <c r="FS8" i="4"/>
  <c r="OC52" i="4"/>
  <c r="FV91" i="4"/>
  <c r="FJ68" i="4"/>
  <c r="FS63" i="4"/>
  <c r="NW62" i="4"/>
  <c r="NQ7" i="4"/>
  <c r="FJ78" i="4"/>
  <c r="FP45" i="4"/>
  <c r="NQ99" i="4"/>
  <c r="FJ65" i="4"/>
  <c r="FM83" i="4"/>
  <c r="NW40" i="4"/>
  <c r="FM7" i="4"/>
  <c r="FS54" i="4"/>
  <c r="OC100" i="4"/>
  <c r="FM50" i="4"/>
  <c r="NQ68" i="4"/>
  <c r="FS15" i="4"/>
  <c r="FV101" i="4"/>
  <c r="FS95" i="4"/>
  <c r="FM81" i="4"/>
  <c r="NT109" i="4"/>
  <c r="NZ58" i="4"/>
  <c r="NT24" i="4"/>
  <c r="FM47" i="4"/>
  <c r="FJ40" i="4"/>
  <c r="FM97" i="4"/>
  <c r="NW109" i="4"/>
  <c r="FJ17" i="4"/>
  <c r="OC6" i="4"/>
  <c r="FM22" i="4"/>
  <c r="NZ23" i="4"/>
  <c r="FP62" i="4"/>
  <c r="FP7" i="4"/>
  <c r="FV59" i="4"/>
  <c r="FV11" i="4"/>
  <c r="NQ45" i="4"/>
  <c r="FP9" i="4"/>
  <c r="NT38" i="4"/>
  <c r="FJ55" i="4"/>
  <c r="FP60" i="4"/>
  <c r="NZ98" i="4"/>
  <c r="FM105" i="4"/>
  <c r="FV28" i="4"/>
  <c r="NW10" i="4"/>
  <c r="NW25" i="4"/>
  <c r="NZ107" i="4"/>
  <c r="FP105" i="4"/>
  <c r="FV55" i="4"/>
  <c r="NQ25" i="4"/>
  <c r="FV98" i="4"/>
  <c r="NW50" i="4"/>
  <c r="OC9" i="4"/>
  <c r="FP13" i="4"/>
  <c r="FP28" i="4"/>
  <c r="NZ37" i="4"/>
  <c r="FP16" i="4"/>
  <c r="FP32" i="4"/>
  <c r="NQ107" i="4"/>
  <c r="FS105" i="4"/>
  <c r="FV31" i="4"/>
  <c r="NW49" i="4"/>
  <c r="FS32" i="4"/>
  <c r="FJ56" i="4"/>
  <c r="FS72" i="4"/>
  <c r="NW89" i="4"/>
  <c r="FM10" i="4"/>
  <c r="FM39" i="4"/>
  <c r="OC27" i="4"/>
  <c r="FJ74" i="4"/>
  <c r="NT80" i="4"/>
  <c r="NQ37" i="4"/>
  <c r="FS107" i="4"/>
  <c r="NQ61" i="4"/>
  <c r="NQ89" i="4"/>
  <c r="NZ55" i="4"/>
  <c r="FM25" i="4"/>
  <c r="FJ98" i="4"/>
  <c r="FP35" i="4"/>
  <c r="NS64" i="4"/>
  <c r="FL41" i="4"/>
  <c r="NV88" i="4"/>
  <c r="NP86" i="4"/>
  <c r="NY48" i="4"/>
  <c r="NV79" i="4"/>
  <c r="FO86" i="4"/>
  <c r="FI26" i="4"/>
  <c r="NV99" i="4"/>
  <c r="NV86" i="4"/>
  <c r="NS26" i="4"/>
  <c r="FO64" i="4"/>
  <c r="NS73" i="4"/>
  <c r="NS3" i="4"/>
  <c r="FL51" i="4"/>
  <c r="NP18" i="4"/>
  <c r="NV82" i="4"/>
  <c r="NS19" i="4"/>
  <c r="OB104" i="4"/>
  <c r="FO47" i="4"/>
  <c r="OB87" i="4"/>
  <c r="FR59" i="4"/>
  <c r="FL17" i="4"/>
  <c r="NS56" i="4"/>
  <c r="NY111" i="4"/>
  <c r="FI63" i="4"/>
  <c r="NV69" i="4"/>
  <c r="OB95" i="4"/>
  <c r="NP75" i="4"/>
  <c r="NP109" i="4"/>
  <c r="FI100" i="4"/>
  <c r="OB6" i="4"/>
  <c r="FO48" i="4"/>
  <c r="OB106" i="4"/>
  <c r="NY24" i="4"/>
  <c r="FO95" i="4"/>
  <c r="NY81" i="4"/>
  <c r="FO11" i="4"/>
  <c r="OB45" i="4"/>
  <c r="FL106" i="4"/>
  <c r="FL23" i="4"/>
  <c r="OB69" i="4"/>
  <c r="FO12" i="4"/>
  <c r="NY70" i="4"/>
  <c r="NV91" i="4"/>
  <c r="NV3" i="4"/>
  <c r="NS63" i="4"/>
  <c r="NY69" i="4"/>
  <c r="NS71" i="4"/>
  <c r="NP70" i="4"/>
  <c r="NV52" i="4"/>
  <c r="NS91" i="4"/>
  <c r="FI29" i="4"/>
  <c r="FU63" i="4"/>
  <c r="FL69" i="4"/>
  <c r="FL96" i="4"/>
  <c r="FO81" i="4"/>
  <c r="NS30" i="4"/>
  <c r="NV102" i="4"/>
  <c r="FR68" i="4"/>
  <c r="FI15" i="4"/>
  <c r="NY40" i="4"/>
  <c r="OB71" i="4"/>
  <c r="NP5" i="4"/>
  <c r="FO30" i="4"/>
  <c r="FO102" i="4"/>
  <c r="NP106" i="4"/>
  <c r="OB23" i="4"/>
  <c r="FI95" i="4"/>
  <c r="NV5" i="4"/>
  <c r="NY50" i="4"/>
  <c r="NP61" i="4"/>
  <c r="NP28" i="4"/>
  <c r="NP32" i="4"/>
  <c r="NV53" i="4"/>
  <c r="FO57" i="4"/>
  <c r="FR85" i="4"/>
  <c r="FO84" i="4"/>
  <c r="FI31" i="4"/>
  <c r="NS14" i="4"/>
  <c r="NP35" i="4"/>
  <c r="FL43" i="4"/>
  <c r="FI105" i="4"/>
  <c r="FR57" i="4"/>
  <c r="FL16" i="4"/>
  <c r="OB98" i="4"/>
  <c r="OB103" i="4"/>
  <c r="OB25" i="4"/>
  <c r="FO43" i="4"/>
  <c r="FR28" i="4"/>
  <c r="FR60" i="4"/>
  <c r="NY89" i="4"/>
  <c r="FR110" i="4"/>
  <c r="NS66" i="4"/>
  <c r="NS36" i="4"/>
  <c r="FJ51" i="4"/>
  <c r="NT26" i="4"/>
  <c r="NW67" i="4"/>
  <c r="NZ73" i="4"/>
  <c r="NW64" i="4"/>
  <c r="FP73" i="4"/>
  <c r="OC88" i="4"/>
  <c r="NQ67" i="4"/>
  <c r="NW82" i="4"/>
  <c r="FJ67" i="4"/>
  <c r="NZ82" i="4"/>
  <c r="NT64" i="4"/>
  <c r="NW26" i="4"/>
  <c r="FP29" i="4"/>
  <c r="NZ21" i="4"/>
  <c r="NQ41" i="4"/>
  <c r="NW20" i="4"/>
  <c r="NT21" i="4"/>
  <c r="NT20" i="4"/>
  <c r="NW68" i="4"/>
  <c r="FM15" i="4"/>
  <c r="OC47" i="4"/>
  <c r="FP96" i="4"/>
  <c r="NT59" i="4"/>
  <c r="FV52" i="4"/>
  <c r="FS6" i="4"/>
  <c r="NZ9" i="4"/>
  <c r="NW19" i="4"/>
  <c r="NW83" i="4"/>
  <c r="OC93" i="4"/>
  <c r="FP97" i="4"/>
  <c r="OC109" i="4"/>
  <c r="NQ52" i="4"/>
  <c r="NQ50" i="4"/>
  <c r="FS68" i="4"/>
  <c r="OC65" i="4"/>
  <c r="NQ4" i="4"/>
  <c r="NW93" i="4"/>
  <c r="NQ12" i="4"/>
  <c r="NQ5" i="4"/>
  <c r="NQ8" i="4"/>
  <c r="FS100" i="4"/>
  <c r="NW102" i="4"/>
  <c r="OC68" i="4"/>
  <c r="NQ24" i="4"/>
  <c r="FS87" i="4"/>
  <c r="NT97" i="4"/>
  <c r="FV78" i="4"/>
  <c r="FP58" i="4"/>
  <c r="FM68" i="4"/>
  <c r="NQ15" i="4"/>
  <c r="FJ47" i="4"/>
  <c r="FJ62" i="4"/>
  <c r="NW7" i="4"/>
  <c r="FM11" i="4"/>
  <c r="NT45" i="4"/>
  <c r="NQ77" i="4"/>
  <c r="FJ111" i="4"/>
  <c r="FV63" i="4"/>
  <c r="NW101" i="4"/>
  <c r="FV95" i="4"/>
  <c r="FV5" i="4"/>
  <c r="NZ8" i="4"/>
  <c r="FS91" i="4"/>
  <c r="FV23" i="4"/>
  <c r="FS42" i="4"/>
  <c r="NZ40" i="4"/>
  <c r="NW97" i="4"/>
  <c r="NZ78" i="4"/>
  <c r="OC17" i="4"/>
  <c r="FM102" i="4"/>
  <c r="FJ19" i="4"/>
  <c r="NT101" i="4"/>
  <c r="FS93" i="4"/>
  <c r="FV7" i="4"/>
  <c r="NZ59" i="4"/>
  <c r="NT30" i="4"/>
  <c r="FV6" i="4"/>
  <c r="FM43" i="4"/>
  <c r="FS13" i="4"/>
  <c r="NQ44" i="4"/>
  <c r="FV39" i="4"/>
  <c r="FM90" i="4"/>
  <c r="OC105" i="4"/>
  <c r="NQ28" i="4"/>
  <c r="OC37" i="4"/>
  <c r="FS110" i="4"/>
  <c r="NW84" i="4"/>
  <c r="NT105" i="4"/>
  <c r="NW55" i="4"/>
  <c r="FS60" i="4"/>
  <c r="NT98" i="4"/>
  <c r="NT77" i="4"/>
  <c r="OC43" i="4"/>
  <c r="FM13" i="4"/>
  <c r="NT55" i="4"/>
  <c r="NT37" i="4"/>
  <c r="NW16" i="4"/>
  <c r="NW32" i="4"/>
  <c r="FM84" i="4"/>
  <c r="NZ38" i="4"/>
  <c r="NZ31" i="4"/>
  <c r="FV16" i="4"/>
  <c r="NQ32" i="4"/>
  <c r="FS56" i="4"/>
  <c r="FP72" i="4"/>
  <c r="FJ13" i="4"/>
  <c r="FJ37" i="4"/>
  <c r="NW39" i="4"/>
  <c r="OC98" i="4"/>
  <c r="FS74" i="4"/>
  <c r="FP57" i="4"/>
  <c r="NQ49" i="4"/>
  <c r="FV107" i="4"/>
  <c r="FP74" i="4"/>
  <c r="FV80" i="4"/>
  <c r="FP44" i="4"/>
  <c r="FP25" i="4"/>
  <c r="FM98" i="4"/>
  <c r="FS35" i="4"/>
  <c r="NS46" i="4"/>
  <c r="NP64" i="4"/>
  <c r="NY41" i="4"/>
  <c r="NP88" i="4"/>
  <c r="NP79" i="4"/>
  <c r="NP3" i="4"/>
  <c r="FI41" i="4"/>
  <c r="NY86" i="4"/>
  <c r="FL26" i="4"/>
  <c r="FI68" i="4"/>
  <c r="FR76" i="4"/>
  <c r="FU82" i="4"/>
  <c r="FL64" i="4"/>
  <c r="NP26" i="4"/>
  <c r="OB46" i="4"/>
  <c r="OB51" i="4"/>
  <c r="FU86" i="4"/>
  <c r="FI88" i="4"/>
  <c r="NP65" i="4"/>
  <c r="FU23" i="4"/>
  <c r="FI47" i="4"/>
  <c r="NV87" i="4"/>
  <c r="NS59" i="4"/>
  <c r="FO34" i="4"/>
  <c r="NP66" i="4"/>
  <c r="NP22" i="4"/>
  <c r="NS24" i="4"/>
  <c r="NS33" i="4"/>
  <c r="NY95" i="4"/>
  <c r="FL94" i="4"/>
  <c r="FO8" i="4"/>
  <c r="NY100" i="4"/>
  <c r="FL91" i="4"/>
  <c r="NV48" i="4"/>
  <c r="FR65" i="4"/>
  <c r="FR101" i="4"/>
  <c r="FR7" i="4"/>
  <c r="FR5" i="4"/>
  <c r="FR11" i="4"/>
  <c r="FR102" i="4"/>
  <c r="FI106" i="4"/>
  <c r="NY23" i="4"/>
  <c r="FU40" i="4"/>
  <c r="NP12" i="4"/>
  <c r="NV70" i="4"/>
  <c r="NY102" i="4"/>
  <c r="NY99" i="4"/>
  <c r="NV104" i="4"/>
  <c r="FI33" i="4"/>
  <c r="OB12" i="4"/>
  <c r="FL109" i="4"/>
  <c r="NY52" i="4"/>
  <c r="FO50" i="4"/>
  <c r="NV29" i="4"/>
  <c r="FU101" i="4"/>
  <c r="FU33" i="4"/>
  <c r="FU96" i="4"/>
  <c r="OB70" i="4"/>
  <c r="FR17" i="4"/>
  <c r="NP50" i="4"/>
  <c r="FR111" i="4"/>
  <c r="FR63" i="4"/>
  <c r="FI62" i="4"/>
  <c r="NV12" i="4"/>
  <c r="FO59" i="4"/>
  <c r="NY17" i="4"/>
  <c r="FR56" i="4"/>
  <c r="FR22" i="4"/>
  <c r="FR83" i="4"/>
  <c r="FO87" i="4"/>
  <c r="NY59" i="4"/>
  <c r="OB56" i="4"/>
  <c r="FU105" i="4"/>
  <c r="NY28" i="4"/>
  <c r="FL27" i="4"/>
  <c r="FR74" i="4"/>
  <c r="FI55" i="4"/>
  <c r="FR25" i="4"/>
  <c r="FI35" i="4"/>
  <c r="OB55" i="4"/>
  <c r="OB16" i="4"/>
  <c r="NY6" i="4"/>
  <c r="FO92" i="4"/>
  <c r="NV38" i="4"/>
  <c r="NY57" i="4"/>
  <c r="NS25" i="4"/>
  <c r="OB84" i="4"/>
  <c r="NV80" i="4"/>
  <c r="OB39" i="4"/>
  <c r="FO61" i="4"/>
  <c r="NY108" i="4"/>
  <c r="NP31" i="4"/>
  <c r="FU110" i="4"/>
  <c r="FU43" i="4"/>
  <c r="NP85" i="4"/>
  <c r="FI10" i="4"/>
  <c r="FI32" i="4"/>
  <c r="FI50" i="4"/>
  <c r="FI85" i="4"/>
  <c r="FI110" i="4"/>
  <c r="FI36" i="4"/>
  <c r="FI25" i="4"/>
  <c r="FI103" i="4"/>
  <c r="FI74" i="4"/>
  <c r="FI84" i="4"/>
  <c r="FI16" i="4"/>
  <c r="FI92" i="4"/>
  <c r="FI5" i="4"/>
  <c r="FI71" i="4"/>
  <c r="FI58" i="4"/>
  <c r="FI99" i="4"/>
  <c r="FI42" i="4"/>
  <c r="FI64" i="4"/>
  <c r="FI28" i="4"/>
  <c r="FI9" i="4"/>
  <c r="FI60" i="4"/>
  <c r="FI61" i="4"/>
  <c r="FI57" i="4"/>
  <c r="FI102" i="4"/>
  <c r="FI37" i="4"/>
  <c r="FI27" i="4"/>
  <c r="FI66" i="4"/>
  <c r="FI109" i="4"/>
  <c r="FI87" i="4"/>
  <c r="FI43" i="4"/>
  <c r="FI75" i="4"/>
  <c r="FI30" i="4"/>
  <c r="NW46" i="4"/>
  <c r="FM51" i="4"/>
  <c r="FS20" i="4"/>
  <c r="FJ86" i="4"/>
  <c r="FJ26" i="4"/>
  <c r="FM67" i="4"/>
  <c r="NQ26" i="4"/>
  <c r="NQ20" i="4"/>
  <c r="NZ86" i="4"/>
  <c r="FV18" i="4"/>
  <c r="NZ67" i="4"/>
  <c r="NT88" i="4"/>
  <c r="FP67" i="4"/>
  <c r="NT82" i="4"/>
  <c r="NZ29" i="4"/>
  <c r="FM76" i="4"/>
  <c r="NT73" i="4"/>
  <c r="OC20" i="4"/>
  <c r="NQ64" i="4"/>
  <c r="FM48" i="4"/>
  <c r="FM106" i="4"/>
  <c r="NT15" i="4"/>
  <c r="FV69" i="4"/>
  <c r="FP71" i="4"/>
  <c r="NQ59" i="4"/>
  <c r="FS52" i="4"/>
  <c r="NZ6" i="4"/>
  <c r="NZ92" i="4"/>
  <c r="FV65" i="4"/>
  <c r="FJ4" i="4"/>
  <c r="NW87" i="4"/>
  <c r="FV97" i="4"/>
  <c r="FM78" i="4"/>
  <c r="FV34" i="4"/>
  <c r="NW9" i="4"/>
  <c r="FM111" i="4"/>
  <c r="FJ15" i="4"/>
  <c r="NT42" i="4"/>
  <c r="FJ95" i="4"/>
  <c r="FJ7" i="4"/>
  <c r="FM70" i="4"/>
  <c r="OC8" i="4"/>
  <c r="FM45" i="4"/>
  <c r="FV50" i="4"/>
  <c r="FV106" i="4"/>
  <c r="NW23" i="4"/>
  <c r="OC96" i="4"/>
  <c r="FJ75" i="4"/>
  <c r="OC78" i="4"/>
  <c r="NT102" i="4"/>
  <c r="NT68" i="4"/>
  <c r="FM104" i="4"/>
  <c r="NT47" i="4"/>
  <c r="FM93" i="4"/>
  <c r="NZ97" i="4"/>
  <c r="OC11" i="4"/>
  <c r="NW45" i="4"/>
  <c r="OC56" i="4"/>
  <c r="NZ111" i="4"/>
  <c r="NZ63" i="4"/>
  <c r="NZ4" i="4"/>
  <c r="OC95" i="4"/>
  <c r="NZ5" i="4"/>
  <c r="NW11" i="4"/>
  <c r="FJ102" i="4"/>
  <c r="FM101" i="4"/>
  <c r="OC42" i="4"/>
  <c r="FM62" i="4"/>
  <c r="NT94" i="4"/>
  <c r="FJ54" i="4"/>
  <c r="FJ34" i="4"/>
  <c r="FS50" i="4"/>
  <c r="FS65" i="4"/>
  <c r="OC101" i="4"/>
  <c r="FV93" i="4"/>
  <c r="NT7" i="4"/>
  <c r="FV70" i="4"/>
  <c r="FV17" i="4"/>
  <c r="FP102" i="4"/>
  <c r="NW72" i="4"/>
  <c r="OC13" i="4"/>
  <c r="FP36" i="4"/>
  <c r="FV110" i="4"/>
  <c r="FS84" i="4"/>
  <c r="NZ105" i="4"/>
  <c r="FP55" i="4"/>
  <c r="NZ49" i="4"/>
  <c r="FJ110" i="4"/>
  <c r="NQ84" i="4"/>
  <c r="NQ105" i="4"/>
  <c r="NT44" i="4"/>
  <c r="FP39" i="4"/>
  <c r="FP90" i="4"/>
  <c r="NW56" i="4"/>
  <c r="NW43" i="4"/>
  <c r="FS103" i="4"/>
  <c r="FM44" i="4"/>
  <c r="FV49" i="4"/>
  <c r="FM85" i="4"/>
  <c r="OC32" i="4"/>
  <c r="OC35" i="4"/>
  <c r="NQ38" i="4"/>
  <c r="NT57" i="4"/>
  <c r="FJ85" i="4"/>
  <c r="FS90" i="4"/>
  <c r="NZ56" i="4"/>
  <c r="NQ72" i="4"/>
  <c r="FP14" i="4"/>
  <c r="NZ39" i="4"/>
  <c r="FJ90" i="4"/>
  <c r="NW74" i="4"/>
  <c r="FV57" i="4"/>
  <c r="FV14" i="4"/>
  <c r="FS77" i="4"/>
  <c r="NQ74" i="4"/>
  <c r="NZ80" i="4"/>
  <c r="FM36" i="4"/>
  <c r="NQ98" i="4"/>
  <c r="NY46" i="4"/>
  <c r="FL86" i="4"/>
  <c r="NS41" i="4"/>
  <c r="NS48" i="4"/>
  <c r="NY79" i="4"/>
  <c r="OB99" i="4"/>
  <c r="NV41" i="4"/>
  <c r="OB86" i="4"/>
  <c r="NS88" i="4"/>
  <c r="FL21" i="4"/>
  <c r="NY76" i="4"/>
  <c r="FI82" i="4"/>
  <c r="FI67" i="4"/>
  <c r="NY26" i="4"/>
  <c r="FL46" i="4"/>
  <c r="FU26" i="4"/>
  <c r="NS86" i="4"/>
  <c r="NS20" i="4"/>
  <c r="FO15" i="4"/>
  <c r="FO23" i="4"/>
  <c r="NS47" i="4"/>
  <c r="FU12" i="4"/>
  <c r="FO109" i="4"/>
  <c r="OB34" i="4"/>
  <c r="FU9" i="4"/>
  <c r="OB22" i="4"/>
  <c r="FO83" i="4"/>
  <c r="OB33" i="4"/>
  <c r="FU87" i="4"/>
  <c r="NY94" i="4"/>
  <c r="NS8" i="4"/>
  <c r="FO45" i="4"/>
  <c r="OB102" i="4"/>
  <c r="FI18" i="4"/>
  <c r="OB65" i="4"/>
  <c r="NY101" i="4"/>
  <c r="NS7" i="4"/>
  <c r="FO5" i="4"/>
  <c r="FR30" i="4"/>
  <c r="FL77" i="4"/>
  <c r="FU22" i="4"/>
  <c r="NV101" i="4"/>
  <c r="FL93" i="4"/>
  <c r="FU7" i="4"/>
  <c r="NY30" i="4"/>
  <c r="FU50" i="4"/>
  <c r="NS99" i="4"/>
  <c r="FI23" i="4"/>
  <c r="FR93" i="4"/>
  <c r="FL75" i="4"/>
  <c r="OB109" i="4"/>
  <c r="NP34" i="4"/>
  <c r="OB50" i="4"/>
  <c r="FL68" i="4"/>
  <c r="NV83" i="4"/>
  <c r="NP33" i="4"/>
  <c r="FR71" i="4"/>
  <c r="NV109" i="4"/>
  <c r="NS17" i="4"/>
  <c r="NP56" i="4"/>
  <c r="FO106" i="4"/>
  <c r="FR24" i="4"/>
  <c r="NV93" i="4"/>
  <c r="FL7" i="4"/>
  <c r="FR109" i="4"/>
  <c r="NS45" i="4"/>
  <c r="FI56" i="4"/>
  <c r="FO19" i="4"/>
  <c r="NV4" i="4"/>
  <c r="NV96" i="4"/>
  <c r="FR78" i="4"/>
  <c r="NY61" i="4"/>
  <c r="FL89" i="4"/>
  <c r="FR44" i="4"/>
  <c r="FI38" i="4"/>
  <c r="FO44" i="4"/>
  <c r="NS39" i="4"/>
  <c r="OB35" i="4"/>
  <c r="NY36" i="4"/>
  <c r="NP60" i="4"/>
  <c r="FR91" i="4"/>
  <c r="FU72" i="4"/>
  <c r="NS89" i="4"/>
  <c r="NV60" i="4"/>
  <c r="FU53" i="4"/>
  <c r="OB10" i="4"/>
  <c r="FU90" i="4"/>
  <c r="NS105" i="4"/>
  <c r="FR10" i="4"/>
  <c r="NS32" i="4"/>
  <c r="NY55" i="4"/>
  <c r="NV110" i="4"/>
  <c r="NV92" i="4"/>
  <c r="FU25" i="4"/>
  <c r="NT61" i="4"/>
  <c r="NT84" i="4"/>
  <c r="NT89" i="4"/>
  <c r="NT71" i="4"/>
  <c r="NT19" i="4"/>
  <c r="NT17" i="4"/>
  <c r="NT111" i="4"/>
  <c r="NT66" i="4"/>
  <c r="NT63" i="4"/>
  <c r="FL85" i="4"/>
  <c r="FL37" i="4"/>
  <c r="FL55" i="4"/>
  <c r="FL107" i="4"/>
  <c r="FL9" i="4"/>
  <c r="FL14" i="4"/>
  <c r="FL105" i="4"/>
  <c r="FL53" i="4"/>
  <c r="FL28" i="4"/>
  <c r="FL87" i="4"/>
  <c r="FL42" i="4"/>
  <c r="FL104" i="4"/>
  <c r="FL65" i="4"/>
  <c r="FL66" i="4"/>
  <c r="FL24" i="4"/>
  <c r="FL63" i="4"/>
  <c r="FL73" i="4"/>
  <c r="FL82" i="4"/>
  <c r="FL50" i="4"/>
  <c r="FL49" i="4"/>
  <c r="FL90" i="4"/>
  <c r="FL60" i="4"/>
  <c r="FL39" i="4"/>
  <c r="FL57" i="4"/>
  <c r="FL36" i="4"/>
  <c r="FL6" i="4"/>
  <c r="FL34" i="4"/>
  <c r="FL8" i="4"/>
  <c r="FL62" i="4"/>
  <c r="NW90" i="4"/>
  <c r="NW13" i="4"/>
  <c r="NW52" i="4"/>
  <c r="NW59" i="4"/>
  <c r="NW81" i="4"/>
  <c r="NW8" i="4"/>
  <c r="NW24" i="4"/>
  <c r="NW5" i="4"/>
  <c r="NW21" i="4"/>
  <c r="NW88" i="4"/>
  <c r="NZ90" i="4"/>
  <c r="NZ50" i="4"/>
  <c r="NZ14" i="4"/>
  <c r="NZ57" i="4"/>
  <c r="NZ13" i="4"/>
  <c r="NZ85" i="4"/>
  <c r="NZ72" i="4"/>
  <c r="NZ83" i="4"/>
  <c r="NZ24" i="4"/>
  <c r="NZ62" i="4"/>
  <c r="NZ47" i="4"/>
  <c r="NZ64" i="4"/>
  <c r="NP110" i="4"/>
  <c r="NP98" i="4"/>
  <c r="NP91" i="4"/>
  <c r="NP74" i="4"/>
  <c r="NP80" i="4"/>
  <c r="NP55" i="4"/>
  <c r="NP9" i="4"/>
  <c r="NP27" i="4"/>
  <c r="NP49" i="4"/>
  <c r="NP105" i="4"/>
  <c r="NP36" i="4"/>
  <c r="NP89" i="4"/>
  <c r="NP81" i="4"/>
  <c r="NP102" i="4"/>
  <c r="NP95" i="4"/>
  <c r="NP68" i="4"/>
  <c r="NP101" i="4"/>
  <c r="NP111" i="4"/>
  <c r="NP6" i="4"/>
  <c r="NP20" i="4"/>
  <c r="NP99" i="4"/>
  <c r="NP37" i="4"/>
  <c r="NP44" i="4"/>
  <c r="NP77" i="4"/>
  <c r="NP107" i="4"/>
  <c r="NP84" i="4"/>
  <c r="NP13" i="4"/>
  <c r="NP92" i="4"/>
  <c r="NP39" i="4"/>
  <c r="NP38" i="4"/>
  <c r="NP43" i="4"/>
  <c r="NP78" i="4"/>
  <c r="NP62" i="4"/>
  <c r="NP29" i="4"/>
  <c r="NP4" i="4"/>
  <c r="NP87" i="4"/>
  <c r="NP93" i="4"/>
  <c r="FS67" i="4"/>
  <c r="FJ79" i="4"/>
  <c r="OC99" i="4"/>
  <c r="FJ76" i="4"/>
  <c r="FP82" i="4"/>
  <c r="OC67" i="4"/>
  <c r="NZ26" i="4"/>
  <c r="NT48" i="4"/>
  <c r="OC76" i="4"/>
  <c r="FP3" i="4"/>
  <c r="FS86" i="4"/>
  <c r="NQ88" i="4"/>
  <c r="FV86" i="4"/>
  <c r="FS88" i="4"/>
  <c r="NT29" i="4"/>
  <c r="NT76" i="4"/>
  <c r="NW73" i="4"/>
  <c r="FS48" i="4"/>
  <c r="NQ86" i="4"/>
  <c r="NQ48" i="4"/>
  <c r="NT106" i="4"/>
  <c r="FJ63" i="4"/>
  <c r="FJ33" i="4"/>
  <c r="NW71" i="4"/>
  <c r="FM109" i="4"/>
  <c r="FM52" i="4"/>
  <c r="NZ91" i="4"/>
  <c r="FS99" i="4"/>
  <c r="FP63" i="4"/>
  <c r="FS69" i="4"/>
  <c r="NT87" i="4"/>
  <c r="NQ97" i="4"/>
  <c r="FS78" i="4"/>
  <c r="NQ34" i="4"/>
  <c r="FJ43" i="4"/>
  <c r="NQ111" i="4"/>
  <c r="OC24" i="4"/>
  <c r="FP69" i="4"/>
  <c r="FM95" i="4"/>
  <c r="NT75" i="4"/>
  <c r="NW70" i="4"/>
  <c r="FJ11" i="4"/>
  <c r="NZ45" i="4"/>
  <c r="FV56" i="4"/>
  <c r="NQ106" i="4"/>
  <c r="FS83" i="4"/>
  <c r="NW96" i="4"/>
  <c r="FS75" i="4"/>
  <c r="FV54" i="4"/>
  <c r="FM77" i="4"/>
  <c r="OC111" i="4"/>
  <c r="OC104" i="4"/>
  <c r="FJ42" i="4"/>
  <c r="FP95" i="4"/>
  <c r="OC75" i="4"/>
  <c r="FP17" i="4"/>
  <c r="FJ6" i="4"/>
  <c r="FV20" i="4"/>
  <c r="FJ106" i="4"/>
  <c r="OC63" i="4"/>
  <c r="FV47" i="4"/>
  <c r="NQ87" i="4"/>
  <c r="FS59" i="4"/>
  <c r="FS30" i="4"/>
  <c r="NW22" i="4"/>
  <c r="NQ101" i="4"/>
  <c r="NZ42" i="4"/>
  <c r="NT62" i="4"/>
  <c r="NZ81" i="4"/>
  <c r="NT54" i="4"/>
  <c r="OC34" i="4"/>
  <c r="NZ77" i="4"/>
  <c r="NW65" i="4"/>
  <c r="FV83" i="4"/>
  <c r="NZ95" i="4"/>
  <c r="FS97" i="4"/>
  <c r="NT70" i="4"/>
  <c r="NQ17" i="4"/>
  <c r="OC77" i="4"/>
  <c r="NW61" i="4"/>
  <c r="FV103" i="4"/>
  <c r="FV10" i="4"/>
  <c r="OC110" i="4"/>
  <c r="FP84" i="4"/>
  <c r="FV89" i="4"/>
  <c r="NZ44" i="4"/>
  <c r="NT49" i="4"/>
  <c r="FS108" i="4"/>
  <c r="NW35" i="4"/>
  <c r="FP38" i="4"/>
  <c r="NW36" i="4"/>
  <c r="NT39" i="4"/>
  <c r="OC107" i="4"/>
  <c r="NQ56" i="4"/>
  <c r="FM92" i="4"/>
  <c r="FS80" i="4"/>
  <c r="NW44" i="4"/>
  <c r="FM49" i="4"/>
  <c r="FS85" i="4"/>
  <c r="FP27" i="4"/>
  <c r="OC92" i="4"/>
  <c r="NQ13" i="4"/>
  <c r="NW28" i="4"/>
  <c r="NW85" i="4"/>
  <c r="NT90" i="4"/>
  <c r="NT56" i="4"/>
  <c r="FM53" i="4"/>
  <c r="FP31" i="4"/>
  <c r="NQ14" i="4"/>
  <c r="FV108" i="4"/>
  <c r="NQ90" i="4"/>
  <c r="NW105" i="4"/>
  <c r="NW57" i="4"/>
  <c r="FV60" i="4"/>
  <c r="FS9" i="4"/>
  <c r="FJ105" i="4"/>
  <c r="OC80" i="4"/>
  <c r="NZ36" i="4"/>
  <c r="NT60" i="4"/>
  <c r="FV90" i="4"/>
  <c r="NP67" i="4"/>
  <c r="FI86" i="4"/>
  <c r="FR73" i="4"/>
  <c r="FR18" i="4"/>
  <c r="NP41" i="4"/>
  <c r="NS21" i="4"/>
  <c r="OB73" i="4"/>
  <c r="FR79" i="4"/>
  <c r="NY88" i="4"/>
  <c r="FR21" i="4"/>
  <c r="FR51" i="4"/>
  <c r="OB88" i="4"/>
  <c r="FI76" i="4"/>
  <c r="FR20" i="4"/>
  <c r="NP21" i="4"/>
  <c r="OB26" i="4"/>
  <c r="NS76" i="4"/>
  <c r="FI48" i="4"/>
  <c r="NV15" i="4"/>
  <c r="NP23" i="4"/>
  <c r="NP47" i="4"/>
  <c r="NP97" i="4"/>
  <c r="NS109" i="4"/>
  <c r="NS34" i="4"/>
  <c r="FL99" i="4"/>
  <c r="FL19" i="4"/>
  <c r="FO4" i="4"/>
  <c r="NP40" i="4"/>
  <c r="NP71" i="4"/>
  <c r="FU5" i="4"/>
  <c r="NY8" i="4"/>
  <c r="FU45" i="4"/>
  <c r="NS102" i="4"/>
  <c r="FO18" i="4"/>
  <c r="NP15" i="4"/>
  <c r="OB47" i="4"/>
  <c r="NY7" i="4"/>
  <c r="FL70" i="4"/>
  <c r="FI17" i="4"/>
  <c r="OB77" i="4"/>
  <c r="FI22" i="4"/>
  <c r="FR47" i="4"/>
  <c r="FU93" i="4"/>
  <c r="FI97" i="4"/>
  <c r="NP17" i="4"/>
  <c r="NS50" i="4"/>
  <c r="FU29" i="4"/>
  <c r="FI83" i="4"/>
  <c r="FO93" i="4"/>
  <c r="NV75" i="4"/>
  <c r="FL54" i="4"/>
  <c r="FO100" i="4"/>
  <c r="FI77" i="4"/>
  <c r="NS22" i="4"/>
  <c r="FL4" i="4"/>
  <c r="FR40" i="4"/>
  <c r="FU97" i="4"/>
  <c r="FU78" i="4"/>
  <c r="FR52" i="4"/>
  <c r="NS9" i="4"/>
  <c r="NS106" i="4"/>
  <c r="NS23" i="4"/>
  <c r="FR96" i="4"/>
  <c r="FI7" i="4"/>
  <c r="FL78" i="4"/>
  <c r="NY45" i="4"/>
  <c r="NV56" i="4"/>
  <c r="FU15" i="4"/>
  <c r="FO69" i="4"/>
  <c r="FL12" i="4"/>
  <c r="FU54" i="4"/>
  <c r="FU66" i="4"/>
  <c r="NY13" i="4"/>
  <c r="FR36" i="4"/>
  <c r="NY84" i="4"/>
  <c r="FI89" i="4"/>
  <c r="FL10" i="4"/>
  <c r="OB110" i="4"/>
  <c r="OB92" i="4"/>
  <c r="FU37" i="4"/>
  <c r="NP108" i="4"/>
  <c r="FO91" i="4"/>
  <c r="NY72" i="4"/>
  <c r="OB13" i="4"/>
  <c r="FU28" i="4"/>
  <c r="FI39" i="4"/>
  <c r="NP53" i="4"/>
  <c r="NP10" i="4"/>
  <c r="NY90" i="4"/>
  <c r="FL38" i="4"/>
  <c r="FO10" i="4"/>
  <c r="NY27" i="4"/>
  <c r="NV44" i="4"/>
  <c r="FU98" i="4"/>
  <c r="FR61" i="4"/>
  <c r="FO90" i="4"/>
  <c r="M395" i="90"/>
  <c r="M381" i="90"/>
  <c r="M370" i="90"/>
  <c r="M336" i="90"/>
  <c r="M433" i="90"/>
  <c r="M362" i="90"/>
  <c r="L357" i="90"/>
  <c r="L341" i="90"/>
  <c r="L372" i="90"/>
  <c r="L399" i="90"/>
  <c r="L393" i="90"/>
  <c r="L358" i="90"/>
  <c r="L391" i="90"/>
  <c r="L410" i="90"/>
  <c r="L379" i="90"/>
  <c r="L359" i="90"/>
  <c r="L404" i="90"/>
  <c r="L378" i="90"/>
  <c r="M387" i="90"/>
  <c r="M364" i="90"/>
  <c r="M411" i="90"/>
  <c r="M366" i="90"/>
  <c r="M355" i="90"/>
  <c r="M338" i="90"/>
  <c r="M361" i="90"/>
  <c r="M427" i="90"/>
  <c r="M374" i="90"/>
  <c r="M352" i="90"/>
  <c r="M426" i="90"/>
  <c r="L348" i="90"/>
  <c r="M425" i="90"/>
  <c r="M397" i="90"/>
  <c r="M384" i="90"/>
  <c r="L355" i="90"/>
  <c r="M415" i="90"/>
  <c r="L369" i="90"/>
  <c r="M388" i="90"/>
  <c r="M360" i="90"/>
  <c r="L360" i="90"/>
  <c r="L406" i="90"/>
  <c r="L425" i="90"/>
  <c r="L364" i="90"/>
  <c r="L411" i="90"/>
  <c r="L344" i="90"/>
  <c r="L354" i="90"/>
  <c r="M392" i="90"/>
  <c r="L347" i="90"/>
  <c r="M417" i="90"/>
  <c r="M394" i="90"/>
  <c r="M422" i="90"/>
  <c r="L366" i="90"/>
  <c r="L400" i="90"/>
  <c r="M344" i="90"/>
  <c r="M400" i="90"/>
  <c r="M354" i="90"/>
  <c r="M356" i="90"/>
  <c r="M350" i="90"/>
  <c r="M391" i="90"/>
  <c r="M406" i="90"/>
  <c r="M419" i="90"/>
  <c r="M342" i="90"/>
  <c r="M369" i="90"/>
  <c r="M409" i="90"/>
  <c r="M423" i="90"/>
  <c r="M373" i="90"/>
  <c r="NY2" i="4"/>
  <c r="M408" i="90"/>
  <c r="NP2" i="4"/>
  <c r="L392" i="90"/>
  <c r="M347" i="90"/>
  <c r="L402" i="90"/>
  <c r="L417" i="90"/>
  <c r="L394" i="90"/>
  <c r="L422" i="90"/>
  <c r="L389" i="90"/>
  <c r="M429" i="90"/>
  <c r="L346" i="90"/>
  <c r="M402" i="90"/>
  <c r="M389" i="90"/>
  <c r="L398" i="90"/>
  <c r="NV2" i="4"/>
  <c r="FO2" i="4"/>
  <c r="OS2" i="4"/>
  <c r="OM2" i="4"/>
  <c r="GJ2" i="4"/>
  <c r="NW2" i="4"/>
  <c r="GS2" i="4"/>
  <c r="OJ2" i="4"/>
  <c r="OU2" i="4"/>
  <c r="GF2" i="4"/>
  <c r="NS2" i="4"/>
  <c r="GU2" i="4"/>
  <c r="FL2" i="4"/>
  <c r="NT2" i="4"/>
  <c r="FM2" i="4"/>
  <c r="NQ2" i="4"/>
  <c r="OK2" i="4"/>
  <c r="H110" i="104"/>
  <c r="FJ2" i="4"/>
  <c r="NZ2" i="4"/>
  <c r="FV2" i="4"/>
  <c r="FS2" i="4"/>
  <c r="FU2" i="4"/>
  <c r="FI2" i="4"/>
  <c r="OC2" i="4"/>
  <c r="HG4346" i="4"/>
  <c r="G104" i="95" s="1"/>
  <c r="U77" i="70"/>
  <c r="B60" i="108" s="1"/>
  <c r="OB2" i="4"/>
  <c r="T40" i="70"/>
  <c r="W77" i="70"/>
  <c r="V40" i="70"/>
  <c r="PG4343" i="4"/>
  <c r="M102" i="95" s="1"/>
  <c r="I107" i="104" s="1"/>
  <c r="FP2" i="4"/>
  <c r="NH4346" i="4"/>
  <c r="GE4" i="4" l="1"/>
  <c r="GP25" i="4"/>
  <c r="OQ96" i="4"/>
  <c r="OQ79" i="4"/>
  <c r="GP48" i="4"/>
  <c r="GP34" i="4"/>
  <c r="GP30" i="4"/>
  <c r="S77" i="70"/>
  <c r="C24" i="55" s="1"/>
  <c r="G24" i="55" s="1"/>
  <c r="GV30" i="4"/>
  <c r="GE7" i="4"/>
  <c r="GP13" i="4"/>
  <c r="OQ69" i="4"/>
  <c r="OQ2" i="4"/>
  <c r="GP99" i="4"/>
  <c r="GP106" i="4"/>
  <c r="GP90" i="4"/>
  <c r="OQ4" i="4"/>
  <c r="OQ5" i="4"/>
  <c r="OQ6" i="4"/>
  <c r="GE9" i="4"/>
  <c r="GP93" i="4"/>
  <c r="GP81" i="4"/>
  <c r="GP105" i="4"/>
  <c r="GP82" i="4"/>
  <c r="GP75" i="4"/>
  <c r="GP43" i="4"/>
  <c r="GP49" i="4"/>
  <c r="OQ10" i="4"/>
  <c r="OQ77" i="4"/>
  <c r="OQ32" i="4"/>
  <c r="GP51" i="4"/>
  <c r="GP87" i="4"/>
  <c r="GP38" i="4"/>
  <c r="GP110" i="4"/>
  <c r="OQ61" i="4"/>
  <c r="OQ67" i="4"/>
  <c r="GE2" i="4"/>
  <c r="GP29" i="4"/>
  <c r="GP5" i="4"/>
  <c r="GP32" i="4"/>
  <c r="OQ70" i="4"/>
  <c r="OQ33" i="4"/>
  <c r="OV3" i="4"/>
  <c r="GE10" i="4"/>
  <c r="GP42" i="4"/>
  <c r="GP22" i="4"/>
  <c r="GP108" i="4"/>
  <c r="OQ73" i="4"/>
  <c r="OQ9" i="4"/>
  <c r="GE3" i="4"/>
  <c r="GE8" i="4"/>
  <c r="GP77" i="4"/>
  <c r="GP70" i="4"/>
  <c r="OQ86" i="4"/>
  <c r="OQ8" i="4"/>
  <c r="OQ7" i="4"/>
  <c r="OQ3" i="4"/>
  <c r="OQ53" i="4"/>
  <c r="OV7" i="4"/>
  <c r="R40" i="70"/>
  <c r="GO10" i="4"/>
  <c r="OP3" i="4"/>
  <c r="OV6" i="4"/>
  <c r="GO2" i="4"/>
  <c r="B71" i="108"/>
  <c r="D71" i="108" s="1"/>
  <c r="D60" i="108"/>
  <c r="J60" i="108" s="1"/>
  <c r="OP95" i="4"/>
  <c r="OP4" i="4"/>
  <c r="OP9" i="4"/>
  <c r="OP53" i="4"/>
  <c r="OP36" i="4"/>
  <c r="OP5" i="4"/>
  <c r="OP8" i="4"/>
  <c r="OP29" i="4"/>
  <c r="OP6" i="4"/>
  <c r="OP22" i="4"/>
  <c r="OP10" i="4"/>
  <c r="OP2" i="4"/>
  <c r="OV2" i="4"/>
  <c r="OV5" i="4"/>
  <c r="OV4" i="4"/>
  <c r="GE6" i="4"/>
  <c r="GE5" i="4"/>
  <c r="OP7" i="4"/>
  <c r="GO8" i="4"/>
  <c r="OX7" i="4"/>
  <c r="OV8" i="4"/>
  <c r="GO4" i="4"/>
  <c r="GO9" i="4"/>
  <c r="OX3" i="4"/>
  <c r="OX5" i="4"/>
  <c r="OX8" i="4"/>
  <c r="GO7" i="4"/>
  <c r="OX6" i="4"/>
  <c r="OX4" i="4"/>
  <c r="OX2" i="4"/>
  <c r="OX10" i="4"/>
  <c r="OT3" i="4"/>
  <c r="OT2" i="4"/>
  <c r="GO5" i="4"/>
  <c r="GO3" i="4"/>
  <c r="OX9" i="4"/>
  <c r="GO6" i="4"/>
  <c r="OV26" i="4"/>
  <c r="GV37" i="4"/>
  <c r="GE79" i="4"/>
  <c r="GP10" i="4"/>
  <c r="OQ60" i="4"/>
  <c r="OP61" i="4"/>
  <c r="GP66" i="4"/>
  <c r="OQ41" i="4"/>
  <c r="OQ38" i="4"/>
  <c r="OQ88" i="4"/>
  <c r="OQ80" i="4"/>
  <c r="OQ62" i="4"/>
  <c r="OQ93" i="4"/>
  <c r="OQ66" i="4"/>
  <c r="OQ48" i="4"/>
  <c r="OQ98" i="4"/>
  <c r="OQ11" i="4"/>
  <c r="OQ63" i="4"/>
  <c r="OQ91" i="4"/>
  <c r="OQ28" i="4"/>
  <c r="GV59" i="4"/>
  <c r="GE11" i="4"/>
  <c r="GE19" i="4"/>
  <c r="OP37" i="4"/>
  <c r="GP65" i="4"/>
  <c r="GP21" i="4"/>
  <c r="GP76" i="4"/>
  <c r="GP104" i="4"/>
  <c r="GP68" i="4"/>
  <c r="GP4" i="4"/>
  <c r="GP58" i="4"/>
  <c r="GP50" i="4"/>
  <c r="GP45" i="4"/>
  <c r="GP62" i="4"/>
  <c r="GP92" i="4"/>
  <c r="GP35" i="4"/>
  <c r="GP39" i="4"/>
  <c r="GP57" i="4"/>
  <c r="GP56" i="4"/>
  <c r="OQ75" i="4"/>
  <c r="OQ27" i="4"/>
  <c r="OQ68" i="4"/>
  <c r="OQ85" i="4"/>
  <c r="OQ101" i="4"/>
  <c r="OQ43" i="4"/>
  <c r="OQ14" i="4"/>
  <c r="OQ51" i="4"/>
  <c r="OQ31" i="4"/>
  <c r="OQ17" i="4"/>
  <c r="OQ71" i="4"/>
  <c r="OQ23" i="4"/>
  <c r="OQ84" i="4"/>
  <c r="GV67" i="4"/>
  <c r="GV9" i="4"/>
  <c r="GE73" i="4"/>
  <c r="GE97" i="4"/>
  <c r="OP89" i="4"/>
  <c r="OP55" i="4"/>
  <c r="GP64" i="4"/>
  <c r="GP11" i="4"/>
  <c r="GP86" i="4"/>
  <c r="GP67" i="4"/>
  <c r="GP83" i="4"/>
  <c r="GP23" i="4"/>
  <c r="GP40" i="4"/>
  <c r="GP24" i="4"/>
  <c r="GP9" i="4"/>
  <c r="GP3" i="4"/>
  <c r="GP54" i="4"/>
  <c r="GP80" i="4"/>
  <c r="GP89" i="4"/>
  <c r="GP98" i="4"/>
  <c r="GP44" i="4"/>
  <c r="GP16" i="4"/>
  <c r="OQ15" i="4"/>
  <c r="OQ102" i="4"/>
  <c r="OQ46" i="4"/>
  <c r="OQ72" i="4"/>
  <c r="OQ50" i="4"/>
  <c r="OQ42" i="4"/>
  <c r="OQ39" i="4"/>
  <c r="OQ20" i="4"/>
  <c r="OQ16" i="4"/>
  <c r="OQ59" i="4"/>
  <c r="OQ58" i="4"/>
  <c r="OQ105" i="4"/>
  <c r="OQ78" i="4"/>
  <c r="OQ13" i="4"/>
  <c r="GV73" i="4"/>
  <c r="GV85" i="4"/>
  <c r="GE111" i="4"/>
  <c r="GE94" i="4"/>
  <c r="GE102" i="4"/>
  <c r="OP43" i="4"/>
  <c r="GP46" i="4"/>
  <c r="GP15" i="4"/>
  <c r="GP100" i="4"/>
  <c r="GP17" i="4"/>
  <c r="GP63" i="4"/>
  <c r="GP91" i="4"/>
  <c r="GP84" i="4"/>
  <c r="GP31" i="4"/>
  <c r="GP74" i="4"/>
  <c r="GP107" i="4"/>
  <c r="GP2" i="4"/>
  <c r="GP79" i="4"/>
  <c r="GP41" i="4"/>
  <c r="GP47" i="4"/>
  <c r="GP101" i="4"/>
  <c r="GP71" i="4"/>
  <c r="GP69" i="4"/>
  <c r="GP111" i="4"/>
  <c r="GP19" i="4"/>
  <c r="GP52" i="4"/>
  <c r="GP61" i="4"/>
  <c r="GP28" i="4"/>
  <c r="GP72" i="4"/>
  <c r="GP36" i="4"/>
  <c r="GP60" i="4"/>
  <c r="OQ104" i="4"/>
  <c r="OQ92" i="4"/>
  <c r="OQ64" i="4"/>
  <c r="OQ44" i="4"/>
  <c r="OQ65" i="4"/>
  <c r="OQ100" i="4"/>
  <c r="OQ107" i="4"/>
  <c r="OQ18" i="4"/>
  <c r="OQ52" i="4"/>
  <c r="OQ110" i="4"/>
  <c r="OQ111" i="4"/>
  <c r="OQ35" i="4"/>
  <c r="OQ109" i="4"/>
  <c r="GV94" i="4"/>
  <c r="GV60" i="4"/>
  <c r="GE67" i="4"/>
  <c r="GE20" i="4"/>
  <c r="GE88" i="4"/>
  <c r="OP62" i="4"/>
  <c r="GE61" i="4"/>
  <c r="GE62" i="4"/>
  <c r="GE87" i="4"/>
  <c r="OQ22" i="4"/>
  <c r="OQ36" i="4"/>
  <c r="GV104" i="4"/>
  <c r="GV44" i="4"/>
  <c r="GE31" i="4"/>
  <c r="GE13" i="4"/>
  <c r="OQ103" i="4"/>
  <c r="OQ74" i="4"/>
  <c r="OQ97" i="4"/>
  <c r="OQ95" i="4"/>
  <c r="OQ47" i="4"/>
  <c r="OQ49" i="4"/>
  <c r="OQ45" i="4"/>
  <c r="OQ26" i="4"/>
  <c r="OQ40" i="4"/>
  <c r="GP88" i="4"/>
  <c r="GP73" i="4"/>
  <c r="GP12" i="4"/>
  <c r="GP102" i="4"/>
  <c r="GP59" i="4"/>
  <c r="GP96" i="4"/>
  <c r="GP33" i="4"/>
  <c r="GP109" i="4"/>
  <c r="GP95" i="4"/>
  <c r="GP37" i="4"/>
  <c r="GP27" i="4"/>
  <c r="GP103" i="4"/>
  <c r="GP55" i="4"/>
  <c r="OQ30" i="4"/>
  <c r="OQ37" i="4"/>
  <c r="OQ12" i="4"/>
  <c r="OQ76" i="4"/>
  <c r="OQ90" i="4"/>
  <c r="OQ83" i="4"/>
  <c r="OQ108" i="4"/>
  <c r="OQ106" i="4"/>
  <c r="OQ87" i="4"/>
  <c r="OQ55" i="4"/>
  <c r="OQ19" i="4"/>
  <c r="OQ29" i="4"/>
  <c r="OQ56" i="4"/>
  <c r="GV66" i="4"/>
  <c r="GV103" i="4"/>
  <c r="GE47" i="4"/>
  <c r="OP81" i="4"/>
  <c r="OP78" i="4"/>
  <c r="OP48" i="4"/>
  <c r="GE38" i="4"/>
  <c r="OQ54" i="4"/>
  <c r="OQ25" i="4"/>
  <c r="GP20" i="4"/>
  <c r="GP26" i="4"/>
  <c r="GP78" i="4"/>
  <c r="GP18" i="4"/>
  <c r="GP8" i="4"/>
  <c r="GP7" i="4"/>
  <c r="GP97" i="4"/>
  <c r="GP6" i="4"/>
  <c r="GP94" i="4"/>
  <c r="GP14" i="4"/>
  <c r="GP53" i="4"/>
  <c r="GP85" i="4"/>
  <c r="OQ94" i="4"/>
  <c r="OQ99" i="4"/>
  <c r="OQ21" i="4"/>
  <c r="OQ81" i="4"/>
  <c r="OQ57" i="4"/>
  <c r="OQ24" i="4"/>
  <c r="OQ89" i="4"/>
  <c r="OQ34" i="4"/>
  <c r="GV102" i="4"/>
  <c r="OP57" i="4"/>
  <c r="OP46" i="4"/>
  <c r="OP41" i="4"/>
  <c r="OP69" i="4"/>
  <c r="OP109" i="4"/>
  <c r="OP99" i="4"/>
  <c r="OP18" i="4"/>
  <c r="OP23" i="4"/>
  <c r="OP106" i="4"/>
  <c r="OP11" i="4"/>
  <c r="OP60" i="4"/>
  <c r="OP77" i="4"/>
  <c r="OP28" i="4"/>
  <c r="OP80" i="4"/>
  <c r="OP102" i="4"/>
  <c r="OP27" i="4"/>
  <c r="OP21" i="4"/>
  <c r="OP26" i="4"/>
  <c r="OP82" i="4"/>
  <c r="OP96" i="4"/>
  <c r="OP97" i="4"/>
  <c r="OP58" i="4"/>
  <c r="OP63" i="4"/>
  <c r="OP87" i="4"/>
  <c r="OP16" i="4"/>
  <c r="OP108" i="4"/>
  <c r="OP44" i="4"/>
  <c r="OP49" i="4"/>
  <c r="OP98" i="4"/>
  <c r="OP86" i="4"/>
  <c r="OP64" i="4"/>
  <c r="OP94" i="4"/>
  <c r="OP70" i="4"/>
  <c r="OP17" i="4"/>
  <c r="OP56" i="4"/>
  <c r="OP47" i="4"/>
  <c r="OP42" i="4"/>
  <c r="OP54" i="4"/>
  <c r="OP100" i="4"/>
  <c r="OP103" i="4"/>
  <c r="OP35" i="4"/>
  <c r="OP90" i="4"/>
  <c r="OP13" i="4"/>
  <c r="OP76" i="4"/>
  <c r="OP88" i="4"/>
  <c r="OP83" i="4"/>
  <c r="OP52" i="4"/>
  <c r="OP24" i="4"/>
  <c r="OP34" i="4"/>
  <c r="OP104" i="4"/>
  <c r="OP93" i="4"/>
  <c r="OP32" i="4"/>
  <c r="OP14" i="4"/>
  <c r="OP92" i="4"/>
  <c r="OP38" i="4"/>
  <c r="OP107" i="4"/>
  <c r="OP67" i="4"/>
  <c r="OP20" i="4"/>
  <c r="OP79" i="4"/>
  <c r="OP51" i="4"/>
  <c r="OP40" i="4"/>
  <c r="OP66" i="4"/>
  <c r="OP68" i="4"/>
  <c r="OP19" i="4"/>
  <c r="OP91" i="4"/>
  <c r="OP33" i="4"/>
  <c r="OP71" i="4"/>
  <c r="OP59" i="4"/>
  <c r="OP111" i="4"/>
  <c r="OP72" i="4"/>
  <c r="OP110" i="4"/>
  <c r="OP73" i="4"/>
  <c r="OP75" i="4"/>
  <c r="OP15" i="4"/>
  <c r="OP12" i="4"/>
  <c r="OP50" i="4"/>
  <c r="OP74" i="4"/>
  <c r="OP84" i="4"/>
  <c r="OP31" i="4"/>
  <c r="OP85" i="4"/>
  <c r="OP105" i="4"/>
  <c r="OP45" i="4"/>
  <c r="OP65" i="4"/>
  <c r="OP101" i="4"/>
  <c r="OP30" i="4"/>
  <c r="OP39" i="4"/>
  <c r="OP25" i="4"/>
  <c r="OV45" i="4"/>
  <c r="OQ82" i="4"/>
  <c r="OV75" i="4"/>
  <c r="OV105" i="4"/>
  <c r="OV93" i="4"/>
  <c r="OV65" i="4"/>
  <c r="OV98" i="4"/>
  <c r="OV89" i="4"/>
  <c r="OV82" i="4"/>
  <c r="OV94" i="4"/>
  <c r="OX74" i="4"/>
  <c r="OX85" i="4"/>
  <c r="OX80" i="4"/>
  <c r="OX31" i="4"/>
  <c r="OX54" i="4"/>
  <c r="OX96" i="4"/>
  <c r="OX72" i="4"/>
  <c r="OX11" i="4"/>
  <c r="OX59" i="4"/>
  <c r="OX41" i="4"/>
  <c r="OX48" i="4"/>
  <c r="OX67" i="4"/>
  <c r="OX64" i="4"/>
  <c r="OX98" i="4"/>
  <c r="OX94" i="4"/>
  <c r="OX102" i="4"/>
  <c r="OX47" i="4"/>
  <c r="OX104" i="4"/>
  <c r="OX63" i="4"/>
  <c r="OX44" i="4"/>
  <c r="OX103" i="4"/>
  <c r="OX28" i="4"/>
  <c r="OX60" i="4"/>
  <c r="OX66" i="4"/>
  <c r="OX33" i="4"/>
  <c r="OX111" i="4"/>
  <c r="OX12" i="4"/>
  <c r="OX99" i="4"/>
  <c r="OX21" i="4"/>
  <c r="OX76" i="4"/>
  <c r="OX84" i="4"/>
  <c r="OX20" i="4"/>
  <c r="OX86" i="4"/>
  <c r="OX53" i="4"/>
  <c r="OX107" i="4"/>
  <c r="OX49" i="4"/>
  <c r="OX38" i="4"/>
  <c r="OX13" i="4"/>
  <c r="OX43" i="4"/>
  <c r="OX70" i="4"/>
  <c r="OX93" i="4"/>
  <c r="OX101" i="4"/>
  <c r="OX77" i="4"/>
  <c r="OX78" i="4"/>
  <c r="OX40" i="4"/>
  <c r="OX83" i="4"/>
  <c r="OX29" i="4"/>
  <c r="OX32" i="4"/>
  <c r="OX51" i="4"/>
  <c r="OX108" i="4"/>
  <c r="OX27" i="4"/>
  <c r="OX36" i="4"/>
  <c r="OX39" i="4"/>
  <c r="OX62" i="4"/>
  <c r="OX56" i="4"/>
  <c r="OX81" i="4"/>
  <c r="OX42" i="4"/>
  <c r="OX58" i="4"/>
  <c r="OX18" i="4"/>
  <c r="OX26" i="4"/>
  <c r="OX15" i="4"/>
  <c r="OX73" i="4"/>
  <c r="OX88" i="4"/>
  <c r="OX37" i="4"/>
  <c r="OX92" i="4"/>
  <c r="OX105" i="4"/>
  <c r="OX35" i="4"/>
  <c r="OX14" i="4"/>
  <c r="OX61" i="4"/>
  <c r="OX45" i="4"/>
  <c r="OX69" i="4"/>
  <c r="OX50" i="4"/>
  <c r="OX75" i="4"/>
  <c r="OX24" i="4"/>
  <c r="OX34" i="4"/>
  <c r="OX97" i="4"/>
  <c r="OX109" i="4"/>
  <c r="OX68" i="4"/>
  <c r="OX46" i="4"/>
  <c r="OX79" i="4"/>
  <c r="OX55" i="4"/>
  <c r="OX52" i="4"/>
  <c r="OX71" i="4"/>
  <c r="OX25" i="4"/>
  <c r="OX91" i="4"/>
  <c r="OX16" i="4"/>
  <c r="OX100" i="4"/>
  <c r="OX22" i="4"/>
  <c r="OX106" i="4"/>
  <c r="OX23" i="4"/>
  <c r="OX19" i="4"/>
  <c r="OX82" i="4"/>
  <c r="OX89" i="4"/>
  <c r="OX110" i="4"/>
  <c r="OX57" i="4"/>
  <c r="OX90" i="4"/>
  <c r="OX17" i="4"/>
  <c r="OX30" i="4"/>
  <c r="OX95" i="4"/>
  <c r="OX87" i="4"/>
  <c r="OX65" i="4"/>
  <c r="OV70" i="4"/>
  <c r="OV90" i="4"/>
  <c r="OV100" i="4"/>
  <c r="GX107" i="4"/>
  <c r="GX77" i="4"/>
  <c r="GX101" i="4"/>
  <c r="GX16" i="4"/>
  <c r="GX17" i="4"/>
  <c r="GX26" i="4"/>
  <c r="GX56" i="4"/>
  <c r="GX54" i="4"/>
  <c r="GX108" i="4"/>
  <c r="GX33" i="4"/>
  <c r="GX80" i="4"/>
  <c r="GX111" i="4"/>
  <c r="GX88" i="4"/>
  <c r="GX85" i="4"/>
  <c r="GX2" i="4"/>
  <c r="GX76" i="4"/>
  <c r="GX15" i="4"/>
  <c r="GX4" i="4"/>
  <c r="GX49" i="4"/>
  <c r="GX78" i="4"/>
  <c r="GX104" i="4"/>
  <c r="GX61" i="4"/>
  <c r="GX12" i="4"/>
  <c r="GX53" i="4"/>
  <c r="GX106" i="4"/>
  <c r="GX46" i="4"/>
  <c r="GX30" i="4"/>
  <c r="GX66" i="4"/>
  <c r="GX13" i="4"/>
  <c r="GX79" i="4"/>
  <c r="GX32" i="4"/>
  <c r="GX50" i="4"/>
  <c r="GX103" i="4"/>
  <c r="GX62" i="4"/>
  <c r="GX40" i="4"/>
  <c r="GX98" i="4"/>
  <c r="GX22" i="4"/>
  <c r="GX74" i="4"/>
  <c r="GX3" i="4"/>
  <c r="GX73" i="4"/>
  <c r="GX37" i="4"/>
  <c r="GX100" i="4"/>
  <c r="GX44" i="4"/>
  <c r="GX19" i="4"/>
  <c r="GX31" i="4"/>
  <c r="GX11" i="4"/>
  <c r="GX64" i="4"/>
  <c r="GX42" i="4"/>
  <c r="GX96" i="4"/>
  <c r="GX84" i="4"/>
  <c r="GX102" i="4"/>
  <c r="GX41" i="4"/>
  <c r="GX70" i="4"/>
  <c r="GX6" i="4"/>
  <c r="GX89" i="4"/>
  <c r="GX8" i="4"/>
  <c r="GX25" i="4"/>
  <c r="GX24" i="4"/>
  <c r="GX36" i="4"/>
  <c r="GX75" i="4"/>
  <c r="GX65" i="4"/>
  <c r="GX43" i="4"/>
  <c r="GX68" i="4"/>
  <c r="GX92" i="4"/>
  <c r="GX18" i="4"/>
  <c r="GX82" i="4"/>
  <c r="GX38" i="4"/>
  <c r="GX34" i="4"/>
  <c r="GX55" i="4"/>
  <c r="GX97" i="4"/>
  <c r="GX58" i="4"/>
  <c r="GX110" i="4"/>
  <c r="GX29" i="4"/>
  <c r="GX69" i="4"/>
  <c r="GX39" i="4"/>
  <c r="GX45" i="4"/>
  <c r="GX67" i="4"/>
  <c r="GX94" i="4"/>
  <c r="GX93" i="4"/>
  <c r="GX27" i="4"/>
  <c r="GX59" i="4"/>
  <c r="GX57" i="4"/>
  <c r="GX83" i="4"/>
  <c r="GX5" i="4"/>
  <c r="GX99" i="4"/>
  <c r="GX47" i="4"/>
  <c r="GX87" i="4"/>
  <c r="GX14" i="4"/>
  <c r="GX48" i="4"/>
  <c r="GX86" i="4"/>
  <c r="GX9" i="4"/>
  <c r="GX52" i="4"/>
  <c r="GX90" i="4"/>
  <c r="GX7" i="4"/>
  <c r="GX60" i="4"/>
  <c r="GX109" i="4"/>
  <c r="GX71" i="4"/>
  <c r="GX20" i="4"/>
  <c r="GX35" i="4"/>
  <c r="GX72" i="4"/>
  <c r="GX10" i="4"/>
  <c r="GX21" i="4"/>
  <c r="GX95" i="4"/>
  <c r="GX23" i="4"/>
  <c r="GX28" i="4"/>
  <c r="GX81" i="4"/>
  <c r="GX105" i="4"/>
  <c r="GX63" i="4"/>
  <c r="GX51" i="4"/>
  <c r="GX91" i="4"/>
  <c r="OT4" i="4"/>
  <c r="GE74" i="4"/>
  <c r="GE26" i="4"/>
  <c r="GE106" i="4"/>
  <c r="GE81" i="4"/>
  <c r="GE18" i="4"/>
  <c r="GE78" i="4"/>
  <c r="GE45" i="4"/>
  <c r="GE59" i="4"/>
  <c r="GE92" i="4"/>
  <c r="GE57" i="4"/>
  <c r="GE28" i="4"/>
  <c r="GE21" i="4"/>
  <c r="GE51" i="4"/>
  <c r="GE82" i="4"/>
  <c r="GE12" i="4"/>
  <c r="GE17" i="4"/>
  <c r="GE93" i="4"/>
  <c r="GE22" i="4"/>
  <c r="GE104" i="4"/>
  <c r="GE42" i="4"/>
  <c r="GE75" i="4"/>
  <c r="GE30" i="4"/>
  <c r="GE43" i="4"/>
  <c r="GE90" i="4"/>
  <c r="GE60" i="4"/>
  <c r="GE35" i="4"/>
  <c r="GE53" i="4"/>
  <c r="GE49" i="4"/>
  <c r="GE76" i="4"/>
  <c r="GE96" i="4"/>
  <c r="GE54" i="4"/>
  <c r="GE63" i="4"/>
  <c r="GE83" i="4"/>
  <c r="GE44" i="4"/>
  <c r="GE89" i="4"/>
  <c r="GE55" i="4"/>
  <c r="GE37" i="4"/>
  <c r="GE16" i="4"/>
  <c r="GE66" i="4"/>
  <c r="GE103" i="4"/>
  <c r="GE39" i="4"/>
  <c r="GE86" i="4"/>
  <c r="GE46" i="4"/>
  <c r="GE95" i="4"/>
  <c r="GE70" i="4"/>
  <c r="GE29" i="4"/>
  <c r="GE71" i="4"/>
  <c r="GE100" i="4"/>
  <c r="GE85" i="4"/>
  <c r="GE72" i="4"/>
  <c r="GE14" i="4"/>
  <c r="GE25" i="4"/>
  <c r="GE50" i="4"/>
  <c r="GE105" i="4"/>
  <c r="GE27" i="4"/>
  <c r="GE64" i="4"/>
  <c r="GE99" i="4"/>
  <c r="GE41" i="4"/>
  <c r="GE24" i="4"/>
  <c r="GE56" i="4"/>
  <c r="GE109" i="4"/>
  <c r="GE65" i="4"/>
  <c r="GE69" i="4"/>
  <c r="GE52" i="4"/>
  <c r="GE110" i="4"/>
  <c r="GE77" i="4"/>
  <c r="GE15" i="4"/>
  <c r="GE101" i="4"/>
  <c r="GE48" i="4"/>
  <c r="GE23" i="4"/>
  <c r="GE91" i="4"/>
  <c r="GE36" i="4"/>
  <c r="GE32" i="4"/>
  <c r="GE80" i="4"/>
  <c r="GE108" i="4"/>
  <c r="GE84" i="4"/>
  <c r="GE98" i="4"/>
  <c r="GE33" i="4"/>
  <c r="GE68" i="4"/>
  <c r="GE40" i="4"/>
  <c r="GE34" i="4"/>
  <c r="GE58" i="4"/>
  <c r="GE107" i="4"/>
  <c r="GO35" i="4"/>
  <c r="GO27" i="4"/>
  <c r="GO13" i="4"/>
  <c r="GO98" i="4"/>
  <c r="GO12" i="4"/>
  <c r="GO94" i="4"/>
  <c r="GO68" i="4"/>
  <c r="GO78" i="4"/>
  <c r="GO45" i="4"/>
  <c r="GO97" i="4"/>
  <c r="GO44" i="4"/>
  <c r="GO103" i="4"/>
  <c r="GO28" i="4"/>
  <c r="GO63" i="4"/>
  <c r="GO47" i="4"/>
  <c r="GO87" i="4"/>
  <c r="GO22" i="4"/>
  <c r="GO34" i="4"/>
  <c r="GO40" i="4"/>
  <c r="GO48" i="4"/>
  <c r="GO99" i="4"/>
  <c r="GO46" i="4"/>
  <c r="GO89" i="4"/>
  <c r="GO32" i="4"/>
  <c r="GO110" i="4"/>
  <c r="GO60" i="4"/>
  <c r="GO53" i="4"/>
  <c r="GO90" i="4"/>
  <c r="GO100" i="4"/>
  <c r="GO11" i="4"/>
  <c r="GO95" i="4"/>
  <c r="GO15" i="4"/>
  <c r="GO72" i="4"/>
  <c r="GO106" i="4"/>
  <c r="GO21" i="4"/>
  <c r="GO64" i="4"/>
  <c r="GO88" i="4"/>
  <c r="GO26" i="4"/>
  <c r="GO31" i="4"/>
  <c r="GO38" i="4"/>
  <c r="GO56" i="4"/>
  <c r="GO25" i="4"/>
  <c r="GO74" i="4"/>
  <c r="GO43" i="4"/>
  <c r="GO92" i="4"/>
  <c r="GO52" i="4"/>
  <c r="GO109" i="4"/>
  <c r="GO29" i="4"/>
  <c r="GO49" i="4"/>
  <c r="GO23" i="4"/>
  <c r="GO91" i="4"/>
  <c r="GO65" i="4"/>
  <c r="GO18" i="4"/>
  <c r="GO108" i="4"/>
  <c r="GO37" i="4"/>
  <c r="GO55" i="4"/>
  <c r="GO80" i="4"/>
  <c r="GO16" i="4"/>
  <c r="GO57" i="4"/>
  <c r="GO105" i="4"/>
  <c r="GO102" i="4"/>
  <c r="GO50" i="4"/>
  <c r="GO33" i="4"/>
  <c r="GO83" i="4"/>
  <c r="GO71" i="4"/>
  <c r="GO86" i="4"/>
  <c r="GO76" i="4"/>
  <c r="GO82" i="4"/>
  <c r="GO79" i="4"/>
  <c r="GO41" i="4"/>
  <c r="GO84" i="4"/>
  <c r="GO17" i="4"/>
  <c r="GO93" i="4"/>
  <c r="GO69" i="4"/>
  <c r="GO101" i="4"/>
  <c r="GO104" i="4"/>
  <c r="GO62" i="4"/>
  <c r="GO66" i="4"/>
  <c r="GO24" i="4"/>
  <c r="GO58" i="4"/>
  <c r="GO54" i="4"/>
  <c r="GO73" i="4"/>
  <c r="GO67" i="4"/>
  <c r="GO51" i="4"/>
  <c r="GO85" i="4"/>
  <c r="GO61" i="4"/>
  <c r="GO107" i="4"/>
  <c r="GO36" i="4"/>
  <c r="GO39" i="4"/>
  <c r="GO14" i="4"/>
  <c r="GO70" i="4"/>
  <c r="GO42" i="4"/>
  <c r="GO111" i="4"/>
  <c r="GO77" i="4"/>
  <c r="GO59" i="4"/>
  <c r="GO19" i="4"/>
  <c r="GO75" i="4"/>
  <c r="GO96" i="4"/>
  <c r="GO30" i="4"/>
  <c r="GO81" i="4"/>
  <c r="GO20" i="4"/>
  <c r="OT5" i="4"/>
  <c r="GV55" i="4"/>
  <c r="OV15" i="4"/>
  <c r="GV88" i="4"/>
  <c r="GV20" i="4"/>
  <c r="GV45" i="4"/>
  <c r="GV4" i="4"/>
  <c r="GV65" i="4"/>
  <c r="GV99" i="4"/>
  <c r="GV48" i="4"/>
  <c r="GV34" i="4"/>
  <c r="GV63" i="4"/>
  <c r="GV107" i="4"/>
  <c r="GV50" i="4"/>
  <c r="GV108" i="4"/>
  <c r="GV10" i="4"/>
  <c r="GV27" i="4"/>
  <c r="OV106" i="4"/>
  <c r="OV10" i="4"/>
  <c r="OV83" i="4"/>
  <c r="OV38" i="4"/>
  <c r="OV95" i="4"/>
  <c r="OV50" i="4"/>
  <c r="OV34" i="4"/>
  <c r="OV77" i="4"/>
  <c r="OV87" i="4"/>
  <c r="OV85" i="4"/>
  <c r="OV63" i="4"/>
  <c r="OV24" i="4"/>
  <c r="OV67" i="4"/>
  <c r="OV52" i="4"/>
  <c r="GV18" i="4"/>
  <c r="GV68" i="4"/>
  <c r="GV111" i="4"/>
  <c r="GV33" i="4"/>
  <c r="GV101" i="4"/>
  <c r="GV29" i="4"/>
  <c r="GV3" i="4"/>
  <c r="GV58" i="4"/>
  <c r="GV83" i="4"/>
  <c r="GV92" i="4"/>
  <c r="GV74" i="4"/>
  <c r="GV98" i="4"/>
  <c r="GV39" i="4"/>
  <c r="OV91" i="4"/>
  <c r="OV53" i="4"/>
  <c r="OV22" i="4"/>
  <c r="OV44" i="4"/>
  <c r="OV37" i="4"/>
  <c r="OV11" i="4"/>
  <c r="OV103" i="4"/>
  <c r="OV99" i="4"/>
  <c r="OV28" i="4"/>
  <c r="OV81" i="4"/>
  <c r="OV9" i="4"/>
  <c r="OV78" i="4"/>
  <c r="OV84" i="4"/>
  <c r="GV2" i="4"/>
  <c r="GV79" i="4"/>
  <c r="GV64" i="4"/>
  <c r="GV69" i="4"/>
  <c r="GV93" i="4"/>
  <c r="GV7" i="4"/>
  <c r="GV22" i="4"/>
  <c r="GV15" i="4"/>
  <c r="GV6" i="4"/>
  <c r="GV109" i="4"/>
  <c r="GV72" i="4"/>
  <c r="GV25" i="4"/>
  <c r="GV84" i="4"/>
  <c r="GV110" i="4"/>
  <c r="OV33" i="4"/>
  <c r="OV16" i="4"/>
  <c r="OV49" i="4"/>
  <c r="OV18" i="4"/>
  <c r="OV56" i="4"/>
  <c r="OV71" i="4"/>
  <c r="OV64" i="4"/>
  <c r="OV47" i="4"/>
  <c r="OV32" i="4"/>
  <c r="OV104" i="4"/>
  <c r="OV109" i="4"/>
  <c r="OV23" i="4"/>
  <c r="OV110" i="4"/>
  <c r="GV41" i="4"/>
  <c r="GV51" i="4"/>
  <c r="GV62" i="4"/>
  <c r="GV70" i="4"/>
  <c r="GV81" i="4"/>
  <c r="GV40" i="4"/>
  <c r="GV47" i="4"/>
  <c r="GV77" i="4"/>
  <c r="GV91" i="4"/>
  <c r="GV49" i="4"/>
  <c r="GV32" i="4"/>
  <c r="GV35" i="4"/>
  <c r="GV43" i="4"/>
  <c r="OV12" i="4"/>
  <c r="OV108" i="4"/>
  <c r="OV62" i="4"/>
  <c r="OV80" i="4"/>
  <c r="OV40" i="4"/>
  <c r="OV39" i="4"/>
  <c r="OV13" i="4"/>
  <c r="OV68" i="4"/>
  <c r="OV59" i="4"/>
  <c r="OV21" i="4"/>
  <c r="OV58" i="4"/>
  <c r="OV97" i="4"/>
  <c r="OV96" i="4"/>
  <c r="OV102" i="4"/>
  <c r="GV21" i="4"/>
  <c r="GV82" i="4"/>
  <c r="GV24" i="4"/>
  <c r="GV17" i="4"/>
  <c r="GV54" i="4"/>
  <c r="GV5" i="4"/>
  <c r="GV96" i="4"/>
  <c r="GV42" i="4"/>
  <c r="GV106" i="4"/>
  <c r="GV13" i="4"/>
  <c r="GV80" i="4"/>
  <c r="GV90" i="4"/>
  <c r="GV61" i="4"/>
  <c r="GV53" i="4"/>
  <c r="OV20" i="4"/>
  <c r="OV35" i="4"/>
  <c r="OV54" i="4"/>
  <c r="OV86" i="4"/>
  <c r="OV72" i="4"/>
  <c r="OV41" i="4"/>
  <c r="OV31" i="4"/>
  <c r="OV17" i="4"/>
  <c r="OV30" i="4"/>
  <c r="OV51" i="4"/>
  <c r="OV107" i="4"/>
  <c r="OV27" i="4"/>
  <c r="OV92" i="4"/>
  <c r="GV86" i="4"/>
  <c r="GV46" i="4"/>
  <c r="GV95" i="4"/>
  <c r="GV56" i="4"/>
  <c r="GV8" i="4"/>
  <c r="GV11" i="4"/>
  <c r="GV71" i="4"/>
  <c r="GV87" i="4"/>
  <c r="GV23" i="4"/>
  <c r="GV57" i="4"/>
  <c r="GV31" i="4"/>
  <c r="GV38" i="4"/>
  <c r="GV36" i="4"/>
  <c r="GV28" i="4"/>
  <c r="OV69" i="4"/>
  <c r="OV79" i="4"/>
  <c r="OV101" i="4"/>
  <c r="OV76" i="4"/>
  <c r="OV55" i="4"/>
  <c r="OV88" i="4"/>
  <c r="OV25" i="4"/>
  <c r="OV29" i="4"/>
  <c r="OV36" i="4"/>
  <c r="OV111" i="4"/>
  <c r="OV73" i="4"/>
  <c r="OV60" i="4"/>
  <c r="OV66" i="4"/>
  <c r="GV26" i="4"/>
  <c r="GV76" i="4"/>
  <c r="GV12" i="4"/>
  <c r="GV19" i="4"/>
  <c r="GV52" i="4"/>
  <c r="GV100" i="4"/>
  <c r="GV75" i="4"/>
  <c r="GV97" i="4"/>
  <c r="GV78" i="4"/>
  <c r="GV16" i="4"/>
  <c r="GV14" i="4"/>
  <c r="GV89" i="4"/>
  <c r="GV105" i="4"/>
  <c r="OV57" i="4"/>
  <c r="OV43" i="4"/>
  <c r="OV14" i="4"/>
  <c r="OV19" i="4"/>
  <c r="OV74" i="4"/>
  <c r="OV61" i="4"/>
  <c r="OV42" i="4"/>
  <c r="OV46" i="4"/>
  <c r="OV48" i="4"/>
  <c r="OT68" i="4"/>
  <c r="OT55" i="4"/>
  <c r="OT79" i="4"/>
  <c r="OT74" i="4"/>
  <c r="OT71" i="4"/>
  <c r="OT70" i="4"/>
  <c r="OT39" i="4"/>
  <c r="OT17" i="4"/>
  <c r="OT100" i="4"/>
  <c r="OT20" i="4"/>
  <c r="OT7" i="4"/>
  <c r="OT103" i="4"/>
  <c r="OT91" i="4"/>
  <c r="OT69" i="4"/>
  <c r="OT29" i="4"/>
  <c r="OT48" i="4"/>
  <c r="OT104" i="4"/>
  <c r="OT14" i="4"/>
  <c r="OT95" i="4"/>
  <c r="OT101" i="4"/>
  <c r="OT28" i="4"/>
  <c r="OT26" i="4"/>
  <c r="OT78" i="4"/>
  <c r="OT67" i="4"/>
  <c r="OT22" i="4"/>
  <c r="OT21" i="4"/>
  <c r="OT35" i="4"/>
  <c r="OT40" i="4"/>
  <c r="OT9" i="4"/>
  <c r="OT99" i="4"/>
  <c r="OT77" i="4"/>
  <c r="OT66" i="4"/>
  <c r="OT65" i="4"/>
  <c r="OT41" i="4"/>
  <c r="OT80" i="4"/>
  <c r="OT46" i="4"/>
  <c r="OT47" i="4"/>
  <c r="OT53" i="4"/>
  <c r="OT45" i="4"/>
  <c r="OT16" i="4"/>
  <c r="OT82" i="4"/>
  <c r="OT43" i="4"/>
  <c r="OT98" i="4"/>
  <c r="OT38" i="4"/>
  <c r="OT15" i="4"/>
  <c r="OT57" i="4"/>
  <c r="OT83" i="4"/>
  <c r="OT18" i="4"/>
  <c r="OT11" i="4"/>
  <c r="OT86" i="4"/>
  <c r="OT63" i="4"/>
  <c r="OT92" i="4"/>
  <c r="OT88" i="4"/>
  <c r="OT58" i="4"/>
  <c r="OT105" i="4"/>
  <c r="OT6" i="4"/>
  <c r="OT108" i="4"/>
  <c r="OT110" i="4"/>
  <c r="OT50" i="4"/>
  <c r="OT84" i="4"/>
  <c r="OT19" i="4"/>
  <c r="OT51" i="4"/>
  <c r="OT109" i="4"/>
  <c r="OT25" i="4"/>
  <c r="OT12" i="4"/>
  <c r="OT44" i="4"/>
  <c r="OT64" i="4"/>
  <c r="OT52" i="4"/>
  <c r="OT85" i="4"/>
  <c r="OT42" i="4"/>
  <c r="OT61" i="4"/>
  <c r="OT32" i="4"/>
  <c r="OT8" i="4"/>
  <c r="OT13" i="4"/>
  <c r="OT59" i="4"/>
  <c r="OT73" i="4"/>
  <c r="OT54" i="4"/>
  <c r="OT37" i="4"/>
  <c r="OT97" i="4"/>
  <c r="OT90" i="4"/>
  <c r="OT23" i="4"/>
  <c r="OT89" i="4"/>
  <c r="OT96" i="4"/>
  <c r="OT56" i="4"/>
  <c r="OT36" i="4"/>
  <c r="OT24" i="4"/>
  <c r="OT94" i="4"/>
  <c r="OT72" i="4"/>
  <c r="OT27" i="4"/>
  <c r="OT93" i="4"/>
  <c r="OT102" i="4"/>
  <c r="OT106" i="4"/>
  <c r="OT10" i="4"/>
  <c r="OT62" i="4"/>
  <c r="OT107" i="4"/>
  <c r="OT33" i="4"/>
  <c r="OT34" i="4"/>
  <c r="OT31" i="4"/>
  <c r="OT81" i="4"/>
  <c r="OT111" i="4"/>
  <c r="OT30" i="4"/>
  <c r="OT49" i="4"/>
  <c r="OT75" i="4"/>
  <c r="OT60" i="4"/>
  <c r="OT76" i="4"/>
  <c r="OT87" i="4"/>
  <c r="GT84" i="4"/>
  <c r="GT38" i="4"/>
  <c r="GT92" i="4"/>
  <c r="GT16" i="4"/>
  <c r="GT61" i="4"/>
  <c r="GT96" i="4"/>
  <c r="GT68" i="4"/>
  <c r="GT59" i="4"/>
  <c r="GT9" i="4"/>
  <c r="GT42" i="4"/>
  <c r="GT83" i="4"/>
  <c r="GT20" i="4"/>
  <c r="GT3" i="4"/>
  <c r="GT86" i="4"/>
  <c r="GT10" i="4"/>
  <c r="GT60" i="4"/>
  <c r="GT108" i="4"/>
  <c r="GT44" i="4"/>
  <c r="GT102" i="4"/>
  <c r="GT62" i="4"/>
  <c r="GT77" i="4"/>
  <c r="GT81" i="4"/>
  <c r="GT52" i="4"/>
  <c r="GT104" i="4"/>
  <c r="GT101" i="4"/>
  <c r="GT88" i="4"/>
  <c r="GT26" i="4"/>
  <c r="GT36" i="4"/>
  <c r="GT14" i="4"/>
  <c r="GT25" i="4"/>
  <c r="GT53" i="4"/>
  <c r="GT30" i="4"/>
  <c r="GT4" i="4"/>
  <c r="GT50" i="4"/>
  <c r="GT7" i="4"/>
  <c r="GT58" i="4"/>
  <c r="GT63" i="4"/>
  <c r="GT15" i="4"/>
  <c r="GT67" i="4"/>
  <c r="GT41" i="4"/>
  <c r="GT74" i="4"/>
  <c r="GT49" i="4"/>
  <c r="GT103" i="4"/>
  <c r="GT98" i="4"/>
  <c r="GT8" i="4"/>
  <c r="GT23" i="4"/>
  <c r="GT6" i="4"/>
  <c r="GT93" i="4"/>
  <c r="GT45" i="4"/>
  <c r="GT12" i="4"/>
  <c r="GT19" i="4"/>
  <c r="GT79" i="4"/>
  <c r="GT99" i="4"/>
  <c r="GT27" i="4"/>
  <c r="GT35" i="4"/>
  <c r="GT57" i="4"/>
  <c r="GT105" i="4"/>
  <c r="GT43" i="4"/>
  <c r="GT109" i="4"/>
  <c r="GT65" i="4"/>
  <c r="GT100" i="4"/>
  <c r="GT40" i="4"/>
  <c r="GT5" i="4"/>
  <c r="GT69" i="4"/>
  <c r="GT111" i="4"/>
  <c r="GT51" i="4"/>
  <c r="GT73" i="4"/>
  <c r="GT110" i="4"/>
  <c r="GT90" i="4"/>
  <c r="GT80" i="4"/>
  <c r="GT66" i="4"/>
  <c r="GT37" i="4"/>
  <c r="GT75" i="4"/>
  <c r="GT106" i="4"/>
  <c r="GT17" i="4"/>
  <c r="GT24" i="4"/>
  <c r="GT94" i="4"/>
  <c r="GT29" i="4"/>
  <c r="GT56" i="4"/>
  <c r="GT64" i="4"/>
  <c r="GT76" i="4"/>
  <c r="GT39" i="4"/>
  <c r="GT32" i="4"/>
  <c r="GT13" i="4"/>
  <c r="GT107" i="4"/>
  <c r="GT55" i="4"/>
  <c r="GT97" i="4"/>
  <c r="GT34" i="4"/>
  <c r="GT11" i="4"/>
  <c r="GT22" i="4"/>
  <c r="GT95" i="4"/>
  <c r="GT54" i="4"/>
  <c r="GT91" i="4"/>
  <c r="GT21" i="4"/>
  <c r="GT48" i="4"/>
  <c r="GT28" i="4"/>
  <c r="GT31" i="4"/>
  <c r="GT72" i="4"/>
  <c r="GT85" i="4"/>
  <c r="GT89" i="4"/>
  <c r="GT71" i="4"/>
  <c r="GT87" i="4"/>
  <c r="GT70" i="4"/>
  <c r="GT18" i="4"/>
  <c r="GT33" i="4"/>
  <c r="GT78" i="4"/>
  <c r="GT47" i="4"/>
  <c r="GT46" i="4"/>
  <c r="GT82" i="4"/>
  <c r="GT2" i="4"/>
  <c r="G105" i="95"/>
  <c r="N105" i="95" s="1"/>
  <c r="GW74" i="4"/>
  <c r="OW25" i="4"/>
  <c r="OW51" i="4"/>
  <c r="OW88" i="4"/>
  <c r="GW76" i="4"/>
  <c r="GW88" i="4"/>
  <c r="OW46" i="4"/>
  <c r="GW48" i="4"/>
  <c r="GW41" i="4"/>
  <c r="OW15" i="4"/>
  <c r="OW75" i="4"/>
  <c r="GW78" i="4"/>
  <c r="OW66" i="4"/>
  <c r="GW30" i="4"/>
  <c r="GW68" i="4"/>
  <c r="GW95" i="4"/>
  <c r="OW19" i="4"/>
  <c r="OW47" i="4"/>
  <c r="OW100" i="4"/>
  <c r="OW62" i="4"/>
  <c r="OW70" i="4"/>
  <c r="GW81" i="4"/>
  <c r="GW60" i="4"/>
  <c r="OW32" i="4"/>
  <c r="OW61" i="4"/>
  <c r="OW31" i="4"/>
  <c r="GW16" i="4"/>
  <c r="GW28" i="4"/>
  <c r="GW37" i="4"/>
  <c r="GW43" i="4"/>
  <c r="OW36" i="4"/>
  <c r="GW90" i="4"/>
  <c r="OW21" i="4"/>
  <c r="GW73" i="4"/>
  <c r="OW20" i="4"/>
  <c r="GW64" i="4"/>
  <c r="GW21" i="4"/>
  <c r="GW96" i="4"/>
  <c r="OW34" i="4"/>
  <c r="GW62" i="4"/>
  <c r="OW45" i="4"/>
  <c r="GW111" i="4"/>
  <c r="GW42" i="4"/>
  <c r="OW22" i="4"/>
  <c r="GW93" i="4"/>
  <c r="OW24" i="4"/>
  <c r="GW53" i="4"/>
  <c r="GW103" i="4"/>
  <c r="OW44" i="4"/>
  <c r="GW39" i="4"/>
  <c r="OW90" i="4"/>
  <c r="GW107" i="4"/>
  <c r="GW32" i="4"/>
  <c r="GW13" i="4"/>
  <c r="OW84" i="4"/>
  <c r="OW85" i="4"/>
  <c r="GW27" i="4"/>
  <c r="OW49" i="4"/>
  <c r="GW18" i="4"/>
  <c r="OW26" i="4"/>
  <c r="OW73" i="4"/>
  <c r="OW68" i="4"/>
  <c r="OW83" i="4"/>
  <c r="GW97" i="4"/>
  <c r="OW77" i="4"/>
  <c r="OW69" i="4"/>
  <c r="OW17" i="4"/>
  <c r="OW59" i="4"/>
  <c r="GW56" i="4"/>
  <c r="OW111" i="4"/>
  <c r="GW101" i="4"/>
  <c r="GW69" i="4"/>
  <c r="OW78" i="4"/>
  <c r="GW63" i="4"/>
  <c r="GW17" i="4"/>
  <c r="OW81" i="4"/>
  <c r="GW54" i="4"/>
  <c r="GW34" i="4"/>
  <c r="GW58" i="4"/>
  <c r="GW98" i="4"/>
  <c r="GW31" i="4"/>
  <c r="OW55" i="4"/>
  <c r="GW25" i="4"/>
  <c r="OW107" i="4"/>
  <c r="OW37" i="4"/>
  <c r="GW55" i="4"/>
  <c r="OW56" i="4"/>
  <c r="OW18" i="4"/>
  <c r="GW26" i="4"/>
  <c r="GW29" i="4"/>
  <c r="OW76" i="4"/>
  <c r="GW82" i="4"/>
  <c r="GW6" i="4"/>
  <c r="OW50" i="4"/>
  <c r="GW24" i="4"/>
  <c r="OW58" i="4"/>
  <c r="OW96" i="4"/>
  <c r="OW99" i="4"/>
  <c r="GW83" i="4"/>
  <c r="GW87" i="4"/>
  <c r="OW97" i="4"/>
  <c r="OW54" i="4"/>
  <c r="GW52" i="4"/>
  <c r="OW12" i="4"/>
  <c r="GW7" i="4"/>
  <c r="OW27" i="4"/>
  <c r="GW84" i="4"/>
  <c r="GW49" i="4"/>
  <c r="OW39" i="4"/>
  <c r="OW89" i="4"/>
  <c r="OW10" i="4"/>
  <c r="GW85" i="4"/>
  <c r="OW35" i="4"/>
  <c r="GW80" i="4"/>
  <c r="GW14" i="4"/>
  <c r="GW3" i="4"/>
  <c r="GW67" i="4"/>
  <c r="OW82" i="4"/>
  <c r="GW71" i="4"/>
  <c r="GW75" i="4"/>
  <c r="GW33" i="4"/>
  <c r="GW59" i="4"/>
  <c r="GW77" i="4"/>
  <c r="GW65" i="4"/>
  <c r="GW94" i="4"/>
  <c r="OW92" i="4"/>
  <c r="OW63" i="4"/>
  <c r="OW52" i="4"/>
  <c r="GW4" i="4"/>
  <c r="OW5" i="4"/>
  <c r="OW42" i="4"/>
  <c r="GW5" i="4"/>
  <c r="OW91" i="4"/>
  <c r="GW105" i="4"/>
  <c r="OW72" i="4"/>
  <c r="OW110" i="4"/>
  <c r="GW44" i="4"/>
  <c r="GW110" i="4"/>
  <c r="OW74" i="4"/>
  <c r="GW92" i="4"/>
  <c r="OW103" i="4"/>
  <c r="OW28" i="4"/>
  <c r="OW67" i="4"/>
  <c r="OW64" i="4"/>
  <c r="GW99" i="4"/>
  <c r="GW51" i="4"/>
  <c r="GW86" i="4"/>
  <c r="GW106" i="4"/>
  <c r="OW71" i="4"/>
  <c r="OW93" i="4"/>
  <c r="OW6" i="4"/>
  <c r="GW15" i="4"/>
  <c r="GW91" i="4"/>
  <c r="GW22" i="4"/>
  <c r="GW12" i="4"/>
  <c r="GW20" i="4"/>
  <c r="OW104" i="4"/>
  <c r="OW95" i="4"/>
  <c r="GW8" i="4"/>
  <c r="OW7" i="4"/>
  <c r="OW80" i="4"/>
  <c r="OW108" i="4"/>
  <c r="OW105" i="4"/>
  <c r="OW98" i="4"/>
  <c r="OW60" i="4"/>
  <c r="GW38" i="4"/>
  <c r="OW38" i="4"/>
  <c r="GW79" i="4"/>
  <c r="OW86" i="4"/>
  <c r="OW41" i="4"/>
  <c r="GW46" i="4"/>
  <c r="OW3" i="4"/>
  <c r="OW23" i="4"/>
  <c r="OW87" i="4"/>
  <c r="GW109" i="4"/>
  <c r="OW11" i="4"/>
  <c r="OW30" i="4"/>
  <c r="GW19" i="4"/>
  <c r="OW40" i="4"/>
  <c r="GW50" i="4"/>
  <c r="OW4" i="4"/>
  <c r="GW100" i="4"/>
  <c r="GW102" i="4"/>
  <c r="GW40" i="4"/>
  <c r="GW11" i="4"/>
  <c r="OW102" i="4"/>
  <c r="GW9" i="4"/>
  <c r="GW57" i="4"/>
  <c r="OW43" i="4"/>
  <c r="OW57" i="4"/>
  <c r="GW89" i="4"/>
  <c r="GW36" i="4"/>
  <c r="OW13" i="4"/>
  <c r="GW72" i="4"/>
  <c r="OW16" i="4"/>
  <c r="GW108" i="4"/>
  <c r="OW53" i="4"/>
  <c r="OW79" i="4"/>
  <c r="OW48" i="4"/>
  <c r="OW101" i="4"/>
  <c r="OW94" i="4"/>
  <c r="GW45" i="4"/>
  <c r="GW66" i="4"/>
  <c r="OW106" i="4"/>
  <c r="OW33" i="4"/>
  <c r="OW109" i="4"/>
  <c r="OW29" i="4"/>
  <c r="GW104" i="4"/>
  <c r="GW23" i="4"/>
  <c r="GW47" i="4"/>
  <c r="OW65" i="4"/>
  <c r="GW70" i="4"/>
  <c r="OW8" i="4"/>
  <c r="GW10" i="4"/>
  <c r="GW61" i="4"/>
  <c r="OW14" i="4"/>
  <c r="GW35" i="4"/>
  <c r="OW9" i="4"/>
  <c r="GW2" i="4"/>
  <c r="OW2" i="4"/>
  <c r="N102" i="95"/>
  <c r="J107" i="104" s="1"/>
  <c r="C25" i="55"/>
  <c r="G25" i="55" s="1"/>
  <c r="PG4" i="4" l="1"/>
  <c r="O113" i="95" s="1"/>
  <c r="J117" i="104" s="1"/>
  <c r="PG70" i="4"/>
  <c r="O179" i="95" s="1"/>
  <c r="J183" i="104" s="1"/>
  <c r="PG3" i="4"/>
  <c r="O112" i="95" s="1"/>
  <c r="J116" i="104" s="1"/>
  <c r="L60" i="108"/>
  <c r="L61" i="108" s="1"/>
  <c r="J61" i="108"/>
  <c r="PG64" i="4"/>
  <c r="O173" i="95" s="1"/>
  <c r="J177" i="104" s="1"/>
  <c r="PG2" i="4"/>
  <c r="O111" i="95" s="1"/>
  <c r="J224" i="95" s="1"/>
  <c r="J228" i="104" s="1"/>
  <c r="PG98" i="4"/>
  <c r="O207" i="95" s="1"/>
  <c r="J211" i="104" s="1"/>
  <c r="PG88" i="4"/>
  <c r="O197" i="95" s="1"/>
  <c r="J201" i="104" s="1"/>
  <c r="PG54" i="4"/>
  <c r="O163" i="95" s="1"/>
  <c r="J167" i="104" s="1"/>
  <c r="PG91" i="4"/>
  <c r="O200" i="95" s="1"/>
  <c r="J204" i="104" s="1"/>
  <c r="PG35" i="4"/>
  <c r="O144" i="95" s="1"/>
  <c r="J148" i="104" s="1"/>
  <c r="PG71" i="4"/>
  <c r="O180" i="95" s="1"/>
  <c r="J184" i="104" s="1"/>
  <c r="PG9" i="4"/>
  <c r="O118" i="95" s="1"/>
  <c r="J122" i="104" s="1"/>
  <c r="PG7" i="4"/>
  <c r="O116" i="95" s="1"/>
  <c r="J120" i="104" s="1"/>
  <c r="PG74" i="4"/>
  <c r="O183" i="95" s="1"/>
  <c r="J187" i="104" s="1"/>
  <c r="PG95" i="4"/>
  <c r="O204" i="95" s="1"/>
  <c r="J208" i="104" s="1"/>
  <c r="PG25" i="4"/>
  <c r="O134" i="95" s="1"/>
  <c r="J138" i="104" s="1"/>
  <c r="PG28" i="4"/>
  <c r="O137" i="95" s="1"/>
  <c r="J141" i="104" s="1"/>
  <c r="PG14" i="4"/>
  <c r="O123" i="95" s="1"/>
  <c r="J127" i="104" s="1"/>
  <c r="PG63" i="4"/>
  <c r="O172" i="95" s="1"/>
  <c r="J176" i="104" s="1"/>
  <c r="PG10" i="4"/>
  <c r="O119" i="95" s="1"/>
  <c r="J123" i="104" s="1"/>
  <c r="PG30" i="4"/>
  <c r="O139" i="95" s="1"/>
  <c r="J143" i="104" s="1"/>
  <c r="PG43" i="4"/>
  <c r="O152" i="95" s="1"/>
  <c r="J156" i="104" s="1"/>
  <c r="J225" i="95"/>
  <c r="J229" i="104" s="1"/>
  <c r="PG96" i="4"/>
  <c r="O205" i="95" s="1"/>
  <c r="J209" i="104" s="1"/>
  <c r="PG44" i="4"/>
  <c r="O153" i="95" s="1"/>
  <c r="J157" i="104" s="1"/>
  <c r="PG33" i="4"/>
  <c r="O142" i="95" s="1"/>
  <c r="J146" i="104" s="1"/>
  <c r="PG48" i="4"/>
  <c r="O157" i="95" s="1"/>
  <c r="J161" i="104" s="1"/>
  <c r="PG6" i="4"/>
  <c r="O115" i="95" s="1"/>
  <c r="J119" i="104" s="1"/>
  <c r="PG67" i="4"/>
  <c r="O176" i="95" s="1"/>
  <c r="J180" i="104" s="1"/>
  <c r="PG18" i="4"/>
  <c r="O127" i="95" s="1"/>
  <c r="J131" i="104" s="1"/>
  <c r="PG85" i="4"/>
  <c r="O194" i="95" s="1"/>
  <c r="J198" i="104" s="1"/>
  <c r="PG32" i="4"/>
  <c r="O141" i="95" s="1"/>
  <c r="J145" i="104" s="1"/>
  <c r="PG66" i="4"/>
  <c r="O175" i="95" s="1"/>
  <c r="J179" i="104" s="1"/>
  <c r="PG41" i="4"/>
  <c r="O150" i="95" s="1"/>
  <c r="J154" i="104" s="1"/>
  <c r="PG17" i="4"/>
  <c r="O126" i="95" s="1"/>
  <c r="J130" i="104" s="1"/>
  <c r="PG80" i="4"/>
  <c r="O189" i="95" s="1"/>
  <c r="J193" i="104" s="1"/>
  <c r="PG55" i="4"/>
  <c r="O164" i="95" s="1"/>
  <c r="J168" i="104" s="1"/>
  <c r="PG47" i="4"/>
  <c r="O156" i="95" s="1"/>
  <c r="J160" i="104" s="1"/>
  <c r="PG15" i="4"/>
  <c r="O124" i="95" s="1"/>
  <c r="J128" i="104" s="1"/>
  <c r="PG110" i="4"/>
  <c r="O219" i="95" s="1"/>
  <c r="J223" i="104" s="1"/>
  <c r="PG39" i="4"/>
  <c r="O148" i="95" s="1"/>
  <c r="J152" i="104" s="1"/>
  <c r="PG105" i="4"/>
  <c r="O214" i="95" s="1"/>
  <c r="J218" i="104" s="1"/>
  <c r="PG59" i="4"/>
  <c r="O168" i="95" s="1"/>
  <c r="J172" i="104" s="1"/>
  <c r="PG78" i="4"/>
  <c r="O187" i="95" s="1"/>
  <c r="J191" i="104" s="1"/>
  <c r="PG45" i="4"/>
  <c r="O154" i="95" s="1"/>
  <c r="J158" i="104" s="1"/>
  <c r="PG29" i="4"/>
  <c r="O138" i="95" s="1"/>
  <c r="J142" i="104" s="1"/>
  <c r="PG12" i="4"/>
  <c r="O121" i="95" s="1"/>
  <c r="J125" i="104" s="1"/>
  <c r="PG109" i="4"/>
  <c r="O218" i="95" s="1"/>
  <c r="J222" i="104" s="1"/>
  <c r="PG72" i="4"/>
  <c r="O181" i="95" s="1"/>
  <c r="J185" i="104" s="1"/>
  <c r="PG83" i="4"/>
  <c r="O192" i="95" s="1"/>
  <c r="J196" i="104" s="1"/>
  <c r="PG97" i="4"/>
  <c r="O206" i="95" s="1"/>
  <c r="J210" i="104" s="1"/>
  <c r="J226" i="95"/>
  <c r="L340" i="95" s="1"/>
  <c r="I344" i="104" s="1"/>
  <c r="J229" i="95"/>
  <c r="L343" i="95" s="1"/>
  <c r="I347" i="104" s="1"/>
  <c r="PG21" i="4"/>
  <c r="O130" i="95" s="1"/>
  <c r="J134" i="104" s="1"/>
  <c r="PG38" i="4"/>
  <c r="O147" i="95" s="1"/>
  <c r="J151" i="104" s="1"/>
  <c r="PG101" i="4"/>
  <c r="O210" i="95" s="1"/>
  <c r="J214" i="104" s="1"/>
  <c r="PG52" i="4"/>
  <c r="O161" i="95" s="1"/>
  <c r="J165" i="104" s="1"/>
  <c r="PG56" i="4"/>
  <c r="O165" i="95" s="1"/>
  <c r="J169" i="104" s="1"/>
  <c r="PG92" i="4"/>
  <c r="O201" i="95" s="1"/>
  <c r="J205" i="104" s="1"/>
  <c r="PG111" i="4"/>
  <c r="O220" i="95" s="1"/>
  <c r="J224" i="104" s="1"/>
  <c r="PG106" i="4"/>
  <c r="O215" i="95" s="1"/>
  <c r="J219" i="104" s="1"/>
  <c r="PG103" i="4"/>
  <c r="O212" i="95" s="1"/>
  <c r="J216" i="104" s="1"/>
  <c r="PG73" i="4"/>
  <c r="O182" i="95" s="1"/>
  <c r="J186" i="104" s="1"/>
  <c r="PG40" i="4"/>
  <c r="O149" i="95" s="1"/>
  <c r="J153" i="104" s="1"/>
  <c r="PG61" i="4"/>
  <c r="O170" i="95" s="1"/>
  <c r="J174" i="104" s="1"/>
  <c r="PG19" i="4"/>
  <c r="O128" i="95" s="1"/>
  <c r="J132" i="104" s="1"/>
  <c r="PG46" i="4"/>
  <c r="O155" i="95" s="1"/>
  <c r="J159" i="104" s="1"/>
  <c r="PG60" i="4"/>
  <c r="O169" i="95" s="1"/>
  <c r="J173" i="104" s="1"/>
  <c r="PG65" i="4"/>
  <c r="O174" i="95" s="1"/>
  <c r="J178" i="104" s="1"/>
  <c r="PG107" i="4"/>
  <c r="O216" i="95" s="1"/>
  <c r="J220" i="104" s="1"/>
  <c r="PG81" i="4"/>
  <c r="O190" i="95" s="1"/>
  <c r="J194" i="104" s="1"/>
  <c r="PG22" i="4"/>
  <c r="O131" i="95" s="1"/>
  <c r="J135" i="104" s="1"/>
  <c r="PG16" i="4"/>
  <c r="O125" i="95" s="1"/>
  <c r="J129" i="104" s="1"/>
  <c r="PG102" i="4"/>
  <c r="O211" i="95" s="1"/>
  <c r="J215" i="104" s="1"/>
  <c r="PG108" i="4"/>
  <c r="O217" i="95" s="1"/>
  <c r="J221" i="104" s="1"/>
  <c r="PG76" i="4"/>
  <c r="O185" i="95" s="1"/>
  <c r="J189" i="104" s="1"/>
  <c r="PG90" i="4"/>
  <c r="O199" i="95" s="1"/>
  <c r="J203" i="104" s="1"/>
  <c r="PG100" i="4"/>
  <c r="O209" i="95" s="1"/>
  <c r="J213" i="104" s="1"/>
  <c r="PG94" i="4"/>
  <c r="O203" i="95" s="1"/>
  <c r="J207" i="104" s="1"/>
  <c r="PG5" i="4"/>
  <c r="O114" i="95" s="1"/>
  <c r="PG11" i="4"/>
  <c r="O120" i="95" s="1"/>
  <c r="J124" i="104" s="1"/>
  <c r="PG79" i="4"/>
  <c r="O188" i="95" s="1"/>
  <c r="J192" i="104" s="1"/>
  <c r="PG34" i="4"/>
  <c r="O143" i="95" s="1"/>
  <c r="J147" i="104" s="1"/>
  <c r="PG37" i="4"/>
  <c r="O146" i="95" s="1"/>
  <c r="J150" i="104" s="1"/>
  <c r="PG8" i="4"/>
  <c r="O117" i="95" s="1"/>
  <c r="J121" i="104" s="1"/>
  <c r="PG23" i="4"/>
  <c r="O132" i="95" s="1"/>
  <c r="J136" i="104" s="1"/>
  <c r="PG82" i="4"/>
  <c r="O191" i="95" s="1"/>
  <c r="J195" i="104" s="1"/>
  <c r="PG50" i="4"/>
  <c r="O159" i="95" s="1"/>
  <c r="J163" i="104" s="1"/>
  <c r="PG104" i="4"/>
  <c r="O213" i="95" s="1"/>
  <c r="J217" i="104" s="1"/>
  <c r="PG68" i="4"/>
  <c r="O177" i="95" s="1"/>
  <c r="J181" i="104" s="1"/>
  <c r="PG26" i="4"/>
  <c r="O135" i="95" s="1"/>
  <c r="J139" i="104" s="1"/>
  <c r="PG62" i="4"/>
  <c r="O171" i="95" s="1"/>
  <c r="J175" i="104" s="1"/>
  <c r="PG86" i="4"/>
  <c r="O195" i="95" s="1"/>
  <c r="J199" i="104" s="1"/>
  <c r="PG42" i="4"/>
  <c r="O151" i="95" s="1"/>
  <c r="J155" i="104" s="1"/>
  <c r="PG75" i="4"/>
  <c r="O184" i="95" s="1"/>
  <c r="J188" i="104" s="1"/>
  <c r="PG27" i="4"/>
  <c r="O136" i="95" s="1"/>
  <c r="J140" i="104" s="1"/>
  <c r="PG99" i="4"/>
  <c r="O208" i="95" s="1"/>
  <c r="J212" i="104" s="1"/>
  <c r="PG69" i="4"/>
  <c r="O178" i="95" s="1"/>
  <c r="J182" i="104" s="1"/>
  <c r="PG77" i="4"/>
  <c r="O186" i="95" s="1"/>
  <c r="J190" i="104" s="1"/>
  <c r="PG57" i="4"/>
  <c r="O166" i="95" s="1"/>
  <c r="J170" i="104" s="1"/>
  <c r="PG58" i="4"/>
  <c r="O167" i="95" s="1"/>
  <c r="J171" i="104" s="1"/>
  <c r="J231" i="95"/>
  <c r="J235" i="104" s="1"/>
  <c r="PG53" i="4"/>
  <c r="O162" i="95" s="1"/>
  <c r="J166" i="104" s="1"/>
  <c r="PG84" i="4"/>
  <c r="O193" i="95" s="1"/>
  <c r="J197" i="104" s="1"/>
  <c r="PG36" i="4"/>
  <c r="O145" i="95" s="1"/>
  <c r="J149" i="104" s="1"/>
  <c r="PG24" i="4"/>
  <c r="O133" i="95" s="1"/>
  <c r="J137" i="104" s="1"/>
  <c r="J232" i="95"/>
  <c r="PG13" i="4"/>
  <c r="O122" i="95" s="1"/>
  <c r="J126" i="104" s="1"/>
  <c r="PG20" i="4"/>
  <c r="O129" i="95" s="1"/>
  <c r="J133" i="104" s="1"/>
  <c r="PG31" i="4"/>
  <c r="O140" i="95" s="1"/>
  <c r="J144" i="104" s="1"/>
  <c r="PG87" i="4"/>
  <c r="O196" i="95" s="1"/>
  <c r="J200" i="104" s="1"/>
  <c r="PG93" i="4"/>
  <c r="O202" i="95" s="1"/>
  <c r="J206" i="104" s="1"/>
  <c r="PG89" i="4"/>
  <c r="O198" i="95" s="1"/>
  <c r="J202" i="104" s="1"/>
  <c r="PG51" i="4"/>
  <c r="O160" i="95" s="1"/>
  <c r="J164" i="104" s="1"/>
  <c r="PG49" i="4"/>
  <c r="O158" i="95" s="1"/>
  <c r="J162" i="104" s="1"/>
  <c r="L338" i="95"/>
  <c r="I342" i="104" s="1"/>
  <c r="J110" i="104"/>
  <c r="O105" i="95"/>
  <c r="K110" i="104" s="1"/>
  <c r="G110" i="104"/>
  <c r="O102" i="95"/>
  <c r="K107" i="104" s="1"/>
  <c r="F27" i="55"/>
  <c r="L339" i="95"/>
  <c r="I343" i="104" s="1"/>
  <c r="G112" i="103"/>
  <c r="A61" i="108" l="1"/>
  <c r="H61" i="108" s="1"/>
  <c r="J115" i="104"/>
  <c r="J228" i="95"/>
  <c r="L342" i="95" s="1"/>
  <c r="I346" i="104" s="1"/>
  <c r="J230" i="95"/>
  <c r="L344" i="95" s="1"/>
  <c r="I348" i="104" s="1"/>
  <c r="J230" i="104"/>
  <c r="J233" i="104"/>
  <c r="J118" i="104"/>
  <c r="J227" i="95"/>
  <c r="L345" i="95"/>
  <c r="I349" i="104" s="1"/>
  <c r="L346" i="95"/>
  <c r="I350" i="104" s="1"/>
  <c r="J236" i="104"/>
  <c r="F112" i="103"/>
  <c r="H113" i="103" s="1"/>
  <c r="G62" i="108" l="1"/>
  <c r="G63" i="108" s="1"/>
  <c r="J232" i="104"/>
  <c r="I113" i="103"/>
  <c r="J113" i="103"/>
  <c r="J234" i="104"/>
  <c r="J231" i="104"/>
  <c r="L341" i="95"/>
  <c r="I345" i="104" s="1"/>
  <c r="H147" i="103"/>
  <c r="H70" i="103"/>
  <c r="H87" i="103"/>
  <c r="H57" i="103"/>
  <c r="H64" i="103"/>
  <c r="H152" i="103"/>
  <c r="H94" i="103"/>
  <c r="H102" i="103"/>
  <c r="H99" i="103"/>
  <c r="H130" i="103"/>
  <c r="H90" i="103"/>
  <c r="H61" i="103"/>
  <c r="H144" i="103"/>
  <c r="H83" i="103"/>
  <c r="H66" i="103"/>
  <c r="H103" i="103"/>
  <c r="H79" i="103"/>
  <c r="H135" i="103"/>
  <c r="H97" i="103"/>
  <c r="H78" i="103"/>
  <c r="H114" i="103"/>
  <c r="H142" i="103"/>
  <c r="H76" i="103"/>
  <c r="H104" i="103"/>
  <c r="H145" i="103"/>
  <c r="H118" i="103"/>
  <c r="H131" i="103"/>
  <c r="H111" i="103"/>
  <c r="H123" i="103"/>
  <c r="H93" i="103"/>
  <c r="H129" i="103"/>
  <c r="H101" i="103"/>
  <c r="H82" i="103"/>
  <c r="H108" i="103"/>
  <c r="H117" i="103"/>
  <c r="H116" i="103"/>
  <c r="H92" i="103"/>
  <c r="H81" i="103"/>
  <c r="H138" i="103"/>
  <c r="H120" i="103"/>
  <c r="H100" i="103"/>
  <c r="H143" i="103"/>
  <c r="H149" i="103"/>
  <c r="H119" i="103"/>
  <c r="H141" i="103"/>
  <c r="H148" i="103"/>
  <c r="H125" i="103"/>
  <c r="H133" i="103"/>
  <c r="H112" i="103"/>
  <c r="H73" i="103"/>
  <c r="H91" i="103"/>
  <c r="H71" i="103"/>
  <c r="H86" i="103"/>
  <c r="H136" i="103"/>
  <c r="H80" i="103"/>
  <c r="H65" i="103"/>
  <c r="H137" i="103"/>
  <c r="H77" i="103"/>
  <c r="H62" i="103"/>
  <c r="H69" i="103"/>
  <c r="H151" i="103"/>
  <c r="H122" i="103"/>
  <c r="H132" i="103"/>
  <c r="H154" i="103"/>
  <c r="H155" i="103"/>
  <c r="H75" i="103"/>
  <c r="H140" i="103"/>
  <c r="H134" i="103"/>
  <c r="H124" i="103"/>
  <c r="H72" i="103"/>
  <c r="H63" i="103"/>
  <c r="H89" i="103"/>
  <c r="H156" i="103"/>
  <c r="H67" i="103"/>
  <c r="H84" i="103"/>
  <c r="H121" i="103"/>
  <c r="H150" i="103"/>
  <c r="H95" i="103"/>
  <c r="H115" i="103"/>
  <c r="H127" i="103"/>
  <c r="H107" i="103"/>
  <c r="H146" i="103"/>
  <c r="H128" i="103"/>
  <c r="H96" i="103"/>
  <c r="H109" i="103"/>
  <c r="H74" i="103"/>
  <c r="H98" i="103"/>
  <c r="H88" i="103"/>
  <c r="H110" i="103"/>
  <c r="H105" i="103"/>
  <c r="H126" i="103"/>
  <c r="H85" i="103"/>
  <c r="H139" i="103"/>
  <c r="H153" i="103"/>
  <c r="H68" i="103"/>
  <c r="H106" i="103"/>
  <c r="H58" i="103"/>
  <c r="H60" i="103"/>
  <c r="H59" i="103"/>
  <c r="V68" i="103"/>
  <c r="G69" i="108" l="1"/>
  <c r="J69" i="108" s="1"/>
  <c r="G67" i="108"/>
  <c r="J67" i="108" s="1"/>
  <c r="G65" i="108"/>
  <c r="J65" i="108" s="1"/>
  <c r="G66" i="108"/>
  <c r="J66" i="108" s="1"/>
  <c r="G72" i="108"/>
  <c r="G71" i="108"/>
  <c r="J71" i="108" s="1"/>
  <c r="G64" i="108"/>
  <c r="J64" i="108" s="1"/>
  <c r="G70" i="108"/>
  <c r="J70" i="108" s="1"/>
  <c r="G68" i="108"/>
  <c r="J68" i="108" s="1"/>
  <c r="I92" i="103"/>
  <c r="J92" i="103"/>
  <c r="J134" i="103"/>
  <c r="I134" i="103"/>
  <c r="J126" i="103"/>
  <c r="I126" i="103"/>
  <c r="I91" i="103"/>
  <c r="J91" i="103"/>
  <c r="J117" i="103"/>
  <c r="I117" i="103"/>
  <c r="I97" i="103"/>
  <c r="J97" i="103"/>
  <c r="J90" i="103"/>
  <c r="I90" i="103"/>
  <c r="J87" i="103"/>
  <c r="I87" i="103"/>
  <c r="I60" i="103"/>
  <c r="J60" i="103"/>
  <c r="J105" i="103"/>
  <c r="I105" i="103"/>
  <c r="I146" i="103"/>
  <c r="J146" i="103"/>
  <c r="I67" i="103"/>
  <c r="J67" i="103"/>
  <c r="I75" i="103"/>
  <c r="J75" i="103"/>
  <c r="I77" i="103"/>
  <c r="J77" i="103"/>
  <c r="J73" i="103"/>
  <c r="I73" i="103"/>
  <c r="I143" i="103"/>
  <c r="J143" i="103"/>
  <c r="J108" i="103"/>
  <c r="I108" i="103"/>
  <c r="J118" i="103"/>
  <c r="I118" i="103"/>
  <c r="I135" i="103"/>
  <c r="J135" i="103"/>
  <c r="I130" i="103"/>
  <c r="J130" i="103"/>
  <c r="J70" i="103"/>
  <c r="I70" i="103"/>
  <c r="I151" i="103"/>
  <c r="J151" i="103"/>
  <c r="I96" i="103"/>
  <c r="J96" i="103"/>
  <c r="I116" i="103"/>
  <c r="J116" i="103"/>
  <c r="I84" i="103"/>
  <c r="J84" i="103"/>
  <c r="I149" i="103"/>
  <c r="J149" i="103"/>
  <c r="I58" i="103"/>
  <c r="J58" i="103"/>
  <c r="J107" i="103"/>
  <c r="I107" i="103"/>
  <c r="J156" i="103"/>
  <c r="I156" i="103"/>
  <c r="I155" i="103"/>
  <c r="J155" i="103"/>
  <c r="I137" i="103"/>
  <c r="J137" i="103"/>
  <c r="J112" i="103"/>
  <c r="I112" i="103"/>
  <c r="I100" i="103"/>
  <c r="J100" i="103"/>
  <c r="I82" i="103"/>
  <c r="J82" i="103"/>
  <c r="I145" i="103"/>
  <c r="J145" i="103"/>
  <c r="J79" i="103"/>
  <c r="I79" i="103"/>
  <c r="I99" i="103"/>
  <c r="J99" i="103"/>
  <c r="I147" i="103"/>
  <c r="J147" i="103"/>
  <c r="J150" i="103"/>
  <c r="I150" i="103"/>
  <c r="J71" i="103"/>
  <c r="I71" i="103"/>
  <c r="I140" i="103"/>
  <c r="J140" i="103"/>
  <c r="I131" i="103"/>
  <c r="J131" i="103"/>
  <c r="I110" i="103"/>
  <c r="J110" i="103"/>
  <c r="I106" i="103"/>
  <c r="J106" i="103"/>
  <c r="I88" i="103"/>
  <c r="J88" i="103"/>
  <c r="I127" i="103"/>
  <c r="J127" i="103"/>
  <c r="I89" i="103"/>
  <c r="J89" i="103"/>
  <c r="I154" i="103"/>
  <c r="J154" i="103"/>
  <c r="I65" i="103"/>
  <c r="J65" i="103"/>
  <c r="J133" i="103"/>
  <c r="I133" i="103"/>
  <c r="I120" i="103"/>
  <c r="J120" i="103"/>
  <c r="I101" i="103"/>
  <c r="J101" i="103"/>
  <c r="J104" i="103"/>
  <c r="I104" i="103"/>
  <c r="J103" i="103"/>
  <c r="I103" i="103"/>
  <c r="I102" i="103"/>
  <c r="J102" i="103"/>
  <c r="I109" i="103"/>
  <c r="J109" i="103"/>
  <c r="J85" i="103"/>
  <c r="I85" i="103"/>
  <c r="J119" i="103"/>
  <c r="I119" i="103"/>
  <c r="I128" i="103"/>
  <c r="J128" i="103"/>
  <c r="J68" i="103"/>
  <c r="I68" i="103"/>
  <c r="I63" i="103"/>
  <c r="J63" i="103"/>
  <c r="J80" i="103"/>
  <c r="I80" i="103"/>
  <c r="I138" i="103"/>
  <c r="J138" i="103"/>
  <c r="I129" i="103"/>
  <c r="J129" i="103"/>
  <c r="I66" i="103"/>
  <c r="J66" i="103"/>
  <c r="J94" i="103"/>
  <c r="I94" i="103"/>
  <c r="J141" i="103"/>
  <c r="I141" i="103"/>
  <c r="J69" i="103"/>
  <c r="I69" i="103"/>
  <c r="J59" i="103"/>
  <c r="I59" i="103"/>
  <c r="I62" i="103"/>
  <c r="J62" i="103"/>
  <c r="I98" i="103"/>
  <c r="J98" i="103"/>
  <c r="J115" i="103"/>
  <c r="I115" i="103"/>
  <c r="I132" i="103"/>
  <c r="J132" i="103"/>
  <c r="J125" i="103"/>
  <c r="I125" i="103"/>
  <c r="J76" i="103"/>
  <c r="I76" i="103"/>
  <c r="I153" i="103"/>
  <c r="J153" i="103"/>
  <c r="I74" i="103"/>
  <c r="J74" i="103"/>
  <c r="I95" i="103"/>
  <c r="J95" i="103"/>
  <c r="I72" i="103"/>
  <c r="J72" i="103"/>
  <c r="I122" i="103"/>
  <c r="J122" i="103"/>
  <c r="I136" i="103"/>
  <c r="J136" i="103"/>
  <c r="I148" i="103"/>
  <c r="J148" i="103"/>
  <c r="I81" i="103"/>
  <c r="J81" i="103"/>
  <c r="I93" i="103"/>
  <c r="J93" i="103"/>
  <c r="I142" i="103"/>
  <c r="J142" i="103"/>
  <c r="I83" i="103"/>
  <c r="J83" i="103"/>
  <c r="I152" i="103"/>
  <c r="J152" i="103"/>
  <c r="I139" i="103"/>
  <c r="J139" i="103"/>
  <c r="I86" i="103"/>
  <c r="J86" i="103"/>
  <c r="I123" i="103"/>
  <c r="J123" i="103"/>
  <c r="I114" i="103"/>
  <c r="J114" i="103"/>
  <c r="I144" i="103"/>
  <c r="J144" i="103"/>
  <c r="J64" i="103"/>
  <c r="I64" i="103"/>
  <c r="J124" i="103"/>
  <c r="I124" i="103"/>
  <c r="J121" i="103"/>
  <c r="I121" i="103"/>
  <c r="J111" i="103"/>
  <c r="I111" i="103"/>
  <c r="J78" i="103"/>
  <c r="I78" i="103"/>
  <c r="I61" i="103"/>
  <c r="J61" i="103"/>
  <c r="I57" i="103"/>
  <c r="J57" i="103"/>
  <c r="GC9" i="4"/>
  <c r="U68" i="103"/>
  <c r="U69" i="103" s="1"/>
  <c r="GC90" i="4"/>
  <c r="GC108" i="4"/>
  <c r="GD10" i="4"/>
  <c r="GD44" i="4"/>
  <c r="GC31" i="4"/>
  <c r="GC53" i="4"/>
  <c r="GD66" i="4"/>
  <c r="GD54" i="4"/>
  <c r="GC78" i="4"/>
  <c r="GC109" i="4"/>
  <c r="GC75" i="4"/>
  <c r="GC71" i="4"/>
  <c r="GD69" i="4"/>
  <c r="GD47" i="4"/>
  <c r="GC15" i="4"/>
  <c r="GC106" i="4"/>
  <c r="GD29" i="4"/>
  <c r="GC99" i="4"/>
  <c r="GD20" i="4"/>
  <c r="GC26" i="4"/>
  <c r="GC76" i="4"/>
  <c r="GD21" i="4"/>
  <c r="GC21" i="4"/>
  <c r="GD90" i="4"/>
  <c r="GD98" i="4"/>
  <c r="GC32" i="4"/>
  <c r="GD80" i="4"/>
  <c r="GC74" i="4"/>
  <c r="GD77" i="4"/>
  <c r="GC34" i="4"/>
  <c r="GD30" i="4"/>
  <c r="GD109" i="4"/>
  <c r="GC40" i="4"/>
  <c r="GD15" i="4"/>
  <c r="GD68" i="4"/>
  <c r="GD99" i="4"/>
  <c r="GC48" i="4"/>
  <c r="GD26" i="4"/>
  <c r="GD73" i="4"/>
  <c r="GD76" i="4"/>
  <c r="GD67" i="4"/>
  <c r="GC98" i="4"/>
  <c r="GC110" i="4"/>
  <c r="GC25" i="4"/>
  <c r="GC85" i="4"/>
  <c r="GC55" i="4"/>
  <c r="GC61" i="4"/>
  <c r="GD43" i="4"/>
  <c r="GC77" i="4"/>
  <c r="GC58" i="4"/>
  <c r="GD45" i="4"/>
  <c r="GD34" i="4"/>
  <c r="GC94" i="4"/>
  <c r="GC12" i="4"/>
  <c r="GC87" i="4"/>
  <c r="GC95" i="4"/>
  <c r="GC65" i="4"/>
  <c r="GC22" i="4"/>
  <c r="GC111" i="4"/>
  <c r="GC29" i="4"/>
  <c r="GC73" i="4"/>
  <c r="GC86" i="4"/>
  <c r="GD64" i="4"/>
  <c r="GC35" i="4"/>
  <c r="GD32" i="4"/>
  <c r="GD25" i="4"/>
  <c r="GC49" i="4"/>
  <c r="GC37" i="4"/>
  <c r="GD36" i="4"/>
  <c r="GC44" i="4"/>
  <c r="GD55" i="4"/>
  <c r="GC89" i="4"/>
  <c r="GC38" i="4"/>
  <c r="GD105" i="4"/>
  <c r="GD61" i="4"/>
  <c r="GC50" i="4"/>
  <c r="GC6" i="4"/>
  <c r="GD58" i="4"/>
  <c r="GC52" i="4"/>
  <c r="GC11" i="4"/>
  <c r="GD70" i="4"/>
  <c r="GC81" i="4"/>
  <c r="GD94" i="4"/>
  <c r="GC7" i="4"/>
  <c r="GD12" i="4"/>
  <c r="GD87" i="4"/>
  <c r="GD95" i="4"/>
  <c r="GC33" i="4"/>
  <c r="GC47" i="4"/>
  <c r="GD63" i="4"/>
  <c r="GD22" i="4"/>
  <c r="GD82" i="4"/>
  <c r="GC41" i="4"/>
  <c r="GD79" i="4"/>
  <c r="GD84" i="4"/>
  <c r="GC16" i="4"/>
  <c r="GC103" i="4"/>
  <c r="GD38" i="4"/>
  <c r="GC105" i="4"/>
  <c r="GD53" i="4"/>
  <c r="GC72" i="4"/>
  <c r="GC43" i="4"/>
  <c r="GC66" i="4"/>
  <c r="GC102" i="4"/>
  <c r="GD6" i="4"/>
  <c r="GC17" i="4"/>
  <c r="GD11" i="4"/>
  <c r="GC59" i="4"/>
  <c r="GD7" i="4"/>
  <c r="GC93" i="4"/>
  <c r="GD40" i="4"/>
  <c r="GC69" i="4"/>
  <c r="GC83" i="4"/>
  <c r="GC23" i="4"/>
  <c r="GC104" i="4"/>
  <c r="GC19" i="4"/>
  <c r="GC68" i="4"/>
  <c r="GC18" i="4"/>
  <c r="GC88" i="4"/>
  <c r="GC67" i="4"/>
  <c r="GD35" i="4"/>
  <c r="GD108" i="4"/>
  <c r="GC39" i="4"/>
  <c r="GD16" i="4"/>
  <c r="GD31" i="4"/>
  <c r="GC80" i="4"/>
  <c r="GD103" i="4"/>
  <c r="GD89" i="4"/>
  <c r="GD72" i="4"/>
  <c r="GD50" i="4"/>
  <c r="GD102" i="4"/>
  <c r="GD52" i="4"/>
  <c r="GD17" i="4"/>
  <c r="GC70" i="4"/>
  <c r="GD59" i="4"/>
  <c r="GD75" i="4"/>
  <c r="GD71" i="4"/>
  <c r="GD93" i="4"/>
  <c r="GD83" i="4"/>
  <c r="GD23" i="4"/>
  <c r="GD104" i="4"/>
  <c r="GD18" i="4"/>
  <c r="GC20" i="4"/>
  <c r="GD51" i="4"/>
  <c r="GC46" i="4"/>
  <c r="GC107" i="4"/>
  <c r="GC27" i="4"/>
  <c r="GD110" i="4"/>
  <c r="GC60" i="4"/>
  <c r="GD85" i="4"/>
  <c r="GC14" i="4"/>
  <c r="GD49" i="4"/>
  <c r="GC28" i="4"/>
  <c r="GC57" i="4"/>
  <c r="GC13" i="4"/>
  <c r="GC92" i="4"/>
  <c r="GC56" i="4"/>
  <c r="GC91" i="4"/>
  <c r="GC100" i="4"/>
  <c r="GC97" i="4"/>
  <c r="GC96" i="4"/>
  <c r="GC62" i="4"/>
  <c r="GC42" i="4"/>
  <c r="GC101" i="4"/>
  <c r="GC24" i="4"/>
  <c r="GC63" i="4"/>
  <c r="GD19" i="4"/>
  <c r="GD111" i="4"/>
  <c r="GD48" i="4"/>
  <c r="GD88" i="4"/>
  <c r="GD86" i="4"/>
  <c r="GC64" i="4"/>
  <c r="GD46" i="4"/>
  <c r="GD65" i="4"/>
  <c r="GC82" i="4"/>
  <c r="GC79" i="4"/>
  <c r="GC51" i="4"/>
  <c r="GC84" i="4"/>
  <c r="GD107" i="4"/>
  <c r="GD27" i="4"/>
  <c r="GD39" i="4"/>
  <c r="GD60" i="4"/>
  <c r="GD14" i="4"/>
  <c r="GD37" i="4"/>
  <c r="GC10" i="4"/>
  <c r="GC36" i="4"/>
  <c r="GD28" i="4"/>
  <c r="GD57" i="4"/>
  <c r="GD13" i="4"/>
  <c r="GD74" i="4"/>
  <c r="GD92" i="4"/>
  <c r="GD56" i="4"/>
  <c r="GD91" i="4"/>
  <c r="GC45" i="4"/>
  <c r="GD100" i="4"/>
  <c r="GC30" i="4"/>
  <c r="GC54" i="4"/>
  <c r="GD78" i="4"/>
  <c r="GD81" i="4"/>
  <c r="GD97" i="4"/>
  <c r="GD96" i="4"/>
  <c r="GD62" i="4"/>
  <c r="GD33" i="4"/>
  <c r="GD42" i="4"/>
  <c r="GD101" i="4"/>
  <c r="GD24" i="4"/>
  <c r="GD106" i="4"/>
  <c r="GD41" i="4"/>
  <c r="GC2" i="4"/>
  <c r="GD2" i="4"/>
  <c r="GD4" i="4"/>
  <c r="GC5" i="4"/>
  <c r="GD3" i="4"/>
  <c r="J72" i="108" l="1"/>
  <c r="A72" i="108" s="1"/>
  <c r="H72" i="108" s="1"/>
  <c r="B169" i="103"/>
  <c r="B170" i="103" s="1"/>
  <c r="ME4343" i="4" s="1"/>
  <c r="GC8" i="4"/>
  <c r="GD8" i="4"/>
  <c r="GD9" i="4"/>
  <c r="U79" i="103"/>
  <c r="GC4" i="4"/>
  <c r="GD5" i="4"/>
  <c r="GC3" i="4"/>
  <c r="IJ4343" i="4" l="1"/>
  <c r="GD4343" i="4"/>
  <c r="GC4344" i="4"/>
  <c r="GD4344" i="4"/>
  <c r="II4343" i="4"/>
  <c r="MD4343" i="4"/>
  <c r="GC4343" i="4"/>
  <c r="U80" i="103"/>
  <c r="U81" i="103" l="1"/>
  <c r="W113" i="103" s="1"/>
  <c r="I234" i="95"/>
  <c r="I235" i="95"/>
  <c r="W59" i="103" l="1"/>
  <c r="W116" i="103"/>
  <c r="W65" i="103"/>
  <c r="X65" i="103" s="1"/>
  <c r="W67" i="103"/>
  <c r="Y67" i="103" s="1"/>
  <c r="W102" i="103"/>
  <c r="X102" i="103" s="1"/>
  <c r="W60" i="103"/>
  <c r="Y60" i="103" s="1"/>
  <c r="W129" i="103"/>
  <c r="X129" i="103" s="1"/>
  <c r="W120" i="103"/>
  <c r="Y120" i="103" s="1"/>
  <c r="W100" i="103"/>
  <c r="Y100" i="103" s="1"/>
  <c r="W143" i="103"/>
  <c r="W86" i="103"/>
  <c r="W127" i="103"/>
  <c r="W150" i="103"/>
  <c r="X150" i="103" s="1"/>
  <c r="W114" i="103"/>
  <c r="Y114" i="103" s="1"/>
  <c r="W74" i="103"/>
  <c r="X74" i="103" s="1"/>
  <c r="W88" i="103"/>
  <c r="X88" i="103" s="1"/>
  <c r="W108" i="103"/>
  <c r="Y108" i="103" s="1"/>
  <c r="W104" i="103"/>
  <c r="W130" i="103"/>
  <c r="W68" i="103"/>
  <c r="X68" i="103" s="1"/>
  <c r="W126" i="103"/>
  <c r="Y126" i="103" s="1"/>
  <c r="W110" i="103"/>
  <c r="Y110" i="103" s="1"/>
  <c r="W89" i="103"/>
  <c r="Y89" i="103" s="1"/>
  <c r="W57" i="103"/>
  <c r="W58" i="103"/>
  <c r="W112" i="103"/>
  <c r="W145" i="103"/>
  <c r="W82" i="103"/>
  <c r="W146" i="103"/>
  <c r="X146" i="103" s="1"/>
  <c r="W137" i="103"/>
  <c r="Y137" i="103" s="1"/>
  <c r="W148" i="103"/>
  <c r="Y148" i="103" s="1"/>
  <c r="W156" i="103"/>
  <c r="X156" i="103" s="1"/>
  <c r="W131" i="103"/>
  <c r="X131" i="103" s="1"/>
  <c r="W70" i="103"/>
  <c r="W77" i="103"/>
  <c r="Y77" i="103" s="1"/>
  <c r="W151" i="103"/>
  <c r="X151" i="103" s="1"/>
  <c r="W62" i="103"/>
  <c r="X62" i="103" s="1"/>
  <c r="W123" i="103"/>
  <c r="Y123" i="103" s="1"/>
  <c r="W92" i="103"/>
  <c r="X92" i="103" s="1"/>
  <c r="W63" i="103"/>
  <c r="Y63" i="103" s="1"/>
  <c r="W134" i="103"/>
  <c r="X134" i="103" s="1"/>
  <c r="W80" i="103"/>
  <c r="W84" i="103"/>
  <c r="Y84" i="103" s="1"/>
  <c r="W124" i="103"/>
  <c r="W96" i="103"/>
  <c r="Y96" i="103" s="1"/>
  <c r="W109" i="103"/>
  <c r="X109" i="103" s="1"/>
  <c r="W136" i="103"/>
  <c r="Y136" i="103" s="1"/>
  <c r="W78" i="103"/>
  <c r="X78" i="103" s="1"/>
  <c r="W93" i="103"/>
  <c r="Y93" i="103" s="1"/>
  <c r="W73" i="103"/>
  <c r="W103" i="103"/>
  <c r="X103" i="103" s="1"/>
  <c r="W111" i="103"/>
  <c r="X111" i="103" s="1"/>
  <c r="W107" i="103"/>
  <c r="Y107" i="103" s="1"/>
  <c r="W141" i="103"/>
  <c r="Y141" i="103" s="1"/>
  <c r="W147" i="103"/>
  <c r="X147" i="103" s="1"/>
  <c r="W94" i="103"/>
  <c r="Y94" i="103" s="1"/>
  <c r="W152" i="103"/>
  <c r="X152" i="103" s="1"/>
  <c r="W81" i="103"/>
  <c r="X81" i="103" s="1"/>
  <c r="W98" i="103"/>
  <c r="Y98" i="103" s="1"/>
  <c r="W79" i="103"/>
  <c r="X79" i="103" s="1"/>
  <c r="W122" i="103"/>
  <c r="Y122" i="103" s="1"/>
  <c r="W71" i="103"/>
  <c r="X71" i="103" s="1"/>
  <c r="W101" i="103"/>
  <c r="X101" i="103" s="1"/>
  <c r="W125" i="103"/>
  <c r="X125" i="103" s="1"/>
  <c r="W72" i="103"/>
  <c r="Y72" i="103" s="1"/>
  <c r="W95" i="103"/>
  <c r="Y95" i="103" s="1"/>
  <c r="W153" i="103"/>
  <c r="Y153" i="103" s="1"/>
  <c r="W155" i="103"/>
  <c r="Y155" i="103" s="1"/>
  <c r="W139" i="103"/>
  <c r="X139" i="103" s="1"/>
  <c r="W64" i="103"/>
  <c r="Y64" i="103" s="1"/>
  <c r="W121" i="103"/>
  <c r="X121" i="103" s="1"/>
  <c r="W99" i="103"/>
  <c r="Y99" i="103" s="1"/>
  <c r="W83" i="103"/>
  <c r="X83" i="103" s="1"/>
  <c r="W117" i="103"/>
  <c r="Y117" i="103" s="1"/>
  <c r="W149" i="103"/>
  <c r="W87" i="103"/>
  <c r="W154" i="103"/>
  <c r="W85" i="103"/>
  <c r="W144" i="103"/>
  <c r="W119" i="103"/>
  <c r="W91" i="103"/>
  <c r="W128" i="103"/>
  <c r="W97" i="103"/>
  <c r="W135" i="103"/>
  <c r="W140" i="103"/>
  <c r="W132" i="103"/>
  <c r="X67" i="103"/>
  <c r="X84" i="103"/>
  <c r="Y65" i="103"/>
  <c r="X70" i="103"/>
  <c r="Y70" i="103"/>
  <c r="Y68" i="103"/>
  <c r="X77" i="103"/>
  <c r="X80" i="103"/>
  <c r="Y80" i="103"/>
  <c r="X127" i="103"/>
  <c r="Y127" i="103"/>
  <c r="X113" i="103"/>
  <c r="Y113" i="103"/>
  <c r="W142" i="103"/>
  <c r="X112" i="103"/>
  <c r="Y112" i="103"/>
  <c r="Y73" i="103"/>
  <c r="X73" i="103"/>
  <c r="Y82" i="103"/>
  <c r="X82" i="103"/>
  <c r="W75" i="103"/>
  <c r="W69" i="103"/>
  <c r="W106" i="103"/>
  <c r="W118" i="103"/>
  <c r="W66" i="103"/>
  <c r="W90" i="103"/>
  <c r="W133" i="103"/>
  <c r="W138" i="103"/>
  <c r="W105" i="103"/>
  <c r="W115" i="103"/>
  <c r="W76" i="103"/>
  <c r="W61" i="103"/>
  <c r="Y116" i="103"/>
  <c r="X116" i="103"/>
  <c r="Y102" i="103"/>
  <c r="X100" i="103"/>
  <c r="X59" i="103"/>
  <c r="Y59" i="103"/>
  <c r="Y143" i="103"/>
  <c r="X143" i="103"/>
  <c r="Y151" i="103"/>
  <c r="Y104" i="103"/>
  <c r="X104" i="103"/>
  <c r="X86" i="103"/>
  <c r="Y86" i="103"/>
  <c r="X130" i="103"/>
  <c r="Y130" i="103"/>
  <c r="X145" i="103"/>
  <c r="Y145" i="103"/>
  <c r="Y124" i="103"/>
  <c r="X124" i="103"/>
  <c r="I233" i="95"/>
  <c r="K233" i="95" s="1"/>
  <c r="K237" i="104" s="1"/>
  <c r="J347" i="95"/>
  <c r="I239" i="104"/>
  <c r="J349" i="95"/>
  <c r="K235" i="95"/>
  <c r="K239" i="104" s="1"/>
  <c r="J348" i="95"/>
  <c r="I238" i="104"/>
  <c r="K234" i="95"/>
  <c r="K238" i="104" s="1"/>
  <c r="Y150" i="103" l="1"/>
  <c r="X126" i="103"/>
  <c r="Y146" i="103"/>
  <c r="X107" i="103"/>
  <c r="Y62" i="103"/>
  <c r="X123" i="103"/>
  <c r="X60" i="103"/>
  <c r="X64" i="103"/>
  <c r="Y111" i="103"/>
  <c r="Y79" i="103"/>
  <c r="X155" i="103"/>
  <c r="X137" i="103"/>
  <c r="X96" i="103"/>
  <c r="X122" i="103"/>
  <c r="Y139" i="103"/>
  <c r="X114" i="103"/>
  <c r="X110" i="103"/>
  <c r="Y109" i="103"/>
  <c r="X141" i="103"/>
  <c r="Y71" i="103"/>
  <c r="X89" i="103"/>
  <c r="Y88" i="103"/>
  <c r="GH76" i="4"/>
  <c r="HI76" i="4" s="1"/>
  <c r="K185" i="95" s="1"/>
  <c r="Y121" i="103"/>
  <c r="X117" i="103"/>
  <c r="X98" i="103"/>
  <c r="GH93" i="4"/>
  <c r="HL93" i="4" s="1"/>
  <c r="N202" i="95" s="1"/>
  <c r="Y103" i="103"/>
  <c r="GH69" i="4"/>
  <c r="HK69" i="4" s="1"/>
  <c r="M178" i="95" s="1"/>
  <c r="X153" i="103"/>
  <c r="Y156" i="103"/>
  <c r="Y78" i="103"/>
  <c r="X99" i="103"/>
  <c r="Y83" i="103"/>
  <c r="X120" i="103"/>
  <c r="X63" i="103"/>
  <c r="GI11" i="4"/>
  <c r="GH85" i="4"/>
  <c r="HJ85" i="4" s="1"/>
  <c r="L194" i="95" s="1"/>
  <c r="GI90" i="4"/>
  <c r="GH103" i="4"/>
  <c r="HI103" i="4" s="1"/>
  <c r="K212" i="95" s="1"/>
  <c r="GI107" i="4"/>
  <c r="Y92" i="103"/>
  <c r="GH8" i="4"/>
  <c r="HJ8" i="4" s="1"/>
  <c r="L117" i="95" s="1"/>
  <c r="GI59" i="4"/>
  <c r="GI47" i="4"/>
  <c r="GH12" i="4"/>
  <c r="HK12" i="4" s="1"/>
  <c r="M121" i="95" s="1"/>
  <c r="GH9" i="4"/>
  <c r="HJ9" i="4" s="1"/>
  <c r="L118" i="95" s="1"/>
  <c r="X136" i="103"/>
  <c r="GH33" i="4"/>
  <c r="GH32" i="4"/>
  <c r="HK32" i="4" s="1"/>
  <c r="M141" i="95" s="1"/>
  <c r="GH13" i="4"/>
  <c r="HL13" i="4" s="1"/>
  <c r="N122" i="95" s="1"/>
  <c r="GI60" i="4"/>
  <c r="Y101" i="103"/>
  <c r="Y74" i="103"/>
  <c r="GH35" i="4"/>
  <c r="HH35" i="4" s="1"/>
  <c r="J144" i="95" s="1"/>
  <c r="GI19" i="4"/>
  <c r="GI77" i="4"/>
  <c r="GI61" i="4"/>
  <c r="Y134" i="103"/>
  <c r="Y129" i="103"/>
  <c r="GI44" i="4"/>
  <c r="GI82" i="4"/>
  <c r="GH36" i="4"/>
  <c r="HK36" i="4" s="1"/>
  <c r="M145" i="95" s="1"/>
  <c r="GI9" i="4"/>
  <c r="GI28" i="4"/>
  <c r="GH77" i="4"/>
  <c r="HH77" i="4" s="1"/>
  <c r="J186" i="95" s="1"/>
  <c r="GH101" i="4"/>
  <c r="HJ101" i="4" s="1"/>
  <c r="L210" i="95" s="1"/>
  <c r="GH71" i="4"/>
  <c r="HL71" i="4" s="1"/>
  <c r="N180" i="95" s="1"/>
  <c r="GI7" i="4"/>
  <c r="GH20" i="4"/>
  <c r="HJ20" i="4" s="1"/>
  <c r="L129" i="95" s="1"/>
  <c r="GI32" i="4"/>
  <c r="GI53" i="4"/>
  <c r="GI96" i="4"/>
  <c r="GH50" i="4"/>
  <c r="HL50" i="4" s="1"/>
  <c r="N159" i="95" s="1"/>
  <c r="GH58" i="4"/>
  <c r="HK58" i="4" s="1"/>
  <c r="M167" i="95" s="1"/>
  <c r="GI106" i="4"/>
  <c r="GH102" i="4"/>
  <c r="HK102" i="4" s="1"/>
  <c r="M211" i="95" s="1"/>
  <c r="GH48" i="4"/>
  <c r="HL48" i="4" s="1"/>
  <c r="N157" i="95" s="1"/>
  <c r="GH19" i="4"/>
  <c r="HJ19" i="4" s="1"/>
  <c r="L128" i="95" s="1"/>
  <c r="GH78" i="4"/>
  <c r="HL78" i="4" s="1"/>
  <c r="N187" i="95" s="1"/>
  <c r="GH62" i="4"/>
  <c r="HJ62" i="4" s="1"/>
  <c r="L171" i="95" s="1"/>
  <c r="GH46" i="4"/>
  <c r="HH46" i="4" s="1"/>
  <c r="J155" i="95" s="1"/>
  <c r="GH109" i="4"/>
  <c r="HK109" i="4" s="1"/>
  <c r="M218" i="95" s="1"/>
  <c r="GI25" i="4"/>
  <c r="GH100" i="4"/>
  <c r="GH2" i="4"/>
  <c r="GH29" i="4"/>
  <c r="HL29" i="4" s="1"/>
  <c r="N138" i="95" s="1"/>
  <c r="GI49" i="4"/>
  <c r="GH3" i="4"/>
  <c r="HJ3" i="4" s="1"/>
  <c r="L112" i="95" s="1"/>
  <c r="GH31" i="4"/>
  <c r="GH41" i="4"/>
  <c r="X93" i="103"/>
  <c r="X72" i="103"/>
  <c r="GI66" i="4"/>
  <c r="GH89" i="4"/>
  <c r="HJ89" i="4" s="1"/>
  <c r="L198" i="95" s="1"/>
  <c r="GI98" i="4"/>
  <c r="GH44" i="4"/>
  <c r="HJ44" i="4" s="1"/>
  <c r="L153" i="95" s="1"/>
  <c r="GI78" i="4"/>
  <c r="GH43" i="4"/>
  <c r="HL43" i="4" s="1"/>
  <c r="N152" i="95" s="1"/>
  <c r="GH94" i="4"/>
  <c r="HI94" i="4" s="1"/>
  <c r="K203" i="95" s="1"/>
  <c r="GH34" i="4"/>
  <c r="HH34" i="4" s="1"/>
  <c r="J143" i="95" s="1"/>
  <c r="GI94" i="4"/>
  <c r="GH80" i="4"/>
  <c r="HK80" i="4" s="1"/>
  <c r="M189" i="95" s="1"/>
  <c r="GH54" i="4"/>
  <c r="HK54" i="4" s="1"/>
  <c r="M163" i="95" s="1"/>
  <c r="GI51" i="4"/>
  <c r="GI41" i="4"/>
  <c r="GH110" i="4"/>
  <c r="HI110" i="4" s="1"/>
  <c r="K219" i="95" s="1"/>
  <c r="GI75" i="4"/>
  <c r="GI64" i="4"/>
  <c r="GI46" i="4"/>
  <c r="GI2" i="4"/>
  <c r="GI97" i="4"/>
  <c r="GI54" i="4"/>
  <c r="GH106" i="4"/>
  <c r="HJ106" i="4" s="1"/>
  <c r="L215" i="95" s="1"/>
  <c r="GH82" i="4"/>
  <c r="HJ82" i="4" s="1"/>
  <c r="L191" i="95" s="1"/>
  <c r="GH63" i="4"/>
  <c r="HK63" i="4" s="1"/>
  <c r="M172" i="95" s="1"/>
  <c r="GI39" i="4"/>
  <c r="GH99" i="4"/>
  <c r="HK99" i="4" s="1"/>
  <c r="M208" i="95" s="1"/>
  <c r="GH105" i="4"/>
  <c r="HK105" i="4" s="1"/>
  <c r="M214" i="95" s="1"/>
  <c r="GI34" i="4"/>
  <c r="GH47" i="4"/>
  <c r="HL47" i="4" s="1"/>
  <c r="N156" i="95" s="1"/>
  <c r="GH56" i="4"/>
  <c r="HJ56" i="4" s="1"/>
  <c r="L165" i="95" s="1"/>
  <c r="GH86" i="4"/>
  <c r="HJ86" i="4" s="1"/>
  <c r="L195" i="95" s="1"/>
  <c r="GI105" i="4"/>
  <c r="GH52" i="4"/>
  <c r="HJ52" i="4" s="1"/>
  <c r="L161" i="95" s="1"/>
  <c r="GH90" i="4"/>
  <c r="HJ90" i="4" s="1"/>
  <c r="L199" i="95" s="1"/>
  <c r="GI81" i="4"/>
  <c r="GH70" i="4"/>
  <c r="HJ70" i="4" s="1"/>
  <c r="L179" i="95" s="1"/>
  <c r="GH28" i="4"/>
  <c r="HJ28" i="4" s="1"/>
  <c r="L137" i="95" s="1"/>
  <c r="GI84" i="4"/>
  <c r="GI69" i="4"/>
  <c r="GH10" i="4"/>
  <c r="HH10" i="4" s="1"/>
  <c r="J119" i="95" s="1"/>
  <c r="GI36" i="4"/>
  <c r="GH108" i="4"/>
  <c r="HH108" i="4" s="1"/>
  <c r="J217" i="95" s="1"/>
  <c r="GH38" i="4"/>
  <c r="GH95" i="4"/>
  <c r="HH95" i="4" s="1"/>
  <c r="J204" i="95" s="1"/>
  <c r="GH107" i="4"/>
  <c r="HH107" i="4" s="1"/>
  <c r="J216" i="95" s="1"/>
  <c r="GH14" i="4"/>
  <c r="HK14" i="4" s="1"/>
  <c r="M123" i="95" s="1"/>
  <c r="GI57" i="4"/>
  <c r="GH72" i="4"/>
  <c r="GI8" i="4"/>
  <c r="Y131" i="103"/>
  <c r="GI110" i="4"/>
  <c r="GI68" i="4"/>
  <c r="GH39" i="4"/>
  <c r="HH39" i="4" s="1"/>
  <c r="J148" i="95" s="1"/>
  <c r="GI33" i="4"/>
  <c r="GI22" i="4"/>
  <c r="GH51" i="4"/>
  <c r="HJ51" i="4" s="1"/>
  <c r="L160" i="95" s="1"/>
  <c r="GI108" i="4"/>
  <c r="GI13" i="4"/>
  <c r="GI48" i="4"/>
  <c r="GI43" i="4"/>
  <c r="GH59" i="4"/>
  <c r="HJ59" i="4" s="1"/>
  <c r="L168" i="95" s="1"/>
  <c r="GI23" i="4"/>
  <c r="GH104" i="4"/>
  <c r="HH104" i="4" s="1"/>
  <c r="J213" i="95" s="1"/>
  <c r="GI58" i="4"/>
  <c r="GI76" i="4"/>
  <c r="GI15" i="4"/>
  <c r="GH96" i="4"/>
  <c r="HL96" i="4" s="1"/>
  <c r="N205" i="95" s="1"/>
  <c r="GH98" i="4"/>
  <c r="GI29" i="4"/>
  <c r="GI102" i="4"/>
  <c r="GI10" i="4"/>
  <c r="GI72" i="4"/>
  <c r="GI70" i="4"/>
  <c r="X108" i="103"/>
  <c r="HI36" i="4"/>
  <c r="K145" i="95" s="1"/>
  <c r="GI20" i="4"/>
  <c r="GI37" i="4"/>
  <c r="GH18" i="4"/>
  <c r="HK18" i="4" s="1"/>
  <c r="M127" i="95" s="1"/>
  <c r="GI62" i="4"/>
  <c r="GH5" i="4"/>
  <c r="HJ5" i="4" s="1"/>
  <c r="L114" i="95" s="1"/>
  <c r="GH73" i="4"/>
  <c r="HI73" i="4" s="1"/>
  <c r="K182" i="95" s="1"/>
  <c r="GI35" i="4"/>
  <c r="GH79" i="4"/>
  <c r="HI79" i="4" s="1"/>
  <c r="K188" i="95" s="1"/>
  <c r="GI88" i="4"/>
  <c r="GI55" i="4"/>
  <c r="GH66" i="4"/>
  <c r="HK66" i="4" s="1"/>
  <c r="M175" i="95" s="1"/>
  <c r="GI6" i="4"/>
  <c r="GH49" i="4"/>
  <c r="HH49" i="4" s="1"/>
  <c r="J158" i="95" s="1"/>
  <c r="GI87" i="4"/>
  <c r="GH40" i="4"/>
  <c r="HI40" i="4" s="1"/>
  <c r="K149" i="95" s="1"/>
  <c r="GI31" i="4"/>
  <c r="GH37" i="4"/>
  <c r="HJ37" i="4" s="1"/>
  <c r="L146" i="95" s="1"/>
  <c r="GH83" i="4"/>
  <c r="HL83" i="4" s="1"/>
  <c r="N192" i="95" s="1"/>
  <c r="GI101" i="4"/>
  <c r="GH6" i="4"/>
  <c r="HK6" i="4" s="1"/>
  <c r="M115" i="95" s="1"/>
  <c r="GI56" i="4"/>
  <c r="GH26" i="4"/>
  <c r="GI5" i="4"/>
  <c r="Y152" i="103"/>
  <c r="GI95" i="4"/>
  <c r="HG95" i="4" s="1"/>
  <c r="I204" i="95" s="1"/>
  <c r="F208" i="104" s="1"/>
  <c r="GI67" i="4"/>
  <c r="GI45" i="4"/>
  <c r="GI26" i="4"/>
  <c r="GI17" i="4"/>
  <c r="GH75" i="4"/>
  <c r="HJ75" i="4" s="1"/>
  <c r="L184" i="95" s="1"/>
  <c r="GH24" i="4"/>
  <c r="HL24" i="4" s="1"/>
  <c r="N133" i="95" s="1"/>
  <c r="GI74" i="4"/>
  <c r="GI92" i="4"/>
  <c r="GI100" i="4"/>
  <c r="GI24" i="4"/>
  <c r="GH68" i="4"/>
  <c r="HH68" i="4" s="1"/>
  <c r="J177" i="95" s="1"/>
  <c r="GH65" i="4"/>
  <c r="HH65" i="4" s="1"/>
  <c r="J174" i="95" s="1"/>
  <c r="GH111" i="4"/>
  <c r="HI111" i="4" s="1"/>
  <c r="K220" i="95" s="1"/>
  <c r="GH25" i="4"/>
  <c r="HL25" i="4" s="1"/>
  <c r="N134" i="95" s="1"/>
  <c r="GH60" i="4"/>
  <c r="HK60" i="4" s="1"/>
  <c r="M169" i="95" s="1"/>
  <c r="GI85" i="4"/>
  <c r="GH42" i="4"/>
  <c r="HH42" i="4" s="1"/>
  <c r="J151" i="95" s="1"/>
  <c r="GI16" i="4"/>
  <c r="GI42" i="4"/>
  <c r="GI30" i="4"/>
  <c r="GH45" i="4"/>
  <c r="HJ45" i="4" s="1"/>
  <c r="L154" i="95" s="1"/>
  <c r="GH92" i="4"/>
  <c r="GH11" i="4"/>
  <c r="HL11" i="4" s="1"/>
  <c r="N120" i="95" s="1"/>
  <c r="GI80" i="4"/>
  <c r="GH16" i="4"/>
  <c r="HL16" i="4" s="1"/>
  <c r="N125" i="95" s="1"/>
  <c r="GI4" i="4"/>
  <c r="GH21" i="4"/>
  <c r="HL21" i="4" s="1"/>
  <c r="N130" i="95" s="1"/>
  <c r="GI38" i="4"/>
  <c r="GH87" i="4"/>
  <c r="HK87" i="4" s="1"/>
  <c r="M196" i="95" s="1"/>
  <c r="GI50" i="4"/>
  <c r="GI52" i="4"/>
  <c r="GI91" i="4"/>
  <c r="GH64" i="4"/>
  <c r="HH64" i="4" s="1"/>
  <c r="J173" i="95" s="1"/>
  <c r="GI21" i="4"/>
  <c r="GH84" i="4"/>
  <c r="HL84" i="4" s="1"/>
  <c r="N193" i="95" s="1"/>
  <c r="GH57" i="4"/>
  <c r="HK57" i="4" s="1"/>
  <c r="M166" i="95" s="1"/>
  <c r="GH27" i="4"/>
  <c r="HI27" i="4" s="1"/>
  <c r="K136" i="95" s="1"/>
  <c r="GH67" i="4"/>
  <c r="HJ67" i="4" s="1"/>
  <c r="L176" i="95" s="1"/>
  <c r="GI14" i="4"/>
  <c r="GH74" i="4"/>
  <c r="HJ74" i="4" s="1"/>
  <c r="L183" i="95" s="1"/>
  <c r="GH55" i="4"/>
  <c r="HI55" i="4" s="1"/>
  <c r="K164" i="95" s="1"/>
  <c r="GI27" i="4"/>
  <c r="GI12" i="4"/>
  <c r="GI99" i="4"/>
  <c r="GH23" i="4"/>
  <c r="HK23" i="4" s="1"/>
  <c r="M132" i="95" s="1"/>
  <c r="GH17" i="4"/>
  <c r="HJ17" i="4" s="1"/>
  <c r="L126" i="95" s="1"/>
  <c r="GH30" i="4"/>
  <c r="HH30" i="4" s="1"/>
  <c r="J139" i="95" s="1"/>
  <c r="GI65" i="4"/>
  <c r="X94" i="103"/>
  <c r="X148" i="103"/>
  <c r="Y125" i="103"/>
  <c r="Y81" i="103"/>
  <c r="Y58" i="103"/>
  <c r="X58" i="103"/>
  <c r="Y57" i="103"/>
  <c r="X57" i="103"/>
  <c r="Y147" i="103"/>
  <c r="X95" i="103"/>
  <c r="X61" i="103"/>
  <c r="Y61" i="103"/>
  <c r="GH61" i="4"/>
  <c r="GI18" i="4"/>
  <c r="GI79" i="4"/>
  <c r="GH22" i="4"/>
  <c r="GH15" i="4"/>
  <c r="GI83" i="4"/>
  <c r="GI89" i="4"/>
  <c r="GI3" i="4"/>
  <c r="C169" i="103"/>
  <c r="GI63" i="4"/>
  <c r="GI104" i="4"/>
  <c r="GH53" i="4"/>
  <c r="GI73" i="4"/>
  <c r="GI111" i="4"/>
  <c r="GI93" i="4"/>
  <c r="GI71" i="4"/>
  <c r="GH88" i="4"/>
  <c r="GI109" i="4"/>
  <c r="GI40" i="4"/>
  <c r="Y118" i="103"/>
  <c r="X118" i="103"/>
  <c r="X97" i="103"/>
  <c r="Y97" i="103"/>
  <c r="Y149" i="103"/>
  <c r="X149" i="103"/>
  <c r="Y76" i="103"/>
  <c r="X76" i="103"/>
  <c r="Y106" i="103"/>
  <c r="X106" i="103"/>
  <c r="X128" i="103"/>
  <c r="Y128" i="103"/>
  <c r="GH97" i="4"/>
  <c r="X115" i="103"/>
  <c r="Y115" i="103"/>
  <c r="X69" i="103"/>
  <c r="Y69" i="103"/>
  <c r="Y91" i="103"/>
  <c r="X91" i="103"/>
  <c r="GH91" i="4"/>
  <c r="Y105" i="103"/>
  <c r="X105" i="103"/>
  <c r="Y75" i="103"/>
  <c r="X75" i="103"/>
  <c r="Y119" i="103"/>
  <c r="X119" i="103"/>
  <c r="GI86" i="4"/>
  <c r="X138" i="103"/>
  <c r="Y138" i="103"/>
  <c r="GH81" i="4"/>
  <c r="Y142" i="103"/>
  <c r="X142" i="103"/>
  <c r="Y144" i="103"/>
  <c r="X144" i="103"/>
  <c r="X133" i="103"/>
  <c r="Y133" i="103"/>
  <c r="GI103" i="4"/>
  <c r="Y132" i="103"/>
  <c r="X132" i="103"/>
  <c r="Y85" i="103"/>
  <c r="X85" i="103"/>
  <c r="Y90" i="103"/>
  <c r="X90" i="103"/>
  <c r="Y140" i="103"/>
  <c r="X140" i="103"/>
  <c r="X154" i="103"/>
  <c r="Y154" i="103"/>
  <c r="GH7" i="4"/>
  <c r="X66" i="103"/>
  <c r="Y66" i="103"/>
  <c r="X135" i="103"/>
  <c r="Y135" i="103"/>
  <c r="X87" i="103"/>
  <c r="Y87" i="103"/>
  <c r="GH4" i="4"/>
  <c r="HL3" i="4"/>
  <c r="N112" i="95" s="1"/>
  <c r="HL14" i="4"/>
  <c r="N123" i="95" s="1"/>
  <c r="HJ39" i="4"/>
  <c r="L148" i="95" s="1"/>
  <c r="HL59" i="4"/>
  <c r="N168" i="95" s="1"/>
  <c r="HK68" i="4"/>
  <c r="M177" i="95" s="1"/>
  <c r="HL32" i="4"/>
  <c r="N141" i="95" s="1"/>
  <c r="HK93" i="4"/>
  <c r="M202" i="95" s="1"/>
  <c r="HK8" i="4"/>
  <c r="M117" i="95" s="1"/>
  <c r="HI20" i="4"/>
  <c r="K129" i="95" s="1"/>
  <c r="HH50" i="4"/>
  <c r="J159" i="95" s="1"/>
  <c r="HK56" i="4"/>
  <c r="M165" i="95" s="1"/>
  <c r="HK86" i="4"/>
  <c r="M195" i="95" s="1"/>
  <c r="I237" i="104"/>
  <c r="N347" i="95"/>
  <c r="K351" i="104" s="1"/>
  <c r="G351" i="104"/>
  <c r="G352" i="104"/>
  <c r="N348" i="95"/>
  <c r="K352" i="104" s="1"/>
  <c r="G353" i="104"/>
  <c r="N349" i="95"/>
  <c r="K353" i="104" s="1"/>
  <c r="H109" i="104"/>
  <c r="N104" i="95"/>
  <c r="G109" i="104"/>
  <c r="HK50" i="4" l="1"/>
  <c r="M159" i="95" s="1"/>
  <c r="HG50" i="4"/>
  <c r="I159" i="95" s="1"/>
  <c r="F163" i="104" s="1"/>
  <c r="HK77" i="4"/>
  <c r="M186" i="95" s="1"/>
  <c r="HL56" i="4"/>
  <c r="N165" i="95" s="1"/>
  <c r="HI50" i="4"/>
  <c r="K159" i="95" s="1"/>
  <c r="HI32" i="4"/>
  <c r="K141" i="95" s="1"/>
  <c r="HI46" i="4"/>
  <c r="K155" i="95" s="1"/>
  <c r="HL106" i="4"/>
  <c r="N215" i="95" s="1"/>
  <c r="H219" i="104" s="1"/>
  <c r="HJ50" i="4"/>
  <c r="L159" i="95" s="1"/>
  <c r="HH32" i="4"/>
  <c r="J141" i="95" s="1"/>
  <c r="HJ46" i="4"/>
  <c r="L155" i="95" s="1"/>
  <c r="HG31" i="4"/>
  <c r="I140" i="95" s="1"/>
  <c r="F144" i="104" s="1"/>
  <c r="HH106" i="4"/>
  <c r="J215" i="95" s="1"/>
  <c r="HJ32" i="4"/>
  <c r="L141" i="95" s="1"/>
  <c r="HG46" i="4"/>
  <c r="I155" i="95" s="1"/>
  <c r="F159" i="104" s="1"/>
  <c r="HJ77" i="4"/>
  <c r="L186" i="95" s="1"/>
  <c r="HG56" i="4"/>
  <c r="I165" i="95" s="1"/>
  <c r="F169" i="104" s="1"/>
  <c r="HI106" i="4"/>
  <c r="K215" i="95" s="1"/>
  <c r="HH56" i="4"/>
  <c r="J165" i="95" s="1"/>
  <c r="HK106" i="4"/>
  <c r="M215" i="95" s="1"/>
  <c r="HH66" i="4"/>
  <c r="J175" i="95" s="1"/>
  <c r="HI77" i="4"/>
  <c r="K186" i="95" s="1"/>
  <c r="HI56" i="4"/>
  <c r="K165" i="95" s="1"/>
  <c r="HI18" i="4"/>
  <c r="K127" i="95" s="1"/>
  <c r="HL77" i="4"/>
  <c r="N186" i="95" s="1"/>
  <c r="HG14" i="4"/>
  <c r="I123" i="95" s="1"/>
  <c r="F127" i="104" s="1"/>
  <c r="HL73" i="4"/>
  <c r="N182" i="95" s="1"/>
  <c r="HL90" i="4"/>
  <c r="N199" i="95" s="1"/>
  <c r="HG18" i="4"/>
  <c r="I127" i="95" s="1"/>
  <c r="F131" i="104" s="1"/>
  <c r="HL67" i="4"/>
  <c r="N176" i="95" s="1"/>
  <c r="HH67" i="4"/>
  <c r="J176" i="95" s="1"/>
  <c r="HJ34" i="4"/>
  <c r="L143" i="95" s="1"/>
  <c r="HK75" i="4"/>
  <c r="M184" i="95" s="1"/>
  <c r="HG64" i="4"/>
  <c r="I173" i="95" s="1"/>
  <c r="F177" i="104" s="1"/>
  <c r="HL102" i="4"/>
  <c r="N211" i="95" s="1"/>
  <c r="HH75" i="4"/>
  <c r="J184" i="95" s="1"/>
  <c r="HH73" i="4"/>
  <c r="J182" i="95" s="1"/>
  <c r="HI34" i="4"/>
  <c r="K143" i="95" s="1"/>
  <c r="HK73" i="4"/>
  <c r="M182" i="95" s="1"/>
  <c r="HK34" i="4"/>
  <c r="M143" i="95" s="1"/>
  <c r="HH102" i="4"/>
  <c r="J211" i="95" s="1"/>
  <c r="HL75" i="4"/>
  <c r="N184" i="95" s="1"/>
  <c r="HL34" i="4"/>
  <c r="N143" i="95" s="1"/>
  <c r="HI102" i="4"/>
  <c r="K211" i="95" s="1"/>
  <c r="HG100" i="4"/>
  <c r="I209" i="95" s="1"/>
  <c r="F213" i="104" s="1"/>
  <c r="HG102" i="4"/>
  <c r="I211" i="95" s="1"/>
  <c r="F215" i="104" s="1"/>
  <c r="HI75" i="4"/>
  <c r="K184" i="95" s="1"/>
  <c r="HJ111" i="4"/>
  <c r="L220" i="95" s="1"/>
  <c r="HJ102" i="4"/>
  <c r="L211" i="95" s="1"/>
  <c r="HJ73" i="4"/>
  <c r="L182" i="95" s="1"/>
  <c r="HL111" i="4"/>
  <c r="N220" i="95" s="1"/>
  <c r="HI52" i="4"/>
  <c r="K161" i="95" s="1"/>
  <c r="HI82" i="4"/>
  <c r="K191" i="95" s="1"/>
  <c r="HG8" i="4"/>
  <c r="I117" i="95" s="1"/>
  <c r="F121" i="104" s="1"/>
  <c r="HK13" i="4"/>
  <c r="M122" i="95" s="1"/>
  <c r="HL82" i="4"/>
  <c r="N191" i="95" s="1"/>
  <c r="HH13" i="4"/>
  <c r="J122" i="95" s="1"/>
  <c r="HI93" i="4"/>
  <c r="K202" i="95" s="1"/>
  <c r="HL68" i="4"/>
  <c r="N177" i="95" s="1"/>
  <c r="HH110" i="4"/>
  <c r="J219" i="95" s="1"/>
  <c r="HH8" i="4"/>
  <c r="J117" i="95" s="1"/>
  <c r="HJ109" i="4"/>
  <c r="L218" i="95" s="1"/>
  <c r="HK101" i="4"/>
  <c r="M210" i="95" s="1"/>
  <c r="HI58" i="4"/>
  <c r="K167" i="95" s="1"/>
  <c r="HH93" i="4"/>
  <c r="J202" i="95" s="1"/>
  <c r="HL6" i="4"/>
  <c r="N115" i="95" s="1"/>
  <c r="HJ58" i="4"/>
  <c r="L167" i="95" s="1"/>
  <c r="HJ13" i="4"/>
  <c r="L122" i="95" s="1"/>
  <c r="HJ93" i="4"/>
  <c r="L202" i="95" s="1"/>
  <c r="HI8" i="4"/>
  <c r="K117" i="95" s="1"/>
  <c r="HL58" i="4"/>
  <c r="N167" i="95" s="1"/>
  <c r="HI13" i="4"/>
  <c r="K122" i="95" s="1"/>
  <c r="HG93" i="4"/>
  <c r="I202" i="95" s="1"/>
  <c r="F206" i="104" s="1"/>
  <c r="HG13" i="4"/>
  <c r="I122" i="95" s="1"/>
  <c r="F126" i="104" s="1"/>
  <c r="HL9" i="4"/>
  <c r="N118" i="95" s="1"/>
  <c r="HL108" i="4"/>
  <c r="N217" i="95" s="1"/>
  <c r="HI89" i="4"/>
  <c r="K198" i="95" s="1"/>
  <c r="HI29" i="4"/>
  <c r="K138" i="95" s="1"/>
  <c r="HH19" i="4"/>
  <c r="J128" i="95" s="1"/>
  <c r="HG89" i="4"/>
  <c r="I198" i="95" s="1"/>
  <c r="F202" i="104" s="1"/>
  <c r="HI35" i="4"/>
  <c r="K144" i="95" s="1"/>
  <c r="HJ80" i="4"/>
  <c r="L189" i="95" s="1"/>
  <c r="HK17" i="4"/>
  <c r="M126" i="95" s="1"/>
  <c r="HJ76" i="4"/>
  <c r="L185" i="95" s="1"/>
  <c r="HG29" i="4"/>
  <c r="I138" i="95" s="1"/>
  <c r="F142" i="104" s="1"/>
  <c r="HK35" i="4"/>
  <c r="M144" i="95" s="1"/>
  <c r="HL35" i="4"/>
  <c r="N144" i="95" s="1"/>
  <c r="HI67" i="4"/>
  <c r="K176" i="95" s="1"/>
  <c r="HI17" i="4"/>
  <c r="K126" i="95" s="1"/>
  <c r="HK9" i="4"/>
  <c r="M118" i="95" s="1"/>
  <c r="HK96" i="4"/>
  <c r="M205" i="95" s="1"/>
  <c r="HH89" i="4"/>
  <c r="J198" i="95" s="1"/>
  <c r="HK67" i="4"/>
  <c r="M176" i="95" s="1"/>
  <c r="HJ29" i="4"/>
  <c r="L138" i="95" s="1"/>
  <c r="HG19" i="4"/>
  <c r="I128" i="95" s="1"/>
  <c r="F132" i="104" s="1"/>
  <c r="HG32" i="4"/>
  <c r="I141" i="95" s="1"/>
  <c r="F145" i="104" s="1"/>
  <c r="HK95" i="4"/>
  <c r="M204" i="95" s="1"/>
  <c r="HG82" i="4"/>
  <c r="I191" i="95" s="1"/>
  <c r="F195" i="104" s="1"/>
  <c r="HH103" i="4"/>
  <c r="J212" i="95" s="1"/>
  <c r="HH90" i="4"/>
  <c r="J199" i="95" s="1"/>
  <c r="HK48" i="4"/>
  <c r="M157" i="95" s="1"/>
  <c r="HH20" i="4"/>
  <c r="J129" i="95" s="1"/>
  <c r="HJ108" i="4"/>
  <c r="L217" i="95" s="1"/>
  <c r="HG108" i="4"/>
  <c r="I217" i="95" s="1"/>
  <c r="F221" i="104" s="1"/>
  <c r="HK90" i="4"/>
  <c r="M199" i="95" s="1"/>
  <c r="HI90" i="4"/>
  <c r="K199" i="95" s="1"/>
  <c r="HJ12" i="4"/>
  <c r="L121" i="95" s="1"/>
  <c r="HJ40" i="4"/>
  <c r="L149" i="95" s="1"/>
  <c r="HG34" i="4"/>
  <c r="I143" i="95" s="1"/>
  <c r="F147" i="104" s="1"/>
  <c r="HG90" i="4"/>
  <c r="I199" i="95" s="1"/>
  <c r="F203" i="104" s="1"/>
  <c r="HG76" i="4"/>
  <c r="I185" i="95" s="1"/>
  <c r="F189" i="104" s="1"/>
  <c r="HI70" i="4"/>
  <c r="K179" i="95" s="1"/>
  <c r="HK89" i="4"/>
  <c r="M198" i="95" s="1"/>
  <c r="HI19" i="4"/>
  <c r="K128" i="95" s="1"/>
  <c r="HJ103" i="4"/>
  <c r="L212" i="95" s="1"/>
  <c r="HL76" i="4"/>
  <c r="N185" i="95" s="1"/>
  <c r="HJ84" i="4"/>
  <c r="L193" i="95" s="1"/>
  <c r="HL60" i="4"/>
  <c r="N169" i="95" s="1"/>
  <c r="HJ95" i="4"/>
  <c r="L204" i="95" s="1"/>
  <c r="HJ35" i="4"/>
  <c r="L144" i="95" s="1"/>
  <c r="HI11" i="4"/>
  <c r="K120" i="95" s="1"/>
  <c r="HG35" i="4"/>
  <c r="I144" i="95" s="1"/>
  <c r="F148" i="104" s="1"/>
  <c r="HK70" i="4"/>
  <c r="M179" i="95" s="1"/>
  <c r="HL89" i="4"/>
  <c r="N198" i="95" s="1"/>
  <c r="HK19" i="4"/>
  <c r="M128" i="95" s="1"/>
  <c r="HL103" i="4"/>
  <c r="N212" i="95" s="1"/>
  <c r="HH76" i="4"/>
  <c r="J185" i="95" s="1"/>
  <c r="HJ60" i="4"/>
  <c r="L169" i="95" s="1"/>
  <c r="HL95" i="4"/>
  <c r="N204" i="95" s="1"/>
  <c r="HK11" i="4"/>
  <c r="M120" i="95" s="1"/>
  <c r="HG53" i="4"/>
  <c r="I162" i="95" s="1"/>
  <c r="F166" i="104" s="1"/>
  <c r="HG36" i="4"/>
  <c r="I145" i="95" s="1"/>
  <c r="F149" i="104" s="1"/>
  <c r="HL70" i="4"/>
  <c r="N179" i="95" s="1"/>
  <c r="HK76" i="4"/>
  <c r="M185" i="95" s="1"/>
  <c r="HH79" i="4"/>
  <c r="J188" i="95" s="1"/>
  <c r="HI96" i="4"/>
  <c r="K205" i="95" s="1"/>
  <c r="HI80" i="4"/>
  <c r="K189" i="95" s="1"/>
  <c r="HK78" i="4"/>
  <c r="M187" i="95" s="1"/>
  <c r="HH105" i="4"/>
  <c r="J214" i="95" s="1"/>
  <c r="HI78" i="4"/>
  <c r="K187" i="95" s="1"/>
  <c r="HH96" i="4"/>
  <c r="J205" i="95" s="1"/>
  <c r="HH80" i="4"/>
  <c r="J189" i="95" s="1"/>
  <c r="HK29" i="4"/>
  <c r="M138" i="95" s="1"/>
  <c r="HL36" i="4"/>
  <c r="N145" i="95" s="1"/>
  <c r="HG80" i="4"/>
  <c r="I189" i="95" s="1"/>
  <c r="F193" i="104" s="1"/>
  <c r="HH57" i="4"/>
  <c r="J166" i="95" s="1"/>
  <c r="HI9" i="4"/>
  <c r="K118" i="95" s="1"/>
  <c r="HI105" i="4"/>
  <c r="K214" i="95" s="1"/>
  <c r="HL19" i="4"/>
  <c r="N128" i="95" s="1"/>
  <c r="HH9" i="4"/>
  <c r="J118" i="95" s="1"/>
  <c r="HH70" i="4"/>
  <c r="J179" i="95" s="1"/>
  <c r="HG9" i="4"/>
  <c r="I118" i="95" s="1"/>
  <c r="F122" i="104" s="1"/>
  <c r="HL105" i="4"/>
  <c r="N214" i="95" s="1"/>
  <c r="HH78" i="4"/>
  <c r="J187" i="95" s="1"/>
  <c r="HJ96" i="4"/>
  <c r="L205" i="95" s="1"/>
  <c r="HL80" i="4"/>
  <c r="N189" i="95" s="1"/>
  <c r="HH29" i="4"/>
  <c r="J138" i="95" s="1"/>
  <c r="HJ36" i="4"/>
  <c r="L145" i="95" s="1"/>
  <c r="HK103" i="4"/>
  <c r="M212" i="95" s="1"/>
  <c r="HI95" i="4"/>
  <c r="K204" i="95" s="1"/>
  <c r="HG103" i="4"/>
  <c r="I212" i="95" s="1"/>
  <c r="F216" i="104" s="1"/>
  <c r="HH36" i="4"/>
  <c r="J145" i="95" s="1"/>
  <c r="HI37" i="4"/>
  <c r="K146" i="95" s="1"/>
  <c r="HG77" i="4"/>
  <c r="I186" i="95" s="1"/>
  <c r="F190" i="104" s="1"/>
  <c r="HG33" i="4"/>
  <c r="I142" i="95" s="1"/>
  <c r="F146" i="104" s="1"/>
  <c r="HH33" i="4"/>
  <c r="J142" i="95" s="1"/>
  <c r="HK39" i="4"/>
  <c r="M148" i="95" s="1"/>
  <c r="HI47" i="4"/>
  <c r="K156" i="95" s="1"/>
  <c r="HL33" i="4"/>
  <c r="N142" i="95" s="1"/>
  <c r="HJ87" i="4"/>
  <c r="L196" i="95" s="1"/>
  <c r="HI59" i="4"/>
  <c r="K168" i="95" s="1"/>
  <c r="HI39" i="4"/>
  <c r="K148" i="95" s="1"/>
  <c r="HI33" i="4"/>
  <c r="K142" i="95" s="1"/>
  <c r="HG59" i="4"/>
  <c r="I168" i="95" s="1"/>
  <c r="F172" i="104" s="1"/>
  <c r="HG39" i="4"/>
  <c r="I148" i="95" s="1"/>
  <c r="F152" i="104" s="1"/>
  <c r="HH59" i="4"/>
  <c r="J168" i="95" s="1"/>
  <c r="HL39" i="4"/>
  <c r="N148" i="95" s="1"/>
  <c r="HL44" i="4"/>
  <c r="N153" i="95" s="1"/>
  <c r="HK59" i="4"/>
  <c r="M168" i="95" s="1"/>
  <c r="HI28" i="4"/>
  <c r="K137" i="95" s="1"/>
  <c r="HK33" i="4"/>
  <c r="M142" i="95" s="1"/>
  <c r="HJ33" i="4"/>
  <c r="L142" i="95" s="1"/>
  <c r="HG107" i="4"/>
  <c r="I216" i="95" s="1"/>
  <c r="F220" i="104" s="1"/>
  <c r="HI85" i="4"/>
  <c r="K194" i="95" s="1"/>
  <c r="HG60" i="4"/>
  <c r="I169" i="95" s="1"/>
  <c r="F173" i="104" s="1"/>
  <c r="HI43" i="4"/>
  <c r="K152" i="95" s="1"/>
  <c r="HI68" i="4"/>
  <c r="K177" i="95" s="1"/>
  <c r="HK30" i="4"/>
  <c r="M139" i="95" s="1"/>
  <c r="HH86" i="4"/>
  <c r="J195" i="95" s="1"/>
  <c r="HH82" i="4"/>
  <c r="J191" i="95" s="1"/>
  <c r="HI86" i="4"/>
  <c r="K195" i="95" s="1"/>
  <c r="HK82" i="4"/>
  <c r="M191" i="95" s="1"/>
  <c r="HH43" i="4"/>
  <c r="J152" i="95" s="1"/>
  <c r="HI109" i="4"/>
  <c r="K218" i="95" s="1"/>
  <c r="HI30" i="4"/>
  <c r="K139" i="95" s="1"/>
  <c r="HH109" i="4"/>
  <c r="J218" i="95" s="1"/>
  <c r="HG86" i="4"/>
  <c r="I195" i="95" s="1"/>
  <c r="F199" i="104" s="1"/>
  <c r="HG111" i="4"/>
  <c r="I220" i="95" s="1"/>
  <c r="F224" i="104" s="1"/>
  <c r="HG43" i="4"/>
  <c r="I152" i="95" s="1"/>
  <c r="F156" i="104" s="1"/>
  <c r="HL86" i="4"/>
  <c r="N195" i="95" s="1"/>
  <c r="HK43" i="4"/>
  <c r="M152" i="95" s="1"/>
  <c r="HH58" i="4"/>
  <c r="J167" i="95" s="1"/>
  <c r="HL109" i="4"/>
  <c r="N218" i="95" s="1"/>
  <c r="HG110" i="4"/>
  <c r="I219" i="95" s="1"/>
  <c r="F223" i="104" s="1"/>
  <c r="HJ43" i="4"/>
  <c r="L152" i="95" s="1"/>
  <c r="HJ68" i="4"/>
  <c r="L177" i="95" s="1"/>
  <c r="HG109" i="4"/>
  <c r="I218" i="95" s="1"/>
  <c r="F222" i="104" s="1"/>
  <c r="HG58" i="4"/>
  <c r="I167" i="95" s="1"/>
  <c r="F171" i="104" s="1"/>
  <c r="HG17" i="4"/>
  <c r="I126" i="95" s="1"/>
  <c r="F130" i="104" s="1"/>
  <c r="HG106" i="4"/>
  <c r="I215" i="95" s="1"/>
  <c r="F219" i="104" s="1"/>
  <c r="HK5" i="4"/>
  <c r="M114" i="95" s="1"/>
  <c r="HJ16" i="4"/>
  <c r="L125" i="95" s="1"/>
  <c r="HK74" i="4"/>
  <c r="M183" i="95" s="1"/>
  <c r="HJ24" i="4"/>
  <c r="L133" i="95" s="1"/>
  <c r="HH40" i="4"/>
  <c r="J149" i="95" s="1"/>
  <c r="HL40" i="4"/>
  <c r="N149" i="95" s="1"/>
  <c r="HL17" i="4"/>
  <c r="N126" i="95" s="1"/>
  <c r="HG73" i="4"/>
  <c r="I182" i="95" s="1"/>
  <c r="F186" i="104" s="1"/>
  <c r="HG15" i="4"/>
  <c r="I124" i="95" s="1"/>
  <c r="F128" i="104" s="1"/>
  <c r="HK40" i="4"/>
  <c r="M149" i="95" s="1"/>
  <c r="HH45" i="4"/>
  <c r="J154" i="95" s="1"/>
  <c r="HG40" i="4"/>
  <c r="I149" i="95" s="1"/>
  <c r="F153" i="104" s="1"/>
  <c r="HG65" i="4"/>
  <c r="I174" i="95" s="1"/>
  <c r="F178" i="104" s="1"/>
  <c r="HK49" i="4"/>
  <c r="M158" i="95" s="1"/>
  <c r="HG5" i="4"/>
  <c r="I114" i="95" s="1"/>
  <c r="F118" i="104" s="1"/>
  <c r="HI74" i="4"/>
  <c r="K183" i="95" s="1"/>
  <c r="HJ10" i="4"/>
  <c r="L119" i="95" s="1"/>
  <c r="HL49" i="4"/>
  <c r="N158" i="95" s="1"/>
  <c r="HH5" i="4"/>
  <c r="J114" i="95" s="1"/>
  <c r="HG51" i="4"/>
  <c r="I160" i="95" s="1"/>
  <c r="F164" i="104" s="1"/>
  <c r="HH74" i="4"/>
  <c r="J183" i="95" s="1"/>
  <c r="HJ65" i="4"/>
  <c r="L174" i="95" s="1"/>
  <c r="HJ49" i="4"/>
  <c r="L158" i="95" s="1"/>
  <c r="HH51" i="4"/>
  <c r="J160" i="95" s="1"/>
  <c r="HH94" i="4"/>
  <c r="J203" i="95" s="1"/>
  <c r="HK71" i="4"/>
  <c r="M180" i="95" s="1"/>
  <c r="HI16" i="4"/>
  <c r="K125" i="95" s="1"/>
  <c r="HI49" i="4"/>
  <c r="K158" i="95" s="1"/>
  <c r="HK51" i="4"/>
  <c r="M160" i="95" s="1"/>
  <c r="HL74" i="4"/>
  <c r="N183" i="95" s="1"/>
  <c r="HI65" i="4"/>
  <c r="K174" i="95" s="1"/>
  <c r="HH16" i="4"/>
  <c r="J125" i="95" s="1"/>
  <c r="HI5" i="4"/>
  <c r="K114" i="95" s="1"/>
  <c r="HI51" i="4"/>
  <c r="K160" i="95" s="1"/>
  <c r="HG63" i="4"/>
  <c r="I172" i="95" s="1"/>
  <c r="F176" i="104" s="1"/>
  <c r="HL65" i="4"/>
  <c r="N174" i="95" s="1"/>
  <c r="HK65" i="4"/>
  <c r="M174" i="95" s="1"/>
  <c r="HK16" i="4"/>
  <c r="M125" i="95" s="1"/>
  <c r="HL5" i="4"/>
  <c r="N114" i="95" s="1"/>
  <c r="HL51" i="4"/>
  <c r="N160" i="95" s="1"/>
  <c r="HG74" i="4"/>
  <c r="I183" i="95" s="1"/>
  <c r="F187" i="104" s="1"/>
  <c r="HG75" i="4"/>
  <c r="I184" i="95" s="1"/>
  <c r="F188" i="104" s="1"/>
  <c r="HG10" i="4"/>
  <c r="I119" i="95" s="1"/>
  <c r="F123" i="104" s="1"/>
  <c r="HG67" i="4"/>
  <c r="I176" i="95" s="1"/>
  <c r="F180" i="104" s="1"/>
  <c r="HG88" i="4"/>
  <c r="I197" i="95" s="1"/>
  <c r="F201" i="104" s="1"/>
  <c r="HG72" i="4"/>
  <c r="I181" i="95" s="1"/>
  <c r="F185" i="104" s="1"/>
  <c r="HG27" i="4"/>
  <c r="I136" i="95" s="1"/>
  <c r="F140" i="104" s="1"/>
  <c r="HG91" i="4"/>
  <c r="I200" i="95" s="1"/>
  <c r="F204" i="104" s="1"/>
  <c r="HL94" i="4"/>
  <c r="N203" i="95" s="1"/>
  <c r="HI71" i="4"/>
  <c r="K180" i="95" s="1"/>
  <c r="HG57" i="4"/>
  <c r="I166" i="95" s="1"/>
  <c r="F170" i="104" s="1"/>
  <c r="HK10" i="4"/>
  <c r="M119" i="95" s="1"/>
  <c r="HI66" i="4"/>
  <c r="K175" i="95" s="1"/>
  <c r="HL18" i="4"/>
  <c r="N127" i="95" s="1"/>
  <c r="HH69" i="4"/>
  <c r="J178" i="95" s="1"/>
  <c r="HJ94" i="4"/>
  <c r="L203" i="95" s="1"/>
  <c r="HJ71" i="4"/>
  <c r="L180" i="95" s="1"/>
  <c r="HI57" i="4"/>
  <c r="K166" i="95" s="1"/>
  <c r="HI10" i="4"/>
  <c r="K119" i="95" s="1"/>
  <c r="HL66" i="4"/>
  <c r="N175" i="95" s="1"/>
  <c r="HJ18" i="4"/>
  <c r="L127" i="95" s="1"/>
  <c r="HL10" i="4"/>
  <c r="N119" i="95" s="1"/>
  <c r="HL69" i="4"/>
  <c r="N178" i="95" s="1"/>
  <c r="HI69" i="4"/>
  <c r="K178" i="95" s="1"/>
  <c r="HH18" i="4"/>
  <c r="J127" i="95" s="1"/>
  <c r="HK94" i="4"/>
  <c r="M203" i="95" s="1"/>
  <c r="HL42" i="4"/>
  <c r="N151" i="95" s="1"/>
  <c r="HJ63" i="4"/>
  <c r="L172" i="95" s="1"/>
  <c r="HG69" i="4"/>
  <c r="I178" i="95" s="1"/>
  <c r="F182" i="104" s="1"/>
  <c r="HJ69" i="4"/>
  <c r="L178" i="95" s="1"/>
  <c r="HG71" i="4"/>
  <c r="I180" i="95" s="1"/>
  <c r="F184" i="104" s="1"/>
  <c r="HI63" i="4"/>
  <c r="K172" i="95" s="1"/>
  <c r="HJ66" i="4"/>
  <c r="L175" i="95" s="1"/>
  <c r="HH71" i="4"/>
  <c r="J180" i="95" s="1"/>
  <c r="HJ57" i="4"/>
  <c r="L166" i="95" s="1"/>
  <c r="HL63" i="4"/>
  <c r="N172" i="95" s="1"/>
  <c r="HL57" i="4"/>
  <c r="N166" i="95" s="1"/>
  <c r="HH63" i="4"/>
  <c r="J172" i="95" s="1"/>
  <c r="HG30" i="4"/>
  <c r="I139" i="95" s="1"/>
  <c r="F143" i="104" s="1"/>
  <c r="HH17" i="4"/>
  <c r="J126" i="95" s="1"/>
  <c r="HG70" i="4"/>
  <c r="I179" i="95" s="1"/>
  <c r="F183" i="104" s="1"/>
  <c r="HG16" i="4"/>
  <c r="I125" i="95" s="1"/>
  <c r="F129" i="104" s="1"/>
  <c r="HG45" i="4"/>
  <c r="I154" i="95" s="1"/>
  <c r="F158" i="104" s="1"/>
  <c r="HG54" i="4"/>
  <c r="I163" i="95" s="1"/>
  <c r="F167" i="104" s="1"/>
  <c r="HG26" i="4"/>
  <c r="I135" i="95" s="1"/>
  <c r="F139" i="104" s="1"/>
  <c r="HG68" i="4"/>
  <c r="I177" i="95" s="1"/>
  <c r="F181" i="104" s="1"/>
  <c r="HG96" i="4"/>
  <c r="I205" i="95" s="1"/>
  <c r="F209" i="104" s="1"/>
  <c r="HJ47" i="4"/>
  <c r="L156" i="95" s="1"/>
  <c r="HK44" i="4"/>
  <c r="M153" i="95" s="1"/>
  <c r="HJ64" i="4"/>
  <c r="L173" i="95" s="1"/>
  <c r="HJ79" i="4"/>
  <c r="L188" i="95" s="1"/>
  <c r="HK3" i="4"/>
  <c r="M112" i="95" s="1"/>
  <c r="HK85" i="4"/>
  <c r="M194" i="95" s="1"/>
  <c r="HG47" i="4"/>
  <c r="I156" i="95" s="1"/>
  <c r="F160" i="104" s="1"/>
  <c r="HI44" i="4"/>
  <c r="K153" i="95" s="1"/>
  <c r="HI107" i="4"/>
  <c r="K216" i="95" s="1"/>
  <c r="HL62" i="4"/>
  <c r="N171" i="95" s="1"/>
  <c r="HK55" i="4"/>
  <c r="M164" i="95" s="1"/>
  <c r="HL85" i="4"/>
  <c r="N194" i="95" s="1"/>
  <c r="HK47" i="4"/>
  <c r="M156" i="95" s="1"/>
  <c r="HG44" i="4"/>
  <c r="I153" i="95" s="1"/>
  <c r="F157" i="104" s="1"/>
  <c r="HK62" i="4"/>
  <c r="M171" i="95" s="1"/>
  <c r="HJ25" i="4"/>
  <c r="L134" i="95" s="1"/>
  <c r="HH25" i="4"/>
  <c r="J134" i="95" s="1"/>
  <c r="HG79" i="4"/>
  <c r="I188" i="95" s="1"/>
  <c r="F192" i="104" s="1"/>
  <c r="HH47" i="4"/>
  <c r="J156" i="95" s="1"/>
  <c r="HH44" i="4"/>
  <c r="J153" i="95" s="1"/>
  <c r="HI62" i="4"/>
  <c r="K171" i="95" s="1"/>
  <c r="HK64" i="4"/>
  <c r="M173" i="95" s="1"/>
  <c r="HK24" i="4"/>
  <c r="M133" i="95" s="1"/>
  <c r="HI12" i="4"/>
  <c r="K121" i="95" s="1"/>
  <c r="HG25" i="4"/>
  <c r="I134" i="95" s="1"/>
  <c r="F138" i="104" s="1"/>
  <c r="HK25" i="4"/>
  <c r="M134" i="95" s="1"/>
  <c r="HG24" i="4"/>
  <c r="I133" i="95" s="1"/>
  <c r="F137" i="104" s="1"/>
  <c r="HG62" i="4"/>
  <c r="I171" i="95" s="1"/>
  <c r="F175" i="104" s="1"/>
  <c r="HL79" i="4"/>
  <c r="N188" i="95" s="1"/>
  <c r="HI3" i="4"/>
  <c r="K112" i="95" s="1"/>
  <c r="HK28" i="4"/>
  <c r="M137" i="95" s="1"/>
  <c r="HI64" i="4"/>
  <c r="K173" i="95" s="1"/>
  <c r="HI24" i="4"/>
  <c r="K133" i="95" s="1"/>
  <c r="HL12" i="4"/>
  <c r="N121" i="95" s="1"/>
  <c r="HL28" i="4"/>
  <c r="N137" i="95" s="1"/>
  <c r="HL64" i="4"/>
  <c r="N173" i="95" s="1"/>
  <c r="HH24" i="4"/>
  <c r="J133" i="95" s="1"/>
  <c r="HK79" i="4"/>
  <c r="M188" i="95" s="1"/>
  <c r="HH12" i="4"/>
  <c r="J121" i="95" s="1"/>
  <c r="HH3" i="4"/>
  <c r="J112" i="95" s="1"/>
  <c r="HI25" i="4"/>
  <c r="K134" i="95" s="1"/>
  <c r="HG3" i="4"/>
  <c r="I112" i="95" s="1"/>
  <c r="F116" i="104" s="1"/>
  <c r="HG12" i="4"/>
  <c r="I121" i="95" s="1"/>
  <c r="F125" i="104" s="1"/>
  <c r="HG85" i="4"/>
  <c r="I194" i="95" s="1"/>
  <c r="F198" i="104" s="1"/>
  <c r="HG92" i="4"/>
  <c r="I201" i="95" s="1"/>
  <c r="F205" i="104" s="1"/>
  <c r="HH85" i="4"/>
  <c r="J194" i="95" s="1"/>
  <c r="HG28" i="4"/>
  <c r="I137" i="95" s="1"/>
  <c r="F141" i="104" s="1"/>
  <c r="HH28" i="4"/>
  <c r="J137" i="95" s="1"/>
  <c r="HH62" i="4"/>
  <c r="J171" i="95" s="1"/>
  <c r="HL55" i="4"/>
  <c r="N164" i="95" s="1"/>
  <c r="HG49" i="4"/>
  <c r="I158" i="95" s="1"/>
  <c r="F162" i="104" s="1"/>
  <c r="HG55" i="4"/>
  <c r="I164" i="95" s="1"/>
  <c r="F168" i="104" s="1"/>
  <c r="HK52" i="4"/>
  <c r="M161" i="95" s="1"/>
  <c r="HG78" i="4"/>
  <c r="I187" i="95" s="1"/>
  <c r="F191" i="104" s="1"/>
  <c r="HL8" i="4"/>
  <c r="N117" i="95" s="1"/>
  <c r="HH27" i="4"/>
  <c r="J136" i="95" s="1"/>
  <c r="HG87" i="4"/>
  <c r="I196" i="95" s="1"/>
  <c r="F200" i="104" s="1"/>
  <c r="HH6" i="4"/>
  <c r="J115" i="95" s="1"/>
  <c r="HG11" i="4"/>
  <c r="I120" i="95" s="1"/>
  <c r="F124" i="104" s="1"/>
  <c r="HG38" i="4"/>
  <c r="I147" i="95" s="1"/>
  <c r="F151" i="104" s="1"/>
  <c r="HG101" i="4"/>
  <c r="I210" i="95" s="1"/>
  <c r="F214" i="104" s="1"/>
  <c r="HI101" i="4"/>
  <c r="K210" i="95" s="1"/>
  <c r="HI87" i="4"/>
  <c r="K196" i="95" s="1"/>
  <c r="HH23" i="4"/>
  <c r="J132" i="95" s="1"/>
  <c r="HJ105" i="4"/>
  <c r="L214" i="95" s="1"/>
  <c r="HJ78" i="4"/>
  <c r="L187" i="95" s="1"/>
  <c r="HH87" i="4"/>
  <c r="J196" i="95" s="1"/>
  <c r="HG105" i="4"/>
  <c r="I214" i="95" s="1"/>
  <c r="F218" i="104" s="1"/>
  <c r="HH48" i="4"/>
  <c r="J157" i="95" s="1"/>
  <c r="HL27" i="4"/>
  <c r="N136" i="95" s="1"/>
  <c r="HJ23" i="4"/>
  <c r="L132" i="95" s="1"/>
  <c r="HH11" i="4"/>
  <c r="J120" i="95" s="1"/>
  <c r="HI6" i="4"/>
  <c r="K115" i="95" s="1"/>
  <c r="HL87" i="4"/>
  <c r="N196" i="95" s="1"/>
  <c r="HJ27" i="4"/>
  <c r="L136" i="95" s="1"/>
  <c r="HG6" i="4"/>
  <c r="I115" i="95" s="1"/>
  <c r="F119" i="104" s="1"/>
  <c r="HG99" i="4"/>
  <c r="I208" i="95" s="1"/>
  <c r="F212" i="104" s="1"/>
  <c r="HL54" i="4"/>
  <c r="N163" i="95" s="1"/>
  <c r="HG97" i="4"/>
  <c r="I206" i="95" s="1"/>
  <c r="F210" i="104" s="1"/>
  <c r="HH101" i="4"/>
  <c r="J210" i="95" s="1"/>
  <c r="HK27" i="4"/>
  <c r="M136" i="95" s="1"/>
  <c r="HJ104" i="4"/>
  <c r="L213" i="95" s="1"/>
  <c r="HJ6" i="4"/>
  <c r="L115" i="95" s="1"/>
  <c r="HL101" i="4"/>
  <c r="N210" i="95" s="1"/>
  <c r="HG37" i="4"/>
  <c r="I146" i="95" s="1"/>
  <c r="F150" i="104" s="1"/>
  <c r="HG22" i="4"/>
  <c r="I131" i="95" s="1"/>
  <c r="F135" i="104" s="1"/>
  <c r="HG94" i="4"/>
  <c r="I203" i="95" s="1"/>
  <c r="F207" i="104" s="1"/>
  <c r="HG66" i="4"/>
  <c r="I175" i="95" s="1"/>
  <c r="F179" i="104" s="1"/>
  <c r="HI23" i="4"/>
  <c r="K132" i="95" s="1"/>
  <c r="I225" i="95"/>
  <c r="HJ11" i="4"/>
  <c r="L120" i="95" s="1"/>
  <c r="HG23" i="4"/>
  <c r="I132" i="95" s="1"/>
  <c r="F136" i="104" s="1"/>
  <c r="HL23" i="4"/>
  <c r="N132" i="95" s="1"/>
  <c r="HI60" i="4"/>
  <c r="K169" i="95" s="1"/>
  <c r="HH60" i="4"/>
  <c r="J169" i="95" s="1"/>
  <c r="HH37" i="4"/>
  <c r="J146" i="95" s="1"/>
  <c r="HL37" i="4"/>
  <c r="N146" i="95" s="1"/>
  <c r="HK37" i="4"/>
  <c r="M146" i="95" s="1"/>
  <c r="HK72" i="4"/>
  <c r="M181" i="95" s="1"/>
  <c r="HI72" i="4"/>
  <c r="K181" i="95" s="1"/>
  <c r="HJ72" i="4"/>
  <c r="L181" i="95" s="1"/>
  <c r="HH72" i="4"/>
  <c r="J181" i="95" s="1"/>
  <c r="HL72" i="4"/>
  <c r="N181" i="95" s="1"/>
  <c r="HH100" i="4"/>
  <c r="J209" i="95" s="1"/>
  <c r="HK100" i="4"/>
  <c r="M209" i="95" s="1"/>
  <c r="HL100" i="4"/>
  <c r="N209" i="95" s="1"/>
  <c r="HI100" i="4"/>
  <c r="K209" i="95" s="1"/>
  <c r="HJ100" i="4"/>
  <c r="L209" i="95" s="1"/>
  <c r="HH83" i="4"/>
  <c r="J192" i="95" s="1"/>
  <c r="HK83" i="4"/>
  <c r="M192" i="95" s="1"/>
  <c r="HJ99" i="4"/>
  <c r="L208" i="95" s="1"/>
  <c r="HH99" i="4"/>
  <c r="J208" i="95" s="1"/>
  <c r="HL2" i="4"/>
  <c r="N111" i="95" s="1"/>
  <c r="HI2" i="4"/>
  <c r="K111" i="95" s="1"/>
  <c r="HH2" i="4"/>
  <c r="J111" i="95" s="1"/>
  <c r="HG20" i="4"/>
  <c r="I129" i="95" s="1"/>
  <c r="F133" i="104" s="1"/>
  <c r="HG84" i="4"/>
  <c r="I193" i="95" s="1"/>
  <c r="F197" i="104" s="1"/>
  <c r="HK21" i="4"/>
  <c r="M130" i="95" s="1"/>
  <c r="HI83" i="4"/>
  <c r="K192" i="95" s="1"/>
  <c r="HJ55" i="4"/>
  <c r="L164" i="95" s="1"/>
  <c r="HH55" i="4"/>
  <c r="J164" i="95" s="1"/>
  <c r="HJ92" i="4"/>
  <c r="L201" i="95" s="1"/>
  <c r="HL92" i="4"/>
  <c r="N201" i="95" s="1"/>
  <c r="HI92" i="4"/>
  <c r="K201" i="95" s="1"/>
  <c r="HK92" i="4"/>
  <c r="M201" i="95" s="1"/>
  <c r="HH92" i="4"/>
  <c r="J201" i="95" s="1"/>
  <c r="HK84" i="4"/>
  <c r="M193" i="95" s="1"/>
  <c r="HH52" i="4"/>
  <c r="J161" i="95" s="1"/>
  <c r="HJ48" i="4"/>
  <c r="L157" i="95" s="1"/>
  <c r="HG52" i="4"/>
  <c r="I161" i="95" s="1"/>
  <c r="F165" i="104" s="1"/>
  <c r="HI48" i="4"/>
  <c r="K157" i="95" s="1"/>
  <c r="HL20" i="4"/>
  <c r="N129" i="95" s="1"/>
  <c r="HI84" i="4"/>
  <c r="K193" i="95" s="1"/>
  <c r="HJ21" i="4"/>
  <c r="L130" i="95" s="1"/>
  <c r="HL99" i="4"/>
  <c r="N208" i="95" s="1"/>
  <c r="HL45" i="4"/>
  <c r="N154" i="95" s="1"/>
  <c r="HK45" i="4"/>
  <c r="M154" i="95" s="1"/>
  <c r="HI45" i="4"/>
  <c r="K154" i="95" s="1"/>
  <c r="HH111" i="4"/>
  <c r="J220" i="95" s="1"/>
  <c r="HK111" i="4"/>
  <c r="M220" i="95" s="1"/>
  <c r="HI98" i="4"/>
  <c r="K207" i="95" s="1"/>
  <c r="HJ98" i="4"/>
  <c r="L207" i="95" s="1"/>
  <c r="HH98" i="4"/>
  <c r="J207" i="95" s="1"/>
  <c r="HK98" i="4"/>
  <c r="M207" i="95" s="1"/>
  <c r="HL98" i="4"/>
  <c r="N207" i="95" s="1"/>
  <c r="HJ14" i="4"/>
  <c r="L123" i="95" s="1"/>
  <c r="HI14" i="4"/>
  <c r="K123" i="95" s="1"/>
  <c r="HH14" i="4"/>
  <c r="J123" i="95" s="1"/>
  <c r="HL110" i="4"/>
  <c r="N219" i="95" s="1"/>
  <c r="HK110" i="4"/>
  <c r="M219" i="95" s="1"/>
  <c r="HJ110" i="4"/>
  <c r="L219" i="95" s="1"/>
  <c r="HK41" i="4"/>
  <c r="M150" i="95" s="1"/>
  <c r="HL41" i="4"/>
  <c r="N150" i="95" s="1"/>
  <c r="HH41" i="4"/>
  <c r="J150" i="95" s="1"/>
  <c r="HJ41" i="4"/>
  <c r="L150" i="95" s="1"/>
  <c r="HG41" i="4"/>
  <c r="I150" i="95" s="1"/>
  <c r="F154" i="104" s="1"/>
  <c r="HI41" i="4"/>
  <c r="K150" i="95" s="1"/>
  <c r="HL52" i="4"/>
  <c r="N161" i="95" s="1"/>
  <c r="HG48" i="4"/>
  <c r="I157" i="95" s="1"/>
  <c r="F161" i="104" s="1"/>
  <c r="HK20" i="4"/>
  <c r="M129" i="95" s="1"/>
  <c r="HH84" i="4"/>
  <c r="J193" i="95" s="1"/>
  <c r="HG21" i="4"/>
  <c r="I130" i="95" s="1"/>
  <c r="F134" i="104" s="1"/>
  <c r="HL104" i="4"/>
  <c r="N213" i="95" s="1"/>
  <c r="HJ83" i="4"/>
  <c r="L192" i="95" s="1"/>
  <c r="HJ30" i="4"/>
  <c r="L139" i="95" s="1"/>
  <c r="HL30" i="4"/>
  <c r="N139" i="95" s="1"/>
  <c r="HJ26" i="4"/>
  <c r="L135" i="95" s="1"/>
  <c r="HI26" i="4"/>
  <c r="K135" i="95" s="1"/>
  <c r="HL26" i="4"/>
  <c r="N135" i="95" s="1"/>
  <c r="HK26" i="4"/>
  <c r="M135" i="95" s="1"/>
  <c r="HH26" i="4"/>
  <c r="J135" i="95" s="1"/>
  <c r="HL107" i="4"/>
  <c r="N216" i="95" s="1"/>
  <c r="HJ107" i="4"/>
  <c r="L216" i="95" s="1"/>
  <c r="HK107" i="4"/>
  <c r="M216" i="95" s="1"/>
  <c r="HH31" i="4"/>
  <c r="J140" i="95" s="1"/>
  <c r="HI31" i="4"/>
  <c r="K140" i="95" s="1"/>
  <c r="HJ31" i="4"/>
  <c r="L140" i="95" s="1"/>
  <c r="HL31" i="4"/>
  <c r="N140" i="95" s="1"/>
  <c r="HK31" i="4"/>
  <c r="M140" i="95" s="1"/>
  <c r="HL46" i="4"/>
  <c r="N155" i="95" s="1"/>
  <c r="HK46" i="4"/>
  <c r="M155" i="95" s="1"/>
  <c r="HH21" i="4"/>
  <c r="J130" i="95" s="1"/>
  <c r="HI104" i="4"/>
  <c r="K213" i="95" s="1"/>
  <c r="HJ2" i="4"/>
  <c r="L111" i="95" s="1"/>
  <c r="HI99" i="4"/>
  <c r="K208" i="95" s="1"/>
  <c r="HG104" i="4"/>
  <c r="I213" i="95" s="1"/>
  <c r="F217" i="104" s="1"/>
  <c r="HK2" i="4"/>
  <c r="M111" i="95" s="1"/>
  <c r="HG83" i="4"/>
  <c r="I192" i="95" s="1"/>
  <c r="F196" i="104" s="1"/>
  <c r="HL38" i="4"/>
  <c r="N147" i="95" s="1"/>
  <c r="HJ38" i="4"/>
  <c r="L147" i="95" s="1"/>
  <c r="HI38" i="4"/>
  <c r="K147" i="95" s="1"/>
  <c r="HH38" i="4"/>
  <c r="J147" i="95" s="1"/>
  <c r="HK38" i="4"/>
  <c r="M147" i="95" s="1"/>
  <c r="HI54" i="4"/>
  <c r="K163" i="95" s="1"/>
  <c r="HH54" i="4"/>
  <c r="J163" i="95" s="1"/>
  <c r="HJ54" i="4"/>
  <c r="L163" i="95" s="1"/>
  <c r="HG98" i="4"/>
  <c r="I207" i="95" s="1"/>
  <c r="F211" i="104" s="1"/>
  <c r="HI21" i="4"/>
  <c r="K130" i="95" s="1"/>
  <c r="HK104" i="4"/>
  <c r="M213" i="95" s="1"/>
  <c r="HI42" i="4"/>
  <c r="K151" i="95" s="1"/>
  <c r="HK42" i="4"/>
  <c r="M151" i="95" s="1"/>
  <c r="HG42" i="4"/>
  <c r="I151" i="95" s="1"/>
  <c r="F155" i="104" s="1"/>
  <c r="HJ42" i="4"/>
  <c r="L151" i="95" s="1"/>
  <c r="HI108" i="4"/>
  <c r="K217" i="95" s="1"/>
  <c r="HK108" i="4"/>
  <c r="M217" i="95" s="1"/>
  <c r="HG2" i="4"/>
  <c r="I111" i="95" s="1"/>
  <c r="F115" i="104" s="1"/>
  <c r="HH4" i="4"/>
  <c r="J113" i="95" s="1"/>
  <c r="HI4" i="4"/>
  <c r="K113" i="95" s="1"/>
  <c r="HJ4" i="4"/>
  <c r="L113" i="95" s="1"/>
  <c r="HK4" i="4"/>
  <c r="M113" i="95" s="1"/>
  <c r="HL4" i="4"/>
  <c r="N113" i="95" s="1"/>
  <c r="HK7" i="4"/>
  <c r="M116" i="95" s="1"/>
  <c r="HJ7" i="4"/>
  <c r="L116" i="95" s="1"/>
  <c r="HL7" i="4"/>
  <c r="N116" i="95" s="1"/>
  <c r="HH7" i="4"/>
  <c r="J116" i="95" s="1"/>
  <c r="HI7" i="4"/>
  <c r="K116" i="95" s="1"/>
  <c r="HG7" i="4"/>
  <c r="I116" i="95" s="1"/>
  <c r="HG4" i="4"/>
  <c r="I113" i="95" s="1"/>
  <c r="HJ91" i="4"/>
  <c r="L200" i="95" s="1"/>
  <c r="HH91" i="4"/>
  <c r="J200" i="95" s="1"/>
  <c r="HL91" i="4"/>
  <c r="N200" i="95" s="1"/>
  <c r="HK91" i="4"/>
  <c r="M200" i="95" s="1"/>
  <c r="HI91" i="4"/>
  <c r="K200" i="95" s="1"/>
  <c r="HK97" i="4"/>
  <c r="M206" i="95" s="1"/>
  <c r="HJ97" i="4"/>
  <c r="L206" i="95" s="1"/>
  <c r="HI97" i="4"/>
  <c r="K206" i="95" s="1"/>
  <c r="HH97" i="4"/>
  <c r="J206" i="95" s="1"/>
  <c r="HL97" i="4"/>
  <c r="N206" i="95" s="1"/>
  <c r="HK88" i="4"/>
  <c r="M197" i="95" s="1"/>
  <c r="HI88" i="4"/>
  <c r="K197" i="95" s="1"/>
  <c r="HH88" i="4"/>
  <c r="J197" i="95" s="1"/>
  <c r="HJ88" i="4"/>
  <c r="L197" i="95" s="1"/>
  <c r="HL88" i="4"/>
  <c r="N197" i="95" s="1"/>
  <c r="GI4344" i="4"/>
  <c r="C170" i="103"/>
  <c r="GH4344" i="4"/>
  <c r="HK61" i="4"/>
  <c r="M170" i="95" s="1"/>
  <c r="HL61" i="4"/>
  <c r="N170" i="95" s="1"/>
  <c r="HI61" i="4"/>
  <c r="K170" i="95" s="1"/>
  <c r="HJ61" i="4"/>
  <c r="L170" i="95" s="1"/>
  <c r="HH61" i="4"/>
  <c r="J170" i="95" s="1"/>
  <c r="HG61" i="4"/>
  <c r="I170" i="95" s="1"/>
  <c r="F174" i="104" s="1"/>
  <c r="HJ81" i="4"/>
  <c r="L190" i="95" s="1"/>
  <c r="HH81" i="4"/>
  <c r="J190" i="95" s="1"/>
  <c r="HI81" i="4"/>
  <c r="K190" i="95" s="1"/>
  <c r="HL81" i="4"/>
  <c r="N190" i="95" s="1"/>
  <c r="HK81" i="4"/>
  <c r="M190" i="95" s="1"/>
  <c r="HJ15" i="4"/>
  <c r="L124" i="95" s="1"/>
  <c r="HI15" i="4"/>
  <c r="K124" i="95" s="1"/>
  <c r="HL15" i="4"/>
  <c r="N124" i="95" s="1"/>
  <c r="HK15" i="4"/>
  <c r="M124" i="95" s="1"/>
  <c r="HH15" i="4"/>
  <c r="J124" i="95" s="1"/>
  <c r="HG81" i="4"/>
  <c r="I190" i="95" s="1"/>
  <c r="F194" i="104" s="1"/>
  <c r="HH53" i="4"/>
  <c r="J162" i="95" s="1"/>
  <c r="HL53" i="4"/>
  <c r="N162" i="95" s="1"/>
  <c r="HK53" i="4"/>
  <c r="M162" i="95" s="1"/>
  <c r="HJ53" i="4"/>
  <c r="L162" i="95" s="1"/>
  <c r="HI53" i="4"/>
  <c r="K162" i="95" s="1"/>
  <c r="HJ22" i="4"/>
  <c r="L131" i="95" s="1"/>
  <c r="HH22" i="4"/>
  <c r="J131" i="95" s="1"/>
  <c r="HL22" i="4"/>
  <c r="N131" i="95" s="1"/>
  <c r="HI22" i="4"/>
  <c r="K131" i="95" s="1"/>
  <c r="HK22" i="4"/>
  <c r="M131" i="95" s="1"/>
  <c r="I228" i="95"/>
  <c r="I232" i="104" s="1"/>
  <c r="H190" i="104"/>
  <c r="H145" i="104"/>
  <c r="I227" i="95"/>
  <c r="I232" i="95"/>
  <c r="H163" i="104"/>
  <c r="H169" i="104"/>
  <c r="I230" i="95"/>
  <c r="I231" i="95"/>
  <c r="O104" i="95"/>
  <c r="J109" i="104"/>
  <c r="H126" i="104" l="1"/>
  <c r="H215" i="104"/>
  <c r="H121" i="104"/>
  <c r="H188" i="104"/>
  <c r="H186" i="104"/>
  <c r="H147" i="104"/>
  <c r="H171" i="104"/>
  <c r="H132" i="104"/>
  <c r="H206" i="104"/>
  <c r="H203" i="104"/>
  <c r="H202" i="104"/>
  <c r="H191" i="104"/>
  <c r="H148" i="104"/>
  <c r="H180" i="104"/>
  <c r="H122" i="104"/>
  <c r="H193" i="104"/>
  <c r="H209" i="104"/>
  <c r="H216" i="104"/>
  <c r="H183" i="104"/>
  <c r="H142" i="104"/>
  <c r="H149" i="104"/>
  <c r="H189" i="104"/>
  <c r="H208" i="104"/>
  <c r="H218" i="104"/>
  <c r="H181" i="104"/>
  <c r="H172" i="104"/>
  <c r="H152" i="104"/>
  <c r="H199" i="104"/>
  <c r="H146" i="104"/>
  <c r="H195" i="104"/>
  <c r="H184" i="104"/>
  <c r="H222" i="104"/>
  <c r="H156" i="104"/>
  <c r="H153" i="104"/>
  <c r="H118" i="104"/>
  <c r="H130" i="104"/>
  <c r="H162" i="104"/>
  <c r="H129" i="104"/>
  <c r="H131" i="104"/>
  <c r="H187" i="104"/>
  <c r="H164" i="104"/>
  <c r="H178" i="104"/>
  <c r="H123" i="104"/>
  <c r="H179" i="104"/>
  <c r="H170" i="104"/>
  <c r="H176" i="104"/>
  <c r="H182" i="104"/>
  <c r="H207" i="104"/>
  <c r="H160" i="104"/>
  <c r="H192" i="104"/>
  <c r="H125" i="104"/>
  <c r="H137" i="104"/>
  <c r="H175" i="104"/>
  <c r="H133" i="104"/>
  <c r="H165" i="104"/>
  <c r="H168" i="104"/>
  <c r="H198" i="104"/>
  <c r="H119" i="104"/>
  <c r="H223" i="104"/>
  <c r="H173" i="104"/>
  <c r="H136" i="104"/>
  <c r="H141" i="104"/>
  <c r="H116" i="104"/>
  <c r="H177" i="104"/>
  <c r="H138" i="104"/>
  <c r="H157" i="104"/>
  <c r="H196" i="104"/>
  <c r="H158" i="104"/>
  <c r="H140" i="104"/>
  <c r="H200" i="104"/>
  <c r="H134" i="104"/>
  <c r="H124" i="104"/>
  <c r="H197" i="104"/>
  <c r="H214" i="104"/>
  <c r="H212" i="104"/>
  <c r="H161" i="104"/>
  <c r="H155" i="104"/>
  <c r="H167" i="104"/>
  <c r="H224" i="104"/>
  <c r="J339" i="95"/>
  <c r="K225" i="95"/>
  <c r="K229" i="104" s="1"/>
  <c r="I229" i="104"/>
  <c r="H143" i="104"/>
  <c r="I224" i="95"/>
  <c r="K224" i="95" s="1"/>
  <c r="K228" i="104" s="1"/>
  <c r="H221" i="104"/>
  <c r="H159" i="104"/>
  <c r="H220" i="104"/>
  <c r="H154" i="104"/>
  <c r="H127" i="104"/>
  <c r="H115" i="104"/>
  <c r="H217" i="104"/>
  <c r="H139" i="104"/>
  <c r="H151" i="104"/>
  <c r="H213" i="104"/>
  <c r="H150" i="104"/>
  <c r="H144" i="104"/>
  <c r="H211" i="104"/>
  <c r="H205" i="104"/>
  <c r="H185" i="104"/>
  <c r="H210" i="104"/>
  <c r="H201" i="104"/>
  <c r="H204" i="104"/>
  <c r="H120" i="104"/>
  <c r="H117" i="104"/>
  <c r="H135" i="104"/>
  <c r="H128" i="104"/>
  <c r="H194" i="104"/>
  <c r="HL4344" i="4"/>
  <c r="L103" i="95" s="1"/>
  <c r="HI4344" i="4"/>
  <c r="I103" i="95" s="1"/>
  <c r="HG4344" i="4"/>
  <c r="G103" i="95" s="1"/>
  <c r="HK4344" i="4"/>
  <c r="K103" i="95" s="1"/>
  <c r="HJ4344" i="4"/>
  <c r="J103" i="95" s="1"/>
  <c r="HH4344" i="4"/>
  <c r="H103" i="95" s="1"/>
  <c r="GI4343" i="4"/>
  <c r="MJ4343" i="4"/>
  <c r="IN4343" i="4"/>
  <c r="MI4343" i="4"/>
  <c r="GH4343" i="4"/>
  <c r="IO4343" i="4"/>
  <c r="I226" i="95"/>
  <c r="F117" i="104"/>
  <c r="H174" i="104"/>
  <c r="F120" i="104"/>
  <c r="I229" i="95"/>
  <c r="H166" i="104"/>
  <c r="K228" i="95"/>
  <c r="K232" i="104" s="1"/>
  <c r="J342" i="95"/>
  <c r="G346" i="104" s="1"/>
  <c r="J338" i="95"/>
  <c r="N338" i="95" s="1"/>
  <c r="K342" i="104" s="1"/>
  <c r="K230" i="95"/>
  <c r="K234" i="104" s="1"/>
  <c r="J344" i="95"/>
  <c r="I234" i="104"/>
  <c r="J341" i="95"/>
  <c r="K227" i="95"/>
  <c r="K231" i="104" s="1"/>
  <c r="I231" i="104"/>
  <c r="I236" i="104"/>
  <c r="K232" i="95"/>
  <c r="K236" i="104" s="1"/>
  <c r="J346" i="95"/>
  <c r="I235" i="104"/>
  <c r="K231" i="95"/>
  <c r="K235" i="104" s="1"/>
  <c r="J345" i="95"/>
  <c r="K109" i="104"/>
  <c r="I228" i="104" l="1"/>
  <c r="G343" i="104"/>
  <c r="N339" i="95"/>
  <c r="K343" i="104" s="1"/>
  <c r="H108" i="104"/>
  <c r="K226" i="95"/>
  <c r="K230" i="104" s="1"/>
  <c r="I230" i="104"/>
  <c r="J340" i="95"/>
  <c r="HH4343" i="4"/>
  <c r="HI4343" i="4"/>
  <c r="HL4343" i="4"/>
  <c r="HK4343" i="4"/>
  <c r="HJ4343" i="4"/>
  <c r="HG4343" i="4"/>
  <c r="G108" i="104"/>
  <c r="N103" i="95"/>
  <c r="NJ4343" i="4"/>
  <c r="I101" i="95" s="1"/>
  <c r="NK4343" i="4"/>
  <c r="J101" i="95" s="1"/>
  <c r="NI4343" i="4"/>
  <c r="H101" i="95" s="1"/>
  <c r="NH4343" i="4"/>
  <c r="G101" i="95" s="1"/>
  <c r="NM4343" i="4"/>
  <c r="L101" i="95" s="1"/>
  <c r="NL4343" i="4"/>
  <c r="K101" i="95" s="1"/>
  <c r="I233" i="104"/>
  <c r="K229" i="95"/>
  <c r="K233" i="104" s="1"/>
  <c r="J343" i="95"/>
  <c r="JM4343" i="4"/>
  <c r="G342" i="104"/>
  <c r="N342" i="95"/>
  <c r="K346" i="104" s="1"/>
  <c r="N344" i="95"/>
  <c r="K348" i="104" s="1"/>
  <c r="G348" i="104"/>
  <c r="G345" i="104"/>
  <c r="N341" i="95"/>
  <c r="K345" i="104" s="1"/>
  <c r="G350" i="104"/>
  <c r="N346" i="95"/>
  <c r="K350" i="104" s="1"/>
  <c r="N345" i="95"/>
  <c r="K349" i="104" s="1"/>
  <c r="G349" i="104"/>
  <c r="H106" i="104" l="1"/>
  <c r="G99" i="95"/>
  <c r="G98" i="95"/>
  <c r="J98" i="95"/>
  <c r="J99" i="95"/>
  <c r="N101" i="95"/>
  <c r="G106" i="104"/>
  <c r="K98" i="95"/>
  <c r="K99" i="95"/>
  <c r="L99" i="95"/>
  <c r="L98" i="95"/>
  <c r="N343" i="95"/>
  <c r="K347" i="104" s="1"/>
  <c r="G347" i="104"/>
  <c r="K100" i="95"/>
  <c r="I100" i="95"/>
  <c r="G100" i="95"/>
  <c r="H100" i="95"/>
  <c r="J100" i="95"/>
  <c r="L100" i="95"/>
  <c r="I98" i="95"/>
  <c r="I99" i="95"/>
  <c r="H99" i="95"/>
  <c r="H98" i="95"/>
  <c r="J108" i="104"/>
  <c r="O103" i="95"/>
  <c r="K108" i="104" s="1"/>
  <c r="N340" i="95"/>
  <c r="K344" i="104" s="1"/>
  <c r="G344" i="104"/>
  <c r="H104" i="104" l="1"/>
  <c r="N98" i="95"/>
  <c r="G103" i="104"/>
  <c r="G104" i="104"/>
  <c r="N99" i="95"/>
  <c r="H105" i="104"/>
  <c r="G105" i="104"/>
  <c r="N100" i="95"/>
  <c r="H103" i="104"/>
  <c r="J106" i="104"/>
  <c r="O101" i="95"/>
  <c r="K106" i="104" s="1"/>
  <c r="E14" i="95" l="1"/>
  <c r="J103" i="104"/>
  <c r="O98" i="95"/>
  <c r="K103" i="104" s="1"/>
  <c r="O100" i="95"/>
  <c r="K105" i="104" s="1"/>
  <c r="J105" i="104"/>
  <c r="O99" i="95"/>
  <c r="K104" i="104" s="1"/>
  <c r="J104" i="104"/>
  <c r="E14" i="104"/>
</calcChain>
</file>

<file path=xl/sharedStrings.xml><?xml version="1.0" encoding="utf-8"?>
<sst xmlns="http://schemas.openxmlformats.org/spreadsheetml/2006/main" count="31501" uniqueCount="11153">
  <si>
    <t>Press TAB to move input areas. Press UP or DOWN ARROW in column A to read through the document.</t>
  </si>
  <si>
    <t>This cell intentionally left blank.</t>
  </si>
  <si>
    <t>Form PI-1-Marine Loading: General Information for Marine Loading RAP</t>
  </si>
  <si>
    <t>Agreement with all criteria listed below is required to qualify for this RAP.</t>
  </si>
  <si>
    <t>I acknowledge that I am submitting an authorized TCEQ application workbook and any necessary attachments. Except for inputting the requested data and adjusting row height, I have not changed the TCEQ application workbook in any way, including but not limited to changing formulas, formatting, content, or protections.</t>
  </si>
  <si>
    <t>II. Applicant Information</t>
  </si>
  <si>
    <t>A. Company Information</t>
  </si>
  <si>
    <t>Company or Legal Name:</t>
  </si>
  <si>
    <t>http://www.sos.state.tx.us</t>
  </si>
  <si>
    <t>Texas Secretary of State Charter/Registration Number (if given):</t>
  </si>
  <si>
    <t>B. Company Official Contact Information: must not be a consultant</t>
  </si>
  <si>
    <t>Prefix (Mr., Ms., Dr., etc.):</t>
  </si>
  <si>
    <t>First Name:</t>
  </si>
  <si>
    <t>Last Name:</t>
  </si>
  <si>
    <t>Title:</t>
  </si>
  <si>
    <t>Mailing Address:</t>
  </si>
  <si>
    <t>Address Line 2:</t>
  </si>
  <si>
    <t>City:</t>
  </si>
  <si>
    <t>State:</t>
  </si>
  <si>
    <t>ZIP Code:</t>
  </si>
  <si>
    <t>Telephone Number:</t>
  </si>
  <si>
    <t>Fax Number:</t>
  </si>
  <si>
    <t>Email Address:</t>
  </si>
  <si>
    <t>D. Assigned Numbers</t>
  </si>
  <si>
    <t>Federal Operating Permit Number (if applicable):</t>
  </si>
  <si>
    <t>III. Delinquent Fees and Penalties</t>
  </si>
  <si>
    <t>Does the applicant have unpaid delinquent fees and/or penalties owed to the TCEQ?</t>
  </si>
  <si>
    <t>http://www.tceq.texas.gov/agency/financial/fees/delin</t>
  </si>
  <si>
    <t>IV. Facility Location and General Information</t>
  </si>
  <si>
    <t>A. Location</t>
  </si>
  <si>
    <t>County: Enter the county where the facility is physically located.</t>
  </si>
  <si>
    <t>Street Address:</t>
  </si>
  <si>
    <t>City: If the address is not located in a city, then enter the city or town closest to the facility, even if it is not in the same county as the facility.</t>
  </si>
  <si>
    <t>ZIP Code: If the address is not located in a city, then enter the city or town closest to the facility, even if it is not in the same county as the facility.</t>
  </si>
  <si>
    <t>Site Location Description: If there is no street address, provide written driving directions to the site. Identify the location by distance and direction from well-known landmarks such as major highway intersections.</t>
  </si>
  <si>
    <t>B. General Information</t>
  </si>
  <si>
    <t>Site Name:</t>
  </si>
  <si>
    <t>Are there any schools located within 3,000 feet of the site boundary?</t>
  </si>
  <si>
    <t>Area Name: Must indicate the general type of operation, process, equipment or facility. Include numerical designations, if appropriate. Examples are Sulfuric Acid Plant and No. 5 Steam Boiler. Vague names such as Chemical Plant are not acceptable.</t>
  </si>
  <si>
    <t>C. Industry Type</t>
  </si>
  <si>
    <t>Principal Company Product/Business:</t>
  </si>
  <si>
    <t>https://www.naics.com/sic-codes-industry-drilldown/</t>
  </si>
  <si>
    <t>Principal NAICS code:</t>
  </si>
  <si>
    <t>Type of Site (select one):</t>
  </si>
  <si>
    <t>D. State Senator and Representative for this site</t>
  </si>
  <si>
    <t>State Senator:</t>
  </si>
  <si>
    <t>District:</t>
  </si>
  <si>
    <t>State Representative:</t>
  </si>
  <si>
    <t>V. Project Information</t>
  </si>
  <si>
    <t>A. Description</t>
  </si>
  <si>
    <t>Revise the provided process description to represent your project and site specifics. Attach additional details if needed.</t>
  </si>
  <si>
    <t>How many tanks will be modified, affected, or newly authorized in this project?</t>
  </si>
  <si>
    <t>Will drum/tote loading be modified, affected, or newly authorized in this project?</t>
  </si>
  <si>
    <t>Will truck loading be modified, affected, or newly authorized in this project?</t>
  </si>
  <si>
    <t>Will rail loading be modified, affected, or newly authorized in this project?</t>
  </si>
  <si>
    <t>Will a VCU be modified, affected, or newly authorized in this project?</t>
  </si>
  <si>
    <t>Will a CAS be modified, affected, or newly authorized in this project?</t>
  </si>
  <si>
    <t>Will fugitive components be modified, affected, or newly authorized in this project?</t>
  </si>
  <si>
    <t>C. Project Timing</t>
  </si>
  <si>
    <t>You must obtain an air authorization before beginning construction. Construction is broadly interpreted as anything other than site clearance or site preparation.</t>
  </si>
  <si>
    <t>Projected Start of Construction:</t>
  </si>
  <si>
    <t>Projected Start of Operation:</t>
  </si>
  <si>
    <t>D. Enforcement Projects</t>
  </si>
  <si>
    <t>E. Mass Emissions Cap and Trade</t>
  </si>
  <si>
    <t>Is this application in response to, or related to, an agency investigation, notice of violation, or enforcement action?</t>
  </si>
  <si>
    <t>If yes, did you attach copies of any correspondence from the agency and provide the RN associated with the investigation, notice of violation, or enforcement action above to this form?</t>
  </si>
  <si>
    <t>Is this facility located at a site within the Houston/Galveston nonattainment area (Brazoria, Chambers, Fort Bend, Galveston, Harris, Liberty, Montgomery, and Waller Counties)?</t>
  </si>
  <si>
    <t>If MECT is applicable, does the application contain documentation demonstrating that the proposed facility, group of facilities, or account has obtained allowances to operate?</t>
  </si>
  <si>
    <t>VI. State Regulatory Questions</t>
  </si>
  <si>
    <t>Briefly (500 characters or fewer) describe how either compliance with each of the chapters will be met or why the chapter is not applicable. Additional pages may be attached, if necessary.</t>
  </si>
  <si>
    <t>What subparts apply to this project and how will this facility comply with the requirements?</t>
  </si>
  <si>
    <t>VII. Federal Regulatory Requirements</t>
  </si>
  <si>
    <t>A. Title 40 CFR Part 60</t>
  </si>
  <si>
    <t>Subpart A: General Provisions</t>
  </si>
  <si>
    <t>Subpart K: Standards of Performance for Storage Vessels for Petroleum Liquids for Which Construction, Reconstruction, or Modification Commenced After June 11, 1973, and Prior to May 19, 1978</t>
  </si>
  <si>
    <t>Subpart Ka: Standards of Performance for Storage Vessels for Petroleum Liquids for Which Construction, Reconstruction, or Modification Commenced After May 18, 1978, and Prior to July 23, 1984</t>
  </si>
  <si>
    <t>Subpart Kb: Standards Of Performance For Volatile Organic Liquid Storage Vessels (Including Petroleum Liquid Storage Vessels) for which Construction, Reconstruction, or Modification Commenced After July 23, 1984</t>
  </si>
  <si>
    <t>Subpart XX: Standards of Performance for Bulk Gasoline Terminals</t>
  </si>
  <si>
    <t>Subpart QQQ: Standards of Performance for VOC Emissions From Petroleum Refinery Wastewater Systems</t>
  </si>
  <si>
    <t>Subpart IIII: Standards of Performance for Stationary Compression Ignition Internal Combustion Engines</t>
  </si>
  <si>
    <t>Subpart OOOO: Standards of Performance for Crude Oil and Natural Gas Production, Transmission and Distribution for which Construction, Modification or Reconstruction Commenced After August 23, 2011, and on or Before September 18, 2015</t>
  </si>
  <si>
    <t>Subpart OOOOa: Standards of Performance for Crude Oil and Natural Gas Facilities for which Construction, Modification or Reconstruction Commenced After September 18, 2015</t>
  </si>
  <si>
    <t>B. Title 40 CFR Part 61 Subparts</t>
  </si>
  <si>
    <t>Subpart J: National Emission Standard for Equipment Leaks (Fugitive Emission Sources) of Benzene</t>
  </si>
  <si>
    <t>Subpart L: National Emission Standards for Benzene Emissions from Coke By-Product Recovery Plants</t>
  </si>
  <si>
    <t>Subpart Y: National Emission Standard for Benzene Emissions from Benzene Storage Vessels</t>
  </si>
  <si>
    <t>Subpart BB: National Emission Standard for Benzene Emissions from Benzene Transfer Operations</t>
  </si>
  <si>
    <t>Subpart FF: National Emission Standard for Benzene Waste Operations</t>
  </si>
  <si>
    <t>C. Title 40 Part 63 Subparts</t>
  </si>
  <si>
    <t>Subpart G: National Emission Standards for Organic Hazardous Air Pollutants from the Synthetic Organic Chemical Manufacturing Industry for Process Vents, Storage Vessels, Transfer Operations, and Wastewater</t>
  </si>
  <si>
    <t>Subpart R: National Emission Standards for Gasoline Distribution Facilities (Bulk Gasoline Terminals and Pipeline Breakout Stations)</t>
  </si>
  <si>
    <t>Subpart U: National Emission Standards for Hazardous Air Pollutant Emissions: Group I Polymers and Resins</t>
  </si>
  <si>
    <t>Subpart CC: National Emission Standards for Hazardous Air Pollutants from Petroleum Refineries</t>
  </si>
  <si>
    <t>Subpart DD: National Emission Standards for Hazardous Air Pollutants from Off-Site Waste and Recovery Operations</t>
  </si>
  <si>
    <t>Subpart HH: National Emission Standards for Hazardous Air Pollutants From Oil and Natural Gas Production Facilities</t>
  </si>
  <si>
    <t>Subpart OO: National Emission Standards for Tanks - Level 1</t>
  </si>
  <si>
    <t>Subpart YY: National Emission Standards for Hazardous Air Pollutants for Source Categories: Generic Maximum Achievable Control Technology Standards</t>
  </si>
  <si>
    <t>Subpart EEE: National Emission Standards for Hazardous Air Pollutants from Hazardous Waste Combustors</t>
  </si>
  <si>
    <t>Subpart JJJ: National Emission Standards for Hazardous Air Pollutant Emissions: Group IV Polymers and Resins</t>
  </si>
  <si>
    <t>Subpart PPP: National Emission Standards for Hazardous Air Pollutants Emissions for Polyether Polyols Production</t>
  </si>
  <si>
    <t>Subpart EEEE: National Emission Standards for Hazardous Air Pollutants: Organic Liquids Distribution (Non-Gasoline)</t>
  </si>
  <si>
    <t>Subpart FFFF: National Emission Standards for Hazardous Air Pollutants: Miscellaneous Organic Chemical Manufacturing</t>
  </si>
  <si>
    <t>Subpart ZZZZ: National Emission Standards for Hazardous Air Pollutants for Stationary Reciprocating Internal Combustion Engines</t>
  </si>
  <si>
    <t>Subpart GGGGG: National Emission Standards for Hazardous Air Pollutants: Site Remediation</t>
  </si>
  <si>
    <t>Subpart BBBBBB: National Emission Standards for Hazardous Air Pollutants for Source Category: Gasoline Distribution Bulk Terminals, Bulk Plants, and Pipeline Facilities</t>
  </si>
  <si>
    <t>Subpart CCCCCC: National Emission Standards for Hazardous Air Pollutants for Gasoline-Dispensing Facilities</t>
  </si>
  <si>
    <t>Subpart VVVVVV: National Emission Standards for Hazardous Air Pollutants for Chemical Manufacturing Area Sources</t>
  </si>
  <si>
    <t>VIII. Required Attachments</t>
  </si>
  <si>
    <t>B. Is the Core Data Form (Form 10400) attached? (if applicable)</t>
  </si>
  <si>
    <t>C. Is a current area map attached?</t>
  </si>
  <si>
    <t>Is the area map a current USGS map with a true north arrow, an accurate scale, the entire plant property, the location of the property relative to prominent geographical features including, but not limited to, highways, roads, streams, and significant landmarks such as buildings, residences, schools, parks, hospitals, day care centers, and churches?</t>
  </si>
  <si>
    <t>Does the map show a 3,000-foot radius from the property boundary?</t>
  </si>
  <si>
    <t>D. Is a plot plan attached?</t>
  </si>
  <si>
    <t>Does your plot plan identify all emission points on the affected property?</t>
  </si>
  <si>
    <t>E. Is a process flow diagram attached?</t>
  </si>
  <si>
    <t>Is the process flow diagram sufficiently descriptive so the permit reviewer can determine the raw materials to be used in the process; all major processing steps and major equipment items; individual emission points associated with each process step; the location and identification of all emission abatement devices; and the location and identification of all waste streams (including wastewater streams that may have associated air emissions)?</t>
  </si>
  <si>
    <t>IX. Emissions Review</t>
  </si>
  <si>
    <t>A. Disaster Review</t>
  </si>
  <si>
    <t>https://www.tceq.texas.gov/permitting/air/nav/air_docs_newsource.html</t>
  </si>
  <si>
    <t>If the proposed facility will handle sufficient quantities of certain chemicals which, if released accidentally, would cause off-property impacts that could be immediately dangerous to life and health, a disaster review analysis may be required as part of the application. Contact the appropriate NSR permitting section for assistance at (512) 239-1250. Additional guidance can be found at:</t>
  </si>
  <si>
    <t>Does this application involve any air contaminants for which a disaster review is required?</t>
  </si>
  <si>
    <t>If yes, list which contaminants require a disaster review.</t>
  </si>
  <si>
    <t>B. Air Pollutant Watch List</t>
  </si>
  <si>
    <t>http://www.tceq.texas.gov/toxicology/apwl/apwl.html</t>
  </si>
  <si>
    <t>Is the proposed facility located in a watch list area?</t>
  </si>
  <si>
    <t>Does this application include a pollutant of concern for the applicable area on the APWL?</t>
  </si>
  <si>
    <t>X. Signature</t>
  </si>
  <si>
    <t>Name:</t>
  </si>
  <si>
    <t>Signature:</t>
  </si>
  <si>
    <t>Date:</t>
  </si>
  <si>
    <t>End of worksheet.</t>
  </si>
  <si>
    <t>Estimated Capital Cost and Fee Verification</t>
  </si>
  <si>
    <t>https://www3.tceq.texas.gov/epay/</t>
  </si>
  <si>
    <t>I. General Information</t>
  </si>
  <si>
    <t>II. Direct Costs</t>
  </si>
  <si>
    <t>Type of Cost</t>
  </si>
  <si>
    <t>A process and control equipment not previously owned by the applicant and not currently authorized under this chapter.</t>
  </si>
  <si>
    <t>Auxiliary equipment, including exhaust hoods, ducting, fans, pumps, piping, conveyors, stacks, storage tanks, waste disposal facilities, and air pollution control equipment specifically needed to meet permit and regulation requirements.</t>
  </si>
  <si>
    <t>Freight charges.</t>
  </si>
  <si>
    <t>Site preparation, including demolition, construction of fences, outdoor lighting, road, and parking areas.</t>
  </si>
  <si>
    <t>Installation, including foundations, erection of supporting structures, enclosures or weather protection, insulation and painting, utilities and connections, process integration, and process control equipment.</t>
  </si>
  <si>
    <t>Ambient air monitoring network.</t>
  </si>
  <si>
    <t>Sub-Total:</t>
  </si>
  <si>
    <t>Amount</t>
  </si>
  <si>
    <t>III. Indirect Costs</t>
  </si>
  <si>
    <t>Final engineering design and supervision, and administrative overhead.</t>
  </si>
  <si>
    <t>Construction expense, including construction liaison, securing local building permits, insurance, temporary construction facilities, and construction clean-up.</t>
  </si>
  <si>
    <t>Contractor's fee and overhead.</t>
  </si>
  <si>
    <t>IV. Calculations</t>
  </si>
  <si>
    <t>Less than $300,000</t>
  </si>
  <si>
    <t>$300,000 - $25,000,000</t>
  </si>
  <si>
    <t>Greater than $25,000,000</t>
  </si>
  <si>
    <t>$900 (minimum fee)</t>
  </si>
  <si>
    <t>0.30% of capital cost</t>
  </si>
  <si>
    <t>$75,000 (maximum fee)</t>
  </si>
  <si>
    <t>Your estimate capital cost:</t>
  </si>
  <si>
    <t>Permit Application Fee:</t>
  </si>
  <si>
    <t>If a fee exemption or reduction applies, describe how this facility qualifies for an exemption or reduction. Include the actual fee amount.</t>
  </si>
  <si>
    <t>V. Payment Information</t>
  </si>
  <si>
    <t>Was the fee paid online?</t>
  </si>
  <si>
    <t>Enter the company name as it appears on the check:</t>
  </si>
  <si>
    <t>VI. Professional Engineer Seal Requirement</t>
  </si>
  <si>
    <t>Is the estimated capital cost of the project above $2 million?</t>
  </si>
  <si>
    <t>Is this project subject to an exemption contained in the Texas Engineering Practice Act (TEPA)? (30 TAC § 116.110(f))</t>
  </si>
  <si>
    <t>Is the application required to be submitted under the seal of a Texas licensed P.E.? Note: An electronic P.E. seal is acceptable.</t>
  </si>
  <si>
    <t>Tank 1</t>
  </si>
  <si>
    <t>Is this an affected, modified, or new source?</t>
  </si>
  <si>
    <t>FIN</t>
  </si>
  <si>
    <t>EPN</t>
  </si>
  <si>
    <t>Source Name</t>
  </si>
  <si>
    <t>UTM Coordinate - Easting (meters)</t>
  </si>
  <si>
    <t>UTM Coordinate - Northing (meters)</t>
  </si>
  <si>
    <t>Value</t>
  </si>
  <si>
    <t>Tank type</t>
  </si>
  <si>
    <t>Is this a heated tank?</t>
  </si>
  <si>
    <t>Control device for this tank during routine operation</t>
  </si>
  <si>
    <t>Distance to the property line (ft)</t>
  </si>
  <si>
    <t>Release height (ft)</t>
  </si>
  <si>
    <t>Pollutant</t>
  </si>
  <si>
    <t>Counties</t>
  </si>
  <si>
    <t>Angelina</t>
  </si>
  <si>
    <t>Aransas</t>
  </si>
  <si>
    <t>Austin</t>
  </si>
  <si>
    <t>Bee</t>
  </si>
  <si>
    <t>Brazoria</t>
  </si>
  <si>
    <t>Brooks</t>
  </si>
  <si>
    <t>Calhoun</t>
  </si>
  <si>
    <t>Chambers</t>
  </si>
  <si>
    <t>Colorado</t>
  </si>
  <si>
    <t>DeWitt</t>
  </si>
  <si>
    <t>Fort Bend</t>
  </si>
  <si>
    <t>Galveston</t>
  </si>
  <si>
    <t>Goliad</t>
  </si>
  <si>
    <t>Gonzales</t>
  </si>
  <si>
    <t>Hardin</t>
  </si>
  <si>
    <t>Harris</t>
  </si>
  <si>
    <t>Hidalgo</t>
  </si>
  <si>
    <t>Houston</t>
  </si>
  <si>
    <t>Jackson</t>
  </si>
  <si>
    <t>Jasper</t>
  </si>
  <si>
    <t>Jefferson</t>
  </si>
  <si>
    <t>Jim Hogg</t>
  </si>
  <si>
    <t>Jim Wells</t>
  </si>
  <si>
    <t>Kenedy</t>
  </si>
  <si>
    <t>Kleberg</t>
  </si>
  <si>
    <t>Lavaca</t>
  </si>
  <si>
    <t>Liberty</t>
  </si>
  <si>
    <t>Live Oak</t>
  </si>
  <si>
    <t>Matagorda</t>
  </si>
  <si>
    <t>Montgomery</t>
  </si>
  <si>
    <t>Nacogdoches</t>
  </si>
  <si>
    <t>Newton</t>
  </si>
  <si>
    <t>Nueces</t>
  </si>
  <si>
    <t>Orange</t>
  </si>
  <si>
    <t>Polk</t>
  </si>
  <si>
    <t>Refugio</t>
  </si>
  <si>
    <t>Sabine</t>
  </si>
  <si>
    <t>San Augustine</t>
  </si>
  <si>
    <t>San Jacinto</t>
  </si>
  <si>
    <t>San Patricio</t>
  </si>
  <si>
    <t>Shelby</t>
  </si>
  <si>
    <t>Starr</t>
  </si>
  <si>
    <t>Trinity</t>
  </si>
  <si>
    <t>Tyler</t>
  </si>
  <si>
    <t>Victoria</t>
  </si>
  <si>
    <t>Walker</t>
  </si>
  <si>
    <t>Waller</t>
  </si>
  <si>
    <t>Wharton</t>
  </si>
  <si>
    <t>Willacy</t>
  </si>
  <si>
    <t>VOC</t>
  </si>
  <si>
    <t>Control device for this loading activity</t>
  </si>
  <si>
    <t>Collection efficiency (%)</t>
  </si>
  <si>
    <t>Saturation factor, from AP-42 Table 5.2-1</t>
  </si>
  <si>
    <t>CAS Number</t>
  </si>
  <si>
    <r>
      <t>Maximum temperature of bulk liquid loaded (</t>
    </r>
    <r>
      <rPr>
        <sz val="11"/>
        <color theme="1"/>
        <rFont val="Calibri"/>
        <family val="2"/>
      </rPr>
      <t>°</t>
    </r>
    <r>
      <rPr>
        <sz val="11"/>
        <color theme="1"/>
        <rFont val="Arial"/>
        <family val="2"/>
      </rPr>
      <t>R)</t>
    </r>
  </si>
  <si>
    <t>Average annual temperature of bulk liquid loaded (°R)</t>
  </si>
  <si>
    <t>Product Name</t>
  </si>
  <si>
    <t>True Vapor Pressure at Maximum Temperature (psia)</t>
  </si>
  <si>
    <t>True Vapor Pressure at Average Temperature
(psia)</t>
  </si>
  <si>
    <t>CAS Number(s)</t>
  </si>
  <si>
    <t>MSS</t>
  </si>
  <si>
    <t>Management of sludge from pits, ponds, sumps, and water conveyances</t>
  </si>
  <si>
    <t>Aerosol cans</t>
  </si>
  <si>
    <t>Calibration of analytical equipment</t>
  </si>
  <si>
    <t>Carbon can replacement</t>
  </si>
  <si>
    <t>Catalyst charging/handling</t>
  </si>
  <si>
    <t>Instrumentation/analyzer maintenance</t>
  </si>
  <si>
    <t>Meter proving</t>
  </si>
  <si>
    <t>Replacement of analyzer filters and screens</t>
  </si>
  <si>
    <t>Maintenance on water treatment systems (cooling, boiler, potable)</t>
  </si>
  <si>
    <t>Soap and other aqueous-based cleaners</t>
  </si>
  <si>
    <t>Cleaning sight glasses</t>
  </si>
  <si>
    <t>Pump repair/replacement</t>
  </si>
  <si>
    <t>Fugitive component (valve, pipe, flange) repair/replacement</t>
  </si>
  <si>
    <t>Valve repair/replacement</t>
  </si>
  <si>
    <t>Vessel repair/replacement</t>
  </si>
  <si>
    <t>Meter repair/replacement</t>
  </si>
  <si>
    <t>Piping repair/replacement</t>
  </si>
  <si>
    <t>Activity</t>
  </si>
  <si>
    <t>Annual Emissions
(tpy)</t>
  </si>
  <si>
    <t>Hourly Emissions
(lb/hr)</t>
  </si>
  <si>
    <t>NOx</t>
  </si>
  <si>
    <t>CO</t>
  </si>
  <si>
    <t>PM</t>
  </si>
  <si>
    <t>PM10</t>
  </si>
  <si>
    <t>PM2.5</t>
  </si>
  <si>
    <t>SO2</t>
  </si>
  <si>
    <t>H2S</t>
  </si>
  <si>
    <t>I. General MSS Activities</t>
  </si>
  <si>
    <t>Type of supplemental fuel</t>
  </si>
  <si>
    <t>Control efficiency (%)</t>
  </si>
  <si>
    <t>SO2 emission factor (lb/MMscf)</t>
  </si>
  <si>
    <t>C. Waste Stream</t>
  </si>
  <si>
    <t>Maximum firing rate (MMBtu/hr)</t>
  </si>
  <si>
    <t>Flare</t>
  </si>
  <si>
    <t>NOx thermal emission factor (lb/MMBtu)</t>
  </si>
  <si>
    <t>CO thermal emission factor (lb/MMBtu)</t>
  </si>
  <si>
    <t>D. Waste Stream</t>
  </si>
  <si>
    <t>E. Compliance Assurance Monitoring</t>
  </si>
  <si>
    <t>III. Project Emission Rates</t>
  </si>
  <si>
    <t>Response</t>
  </si>
  <si>
    <t>Vapor Combustion Unit</t>
  </si>
  <si>
    <t>CAS</t>
  </si>
  <si>
    <t>Is this CAS regenerative or non-regenerative?</t>
  </si>
  <si>
    <t>Breakthrough concentration (ppmv)</t>
  </si>
  <si>
    <t>Is there a bypass for the control device?</t>
  </si>
  <si>
    <t>Horsepower (bhp)</t>
  </si>
  <si>
    <t>Hours of operation per year (hr/yr)</t>
  </si>
  <si>
    <t>Annual throughput (bbl/yr)</t>
  </si>
  <si>
    <t>Product</t>
  </si>
  <si>
    <t>gasoline</t>
  </si>
  <si>
    <t>Total VOC</t>
  </si>
  <si>
    <t>I. Overview</t>
  </si>
  <si>
    <t>II. Qualification Criteria</t>
  </si>
  <si>
    <t>III. Process Instructions</t>
  </si>
  <si>
    <t>IV. Workbook Instructions</t>
  </si>
  <si>
    <t>Chemical/Energy BACT</t>
  </si>
  <si>
    <t>Core Data Form</t>
  </si>
  <si>
    <t>Compliance history classifications</t>
  </si>
  <si>
    <t>Compliance history report</t>
  </si>
  <si>
    <t>Local Air Pollution Control</t>
  </si>
  <si>
    <t>TCEQ Regional Offices</t>
  </si>
  <si>
    <t>https://www.tceq.texas.gov/permitting/air/nav/air_bact_chemsource.html</t>
  </si>
  <si>
    <t>http://www.tceq.texas.gov/compliance/enforcement/compliance-history/about.html</t>
  </si>
  <si>
    <t>http://www.tceq.texas.gov/compliance/enforcement/compliance-history/get_report.html</t>
  </si>
  <si>
    <t>http://www.tceq.texas.gov/permitting/air/local_programs.html</t>
  </si>
  <si>
    <t>http://www.tceq.texas.gov/agency/directory/region</t>
  </si>
  <si>
    <t>Who</t>
  </si>
  <si>
    <t>Where</t>
  </si>
  <si>
    <t>When</t>
  </si>
  <si>
    <t>What</t>
  </si>
  <si>
    <t>Air Permits Division Air Permits Initial Review Team (APIRT)</t>
  </si>
  <si>
    <t>All applications</t>
  </si>
  <si>
    <t>Financial Administrative Division Revenue Operations Section</t>
  </si>
  <si>
    <t>All applications not using ePay</t>
  </si>
  <si>
    <t>Appropriate TCEQ Regional Office</t>
  </si>
  <si>
    <t>Copies of the "PI-1-MarineLoading" sheet, Core Data Form, and all attachments</t>
  </si>
  <si>
    <t>Local air Pollution Control Program(s)</t>
  </si>
  <si>
    <t>Copies of the "PI-1-MarineLoading" sheet, all attachments, public notice, and affidavit</t>
  </si>
  <si>
    <t>Fee, copy of the "PI-1-MarineLoading" sheet, copy of the Core Data Form</t>
  </si>
  <si>
    <t>Allowable Species</t>
  </si>
  <si>
    <t>General Application Materials</t>
  </si>
  <si>
    <t>Specific source information (sheets not needed for this project will be greyed out)</t>
  </si>
  <si>
    <t>Tank 2</t>
  </si>
  <si>
    <t>Tank 3</t>
  </si>
  <si>
    <t>Tank 4</t>
  </si>
  <si>
    <t>Tank 5</t>
  </si>
  <si>
    <t>Loading: Drum or Tote</t>
  </si>
  <si>
    <t>Loading: Truck</t>
  </si>
  <si>
    <t>Loading: Rail</t>
  </si>
  <si>
    <t>Vapor Combustion Unit (VCU)</t>
  </si>
  <si>
    <t>Carbon Adsorption System (CAS)</t>
  </si>
  <si>
    <t>Heater or Boiler 1</t>
  </si>
  <si>
    <t>Heater or Boiler 2</t>
  </si>
  <si>
    <t>Process Fugitives</t>
  </si>
  <si>
    <t>Additional application materials</t>
  </si>
  <si>
    <t>BACT</t>
  </si>
  <si>
    <t>Special Conditions and Agreement</t>
  </si>
  <si>
    <t>Public Notice Applicability and Small Business Classification</t>
  </si>
  <si>
    <t>Federal Applicability Determination</t>
  </si>
  <si>
    <t>Baseline Emissions Information</t>
  </si>
  <si>
    <t>Press TAB to move input areas. Press UP or DOWN ARROW in column A to read through the document. Note: This worksheet is just text and has no input areas. The text is broken into multiple cells for ease of reading.</t>
  </si>
  <si>
    <t>STEERS</t>
  </si>
  <si>
    <t>https://www3.tceq.texas.gov/steers/</t>
  </si>
  <si>
    <t>Annual emissions were calculated using the current version of US Environmental Protection Agency (EPA) Compilation of Air Pollutant Emission Factors (AP-42) Chapter 7: Liquid Storage Tanks or a tank emission calculation software utilizing the same methods in AP-42 Ch. 7.</t>
  </si>
  <si>
    <t>Hourly emissions were calculated using the current versions of TCEQ Air Permit Reviewer Reference Guide (APDG) 6250 for fixed roof tanks, APDG 6419 for floating roof tanks, or tank emission calculation software utilizing the same methods in the referenced guidance documents.</t>
  </si>
  <si>
    <t>Annual flow rate (scf/year)</t>
  </si>
  <si>
    <t>https://www.tceq.texas.gov/permitting/air/guidance/newsourcereview/nsr_fac_index.html</t>
  </si>
  <si>
    <t>Index of common permitted facilities</t>
  </si>
  <si>
    <t>Will non-inerted marine vessel loading be modified, affected, or newly authorized in this project?</t>
  </si>
  <si>
    <t>Will inerted marine vessel loading be modified, affected, or newly authorized in this project?</t>
  </si>
  <si>
    <t>How many engines will be modified, affected, or newly authorized in this project?</t>
  </si>
  <si>
    <t>How many heaters or boilers will be modified, affected, or newly authorized in this project?</t>
  </si>
  <si>
    <t>Will MSS activities be modified, affected, or newly authorized in this project?</t>
  </si>
  <si>
    <t>V. Website Links</t>
  </si>
  <si>
    <t>VI. Where to Submit Application Materials</t>
  </si>
  <si>
    <t>VII. Workbook Table of Contents (click to jump to the worksheet)</t>
  </si>
  <si>
    <t>(((phosphonomethyl)imino)bis((2,1-ethanediylnitrilobis(methylene)))tetrakisphosphonic acid, ethoxylated tallowalkylamine salt</t>
  </si>
  <si>
    <t>71329-40-3</t>
  </si>
  <si>
    <t>([[(2-ethylhexyl)oxy]methyl]oxirane reaction products with polyethylene glycol ether with 2,4,7,9-tetramethyl-5-decyne-4,7-diol (2:1)</t>
  </si>
  <si>
    <t>857892-58-1</t>
  </si>
  <si>
    <t>(+/-) bis(2-ethylhexyl) sebacate</t>
  </si>
  <si>
    <t>122-62-3</t>
  </si>
  <si>
    <t>(1,2-ethanediylbis(oxy))bismethanol</t>
  </si>
  <si>
    <t>3586-55-8</t>
  </si>
  <si>
    <t>(1,3-dimethylbutyl)benzene</t>
  </si>
  <si>
    <t>19219-84-2</t>
  </si>
  <si>
    <t>(11Z)-11-hexadecen-1-ol</t>
  </si>
  <si>
    <t>56683-54-6</t>
  </si>
  <si>
    <t>(1alpha,2alpha,3beta)-1,2,3-trimethylcyclopentane</t>
  </si>
  <si>
    <t>15890-40-1</t>
  </si>
  <si>
    <t>(1alpha,2beta,4alpha)-1,2,4-trimethylcyclopentane</t>
  </si>
  <si>
    <t>16883-48-0</t>
  </si>
  <si>
    <t>(1E)-1,2-dichloro-3,3,3-trifluoro-1-propene</t>
  </si>
  <si>
    <t>431-27-6</t>
  </si>
  <si>
    <t>(1E,4E)-1,5-di(2-furyl)-1,4-pentadien-3-one</t>
  </si>
  <si>
    <t>886-77-1</t>
  </si>
  <si>
    <t>(1-methylene-2-propenyl)benzene</t>
  </si>
  <si>
    <t>2288-18-8</t>
  </si>
  <si>
    <t>(1-methylethyl)-1,1'-biphenyl</t>
  </si>
  <si>
    <t>25640-78-2</t>
  </si>
  <si>
    <t>(1-methylethyl)-benzene, oxidized, polyphenyl residues</t>
  </si>
  <si>
    <t>68333-89-1</t>
  </si>
  <si>
    <t>(1R,2R,5R)-2-(2-hydroxy-2-propanyl)-5-methylcyclohexanol</t>
  </si>
  <si>
    <t>3564-98-5</t>
  </si>
  <si>
    <t>(1r,2s)-1,2,4-trimethylcyclopentane</t>
  </si>
  <si>
    <t>4516-67-0</t>
  </si>
  <si>
    <t>(1R,2S,4S)-1,2,4-trimethylcyclohexane</t>
  </si>
  <si>
    <t>1678-80-4</t>
  </si>
  <si>
    <t>(1Z,5E,9E)-1,5,9-cyclododecatriene</t>
  </si>
  <si>
    <t>4904-61-4</t>
  </si>
  <si>
    <t>(2,2,6,6-tetramethyl-4-oxo-1-piperidinyl)oxidanyl</t>
  </si>
  <si>
    <t>2896-70-0</t>
  </si>
  <si>
    <t>(2,2-dimethyl-1,3-dioxolan-4-yl)methanol</t>
  </si>
  <si>
    <t>100-79-8</t>
  </si>
  <si>
    <t>(2,4-dichlorophenoxy)acetic acid, isooctyl ester</t>
  </si>
  <si>
    <t>1928-43-4</t>
  </si>
  <si>
    <t>(2-dodecyloxy)ethanol</t>
  </si>
  <si>
    <t>4536-30-5</t>
  </si>
  <si>
    <t>(2E)-3,4-dimethyl-2-pentene</t>
  </si>
  <si>
    <t>4914-92-5</t>
  </si>
  <si>
    <t>(2E)-3,7-dimethyl-2,6-octadien-1-yl acetate</t>
  </si>
  <si>
    <t>105-87-3</t>
  </si>
  <si>
    <t>(2S)-2-chloro-1-butanol</t>
  </si>
  <si>
    <t>56536-49-3</t>
  </si>
  <si>
    <t>(2Z)-2-heptenal</t>
  </si>
  <si>
    <t>57266-86-1</t>
  </si>
  <si>
    <t>(2Z)-2-nonen-4-yne</t>
  </si>
  <si>
    <t>56392-46-2</t>
  </si>
  <si>
    <t>(3-aminopropyl)trimethoxysilane</t>
  </si>
  <si>
    <t>13822-56-5</t>
  </si>
  <si>
    <t>(3E)-2,2-dimethyl-3-decene</t>
  </si>
  <si>
    <t>55499-02-0</t>
  </si>
  <si>
    <t>(3E)-3-dodecene</t>
  </si>
  <si>
    <t>7206-14-6</t>
  </si>
  <si>
    <t>(3E)-3-methyl-3-penten-2-one</t>
  </si>
  <si>
    <t>565-62-8</t>
  </si>
  <si>
    <t>(3E)-3-methyl-4-(2,6,6-trimethyl-2-cyclohexen-1-yl)-3-buten-2-one</t>
  </si>
  <si>
    <t>127-51-5</t>
  </si>
  <si>
    <t>(3R,5S)-3,5-dimethyltetrahydropyran-2-ol</t>
  </si>
  <si>
    <t>314021-41-5</t>
  </si>
  <si>
    <t>(3Z)-1-chloro-3-hexene</t>
  </si>
  <si>
    <t>21676-01-7</t>
  </si>
  <si>
    <t>(3Z)-3-dodecene</t>
  </si>
  <si>
    <t>7239-23-8</t>
  </si>
  <si>
    <t>(3Z,6E)-1,3,6-octatriene</t>
  </si>
  <si>
    <t>22038-68-2</t>
  </si>
  <si>
    <t>(4E)-7-methyl-4-undecene</t>
  </si>
  <si>
    <t>312298-60-5</t>
  </si>
  <si>
    <t>(4R)-4-hydroxy-2-hexanone</t>
  </si>
  <si>
    <t>106353-47-3</t>
  </si>
  <si>
    <t>(5E,9E)-hexadeca-5,9-diene</t>
  </si>
  <si>
    <t>93762-80-2</t>
  </si>
  <si>
    <t>(5S)-5-(2-hydroxypropan-2-yl)-2-methylcyclohex-2-en-1-one</t>
  </si>
  <si>
    <t>60593-11-5</t>
  </si>
  <si>
    <t>(benzyloxy)methanol</t>
  </si>
  <si>
    <t>14548-60-8</t>
  </si>
  <si>
    <t>(dichloromethyl)benzene</t>
  </si>
  <si>
    <t>98-87-3</t>
  </si>
  <si>
    <t>(E)-1,2,3,3,4-pentachloro-1-butene</t>
  </si>
  <si>
    <t>94796-72-2</t>
  </si>
  <si>
    <t>(E)-1-chlorohex-3-ene</t>
  </si>
  <si>
    <t>63281-97-0</t>
  </si>
  <si>
    <t>(E)-2-octene</t>
  </si>
  <si>
    <t>13389-42-9</t>
  </si>
  <si>
    <t>(E)-3-methyl-5-cyclopentadecen-1-one</t>
  </si>
  <si>
    <t>82356-51-2</t>
  </si>
  <si>
    <t>(E)-3-octene</t>
  </si>
  <si>
    <t>14919-01-8</t>
  </si>
  <si>
    <t>(E)-5-methyl-2-hexene</t>
  </si>
  <si>
    <t>7385-82-2</t>
  </si>
  <si>
    <t>(E,E)-alpha-farnesene</t>
  </si>
  <si>
    <t>502-61-4</t>
  </si>
  <si>
    <t>(imidazole, 1H-)-1-ethanamine, 4,5-dihydro-, 2-nornaphthenyl derives</t>
  </si>
  <si>
    <t>68478-61-5</t>
  </si>
  <si>
    <t>(S)-(-)-alpha-terpineol</t>
  </si>
  <si>
    <t>10482-56-1</t>
  </si>
  <si>
    <t>(S)-3-chloro-1,2-propanediol</t>
  </si>
  <si>
    <t>60827-45-4</t>
  </si>
  <si>
    <t>(tetrapropenyl)-butanedioic acid</t>
  </si>
  <si>
    <t>27859-58-1</t>
  </si>
  <si>
    <t>(Z)-2-methyl-3-undecene</t>
  </si>
  <si>
    <t>74630-48-1</t>
  </si>
  <si>
    <t>(Z)-5-methyl-hexene</t>
  </si>
  <si>
    <t>13151-17-2</t>
  </si>
  <si>
    <t>[(2,4-dibromo-6-methylphenoxy)methyl]-oxirane</t>
  </si>
  <si>
    <t>75150-13-9</t>
  </si>
  <si>
    <t>[(phosphonomethyl)imino] bis[6,1-hexanediylnitrilobis(methylene)]tetrakis-phosphonic acid</t>
  </si>
  <si>
    <t>34690-00-1</t>
  </si>
  <si>
    <t>[[(2-hydroxyethyl)imino]bis(methylene)]bisphosphonic acid</t>
  </si>
  <si>
    <t>5995-42-6</t>
  </si>
  <si>
    <t>[2-(3,4-epoxycyclohexyl)ethyl]trimethoxysilane</t>
  </si>
  <si>
    <t>3388-04-3</t>
  </si>
  <si>
    <t>[3-[3-(2H-benzotriazol-2-yl)-5-(1,1-dimethylethyl)-4-hydroxyphenyl]-1-oxopropyl]-hydroxypoly(oxo-1,2-ethanediyl)</t>
  </si>
  <si>
    <t>104810-48-2</t>
  </si>
  <si>
    <t>[diethyl(methyl)silyl]oxy-diethyl-methylsilane</t>
  </si>
  <si>
    <t>1000-00-6</t>
  </si>
  <si>
    <t>1-(1-chlorocyclopropyl) ethanone</t>
  </si>
  <si>
    <t>63141-09-3</t>
  </si>
  <si>
    <t>1-(2-((2-((2-((2-aminoethyl)amino)ethyl)amino)ethyl)amino)ethyl)-2,5-pyrrolidinedione, monopolyisobutenyl derivs.</t>
  </si>
  <si>
    <t>67762-72-5</t>
  </si>
  <si>
    <t>1-(2,3,8,8-tetramethyl-1,2,3,4,5,6,7,8-octahydro-2-naphthalenyl)ethanone</t>
  </si>
  <si>
    <t>54464-57-2</t>
  </si>
  <si>
    <t>1-(2-aminoethyl)-2-(8-heptadecenyl)-2-imidazoline</t>
  </si>
  <si>
    <t>3528-63-0</t>
  </si>
  <si>
    <t>1-(2-aminoethyl)-2-tall oil alkyl-2-imidazoline</t>
  </si>
  <si>
    <t>68389-77-5</t>
  </si>
  <si>
    <t>1-(2-hydroxyethyl)-2-(tall oil-alkyl)-2-imidazoline</t>
  </si>
  <si>
    <t>61791-39-7</t>
  </si>
  <si>
    <t>1-(2-hydroxyethyl)-2-pyrrolidinone</t>
  </si>
  <si>
    <t>3445-11-2</t>
  </si>
  <si>
    <t>1-(4-isobutylphenyl)ethanol</t>
  </si>
  <si>
    <t>40150-92-3</t>
  </si>
  <si>
    <t>1-(4-pentenyl) piperidine</t>
  </si>
  <si>
    <t>81547-95-7</t>
  </si>
  <si>
    <t>1-(bis(2-(1,3-dimethylbutylideneamino)ethyl)amino)-3-phenoxypropan-2-ol</t>
  </si>
  <si>
    <t>68541-07-1</t>
  </si>
  <si>
    <t>1-(dimethylamino)-2-propanol</t>
  </si>
  <si>
    <t>108-16-7</t>
  </si>
  <si>
    <t>1-(phenylmethyl)-pyridinium, Et Me derivs., chlorides</t>
  </si>
  <si>
    <t>68909-18-2</t>
  </si>
  <si>
    <t>1,1-(p-tolylimino)dipropan-2-ol</t>
  </si>
  <si>
    <t>38668-48-3</t>
  </si>
  <si>
    <t>1,1,1,2,2-pentachloro-2-fluoroethane</t>
  </si>
  <si>
    <t>1,1,1,2,2-pentafluoroethane</t>
  </si>
  <si>
    <t>354-33-6</t>
  </si>
  <si>
    <t>1,1,1,2,2-pentafluoropropane</t>
  </si>
  <si>
    <t>1814-88-6</t>
  </si>
  <si>
    <t>1,1,1,2,3,3,3-heptafluoropropane</t>
  </si>
  <si>
    <t>431-89-0</t>
  </si>
  <si>
    <t>1,1,1,2-tetrachloro-2,2-difluoroethane</t>
  </si>
  <si>
    <t>76-11-9</t>
  </si>
  <si>
    <t>1,1,1,2-tetrachloroethane</t>
  </si>
  <si>
    <t>630-20-6</t>
  </si>
  <si>
    <t>1,1,1,2-tetrafluoropropane</t>
  </si>
  <si>
    <t>421-48-7</t>
  </si>
  <si>
    <t>1,1,1,2-tetrafluroethane</t>
  </si>
  <si>
    <t>811-97-2</t>
  </si>
  <si>
    <t>1,1,1,3,3,3-hexafluropropane</t>
  </si>
  <si>
    <t>690-39-1</t>
  </si>
  <si>
    <t>1,1,1,3,3-pentafluorobutane</t>
  </si>
  <si>
    <t>406-58-6</t>
  </si>
  <si>
    <t>1,1,1,3,3-pentafluoropropane</t>
  </si>
  <si>
    <t>460-73-1</t>
  </si>
  <si>
    <t>1,1,1,3,5,5,5-heptamethyl-3-(trimethylsiloxy)trisiloxane</t>
  </si>
  <si>
    <t>17928-28-8</t>
  </si>
  <si>
    <t>1,1,1,3-tetrachloropropane</t>
  </si>
  <si>
    <t>1070-78-6</t>
  </si>
  <si>
    <t>1,1,1,3-tetrafluoropropane</t>
  </si>
  <si>
    <t>460-36-6</t>
  </si>
  <si>
    <t>1,1,1,5,5,5-hexamethyl-3,3-bis(trimethylsiloxy)-trisiloxane</t>
  </si>
  <si>
    <t>3555-47-3</t>
  </si>
  <si>
    <t>1,1,1-trichloro-2,2,2-trifluoroethane</t>
  </si>
  <si>
    <t>354-58-5</t>
  </si>
  <si>
    <t>1,1,1-trichloro-2-methyl-2-propanol</t>
  </si>
  <si>
    <t>57-15-8</t>
  </si>
  <si>
    <t>1,1,1-trichloroethane</t>
  </si>
  <si>
    <t>71-55-6</t>
  </si>
  <si>
    <t>1,1,2,2-tetrabromoethane</t>
  </si>
  <si>
    <t>79-27-6</t>
  </si>
  <si>
    <t>1,1,2,2-tetrachloro-1,2-difluoroethane</t>
  </si>
  <si>
    <t>76-12-0</t>
  </si>
  <si>
    <t>1,1,2,2-tetrachloroethane</t>
  </si>
  <si>
    <t>79-34-5</t>
  </si>
  <si>
    <t>1,1,2,3,3,4,4-heptachloro-1-butene</t>
  </si>
  <si>
    <t>116188-72-8</t>
  </si>
  <si>
    <t>1,1,2,3,3,4-hexachloro-1-butene</t>
  </si>
  <si>
    <t>56631-01-7</t>
  </si>
  <si>
    <t>1,1,2,4,4-pentachlorobuta-1,3-diene</t>
  </si>
  <si>
    <t>21400-41-9</t>
  </si>
  <si>
    <t>1,1,2-trichloro-1,2,2-trifluoroethane</t>
  </si>
  <si>
    <t>76-13-1</t>
  </si>
  <si>
    <t>1,1,2-trichloroethane</t>
  </si>
  <si>
    <t>79-00-5</t>
  </si>
  <si>
    <t>1,1,2-trimethylcyclohexane</t>
  </si>
  <si>
    <t>7094-26-0</t>
  </si>
  <si>
    <t>1,1,2-trimethylcyclopentane</t>
  </si>
  <si>
    <t>4259-00-1</t>
  </si>
  <si>
    <t>1,1,3,3,4,4-hexachloro-1-butene</t>
  </si>
  <si>
    <t>34973-39-2</t>
  </si>
  <si>
    <t>1,1,3,3-tetrabutylurea</t>
  </si>
  <si>
    <t>4559-86-8</t>
  </si>
  <si>
    <t>1,1,3,3-tetramethylbutyl hydroperoxide</t>
  </si>
  <si>
    <t>5809-08-5</t>
  </si>
  <si>
    <t>1,1,3,5-tetramethyl piperidinium chloride</t>
  </si>
  <si>
    <t>113277-69-3</t>
  </si>
  <si>
    <t>1,1,3,trimethyl-3-phenyl indane</t>
  </si>
  <si>
    <t>3910-35-8</t>
  </si>
  <si>
    <t>1,1,3-trichloro-1-propene</t>
  </si>
  <si>
    <t>2567-14-8</t>
  </si>
  <si>
    <t>1,1,3-trimethycyclohexane</t>
  </si>
  <si>
    <t>3073-66-3</t>
  </si>
  <si>
    <t>1,1,3-trimethyl-5-(1 -methylethyl)-1H-indene</t>
  </si>
  <si>
    <t>30839-52-2</t>
  </si>
  <si>
    <t>1,1,3-trimethylcyclopentane</t>
  </si>
  <si>
    <t>4516-69-2</t>
  </si>
  <si>
    <t>1,1,4,4-tetrachlorobuta-1,3-diene</t>
  </si>
  <si>
    <t>36038-53-6</t>
  </si>
  <si>
    <t>1,1,4,4-tetramethyltetramethylene ester peroxybenzoic acid</t>
  </si>
  <si>
    <t>2618-77-1</t>
  </si>
  <si>
    <t>1,1,4,7,7-pentamethyl-diethylenetriamine</t>
  </si>
  <si>
    <t>3030-47-5</t>
  </si>
  <si>
    <t>1,1,4-trimethylcyclohexane</t>
  </si>
  <si>
    <t>7094-27-1</t>
  </si>
  <si>
    <t>1,10-phenanthroline</t>
  </si>
  <si>
    <t>66-71-7</t>
  </si>
  <si>
    <t>1,13-tetradecadiene</t>
  </si>
  <si>
    <t>21964-49-8</t>
  </si>
  <si>
    <t>1,1'-bi(cyclohexyl)</t>
  </si>
  <si>
    <t>92-51-3</t>
  </si>
  <si>
    <t>1,1-bis[4-ethylphenyl]ethane</t>
  </si>
  <si>
    <t>10224-91-6</t>
  </si>
  <si>
    <t>1,1-di-(t-butylperoxy)-3,3,5-trimethylcyclohexane</t>
  </si>
  <si>
    <t>6731-36-8</t>
  </si>
  <si>
    <t>1,1-dichloro-1,2,2,2-tetrafluoroethane</t>
  </si>
  <si>
    <t>374-07-2</t>
  </si>
  <si>
    <t>1,1-dichloro-1-fluoroethane</t>
  </si>
  <si>
    <t>1717-00-6</t>
  </si>
  <si>
    <t>1,1-dichloro-1-nitroethane</t>
  </si>
  <si>
    <t>594-72-9</t>
  </si>
  <si>
    <t>1,1-dichlorobut-1-ene</t>
  </si>
  <si>
    <t>11069-19-5</t>
  </si>
  <si>
    <t>1,1-dichloroethane</t>
  </si>
  <si>
    <t>75-34-3</t>
  </si>
  <si>
    <t>1,1-dichloroethylene</t>
  </si>
  <si>
    <t>75-35-4</t>
  </si>
  <si>
    <t>1,1-dichloropropan-1-ol</t>
  </si>
  <si>
    <t>26545-73-3</t>
  </si>
  <si>
    <t>1,1-dichloropropane</t>
  </si>
  <si>
    <t>78-99-9</t>
  </si>
  <si>
    <t>1,1-dichloropropene</t>
  </si>
  <si>
    <t>563-58-6</t>
  </si>
  <si>
    <t>1,1-diethoxy-but-2-ene</t>
  </si>
  <si>
    <t>10602-34-3</t>
  </si>
  <si>
    <t>1,1-difluoroethane</t>
  </si>
  <si>
    <t>75-37-6</t>
  </si>
  <si>
    <t>1,1-dimethyl hydrazine</t>
  </si>
  <si>
    <t>57-14-7</t>
  </si>
  <si>
    <t>1,1-dimethylcyclohexane</t>
  </si>
  <si>
    <t>590-66-9</t>
  </si>
  <si>
    <t>1,1-dimethylethyl 2-propenylperoxide</t>
  </si>
  <si>
    <t>39972-78-6</t>
  </si>
  <si>
    <t>1,1-di-t-amylperoxycyclohexane</t>
  </si>
  <si>
    <t>15667-10-4</t>
  </si>
  <si>
    <t>1,1-di-tert-butylperoxycyclohexane</t>
  </si>
  <si>
    <t>3006-86-8</t>
  </si>
  <si>
    <t>1,1-methylethylcyclopentane</t>
  </si>
  <si>
    <t>3875-51-2</t>
  </si>
  <si>
    <t>1,1'-oxybis(4-chlorobutane)</t>
  </si>
  <si>
    <t>6334-96-9</t>
  </si>
  <si>
    <t>1,1'-oxybisbenzene, pentabromo deriv</t>
  </si>
  <si>
    <t>32534-81-9</t>
  </si>
  <si>
    <t>1,1'-oxybisbenzene, tetrapropylene derivs, sulfonated, sodium salts</t>
  </si>
  <si>
    <t>119345-04-9</t>
  </si>
  <si>
    <t>1,1'-oxybiscyclohexane</t>
  </si>
  <si>
    <t>4645-15-2</t>
  </si>
  <si>
    <t>1,1'-oxydi-2-propanol</t>
  </si>
  <si>
    <t>110-98-5</t>
  </si>
  <si>
    <t>1,1'-sulfonylbis(2,4-dimethylbenzene)</t>
  </si>
  <si>
    <t>5184-75-8</t>
  </si>
  <si>
    <t>1,2,3,3,4,4,5,5-octafluorocyclopentene</t>
  </si>
  <si>
    <t>559-40-0</t>
  </si>
  <si>
    <t>1,2,3,4,5-pentamethylcyclopentane</t>
  </si>
  <si>
    <t>33067-32-2</t>
  </si>
  <si>
    <t>1,2,3,4-tetrachlorobenzene</t>
  </si>
  <si>
    <t>634-66-2</t>
  </si>
  <si>
    <t>1,2,3,4-tetrahydro(1-phenylethyl)naphthalene</t>
  </si>
  <si>
    <t>63674-30-6</t>
  </si>
  <si>
    <t>1,2,3,4-tetrahydro-5(1-phenyl)naphthalene</t>
  </si>
  <si>
    <t>60466-61-7</t>
  </si>
  <si>
    <t>1,2,3,4-tetrahydro-6(1-phenyl)naphthalene</t>
  </si>
  <si>
    <t>6196-98-1</t>
  </si>
  <si>
    <t>1,2,3,4-tetrahydronaphthalene</t>
  </si>
  <si>
    <t>119-64-2</t>
  </si>
  <si>
    <t>1,2,3,4-tetrahydroquinoline</t>
  </si>
  <si>
    <t>635-46-1</t>
  </si>
  <si>
    <t>1,2,3,4-tetramethylbenzene</t>
  </si>
  <si>
    <t>488-23-3</t>
  </si>
  <si>
    <t>1,2,3,4-tetramethylnaphthalene</t>
  </si>
  <si>
    <t>3031-15-0</t>
  </si>
  <si>
    <t>1,2,3,5-tetrachlorobenzene</t>
  </si>
  <si>
    <t>634-90-2</t>
  </si>
  <si>
    <t>1,2,3,5-tetramethylbenzene</t>
  </si>
  <si>
    <t>527-53-7</t>
  </si>
  <si>
    <t>1,2,3,6-tetrahydrobenzaldehyde</t>
  </si>
  <si>
    <t>100-50-5</t>
  </si>
  <si>
    <t>1,2,3-benzotriazole</t>
  </si>
  <si>
    <t>95-14-7</t>
  </si>
  <si>
    <t>1,2,3-trichlorobenzene</t>
  </si>
  <si>
    <t>87-61-6</t>
  </si>
  <si>
    <t>1,2,3-trichloropropane</t>
  </si>
  <si>
    <t>96-18-4</t>
  </si>
  <si>
    <t>1,2,3-trichloropropene</t>
  </si>
  <si>
    <t>96-19-5</t>
  </si>
  <si>
    <t>1,2,3-trimethylbenzene</t>
  </si>
  <si>
    <t>526-73-8</t>
  </si>
  <si>
    <t>1,2,4,5-benzenetetracarboxylic acid, compd. with 4,5-dihydro-2-phenyl-1H-imidazole (1:1)</t>
  </si>
  <si>
    <t>54553-90-1</t>
  </si>
  <si>
    <t>1,2,4,5-tetra-(1E)-prop-1-en-1-ylbenzene</t>
  </si>
  <si>
    <t>68512-02-7</t>
  </si>
  <si>
    <t>1,2,4,5-tetrachlorobenzene</t>
  </si>
  <si>
    <t>95-94-3</t>
  </si>
  <si>
    <t>1,2,4,5-tetraethylbenzene</t>
  </si>
  <si>
    <t>635-81-4</t>
  </si>
  <si>
    <t>1,2,4,5-tetramethylbenzene</t>
  </si>
  <si>
    <t>95-93-2</t>
  </si>
  <si>
    <t>1,2,4-cyclohexanetriethanethiol</t>
  </si>
  <si>
    <t>25664-92-0</t>
  </si>
  <si>
    <t>1,2,4-triazole</t>
  </si>
  <si>
    <t>288-88-0</t>
  </si>
  <si>
    <t>1,2,4-trichlorobenzene</t>
  </si>
  <si>
    <t>120-82-1</t>
  </si>
  <si>
    <t>1,2,4-triethenyl cyclohexane</t>
  </si>
  <si>
    <t>2855-27-8</t>
  </si>
  <si>
    <t>1,2,4-triethylbenzene</t>
  </si>
  <si>
    <t>877-44-1</t>
  </si>
  <si>
    <t>1,2,4-triisopropylbenzene</t>
  </si>
  <si>
    <t>948-32-3</t>
  </si>
  <si>
    <t>1,2,4-trimethylbenzene</t>
  </si>
  <si>
    <t>95-63-6</t>
  </si>
  <si>
    <t>1,2,6-hexanetriol</t>
  </si>
  <si>
    <t>106-69-4</t>
  </si>
  <si>
    <t>1,2-benzenedicarboxylic acid, 1,2-dihexyl ester, branched and linear</t>
  </si>
  <si>
    <t>68515-50-4</t>
  </si>
  <si>
    <t>1,2-benzenedicarboxylic acid, di-C6-12-branched and linear alkyl esters</t>
  </si>
  <si>
    <t>392662-40-7</t>
  </si>
  <si>
    <t>1,2-benzenedicarboxylic acid, di-C6-C8, br alkyl esters</t>
  </si>
  <si>
    <t>71888-89-6</t>
  </si>
  <si>
    <t>1,2-benzenedicarboxylic acid, di-C7-11-branched and linear alkyl esters</t>
  </si>
  <si>
    <t>68515-42-4</t>
  </si>
  <si>
    <t>1,2-benzenedicarboxylic acid, di-C7-C9-alkyl esters</t>
  </si>
  <si>
    <t>68515-41-3</t>
  </si>
  <si>
    <t>1,2-benzenedicarboxylic acid, di-C8-10-branched alkyl esters, C9-rich</t>
  </si>
  <si>
    <t>68515-48-0</t>
  </si>
  <si>
    <t>1,2-benzenedicarboxylic acid, di-C9-11-branched alkyl esters, C10-rich</t>
  </si>
  <si>
    <t>68515-49-1</t>
  </si>
  <si>
    <t>1,2-benzenedicarboxylic acid, diheptyl nonyl undecyl ester, branched and linear</t>
  </si>
  <si>
    <t>111381-91-0</t>
  </si>
  <si>
    <t>1,2-benzenedicarboxylic acid, diheptyl undecyl ester, branched and linear</t>
  </si>
  <si>
    <t>111381-90-9</t>
  </si>
  <si>
    <t>1,2-benzenedicarboxylic acid, dihexyl ester</t>
  </si>
  <si>
    <t>84-75-3</t>
  </si>
  <si>
    <t>1,2-benzenedicarboxylic acid, dipropyl ester</t>
  </si>
  <si>
    <t>131-16-8</t>
  </si>
  <si>
    <t>1,2-benzenedicarboxylic aicd, diheptyl ester, branched and linear</t>
  </si>
  <si>
    <t>68515-44-6</t>
  </si>
  <si>
    <t>1,2-benzenedicarboxylic aicd, diheptyl nonyl ester, branched and linear</t>
  </si>
  <si>
    <t>111381-89-6</t>
  </si>
  <si>
    <t>1,2-benzenedicarboxylic aicd, dinonyl ester, branched and linear (also 9P Ester)</t>
  </si>
  <si>
    <t>68515-45-7</t>
  </si>
  <si>
    <t>1,2-benzisothiazolin-3-one</t>
  </si>
  <si>
    <t>2634-33-5</t>
  </si>
  <si>
    <t>1,2-bis(2-chloroethoxy)ethane</t>
  </si>
  <si>
    <t>112-26-5</t>
  </si>
  <si>
    <t>1,2-bis(tribromophenoxy)-ethane</t>
  </si>
  <si>
    <t>37853-59-1</t>
  </si>
  <si>
    <t>1,2-butadiene</t>
  </si>
  <si>
    <t>590-19-2</t>
  </si>
  <si>
    <t>1,2-butylene glycol</t>
  </si>
  <si>
    <t>584-03-2</t>
  </si>
  <si>
    <t>1,2-cyclohexanediol</t>
  </si>
  <si>
    <t>931-17-9</t>
  </si>
  <si>
    <t>1,2-cyclohexyl-2-ethyl-1,3-propanediol</t>
  </si>
  <si>
    <t>25450-99-1</t>
  </si>
  <si>
    <t>1,2-diaminotoluene, ethoxylated and propoxylated</t>
  </si>
  <si>
    <t>67800-94-6</t>
  </si>
  <si>
    <t>1,2-dibromo-2,4-dicyanobutane</t>
  </si>
  <si>
    <t>35691-65-7</t>
  </si>
  <si>
    <t>1,2-dibromo-3-chloropropane</t>
  </si>
  <si>
    <t>96-12-8</t>
  </si>
  <si>
    <t>1,2-dichloro-1,1,2,2-tetrafluoroethane</t>
  </si>
  <si>
    <t>76-14-2</t>
  </si>
  <si>
    <t>1,2-dichloro-1,1,2-trifluoroethane</t>
  </si>
  <si>
    <t>354-23-4</t>
  </si>
  <si>
    <t>1,2-dichloro-2-methylpropane</t>
  </si>
  <si>
    <t>594-37-6</t>
  </si>
  <si>
    <t>1,2-dichloro-3-nitrobenzene</t>
  </si>
  <si>
    <t>3209-22-1</t>
  </si>
  <si>
    <t>1,2-dichloro-4-trifluoromethylbenzene</t>
  </si>
  <si>
    <t>328-84-7</t>
  </si>
  <si>
    <t>1,2-dichlorobenzene</t>
  </si>
  <si>
    <t>95-50-1</t>
  </si>
  <si>
    <t>1,2-dichlorobutane</t>
  </si>
  <si>
    <t>616-21-7</t>
  </si>
  <si>
    <t>1,2-dichloroethylene</t>
  </si>
  <si>
    <t>540-59-0</t>
  </si>
  <si>
    <t>1,2-dichloropropane</t>
  </si>
  <si>
    <t>78-87-5</t>
  </si>
  <si>
    <t>1,2-dichloropropene</t>
  </si>
  <si>
    <t>26952-23-8</t>
  </si>
  <si>
    <t>1,2-dihydronaphthalene</t>
  </si>
  <si>
    <t>447-53-0</t>
  </si>
  <si>
    <t>1,2-diisopropylbenzene</t>
  </si>
  <si>
    <t>577-55-9</t>
  </si>
  <si>
    <t>1,2-dimethoxyethane</t>
  </si>
  <si>
    <t>110-71-4</t>
  </si>
  <si>
    <t>1,2-dimethxoybenzene</t>
  </si>
  <si>
    <t>91-16-7</t>
  </si>
  <si>
    <t>1,2-dimethyl-1,4-cyclohexadiene</t>
  </si>
  <si>
    <t>17351-28-9</t>
  </si>
  <si>
    <t>1,2-dimethyl-3-ethylbenzene</t>
  </si>
  <si>
    <t>933-98-2</t>
  </si>
  <si>
    <t>1,2-dimethylcyclohexane, mixture of cis and trans</t>
  </si>
  <si>
    <t>583-57-3</t>
  </si>
  <si>
    <t>1,2-dimethyl-cyclohexene</t>
  </si>
  <si>
    <t>1674-10-8</t>
  </si>
  <si>
    <t>1,2-dimethylcyclooctene</t>
  </si>
  <si>
    <t>54299-96-6</t>
  </si>
  <si>
    <t>1,2-dimethylnaphthalene</t>
  </si>
  <si>
    <t>573-98-8</t>
  </si>
  <si>
    <t>1,2-dinitrobenzene</t>
  </si>
  <si>
    <t>528-29-0</t>
  </si>
  <si>
    <t>1,2-diphenyl guanidine</t>
  </si>
  <si>
    <t>102-06-7</t>
  </si>
  <si>
    <t>1,2-epoxybutane</t>
  </si>
  <si>
    <t>106-88-7</t>
  </si>
  <si>
    <t>1,2-epoxyhexadecane</t>
  </si>
  <si>
    <t>7320-37-8</t>
  </si>
  <si>
    <t>1,2-epoxyhexane</t>
  </si>
  <si>
    <t>1436-34-6</t>
  </si>
  <si>
    <t>1,2-ethanediamine, polymer with aziridine</t>
  </si>
  <si>
    <t>25987-06-8</t>
  </si>
  <si>
    <t>1,2-ethanedithiol</t>
  </si>
  <si>
    <t>540-63-6</t>
  </si>
  <si>
    <t>1,2-propadiene</t>
  </si>
  <si>
    <t>463-49-0</t>
  </si>
  <si>
    <t>1,2-propadienyl cyclohexane</t>
  </si>
  <si>
    <t>5664-17-5</t>
  </si>
  <si>
    <t>1,2-trans,4-cis-trimethyl-cyclopentane</t>
  </si>
  <si>
    <t>2613-70-9</t>
  </si>
  <si>
    <t>1,3,3-trichloropropene</t>
  </si>
  <si>
    <t>26556-03-6</t>
  </si>
  <si>
    <t>1,3,5,7-tetrakis(3,3,3-trifluoroprop-1-yl)-1,3,5,7-tetramethylcyclotetrasiloxane</t>
  </si>
  <si>
    <t>429-67-4</t>
  </si>
  <si>
    <t>1,3,5-trichlorobenzene</t>
  </si>
  <si>
    <t>108-70-3</t>
  </si>
  <si>
    <t>1,3,5-triethylbenzene</t>
  </si>
  <si>
    <t>102-25-0</t>
  </si>
  <si>
    <t>1,3,5-triisopropylbenzene</t>
  </si>
  <si>
    <t>717-74-8</t>
  </si>
  <si>
    <t>1,3,5-trimethylbenzene</t>
  </si>
  <si>
    <t>108-67-8</t>
  </si>
  <si>
    <t>1,3,5-trimethylcyclohexane</t>
  </si>
  <si>
    <t>1839-63-0</t>
  </si>
  <si>
    <t>1,3,5-trimethylhexahydro-1,3,5-triazine</t>
  </si>
  <si>
    <t>108-74-7</t>
  </si>
  <si>
    <t>1,3,5-trimethylpiperidine</t>
  </si>
  <si>
    <t>27644-32-2</t>
  </si>
  <si>
    <t>1,3,5-trinitrobenzene</t>
  </si>
  <si>
    <t>99-35-4</t>
  </si>
  <si>
    <t>1,3,5-trioxane</t>
  </si>
  <si>
    <t>110-88-3</t>
  </si>
  <si>
    <t>1,3,5-tris[3-(trimethoxysilyl)propyl]-1,3,5-triazinane-2,4,6-trione</t>
  </si>
  <si>
    <t>26115-70-8</t>
  </si>
  <si>
    <t>1,3,6-hexanetricarbonitrile</t>
  </si>
  <si>
    <t>1772-25-4</t>
  </si>
  <si>
    <t>1,3-benzenedimethanamine, polymer with diglycidyl ether of bisphenol A and 2,2,4-trimethyl 1,6-hexane diamine</t>
  </si>
  <si>
    <t>68738-77-2</t>
  </si>
  <si>
    <t>1,3-benzoxazole-2(3H)-thione</t>
  </si>
  <si>
    <t>2382-96-9</t>
  </si>
  <si>
    <t>1,3-bis(hydroxymethyl)-5,5-dimethyl-2,4-imidazolidinedione</t>
  </si>
  <si>
    <t>6440-58-0</t>
  </si>
  <si>
    <t>1,3-butadiene</t>
  </si>
  <si>
    <t>106-99-0</t>
  </si>
  <si>
    <t>1,3-butanediol</t>
  </si>
  <si>
    <t>107-88-0</t>
  </si>
  <si>
    <t>1,3-butanediol dimethacrylate</t>
  </si>
  <si>
    <t>1189-08-8</t>
  </si>
  <si>
    <t>1,3-cyclohexane dicarboxaldehyde</t>
  </si>
  <si>
    <t>55309-54-1</t>
  </si>
  <si>
    <t>1,3-cyclohexanediol</t>
  </si>
  <si>
    <t>504-01-8</t>
  </si>
  <si>
    <t>1,3-dichloro-1,1,2,2,3-pentafluoropropane</t>
  </si>
  <si>
    <t>507-55-1</t>
  </si>
  <si>
    <t>1,3-dichloro-2-butene</t>
  </si>
  <si>
    <t>7415-31-8</t>
  </si>
  <si>
    <t>1,3-dichloro-2-butene, mixture of cis and trans</t>
  </si>
  <si>
    <t>926-57-8</t>
  </si>
  <si>
    <t>1,3-dichloro-2-propanol</t>
  </si>
  <si>
    <t>96-23-1</t>
  </si>
  <si>
    <t>1,3-dichloro-2-propanol phosphate</t>
  </si>
  <si>
    <t>13674-87-8</t>
  </si>
  <si>
    <t>1,3-dichloro-2-propyloxymethyl propionate</t>
  </si>
  <si>
    <t>89910-07-6</t>
  </si>
  <si>
    <t>1,3-dichloro-5,5-dimethyl-2,4-imidazolidinedione</t>
  </si>
  <si>
    <t>118-52-5</t>
  </si>
  <si>
    <t>1,3-dichlorobenzene</t>
  </si>
  <si>
    <t>541-73-1</t>
  </si>
  <si>
    <t>1,3-dichloropropane</t>
  </si>
  <si>
    <t>142-28-9</t>
  </si>
  <si>
    <t>1,3-dichloropropene</t>
  </si>
  <si>
    <t>542-75-6</t>
  </si>
  <si>
    <t>1,3-dihydroxybenzene</t>
  </si>
  <si>
    <t>120-80-9</t>
  </si>
  <si>
    <t>1,3-diisopropenylbenzene</t>
  </si>
  <si>
    <t>3748-13-8</t>
  </si>
  <si>
    <t>1,3-diisopropyl -5-ethylbenzene</t>
  </si>
  <si>
    <t>15181-13-2</t>
  </si>
  <si>
    <t>1,3-diisopropylbenzene</t>
  </si>
  <si>
    <t>99-62-7</t>
  </si>
  <si>
    <t>1,3-dimethyl-2-imidazolidinone</t>
  </si>
  <si>
    <t>80-73-9</t>
  </si>
  <si>
    <t>1,3-dimethyl-4-ethylbenzene</t>
  </si>
  <si>
    <t>874-41-9</t>
  </si>
  <si>
    <t>1,3-dimethyl-5-ethylbenzene</t>
  </si>
  <si>
    <t>934-74-7</t>
  </si>
  <si>
    <t>1,3-dimethylbutylamine</t>
  </si>
  <si>
    <t>108-09-8</t>
  </si>
  <si>
    <t>1,3-dimethylcyclohexane, mixture of cis and trans</t>
  </si>
  <si>
    <t>591-21-9</t>
  </si>
  <si>
    <t>1,3-dimethylindane</t>
  </si>
  <si>
    <t>4175-53-5</t>
  </si>
  <si>
    <t>1,3-dimethylnaphthalene</t>
  </si>
  <si>
    <t>575-41-7</t>
  </si>
  <si>
    <t>1,3-dioxolane</t>
  </si>
  <si>
    <t>646-06-0</t>
  </si>
  <si>
    <t>1,3-pentadiene</t>
  </si>
  <si>
    <t>504-60-9</t>
  </si>
  <si>
    <t>1,3-pentanediol</t>
  </si>
  <si>
    <t>504-63-2</t>
  </si>
  <si>
    <t>1,3-phenylene diamine</t>
  </si>
  <si>
    <t>108-45-2</t>
  </si>
  <si>
    <t>1,3-propandiamine-N-9-octadecenyl</t>
  </si>
  <si>
    <t>7173-62-8</t>
  </si>
  <si>
    <t>1,3-trimethylenediamine</t>
  </si>
  <si>
    <t>109-76-2</t>
  </si>
  <si>
    <t>1,4-(1-methyl-4-(1-methylethyl)-7-oxabicyclo[2.2.1]heptane)cineole</t>
  </si>
  <si>
    <t>470-67-7</t>
  </si>
  <si>
    <t>1,4-anhydro-5,6-di-O-(9Z)-9-octadecenoyl-D-glucitol</t>
  </si>
  <si>
    <t>8007-43-0</t>
  </si>
  <si>
    <t>1,4-anhydro-6-O-dodecanoyl-2,3-bis-O-(2-hydroxyethyl)-D-glucitol</t>
  </si>
  <si>
    <t>9005-67-8</t>
  </si>
  <si>
    <t>1,4-bis(3-aminopropyl)piperazine</t>
  </si>
  <si>
    <t>7209-38-3</t>
  </si>
  <si>
    <t>1,4-bis(methylene)-cyclohexane</t>
  </si>
  <si>
    <t>4982-20-1</t>
  </si>
  <si>
    <t>1,4-butanediol</t>
  </si>
  <si>
    <t>110-63-4</t>
  </si>
  <si>
    <t>1,4-butanediol vinyl ether</t>
  </si>
  <si>
    <t>17832-28-9</t>
  </si>
  <si>
    <t>1,4-butynediol</t>
  </si>
  <si>
    <t>110-65-6</t>
  </si>
  <si>
    <t>1,4-cyclohexanedicarboxaldehyde</t>
  </si>
  <si>
    <t>33424-83-8</t>
  </si>
  <si>
    <t>1,4-cyclohexanedicarboxylic acid, dimethyl ester</t>
  </si>
  <si>
    <t>94-60-0</t>
  </si>
  <si>
    <t>1,4-cyclohexanedimethanol</t>
  </si>
  <si>
    <t>105-08-8</t>
  </si>
  <si>
    <t>1,4-cyclohexanediol</t>
  </si>
  <si>
    <t>556-48-9</t>
  </si>
  <si>
    <t>1,4-cyclohexanedione</t>
  </si>
  <si>
    <t>1,4-dichloro-2-butene</t>
  </si>
  <si>
    <t>764-41-0</t>
  </si>
  <si>
    <t>1,4-dichlorobenzene</t>
  </si>
  <si>
    <t>106-46-7</t>
  </si>
  <si>
    <t>1,4-dichlorobutane</t>
  </si>
  <si>
    <t>110-56-5</t>
  </si>
  <si>
    <t>1,4-diglycidyloxybutane</t>
  </si>
  <si>
    <t>2425-79-8</t>
  </si>
  <si>
    <t>1,4-diisopropylbenzene</t>
  </si>
  <si>
    <t>100-18-5</t>
  </si>
  <si>
    <t>1,4-dimethyl-1-cyclohexene</t>
  </si>
  <si>
    <t>70688-47-0</t>
  </si>
  <si>
    <t>1,4-dimethyl-2-ethylbenzene</t>
  </si>
  <si>
    <t>1758-88-9</t>
  </si>
  <si>
    <t>1,4-dimethylnaphthalene</t>
  </si>
  <si>
    <t>571-58-4</t>
  </si>
  <si>
    <t>1,4-dimethylpiperazine</t>
  </si>
  <si>
    <t>106-58-1</t>
  </si>
  <si>
    <t>1,4-dinitrobenzene</t>
  </si>
  <si>
    <t>100-25-4</t>
  </si>
  <si>
    <t>1,4-dinitrosobenzene</t>
  </si>
  <si>
    <t>105-12-4</t>
  </si>
  <si>
    <t>1,4-dioxacycloheptadecane-5,17-dione</t>
  </si>
  <si>
    <t>105-95-3</t>
  </si>
  <si>
    <t>1,4-dioxane</t>
  </si>
  <si>
    <t>123-91-1</t>
  </si>
  <si>
    <t>1,4-hexadiene</t>
  </si>
  <si>
    <t>592-45-0</t>
  </si>
  <si>
    <t>1,4-pentadiene</t>
  </si>
  <si>
    <t>591-93-5</t>
  </si>
  <si>
    <t>1,4-piperazinediethanamine</t>
  </si>
  <si>
    <t>6531-38-0</t>
  </si>
  <si>
    <t>1,5,9-cyclododecatriene</t>
  </si>
  <si>
    <t>27070-59-3</t>
  </si>
  <si>
    <t>1,5-cyclooctadiene</t>
  </si>
  <si>
    <t>111-78-4</t>
  </si>
  <si>
    <t>1,5-di(2-furyl)pentan-3-one</t>
  </si>
  <si>
    <t>6075-11-2</t>
  </si>
  <si>
    <t>1,5-diamino-2-methylpentane</t>
  </si>
  <si>
    <t>15520-10-2</t>
  </si>
  <si>
    <t>1,5-dibromopentane</t>
  </si>
  <si>
    <t>111-24-0</t>
  </si>
  <si>
    <t>1,5-dimethyl-1,5-cyclooctadiene</t>
  </si>
  <si>
    <t>3760-14-3</t>
  </si>
  <si>
    <t>1,5-dimethyl-2-piperidone</t>
  </si>
  <si>
    <t>86917-58-0</t>
  </si>
  <si>
    <t>1,5-dimethylnaphthalene</t>
  </si>
  <si>
    <t>571-61-9</t>
  </si>
  <si>
    <t>1,5-dimethyltetralin</t>
  </si>
  <si>
    <t>21564-91-0</t>
  </si>
  <si>
    <t>1,5-hexadiene</t>
  </si>
  <si>
    <t>592-42-7</t>
  </si>
  <si>
    <t>1,5-hexanediol</t>
  </si>
  <si>
    <t>928-40-5</t>
  </si>
  <si>
    <t>1,5-naphthalene diisocyanate</t>
  </si>
  <si>
    <t>3173-72-6</t>
  </si>
  <si>
    <t>1,5-pentamethylene-1h-tetrazol</t>
  </si>
  <si>
    <t>54-95-5</t>
  </si>
  <si>
    <t>1,5-pentanediol</t>
  </si>
  <si>
    <t>111-29-5</t>
  </si>
  <si>
    <t>1,6-dibromohexane</t>
  </si>
  <si>
    <t>629-03-8</t>
  </si>
  <si>
    <t>1,6-dichlorohexane</t>
  </si>
  <si>
    <t>2163-00-0</t>
  </si>
  <si>
    <t>1,6-dimethylnaphthalene</t>
  </si>
  <si>
    <t>575-43-9</t>
  </si>
  <si>
    <t>1,6-hexanediamine, polymer with 2-(chloromethyl)oxirane, 2-methyloxirane and oxirane, hydrochloride</t>
  </si>
  <si>
    <t>68201-88-7</t>
  </si>
  <si>
    <t>1,6-hexanediol diacrylate</t>
  </si>
  <si>
    <t>13048-33-4</t>
  </si>
  <si>
    <t>1,6-hexanediol diglycidyl ether</t>
  </si>
  <si>
    <t>16096-31-4</t>
  </si>
  <si>
    <t>1,7-dimethylnaphthalene</t>
  </si>
  <si>
    <t>575-37-1</t>
  </si>
  <si>
    <t>1,7-octadiene</t>
  </si>
  <si>
    <t>3710-30-3</t>
  </si>
  <si>
    <t>1,8-dimethylnaphthalene</t>
  </si>
  <si>
    <t>569-41-5</t>
  </si>
  <si>
    <t>1-[[4-[phenylazo]-phenyl]azo]-2-naphthol</t>
  </si>
  <si>
    <t>92257-31-3</t>
  </si>
  <si>
    <t>1-[bis{3-{dimethylamino}propyl} amino]-2-propanol</t>
  </si>
  <si>
    <t>67151-63-7</t>
  </si>
  <si>
    <t>10,10'-oxydi-phenoxarsine</t>
  </si>
  <si>
    <t>58-36-6</t>
  </si>
  <si>
    <t>11-methyl-1-ethylcyclopentane</t>
  </si>
  <si>
    <t>16747-50-5</t>
  </si>
  <si>
    <t>12,14-bis(methylene)-1,5,9-cyclohexadecatriene</t>
  </si>
  <si>
    <t>37013-22-2</t>
  </si>
  <si>
    <t xml:space="preserve">12-Crown-4 </t>
  </si>
  <si>
    <t>294-93-9</t>
  </si>
  <si>
    <t>12-hydroxydodecanoic acid</t>
  </si>
  <si>
    <t>505-95-3</t>
  </si>
  <si>
    <t>1-acetoxy-1,3-butadiene</t>
  </si>
  <si>
    <t>1515-76-0</t>
  </si>
  <si>
    <t>1-acetyl-2-phenyl hydrazine</t>
  </si>
  <si>
    <t>114-83-0</t>
  </si>
  <si>
    <t>1-acetylcyclohexanone</t>
  </si>
  <si>
    <t>932-66-1</t>
  </si>
  <si>
    <t>1-adamantyldimethylamine</t>
  </si>
  <si>
    <t>3717-40-6</t>
  </si>
  <si>
    <t>1-allyl-2,5-dimethoxy-3,4-(methylenedioxy)-benzene</t>
  </si>
  <si>
    <t>523-80-8</t>
  </si>
  <si>
    <t>1-allylnaphthalene</t>
  </si>
  <si>
    <t>2489-86-3</t>
  </si>
  <si>
    <t>1-aminoheptane</t>
  </si>
  <si>
    <t>111-68-2</t>
  </si>
  <si>
    <t>1-aminomethanamide dihydrogen tetraoxosulfate</t>
  </si>
  <si>
    <t>21351-39-3</t>
  </si>
  <si>
    <t>1-benzocyclobutyl pentanone</t>
  </si>
  <si>
    <t>6809-93-4</t>
  </si>
  <si>
    <t>1-benzyl-3-methylbenzene</t>
  </si>
  <si>
    <t>620-47-3</t>
  </si>
  <si>
    <t>1-bromo-2-chloroethane</t>
  </si>
  <si>
    <t>107-04-0</t>
  </si>
  <si>
    <t>1-bromo-2-chloropropane</t>
  </si>
  <si>
    <t>3017-96-7</t>
  </si>
  <si>
    <t>1-bromo-3-chloropropane</t>
  </si>
  <si>
    <t>109-70-6</t>
  </si>
  <si>
    <t>1-bromobutane</t>
  </si>
  <si>
    <t>109-65-9</t>
  </si>
  <si>
    <t>1-bromopropane</t>
  </si>
  <si>
    <t>106-94-5</t>
  </si>
  <si>
    <t>1-butanethiol</t>
  </si>
  <si>
    <t>109-79-5</t>
  </si>
  <si>
    <t>1-butanol</t>
  </si>
  <si>
    <t>71-36-3</t>
  </si>
  <si>
    <t>1-buten-3-yne</t>
  </si>
  <si>
    <t>689-97-4</t>
  </si>
  <si>
    <t>1-butene</t>
  </si>
  <si>
    <t>106-98-9</t>
  </si>
  <si>
    <t>1-butoxyethoxy-2-propanol</t>
  </si>
  <si>
    <t>124-16-3</t>
  </si>
  <si>
    <t>1-butyl isovalerate</t>
  </si>
  <si>
    <t>109-19-3</t>
  </si>
  <si>
    <t>not found</t>
  </si>
  <si>
    <t>1-chloro-1-hexene</t>
  </si>
  <si>
    <t>37368-20-0</t>
  </si>
  <si>
    <t>1-chloro-1-methylcyclopentane</t>
  </si>
  <si>
    <t>6196-85-6</t>
  </si>
  <si>
    <t>1-chloro-1-pentene</t>
  </si>
  <si>
    <t>21450-13-5</t>
  </si>
  <si>
    <t>1-chloro-2-(trifluoromethyl)benzene</t>
  </si>
  <si>
    <t>88-16-4</t>
  </si>
  <si>
    <t>1-chloro-2-methyl-propane</t>
  </si>
  <si>
    <t>513-36-0</t>
  </si>
  <si>
    <t>1-chloro-2-propanol</t>
  </si>
  <si>
    <t>127-00-4</t>
  </si>
  <si>
    <t>1-chloro-3,3,3-trifluoropropene</t>
  </si>
  <si>
    <t>2730-43-0</t>
  </si>
  <si>
    <t>1-chloro-4-(trifluoromethyl)benzene</t>
  </si>
  <si>
    <t>98-56-6</t>
  </si>
  <si>
    <t>1-chloro-4-nitrobenzene</t>
  </si>
  <si>
    <t>100-00-5</t>
  </si>
  <si>
    <t>1-chloroheptane</t>
  </si>
  <si>
    <t>629-06-1</t>
  </si>
  <si>
    <t>1-chloropentane</t>
  </si>
  <si>
    <t>543-59-9</t>
  </si>
  <si>
    <t>1-chloropropene</t>
  </si>
  <si>
    <t>590-21-6</t>
  </si>
  <si>
    <t>1-chlorotetradecane</t>
  </si>
  <si>
    <t>2425-54-9</t>
  </si>
  <si>
    <t>1-decene</t>
  </si>
  <si>
    <t>872-05-9</t>
  </si>
  <si>
    <t>1-docosene</t>
  </si>
  <si>
    <t>1-dodecanethiol</t>
  </si>
  <si>
    <t>112-55-0</t>
  </si>
  <si>
    <t>1-dodecanol, manufacture of, distillation lights</t>
  </si>
  <si>
    <t>189233-28-1</t>
  </si>
  <si>
    <t>1-dodecene</t>
  </si>
  <si>
    <t>112-41-4</t>
  </si>
  <si>
    <t>1-dodecene, dimer, hydrogenated</t>
  </si>
  <si>
    <t>151006-61-0</t>
  </si>
  <si>
    <t>1-dodecyne</t>
  </si>
  <si>
    <t>765-03-7</t>
  </si>
  <si>
    <t>1-eicosene</t>
  </si>
  <si>
    <t>1-ethoxy propanol</t>
  </si>
  <si>
    <t>52125-53-8</t>
  </si>
  <si>
    <t>1-ethoxy-2-heptanone</t>
  </si>
  <si>
    <t>51149-70-3</t>
  </si>
  <si>
    <t>1-ethoxyethene</t>
  </si>
  <si>
    <t>109-92-2</t>
  </si>
  <si>
    <t>1-ethyl-2-(8-heptadecenyl)-4,5-dihydro-3-(2-hydroxyethyl)-(1H-imidazolium) ethyl sulfate</t>
  </si>
  <si>
    <t>68039-12-3</t>
  </si>
  <si>
    <t>1-ethyl-2-propylbenzene</t>
  </si>
  <si>
    <t>16021-20-8</t>
  </si>
  <si>
    <t>1-ethyl-2-pyrrolidinone</t>
  </si>
  <si>
    <t>2687-91-4</t>
  </si>
  <si>
    <t>1-ethyl-3-methylimidazolium ethyl sulfate</t>
  </si>
  <si>
    <t>342573-75-5</t>
  </si>
  <si>
    <t>1-ethylnaphthalene</t>
  </si>
  <si>
    <t>1127-76-0</t>
  </si>
  <si>
    <t>1H-benzotriazole, sulfate</t>
  </si>
  <si>
    <t>24694-40-4</t>
  </si>
  <si>
    <t>1-heptadecanol</t>
  </si>
  <si>
    <t>1-heptadecene</t>
  </si>
  <si>
    <t>6765-39-5</t>
  </si>
  <si>
    <t>1-heptene</t>
  </si>
  <si>
    <t>592-76-7</t>
  </si>
  <si>
    <t>1-hexacosanol</t>
  </si>
  <si>
    <t>1-hexacosene</t>
  </si>
  <si>
    <t>1-hexadecanethiol</t>
  </si>
  <si>
    <t>2917-26-2</t>
  </si>
  <si>
    <t>1-hexadecanol</t>
  </si>
  <si>
    <t>1-hexadecene</t>
  </si>
  <si>
    <t>629-73-2</t>
  </si>
  <si>
    <t>1-hexanol</t>
  </si>
  <si>
    <t>111-27-3</t>
  </si>
  <si>
    <t>1-hexen-3-yne</t>
  </si>
  <si>
    <t>13721-54-5</t>
  </si>
  <si>
    <t>1-hexene</t>
  </si>
  <si>
    <t>592-41-6</t>
  </si>
  <si>
    <t>1-hexyn-3-ol</t>
  </si>
  <si>
    <t>105-31-7</t>
  </si>
  <si>
    <t>1H-imidazole</t>
  </si>
  <si>
    <t>288-32-4</t>
  </si>
  <si>
    <t>1H-imidazoledipropanoic acid, 4,5-dihydro-1-(2-hydroxyethyl)-, 2-norcoco alkyl derivs., di-Me esters, phosphates (esters), sodium salts</t>
  </si>
  <si>
    <t>95913-20-5</t>
  </si>
  <si>
    <t>1H-pyrazole</t>
  </si>
  <si>
    <t>288-13-1</t>
  </si>
  <si>
    <t>1-hydroxy-2-butanone</t>
  </si>
  <si>
    <t>5077-67-8</t>
  </si>
  <si>
    <t>1-hydroxy-2-propanone</t>
  </si>
  <si>
    <t>116-09-6</t>
  </si>
  <si>
    <t>1-hydroxyethyl-2-cocoimidazoline</t>
  </si>
  <si>
    <t>61791-38-6</t>
  </si>
  <si>
    <t>1-methacrylic acid, dodecyl ester</t>
  </si>
  <si>
    <t>90551-76-1</t>
  </si>
  <si>
    <t>1-methoxy-1-butanol</t>
  </si>
  <si>
    <t>30677-36-2</t>
  </si>
  <si>
    <t>1-methoxy-2-butanol</t>
  </si>
  <si>
    <t>53778-73-7</t>
  </si>
  <si>
    <t>1-methoxy-2-propanol</t>
  </si>
  <si>
    <t>107-98-2</t>
  </si>
  <si>
    <t>1-methoxy-2-propanol acetate</t>
  </si>
  <si>
    <t>108-65-6</t>
  </si>
  <si>
    <t>1-methoxy-2-propanone</t>
  </si>
  <si>
    <t>5878-19-3</t>
  </si>
  <si>
    <t>1-methoxypentane</t>
  </si>
  <si>
    <t>628-80-8</t>
  </si>
  <si>
    <t>1-methyl-1H-indene</t>
  </si>
  <si>
    <t>29036-25-7</t>
  </si>
  <si>
    <t>1-methyl-2-(2-propenyl)-benzene</t>
  </si>
  <si>
    <t>1587-04-8</t>
  </si>
  <si>
    <t>1-methyl-2-(C12-14-alkyloxy)oxirane</t>
  </si>
  <si>
    <t>39390-62-0</t>
  </si>
  <si>
    <t>1-methyl-2,5-pyrrolidinedione</t>
  </si>
  <si>
    <t>1121-07-9</t>
  </si>
  <si>
    <t>1-methyl-2-chlorobenzene</t>
  </si>
  <si>
    <t>25168-05-2</t>
  </si>
  <si>
    <t>1-methyl-2-methylene cyclohexane</t>
  </si>
  <si>
    <t>2808-75-5</t>
  </si>
  <si>
    <t>1-methyl-2-n-butylbenzene</t>
  </si>
  <si>
    <t>1595-11-5</t>
  </si>
  <si>
    <t>1-methyl-2-propylbenzene</t>
  </si>
  <si>
    <t>1074-17-5</t>
  </si>
  <si>
    <t>1-methyl-2-propylcyclohexane</t>
  </si>
  <si>
    <t>4291-79-6</t>
  </si>
  <si>
    <t>1-methyl-2-tert-butylbenzene</t>
  </si>
  <si>
    <t>27138-21-2</t>
  </si>
  <si>
    <t>1-methyl-3-butylbenzene</t>
  </si>
  <si>
    <t>1595-04-6</t>
  </si>
  <si>
    <t>1-methyl-3-propylbenzene</t>
  </si>
  <si>
    <t>1074-43-7</t>
  </si>
  <si>
    <t>1-methyl-4-(1-methylethyl)cyclohexanol</t>
  </si>
  <si>
    <t>21129-27-1</t>
  </si>
  <si>
    <t>1-methyl-4-butylbenzene</t>
  </si>
  <si>
    <t>1595-05-7</t>
  </si>
  <si>
    <t>1-methyl-4-propylbenzene</t>
  </si>
  <si>
    <t>1074-55-1</t>
  </si>
  <si>
    <t>1-methylcyclopentadiene</t>
  </si>
  <si>
    <t>26519-91-5</t>
  </si>
  <si>
    <t>1-methylcyclopentene</t>
  </si>
  <si>
    <t>693-89-0</t>
  </si>
  <si>
    <t>1-methylethylidine-bis-1,1-dimethylethyl) peroxide</t>
  </si>
  <si>
    <t>4262-61-7</t>
  </si>
  <si>
    <t>1-methylimidazole</t>
  </si>
  <si>
    <t>616-47-7</t>
  </si>
  <si>
    <t>1-methylindane</t>
  </si>
  <si>
    <t>767-58-8</t>
  </si>
  <si>
    <t>1-methyl-N-(trimethylsilyl)-methanesulfonamide</t>
  </si>
  <si>
    <t>999-99-5</t>
  </si>
  <si>
    <t>1-methylnaphthalene</t>
  </si>
  <si>
    <t>90-12-0</t>
  </si>
  <si>
    <t>1-methyl-trans-3-ethylcyclopentane</t>
  </si>
  <si>
    <t>2613-65-2</t>
  </si>
  <si>
    <t>1-naphthylamine</t>
  </si>
  <si>
    <t>134-32-7</t>
  </si>
  <si>
    <t>1-nitropropane</t>
  </si>
  <si>
    <t>108-03-2</t>
  </si>
  <si>
    <t>1-nitropyrene</t>
  </si>
  <si>
    <t>5522-43-0</t>
  </si>
  <si>
    <t>1-nonadecanol</t>
  </si>
  <si>
    <t>1-nonadecene</t>
  </si>
  <si>
    <t>18435-45-5</t>
  </si>
  <si>
    <t>1-nonanamine</t>
  </si>
  <si>
    <t>112-20-9</t>
  </si>
  <si>
    <t>1-nonanethiol</t>
  </si>
  <si>
    <t>1455-21-6</t>
  </si>
  <si>
    <t>1-nonene</t>
  </si>
  <si>
    <t>124-11-8</t>
  </si>
  <si>
    <t>1-nonyne</t>
  </si>
  <si>
    <t>3452-09-3</t>
  </si>
  <si>
    <t>1-octacosene</t>
  </si>
  <si>
    <t>1-octadecanethiol</t>
  </si>
  <si>
    <t>2885-00-9</t>
  </si>
  <si>
    <t>1-octadecanol</t>
  </si>
  <si>
    <t>1-octadecanol, manuf. of, distn. Lights</t>
  </si>
  <si>
    <t>1-octadecene</t>
  </si>
  <si>
    <t>112-88-9</t>
  </si>
  <si>
    <t>1-octene</t>
  </si>
  <si>
    <t>111-66-0</t>
  </si>
  <si>
    <t>1-octyl alcohol</t>
  </si>
  <si>
    <t>111-87-5</t>
  </si>
  <si>
    <t>1-O-methyl-3,6-anhydro-alpha-D-mannopyranose</t>
  </si>
  <si>
    <t>1-pentadecanol</t>
  </si>
  <si>
    <t>1-pentadecene</t>
  </si>
  <si>
    <t>1-pentanethiol</t>
  </si>
  <si>
    <t>110-66-7</t>
  </si>
  <si>
    <t>1-pentanol</t>
  </si>
  <si>
    <t>71-41-0</t>
  </si>
  <si>
    <t>1-penten-4-yne</t>
  </si>
  <si>
    <t>871-28-3</t>
  </si>
  <si>
    <t>1-pentene</t>
  </si>
  <si>
    <t>109-67-1</t>
  </si>
  <si>
    <t>1-pentyl-2,5-pyrrolidinedione</t>
  </si>
  <si>
    <t>5332-35-4</t>
  </si>
  <si>
    <t>1-pentyne</t>
  </si>
  <si>
    <t>627-19-0</t>
  </si>
  <si>
    <t>1-phenyl-1-propanol</t>
  </si>
  <si>
    <t>93-54-9</t>
  </si>
  <si>
    <t>1-phenyl-2-heptanone</t>
  </si>
  <si>
    <t>6683-94-9</t>
  </si>
  <si>
    <t>1-phenylnaphthalene</t>
  </si>
  <si>
    <t>605-02-7</t>
  </si>
  <si>
    <t>1-piperazineethanamine and tall-oil fatty acid amides</t>
  </si>
  <si>
    <t>475285-70-2</t>
  </si>
  <si>
    <t>1-piperidine pentanol</t>
  </si>
  <si>
    <t>2937-83-9</t>
  </si>
  <si>
    <t>1-propanol</t>
  </si>
  <si>
    <t>71-23-8</t>
  </si>
  <si>
    <t>1-propene, hydroformylation products, by-products from, distn. residues</t>
  </si>
  <si>
    <t>203588-70-9</t>
  </si>
  <si>
    <t>1-propene, hydroformylation products, high-boiling</t>
  </si>
  <si>
    <t>68551-11-1</t>
  </si>
  <si>
    <t>1-propoxy-2-(propylthio)-3-(trifluoromethyl)-benzene</t>
  </si>
  <si>
    <t>1-propoxy-2-propanol</t>
  </si>
  <si>
    <t>1569-01-3</t>
  </si>
  <si>
    <t>1-tetracosene</t>
  </si>
  <si>
    <t>1-tetradecanol</t>
  </si>
  <si>
    <t>1-tetradecanol-1-propanoate</t>
  </si>
  <si>
    <t>6221-95-0</t>
  </si>
  <si>
    <t>1-tetradecene</t>
  </si>
  <si>
    <t>1120-36-1</t>
  </si>
  <si>
    <t>1-tridecene</t>
  </si>
  <si>
    <t>2437-56-1</t>
  </si>
  <si>
    <t>1-tridecyl alcohol</t>
  </si>
  <si>
    <t>112-70-9</t>
  </si>
  <si>
    <t>1-undecanethiol</t>
  </si>
  <si>
    <t>5332-52-5</t>
  </si>
  <si>
    <t>1-undecene</t>
  </si>
  <si>
    <t>821-95-4</t>
  </si>
  <si>
    <t>1-vinyl-1H-imidazole</t>
  </si>
  <si>
    <t>1072-63-5</t>
  </si>
  <si>
    <t>2 (2'-hydroxy-5'-methylphenyl) benzotriazole</t>
  </si>
  <si>
    <t>2440-22-4</t>
  </si>
  <si>
    <t>2-((2-(dimethylamino)ethyl)methylamino)-ethanol</t>
  </si>
  <si>
    <t>2212-32-0</t>
  </si>
  <si>
    <t>2-((dimethylamino)methyl)phenol</t>
  </si>
  <si>
    <t>120-65-0</t>
  </si>
  <si>
    <t>2-(1,1-dimethylethyl)-5-pyrimidinol, sodium salt</t>
  </si>
  <si>
    <t>146237-62-9</t>
  </si>
  <si>
    <t>2-(1,3-benzothiazol-2-ylsulfanyl)succinic acid</t>
  </si>
  <si>
    <t>95154-01-1</t>
  </si>
  <si>
    <t>2-(2,3,4,5-tetramethylnonoxy)ethanol</t>
  </si>
  <si>
    <t>68015-67-8</t>
  </si>
  <si>
    <t>2-(2-aminoethoxy)ethanol</t>
  </si>
  <si>
    <t>929-06-6</t>
  </si>
  <si>
    <t>2-(2-butoxyethoxy)ethanol</t>
  </si>
  <si>
    <t>210818-08-9</t>
  </si>
  <si>
    <t>2-(2-ethoxyethox)yethyl acrylate</t>
  </si>
  <si>
    <t>7328-17-8</t>
  </si>
  <si>
    <t>2-(2H-benzotriazol-2-yl)-4,6-bis(1-methyl-1-phenylethyl)phenol</t>
  </si>
  <si>
    <t>70321-86-7</t>
  </si>
  <si>
    <t>2-(2H-benzotriazol-2-yl)-6-(1-methyl-1-phenylethyl)-4-(1,1,3,3-tetramethylbutyl)phenol</t>
  </si>
  <si>
    <t>73936-91-1</t>
  </si>
  <si>
    <t>2-(2'-hydroxy-3,5'-diteramylphenyl) benzotriazole</t>
  </si>
  <si>
    <t>25973-55-1</t>
  </si>
  <si>
    <t>2-(2-hydroxyethylamino)ethanol</t>
  </si>
  <si>
    <t>8033-73-6</t>
  </si>
  <si>
    <t>2-(2-hydroxyphenyl)-2-(4-hydroxyphenyl)propane</t>
  </si>
  <si>
    <t>837-08-1</t>
  </si>
  <si>
    <t>2-(2-nonylphenoxy)ethanol phosphoric acid</t>
  </si>
  <si>
    <t>51811-79-1</t>
  </si>
  <si>
    <t>2-(3,4-dichlorophenyl)-4-methyl-1,2,4-oxadiazolidine-3,5-dione</t>
  </si>
  <si>
    <t>20354-26-1</t>
  </si>
  <si>
    <t>2(5H)-furanone</t>
  </si>
  <si>
    <t>497-23-4</t>
  </si>
  <si>
    <t>2-(7-methyloctyl)phenol</t>
  </si>
  <si>
    <t>27938-31-4</t>
  </si>
  <si>
    <t>2-(8-heptadecen-1-yl)-4,5-dihydro-1H-imidazole-1-ethanol</t>
  </si>
  <si>
    <t>95-38-5</t>
  </si>
  <si>
    <t>2-(acryloyloxy)ethyl)trimethylammonium chloride</t>
  </si>
  <si>
    <t>5039-78-1</t>
  </si>
  <si>
    <t>2-(butylamino)ethanol</t>
  </si>
  <si>
    <t>111-75-1</t>
  </si>
  <si>
    <t>2-(chloromethyl)oxirane</t>
  </si>
  <si>
    <t>9009-12-5</t>
  </si>
  <si>
    <t>2-(E)-butanedioic acid, polymer with methyloxirane and oxirane</t>
  </si>
  <si>
    <t>68400-72-6</t>
  </si>
  <si>
    <t>2-(E)-butanedioic acid, polymer with methyloxirane and oxirane and 1,2,3-propanetriol</t>
  </si>
  <si>
    <t>68400-71-5</t>
  </si>
  <si>
    <t>2-(ethylamino)ethanol</t>
  </si>
  <si>
    <t>110-73-6</t>
  </si>
  <si>
    <t>2-(heptadecenyl)-2-oxazoline-4,4-dimethanol</t>
  </si>
  <si>
    <t>28984-69-2</t>
  </si>
  <si>
    <t>2-(hydroxyl t-butyl)-5,5-dimethyl 1,3-dioxane</t>
  </si>
  <si>
    <t>2-(mercapto)-6-(trifluoromethyl)-phenol</t>
  </si>
  <si>
    <t>2-(methylthio)phenol</t>
  </si>
  <si>
    <t>1073-29-6</t>
  </si>
  <si>
    <t>2-(propylthio)-3-(trifluoromethyl)phenol</t>
  </si>
  <si>
    <t>380611-43-8</t>
  </si>
  <si>
    <t>2,2'-(4-methylphenylimino)diethanol</t>
  </si>
  <si>
    <t>3077-12-1</t>
  </si>
  <si>
    <t>2,2',2''-[propane-1,2,3-triyltris(oxy)]triethanol</t>
  </si>
  <si>
    <t>31694-55-0</t>
  </si>
  <si>
    <t>2,2',2''-nitrilotrisacetamide</t>
  </si>
  <si>
    <t>4862-18-4</t>
  </si>
  <si>
    <t>2,2',2''-nitrilotris-ethanol, homopolymer, hydrochloride</t>
  </si>
  <si>
    <t>67924-33-8</t>
  </si>
  <si>
    <t>2,2',2''-nitrilotrisethyl tri(dihydrogenphosphate)</t>
  </si>
  <si>
    <t>68140-45-4</t>
  </si>
  <si>
    <t>2,2',2''-nitrilotrisethyl tris(dihydrogen phosphate), sodium salt</t>
  </si>
  <si>
    <t>2,2,2-trichloroacetaldehyde</t>
  </si>
  <si>
    <t>75-87-6</t>
  </si>
  <si>
    <t>2,2,2-trichloroethanol</t>
  </si>
  <si>
    <t>115-20-8</t>
  </si>
  <si>
    <t>2,2,3,3,4-pentamethylpentane</t>
  </si>
  <si>
    <t>16747-44-7</t>
  </si>
  <si>
    <t>2,2,3,3-tetramethylbutane</t>
  </si>
  <si>
    <t>594-82-1</t>
  </si>
  <si>
    <t>2,2,3,3-tetramethylhexane</t>
  </si>
  <si>
    <t>13475-81-5</t>
  </si>
  <si>
    <t>2,2,3,3-tetramethylpentane</t>
  </si>
  <si>
    <t>7154-79-2</t>
  </si>
  <si>
    <t>2,2,3,4,4-pentamethylpentane</t>
  </si>
  <si>
    <t>16747-45-8</t>
  </si>
  <si>
    <t>2,2,3,4-tetramethylhexane</t>
  </si>
  <si>
    <t>52897-08-2</t>
  </si>
  <si>
    <t>2,2,3,4-tetramethylpentane</t>
  </si>
  <si>
    <t>1186-53-4</t>
  </si>
  <si>
    <t>2,2,3,5-tetramethylhexane</t>
  </si>
  <si>
    <t>52897-09-3</t>
  </si>
  <si>
    <t>2,2',3-triisopropylbiphenyl</t>
  </si>
  <si>
    <t>29225-91-0</t>
  </si>
  <si>
    <t>2,2,3-trimethylbutane</t>
  </si>
  <si>
    <t>464-06-2</t>
  </si>
  <si>
    <t>2,2,3-trimethylheptane</t>
  </si>
  <si>
    <t>52896-92-1</t>
  </si>
  <si>
    <t>2,2,3-trimethylhexane</t>
  </si>
  <si>
    <t>16747-25-4</t>
  </si>
  <si>
    <t>2,2,3-trimethylpentane</t>
  </si>
  <si>
    <t>564-02-3</t>
  </si>
  <si>
    <t>2,2,4,4-tetramethyl-21-oxo-7-oxa-3,20-diazadispiro[5.1.11.2]heneicosane-20-propanoic acid dodecyl ester</t>
  </si>
  <si>
    <t>85099-51-0</t>
  </si>
  <si>
    <t>2,2,4,4-tetramethylhexane</t>
  </si>
  <si>
    <t>51750-65-3</t>
  </si>
  <si>
    <t>2,2,4,4-tetramethylpentane</t>
  </si>
  <si>
    <t>1070-87-7</t>
  </si>
  <si>
    <t>2,2,4,5-tetramethylhexane</t>
  </si>
  <si>
    <t>16747-42-5</t>
  </si>
  <si>
    <t>2,2,4-trimethyl-1,3-pentanediol</t>
  </si>
  <si>
    <t>144-19-4</t>
  </si>
  <si>
    <t>2,2,4-trimethyl-1,3-pentanediol dibenzoate</t>
  </si>
  <si>
    <t>68052-23-3</t>
  </si>
  <si>
    <t>2,2,4-trimethyl-1,3-pentanediol diisobutyrate</t>
  </si>
  <si>
    <t>6846-50-0</t>
  </si>
  <si>
    <t>2,2,4-trimethylheptane</t>
  </si>
  <si>
    <t>14720-74-2</t>
  </si>
  <si>
    <t>2,2,4-trimethylhexane</t>
  </si>
  <si>
    <t>16747-26-5</t>
  </si>
  <si>
    <t>2,2,4-trimethylpent-3-en-1-yl 2-methylpropanoate</t>
  </si>
  <si>
    <t>3494-69-7</t>
  </si>
  <si>
    <t>2,2,4-trimethylpentane</t>
  </si>
  <si>
    <t>540-84-1</t>
  </si>
  <si>
    <t>2,2,5,5-tetramethyldihydrofuran-3(2H)-one</t>
  </si>
  <si>
    <t>5455-94-7</t>
  </si>
  <si>
    <t>2,2,5,5-tetramethylhexane</t>
  </si>
  <si>
    <t>1071-81-4</t>
  </si>
  <si>
    <t>2,2,5-trimethylheptane</t>
  </si>
  <si>
    <t>20291-95-6</t>
  </si>
  <si>
    <t>2,2,5-trimethylhexane</t>
  </si>
  <si>
    <t>3522-94-9</t>
  </si>
  <si>
    <t>2,2,6-trimethylheptane</t>
  </si>
  <si>
    <t>1190-83-6</t>
  </si>
  <si>
    <t>2,2'-[(1-methylethylidene)bis] [4,1-phenyleneoxymethylene]bis-oxirane, homopolymer</t>
  </si>
  <si>
    <t>25085-99-8</t>
  </si>
  <si>
    <t>2,2'-[(1-methylethylidene)bis] 4,1-phenyleneoxy[(1-butoxumethyl)-2,1-ethanediyl oxymethylene)]bis-oxirane</t>
  </si>
  <si>
    <t>71033-08-4</t>
  </si>
  <si>
    <t>2,2'-[(E)-1,2-ethenediyl]bis[5-[[4-(4-morpholinyl)-6-(phenylamino)-1,3,5-triazin-2-yl]amino]-benzenesulfonic acid, sodium salt (1:2)</t>
  </si>
  <si>
    <t>16090-02-1</t>
  </si>
  <si>
    <t>2,2'-[1,2-ethanediylbis{oxy}bis[n,n-dimethyl]ethaneamine</t>
  </si>
  <si>
    <t>3065-46-1</t>
  </si>
  <si>
    <t>2,2'-[dioxybis(carbonyloxy)]dibutane</t>
  </si>
  <si>
    <t>19910-65-7</t>
  </si>
  <si>
    <t>2,2'-[dioxybis(carbonyloxy)]dipropane</t>
  </si>
  <si>
    <t>105-64-6</t>
  </si>
  <si>
    <t>2,2'-[oxybis(methylene)]bis[2-ethylpropane-1,3-diol]</t>
  </si>
  <si>
    <t>23235-61-2</t>
  </si>
  <si>
    <t>2,2'-azodiisobutyronitrile</t>
  </si>
  <si>
    <t>2,2-dibutyl-1,3,2-dioxastannepin-4,7-dione</t>
  </si>
  <si>
    <t>78-04-6</t>
  </si>
  <si>
    <t>2,2-dichloro-1,1,1-trifluoroethane</t>
  </si>
  <si>
    <t>306-83-2</t>
  </si>
  <si>
    <t>2,2-dichloroisopropyl ether</t>
  </si>
  <si>
    <t>63283-80-7</t>
  </si>
  <si>
    <t>2,2-dichloropropane</t>
  </si>
  <si>
    <t>594-20-7</t>
  </si>
  <si>
    <t>2,2-dichloropropionic acid</t>
  </si>
  <si>
    <t>75-99-0</t>
  </si>
  <si>
    <t>2,2-diethyl-1,3-propanediol</t>
  </si>
  <si>
    <t>115-76-4</t>
  </si>
  <si>
    <t>2,2'-diisopropylbiphenyl</t>
  </si>
  <si>
    <t>36876-13-8</t>
  </si>
  <si>
    <t>2,2-dimehtylhexane</t>
  </si>
  <si>
    <t>590-73-8</t>
  </si>
  <si>
    <t>2,2-dimethoxy-1-aza-2-silacyclopentane-1-ethanamine</t>
  </si>
  <si>
    <t>618914-51-5</t>
  </si>
  <si>
    <t>2,2-dimethoxy-2-phenylacetophenone</t>
  </si>
  <si>
    <t>24650-42-8</t>
  </si>
  <si>
    <t>2,2-dimethoxypropane</t>
  </si>
  <si>
    <t>77-76-9</t>
  </si>
  <si>
    <t>2,2-dimethyl-1-(1-methylethyl)-3-(2-methyl-1-oxopropoxy)propyl phenylmethyl ester benzenedicarboxylic acid</t>
  </si>
  <si>
    <t>16883-83-3</t>
  </si>
  <si>
    <t>2,2-dimethyl-1-propanol</t>
  </si>
  <si>
    <t>75-84-3</t>
  </si>
  <si>
    <t>2,2-dimethylbutane</t>
  </si>
  <si>
    <t>75-83-2</t>
  </si>
  <si>
    <t>2,2-dimethylcyclopentanone</t>
  </si>
  <si>
    <t>4541-32-6</t>
  </si>
  <si>
    <t>2,2-dimethylheptane</t>
  </si>
  <si>
    <t>1071-26-7</t>
  </si>
  <si>
    <t>2,2-dimethyloctane</t>
  </si>
  <si>
    <t>15869-87-1</t>
  </si>
  <si>
    <t>2,2-dimethylpentane</t>
  </si>
  <si>
    <t>590-35-2</t>
  </si>
  <si>
    <t>2,2-dimethylthiazolidine</t>
  </si>
  <si>
    <t>19351-18-9</t>
  </si>
  <si>
    <t>2,2'-disulfanediyldiethanol</t>
  </si>
  <si>
    <t>1892-29-1</t>
  </si>
  <si>
    <t>2,2'-iminobisethanol, compd. with alpha-(nonylphenyl)-omega-hydroxypoly(oxy-1,2-ethanediyl) phosphate</t>
  </si>
  <si>
    <t>2,2'-iminobisethanol, N-coco alkyl derivs., N-oxides</t>
  </si>
  <si>
    <t>61791-47-7</t>
  </si>
  <si>
    <t>2,2'-iminobisethanol, N-tallow alkyl derivs.</t>
  </si>
  <si>
    <t>61791-44-4</t>
  </si>
  <si>
    <t>2,2'-iminodiethanol hydrochloride</t>
  </si>
  <si>
    <t>14426-21-2</t>
  </si>
  <si>
    <t>2,2-methylene diphenyl diisocyanate</t>
  </si>
  <si>
    <t>2536-05-2</t>
  </si>
  <si>
    <t>2,2'-oxybis(ethanol) dibenzoate</t>
  </si>
  <si>
    <t>120-55-8</t>
  </si>
  <si>
    <t>2,2'-oxybis(ethylamine)</t>
  </si>
  <si>
    <t>2752-17-2</t>
  </si>
  <si>
    <t>2,2'-oxybis-acetic acid</t>
  </si>
  <si>
    <t>110-99-6</t>
  </si>
  <si>
    <t>2,2'-oxybisethanol</t>
  </si>
  <si>
    <t>68909-76-2</t>
  </si>
  <si>
    <t>2,2'-oxybisethanol, reaction products with ammonia, morpholine derivs. residues</t>
  </si>
  <si>
    <t>68909-77-3</t>
  </si>
  <si>
    <t>2,2'-oxybis-ethanol, reaction products with ammonia, morpholine derivs. residues, acetates (salts)</t>
  </si>
  <si>
    <t>68877-16-7</t>
  </si>
  <si>
    <t>2,2'-oxybisethanol, reaction products with ammonia, morpholine derivs. residues, reaction products with sulfur dioxide</t>
  </si>
  <si>
    <t>102424-23-7</t>
  </si>
  <si>
    <t>2,2'-thiodiethanethiol</t>
  </si>
  <si>
    <t>3570-55-6</t>
  </si>
  <si>
    <t>2,3- dichloropropene</t>
  </si>
  <si>
    <t>78-88-6</t>
  </si>
  <si>
    <t>2,3,3,3-tetrafluoropropene</t>
  </si>
  <si>
    <t>754-12-1</t>
  </si>
  <si>
    <t>2,3,3,4-tetramethylhexane</t>
  </si>
  <si>
    <t>52897-10-6</t>
  </si>
  <si>
    <t>2,3,3,4-tetramethylpentane</t>
  </si>
  <si>
    <t>16747-38-9</t>
  </si>
  <si>
    <t>2,3,3,5-tetramethylhexane</t>
  </si>
  <si>
    <t>52897-11-7</t>
  </si>
  <si>
    <t>2,3,3-trichloro-1,1,1-trifluoropropane</t>
  </si>
  <si>
    <t>431-51-6</t>
  </si>
  <si>
    <t>2,3,3-trimethylheptane</t>
  </si>
  <si>
    <t>52896-93-2</t>
  </si>
  <si>
    <t>2,3,3-trimethylhexane</t>
  </si>
  <si>
    <t>16747-28-7</t>
  </si>
  <si>
    <t>2,3,3-trimethylpentane</t>
  </si>
  <si>
    <t>560-21-4</t>
  </si>
  <si>
    <t>2,3,4-trihydroxybenzophenone</t>
  </si>
  <si>
    <t>1143-72-2</t>
  </si>
  <si>
    <t>2,3,4-trihydroxybenzophenone naphthoquinone-1,2-diazido-5-sulfonate</t>
  </si>
  <si>
    <t>68510-93-0</t>
  </si>
  <si>
    <t>2,3,4-trimethylheptane</t>
  </si>
  <si>
    <t>52896-95-4</t>
  </si>
  <si>
    <t>2,3,4-trimethylhexane</t>
  </si>
  <si>
    <t>921-47-1</t>
  </si>
  <si>
    <t>2,3,4-trimethylpentane</t>
  </si>
  <si>
    <t>565-75-3</t>
  </si>
  <si>
    <t>2,3,5-trichloropyridine</t>
  </si>
  <si>
    <t>16063-70-0</t>
  </si>
  <si>
    <t>2,3,5-trimethylheptane</t>
  </si>
  <si>
    <t>20278-85-7</t>
  </si>
  <si>
    <t>2,3,5-trimethylhexane</t>
  </si>
  <si>
    <t>1069-53-0</t>
  </si>
  <si>
    <t>2,3,6,7-tetramethyl-4-octene</t>
  </si>
  <si>
    <t>63830-66-0</t>
  </si>
  <si>
    <t>2,3,6-trimethylheptane</t>
  </si>
  <si>
    <t>4032-93-3</t>
  </si>
  <si>
    <t>2,3,6-trimethylphenol</t>
  </si>
  <si>
    <t>2416-94-6</t>
  </si>
  <si>
    <t>2,3,7,8-tetrachlorodibenzo-p-dioxin</t>
  </si>
  <si>
    <t>1746-01-6</t>
  </si>
  <si>
    <t>2,3,7-trimethyloctane</t>
  </si>
  <si>
    <t>62016-34-6</t>
  </si>
  <si>
    <t>2,3-butylene glycol</t>
  </si>
  <si>
    <t>513-85-9</t>
  </si>
  <si>
    <t>2,3-diaminotoluene</t>
  </si>
  <si>
    <t>2687-25-4</t>
  </si>
  <si>
    <t>2,3-dichloro-1,1,1-trifluoropropane</t>
  </si>
  <si>
    <t>338-75-0</t>
  </si>
  <si>
    <t>2,3-dichloro-2-propanol</t>
  </si>
  <si>
    <t>616-23-9</t>
  </si>
  <si>
    <t>2,3-dichloroaniline</t>
  </si>
  <si>
    <t>608-27-5</t>
  </si>
  <si>
    <t>2,3-dihydro-1,1,3-trimethyl-5-(1 -methylethyl)-1H-indene</t>
  </si>
  <si>
    <t>74057-44-6</t>
  </si>
  <si>
    <t>2,3-dihydro-1,1-dimethyl-3-phenyl-1H-indene</t>
  </si>
  <si>
    <t>6240-49-9</t>
  </si>
  <si>
    <t>2,3-dihydro-1,4-dioxine</t>
  </si>
  <si>
    <t>543-75-9</t>
  </si>
  <si>
    <t>2,3-dihydro-2,2-dimethyl-7-benzofuranol</t>
  </si>
  <si>
    <t>1563-38-8</t>
  </si>
  <si>
    <t>2,3-dihydro-4H-pyran</t>
  </si>
  <si>
    <t>110-87-2</t>
  </si>
  <si>
    <t>2,3-dihydrofuran</t>
  </si>
  <si>
    <t>1191-99-7</t>
  </si>
  <si>
    <t>2,3-dihydroxy-N,N,N-trimethyl-1-propanaminium chloride</t>
  </si>
  <si>
    <t>34004-36-9</t>
  </si>
  <si>
    <t>2,3-dimethyl-1,4-hexadiene</t>
  </si>
  <si>
    <t>18669-52-8</t>
  </si>
  <si>
    <t>2,3-dimethyl-1-butene</t>
  </si>
  <si>
    <t>563-78-0</t>
  </si>
  <si>
    <t>2,3-dimethyl-1-hexene</t>
  </si>
  <si>
    <t>16746-86-4</t>
  </si>
  <si>
    <t>2,3-dimethyl-2-butene</t>
  </si>
  <si>
    <t>563-79-1</t>
  </si>
  <si>
    <t>2,3-dimethyl-2-hexene</t>
  </si>
  <si>
    <t>7145-20-2</t>
  </si>
  <si>
    <t>2,3-dimethyl-2-pentenoic acid</t>
  </si>
  <si>
    <t>122630-51-7</t>
  </si>
  <si>
    <t>2,3-dimethylbutane</t>
  </si>
  <si>
    <t>79-29-8</t>
  </si>
  <si>
    <t>2,3-dimethylheptane</t>
  </si>
  <si>
    <t>3074-71-3</t>
  </si>
  <si>
    <t>2,3-dimethylhexane</t>
  </si>
  <si>
    <t>584-94-1</t>
  </si>
  <si>
    <t>2,3-dimethylnaphthalene</t>
  </si>
  <si>
    <t>581-40-8</t>
  </si>
  <si>
    <t>2,3-dimethyloctane</t>
  </si>
  <si>
    <t>7146-60-3</t>
  </si>
  <si>
    <t>2,3-dimethylpentane</t>
  </si>
  <si>
    <t>565-59-3</t>
  </si>
  <si>
    <t>2,3-dimethylpyridine</t>
  </si>
  <si>
    <t>108-47-4</t>
  </si>
  <si>
    <t>2,3-epoxy-1-butanol</t>
  </si>
  <si>
    <t>872-38-8</t>
  </si>
  <si>
    <t>2,3-epoxypropyl ester neodecanoic acid</t>
  </si>
  <si>
    <t>26761-45-5</t>
  </si>
  <si>
    <t>2,3-xylenol</t>
  </si>
  <si>
    <t>526-75-0</t>
  </si>
  <si>
    <t>2,4,4-trimethyl-1-pentene</t>
  </si>
  <si>
    <t>107-39-1</t>
  </si>
  <si>
    <t>2,4,4-trimethyl-2-pentanyl 2,2-dimethylpropaneperoxoate</t>
  </si>
  <si>
    <t>22288-41-1</t>
  </si>
  <si>
    <t>2,4,4-trimethyl-2-pentene</t>
  </si>
  <si>
    <t>107-40-4</t>
  </si>
  <si>
    <t>2,4,4-trimethylheptane</t>
  </si>
  <si>
    <t>4032-92-2</t>
  </si>
  <si>
    <t>2,4,4-trimethylhexane</t>
  </si>
  <si>
    <t>16747-30-1</t>
  </si>
  <si>
    <t>2,4,5-trichlorophenol</t>
  </si>
  <si>
    <t>95-95-4</t>
  </si>
  <si>
    <t>2,4,5-trimethylheptane</t>
  </si>
  <si>
    <t>20278-84-6</t>
  </si>
  <si>
    <t>2,4,6-trichlorophenol</t>
  </si>
  <si>
    <t>88-06-2</t>
  </si>
  <si>
    <t>2,4,6-trimethyl-1-heptene</t>
  </si>
  <si>
    <t>102943-77-1</t>
  </si>
  <si>
    <t>2,4,6-trimethylbenzoylphenylphosphinic acid ethyl ester</t>
  </si>
  <si>
    <t>84434-11-7</t>
  </si>
  <si>
    <t>2,4,6-trimethylheptane</t>
  </si>
  <si>
    <t>2613-61-8</t>
  </si>
  <si>
    <t>2,4,6-trimethylphenol</t>
  </si>
  <si>
    <t>527-60-6</t>
  </si>
  <si>
    <t>2,4,6-trimethylpyridine</t>
  </si>
  <si>
    <t>108-75-8</t>
  </si>
  <si>
    <t>2,4,6-trimethylstyrene</t>
  </si>
  <si>
    <t>769-25-5</t>
  </si>
  <si>
    <t>2,4,6-tris (1,1-dimethyl ethyl)-phenol</t>
  </si>
  <si>
    <t>732-26-3</t>
  </si>
  <si>
    <t>2,4,6-tris(allyloxy)-1,3,5-triazine</t>
  </si>
  <si>
    <t>101-37-1</t>
  </si>
  <si>
    <t>2,4,6-tris-(dimethylaminomethyl)phenol</t>
  </si>
  <si>
    <t>90-72-2</t>
  </si>
  <si>
    <t>2,4,7,9-tetramethyl-5-decyne-4,7-diol ethoxylate</t>
  </si>
  <si>
    <t>9014-85-1</t>
  </si>
  <si>
    <t>2,4-bis[(dimethylamino)methyl]phenol</t>
  </si>
  <si>
    <t>5424-54-4</t>
  </si>
  <si>
    <t>2,4-D dimethylamine salt</t>
  </si>
  <si>
    <t>2008-39-1</t>
  </si>
  <si>
    <t>2,4-dibromophenol</t>
  </si>
  <si>
    <t>615-58-7</t>
  </si>
  <si>
    <t>2,4-dichlorodiphenyldichloroethane</t>
  </si>
  <si>
    <t>53-19-0</t>
  </si>
  <si>
    <t>2,4-dichlorophenol</t>
  </si>
  <si>
    <t>120-83-2</t>
  </si>
  <si>
    <t>2,4-didodecylbenzene sulfonic acid ammonium salt</t>
  </si>
  <si>
    <t>81611-36-1</t>
  </si>
  <si>
    <t>2,4-didodecylbenzene sulfonic acid compd with cyclohexylamine (1:1)</t>
  </si>
  <si>
    <t>14356-38-8</t>
  </si>
  <si>
    <t>2,4-difluoroaniline</t>
  </si>
  <si>
    <t>367-25-9</t>
  </si>
  <si>
    <t>2,4-dimethyl-1-heptene</t>
  </si>
  <si>
    <t>19549-87-2</t>
  </si>
  <si>
    <t>2,4-dimethyl-6-(2-methyl-2-propanyl)phenol</t>
  </si>
  <si>
    <t>1879-09-0</t>
  </si>
  <si>
    <t>2,4-dimethylheptane</t>
  </si>
  <si>
    <t>2213-23-2</t>
  </si>
  <si>
    <t>2,4-dimethylhexane</t>
  </si>
  <si>
    <t>589-43-5</t>
  </si>
  <si>
    <t>2,4-dimethyloctane</t>
  </si>
  <si>
    <t>4032-94-4</t>
  </si>
  <si>
    <t>2,4-dimethylpentane</t>
  </si>
  <si>
    <t>108-08-7</t>
  </si>
  <si>
    <t>2,4-dinitrotoluene</t>
  </si>
  <si>
    <t>121-14-2</t>
  </si>
  <si>
    <t>2,4-di-tert-butylphenol</t>
  </si>
  <si>
    <t>96-76-4</t>
  </si>
  <si>
    <t>2,4-hexanedione</t>
  </si>
  <si>
    <t>3002-24-2</t>
  </si>
  <si>
    <t>2,4-methylene diphenyl diisocyanate</t>
  </si>
  <si>
    <t>5873-54-1</t>
  </si>
  <si>
    <t>2,4-pentanediol</t>
  </si>
  <si>
    <t>625-69-4</t>
  </si>
  <si>
    <t>2,4-pentanedione</t>
  </si>
  <si>
    <t>123-54-6</t>
  </si>
  <si>
    <t>2,4-xylenesulfonic acid</t>
  </si>
  <si>
    <t>88-61-9</t>
  </si>
  <si>
    <t>2,4-xylenol</t>
  </si>
  <si>
    <t>105-67-9</t>
  </si>
  <si>
    <t>2,5,5-trimethyl-2-hexene</t>
  </si>
  <si>
    <t>40467-04-7</t>
  </si>
  <si>
    <t>2,5,5-trimethylheptane</t>
  </si>
  <si>
    <t>1189-99-7</t>
  </si>
  <si>
    <t>2,5,7,10-tetraoxaundecane</t>
  </si>
  <si>
    <t>4431-83-8</t>
  </si>
  <si>
    <t>2,5-dichloroaniline</t>
  </si>
  <si>
    <t>95-82-9</t>
  </si>
  <si>
    <t>2,5-dihydrofuran</t>
  </si>
  <si>
    <t>1708-29-8</t>
  </si>
  <si>
    <t>2,5-dimethyl thiophene</t>
  </si>
  <si>
    <t>638-02-8</t>
  </si>
  <si>
    <t>2,5-dimethyl-1,5-hexadiene</t>
  </si>
  <si>
    <t>627-58-7</t>
  </si>
  <si>
    <t>2,5-dimethyl-2,5-di(2-ethylhexanoylperoxy) hexane</t>
  </si>
  <si>
    <t>13052-09-0</t>
  </si>
  <si>
    <t>2,5-dimethyl-2,5-di(tert-butylperoxy)hexane</t>
  </si>
  <si>
    <t>78-63-7</t>
  </si>
  <si>
    <t>2,5-dimethyl-2,5-hexanediol</t>
  </si>
  <si>
    <t>110-03-2</t>
  </si>
  <si>
    <t>2,5-dimethyl-3-hexene</t>
  </si>
  <si>
    <t>15910-22-2</t>
  </si>
  <si>
    <t>2,5-dimethylbenzaldehyde</t>
  </si>
  <si>
    <t>5779-94-2</t>
  </si>
  <si>
    <t>2,5-dimethylcyclopentanone</t>
  </si>
  <si>
    <t>4041-09-2</t>
  </si>
  <si>
    <t>2,5-dimethylheptane</t>
  </si>
  <si>
    <t>2216-30-0</t>
  </si>
  <si>
    <t>2,5-dimethylhexane</t>
  </si>
  <si>
    <t>592-13-2</t>
  </si>
  <si>
    <t>2,5-dimethylhexane 2,5-dihydroperoxide</t>
  </si>
  <si>
    <t>3025-88-5</t>
  </si>
  <si>
    <t>2,5-dimethyloctane</t>
  </si>
  <si>
    <t>15869-89-3</t>
  </si>
  <si>
    <t>2,5-di-tert-butylphenol</t>
  </si>
  <si>
    <t>5875-45-6</t>
  </si>
  <si>
    <t>2,5-furandione, reaction products with polypropylene, chlorinated</t>
  </si>
  <si>
    <t>68609-36-9</t>
  </si>
  <si>
    <t>2,5-hexanedione</t>
  </si>
  <si>
    <t>110-13-4</t>
  </si>
  <si>
    <t>2,5-xylenol</t>
  </si>
  <si>
    <t>95-87-4</t>
  </si>
  <si>
    <t>2,6,10,14-tetramethylpentadecane</t>
  </si>
  <si>
    <t>1921-70-6</t>
  </si>
  <si>
    <t>2,6,10-trimethyl-2,6,10-triazaundecane</t>
  </si>
  <si>
    <t>3855-32-1</t>
  </si>
  <si>
    <t>2,6,10-trimethyldodecane</t>
  </si>
  <si>
    <t>3891-98-3</t>
  </si>
  <si>
    <t>2,6,8-trimethyl-4-nonanol</t>
  </si>
  <si>
    <t>123-17-1</t>
  </si>
  <si>
    <t>2,6,8-trimethyl-4-nonanone</t>
  </si>
  <si>
    <t>123-18-2</t>
  </si>
  <si>
    <t>2,6,8-trimethylnonyl vinyl ether</t>
  </si>
  <si>
    <t>10141-19-2</t>
  </si>
  <si>
    <t>2,6-bis(1-methylpropyl)-4-[2-(4-nitrophenyl)diazenyl]phenol</t>
  </si>
  <si>
    <t>111850-24-9</t>
  </si>
  <si>
    <t>2,6-dibromophenol</t>
  </si>
  <si>
    <t>608-33-3</t>
  </si>
  <si>
    <t>2,6-dichloroanisole</t>
  </si>
  <si>
    <t>1984-55-2</t>
  </si>
  <si>
    <t>2,6-dichlorophenol</t>
  </si>
  <si>
    <t>87-65-0</t>
  </si>
  <si>
    <t>2,6-diethylaniline</t>
  </si>
  <si>
    <t>579-66-8</t>
  </si>
  <si>
    <t>2,6-difluoroaniline</t>
  </si>
  <si>
    <t>5509-65-9</t>
  </si>
  <si>
    <t>2,6-diisopropylphenol</t>
  </si>
  <si>
    <t>2078-54-8</t>
  </si>
  <si>
    <t>2,6-dimethyl-1-heptene</t>
  </si>
  <si>
    <t>3074-78-0</t>
  </si>
  <si>
    <t>2,6-dimethyl-2-heptanol</t>
  </si>
  <si>
    <t>13254-34-7</t>
  </si>
  <si>
    <t>2,6-dimethyl-2-octen-8-ol</t>
  </si>
  <si>
    <t>106-22-9</t>
  </si>
  <si>
    <t>2,6-dimethyl-3-heptene</t>
  </si>
  <si>
    <t>2738-18-3</t>
  </si>
  <si>
    <t>2,6-dimethyl-4-heptanol</t>
  </si>
  <si>
    <t>108-82-7</t>
  </si>
  <si>
    <t>2,6-dimethyl-4-heptanone</t>
  </si>
  <si>
    <t>108-83-8</t>
  </si>
  <si>
    <t>2,6-dimethylheptane</t>
  </si>
  <si>
    <t>1072-05-5</t>
  </si>
  <si>
    <t>2,6-dimethyloctane</t>
  </si>
  <si>
    <t>2051-30-1</t>
  </si>
  <si>
    <t>2,6-dimethylundecane</t>
  </si>
  <si>
    <t>17301-23-4</t>
  </si>
  <si>
    <t>2,6-dinitrophenol</t>
  </si>
  <si>
    <t>573-56-8</t>
  </si>
  <si>
    <t>2,6-di-t-butyl-4-sec-butylphenol</t>
  </si>
  <si>
    <t>17540-75-9</t>
  </si>
  <si>
    <t>2,6-di-tert-butyl phenol</t>
  </si>
  <si>
    <t>60083-44-5</t>
  </si>
  <si>
    <t>2,6-di-tert-butyl-4-nonylphenol</t>
  </si>
  <si>
    <t>4306-88-1</t>
  </si>
  <si>
    <t>2,6-di-tert-butylphenol</t>
  </si>
  <si>
    <t>2,6-xylenol</t>
  </si>
  <si>
    <t>576-26-1</t>
  </si>
  <si>
    <t>2,7-dimethyloctane</t>
  </si>
  <si>
    <t>1072-16-8</t>
  </si>
  <si>
    <t xml:space="preserve">2,8-dimethylundecane </t>
  </si>
  <si>
    <t>17301-25-6</t>
  </si>
  <si>
    <t>2-[(8-methylnonyl)oxy]ethanol</t>
  </si>
  <si>
    <t>61827-42-7</t>
  </si>
  <si>
    <t>2-[[[3-(dimethylamino)propyl]amino]methyl]-6-methyl-phenol, 4-polybutene derivs.</t>
  </si>
  <si>
    <t>1078715-83-9</t>
  </si>
  <si>
    <t>2-[2-(2-hydroxyethoxy)ethyl]2-ethylhexanoate</t>
  </si>
  <si>
    <t>63468-14-4</t>
  </si>
  <si>
    <t>2-[ethyl(methyl)amino]-1-phenyl-1-propanol</t>
  </si>
  <si>
    <t>7681-79-0</t>
  </si>
  <si>
    <t>2-{[2-(acryloyloxy)ethoxy]carbonyl}cyclohexanecarboxylic acid</t>
  </si>
  <si>
    <t>57043-35-3</t>
  </si>
  <si>
    <t>21-amino-N-(2-((2-((2-((2-aminoethyl)amino)ethyl)amino)ethyl)amino)ethyl)-9-(1-hydroxynonyl)-9,12,15,18-tetraazahenicosanamide</t>
  </si>
  <si>
    <t>68298-14-6</t>
  </si>
  <si>
    <t>2-2'-oxybis(N,N-dimethylethylamine)</t>
  </si>
  <si>
    <t>3033-62-3</t>
  </si>
  <si>
    <t>2-acetoacetoxyethyl methacrylate</t>
  </si>
  <si>
    <t>21282-97-3</t>
  </si>
  <si>
    <t>2-acetylbutyrolactone</t>
  </si>
  <si>
    <t>517-23-7</t>
  </si>
  <si>
    <t>2-acrylamido-2-methyl propanesulfonic acid</t>
  </si>
  <si>
    <t>15214-89-8</t>
  </si>
  <si>
    <t>2-Alkenyl (C11-C13) succinic acid anhydride</t>
  </si>
  <si>
    <t>68412-02-2</t>
  </si>
  <si>
    <t>2-allylphenol</t>
  </si>
  <si>
    <t>1745-81-9</t>
  </si>
  <si>
    <t>2-amino-1-phenylethanol</t>
  </si>
  <si>
    <t>7568-93-6</t>
  </si>
  <si>
    <t>2-amino-2-methyl-1-propanol</t>
  </si>
  <si>
    <t>124-68-5</t>
  </si>
  <si>
    <t>2-amino-4,6-dimethoxypyrimidine</t>
  </si>
  <si>
    <t>36315-01-2</t>
  </si>
  <si>
    <t>2-amino-5-ethoxy-benzenethiol dichloride</t>
  </si>
  <si>
    <t>71071-47-1</t>
  </si>
  <si>
    <t>2-aminobenzoic acid methyl ester</t>
  </si>
  <si>
    <t>134-20-3</t>
  </si>
  <si>
    <t>2-aminocyclopentanemethylamine</t>
  </si>
  <si>
    <t>21544-02-5</t>
  </si>
  <si>
    <t>2-aminoethanol acetate salt</t>
  </si>
  <si>
    <t>54300-24-2</t>
  </si>
  <si>
    <t>2-aminoethanol compd. with N-hydroxy-N-nitrosobenzenamine (1:1)</t>
  </si>
  <si>
    <t>105658-30-8</t>
  </si>
  <si>
    <t>2-aminoethanol sulfate</t>
  </si>
  <si>
    <t>56633-27-3</t>
  </si>
  <si>
    <t>2-aminoethanol, compound with sulphur dioxide (1:1)</t>
  </si>
  <si>
    <t>65345-27-9</t>
  </si>
  <si>
    <t>2-aminoethanol, reaction products with ammonia, by-products from, phosphonomethylated</t>
  </si>
  <si>
    <t>68649-44-5</t>
  </si>
  <si>
    <t>2-aminoethanol, salt with phosphoric acid</t>
  </si>
  <si>
    <t>29868-05-1</t>
  </si>
  <si>
    <t>2-benzyloxyethanol</t>
  </si>
  <si>
    <t>622-08-2</t>
  </si>
  <si>
    <t>2-bromo-1,1,1-trifluoroethane</t>
  </si>
  <si>
    <t>421-06-7</t>
  </si>
  <si>
    <t>2-bromo-1,1,3,4,4-pentachloro-1,3-butadiene</t>
  </si>
  <si>
    <t>67280-69-7</t>
  </si>
  <si>
    <t>2-bromo-1,3-diethyl-5-methylbenzene</t>
  </si>
  <si>
    <t>314084-61-2</t>
  </si>
  <si>
    <t>2-bromo-2-nitro-1,3-propanediol</t>
  </si>
  <si>
    <t>52-51-7</t>
  </si>
  <si>
    <t>2-bromo-3-fluorobenzotrifluoride</t>
  </si>
  <si>
    <t>104540-42-3</t>
  </si>
  <si>
    <t>2-bromopentane</t>
  </si>
  <si>
    <t>107-81-3</t>
  </si>
  <si>
    <t>2-bromopropane</t>
  </si>
  <si>
    <t>75-26-3</t>
  </si>
  <si>
    <t>2-butene</t>
  </si>
  <si>
    <t>107-01-7</t>
  </si>
  <si>
    <t>2-butene-1,4-diol</t>
  </si>
  <si>
    <t>110-64-5</t>
  </si>
  <si>
    <t>2-butoxy-1-propanol</t>
  </si>
  <si>
    <t>15821-83-7</t>
  </si>
  <si>
    <t>2-butoxyethanol</t>
  </si>
  <si>
    <t>111-76-2</t>
  </si>
  <si>
    <t>2-butoxyethanol phosphate (3:1)</t>
  </si>
  <si>
    <t>78-51-3</t>
  </si>
  <si>
    <t>2-butoxyethyl acetate</t>
  </si>
  <si>
    <t>112-07-2</t>
  </si>
  <si>
    <t>2-butoxyethyl benzoate</t>
  </si>
  <si>
    <t>5451-76-3</t>
  </si>
  <si>
    <t>2-butyl-1-octanol</t>
  </si>
  <si>
    <t>3913-02-8</t>
  </si>
  <si>
    <t>2-butyl-2-ethyl-1,3-propanediol</t>
  </si>
  <si>
    <t>115-84-4</t>
  </si>
  <si>
    <t>2-butylcyclohexanone</t>
  </si>
  <si>
    <t>1126-18-7</t>
  </si>
  <si>
    <t>2-butyne</t>
  </si>
  <si>
    <t>503-17-3</t>
  </si>
  <si>
    <t>2-chloro-1-(1-chlorocyclopropyl) ethanone</t>
  </si>
  <si>
    <t>120983-72-4</t>
  </si>
  <si>
    <t>2-chloro-1,1,1,2-tetrafluoroethane</t>
  </si>
  <si>
    <t>2837-89-0</t>
  </si>
  <si>
    <t>2-chloro-1,1,1,2-tetrafluoropropane</t>
  </si>
  <si>
    <t>421-73-8</t>
  </si>
  <si>
    <t>2-chloro-1-butanol</t>
  </si>
  <si>
    <t>26106-95-6</t>
  </si>
  <si>
    <t>2-chloro-1-propanol</t>
  </si>
  <si>
    <t>78-89-7</t>
  </si>
  <si>
    <t>2-chloro-2-propen-1-ol</t>
  </si>
  <si>
    <t>5976-47-6</t>
  </si>
  <si>
    <t>2-chloro-2-propen-1-yl diethylcarbamodithioate</t>
  </si>
  <si>
    <t>95-06-7</t>
  </si>
  <si>
    <t>2-chloro-3,3,3-trifluoropropene</t>
  </si>
  <si>
    <t>2730-62-3</t>
  </si>
  <si>
    <t>2-chloroacetophenone</t>
  </si>
  <si>
    <t>532-27-4</t>
  </si>
  <si>
    <t>2-chlorobenzyl chloride</t>
  </si>
  <si>
    <t>611-19-8</t>
  </si>
  <si>
    <t>2-chloroethanol</t>
  </si>
  <si>
    <t>107-07-3</t>
  </si>
  <si>
    <t>2-chloroethylphosphonic acid</t>
  </si>
  <si>
    <t>16672-87-0</t>
  </si>
  <si>
    <t>2-chloropentane</t>
  </si>
  <si>
    <t>625-29-6</t>
  </si>
  <si>
    <t>2-chloropropane</t>
  </si>
  <si>
    <t>75-29-6</t>
  </si>
  <si>
    <t>2-chloropropene</t>
  </si>
  <si>
    <t>557-98-2</t>
  </si>
  <si>
    <t>2-chloropropionic acid</t>
  </si>
  <si>
    <t>598-78-7</t>
  </si>
  <si>
    <t>2-chloropyridine</t>
  </si>
  <si>
    <t>109-09-1</t>
  </si>
  <si>
    <t>2-cyanopyridine</t>
  </si>
  <si>
    <t>100-70-9</t>
  </si>
  <si>
    <t>2-cyclohexenol</t>
  </si>
  <si>
    <t>822-67-3</t>
  </si>
  <si>
    <t>2-cyclohexenone</t>
  </si>
  <si>
    <t>930-68-7</t>
  </si>
  <si>
    <t>2-cyclohexyl-4,6-dinitro-phenol</t>
  </si>
  <si>
    <t>131-89-5</t>
  </si>
  <si>
    <t>2-cyclohexylidenecyclohexanone</t>
  </si>
  <si>
    <t>1011-12-7</t>
  </si>
  <si>
    <t>2-dehydrolinalool</t>
  </si>
  <si>
    <t>29171-20-8</t>
  </si>
  <si>
    <t>2-diethylaminoethanol</t>
  </si>
  <si>
    <t>100-37-8</t>
  </si>
  <si>
    <t>2-dimethylaminoethanol</t>
  </si>
  <si>
    <t>108-01-0</t>
  </si>
  <si>
    <t>2-dodecanone</t>
  </si>
  <si>
    <t>6175-49-1</t>
  </si>
  <si>
    <t>2-ethoxy-1-propanol</t>
  </si>
  <si>
    <t>19089-47-5</t>
  </si>
  <si>
    <t>2-ethoxy-2-propylacetate</t>
  </si>
  <si>
    <t>54839-24-6</t>
  </si>
  <si>
    <t>2-ethoxy-3,4-dihydro-1,2-pyran</t>
  </si>
  <si>
    <t>103-75-3</t>
  </si>
  <si>
    <t>2-ethoxy-4,6-difluoropyrimidine</t>
  </si>
  <si>
    <t>166524-65-8</t>
  </si>
  <si>
    <t>2-ethoxy-4-fluoro-6-hydrazinopyrimidine</t>
  </si>
  <si>
    <t>166524-66-9</t>
  </si>
  <si>
    <t>2-ethoxyethanol</t>
  </si>
  <si>
    <t>110-80-5</t>
  </si>
  <si>
    <t>2-ethoxyethyl acetate</t>
  </si>
  <si>
    <t>111-15-9</t>
  </si>
  <si>
    <t>2-ethoxynaphthalene</t>
  </si>
  <si>
    <t>93-18-5</t>
  </si>
  <si>
    <t>2-ethyl acrolein</t>
  </si>
  <si>
    <t>922-63-4</t>
  </si>
  <si>
    <t>2-ethyl butyl alcohol</t>
  </si>
  <si>
    <t>97-95-0</t>
  </si>
  <si>
    <t>2-ethyl hexanoyl chloride</t>
  </si>
  <si>
    <t>760-67-8</t>
  </si>
  <si>
    <t>2-ethyl hexyl chloroformate</t>
  </si>
  <si>
    <t>24468-13-1</t>
  </si>
  <si>
    <t>2-ethyl-1,3-dimethylbenzene</t>
  </si>
  <si>
    <t>2870-04-4</t>
  </si>
  <si>
    <t>2-ethyl-1,3-hexanediol</t>
  </si>
  <si>
    <t>94-96-2</t>
  </si>
  <si>
    <t>2-ethyl-1-butene</t>
  </si>
  <si>
    <t>760-21-4</t>
  </si>
  <si>
    <t>2-ethyl-1-hexene</t>
  </si>
  <si>
    <t>1632-16-2</t>
  </si>
  <si>
    <t>2-ethyl-2-butenal</t>
  </si>
  <si>
    <t>19780-25-7</t>
  </si>
  <si>
    <t>2-ethyl-2-hexenal</t>
  </si>
  <si>
    <t>64344-45-2</t>
  </si>
  <si>
    <t>645-62-5</t>
  </si>
  <si>
    <t>2-ethyl-2-oxazoline</t>
  </si>
  <si>
    <t>10431-98-8</t>
  </si>
  <si>
    <t>2-ethyl-4-methyl-1-pentane</t>
  </si>
  <si>
    <t>61847-80-1</t>
  </si>
  <si>
    <t>2-ethylhexanoic acid</t>
  </si>
  <si>
    <t>149-57-5</t>
  </si>
  <si>
    <t>2-ethylhexenal</t>
  </si>
  <si>
    <t>26266-68-2</t>
  </si>
  <si>
    <t>2-ethylhexyl 7-oxabicyclo[4.1.0]heptane-3-carboxylate</t>
  </si>
  <si>
    <t>62256-00-2</t>
  </si>
  <si>
    <t>2-ethylhexyl acetate</t>
  </si>
  <si>
    <t>103-09-3</t>
  </si>
  <si>
    <t>2-ethylhexyl acrylate</t>
  </si>
  <si>
    <t>103-11-7</t>
  </si>
  <si>
    <t>2-ethylhexyl alcohol</t>
  </si>
  <si>
    <t>104-76-7</t>
  </si>
  <si>
    <t>2-ethylhexyl chloride</t>
  </si>
  <si>
    <t>123-04-6</t>
  </si>
  <si>
    <t>2-ethylhexyl diphenyl phosphate</t>
  </si>
  <si>
    <t>1241-94-7</t>
  </si>
  <si>
    <t>2-ethylhexyl nitrate</t>
  </si>
  <si>
    <t>27247-96-7</t>
  </si>
  <si>
    <t>2-ethylhexyl thioglycolate</t>
  </si>
  <si>
    <t>7659-86-1</t>
  </si>
  <si>
    <t>2-ethylhexyl-2-cyano-3,3-diphenylacrylate</t>
  </si>
  <si>
    <t>6197-30-4</t>
  </si>
  <si>
    <t>2-ethylhexyl-3-mercaptopropionate</t>
  </si>
  <si>
    <t>50448-95-8</t>
  </si>
  <si>
    <t>2-ethylhexylamine</t>
  </si>
  <si>
    <t>104-75-6</t>
  </si>
  <si>
    <t>2-ethylphenol</t>
  </si>
  <si>
    <t>90-00-6</t>
  </si>
  <si>
    <t>2-ethylthiophene</t>
  </si>
  <si>
    <t>872-55-9</t>
  </si>
  <si>
    <t>2-heptadecanone</t>
  </si>
  <si>
    <t>2922-51-2</t>
  </si>
  <si>
    <t>2-heptyl-3,4-bis(9-isocyanatononyl)-1-pentylcyclohexane</t>
  </si>
  <si>
    <t>68239-06-5</t>
  </si>
  <si>
    <t>2-heptylcyclopentanone</t>
  </si>
  <si>
    <t>137-03-1</t>
  </si>
  <si>
    <t>2-hexanol</t>
  </si>
  <si>
    <t>626-93-7</t>
  </si>
  <si>
    <t>2-hexene</t>
  </si>
  <si>
    <t>592-43-8</t>
  </si>
  <si>
    <t>2-hexyl-1-decanol</t>
  </si>
  <si>
    <t>2425-77-6</t>
  </si>
  <si>
    <t>2-hydroxy-2-methylpropiophenone</t>
  </si>
  <si>
    <t>7473-98-5</t>
  </si>
  <si>
    <t>2-hydroxy-4-methylthio-butanoic acid</t>
  </si>
  <si>
    <t>583-91-5</t>
  </si>
  <si>
    <t>2-hydroxyacetophenone</t>
  </si>
  <si>
    <t>118-93-4</t>
  </si>
  <si>
    <t>2-hydroxyethanesulphonic acid</t>
  </si>
  <si>
    <t>107-36-8</t>
  </si>
  <si>
    <t>2-hydroxyethyl acrylate</t>
  </si>
  <si>
    <t>818-61-1</t>
  </si>
  <si>
    <t>2-hydroxyethyl methacrylate</t>
  </si>
  <si>
    <t>868-77-9</t>
  </si>
  <si>
    <t>2-hydroxyethyl piperazine</t>
  </si>
  <si>
    <t>103-76-4</t>
  </si>
  <si>
    <t>2-hydroxyethyl-n-octyl sulfide</t>
  </si>
  <si>
    <t>3547-33-9</t>
  </si>
  <si>
    <t>2-hydroxymethyl benzeneethanol, alpha isomer</t>
  </si>
  <si>
    <t>33206-31-4</t>
  </si>
  <si>
    <t>2-hydroxymethyl benzeneethanol, beta isomer</t>
  </si>
  <si>
    <t>134342-25-9</t>
  </si>
  <si>
    <t>2-hydroxymethylamino ethanol</t>
  </si>
  <si>
    <t>34375-28-5</t>
  </si>
  <si>
    <t>2-hydroxy-N-(2-hydroxyethyl)ethanaminium acetate</t>
  </si>
  <si>
    <t>23251-72-1</t>
  </si>
  <si>
    <t>2-hydroxy-N,N,N-trimethyl-1-propanaminium</t>
  </si>
  <si>
    <t>7562-87-0</t>
  </si>
  <si>
    <t>2-hydroxyphenethyl alcohol</t>
  </si>
  <si>
    <t>7768-28-7</t>
  </si>
  <si>
    <t>2-hydroxypropyl acrylate</t>
  </si>
  <si>
    <t>999-61-1</t>
  </si>
  <si>
    <t>2-hydroxypropyl methacrylate</t>
  </si>
  <si>
    <t>923-26-2</t>
  </si>
  <si>
    <t>2-isobutyl isobutyrate</t>
  </si>
  <si>
    <t>97-85-8</t>
  </si>
  <si>
    <t>2-isopropoxyethanol</t>
  </si>
  <si>
    <t>109-59-1</t>
  </si>
  <si>
    <t>2-isopropyl pyridine</t>
  </si>
  <si>
    <t>644-98-4</t>
  </si>
  <si>
    <t>2-isopropyl-2,3-dimethylbutyronitrile</t>
  </si>
  <si>
    <t>55897-64-8</t>
  </si>
  <si>
    <t>2-isopropyl-5,5-dimethyl-1,3-dioxane</t>
  </si>
  <si>
    <t>7651-50-5</t>
  </si>
  <si>
    <t>2-isopropyl-N,2,3-trimethylbutyramide</t>
  </si>
  <si>
    <t>51115-67-4</t>
  </si>
  <si>
    <t>2-isopropylphenol</t>
  </si>
  <si>
    <t>88-69-7</t>
  </si>
  <si>
    <t>2-mercapto-3-butanol-3-hydroxy-2-butanethiol</t>
  </si>
  <si>
    <t>37887-04-0</t>
  </si>
  <si>
    <t>2-mercaptoacetic acid, compds. with alkylpyridines</t>
  </si>
  <si>
    <t>168612-10-0</t>
  </si>
  <si>
    <t>2-mercaptoethanol</t>
  </si>
  <si>
    <t>60-24-2</t>
  </si>
  <si>
    <t>2-mercaptoethyl tallate</t>
  </si>
  <si>
    <t>68440-24-4</t>
  </si>
  <si>
    <t>2-methoxy-1-propanol</t>
  </si>
  <si>
    <t>1589-47-5</t>
  </si>
  <si>
    <t>2-methoxy-1-propyl acetate</t>
  </si>
  <si>
    <t>70657-70-4</t>
  </si>
  <si>
    <t>2-methoxy-3,4-dihydro-2H-pyran</t>
  </si>
  <si>
    <t>4454-05-1</t>
  </si>
  <si>
    <t>2-methoxyethanol</t>
  </si>
  <si>
    <t>109-86-4</t>
  </si>
  <si>
    <t>2-methoxyethyl acetate</t>
  </si>
  <si>
    <t>110-49-6</t>
  </si>
  <si>
    <t>2-methoxyphenol</t>
  </si>
  <si>
    <t>90-05-1</t>
  </si>
  <si>
    <t>2-methyl biphenyl</t>
  </si>
  <si>
    <t>643-58-3</t>
  </si>
  <si>
    <t>2-methyl butyl acetate</t>
  </si>
  <si>
    <t>624-41-9</t>
  </si>
  <si>
    <t>2-methyl indene</t>
  </si>
  <si>
    <t>2177-47-1</t>
  </si>
  <si>
    <t>2-methyl octanoic acid</t>
  </si>
  <si>
    <t>3004-93-1</t>
  </si>
  <si>
    <t>2-methyl-1,5-heptadiene</t>
  </si>
  <si>
    <t>41044-63-7</t>
  </si>
  <si>
    <t>2-methyl-1-butanol</t>
  </si>
  <si>
    <t>137-32-6</t>
  </si>
  <si>
    <t>2-methyl-1-butene</t>
  </si>
  <si>
    <t>563-46-2</t>
  </si>
  <si>
    <t>2-methyl-1-decanol</t>
  </si>
  <si>
    <t>18675-24-6</t>
  </si>
  <si>
    <t>2-methyl-1-hexanol</t>
  </si>
  <si>
    <t>61949-26-6</t>
  </si>
  <si>
    <t>2-methyl-1-nonene</t>
  </si>
  <si>
    <t>2980-71-4</t>
  </si>
  <si>
    <t>2-methyl-1-pentanol</t>
  </si>
  <si>
    <t>105-30-6</t>
  </si>
  <si>
    <t>2-methyl-1-pentene</t>
  </si>
  <si>
    <t>763-29-1</t>
  </si>
  <si>
    <t>2-methyl-1-propanethiol</t>
  </si>
  <si>
    <t>513-44-0</t>
  </si>
  <si>
    <t>2-methyl-1-propene, homopolymer, hydroformylation products, reaction products with ammonia</t>
  </si>
  <si>
    <t>337367-30-3</t>
  </si>
  <si>
    <t>2-methyl-1-undecanol</t>
  </si>
  <si>
    <t>10522-26-6</t>
  </si>
  <si>
    <t>2-methyl-2-(methylamino)-1-propanol</t>
  </si>
  <si>
    <t>27646-80-6</t>
  </si>
  <si>
    <t>2-methyl-2-butanethiol</t>
  </si>
  <si>
    <t>1679-09-0</t>
  </si>
  <si>
    <t>2-methyl-2-butene</t>
  </si>
  <si>
    <t>513-35-9</t>
  </si>
  <si>
    <t>2-methyl-2-butenenitrile</t>
  </si>
  <si>
    <t>4403-61-6</t>
  </si>
  <si>
    <t>2-methyl-2-heptene</t>
  </si>
  <si>
    <t>627-97-4</t>
  </si>
  <si>
    <t>2-methyl-2-pentanol</t>
  </si>
  <si>
    <t>590-36-3</t>
  </si>
  <si>
    <t>2-methyl-2-pentenal</t>
  </si>
  <si>
    <t>623-36-9</t>
  </si>
  <si>
    <t>2-methyl-2-propanethiol</t>
  </si>
  <si>
    <t>75-66-1</t>
  </si>
  <si>
    <t>2-methyl-2-propen-1-ol</t>
  </si>
  <si>
    <t>513-42-8</t>
  </si>
  <si>
    <t>2-methyl-2-undecanethiol</t>
  </si>
  <si>
    <t>10059-13-9</t>
  </si>
  <si>
    <t>2-methyl-2-undecene</t>
  </si>
  <si>
    <t>56888-88-1</t>
  </si>
  <si>
    <t>2-methyl-3-(3,4-methylenedioxyphenyl)-propanal</t>
  </si>
  <si>
    <t>1205-17-0</t>
  </si>
  <si>
    <t>2-methyl-3-(p-isopropylphenyl)propionaldehyde</t>
  </si>
  <si>
    <t>103-95-7</t>
  </si>
  <si>
    <t>2-methyl-3-butenenitrile</t>
  </si>
  <si>
    <t>16529-56-9</t>
  </si>
  <si>
    <t>2-methyl-3-butyn-2-ol</t>
  </si>
  <si>
    <t>115-19-5</t>
  </si>
  <si>
    <t>2-methyl-3-hexanone</t>
  </si>
  <si>
    <t>7379-12-6</t>
  </si>
  <si>
    <t>2-methyl-4,6-di(methylthio)-1,3-benzenediamine</t>
  </si>
  <si>
    <t>106264-79-3</t>
  </si>
  <si>
    <t>2'-methyl-4'-hydroxyacetophenone</t>
  </si>
  <si>
    <t>875-59-2</t>
  </si>
  <si>
    <t>2-methyl-4-isothiazolin-3-one</t>
  </si>
  <si>
    <t>2682-20-4</t>
  </si>
  <si>
    <t>2-methyl-5-(1-methyl-2-sulfanylethyl)cyclohexanethiol</t>
  </si>
  <si>
    <t>4802-20-4</t>
  </si>
  <si>
    <t>2-methyl-5,6,7,7a-tetrahydro-1H-indene</t>
  </si>
  <si>
    <t>2-methyl-5-ethyl pyridine</t>
  </si>
  <si>
    <t>104-90-5</t>
  </si>
  <si>
    <t>2-methyl-5-nitroaniline</t>
  </si>
  <si>
    <t>99-55-8</t>
  </si>
  <si>
    <t>2-methylaziridine</t>
  </si>
  <si>
    <t>75-55-8</t>
  </si>
  <si>
    <t>2-methylbenzenesulfonic acid</t>
  </si>
  <si>
    <t>88-20-0</t>
  </si>
  <si>
    <t>2-methylbenzofuran</t>
  </si>
  <si>
    <t>4265-25-2</t>
  </si>
  <si>
    <t>2-methylbutylbenzene</t>
  </si>
  <si>
    <t>3968-85-2</t>
  </si>
  <si>
    <t>2-methylbutyraldehyde</t>
  </si>
  <si>
    <t>96-17-3</t>
  </si>
  <si>
    <t>2-methylbutyric acid</t>
  </si>
  <si>
    <t>116-53-0</t>
  </si>
  <si>
    <t>2-methylcyclohexanol, mixed isomers</t>
  </si>
  <si>
    <t>583-59-5</t>
  </si>
  <si>
    <t>2-methyldecane</t>
  </si>
  <si>
    <t>6975-98-0</t>
  </si>
  <si>
    <t>2-methylfuran</t>
  </si>
  <si>
    <t>534-22-5</t>
  </si>
  <si>
    <t>2-methylhept-2-en-6-one</t>
  </si>
  <si>
    <t>409-02-9</t>
  </si>
  <si>
    <t>2-methylheptane</t>
  </si>
  <si>
    <t>592-27-8</t>
  </si>
  <si>
    <t>2-methylhexadecane</t>
  </si>
  <si>
    <t>1560-92-5</t>
  </si>
  <si>
    <t>2-methylhexadecanol</t>
  </si>
  <si>
    <t>2-methylhexane</t>
  </si>
  <si>
    <t>591-76-4</t>
  </si>
  <si>
    <t>2-methylhexanoic acid</t>
  </si>
  <si>
    <t>4536-23-6</t>
  </si>
  <si>
    <t>2-methyl-N-({1,3,3-trimethyl-5-[(2-methylpropylidene)amino]cyclohexyl}methyl)-1-propanimine</t>
  </si>
  <si>
    <t>54914-37-3</t>
  </si>
  <si>
    <t>2-methylnaphthalene</t>
  </si>
  <si>
    <t>91-57-6</t>
  </si>
  <si>
    <t>2-methylnonane</t>
  </si>
  <si>
    <t>871-83-0</t>
  </si>
  <si>
    <t>2-methyloctanal</t>
  </si>
  <si>
    <t>7786-29-0</t>
  </si>
  <si>
    <t>2-methyloctane</t>
  </si>
  <si>
    <t>3221-61-2</t>
  </si>
  <si>
    <t>2-methylpentaldehyde</t>
  </si>
  <si>
    <t>123-15-9</t>
  </si>
  <si>
    <t>2-methylpentane</t>
  </si>
  <si>
    <t>107-83-5</t>
  </si>
  <si>
    <t>2-methylpyridine</t>
  </si>
  <si>
    <t>109-06-8</t>
  </si>
  <si>
    <t>2-methylquinoline</t>
  </si>
  <si>
    <t>91-63-4</t>
  </si>
  <si>
    <t>2-methyltetrahydrofuran</t>
  </si>
  <si>
    <t>96-47-9</t>
  </si>
  <si>
    <t>2-methylthiazole</t>
  </si>
  <si>
    <t>3581-87-1</t>
  </si>
  <si>
    <t>2-methylthiophene</t>
  </si>
  <si>
    <t>554-14-3</t>
  </si>
  <si>
    <t>2-methyltridecane</t>
  </si>
  <si>
    <t>1560-96-9</t>
  </si>
  <si>
    <t>2-methylundecanal</t>
  </si>
  <si>
    <t>110-41-8</t>
  </si>
  <si>
    <t>2-naphthylamine</t>
  </si>
  <si>
    <t>91-59-8</t>
  </si>
  <si>
    <t>2-N-dibutylaminoethanol</t>
  </si>
  <si>
    <t>102-81-8</t>
  </si>
  <si>
    <t>2-nitroaniline</t>
  </si>
  <si>
    <t>88-74-4</t>
  </si>
  <si>
    <t>2-nitropropane</t>
  </si>
  <si>
    <t>79-46-9</t>
  </si>
  <si>
    <t>2-nonanone</t>
  </si>
  <si>
    <t>821-55-6</t>
  </si>
  <si>
    <t>2-nonylphenol, branched</t>
  </si>
  <si>
    <t>91672-41-2</t>
  </si>
  <si>
    <t>2-N-tert-butyl-2,4-toluenediamine</t>
  </si>
  <si>
    <t>106917-60-6</t>
  </si>
  <si>
    <t>2-N-tert-butyl-2,6-toluenediamine</t>
  </si>
  <si>
    <t>106917-65-1</t>
  </si>
  <si>
    <t>2-octanone</t>
  </si>
  <si>
    <t>111-13-7</t>
  </si>
  <si>
    <t>2-octyl alcohol</t>
  </si>
  <si>
    <t>123-96-6</t>
  </si>
  <si>
    <t>2-octyl-1-dodecanol</t>
  </si>
  <si>
    <t>5333-42-6</t>
  </si>
  <si>
    <t>2-octyl-4-isothiazolin-3-one</t>
  </si>
  <si>
    <t>26530-20-1</t>
  </si>
  <si>
    <t>2-pentanone</t>
  </si>
  <si>
    <t>107-87-9</t>
  </si>
  <si>
    <t>2-pentene</t>
  </si>
  <si>
    <t>109-68-2</t>
  </si>
  <si>
    <t>2-pentenenitrile</t>
  </si>
  <si>
    <t>13284-42-9</t>
  </si>
  <si>
    <t>2-pentyl-9,10-anthracenedione</t>
  </si>
  <si>
    <t>13936-21-5</t>
  </si>
  <si>
    <t>2-phenethyl formate</t>
  </si>
  <si>
    <t>104-62-1</t>
  </si>
  <si>
    <t>2-phenoxyethanol</t>
  </si>
  <si>
    <t>122-99-6</t>
  </si>
  <si>
    <t>2-phenoxyethyl acrylate</t>
  </si>
  <si>
    <t>48145-04-6</t>
  </si>
  <si>
    <t>2-phenyl propionaldehyde</t>
  </si>
  <si>
    <t>93-53-8</t>
  </si>
  <si>
    <t>2-phenyl-2-butene</t>
  </si>
  <si>
    <t>768-00-3</t>
  </si>
  <si>
    <t>2-phenyl-2-propanol</t>
  </si>
  <si>
    <t>617-94-7</t>
  </si>
  <si>
    <t>2-phosphono-1,2,4-butanetricarboxylic acid</t>
  </si>
  <si>
    <t>37971-36-1</t>
  </si>
  <si>
    <t>2-pinen-4-one</t>
  </si>
  <si>
    <t>1196-01-6</t>
  </si>
  <si>
    <t>2-pivaloyl-1,3-indaione</t>
  </si>
  <si>
    <t>83-26-1</t>
  </si>
  <si>
    <t>2-propanamine sulfate</t>
  </si>
  <si>
    <t>60828-92-4</t>
  </si>
  <si>
    <t>2-propanol-1-butoxy</t>
  </si>
  <si>
    <t>5131-66-8</t>
  </si>
  <si>
    <t>2-propenenitrile, polymer with ethenylbenzene, methyloxirane and oxirane</t>
  </si>
  <si>
    <t>58050-75-2</t>
  </si>
  <si>
    <t>2-propenoic acid, polymer with oxirane and 1,2,3-propanetriol</t>
  </si>
  <si>
    <t>144086-03-3</t>
  </si>
  <si>
    <t>2-propenyl hexanoate</t>
  </si>
  <si>
    <t>123-68-2</t>
  </si>
  <si>
    <t>2-propionylphenol</t>
  </si>
  <si>
    <t>610-99-1</t>
  </si>
  <si>
    <t>2-propoxy-1-propanol</t>
  </si>
  <si>
    <t>10215-30-2</t>
  </si>
  <si>
    <t>2-propyl-1H-imidazole</t>
  </si>
  <si>
    <t>50995-95-4</t>
  </si>
  <si>
    <t>2-propylheptanol</t>
  </si>
  <si>
    <t>10042-59-8</t>
  </si>
  <si>
    <t>2-pyrrolidine</t>
  </si>
  <si>
    <t>123-75-1</t>
  </si>
  <si>
    <t>2-pyrrolidinone</t>
  </si>
  <si>
    <t>616-45-5</t>
  </si>
  <si>
    <t>2-tert-butylcyclohexanolacetate</t>
  </si>
  <si>
    <t>88-41-5</t>
  </si>
  <si>
    <t>2-thiabutane</t>
  </si>
  <si>
    <t>624-89-5</t>
  </si>
  <si>
    <t>2-thiophenethiol</t>
  </si>
  <si>
    <t>7774-74-5</t>
  </si>
  <si>
    <t>2-tridecyloxirane</t>
  </si>
  <si>
    <t>18633-25-5</t>
  </si>
  <si>
    <t>2-trifluoromethyl-3-ethoxyperfluorohexane</t>
  </si>
  <si>
    <t>297730-93-9</t>
  </si>
  <si>
    <t>3-((6-deoxy-2-O-(6-deoxy-alpha-L-mannopyranosyl)-alpha-L-mannopyranosyl)oxy)-decanoic acid, 1-(carboxymethyl)octyl ester</t>
  </si>
  <si>
    <t>4348-76-9</t>
  </si>
  <si>
    <t>3-((6-deoxy-alpha-L-mannopyranosyl)oxy)-decanoic acid, 1-(carboxymethyl)octyl ester</t>
  </si>
  <si>
    <t>37134-61-5</t>
  </si>
  <si>
    <t>3-(1,3-dimethylbutylidene)aminopropyl-trithoxysilane</t>
  </si>
  <si>
    <t>116229-43-7</t>
  </si>
  <si>
    <t>3-(2,3-epoxypropoxy)propyl dimethoxymethylsilane</t>
  </si>
  <si>
    <t>2897-60-1</t>
  </si>
  <si>
    <t>3-(2-aminoethylamino)propylmethyldimethoxysilane</t>
  </si>
  <si>
    <t>3069-29-2</t>
  </si>
  <si>
    <t>3-(4-morpholinyl)propanenitrile</t>
  </si>
  <si>
    <t>4542-47-6</t>
  </si>
  <si>
    <t>3-(dibutylamino)propylamine</t>
  </si>
  <si>
    <t>102-83-0</t>
  </si>
  <si>
    <t>3-(trifluoromethyl)phenol</t>
  </si>
  <si>
    <t>98-17-9</t>
  </si>
  <si>
    <t>3-(trimethoxysilyl)propyl methacrylate</t>
  </si>
  <si>
    <t>2530-85-0</t>
  </si>
  <si>
    <t>3,3,3-trifluoropropene</t>
  </si>
  <si>
    <t>677-21-4</t>
  </si>
  <si>
    <t>3,3,3-trifluoropropyne</t>
  </si>
  <si>
    <t>661-54-1</t>
  </si>
  <si>
    <t>3,3,4,4-tetramethylhexane</t>
  </si>
  <si>
    <t>5171-84-6</t>
  </si>
  <si>
    <t>3,3,4-trimethylheptane</t>
  </si>
  <si>
    <t>20278-87-9</t>
  </si>
  <si>
    <t>3,3,4-trimethylhexane</t>
  </si>
  <si>
    <t>16747-31-2</t>
  </si>
  <si>
    <t>3,3,5-trimethyl cyclohexanone</t>
  </si>
  <si>
    <t>873-94-9</t>
  </si>
  <si>
    <t>3,3,5-trimethylcyclohexanol</t>
  </si>
  <si>
    <t>116-02-9</t>
  </si>
  <si>
    <t>3,3,5-trimethylheptane</t>
  </si>
  <si>
    <t>7154-80-5</t>
  </si>
  <si>
    <t>3,3,6,6-tetramethyl-1,2-dioxane</t>
  </si>
  <si>
    <t>22431-89-6</t>
  </si>
  <si>
    <t>3,3-bis((1,1-dimethylethyl)dioxy)butanoic acid, ethyl ester</t>
  </si>
  <si>
    <t>55794-20-2</t>
  </si>
  <si>
    <t>3,3-diaminodipropylamine</t>
  </si>
  <si>
    <t>56-18-8</t>
  </si>
  <si>
    <t>3,3-dichloro-1,1,1,2,2-pentafluoropropane</t>
  </si>
  <si>
    <t>422-56-0</t>
  </si>
  <si>
    <t>3,3'-dichlorobenzidine</t>
  </si>
  <si>
    <t>91-94-1</t>
  </si>
  <si>
    <t>3,3-dichloropropene</t>
  </si>
  <si>
    <t>563-57-5</t>
  </si>
  <si>
    <t>3,3-diethyl-2-methylpentane</t>
  </si>
  <si>
    <t>52897-16-2</t>
  </si>
  <si>
    <t>3,3-diethylhexane</t>
  </si>
  <si>
    <t>17302-02-2</t>
  </si>
  <si>
    <t>3,3-diethylpentane</t>
  </si>
  <si>
    <t>1067-20-5</t>
  </si>
  <si>
    <t>3,3-dimethoxybenzidine</t>
  </si>
  <si>
    <t>119-90-4</t>
  </si>
  <si>
    <t>3,3-dimethyl-1-butene</t>
  </si>
  <si>
    <t>558-37-2</t>
  </si>
  <si>
    <t>3,3-dimethyl-2-butanone</t>
  </si>
  <si>
    <t>75-97-8</t>
  </si>
  <si>
    <t>3,3'-dimethylbenzidine</t>
  </si>
  <si>
    <t>119-93-7</t>
  </si>
  <si>
    <t>3,3-dimethylheptane</t>
  </si>
  <si>
    <t>4032-86-4</t>
  </si>
  <si>
    <t>3,3-dimethylhexane</t>
  </si>
  <si>
    <t>563-16-6</t>
  </si>
  <si>
    <t>3,3-dimethyloctane</t>
  </si>
  <si>
    <t>4110-44-5</t>
  </si>
  <si>
    <t>3,3-dimethylpentane</t>
  </si>
  <si>
    <t>562-49-2</t>
  </si>
  <si>
    <t>3,3'-methylenebis(5-methyloxazolidine)</t>
  </si>
  <si>
    <t>66204-44-2</t>
  </si>
  <si>
    <t>3,3'-oxybis-propionitrile</t>
  </si>
  <si>
    <t>1656-48-0</t>
  </si>
  <si>
    <t>3,4,4-trimethylheptane</t>
  </si>
  <si>
    <t>20278-88-0</t>
  </si>
  <si>
    <t>3,4,4-trimethyloxazolidine</t>
  </si>
  <si>
    <t>75673-43-7</t>
  </si>
  <si>
    <t>3,4,5-trimethoxybenzoyl methyl reserpate</t>
  </si>
  <si>
    <t>50-55-5</t>
  </si>
  <si>
    <t>3,4,5-trimethylheptane</t>
  </si>
  <si>
    <t>20278-89-1</t>
  </si>
  <si>
    <t>3,4-diacetoxy-1-butene</t>
  </si>
  <si>
    <t>18085-02-4</t>
  </si>
  <si>
    <t>3,4-diaminotoluene</t>
  </si>
  <si>
    <t>496-72-0</t>
  </si>
  <si>
    <t>3,4-dichloro-1-butene</t>
  </si>
  <si>
    <t>760-23-6</t>
  </si>
  <si>
    <t>3,4-dichloroaniline</t>
  </si>
  <si>
    <t>95-76-1</t>
  </si>
  <si>
    <t>3,4-dichlorobenzaldehyde</t>
  </si>
  <si>
    <t>6287-38-3</t>
  </si>
  <si>
    <t>3,4-diepoxybutane</t>
  </si>
  <si>
    <t>1464-53-5</t>
  </si>
  <si>
    <t>3,4-diethylhexane</t>
  </si>
  <si>
    <t>19398-77-7</t>
  </si>
  <si>
    <t>3,4-dihydro-2H-pyran-2-carboxaldehyde</t>
  </si>
  <si>
    <t>100-73-2</t>
  </si>
  <si>
    <t>3,4-dimethylheptane</t>
  </si>
  <si>
    <t>922-28-1</t>
  </si>
  <si>
    <t>3,4-dimethylhexane</t>
  </si>
  <si>
    <t>583-48-2</t>
  </si>
  <si>
    <t>3,4-dimethyloctane</t>
  </si>
  <si>
    <t>15869-92-8</t>
  </si>
  <si>
    <t>3,4-xylenol</t>
  </si>
  <si>
    <t>95-65-8</t>
  </si>
  <si>
    <t>3,5,5-trimethylhexyl acetate</t>
  </si>
  <si>
    <t>58430-94-7</t>
  </si>
  <si>
    <t>3,5-bis(1,1-dimethylethyl)-4-hydroxybenzenepropanoic acid, C13-15-branched and linear alkyl esters</t>
  </si>
  <si>
    <t>171090-93-0</t>
  </si>
  <si>
    <t>3,5-dibromofluorobenzene</t>
  </si>
  <si>
    <t>1435-51-4</t>
  </si>
  <si>
    <t>3,5-dichloroanisole</t>
  </si>
  <si>
    <t>33719-74-3</t>
  </si>
  <si>
    <t>3,5-difluoroaniline</t>
  </si>
  <si>
    <t>372-39-4</t>
  </si>
  <si>
    <t>3,5-dimethyl-1-hexyn-3-ol</t>
  </si>
  <si>
    <t>107-54-0</t>
  </si>
  <si>
    <t>3,5-dimethyl-3-heptene</t>
  </si>
  <si>
    <t>59643-68-4</t>
  </si>
  <si>
    <t>3,5-dimethylfuran-2,4(3H,5H)-dione</t>
  </si>
  <si>
    <t>3,5-dimethylheptane</t>
  </si>
  <si>
    <t>926-82-9</t>
  </si>
  <si>
    <t>3,5-dimethyloctane</t>
  </si>
  <si>
    <t>15869-93-9</t>
  </si>
  <si>
    <t>3,5-dimethylpiperidine</t>
  </si>
  <si>
    <t>35794-11-7</t>
  </si>
  <si>
    <t>3,5-dimethyltetrahydropyran-2-ol</t>
  </si>
  <si>
    <t>92340-69-7</t>
  </si>
  <si>
    <t>3,5-dimethyl-thiomorpholine</t>
  </si>
  <si>
    <t>78243-63-7</t>
  </si>
  <si>
    <t>3,5-di-tert-butyl-2,6-toluenediamine</t>
  </si>
  <si>
    <t>103596-73-2</t>
  </si>
  <si>
    <t>3,5-xylenol</t>
  </si>
  <si>
    <t>108-68-9</t>
  </si>
  <si>
    <t>3,6,9-trimethyl-1,4,7-triperoxonane</t>
  </si>
  <si>
    <t>24748-23-0</t>
  </si>
  <si>
    <t>3,6-dimethyloctane</t>
  </si>
  <si>
    <t>15869-94-0</t>
  </si>
  <si>
    <t>3,7,11-trimethyl-1-dodecanol</t>
  </si>
  <si>
    <t>6750-34-1</t>
  </si>
  <si>
    <t>3,7,7-trimethyl bicyclohep-3-ene</t>
  </si>
  <si>
    <t>13466-78-9</t>
  </si>
  <si>
    <t>3,7-dimethyl-1,6-octadien-3-ol</t>
  </si>
  <si>
    <t>78-70-6</t>
  </si>
  <si>
    <t>3,7-dimethyl-1,6-octadien-3-yl acetate</t>
  </si>
  <si>
    <t>115-95-7</t>
  </si>
  <si>
    <t>3,7-dimethyl-1-octanol</t>
  </si>
  <si>
    <t>106-21-8</t>
  </si>
  <si>
    <t>3,7-dimethyl-2,6-octadienal</t>
  </si>
  <si>
    <t>5392-40-5</t>
  </si>
  <si>
    <t>3,7-dimethyl-2,6-octadienenitrile</t>
  </si>
  <si>
    <t>5585-39-7</t>
  </si>
  <si>
    <t>3,7-dimethyl-6-octen-1-yl acetate</t>
  </si>
  <si>
    <t>150-84-5</t>
  </si>
  <si>
    <t>3,7-dimethyl-6-octenenitrile</t>
  </si>
  <si>
    <t>51566-62-2</t>
  </si>
  <si>
    <t>3-[(2-aminoethylamino) propyltrimethoxysilane]</t>
  </si>
  <si>
    <t>1760-24-3</t>
  </si>
  <si>
    <t>3-[(4-methylphenyl)amino]propane-1,2-diol</t>
  </si>
  <si>
    <t>42902-53-4</t>
  </si>
  <si>
    <t>3-[dimethoxy(methyl)silyl]-1-propanethiol</t>
  </si>
  <si>
    <t>31001-77-1</t>
  </si>
  <si>
    <t>3a,4,7,7a-tetrahydroindene</t>
  </si>
  <si>
    <t>3048-65-5</t>
  </si>
  <si>
    <t>3-acetoxypropene</t>
  </si>
  <si>
    <t>591-87-7</t>
  </si>
  <si>
    <t>3a-methyl-3a,4,5,6-tetrahydro-2-benzofuran-1,3-dione</t>
  </si>
  <si>
    <t>11070-44-3</t>
  </si>
  <si>
    <t>3-amino-1-cyclohexylaminopropane</t>
  </si>
  <si>
    <t>3312-60-5</t>
  </si>
  <si>
    <t>3-amino-N-(2-carboxyethyl)-N,N-dimethyl-1-propanaminium,N-coco acyl derivs., inner salts</t>
  </si>
  <si>
    <t>499781-63-4</t>
  </si>
  <si>
    <t>3-amino-N-(carboxymethyl)-N,N-dimethyl-1-propanaminium, N-coco acyl derivs, chlorides, sodium salts</t>
  </si>
  <si>
    <t>61789-39-7</t>
  </si>
  <si>
    <t>3-amino-N,N,N-trimethyl-1-propanaminium, N-soya acyl. derivs., chlorides</t>
  </si>
  <si>
    <t>391232-99-8</t>
  </si>
  <si>
    <t>3-aminopentanenitrile</t>
  </si>
  <si>
    <t>75405-06-0</t>
  </si>
  <si>
    <t>3-aminopropyltriethoxysilane</t>
  </si>
  <si>
    <t>919-30-2</t>
  </si>
  <si>
    <t>3-aminopyridine</t>
  </si>
  <si>
    <t>462-08-8</t>
  </si>
  <si>
    <t>3-benzyloxy-1-chloro-2-propanol</t>
  </si>
  <si>
    <t>13991-52-1</t>
  </si>
  <si>
    <t>3-benzyloxy-1-chloro-2-propyloxymethyl propionate</t>
  </si>
  <si>
    <t>3-benzyloxy-1-propionyloxy-2-propyloxymethyl propionate</t>
  </si>
  <si>
    <t>194204-51-8</t>
  </si>
  <si>
    <t>3-bromofluorobenzene</t>
  </si>
  <si>
    <t>1073-06-9</t>
  </si>
  <si>
    <t>3-butenenitrile</t>
  </si>
  <si>
    <t>109-75-1</t>
  </si>
  <si>
    <t>3-chloro-1,1,1-trifluoropropane</t>
  </si>
  <si>
    <t>460-35-5</t>
  </si>
  <si>
    <t>3-chloro-1,2-propanediol</t>
  </si>
  <si>
    <t>96-24-2</t>
  </si>
  <si>
    <t>3-chloro-2-hydroxypropyltrimethylammonium chloride</t>
  </si>
  <si>
    <t>3327-22-8</t>
  </si>
  <si>
    <t>3-chloro-3,3-difluoroprop-1-ene</t>
  </si>
  <si>
    <t>421-03-4</t>
  </si>
  <si>
    <t>3-chloro-3-methylpentane</t>
  </si>
  <si>
    <t>918-84-3</t>
  </si>
  <si>
    <t>3-chloropropionitrile</t>
  </si>
  <si>
    <t>542-76-7</t>
  </si>
  <si>
    <t>3-chloropropylmethyldimethoxysilane</t>
  </si>
  <si>
    <t>18171-19-2</t>
  </si>
  <si>
    <t>3-chloropropyltriethoxysilane</t>
  </si>
  <si>
    <t>5089-70-3</t>
  </si>
  <si>
    <t>3-chloropropyltrimethoxysilane</t>
  </si>
  <si>
    <t>2530-87-2</t>
  </si>
  <si>
    <t>3-chloropyridine</t>
  </si>
  <si>
    <t>626-60-8</t>
  </si>
  <si>
    <t>3-cyclohexene-1-methanol</t>
  </si>
  <si>
    <t>1679-51-2</t>
  </si>
  <si>
    <t>3-diethylamino-1,2-propanediol</t>
  </si>
  <si>
    <t>621-56-7</t>
  </si>
  <si>
    <t>3-diethylaminopropylamine</t>
  </si>
  <si>
    <t>104-78-9</t>
  </si>
  <si>
    <t>3-dimethylamino-N,N-dimethylpropionamide</t>
  </si>
  <si>
    <t>17268-47-2</t>
  </si>
  <si>
    <t>3-dimethylaminopropylamine</t>
  </si>
  <si>
    <t>109-55-7</t>
  </si>
  <si>
    <t>3-dodecene</t>
  </si>
  <si>
    <t>2030-83-3</t>
  </si>
  <si>
    <t>3-dodecylbenzenesulfonic acid, compound with 2,2',2"-nitrilotris(ethanol)</t>
  </si>
  <si>
    <t>27323-41-7</t>
  </si>
  <si>
    <t>3-ethoxy-1-propanol</t>
  </si>
  <si>
    <t>111-35-3</t>
  </si>
  <si>
    <t>3-ethoxy-1-propene</t>
  </si>
  <si>
    <t>557-31-3</t>
  </si>
  <si>
    <t>3-ethyl-2,2,3-trimethylpentane</t>
  </si>
  <si>
    <t>52897-17-3</t>
  </si>
  <si>
    <t>3-ethyl-2,2,4-trimethylpentane</t>
  </si>
  <si>
    <t>52897-18-4</t>
  </si>
  <si>
    <t>3-ethyl-2,2-dimethyl-1,3-oxazolidine</t>
  </si>
  <si>
    <t>57817-78-4</t>
  </si>
  <si>
    <t>3-ethyl-2,2-dimethylhexane</t>
  </si>
  <si>
    <t>20291-91-2</t>
  </si>
  <si>
    <t>3-ethyl-2,2-dimethylpentane</t>
  </si>
  <si>
    <t>16747-32-3</t>
  </si>
  <si>
    <t>3-ethyl-2,3,4-trimethylpentane</t>
  </si>
  <si>
    <t>52897-19-5</t>
  </si>
  <si>
    <t>3-ethyl-2,3-dimethylhexane</t>
  </si>
  <si>
    <t>52897-00-4</t>
  </si>
  <si>
    <t>3-ethyl-2,3-dimethylpentane</t>
  </si>
  <si>
    <t>16747-33-4</t>
  </si>
  <si>
    <t>3-ethyl-2,4-dimethylhexane</t>
  </si>
  <si>
    <t>7220-26-0</t>
  </si>
  <si>
    <t>3-ethyl-2,4-dimethylpentane</t>
  </si>
  <si>
    <t>1068-87-7</t>
  </si>
  <si>
    <t>3-ethyl-2,5-dimethylhexane</t>
  </si>
  <si>
    <t>52897-04-8</t>
  </si>
  <si>
    <t>3-ethyl-2-methyl-2-(3-methylbutyl)-1,3-oxazolidine</t>
  </si>
  <si>
    <t>143860-04-2</t>
  </si>
  <si>
    <t>3-ethyl-2-methylheptane</t>
  </si>
  <si>
    <t>14676-29-0</t>
  </si>
  <si>
    <t>3-ethyl-2-methylhexane</t>
  </si>
  <si>
    <t>16789-46-1</t>
  </si>
  <si>
    <t>3-ethyl-2-methylpentane</t>
  </si>
  <si>
    <t>609-26-7</t>
  </si>
  <si>
    <t>3-ethyl-3,4-dimethylhexane</t>
  </si>
  <si>
    <t>52897-06-0</t>
  </si>
  <si>
    <t>3-ethyl-3-methylheptane</t>
  </si>
  <si>
    <t>17302-01-1</t>
  </si>
  <si>
    <t>3-ethyl-3-methylhexane</t>
  </si>
  <si>
    <t>3074-76-8</t>
  </si>
  <si>
    <t>3-ethyl-3-methylpentane</t>
  </si>
  <si>
    <t>1067-08-9</t>
  </si>
  <si>
    <t>3-ethyl-4-methylheptane</t>
  </si>
  <si>
    <t>52896-91-0</t>
  </si>
  <si>
    <t>3-ethyl-4-methylhexane</t>
  </si>
  <si>
    <t>3074-77-9</t>
  </si>
  <si>
    <t>3-ethyl-5-methylheptane</t>
  </si>
  <si>
    <t>52896-90-9</t>
  </si>
  <si>
    <t>3-ethylheptane</t>
  </si>
  <si>
    <t>15869-80-4</t>
  </si>
  <si>
    <t>3-ethylhexane</t>
  </si>
  <si>
    <t>619-99-8</t>
  </si>
  <si>
    <t>3-ethylidene-1-cyclopentene</t>
  </si>
  <si>
    <t>22704-38-7</t>
  </si>
  <si>
    <t>3-ethylnonane</t>
  </si>
  <si>
    <t>17302-11-3</t>
  </si>
  <si>
    <t>3-ethyloctane</t>
  </si>
  <si>
    <t>5881-17-4</t>
  </si>
  <si>
    <t>3-ethylpentane</t>
  </si>
  <si>
    <t>617-78-7</t>
  </si>
  <si>
    <t>3-ethylpyrrole</t>
  </si>
  <si>
    <t>1551-16-2</t>
  </si>
  <si>
    <t>3-fluorobenzotrifluoride</t>
  </si>
  <si>
    <t>401-80-9</t>
  </si>
  <si>
    <t>3-glycidoxypropyltrimethoxysilane</t>
  </si>
  <si>
    <t>2530-83-8</t>
  </si>
  <si>
    <t>3-heptanol</t>
  </si>
  <si>
    <t>589-82-2</t>
  </si>
  <si>
    <t>3-heptanone</t>
  </si>
  <si>
    <t>106-35-4</t>
  </si>
  <si>
    <t>3-heptanyl formate</t>
  </si>
  <si>
    <t>54009-71-1</t>
  </si>
  <si>
    <t>3-hepten-2-one</t>
  </si>
  <si>
    <t>1119-44-4</t>
  </si>
  <si>
    <t>3-hexanol</t>
  </si>
  <si>
    <t>623-37-0</t>
  </si>
  <si>
    <t>3-hexanone</t>
  </si>
  <si>
    <t>589-38-8</t>
  </si>
  <si>
    <t>3-hydroxy-1,1-dimethylbutyl peroxyneodecanoate</t>
  </si>
  <si>
    <t>95718-78-8</t>
  </si>
  <si>
    <t>3-hydroxy-2-butanone</t>
  </si>
  <si>
    <t>513-86-0</t>
  </si>
  <si>
    <t>3-hydroxy-2-methyl-pentanal</t>
  </si>
  <si>
    <t>615-30-5</t>
  </si>
  <si>
    <t>3-hydroxymethyl-5,5-dimethylhydantoin</t>
  </si>
  <si>
    <t>16228-00-5</t>
  </si>
  <si>
    <t>3-hydroxythiophene-2,5-dicarboxylic acid dimethyl ester</t>
  </si>
  <si>
    <t>5556-24-1</t>
  </si>
  <si>
    <t>3-iodo-2-propynyl butylcarbamate</t>
  </si>
  <si>
    <t>55406-53-6</t>
  </si>
  <si>
    <t>3-isocyanatopropyltriethoxysilane</t>
  </si>
  <si>
    <t>24801-88-5</t>
  </si>
  <si>
    <t>3-isopropyl-2,4-dimethylpentane</t>
  </si>
  <si>
    <t>13475-79-1</t>
  </si>
  <si>
    <t>3-isopropyl-2-methylhexane</t>
  </si>
  <si>
    <t>62016-13-1</t>
  </si>
  <si>
    <t>3-mercaptopropionic acid</t>
  </si>
  <si>
    <t>107-96-0</t>
  </si>
  <si>
    <t>3-methoxy-1,2-epoxypropane</t>
  </si>
  <si>
    <t>930-37-0</t>
  </si>
  <si>
    <t>3-methoxy-1-butanol</t>
  </si>
  <si>
    <t>2517-43-3</t>
  </si>
  <si>
    <t>3-methoxy-1-propene</t>
  </si>
  <si>
    <t>627-40-7</t>
  </si>
  <si>
    <t>3-methoxy-3-methyl-1-butanol</t>
  </si>
  <si>
    <t>56539-66-3</t>
  </si>
  <si>
    <t>3-methoxybutyl acetate</t>
  </si>
  <si>
    <t>4435-53-4</t>
  </si>
  <si>
    <t>3-methoxypropionitrile</t>
  </si>
  <si>
    <t>110-67-8</t>
  </si>
  <si>
    <t>3-methoxypropylamine</t>
  </si>
  <si>
    <t>5332-73-0</t>
  </si>
  <si>
    <t>3-methyl biphenyl</t>
  </si>
  <si>
    <t>643-93-6</t>
  </si>
  <si>
    <t>3-methyl-1,2-butadiene</t>
  </si>
  <si>
    <t>598-25-4</t>
  </si>
  <si>
    <t>3-methyl-1,3-oxazolidine</t>
  </si>
  <si>
    <t>27970-32-7</t>
  </si>
  <si>
    <t>3-methyl-1,4-pentadiene</t>
  </si>
  <si>
    <t>1115-08-8</t>
  </si>
  <si>
    <t>3-methyl-1,5-heptadiene</t>
  </si>
  <si>
    <t>50592-72-8</t>
  </si>
  <si>
    <t>3-methyl-1,5-pentanediol</t>
  </si>
  <si>
    <t>4457-71-0</t>
  </si>
  <si>
    <t>3-methyl-1-butene</t>
  </si>
  <si>
    <t>563-45-1</t>
  </si>
  <si>
    <t>3-methyl-1-cyclohexene</t>
  </si>
  <si>
    <t>591-48-0</t>
  </si>
  <si>
    <t>3-methyl-1-pentyn-3-ol</t>
  </si>
  <si>
    <t>77-75-8</t>
  </si>
  <si>
    <t>3-methyl-2,4-pentanedione</t>
  </si>
  <si>
    <t>815-57-6</t>
  </si>
  <si>
    <t>3-methyl-2-pentylcyclopentanol</t>
  </si>
  <si>
    <t>76649-20-2</t>
  </si>
  <si>
    <t>3-methyl-3-buten-2-one</t>
  </si>
  <si>
    <t>814-78-8</t>
  </si>
  <si>
    <t>3-methyl-5-propylnonane</t>
  </si>
  <si>
    <t>31081-18-2</t>
  </si>
  <si>
    <t>3-methylacrylic acid</t>
  </si>
  <si>
    <t>3724-65-0</t>
  </si>
  <si>
    <t>3-methylcholanthrene</t>
  </si>
  <si>
    <t>56-49-5</t>
  </si>
  <si>
    <t>3-methylcyclopentene</t>
  </si>
  <si>
    <t>1120-62-3</t>
  </si>
  <si>
    <t>3-methylheptane</t>
  </si>
  <si>
    <t>589-81-1</t>
  </si>
  <si>
    <t>3-methylhexane</t>
  </si>
  <si>
    <t>589-34-4</t>
  </si>
  <si>
    <t>3-methylmercapto-1-propanol</t>
  </si>
  <si>
    <t>505-10-2</t>
  </si>
  <si>
    <t>3-methylnonane</t>
  </si>
  <si>
    <t>5911-04-6</t>
  </si>
  <si>
    <t>3-methyloctane</t>
  </si>
  <si>
    <t>2216-33-3</t>
  </si>
  <si>
    <t>3-methylpentane</t>
  </si>
  <si>
    <t>96-14-0</t>
  </si>
  <si>
    <t>3-methylpiperidine</t>
  </si>
  <si>
    <t>626-56-2</t>
  </si>
  <si>
    <t>3-methylpyridine</t>
  </si>
  <si>
    <t>108-99-6</t>
  </si>
  <si>
    <t>3-methylquinoline</t>
  </si>
  <si>
    <t>612-58-8</t>
  </si>
  <si>
    <t>3-methylsulfolane</t>
  </si>
  <si>
    <t>872-93-5</t>
  </si>
  <si>
    <t>3-methyltetrahydropyran</t>
  </si>
  <si>
    <t>26093-63-0</t>
  </si>
  <si>
    <t>3-methylthiophene</t>
  </si>
  <si>
    <t>616-44-4</t>
  </si>
  <si>
    <t>3-morpholino-1,2-propanediol</t>
  </si>
  <si>
    <t>6425-32-7</t>
  </si>
  <si>
    <t>3-morpholinopropylamine</t>
  </si>
  <si>
    <t>123-00-2</t>
  </si>
  <si>
    <t>3-nitroaniline</t>
  </si>
  <si>
    <t>99-09-2</t>
  </si>
  <si>
    <t>3-octanoyl-1-thiopropyltriethoxysilane</t>
  </si>
  <si>
    <t>220727-26-4</t>
  </si>
  <si>
    <t>3-octyl alcohol</t>
  </si>
  <si>
    <t>589-98-0</t>
  </si>
  <si>
    <t>3-oxo-nonyl acetate</t>
  </si>
  <si>
    <t>7779-54-6</t>
  </si>
  <si>
    <t>3-pentanone</t>
  </si>
  <si>
    <t>96-22-0</t>
  </si>
  <si>
    <t>3-pentenenitrile</t>
  </si>
  <si>
    <t>4635-87-4</t>
  </si>
  <si>
    <t>3-phenoxybenzaldehyde</t>
  </si>
  <si>
    <t>39515-51-0</t>
  </si>
  <si>
    <t>4-((dimethylamino)methyl)phenol</t>
  </si>
  <si>
    <t>25338-55-0</t>
  </si>
  <si>
    <t>4-(2-aminoethyl)-morpholine</t>
  </si>
  <si>
    <t>2038-03-1</t>
  </si>
  <si>
    <t>4-(2-furyl)-3-buten-2-one</t>
  </si>
  <si>
    <t>623-15-4</t>
  </si>
  <si>
    <t>4-(2-furyl)butan-2-one</t>
  </si>
  <si>
    <t>699-17-2</t>
  </si>
  <si>
    <t>4-(2-methyl-2-propen-1-yl)phenol</t>
  </si>
  <si>
    <t>68610-06-0</t>
  </si>
  <si>
    <t>4-(2-morpholine)methoxyethyl</t>
  </si>
  <si>
    <t>10220-23-2</t>
  </si>
  <si>
    <t>4-(2-nitrobutyl) morpholine</t>
  </si>
  <si>
    <t>2224-44-4</t>
  </si>
  <si>
    <t>4-(3-hydroxypropyl)morpholine</t>
  </si>
  <si>
    <t>4441-30-9</t>
  </si>
  <si>
    <t>4-(4-(methylamino)styryl)-phenol</t>
  </si>
  <si>
    <t>866475-34-5</t>
  </si>
  <si>
    <t>4-(methoxymethyl)cyclohexanemethanol</t>
  </si>
  <si>
    <t>98955-27-2</t>
  </si>
  <si>
    <t>4,4-(ethyl-2-nitrotrimethylene, 2-) dimorpholine</t>
  </si>
  <si>
    <t>1854-23-5</t>
  </si>
  <si>
    <t>4,4,4-trifluoroacetoacetyl chloride</t>
  </si>
  <si>
    <t>2261-53-2</t>
  </si>
  <si>
    <t>4,4'-diisopropylbiphenyl</t>
  </si>
  <si>
    <t>18970-30-4</t>
  </si>
  <si>
    <t>4,4-dimethyl, 2-oxazolidinone</t>
  </si>
  <si>
    <t>26654-39-7</t>
  </si>
  <si>
    <t>4,4-dimethyl-1,3-dioxolane</t>
  </si>
  <si>
    <t>766-15-4</t>
  </si>
  <si>
    <t>4,4-dimethyl-1-phenyl-3-pentanone</t>
  </si>
  <si>
    <t>5195-24-4</t>
  </si>
  <si>
    <t>4,4-dimethylheptane</t>
  </si>
  <si>
    <t>1068-19-5</t>
  </si>
  <si>
    <t>4,4-dimethyloctane</t>
  </si>
  <si>
    <t>15869-95-1</t>
  </si>
  <si>
    <t>4,4-dimethyloxazolidine</t>
  </si>
  <si>
    <t>51200-87-4</t>
  </si>
  <si>
    <t>4,4'-methylene bis-(2-methyl cyclohexanamine)</t>
  </si>
  <si>
    <t>6864-37-5</t>
  </si>
  <si>
    <t>4,4'-methylene bis(dibutyldithiocarbamate)</t>
  </si>
  <si>
    <t>10254-57-6</t>
  </si>
  <si>
    <t>4,4-methylene diphenyl diisocyanate</t>
  </si>
  <si>
    <t>101-68-8</t>
  </si>
  <si>
    <t>4,4'-methylenebis(2-carbomethoxyaniline)</t>
  </si>
  <si>
    <t>31383-81-0</t>
  </si>
  <si>
    <t>4,4'-methylenebis(2-ethylbenzenamine)</t>
  </si>
  <si>
    <t>19900-65-3</t>
  </si>
  <si>
    <t>4,4-methylenebis(cyclohexanamine)</t>
  </si>
  <si>
    <t>1761-71-3</t>
  </si>
  <si>
    <t>4,4'-methylenedianiline</t>
  </si>
  <si>
    <t>101-77-9</t>
  </si>
  <si>
    <t>4,4-methylenedimorpholine dimorpholine</t>
  </si>
  <si>
    <t>5625-90-1</t>
  </si>
  <si>
    <t>4,4'-oxydi-2,1-ethanediyl bismorpholine</t>
  </si>
  <si>
    <t>6425-39-4</t>
  </si>
  <si>
    <t>4,5-dichloro-2-n-octyl-3(2H)-isothiazolone</t>
  </si>
  <si>
    <t>64359-81-5</t>
  </si>
  <si>
    <t>4,5-dihydro-1H-imidazole-1-ethanamine, 2-nortall-oil alkyl derivs.</t>
  </si>
  <si>
    <t>68442-97-7</t>
  </si>
  <si>
    <t>4,5-dihydro-1H-imidazole-1-ethanamine, 2-nortall-oil alkyl derivs., acetates</t>
  </si>
  <si>
    <t>68140-11-4</t>
  </si>
  <si>
    <t>4,5-dimethyloctane</t>
  </si>
  <si>
    <t>15869-96-2</t>
  </si>
  <si>
    <t>4,6-dimethyl-2-heptanone</t>
  </si>
  <si>
    <t>19549-80-5</t>
  </si>
  <si>
    <t>4,6-dinitro-o-cresol</t>
  </si>
  <si>
    <t>534-52-1</t>
  </si>
  <si>
    <t>4,8-bis(hydroxymethyl)tricyclo[5.2.1.0(2,6)]decane, mixture of isomers</t>
  </si>
  <si>
    <t>26896-48-0</t>
  </si>
  <si>
    <t>4-[(4-amino-3-nitrophenyl)sulfonyl]-2-nitrophenylamine</t>
  </si>
  <si>
    <t>18491-91-3</t>
  </si>
  <si>
    <t>4-[4,6-bis(2,4-dimethylphenyl)-1,3,5-triazin-2-yl]-1,3-benzenediol, reaction products with 2-[(dodecyloxy)methyl]oxirane and 2-[(C10-16-alkyloxy)methyl]oxirane</t>
  </si>
  <si>
    <t>153519-44-9</t>
  </si>
  <si>
    <t>4-aminobiphenyl</t>
  </si>
  <si>
    <t>92-67-1</t>
  </si>
  <si>
    <t>4-aminoethyl-1,8-octanediamine</t>
  </si>
  <si>
    <t>1572-55-0</t>
  </si>
  <si>
    <t>4-aminopyridine</t>
  </si>
  <si>
    <t>504-24-5</t>
  </si>
  <si>
    <t>4-bromoanisole</t>
  </si>
  <si>
    <t>104-92-7</t>
  </si>
  <si>
    <t>4-bromodiphenyl ether</t>
  </si>
  <si>
    <t>101-55-3</t>
  </si>
  <si>
    <t>4-bromofluorobenzene</t>
  </si>
  <si>
    <t>460-00-4</t>
  </si>
  <si>
    <t>4-butyl-2-nitroaniline</t>
  </si>
  <si>
    <t>3663-22-7</t>
  </si>
  <si>
    <t>4-butylaniline</t>
  </si>
  <si>
    <t>104-13-2</t>
  </si>
  <si>
    <t>4-butylmorpholine</t>
  </si>
  <si>
    <t>1005-67-0</t>
  </si>
  <si>
    <t>4-chloro-2-butanol</t>
  </si>
  <si>
    <t>2203-34-1</t>
  </si>
  <si>
    <t>4-chloro-3-methylphenol</t>
  </si>
  <si>
    <t>59-50-7</t>
  </si>
  <si>
    <t>4-chloro-3-nitrobenzotrifluoride</t>
  </si>
  <si>
    <t>121-17-5</t>
  </si>
  <si>
    <t>4-chlorobenzyl chloride</t>
  </si>
  <si>
    <t>104-83-6</t>
  </si>
  <si>
    <t>4-chlorodiphenyl ether</t>
  </si>
  <si>
    <t>7005-72-3</t>
  </si>
  <si>
    <t>4-cyanocyclohexene</t>
  </si>
  <si>
    <t>100-45-8</t>
  </si>
  <si>
    <t>4-dimethylamino-3,5-xylyl methylcarbamate</t>
  </si>
  <si>
    <t>315-18-4</t>
  </si>
  <si>
    <t>4-dimethylaminoazobenzene</t>
  </si>
  <si>
    <t>60-11-7</t>
  </si>
  <si>
    <t>4-dodecylphenol, mixed isomers</t>
  </si>
  <si>
    <t>27193-86-8</t>
  </si>
  <si>
    <t>4-ethenyl-1,2-dimethylbenzene</t>
  </si>
  <si>
    <t>27831-13-6</t>
  </si>
  <si>
    <t>4-ethyl-1,2-dimethylbenzene</t>
  </si>
  <si>
    <t>934-80-5</t>
  </si>
  <si>
    <t>4-ethyl-1-octyn-3-ol</t>
  </si>
  <si>
    <t>5877-42-9</t>
  </si>
  <si>
    <t>4-ethyl-2-(8-heptadecenyl)-2-oxazoline-4-methanol</t>
  </si>
  <si>
    <t>68140-98-7</t>
  </si>
  <si>
    <t>4-ethyl-2,2-dimethylhexane</t>
  </si>
  <si>
    <t>52896-99-8</t>
  </si>
  <si>
    <t>4-ethyl-2,3-dimethylhexane</t>
  </si>
  <si>
    <t>52897-01-5</t>
  </si>
  <si>
    <t>4-ethyl-2,4-dimethylhexane</t>
  </si>
  <si>
    <t>52897-03-7</t>
  </si>
  <si>
    <t>4-ethyl-2-methylheptane</t>
  </si>
  <si>
    <t>52896-88-5</t>
  </si>
  <si>
    <t>4-ethyl-2-methylhexane</t>
  </si>
  <si>
    <t>3074-75-7</t>
  </si>
  <si>
    <t>4-ethyl-3,3-dimethylhexane</t>
  </si>
  <si>
    <t>52897-05-9</t>
  </si>
  <si>
    <t>4-ethyl-3-methylheptane</t>
  </si>
  <si>
    <t>52896-89-6</t>
  </si>
  <si>
    <t>4-ethyl-4-methylheptane</t>
  </si>
  <si>
    <t>17302-04-4</t>
  </si>
  <si>
    <t>4-ethylheptane</t>
  </si>
  <si>
    <t>2216-32-2</t>
  </si>
  <si>
    <t>4-ethylmorpholine</t>
  </si>
  <si>
    <t>100-74-3</t>
  </si>
  <si>
    <t>4-ethyloctane</t>
  </si>
  <si>
    <t>15869-86-0</t>
  </si>
  <si>
    <t>4-heptanol</t>
  </si>
  <si>
    <t>589-55-9</t>
  </si>
  <si>
    <t>4-hepten-2-one</t>
  </si>
  <si>
    <t>24332-22-7</t>
  </si>
  <si>
    <t>4H-imidazole</t>
  </si>
  <si>
    <t>288-30-2</t>
  </si>
  <si>
    <t>4-hydroxy-2,2,6,6-tetramethyl-1-piperidinyloxy</t>
  </si>
  <si>
    <t>2226-96-2</t>
  </si>
  <si>
    <t>4-hydroxy-2-butanone</t>
  </si>
  <si>
    <t>590-90-9</t>
  </si>
  <si>
    <t>4-hydroxy-2-heptanone</t>
  </si>
  <si>
    <t>25290-14-6</t>
  </si>
  <si>
    <t>4-hydroxy-2-hexanone</t>
  </si>
  <si>
    <t>56072-26-5</t>
  </si>
  <si>
    <t>4-hydroxy-4-methyl-2-pentanone</t>
  </si>
  <si>
    <t>123-42-2</t>
  </si>
  <si>
    <t>4-hydroxyacetophenone</t>
  </si>
  <si>
    <t>99-93-4</t>
  </si>
  <si>
    <t>4-hydroxybenzenesulfonic acid</t>
  </si>
  <si>
    <t>98-67-9</t>
  </si>
  <si>
    <t>4-hydroxybutyl butyrate</t>
  </si>
  <si>
    <t>55011-60-4</t>
  </si>
  <si>
    <t>4-hydroxyphenethyl alcohol</t>
  </si>
  <si>
    <t>501-94-0</t>
  </si>
  <si>
    <t>4-isobutylstyrene</t>
  </si>
  <si>
    <t>63444-56-4</t>
  </si>
  <si>
    <t>4-isopropylacetophenone</t>
  </si>
  <si>
    <t>645-13-6</t>
  </si>
  <si>
    <t>4-isopropylbenzyl alcohol</t>
  </si>
  <si>
    <t>536-60-7</t>
  </si>
  <si>
    <t>4-isopropylheptane</t>
  </si>
  <si>
    <t>52896-87-4</t>
  </si>
  <si>
    <t>4-methoxybenzaldehyde</t>
  </si>
  <si>
    <t>123-11-5</t>
  </si>
  <si>
    <t>4-methoxybenzyl alcohol</t>
  </si>
  <si>
    <t>105-13-5</t>
  </si>
  <si>
    <t>4-methyl biphenyl</t>
  </si>
  <si>
    <t>644-08-6</t>
  </si>
  <si>
    <t>4-methyl-1,4-heptadiene</t>
  </si>
  <si>
    <t>13857-55-1</t>
  </si>
  <si>
    <t>4-methyl-1-cyclohexanemethanol</t>
  </si>
  <si>
    <t>34885-03-5</t>
  </si>
  <si>
    <t>4-methyl-1-hexene</t>
  </si>
  <si>
    <t>3769-23-1</t>
  </si>
  <si>
    <t>4-methyl-1-isopropylcyclohexene</t>
  </si>
  <si>
    <t>500-00-5</t>
  </si>
  <si>
    <t>4-methyl-1-pentene</t>
  </si>
  <si>
    <t>691-37-2</t>
  </si>
  <si>
    <t>4-methyl-2-pentanol</t>
  </si>
  <si>
    <t>108-11-2</t>
  </si>
  <si>
    <t>4-methyl-2-pentanol acetate</t>
  </si>
  <si>
    <t>108-84-9</t>
  </si>
  <si>
    <t>4-methyl-2-pentene</t>
  </si>
  <si>
    <t>4461-48-7</t>
  </si>
  <si>
    <t>4-methyl-3-thiadecane</t>
  </si>
  <si>
    <t>53970-40-4</t>
  </si>
  <si>
    <t>4-methylcyclopentene</t>
  </si>
  <si>
    <t>1759-81-5</t>
  </si>
  <si>
    <t>4-methylheptane</t>
  </si>
  <si>
    <t>589-53-7</t>
  </si>
  <si>
    <t>4-methylhexanoic acid</t>
  </si>
  <si>
    <t>1561-11-1</t>
  </si>
  <si>
    <t>4-methylmorpholine</t>
  </si>
  <si>
    <t>109-02-4</t>
  </si>
  <si>
    <t>4-methylnonane</t>
  </si>
  <si>
    <t>17301-94-9</t>
  </si>
  <si>
    <t>4-methyloctane</t>
  </si>
  <si>
    <t>2216-34-4</t>
  </si>
  <si>
    <t>4-methylpyridine</t>
  </si>
  <si>
    <t>108-89-4</t>
  </si>
  <si>
    <t>4-methylquinoline</t>
  </si>
  <si>
    <t>491-35-0</t>
  </si>
  <si>
    <t>4-morpholinoethanol</t>
  </si>
  <si>
    <t>622-40-2</t>
  </si>
  <si>
    <t>4-N-5-di-tert-butyl-2,4-toluenediamine</t>
  </si>
  <si>
    <t>106917-63-9</t>
  </si>
  <si>
    <t>4-nitro-o-anisidine</t>
  </si>
  <si>
    <t>97-52-9</t>
  </si>
  <si>
    <t>4-nitroquinoline-1-oxide</t>
  </si>
  <si>
    <t>56-57-5</t>
  </si>
  <si>
    <t>4-nonyl-phenol, branched</t>
  </si>
  <si>
    <t>84852-15-3</t>
  </si>
  <si>
    <t>4-N-tert-butyl-2,4-toluenediamine</t>
  </si>
  <si>
    <t>106917-61-7</t>
  </si>
  <si>
    <t>4-pentenenitrile</t>
  </si>
  <si>
    <t>592-51-8</t>
  </si>
  <si>
    <t>4-phenyl-2-butanone</t>
  </si>
  <si>
    <t>2550-26-7</t>
  </si>
  <si>
    <t>4-phenylcyclohexene</t>
  </si>
  <si>
    <t>4994-16-5</t>
  </si>
  <si>
    <t>4-propylheptane</t>
  </si>
  <si>
    <t>3178-29-8</t>
  </si>
  <si>
    <t>4-tert-butyl-2-methylphenol</t>
  </si>
  <si>
    <t>4-tert-butylcyclohexanol</t>
  </si>
  <si>
    <t>4-tert-butyltoluene</t>
  </si>
  <si>
    <t>98-51-1</t>
  </si>
  <si>
    <t>4-trifluoromethyl-2-nitroaniline</t>
  </si>
  <si>
    <t>400-98-6</t>
  </si>
  <si>
    <t>4-vinyl-1-cyclohexene diepoxide</t>
  </si>
  <si>
    <t>106-87-6</t>
  </si>
  <si>
    <t>4-vinylcyclohexene</t>
  </si>
  <si>
    <t>100-40-3</t>
  </si>
  <si>
    <t>4-vinylpyridine</t>
  </si>
  <si>
    <t>100-43-6</t>
  </si>
  <si>
    <t>5 (or 6) -carboxy-4-hexyl, 2-cyclohexene-1-octanoic acid</t>
  </si>
  <si>
    <t>53980-88-4</t>
  </si>
  <si>
    <t>5-(hydroxymethyl)-1,3-dimethyl-2,4-imidazolidinedione</t>
  </si>
  <si>
    <t>27636-82-4</t>
  </si>
  <si>
    <t>5,5-dimethyl-2-hexene</t>
  </si>
  <si>
    <t>39761-61-0</t>
  </si>
  <si>
    <t>5,5-dimethyl-4-hydroxy-2-isopropyl-1,3-dioxane</t>
  </si>
  <si>
    <t>5,5-dimethyl-4-hydroxy-6-isopropyl-2-(1',1'-dimethyl-2'-hydoxy)ethyl-1,3-dioxane</t>
  </si>
  <si>
    <t>5,6-dihydro-6-methyl-2H-pyran-3(4H)-one</t>
  </si>
  <si>
    <t>43152-89-2</t>
  </si>
  <si>
    <t>5,6-dihydrodicyclopentadiene</t>
  </si>
  <si>
    <t>4488-57-7</t>
  </si>
  <si>
    <t>5-amino-1,3,3-trimethylcyclohexanemethylamine, mixture of cis and trans</t>
  </si>
  <si>
    <t>2855-13-2</t>
  </si>
  <si>
    <t>5-butyl-1H-1,2,3-benzotriazole, sodium salt</t>
  </si>
  <si>
    <t>118685-34-0</t>
  </si>
  <si>
    <t>5-butyl-5-nonanol</t>
  </si>
  <si>
    <t>597-93-3</t>
  </si>
  <si>
    <t>5-chloro-2-methyl-2H-isothiazol-3-one and 2-methyl-2H-isothiazol-3-one</t>
  </si>
  <si>
    <t>55965-84-9</t>
  </si>
  <si>
    <t>5-chloro-2-methyl-4-isothiazolin-3-one</t>
  </si>
  <si>
    <t>26172-55-4</t>
  </si>
  <si>
    <t>5-ethyl-1-aza-3,7-dioxabicyclo[3.3.0]octane</t>
  </si>
  <si>
    <t>7747-35-5</t>
  </si>
  <si>
    <t>5-ethyl-2-methylheptane</t>
  </si>
  <si>
    <t>13475-78-0</t>
  </si>
  <si>
    <t>5-ethyl-2-nonanol</t>
  </si>
  <si>
    <t>103-08-2</t>
  </si>
  <si>
    <t>5-ethyl-2-nonanone</t>
  </si>
  <si>
    <t>5440-89-1</t>
  </si>
  <si>
    <t>5-ethylidene-2-norbornene</t>
  </si>
  <si>
    <t>16219-75-3</t>
  </si>
  <si>
    <t>5-heptyldihydro-2(3H)-furanone</t>
  </si>
  <si>
    <t>104-67-6</t>
  </si>
  <si>
    <t>5-hexenoic acid</t>
  </si>
  <si>
    <t>1577-22-6</t>
  </si>
  <si>
    <t>5-hydroxyvaleric acid</t>
  </si>
  <si>
    <t>13392-69-3</t>
  </si>
  <si>
    <t>5-methyl-1,3,6-heptatriene</t>
  </si>
  <si>
    <t>925-52-0</t>
  </si>
  <si>
    <t>5-methyl-2H-benzotriazole</t>
  </si>
  <si>
    <t>136-85-6</t>
  </si>
  <si>
    <t>5-methyl-2-undecene</t>
  </si>
  <si>
    <t>56851-34-4</t>
  </si>
  <si>
    <t>5-methyl-3a,4,7,7a-tetrahydro-2-benzofuran-1,3-dione</t>
  </si>
  <si>
    <t>26590-20-5</t>
  </si>
  <si>
    <t>5-methyl-3-heptanone</t>
  </si>
  <si>
    <t>541-85-5</t>
  </si>
  <si>
    <t>5-methyl-3-hexen-2-one</t>
  </si>
  <si>
    <t>5166-53-0</t>
  </si>
  <si>
    <t>5-methyl-4-hexen-2-one</t>
  </si>
  <si>
    <t>28332-44-7</t>
  </si>
  <si>
    <t>5-methyl-4-hydroxy-2-hexanone</t>
  </si>
  <si>
    <t>38836-21-4</t>
  </si>
  <si>
    <t>5-methyl-5-hexen-2-one</t>
  </si>
  <si>
    <t>3240-09-3</t>
  </si>
  <si>
    <t>5-methylindane</t>
  </si>
  <si>
    <t>874-35-1</t>
  </si>
  <si>
    <t>5-methylnonane</t>
  </si>
  <si>
    <t>15869-85-9</t>
  </si>
  <si>
    <t>5-methylquinoline</t>
  </si>
  <si>
    <t>7661-55-4</t>
  </si>
  <si>
    <t>5-nitro-o-anisidine</t>
  </si>
  <si>
    <t>99-59-2</t>
  </si>
  <si>
    <t>5-nonanone</t>
  </si>
  <si>
    <t>502-56-7</t>
  </si>
  <si>
    <t>5-propyldihydro-2-furanone</t>
  </si>
  <si>
    <t>26524-73-2</t>
  </si>
  <si>
    <t>5-vinyl-2-norbornene</t>
  </si>
  <si>
    <t>3048-64-4</t>
  </si>
  <si>
    <t>6,10,14-trimethyl-2-pentadecanol</t>
  </si>
  <si>
    <t>69729-17-5</t>
  </si>
  <si>
    <t>6-acetoxydicyclopentadiene</t>
  </si>
  <si>
    <t>54830-99-8</t>
  </si>
  <si>
    <t>6-chloro-1-hexene</t>
  </si>
  <si>
    <t>928-89-2</t>
  </si>
  <si>
    <t>6-deoxy-3-C-methyl-2-O-methylhexose</t>
  </si>
  <si>
    <t>27208-98-6</t>
  </si>
  <si>
    <t>6-dodecanol</t>
  </si>
  <si>
    <t>6836-38-0</t>
  </si>
  <si>
    <t>6-hydroxycaproic acid</t>
  </si>
  <si>
    <t>1191-25-9</t>
  </si>
  <si>
    <t>6-methyl-3a,4,5,7a-tetrahydro-2-benzofuran-1,3-dione</t>
  </si>
  <si>
    <t>34090-76-1</t>
  </si>
  <si>
    <t>6-methyl-5-hepten-2-one</t>
  </si>
  <si>
    <t>110-93-0</t>
  </si>
  <si>
    <t>6-methylquinoline</t>
  </si>
  <si>
    <t>91-62-3</t>
  </si>
  <si>
    <t>6-undecanone</t>
  </si>
  <si>
    <t>927-49-1</t>
  </si>
  <si>
    <t>7-(2-(2-hydroxymethylethoxy)methylethoxy)tetramethyl-3,6,8,11-tetraoxa-7-phosphatridecane-1,13-diol</t>
  </si>
  <si>
    <t>36788-39-3</t>
  </si>
  <si>
    <t>7-diethylamino-4-methylcoumarin</t>
  </si>
  <si>
    <t>91-44-1</t>
  </si>
  <si>
    <t>7-ethyl-2-methyl-4-undecanol</t>
  </si>
  <si>
    <t>103-20-8</t>
  </si>
  <si>
    <t>7-hydroxy-3,7-dimethyloctanal</t>
  </si>
  <si>
    <t>107-75-5</t>
  </si>
  <si>
    <t>7-methyl-4-undecene</t>
  </si>
  <si>
    <t>76441-79-7</t>
  </si>
  <si>
    <t>7-methylquinoline</t>
  </si>
  <si>
    <t>612-60-2</t>
  </si>
  <si>
    <t>7-phenyl-2-heptanone</t>
  </si>
  <si>
    <t>14171-88-1</t>
  </si>
  <si>
    <t>8-hydroxy quinoline</t>
  </si>
  <si>
    <t>148-24-3</t>
  </si>
  <si>
    <t>8-methylquinoline</t>
  </si>
  <si>
    <t>611-32-5</t>
  </si>
  <si>
    <t>9,9-dimethyldecanoic acid</t>
  </si>
  <si>
    <t>68938-07-8</t>
  </si>
  <si>
    <t>9-[n-(2-hydroxypropyl)-(Z)-octadeceneamide</t>
  </si>
  <si>
    <t>111-05-7</t>
  </si>
  <si>
    <t>9-dodecenoic acid, methyl ester</t>
  </si>
  <si>
    <t>39202-17-0</t>
  </si>
  <si>
    <t>a,a'-(iminodi-2,1-ethanediyl) bis[hydroxy-poly(oxy-1,2-ethanediyl)], N-[2-(4,5) dihydro-2-nortall-oil alkyl-1H-(imidazol-1-yl)ethyl] derivs</t>
  </si>
  <si>
    <t>68928-27-8</t>
  </si>
  <si>
    <t>a,a'-(iminodi-2,1-ethanediyl)bis[omega-hydroxy-poly(oxy-1,2-ethanediyl), N-[3-(brancheddecyloxy)propyl]</t>
  </si>
  <si>
    <t>68478-95-5</t>
  </si>
  <si>
    <t>a,a',a"-1,2,3-propanetriyltris[omega-hydroxy]-poly[oxy(methyl-1,2-ethanediyl)] (polyether polyol)</t>
  </si>
  <si>
    <t>25791-96-2</t>
  </si>
  <si>
    <t>a,a'-[(hexylimino)di-2,1-ethanediyl]bis[omega-hydroxy]-poly(oxy-1,2-ethanediyl)</t>
  </si>
  <si>
    <t>67875-41-6</t>
  </si>
  <si>
    <t>a,a'-[[[3-(decyloxy)propyl]methyliminio]di-2,1-ethanediyl]bis[w-hydroxy-poly(oxy-1,2-ethanediyl), branched, chlorides</t>
  </si>
  <si>
    <t>68478-94-4</t>
  </si>
  <si>
    <t>a,a'-phosphinicobis[omega-(4-nonylphenoxy)-poly(oxy-1,2-ethanediyl)</t>
  </si>
  <si>
    <t>9071-85-6</t>
  </si>
  <si>
    <t>a,a'-phosphinicobis[omega-(tridecyloxy)] poly(oxy-1,2-ethanediyl), branched</t>
  </si>
  <si>
    <t>68891-26-9</t>
  </si>
  <si>
    <t>abietic acid</t>
  </si>
  <si>
    <t>514-10-3</t>
  </si>
  <si>
    <t>Acacia Gum</t>
  </si>
  <si>
    <t>9000-01-5</t>
  </si>
  <si>
    <t>acenaphthene</t>
  </si>
  <si>
    <t>83-32-9</t>
  </si>
  <si>
    <t>acenaphthylene</t>
  </si>
  <si>
    <t>208-96-8</t>
  </si>
  <si>
    <t>acetal</t>
  </si>
  <si>
    <t>105-57-7</t>
  </si>
  <si>
    <t>acetaldehyde</t>
  </si>
  <si>
    <t>75-07-0</t>
  </si>
  <si>
    <t>acetaldehyde oxime</t>
  </si>
  <si>
    <t>107-29-9</t>
  </si>
  <si>
    <t>acetamide</t>
  </si>
  <si>
    <t>60-35-5</t>
  </si>
  <si>
    <t>acetamiprid</t>
  </si>
  <si>
    <t>135410-20-7</t>
  </si>
  <si>
    <t>acetate salt by-products from 2-aminoethanol reaction products with ammonia</t>
  </si>
  <si>
    <t>169591-03-1</t>
  </si>
  <si>
    <t>acetic acid</t>
  </si>
  <si>
    <t>64-19-7</t>
  </si>
  <si>
    <t>acetic acid, aluminum salt (3:1)</t>
  </si>
  <si>
    <t>139-12-8</t>
  </si>
  <si>
    <t>acetic acid, C6-8 branched alkyl esters</t>
  </si>
  <si>
    <t>90438-79-2</t>
  </si>
  <si>
    <t>acetic acid, C7-9-branched alkyl esters, C8-rich</t>
  </si>
  <si>
    <t>108419-32-5</t>
  </si>
  <si>
    <t>acetic acid, C8-10-branched alkyl esters, C9-rich</t>
  </si>
  <si>
    <t>108419-33-6</t>
  </si>
  <si>
    <t>acetic acid, nonyl ester</t>
  </si>
  <si>
    <t>143-13-5</t>
  </si>
  <si>
    <t>acetic anhydride</t>
  </si>
  <si>
    <t>108-24-7</t>
  </si>
  <si>
    <t>acetic formic anhydride</t>
  </si>
  <si>
    <t>2258-42-6</t>
  </si>
  <si>
    <t>acetoacetanilide</t>
  </si>
  <si>
    <t>102-01-2</t>
  </si>
  <si>
    <t>Acetochlor</t>
  </si>
  <si>
    <t>34256-82-1</t>
  </si>
  <si>
    <t>acetochlor herbicide</t>
  </si>
  <si>
    <t>123113-74-6</t>
  </si>
  <si>
    <t>acetone</t>
  </si>
  <si>
    <t>67-64-1</t>
  </si>
  <si>
    <t>acetone cyanohydrin</t>
  </si>
  <si>
    <t>75-86-5</t>
  </si>
  <si>
    <t>acetone oxime</t>
  </si>
  <si>
    <t>127-06-0</t>
  </si>
  <si>
    <t>acetonitrile</t>
  </si>
  <si>
    <t>75-05-8</t>
  </si>
  <si>
    <t>acetophenone</t>
  </si>
  <si>
    <t>98-86-2</t>
  </si>
  <si>
    <t>acetoxy acetic acid</t>
  </si>
  <si>
    <t>13831-30-6</t>
  </si>
  <si>
    <t>acetyl chloride</t>
  </si>
  <si>
    <t>75-36-5</t>
  </si>
  <si>
    <t>acetyl fluoride</t>
  </si>
  <si>
    <t>acetyl fluoride | For air permit reviews in agricultural areas</t>
  </si>
  <si>
    <t>acetyl fluoride | For air permit reviews in agricultural areas with cattle</t>
  </si>
  <si>
    <t>557-99-3 (For air permit reviews in agricultural areas with cattle)</t>
  </si>
  <si>
    <t>acetylacetone peroxide</t>
  </si>
  <si>
    <t>37187-22-7</t>
  </si>
  <si>
    <t>acetylcedrene</t>
  </si>
  <si>
    <t>32388-55-9</t>
  </si>
  <si>
    <t>acetylene</t>
  </si>
  <si>
    <t>74-86-2</t>
  </si>
  <si>
    <t>acetylsalicylic acid</t>
  </si>
  <si>
    <t>50-78-2</t>
  </si>
  <si>
    <t>acid-treated middle petroleum distillates</t>
  </si>
  <si>
    <t>64742-13-8</t>
  </si>
  <si>
    <t>acidulated corn/soya soapstock</t>
  </si>
  <si>
    <t>68308-53-2</t>
  </si>
  <si>
    <t>acrolein</t>
  </si>
  <si>
    <t>107-02-8</t>
  </si>
  <si>
    <t>acrylamide</t>
  </si>
  <si>
    <t>79-06-1</t>
  </si>
  <si>
    <t>acrylic acid</t>
  </si>
  <si>
    <t>79-10-7</t>
  </si>
  <si>
    <t>acrylonitrile</t>
  </si>
  <si>
    <t>107-13-1</t>
  </si>
  <si>
    <t>ACTICIDE GA</t>
  </si>
  <si>
    <t>adamantane</t>
  </si>
  <si>
    <t>281-23-2</t>
  </si>
  <si>
    <t>adipic acid</t>
  </si>
  <si>
    <t>124-04-9</t>
  </si>
  <si>
    <t>adipic acid, polymer with hexane-1,6-diol and propylidynetrimethanol</t>
  </si>
  <si>
    <t>56266-32-1</t>
  </si>
  <si>
    <t>adiponitrile</t>
  </si>
  <si>
    <t>111-69-3</t>
  </si>
  <si>
    <t>aflatoxin</t>
  </si>
  <si>
    <t>1402-68-2</t>
  </si>
  <si>
    <t>Alachlor Technical</t>
  </si>
  <si>
    <t>15972-60-8</t>
  </si>
  <si>
    <t>alcohol ether sulfate</t>
  </si>
  <si>
    <t>alcohol, ethoxylated, not otherwise specified</t>
  </si>
  <si>
    <t>alcohol, generic, not otherwise specified</t>
  </si>
  <si>
    <t xml:space="preserve">alcohols C9, branched and linear </t>
  </si>
  <si>
    <t>85711-26-8</t>
  </si>
  <si>
    <t>alcohols C9, branched and linear , C10-rich</t>
  </si>
  <si>
    <t>93821-11-5</t>
  </si>
  <si>
    <t>alcohols, C&gt;14, ethoxylated</t>
  </si>
  <si>
    <t>251553-55-6</t>
  </si>
  <si>
    <t>alcohols, C10-14, ethoxylated</t>
  </si>
  <si>
    <t>66455-15-0</t>
  </si>
  <si>
    <t>alcohols, C10-16</t>
  </si>
  <si>
    <t>67762-41-8</t>
  </si>
  <si>
    <t>alcohols, C10-16, ethoxylated</t>
  </si>
  <si>
    <t>68002-97-1</t>
  </si>
  <si>
    <t>alcohols, C10-16, ethoxylated propoxylated</t>
  </si>
  <si>
    <t>69227-22-1</t>
  </si>
  <si>
    <t>alcohols, C10-C12, ethoxylated, propoxylated</t>
  </si>
  <si>
    <t>68154-97-2</t>
  </si>
  <si>
    <t>alcohols, C11-14-iso-, C13-rich, ethoxylated propoxylated</t>
  </si>
  <si>
    <t>78330-23-1</t>
  </si>
  <si>
    <t>alcohols, C11-14-isoalcs., C13-rich, ethoxylated</t>
  </si>
  <si>
    <t>78330-21-9</t>
  </si>
  <si>
    <t>alcohols, C12-13</t>
  </si>
  <si>
    <t>75782-86-4</t>
  </si>
  <si>
    <t>alcohols, C12-13, ethoxylated</t>
  </si>
  <si>
    <t>66455-14-9</t>
  </si>
  <si>
    <t>alcohols, C12-14, ethoxylated</t>
  </si>
  <si>
    <t>68439-50-9</t>
  </si>
  <si>
    <t>alcohols, C12-14, ethoxylated, propoxylated</t>
  </si>
  <si>
    <t>68439-51-0</t>
  </si>
  <si>
    <t>alcohols, C12-14, secondary</t>
  </si>
  <si>
    <t>126950-60-5</t>
  </si>
  <si>
    <t>alcohols, C12-15</t>
  </si>
  <si>
    <t>63393-82-8</t>
  </si>
  <si>
    <t>alcohols, C12-15, ethoxylated</t>
  </si>
  <si>
    <t>68131-39-5</t>
  </si>
  <si>
    <t>alcohols, C12-15-branched and linear, ethoxylated propoxylated</t>
  </si>
  <si>
    <t>120313-48-6</t>
  </si>
  <si>
    <t>alcohols, C12-16, ethoxylated</t>
  </si>
  <si>
    <t>68551-12-2</t>
  </si>
  <si>
    <t>alcohols, C12-18 (ethoxylated propoxylated)</t>
  </si>
  <si>
    <t>69227-21-0</t>
  </si>
  <si>
    <t>alcohols, C12-18, distn. residues</t>
  </si>
  <si>
    <t>68603-16-7</t>
  </si>
  <si>
    <t>alcohols, C12-18, ethoxylated</t>
  </si>
  <si>
    <t>68213-23-0</t>
  </si>
  <si>
    <t>alcohols, C12-C16</t>
  </si>
  <si>
    <t>68855-56-1</t>
  </si>
  <si>
    <t>alcohols, C14-18, ethoxylated, propoxylated</t>
  </si>
  <si>
    <t>68154-98-3</t>
  </si>
  <si>
    <t>alcohols, C16-18 ethoxylated</t>
  </si>
  <si>
    <t>68439-49-6</t>
  </si>
  <si>
    <t>alcohols, C16-18, distn. residues</t>
  </si>
  <si>
    <t>68603-17-8</t>
  </si>
  <si>
    <t>alcohols, C16-C18, ethoxylated, propoxylated</t>
  </si>
  <si>
    <t>68002-96-0</t>
  </si>
  <si>
    <t>alcohols, C2-C33 manuf. of, by products from overheads</t>
  </si>
  <si>
    <t>876065-86-0</t>
  </si>
  <si>
    <t>alcohols, C6-10, ethoxylated</t>
  </si>
  <si>
    <t>70879-83-3</t>
  </si>
  <si>
    <t>alcohols, C6-12, ethoxylated</t>
  </si>
  <si>
    <t>68439-45-2</t>
  </si>
  <si>
    <t>alcohols, C6-12, ethoxylated propoxylated</t>
  </si>
  <si>
    <t>68937-66-6</t>
  </si>
  <si>
    <t>alcohols, C6-C12</t>
  </si>
  <si>
    <t>68603-15-6</t>
  </si>
  <si>
    <t>alcohols, C7-9-iso, C8 rich, ethoxylated</t>
  </si>
  <si>
    <t>78330-19-5</t>
  </si>
  <si>
    <t>alcohols, C8-10, ethoxylated, sulfates, ammonium salts</t>
  </si>
  <si>
    <t>68891-29-2</t>
  </si>
  <si>
    <t>alcohols, C8-18, ethoxylated</t>
  </si>
  <si>
    <t>69013-18-9</t>
  </si>
  <si>
    <t>alcohols, C9-11</t>
  </si>
  <si>
    <t>66455-17-2</t>
  </si>
  <si>
    <t>alcohols, C9-C11, ethoxylated</t>
  </si>
  <si>
    <t>68439-46-3</t>
  </si>
  <si>
    <t>aldehyde, generic, not otherwise specified</t>
  </si>
  <si>
    <t>aldol</t>
  </si>
  <si>
    <t>107-89-1</t>
  </si>
  <si>
    <t>aliphatic dibasic esters</t>
  </si>
  <si>
    <t>aliphatic esters</t>
  </si>
  <si>
    <t>aliphatic glycidyl ether</t>
  </si>
  <si>
    <t>aliphatic hydrocarbon blend</t>
  </si>
  <si>
    <t>69430-33-7</t>
  </si>
  <si>
    <t>aliphatic petroleum distillates (mineral spirits)</t>
  </si>
  <si>
    <t>64741-41-9</t>
  </si>
  <si>
    <t>aliphatic petroleum naphtha</t>
  </si>
  <si>
    <t>64742-30-9</t>
  </si>
  <si>
    <t>alkanes, C10-24</t>
  </si>
  <si>
    <t>289711-49-5</t>
  </si>
  <si>
    <t>alkanes, C10-24, branched</t>
  </si>
  <si>
    <t>289711-48-4</t>
  </si>
  <si>
    <t>alkanes, C14-16</t>
  </si>
  <si>
    <t>90622-46-1</t>
  </si>
  <si>
    <t>alkanes, C18-28, chloro</t>
  </si>
  <si>
    <t>85535-86-0</t>
  </si>
  <si>
    <t>alkanes, C5-C16, generic, not otherwise specified</t>
  </si>
  <si>
    <t>alkanolamide</t>
  </si>
  <si>
    <t>alkanolamine</t>
  </si>
  <si>
    <t>alkanolamine fatty acid ester</t>
  </si>
  <si>
    <t>alkenes, C&gt;10 alpha</t>
  </si>
  <si>
    <t>64743-02-8</t>
  </si>
  <si>
    <t>alkenes, C10-16</t>
  </si>
  <si>
    <t>68991-52-6</t>
  </si>
  <si>
    <t>alkenes, C11-13, C12-rich</t>
  </si>
  <si>
    <t>68526-58-9</t>
  </si>
  <si>
    <t>alkenes, C18 alpha, isomerized</t>
  </si>
  <si>
    <t>alkenes, C20-24 alpha</t>
  </si>
  <si>
    <t>alkenes, C6-8-branched, C7-rich</t>
  </si>
  <si>
    <t>97592-99-9</t>
  </si>
  <si>
    <t>alkenes, C7-9, C8-rich</t>
  </si>
  <si>
    <t>68526-54-5</t>
  </si>
  <si>
    <t>alkenes, C8-10, C9-rich</t>
  </si>
  <si>
    <t>68526-55-6</t>
  </si>
  <si>
    <t>alkenes, C9-11, C10-rich</t>
  </si>
  <si>
    <t>68526-56-7</t>
  </si>
  <si>
    <t>alkenes, generic, not otherwise specified</t>
  </si>
  <si>
    <t>alkenyl succinic anhydride</t>
  </si>
  <si>
    <t>67762-77-0</t>
  </si>
  <si>
    <t>alkoxylated linear alcohol</t>
  </si>
  <si>
    <t>alkyl (C12-C13) glycidyl ether</t>
  </si>
  <si>
    <t>120547-52-6</t>
  </si>
  <si>
    <t>alkyl acetate, generic, not otherwise specified</t>
  </si>
  <si>
    <t>alkyl alcohol (C8-10) ethoxylates</t>
  </si>
  <si>
    <t>71060-57-6</t>
  </si>
  <si>
    <t>alkyl alcohol (C8-22) ethoxylates</t>
  </si>
  <si>
    <t>69013-19-0</t>
  </si>
  <si>
    <t>alkyl alcohol ethoxylate</t>
  </si>
  <si>
    <t>74432-13-6</t>
  </si>
  <si>
    <t>alkyl alcohol ethoxylates, C9-C11, branched</t>
  </si>
  <si>
    <t>78330-20-8</t>
  </si>
  <si>
    <t>alkyl benzene, C6-C9, generic, not otherwise specified</t>
  </si>
  <si>
    <t>alkyl benzene, C9 and higher, generic, not otherwise specified</t>
  </si>
  <si>
    <t>alkyl dimethyl amine oxides</t>
  </si>
  <si>
    <t>61788-90-7</t>
  </si>
  <si>
    <t>alkyl ether amines</t>
  </si>
  <si>
    <t>alkyl naphthalene</t>
  </si>
  <si>
    <t>alkyl phenol ethoxylate</t>
  </si>
  <si>
    <t>alkyl tallow amine ethoxylated</t>
  </si>
  <si>
    <t>61791-26-2</t>
  </si>
  <si>
    <t>alkyl tallow amine ethoxylated acetates (salts)</t>
  </si>
  <si>
    <t>68551-33-7</t>
  </si>
  <si>
    <t>alkylaryl etheral alcohols</t>
  </si>
  <si>
    <t>alkylate, full range alkylation naphtha</t>
  </si>
  <si>
    <t>64741-64-6</t>
  </si>
  <si>
    <t>alkylated aromatic compounds</t>
  </si>
  <si>
    <t>alkylidene, generic, not otherwise specified</t>
  </si>
  <si>
    <t>alkyloxypolyethyleneoxyethanol</t>
  </si>
  <si>
    <t>68131-40-8</t>
  </si>
  <si>
    <t>allyl (3-methylbutoxy)acetate</t>
  </si>
  <si>
    <t>67634-00-8</t>
  </si>
  <si>
    <t>allyl alcohol</t>
  </si>
  <si>
    <t>107-18-6</t>
  </si>
  <si>
    <t>allyl bromide</t>
  </si>
  <si>
    <t>106-95-6</t>
  </si>
  <si>
    <t>allyl chloride</t>
  </si>
  <si>
    <t>107-05-1</t>
  </si>
  <si>
    <t>allyl disulfide</t>
  </si>
  <si>
    <t>2179-57-9</t>
  </si>
  <si>
    <t>allyl ether</t>
  </si>
  <si>
    <t>557-40-4</t>
  </si>
  <si>
    <t>allyl formate</t>
  </si>
  <si>
    <t>1838-59-1</t>
  </si>
  <si>
    <t>allyl glycidyl ether</t>
  </si>
  <si>
    <t>106-92-3</t>
  </si>
  <si>
    <t>allyl isothiocyanate</t>
  </si>
  <si>
    <t>57-06-7</t>
  </si>
  <si>
    <t>allyl methacrylate</t>
  </si>
  <si>
    <t>96-05-9</t>
  </si>
  <si>
    <t>allyl propyl disulfide</t>
  </si>
  <si>
    <t>2179-59-1</t>
  </si>
  <si>
    <t>allyl succinic anhydride</t>
  </si>
  <si>
    <t>7539-12-0</t>
  </si>
  <si>
    <t>allylamine</t>
  </si>
  <si>
    <t>107-11-9</t>
  </si>
  <si>
    <t>allyloxypolyethylene glycol</t>
  </si>
  <si>
    <t>27274-31-3</t>
  </si>
  <si>
    <t>alpha-(3,5-dimethyl-1-(2-methylpropyl)hexyl)-omega-hydroxy-poly(oxy-1,2-ethanediyl)</t>
  </si>
  <si>
    <t>60828-78-6</t>
  </si>
  <si>
    <t>alpha-(4-Nonylphenyl)-omega-hydroxy-poly(oxy-1,2-ethanediyl) branched</t>
  </si>
  <si>
    <t>127087-87-0</t>
  </si>
  <si>
    <t>alpha-(4-nonylphenyl)-omega-hydroxy-poly(oxy-1,2-ethanediyl) phosphate</t>
  </si>
  <si>
    <t>51609-41-7</t>
  </si>
  <si>
    <t>alpha-(dimethylphenyl)-omega-hydroxy-poly(oxy-1,2-ethanediyl)</t>
  </si>
  <si>
    <t>61723-82-8</t>
  </si>
  <si>
    <t>alpha-(dinonylphenyl)-omega-hydroxy-poly(oxy-1,2-ethanediyl)</t>
  </si>
  <si>
    <t>9014-93-1</t>
  </si>
  <si>
    <t>alpha-(dodecylphenyl)-omega-hydroxy-poly(oxy-1,2-ethanediyl)</t>
  </si>
  <si>
    <t>9014-92-0</t>
  </si>
  <si>
    <t>alpha,alpha'-(((3-methylphenyl)imino)di-2,1-ethanediyl)bis(omega-hydroxy-poly(oxy-1,2-ethanediyl))</t>
  </si>
  <si>
    <t>36356-82-8</t>
  </si>
  <si>
    <t>alpha,alpha'-((9-octadecen-1-ylimino)di-2,1-ethanediyl)bis(omega-hydroxy)poly(oxy-1,2-ethanediyl)</t>
  </si>
  <si>
    <t>58253-49-9</t>
  </si>
  <si>
    <t>alpha,alpha'-((phenylimino)di-2,1-ethanediyl)bis(omega-hydroxy-poly(oxy-1,2-ethanediyl))</t>
  </si>
  <si>
    <t>36356-83-9</t>
  </si>
  <si>
    <t>alpha,alpha,alpha,alpha-((1,36-dioxo-1,36-hexacosanediyl)bis(oxy-2,1-ethanediylnitrilodi-2,1-ethanediyl))tetrakis(omega-hydroxy-poly(oxy-1,2-ethanediyl)</t>
  </si>
  <si>
    <t>68214-24-4</t>
  </si>
  <si>
    <t>alpha,alpha',alpha''-1,2,3-propanetriyltris(omega-(2-aminomethylethoxy)-poly(oxy(methyl-1,2-ethanediyl))</t>
  </si>
  <si>
    <t>64852-22-8</t>
  </si>
  <si>
    <t>alpha-[2-(tert-dodecylthio)ethyl]-omega-hydroxy-poly(oxy-1,2-ethanediyl)</t>
  </si>
  <si>
    <t>9004-83-5</t>
  </si>
  <si>
    <t>alpha-[3-[3-(2H-benzotriazol-2-yl)-5-(1,1-dimethylethyl)-4-hydroxyphenyl]-1-oxopropyl]-omega-[3-[3-(2Hbenzotriazol-2-yl)-5-(1,1-dimethylethyl)-4-hydroxyphenyl]-1-oxopropoxy]poly(oxy-1,2-ethanediyl)</t>
  </si>
  <si>
    <t>104810-47-1</t>
  </si>
  <si>
    <t>alpha-2-propen-1-yl-omega-hydroxy-poly(oxy(methyl-1,2-ethanediyl))</t>
  </si>
  <si>
    <t>9042-19-7</t>
  </si>
  <si>
    <t>alpha-amylase, bacterial</t>
  </si>
  <si>
    <t>9000-85-5</t>
  </si>
  <si>
    <t>alpha-amylcinnamaldehyde</t>
  </si>
  <si>
    <t>122-40-7</t>
  </si>
  <si>
    <t>alpha-C12-15-alkyl-omega-sulfo-poly(oxy-1,2-ethanediyl), sodium salt</t>
  </si>
  <si>
    <t>121546-77-8</t>
  </si>
  <si>
    <t>alpha-cumyl peroxyneoheptanoate</t>
  </si>
  <si>
    <t>104852-44-0</t>
  </si>
  <si>
    <t>alpha-decyl-omega-hydroxy-poly(oxy-1,2-ethanediyl)</t>
  </si>
  <si>
    <t>26183-52-8</t>
  </si>
  <si>
    <t>alpha-hexyl-omega-hydroxy-poly(oxy-1,2-ethanediyl)</t>
  </si>
  <si>
    <t>31726-34-8</t>
  </si>
  <si>
    <t>alpha-hydro-omega-hydroxy-poly(oxy-1,2-ethanediyl), ether with d-glucitol (6:1)</t>
  </si>
  <si>
    <t>53694-15-8</t>
  </si>
  <si>
    <t>alpha-hydro-omega-hydroxy-poly(oxy-1,2-ethanediyl), mono-C11-14-isoalkyl ethers, C13-rich, phosphates, ethoxylated</t>
  </si>
  <si>
    <t>78330-22-0</t>
  </si>
  <si>
    <t>alpha-hydro-omega-hydroxy-poly[oxy(methyl-1,2-ethanediyl)], ether with [[(2-hydroxymethylethyl)imino]bis(2,1-ethanediylnitrilo)]tetrakis[propanol] (5:1)</t>
  </si>
  <si>
    <t>61252-98-0</t>
  </si>
  <si>
    <t>alpha-hydro-omega-hydroxy-poly[oxy(methyl-1,2-ethanediyl)], ether with D-glucitol (6:1)</t>
  </si>
  <si>
    <t>52625-13-5</t>
  </si>
  <si>
    <t>alpha-methylbenzyl alcohol</t>
  </si>
  <si>
    <t>98-85-1</t>
  </si>
  <si>
    <t>alpha-methylstyrene</t>
  </si>
  <si>
    <t>98-83-9</t>
  </si>
  <si>
    <t>alpha-methylstyrene dimer</t>
  </si>
  <si>
    <t>6362-80-7</t>
  </si>
  <si>
    <t>alpha-pinene</t>
  </si>
  <si>
    <t>80-56-8</t>
  </si>
  <si>
    <t>alpha-terpinene</t>
  </si>
  <si>
    <t>99-86-5</t>
  </si>
  <si>
    <t>alpha-terpineol</t>
  </si>
  <si>
    <t>98-55-5</t>
  </si>
  <si>
    <t>alpha-terpineol acetate</t>
  </si>
  <si>
    <t>8007-35-0</t>
  </si>
  <si>
    <t>alpha-tetradecyl-omega-hyroxy-poly(oxy-1,2-ethanediyl)</t>
  </si>
  <si>
    <t>27306-79-2</t>
  </si>
  <si>
    <t>alpha-tridecyl-omega-hyroxy-poly(oxy-1,2-ethanediyl) phosphonate</t>
  </si>
  <si>
    <t>9046-01-9</t>
  </si>
  <si>
    <t>alpha-undecyl-omega-hydroxy-poly(oxy-1,2-ethanediyl)</t>
  </si>
  <si>
    <t>34398-01-1</t>
  </si>
  <si>
    <t>amide, generic, not otherwise specified</t>
  </si>
  <si>
    <t>amides, coco, N-[3-(dimethylamino)propyl], alkylation products with chloroacetic acid, sodium salts</t>
  </si>
  <si>
    <t>70851-07-9</t>
  </si>
  <si>
    <t>amides, from C14-18 and C16-18-unsatd. fatty acids and diethylenetriamine, phosphates</t>
  </si>
  <si>
    <t>91844-83-6</t>
  </si>
  <si>
    <t>amides, from C18-unsatd. fatty acid dimers and diethylenetriamine</t>
  </si>
  <si>
    <t>70321-65-2</t>
  </si>
  <si>
    <t>amides, from diethylenetriamine, oleic acid and tall-oil fatty acids</t>
  </si>
  <si>
    <t>68526-42-1</t>
  </si>
  <si>
    <t>amides, from tall-oil fatty acids and tetraethylenepentamine</t>
  </si>
  <si>
    <t>68155-17-9</t>
  </si>
  <si>
    <t>amides, tall oil fatty, N,N-bis(2-hydroxyethyl)-</t>
  </si>
  <si>
    <t>68155-20-4</t>
  </si>
  <si>
    <t>amides, tall-oil fatty, N-[2-(4,5-dihydro-2-nortall-oil alkyl-1H-imidazol-1-yl)ethyl]</t>
  </si>
  <si>
    <t>68155-19-1</t>
  </si>
  <si>
    <t>amine, generic, not otherwise specified</t>
  </si>
  <si>
    <t>amine, tallow, not otherwise specified</t>
  </si>
  <si>
    <t>amines, bis(hydrogenated tallow alkyl), 2-((bis(hydrogenated tallow alkyl)amino)carbonyl)benzoates</t>
  </si>
  <si>
    <t>91745-35-6</t>
  </si>
  <si>
    <t>amines, C12-14-tert-alkyl, ethoxylated</t>
  </si>
  <si>
    <t>73138-27-9</t>
  </si>
  <si>
    <t>amines, C12-14-tert-alkyl, ethoxylated, sulfates, sodium salts</t>
  </si>
  <si>
    <t>72379-24-9</t>
  </si>
  <si>
    <t>amines, C12-16-alkyldimethyl</t>
  </si>
  <si>
    <t>68439-70-3</t>
  </si>
  <si>
    <t>amines, C16-22-alkyl</t>
  </si>
  <si>
    <t>68037-92-3</t>
  </si>
  <si>
    <t>amines, C16-22-alkyldimethyl</t>
  </si>
  <si>
    <t>75444-69-8</t>
  </si>
  <si>
    <t>amines, C16-22-tert-alkyl</t>
  </si>
  <si>
    <t>68955-54-4</t>
  </si>
  <si>
    <t>amines, C16-22-tert-alkyl, ethoxylated</t>
  </si>
  <si>
    <t>68647-49-4</t>
  </si>
  <si>
    <t>amines, C18-unsatd. alkyl, dimers</t>
  </si>
  <si>
    <t>68201-29-6</t>
  </si>
  <si>
    <t>amines, coco alkyl, hydrochoride</t>
  </si>
  <si>
    <t>91745-52-7</t>
  </si>
  <si>
    <t>amines, cocoalkyl, acetates</t>
  </si>
  <si>
    <t>61790-57-6</t>
  </si>
  <si>
    <t>amines, di-C16-22-alkylmethyl</t>
  </si>
  <si>
    <t>97553-98-5</t>
  </si>
  <si>
    <t>amines, dicoco alkyl</t>
  </si>
  <si>
    <t>amines, dicoco alkylmethyl</t>
  </si>
  <si>
    <t>amines, hydrogenated tallow alkyl</t>
  </si>
  <si>
    <t>61788-45-2</t>
  </si>
  <si>
    <t>amines, methylditallow alkyl</t>
  </si>
  <si>
    <t>68603-65-6</t>
  </si>
  <si>
    <t>amines, tallow alkyl, ethoxylated, branched dodecylbenzenesulfonates (salts)</t>
  </si>
  <si>
    <t>68955-73-7</t>
  </si>
  <si>
    <t>amines, tallow alkyl, ethoxylated, phosphates</t>
  </si>
  <si>
    <t>68308-48-5</t>
  </si>
  <si>
    <t>amines, tallow alkyl, ethoxylated, sulfates</t>
  </si>
  <si>
    <t>72968-31-1</t>
  </si>
  <si>
    <t>aminocaproamide</t>
  </si>
  <si>
    <t>373-04-6</t>
  </si>
  <si>
    <t>aminocapronitrile</t>
  </si>
  <si>
    <t>2432-74-8</t>
  </si>
  <si>
    <t>aminoethylethanolamine</t>
  </si>
  <si>
    <t>111-41-1</t>
  </si>
  <si>
    <t>aminopropyldiethanolamine</t>
  </si>
  <si>
    <t>4985-85-7</t>
  </si>
  <si>
    <t>ammonia</t>
  </si>
  <si>
    <t>7664-41-7</t>
  </si>
  <si>
    <t>Ammonium 1,1,2,2,3,3,4,4,4-nonafluorobutane-1-sulphonate</t>
  </si>
  <si>
    <t>68259-10-9</t>
  </si>
  <si>
    <t>Ammonium 1,1,2,2,3,3,4,4,5,5,5-undecafluoropentane-1-sulphonate</t>
  </si>
  <si>
    <t>68259-09-6</t>
  </si>
  <si>
    <t>Ammonium 1,1,2,2,3,3,4,4,5,5,6,6,7,7,7-pentadecafluoroheptane-1-sulphonate</t>
  </si>
  <si>
    <t>68259-07-4</t>
  </si>
  <si>
    <t>ammonium acetate</t>
  </si>
  <si>
    <t>631-61-8</t>
  </si>
  <si>
    <t>ammonium bifluoride</t>
  </si>
  <si>
    <t>ammonium bifluoride | For air permit reviews in agricultural areas</t>
  </si>
  <si>
    <t>ammonium bifluoride | For air permit reviews in agricultural areas with cattle</t>
  </si>
  <si>
    <t>1341-49-7 (For air permit reviews in agricultural areas with cattle)</t>
  </si>
  <si>
    <t>ammonium cocoyl isethionate</t>
  </si>
  <si>
    <t>223705-57-5</t>
  </si>
  <si>
    <t>ammonium fluoborate</t>
  </si>
  <si>
    <t>ammonium fluoborate | For air permit reviews in agricultural areas</t>
  </si>
  <si>
    <t>ammonium fluoborate | For air permit reviews in agricultural areas with cattle</t>
  </si>
  <si>
    <t>13826-83-0 (For air permit reviews in agricultural areas with cattle)</t>
  </si>
  <si>
    <t>ammonium fluoride</t>
  </si>
  <si>
    <t>ammonium fluoride | For air permit reviews in agricultural areas</t>
  </si>
  <si>
    <t>ammonium fluoride | For air permit reviews in agricultural areas with cattle</t>
  </si>
  <si>
    <t>12125-01-8 (For air permit reviews in agricultural areas with cattle)</t>
  </si>
  <si>
    <t>Ammonium heptadecafluorooctanesulphonate</t>
  </si>
  <si>
    <t>29081-56-9</t>
  </si>
  <si>
    <t>ammonium hydroxide</t>
  </si>
  <si>
    <t>1336-21-6</t>
  </si>
  <si>
    <t>ammonium lauryl ether sulfate</t>
  </si>
  <si>
    <t>32612-48-9</t>
  </si>
  <si>
    <t>ammonium lauryl sulfate</t>
  </si>
  <si>
    <t>2235-54-3</t>
  </si>
  <si>
    <t>ammonium N-nitrosophenylhydroxylamine</t>
  </si>
  <si>
    <t>135-20-6</t>
  </si>
  <si>
    <t>Ammonium perfluorohexane-1-sulphonate)</t>
  </si>
  <si>
    <t>68259-08-5</t>
  </si>
  <si>
    <t>ammonium xylene sulfonate</t>
  </si>
  <si>
    <t>26447-10-9</t>
  </si>
  <si>
    <t>amyl acid phosphate</t>
  </si>
  <si>
    <t>3138-42-9</t>
  </si>
  <si>
    <t>amyl bromide</t>
  </si>
  <si>
    <t>110-53-2</t>
  </si>
  <si>
    <t>amyl salicylate</t>
  </si>
  <si>
    <t>2050-08-0</t>
  </si>
  <si>
    <t>aniline</t>
  </si>
  <si>
    <t>62-53-3</t>
  </si>
  <si>
    <t>anionic surfactant (nonylphenol ethoxylated and phosphated, potassium salt)</t>
  </si>
  <si>
    <t>52503-15-8</t>
  </si>
  <si>
    <t>anthracene</t>
  </si>
  <si>
    <t>120-12-7</t>
  </si>
  <si>
    <t>Aphistar</t>
  </si>
  <si>
    <t>112143-82-5</t>
  </si>
  <si>
    <t>aqueous zinc stearate dispersion</t>
  </si>
  <si>
    <t>arabinose</t>
  </si>
  <si>
    <t>147-81-9</t>
  </si>
  <si>
    <t>aromatic distillate, heavy</t>
  </si>
  <si>
    <t>67891-79-6</t>
  </si>
  <si>
    <t>aromatic hydrocarbons, C8</t>
  </si>
  <si>
    <t>90989-38-1</t>
  </si>
  <si>
    <t>aromatic hydrocarbons, C9-C11, mononuclear</t>
  </si>
  <si>
    <t>70693-06-0</t>
  </si>
  <si>
    <t>aromatic solvent naphtha, heavy</t>
  </si>
  <si>
    <t>64742-94-5</t>
  </si>
  <si>
    <t>Aromex</t>
  </si>
  <si>
    <t>78308-32-4</t>
  </si>
  <si>
    <t>arsine</t>
  </si>
  <si>
    <t>7784-42-1</t>
  </si>
  <si>
    <t>aryl amines</t>
  </si>
  <si>
    <t>asbestos, all forms</t>
  </si>
  <si>
    <t>1332-21-4</t>
  </si>
  <si>
    <t>asphalt</t>
  </si>
  <si>
    <t>8052-42-4</t>
  </si>
  <si>
    <t>asphaltenes</t>
  </si>
  <si>
    <t>91995-23-2</t>
  </si>
  <si>
    <t>Atrazine</t>
  </si>
  <si>
    <t>1912-24-9</t>
  </si>
  <si>
    <t>aviation gasoline (&gt; 90% light alkyklate naphtha and &lt;1% benzene)</t>
  </si>
  <si>
    <t>avocado oil</t>
  </si>
  <si>
    <t>8024-32-6</t>
  </si>
  <si>
    <t>Azaserine</t>
  </si>
  <si>
    <t>115-02-6</t>
  </si>
  <si>
    <t>azinphos-methyl</t>
  </si>
  <si>
    <t>86-50-0</t>
  </si>
  <si>
    <t>azomethane</t>
  </si>
  <si>
    <t>503-28-6</t>
  </si>
  <si>
    <t>bacteria, complex with amylase and proteinase</t>
  </si>
  <si>
    <t>68920-42-3</t>
  </si>
  <si>
    <t>benzaldehyde</t>
  </si>
  <si>
    <t>100-52-7</t>
  </si>
  <si>
    <t>benzene</t>
  </si>
  <si>
    <t>71-43-2</t>
  </si>
  <si>
    <t>benzene propanoic acid, 3,5-bis(1,1-dimethylethyl)-4-hydroxy-, C7-9 branched alkyl esters</t>
  </si>
  <si>
    <t>125643-61-0</t>
  </si>
  <si>
    <t>benzene raffinates</t>
  </si>
  <si>
    <t>68410-71-9</t>
  </si>
  <si>
    <t>benzene, &gt;C9 alkyl derivatives</t>
  </si>
  <si>
    <t>68648-87-3</t>
  </si>
  <si>
    <t>benzene, C10-C13 alkyl derivatives</t>
  </si>
  <si>
    <t>129813-58-7</t>
  </si>
  <si>
    <t>67774-74-7</t>
  </si>
  <si>
    <t>benzene, di-C10-18-alkyl derivs.</t>
  </si>
  <si>
    <t>146865-37-4</t>
  </si>
  <si>
    <t>benzene, ethylenated, residues, distn. lights</t>
  </si>
  <si>
    <t>178535-25-6</t>
  </si>
  <si>
    <t>benzene, mono C10-13 alkyl derivs.</t>
  </si>
  <si>
    <t>84961-70-6</t>
  </si>
  <si>
    <t>benzene, mono-C10-13-alkyl derivs., fractionation bottoms, heavy ends</t>
  </si>
  <si>
    <t>94094-93-6</t>
  </si>
  <si>
    <t>benzene, mono-C10-14-alkyl derivs.</t>
  </si>
  <si>
    <t>68442-69-3</t>
  </si>
  <si>
    <t>benzene, mono-C12-14-alkyl derivs</t>
  </si>
  <si>
    <t>129813-59-8</t>
  </si>
  <si>
    <t>benzene, polypropene derivs., sulfonated, calcium salts</t>
  </si>
  <si>
    <t>75975-85-8</t>
  </si>
  <si>
    <t>benzenediol, all isomers</t>
  </si>
  <si>
    <t>12385-08-9</t>
  </si>
  <si>
    <t>benzenesulfonic acid, C10-13-alkyl derivs, calcium salt</t>
  </si>
  <si>
    <t>90194-36-8</t>
  </si>
  <si>
    <t>benzenesulfonic acid, C10-16 alkyl derivs</t>
  </si>
  <si>
    <t>68584-22-5</t>
  </si>
  <si>
    <t>benzenesulfonic acid, C10-16 alkyl derivs compds with triethanolamine</t>
  </si>
  <si>
    <t>68584-25-8</t>
  </si>
  <si>
    <t>benzenesulfonic acid, c10-16-alkyl derivs., compds. with 2-propanamine</t>
  </si>
  <si>
    <t>68584-24-7</t>
  </si>
  <si>
    <t>benzenesulfonic acid, mono- and di-C15-30-alkyl derivs, sodium salts</t>
  </si>
  <si>
    <t>78330-12-8</t>
  </si>
  <si>
    <t>benzenesulfonic acid, mono-C10-16-alkyl derivs, ammonium salts</t>
  </si>
  <si>
    <t>68910-31-6</t>
  </si>
  <si>
    <t>benzenesulfonic acid, mono-C10-16-alkyl derivs, sodium salts</t>
  </si>
  <si>
    <t>68081-81-2</t>
  </si>
  <si>
    <t>benzenesulfonic acid, mono-C11-13-branched alkyl derivs, sodium salts</t>
  </si>
  <si>
    <t>68608-89-9</t>
  </si>
  <si>
    <t>benzenesulfonic acid, mono-C16-24 alkyl derivs., calcium salts</t>
  </si>
  <si>
    <t>70024-69-0</t>
  </si>
  <si>
    <t>benzenesulfonic acid, mono-C9-17-branched alkyl derivs., compds. with 2-propanamine</t>
  </si>
  <si>
    <t>68649-00-3</t>
  </si>
  <si>
    <t>benzidine</t>
  </si>
  <si>
    <t>92-87-5</t>
  </si>
  <si>
    <t>benzoic acid</t>
  </si>
  <si>
    <t>65-85-0</t>
  </si>
  <si>
    <t>benzoic acid, coconut fatty acids, phthalic anhydride, glycerol polymer</t>
  </si>
  <si>
    <t>68154-38-1</t>
  </si>
  <si>
    <t>benzoin</t>
  </si>
  <si>
    <t>119-53-9</t>
  </si>
  <si>
    <t>benzoin isobutyl ether</t>
  </si>
  <si>
    <t>22499-12-3</t>
  </si>
  <si>
    <t>benzonitrile</t>
  </si>
  <si>
    <t>100-47-0</t>
  </si>
  <si>
    <t>benzothiazole</t>
  </si>
  <si>
    <t>95-16-9</t>
  </si>
  <si>
    <t>benzotriazole derivative</t>
  </si>
  <si>
    <t>127519-17-9</t>
  </si>
  <si>
    <t>benzotrichloride</t>
  </si>
  <si>
    <t>98-07-7</t>
  </si>
  <si>
    <t>benzotrifluoride</t>
  </si>
  <si>
    <t>98-08-8</t>
  </si>
  <si>
    <t>benzoyl chloride</t>
  </si>
  <si>
    <t>98-88-4</t>
  </si>
  <si>
    <t>benzyl acetate</t>
  </si>
  <si>
    <t>140-11-4</t>
  </si>
  <si>
    <t>benzyl alcohol</t>
  </si>
  <si>
    <t>100-51-6</t>
  </si>
  <si>
    <t>benzyl benzoate</t>
  </si>
  <si>
    <t>120-51-4</t>
  </si>
  <si>
    <t>benzyl butyl phthalate</t>
  </si>
  <si>
    <t>85-68-7</t>
  </si>
  <si>
    <t>benzyl chloride</t>
  </si>
  <si>
    <t>100-44-7</t>
  </si>
  <si>
    <t>benzyl disulfide</t>
  </si>
  <si>
    <t>150-60-7</t>
  </si>
  <si>
    <t>benzyl ethyl ether</t>
  </si>
  <si>
    <t>539-30-0</t>
  </si>
  <si>
    <t>benzyl formate</t>
  </si>
  <si>
    <t>104-57-4</t>
  </si>
  <si>
    <t>benzyl salicylate</t>
  </si>
  <si>
    <t>118-58-1</t>
  </si>
  <si>
    <t>benzyl sulfide</t>
  </si>
  <si>
    <t>538-74-9</t>
  </si>
  <si>
    <t>benzyl trimethyl ammonium hydroxide</t>
  </si>
  <si>
    <t>100-85-6</t>
  </si>
  <si>
    <t>benzylamine</t>
  </si>
  <si>
    <t>100-46-9</t>
  </si>
  <si>
    <t>beta,beta,5,5-tetramethyl-1,3-dioxane-2-ethanol</t>
  </si>
  <si>
    <t>7299-86-7</t>
  </si>
  <si>
    <t>beta-alanine, N-coco alkyl derivs., sodium salts</t>
  </si>
  <si>
    <t>68608-68-4</t>
  </si>
  <si>
    <t>beta-carboxyethyl acrylate</t>
  </si>
  <si>
    <t>24615-84-7</t>
  </si>
  <si>
    <t>beta-caryophyllene</t>
  </si>
  <si>
    <t>87-44-5</t>
  </si>
  <si>
    <t>beta-ethoxypropionitrile</t>
  </si>
  <si>
    <t>14631-45-9</t>
  </si>
  <si>
    <t>beta-hydroxypentanoic acid</t>
  </si>
  <si>
    <t>10237-77-1</t>
  </si>
  <si>
    <t>beta-phellandrene</t>
  </si>
  <si>
    <t>555-10-2</t>
  </si>
  <si>
    <t>beta-pinene</t>
  </si>
  <si>
    <t>127-91-3</t>
  </si>
  <si>
    <t>beta-propiolactone</t>
  </si>
  <si>
    <t>57-57-8</t>
  </si>
  <si>
    <t>beta-terpinene</t>
  </si>
  <si>
    <t>99-84-3</t>
  </si>
  <si>
    <t>beta-terpineol</t>
  </si>
  <si>
    <t>138-87-4</t>
  </si>
  <si>
    <t>bicycloheptadiene</t>
  </si>
  <si>
    <t>121-46-0</t>
  </si>
  <si>
    <t>biphenyl</t>
  </si>
  <si>
    <t>92-52-4</t>
  </si>
  <si>
    <t>biphenylyl phenyl ether</t>
  </si>
  <si>
    <t>28984-89-6</t>
  </si>
  <si>
    <t>bis((dimethylamino)methyl)phenol</t>
  </si>
  <si>
    <t>71074-89-0</t>
  </si>
  <si>
    <t>bis(1,2,2,6,6-pentamethyl-4-piperidinyl) sebacate</t>
  </si>
  <si>
    <t>41556-26-7</t>
  </si>
  <si>
    <t>bis(1-methylpropyl)-phenol</t>
  </si>
  <si>
    <t>31291-60-8</t>
  </si>
  <si>
    <t>bis-(1-octyloxy-2,2,6,6-tetramethyl-4-piperidinyl) sebacate</t>
  </si>
  <si>
    <t>129757-67-1</t>
  </si>
  <si>
    <t>bis(2,2,6,6-tetramethyl-4-piperidinyl) sebacate</t>
  </si>
  <si>
    <t>52829-07-9</t>
  </si>
  <si>
    <t>bis(2-chloroethoxy)methane</t>
  </si>
  <si>
    <t>111-91-1</t>
  </si>
  <si>
    <t>bis(2-chloroethyl)-2-naphthylamine</t>
  </si>
  <si>
    <t>494-03-1</t>
  </si>
  <si>
    <t>bis(2-chloroisopropyl) ether</t>
  </si>
  <si>
    <t>108-60-1</t>
  </si>
  <si>
    <t>bis-(2-ethyl-hexyl) ether</t>
  </si>
  <si>
    <t>10143-60-9</t>
  </si>
  <si>
    <t>bis(2-ethylhexyl) phosphate</t>
  </si>
  <si>
    <t>298-07-7</t>
  </si>
  <si>
    <t>bis(2-ethylhexyl) phosphite</t>
  </si>
  <si>
    <t>3658-48-8</t>
  </si>
  <si>
    <t>bis(2-hydroxyethyl) terephthalate</t>
  </si>
  <si>
    <t>959-26-2</t>
  </si>
  <si>
    <t>bis(2-hydroxyethyl)oleyamine</t>
  </si>
  <si>
    <t>25307-17-9</t>
  </si>
  <si>
    <t>bis(chloromethyl)ether</t>
  </si>
  <si>
    <t>542-88-1</t>
  </si>
  <si>
    <t>bis(coconut oil alkyl)dimethylammonium nitrite</t>
  </si>
  <si>
    <t>bis(dimethylthiocarbamoyl)sulfide</t>
  </si>
  <si>
    <t>97-74-5</t>
  </si>
  <si>
    <t>bis(heptafluoropropyl) ether</t>
  </si>
  <si>
    <t>356-62-7</t>
  </si>
  <si>
    <t>bis(hydrogenated tallow alkyl)methyl amines</t>
  </si>
  <si>
    <t>61788-63-4</t>
  </si>
  <si>
    <t>bis(t-butyldioxyisopropyl) benzene</t>
  </si>
  <si>
    <t>25155-25-3</t>
  </si>
  <si>
    <t>bis(tridecyl) hydrogen phosphite</t>
  </si>
  <si>
    <t>36432-46-9</t>
  </si>
  <si>
    <t>bis[1-(chloromethyl) propyl] ether</t>
  </si>
  <si>
    <t>53622-12-1</t>
  </si>
  <si>
    <t>bis[3-(triethoxysilyl)propyl] tetrasulfide</t>
  </si>
  <si>
    <t>40372-72-3</t>
  </si>
  <si>
    <t>bisphenol A</t>
  </si>
  <si>
    <t>80-05-7</t>
  </si>
  <si>
    <t>bisphenol A ethoxylate dimethacrylate</t>
  </si>
  <si>
    <t>24448-20-2</t>
  </si>
  <si>
    <t>blended reformate (light reformate contains 8-12% benzene)</t>
  </si>
  <si>
    <t>boron tribromide</t>
  </si>
  <si>
    <t>10294-33-4</t>
  </si>
  <si>
    <t>boron trichloride</t>
  </si>
  <si>
    <t>10294-34-5</t>
  </si>
  <si>
    <t>boron trifluoride</t>
  </si>
  <si>
    <t>boron trifluoride | For air permit reviews in agricultural areas</t>
  </si>
  <si>
    <t>boron trifluoride | For air permit reviews in agricultural areas with cattle</t>
  </si>
  <si>
    <t>7637-07-2 (For air permit reviews in agricultural areas with cattle)</t>
  </si>
  <si>
    <t>Bromacil</t>
  </si>
  <si>
    <t>314-40-9</t>
  </si>
  <si>
    <t>bromine</t>
  </si>
  <si>
    <t>7726-95-6</t>
  </si>
  <si>
    <t>bromine pentafluoride</t>
  </si>
  <si>
    <t>7789-30-2</t>
  </si>
  <si>
    <t>bromoacetic acid</t>
  </si>
  <si>
    <t>79-08-3</t>
  </si>
  <si>
    <t>bromoanisole</t>
  </si>
  <si>
    <t>578-57-4</t>
  </si>
  <si>
    <t>bromobenzene</t>
  </si>
  <si>
    <t>108-86-1</t>
  </si>
  <si>
    <t>bromochloromethane</t>
  </si>
  <si>
    <t>74-97-5</t>
  </si>
  <si>
    <t>bromocyclohexane</t>
  </si>
  <si>
    <t>108-85-0</t>
  </si>
  <si>
    <t>bromodichloromethane</t>
  </si>
  <si>
    <t>75-27-4</t>
  </si>
  <si>
    <t>bromoethane</t>
  </si>
  <si>
    <t>74-96-4</t>
  </si>
  <si>
    <t>bromoform</t>
  </si>
  <si>
    <t>75-25-2</t>
  </si>
  <si>
    <t>bromoheptane</t>
  </si>
  <si>
    <t>629-04-9</t>
  </si>
  <si>
    <t>bromomethane</t>
  </si>
  <si>
    <t>74-83-9</t>
  </si>
  <si>
    <t>bromotrifluoromethane</t>
  </si>
  <si>
    <t>75-63-8</t>
  </si>
  <si>
    <t>Buprofezin insecticide</t>
  </si>
  <si>
    <t>69327-76-0</t>
  </si>
  <si>
    <t>butanal, reaction products with aniline</t>
  </si>
  <si>
    <t>68411-20-1</t>
  </si>
  <si>
    <t>butoxymethanol</t>
  </si>
  <si>
    <t>3085-35-6</t>
  </si>
  <si>
    <t>butoxypolypropylene glycol</t>
  </si>
  <si>
    <t>9003-13-8</t>
  </si>
  <si>
    <t>butyl 3-hydroxybutyrate</t>
  </si>
  <si>
    <t>53605-94-0</t>
  </si>
  <si>
    <t>butyl acid phosphate</t>
  </si>
  <si>
    <t>1623-15-0</t>
  </si>
  <si>
    <t>butyl acrylate</t>
  </si>
  <si>
    <t>141-32-2</t>
  </si>
  <si>
    <t>butyl benzene</t>
  </si>
  <si>
    <t>104-51-8</t>
  </si>
  <si>
    <t>butyl butoxy propionate</t>
  </si>
  <si>
    <t>14144-48-0</t>
  </si>
  <si>
    <t>butyl butoxyacetate</t>
  </si>
  <si>
    <t>10397-22-5</t>
  </si>
  <si>
    <t>butyl butyrate</t>
  </si>
  <si>
    <t>109-21-7</t>
  </si>
  <si>
    <t>butyl carbitol formal</t>
  </si>
  <si>
    <t>143-29-3</t>
  </si>
  <si>
    <t>butyl citrate</t>
  </si>
  <si>
    <t>77-94-1</t>
  </si>
  <si>
    <t>butyl cyclohexyl ether</t>
  </si>
  <si>
    <t>24072-44-4</t>
  </si>
  <si>
    <t>butyl formate</t>
  </si>
  <si>
    <t>592-84-7</t>
  </si>
  <si>
    <t>butyl glycidyl ether</t>
  </si>
  <si>
    <t>2426-08-6</t>
  </si>
  <si>
    <t>butyl glycolate</t>
  </si>
  <si>
    <t>7397-62-8</t>
  </si>
  <si>
    <t>butyl isobutyrate</t>
  </si>
  <si>
    <t>97-87-0</t>
  </si>
  <si>
    <t>butyl isocyanate</t>
  </si>
  <si>
    <t>111-36-4</t>
  </si>
  <si>
    <t>butyl lactate</t>
  </si>
  <si>
    <t>138-22-7</t>
  </si>
  <si>
    <t>butyl methacrylate</t>
  </si>
  <si>
    <t>97-88-1</t>
  </si>
  <si>
    <t>butyl octyl phthalate</t>
  </si>
  <si>
    <t>84-78-6</t>
  </si>
  <si>
    <t>butyl stearate</t>
  </si>
  <si>
    <t>123-95-5</t>
  </si>
  <si>
    <t>butyl vinyl ether</t>
  </si>
  <si>
    <t>111-34-2</t>
  </si>
  <si>
    <t>butylamine sulfate</t>
  </si>
  <si>
    <t>39085-66-0</t>
  </si>
  <si>
    <t>butylcyclohexane</t>
  </si>
  <si>
    <t>1678-93-9</t>
  </si>
  <si>
    <t>butylcyclopentane</t>
  </si>
  <si>
    <t>2040-95-1</t>
  </si>
  <si>
    <t>butylene chlorohydrin</t>
  </si>
  <si>
    <t>1320-66-7</t>
  </si>
  <si>
    <t>butyraldehyde</t>
  </si>
  <si>
    <t>123-72-8</t>
  </si>
  <si>
    <t>butyraldehyde dibutyl acetal</t>
  </si>
  <si>
    <t>5921-80-2</t>
  </si>
  <si>
    <t>butyraldehyde oxime</t>
  </si>
  <si>
    <t>110-69-0</t>
  </si>
  <si>
    <t>butyric acid</t>
  </si>
  <si>
    <t>107-92-6</t>
  </si>
  <si>
    <t>butyric anhydride</t>
  </si>
  <si>
    <t>106-31-0</t>
  </si>
  <si>
    <t>C10-16-alkyl(2-hydroxy-3-sulfopropyl)dimethyl betaines</t>
  </si>
  <si>
    <t>72869-77-3</t>
  </si>
  <si>
    <t>C10-16-alkyldimethylamines oxides</t>
  </si>
  <si>
    <t>70592-80-2</t>
  </si>
  <si>
    <t>C11-13 branched alkylbenzenesulfonic acid</t>
  </si>
  <si>
    <t>68608-88-8</t>
  </si>
  <si>
    <t>C11-C13 branched alkylbenzenesulfonic acid, calcium salt</t>
  </si>
  <si>
    <t>68953-96-8</t>
  </si>
  <si>
    <t>C12-14-tert-alkyl amines</t>
  </si>
  <si>
    <t>68955-53-3</t>
  </si>
  <si>
    <t>C12-18-alkyldimethylamines</t>
  </si>
  <si>
    <t>68391-04-8</t>
  </si>
  <si>
    <t>C14-30 alkylaromatic derivs.</t>
  </si>
  <si>
    <t>68855-24-3</t>
  </si>
  <si>
    <t>C14-C18 and C16-C18 unsaturated alkylcarboxylic acid methyl ester</t>
  </si>
  <si>
    <t>67762-26-9</t>
  </si>
  <si>
    <t>C15-30 petroleum lubricating oils, hydrotreated neutral oil-based</t>
  </si>
  <si>
    <t>72623-86-0</t>
  </si>
  <si>
    <t>C16-C18 and C18 unsaturated alkyl and dialkyl glycerides</t>
  </si>
  <si>
    <t>68424-61-3</t>
  </si>
  <si>
    <t>C18-unsatd. fatty acids, dimers, compds. with alkylpyridines</t>
  </si>
  <si>
    <t>70900-17-3</t>
  </si>
  <si>
    <t>C1-C14 alkyldithiophosphoric acid</t>
  </si>
  <si>
    <t>68187-41-7</t>
  </si>
  <si>
    <t>C3-C4 alkane blend</t>
  </si>
  <si>
    <t>68475-59-2</t>
  </si>
  <si>
    <t>C4-C12 alkane hydrocarbons</t>
  </si>
  <si>
    <t>68527-27-5</t>
  </si>
  <si>
    <t>C5 unsaturated carbons</t>
  </si>
  <si>
    <t>68956-55-8</t>
  </si>
  <si>
    <t>C7-10 isoalkanes</t>
  </si>
  <si>
    <t>90622-56-3</t>
  </si>
  <si>
    <t>C9-12 isoalkanes</t>
  </si>
  <si>
    <t>90622-57-4</t>
  </si>
  <si>
    <t>C9-13-neo-fatty acids, potassium salts</t>
  </si>
  <si>
    <t>92044-83-2</t>
  </si>
  <si>
    <t>calcium alkyl salicylate mix</t>
  </si>
  <si>
    <t>calcium fluoride</t>
  </si>
  <si>
    <t>calcium fluoride | For air permit reviews in agricultural areas</t>
  </si>
  <si>
    <t>calcium fluoride | For air permit reviews in agricultural areas with cattle</t>
  </si>
  <si>
    <t>7789-75-5 (For air permit reviews in agricultural areas with cattle)</t>
  </si>
  <si>
    <t>camphene</t>
  </si>
  <si>
    <t>79-92-5</t>
  </si>
  <si>
    <t>camphor</t>
  </si>
  <si>
    <t>76-22-2</t>
  </si>
  <si>
    <t>canola oil</t>
  </si>
  <si>
    <t>120962-03-0</t>
  </si>
  <si>
    <t>canola oil, methyl esters</t>
  </si>
  <si>
    <t>129828-16-6</t>
  </si>
  <si>
    <t>caprolactam</t>
  </si>
  <si>
    <t>105-60-2</t>
  </si>
  <si>
    <t>caprolactone</t>
  </si>
  <si>
    <t>502-44-3</t>
  </si>
  <si>
    <t>capronitrile</t>
  </si>
  <si>
    <t>628-73-9</t>
  </si>
  <si>
    <t>caprylic, capric acid, triethylene glycol diester</t>
  </si>
  <si>
    <t>68583-52-8</t>
  </si>
  <si>
    <t>Captafol</t>
  </si>
  <si>
    <t>2425-06-1</t>
  </si>
  <si>
    <t>carbinoxamine maleate salt</t>
  </si>
  <si>
    <t>3505-38-2</t>
  </si>
  <si>
    <t>Carbofuran</t>
  </si>
  <si>
    <t>1563-66-2</t>
  </si>
  <si>
    <t>carbohydrazide</t>
  </si>
  <si>
    <t>497-18-7</t>
  </si>
  <si>
    <t>carbon black oil</t>
  </si>
  <si>
    <t>64742-90-1</t>
  </si>
  <si>
    <t>carbon disulfide</t>
  </si>
  <si>
    <t>75-15-0</t>
  </si>
  <si>
    <t>carbon monoxide</t>
  </si>
  <si>
    <t>630-08-0</t>
  </si>
  <si>
    <t>carbon tetrabromide</t>
  </si>
  <si>
    <t>558-13-4</t>
  </si>
  <si>
    <t>carbon tetrachloride</t>
  </si>
  <si>
    <t>56-23-5</t>
  </si>
  <si>
    <t>carbon tetrafluoride</t>
  </si>
  <si>
    <t>75-73-0</t>
  </si>
  <si>
    <t>carbonyl fluoride</t>
  </si>
  <si>
    <t>carbonyl fluoride | For air permit reviews in agricultural areas</t>
  </si>
  <si>
    <t>carbonyl fluoride | For air permit reviews in agricultural areas with cattle</t>
  </si>
  <si>
    <t>353-50-4 (For air permit reviews in agricultural areas with cattle)</t>
  </si>
  <si>
    <t>carbonyl sulfide</t>
  </si>
  <si>
    <t>463-58-1</t>
  </si>
  <si>
    <t>Carbosulfan</t>
  </si>
  <si>
    <t>55285-14-8</t>
  </si>
  <si>
    <t>castor oil</t>
  </si>
  <si>
    <t>8001-79-4</t>
  </si>
  <si>
    <t>castor oil dehydrated</t>
  </si>
  <si>
    <t>64147-40-6</t>
  </si>
  <si>
    <t>castor oil fatty acids</t>
  </si>
  <si>
    <t>61789-44-4</t>
  </si>
  <si>
    <t>castor oil, ethoxylated</t>
  </si>
  <si>
    <t>61791-12-6</t>
  </si>
  <si>
    <t>castor oil, oxidized</t>
  </si>
  <si>
    <t>68187-84-8</t>
  </si>
  <si>
    <t>castor oil, pentaerythritol ester</t>
  </si>
  <si>
    <t>68459-68-7</t>
  </si>
  <si>
    <t>castor oil, polymd., oxidized</t>
  </si>
  <si>
    <t>68439-93-0</t>
  </si>
  <si>
    <t>catalytic dewaxed light paraffin oils (petroleum)</t>
  </si>
  <si>
    <t>64742-71-8</t>
  </si>
  <si>
    <t>cedar oil</t>
  </si>
  <si>
    <t>8000-27-9</t>
  </si>
  <si>
    <t>cetostearyl alcohol</t>
  </si>
  <si>
    <t>cetyl alcohol, ethoxylated, propoxylated</t>
  </si>
  <si>
    <t>9087-53-0</t>
  </si>
  <si>
    <t>cetyl methacrylate</t>
  </si>
  <si>
    <t>2495-27-4</t>
  </si>
  <si>
    <t>cetyltrimethylammonium bromide</t>
  </si>
  <si>
    <t>57-09-0</t>
  </si>
  <si>
    <t>chlordane</t>
  </si>
  <si>
    <t>57-74-9</t>
  </si>
  <si>
    <t>chlorendic acid</t>
  </si>
  <si>
    <t>115-28-6</t>
  </si>
  <si>
    <t>chlorides</t>
  </si>
  <si>
    <t>16887-00-6</t>
  </si>
  <si>
    <t>chlorinated diphenyl oxide</t>
  </si>
  <si>
    <t>31242-93-0</t>
  </si>
  <si>
    <t>chlorinated n-paraffins</t>
  </si>
  <si>
    <t>68920-70-7</t>
  </si>
  <si>
    <t>chlorine</t>
  </si>
  <si>
    <t>7782-50-5</t>
  </si>
  <si>
    <t>chlorine dioxide</t>
  </si>
  <si>
    <t>10049-04-4</t>
  </si>
  <si>
    <t>chlorine trifluoride</t>
  </si>
  <si>
    <t>7790-91-2</t>
  </si>
  <si>
    <t>chlorite ion</t>
  </si>
  <si>
    <t>14998-27-7</t>
  </si>
  <si>
    <t>chloroacetaldehyde</t>
  </si>
  <si>
    <t>107-20-0</t>
  </si>
  <si>
    <t>chloroacetaldehyde dimethyl acetal</t>
  </si>
  <si>
    <t>97-97-2</t>
  </si>
  <si>
    <t>chloroacetic acid</t>
  </si>
  <si>
    <t>79-11-8</t>
  </si>
  <si>
    <t>chloroacetic acid methyl ester</t>
  </si>
  <si>
    <t>96-34-4</t>
  </si>
  <si>
    <t>chloroacetone</t>
  </si>
  <si>
    <t>78-95-5</t>
  </si>
  <si>
    <t>chloroacetylchloride</t>
  </si>
  <si>
    <t>79-04-9</t>
  </si>
  <si>
    <t>chloroacetylene</t>
  </si>
  <si>
    <t>593-63-5</t>
  </si>
  <si>
    <t>chloroamphenicol</t>
  </si>
  <si>
    <t>56-75-7</t>
  </si>
  <si>
    <t>chlorobenzene</t>
  </si>
  <si>
    <t>108-90-7</t>
  </si>
  <si>
    <t>chlorocyclohexane</t>
  </si>
  <si>
    <t>542-18-7</t>
  </si>
  <si>
    <t>chlorodifluoromethane</t>
  </si>
  <si>
    <t>75-45-6</t>
  </si>
  <si>
    <t>chlorodiphenyl, 42% chlorine</t>
  </si>
  <si>
    <t>53469-21-9</t>
  </si>
  <si>
    <t>chlorodiphenyl, 54% chlorine</t>
  </si>
  <si>
    <t>11097-69-1</t>
  </si>
  <si>
    <t>chloroethane</t>
  </si>
  <si>
    <t>75-00-3</t>
  </si>
  <si>
    <t>chlorofluoromethane</t>
  </si>
  <si>
    <t>593-70-4</t>
  </si>
  <si>
    <t>chloroform</t>
  </si>
  <si>
    <t>67-66-3</t>
  </si>
  <si>
    <t>chloromethane</t>
  </si>
  <si>
    <t>74-87-3</t>
  </si>
  <si>
    <t>chloromethyl 2-chloroundecanoate</t>
  </si>
  <si>
    <t>80418-88-8</t>
  </si>
  <si>
    <t>chloromethyl methyl ether</t>
  </si>
  <si>
    <t>107-30-2</t>
  </si>
  <si>
    <t>chloronitropropane</t>
  </si>
  <si>
    <t>600-25-9</t>
  </si>
  <si>
    <t>chloropentafluorobenzene</t>
  </si>
  <si>
    <t>344-07-0</t>
  </si>
  <si>
    <t>chloropentafluoroethane</t>
  </si>
  <si>
    <t>76-15-3</t>
  </si>
  <si>
    <t>chlorophenolthiomethyl-O,O-diethyl phosphorodithioate</t>
  </si>
  <si>
    <t>786-19-6</t>
  </si>
  <si>
    <t>chloroplatinic acid</t>
  </si>
  <si>
    <t>16941-12-1</t>
  </si>
  <si>
    <t>Chloroprene</t>
  </si>
  <si>
    <t>126-99-8</t>
  </si>
  <si>
    <t>chlorosulfonic acid</t>
  </si>
  <si>
    <t>7790-94-5</t>
  </si>
  <si>
    <t>chlorothalonil</t>
  </si>
  <si>
    <t>1897-45-6</t>
  </si>
  <si>
    <t>chlorotoluene, all isomers</t>
  </si>
  <si>
    <t>95-49-8</t>
  </si>
  <si>
    <t>chlorotrifluoroethylene</t>
  </si>
  <si>
    <t>79-38-9</t>
  </si>
  <si>
    <t>chlorotrifluoromethane</t>
  </si>
  <si>
    <t>75-72-9</t>
  </si>
  <si>
    <t>CHLOROWAX 50 (liquid chlorinated paraffin)</t>
  </si>
  <si>
    <t>61788-76-9</t>
  </si>
  <si>
    <t>chloroxylenol</t>
  </si>
  <si>
    <t>88-04-0</t>
  </si>
  <si>
    <t>Chlorpropham</t>
  </si>
  <si>
    <t>101-21-3</t>
  </si>
  <si>
    <t>Chlorpyrifos</t>
  </si>
  <si>
    <t>2921-88-2</t>
  </si>
  <si>
    <t>chrysotile asbestos</t>
  </si>
  <si>
    <t>12001-29-5</t>
  </si>
  <si>
    <t>cinnamaldehyde</t>
  </si>
  <si>
    <t>104-55-2</t>
  </si>
  <si>
    <t>cis,cis,trans-1,2,4-trimethyl cyclopentane</t>
  </si>
  <si>
    <t>4850-28-6</t>
  </si>
  <si>
    <t>cis-1,2-dichloroethylene</t>
  </si>
  <si>
    <t>156-59-2</t>
  </si>
  <si>
    <t>cis-1,2-dimethylcyclohexane</t>
  </si>
  <si>
    <t>2207-01-4</t>
  </si>
  <si>
    <t>cis-1,3-dichloropropene</t>
  </si>
  <si>
    <t>10061-01-5</t>
  </si>
  <si>
    <t>cis-1,3-dimethylcyclohexane</t>
  </si>
  <si>
    <t>638-04-0</t>
  </si>
  <si>
    <t>cis-1,3-dimethylcyclopentane</t>
  </si>
  <si>
    <t>2532-58-3</t>
  </si>
  <si>
    <t>cis-1,4-dimethylcyclohexane</t>
  </si>
  <si>
    <t>624-29-3</t>
  </si>
  <si>
    <t>cis-2-butene</t>
  </si>
  <si>
    <t>590-18-1</t>
  </si>
  <si>
    <t>cis-2-decene</t>
  </si>
  <si>
    <t>20348-51-0</t>
  </si>
  <si>
    <t>cis-2-hexene</t>
  </si>
  <si>
    <t>7688-21-3</t>
  </si>
  <si>
    <t>cis-2-pentene</t>
  </si>
  <si>
    <t>627-20-3</t>
  </si>
  <si>
    <t>cis-2-pentenenitrile</t>
  </si>
  <si>
    <t>25899-50-7</t>
  </si>
  <si>
    <t>cis-2-pinanol</t>
  </si>
  <si>
    <t>cis-3-decene</t>
  </si>
  <si>
    <t>19398-86-8</t>
  </si>
  <si>
    <t>cis-3-hexene</t>
  </si>
  <si>
    <t>7642-09-3</t>
  </si>
  <si>
    <t>cis-3-hexenoic acid</t>
  </si>
  <si>
    <t>4219-24-3</t>
  </si>
  <si>
    <t>cis-3-methyl-2-pentene</t>
  </si>
  <si>
    <t>922-62-3</t>
  </si>
  <si>
    <t>cis-4-decene</t>
  </si>
  <si>
    <t>19398-88-0</t>
  </si>
  <si>
    <t>cis-4-methyl-2-pentene</t>
  </si>
  <si>
    <t>691-38-3</t>
  </si>
  <si>
    <t>cis-5-decene</t>
  </si>
  <si>
    <t>7433-78-5</t>
  </si>
  <si>
    <t>cis-9-tetradecenoic acid</t>
  </si>
  <si>
    <t>544-64-9</t>
  </si>
  <si>
    <t>cis-crotonaldehyde</t>
  </si>
  <si>
    <t>15798-64-8</t>
  </si>
  <si>
    <t>cis-isosafrole</t>
  </si>
  <si>
    <t>17627-76-8</t>
  </si>
  <si>
    <t>cis-piperylene</t>
  </si>
  <si>
    <t>1574-41-0</t>
  </si>
  <si>
    <t>citraconic acid</t>
  </si>
  <si>
    <t>498-23-7</t>
  </si>
  <si>
    <t>citraconic anhydride</t>
  </si>
  <si>
    <t>616-02-4</t>
  </si>
  <si>
    <t>citric acid</t>
  </si>
  <si>
    <t>77-92-9</t>
  </si>
  <si>
    <t>citronella oil</t>
  </si>
  <si>
    <t>8000-29-1</t>
  </si>
  <si>
    <t>citrus extract</t>
  </si>
  <si>
    <t>8028-48-6</t>
  </si>
  <si>
    <t>citrus terpenes</t>
  </si>
  <si>
    <t>94266-47-4</t>
  </si>
  <si>
    <t>clove oil</t>
  </si>
  <si>
    <t>8000-34-8</t>
  </si>
  <si>
    <t>coal solvent naphtha</t>
  </si>
  <si>
    <t>65996-79-4</t>
  </si>
  <si>
    <t>coal tar distillate</t>
  </si>
  <si>
    <t>65996-92-1</t>
  </si>
  <si>
    <t>coal tar light oil (71% benzene)</t>
  </si>
  <si>
    <t>65996-78-3</t>
  </si>
  <si>
    <t>coal tar pitch volatiles</t>
  </si>
  <si>
    <t>65996-93-2</t>
  </si>
  <si>
    <t>cocamide monoethanolamine</t>
  </si>
  <si>
    <t>68140-00-1</t>
  </si>
  <si>
    <t>cocamidopropyl hydroxysultaine</t>
  </si>
  <si>
    <t>68139-30-0</t>
  </si>
  <si>
    <t>coco alkyl amine</t>
  </si>
  <si>
    <t>61788-46-3</t>
  </si>
  <si>
    <t>coco alkyl amine acetates, ethoxylated (salts)</t>
  </si>
  <si>
    <t>61791-15-9</t>
  </si>
  <si>
    <t>coco alkyl amine, ethoxylated</t>
  </si>
  <si>
    <t>61791-14-8</t>
  </si>
  <si>
    <t>coco alkyldimethyl amine</t>
  </si>
  <si>
    <t>61788-93-0</t>
  </si>
  <si>
    <t>coco alkyldimethyl betaines</t>
  </si>
  <si>
    <t>68424-94-2</t>
  </si>
  <si>
    <t>coco amines</t>
  </si>
  <si>
    <t>coco dimethyl amines</t>
  </si>
  <si>
    <t>coco fatty acid</t>
  </si>
  <si>
    <t>61788-47-4</t>
  </si>
  <si>
    <t>coco fatty acids compds. with diethanolamine</t>
  </si>
  <si>
    <t>61790-63-4</t>
  </si>
  <si>
    <t>coco nitriles</t>
  </si>
  <si>
    <t>61789-53-5</t>
  </si>
  <si>
    <t>cocobis(2-hydroxypropyl)benzylammonium chloride</t>
  </si>
  <si>
    <t>coconut diethanolamide</t>
  </si>
  <si>
    <t>68603-42-9</t>
  </si>
  <si>
    <t>coconut fatty acid methyl ester</t>
  </si>
  <si>
    <t>61788-59-8</t>
  </si>
  <si>
    <t>coconut monoisopropanolamide</t>
  </si>
  <si>
    <t>68333-82-4</t>
  </si>
  <si>
    <t>coconut oil</t>
  </si>
  <si>
    <t>8001-31-8</t>
  </si>
  <si>
    <t>coconut oil, polymer with ethylene glycol, pentaerythritol and phthalic anhydride</t>
  </si>
  <si>
    <t>66070-89-1</t>
  </si>
  <si>
    <t>coconut oil, reaction products with diethanolamine</t>
  </si>
  <si>
    <t>columbianetin glucopyranoside</t>
  </si>
  <si>
    <t>55836-35-6</t>
  </si>
  <si>
    <t>columbianetin-beta-D-glucopyranoside</t>
  </si>
  <si>
    <t>55838-67-0</t>
  </si>
  <si>
    <t>condensation product of phenol and aldehyde</t>
  </si>
  <si>
    <t>copolymer of ethylene and propylene</t>
  </si>
  <si>
    <t>127883-08-3</t>
  </si>
  <si>
    <t>corn oil</t>
  </si>
  <si>
    <t>8001-30-7</t>
  </si>
  <si>
    <t>corn syrup</t>
  </si>
  <si>
    <t>8029-43-4</t>
  </si>
  <si>
    <t>corrosion or scale inhibitor, generic, not otherwise specified</t>
  </si>
  <si>
    <t>cottonseed oil</t>
  </si>
  <si>
    <t>8001-29-4</t>
  </si>
  <si>
    <t>coumaphos</t>
  </si>
  <si>
    <t>56-72-4</t>
  </si>
  <si>
    <t>creosote oil</t>
  </si>
  <si>
    <t>8001-58-9</t>
  </si>
  <si>
    <t>cresols (mixed isomers)</t>
  </si>
  <si>
    <t>1319-77-3</t>
  </si>
  <si>
    <t>cresyl diphenyl phosphate</t>
  </si>
  <si>
    <t>26444-49-5</t>
  </si>
  <si>
    <t>cresyl glycidyl ether</t>
  </si>
  <si>
    <t>26447-14-3</t>
  </si>
  <si>
    <t>croton oil</t>
  </si>
  <si>
    <t>8001-28-3</t>
  </si>
  <si>
    <t>crotonaldehyde</t>
  </si>
  <si>
    <t>4170-30-3</t>
  </si>
  <si>
    <t>crotonic acid</t>
  </si>
  <si>
    <t>107-93-7</t>
  </si>
  <si>
    <t>crude isoprene (hydrocarbons, C5-rich)</t>
  </si>
  <si>
    <t>68476-55-1</t>
  </si>
  <si>
    <t>crude naphthenic acid</t>
  </si>
  <si>
    <t>crude oil, &lt; 1% benzene</t>
  </si>
  <si>
    <t>cumene</t>
  </si>
  <si>
    <t>98-82-8</t>
  </si>
  <si>
    <t>cumene hydroperoxide</t>
  </si>
  <si>
    <t>80-15-9</t>
  </si>
  <si>
    <t>cuminaldehyde</t>
  </si>
  <si>
    <t>122-03-2</t>
  </si>
  <si>
    <t>cumyl peroxyneodecanoate</t>
  </si>
  <si>
    <t>26748-47-0</t>
  </si>
  <si>
    <t>cutter stock (general)</t>
  </si>
  <si>
    <t>cutting oil</t>
  </si>
  <si>
    <t>cyanogen</t>
  </si>
  <si>
    <t>460-19-5</t>
  </si>
  <si>
    <t>cyanogen bromide</t>
  </si>
  <si>
    <t>506-68-3</t>
  </si>
  <si>
    <t>cyanogen chloride</t>
  </si>
  <si>
    <t>506-77-4</t>
  </si>
  <si>
    <t>Cycasin</t>
  </si>
  <si>
    <t>14901-08-7</t>
  </si>
  <si>
    <t>cyclic hexanediol</t>
  </si>
  <si>
    <t>61412-63-3</t>
  </si>
  <si>
    <t>cycloaliphatic amine</t>
  </si>
  <si>
    <t>cyclobutane</t>
  </si>
  <si>
    <t>287-23-0</t>
  </si>
  <si>
    <t>cyclodecane</t>
  </si>
  <si>
    <t>293-96-9</t>
  </si>
  <si>
    <t>cyclododecane</t>
  </si>
  <si>
    <t>294-62-2</t>
  </si>
  <si>
    <t>cyclododecanone</t>
  </si>
  <si>
    <t>830-13-7</t>
  </si>
  <si>
    <t>cyclododecene, mixture of cis and trans</t>
  </si>
  <si>
    <t>1501-82-2</t>
  </si>
  <si>
    <t>cycloheptane</t>
  </si>
  <si>
    <t>291-64-5</t>
  </si>
  <si>
    <t>cyclohexane</t>
  </si>
  <si>
    <t>110-82-7</t>
  </si>
  <si>
    <t>cyclohexane, oxidized, non-acidic by-products, distn. residues</t>
  </si>
  <si>
    <t>68609-04-1</t>
  </si>
  <si>
    <t>cyclohexanediamine</t>
  </si>
  <si>
    <t>694-83-7</t>
  </si>
  <si>
    <t>cyclohexanediol, all isomers</t>
  </si>
  <si>
    <t>cyclohexanol</t>
  </si>
  <si>
    <t>108-93-0</t>
  </si>
  <si>
    <t>cyclohexanone</t>
  </si>
  <si>
    <t>108-94-1</t>
  </si>
  <si>
    <t>cyclohexanone oxime</t>
  </si>
  <si>
    <t>100-64-1</t>
  </si>
  <si>
    <t>cyclohexene</t>
  </si>
  <si>
    <t>110-83-8</t>
  </si>
  <si>
    <t>cyclohexene oxide</t>
  </si>
  <si>
    <t>286-20-4</t>
  </si>
  <si>
    <t>cyclohexyl acetate</t>
  </si>
  <si>
    <t>622-45-7</t>
  </si>
  <si>
    <t>cyclohexyl benzene</t>
  </si>
  <si>
    <t>827-52-1</t>
  </si>
  <si>
    <t>cyclohexyl butyrate</t>
  </si>
  <si>
    <t>1551-44-6</t>
  </si>
  <si>
    <t>cyclohexyl formate</t>
  </si>
  <si>
    <t>4351-54-6</t>
  </si>
  <si>
    <t>cyclohexyl hexanoate</t>
  </si>
  <si>
    <t>6243-10-3</t>
  </si>
  <si>
    <t>cyclohexyl hydroperoxide</t>
  </si>
  <si>
    <t>766-07-4</t>
  </si>
  <si>
    <t>cyclohexyl isocyanate</t>
  </si>
  <si>
    <t>3173-53-3</t>
  </si>
  <si>
    <t>cyclohexyl valerate</t>
  </si>
  <si>
    <t>1551-43-5</t>
  </si>
  <si>
    <t>cyclohexyl-2-pyrrolidone</t>
  </si>
  <si>
    <t>6837-24-7</t>
  </si>
  <si>
    <t>cyclohexylamine</t>
  </si>
  <si>
    <t>108-91-8</t>
  </si>
  <si>
    <t>cyclohexylammonium sulfate</t>
  </si>
  <si>
    <t>19834-02-7</t>
  </si>
  <si>
    <t>cyclohexyldiethanolamine</t>
  </si>
  <si>
    <t>4500-29-2</t>
  </si>
  <si>
    <t>cyclohexylmercaptan</t>
  </si>
  <si>
    <t>1569-69-3</t>
  </si>
  <si>
    <t>cyclohexylsulfamic acid</t>
  </si>
  <si>
    <t>100-88-9</t>
  </si>
  <si>
    <t>cyclonite</t>
  </si>
  <si>
    <t>121-82-4</t>
  </si>
  <si>
    <t>cyclooctadiene</t>
  </si>
  <si>
    <t>29965-97-7</t>
  </si>
  <si>
    <t>cyclooctane</t>
  </si>
  <si>
    <t>292-64-8</t>
  </si>
  <si>
    <t>cyclooctatetraene</t>
  </si>
  <si>
    <t>629-20-9</t>
  </si>
  <si>
    <t>cyclopenta[d,e,f]phenanthrene</t>
  </si>
  <si>
    <t>203-64-5</t>
  </si>
  <si>
    <t>cyclopentadiene</t>
  </si>
  <si>
    <t>542-92-7</t>
  </si>
  <si>
    <t>cyclopentamine</t>
  </si>
  <si>
    <t>102-45-4</t>
  </si>
  <si>
    <t>cyclopentane</t>
  </si>
  <si>
    <t>287-92-3</t>
  </si>
  <si>
    <t>cyclopentanone</t>
  </si>
  <si>
    <t>120-92-3</t>
  </si>
  <si>
    <t>cyclopentene</t>
  </si>
  <si>
    <t>142-29-0</t>
  </si>
  <si>
    <t>cyclopentyl alcohol</t>
  </si>
  <si>
    <t>96-41-3</t>
  </si>
  <si>
    <t>cyclopropane</t>
  </si>
  <si>
    <t>75-19-4</t>
  </si>
  <si>
    <t>cyclopropanecarboxaldehyde</t>
  </si>
  <si>
    <t>1489-69-6</t>
  </si>
  <si>
    <t>cyclopropanemethanol</t>
  </si>
  <si>
    <t>2516-33-8</t>
  </si>
  <si>
    <t>cyclosiloxanes, di-Me, polymers with 1,3-diethenyl-1,3-dimethyl-1,3-diphenyldisiloxane</t>
  </si>
  <si>
    <t>68037-52-5</t>
  </si>
  <si>
    <t>cyclotetramethylenetetranitramine</t>
  </si>
  <si>
    <t>2691-41-0</t>
  </si>
  <si>
    <t>Daunomycin</t>
  </si>
  <si>
    <t>20830-81-3</t>
  </si>
  <si>
    <t>decaborane</t>
  </si>
  <si>
    <t>17702-41-9</t>
  </si>
  <si>
    <t>decafluorobutane</t>
  </si>
  <si>
    <t>355-25-9</t>
  </si>
  <si>
    <t>decahydronaphthalene</t>
  </si>
  <si>
    <t>91-17-8</t>
  </si>
  <si>
    <t>decamethylcyclopentasiloxane</t>
  </si>
  <si>
    <t>541-02-6</t>
  </si>
  <si>
    <t>decamethyltetrasiloxane</t>
  </si>
  <si>
    <t>141-62-8</t>
  </si>
  <si>
    <t>decanal</t>
  </si>
  <si>
    <t>112-31-2</t>
  </si>
  <si>
    <t>decanoic acid</t>
  </si>
  <si>
    <t>334-48-5</t>
  </si>
  <si>
    <t>decanol, mixed isomers</t>
  </si>
  <si>
    <t>85566-12-7</t>
  </si>
  <si>
    <t>decene, isomer not specified</t>
  </si>
  <si>
    <t>25339-53-1</t>
  </si>
  <si>
    <t>decyl acetate</t>
  </si>
  <si>
    <t>112-17-4</t>
  </si>
  <si>
    <t>decyl alcohol</t>
  </si>
  <si>
    <t>112-30-1</t>
  </si>
  <si>
    <t>decylamidopropyl betaine</t>
  </si>
  <si>
    <t>73772-45-9</t>
  </si>
  <si>
    <t>decylbenzene</t>
  </si>
  <si>
    <t>104-72-3</t>
  </si>
  <si>
    <t>decylmercaptan</t>
  </si>
  <si>
    <t>143-10-2</t>
  </si>
  <si>
    <t>decyl-N,N-dimethylamine oxide</t>
  </si>
  <si>
    <t>2605-79-0</t>
  </si>
  <si>
    <t>DEGREE Xtra Herbicide</t>
  </si>
  <si>
    <t>dehydroabietic acid</t>
  </si>
  <si>
    <t>1740-19-8</t>
  </si>
  <si>
    <t>delta-8-tetrahydrocannabinol</t>
  </si>
  <si>
    <t>5957-75-5</t>
  </si>
  <si>
    <t>delta-hexachlorocyclohexane</t>
  </si>
  <si>
    <t>319-86-8</t>
  </si>
  <si>
    <t>Demeton</t>
  </si>
  <si>
    <t>8065-48-3</t>
  </si>
  <si>
    <t>demeton-methyl</t>
  </si>
  <si>
    <t>8022-00-2</t>
  </si>
  <si>
    <t>di(2-ethylhexyl) phenyl phosphate</t>
  </si>
  <si>
    <t>16368-97-1</t>
  </si>
  <si>
    <t>di(2-ethylhexyl)adipate</t>
  </si>
  <si>
    <t>103-23-1</t>
  </si>
  <si>
    <t>di(2-ethylhexyl)phthalate</t>
  </si>
  <si>
    <t>117-81-7</t>
  </si>
  <si>
    <t>di(n-propyl)peroxydicarbonate</t>
  </si>
  <si>
    <t>16066-38-9</t>
  </si>
  <si>
    <t>di(propylene glycol) dibenzoate</t>
  </si>
  <si>
    <t>27138-31-4</t>
  </si>
  <si>
    <t>di(tetrahydrofuryl)propane</t>
  </si>
  <si>
    <t>89686-69-1</t>
  </si>
  <si>
    <t>di-2-ethylhexylamine</t>
  </si>
  <si>
    <t>106-20-7</t>
  </si>
  <si>
    <t>diacetyl bis(2-methyl-2-propanyl) orthosilicate</t>
  </si>
  <si>
    <t>13170-23-5</t>
  </si>
  <si>
    <t>dialkyl amino propylamine</t>
  </si>
  <si>
    <t>dialkyl benzene</t>
  </si>
  <si>
    <t>85117-34-6</t>
  </si>
  <si>
    <t>dialkyl phosphates and dialkyl amines</t>
  </si>
  <si>
    <t>122970-62-1</t>
  </si>
  <si>
    <t>dialkyl phthalate</t>
  </si>
  <si>
    <t>83968-18-7</t>
  </si>
  <si>
    <t>dialkyl phthalates, C6-C11</t>
  </si>
  <si>
    <t>68515-43-5</t>
  </si>
  <si>
    <t>dialkylcocoamidoalkylamine</t>
  </si>
  <si>
    <t>diallyl phthalate</t>
  </si>
  <si>
    <t>131-17-9</t>
  </si>
  <si>
    <t>diallyl sulfide</t>
  </si>
  <si>
    <t>592-88-1</t>
  </si>
  <si>
    <t>diallyl trisulfide</t>
  </si>
  <si>
    <t>2050-87-5</t>
  </si>
  <si>
    <t>diallylamine</t>
  </si>
  <si>
    <t>124-02-7</t>
  </si>
  <si>
    <t>diamylamines, mixed isomers</t>
  </si>
  <si>
    <t>diazomethane</t>
  </si>
  <si>
    <t>334-88-3</t>
  </si>
  <si>
    <t>dibasic ester, generic, not otherwise specified</t>
  </si>
  <si>
    <t>dibenzo-furans, chlorinated</t>
  </si>
  <si>
    <t>dibenzyl</t>
  </si>
  <si>
    <t>103-29-7</t>
  </si>
  <si>
    <t>dibenzyl ether</t>
  </si>
  <si>
    <t>103-50-4</t>
  </si>
  <si>
    <t>diborane</t>
  </si>
  <si>
    <t>19287-45-7</t>
  </si>
  <si>
    <t>dibromoacetonitrile</t>
  </si>
  <si>
    <t>3252-43-5</t>
  </si>
  <si>
    <t>dibromochloromethane</t>
  </si>
  <si>
    <t>124-48-1</t>
  </si>
  <si>
    <t>dibromomethane</t>
  </si>
  <si>
    <t>74-95-3</t>
  </si>
  <si>
    <t>dibutyl 2,2'-oxybisacetate</t>
  </si>
  <si>
    <t>6634-18-0</t>
  </si>
  <si>
    <t>dibutyl adipate</t>
  </si>
  <si>
    <t>105-99-7</t>
  </si>
  <si>
    <t>dibutyl ether</t>
  </si>
  <si>
    <t>142-96-1</t>
  </si>
  <si>
    <t>dibutyl maleate</t>
  </si>
  <si>
    <t>105-76-0</t>
  </si>
  <si>
    <t>dibutyl phenyl phosphate</t>
  </si>
  <si>
    <t>2528-36-1</t>
  </si>
  <si>
    <t>dibutyl phosphate</t>
  </si>
  <si>
    <t>107-66-4</t>
  </si>
  <si>
    <t>dibutyl phosphite</t>
  </si>
  <si>
    <t>1809-19-4</t>
  </si>
  <si>
    <t>dibutyl phthalate</t>
  </si>
  <si>
    <t>84-74-2</t>
  </si>
  <si>
    <t>dibutyl sebacate</t>
  </si>
  <si>
    <t>109-43-3</t>
  </si>
  <si>
    <t>dibutyl sulfide</t>
  </si>
  <si>
    <t>544-40-1</t>
  </si>
  <si>
    <t>dibutyl terephthalate</t>
  </si>
  <si>
    <t>1962-75-0</t>
  </si>
  <si>
    <t>dibutylamine</t>
  </si>
  <si>
    <t>111-92-2</t>
  </si>
  <si>
    <t>dichloro (chloromethyl) methylsilane</t>
  </si>
  <si>
    <t>1558-33-4</t>
  </si>
  <si>
    <t>dichloroacetaldehyde</t>
  </si>
  <si>
    <t>79-02-7</t>
  </si>
  <si>
    <t>dichloroacetic acid</t>
  </si>
  <si>
    <t>79-43-6</t>
  </si>
  <si>
    <t>dichloroacetic acid, ethyl ester</t>
  </si>
  <si>
    <t>535-15-9</t>
  </si>
  <si>
    <t>dichloroacetonitrile</t>
  </si>
  <si>
    <t>3018-12-0</t>
  </si>
  <si>
    <t>dichloroacetyl chloride</t>
  </si>
  <si>
    <t>79-36-7</t>
  </si>
  <si>
    <t>dichloroacetylene</t>
  </si>
  <si>
    <t>7572-29-4</t>
  </si>
  <si>
    <t>dichlorobenzene, all isomers</t>
  </si>
  <si>
    <t>25321-22-6</t>
  </si>
  <si>
    <t>dichlorodifluoromethane</t>
  </si>
  <si>
    <t>75-71-8</t>
  </si>
  <si>
    <t>dichlorodimethylsilane</t>
  </si>
  <si>
    <t>75-78-5</t>
  </si>
  <si>
    <t>dichloroethyl ether</t>
  </si>
  <si>
    <t>111-44-4</t>
  </si>
  <si>
    <t>dichlorofluoromethane</t>
  </si>
  <si>
    <t>75-43-4</t>
  </si>
  <si>
    <t>dichlorophenylisocyanate</t>
  </si>
  <si>
    <t>102-36-3</t>
  </si>
  <si>
    <t>dichloropropanes</t>
  </si>
  <si>
    <t>26638-19-7</t>
  </si>
  <si>
    <t>dichlorosilane</t>
  </si>
  <si>
    <t>4109-96-0</t>
  </si>
  <si>
    <t>Dichlorvos</t>
  </si>
  <si>
    <t>62-73-7</t>
  </si>
  <si>
    <t>dicoco alkyl amine</t>
  </si>
  <si>
    <t>61789-76-2</t>
  </si>
  <si>
    <t>dicoco alkylmethyl amine</t>
  </si>
  <si>
    <t>61788-62-3</t>
  </si>
  <si>
    <t>Dicrotophos</t>
  </si>
  <si>
    <t>141-66-2</t>
  </si>
  <si>
    <t>dicumyl peroxide</t>
  </si>
  <si>
    <t>80-43-3</t>
  </si>
  <si>
    <t>dicyclohexyl peroxide</t>
  </si>
  <si>
    <t>1758-61-8</t>
  </si>
  <si>
    <t>dicyclohexyl phthalate</t>
  </si>
  <si>
    <t>84-61-7</t>
  </si>
  <si>
    <t>dicyclohexylamine</t>
  </si>
  <si>
    <t>101-83-7</t>
  </si>
  <si>
    <t>dicyclopentadiene</t>
  </si>
  <si>
    <t>77-73-6</t>
  </si>
  <si>
    <t>didecyl dimethyl ammonium chloride</t>
  </si>
  <si>
    <t>7173-51-5</t>
  </si>
  <si>
    <t>didecyl(methyl)amine oxide</t>
  </si>
  <si>
    <t>100545-50-4</t>
  </si>
  <si>
    <t>didecylmethylamine</t>
  </si>
  <si>
    <t>7396-58-9</t>
  </si>
  <si>
    <t>Dieldrin</t>
  </si>
  <si>
    <t>60-57-1</t>
  </si>
  <si>
    <t>Dienochlor</t>
  </si>
  <si>
    <t>2227-17-0</t>
  </si>
  <si>
    <t>diesel fuel</t>
  </si>
  <si>
    <t>68334-30-5</t>
  </si>
  <si>
    <t>diesel fuel #2</t>
  </si>
  <si>
    <t>68476-34-6</t>
  </si>
  <si>
    <t>diethoxymethane</t>
  </si>
  <si>
    <t>462-95-3</t>
  </si>
  <si>
    <t>diethyl butyral</t>
  </si>
  <si>
    <t>26254-89-7</t>
  </si>
  <si>
    <t>diethyl carbonate</t>
  </si>
  <si>
    <t>105-58-8</t>
  </si>
  <si>
    <t>diethyl disulfide</t>
  </si>
  <si>
    <t>110-81-6</t>
  </si>
  <si>
    <t>diethyl ether</t>
  </si>
  <si>
    <t>60-29-7</t>
  </si>
  <si>
    <t>diethyl fumarate</t>
  </si>
  <si>
    <t>623-91-6</t>
  </si>
  <si>
    <t>diethyl maleate</t>
  </si>
  <si>
    <t>141-05-9</t>
  </si>
  <si>
    <t>diethyl malonate</t>
  </si>
  <si>
    <t>105-53-3</t>
  </si>
  <si>
    <t>diethyl naphthalene</t>
  </si>
  <si>
    <t>31831-35-3</t>
  </si>
  <si>
    <t>diethyl oxalate</t>
  </si>
  <si>
    <t>95-92-1</t>
  </si>
  <si>
    <t>diethyl phosphorochlorodithioate</t>
  </si>
  <si>
    <t>2524-04-1</t>
  </si>
  <si>
    <t>diethyl phthalate</t>
  </si>
  <si>
    <t>84-66-2</t>
  </si>
  <si>
    <t>diethyl succinate</t>
  </si>
  <si>
    <t>123-25-1</t>
  </si>
  <si>
    <t>diethyl sulfate</t>
  </si>
  <si>
    <t>64-67-5</t>
  </si>
  <si>
    <t>diethyl sulfide</t>
  </si>
  <si>
    <t>352-93-2</t>
  </si>
  <si>
    <t>diethyl-1,2-dihydro-1-phenyl-2-propylpyridine</t>
  </si>
  <si>
    <t>34562-31-7</t>
  </si>
  <si>
    <t>diethylamine</t>
  </si>
  <si>
    <t>109-89-7</t>
  </si>
  <si>
    <t>diethylaminotrimethylsilane</t>
  </si>
  <si>
    <t>996-50-9</t>
  </si>
  <si>
    <t>diethylammonium phosphate</t>
  </si>
  <si>
    <t>diethylbenzene, mixed isomers</t>
  </si>
  <si>
    <t>25340-17-4</t>
  </si>
  <si>
    <t>diethylene glycol</t>
  </si>
  <si>
    <t>111-46-6</t>
  </si>
  <si>
    <t>diethylene glycol bis(3-aminopropyl) ether</t>
  </si>
  <si>
    <t>4246-51-9</t>
  </si>
  <si>
    <t>diethylene glycol bis-chloroformate</t>
  </si>
  <si>
    <t>106-75-2</t>
  </si>
  <si>
    <t>diethylene glycol dimethyl ether</t>
  </si>
  <si>
    <t>111-96-6</t>
  </si>
  <si>
    <t>diethylene glycol di-n-butyl ether</t>
  </si>
  <si>
    <t>112-73-2</t>
  </si>
  <si>
    <t>diethylene glycol divinyl ether</t>
  </si>
  <si>
    <t>764-99-8</t>
  </si>
  <si>
    <t>diethylene glycol ethyl ether</t>
  </si>
  <si>
    <t>111-90-0</t>
  </si>
  <si>
    <t>diethylene glycol ethyl methyl ether</t>
  </si>
  <si>
    <t>1002-67-1</t>
  </si>
  <si>
    <t>diethylene glycol ethyl vinyl ether</t>
  </si>
  <si>
    <t>10143-53-0</t>
  </si>
  <si>
    <t>diethylene glycol mono-2-ethylhexyl ether</t>
  </si>
  <si>
    <t>1559-36-0</t>
  </si>
  <si>
    <t>diethylene glycol mono-2-methyl pentyl ether</t>
  </si>
  <si>
    <t>10143-56-3</t>
  </si>
  <si>
    <t>diethylene glycol monobutyl ether</t>
  </si>
  <si>
    <t>112-34-5</t>
  </si>
  <si>
    <t>diethylene glycol monobutyl ether acetate</t>
  </si>
  <si>
    <t>124-17-4</t>
  </si>
  <si>
    <t>diethylene glycol monoethyl ether acetate</t>
  </si>
  <si>
    <t>112-15-2</t>
  </si>
  <si>
    <t>diethylene glycol monohexyl ether</t>
  </si>
  <si>
    <t>112-59-4</t>
  </si>
  <si>
    <t>diethylene glycol monoisobutyl ether</t>
  </si>
  <si>
    <t>18912-80-6</t>
  </si>
  <si>
    <t>diethylene glycol monomethyl ether</t>
  </si>
  <si>
    <t>111-77-3</t>
  </si>
  <si>
    <t>diethylene glycol monophenyl ether</t>
  </si>
  <si>
    <t>104-68-7</t>
  </si>
  <si>
    <t>diethylene glycol monopropyl ether</t>
  </si>
  <si>
    <t>6881-94-3</t>
  </si>
  <si>
    <t>diethylene glycol monovinyl ether</t>
  </si>
  <si>
    <t>929-37-3</t>
  </si>
  <si>
    <t>diethylene glycol phthalic anhydride polymer</t>
  </si>
  <si>
    <t>32472-85-8</t>
  </si>
  <si>
    <t>diethylenetoluenediamine</t>
  </si>
  <si>
    <t>68479-98-1</t>
  </si>
  <si>
    <t>diethylenetriamine</t>
  </si>
  <si>
    <t>111-40-0</t>
  </si>
  <si>
    <t>diethylenetriamine hydrochloride</t>
  </si>
  <si>
    <t>21120-99-0</t>
  </si>
  <si>
    <t>diethylzinc</t>
  </si>
  <si>
    <t>557-20-0</t>
  </si>
  <si>
    <t>difluorodibromomethane</t>
  </si>
  <si>
    <t>75-61-6</t>
  </si>
  <si>
    <t>difluoromethane</t>
  </si>
  <si>
    <t>75-10-5</t>
  </si>
  <si>
    <t>diglycidyl bisphenol A ether</t>
  </si>
  <si>
    <t>diglycidyl ether</t>
  </si>
  <si>
    <t>2238-07-5</t>
  </si>
  <si>
    <t>diglycidyl resorcinol ether</t>
  </si>
  <si>
    <t>101-90-6</t>
  </si>
  <si>
    <t>dihexylphosphine</t>
  </si>
  <si>
    <t>24674-43-9</t>
  </si>
  <si>
    <t>dihydro-2,5-furandione, mono-C15-20-alkenyl derivs.</t>
  </si>
  <si>
    <t>68784-12-3</t>
  </si>
  <si>
    <t>dihydro-3,5-dimethyl-2(3H)-furanone</t>
  </si>
  <si>
    <t>5145-01-7</t>
  </si>
  <si>
    <t>dihydro-5-pentyl-2(3H)-furanone</t>
  </si>
  <si>
    <t>104-61-0</t>
  </si>
  <si>
    <t>dihydromyrcenol</t>
  </si>
  <si>
    <t>18479-58-8</t>
  </si>
  <si>
    <t>dihydrosafrole</t>
  </si>
  <si>
    <t>94-58-6</t>
  </si>
  <si>
    <t>diiodomethane</t>
  </si>
  <si>
    <t>75-11-6</t>
  </si>
  <si>
    <t>diisobutyl adipate</t>
  </si>
  <si>
    <t>diisobutyl glutarate</t>
  </si>
  <si>
    <t>71195-64-7</t>
  </si>
  <si>
    <t>diisobutyl phthalate</t>
  </si>
  <si>
    <t>84-69-5</t>
  </si>
  <si>
    <t>diisobutyl succinate</t>
  </si>
  <si>
    <t>925-06-4</t>
  </si>
  <si>
    <t>diisobutylamine</t>
  </si>
  <si>
    <t>110-96-3</t>
  </si>
  <si>
    <t>diisobutylene</t>
  </si>
  <si>
    <t>25167-70-8</t>
  </si>
  <si>
    <t>diisodecyl adipate</t>
  </si>
  <si>
    <t>diisodecyl phenyl phosphate</t>
  </si>
  <si>
    <t>diisodecyl phthalate</t>
  </si>
  <si>
    <t>26761-40-0</t>
  </si>
  <si>
    <t>diisononyl adipate</t>
  </si>
  <si>
    <t>33703-08-1</t>
  </si>
  <si>
    <t>diisononyl phthalate</t>
  </si>
  <si>
    <t>28553-12-0</t>
  </si>
  <si>
    <t>diisooctyl adipate</t>
  </si>
  <si>
    <t>diisopropanolamine</t>
  </si>
  <si>
    <t>110-97-4</t>
  </si>
  <si>
    <t>diisopropyl disulfide</t>
  </si>
  <si>
    <t>4253-89-9</t>
  </si>
  <si>
    <t>diisopropyl ether</t>
  </si>
  <si>
    <t>108-20-3</t>
  </si>
  <si>
    <t>diisopropyl ketone</t>
  </si>
  <si>
    <t>565-80-0</t>
  </si>
  <si>
    <t>diisopropyl phosphonate</t>
  </si>
  <si>
    <t>1809-20-7</t>
  </si>
  <si>
    <t>diisopropyl succinate</t>
  </si>
  <si>
    <t>924-88-9</t>
  </si>
  <si>
    <t>diisopropyl-1,1'-biphenyl</t>
  </si>
  <si>
    <t>69009-90-1</t>
  </si>
  <si>
    <t>diisopropylamine</t>
  </si>
  <si>
    <t>108-18-9</t>
  </si>
  <si>
    <t>diisopropylbenzene, all isomers</t>
  </si>
  <si>
    <t>diisopropylbenzene, mixture of m- and p- isomers</t>
  </si>
  <si>
    <t>25321-09-9</t>
  </si>
  <si>
    <t>diisopropylnaphthalene</t>
  </si>
  <si>
    <t>38640-62-9</t>
  </si>
  <si>
    <t>diisopropylnaphthalenesulphonic acid, compound with cyclohexylamine (1:1)</t>
  </si>
  <si>
    <t>dilauroyl peroxide</t>
  </si>
  <si>
    <t>105-74-8</t>
  </si>
  <si>
    <t>dimer acid, hydrogenated</t>
  </si>
  <si>
    <t>68783-41-5</t>
  </si>
  <si>
    <t>dimethoxy(dimethyl)silane</t>
  </si>
  <si>
    <t>1112-39-6</t>
  </si>
  <si>
    <t>dimethoxymethane</t>
  </si>
  <si>
    <t>109-87-5</t>
  </si>
  <si>
    <t>dimethyl acetoacetamide</t>
  </si>
  <si>
    <t>2044-64-6</t>
  </si>
  <si>
    <t>dimethyl acetylenedicarboxylate</t>
  </si>
  <si>
    <t>762-42-5</t>
  </si>
  <si>
    <t>dimethyl adipate</t>
  </si>
  <si>
    <t>dimethyl aminopropylene</t>
  </si>
  <si>
    <t>2978-60-1</t>
  </si>
  <si>
    <t>dimethyl carbonate</t>
  </si>
  <si>
    <t>616-38-6</t>
  </si>
  <si>
    <t>dimethyl dihydrogen diphosphate</t>
  </si>
  <si>
    <t>26644-00-8</t>
  </si>
  <si>
    <t>dimethyl disulfide</t>
  </si>
  <si>
    <t>624-92-0</t>
  </si>
  <si>
    <t>dimethyl ether</t>
  </si>
  <si>
    <t>115-10-6</t>
  </si>
  <si>
    <t>dimethyl glutarate</t>
  </si>
  <si>
    <t>1119-40-0</t>
  </si>
  <si>
    <t>dimethyl hexynediol</t>
  </si>
  <si>
    <t>142-30-3</t>
  </si>
  <si>
    <t>dimethyl methyl phenyl methoxysiloxane</t>
  </si>
  <si>
    <t>68952-93-2</t>
  </si>
  <si>
    <t>dimethyl oleyl amine</t>
  </si>
  <si>
    <t>28061-69-0</t>
  </si>
  <si>
    <t>dimethyl pentane, all isomers</t>
  </si>
  <si>
    <t>dimethyl phthalate</t>
  </si>
  <si>
    <t>131-11-3</t>
  </si>
  <si>
    <t>dimethyl propanolamine</t>
  </si>
  <si>
    <t>3179-63-3</t>
  </si>
  <si>
    <t>dimethyl sebacate</t>
  </si>
  <si>
    <t>106-79-6</t>
  </si>
  <si>
    <t>dimethyl succinate</t>
  </si>
  <si>
    <t>106-65-0</t>
  </si>
  <si>
    <t>dimethyl sulfate</t>
  </si>
  <si>
    <t>77-78-1</t>
  </si>
  <si>
    <t>dimethyl sulfide</t>
  </si>
  <si>
    <t>75-18-3</t>
  </si>
  <si>
    <t>dimethyl sulfone</t>
  </si>
  <si>
    <t>67-71-0</t>
  </si>
  <si>
    <t>dimethyl sulfoxide</t>
  </si>
  <si>
    <t>67-68-5</t>
  </si>
  <si>
    <t>dimethyl terephthalate</t>
  </si>
  <si>
    <t>120-61-6</t>
  </si>
  <si>
    <t>dimethyl zinc</t>
  </si>
  <si>
    <t>544-97-8</t>
  </si>
  <si>
    <t>dimethyl, phenyl siloxane, methoxy-terminated</t>
  </si>
  <si>
    <t>68957-04-0</t>
  </si>
  <si>
    <t>dimethylacetamide</t>
  </si>
  <si>
    <t>127-19-5</t>
  </si>
  <si>
    <t>dimethylacrylamide</t>
  </si>
  <si>
    <t>2680-03-7</t>
  </si>
  <si>
    <t>dimethylamide of organic acid</t>
  </si>
  <si>
    <t>68308-74-7</t>
  </si>
  <si>
    <t>dimethylamine</t>
  </si>
  <si>
    <t>124-40-3</t>
  </si>
  <si>
    <t>dimethylamine borane</t>
  </si>
  <si>
    <t>74-94-2</t>
  </si>
  <si>
    <t>dimethylaminoethoxyethanol</t>
  </si>
  <si>
    <t>1704-62-7</t>
  </si>
  <si>
    <t>dimethylaminoethyl methacrylate</t>
  </si>
  <si>
    <t>2867-47-2</t>
  </si>
  <si>
    <t>dimethylbenzene sulfonic acid, sodium salt</t>
  </si>
  <si>
    <t>39340-93-7</t>
  </si>
  <si>
    <t>dimethylcarbamoyl chloride</t>
  </si>
  <si>
    <t>79-44-7</t>
  </si>
  <si>
    <t>dimethylcyclopentane, all isomers</t>
  </si>
  <si>
    <t>dimethyldipropylammonium hydroxide</t>
  </si>
  <si>
    <t>836597-65-0</t>
  </si>
  <si>
    <t>dimethylethoxysilane</t>
  </si>
  <si>
    <t>14857-34-2</t>
  </si>
  <si>
    <t>dimethylethyl benzene</t>
  </si>
  <si>
    <t>98-06-6</t>
  </si>
  <si>
    <t>dimethylformamide</t>
  </si>
  <si>
    <t>68-12-2</t>
  </si>
  <si>
    <t>dimethylisopropylamine</t>
  </si>
  <si>
    <t>598-74-3</t>
  </si>
  <si>
    <t>dimethylnaphthalene (mixed isomers)</t>
  </si>
  <si>
    <t>28804-88-8</t>
  </si>
  <si>
    <t>dimethyloctylamine</t>
  </si>
  <si>
    <t>7378-99-6</t>
  </si>
  <si>
    <t>dimethylolpropionic acid</t>
  </si>
  <si>
    <t>4767-03-7</t>
  </si>
  <si>
    <t>dimethylphenethylamine</t>
  </si>
  <si>
    <t>122-09-8</t>
  </si>
  <si>
    <t>dimethylpiperazine</t>
  </si>
  <si>
    <t>25155-35-5</t>
  </si>
  <si>
    <t>dimethylpropylamine</t>
  </si>
  <si>
    <t>926-63-6</t>
  </si>
  <si>
    <t>dimethylsoya alkyl amine</t>
  </si>
  <si>
    <t>61788-91-8</t>
  </si>
  <si>
    <t>dimethyl-substituted cyclosiloxanes</t>
  </si>
  <si>
    <t>69430-24-6</t>
  </si>
  <si>
    <t>dimethyltallow alkyl amine</t>
  </si>
  <si>
    <t>68814-69-7</t>
  </si>
  <si>
    <t>dimethylvinyl chloride</t>
  </si>
  <si>
    <t>513-37-1</t>
  </si>
  <si>
    <t>dinitrobenzene, all isomers</t>
  </si>
  <si>
    <t>dinitrogen tetraoxide</t>
  </si>
  <si>
    <t>10544-72-6</t>
  </si>
  <si>
    <t>dinitrotoluene, mixed isomers</t>
  </si>
  <si>
    <t>25321-14-6</t>
  </si>
  <si>
    <t>di-n-octyl phthalate</t>
  </si>
  <si>
    <t>117-84-0</t>
  </si>
  <si>
    <t>dinonyl phenol branched, ethoxylate</t>
  </si>
  <si>
    <t>68891-21-4</t>
  </si>
  <si>
    <t>dinonylnaphthylsulfonic acid</t>
  </si>
  <si>
    <t>dinoseb</t>
  </si>
  <si>
    <t>88-85-7</t>
  </si>
  <si>
    <t>di-n-undecyl phthalate</t>
  </si>
  <si>
    <t>85507-79-5</t>
  </si>
  <si>
    <t>dioctyl azelate</t>
  </si>
  <si>
    <t>103-24-2</t>
  </si>
  <si>
    <t>dioctyl disulfide</t>
  </si>
  <si>
    <t>822-27-5</t>
  </si>
  <si>
    <t>dioctyl terephthalate</t>
  </si>
  <si>
    <t>6422-86-2</t>
  </si>
  <si>
    <t>dioctyldimethylammonium chloride</t>
  </si>
  <si>
    <t>5538-94-3</t>
  </si>
  <si>
    <t>dioctyldiphenylamine</t>
  </si>
  <si>
    <t>101-67-7</t>
  </si>
  <si>
    <t>Dioxathion</t>
  </si>
  <si>
    <t>78-34-2</t>
  </si>
  <si>
    <t>dipentaerythritol pentaacrylate</t>
  </si>
  <si>
    <t>60506-81-2</t>
  </si>
  <si>
    <t>dipentene hydrocarbons</t>
  </si>
  <si>
    <t>68956-56-9</t>
  </si>
  <si>
    <t>dipentyl phthalate</t>
  </si>
  <si>
    <t>131-18-0</t>
  </si>
  <si>
    <t>diphenhramine hydrochloride</t>
  </si>
  <si>
    <t>147-24-0</t>
  </si>
  <si>
    <t>diphenyl ether</t>
  </si>
  <si>
    <t>101-84-8</t>
  </si>
  <si>
    <t>diphenylcarboxylate</t>
  </si>
  <si>
    <t>diphenyldimethoxysilane</t>
  </si>
  <si>
    <t>6843-66-9</t>
  </si>
  <si>
    <t>diphenylpropylphosphine</t>
  </si>
  <si>
    <t>7650-84-2</t>
  </si>
  <si>
    <t>dipropyl disulfide</t>
  </si>
  <si>
    <t>629-19-6</t>
  </si>
  <si>
    <t>dipropyl ether</t>
  </si>
  <si>
    <t>111-43-3</t>
  </si>
  <si>
    <t>dipropyl ketone</t>
  </si>
  <si>
    <t>123-19-3</t>
  </si>
  <si>
    <t>dipropyl sulfide</t>
  </si>
  <si>
    <t>111-47-7</t>
  </si>
  <si>
    <t>dipropylamine</t>
  </si>
  <si>
    <t>142-84-7</t>
  </si>
  <si>
    <t>dipropylbenzene</t>
  </si>
  <si>
    <t>4815-57-0</t>
  </si>
  <si>
    <t>dipropylene glycol</t>
  </si>
  <si>
    <t>25265-71-8</t>
  </si>
  <si>
    <t>dipropylene glycol allyl ether</t>
  </si>
  <si>
    <t>79313-20-5</t>
  </si>
  <si>
    <t>dipropylene glycol dibenzoate</t>
  </si>
  <si>
    <t>94-51-9</t>
  </si>
  <si>
    <t>dipropylene glycol diglycidyl ether</t>
  </si>
  <si>
    <t>41638-13-5</t>
  </si>
  <si>
    <t>dipropylene glycol dimethyl ether</t>
  </si>
  <si>
    <t>111109-77-4</t>
  </si>
  <si>
    <t>dipropylene glycol monoethyl ether</t>
  </si>
  <si>
    <t>15764-24-6</t>
  </si>
  <si>
    <t>dipropylene glycol monomethyl ether</t>
  </si>
  <si>
    <t>34590-94-8</t>
  </si>
  <si>
    <t>dipropylene glycol monomethyl ether acetate</t>
  </si>
  <si>
    <t>88917-22-0</t>
  </si>
  <si>
    <t>dipropylene glycol monopropyl ether</t>
  </si>
  <si>
    <t>29911-27-1</t>
  </si>
  <si>
    <t>dipropylene glycol n-butyl ether</t>
  </si>
  <si>
    <t>29911-28-2</t>
  </si>
  <si>
    <t>dipropylene glycol phenyl ether</t>
  </si>
  <si>
    <t>51730-94-0</t>
  </si>
  <si>
    <t>dipyridinylmethane</t>
  </si>
  <si>
    <t>1132-37-2</t>
  </si>
  <si>
    <t>diquat</t>
  </si>
  <si>
    <t>231-36-7</t>
  </si>
  <si>
    <t>diquat dibromide</t>
  </si>
  <si>
    <t>85-00-7</t>
  </si>
  <si>
    <t>diquat dibromide monohydrate</t>
  </si>
  <si>
    <t>6385-62-2</t>
  </si>
  <si>
    <t>di-s-butyl disulfide</t>
  </si>
  <si>
    <t>5943-30-6</t>
  </si>
  <si>
    <t>disilane</t>
  </si>
  <si>
    <t>1590-87-0</t>
  </si>
  <si>
    <t>disiloxane, 1,3-bis(2-bicyclo4.2.0octa-1,3,5-trien-3-ylethenyl)-1,1,3,3-tetramethyl-, homopolymer</t>
  </si>
  <si>
    <t>124221-30-3</t>
  </si>
  <si>
    <t>disodium [{2-[bis(carboxylatomethyl)amino]ethyl}(2-hydroxyethyl)amino]acetate</t>
  </si>
  <si>
    <t>62099-15-4</t>
  </si>
  <si>
    <t>disodium distyrybiphenyl disulfonate</t>
  </si>
  <si>
    <t>27344-41-8</t>
  </si>
  <si>
    <t>disoya alkyl amine</t>
  </si>
  <si>
    <t>68783-23-3</t>
  </si>
  <si>
    <t>Dispergon LFH</t>
  </si>
  <si>
    <t>114535-82-9</t>
  </si>
  <si>
    <t>Distillate Fuel Cutterstock</t>
  </si>
  <si>
    <t>distillate, middle, sweetened</t>
  </si>
  <si>
    <t>64741-86-2</t>
  </si>
  <si>
    <t>distillates (petroleum) solvent-dewaxed heavy paraffinic</t>
  </si>
  <si>
    <t>64742-65-0</t>
  </si>
  <si>
    <t>distillates (petroleum) solvent-refined heavy paraffinic</t>
  </si>
  <si>
    <t>64741-88-4</t>
  </si>
  <si>
    <t>distillates (petroleum), acid treated, light</t>
  </si>
  <si>
    <t>64742-14-9</t>
  </si>
  <si>
    <t>distillates (petroleum), C3-6, piperylene-rich</t>
  </si>
  <si>
    <t>68477-35-0</t>
  </si>
  <si>
    <t>distillates (petroleum), catalytic reformer fractionator residue, high-boiling</t>
  </si>
  <si>
    <t>68477-29-2</t>
  </si>
  <si>
    <t>distillates (petroleum), crude oil</t>
  </si>
  <si>
    <t>68410-00-4</t>
  </si>
  <si>
    <t>distillates (petroleum), hydrotreated light</t>
  </si>
  <si>
    <t>64742-47-8</t>
  </si>
  <si>
    <t>distillates (petroleum), light catalytic cracked</t>
  </si>
  <si>
    <t>64741-59-9</t>
  </si>
  <si>
    <t>distillates (petroleum), oxidized light, strong acid components, compds. with diethanolamine</t>
  </si>
  <si>
    <t>68602-96-0</t>
  </si>
  <si>
    <t>distillates (petroleum), solvent-dewaxed light naphthenic</t>
  </si>
  <si>
    <t>64742-64-9</t>
  </si>
  <si>
    <t>distillates (petroleum), steam-cracked polymers with light steam-cracked petroleum naphtha</t>
  </si>
  <si>
    <t>68410-16-2</t>
  </si>
  <si>
    <t>distillates (petroleum), steam-cracked, polymers with acid-treated coal solvent naphtha and phenol</t>
  </si>
  <si>
    <t>68131-80-6</t>
  </si>
  <si>
    <t>distillates (petroleum), straight-run middle</t>
  </si>
  <si>
    <t>64741-44-2</t>
  </si>
  <si>
    <t>distillates [petroleum], catalytic reformer fractionator residue</t>
  </si>
  <si>
    <t>68477-31-6</t>
  </si>
  <si>
    <t>distillates, petroleum, clay treated middle</t>
  </si>
  <si>
    <t>64742-38-7</t>
  </si>
  <si>
    <t>distillates, petroleum, oxidized light</t>
  </si>
  <si>
    <t>64742-98-9</t>
  </si>
  <si>
    <t>distillates, petroleum, steam cracked, C8-12 fraction</t>
  </si>
  <si>
    <t>68477-54-3</t>
  </si>
  <si>
    <t>distillates, petroleum, vacuum</t>
  </si>
  <si>
    <t>70592-78-8</t>
  </si>
  <si>
    <t>disulfide oil</t>
  </si>
  <si>
    <t>Disulfoton</t>
  </si>
  <si>
    <t>298-04-4</t>
  </si>
  <si>
    <t>di-tert-amyl peroxide</t>
  </si>
  <si>
    <t>10508-09-5</t>
  </si>
  <si>
    <t>di-tert-amyl phenol</t>
  </si>
  <si>
    <t>25231-47-4</t>
  </si>
  <si>
    <t>di-tert-butyl ether</t>
  </si>
  <si>
    <t>109-93-3</t>
  </si>
  <si>
    <t>di-tert-butyldisulfide</t>
  </si>
  <si>
    <t>110-06-5</t>
  </si>
  <si>
    <t>di-tert-nonyl polysulfide</t>
  </si>
  <si>
    <t>68425-16-1</t>
  </si>
  <si>
    <t>di-tert-octyl diphenyl oxide</t>
  </si>
  <si>
    <t>dithiocarbamate</t>
  </si>
  <si>
    <t>4384-82-1</t>
  </si>
  <si>
    <t>ditridecyl phthalate</t>
  </si>
  <si>
    <t>119-06-2</t>
  </si>
  <si>
    <t>divinylbenzene</t>
  </si>
  <si>
    <t>1321-74-0</t>
  </si>
  <si>
    <t>d-limonene</t>
  </si>
  <si>
    <t>5989-27-5</t>
  </si>
  <si>
    <t>dodecamethylcyclohexasiloxane</t>
  </si>
  <si>
    <t>540-97-6</t>
  </si>
  <si>
    <t>dodecamethylpentasiloxane</t>
  </si>
  <si>
    <t>141-63-9</t>
  </si>
  <si>
    <t>dodecan-1-ol</t>
  </si>
  <si>
    <t>8032-10-8</t>
  </si>
  <si>
    <t>dodecane</t>
  </si>
  <si>
    <t>112-40-3</t>
  </si>
  <si>
    <t>dodecanedioic acid</t>
  </si>
  <si>
    <t>693-23-2</t>
  </si>
  <si>
    <t>dodecanethiols</t>
  </si>
  <si>
    <t>1322-36-7</t>
  </si>
  <si>
    <t>dodecene, predominantly linear</t>
  </si>
  <si>
    <t>25378-22-7</t>
  </si>
  <si>
    <t>dodecene-1-sulfonic acid, sodium salt</t>
  </si>
  <si>
    <t>30965-85-6</t>
  </si>
  <si>
    <t>dodecenylsuccinic anhydride</t>
  </si>
  <si>
    <t>25377-73-5</t>
  </si>
  <si>
    <t>dodecenylsuccinic anhydride, mixture of isomers</t>
  </si>
  <si>
    <t>26544-38-7</t>
  </si>
  <si>
    <t>dodecyl 2-methylacrylate</t>
  </si>
  <si>
    <t>142-90-5</t>
  </si>
  <si>
    <t>dodecyl acetate</t>
  </si>
  <si>
    <t>112-66-3</t>
  </si>
  <si>
    <t>dodecyl alcohol ethoxylates</t>
  </si>
  <si>
    <t>9002-92-0</t>
  </si>
  <si>
    <t>dodecyl aldehyde</t>
  </si>
  <si>
    <t>112-54-9</t>
  </si>
  <si>
    <t>dodecyl methyl sulfide</t>
  </si>
  <si>
    <t>3698-89-3</t>
  </si>
  <si>
    <t>dodecyl sulfide</t>
  </si>
  <si>
    <t>2469-45-6</t>
  </si>
  <si>
    <t>dodecyl(sulfophenoxy)benzenesulfonic acid, sodium salt</t>
  </si>
  <si>
    <t>28519-02-0</t>
  </si>
  <si>
    <t>dodecylamine</t>
  </si>
  <si>
    <t>124-22-1</t>
  </si>
  <si>
    <t>dodecylbenzene sulfonic acid, amine salt</t>
  </si>
  <si>
    <t>29061-63-0</t>
  </si>
  <si>
    <t>dodecylbenzene sulfonic acid, ammonium salt</t>
  </si>
  <si>
    <t>1331-61-9</t>
  </si>
  <si>
    <t>dodecylbenzene sulfonic acid, branched</t>
  </si>
  <si>
    <t>68411-32-5</t>
  </si>
  <si>
    <t>dodecylbenzene sulfonic acid, compound with 2-aminoethanol (1:1)</t>
  </si>
  <si>
    <t>26836-07-7</t>
  </si>
  <si>
    <t>dodecylbenzenesulfonic acid</t>
  </si>
  <si>
    <t>27176-87-0</t>
  </si>
  <si>
    <t>dodecylbenzenesulfonic acid, branched, compd. with 2-propanamine</t>
  </si>
  <si>
    <t>90218-35-2</t>
  </si>
  <si>
    <t>dodecylbenzenesulfonic acid, branched, compds. with ethanolamine</t>
  </si>
  <si>
    <t>68953-98-0</t>
  </si>
  <si>
    <t>dodecylbenzenesulfonic acid, calcium salt</t>
  </si>
  <si>
    <t>26264-06-2</t>
  </si>
  <si>
    <t>dodecylbenzenesulfonic acid, compds. with ammonia-ethylene glycol reaction product morpholine derivs. residues</t>
  </si>
  <si>
    <t>dodecylbenzenesulfonic acid, compound with 2,2'-iminobis[ethanol]</t>
  </si>
  <si>
    <t>26545-53-9</t>
  </si>
  <si>
    <t>dodecylbenzenesulfonic acid, compound with 2-propanamine (1:1)</t>
  </si>
  <si>
    <t>26264-05-1</t>
  </si>
  <si>
    <t>drilling mud oil</t>
  </si>
  <si>
    <t>D-trans Allethrin</t>
  </si>
  <si>
    <t>28057-48-9</t>
  </si>
  <si>
    <t>Empigen BS</t>
  </si>
  <si>
    <t>128770-26-3</t>
  </si>
  <si>
    <t>Endosulfan</t>
  </si>
  <si>
    <t>115-29-7</t>
  </si>
  <si>
    <t>enflurane</t>
  </si>
  <si>
    <t>13838-16-9</t>
  </si>
  <si>
    <t>epichlorohydrin</t>
  </si>
  <si>
    <t>106-89-8</t>
  </si>
  <si>
    <t>epichlorohydrin, bisphenol A, methacrylic acid polymer</t>
  </si>
  <si>
    <t>36425-15-7</t>
  </si>
  <si>
    <t>epinephrine</t>
  </si>
  <si>
    <t>51-43-4</t>
  </si>
  <si>
    <t>epoxy cylcohexylmethyl 3,4-epoxycycloheane carboxylate</t>
  </si>
  <si>
    <t>2386-87-0</t>
  </si>
  <si>
    <t>ethane</t>
  </si>
  <si>
    <t>74-84-0</t>
  </si>
  <si>
    <t>ethanol</t>
  </si>
  <si>
    <t>64-17-5</t>
  </si>
  <si>
    <t>ethanolamine hydrochloride</t>
  </si>
  <si>
    <t>2002-24-6</t>
  </si>
  <si>
    <t>ethanolamine, organic acid salt</t>
  </si>
  <si>
    <t>ethenylbenzene, 2-ethylhexyl 2-propenoate, 2-methylpropyl 2-methyl-2-propenoate, hydroxyethyl 2-methyl-2-propenoate, 2-methyl-2-propenoic acid polymer</t>
  </si>
  <si>
    <t>72252-50-7</t>
  </si>
  <si>
    <t>Ethion</t>
  </si>
  <si>
    <t>563-12-2</t>
  </si>
  <si>
    <t>Ethoprophos</t>
  </si>
  <si>
    <t>13194-48-4</t>
  </si>
  <si>
    <t>ethoxybenzene</t>
  </si>
  <si>
    <t>103-73-1</t>
  </si>
  <si>
    <t>ethoxylated di-sec-butylphenol</t>
  </si>
  <si>
    <t>53964-94-6</t>
  </si>
  <si>
    <t>ethoxylated glycerine triacrylate</t>
  </si>
  <si>
    <t>101661-95-4</t>
  </si>
  <si>
    <t>ethoxylated oleylamine</t>
  </si>
  <si>
    <t>26635-93-8</t>
  </si>
  <si>
    <t>ethoxylated propoxylated C6-10 alcohols</t>
  </si>
  <si>
    <t>68987-81-5</t>
  </si>
  <si>
    <t>ethoxylated tallow alcohols</t>
  </si>
  <si>
    <t>61791-28-4</t>
  </si>
  <si>
    <t>ethoxylated tridecyl alcohol</t>
  </si>
  <si>
    <t>24938-91-8</t>
  </si>
  <si>
    <t>ethoxymethyl polysiloxane</t>
  </si>
  <si>
    <t>67762-97-4</t>
  </si>
  <si>
    <t>ethoxypropyl acetate</t>
  </si>
  <si>
    <t>98516-30-4</t>
  </si>
  <si>
    <t>ethoxyquin</t>
  </si>
  <si>
    <t>91-53-2</t>
  </si>
  <si>
    <t>ethyl (2E)-2-butenoate</t>
  </si>
  <si>
    <t>623-70-1</t>
  </si>
  <si>
    <t>ethyl (2R)-hydroxy(phenyl)acetate</t>
  </si>
  <si>
    <t>10606-72-1</t>
  </si>
  <si>
    <t>ethyl 2-methacrylate</t>
  </si>
  <si>
    <t>97-63-2</t>
  </si>
  <si>
    <t>ethyl 3,3-di-(tert-amylperoxy) butyrate</t>
  </si>
  <si>
    <t>67567-23-1</t>
  </si>
  <si>
    <t>ethyl 3-amino-4,4,4-trifluorocrotonate</t>
  </si>
  <si>
    <t>372-29-2</t>
  </si>
  <si>
    <t>ethyl 4-ethoxybenzoate</t>
  </si>
  <si>
    <t>23676-09-7</t>
  </si>
  <si>
    <t>ethyl 4-methoxybenzoate</t>
  </si>
  <si>
    <t>94-30-4</t>
  </si>
  <si>
    <t>ethyl acetate</t>
  </si>
  <si>
    <t>141-78-6</t>
  </si>
  <si>
    <t>ethyl acetoacetate</t>
  </si>
  <si>
    <t>141-97-9</t>
  </si>
  <si>
    <t>ethyl acetylene</t>
  </si>
  <si>
    <t>107-00-6</t>
  </si>
  <si>
    <t>ethyl acrylate</t>
  </si>
  <si>
    <t>140-88-5</t>
  </si>
  <si>
    <t>ethyl aniline</t>
  </si>
  <si>
    <t>103-69-5</t>
  </si>
  <si>
    <t>ethyl benzoate</t>
  </si>
  <si>
    <t>93-89-0</t>
  </si>
  <si>
    <t>ethyl butyrate</t>
  </si>
  <si>
    <t>105-54-4</t>
  </si>
  <si>
    <t>ethyl chloroacetate</t>
  </si>
  <si>
    <t>105-39-5</t>
  </si>
  <si>
    <t>ethyl chloroformate</t>
  </si>
  <si>
    <t>541-41-3</t>
  </si>
  <si>
    <t>ethyl cyanoacetate</t>
  </si>
  <si>
    <t>105-56-6</t>
  </si>
  <si>
    <t>ethyl formate</t>
  </si>
  <si>
    <t>109-94-4</t>
  </si>
  <si>
    <t>ethyl heptanoate</t>
  </si>
  <si>
    <t>106-30-9</t>
  </si>
  <si>
    <t>ethyl iodide</t>
  </si>
  <si>
    <t>75-03-6</t>
  </si>
  <si>
    <t>ethyl isobutyrate</t>
  </si>
  <si>
    <t>97-62-1</t>
  </si>
  <si>
    <t>ethyl isocyanate</t>
  </si>
  <si>
    <t>542-85-8</t>
  </si>
  <si>
    <t>ethyl isopropyl ether</t>
  </si>
  <si>
    <t>625-54-7</t>
  </si>
  <si>
    <t>ethyl isopropyl ketone</t>
  </si>
  <si>
    <t>565-69-5</t>
  </si>
  <si>
    <t>ethyl isovalerate</t>
  </si>
  <si>
    <t>108-64-5</t>
  </si>
  <si>
    <t>ethyl lactate</t>
  </si>
  <si>
    <t>97-64-3</t>
  </si>
  <si>
    <t>ethyl mercaptan</t>
  </si>
  <si>
    <t>75-08-1</t>
  </si>
  <si>
    <t>ethyl methanesulfonate</t>
  </si>
  <si>
    <t>62-50-0</t>
  </si>
  <si>
    <t>ethyl methyl disulfide</t>
  </si>
  <si>
    <t>20333-39-5</t>
  </si>
  <si>
    <t>ethyl methyl siloxane, 2-phenyl propyl methyl siloxane copolymer</t>
  </si>
  <si>
    <t>68037-77-4</t>
  </si>
  <si>
    <t>ethyl nitrite</t>
  </si>
  <si>
    <t>109-95-5</t>
  </si>
  <si>
    <t>ethyl n-octyl sulfide</t>
  </si>
  <si>
    <t>3698-94-0</t>
  </si>
  <si>
    <t>ethyl nonafluoroisobutyl ether</t>
  </si>
  <si>
    <t>163702-06-5</t>
  </si>
  <si>
    <t>ethyl perfluorobutyl ether</t>
  </si>
  <si>
    <t>163702-05-4</t>
  </si>
  <si>
    <t>ethyl phenylglyoxylic acid</t>
  </si>
  <si>
    <t>1603-79-8</t>
  </si>
  <si>
    <t>ethyl polysilicate</t>
  </si>
  <si>
    <t>11099-06-2</t>
  </si>
  <si>
    <t>ethyl propionate</t>
  </si>
  <si>
    <t>105-37-3</t>
  </si>
  <si>
    <t>ethyl silicate polymer</t>
  </si>
  <si>
    <t>26352-16-9</t>
  </si>
  <si>
    <t>ethyl tert-butyl ether</t>
  </si>
  <si>
    <t>637-92-3</t>
  </si>
  <si>
    <t>ethyl thioacetate</t>
  </si>
  <si>
    <t>59094-77-8</t>
  </si>
  <si>
    <t>ethyl trichloroacetate</t>
  </si>
  <si>
    <t>515-84-4</t>
  </si>
  <si>
    <t>ethyl trimethylcyclopentene butenol</t>
  </si>
  <si>
    <t>28219-61-6</t>
  </si>
  <si>
    <t>ethyl-3-ethoxypropionate</t>
  </si>
  <si>
    <t>763-69-9</t>
  </si>
  <si>
    <t>ethylamine</t>
  </si>
  <si>
    <t>75-04-7</t>
  </si>
  <si>
    <t>ethylbenzene</t>
  </si>
  <si>
    <t>100-41-4</t>
  </si>
  <si>
    <t>ethylbenzene hydroperoxide</t>
  </si>
  <si>
    <t>3071-32-7</t>
  </si>
  <si>
    <t>ethylcyanoacrylate</t>
  </si>
  <si>
    <t>7085-85-0</t>
  </si>
  <si>
    <t>ethylcyclohexane</t>
  </si>
  <si>
    <t>1678-91-7</t>
  </si>
  <si>
    <t>ethylcyclohexyl dimercaptan</t>
  </si>
  <si>
    <t>115408-95-2</t>
  </si>
  <si>
    <t>ethylcyclopentane</t>
  </si>
  <si>
    <t>1640-89-7</t>
  </si>
  <si>
    <t>ethyldimethylproylamine</t>
  </si>
  <si>
    <t>2738-06-9</t>
  </si>
  <si>
    <t>ethylene</t>
  </si>
  <si>
    <t>74-85-1</t>
  </si>
  <si>
    <t>ethylene amine</t>
  </si>
  <si>
    <t>593-67-9</t>
  </si>
  <si>
    <t>ethylene bisdithiocarbamate</t>
  </si>
  <si>
    <t>34731-32-3</t>
  </si>
  <si>
    <t>ethylene cyanohydrin</t>
  </si>
  <si>
    <t>109-78-4</t>
  </si>
  <si>
    <t>ethylene dibromide</t>
  </si>
  <si>
    <t>106-93-4</t>
  </si>
  <si>
    <t>ethylene dichloride</t>
  </si>
  <si>
    <t>107-06-2</t>
  </si>
  <si>
    <t>ethylene dimethacrylate</t>
  </si>
  <si>
    <t>97-90-5</t>
  </si>
  <si>
    <t>ethylene glycol</t>
  </si>
  <si>
    <t>107-21-1</t>
  </si>
  <si>
    <t>ethylene glycol bis(2-aminoethyl) ether</t>
  </si>
  <si>
    <t>929-59-9</t>
  </si>
  <si>
    <t>ethylene glycol bis(propylene glycol-b-ethylene glycol) ether</t>
  </si>
  <si>
    <t>53637-25-5</t>
  </si>
  <si>
    <t>ethylene glycol butyl ethyl ether</t>
  </si>
  <si>
    <t>4413-13-2</t>
  </si>
  <si>
    <t>ethylene glycol butyl vinyl ether</t>
  </si>
  <si>
    <t>4223-11-4</t>
  </si>
  <si>
    <t>ethylene glycol carbonate</t>
  </si>
  <si>
    <t>96-49-1</t>
  </si>
  <si>
    <t>ethylene glycol diacetate</t>
  </si>
  <si>
    <t>111-55-7</t>
  </si>
  <si>
    <t>ethylene glycol diallyl ether</t>
  </si>
  <si>
    <t>7529-27-3</t>
  </si>
  <si>
    <t>ethylene glycol dibutyl ether</t>
  </si>
  <si>
    <t>112-48-1</t>
  </si>
  <si>
    <t>ethylene glycol diethyl ether</t>
  </si>
  <si>
    <t>629-14-1</t>
  </si>
  <si>
    <t>ethylene glycol dinitrate</t>
  </si>
  <si>
    <t>628-96-6</t>
  </si>
  <si>
    <t>ethylene glycol mono-2-ethylhexyl ether (EEH)</t>
  </si>
  <si>
    <t>1559-35-9</t>
  </si>
  <si>
    <t>ethylene glycol mono-2-methylpentyl ether</t>
  </si>
  <si>
    <t>10137-96-9</t>
  </si>
  <si>
    <t>ethylene glycol monoacetate</t>
  </si>
  <si>
    <t>542-59-6</t>
  </si>
  <si>
    <t>ethylene glycol monohexyl ether</t>
  </si>
  <si>
    <t>112-25-4</t>
  </si>
  <si>
    <t>ethylene glycol monoisobutyl ether</t>
  </si>
  <si>
    <t>4439-24-1</t>
  </si>
  <si>
    <t>ethylene glycol monopropyl ether</t>
  </si>
  <si>
    <t>2807-30-9</t>
  </si>
  <si>
    <t>ethylene glycol monopropyl ether acetate</t>
  </si>
  <si>
    <t>20706-25-6</t>
  </si>
  <si>
    <t>ethylene glycol mono-sec-butyl ether</t>
  </si>
  <si>
    <t>7795-91-7</t>
  </si>
  <si>
    <t>ethylene oxide</t>
  </si>
  <si>
    <t>75-21-8</t>
  </si>
  <si>
    <t>ethylene sulfide</t>
  </si>
  <si>
    <t>420-12-2</t>
  </si>
  <si>
    <t>ethylenediamine</t>
  </si>
  <si>
    <t>107-15-3</t>
  </si>
  <si>
    <t>ethylenediamine tetrakis(ethoxylate-block-propoxylate) tetrol</t>
  </si>
  <si>
    <t>26316-40-5</t>
  </si>
  <si>
    <t>ethylenediaminetetraacetic acid tetrasodium salt</t>
  </si>
  <si>
    <t>64-02-8</t>
  </si>
  <si>
    <t>ethyleneimine</t>
  </si>
  <si>
    <t>151-56-4</t>
  </si>
  <si>
    <t>ethylhexyl aldehyde</t>
  </si>
  <si>
    <t>123-05-7</t>
  </si>
  <si>
    <t>ethylhexylmethyl terephthalate</t>
  </si>
  <si>
    <t>63468-13-3</t>
  </si>
  <si>
    <t>ethylidene diacetate</t>
  </si>
  <si>
    <t>542-10-9</t>
  </si>
  <si>
    <t>ethyl-n-butyl ether</t>
  </si>
  <si>
    <t>628-81-9</t>
  </si>
  <si>
    <t>ethylphenol</t>
  </si>
  <si>
    <t>25429-37-2</t>
  </si>
  <si>
    <t>ethyltoluene</t>
  </si>
  <si>
    <t>25550-14-5</t>
  </si>
  <si>
    <t>ethyltriacetoxysilane</t>
  </si>
  <si>
    <t>17689-77-9</t>
  </si>
  <si>
    <t>eucalyptol</t>
  </si>
  <si>
    <t>470-82-6</t>
  </si>
  <si>
    <t>eucalyptus citriodora oil</t>
  </si>
  <si>
    <t>129828-24-6</t>
  </si>
  <si>
    <t>eucalyptus extract</t>
  </si>
  <si>
    <t>84625-32-1</t>
  </si>
  <si>
    <t>Eucalyptus oil</t>
  </si>
  <si>
    <t>8000-48-4</t>
  </si>
  <si>
    <t>eugenol</t>
  </si>
  <si>
    <t>97-53-0</t>
  </si>
  <si>
    <t>extracts, petroleum, heavy naphtha solvent</t>
  </si>
  <si>
    <t>64741-98-6</t>
  </si>
  <si>
    <t>fats and glyceridic oils, menhaden, polymd., oxidized</t>
  </si>
  <si>
    <t>68440-42-6</t>
  </si>
  <si>
    <t>fats and oils, generic, not otherwise specified</t>
  </si>
  <si>
    <t>fatty acid polydiethanolamide</t>
  </si>
  <si>
    <t>68603-38-3</t>
  </si>
  <si>
    <t>fatty acid, tall-oil</t>
  </si>
  <si>
    <t>61790-12-3</t>
  </si>
  <si>
    <t>fatty acid, tall-oil, ammonium salts</t>
  </si>
  <si>
    <t>68132-50-3</t>
  </si>
  <si>
    <t>fatty acids, C-12-20 and C12-20-unsatd</t>
  </si>
  <si>
    <t>68334-03-2</t>
  </si>
  <si>
    <t>fatty acids, C14-18 and C16-18-unsatd., 2-ethylhexyl esters</t>
  </si>
  <si>
    <t>84988-77-2</t>
  </si>
  <si>
    <t>fatty acids, C16-18 and C-18-unsatd, Me esters</t>
  </si>
  <si>
    <t>68937-81-5</t>
  </si>
  <si>
    <t>fatty acids, C16-18 and C-18-unsatd, sulfonated, ethoxylated propoxylated</t>
  </si>
  <si>
    <t>68604-43-3</t>
  </si>
  <si>
    <t>fatty acids, C16-18 and C18-unsatd.</t>
  </si>
  <si>
    <t>67701-08-0</t>
  </si>
  <si>
    <t>fatty acids, C16-18 and C18-unsatd., branched and linear</t>
  </si>
  <si>
    <t>68955-98-6</t>
  </si>
  <si>
    <t>fatty acids, C16-18 and C18-unsatd., branched and linear, Bu esters</t>
  </si>
  <si>
    <t>163961-32-8</t>
  </si>
  <si>
    <t>fatty acids, C16-18 and C18-unsatd., polymers with maleic anhydride, pentaerythritol and phthalic anhydride</t>
  </si>
  <si>
    <t>68956-04-7</t>
  </si>
  <si>
    <t>fatty acids, C16-C18-unsatd., Me esters</t>
  </si>
  <si>
    <t>67762-38-3</t>
  </si>
  <si>
    <t>fatty acids, C18-unsatd, dimers</t>
  </si>
  <si>
    <t>61788-89-4</t>
  </si>
  <si>
    <t>fatty acids, C18-unsatd, dimers, compds with 4,5-dihydro-2-nortall oil alkyl-1H-imidazole-1-ethanamine</t>
  </si>
  <si>
    <t>68390-61-4</t>
  </si>
  <si>
    <t>fatty acids, C18-unsatd, dimers, compds with diethylamine</t>
  </si>
  <si>
    <t>68154-46-1</t>
  </si>
  <si>
    <t>fatty acids, C18-unsatd, dimers, compds with ethoxylated N-tallow alkyltrimethylenediamines</t>
  </si>
  <si>
    <t>68154-48-3</t>
  </si>
  <si>
    <t>fatty acids, C18-unsatd, dimers, compds with ethoxylated propoxylated diethylenetriamine</t>
  </si>
  <si>
    <t>68911-14-8</t>
  </si>
  <si>
    <t>fatty acids, C18-unsatd, dimers, compds with N-[2-(4,5-dihydro-2-nortall-oil alkyl-1-H-imidazol-1-y)ethyl] tall-oil fatty amides</t>
  </si>
  <si>
    <t>68911-13-7</t>
  </si>
  <si>
    <t>fatty acids, C18-unsatd, dimers, compds with N-tallow alkyltrimethylenediamines</t>
  </si>
  <si>
    <t>68154-49-4</t>
  </si>
  <si>
    <t>fatty acids, C18-unsatd, dimers, compds with polyethylenepolyamines-tall-oil fatty acid reaction products</t>
  </si>
  <si>
    <t>64754-99-0</t>
  </si>
  <si>
    <t>fatty acids, C18-unsatd, dimers, ethoxylated</t>
  </si>
  <si>
    <t>68551-92-8</t>
  </si>
  <si>
    <t>fatty acids, C18-unsatd, dimers, ethoxylated, propoxylated</t>
  </si>
  <si>
    <t>68308-89-4</t>
  </si>
  <si>
    <t>fatty acids, C18-unsatd, dimers, monoesters with polyethylene glycol hydrogen phthalate, esters with castor oil</t>
  </si>
  <si>
    <t>68410-19-5</t>
  </si>
  <si>
    <t>fatty acids, C18-unsatd, dimers, polymers with bisphenol A and epichlorohydrin</t>
  </si>
  <si>
    <t>67989-52-0</t>
  </si>
  <si>
    <t>fatty acids, C18-unsatd, dimers, polymers with tall oil fatty acids and triethylene tetramine</t>
  </si>
  <si>
    <t>68082-29-1</t>
  </si>
  <si>
    <t>fatty acids, C18-unsatd, trimers</t>
  </si>
  <si>
    <t>68937-90-6</t>
  </si>
  <si>
    <t>fatty acids, C18-unsatd., dimers, compds. with alkylpyridines</t>
  </si>
  <si>
    <t>100816-02-2</t>
  </si>
  <si>
    <t>fatty acids, C18-unsatd., dimers, compds. with diethylenetriamine-tall-oil fatty acid reaction products</t>
  </si>
  <si>
    <t>68647-57-4</t>
  </si>
  <si>
    <t>fatty acids, C18-unsatd., dimers, polymers with benzoic acid, linoleic acid, octadecadienoicacid, pentaerythritol, phthalic anhydride and tall-oil fatty acids</t>
  </si>
  <si>
    <t>150739-79-0</t>
  </si>
  <si>
    <t>fatty acids, C18-unsatd., dimers, polymers with castor oil, phthalic anhydride and polyethylene glycol</t>
  </si>
  <si>
    <t>68551-95-1</t>
  </si>
  <si>
    <t>fatty acids, C18-unsatd., dimers, polymers with diethylenetriamine, ethylenediamine, sebacic acid and tall-oil fatty acids</t>
  </si>
  <si>
    <t>68475-96-7</t>
  </si>
  <si>
    <t>fatty acids, C18-unsatd., dimers, polymers with ethylenediamine</t>
  </si>
  <si>
    <t>68650-50-0</t>
  </si>
  <si>
    <t>fatty acids, C18-unsatd., dimers, polymers with ethylenediamine, hexamethylenediamine and propionic acid</t>
  </si>
  <si>
    <t>67989-30-4</t>
  </si>
  <si>
    <t>fatty acids, C18-unsatd., dimers, polymers with tall-oil fatty acids, tetraethylenepentamine and triethylenetetramine</t>
  </si>
  <si>
    <t>68071-65-8</t>
  </si>
  <si>
    <t>fatty acids, C18-unsatd., dimers, potassium salts</t>
  </si>
  <si>
    <t>67701-19-3</t>
  </si>
  <si>
    <t>fatty acids, C18-unsatd., dimers, reaction products with N,N-dimethyl-1,3-propanediamine and 1,3-propanediamine</t>
  </si>
  <si>
    <t>162627-17-0</t>
  </si>
  <si>
    <t>fatty acids, C18-unsaturated, dimers, distillation lights</t>
  </si>
  <si>
    <t>68956-12-7</t>
  </si>
  <si>
    <t>fatty acids, C18-unsaturated, dimers, polymers with bisphenol A, epichlorohydrin and soya fatty acids</t>
  </si>
  <si>
    <t>66070-80-2</t>
  </si>
  <si>
    <t>fatty acids, C6-12</t>
  </si>
  <si>
    <t>67762-36-1</t>
  </si>
  <si>
    <t>fatty acids, C8-18 and C18-unsatd.</t>
  </si>
  <si>
    <t>67701-05-7</t>
  </si>
  <si>
    <t>fatty acids, C8-18 and C18-unsatd., compds. with diisopropanolamine</t>
  </si>
  <si>
    <t>68855-69-6</t>
  </si>
  <si>
    <t>fatty acids, C8-18 and C18-unsatd., sodium salts</t>
  </si>
  <si>
    <t>67701-10-4</t>
  </si>
  <si>
    <t>fatty acids, C8-C18, methyl ester</t>
  </si>
  <si>
    <t>68937-84-8</t>
  </si>
  <si>
    <t>fatty acids, C-9-28-neo-</t>
  </si>
  <si>
    <t>72480-45-6</t>
  </si>
  <si>
    <t>fatty acids, coco, monoesters with sorbitan</t>
  </si>
  <si>
    <t>68154-36-9</t>
  </si>
  <si>
    <t>fatty acids, coco, reaction products with polyethylene polyamines</t>
  </si>
  <si>
    <t>64754-98-9</t>
  </si>
  <si>
    <t>fatty acids, coconut oil, sodium salts</t>
  </si>
  <si>
    <t>61789-31-9</t>
  </si>
  <si>
    <t>fatty acids, linseed-oil, reaction products with 2-amino-2-(hydroxymethyl)-1,3-propanediol and formaldehyde, polymers with Bu methacrylate, 2-(diethylamino)ethyl methacrylate, 2-hydroxyethyl acrylate and Me methacrylate</t>
  </si>
  <si>
    <t>96591-17-2</t>
  </si>
  <si>
    <t>fatty acids, methyl esters</t>
  </si>
  <si>
    <t>67762-39-4</t>
  </si>
  <si>
    <t>fatty acids, mixed tallow and vegetable oil, distn. residues</t>
  </si>
  <si>
    <t>70248-31-6</t>
  </si>
  <si>
    <t>fatty acids, palm-oil</t>
  </si>
  <si>
    <t>68440-15-3</t>
  </si>
  <si>
    <t>fatty acids, soya, polymers with acrylonitrile, crotonic acid, 2-ethylhexyl acrylate, Me methacrylate, pentaerythritol, phthalic anhydride and styrene</t>
  </si>
  <si>
    <t>68938-27-2</t>
  </si>
  <si>
    <t>fatty acids, tall-oil, compds with diethanolamine</t>
  </si>
  <si>
    <t>61790-66-7</t>
  </si>
  <si>
    <t>fatty acids, tall-oil, compds with diethanolamine-tall-oil fatty acid reaction products</t>
  </si>
  <si>
    <t>68526-44-3</t>
  </si>
  <si>
    <t>fatty acids, tall-oil, compds with morpholine</t>
  </si>
  <si>
    <t>68002-77-7</t>
  </si>
  <si>
    <t>fatty acids, tall-oil, compds with N-[2-(4,5-dihydro-2-nortall-oil alkyl-1H-imidazol-1yl)ethyl] tall-oil fatty amides</t>
  </si>
  <si>
    <t>68132-60-5</t>
  </si>
  <si>
    <t>fatty acids, tall-oil, compds with polyethylenepolyamine-tall-oil fatty acid reaction products</t>
  </si>
  <si>
    <t>64754-94-5</t>
  </si>
  <si>
    <t>fatty acids, tall-oil, compds. with ammonia-diethylene glycol reaction products morpholine derivs. residues</t>
  </si>
  <si>
    <t>68956-25-2</t>
  </si>
  <si>
    <t>fatty acids, tall-oil, compds. with oleylamine</t>
  </si>
  <si>
    <t>85711-55-3</t>
  </si>
  <si>
    <t>fatty acids, tall-oil, compds. with tallow alkyl amines</t>
  </si>
  <si>
    <t>68552-48-7</t>
  </si>
  <si>
    <t>fatty acids, tall-oil, dimers, compds. with ethoxylated tallow alkylamines</t>
  </si>
  <si>
    <t>68920-32-1</t>
  </si>
  <si>
    <t>fatty acids, tall-oil, epoxidized, 2-ethylhexyl esters</t>
  </si>
  <si>
    <t>61789-01-3</t>
  </si>
  <si>
    <t>fatty acids, tall-oil, esters with ethoxylated propoxylated formaldehyde p-tert-pentylphenol poly</t>
  </si>
  <si>
    <t>68891-75-8</t>
  </si>
  <si>
    <t>fatty acids, tall-oil, esters with ethoxylated sorbitol</t>
  </si>
  <si>
    <t>68953-01-5</t>
  </si>
  <si>
    <t>fatty acids, tall-oil, ethoxylated</t>
  </si>
  <si>
    <t>61791-00-2</t>
  </si>
  <si>
    <t>fatty acids, tall-oil, hexaesters with sorbitol, ethoxylated</t>
  </si>
  <si>
    <t>61790-90-7</t>
  </si>
  <si>
    <t>fatty acids, tall-oil, low-boiling</t>
  </si>
  <si>
    <t>65997-03-7</t>
  </si>
  <si>
    <t>fatty acids, tall-oil, low-boiling, reaction products with 1-piperazine ethanamine</t>
  </si>
  <si>
    <t>71820-35-4</t>
  </si>
  <si>
    <t>fatty acids, tall-oil, maleated</t>
  </si>
  <si>
    <t>68139-89-9</t>
  </si>
  <si>
    <t>fatty acids, tall-oil, monoesters with sorbitan, ethoxylated</t>
  </si>
  <si>
    <t>61790-86-1</t>
  </si>
  <si>
    <t>fatty acids, tall-oil, polymd</t>
  </si>
  <si>
    <t>73138-54-2</t>
  </si>
  <si>
    <t>fatty acids, tall-oil, polymers with maleic anhydride</t>
  </si>
  <si>
    <t>68309-24-0</t>
  </si>
  <si>
    <t>fatty acids, tall-oil, polymers with tetraethylenepentamine, acetates, mercaptoacetates</t>
  </si>
  <si>
    <t>176022-77-8</t>
  </si>
  <si>
    <t>fatty acids, tall-oil, potassium salts</t>
  </si>
  <si>
    <t>61790-44-1</t>
  </si>
  <si>
    <t>fatty acids, tall-oil, reaction products with 2-[(2-aminoethyl)amino] ethanol</t>
  </si>
  <si>
    <t>68919-76-6</t>
  </si>
  <si>
    <t>fatty acids, tall-oil, reaction products with 2-amino-2-methyl-1-propanol</t>
  </si>
  <si>
    <t>68956-41-2</t>
  </si>
  <si>
    <t>fatty acids, tall-oil, reaction products with acetophenone, formaldehyde and thiourea, hydrochlorides</t>
  </si>
  <si>
    <t>68188-40-9</t>
  </si>
  <si>
    <t>fatty acids, tall-oil, reaction products with diethanolamine and triethanolamine</t>
  </si>
  <si>
    <t>68648-19-1</t>
  </si>
  <si>
    <t>fatty acids, tall-oil, reaction products with diethylenetriamine</t>
  </si>
  <si>
    <t>61790-69-0</t>
  </si>
  <si>
    <t>fatty acids, tall-oil, reaction products with diethylenetriamine, acetates</t>
  </si>
  <si>
    <t>68153-60-6</t>
  </si>
  <si>
    <t>fatty acids, tall-oil, reaction products with diethylenetriamine, dodecylbenzenesulfonates</t>
  </si>
  <si>
    <t>68956-43-4</t>
  </si>
  <si>
    <t>fatty acids, tall-oil, reaction products with diethylenetriamine, maleic anhydride, tetraethylenepentamine and triethylenetetramine</t>
  </si>
  <si>
    <t>68990-47-6</t>
  </si>
  <si>
    <t>fatty acids, tall-oil, reaction products with ethanolamine, ethoxylated</t>
  </si>
  <si>
    <t>61791-19-3</t>
  </si>
  <si>
    <t>fatty acids, tall-oil, reaction products with polyalkylenepolyamines, compds with tall-oil fatty acids</t>
  </si>
  <si>
    <t>68910-84-9</t>
  </si>
  <si>
    <t>fatty acids, tall-oil, reaction products with polyalkylenepolyamines, dodecylbenzenesulfonates</t>
  </si>
  <si>
    <t>68910-87-2</t>
  </si>
  <si>
    <t>fatty acids, tall-oil, reaction products with polyethylenepolyamines, acetates</t>
  </si>
  <si>
    <t>64754-93-4</t>
  </si>
  <si>
    <t>fatty acids, tall-oil, reaction products with polyethylenepolyamines, compds. with polyethylene glycol decyl ether phosphate</t>
  </si>
  <si>
    <t>68605-92-5</t>
  </si>
  <si>
    <t>fatty acids, tall-oil, reaction products with polyethylenepolyamines, compds. with polyethylene glycol monooctyl ether phosphate</t>
  </si>
  <si>
    <t>68920-41-2</t>
  </si>
  <si>
    <t>fatty acids, tall-oil, reaction products with polyethylenepolyamines, ethoxylated, acetates (salts)</t>
  </si>
  <si>
    <t>68132-39-8</t>
  </si>
  <si>
    <t>fatty acids, tall-oil, reaction products with tetraethylenepentamine</t>
  </si>
  <si>
    <t>68953-36-6</t>
  </si>
  <si>
    <t>fatty acids, tall-oil, reaction products with tetraethylenepentamine, dodecylbenzenesulfonates myristates</t>
  </si>
  <si>
    <t>91051-73-9</t>
  </si>
  <si>
    <t>fatty acids, tall-oil, reaction products with triethanolamine</t>
  </si>
  <si>
    <t>67784-78-5</t>
  </si>
  <si>
    <t>fatty acids, tall-oil, sulfonated</t>
  </si>
  <si>
    <t>68153-61-7</t>
  </si>
  <si>
    <t>fatty acids, tall-oil, sulfurized</t>
  </si>
  <si>
    <t>68440-27-7</t>
  </si>
  <si>
    <t>fatty acids, unsaturated C14-C18</t>
  </si>
  <si>
    <t>67701-06-8</t>
  </si>
  <si>
    <t>fatty alcohol ethoxylates (nonionic surfactant)</t>
  </si>
  <si>
    <t>fatty amines, generic</t>
  </si>
  <si>
    <t>Fenamiphos</t>
  </si>
  <si>
    <t>22224-92-6</t>
  </si>
  <si>
    <t>fenpropidine</t>
  </si>
  <si>
    <t>67306-00-7</t>
  </si>
  <si>
    <t>Fensulfothion</t>
  </si>
  <si>
    <t>115-90-2</t>
  </si>
  <si>
    <t>Fenthion</t>
  </si>
  <si>
    <t>55-38-9</t>
  </si>
  <si>
    <t>Fenvalerate</t>
  </si>
  <si>
    <t>51630-58-1</t>
  </si>
  <si>
    <t>fluazifop-P-butyl</t>
  </si>
  <si>
    <t>79241-46-6</t>
  </si>
  <si>
    <t>fluorinated alkyl alkoxylate (C8) (87-93%)</t>
  </si>
  <si>
    <t>68958-61-2</t>
  </si>
  <si>
    <t>fluorine</t>
  </si>
  <si>
    <t>7782-41-4</t>
  </si>
  <si>
    <t>fluorobenzene</t>
  </si>
  <si>
    <t>462-06-6</t>
  </si>
  <si>
    <t>fluoroboric acid</t>
  </si>
  <si>
    <t>fluoroboric acid | For air permit reviews in agricultural areas</t>
  </si>
  <si>
    <t>fluoroboric acid | For air permit reviews in agricultural areas with cattle</t>
  </si>
  <si>
    <t>16872-11-0 (For air permit reviews in agricultural areas with cattle)</t>
  </si>
  <si>
    <t>fluoroethane</t>
  </si>
  <si>
    <t>353-36-6</t>
  </si>
  <si>
    <t>fluoromethane</t>
  </si>
  <si>
    <t>593-53-3</t>
  </si>
  <si>
    <t>fluorosilicic acid</t>
  </si>
  <si>
    <t>fluorosilicic acid | For air permit reviews in agricultural areas</t>
  </si>
  <si>
    <t>fluorosilicic acid | For air permit reviews in agricultural areas with cattle</t>
  </si>
  <si>
    <t>16961-83-4 (For air permit reviews in agricultural areas with cattle)</t>
  </si>
  <si>
    <t>fluorosulfonic acid</t>
  </si>
  <si>
    <t>fluorosulfonic acid | For air permit reviews in agricultural areas</t>
  </si>
  <si>
    <t>fluorosulfonic acid | For air permit reviews in agricultural areas with cattle</t>
  </si>
  <si>
    <t>7789-21-1 (For air permit reviews in agricultural areas with cattle)</t>
  </si>
  <si>
    <t>fluotitanic acid</t>
  </si>
  <si>
    <t>fluotitanic acid | For air permit reviews in agricultural areas</t>
  </si>
  <si>
    <t>fluotitanic acid | For air permit reviews in agricultural areas with cattle</t>
  </si>
  <si>
    <t>17439-11-1 (For air permit reviews in agricultural areas with cattle)</t>
  </si>
  <si>
    <t>fluozirconia acid</t>
  </si>
  <si>
    <t>fluozirconia acid | For air permit reviews in agricultural areas</t>
  </si>
  <si>
    <t>fluozirconia acid | For air permit reviews in agricultural areas with cattle</t>
  </si>
  <si>
    <t>12021-95-3 (For air permit reviews in agricultural areas with cattle)</t>
  </si>
  <si>
    <t>fluroxene</t>
  </si>
  <si>
    <t>406-90-6</t>
  </si>
  <si>
    <t>formaldehyde</t>
  </si>
  <si>
    <t>50-00-0</t>
  </si>
  <si>
    <t>formaldehyde, reaction products with glycerol</t>
  </si>
  <si>
    <t>68442-91-1</t>
  </si>
  <si>
    <t>formalin (37-50% formaldehyde)</t>
  </si>
  <si>
    <t>formamide</t>
  </si>
  <si>
    <t>75-12-7</t>
  </si>
  <si>
    <t>formic acid</t>
  </si>
  <si>
    <t>64-18-6</t>
  </si>
  <si>
    <t>fractionation bottoms of mono-C12-14-alkylbenzenes</t>
  </si>
  <si>
    <t>68515-32-2</t>
  </si>
  <si>
    <t>fragrance</t>
  </si>
  <si>
    <t>Freon TMS</t>
  </si>
  <si>
    <t>Freon, generic, not otherwise specified</t>
  </si>
  <si>
    <t>fuel oil cutter stock</t>
  </si>
  <si>
    <t>fuel oil No. 2</t>
  </si>
  <si>
    <t>68476-30-2</t>
  </si>
  <si>
    <t>fuel oil No. 4</t>
  </si>
  <si>
    <t>68476-31-3</t>
  </si>
  <si>
    <t>fuel oil, residual</t>
  </si>
  <si>
    <t>68476-33-5</t>
  </si>
  <si>
    <t>fuel oils, generic</t>
  </si>
  <si>
    <t>full range reformate (contains 4-8% benzene)</t>
  </si>
  <si>
    <t>fumaric acid</t>
  </si>
  <si>
    <t>110-17-8</t>
  </si>
  <si>
    <t>furan</t>
  </si>
  <si>
    <t>110-00-9</t>
  </si>
  <si>
    <t>furfural</t>
  </si>
  <si>
    <t>98-01-1</t>
  </si>
  <si>
    <t>furfuryl alcohol</t>
  </si>
  <si>
    <t>98-00-0</t>
  </si>
  <si>
    <t>Furilazole</t>
  </si>
  <si>
    <t>121776-33-8</t>
  </si>
  <si>
    <t>Galaxolide</t>
  </si>
  <si>
    <t>1222-05-5</t>
  </si>
  <si>
    <t>gamma-(mercaptopropyl, 3-) triethoxysilane</t>
  </si>
  <si>
    <t>14814-09-6</t>
  </si>
  <si>
    <t>gamma-(mercaptopropyl, 3-) trimethoxysilane</t>
  </si>
  <si>
    <t>4420-74-0</t>
  </si>
  <si>
    <t>gamma-butyrolactone</t>
  </si>
  <si>
    <t>96-48-0</t>
  </si>
  <si>
    <t>gamma-dodecalactone</t>
  </si>
  <si>
    <t>2305-05-7</t>
  </si>
  <si>
    <t>gamma-heptalactone</t>
  </si>
  <si>
    <t>105-21-5</t>
  </si>
  <si>
    <t>gamma-hydroxybutyric acid</t>
  </si>
  <si>
    <t>591-81-1</t>
  </si>
  <si>
    <t>gamma-octalactone</t>
  </si>
  <si>
    <t>104-50-7</t>
  </si>
  <si>
    <t>gamma-terpinene</t>
  </si>
  <si>
    <t>99-85-4</t>
  </si>
  <si>
    <t>gamma-valerolactone</t>
  </si>
  <si>
    <t>108-29-2</t>
  </si>
  <si>
    <t>gas oils acid treated</t>
  </si>
  <si>
    <t>64742-17-2</t>
  </si>
  <si>
    <t>8006-61-9</t>
  </si>
  <si>
    <t>gasoline (&gt;C3)</t>
  </si>
  <si>
    <t>86290-81-5</t>
  </si>
  <si>
    <t>gasoline, pyrolysis, debutanizer bottoms</t>
  </si>
  <si>
    <t>68606-10-0</t>
  </si>
  <si>
    <t>geraniol</t>
  </si>
  <si>
    <t>106-24-1</t>
  </si>
  <si>
    <t>germanium tetrafluoride</t>
  </si>
  <si>
    <t>7783-58-6</t>
  </si>
  <si>
    <t>germanium tetrahydride</t>
  </si>
  <si>
    <t>7782-65-2</t>
  </si>
  <si>
    <t>germanium(IV) oxide</t>
  </si>
  <si>
    <t>1310-53-8</t>
  </si>
  <si>
    <t>gluconic acid</t>
  </si>
  <si>
    <t>526-95-4</t>
  </si>
  <si>
    <t>glutaraldehyde</t>
  </si>
  <si>
    <t>111-30-8</t>
  </si>
  <si>
    <t>glutaric acid</t>
  </si>
  <si>
    <t>110-94-1</t>
  </si>
  <si>
    <t>glutaric anhydride</t>
  </si>
  <si>
    <t>108-55-4</t>
  </si>
  <si>
    <t>glycerides, tallow, hydrogenated</t>
  </si>
  <si>
    <t>68308-54-3</t>
  </si>
  <si>
    <t>glycerin</t>
  </si>
  <si>
    <t>56-81-5</t>
  </si>
  <si>
    <t>glycerol monooleate</t>
  </si>
  <si>
    <t>25496-72-4</t>
  </si>
  <si>
    <t>glycerol propoxylate (1PO/OH) triacrylate</t>
  </si>
  <si>
    <t>52408-84-1</t>
  </si>
  <si>
    <t>glyceryl monostearate</t>
  </si>
  <si>
    <t>31566-31-1</t>
  </si>
  <si>
    <t>glyceryl triacetate</t>
  </si>
  <si>
    <t>102-76-1</t>
  </si>
  <si>
    <t>glycidol</t>
  </si>
  <si>
    <t>556-52-5</t>
  </si>
  <si>
    <t>glycidyl ether, C8-10, oxirane</t>
  </si>
  <si>
    <t>68609-96-1</t>
  </si>
  <si>
    <t>glycine</t>
  </si>
  <si>
    <t>56-40-6</t>
  </si>
  <si>
    <t>glycol ether PPH</t>
  </si>
  <si>
    <t>770-35-4</t>
  </si>
  <si>
    <t>glycol ether, generic, not otherwise specified</t>
  </si>
  <si>
    <t>glycol terephthalate esters</t>
  </si>
  <si>
    <t>68987-51-9</t>
  </si>
  <si>
    <t>glycolic acid</t>
  </si>
  <si>
    <t>79-14-1</t>
  </si>
  <si>
    <t>glycolonitrile</t>
  </si>
  <si>
    <t>107-16-4</t>
  </si>
  <si>
    <t>glyoxal</t>
  </si>
  <si>
    <t>107-22-2</t>
  </si>
  <si>
    <t>glyoxylic acid</t>
  </si>
  <si>
    <t>298-12-4</t>
  </si>
  <si>
    <t>glyphosate</t>
  </si>
  <si>
    <t>1071-83-6</t>
  </si>
  <si>
    <t>grapefruit terpenes</t>
  </si>
  <si>
    <t>68917-32-8</t>
  </si>
  <si>
    <t>Guaifenesin</t>
  </si>
  <si>
    <t>93-14-1</t>
  </si>
  <si>
    <t>gylcidyl methacrylate</t>
  </si>
  <si>
    <t>106-91-2</t>
  </si>
  <si>
    <t>halothane</t>
  </si>
  <si>
    <t>151-67-7</t>
  </si>
  <si>
    <t>HDMA</t>
  </si>
  <si>
    <t>HDMA | For air permit reviews in agricultural areas</t>
  </si>
  <si>
    <t>HDMA | For air permit reviews in agricultural areas with cattle</t>
  </si>
  <si>
    <t>958029-37-3 (For air permit reviews in agricultural areas with cattle)</t>
  </si>
  <si>
    <t>heavy aliphatic solvent naphtha</t>
  </si>
  <si>
    <t>64742-96-7</t>
  </si>
  <si>
    <t>heavy coker gas oil</t>
  </si>
  <si>
    <t>64741-81-7</t>
  </si>
  <si>
    <t>heavy ends of polyethylbenzene residue</t>
  </si>
  <si>
    <t>212210-96-3</t>
  </si>
  <si>
    <t>heavy paraffinic distillate solvent extract</t>
  </si>
  <si>
    <t>64742-04-7</t>
  </si>
  <si>
    <t>heavy paraffinic hydrotreated distillate</t>
  </si>
  <si>
    <t>64742-54-7</t>
  </si>
  <si>
    <t>heavy reformate (contains up to 1% benzene)</t>
  </si>
  <si>
    <t>heavy vacuum gas oils (petroleum)</t>
  </si>
  <si>
    <t>64741-57-7</t>
  </si>
  <si>
    <t>heptachlor epoxide</t>
  </si>
  <si>
    <t>1024-57-3</t>
  </si>
  <si>
    <t>heptadecane</t>
  </si>
  <si>
    <t>629-78-7</t>
  </si>
  <si>
    <t>heptaldehyde</t>
  </si>
  <si>
    <t>111-71-7</t>
  </si>
  <si>
    <t>heptane, branched, cyclic and linear</t>
  </si>
  <si>
    <t>426260-76-6</t>
  </si>
  <si>
    <t>heptanoic acid</t>
  </si>
  <si>
    <t>111-14-8</t>
  </si>
  <si>
    <t>heptyl acetate</t>
  </si>
  <si>
    <t>112-06-1</t>
  </si>
  <si>
    <t>heptyl alcohol</t>
  </si>
  <si>
    <t>111-70-6</t>
  </si>
  <si>
    <t>heptyl formate</t>
  </si>
  <si>
    <t>112-23-2</t>
  </si>
  <si>
    <t>heptylmercaptan</t>
  </si>
  <si>
    <t>1639-09-4</t>
  </si>
  <si>
    <t>hexachlorobenzene</t>
  </si>
  <si>
    <t>118-74-1</t>
  </si>
  <si>
    <t>hexachlorobutadiene</t>
  </si>
  <si>
    <t>87-68-3</t>
  </si>
  <si>
    <t>hexachlorocyclopentadiene</t>
  </si>
  <si>
    <t>77-47-4</t>
  </si>
  <si>
    <t>hexachloronaphthalene</t>
  </si>
  <si>
    <t>1335-87-1</t>
  </si>
  <si>
    <t>hexachloropropene</t>
  </si>
  <si>
    <t>1888-71-7</t>
  </si>
  <si>
    <t>hexadecane</t>
  </si>
  <si>
    <t>544-76-3</t>
  </si>
  <si>
    <t>hexadecenylsuccinic anhydride</t>
  </si>
  <si>
    <t>32072-96-1</t>
  </si>
  <si>
    <t>hexadecyldimethylamine</t>
  </si>
  <si>
    <t>112-69-6</t>
  </si>
  <si>
    <t>hexafluoroacetone</t>
  </si>
  <si>
    <t>684-16-2</t>
  </si>
  <si>
    <t>hexafluorobenzene</t>
  </si>
  <si>
    <t>392-56-3</t>
  </si>
  <si>
    <t>hexafluoroethane</t>
  </si>
  <si>
    <t>76-16-4</t>
  </si>
  <si>
    <t>hexafluoroisobutylene</t>
  </si>
  <si>
    <t>382-10-5</t>
  </si>
  <si>
    <t>hexafluoroisopropanol</t>
  </si>
  <si>
    <t>920-66-1</t>
  </si>
  <si>
    <t>hexafluoropropene</t>
  </si>
  <si>
    <t>116-15-4</t>
  </si>
  <si>
    <t>hexahydro-4-methylazopin-2-one</t>
  </si>
  <si>
    <t>3623-05-0</t>
  </si>
  <si>
    <t>hexahydrophthalic anhydride</t>
  </si>
  <si>
    <t>85-42-7</t>
  </si>
  <si>
    <t>hexamethyl disilizane</t>
  </si>
  <si>
    <t>999-97-3</t>
  </si>
  <si>
    <t>hexamethylcyclotrisiloxane</t>
  </si>
  <si>
    <t>541-05-9</t>
  </si>
  <si>
    <t>hexamethyldisiloxane</t>
  </si>
  <si>
    <t>107-46-0</t>
  </si>
  <si>
    <t>hexamethylene diisocyanate</t>
  </si>
  <si>
    <t>822-06-0</t>
  </si>
  <si>
    <t>hexamethylene glycol</t>
  </si>
  <si>
    <t>629-11-8</t>
  </si>
  <si>
    <t>hexamethylenetetramine</t>
  </si>
  <si>
    <t>100-97-0</t>
  </si>
  <si>
    <t>hexamethylenimine</t>
  </si>
  <si>
    <t>111-49-9</t>
  </si>
  <si>
    <t>hexanaldehyde</t>
  </si>
  <si>
    <t>66-25-1</t>
  </si>
  <si>
    <t>hexane, mixed isomers</t>
  </si>
  <si>
    <t>92112-69-1</t>
  </si>
  <si>
    <t>hexanedioic acid, 1,6-ditridecyl ester</t>
  </si>
  <si>
    <t>hexanedioic acid, di-C7-9-branched and linear alkyl esters</t>
  </si>
  <si>
    <t>hexanedioic acid, dimethyl ester, mixt. with dimethyl butandedioate and dimethyl pentanedioate</t>
  </si>
  <si>
    <t>95481-62-2</t>
  </si>
  <si>
    <t>hexanoic acid</t>
  </si>
  <si>
    <t>142-62-1</t>
  </si>
  <si>
    <t>hexanols</t>
  </si>
  <si>
    <t>25917-35-5</t>
  </si>
  <si>
    <t>hexene, hydroformylation products</t>
  </si>
  <si>
    <t>70955-11-2</t>
  </si>
  <si>
    <t>hexene, mixed isomers</t>
  </si>
  <si>
    <t>25264-93-1</t>
  </si>
  <si>
    <t>hexenes, alkenes C6</t>
  </si>
  <si>
    <t>68526-52-3</t>
  </si>
  <si>
    <t>hexyl acrylate</t>
  </si>
  <si>
    <t>2499-95-8</t>
  </si>
  <si>
    <t>hexyl bromide</t>
  </si>
  <si>
    <t>111-25-1</t>
  </si>
  <si>
    <t>hexyl cinnamaldehyde</t>
  </si>
  <si>
    <t>101-86-0</t>
  </si>
  <si>
    <t>hexyl formate</t>
  </si>
  <si>
    <t>629-33-4</t>
  </si>
  <si>
    <t>hexyl mercaptan</t>
  </si>
  <si>
    <t>111-31-9</t>
  </si>
  <si>
    <t>hexyl sulfide</t>
  </si>
  <si>
    <t>6294-31-1</t>
  </si>
  <si>
    <t>hexylamine</t>
  </si>
  <si>
    <t>111-26-2</t>
  </si>
  <si>
    <t>hexylbenzene</t>
  </si>
  <si>
    <t>1077-16-3</t>
  </si>
  <si>
    <t>hexylcyclohexane</t>
  </si>
  <si>
    <t>4292-75-5</t>
  </si>
  <si>
    <t>hexylene glycol</t>
  </si>
  <si>
    <t>107-41-5</t>
  </si>
  <si>
    <t>hexylene glycol diacetate</t>
  </si>
  <si>
    <t>6222-17-9</t>
  </si>
  <si>
    <t>high-boiling distillation residue</t>
  </si>
  <si>
    <t>high-boiling fraction from the manufacture of 2-ethyl-1-hexanol</t>
  </si>
  <si>
    <t>68609-68-7</t>
  </si>
  <si>
    <t>hindered amine derivative</t>
  </si>
  <si>
    <t>79720-19-7</t>
  </si>
  <si>
    <t>hydraulic oil</t>
  </si>
  <si>
    <t>hydrazine</t>
  </si>
  <si>
    <t>302-01-2</t>
  </si>
  <si>
    <t>hydrazine carboxamide hydrochloride</t>
  </si>
  <si>
    <t>563-41-7</t>
  </si>
  <si>
    <t>hydrazine dihydrochloride</t>
  </si>
  <si>
    <t>5341-61-7</t>
  </si>
  <si>
    <t>hydrazine hydrate 100%</t>
  </si>
  <si>
    <t>7803-57-8</t>
  </si>
  <si>
    <t>hydrazinecarboxamide</t>
  </si>
  <si>
    <t>57-56-7</t>
  </si>
  <si>
    <t>hydrazoic acid</t>
  </si>
  <si>
    <t>7782-79-8</t>
  </si>
  <si>
    <t>hydrocarbons C8-C11</t>
  </si>
  <si>
    <t>68553-14-0</t>
  </si>
  <si>
    <t>hydrocarbons, C4, 1,3-butadiene-free, polymd., triisobutylene fraction</t>
  </si>
  <si>
    <t>91053-01-9</t>
  </si>
  <si>
    <t>hydrocarbons, C6-7, naphtha-cracking, solvent-refined</t>
  </si>
  <si>
    <t>92045-64-2</t>
  </si>
  <si>
    <t>hydrodesulfurized kerosene (petroleum)</t>
  </si>
  <si>
    <t>64742-81-0</t>
  </si>
  <si>
    <t>hydrodesulfurized middle distillate (petroleum)</t>
  </si>
  <si>
    <t>64742-80-9</t>
  </si>
  <si>
    <t>hydrogen bromide</t>
  </si>
  <si>
    <t>10035-10-6</t>
  </si>
  <si>
    <t>hydrogen chloride</t>
  </si>
  <si>
    <t>7647-01-0</t>
  </si>
  <si>
    <t>hydrogen cyanide</t>
  </si>
  <si>
    <t>74-90-8</t>
  </si>
  <si>
    <t>hydrogen fluoride</t>
  </si>
  <si>
    <t>hydrogen fluoride | For air permit reviews in agricultural areas</t>
  </si>
  <si>
    <t>hydrogen fluoride | For air permit reviews in agricultural areas with cattle</t>
  </si>
  <si>
    <t>7664-39-3 (For air permit reviews in agricultural areas with cattle)</t>
  </si>
  <si>
    <t>hydrogen iodide</t>
  </si>
  <si>
    <t>10034-85-2</t>
  </si>
  <si>
    <t>hydrogen peroxide</t>
  </si>
  <si>
    <t>7722-84-1</t>
  </si>
  <si>
    <t>hydrogen selenide</t>
  </si>
  <si>
    <t>7783-07-5</t>
  </si>
  <si>
    <t>hydrogen sulfide</t>
  </si>
  <si>
    <t>7783-06-4</t>
  </si>
  <si>
    <t>hydrogenated bisphenol A diglycidyl ether</t>
  </si>
  <si>
    <t>30583-72-3</t>
  </si>
  <si>
    <t>hydrogenated castor oil</t>
  </si>
  <si>
    <t>8001-78-3</t>
  </si>
  <si>
    <t>hydrogenated terphenyls</t>
  </si>
  <si>
    <t>61788-32-7</t>
  </si>
  <si>
    <t>hydroisomerized middle distillates (Fischer-Tropsch), C10-13-branched alkane fraction</t>
  </si>
  <si>
    <t>642928-30-1</t>
  </si>
  <si>
    <t>Hydrolyzed tetraethyl orthosilicate</t>
  </si>
  <si>
    <t>68412-37-3</t>
  </si>
  <si>
    <t>hydrotreated (severe) heavy naphthenic distillates (petroleum)</t>
  </si>
  <si>
    <t>64742-52-5</t>
  </si>
  <si>
    <t>hydrotreated light distillate</t>
  </si>
  <si>
    <t>68410-97-9</t>
  </si>
  <si>
    <t>hydrotreated light naphthenic petroleum distillates</t>
  </si>
  <si>
    <t>64742-53-6</t>
  </si>
  <si>
    <t>hydrotreated light paraffinic distillate</t>
  </si>
  <si>
    <t>64742-55-8</t>
  </si>
  <si>
    <t>hydrotreated middle distillate (petroleum)</t>
  </si>
  <si>
    <t>64742-46-7</t>
  </si>
  <si>
    <t>hydrotreated residual oil</t>
  </si>
  <si>
    <t>64742-57-0</t>
  </si>
  <si>
    <t>hydrotreated soybean oil</t>
  </si>
  <si>
    <t>693217-63-9</t>
  </si>
  <si>
    <t>hydrotreater separator, tail gas (petroleum), cracked distillate</t>
  </si>
  <si>
    <t>68478-29-5</t>
  </si>
  <si>
    <t>hydroxy terminated 1,3-butadiene homopolymer</t>
  </si>
  <si>
    <t>69102-90-5</t>
  </si>
  <si>
    <t>hydroxy-1-dodecanesulfonic acid sodium salt</t>
  </si>
  <si>
    <t>128824-30-6</t>
  </si>
  <si>
    <t>hydroxybenzenesulfonic acid</t>
  </si>
  <si>
    <t>1333-39-7</t>
  </si>
  <si>
    <t>hydroxybutanoic acid ion(1-)</t>
  </si>
  <si>
    <t>1320-61-2</t>
  </si>
  <si>
    <t>hydroxyethylethylene urea</t>
  </si>
  <si>
    <t>3699-54-5</t>
  </si>
  <si>
    <t>hydroxylamine</t>
  </si>
  <si>
    <t>7803-49-8</t>
  </si>
  <si>
    <t>hydroxyphosphonoacetic acid</t>
  </si>
  <si>
    <t>23783-26-8</t>
  </si>
  <si>
    <t>hydroxypivaldehyde</t>
  </si>
  <si>
    <t>597-31-9</t>
  </si>
  <si>
    <t>hydroxypivalyl hydroxypivalate</t>
  </si>
  <si>
    <t>1115-20-4</t>
  </si>
  <si>
    <t>hydroxypropionic acid</t>
  </si>
  <si>
    <t>503-66-2</t>
  </si>
  <si>
    <t>hydroxypropyl acrylate</t>
  </si>
  <si>
    <t>25584-83-2</t>
  </si>
  <si>
    <t>hydroxypropyl methacrylate</t>
  </si>
  <si>
    <t>27813-02-1</t>
  </si>
  <si>
    <t>hydroxypropyl methacrylate mixture</t>
  </si>
  <si>
    <t>hypobromous acid</t>
  </si>
  <si>
    <t>13517-11-8</t>
  </si>
  <si>
    <t>hypochlorous acid</t>
  </si>
  <si>
    <t>7790-92-3</t>
  </si>
  <si>
    <t>hypophosphorous acid</t>
  </si>
  <si>
    <t>6303-21-5</t>
  </si>
  <si>
    <t>iminodiacetic acid</t>
  </si>
  <si>
    <t>142-73-4</t>
  </si>
  <si>
    <t>indane</t>
  </si>
  <si>
    <t>496-11-7</t>
  </si>
  <si>
    <t>indene</t>
  </si>
  <si>
    <t>95-13-6</t>
  </si>
  <si>
    <t>iodine</t>
  </si>
  <si>
    <t>7553-56-2</t>
  </si>
  <si>
    <t>iodobenzene</t>
  </si>
  <si>
    <t>591-50-4</t>
  </si>
  <si>
    <t>iodoform</t>
  </si>
  <si>
    <t>75-47-8</t>
  </si>
  <si>
    <t>iron pentacarbonyl</t>
  </si>
  <si>
    <t>13463-40-6</t>
  </si>
  <si>
    <t>isoalcohols, C7-C9, C8 rich</t>
  </si>
  <si>
    <t>68526-83-0</t>
  </si>
  <si>
    <t>isoalcohols, C9-11, C10 rich</t>
  </si>
  <si>
    <t>68526-85-2</t>
  </si>
  <si>
    <t>isoalkanes, C10-C13</t>
  </si>
  <si>
    <t>68551-17-7</t>
  </si>
  <si>
    <t>isoalkanes, C12-C14</t>
  </si>
  <si>
    <t>68551-19-9</t>
  </si>
  <si>
    <t>isoalkanes, C13-C16</t>
  </si>
  <si>
    <t>68551-20-2</t>
  </si>
  <si>
    <t>isoalkanes, C7-C8</t>
  </si>
  <si>
    <t>70024-92-9</t>
  </si>
  <si>
    <t>isoalkanes, C8-C10</t>
  </si>
  <si>
    <t>68551-15-5</t>
  </si>
  <si>
    <t>isoalkanes, C9-C11</t>
  </si>
  <si>
    <t>68551-16-6</t>
  </si>
  <si>
    <t>isoamyl acetate</t>
  </si>
  <si>
    <t>123-92-2</t>
  </si>
  <si>
    <t>isoamyl alcohol</t>
  </si>
  <si>
    <t>123-51-3</t>
  </si>
  <si>
    <t>isoamyl ether</t>
  </si>
  <si>
    <t>544-01-4</t>
  </si>
  <si>
    <t>isoamyl salicylate</t>
  </si>
  <si>
    <t>87-20-7</t>
  </si>
  <si>
    <t>isobornyl acetate</t>
  </si>
  <si>
    <t>125-12-2</t>
  </si>
  <si>
    <t>isobornyl ester acrylic acid</t>
  </si>
  <si>
    <t>5888-33-5</t>
  </si>
  <si>
    <t>isobornyl methacrylate</t>
  </si>
  <si>
    <t>7534-94-3</t>
  </si>
  <si>
    <t>isobutane</t>
  </si>
  <si>
    <t>75-28-5</t>
  </si>
  <si>
    <t>isobutene</t>
  </si>
  <si>
    <t>115-11-7</t>
  </si>
  <si>
    <t>isobutyl acetate</t>
  </si>
  <si>
    <t>110-19-0</t>
  </si>
  <si>
    <t>isobutyl acetophenone</t>
  </si>
  <si>
    <t>38861-78-8</t>
  </si>
  <si>
    <t>isobutyl acrylate</t>
  </si>
  <si>
    <t>106-63-8</t>
  </si>
  <si>
    <t>isobutyl alcohol</t>
  </si>
  <si>
    <t>78-83-1</t>
  </si>
  <si>
    <t>isobutyl benzene</t>
  </si>
  <si>
    <t>538-93-2</t>
  </si>
  <si>
    <t>isobutyl butyrate</t>
  </si>
  <si>
    <t>539-90-2</t>
  </si>
  <si>
    <t>isobutyl carbonate</t>
  </si>
  <si>
    <t>539-92-4</t>
  </si>
  <si>
    <t>isobutyl chloroformate</t>
  </si>
  <si>
    <t>543-27-1</t>
  </si>
  <si>
    <t>isobutyl ether</t>
  </si>
  <si>
    <t>628-55-7</t>
  </si>
  <si>
    <t>isobutyl formate</t>
  </si>
  <si>
    <t>542-55-2</t>
  </si>
  <si>
    <t>isobutyl heptyl ketone</t>
  </si>
  <si>
    <t>19594-40-2</t>
  </si>
  <si>
    <t>isobutyl isovalerate</t>
  </si>
  <si>
    <t>589-59-3</t>
  </si>
  <si>
    <t>isobutyl methacrylate</t>
  </si>
  <si>
    <t>97-86-9</t>
  </si>
  <si>
    <t>isobutyl nitrite</t>
  </si>
  <si>
    <t>542-56-3</t>
  </si>
  <si>
    <t>isobutyl propionate</t>
  </si>
  <si>
    <t>540-42-1</t>
  </si>
  <si>
    <t>isobutyl vinyl ether</t>
  </si>
  <si>
    <t>109-53-5</t>
  </si>
  <si>
    <t>isobutylamine</t>
  </si>
  <si>
    <t>78-81-9</t>
  </si>
  <si>
    <t>isobutylene oxide</t>
  </si>
  <si>
    <t>558-30-5</t>
  </si>
  <si>
    <t>isobutyraldehyde</t>
  </si>
  <si>
    <t>78-84-2</t>
  </si>
  <si>
    <t>isobutyric acid</t>
  </si>
  <si>
    <t>79-31-2</t>
  </si>
  <si>
    <t>isobutyric acid anhydride</t>
  </si>
  <si>
    <t>97-72-3</t>
  </si>
  <si>
    <t>isobutyrol chloride</t>
  </si>
  <si>
    <t>79-30-1</t>
  </si>
  <si>
    <t>isobutyronitrile</t>
  </si>
  <si>
    <t>78-82-0</t>
  </si>
  <si>
    <t>isocyanobenzotrifluoride</t>
  </si>
  <si>
    <t>71121-36-3</t>
  </si>
  <si>
    <t>isodecaldehyde</t>
  </si>
  <si>
    <t>1321-89-7</t>
  </si>
  <si>
    <t>isodecane</t>
  </si>
  <si>
    <t>34464-38-5</t>
  </si>
  <si>
    <t>isodecyl acrylate</t>
  </si>
  <si>
    <t>1330-61-6</t>
  </si>
  <si>
    <t>isodecyl alcohol</t>
  </si>
  <si>
    <t>25339-17-7</t>
  </si>
  <si>
    <t>isodecyl benzoate</t>
  </si>
  <si>
    <t>120657-54-7</t>
  </si>
  <si>
    <t>isodecyl methacrylate</t>
  </si>
  <si>
    <t>29964-84-9</t>
  </si>
  <si>
    <t>isododecane</t>
  </si>
  <si>
    <t>13475-82-6</t>
  </si>
  <si>
    <t>Isodrin</t>
  </si>
  <si>
    <t>465-73-6</t>
  </si>
  <si>
    <t>isoflurane</t>
  </si>
  <si>
    <t>26675-46-7</t>
  </si>
  <si>
    <t>isoheptanol</t>
  </si>
  <si>
    <t>51774-11-9</t>
  </si>
  <si>
    <t>isohexadecanol</t>
  </si>
  <si>
    <t>36311-34-9</t>
  </si>
  <si>
    <t>isomerized C16 alpha-alkenes</t>
  </si>
  <si>
    <t>148617-57-6</t>
  </si>
  <si>
    <t>isononanoic acid</t>
  </si>
  <si>
    <t>3302-10-1</t>
  </si>
  <si>
    <t>isononanoyl chloride</t>
  </si>
  <si>
    <t>36727-29-4</t>
  </si>
  <si>
    <t>isononyl alcohol</t>
  </si>
  <si>
    <t>27458-94-2</t>
  </si>
  <si>
    <t>isononyl alcohols</t>
  </si>
  <si>
    <t>68515-81-1</t>
  </si>
  <si>
    <t>isononylamine</t>
  </si>
  <si>
    <t>27775-00-4</t>
  </si>
  <si>
    <t>Isooctadecanoic acid</t>
  </si>
  <si>
    <t>2724-58-5</t>
  </si>
  <si>
    <t>isooctane</t>
  </si>
  <si>
    <t>26635-64-3</t>
  </si>
  <si>
    <t>isooctyl acrylate</t>
  </si>
  <si>
    <t>29590-42-9</t>
  </si>
  <si>
    <t>isooctyl alcohol</t>
  </si>
  <si>
    <t>26952-21-6</t>
  </si>
  <si>
    <t>isooctyl thioglycolate</t>
  </si>
  <si>
    <t>25103-09-7</t>
  </si>
  <si>
    <t>isooctyltrimethoxysilane</t>
  </si>
  <si>
    <t>34396-03-7</t>
  </si>
  <si>
    <t>isopentane</t>
  </si>
  <si>
    <t>78-78-4</t>
  </si>
  <si>
    <t>isopentyl isovalerate</t>
  </si>
  <si>
    <t>659-70-1</t>
  </si>
  <si>
    <t>isopentyl nitrite</t>
  </si>
  <si>
    <t>110-46-3</t>
  </si>
  <si>
    <t>isophorone</t>
  </si>
  <si>
    <t>78-59-1</t>
  </si>
  <si>
    <t>isophorone diisocyanate</t>
  </si>
  <si>
    <t>4098-71-9</t>
  </si>
  <si>
    <t>isophthalic acid</t>
  </si>
  <si>
    <t>121-91-5</t>
  </si>
  <si>
    <t>isoprene</t>
  </si>
  <si>
    <t>78-79-5</t>
  </si>
  <si>
    <t>isopropanol</t>
  </si>
  <si>
    <t>67-63-0</t>
  </si>
  <si>
    <t>isopropanolamine</t>
  </si>
  <si>
    <t>78-96-6</t>
  </si>
  <si>
    <t>isopropenyl acetate</t>
  </si>
  <si>
    <t>108-22-5</t>
  </si>
  <si>
    <t>isopropenyl acetone</t>
  </si>
  <si>
    <t>3744-02-3</t>
  </si>
  <si>
    <t>isopropyl acetate</t>
  </si>
  <si>
    <t>108-21-4</t>
  </si>
  <si>
    <t>isopropyl butyrate</t>
  </si>
  <si>
    <t>638-11-9</t>
  </si>
  <si>
    <t>isopropyl chloroformate</t>
  </si>
  <si>
    <t>108-23-6</t>
  </si>
  <si>
    <t>isopropyl formate</t>
  </si>
  <si>
    <t>625-55-8</t>
  </si>
  <si>
    <t>isopropyl glycidyl ether</t>
  </si>
  <si>
    <t>4016-14-2</t>
  </si>
  <si>
    <t>isopropyl iodide</t>
  </si>
  <si>
    <t>75-30-9</t>
  </si>
  <si>
    <t>isopropyl isobutyrate</t>
  </si>
  <si>
    <t>617-50-5</t>
  </si>
  <si>
    <t>isopropyl mercaptan</t>
  </si>
  <si>
    <t>75-33-2</t>
  </si>
  <si>
    <t>isopropyl methacrylate</t>
  </si>
  <si>
    <t>4655-34-9</t>
  </si>
  <si>
    <t>isopropyl methylthionocarbamate</t>
  </si>
  <si>
    <t>20753-31-5</t>
  </si>
  <si>
    <t>isopropyl myristate</t>
  </si>
  <si>
    <t>110-27-0</t>
  </si>
  <si>
    <t>isopropyl palmitate</t>
  </si>
  <si>
    <t>142-91-6</t>
  </si>
  <si>
    <t>isopropyl propionate</t>
  </si>
  <si>
    <t>637-78-5</t>
  </si>
  <si>
    <t>isopropyl sulfide</t>
  </si>
  <si>
    <t>625-80-9</t>
  </si>
  <si>
    <t>isopropyl(S)-(-)-lactate</t>
  </si>
  <si>
    <t>63697-00-7</t>
  </si>
  <si>
    <t>isopropyl-1H-imidazole</t>
  </si>
  <si>
    <t>36947-68-9</t>
  </si>
  <si>
    <t>isopropylamine</t>
  </si>
  <si>
    <t>75-31-0</t>
  </si>
  <si>
    <t>isopropylaniline</t>
  </si>
  <si>
    <t>768-52-5</t>
  </si>
  <si>
    <t>isopropylated phenol phosphate (3-1)</t>
  </si>
  <si>
    <t>68937-41-7</t>
  </si>
  <si>
    <t>Isopropyldiethanolamine</t>
  </si>
  <si>
    <t>121-93-7</t>
  </si>
  <si>
    <t>isopropylmorpholine</t>
  </si>
  <si>
    <t>1004-14-4</t>
  </si>
  <si>
    <t>isopropyl-tert-butyl ether</t>
  </si>
  <si>
    <t>17348-59-3</t>
  </si>
  <si>
    <t>isoquinoline</t>
  </si>
  <si>
    <t>119-65-3</t>
  </si>
  <si>
    <t>isosafrole, mixture of cis and trans</t>
  </si>
  <si>
    <t>120-58-1</t>
  </si>
  <si>
    <t>Isostearic acid</t>
  </si>
  <si>
    <t>30399-84-9</t>
  </si>
  <si>
    <t>isothiocyanate</t>
  </si>
  <si>
    <t>isotridecyl alcohol, isomers</t>
  </si>
  <si>
    <t>27458-92-0</t>
  </si>
  <si>
    <t>isotridecyl alcohol, mixed isomers</t>
  </si>
  <si>
    <t>68526-86-3</t>
  </si>
  <si>
    <t>isovaleraldehyde</t>
  </si>
  <si>
    <t>590-86-3</t>
  </si>
  <si>
    <t>isovaleric acid</t>
  </si>
  <si>
    <t>503-74-2</t>
  </si>
  <si>
    <t>jet fuel</t>
  </si>
  <si>
    <t>kerosene</t>
  </si>
  <si>
    <t>8008-20-6</t>
  </si>
  <si>
    <t>ketene</t>
  </si>
  <si>
    <t>463-51-4</t>
  </si>
  <si>
    <t>ketone, generic, not otherwise specified</t>
  </si>
  <si>
    <t>ketones, C11</t>
  </si>
  <si>
    <t>71808-49-6</t>
  </si>
  <si>
    <t>lactic acid</t>
  </si>
  <si>
    <t>50-21-5</t>
  </si>
  <si>
    <t>lactic acid butyl ester</t>
  </si>
  <si>
    <t>34451-19-9</t>
  </si>
  <si>
    <t>lactic acid propyl ester</t>
  </si>
  <si>
    <t>616-09-1</t>
  </si>
  <si>
    <t>lactonitrile</t>
  </si>
  <si>
    <t>78-97-7</t>
  </si>
  <si>
    <t>lactose, anhydrous</t>
  </si>
  <si>
    <t>63-42-3</t>
  </si>
  <si>
    <t>lambda-cyhalothrin</t>
  </si>
  <si>
    <t>91465-08-6</t>
  </si>
  <si>
    <t>lanoline, anhydrous</t>
  </si>
  <si>
    <t>8006-54-0</t>
  </si>
  <si>
    <t>lard oil</t>
  </si>
  <si>
    <t>8016-28-2</t>
  </si>
  <si>
    <t>lasiocarpine</t>
  </si>
  <si>
    <t>303-34-4</t>
  </si>
  <si>
    <t>lauric acid</t>
  </si>
  <si>
    <t>143-07-7</t>
  </si>
  <si>
    <t>lauric acid monoethanolamine</t>
  </si>
  <si>
    <t>142-78-9</t>
  </si>
  <si>
    <t>lauric nitrile</t>
  </si>
  <si>
    <t>2437-25-4</t>
  </si>
  <si>
    <t>lauroamide propyl betaine</t>
  </si>
  <si>
    <t>61789-40-0</t>
  </si>
  <si>
    <t>lauryl alcohol</t>
  </si>
  <si>
    <t>112-53-8</t>
  </si>
  <si>
    <t>lauryl bromide</t>
  </si>
  <si>
    <t>143-15-7</t>
  </si>
  <si>
    <t>lauryl hydroxysultaine</t>
  </si>
  <si>
    <t>13197-79-1</t>
  </si>
  <si>
    <t>lead</t>
  </si>
  <si>
    <t>7439-92-1</t>
  </si>
  <si>
    <t>lead dioxide</t>
  </si>
  <si>
    <t>1309-60-0</t>
  </si>
  <si>
    <t>lead monooxide</t>
  </si>
  <si>
    <t>1317-36-8</t>
  </si>
  <si>
    <t>lead nitrate</t>
  </si>
  <si>
    <t>10099-74-8</t>
  </si>
  <si>
    <t>lead oxide phosphonate</t>
  </si>
  <si>
    <t>12141-20-7</t>
  </si>
  <si>
    <t>lead(II) hypophosphite</t>
  </si>
  <si>
    <t>10294-58-3</t>
  </si>
  <si>
    <t>lead(IV) chloride</t>
  </si>
  <si>
    <t>13463-30-4</t>
  </si>
  <si>
    <t>leavo-menthol</t>
  </si>
  <si>
    <t>2216-51-5</t>
  </si>
  <si>
    <t>lemon extract</t>
  </si>
  <si>
    <t>84929-31-7</t>
  </si>
  <si>
    <t>lemon oil</t>
  </si>
  <si>
    <t>8008-56-8</t>
  </si>
  <si>
    <t>lemon terpenes</t>
  </si>
  <si>
    <t>68917-33-9</t>
  </si>
  <si>
    <t>lemongrass oil</t>
  </si>
  <si>
    <t>8007-02-1</t>
  </si>
  <si>
    <t>lemonile</t>
  </si>
  <si>
    <t>61792-11-8</t>
  </si>
  <si>
    <t>L-histidinol phosphate</t>
  </si>
  <si>
    <t>25679-93-0</t>
  </si>
  <si>
    <t>light aliphatic solvent naphtha</t>
  </si>
  <si>
    <t>64742-89-8</t>
  </si>
  <si>
    <t>light aromatic distillate</t>
  </si>
  <si>
    <t>67891-80-9</t>
  </si>
  <si>
    <t>light cat cracked gasoline</t>
  </si>
  <si>
    <t>64741-55-5</t>
  </si>
  <si>
    <t>light reformate (contains 8-12% benzene)</t>
  </si>
  <si>
    <t>light vacuum gas oils (petroleum)</t>
  </si>
  <si>
    <t>64741-58-8</t>
  </si>
  <si>
    <t>lily aldehyde</t>
  </si>
  <si>
    <t>80-54-6</t>
  </si>
  <si>
    <t>lime terpenes</t>
  </si>
  <si>
    <t>68917-71-5</t>
  </si>
  <si>
    <t>limonene</t>
  </si>
  <si>
    <t>138-86-3</t>
  </si>
  <si>
    <t>lindane</t>
  </si>
  <si>
    <t>58-89-9</t>
  </si>
  <si>
    <t>linear alkyl benzenesulphonate</t>
  </si>
  <si>
    <t>42615-29-2</t>
  </si>
  <si>
    <t>linear alkyl sulfonic acid</t>
  </si>
  <si>
    <t>linear alkylbenzenesulfonic acid</t>
  </si>
  <si>
    <t>linoleic acid</t>
  </si>
  <si>
    <t>60-33-3</t>
  </si>
  <si>
    <t>linseed oil</t>
  </si>
  <si>
    <t>8001-26-1</t>
  </si>
  <si>
    <t>linseed oil fatty acid</t>
  </si>
  <si>
    <t>20761-33-4</t>
  </si>
  <si>
    <t>linseed oil polymerized</t>
  </si>
  <si>
    <t>67746-08-1</t>
  </si>
  <si>
    <t>linseed oil, glycerin, pentaerythritol, gum rosin, maleic anhydride, phthalic anhydride polymer (alkyd oil)</t>
  </si>
  <si>
    <t>68512-98-1</t>
  </si>
  <si>
    <t>litsea cubeba oil</t>
  </si>
  <si>
    <t>68855-99-2</t>
  </si>
  <si>
    <t>lubricating oils (petroleum), C&gt;25, hydrotreated bright stock-based</t>
  </si>
  <si>
    <t>72623-83-7</t>
  </si>
  <si>
    <t>lubricating oils, petroleum, hydrotreated, spent</t>
  </si>
  <si>
    <t>64742-58-1</t>
  </si>
  <si>
    <t>lupinine acrylate</t>
  </si>
  <si>
    <t>60537-74-8</t>
  </si>
  <si>
    <t>m/p-tolualdehyde</t>
  </si>
  <si>
    <t>m/p-xylene</t>
  </si>
  <si>
    <t>179601-23-1</t>
  </si>
  <si>
    <t>magnesium hexafluorosilicate</t>
  </si>
  <si>
    <t>magnesium hexafluorosilicate | For air permit reviews in agricultural areas</t>
  </si>
  <si>
    <t>magnesium hexafluorosilicate | For air permit reviews in agricultural areas with cattle</t>
  </si>
  <si>
    <t>16949-65-8 (For air permit reviews in agricultural areas with cattle)</t>
  </si>
  <si>
    <t>Malathion</t>
  </si>
  <si>
    <t>121-75-5</t>
  </si>
  <si>
    <t>maleic acid</t>
  </si>
  <si>
    <t>110-16-7</t>
  </si>
  <si>
    <t>maleic anhydride</t>
  </si>
  <si>
    <t>108-31-6</t>
  </si>
  <si>
    <t>malic acid</t>
  </si>
  <si>
    <t>6915-15-7</t>
  </si>
  <si>
    <t>malonic acid</t>
  </si>
  <si>
    <t>141-82-2</t>
  </si>
  <si>
    <t>malononitrile</t>
  </si>
  <si>
    <t>109-77-3</t>
  </si>
  <si>
    <t>m-chloroaniline</t>
  </si>
  <si>
    <t>108-42-9</t>
  </si>
  <si>
    <t>m-chlorophenol</t>
  </si>
  <si>
    <t>108-43-0</t>
  </si>
  <si>
    <t>m-cresol</t>
  </si>
  <si>
    <t>108-39-4</t>
  </si>
  <si>
    <t>m-cresoxyethanol</t>
  </si>
  <si>
    <t>37281-57-5</t>
  </si>
  <si>
    <t>m-diethylbenzene</t>
  </si>
  <si>
    <t>141-93-5</t>
  </si>
  <si>
    <t>medium aliphatic solvent naphtha (petroleum)</t>
  </si>
  <si>
    <t>64742-88-7</t>
  </si>
  <si>
    <t>medium reformate (contains 13.38% benzene)</t>
  </si>
  <si>
    <t>Mefenoxam</t>
  </si>
  <si>
    <t>70630-17-0</t>
  </si>
  <si>
    <t>menthol</t>
  </si>
  <si>
    <t>89-78-1</t>
  </si>
  <si>
    <t>mercaptan, not otherwise specified</t>
  </si>
  <si>
    <t>mercaptanized vinyl norbornene</t>
  </si>
  <si>
    <t>mesityl oxide</t>
  </si>
  <si>
    <t>141-79-7</t>
  </si>
  <si>
    <t>meta-cymene</t>
  </si>
  <si>
    <t>535-77-3</t>
  </si>
  <si>
    <t>methacrolein</t>
  </si>
  <si>
    <t>78-85-3</t>
  </si>
  <si>
    <t>methacrylamide</t>
  </si>
  <si>
    <t>79-39-0</t>
  </si>
  <si>
    <t>methacrylic acid</t>
  </si>
  <si>
    <t>79-41-4</t>
  </si>
  <si>
    <t>methacrylonitrile</t>
  </si>
  <si>
    <t>126-98-7</t>
  </si>
  <si>
    <t>methane sulfonyl chloride</t>
  </si>
  <si>
    <t>124-63-0</t>
  </si>
  <si>
    <t>methanediol dipropanoate</t>
  </si>
  <si>
    <t>7044-96-4</t>
  </si>
  <si>
    <t>methanesulfonic acid</t>
  </si>
  <si>
    <t>75-75-2</t>
  </si>
  <si>
    <t>methanol</t>
  </si>
  <si>
    <t>67-56-1</t>
  </si>
  <si>
    <t>methapyrilene</t>
  </si>
  <si>
    <t>91-80-5</t>
  </si>
  <si>
    <t>methomyl</t>
  </si>
  <si>
    <t>16752-77-5</t>
  </si>
  <si>
    <t>methoxy-3-propoxypropanol dipropylglycomethyl ether</t>
  </si>
  <si>
    <t>20324-32-7</t>
  </si>
  <si>
    <t>methoxyacetic acid</t>
  </si>
  <si>
    <t>625-45-6</t>
  </si>
  <si>
    <t>methoxybenzene</t>
  </si>
  <si>
    <t>100-66-3</t>
  </si>
  <si>
    <t>methoxyflurane</t>
  </si>
  <si>
    <t>76-38-0</t>
  </si>
  <si>
    <t>methoxyisopropylamine</t>
  </si>
  <si>
    <t>37143-54-7</t>
  </si>
  <si>
    <t>methoxyphenyl glycidyl ether</t>
  </si>
  <si>
    <t>2210-74-4</t>
  </si>
  <si>
    <t>methoxypoly[oxyethylene/oxypropylene]-2-propylamine</t>
  </si>
  <si>
    <t>83713-01-3</t>
  </si>
  <si>
    <t>methyl 2-cyanoacrylate</t>
  </si>
  <si>
    <t>137-05-3</t>
  </si>
  <si>
    <t>methyl 4-ethoxybenzoate</t>
  </si>
  <si>
    <t>23676-08-6</t>
  </si>
  <si>
    <t>methyl 4-methylcyclohexanecarboxylate</t>
  </si>
  <si>
    <t>51181-40-9</t>
  </si>
  <si>
    <t>methyl 9-decenoate</t>
  </si>
  <si>
    <t>25601-41-6</t>
  </si>
  <si>
    <t>methyl acetate</t>
  </si>
  <si>
    <t>79-20-9</t>
  </si>
  <si>
    <t>methyl acetoacetate</t>
  </si>
  <si>
    <t>105-45-3</t>
  </si>
  <si>
    <t>methyl acetylene-propadiene mixture</t>
  </si>
  <si>
    <t>59355-75-8</t>
  </si>
  <si>
    <t>methyl acrylate</t>
  </si>
  <si>
    <t>96-33-3</t>
  </si>
  <si>
    <t>methyl aniline</t>
  </si>
  <si>
    <t>100-61-8</t>
  </si>
  <si>
    <t>methyl benzoate</t>
  </si>
  <si>
    <t>93-58-3</t>
  </si>
  <si>
    <t>methyl butyl ketone</t>
  </si>
  <si>
    <t>591-78-6</t>
  </si>
  <si>
    <t>methyl butyrate</t>
  </si>
  <si>
    <t>623-42-7</t>
  </si>
  <si>
    <t>methyl caprylate</t>
  </si>
  <si>
    <t>111-11-5</t>
  </si>
  <si>
    <t>methyl carbamate</t>
  </si>
  <si>
    <t>598-55-0</t>
  </si>
  <si>
    <t>methyl chlorodifluoroacetate</t>
  </si>
  <si>
    <t>1514-87-0</t>
  </si>
  <si>
    <t>methyl chloroformate</t>
  </si>
  <si>
    <t>79-22-1</t>
  </si>
  <si>
    <t>methyl coconate</t>
  </si>
  <si>
    <t>67762-37-2</t>
  </si>
  <si>
    <t>methyl cyanoacetate</t>
  </si>
  <si>
    <t>105-34-0</t>
  </si>
  <si>
    <t>methyl cyclohexene</t>
  </si>
  <si>
    <t>1335-86-0</t>
  </si>
  <si>
    <t>methyl decanoate</t>
  </si>
  <si>
    <t>110-42-9</t>
  </si>
  <si>
    <t>methyl dichlorosilane</t>
  </si>
  <si>
    <t>75-54-7</t>
  </si>
  <si>
    <t>methyl ethyl aniline</t>
  </si>
  <si>
    <t>24549-06-2</t>
  </si>
  <si>
    <t>methyl ethyl benzene, all isomers</t>
  </si>
  <si>
    <t>methyl ethyl ketone</t>
  </si>
  <si>
    <t>78-93-3</t>
  </si>
  <si>
    <t>methyl ethyl ketone oxime</t>
  </si>
  <si>
    <t>96-29-7</t>
  </si>
  <si>
    <t>methyl ethyl ketone peroxide</t>
  </si>
  <si>
    <t>1338-23-4</t>
  </si>
  <si>
    <t>methyl ethyl succinate</t>
  </si>
  <si>
    <t>627-73-6</t>
  </si>
  <si>
    <t>methyl formamide</t>
  </si>
  <si>
    <t>123-39-7</t>
  </si>
  <si>
    <t>methyl formate</t>
  </si>
  <si>
    <t>107-31-3</t>
  </si>
  <si>
    <t>methyl glutaronitrile</t>
  </si>
  <si>
    <t>4553-62-2</t>
  </si>
  <si>
    <t>methyl glycolate</t>
  </si>
  <si>
    <t>96-35-5</t>
  </si>
  <si>
    <t>methyl hexahydrophthalic anhydride</t>
  </si>
  <si>
    <t>25550-51-0</t>
  </si>
  <si>
    <t>methyl hydrazine</t>
  </si>
  <si>
    <t>60-34-4</t>
  </si>
  <si>
    <t>methyl iodide</t>
  </si>
  <si>
    <t>74-88-4</t>
  </si>
  <si>
    <t>methyl isoamyl ketone</t>
  </si>
  <si>
    <t>110-12-3</t>
  </si>
  <si>
    <t>methyl isobutyl ketone</t>
  </si>
  <si>
    <t>108-10-1</t>
  </si>
  <si>
    <t>methyl isobutyrate</t>
  </si>
  <si>
    <t>547-63-7</t>
  </si>
  <si>
    <t>methyl isocyanate</t>
  </si>
  <si>
    <t>624-83-9</t>
  </si>
  <si>
    <t>methyl isopropyl ether</t>
  </si>
  <si>
    <t>598-53-8</t>
  </si>
  <si>
    <t>methyl isopropyl ketone</t>
  </si>
  <si>
    <t>563-80-4</t>
  </si>
  <si>
    <t>methyl isothiocyanate</t>
  </si>
  <si>
    <t>556-61-6</t>
  </si>
  <si>
    <t>methyl isovalerate</t>
  </si>
  <si>
    <t>556-24-1</t>
  </si>
  <si>
    <t>methyl laurate</t>
  </si>
  <si>
    <t>111-82-0</t>
  </si>
  <si>
    <t>methyl mercaptan</t>
  </si>
  <si>
    <t>74-93-1</t>
  </si>
  <si>
    <t>methyl mercaptopropianamide</t>
  </si>
  <si>
    <t>52334-99-3</t>
  </si>
  <si>
    <t>methyl methacrylate</t>
  </si>
  <si>
    <t>80-62-6</t>
  </si>
  <si>
    <t>methyl methanesulfonate</t>
  </si>
  <si>
    <t>66-27-3</t>
  </si>
  <si>
    <t>methyl methoxyacetate</t>
  </si>
  <si>
    <t>6290-49-9</t>
  </si>
  <si>
    <t>methyl n-amyl ketone</t>
  </si>
  <si>
    <t>110-43-0</t>
  </si>
  <si>
    <t>methyl nonafluorobutyl ether</t>
  </si>
  <si>
    <t>163702-07-6</t>
  </si>
  <si>
    <t>methyl octyl ketone</t>
  </si>
  <si>
    <t>693-54-9</t>
  </si>
  <si>
    <t>methyl oleate</t>
  </si>
  <si>
    <t>112-62-9</t>
  </si>
  <si>
    <t>methyl orange</t>
  </si>
  <si>
    <t>547-58-0</t>
  </si>
  <si>
    <t>methyl palmitate</t>
  </si>
  <si>
    <t>112-39-0</t>
  </si>
  <si>
    <t>methyl parathion</t>
  </si>
  <si>
    <t>298-00-0</t>
  </si>
  <si>
    <t>methyl phenyl silsesquioxanes-dimethyl, diphenyl siloxane polymers</t>
  </si>
  <si>
    <t>68440-64-2</t>
  </si>
  <si>
    <t>methyl phenylglyoxylic acid</t>
  </si>
  <si>
    <t>15206-55-0</t>
  </si>
  <si>
    <t>methyl propandiol</t>
  </si>
  <si>
    <t>2163-42-0</t>
  </si>
  <si>
    <t>methyl propionate</t>
  </si>
  <si>
    <t>554-12-1</t>
  </si>
  <si>
    <t>methyl propyl ether</t>
  </si>
  <si>
    <t>557-17-5</t>
  </si>
  <si>
    <t>methyl salicylate</t>
  </si>
  <si>
    <t>119-36-8</t>
  </si>
  <si>
    <t>methyl sec-butyl ketone</t>
  </si>
  <si>
    <t>565-61-7</t>
  </si>
  <si>
    <t>methyl silane</t>
  </si>
  <si>
    <t>992-94-9</t>
  </si>
  <si>
    <t>methyl tert-butyl ether</t>
  </si>
  <si>
    <t>1634-04-4</t>
  </si>
  <si>
    <t>methyl trimethylacetate</t>
  </si>
  <si>
    <t>598-98-1</t>
  </si>
  <si>
    <t>methyl vinyl acetate</t>
  </si>
  <si>
    <t>3724-55-8</t>
  </si>
  <si>
    <t>methyl vinyl ether</t>
  </si>
  <si>
    <t>107-25-5</t>
  </si>
  <si>
    <t>methyl vinyl ketone</t>
  </si>
  <si>
    <t>78-94-4</t>
  </si>
  <si>
    <t>methyl-2-hydroxyisobutyrate</t>
  </si>
  <si>
    <t>2110-78-3</t>
  </si>
  <si>
    <t>methyl-3-mercaptopropionate</t>
  </si>
  <si>
    <t>2935-90-2</t>
  </si>
  <si>
    <t>methyl-3-methoxy proprionate</t>
  </si>
  <si>
    <t>3852-09-3</t>
  </si>
  <si>
    <t>methyl-5-norbornene-2,3-dicarboxylic anhydride</t>
  </si>
  <si>
    <t>25134-21-8</t>
  </si>
  <si>
    <t>methylacetaldehyde</t>
  </si>
  <si>
    <t>534-15-6</t>
  </si>
  <si>
    <t>methylamine</t>
  </si>
  <si>
    <t>74-89-5</t>
  </si>
  <si>
    <t>methylbiphenyl</t>
  </si>
  <si>
    <t>28652-72-4</t>
  </si>
  <si>
    <t>methylbis (phenylmethyl) benzene</t>
  </si>
  <si>
    <t>26898-17-9</t>
  </si>
  <si>
    <t>methylbutene (mixed isomers)</t>
  </si>
  <si>
    <t>26760-64-5</t>
  </si>
  <si>
    <t>methylcyclohexane</t>
  </si>
  <si>
    <t>108-87-2</t>
  </si>
  <si>
    <t>methylcyclohexanol</t>
  </si>
  <si>
    <t>25639-42-3</t>
  </si>
  <si>
    <t>methylcyclopentadiene</t>
  </si>
  <si>
    <t>26472-00-4</t>
  </si>
  <si>
    <t>methylcyclopentane</t>
  </si>
  <si>
    <t>96-37-7</t>
  </si>
  <si>
    <t>methylcyclopropane</t>
  </si>
  <si>
    <t>594-11-6</t>
  </si>
  <si>
    <t>methyldibutylamine</t>
  </si>
  <si>
    <t>3405-45-6</t>
  </si>
  <si>
    <t>methyldiethoxysilane</t>
  </si>
  <si>
    <t>2031-62-1</t>
  </si>
  <si>
    <t>methyldiethylamine</t>
  </si>
  <si>
    <t>616-39-7</t>
  </si>
  <si>
    <t>methylene bis(2-chloroaniline)</t>
  </si>
  <si>
    <t>101-14-4</t>
  </si>
  <si>
    <t>methylene bis(4-cyclohexylisocyanate)</t>
  </si>
  <si>
    <t>5124-30-1</t>
  </si>
  <si>
    <t>methylene bis(thiocyanate)</t>
  </si>
  <si>
    <t>6317-18-6</t>
  </si>
  <si>
    <t>methylene chloride</t>
  </si>
  <si>
    <t>75-09-2</t>
  </si>
  <si>
    <t>methylene diphenyl diisocyanate, mixed isomers</t>
  </si>
  <si>
    <t>26447-40-5</t>
  </si>
  <si>
    <t>methylethanolamine</t>
  </si>
  <si>
    <t>109-83-1</t>
  </si>
  <si>
    <t>methylmercaptopropionaldehyde</t>
  </si>
  <si>
    <t>3268-49-3</t>
  </si>
  <si>
    <t>methylol dimethylhydantoin</t>
  </si>
  <si>
    <t>116-25-6</t>
  </si>
  <si>
    <t>methyloxirane polymer with oxirane, ether with (chloromethyl)oxirane polymer with 4,4'-(1-methylethylidene)bis[phenol]</t>
  </si>
  <si>
    <t>68036-95-3</t>
  </si>
  <si>
    <t>methyloxirane, polymer with oxirane ether with 2-ethyl-2-(hydroxymethyl)-1,3-propanediol</t>
  </si>
  <si>
    <t>52624-57-4</t>
  </si>
  <si>
    <t>methyloxirane, polymer with oxirane, (E)-2-butenedioate</t>
  </si>
  <si>
    <t>68186-54-9</t>
  </si>
  <si>
    <t>methyloxirane, polymer with oxirane, didodecylbenzenesulfonate</t>
  </si>
  <si>
    <t>68332-78-5</t>
  </si>
  <si>
    <t>methyloxirane, polymer with oxirane, ether with 1,2,3-propanetriol</t>
  </si>
  <si>
    <t>9082-00-2</t>
  </si>
  <si>
    <t>methyloxirane, polymer with oxirane, ether with 1,2,3-propanetriol (3:1), ether with (chloromethyl)oxirane polymer with 4,4'-(1-methylethylidene)bis[phenol]</t>
  </si>
  <si>
    <t>68036-92-0</t>
  </si>
  <si>
    <t>methyl-oxirane, polymer with oxirane, mono[2-(2-butoxyethoxy)ethyl]ether</t>
  </si>
  <si>
    <t>85637-75-8</t>
  </si>
  <si>
    <t>methyloxirane, polymer with oxirane, mono2,4,6-tris(1-phenylethyl)phenyl ether</t>
  </si>
  <si>
    <t>70880-56-7</t>
  </si>
  <si>
    <t>methyloxirane, polymer with oxirane, monoalkyl ethers</t>
  </si>
  <si>
    <t>37251-67-5</t>
  </si>
  <si>
    <t>methyloxirane, polymer with oxirane, monobutyl ether (polyalkylene glycol)</t>
  </si>
  <si>
    <t>9038-95-3</t>
  </si>
  <si>
    <t>m-ethylphenol</t>
  </si>
  <si>
    <t>620-17-7</t>
  </si>
  <si>
    <t>methyl-phenol compd with 2-aminoethanol (1:1)</t>
  </si>
  <si>
    <t>67786-08-7</t>
  </si>
  <si>
    <t>methylquinoline, unspecified</t>
  </si>
  <si>
    <t>27601-00-9</t>
  </si>
  <si>
    <t>methylstyrenated phenol</t>
  </si>
  <si>
    <t>68512-30-1</t>
  </si>
  <si>
    <t>methyltetralin</t>
  </si>
  <si>
    <t>1559-81-5</t>
  </si>
  <si>
    <t>m-ethyltoluene</t>
  </si>
  <si>
    <t>620-14-4</t>
  </si>
  <si>
    <t>methyltri (ethylmethylketoxime) silane</t>
  </si>
  <si>
    <t>22984-54-9</t>
  </si>
  <si>
    <t>methyltriacetoxysilane</t>
  </si>
  <si>
    <t>4253-34-3</t>
  </si>
  <si>
    <t>methyltrichlorosilane</t>
  </si>
  <si>
    <t>75-79-6</t>
  </si>
  <si>
    <t>methyltriethoxysilane</t>
  </si>
  <si>
    <t>2031-67-6</t>
  </si>
  <si>
    <t>methyltrimethoxysilane</t>
  </si>
  <si>
    <t>1185-55-3</t>
  </si>
  <si>
    <t>methylundec-10-enoate</t>
  </si>
  <si>
    <t>111-81-9</t>
  </si>
  <si>
    <t>Metribuzin</t>
  </si>
  <si>
    <t>21087-64-9</t>
  </si>
  <si>
    <t>metrifonate</t>
  </si>
  <si>
    <t>52-68-6</t>
  </si>
  <si>
    <t>Mevinphos</t>
  </si>
  <si>
    <t>7786-34-7</t>
  </si>
  <si>
    <t>Mimic insecticide</t>
  </si>
  <si>
    <t>112410-23-8</t>
  </si>
  <si>
    <t>mineral spirits</t>
  </si>
  <si>
    <t>64475-85-0</t>
  </si>
  <si>
    <t>Mirex</t>
  </si>
  <si>
    <t>2385-85-5</t>
  </si>
  <si>
    <t>m-methylstyrene</t>
  </si>
  <si>
    <t>100-80-1</t>
  </si>
  <si>
    <t>m-nitrochlorobenzene</t>
  </si>
  <si>
    <t>121-73-3</t>
  </si>
  <si>
    <t>m-nitrophenol</t>
  </si>
  <si>
    <t>554-84-7</t>
  </si>
  <si>
    <t>m-nitrotoluene</t>
  </si>
  <si>
    <t>99-08-1</t>
  </si>
  <si>
    <t>moclobemide</t>
  </si>
  <si>
    <t>71320-77-9</t>
  </si>
  <si>
    <t>modified bisphenol polyglycidyl ether</t>
  </si>
  <si>
    <t>modified methylene diisocyanate</t>
  </si>
  <si>
    <t>150449-03-9</t>
  </si>
  <si>
    <t>modified polyethoxylated alcohol</t>
  </si>
  <si>
    <t>68603-25-8</t>
  </si>
  <si>
    <t>modified polyglycol diamines</t>
  </si>
  <si>
    <t>molasses</t>
  </si>
  <si>
    <t>68476-78-8</t>
  </si>
  <si>
    <t>molybdenum zinc oxide</t>
  </si>
  <si>
    <t>61583-60-6</t>
  </si>
  <si>
    <t>Monitor Technical</t>
  </si>
  <si>
    <t>10265-92-6</t>
  </si>
  <si>
    <t>mono-(1,1,3,3-tetramethylbutylphenyl) ether polyethylene glycols</t>
  </si>
  <si>
    <t>9036-19-5</t>
  </si>
  <si>
    <t>mono[(C10-16-alkyloxy)methyl] oxirane derivs</t>
  </si>
  <si>
    <t>68081-84-5</t>
  </si>
  <si>
    <t>monobromo-3-nitrilopropionamide</t>
  </si>
  <si>
    <t>1113-55-9</t>
  </si>
  <si>
    <t>monochloropinacolone</t>
  </si>
  <si>
    <t>13547-70-1</t>
  </si>
  <si>
    <t>monochlorosilane</t>
  </si>
  <si>
    <t>13465-78-6</t>
  </si>
  <si>
    <t>monoethanolamine</t>
  </si>
  <si>
    <t>141-43-5</t>
  </si>
  <si>
    <t>monoethanolamine thioglycolate</t>
  </si>
  <si>
    <t>126-97-6</t>
  </si>
  <si>
    <t>monofluoro phosphoric acid</t>
  </si>
  <si>
    <t>13537-32-1</t>
  </si>
  <si>
    <t>morpholine</t>
  </si>
  <si>
    <t>110-91-8</t>
  </si>
  <si>
    <t>motor oil (all viscosities)</t>
  </si>
  <si>
    <t>Motorcraft Synthetic Blend, API SM, ILSAC GF-4, SAE 5W-30 motor oil</t>
  </si>
  <si>
    <t>m-phthalodinitrile</t>
  </si>
  <si>
    <t>626-17-5</t>
  </si>
  <si>
    <t>m-tolidine</t>
  </si>
  <si>
    <t>84-67-3</t>
  </si>
  <si>
    <t>m-tolualdehyde</t>
  </si>
  <si>
    <t>620-23-5</t>
  </si>
  <si>
    <t>m-toluidine</t>
  </si>
  <si>
    <t>108-44-1</t>
  </si>
  <si>
    <t>m-tolunitrile</t>
  </si>
  <si>
    <t>620-22-4</t>
  </si>
  <si>
    <t>m-xylene</t>
  </si>
  <si>
    <t>108-38-3</t>
  </si>
  <si>
    <t>m-xylene-a,a'-diamine</t>
  </si>
  <si>
    <t>1477-55-0</t>
  </si>
  <si>
    <t>myrcene</t>
  </si>
  <si>
    <t>123-35-3</t>
  </si>
  <si>
    <t>Myristic Acid</t>
  </si>
  <si>
    <t>544-63-8</t>
  </si>
  <si>
    <t>N-(1,3-dimethylbutyl)-N'-phenyl-p-phenylenediamine</t>
  </si>
  <si>
    <t>793-24-8</t>
  </si>
  <si>
    <t>N-(1,3-dimethylbutylidene)-N'-(2-((1,3-dimethylbutylidene)amino)ethyl)-1,2-ethanediamine</t>
  </si>
  <si>
    <t>10595-60-5</t>
  </si>
  <si>
    <t>N-(2-aminoethyl)-N'-(2-(1-piperazinyl)ethyl)ethylenediamine</t>
  </si>
  <si>
    <t>31295-49-5</t>
  </si>
  <si>
    <t>N-(2-carboxyethyl)-N-(2-ethylhexyl)-beta-alanine, sodium salt (1:1)</t>
  </si>
  <si>
    <t>94441-92-6</t>
  </si>
  <si>
    <t>N-(2-ethoxyphenyl)-N'-(2-ethylphenyl)ethanediamide</t>
  </si>
  <si>
    <t>23949-66-8</t>
  </si>
  <si>
    <t>N-(3-(dibutylamino)propyl)cocoamides</t>
  </si>
  <si>
    <t>851544-20-2</t>
  </si>
  <si>
    <t>N-(3-dimethylaminopropyl)-N,N-diisopropanolamine</t>
  </si>
  <si>
    <t>63469-23-8</t>
  </si>
  <si>
    <t>N-(4-methylphenyl)-acetamide</t>
  </si>
  <si>
    <t>103-89-9</t>
  </si>
  <si>
    <t>N-(carboxymethyl)-N-[2-[(carboxymethyl)amino]ethyl]-glycine, trisodium salt</t>
  </si>
  <si>
    <t>19019-43-3</t>
  </si>
  <si>
    <t>N-(N,N-dimethylaminoethyl)-aminoethanol</t>
  </si>
  <si>
    <t>38361-86-3</t>
  </si>
  <si>
    <t>N-(oxiranylmethyl)-morpholine</t>
  </si>
  <si>
    <t>6270-19-5</t>
  </si>
  <si>
    <t>N,N'-(iminodi-2,1-ethanediyl)bis-tall oil fatty amide</t>
  </si>
  <si>
    <t>68911-66-0</t>
  </si>
  <si>
    <t>N,N'-(iminodi-2,1-ethanediyl)bis-tall oil fatty amide, ethoxylated</t>
  </si>
  <si>
    <t>68413-41-2</t>
  </si>
  <si>
    <t>N,N'-(iminodi-2,1-ethanediyl)bis-tall oil fatty amide, phosphates</t>
  </si>
  <si>
    <t>85711-34-8</t>
  </si>
  <si>
    <t>N,N'-(methyl-1,3-phenylene) bis (N',N'-dimethylurea)</t>
  </si>
  <si>
    <t>17526-94-2</t>
  </si>
  <si>
    <t>N,N-(methylenedi-4,1-cyclohexanediyl)bis-aspartic acid tetraethyl ester</t>
  </si>
  <si>
    <t>136210-30-5</t>
  </si>
  <si>
    <t>N,N'-(m-phenylenedimaleimide)</t>
  </si>
  <si>
    <t>3006-93-7</t>
  </si>
  <si>
    <t>N,N,2,4-tetramethyl-4-penten-1-amine</t>
  </si>
  <si>
    <t>68893-08-3</t>
  </si>
  <si>
    <t>N,N,N',N'',N''-pentamethyl-dipropylenetriamine</t>
  </si>
  <si>
    <t>66537-05-1</t>
  </si>
  <si>
    <t>N,N,N',N'-tetrakis(2-hydroxypropyl)ethylenediamine</t>
  </si>
  <si>
    <t>102-60-3</t>
  </si>
  <si>
    <t>N,N,N',N'-tetramethyl-1,3-butanediamine</t>
  </si>
  <si>
    <t>97-84-7</t>
  </si>
  <si>
    <t>N,N,N',N'-tetramethyl-1,3-propanediamine</t>
  </si>
  <si>
    <t>110-95-2</t>
  </si>
  <si>
    <t>N,N,N',N'-tetramethyl-1,4-butanediamine</t>
  </si>
  <si>
    <t>111-51-3</t>
  </si>
  <si>
    <t>N,N,N,N-tetramethylethylenediamine</t>
  </si>
  <si>
    <t>110-18-9</t>
  </si>
  <si>
    <t>N,N,N-trimethylmethanaminium bromide</t>
  </si>
  <si>
    <t>64-20-0</t>
  </si>
  <si>
    <t>N,N,N-trimethylmethanaminium hydroxide hydrate (1:1)</t>
  </si>
  <si>
    <t>75-59-2</t>
  </si>
  <si>
    <t>N,N'-[methylenebis(2-methyl-4,1-cyclohexanediyl)]bisaspartic acid, 1,1',4,4'-tetraethyl ester</t>
  </si>
  <si>
    <t>136210-32-7</t>
  </si>
  <si>
    <t>N,N'-[phenylenebis(methylene)] bis[12-hydroxy-octadecanamide</t>
  </si>
  <si>
    <t>55348-62-4</t>
  </si>
  <si>
    <t>N,N'-1,6-hexanediylbis(12-hydroxyoctadecanamide)</t>
  </si>
  <si>
    <t>55349-01-4</t>
  </si>
  <si>
    <t>N,N'-bis(2,2,6,6-tetramethyl-4-piperidinyl)-1,6-hexanediamine</t>
  </si>
  <si>
    <t>61260-55-7</t>
  </si>
  <si>
    <t>N,N'-bis(2,2,6,6-tetramethyl-4-piperidinyl)-1,6-hexanediamine, polymer with morpholine-2,4,6-trichloro-1,3,5-triazine</t>
  </si>
  <si>
    <t>193098-40-7</t>
  </si>
  <si>
    <t>N,N-bis(2-hydroxyethyl)-C12-18-alkylamine</t>
  </si>
  <si>
    <t>71786-60-2</t>
  </si>
  <si>
    <t>N,N-bis(2-hydroxypropyl)aniline</t>
  </si>
  <si>
    <t>3077-13-2</t>
  </si>
  <si>
    <t>N,N-bis(3-(dimethylamino)propyl)-N',N'-dimethyl-1,3-propanediamine</t>
  </si>
  <si>
    <t>33329-35-0</t>
  </si>
  <si>
    <t>N,N-bis(3-aminopropyl)methylamine</t>
  </si>
  <si>
    <t>105-83-9</t>
  </si>
  <si>
    <t>N,N-bis(carboxymethyl)-glycine, trisodium salt</t>
  </si>
  <si>
    <t>5064-31-3</t>
  </si>
  <si>
    <t>N,N'-bis(gamma-aminopropyl)diaminoethane</t>
  </si>
  <si>
    <t>10563-26-5</t>
  </si>
  <si>
    <t>N,N-bis(hydroxyethyl) amide, C8-C18 unsaturated</t>
  </si>
  <si>
    <t>68155-07-7</t>
  </si>
  <si>
    <t>n,n-dialkyl toluidine</t>
  </si>
  <si>
    <t>613-48-9</t>
  </si>
  <si>
    <t>N,N-diallyl-2,2-dichloroacetamide</t>
  </si>
  <si>
    <t>37764-25-3</t>
  </si>
  <si>
    <t>N,N-diethylaniline</t>
  </si>
  <si>
    <t>91-66-7</t>
  </si>
  <si>
    <t>N,N'-diethylhydroxylamine</t>
  </si>
  <si>
    <t>3710-84-7</t>
  </si>
  <si>
    <t>N,N-diethyl-m-toluamide</t>
  </si>
  <si>
    <t>134-62-3</t>
  </si>
  <si>
    <t>n,n-diglycidyl-4-glycidyloxyaniline</t>
  </si>
  <si>
    <t>5026-74-4</t>
  </si>
  <si>
    <t>N,N-diglycidylaniline</t>
  </si>
  <si>
    <t>2095-06-9</t>
  </si>
  <si>
    <t>N,N'-diisopropyl-2-methyl-1,5-pentanediamine</t>
  </si>
  <si>
    <t>121255-03-6</t>
  </si>
  <si>
    <t>n,n-diisopropylethylamine</t>
  </si>
  <si>
    <t>7087-68-5</t>
  </si>
  <si>
    <t>N,N-dimethyl ethyl amine</t>
  </si>
  <si>
    <t>598-56-1</t>
  </si>
  <si>
    <t>N,N-dimethyl-1-dodecanamine</t>
  </si>
  <si>
    <t>112-18-5</t>
  </si>
  <si>
    <t>N,N-dimethyl-1-octadecanamine</t>
  </si>
  <si>
    <t>124-28-7</t>
  </si>
  <si>
    <t>N,N-dimethyl-2-[2-(methylamino)ethoxy]-ethanamine</t>
  </si>
  <si>
    <t>93240-93-8</t>
  </si>
  <si>
    <t>N,N-dimethylaniline</t>
  </si>
  <si>
    <t>121-69-7</t>
  </si>
  <si>
    <t>N,N-dimethylbenzylamine</t>
  </si>
  <si>
    <t>103-83-3</t>
  </si>
  <si>
    <t>N,N-dimethylcyclohexylamine</t>
  </si>
  <si>
    <t>98-94-2</t>
  </si>
  <si>
    <t>N,N-dimethyldecanamide</t>
  </si>
  <si>
    <t>14433-76-2</t>
  </si>
  <si>
    <t>N,N-dimethyl-N'-(2,2,6,6-tetramethyl-4-piperidinyl)-1,3-propanediamine</t>
  </si>
  <si>
    <t>78014-16-1</t>
  </si>
  <si>
    <t>N,N-dimethyl-N-propyl-1-propanaminium bromide</t>
  </si>
  <si>
    <t>52509-52-1</t>
  </si>
  <si>
    <t>N,N-dimethyloctanamide</t>
  </si>
  <si>
    <t>1118-92-9</t>
  </si>
  <si>
    <t>N,N-dimethyloctylamine-N-oxide</t>
  </si>
  <si>
    <t>2605-78-9</t>
  </si>
  <si>
    <t>n,n-dimethyl-p-toluidine</t>
  </si>
  <si>
    <t>99-97-8</t>
  </si>
  <si>
    <t>N,N-dimethyltetradecanamine</t>
  </si>
  <si>
    <t>112-75-4</t>
  </si>
  <si>
    <t>N,N'-di-sec-butyl-p-phenylenediamine</t>
  </si>
  <si>
    <t>101-96-2</t>
  </si>
  <si>
    <t>N,N'-di-tert-butyl ethylenediamine</t>
  </si>
  <si>
    <t>4062-60-6</t>
  </si>
  <si>
    <t>N,N''-ethylene bis(12-hydroxystearamide)</t>
  </si>
  <si>
    <t>123-26-2</t>
  </si>
  <si>
    <t>N,N'-ethylenebis(stearamide)</t>
  </si>
  <si>
    <t>110-30-5</t>
  </si>
  <si>
    <t>n,n'-methylene bis-(2-propenamide)</t>
  </si>
  <si>
    <t>110-26-9</t>
  </si>
  <si>
    <t>N-[3-(dibutylamino)propyl] coco amides, acrylates</t>
  </si>
  <si>
    <t>851545-09-0</t>
  </si>
  <si>
    <t>n-[3-(dimethylamino)propyl] coco amide</t>
  </si>
  <si>
    <t>68140-01-2</t>
  </si>
  <si>
    <t>N-[3-(dimethylamino)propyl] coco amides, N-oxides</t>
  </si>
  <si>
    <t>68155-09-9</t>
  </si>
  <si>
    <t>N-[3-(dimethylamino)propyl]-2-methylacrylamide</t>
  </si>
  <si>
    <t>5205-93-6</t>
  </si>
  <si>
    <t>N-[3-(oxiranylmethoxy)phenyl]-N-(oxiranylmethyl)-2-oxiranemethanamine</t>
  </si>
  <si>
    <t>71604-74-5</t>
  </si>
  <si>
    <t>N-[3-(trimethoxysilyl)propyl]ethylenediamine</t>
  </si>
  <si>
    <t>1750-24-3</t>
  </si>
  <si>
    <t>N-acetylbenzamide</t>
  </si>
  <si>
    <t>1575-95-7</t>
  </si>
  <si>
    <t>N-alkyl-N-benzylpyridinium chloride</t>
  </si>
  <si>
    <t>100765-57-9</t>
  </si>
  <si>
    <t>N-aminoethylpiperazine</t>
  </si>
  <si>
    <t>140-31-8</t>
  </si>
  <si>
    <t>n-amyl acetate</t>
  </si>
  <si>
    <t>628-63-7</t>
  </si>
  <si>
    <t>n-amyl amine</t>
  </si>
  <si>
    <t>110-58-7</t>
  </si>
  <si>
    <t>n-amyl propionate</t>
  </si>
  <si>
    <t>624-54-4</t>
  </si>
  <si>
    <t>naphtha (petroleum), full-range straight-run</t>
  </si>
  <si>
    <t>64741-42-0</t>
  </si>
  <si>
    <t>naphtha (petroleum), hydrodesulfurized light, dearomatized</t>
  </si>
  <si>
    <t>92045-53-9</t>
  </si>
  <si>
    <t>naphtha (petroleum), hydrosulfurized heavy</t>
  </si>
  <si>
    <t>64742-82-1</t>
  </si>
  <si>
    <t>naphtha (petroleum), solvent-refined light</t>
  </si>
  <si>
    <t>64741-84-0</t>
  </si>
  <si>
    <t>naphtha [petroleum], hydrotreated light</t>
  </si>
  <si>
    <t>64742-49-0</t>
  </si>
  <si>
    <t>naphtha petroleum heavy catalytic reformed</t>
  </si>
  <si>
    <t>64741-68-0</t>
  </si>
  <si>
    <t>naphtha, coal tar, desulfurized or sweet</t>
  </si>
  <si>
    <t>8030-30-6</t>
  </si>
  <si>
    <t>naphtha, petroleum, arom-contg</t>
  </si>
  <si>
    <t>68603-08-7</t>
  </si>
  <si>
    <t>naphtha, petroleum, heavy alkylate</t>
  </si>
  <si>
    <t>64741-65-7</t>
  </si>
  <si>
    <t>naphtha, petroleum, hydrotreated, heavy</t>
  </si>
  <si>
    <t>64742-48-9</t>
  </si>
  <si>
    <t>naphtha, petroleum, light alkylate</t>
  </si>
  <si>
    <t>64741-66-8</t>
  </si>
  <si>
    <t>naphtha, petroleum, light catalytic reformed</t>
  </si>
  <si>
    <t>64741-63-5</t>
  </si>
  <si>
    <t>naphtha, petroleum, light steam-cracked arom, piperylene conc, polymd</t>
  </si>
  <si>
    <t>68478-07-9</t>
  </si>
  <si>
    <t>naphthalene</t>
  </si>
  <si>
    <t>91-20-3</t>
  </si>
  <si>
    <t>naphthalene diisocyanate</t>
  </si>
  <si>
    <t>25551-28-4</t>
  </si>
  <si>
    <t>naphthalene oils, distillates (coal tar)</t>
  </si>
  <si>
    <t>84650-04-4</t>
  </si>
  <si>
    <t>naphthenic acid</t>
  </si>
  <si>
    <t>1338-24-5</t>
  </si>
  <si>
    <t>naphthenic acids, reaction products with diethylenetriamine</t>
  </si>
  <si>
    <t>naphthenic distillate, heavy, solvent extract</t>
  </si>
  <si>
    <t>64742-11-6</t>
  </si>
  <si>
    <t>naphthenic mineral oil</t>
  </si>
  <si>
    <t>64742-03-6</t>
  </si>
  <si>
    <t>naphtholite</t>
  </si>
  <si>
    <t>64742-06-9</t>
  </si>
  <si>
    <t>natural gas condensates, petroleum</t>
  </si>
  <si>
    <t>64741-47-5</t>
  </si>
  <si>
    <t>natural gas condensates, sweet</t>
  </si>
  <si>
    <t>68919-39-1</t>
  </si>
  <si>
    <t>natural gas, dried</t>
  </si>
  <si>
    <t>68410-63-9</t>
  </si>
  <si>
    <t>natural gasoline</t>
  </si>
  <si>
    <t>68425-31-0</t>
  </si>
  <si>
    <t>n-butane</t>
  </si>
  <si>
    <t>106-97-8</t>
  </si>
  <si>
    <t>n-butyl acetate</t>
  </si>
  <si>
    <t>123-86-4</t>
  </si>
  <si>
    <t>n-butyl benzoate</t>
  </si>
  <si>
    <t>136-60-7</t>
  </si>
  <si>
    <t>n-butyl chloride</t>
  </si>
  <si>
    <t>109-69-3</t>
  </si>
  <si>
    <t>n-butyl chloroformate</t>
  </si>
  <si>
    <t>592-34-7</t>
  </si>
  <si>
    <t>n-butyl levulinate</t>
  </si>
  <si>
    <t>2052-15-5</t>
  </si>
  <si>
    <t>n-butyl propionate</t>
  </si>
  <si>
    <t>590-01-2</t>
  </si>
  <si>
    <t>N-butyl-2,2,6,6-tetramethylpiperidin-4-amine</t>
  </si>
  <si>
    <t>36177-92-1</t>
  </si>
  <si>
    <t>n-butyl-4,4-di(t-butylperoxy) valerate</t>
  </si>
  <si>
    <t>995-33-5</t>
  </si>
  <si>
    <t>n-butylamine</t>
  </si>
  <si>
    <t>109-73-9</t>
  </si>
  <si>
    <t>N-butylaniline</t>
  </si>
  <si>
    <t>1126-78-9</t>
  </si>
  <si>
    <t>N-butylbenzenesulfonamide</t>
  </si>
  <si>
    <t>3622-84-2</t>
  </si>
  <si>
    <t>N-butyldiethanolamine</t>
  </si>
  <si>
    <t>102-79-4</t>
  </si>
  <si>
    <t>n-butyronitrile</t>
  </si>
  <si>
    <t>109-74-0</t>
  </si>
  <si>
    <t>N-coco alkyltrimethylenediamines</t>
  </si>
  <si>
    <t>61791-63-7</t>
  </si>
  <si>
    <t>N-coco alkyltrimethylenediamines, acetates</t>
  </si>
  <si>
    <t>61791-64-8</t>
  </si>
  <si>
    <t>N-coco alkyltrimethylenediamines, diglycolates</t>
  </si>
  <si>
    <t>68911-70-6</t>
  </si>
  <si>
    <t>n-decane</t>
  </si>
  <si>
    <t>124-18-5</t>
  </si>
  <si>
    <t>N-decyl-1-decanamine</t>
  </si>
  <si>
    <t>1120-49-6</t>
  </si>
  <si>
    <t>n-dodecyl benzene</t>
  </si>
  <si>
    <t>123-01-3</t>
  </si>
  <si>
    <t>N-dodecyl-1-dodecanamine</t>
  </si>
  <si>
    <t>3007-31-6</t>
  </si>
  <si>
    <t>n-dodecyl-3-mercaptopropionate</t>
  </si>
  <si>
    <t>6380-71-8</t>
  </si>
  <si>
    <t>n-dodecylbenzene sulfonic acid</t>
  </si>
  <si>
    <t>1886-81-3</t>
  </si>
  <si>
    <t>N-dodecyl-N-methyl-1-dodecanamine</t>
  </si>
  <si>
    <t>2915-90-4</t>
  </si>
  <si>
    <t>neodecanoic acid</t>
  </si>
  <si>
    <t>26896-20-8</t>
  </si>
  <si>
    <t>neodecanoic acid, ethenyl ester</t>
  </si>
  <si>
    <t>51000-52-3</t>
  </si>
  <si>
    <t>neodecanoyl chloride</t>
  </si>
  <si>
    <t>40292-82-8</t>
  </si>
  <si>
    <t>neoheptanoic acid</t>
  </si>
  <si>
    <t>33113-10-9</t>
  </si>
  <si>
    <t>neoheptanoyl chloride</t>
  </si>
  <si>
    <t>15721-22-9</t>
  </si>
  <si>
    <t>neopentane</t>
  </si>
  <si>
    <t>463-82-1</t>
  </si>
  <si>
    <t>neopentyl glycol</t>
  </si>
  <si>
    <t>126-30-7</t>
  </si>
  <si>
    <t>neopentyl glycol diacrylate</t>
  </si>
  <si>
    <t>2223-82-7</t>
  </si>
  <si>
    <t>neopentyl glycol diglycidyl ether</t>
  </si>
  <si>
    <t>17557-23-2</t>
  </si>
  <si>
    <t>neopentyl glycol monoisobutyrate</t>
  </si>
  <si>
    <t>5919-84-6</t>
  </si>
  <si>
    <t>nerol</t>
  </si>
  <si>
    <t>106-25-2</t>
  </si>
  <si>
    <t>N-ethyl-2-methylallylamine</t>
  </si>
  <si>
    <t>18328-90-0</t>
  </si>
  <si>
    <t>N-ethyl-2-methylbenzene sulfonamide</t>
  </si>
  <si>
    <t>1077-56-1</t>
  </si>
  <si>
    <t>n-ethyl-o-toluidine</t>
  </si>
  <si>
    <t>94-68-8</t>
  </si>
  <si>
    <t>N-ethyl-p-toluenesulfonamide</t>
  </si>
  <si>
    <t>80-39-7</t>
  </si>
  <si>
    <t>n-ethyltoluene sulfonamide</t>
  </si>
  <si>
    <t>8047-99-2</t>
  </si>
  <si>
    <t>n-formyl morpholine</t>
  </si>
  <si>
    <t>4394-85-8</t>
  </si>
  <si>
    <t>n-heptane</t>
  </si>
  <si>
    <t>142-82-5</t>
  </si>
  <si>
    <t>n-heptyl benzene</t>
  </si>
  <si>
    <t>1078-71-3</t>
  </si>
  <si>
    <t>n-hexane</t>
  </si>
  <si>
    <t>110-54-3</t>
  </si>
  <si>
    <t>n-hexyl acetate</t>
  </si>
  <si>
    <t>142-92-7</t>
  </si>
  <si>
    <t>nicotine</t>
  </si>
  <si>
    <t>54-11-5</t>
  </si>
  <si>
    <t>N-isopropylhydroxylamine</t>
  </si>
  <si>
    <t>5080-22-8</t>
  </si>
  <si>
    <t>N-isopropylimidazole</t>
  </si>
  <si>
    <t>4532-96-1</t>
  </si>
  <si>
    <t>nitric acid</t>
  </si>
  <si>
    <t>7697-37-2</t>
  </si>
  <si>
    <t>nitric oxide</t>
  </si>
  <si>
    <t>10102-43-9</t>
  </si>
  <si>
    <t>nitrobenzene</t>
  </si>
  <si>
    <t>98-95-3</t>
  </si>
  <si>
    <t>nitroethane</t>
  </si>
  <si>
    <t>79-24-3</t>
  </si>
  <si>
    <t>nitroethanol</t>
  </si>
  <si>
    <t>625-48-9</t>
  </si>
  <si>
    <t>nitrogen dioxide</t>
  </si>
  <si>
    <t>10102-44-0</t>
  </si>
  <si>
    <t>nitrogen trifluoride</t>
  </si>
  <si>
    <t>7783-54-2</t>
  </si>
  <si>
    <t>nitroglycerin</t>
  </si>
  <si>
    <t>55-63-0</t>
  </si>
  <si>
    <t>nitromethane</t>
  </si>
  <si>
    <t>75-52-5</t>
  </si>
  <si>
    <t>nitrosodiethanolamine</t>
  </si>
  <si>
    <t>1116-54-7</t>
  </si>
  <si>
    <t>nitrosoguanidine</t>
  </si>
  <si>
    <t>70-25-7</t>
  </si>
  <si>
    <t>nitrosomethylvinylamine</t>
  </si>
  <si>
    <t>4549-40-0</t>
  </si>
  <si>
    <t>nitrous oxide</t>
  </si>
  <si>
    <t>10024-97-2</t>
  </si>
  <si>
    <t>nitroxylene</t>
  </si>
  <si>
    <t>25168-04-1</t>
  </si>
  <si>
    <t>N-methyl pyrrolidine</t>
  </si>
  <si>
    <t>120-94-5</t>
  </si>
  <si>
    <t>N-methyl-2-pyrrolidone</t>
  </si>
  <si>
    <t>872-50-4</t>
  </si>
  <si>
    <t>n-methylacetamide</t>
  </si>
  <si>
    <t>79-16-3</t>
  </si>
  <si>
    <t>N-methylcyclohexanamine</t>
  </si>
  <si>
    <t>100-60-7</t>
  </si>
  <si>
    <t>N-methyldiethanolamine</t>
  </si>
  <si>
    <t>105-59-9</t>
  </si>
  <si>
    <t>N-methyl-N,2,4,6-tetranitroaniline</t>
  </si>
  <si>
    <t>479-45-8</t>
  </si>
  <si>
    <t>N-methyl-N-hydroxyethyl-N-hydroxyethoxyethylamine</t>
  </si>
  <si>
    <t>68213-98-9</t>
  </si>
  <si>
    <t>n-nitrosodiethylamine</t>
  </si>
  <si>
    <t>55-18-5</t>
  </si>
  <si>
    <t>n-nitrosodimethylamine</t>
  </si>
  <si>
    <t>62-75-9</t>
  </si>
  <si>
    <t>N-nitrosodi-n-butylamine</t>
  </si>
  <si>
    <t>924-16-3</t>
  </si>
  <si>
    <t>N-nitrosodi-n-propylamine</t>
  </si>
  <si>
    <t>621-64-7</t>
  </si>
  <si>
    <t>n-nitrosodiphenylamine</t>
  </si>
  <si>
    <t>86-30-6</t>
  </si>
  <si>
    <t>N-nitrosomethylethylamine</t>
  </si>
  <si>
    <t>10595-95-6</t>
  </si>
  <si>
    <t>N-nitrosomorpholine</t>
  </si>
  <si>
    <t>59-89-2</t>
  </si>
  <si>
    <t>n-nitrosopiperidine</t>
  </si>
  <si>
    <t>100-75-4</t>
  </si>
  <si>
    <t>n-nitrosopyrrolidine</t>
  </si>
  <si>
    <t>930-55-2</t>
  </si>
  <si>
    <t>n-nonane</t>
  </si>
  <si>
    <t>111-84-2</t>
  </si>
  <si>
    <t>n-nonenes</t>
  </si>
  <si>
    <t>27215-95-8</t>
  </si>
  <si>
    <t>n-nonyl benzene</t>
  </si>
  <si>
    <t>79554-39-5</t>
  </si>
  <si>
    <t>n-octane</t>
  </si>
  <si>
    <t>111-65-9</t>
  </si>
  <si>
    <t>n-octyl benzene</t>
  </si>
  <si>
    <t>2189-60-8</t>
  </si>
  <si>
    <t>N-octyl pyrrolidone</t>
  </si>
  <si>
    <t>2687-94-7</t>
  </si>
  <si>
    <t>N-octylbicycloheptenedicarboximide</t>
  </si>
  <si>
    <t>113-48-4</t>
  </si>
  <si>
    <t>nonanal</t>
  </si>
  <si>
    <t>124-19-6</t>
  </si>
  <si>
    <t>nonanoic acid</t>
  </si>
  <si>
    <t>112-05-0</t>
  </si>
  <si>
    <t>nonanol</t>
  </si>
  <si>
    <t>143-08-8</t>
  </si>
  <si>
    <t>nonanoyl chloride</t>
  </si>
  <si>
    <t>764-85-2</t>
  </si>
  <si>
    <t>nonyl octanoate</t>
  </si>
  <si>
    <t>7786-48-3</t>
  </si>
  <si>
    <t>nonylphenol, ethoxylated, phosphated, ethanolamine salt</t>
  </si>
  <si>
    <t>nonylphenol, mixed isomers</t>
  </si>
  <si>
    <t>25154-52-3</t>
  </si>
  <si>
    <t>nonylphenoxypoly(ethyleneoxy)ethanol</t>
  </si>
  <si>
    <t>9016-45-9</t>
  </si>
  <si>
    <t>n-pentane</t>
  </si>
  <si>
    <t>109-66-0</t>
  </si>
  <si>
    <t>n-propyl acetate</t>
  </si>
  <si>
    <t>109-60-4</t>
  </si>
  <si>
    <t>n-propyl butyrate</t>
  </si>
  <si>
    <t>105-66-8</t>
  </si>
  <si>
    <t>n-propyl carbonate</t>
  </si>
  <si>
    <t>37226-36-1</t>
  </si>
  <si>
    <t>n-propyl chloride</t>
  </si>
  <si>
    <t>540-54-5</t>
  </si>
  <si>
    <t>n-propyl chloroformate</t>
  </si>
  <si>
    <t>109-61-5</t>
  </si>
  <si>
    <t>n-propyl mercaptan</t>
  </si>
  <si>
    <t>107-03-9</t>
  </si>
  <si>
    <t>n-propyl n-valerate</t>
  </si>
  <si>
    <t>141-06-0</t>
  </si>
  <si>
    <t>n-propylbenzene</t>
  </si>
  <si>
    <t>103-65-1</t>
  </si>
  <si>
    <t>n-propyltrichlorosilane</t>
  </si>
  <si>
    <t>141-57-1</t>
  </si>
  <si>
    <t>N-sec-butyl-1,4-benzenediamine</t>
  </si>
  <si>
    <t>n-tallow alkyl-1,1'-iminobis-2-propanol</t>
  </si>
  <si>
    <t>68951-72-4</t>
  </si>
  <si>
    <t>N-tallow alkyldipropylenetriamines</t>
  </si>
  <si>
    <t>61791-57-9</t>
  </si>
  <si>
    <t>N-tallow alkyltrimethylenediamine acetates, ethoxylated</t>
  </si>
  <si>
    <t>68603-73-6</t>
  </si>
  <si>
    <t>N-tallow alkyltrimethylenediamines</t>
  </si>
  <si>
    <t>61791-55-7</t>
  </si>
  <si>
    <t>N-tallow alkyltrimethylenediamines dioleates</t>
  </si>
  <si>
    <t>68153-99-1</t>
  </si>
  <si>
    <t>N-tallow alkyltrimethylenediamines dodecylbenzene sulfonates</t>
  </si>
  <si>
    <t>68154-00-7</t>
  </si>
  <si>
    <t>N-tallow alkyltrimethylenediamines oleates</t>
  </si>
  <si>
    <t>61791-53-5</t>
  </si>
  <si>
    <t>N-tallow alkyltrimethylenediamines, ethoxylated</t>
  </si>
  <si>
    <t>61790-85-0</t>
  </si>
  <si>
    <t>N-tallow alkyltrimethylenediamines, ethoxylated, compds, with oxidized light petroleum distillate</t>
  </si>
  <si>
    <t>68037-51-4</t>
  </si>
  <si>
    <t>N-tallow alkyltrimethylenediamines, polymers with epichlorohydrin</t>
  </si>
  <si>
    <t>149084-66-2</t>
  </si>
  <si>
    <t>N-tallow alkyltris (trimethylene) tetra-amines</t>
  </si>
  <si>
    <t>151661-99-3</t>
  </si>
  <si>
    <t>n-tolyldiethanol amine</t>
  </si>
  <si>
    <t>91-99-6</t>
  </si>
  <si>
    <t>n-undecane</t>
  </si>
  <si>
    <t>1120-21-4</t>
  </si>
  <si>
    <t>N-vinyl-2-pyrrolidone</t>
  </si>
  <si>
    <t>88-12-0</t>
  </si>
  <si>
    <t>O,O'-bis(2-aminopropyl) polypropylene glycol-block-polyethylene glycol-block-polypropylene glycol</t>
  </si>
  <si>
    <t>65605-36-9</t>
  </si>
  <si>
    <t>O,O'-diethyl dithiophosphate</t>
  </si>
  <si>
    <t>298-06-6</t>
  </si>
  <si>
    <t>O,O-diisopropyl dithiophosphoric acid</t>
  </si>
  <si>
    <t>107-56-2</t>
  </si>
  <si>
    <t>O,O-dimethylphosphorochloridothioate</t>
  </si>
  <si>
    <t>2524-03-0</t>
  </si>
  <si>
    <t>o-anisidine</t>
  </si>
  <si>
    <t>90-04-0</t>
  </si>
  <si>
    <t>o-chloroaniline</t>
  </si>
  <si>
    <t>95-51-2</t>
  </si>
  <si>
    <t>o-chlorobenzylidene malononitrile</t>
  </si>
  <si>
    <t>2698-41-1</t>
  </si>
  <si>
    <t>o-chlorophenol</t>
  </si>
  <si>
    <t>95-57-8</t>
  </si>
  <si>
    <t>o-chlorostyrene</t>
  </si>
  <si>
    <t>2039-87-4</t>
  </si>
  <si>
    <t>o-cresol</t>
  </si>
  <si>
    <t>95-48-7</t>
  </si>
  <si>
    <t>octachloronaphthalene</t>
  </si>
  <si>
    <t>2234-13-1</t>
  </si>
  <si>
    <t>octadecanamide</t>
  </si>
  <si>
    <t>124-26-5</t>
  </si>
  <si>
    <t>octadecane</t>
  </si>
  <si>
    <t>593-45-3</t>
  </si>
  <si>
    <t>octadecenylamine</t>
  </si>
  <si>
    <t>112-90-3</t>
  </si>
  <si>
    <t>octadecenylsuccinic anhydride (ODSA-T)</t>
  </si>
  <si>
    <t>28777-98-2</t>
  </si>
  <si>
    <t>octaethyleneglycol octyl ether</t>
  </si>
  <si>
    <t>26468-86-0</t>
  </si>
  <si>
    <t>octafluorocyclobutane</t>
  </si>
  <si>
    <t>115-25-3</t>
  </si>
  <si>
    <t>octafluoropropane</t>
  </si>
  <si>
    <t>76-19-7</t>
  </si>
  <si>
    <t>octamethyl pyrophosphoramide</t>
  </si>
  <si>
    <t>152-16-9</t>
  </si>
  <si>
    <t>octamethylcyclotetrasiloxane</t>
  </si>
  <si>
    <t>556-67-2</t>
  </si>
  <si>
    <t>octamethyltrisiloxane</t>
  </si>
  <si>
    <t>107-51-7</t>
  </si>
  <si>
    <t>octanal</t>
  </si>
  <si>
    <t>124-13-0</t>
  </si>
  <si>
    <t>octane-1,2-diol</t>
  </si>
  <si>
    <t>1117-86-8</t>
  </si>
  <si>
    <t>octanoic acid</t>
  </si>
  <si>
    <t>124-07-2</t>
  </si>
  <si>
    <t>octanoyl chloride</t>
  </si>
  <si>
    <t>111-64-8</t>
  </si>
  <si>
    <t>octatrienes</t>
  </si>
  <si>
    <t>octene</t>
  </si>
  <si>
    <t>25377-83-7</t>
  </si>
  <si>
    <t>octyl formate</t>
  </si>
  <si>
    <t>112-32-3</t>
  </si>
  <si>
    <t>octyl mercaptan</t>
  </si>
  <si>
    <t>111-88-6</t>
  </si>
  <si>
    <t>octyl sulfide</t>
  </si>
  <si>
    <t>2690-08-6</t>
  </si>
  <si>
    <t>octylamidopropyl betaine</t>
  </si>
  <si>
    <t>73772-46-0</t>
  </si>
  <si>
    <t>octylamine</t>
  </si>
  <si>
    <t>111-86-4</t>
  </si>
  <si>
    <t>octylphenol</t>
  </si>
  <si>
    <t>27193-28-8</t>
  </si>
  <si>
    <t>o-diethylbenzene</t>
  </si>
  <si>
    <t>135-01-3</t>
  </si>
  <si>
    <t>O-ethyl O-(4-nitrophenyl) phenylphosphonothioate</t>
  </si>
  <si>
    <t>2104-64-5</t>
  </si>
  <si>
    <t>o-ethyltoluene</t>
  </si>
  <si>
    <t>611-14-3</t>
  </si>
  <si>
    <t>oil distillate</t>
  </si>
  <si>
    <t>64742-63-8</t>
  </si>
  <si>
    <t>oil of sassafras</t>
  </si>
  <si>
    <t>8006-80-2</t>
  </si>
  <si>
    <t>oils, fuel</t>
  </si>
  <si>
    <t>77650-28-3</t>
  </si>
  <si>
    <t>O-isopropyl ethylcarbamothioate</t>
  </si>
  <si>
    <t>141-98-0</t>
  </si>
  <si>
    <t>olefin sulfides</t>
  </si>
  <si>
    <t>oleic acid</t>
  </si>
  <si>
    <t>112-80-1</t>
  </si>
  <si>
    <t>oleic acid, sodium salt</t>
  </si>
  <si>
    <t>143-19-1</t>
  </si>
  <si>
    <t>oleic diethanol amide</t>
  </si>
  <si>
    <t>93-83-4</t>
  </si>
  <si>
    <t>oleoyl sarcosine</t>
  </si>
  <si>
    <t>110-25-8</t>
  </si>
  <si>
    <t>oleyl alcohol</t>
  </si>
  <si>
    <t>oleyl diamine</t>
  </si>
  <si>
    <t>31017-53-5</t>
  </si>
  <si>
    <t>oligomers of polyethylene terephthalate mixture</t>
  </si>
  <si>
    <t>o-methyl cyclohexanone</t>
  </si>
  <si>
    <t>583-60-8</t>
  </si>
  <si>
    <t>o-methylstyrene</t>
  </si>
  <si>
    <t>611-15-4</t>
  </si>
  <si>
    <t>o-nitrochlorobenzene</t>
  </si>
  <si>
    <t>88-73-3</t>
  </si>
  <si>
    <t>o-nitrophenol</t>
  </si>
  <si>
    <t>88-75-5</t>
  </si>
  <si>
    <t>o-nitrotoluene</t>
  </si>
  <si>
    <t>88-72-2</t>
  </si>
  <si>
    <t>o-phenylene diamine</t>
  </si>
  <si>
    <t>95-54-5</t>
  </si>
  <si>
    <t>O-phosphorylethanolamine</t>
  </si>
  <si>
    <t>1071-23-4</t>
  </si>
  <si>
    <t>orange oil</t>
  </si>
  <si>
    <t>8008-57-9</t>
  </si>
  <si>
    <t>organic peroxide</t>
  </si>
  <si>
    <t>organosilane</t>
  </si>
  <si>
    <t>organosiloxane</t>
  </si>
  <si>
    <t>organosulfur compound, generic, not otherwise specified</t>
  </si>
  <si>
    <t>ortho-cresyl glycidyl ether</t>
  </si>
  <si>
    <t>2210-79-9</t>
  </si>
  <si>
    <t>ortho-cymene</t>
  </si>
  <si>
    <t>527-84-4</t>
  </si>
  <si>
    <t>o-sec-butyl phenol</t>
  </si>
  <si>
    <t>89-72-5</t>
  </si>
  <si>
    <t>o-tert-amyl phenol</t>
  </si>
  <si>
    <t>3279-27-4</t>
  </si>
  <si>
    <t>o-tert-butyl phenol</t>
  </si>
  <si>
    <t>88-18-6</t>
  </si>
  <si>
    <t>o-tolualdehyde</t>
  </si>
  <si>
    <t>529-20-4</t>
  </si>
  <si>
    <t>o-toluic acid</t>
  </si>
  <si>
    <t>118-90-1</t>
  </si>
  <si>
    <t>o-toluidine</t>
  </si>
  <si>
    <t>95-53-4</t>
  </si>
  <si>
    <t>o-toluidine, n-ethyl-m-toluidine, 50/50% mixture</t>
  </si>
  <si>
    <t>o-tolunitrile</t>
  </si>
  <si>
    <t>529-19-1</t>
  </si>
  <si>
    <t>o-toluoyl chloride</t>
  </si>
  <si>
    <t>933-88-0</t>
  </si>
  <si>
    <t>oxacycloheptane</t>
  </si>
  <si>
    <t>592-90-5</t>
  </si>
  <si>
    <t>oxalic acid</t>
  </si>
  <si>
    <t>144-62-7</t>
  </si>
  <si>
    <t>oxalic acid, dihydrate</t>
  </si>
  <si>
    <t>6153-56-6</t>
  </si>
  <si>
    <t>oxalyl chloride</t>
  </si>
  <si>
    <t>79-37-8</t>
  </si>
  <si>
    <t>oxazole</t>
  </si>
  <si>
    <t>288-42-6</t>
  </si>
  <si>
    <t>oxirane, reaction products with ammonium, distn residues</t>
  </si>
  <si>
    <t>68953-70-8</t>
  </si>
  <si>
    <t>oxo-decyl acetate</t>
  </si>
  <si>
    <t>108419-34-7</t>
  </si>
  <si>
    <t>oxo-hexyl acetate</t>
  </si>
  <si>
    <t>88230-35-7</t>
  </si>
  <si>
    <t>oxo-methyl acetate</t>
  </si>
  <si>
    <t>oxo-tridecyl acetate</t>
  </si>
  <si>
    <t>108419-35-8</t>
  </si>
  <si>
    <t>oxybis[dodecylbenzenesulfonic acid], disodium salt</t>
  </si>
  <si>
    <t>25167-32-2</t>
  </si>
  <si>
    <t>oxygen difluoride</t>
  </si>
  <si>
    <t>7783-41-7</t>
  </si>
  <si>
    <t>o-xylene</t>
  </si>
  <si>
    <t>95-47-6</t>
  </si>
  <si>
    <t>p,p'-oxybis[benzenesulfonylhydrazide]</t>
  </si>
  <si>
    <t>80-51-3</t>
  </si>
  <si>
    <t>palm oil, methyl esters</t>
  </si>
  <si>
    <t>91051-32-0</t>
  </si>
  <si>
    <t>palmitic acid</t>
  </si>
  <si>
    <t>57-10-3</t>
  </si>
  <si>
    <t>p-aminodiphenylamine</t>
  </si>
  <si>
    <t>101-54-2</t>
  </si>
  <si>
    <t>p-anisidine</t>
  </si>
  <si>
    <t>104-94-9</t>
  </si>
  <si>
    <t>para-cymene</t>
  </si>
  <si>
    <t>99-87-6</t>
  </si>
  <si>
    <t>para-dodecylphenol</t>
  </si>
  <si>
    <t>210555-94-5</t>
  </si>
  <si>
    <t>paraffin hydrocarbon, not otherwise specified</t>
  </si>
  <si>
    <t>paraffin oil</t>
  </si>
  <si>
    <t>8012-95-1</t>
  </si>
  <si>
    <t>paraffin wax (fume)</t>
  </si>
  <si>
    <t>8002-74-2</t>
  </si>
  <si>
    <t>paraffin wax, petroleum, clay treated</t>
  </si>
  <si>
    <t>64742-43-4</t>
  </si>
  <si>
    <t>paraffin waxes and hydrocarbon waxes, oxidized, lithium salts</t>
  </si>
  <si>
    <t>68649-48-9</t>
  </si>
  <si>
    <t>paraffinic distillate</t>
  </si>
  <si>
    <t>64741-89-5</t>
  </si>
  <si>
    <t>paraffinic mineral oil</t>
  </si>
  <si>
    <t>64742-62-7</t>
  </si>
  <si>
    <t>paraffins (petroleum), normal C5-20</t>
  </si>
  <si>
    <t>64771-72-8</t>
  </si>
  <si>
    <t>paraformaldehyde</t>
  </si>
  <si>
    <t>30525-89-4</t>
  </si>
  <si>
    <t>paraldehyde</t>
  </si>
  <si>
    <t>123-63-7</t>
  </si>
  <si>
    <t>Paraquat</t>
  </si>
  <si>
    <t>4685-14-7</t>
  </si>
  <si>
    <t>paraquat dichloride</t>
  </si>
  <si>
    <t>1910-42-5</t>
  </si>
  <si>
    <t>Parathion</t>
  </si>
  <si>
    <t>56-38-2</t>
  </si>
  <si>
    <t>p-chloroaniline</t>
  </si>
  <si>
    <t>106-47-8</t>
  </si>
  <si>
    <t>p-chlorobenzaldehyde</t>
  </si>
  <si>
    <t>104-88-1</t>
  </si>
  <si>
    <t>p-chlorophenol</t>
  </si>
  <si>
    <t>106-48-9</t>
  </si>
  <si>
    <t>p-cresol</t>
  </si>
  <si>
    <t>106-44-5</t>
  </si>
  <si>
    <t>p-diethylbenzene</t>
  </si>
  <si>
    <t>105-05-5</t>
  </si>
  <si>
    <t>p-diisobutylbenzene</t>
  </si>
  <si>
    <t>17171-78-7</t>
  </si>
  <si>
    <t>PEG-12 ditallate</t>
  </si>
  <si>
    <t>61791-01-3</t>
  </si>
  <si>
    <t>pentaborane</t>
  </si>
  <si>
    <t>19624-22-7</t>
  </si>
  <si>
    <t>pentachlorobenzene</t>
  </si>
  <si>
    <t>608-93-5</t>
  </si>
  <si>
    <t>pentachloroethane</t>
  </si>
  <si>
    <t>76-01-7</t>
  </si>
  <si>
    <t>pentachloronaphthalene</t>
  </si>
  <si>
    <t>1321-64-8</t>
  </si>
  <si>
    <t>pentachloropyridine</t>
  </si>
  <si>
    <t>2176-62-7</t>
  </si>
  <si>
    <t>pentadiene, all isomers</t>
  </si>
  <si>
    <t>pentaerythritol</t>
  </si>
  <si>
    <t>115-77-5</t>
  </si>
  <si>
    <t>pentaerythritol distearate</t>
  </si>
  <si>
    <t>13081-97-5</t>
  </si>
  <si>
    <t>pentaerythritol monooleate</t>
  </si>
  <si>
    <t>10332-32-8</t>
  </si>
  <si>
    <t>pentaerythritol tetraacrylate</t>
  </si>
  <si>
    <t>4986-89-4</t>
  </si>
  <si>
    <t>pentaerythritol triacrylate</t>
  </si>
  <si>
    <t>3524-68-3</t>
  </si>
  <si>
    <t>pentaerythrityl tetrakis(3-mercaptopropionate)</t>
  </si>
  <si>
    <t>7575-23-7</t>
  </si>
  <si>
    <t>pentaethyl benzene</t>
  </si>
  <si>
    <t>605-01-6</t>
  </si>
  <si>
    <t>pentaethylene glycol</t>
  </si>
  <si>
    <t>4792-15-8</t>
  </si>
  <si>
    <t>pentaethylene glycol monomethyl ether</t>
  </si>
  <si>
    <t>23778-52-1</t>
  </si>
  <si>
    <t>pentaethylene glycol, monobutyl ether</t>
  </si>
  <si>
    <t>23601-39-0</t>
  </si>
  <si>
    <t>pentaethylenehexamine</t>
  </si>
  <si>
    <t>4067-16-7</t>
  </si>
  <si>
    <t>pentafluorobenzene</t>
  </si>
  <si>
    <t>363-72-4</t>
  </si>
  <si>
    <t>pentamethylbenzene</t>
  </si>
  <si>
    <t>700-12-9</t>
  </si>
  <si>
    <t>pentamethylene diamine</t>
  </si>
  <si>
    <t>462-94-2</t>
  </si>
  <si>
    <t>pentane, all isomers</t>
  </si>
  <si>
    <t>92046-46-3</t>
  </si>
  <si>
    <t>pentanedinitrile</t>
  </si>
  <si>
    <t>544-13-8</t>
  </si>
  <si>
    <t>pentanol, mixture of isomers</t>
  </si>
  <si>
    <t>30899-19-5</t>
  </si>
  <si>
    <t>pentyl benzene</t>
  </si>
  <si>
    <t>538-68-1</t>
  </si>
  <si>
    <t>pentyl dihydrogen phosphate</t>
  </si>
  <si>
    <t>2382-76-5</t>
  </si>
  <si>
    <t>pentyl ether</t>
  </si>
  <si>
    <t>693-65-2</t>
  </si>
  <si>
    <t>pentyl formate</t>
  </si>
  <si>
    <t>638-49-3</t>
  </si>
  <si>
    <t>peracetic acid</t>
  </si>
  <si>
    <t>79-21-0</t>
  </si>
  <si>
    <t>perchloric acid</t>
  </si>
  <si>
    <t>7601-90-3</t>
  </si>
  <si>
    <t>perchloromethyl mercaptan</t>
  </si>
  <si>
    <t>594-42-3</t>
  </si>
  <si>
    <t>perchloryl fluoride</t>
  </si>
  <si>
    <t>perchloryl fluoride | For air permit reviews in agricultural areas</t>
  </si>
  <si>
    <t>perchloryl fluoride | For air permit reviews in agricultural areas with cattle</t>
  </si>
  <si>
    <t>7616-94-6 (For air permit reviews in agricultural areas with cattle)</t>
  </si>
  <si>
    <t>perfluorinated compounds</t>
  </si>
  <si>
    <t>perfluoro(isobutyl) methyl ether</t>
  </si>
  <si>
    <t>163702-08-7</t>
  </si>
  <si>
    <t>perfluoro(propyl vinyl ether)</t>
  </si>
  <si>
    <t>perfluorobutyl ethylene</t>
  </si>
  <si>
    <t>19430-93-4</t>
  </si>
  <si>
    <t>perfluoroisobutylene</t>
  </si>
  <si>
    <t>382-21-8</t>
  </si>
  <si>
    <t>perfluorooctanesulfonic acid (PFOS)</t>
  </si>
  <si>
    <t>1763-23-1</t>
  </si>
  <si>
    <t>perfluorooctanoic acid and its inorganic salts</t>
  </si>
  <si>
    <t>335-67-1</t>
  </si>
  <si>
    <t>perfluorotri-n-butylamine</t>
  </si>
  <si>
    <t>86508-42-1</t>
  </si>
  <si>
    <t>periodic acid</t>
  </si>
  <si>
    <t>10450-60-9</t>
  </si>
  <si>
    <t>peroxydisulfuric acid</t>
  </si>
  <si>
    <t>13445-49-3</t>
  </si>
  <si>
    <t>peroxymonosulfuric acid</t>
  </si>
  <si>
    <t>7722-86-3</t>
  </si>
  <si>
    <t>p-ethylphenol</t>
  </si>
  <si>
    <t>123-07-9</t>
  </si>
  <si>
    <t>p-ethyltoluene</t>
  </si>
  <si>
    <t>622-96-8</t>
  </si>
  <si>
    <t>petroleum distillates</t>
  </si>
  <si>
    <t>8002-05-9</t>
  </si>
  <si>
    <t>petroleum distillates, intermediate catalytic cracked</t>
  </si>
  <si>
    <t>64741-60-2</t>
  </si>
  <si>
    <t>petroleum distillates, light vacuum</t>
  </si>
  <si>
    <t>70592-77-7</t>
  </si>
  <si>
    <t>petroleum distillates, solvent-refined middle</t>
  </si>
  <si>
    <t>64741-91-9</t>
  </si>
  <si>
    <t>petroleum ether</t>
  </si>
  <si>
    <t>8032-32-4</t>
  </si>
  <si>
    <t>petroleum extracts, light paraffinic distillate solvent</t>
  </si>
  <si>
    <t>64742-05-8</t>
  </si>
  <si>
    <t>petroleum jelly</t>
  </si>
  <si>
    <t>8009-03-8</t>
  </si>
  <si>
    <t>petroleum naphtha, catalytic reformed</t>
  </si>
  <si>
    <t>68955-35-1</t>
  </si>
  <si>
    <t>petroleum naphtha, light steam-cracked debenzenized polymers hydrogenated</t>
  </si>
  <si>
    <t>68132-00-3</t>
  </si>
  <si>
    <t>petroleum naphtha, light steam-cracked, C5-fraction, oligomer</t>
  </si>
  <si>
    <t>68478-08-0</t>
  </si>
  <si>
    <t>petroleum polymers, viscous</t>
  </si>
  <si>
    <t>64741-71-5</t>
  </si>
  <si>
    <t>petroleum products, hydrofiner-powerformer reformates (contains benzene)</t>
  </si>
  <si>
    <t>68514-79-4</t>
  </si>
  <si>
    <t>petroleum residues, vaccum distillates</t>
  </si>
  <si>
    <t>68955-27-1</t>
  </si>
  <si>
    <t>petroleum sulfonic acids, sodium salts</t>
  </si>
  <si>
    <t>68608-26-4</t>
  </si>
  <si>
    <t>phenanthrene</t>
  </si>
  <si>
    <t>85-01-8</t>
  </si>
  <si>
    <t>phenethyl acetate</t>
  </si>
  <si>
    <t>103-45-7</t>
  </si>
  <si>
    <t>phenethyl butyrate</t>
  </si>
  <si>
    <t>103-52-6</t>
  </si>
  <si>
    <t>phenethyl isobutyrate</t>
  </si>
  <si>
    <t>103-48-0</t>
  </si>
  <si>
    <t>phenethyl propionate</t>
  </si>
  <si>
    <t>122-70-3</t>
  </si>
  <si>
    <t>phenidone</t>
  </si>
  <si>
    <t>92-43-3</t>
  </si>
  <si>
    <t>phenol</t>
  </si>
  <si>
    <t>108-95-2</t>
  </si>
  <si>
    <t>phenol mixed oils (mixture)</t>
  </si>
  <si>
    <t>phenyl acetate</t>
  </si>
  <si>
    <t>122-79-2</t>
  </si>
  <si>
    <t>phenyl butyl phosphoric acid</t>
  </si>
  <si>
    <t>46438-39-5</t>
  </si>
  <si>
    <t>phenyl chloroformate</t>
  </si>
  <si>
    <t>1885-14-9</t>
  </si>
  <si>
    <t>phenyl formate</t>
  </si>
  <si>
    <t>1864-94-4</t>
  </si>
  <si>
    <t>phenyl glycidyl ether</t>
  </si>
  <si>
    <t>122-60-1</t>
  </si>
  <si>
    <t>phenyl glycidyl ether adduct 2,2-bis(4-hydroxyphenyl)propane</t>
  </si>
  <si>
    <t>71230-68-7</t>
  </si>
  <si>
    <t>phenyl hydrazine</t>
  </si>
  <si>
    <t>100-63-0</t>
  </si>
  <si>
    <t>phenyl isocyanate</t>
  </si>
  <si>
    <t>103-71-9</t>
  </si>
  <si>
    <t>phenyl isothiocyanate</t>
  </si>
  <si>
    <t>103-72-0</t>
  </si>
  <si>
    <t>phenyl mercaptan</t>
  </si>
  <si>
    <t>108-98-5</t>
  </si>
  <si>
    <t>phenyl vinyl ether</t>
  </si>
  <si>
    <t>766-94-9</t>
  </si>
  <si>
    <t>phenyl xylyl ethane</t>
  </si>
  <si>
    <t>6196-95-8</t>
  </si>
  <si>
    <t>phenylacetic acid</t>
  </si>
  <si>
    <t>103-82-2</t>
  </si>
  <si>
    <t>phenylethyl alcohol</t>
  </si>
  <si>
    <t>60-12-8</t>
  </si>
  <si>
    <t>phenylglyoxylic acid</t>
  </si>
  <si>
    <t>611-73-4</t>
  </si>
  <si>
    <t>phenylphosphine</t>
  </si>
  <si>
    <t>638-21-1</t>
  </si>
  <si>
    <t>phenylphosphoric acid</t>
  </si>
  <si>
    <t>701-64-4</t>
  </si>
  <si>
    <t>phenylpropyl alcohol</t>
  </si>
  <si>
    <t>122-97-4</t>
  </si>
  <si>
    <t>phenyltriethoxysilane</t>
  </si>
  <si>
    <t>780-69-8</t>
  </si>
  <si>
    <t>phenyltrimethoxysilane</t>
  </si>
  <si>
    <t>2996-92-1</t>
  </si>
  <si>
    <t>phosgene</t>
  </si>
  <si>
    <t>75-44-5</t>
  </si>
  <si>
    <t>phosphate, generic, not otherwise specified</t>
  </si>
  <si>
    <t>phosphated alkyl ethoxylate, potassium salt</t>
  </si>
  <si>
    <t>154518-40-8</t>
  </si>
  <si>
    <t>phosphine</t>
  </si>
  <si>
    <t>7803-51-2</t>
  </si>
  <si>
    <t>phosphonic acid</t>
  </si>
  <si>
    <t>10294-56-1</t>
  </si>
  <si>
    <t>phosphoric acid</t>
  </si>
  <si>
    <t>7664-38-2</t>
  </si>
  <si>
    <t>phosphoric acid, mono(2-ethylhexyl) ester</t>
  </si>
  <si>
    <t>1070-03-7</t>
  </si>
  <si>
    <t>phosphoric acid, mono-C10-12-alkyl esters, ethoxylated</t>
  </si>
  <si>
    <t>68908-64-5</t>
  </si>
  <si>
    <t>phosphorochloridothioic acid, O-ethyl O-(1-methylethyl) ester</t>
  </si>
  <si>
    <t>51162-51-7</t>
  </si>
  <si>
    <t>phosphorodithioic acid ester, zinc salt</t>
  </si>
  <si>
    <t>2929-95-5</t>
  </si>
  <si>
    <t>phosphorous acid</t>
  </si>
  <si>
    <t>13598-36-2</t>
  </si>
  <si>
    <t>phosphorus acid, isodecyl diphenyl ester</t>
  </si>
  <si>
    <t>26544-23-0</t>
  </si>
  <si>
    <t>phosphorus oxychloride</t>
  </si>
  <si>
    <t>10025-87-3</t>
  </si>
  <si>
    <t>phosphorus pentafluoride</t>
  </si>
  <si>
    <t>phosphorus pentafluoride | For air permit reviews in agricultural areas</t>
  </si>
  <si>
    <t>phosphorus pentafluoride | For air permit reviews in agricultural areas with cattle</t>
  </si>
  <si>
    <t>7647-19-0 (For air permit reviews in agricultural areas with cattle)</t>
  </si>
  <si>
    <t>phosphorus trichloride</t>
  </si>
  <si>
    <t>7719-12-2</t>
  </si>
  <si>
    <t>phthalate ester</t>
  </si>
  <si>
    <t>phthalate ester 37</t>
  </si>
  <si>
    <t>63515-48-0</t>
  </si>
  <si>
    <t>phthalic acid, benzyl alkyl (C7-C8) ester</t>
  </si>
  <si>
    <t>68515-40-2</t>
  </si>
  <si>
    <t>phthalic acid, diundecyl ester</t>
  </si>
  <si>
    <t>3648-20-2</t>
  </si>
  <si>
    <t>phthalic anhydride</t>
  </si>
  <si>
    <t>85-44-9</t>
  </si>
  <si>
    <t>phthaloyl chloride</t>
  </si>
  <si>
    <t>88-95-9</t>
  </si>
  <si>
    <t>p-hydroxybenzoic acid, methyl ester</t>
  </si>
  <si>
    <t>99-76-3</t>
  </si>
  <si>
    <t>picric acid</t>
  </si>
  <si>
    <t>88-89-1</t>
  </si>
  <si>
    <t>pimelic acid</t>
  </si>
  <si>
    <t>111-16-0</t>
  </si>
  <si>
    <t>pine extract</t>
  </si>
  <si>
    <t>94266-48-5</t>
  </si>
  <si>
    <t>pine oil</t>
  </si>
  <si>
    <t>8002-09-3</t>
  </si>
  <si>
    <t>piperazine</t>
  </si>
  <si>
    <t>110-85-0</t>
  </si>
  <si>
    <t>piperazine dihydrochloride</t>
  </si>
  <si>
    <t>142-64-3</t>
  </si>
  <si>
    <t>piperidine</t>
  </si>
  <si>
    <t>110-89-4</t>
  </si>
  <si>
    <t>piperonal</t>
  </si>
  <si>
    <t>120-57-0</t>
  </si>
  <si>
    <t>piperonyl butoxide</t>
  </si>
  <si>
    <t>51-03-6</t>
  </si>
  <si>
    <t>piperonyl sulfoxide</t>
  </si>
  <si>
    <t>120-62-7</t>
  </si>
  <si>
    <t>pivalic acid</t>
  </si>
  <si>
    <t>75-98-9</t>
  </si>
  <si>
    <t>pivaloyl chloride</t>
  </si>
  <si>
    <t>3282-30-2</t>
  </si>
  <si>
    <t>Pluronic 10R-5, 25R2, 31R1, L-101</t>
  </si>
  <si>
    <t>9003-11-6</t>
  </si>
  <si>
    <t>p-mentha-1,5-diene</t>
  </si>
  <si>
    <t>99-83-2</t>
  </si>
  <si>
    <t>p-menthane</t>
  </si>
  <si>
    <t>99-82-1</t>
  </si>
  <si>
    <t>p-menthane-1,8-diamine</t>
  </si>
  <si>
    <t>80-52-4</t>
  </si>
  <si>
    <t>p-methylbenzyl alcohol</t>
  </si>
  <si>
    <t>589-18-4</t>
  </si>
  <si>
    <t>p-methylstyrene</t>
  </si>
  <si>
    <t>622-97-9</t>
  </si>
  <si>
    <t>p-nitroaniline</t>
  </si>
  <si>
    <t>100-01-6</t>
  </si>
  <si>
    <t>p-nitrophenol</t>
  </si>
  <si>
    <t>100-02-7</t>
  </si>
  <si>
    <t>p-nitrotoluene</t>
  </si>
  <si>
    <t>99-99-0</t>
  </si>
  <si>
    <t>poly(1-butene)</t>
  </si>
  <si>
    <t>9003-28-5</t>
  </si>
  <si>
    <t>poly(bisphenol A carbonate)</t>
  </si>
  <si>
    <t>103598-77-2</t>
  </si>
  <si>
    <t>poly(bisphenol A-co-epichlorohydrin), glycidyl end-capped</t>
  </si>
  <si>
    <t>25036-25-3</t>
  </si>
  <si>
    <t>poly(dimethylaminoethyl methacrylate)</t>
  </si>
  <si>
    <t>25154-86-3</t>
  </si>
  <si>
    <t>poly(dimethylsiloxane), vinyl terminated</t>
  </si>
  <si>
    <t>68083-19-2</t>
  </si>
  <si>
    <t>poly(di-n-butoxy) titanoxane</t>
  </si>
  <si>
    <t>9022-96-2</t>
  </si>
  <si>
    <t>poly(ethylene glycol)</t>
  </si>
  <si>
    <t>25322-68-3</t>
  </si>
  <si>
    <t>poly(ethylene glycol) dibenzoate</t>
  </si>
  <si>
    <t>9004-86-8</t>
  </si>
  <si>
    <t>poly(ethylene glycol) monolaurate</t>
  </si>
  <si>
    <t>9004-81-3</t>
  </si>
  <si>
    <t>poly(ethylene glycol) monomethyl ether</t>
  </si>
  <si>
    <t>9004-74-4</t>
  </si>
  <si>
    <t>poly(lactic acid)</t>
  </si>
  <si>
    <t>26100-51-6</t>
  </si>
  <si>
    <t>poly(methyl methacrylate)</t>
  </si>
  <si>
    <t>9011-14-7</t>
  </si>
  <si>
    <t>poly(methylhydrosiloxane)</t>
  </si>
  <si>
    <t>63148-57-2</t>
  </si>
  <si>
    <t>poly(methylphenylsiloxane)</t>
  </si>
  <si>
    <t>63148-58-3</t>
  </si>
  <si>
    <t>poly(neopentyl glycol adipate)</t>
  </si>
  <si>
    <t>poly(oxy-1,2-ethanediyl),alpha,alpha'-[[methyl[3-(tridecyloxy)propyl]iminio]di-2,1-ethanediyl]bis[omega-hydroxy-, branched, chlorides</t>
  </si>
  <si>
    <t>68610-19-5</t>
  </si>
  <si>
    <t>poly(propylene glycol)</t>
  </si>
  <si>
    <t>25322-69-4</t>
  </si>
  <si>
    <t>poly(propylene glycol) methacrylate</t>
  </si>
  <si>
    <t>39420-45-6</t>
  </si>
  <si>
    <t>poly(propylene oxide)</t>
  </si>
  <si>
    <t>25322-62-7</t>
  </si>
  <si>
    <t>poly[oxy{methyl-1,2-ethanediyl},alpha-[2-{aminocarbonyl}amino]methylethyl]-omega-[2-aminocarbonyl]amino]methylethoxy]-</t>
  </si>
  <si>
    <t>65605-54-1</t>
  </si>
  <si>
    <t>polyalkylene glycol lubricant</t>
  </si>
  <si>
    <t>polyalkylene polydimethylsiloxane</t>
  </si>
  <si>
    <t>68938-54-5</t>
  </si>
  <si>
    <t>polyalyldiglycol carbonate, polymeric abrasive</t>
  </si>
  <si>
    <t>25656-90-0</t>
  </si>
  <si>
    <t>polyamide</t>
  </si>
  <si>
    <t>polyamide/polyolefin thixotrope</t>
  </si>
  <si>
    <t>polyamine, generic, not otherwise specified</t>
  </si>
  <si>
    <t>polybutene</t>
  </si>
  <si>
    <t>9003-29-6</t>
  </si>
  <si>
    <t>polybutoxyethanol</t>
  </si>
  <si>
    <t>9004-77-7</t>
  </si>
  <si>
    <t>polychlorinated biphenyls</t>
  </si>
  <si>
    <t>1336-36-3</t>
  </si>
  <si>
    <t>polychlorinated dibenzodioxins (all congeners)</t>
  </si>
  <si>
    <t>polydimethylsiloxane</t>
  </si>
  <si>
    <t>9016-00-6</t>
  </si>
  <si>
    <t>polydimethylsiloxane, hydroxy terminated</t>
  </si>
  <si>
    <t>70131-67-8</t>
  </si>
  <si>
    <t>polyethlene glycol phenyl ether phosphate</t>
  </si>
  <si>
    <t>39464-70-5</t>
  </si>
  <si>
    <t>polyethylene glycol alkylphenyl ether</t>
  </si>
  <si>
    <t>9041-29-6</t>
  </si>
  <si>
    <t>polyethylene glycol dimethyl ether</t>
  </si>
  <si>
    <t>polyethylene glycol mono(3-(tetramethyl-1-(trimethylsiloxy)disiloxanyl)propyl)ether</t>
  </si>
  <si>
    <t>27306-78-1</t>
  </si>
  <si>
    <t>polyethylene glycol mono(distyrylphenyl)ether</t>
  </si>
  <si>
    <t>104376-75-2</t>
  </si>
  <si>
    <t>polyethylene glycol mono-4-nonylphenyl ether</t>
  </si>
  <si>
    <t>26027-38-3</t>
  </si>
  <si>
    <t>polyethylene glycol monoalkyl ether</t>
  </si>
  <si>
    <t>9043-30-5</t>
  </si>
  <si>
    <t>polyethylene glycol monomethyl ether</t>
  </si>
  <si>
    <t>95507-80-5</t>
  </si>
  <si>
    <t>polyethylene glycol monooleate</t>
  </si>
  <si>
    <t>9004-96-0</t>
  </si>
  <si>
    <t>polyethylene glycol monooleyl ether</t>
  </si>
  <si>
    <t>9004-98-2</t>
  </si>
  <si>
    <t>polyethylene imine</t>
  </si>
  <si>
    <t>9002-98-6</t>
  </si>
  <si>
    <t>polyethylene terephthalate</t>
  </si>
  <si>
    <t>25038-59-9</t>
  </si>
  <si>
    <t>polyethyleneimine</t>
  </si>
  <si>
    <t>26913-06-4</t>
  </si>
  <si>
    <t>polyethylenepolyamine acetates</t>
  </si>
  <si>
    <t>68333-87-9</t>
  </si>
  <si>
    <t>polyethylenepolyamine-fatty acids, C18-unsaturated, dimer condensate</t>
  </si>
  <si>
    <t>68410-23-1</t>
  </si>
  <si>
    <t>polyethylenepolyamines</t>
  </si>
  <si>
    <t>68131-73-7</t>
  </si>
  <si>
    <t>polyethylenepolyamines, ethoxylated, phosphonomethylated</t>
  </si>
  <si>
    <t>68966-36-9</t>
  </si>
  <si>
    <t>polyethylenepolyamines, ethoxylated, phosphonomethylated, sodium salt</t>
  </si>
  <si>
    <t>70900-16-2</t>
  </si>
  <si>
    <t>polyethylenepolyamines, reaction products with succinic anhydride polyisobutenyl derivs.</t>
  </si>
  <si>
    <t>84605-20-9</t>
  </si>
  <si>
    <t>polyethylenimine polyamide salts</t>
  </si>
  <si>
    <t>polyglycerine</t>
  </si>
  <si>
    <t>25618-55-7</t>
  </si>
  <si>
    <t>polyglycol, generic</t>
  </si>
  <si>
    <t>polyisobutenyl substituted succinic anhydrides AEEA</t>
  </si>
  <si>
    <t>185630-94-8</t>
  </si>
  <si>
    <t>polyisobutenyl substituted succinic anhydrides DMAPA</t>
  </si>
  <si>
    <t>118685-27-3</t>
  </si>
  <si>
    <t>polyisobutylenes</t>
  </si>
  <si>
    <t>9003-27-4</t>
  </si>
  <si>
    <t>polymethoxy bicyclic oxazolidine</t>
  </si>
  <si>
    <t>56709-13-8</t>
  </si>
  <si>
    <t>polymethylene polyphenyl and polyalkylphenyl amine</t>
  </si>
  <si>
    <t>69178-40-1</t>
  </si>
  <si>
    <t>polymethylphenyl siloxanes</t>
  </si>
  <si>
    <t>63148-52-7</t>
  </si>
  <si>
    <t>polymethylsiloxane</t>
  </si>
  <si>
    <t>68440-84-6</t>
  </si>
  <si>
    <t>polyolefin alkyl phenol alkyl amine</t>
  </si>
  <si>
    <t>polyolefin amide alkeneamine</t>
  </si>
  <si>
    <t>polyoxyethylene (23) lauryl ether</t>
  </si>
  <si>
    <t>9006-65-9</t>
  </si>
  <si>
    <t>polyoxyethylene sorbitan monolaurate</t>
  </si>
  <si>
    <t>9005-64-5</t>
  </si>
  <si>
    <t>polyoxyethylene sorbitan trioleate</t>
  </si>
  <si>
    <t>9005-70-3</t>
  </si>
  <si>
    <t>polyoxypropylenediamine</t>
  </si>
  <si>
    <t>9046-10-0</t>
  </si>
  <si>
    <t>polyphosphoric acid</t>
  </si>
  <si>
    <t>8017-16-1</t>
  </si>
  <si>
    <t>polyphosphoric acids, compds with ethoxylated coco alkylamines</t>
  </si>
  <si>
    <t>68132-19-4</t>
  </si>
  <si>
    <t>polyphosphoric acids, esters with triethanolamine, sodium salts</t>
  </si>
  <si>
    <t>68131-72-6</t>
  </si>
  <si>
    <t>polyphosphoric acids, sodium salts</t>
  </si>
  <si>
    <t>68915-31-1</t>
  </si>
  <si>
    <t>polypropylene</t>
  </si>
  <si>
    <t>9003-07-0</t>
  </si>
  <si>
    <t>polypropylene glycol monomethyl ether</t>
  </si>
  <si>
    <t>37286-64-9</t>
  </si>
  <si>
    <t>polypropylene polyoxyethylene monooctadecyl ether</t>
  </si>
  <si>
    <t>9038-43-1</t>
  </si>
  <si>
    <t>polyquaternary amine chloride</t>
  </si>
  <si>
    <t>polysiloxanes, di-Me, hydroxy-terminated, ethoxylated propoxylated</t>
  </si>
  <si>
    <t>64365-23-7</t>
  </si>
  <si>
    <t>polysiloxanes, di-Me,3-[3-[(3-coco amidopropyl)dimethylammonio]-2-hydroxypropoxy]propylgroup-terminated, acetates, salts</t>
  </si>
  <si>
    <t>134737-05-6</t>
  </si>
  <si>
    <t>polysiloxanes, di-Me,di-Ph, hydroxy-terminated</t>
  </si>
  <si>
    <t>68951-93-9</t>
  </si>
  <si>
    <t>Polysorbate 80</t>
  </si>
  <si>
    <t>9005-65-6</t>
  </si>
  <si>
    <t>polytetramethylene glycols</t>
  </si>
  <si>
    <t>25190-06-1</t>
  </si>
  <si>
    <t>polyvinyl alcohol</t>
  </si>
  <si>
    <t>9002-89-5</t>
  </si>
  <si>
    <t>potassium fluoride</t>
  </si>
  <si>
    <t>potassium fluoride | For air permit reviews in agricultural areas</t>
  </si>
  <si>
    <t>potassium fluoride | For air permit reviews in agricultural areas with cattle</t>
  </si>
  <si>
    <t>7789-23-3 (For air permit reviews in agricultural areas with cattle)</t>
  </si>
  <si>
    <t>potassium fluoroalkyl carboxylate</t>
  </si>
  <si>
    <t>potassium fluoroalkyl carboxylate | For air permit reviews in agricultural areas</t>
  </si>
  <si>
    <t>potassium fluoroalkyl carboxylate | For air permit reviews in agricultural areas with cattle</t>
  </si>
  <si>
    <t>2991-51-7 (For air permit reviews in agricultural areas with cattle)</t>
  </si>
  <si>
    <t>potassium oleate</t>
  </si>
  <si>
    <t>143-18-0</t>
  </si>
  <si>
    <t>p-phenetidine</t>
  </si>
  <si>
    <t>156-43-4</t>
  </si>
  <si>
    <t>p-phenylenediamine</t>
  </si>
  <si>
    <t>106-50-3</t>
  </si>
  <si>
    <t>propamocarb hydrochloride</t>
  </si>
  <si>
    <t>25606-41-1</t>
  </si>
  <si>
    <t>propane</t>
  </si>
  <si>
    <t>74-98-6</t>
  </si>
  <si>
    <t>propane-1,2-diol, propoxylated</t>
  </si>
  <si>
    <t>29434-03-5</t>
  </si>
  <si>
    <t>Propanil</t>
  </si>
  <si>
    <t>709-98-8</t>
  </si>
  <si>
    <t>propargyl alcohol</t>
  </si>
  <si>
    <t>107-19-7</t>
  </si>
  <si>
    <t>propenyl propyl benzoate</t>
  </si>
  <si>
    <t>197178-94-2</t>
  </si>
  <si>
    <t>propiconazole</t>
  </si>
  <si>
    <t>60207-90-1</t>
  </si>
  <si>
    <t>propionaldehyde</t>
  </si>
  <si>
    <t>123-38-6</t>
  </si>
  <si>
    <t>propionaldehyde dipropyl acetal</t>
  </si>
  <si>
    <t>4744-11-0</t>
  </si>
  <si>
    <t>propionamide</t>
  </si>
  <si>
    <t>79-05-0</t>
  </si>
  <si>
    <t>propionic acid</t>
  </si>
  <si>
    <t>79-09-4</t>
  </si>
  <si>
    <t>propionic anhydride</t>
  </si>
  <si>
    <t>123-62-6</t>
  </si>
  <si>
    <t>propionitrile</t>
  </si>
  <si>
    <t>107-12-0</t>
  </si>
  <si>
    <t>propiophenone</t>
  </si>
  <si>
    <t>93-55-0</t>
  </si>
  <si>
    <t>Propoxur</t>
  </si>
  <si>
    <t>114-26-1</t>
  </si>
  <si>
    <t>propoxylated alcohol - polyether polyol</t>
  </si>
  <si>
    <t>propoxylated C9-11 alcohols</t>
  </si>
  <si>
    <t>68920-69-4</t>
  </si>
  <si>
    <t>propoxylated neopentyl glycol diacrylate</t>
  </si>
  <si>
    <t>84170-74-1</t>
  </si>
  <si>
    <t>propoxylated tallow diamine</t>
  </si>
  <si>
    <t>propyl acrylate</t>
  </si>
  <si>
    <t>925-60-0</t>
  </si>
  <si>
    <t>propyl butylethylthiocarbamate</t>
  </si>
  <si>
    <t>1114-71-2</t>
  </si>
  <si>
    <t>propyl formate</t>
  </si>
  <si>
    <t>110-74-7</t>
  </si>
  <si>
    <t>propyl nitrate</t>
  </si>
  <si>
    <t>627-13-4</t>
  </si>
  <si>
    <t>propyl propionate</t>
  </si>
  <si>
    <t>106-36-5</t>
  </si>
  <si>
    <t>propyl-2,2,6,6-tetramethylpiperidin-4-amine</t>
  </si>
  <si>
    <t>propylamine</t>
  </si>
  <si>
    <t>107-10-8</t>
  </si>
  <si>
    <t>propylcyclohexane</t>
  </si>
  <si>
    <t>1678-92-8</t>
  </si>
  <si>
    <t>propylcyclopentane</t>
  </si>
  <si>
    <t>2040-96-2</t>
  </si>
  <si>
    <t>propylene</t>
  </si>
  <si>
    <t>115-07-1</t>
  </si>
  <si>
    <t>propylene carbonate</t>
  </si>
  <si>
    <t>108-32-7</t>
  </si>
  <si>
    <t>propylene diamine</t>
  </si>
  <si>
    <t>78-90-0</t>
  </si>
  <si>
    <t>propylene dichloride still bottoms</t>
  </si>
  <si>
    <t>propylene glycol</t>
  </si>
  <si>
    <t>57-55-6</t>
  </si>
  <si>
    <t>propylene glycol allyl ether</t>
  </si>
  <si>
    <t>1331-17-5</t>
  </si>
  <si>
    <t>propylene glycol butyl ether</t>
  </si>
  <si>
    <t>29387-86-8</t>
  </si>
  <si>
    <t>propylene glycol dibenzoate</t>
  </si>
  <si>
    <t>19224-26-1</t>
  </si>
  <si>
    <t>propylene glycol dinitrate</t>
  </si>
  <si>
    <t>6423-43-4</t>
  </si>
  <si>
    <t>propylene glycol isobutyl ether</t>
  </si>
  <si>
    <t>23436-19-3</t>
  </si>
  <si>
    <t>propylene glycol isopropyl ether</t>
  </si>
  <si>
    <t>110-48-5</t>
  </si>
  <si>
    <t>propylene glycol monoethyl ether</t>
  </si>
  <si>
    <t>1569-02-4</t>
  </si>
  <si>
    <t>propylene glycol mono-n-butyl ether</t>
  </si>
  <si>
    <t>10215-33-5</t>
  </si>
  <si>
    <t>propylene glycol monopropyl ether</t>
  </si>
  <si>
    <t>30136-13-1</t>
  </si>
  <si>
    <t>propylene glycol mono-t-butyl ether</t>
  </si>
  <si>
    <t>57018-52-7</t>
  </si>
  <si>
    <t>propylene glycol phenyl ether</t>
  </si>
  <si>
    <t>4169-04-4</t>
  </si>
  <si>
    <t>propylene oxide</t>
  </si>
  <si>
    <t>75-56-9</t>
  </si>
  <si>
    <t>propylene oxide/styrene monomer</t>
  </si>
  <si>
    <t>propyltriethoxysilane</t>
  </si>
  <si>
    <t>2550-02-9</t>
  </si>
  <si>
    <t>propyltrimethoxysilane</t>
  </si>
  <si>
    <t>1067-25-0</t>
  </si>
  <si>
    <t>propyne</t>
  </si>
  <si>
    <t>74-99-7</t>
  </si>
  <si>
    <t>protein hydrolysate</t>
  </si>
  <si>
    <t>9015-54-7</t>
  </si>
  <si>
    <t>proteinase</t>
  </si>
  <si>
    <t>9001-92-7</t>
  </si>
  <si>
    <t>p-sec-butyl phenol</t>
  </si>
  <si>
    <t>99-71-8</t>
  </si>
  <si>
    <t>p-tert-amyl phenol</t>
  </si>
  <si>
    <t>80-46-6</t>
  </si>
  <si>
    <t>p-tert-butylphenol</t>
  </si>
  <si>
    <t>98-54-4</t>
  </si>
  <si>
    <t>p-tert-butylphenyl glycidyl ether</t>
  </si>
  <si>
    <t>3101-60-8</t>
  </si>
  <si>
    <t>p-tolualdehyde</t>
  </si>
  <si>
    <t>104-87-0</t>
  </si>
  <si>
    <t>p-toluenesulfonic acid</t>
  </si>
  <si>
    <t>104-15-4</t>
  </si>
  <si>
    <t>p-toluenesulfonic acid monohydrate</t>
  </si>
  <si>
    <t>6192-52-5</t>
  </si>
  <si>
    <t>p-toluenesulfonyl isocyanate</t>
  </si>
  <si>
    <t>4083-64-1</t>
  </si>
  <si>
    <t>p-toluidine</t>
  </si>
  <si>
    <t>106-49-0</t>
  </si>
  <si>
    <t>p-tolunitrile</t>
  </si>
  <si>
    <t>p-xylene</t>
  </si>
  <si>
    <t>106-42-3</t>
  </si>
  <si>
    <t>Pyrethrum</t>
  </si>
  <si>
    <t>8003-34-7</t>
  </si>
  <si>
    <t>pyridine</t>
  </si>
  <si>
    <t>110-86-1</t>
  </si>
  <si>
    <t>pyridine, alkyl derivs., hydrochlorides</t>
  </si>
  <si>
    <t>68607-19-2</t>
  </si>
  <si>
    <t>pyridine, C1-13-alkyl derivs</t>
  </si>
  <si>
    <t>71077-16-2</t>
  </si>
  <si>
    <t>pyridines, alkyl</t>
  </si>
  <si>
    <t>68391-11-7</t>
  </si>
  <si>
    <t>pyridinium p-toluenesulfonate</t>
  </si>
  <si>
    <t>24057-28-1</t>
  </si>
  <si>
    <t>pyrimidines, not otherwise specified</t>
  </si>
  <si>
    <t>pyrolysis fuel oil (&lt; 25% benzene)</t>
  </si>
  <si>
    <t>69013-21-4</t>
  </si>
  <si>
    <t>pyrolysis gasoline (&lt; 40% benzene)</t>
  </si>
  <si>
    <t>pyrolysis gasoline (&lt; 70% benzene)</t>
  </si>
  <si>
    <t>68921-67-5</t>
  </si>
  <si>
    <t>pyromellitic acid</t>
  </si>
  <si>
    <t>89-05-4</t>
  </si>
  <si>
    <t>pyromellitic dianhydride</t>
  </si>
  <si>
    <t>89-32-7</t>
  </si>
  <si>
    <t>pyrrole</t>
  </si>
  <si>
    <t>109-97-7</t>
  </si>
  <si>
    <t>pyrroles, undefined</t>
  </si>
  <si>
    <t>pyruvic acid</t>
  </si>
  <si>
    <t>127-17-3</t>
  </si>
  <si>
    <t>quaternary ammonium compounds, benzylcoco alkylbis(hydroxyethyl), chlorides</t>
  </si>
  <si>
    <t>61789-68-2</t>
  </si>
  <si>
    <t>quinoline</t>
  </si>
  <si>
    <t>91-22-5</t>
  </si>
  <si>
    <t>raffinates (petroleum), sorption process</t>
  </si>
  <si>
    <t>64741-85-1</t>
  </si>
  <si>
    <t>rapeseed oil, methyl esters</t>
  </si>
  <si>
    <t>73891-99-3</t>
  </si>
  <si>
    <t>reclaimed petroleum waste oil</t>
  </si>
  <si>
    <t>68476-53-9</t>
  </si>
  <si>
    <t>refined soybean oil</t>
  </si>
  <si>
    <t>8001-22-7</t>
  </si>
  <si>
    <t>residual oils (petroleum), clay-treated</t>
  </si>
  <si>
    <t>64742-41-2</t>
  </si>
  <si>
    <t>residual oils (petroleum), solvent deasphalted</t>
  </si>
  <si>
    <t>64741-95-3</t>
  </si>
  <si>
    <t>residues (petroleum) vaccum</t>
  </si>
  <si>
    <t>64741-56-6</t>
  </si>
  <si>
    <t>residues (petroleum), atm. tower</t>
  </si>
  <si>
    <t>64741-45-3</t>
  </si>
  <si>
    <t>residues (petroleum), catalytic reformer fractionator</t>
  </si>
  <si>
    <t>64741-67-9</t>
  </si>
  <si>
    <t>resorcinol</t>
  </si>
  <si>
    <t>108-46-3</t>
  </si>
  <si>
    <t>RFA Gasoline (&lt; 1% benzene)</t>
  </si>
  <si>
    <t>RHT base oils</t>
  </si>
  <si>
    <t>ROL Feedstock</t>
  </si>
  <si>
    <t>64741-97-5</t>
  </si>
  <si>
    <t>rosin core solder, decomposition products</t>
  </si>
  <si>
    <t>safflower oil</t>
  </si>
  <si>
    <t>8001-23-8</t>
  </si>
  <si>
    <t>safrole</t>
  </si>
  <si>
    <t>94-59-7</t>
  </si>
  <si>
    <t>salicylaldehyde</t>
  </si>
  <si>
    <t>90-02-8</t>
  </si>
  <si>
    <t>S-allyl O-pentyl dithiocarbonate</t>
  </si>
  <si>
    <t>2956-12-9</t>
  </si>
  <si>
    <t>samarium chloride</t>
  </si>
  <si>
    <t>10361-82-7</t>
  </si>
  <si>
    <t>Sandalore</t>
  </si>
  <si>
    <t>65113-99-7</t>
  </si>
  <si>
    <t>sec-amyl acetate</t>
  </si>
  <si>
    <t>626-38-0</t>
  </si>
  <si>
    <t>sec-butyl acetate</t>
  </si>
  <si>
    <t>105-46-4</t>
  </si>
  <si>
    <t>sec-butyl alcohol</t>
  </si>
  <si>
    <t>78-92-2</t>
  </si>
  <si>
    <t>sec-butyl chloride</t>
  </si>
  <si>
    <t>78-86-4</t>
  </si>
  <si>
    <t>sec-butyl chloroformate</t>
  </si>
  <si>
    <t>17462-58-7</t>
  </si>
  <si>
    <t>sec-butyl mercaptan</t>
  </si>
  <si>
    <t>513-53-1</t>
  </si>
  <si>
    <t>sec-butyl methyl ether</t>
  </si>
  <si>
    <t>6795-87-5</t>
  </si>
  <si>
    <t>sec-butylamine</t>
  </si>
  <si>
    <t>13952-84-6</t>
  </si>
  <si>
    <t>sec-butylcyclohexane</t>
  </si>
  <si>
    <t>7058-01-7</t>
  </si>
  <si>
    <t>sec-dodecyl mercaptan</t>
  </si>
  <si>
    <t>94903-61-4</t>
  </si>
  <si>
    <t>secondary alcohol (C12-14) ethoxylates</t>
  </si>
  <si>
    <t>84133-50-6</t>
  </si>
  <si>
    <t>sec-pentanol</t>
  </si>
  <si>
    <t>6032-29-7</t>
  </si>
  <si>
    <t>severely solvent refined heavy naphthenic distillate</t>
  </si>
  <si>
    <t>64741-96-4</t>
  </si>
  <si>
    <t>silane</t>
  </si>
  <si>
    <t>7803-62-5</t>
  </si>
  <si>
    <t>silicic acid (H4SiO4), tetrakis(2-butoxyethyl) ester</t>
  </si>
  <si>
    <t>18765-38-3</t>
  </si>
  <si>
    <t>silicon difluoride</t>
  </si>
  <si>
    <t>silicon difluoride | For air permit reviews in agricultural areas</t>
  </si>
  <si>
    <t>silicon difluoride | For air permit reviews in agricultural areas with cattle</t>
  </si>
  <si>
    <t>39384-00-4 (For air permit reviews in agricultural areas with cattle)</t>
  </si>
  <si>
    <t>silicon fluoride</t>
  </si>
  <si>
    <t>silicon fluoride | For air permit reviews in agricultural areas</t>
  </si>
  <si>
    <t>silicon fluoride | For air permit reviews in agricultural areas with cattle</t>
  </si>
  <si>
    <t>13966-66-0 (For air permit reviews in agricultural areas with cattle)</t>
  </si>
  <si>
    <t>silicon monoxide</t>
  </si>
  <si>
    <t>10097-28-6</t>
  </si>
  <si>
    <t>silicon tetrabromide</t>
  </si>
  <si>
    <t>7789-66-4</t>
  </si>
  <si>
    <t>Silicon tetrachloride</t>
  </si>
  <si>
    <t>10026-04-7</t>
  </si>
  <si>
    <t>silicon tetrafluoride</t>
  </si>
  <si>
    <t>silicon tetrafluoride | For air permit reviews in agricultural areas</t>
  </si>
  <si>
    <t>silicon tetrafluoride | For air permit reviews in agricultural areas with cattle</t>
  </si>
  <si>
    <t>7783-61-1 (For air permit reviews in agricultural areas with cattle)</t>
  </si>
  <si>
    <t>silicone oil</t>
  </si>
  <si>
    <t>63148-62-9</t>
  </si>
  <si>
    <t>siloxanes and silicones, di-Me, (dimethylamino)-terminated</t>
  </si>
  <si>
    <t>67762-92-9</t>
  </si>
  <si>
    <t>siloxanes and silicones, di-Me, 3-hydroxypropyl group-terminated, ethers with polyethylene-polypropylene glycol mono-Me ether</t>
  </si>
  <si>
    <t>157479-55-5</t>
  </si>
  <si>
    <t>siloxanes and Silicones, di-Me, 3-hydroxypropyl group-terminated, ethoxylated</t>
  </si>
  <si>
    <t>102783-01-7</t>
  </si>
  <si>
    <t>siloxanes and silicones, di-Me, 3-hydroxypropyl Me, ethers with polyethylene-polypropylene glycol mono-Me ether</t>
  </si>
  <si>
    <t>67762-85-0</t>
  </si>
  <si>
    <t>siloxanes and silicones, di-Me, 3-hydroxypropyl Me, ethoxylated propoxylated</t>
  </si>
  <si>
    <t>68937-55-3</t>
  </si>
  <si>
    <t>siloxanes and silicones, di-Me, acetate-terminated</t>
  </si>
  <si>
    <t>68440-60-8</t>
  </si>
  <si>
    <t>siloxanes and silicones, di-Me, hydrogen-terminated, reaction products with 2,2-bis(((1-oxo-2-propen-1-yl)oxy)methyl)-1,3-propanediyl diacrylate</t>
  </si>
  <si>
    <t>157811-87-5</t>
  </si>
  <si>
    <t>siloxanes and silicones, di-Me, hydroxy-terminated, ethers with polyethylene-polypropylene glycol mono-Bu ether and polypropylene glycol</t>
  </si>
  <si>
    <t>189354-72-1</t>
  </si>
  <si>
    <t>siloxanes and silicones, di-Me, reaction products with 1,1,1,3,3,3-hexamethyldisiloxane and Me hydrogen siloxanes</t>
  </si>
  <si>
    <t>69430-46-2</t>
  </si>
  <si>
    <t>siloxanes and silicones, dimethyl, methyl hydrogen</t>
  </si>
  <si>
    <t>68037-59-2</t>
  </si>
  <si>
    <t>siloxanes and silicones, Me 3,3,3-trifluoropropyl, hydroxy-terminated</t>
  </si>
  <si>
    <t>68607-77-2</t>
  </si>
  <si>
    <t>siloxanes and silicones, methyl methoxy, polymers with methyl silsesquioxanes</t>
  </si>
  <si>
    <t>68037-85-4</t>
  </si>
  <si>
    <t>Simethicone</t>
  </si>
  <si>
    <t>8050-81-5</t>
  </si>
  <si>
    <t>slurry oil, clarified</t>
  </si>
  <si>
    <t>64741-62-4</t>
  </si>
  <si>
    <t>sodium 2-mercaptobenzothiazole</t>
  </si>
  <si>
    <t>2492-26-4</t>
  </si>
  <si>
    <t>sodium 3-[(2-carboxyethyl)(dodecyl)amino]propanoate</t>
  </si>
  <si>
    <t>14960-06-6</t>
  </si>
  <si>
    <t>sodium azide</t>
  </si>
  <si>
    <t>26628-22-8</t>
  </si>
  <si>
    <t>sodium bifluoride</t>
  </si>
  <si>
    <t>sodium bifluoride | For air permit reviews in agricultural areas</t>
  </si>
  <si>
    <t>sodium bifluoride | For air permit reviews in agricultural areas with cattle</t>
  </si>
  <si>
    <t>1333-83-1 (For air permit reviews in agricultural areas with cattle)</t>
  </si>
  <si>
    <t>sodium C14-16 olefin sulfonate</t>
  </si>
  <si>
    <t>68439-57-6</t>
  </si>
  <si>
    <t>sodium cocoyl isethionate</t>
  </si>
  <si>
    <t>61789-32-0</t>
  </si>
  <si>
    <t>sodium cocoyl sarcosinate</t>
  </si>
  <si>
    <t>61791-59-1</t>
  </si>
  <si>
    <t>sodium cresylate</t>
  </si>
  <si>
    <t>34689-46-8</t>
  </si>
  <si>
    <t>sodium diethyldithiocarbamate</t>
  </si>
  <si>
    <t>148-18-5</t>
  </si>
  <si>
    <t>sodium ethoxide</t>
  </si>
  <si>
    <t>141-52-6</t>
  </si>
  <si>
    <t>sodium fluoborate</t>
  </si>
  <si>
    <t>sodium fluoborate | For air permit reviews in agricultural areas</t>
  </si>
  <si>
    <t>sodium fluoborate | For air permit reviews in agricultural areas with cattle</t>
  </si>
  <si>
    <t>13755-29-8 (For air permit reviews in agricultural areas with cattle)</t>
  </si>
  <si>
    <t>sodium fluoride</t>
  </si>
  <si>
    <t>sodium fluoride | For air permit reviews in agricultural areas</t>
  </si>
  <si>
    <t>sodium fluoride | For air permit reviews in agricultural areas with cattle</t>
  </si>
  <si>
    <t>7681-49-4 (For air permit reviews in agricultural areas with cattle)</t>
  </si>
  <si>
    <t>sodium fluoroacetate</t>
  </si>
  <si>
    <t>62-74-8</t>
  </si>
  <si>
    <t>sodium formaldehyde bisulfite</t>
  </si>
  <si>
    <t>870-72-4</t>
  </si>
  <si>
    <t>sodium gluconate</t>
  </si>
  <si>
    <t>527-07-1</t>
  </si>
  <si>
    <t>sodium methyl mercaptide</t>
  </si>
  <si>
    <t>5188-07-8</t>
  </si>
  <si>
    <t>sodium methylate</t>
  </si>
  <si>
    <t>124-41-4</t>
  </si>
  <si>
    <t>sodium naphthalenide</t>
  </si>
  <si>
    <t>3481-12-7</t>
  </si>
  <si>
    <t>sodium oxalate</t>
  </si>
  <si>
    <t>62-76-0</t>
  </si>
  <si>
    <t>sodium silicofluoride</t>
  </si>
  <si>
    <t>sodium silicofluoride | For air permit reviews in agricultural areas</t>
  </si>
  <si>
    <t>sodium silicofluoride | For air permit reviews in agricultural areas with cattle</t>
  </si>
  <si>
    <t>16893-85-9 (For air permit reviews in agricultural areas with cattle)</t>
  </si>
  <si>
    <t>sodium xylenesulfonate</t>
  </si>
  <si>
    <t>1300-72-7</t>
  </si>
  <si>
    <t>soluble inorganic fluorides</t>
  </si>
  <si>
    <t>soluble inorganic fluorides | For air permit reviews in agricultural areas</t>
  </si>
  <si>
    <t>soluble inorganic fluorides | For air permit reviews in agricultural areas with cattle</t>
  </si>
  <si>
    <t>solvent naphtha (petroleum), light aromatic</t>
  </si>
  <si>
    <t>64742-95-6</t>
  </si>
  <si>
    <t>solvent refined residuum</t>
  </si>
  <si>
    <t>64742-01-4</t>
  </si>
  <si>
    <t>solvent-dewaxed light paraffinic distillates (petroleum)</t>
  </si>
  <si>
    <t>64742-56-9</t>
  </si>
  <si>
    <t>Solvesso 100</t>
  </si>
  <si>
    <t>63231-51-6</t>
  </si>
  <si>
    <t>sorbic acid</t>
  </si>
  <si>
    <t>110-44-1</t>
  </si>
  <si>
    <t>sorbitan isostearate</t>
  </si>
  <si>
    <t>54392-26-6</t>
  </si>
  <si>
    <t>sorbitan monolaurate</t>
  </si>
  <si>
    <t>1338-39-2</t>
  </si>
  <si>
    <t>sorbitan monooleate</t>
  </si>
  <si>
    <t>1338-43-8</t>
  </si>
  <si>
    <t>sorbitan monostearate</t>
  </si>
  <si>
    <t>1338-41-6</t>
  </si>
  <si>
    <t>sorbitan monotallate</t>
  </si>
  <si>
    <t>61791-48-8</t>
  </si>
  <si>
    <t>sorbitan trioleate</t>
  </si>
  <si>
    <t>26266-58-0</t>
  </si>
  <si>
    <t>sorbitan tritallate</t>
  </si>
  <si>
    <t>9005-71-4</t>
  </si>
  <si>
    <t>sorbitol propoxylated ethoxylated polymer</t>
  </si>
  <si>
    <t>56449-05-9</t>
  </si>
  <si>
    <t>soya alkyl amine ethoxylated</t>
  </si>
  <si>
    <t>61791-24-0</t>
  </si>
  <si>
    <t>soya alkyl amines</t>
  </si>
  <si>
    <t>61790-18-9</t>
  </si>
  <si>
    <t>soya N-(3-(dimethyl amino)propyl) amides</t>
  </si>
  <si>
    <t>68188-30-7</t>
  </si>
  <si>
    <t>soybean oil epoxide</t>
  </si>
  <si>
    <t>8013-07-8</t>
  </si>
  <si>
    <t>soybean oil, epoxidized</t>
  </si>
  <si>
    <t>91722-14-4</t>
  </si>
  <si>
    <t>soybean oil, methyl esters</t>
  </si>
  <si>
    <t>67784-80-9</t>
  </si>
  <si>
    <t>soybean oil, polymer with isophthalic acid and pentaerythritolhydrogenated rosin</t>
  </si>
  <si>
    <t>66071-86-1</t>
  </si>
  <si>
    <t>soybean oil, polymer with isophthalic acid, pentaerythritol and terephthalic acid</t>
  </si>
  <si>
    <t>68072-22-0</t>
  </si>
  <si>
    <t>Squalene</t>
  </si>
  <si>
    <t>7683-64-9</t>
  </si>
  <si>
    <t>steam-cracked light petroleum residues</t>
  </si>
  <si>
    <t>68513-69-9</t>
  </si>
  <si>
    <t>stearic acid</t>
  </si>
  <si>
    <t>57-11-4</t>
  </si>
  <si>
    <t>stearoyl chloride</t>
  </si>
  <si>
    <t>112-76-5</t>
  </si>
  <si>
    <t>stearyl alcohol ethoxylates (C18)</t>
  </si>
  <si>
    <t>9005-00-9</t>
  </si>
  <si>
    <t>stearyl methacrylate</t>
  </si>
  <si>
    <t>32360-05-7</t>
  </si>
  <si>
    <t>stearylamine</t>
  </si>
  <si>
    <t>124-30-1</t>
  </si>
  <si>
    <t>Steptozotocin</t>
  </si>
  <si>
    <t>18883-66-4</t>
  </si>
  <si>
    <t>stibine</t>
  </si>
  <si>
    <t>7803-52-3</t>
  </si>
  <si>
    <t>stilbene</t>
  </si>
  <si>
    <t>588-59-0</t>
  </si>
  <si>
    <t>Stoddard solvent</t>
  </si>
  <si>
    <t>8052-41-3</t>
  </si>
  <si>
    <t>straight-run gas oils (petroleum)</t>
  </si>
  <si>
    <t>64741-43-1</t>
  </si>
  <si>
    <t>S-triazine-1,3,5(2H, 4H, 6H)-triethanol</t>
  </si>
  <si>
    <t>4719-04-4</t>
  </si>
  <si>
    <t>strontium zinc phosphosilicate, calcium</t>
  </si>
  <si>
    <t>strychnine</t>
  </si>
  <si>
    <t>57-24-9</t>
  </si>
  <si>
    <t>styrallyl acetate</t>
  </si>
  <si>
    <t>93-92-5</t>
  </si>
  <si>
    <t>styrenated alkyd solution</t>
  </si>
  <si>
    <t>styrenated diphenylamine</t>
  </si>
  <si>
    <t>68442-68-2</t>
  </si>
  <si>
    <t>styrenated phenol</t>
  </si>
  <si>
    <t>61788-44-1</t>
  </si>
  <si>
    <t>styrene</t>
  </si>
  <si>
    <t>100-42-5</t>
  </si>
  <si>
    <t>styrene glycol</t>
  </si>
  <si>
    <t>styrene oxide</t>
  </si>
  <si>
    <t>96-09-3</t>
  </si>
  <si>
    <t>subtilisin</t>
  </si>
  <si>
    <t>1395-21-7</t>
  </si>
  <si>
    <t>succinic acid</t>
  </si>
  <si>
    <t>110-15-6</t>
  </si>
  <si>
    <t>succinic anhydride</t>
  </si>
  <si>
    <t>108-30-5</t>
  </si>
  <si>
    <t>succinonitrile</t>
  </si>
  <si>
    <t>110-61-2</t>
  </si>
  <si>
    <t>sulfated castor oil sodium salt</t>
  </si>
  <si>
    <t>68187-76-8</t>
  </si>
  <si>
    <t>sulfide, generic, not otherwise specified</t>
  </si>
  <si>
    <t>sulfite liquors and cooking liquors, spent</t>
  </si>
  <si>
    <t>66071-92-9</t>
  </si>
  <si>
    <t>sulfonic acids, C10-18-alkane, sodium salts</t>
  </si>
  <si>
    <t>68037-49-0</t>
  </si>
  <si>
    <t>sulfonic acids, C14-16-1-alkene, sodium salts</t>
  </si>
  <si>
    <t>95371-16-7</t>
  </si>
  <si>
    <t>Sulfotep</t>
  </si>
  <si>
    <t>3689-24-5</t>
  </si>
  <si>
    <t>sulfur dichloride</t>
  </si>
  <si>
    <t>10545-99-0</t>
  </si>
  <si>
    <t>sulfur dioxide</t>
  </si>
  <si>
    <t>7446-09-5</t>
  </si>
  <si>
    <t>sulfur hexafluoride</t>
  </si>
  <si>
    <t>2551-62-4</t>
  </si>
  <si>
    <t>sulfur monochloride</t>
  </si>
  <si>
    <t>10025-67-9</t>
  </si>
  <si>
    <t>sulfur pentafluoride</t>
  </si>
  <si>
    <t>sulfur pentafluoride | For air permit reviews in agricultural areas</t>
  </si>
  <si>
    <t>sulfur pentafluoride | For air permit reviews in agricultural areas with cattle</t>
  </si>
  <si>
    <t>5714-22-7 (For air permit reviews in agricultural areas with cattle)</t>
  </si>
  <si>
    <t>sulfur tetrafluoride</t>
  </si>
  <si>
    <t>sulfur tetrafluoride | For air permit reviews in agricultural areas</t>
  </si>
  <si>
    <t>sulfur tetrafluoride | For air permit reviews in agricultural areas with cattle</t>
  </si>
  <si>
    <t>7783-60-0 (For air permit reviews in agricultural areas with cattle)</t>
  </si>
  <si>
    <t>sulfuric acid</t>
  </si>
  <si>
    <t>7664-93-9</t>
  </si>
  <si>
    <t>sulfuric acid, mono-C10-16-alkyl esters, compds. with triethanolamine</t>
  </si>
  <si>
    <t>117875-77-1</t>
  </si>
  <si>
    <t>sulfuric acid, mono-C10-16-alkyl esters, sodium salts</t>
  </si>
  <si>
    <t>68585-47-7</t>
  </si>
  <si>
    <t>sulfurized isobutylene</t>
  </si>
  <si>
    <t>68511-50-2</t>
  </si>
  <si>
    <t>sulfuryl chloride</t>
  </si>
  <si>
    <t>7791-25-5</t>
  </si>
  <si>
    <t>sulfuryl fluoride</t>
  </si>
  <si>
    <t>2699-79-8</t>
  </si>
  <si>
    <t>Sulprofos</t>
  </si>
  <si>
    <t>35400-43-2</t>
  </si>
  <si>
    <t>sunflower seed oil</t>
  </si>
  <si>
    <t>8001-21-6</t>
  </si>
  <si>
    <t>synthetic pine oil</t>
  </si>
  <si>
    <t>tall oil</t>
  </si>
  <si>
    <t>8002-26-4</t>
  </si>
  <si>
    <t>tall oil acids, triethylenetetramine condensate</t>
  </si>
  <si>
    <t>68919-79-9</t>
  </si>
  <si>
    <t>tall oil fatty acids, iron salt</t>
  </si>
  <si>
    <t>61788-81-6</t>
  </si>
  <si>
    <t>tall oil fatty acids, iron salts, basic</t>
  </si>
  <si>
    <t>68648-06-6</t>
  </si>
  <si>
    <t>tall oil fatty acids, magnesium salts, basic</t>
  </si>
  <si>
    <t>68648-08-8</t>
  </si>
  <si>
    <t>tall oil fatty acids, reaction product with diethylenetriamine, trimer acid salt</t>
  </si>
  <si>
    <t>1203451-13-1</t>
  </si>
  <si>
    <t>tall oil fatty acids, reaction products with diethylenetriamine and acrylic acid</t>
  </si>
  <si>
    <t>163206-24-4</t>
  </si>
  <si>
    <t>tall oil rosin</t>
  </si>
  <si>
    <t>8052-10-6</t>
  </si>
  <si>
    <t>tall oil, ethoxylated</t>
  </si>
  <si>
    <t>65071-95-6</t>
  </si>
  <si>
    <t>tall oil, polymd, oxidized (brown tall oil)</t>
  </si>
  <si>
    <t>68815-17-8</t>
  </si>
  <si>
    <t>tall-oil fatty acids, polymers with glycerol, pentaerythritol and phthalic anhydride</t>
  </si>
  <si>
    <t>66070-62-0</t>
  </si>
  <si>
    <t>tall-oil fatty acids, reaction products with polyalkylenepolyamines</t>
  </si>
  <si>
    <t>68910-93-0</t>
  </si>
  <si>
    <t>tallow alkyl amines</t>
  </si>
  <si>
    <t>61790-33-8</t>
  </si>
  <si>
    <t>tallow alkyl amines, ethoxylated, hydrochlorides</t>
  </si>
  <si>
    <t>68132-78-5</t>
  </si>
  <si>
    <t>tallow fatty acids</t>
  </si>
  <si>
    <t>61790-37-2</t>
  </si>
  <si>
    <t>tallow fatty alcohols</t>
  </si>
  <si>
    <t>tallow nitrile pitch</t>
  </si>
  <si>
    <t>72230-78-5</t>
  </si>
  <si>
    <t>tallow nitriles</t>
  </si>
  <si>
    <t>61790-28-1</t>
  </si>
  <si>
    <t>tallow, methyl esters</t>
  </si>
  <si>
    <t>61788-61-2</t>
  </si>
  <si>
    <t>tallowalkylamidopropyl dimethylamine oxides</t>
  </si>
  <si>
    <t>68647-77-8</t>
  </si>
  <si>
    <t>tar bases, quinoline derives, benzyl chloride-quaternized</t>
  </si>
  <si>
    <t>72480-70-7</t>
  </si>
  <si>
    <t>tar bases, quinolinederivs., 1-(chloromethyl)naphthalene-quaternized</t>
  </si>
  <si>
    <t>192526-10-6</t>
  </si>
  <si>
    <t>Terbufos</t>
  </si>
  <si>
    <t>13071-79-9</t>
  </si>
  <si>
    <t>terpenes and terpenoids, sweet orange oil</t>
  </si>
  <si>
    <t>68647-72-3</t>
  </si>
  <si>
    <t>terpenes and terpenoids, turpentine-oil, alpha-pinene fraction</t>
  </si>
  <si>
    <t>65996-96-5</t>
  </si>
  <si>
    <t>terpenes and terpenoids, turpentine-oil, beta-pinene fraction</t>
  </si>
  <si>
    <t>65996-97-6</t>
  </si>
  <si>
    <t>terpenes and terpenoids, turpentine-oil, limonene fraction</t>
  </si>
  <si>
    <t>65996-99-8</t>
  </si>
  <si>
    <t>terpin</t>
  </si>
  <si>
    <t>80-53-5</t>
  </si>
  <si>
    <t>terpinolene</t>
  </si>
  <si>
    <t>586-62-9</t>
  </si>
  <si>
    <t>terpinyl acetate</t>
  </si>
  <si>
    <t>80-26-2</t>
  </si>
  <si>
    <t>tert-amyl hydroperoxide</t>
  </si>
  <si>
    <t>3425-61-4</t>
  </si>
  <si>
    <t>tert-amyl methyl ether</t>
  </si>
  <si>
    <t>994-05-8</t>
  </si>
  <si>
    <t>tert-amyl peroxy 2-ethyl-hexanoate</t>
  </si>
  <si>
    <t>686-31-7</t>
  </si>
  <si>
    <t>tert-amyl peroxyacetate</t>
  </si>
  <si>
    <t>690-83-5</t>
  </si>
  <si>
    <t>tert-amyl peroxybenzoate</t>
  </si>
  <si>
    <t>4511-39-1</t>
  </si>
  <si>
    <t>tert-amyl peroxyneodecanoate</t>
  </si>
  <si>
    <t>68299-16-1</t>
  </si>
  <si>
    <t>tert-amyl peroxypivalate</t>
  </si>
  <si>
    <t>29240-17-3</t>
  </si>
  <si>
    <t>tert-amylperoxy-3,5,5-trimethylhexanoate</t>
  </si>
  <si>
    <t>13122-18-4</t>
  </si>
  <si>
    <t>tert-butyl acetate</t>
  </si>
  <si>
    <t>540-88-5</t>
  </si>
  <si>
    <t>tert-butyl alcohol</t>
  </si>
  <si>
    <t>75-65-0</t>
  </si>
  <si>
    <t>tert-butyl chloride</t>
  </si>
  <si>
    <t>507-20-0</t>
  </si>
  <si>
    <t>tert-butyl formate</t>
  </si>
  <si>
    <t>762-75-4</t>
  </si>
  <si>
    <t>tert-butyl hydroperoxide</t>
  </si>
  <si>
    <t>75-91-2</t>
  </si>
  <si>
    <t>tert-butyl monoperoxymaleate</t>
  </si>
  <si>
    <t>1931-62-0</t>
  </si>
  <si>
    <t>tert-butyl peracetate</t>
  </si>
  <si>
    <t>107-71-1</t>
  </si>
  <si>
    <t>tert-butyl peroxide</t>
  </si>
  <si>
    <t>110-05-4</t>
  </si>
  <si>
    <t>tert-butyl peroxy isopropyl carbonate</t>
  </si>
  <si>
    <t>2372-21-6</t>
  </si>
  <si>
    <t>tert-butyl peroxy-2-ethylhexanoate</t>
  </si>
  <si>
    <t>3006-82-4</t>
  </si>
  <si>
    <t>tert-butyl peroxy-2-methylbenzoate</t>
  </si>
  <si>
    <t>22313-62-8</t>
  </si>
  <si>
    <t>tert-butyl peroxybenzoate</t>
  </si>
  <si>
    <t>614-45-9</t>
  </si>
  <si>
    <t>tert-butyl peroxyisobutyrate</t>
  </si>
  <si>
    <t>109-13-7</t>
  </si>
  <si>
    <t>tert-butyl peroxyneodecanoate</t>
  </si>
  <si>
    <t>26748-41-4</t>
  </si>
  <si>
    <t>tert-butyl peroxypivalate</t>
  </si>
  <si>
    <t>927-07-1</t>
  </si>
  <si>
    <t>tert-butyl polysulfide</t>
  </si>
  <si>
    <t>68937-96-2</t>
  </si>
  <si>
    <t>tert-butyl toluenediamine</t>
  </si>
  <si>
    <t>tert-butylacrylamide</t>
  </si>
  <si>
    <t>107-58-4</t>
  </si>
  <si>
    <t>tert-butylamine</t>
  </si>
  <si>
    <t>75-64-9</t>
  </si>
  <si>
    <t>tert-butyl-m-xylene</t>
  </si>
  <si>
    <t>98-19-1</t>
  </si>
  <si>
    <t>tert-butylperoxy-2-ethylhexyl-carbonate</t>
  </si>
  <si>
    <t>34443-12-4</t>
  </si>
  <si>
    <t>tert-butylstyrene</t>
  </si>
  <si>
    <t>25338-51-6</t>
  </si>
  <si>
    <t>tert-dodecyl mercaptan</t>
  </si>
  <si>
    <t>25103-58-6</t>
  </si>
  <si>
    <t>tertiary butyl glycidyl ether</t>
  </si>
  <si>
    <t>7665-72-7</t>
  </si>
  <si>
    <t>tertiary-nonyl mercaptan</t>
  </si>
  <si>
    <t>25360-10-5</t>
  </si>
  <si>
    <t>tert-octyl mercaptan</t>
  </si>
  <si>
    <t>141-59-3</t>
  </si>
  <si>
    <t>tert-pentanol</t>
  </si>
  <si>
    <t>75-85-4</t>
  </si>
  <si>
    <t>tetraammonium ethylenediaminetetraacetate</t>
  </si>
  <si>
    <t>22473-78-5</t>
  </si>
  <si>
    <t>tetrabromophthalic anhydride diol</t>
  </si>
  <si>
    <t>77098-07-8</t>
  </si>
  <si>
    <t>tetrabutylammonium hydroxide</t>
  </si>
  <si>
    <t>2052-49-5</t>
  </si>
  <si>
    <t>tetrachloroethane (unspecified isomers)</t>
  </si>
  <si>
    <t>25322-20-7</t>
  </si>
  <si>
    <t>tetrachloroethylene</t>
  </si>
  <si>
    <t>127-18-4</t>
  </si>
  <si>
    <t>tetrachloronaphthalene</t>
  </si>
  <si>
    <t>1335-88-2</t>
  </si>
  <si>
    <t>tetradecafluorohexane</t>
  </si>
  <si>
    <t>355-42-0</t>
  </si>
  <si>
    <t>tetradecane</t>
  </si>
  <si>
    <t>629-59-4</t>
  </si>
  <si>
    <t>tetradecanol</t>
  </si>
  <si>
    <t>8032-14-2</t>
  </si>
  <si>
    <t>tetradecyl mercaptan</t>
  </si>
  <si>
    <t>2079-95-0</t>
  </si>
  <si>
    <t>tetradecyl methacrylate</t>
  </si>
  <si>
    <t>tetradifon</t>
  </si>
  <si>
    <t>116-29-0</t>
  </si>
  <si>
    <t>tetraethyl ammonium bromide</t>
  </si>
  <si>
    <t>71-91-0</t>
  </si>
  <si>
    <t>tetraethyl lead</t>
  </si>
  <si>
    <t>78-00-2</t>
  </si>
  <si>
    <t>tetraethyl orthosilicate</t>
  </si>
  <si>
    <t>78-10-4</t>
  </si>
  <si>
    <t>tetraethyl pyrophosphate</t>
  </si>
  <si>
    <t>107-49-3</t>
  </si>
  <si>
    <t>tetraethylammonium hydroxide</t>
  </si>
  <si>
    <t>77-98-5</t>
  </si>
  <si>
    <t>tetraethylene glycol</t>
  </si>
  <si>
    <t>112-60-7</t>
  </si>
  <si>
    <t>tetraethylene glycol di(2-ethylhexanoate)</t>
  </si>
  <si>
    <t>18268-70-7</t>
  </si>
  <si>
    <t>tetraethylene glycol diacrylate</t>
  </si>
  <si>
    <t>17831-71-9</t>
  </si>
  <si>
    <t>tetraethylene glycol monobutyl ether</t>
  </si>
  <si>
    <t>1559-34-8</t>
  </si>
  <si>
    <t>tetraethylene glycol monomethyl ether</t>
  </si>
  <si>
    <t>23783-42-8</t>
  </si>
  <si>
    <t>tetraethylene pentamine</t>
  </si>
  <si>
    <t>112-57-2</t>
  </si>
  <si>
    <t>tetrafluoroethylene</t>
  </si>
  <si>
    <t>116-14-3</t>
  </si>
  <si>
    <t>tetraglycidyl-4,4'-methylene dianiline</t>
  </si>
  <si>
    <t>28768-32-3</t>
  </si>
  <si>
    <t>tetrahydro-2,2,5,5-tetramethylfuran</t>
  </si>
  <si>
    <t>15045-43-9</t>
  </si>
  <si>
    <t>tetrahydro-3,5-dimethyl-2H-1,3,5-thiadiazine-2-thione</t>
  </si>
  <si>
    <t>533-74-4</t>
  </si>
  <si>
    <t>tetrahydrobenzaldehyde</t>
  </si>
  <si>
    <t>1321-16-0</t>
  </si>
  <si>
    <t>tetrahydrodicyclopentadiene</t>
  </si>
  <si>
    <t>2825-82-3</t>
  </si>
  <si>
    <t>tetrahydrofuran</t>
  </si>
  <si>
    <t>109-99-9</t>
  </si>
  <si>
    <t>tetrahydrofurfuryl alcohol</t>
  </si>
  <si>
    <t>97-99-4</t>
  </si>
  <si>
    <t>tetrahydrophthalic acid</t>
  </si>
  <si>
    <t>85-43-8</t>
  </si>
  <si>
    <t>tetrahydrothiophene</t>
  </si>
  <si>
    <t>110-01-0</t>
  </si>
  <si>
    <t>tetrakis(2-methoxyethyl) orthosilicate</t>
  </si>
  <si>
    <t>2157-45-1</t>
  </si>
  <si>
    <t>tetramethoxysilane</t>
  </si>
  <si>
    <t>681-84-5</t>
  </si>
  <si>
    <t>tetramethyl lead</t>
  </si>
  <si>
    <t>75-74-1</t>
  </si>
  <si>
    <t>tetramethyl succinonitrile</t>
  </si>
  <si>
    <t>3333-52-6</t>
  </si>
  <si>
    <t>tetramethylene diamine</t>
  </si>
  <si>
    <t>110-60-1</t>
  </si>
  <si>
    <t>tetramethyliminobispropylamine</t>
  </si>
  <si>
    <t>6711-48-4</t>
  </si>
  <si>
    <t>tetra-N-butyl-butanediyldiamine</t>
  </si>
  <si>
    <t>27195-72-8</t>
  </si>
  <si>
    <t>tetranitromethane</t>
  </si>
  <si>
    <t>509-14-8</t>
  </si>
  <si>
    <t>tetrapropylene</t>
  </si>
  <si>
    <t>6842-15-5</t>
  </si>
  <si>
    <t>tetrapropylene glycol</t>
  </si>
  <si>
    <t>24800-25-7</t>
  </si>
  <si>
    <t>tetrapropylenebenzene</t>
  </si>
  <si>
    <t>25265-78-5</t>
  </si>
  <si>
    <t>tetrapropylorthosilicate</t>
  </si>
  <si>
    <t>682-01-9</t>
  </si>
  <si>
    <t>Texanol</t>
  </si>
  <si>
    <t>25265-77-4</t>
  </si>
  <si>
    <t>Thiabendazole</t>
  </si>
  <si>
    <t>148-79-8</t>
  </si>
  <si>
    <t>thiazole</t>
  </si>
  <si>
    <t>288-47-1</t>
  </si>
  <si>
    <t>Thiobencarb</t>
  </si>
  <si>
    <t>28249-77-6</t>
  </si>
  <si>
    <t>thiocarbohydrazide</t>
  </si>
  <si>
    <t>2231-57-4</t>
  </si>
  <si>
    <t>thiodiglycol</t>
  </si>
  <si>
    <t>111-48-8</t>
  </si>
  <si>
    <t>Thiofanox</t>
  </si>
  <si>
    <t>39196-18-4</t>
  </si>
  <si>
    <t>thioglycerol</t>
  </si>
  <si>
    <t>96-27-5</t>
  </si>
  <si>
    <t>thioglycolic acid</t>
  </si>
  <si>
    <t>68-11-1</t>
  </si>
  <si>
    <t>thionyl chloride</t>
  </si>
  <si>
    <t>7719-09-7</t>
  </si>
  <si>
    <t>thiophene</t>
  </si>
  <si>
    <t>110-02-1</t>
  </si>
  <si>
    <t>thiophosgene</t>
  </si>
  <si>
    <t>463-71-8</t>
  </si>
  <si>
    <t>thymol</t>
  </si>
  <si>
    <t>t-octylphenoxypolyethoxyethanol</t>
  </si>
  <si>
    <t>9002-93-1</t>
  </si>
  <si>
    <t>toluene</t>
  </si>
  <si>
    <t>108-88-3</t>
  </si>
  <si>
    <t>toluene diisocyanate</t>
  </si>
  <si>
    <t>26471-62-5</t>
  </si>
  <si>
    <t>toluene-2,4-diisocyanate</t>
  </si>
  <si>
    <t>584-84-9</t>
  </si>
  <si>
    <t>toluene-2,6-diisocyanate</t>
  </si>
  <si>
    <t>91-08-7</t>
  </si>
  <si>
    <t>tolylaldehyde</t>
  </si>
  <si>
    <t>1334-78-7</t>
  </si>
  <si>
    <t>tolylsulfonyl hydrazine</t>
  </si>
  <si>
    <t>1576-35-8</t>
  </si>
  <si>
    <t>tomato lycopene</t>
  </si>
  <si>
    <t>502-65-8</t>
  </si>
  <si>
    <t>trans-1,2-dichloroethylene</t>
  </si>
  <si>
    <t>156-60-5</t>
  </si>
  <si>
    <t>trans-1,2-dimethylcyclohexane</t>
  </si>
  <si>
    <t>6876-23-9</t>
  </si>
  <si>
    <t>trans-1,2-dimethylcyclopentane</t>
  </si>
  <si>
    <t>822-50-4</t>
  </si>
  <si>
    <t>trans-1,3,3,3-tetrafluoroprop-1-ene</t>
  </si>
  <si>
    <t>1645-83-6</t>
  </si>
  <si>
    <t>29118-24-9</t>
  </si>
  <si>
    <t>trans-1,3-dichloropropene</t>
  </si>
  <si>
    <t>10061-02-6</t>
  </si>
  <si>
    <t>trans-1,3-dimethylcyclohexane</t>
  </si>
  <si>
    <t>2207-03-6</t>
  </si>
  <si>
    <t>trans-1,3-dimethylcyclopentane</t>
  </si>
  <si>
    <t>1759-58-6</t>
  </si>
  <si>
    <t>trans-1-chloro-3,3,3-trifluoroprop-1-ene</t>
  </si>
  <si>
    <t>102687-65-0</t>
  </si>
  <si>
    <t>trans-1-ethyl-2-methylcyclopentane</t>
  </si>
  <si>
    <t>930-90-5</t>
  </si>
  <si>
    <t>trans-2-butene</t>
  </si>
  <si>
    <t>624-64-6</t>
  </si>
  <si>
    <t>trans-2-hexene</t>
  </si>
  <si>
    <t>4050-45-7</t>
  </si>
  <si>
    <t>trans-2-pentene</t>
  </si>
  <si>
    <t>646-04-8</t>
  </si>
  <si>
    <t>trans-2-pinanol</t>
  </si>
  <si>
    <t>4948-29-2</t>
  </si>
  <si>
    <t>trans-3-decene</t>
  </si>
  <si>
    <t>19150-21-1</t>
  </si>
  <si>
    <t>trans-3-hexene</t>
  </si>
  <si>
    <t>13269-52-8</t>
  </si>
  <si>
    <t>trans-3-hexenoic acid</t>
  </si>
  <si>
    <t>1577-18-0</t>
  </si>
  <si>
    <t>trans-4-decene</t>
  </si>
  <si>
    <t>19398-89-1</t>
  </si>
  <si>
    <t>trans-4-methyl-2-pentene</t>
  </si>
  <si>
    <t>674-76-0</t>
  </si>
  <si>
    <t>trans-5-decene</t>
  </si>
  <si>
    <t>7433-56-9</t>
  </si>
  <si>
    <t>trans-beta-farnesene</t>
  </si>
  <si>
    <t>18794-84-8</t>
  </si>
  <si>
    <t>trans-crotonaldehyde</t>
  </si>
  <si>
    <t>123-73-9</t>
  </si>
  <si>
    <t>trans-diacetoxyethylene</t>
  </si>
  <si>
    <t>19191-10-7</t>
  </si>
  <si>
    <t>trans-isosafrole</t>
  </si>
  <si>
    <t>4043-71-4</t>
  </si>
  <si>
    <t>trans-piperylene</t>
  </si>
  <si>
    <t>2004-70-8</t>
  </si>
  <si>
    <t>tri(coco alkyl) amine</t>
  </si>
  <si>
    <t>tri(isobutenyl)succinic anhydride</t>
  </si>
  <si>
    <t>63979-83-9</t>
  </si>
  <si>
    <t>tri-2-ethylhexyl trimellitate</t>
  </si>
  <si>
    <t>3319-31-1</t>
  </si>
  <si>
    <t>triacetone amine</t>
  </si>
  <si>
    <t>826-36-8</t>
  </si>
  <si>
    <t>triacetone diamine</t>
  </si>
  <si>
    <t>36768-62-4</t>
  </si>
  <si>
    <t>triacont-1-ene</t>
  </si>
  <si>
    <t>triallyl isocyanurate</t>
  </si>
  <si>
    <t>1025-15-6</t>
  </si>
  <si>
    <t>triallylamine</t>
  </si>
  <si>
    <t>102-70-5</t>
  </si>
  <si>
    <t>triaminotrinitrobenzene</t>
  </si>
  <si>
    <t>3058-38-6</t>
  </si>
  <si>
    <t>tributyl O-acetylcitrate</t>
  </si>
  <si>
    <t>77-90-7</t>
  </si>
  <si>
    <t>tributyl phosphate</t>
  </si>
  <si>
    <t>126-73-8</t>
  </si>
  <si>
    <t>tributyl phosphine</t>
  </si>
  <si>
    <t>998-40-3</t>
  </si>
  <si>
    <t>tributyl phosphite</t>
  </si>
  <si>
    <t>102-85-2</t>
  </si>
  <si>
    <t>tributyl trithiophosphite</t>
  </si>
  <si>
    <t>150-50-5</t>
  </si>
  <si>
    <t>tributylamine</t>
  </si>
  <si>
    <t>102-82-9</t>
  </si>
  <si>
    <t>tributyltin oxide</t>
  </si>
  <si>
    <t>56-35-9</t>
  </si>
  <si>
    <t>tri-C8-10-alkyl amines</t>
  </si>
  <si>
    <t>68814-95-9</t>
  </si>
  <si>
    <t>trichloroacetic acid</t>
  </si>
  <si>
    <t>76-03-9</t>
  </si>
  <si>
    <t>trichloroacetyl chloride</t>
  </si>
  <si>
    <t>76-02-8</t>
  </si>
  <si>
    <t>trichloroethylene</t>
  </si>
  <si>
    <t>79-01-6</t>
  </si>
  <si>
    <t>trichlorofluoromethane</t>
  </si>
  <si>
    <t>75-69-4</t>
  </si>
  <si>
    <t>trichloronitromethane</t>
  </si>
  <si>
    <t>76-06-2</t>
  </si>
  <si>
    <t>trichloropropane</t>
  </si>
  <si>
    <t>25735-29-9</t>
  </si>
  <si>
    <t>trichlorosilane</t>
  </si>
  <si>
    <t>10025-78-2</t>
  </si>
  <si>
    <t>triclopyr triethylamine salt</t>
  </si>
  <si>
    <t>57213-69-1</t>
  </si>
  <si>
    <t>tricyclo[3.2.1.0(1,5)]octane</t>
  </si>
  <si>
    <t>19074-25-0</t>
  </si>
  <si>
    <t>tricyclopentadiene</t>
  </si>
  <si>
    <t>7158-25-0</t>
  </si>
  <si>
    <t>trideca-1,1,1,2,2,3,3,4,4,5,5,6,6-fluorohexane</t>
  </si>
  <si>
    <t>355-37-3</t>
  </si>
  <si>
    <t>tridecanal</t>
  </si>
  <si>
    <t>10486-19-8</t>
  </si>
  <si>
    <t>tridecane</t>
  </si>
  <si>
    <t>629-50-5</t>
  </si>
  <si>
    <t>tri-decyl methacrylate</t>
  </si>
  <si>
    <t>2495-25-2</t>
  </si>
  <si>
    <t>tridecylbenzene</t>
  </si>
  <si>
    <t>123-02-4</t>
  </si>
  <si>
    <t>tridecyloxypropyl-1,3-propanediamine</t>
  </si>
  <si>
    <t>22023-23-0</t>
  </si>
  <si>
    <t>triethanolamine compound with linear saturated fatty acids (C5-C9)</t>
  </si>
  <si>
    <t>68604-62-6</t>
  </si>
  <si>
    <t>triethoxy(octyl)silane</t>
  </si>
  <si>
    <t>2943-75-1</t>
  </si>
  <si>
    <t>triethoxysilane</t>
  </si>
  <si>
    <t>998-30-1</t>
  </si>
  <si>
    <t>triethyl 2-acetylcitrate</t>
  </si>
  <si>
    <t>77-89-4</t>
  </si>
  <si>
    <t>triethyl orthoformate</t>
  </si>
  <si>
    <t>122-51-0</t>
  </si>
  <si>
    <t>triethyl phosphate</t>
  </si>
  <si>
    <t>78-40-0</t>
  </si>
  <si>
    <t>triethyl phosphite</t>
  </si>
  <si>
    <t>122-52-1</t>
  </si>
  <si>
    <t>triethyl phosphorothioate</t>
  </si>
  <si>
    <t>126-68-1</t>
  </si>
  <si>
    <t>triethylamine</t>
  </si>
  <si>
    <t>121-44-8</t>
  </si>
  <si>
    <t>triethylene amine</t>
  </si>
  <si>
    <t>1116-00-3</t>
  </si>
  <si>
    <t>triethylene diamine</t>
  </si>
  <si>
    <t>280-57-9</t>
  </si>
  <si>
    <t>triethylene glycol</t>
  </si>
  <si>
    <t>112-27-6</t>
  </si>
  <si>
    <t>triethylene glycol bis(2-ethylhexanoate)</t>
  </si>
  <si>
    <t>94-28-0</t>
  </si>
  <si>
    <t>triethylene glycol diacrylate</t>
  </si>
  <si>
    <t>1680-21-3</t>
  </si>
  <si>
    <t>triethylene glycol dibenzoate</t>
  </si>
  <si>
    <t>120-56-9</t>
  </si>
  <si>
    <t>triethylene glycol dimethacrylate</t>
  </si>
  <si>
    <t>109-16-0</t>
  </si>
  <si>
    <t>triethylene glycol methyl ether</t>
  </si>
  <si>
    <t>112-35-6</t>
  </si>
  <si>
    <t>triethylene glycol mono-2-ethylhexyl ether</t>
  </si>
  <si>
    <t>1559-37-1</t>
  </si>
  <si>
    <t>triethylene glycol monoamine</t>
  </si>
  <si>
    <t>6338-55-2</t>
  </si>
  <si>
    <t>triethylene glycol monobutyl ether</t>
  </si>
  <si>
    <t>143-22-6</t>
  </si>
  <si>
    <t>triethylene glycol monoethyl ether</t>
  </si>
  <si>
    <t>112-50-5</t>
  </si>
  <si>
    <t>triethylenetetramine</t>
  </si>
  <si>
    <t>112-24-3</t>
  </si>
  <si>
    <t>trifluoroacetic acid</t>
  </si>
  <si>
    <t>trifluoroacetic acid | For air permit reviews in agricultural areas</t>
  </si>
  <si>
    <t>trifluoroacetic acid | For air permit reviews in agricultural areas with cattle</t>
  </si>
  <si>
    <t>76-05-1 (For air permit reviews in agricultural areas with cattle)</t>
  </si>
  <si>
    <t>trifluoroethanol</t>
  </si>
  <si>
    <t>75-89-8</t>
  </si>
  <si>
    <t>trifluoromethane</t>
  </si>
  <si>
    <t>75-46-7</t>
  </si>
  <si>
    <t>triglycidyl-s-triazinetrione</t>
  </si>
  <si>
    <t>2451-62-9</t>
  </si>
  <si>
    <t>trihexyl(tetradecyl)phosphonium chloride</t>
  </si>
  <si>
    <t>258864-54-9</t>
  </si>
  <si>
    <t>triisobutyl phosphate</t>
  </si>
  <si>
    <t>126-71-6</t>
  </si>
  <si>
    <t>triisobutylamine</t>
  </si>
  <si>
    <t>1116-40-1</t>
  </si>
  <si>
    <t>triisobutylene</t>
  </si>
  <si>
    <t>7756-94-7</t>
  </si>
  <si>
    <t>triisopropanolamine</t>
  </si>
  <si>
    <t>122-20-3</t>
  </si>
  <si>
    <t>triisopropyl phosphine</t>
  </si>
  <si>
    <t>6476-36-4</t>
  </si>
  <si>
    <t>trimetacresyl phosphate</t>
  </si>
  <si>
    <t>563-04-2</t>
  </si>
  <si>
    <t>trimethoxyoctylsilane, hydrolysis products with silica</t>
  </si>
  <si>
    <t>92797-60-9</t>
  </si>
  <si>
    <t>trimethoxysilane</t>
  </si>
  <si>
    <t>2487-90-3</t>
  </si>
  <si>
    <t>trimethyl borate</t>
  </si>
  <si>
    <t>121-43-7</t>
  </si>
  <si>
    <t>trimethyl orthoacetate</t>
  </si>
  <si>
    <t>1445-45-0</t>
  </si>
  <si>
    <t>trimethyl orthoformate</t>
  </si>
  <si>
    <t>149-73-5</t>
  </si>
  <si>
    <t>trimethyl pentaphenol trisiloxane</t>
  </si>
  <si>
    <t>28855-11-0</t>
  </si>
  <si>
    <t>trimethyl phosphate</t>
  </si>
  <si>
    <t>512-56-1</t>
  </si>
  <si>
    <t>trimethyl phosphite</t>
  </si>
  <si>
    <t>121-45-9</t>
  </si>
  <si>
    <t>trimethyl-1,3-cyclopentadiene</t>
  </si>
  <si>
    <t>72347-62-7</t>
  </si>
  <si>
    <t>trimethyl-1-propanaminium iodide</t>
  </si>
  <si>
    <t>1652-63-7</t>
  </si>
  <si>
    <t>trimethylamine</t>
  </si>
  <si>
    <t>75-50-3</t>
  </si>
  <si>
    <t>trimethylbenzene</t>
  </si>
  <si>
    <t>25551-13-7</t>
  </si>
  <si>
    <t>trimethylchlorosilane</t>
  </si>
  <si>
    <t>75-77-4</t>
  </si>
  <si>
    <t>trimethylguanidine hydrochloride</t>
  </si>
  <si>
    <t>71371-43-2</t>
  </si>
  <si>
    <t>trimethylheptane, all isomers</t>
  </si>
  <si>
    <t>79004-86-7</t>
  </si>
  <si>
    <t>trimethyl-N, 2-hyroxyethylpropylenediamine</t>
  </si>
  <si>
    <t>82136-26-3</t>
  </si>
  <si>
    <t>trimethylol propane</t>
  </si>
  <si>
    <t>77-99-6</t>
  </si>
  <si>
    <t>trimethylolpropane (15) ethoxylate</t>
  </si>
  <si>
    <t>50586-59-9</t>
  </si>
  <si>
    <t>trimethylolpropane ethoxytriacrylate</t>
  </si>
  <si>
    <t>28961-43-5</t>
  </si>
  <si>
    <t>trimethylolpropane propoxylate</t>
  </si>
  <si>
    <t>25723-16-4</t>
  </si>
  <si>
    <t>trimethylolpropane triacrylate</t>
  </si>
  <si>
    <t>15625-89-5</t>
  </si>
  <si>
    <t>trimethylolpropane triglycidyl ether</t>
  </si>
  <si>
    <t>30499-70-8</t>
  </si>
  <si>
    <t>trimethylolpropane tris[poly(propylene glycol), amine terminated] ether</t>
  </si>
  <si>
    <t>39423-51-3</t>
  </si>
  <si>
    <t>trinitrotoluene</t>
  </si>
  <si>
    <t>118-96-7</t>
  </si>
  <si>
    <t>trinitrotoluene, mixture of isomers</t>
  </si>
  <si>
    <t>1321-12-6</t>
  </si>
  <si>
    <t>triorthocresyl phosphate</t>
  </si>
  <si>
    <t>78-30-8</t>
  </si>
  <si>
    <t>tri-o-tolylphosphite</t>
  </si>
  <si>
    <t>25586-42-9</t>
  </si>
  <si>
    <t>triparacresyl phosphate</t>
  </si>
  <si>
    <t>78-32-0</t>
  </si>
  <si>
    <t>triphenyl phosphite</t>
  </si>
  <si>
    <t>101-02-0</t>
  </si>
  <si>
    <t>tripropylamine</t>
  </si>
  <si>
    <t>102-69-2</t>
  </si>
  <si>
    <t>tripropylene glycol</t>
  </si>
  <si>
    <t>24800-44-0</t>
  </si>
  <si>
    <t>tripropylene glycol allyl ether</t>
  </si>
  <si>
    <t>79313-19-2</t>
  </si>
  <si>
    <t>tripropylene glycol diacrylate</t>
  </si>
  <si>
    <t>42978-66-5</t>
  </si>
  <si>
    <t>tripropylene glycol methyl ether</t>
  </si>
  <si>
    <t>25498-49-1</t>
  </si>
  <si>
    <t>tripropylene glycol n-butyl ether</t>
  </si>
  <si>
    <t>55934-93-5</t>
  </si>
  <si>
    <t>tri-p-tolyl phosphite</t>
  </si>
  <si>
    <t>620-42-8</t>
  </si>
  <si>
    <t>tris(1-aziridinyl) phosphine sulfide</t>
  </si>
  <si>
    <t>52-24-4</t>
  </si>
  <si>
    <t>tris(1-chloro-2-propyl)phosphate</t>
  </si>
  <si>
    <t>13674-84-5</t>
  </si>
  <si>
    <t>tris(2-chloroethyl) phosphate</t>
  </si>
  <si>
    <t>115-96-8</t>
  </si>
  <si>
    <t>tris(aminoethyl) amine</t>
  </si>
  <si>
    <t>4097-89-6</t>
  </si>
  <si>
    <t>tris(hydroxyphenyl) ethane</t>
  </si>
  <si>
    <t>27955-94-8</t>
  </si>
  <si>
    <t>tris(nonylphenol) phosphite</t>
  </si>
  <si>
    <t>26523-78-4</t>
  </si>
  <si>
    <t>trisodium [{2-[bis(carboxylatomethyl)amino]ethyl}(2-hydroxyethyl)amino]acetate</t>
  </si>
  <si>
    <t>139-89-9</t>
  </si>
  <si>
    <t>tristyrylphenol ethoxylates</t>
  </si>
  <si>
    <t>99734-09-5</t>
  </si>
  <si>
    <t>trisubstituted benzenesulfonic acid derivative</t>
  </si>
  <si>
    <t>143182-20-1</t>
  </si>
  <si>
    <t>tritolyl phosphate</t>
  </si>
  <si>
    <t>1330-78-5</t>
  </si>
  <si>
    <t>tung oil</t>
  </si>
  <si>
    <t>8001-20-5</t>
  </si>
  <si>
    <t>turpentine</t>
  </si>
  <si>
    <t>8006-64-2</t>
  </si>
  <si>
    <t>undecanal</t>
  </si>
  <si>
    <t>112-44-7</t>
  </si>
  <si>
    <t>undecanoic acid</t>
  </si>
  <si>
    <t>undecanol, branched and linear</t>
  </si>
  <si>
    <t>128973-77-3</t>
  </si>
  <si>
    <t>undecanol, non-specific isomer</t>
  </si>
  <si>
    <t>30207-98-8</t>
  </si>
  <si>
    <t>undecyl alcohol</t>
  </si>
  <si>
    <t>112-42-5</t>
  </si>
  <si>
    <t>undecyl alcohol ethoxylates</t>
  </si>
  <si>
    <t>127036-24-2</t>
  </si>
  <si>
    <t>undecylbenzene</t>
  </si>
  <si>
    <t>6742-54-7</t>
  </si>
  <si>
    <t>unsaturated polyamide, salts</t>
  </si>
  <si>
    <t>urethane acrylate</t>
  </si>
  <si>
    <t>vacuum distillate, heavy naphthenic</t>
  </si>
  <si>
    <t>64741-53-3</t>
  </si>
  <si>
    <t>valeraldehyde</t>
  </si>
  <si>
    <t>110-62-3</t>
  </si>
  <si>
    <t>valeric acid</t>
  </si>
  <si>
    <t>109-52-4</t>
  </si>
  <si>
    <t>valeronitrile</t>
  </si>
  <si>
    <t>110-59-8</t>
  </si>
  <si>
    <t>valproic acid</t>
  </si>
  <si>
    <t>99-66-1</t>
  </si>
  <si>
    <t>vegetable oil</t>
  </si>
  <si>
    <t>68956-68-3</t>
  </si>
  <si>
    <t>vegetable oil, methyl esters</t>
  </si>
  <si>
    <t>68990-52-3</t>
  </si>
  <si>
    <t>verbenone</t>
  </si>
  <si>
    <t>80-57-9</t>
  </si>
  <si>
    <t>vinyl 2-ethylhexyl ether</t>
  </si>
  <si>
    <t>103-44-6</t>
  </si>
  <si>
    <t>vinyl acetate</t>
  </si>
  <si>
    <t>108-05-4</t>
  </si>
  <si>
    <t>vinyl bromide</t>
  </si>
  <si>
    <t>593-60-2</t>
  </si>
  <si>
    <t>vinyl caprolactam</t>
  </si>
  <si>
    <t>2235-00-9</t>
  </si>
  <si>
    <t>vinyl chloride</t>
  </si>
  <si>
    <t>75-01-4</t>
  </si>
  <si>
    <t>vinyl crotonate</t>
  </si>
  <si>
    <t>14861-06-4</t>
  </si>
  <si>
    <t>vinyl ethylene carbonate</t>
  </si>
  <si>
    <t>4427-96-7</t>
  </si>
  <si>
    <t>vinyl fluoride</t>
  </si>
  <si>
    <t>vinyl fluoride | For air permit reviews in agricultural areas</t>
  </si>
  <si>
    <t>vinyl fluoride | For air permit reviews in agricultural areas with cattle</t>
  </si>
  <si>
    <t>75-02-5 (For air permit reviews in agricultural areas with cattle)</t>
  </si>
  <si>
    <t>vinyl pivalate</t>
  </si>
  <si>
    <t>3377-92-2</t>
  </si>
  <si>
    <t>vinyl propionate</t>
  </si>
  <si>
    <t>105-38-4</t>
  </si>
  <si>
    <t>vinyl toluene</t>
  </si>
  <si>
    <t>25013-15-4</t>
  </si>
  <si>
    <t>vinyl-2-ethylhexoate</t>
  </si>
  <si>
    <t>94-04-2</t>
  </si>
  <si>
    <t>vinylcyclohexane</t>
  </si>
  <si>
    <t>695-12-5</t>
  </si>
  <si>
    <t>vinylene carbonate</t>
  </si>
  <si>
    <t>872-36-6</t>
  </si>
  <si>
    <t>vinylidene fluoride</t>
  </si>
  <si>
    <t>75-38-7</t>
  </si>
  <si>
    <t>vinylphosphonic acid</t>
  </si>
  <si>
    <t>1746-03-8</t>
  </si>
  <si>
    <t>vinyltrichlorosilane</t>
  </si>
  <si>
    <t>75-94-5</t>
  </si>
  <si>
    <t>vinyltrimethoxysilane</t>
  </si>
  <si>
    <t>2768-02-7</t>
  </si>
  <si>
    <t>white mineral oil</t>
  </si>
  <si>
    <t>8042-47-5</t>
  </si>
  <si>
    <t>xenon difluoride</t>
  </si>
  <si>
    <t>xenon difluoride | For air permit reviews in agricultural areas</t>
  </si>
  <si>
    <t>xenon difluoride | For air permit reviews in agricultural areas with cattle</t>
  </si>
  <si>
    <t>13709-36-9 (For air permit reviews in agricultural areas with cattle)</t>
  </si>
  <si>
    <t>xylene</t>
  </si>
  <si>
    <t>1330-20-7</t>
  </si>
  <si>
    <t>xylenesulfonic acid</t>
  </si>
  <si>
    <t>25321-41-9</t>
  </si>
  <si>
    <t>xylenol, mixed isomers</t>
  </si>
  <si>
    <t>1300-71-6</t>
  </si>
  <si>
    <t>xylidine, mixed isomers</t>
  </si>
  <si>
    <t>1300-73-8</t>
  </si>
  <si>
    <t>xylitol</t>
  </si>
  <si>
    <t>87-99-0</t>
  </si>
  <si>
    <t>xylose</t>
  </si>
  <si>
    <t>58-86-6</t>
  </si>
  <si>
    <t>ylang ylang oil</t>
  </si>
  <si>
    <t>8006-81-3</t>
  </si>
  <si>
    <t>zinc</t>
  </si>
  <si>
    <t>7440-66-6</t>
  </si>
  <si>
    <t>zinc 2-ethylhexanoate</t>
  </si>
  <si>
    <t>136-53-8</t>
  </si>
  <si>
    <t>zinc acetate</t>
  </si>
  <si>
    <t>557-34-6</t>
  </si>
  <si>
    <t>zinc alkyl dithiophosphate</t>
  </si>
  <si>
    <t>68649-42-3</t>
  </si>
  <si>
    <t>zinc bis (O,O-diisobutyl dithiophosphate)</t>
  </si>
  <si>
    <t>68457-79-4</t>
  </si>
  <si>
    <t>zinc bis(O,O-bis[4-(2,4-dimethyl-3-propylheptyl)phenyl] dithiophosphate)</t>
  </si>
  <si>
    <t>11059-65-7</t>
  </si>
  <si>
    <t>zinc bis[O-(1,3-dimethylbutyl) O-(1-methylethyl) dithiophosphate]</t>
  </si>
  <si>
    <t>84605-29-8</t>
  </si>
  <si>
    <t>zinc bis[O,O-bis(1,3-dimethylbutyl) dithiophosphate]</t>
  </si>
  <si>
    <t>2215-35-2</t>
  </si>
  <si>
    <t>zinc bis[O,O-bis(2-ethylhexyl) dithiophosphate]</t>
  </si>
  <si>
    <t>zinc borate</t>
  </si>
  <si>
    <t>1332-07-6</t>
  </si>
  <si>
    <t>zinc bromide</t>
  </si>
  <si>
    <t>7699-45-8</t>
  </si>
  <si>
    <t>zinc carbonate</t>
  </si>
  <si>
    <t>3486-35-9</t>
  </si>
  <si>
    <t>zinc chloride fume</t>
  </si>
  <si>
    <t>7646-85-7</t>
  </si>
  <si>
    <t>zinc dialkyldithiophosphate (lubricant additives)</t>
  </si>
  <si>
    <t>zinc dibutyldithiocarbamate</t>
  </si>
  <si>
    <t>136-23-2</t>
  </si>
  <si>
    <t>zinc dihydrogen phosphate</t>
  </si>
  <si>
    <t>13598-37-3</t>
  </si>
  <si>
    <t>zinc dimethyldithiocarbamate</t>
  </si>
  <si>
    <t>137-30-4</t>
  </si>
  <si>
    <t>zinc dinonylnaphthalene sulfonate</t>
  </si>
  <si>
    <t>28016-00-4</t>
  </si>
  <si>
    <t>zinc dipentyldithiocarbamate</t>
  </si>
  <si>
    <t>15337-18-5</t>
  </si>
  <si>
    <t>zinc dithiophosphate</t>
  </si>
  <si>
    <t>19210-06-1</t>
  </si>
  <si>
    <t>zinc ferrite brown spinel</t>
  </si>
  <si>
    <t>68187-51-9</t>
  </si>
  <si>
    <t>zinc hydroxide</t>
  </si>
  <si>
    <t>20427-58-1</t>
  </si>
  <si>
    <t>zinc hydroxyphosphate</t>
  </si>
  <si>
    <t>64539-51-1</t>
  </si>
  <si>
    <t>zinc molybdate</t>
  </si>
  <si>
    <t>13767-32-3</t>
  </si>
  <si>
    <t>zinc naphthenate</t>
  </si>
  <si>
    <t>12001-85-3</t>
  </si>
  <si>
    <t>zinc nitrate</t>
  </si>
  <si>
    <t>7779-88-6</t>
  </si>
  <si>
    <t>zinc octoate</t>
  </si>
  <si>
    <t>557-09-5</t>
  </si>
  <si>
    <t>zinc oxide</t>
  </si>
  <si>
    <t>1314-13-2</t>
  </si>
  <si>
    <t>zinc phosphate</t>
  </si>
  <si>
    <t>7779-90-0</t>
  </si>
  <si>
    <t>zinc phosphide</t>
  </si>
  <si>
    <t>1314-84-7</t>
  </si>
  <si>
    <t>zinc salts of branched C10-C19 fatty acids</t>
  </si>
  <si>
    <t>68551-44-0</t>
  </si>
  <si>
    <t>zinc soap</t>
  </si>
  <si>
    <t>68918-69-4</t>
  </si>
  <si>
    <t>zinc stearate</t>
  </si>
  <si>
    <t>557-05-1</t>
  </si>
  <si>
    <t>zinc sulfate</t>
  </si>
  <si>
    <t>7733-02-0</t>
  </si>
  <si>
    <t>zinc sulfide</t>
  </si>
  <si>
    <t>1314-98-3</t>
  </si>
  <si>
    <t>NSR Permit Number (if assigned):</t>
  </si>
  <si>
    <t>Indicate whether any of the following Federal Regulatory subparts apply to this permit by selecting yes or no. Note: You must meet the requirements of applicable federal regulations even if not listed below.</t>
  </si>
  <si>
    <r>
      <t xml:space="preserve">C. Technical Contact Information: </t>
    </r>
    <r>
      <rPr>
        <sz val="11"/>
        <color theme="1"/>
        <rFont val="Arial"/>
        <family val="2"/>
      </rPr>
      <t>This person must have the authority to make binding agreements and representations on behalf of the applicant and may be a consultant.</t>
    </r>
  </si>
  <si>
    <r>
      <rPr>
        <b/>
        <sz val="11"/>
        <color theme="1"/>
        <rFont val="Arial"/>
        <family val="2"/>
      </rPr>
      <t>Instructions:</t>
    </r>
    <r>
      <rPr>
        <sz val="11"/>
        <color theme="1"/>
        <rFont val="Arial"/>
        <family val="2"/>
      </rPr>
      <t xml:space="preserve">
1. Answer each of the questions in Section I.
2. Enter the amount of each cost in the associated box. Include estimated cost of equipment and services that would normally be capitalized according to standard and generally accepted corporate financing and accounting procedures.
3. Enter payment information.
4. If applicable, submit the application under the seal of a Texas Licensed P.E.</t>
    </r>
  </si>
  <si>
    <t>A fee of $75,000 shall be required if no estimate of capital project cost is included with the permit application. (30 TAC § 116.141(d)) Select "yes" here to use this option. Then skip sections II and III.</t>
  </si>
  <si>
    <t>Estimated Capital Cost:</t>
  </si>
  <si>
    <t>Minor Permit Application Fee:</t>
  </si>
  <si>
    <t>Substance</t>
  </si>
  <si>
    <t>CAS #</t>
  </si>
  <si>
    <t>Short Term ESL (ug/m3)</t>
  </si>
  <si>
    <t>Long Term ESL (ug/m3)</t>
  </si>
  <si>
    <t>Must Meet NAAQS</t>
  </si>
  <si>
    <t>Simple Asphyxiant</t>
  </si>
  <si>
    <t>Must Meet TCEQ Regulatory Standard</t>
  </si>
  <si>
    <t>N/A</t>
  </si>
  <si>
    <t>Reduced Permit Application Fee:</t>
  </si>
  <si>
    <t>No</t>
  </si>
  <si>
    <t>Primary seal type</t>
  </si>
  <si>
    <t>Secondary seal type</t>
  </si>
  <si>
    <t>D. Supplemental Fuel</t>
  </si>
  <si>
    <t>E. Waste Stream</t>
  </si>
  <si>
    <t>F. Compliance Assurance Monitoring</t>
  </si>
  <si>
    <t>C. Pilot Fuel</t>
  </si>
  <si>
    <t>Type of pilot fuel</t>
  </si>
  <si>
    <t>Source of emission factors</t>
  </si>
  <si>
    <t>Is the flare steam- or air-assisted?</t>
  </si>
  <si>
    <t>Supplemental fuel hourly flow rate (scf/hr)</t>
  </si>
  <si>
    <t>Supplemental fuel annual flow rate (scf/yr)</t>
  </si>
  <si>
    <t>VOC emission factor (lb/MMscf)</t>
  </si>
  <si>
    <t>NOx emission factor (lb/MMscf)</t>
  </si>
  <si>
    <t>CO emission factor (lb/MMscf)</t>
  </si>
  <si>
    <t>Annual flow rate (scf/yr)</t>
  </si>
  <si>
    <t>A. Pilot Fuel</t>
  </si>
  <si>
    <t>B. Supplemental Fuel</t>
  </si>
  <si>
    <t>NH3</t>
  </si>
  <si>
    <t>Tank1</t>
  </si>
  <si>
    <t>Tank2</t>
  </si>
  <si>
    <t>Tank3</t>
  </si>
  <si>
    <t>Tank4</t>
  </si>
  <si>
    <t>Tank5</t>
  </si>
  <si>
    <t>Vapor Molecular Weight
(lb/lb-mol)</t>
  </si>
  <si>
    <t>What is the proposed monitoring frequency?</t>
  </si>
  <si>
    <t>Does this device control units subject to CAM?</t>
  </si>
  <si>
    <t>Maximum heating value of waste stream (Btu/scf)</t>
  </si>
  <si>
    <t>Annual average heating value of waste stream (Btu/scf)</t>
  </si>
  <si>
    <t>Number of pilot lights on simultaneously</t>
  </si>
  <si>
    <t>How is the flare monitored? Note: The flare must have a Btu calorimeter or a gas analyzer to qualify for this RAP.</t>
  </si>
  <si>
    <t>Sulfur content of supplemental fuel (gr/100dscf)</t>
  </si>
  <si>
    <t>VOC control efficiency (%)</t>
  </si>
  <si>
    <t>PM, PM10, PM2.5 emission factor (lb/MMBtu)</t>
  </si>
  <si>
    <t>Design maximum hourly flow rate (scf/hr)</t>
  </si>
  <si>
    <t>SO2 emission factor, assume 100% conversion of sulfur to SO2 (lb/MMBtu)</t>
  </si>
  <si>
    <t>Notes on minimum and/or maximum</t>
  </si>
  <si>
    <t>Fuel type (Note: must fire ultra-low sulfur diesel.)</t>
  </si>
  <si>
    <t>Source for PM, PM10, PM2.5 emission factor</t>
  </si>
  <si>
    <t>Source for SO2 emission factor</t>
  </si>
  <si>
    <t>Source for NOx thermal emission factor</t>
  </si>
  <si>
    <t>Source for CO thermal emission factor</t>
  </si>
  <si>
    <t>Press TAB to move input areas. Press UP or DOWN ARROW in column A to read through the document. The text is broken into multiple cells for ease of reading.</t>
  </si>
  <si>
    <t>Calculations for Fugitive Emissions</t>
  </si>
  <si>
    <t>Notes:</t>
  </si>
  <si>
    <t>Component</t>
  </si>
  <si>
    <t>Service</t>
  </si>
  <si>
    <t>Count</t>
  </si>
  <si>
    <t>Agency emission factor [6] [7]</t>
  </si>
  <si>
    <t>Agency control efficiency (set 1)</t>
  </si>
  <si>
    <t>Agency control efficiency (set 2)</t>
  </si>
  <si>
    <t>Controlled emissions (lb/hr)</t>
  </si>
  <si>
    <t>Controlled emissions (tpy)</t>
  </si>
  <si>
    <t>Total for Section IV</t>
  </si>
  <si>
    <t>lb/hr</t>
  </si>
  <si>
    <t>tpy</t>
  </si>
  <si>
    <t>Total</t>
  </si>
  <si>
    <t>[1] Liquid Relief Valves: No factors developed; use industry appropriate light liquid valve factors for existing units. New units are expected to have no emissions if they meet BACT.</t>
  </si>
  <si>
    <t>[2] Facilities subject to fugitive emission monitoring under 30 TAC §§115.324(1)(C) and 354(1)(A) are required to monitor process drains on an annual basis.
 A 75% reduction credit may be applied for annual monitoring of process drains at a leak threshold of 500 ppmv provided the drain is designed in such a manner that repairs to leaking drains can be achieved. For example, flushing a water seal on a leaking process drain would constitute repair, so a 75% reduction credit may be applied. Similarly, a 95% reduction credit can be applied for quarterly monitoring of drains if repairs to the leaking drains can be completed.</t>
  </si>
  <si>
    <t>[4] DTM refers to difficult-to-monitor or unsafe to monitor components.</t>
  </si>
  <si>
    <t xml:space="preserve">[5] DTM (AM) refers to difficult-to-monitor/unsafe to monitor components that are monitored annually at 500 ppmv. </t>
  </si>
  <si>
    <t>[7] These emission factors require the use of the 28MID fugitive program.</t>
  </si>
  <si>
    <t xml:space="preserve">[8] For oil and gas production operations, separate factors are given for "flanges" and "connectors". </t>
  </si>
  <si>
    <t>[9] For oil and gas production operations, "Other" includes diaphragms, dump arms, hatches, instruments, meters, polished rods, and vents.</t>
  </si>
  <si>
    <t>CAS number</t>
  </si>
  <si>
    <t>Species name</t>
  </si>
  <si>
    <t>Species Name</t>
  </si>
  <si>
    <t>Liquid Weight Fraction</t>
  </si>
  <si>
    <t>Vapor Weight Fraction</t>
  </si>
  <si>
    <t>Stream type</t>
  </si>
  <si>
    <t>SOCMI average</t>
  </si>
  <si>
    <t>SOCMI w/o C2</t>
  </si>
  <si>
    <t>SOCMI non-leaker</t>
  </si>
  <si>
    <t>Oil and gas</t>
  </si>
  <si>
    <t>Phosgene w/MID</t>
  </si>
  <si>
    <t>Butadiene w/MID</t>
  </si>
  <si>
    <t>None</t>
  </si>
  <si>
    <t>28VHP</t>
  </si>
  <si>
    <t>28MID</t>
  </si>
  <si>
    <t>28LAER</t>
  </si>
  <si>
    <t>28AVO</t>
  </si>
  <si>
    <t>Valves</t>
  </si>
  <si>
    <t>Gas</t>
  </si>
  <si>
    <t xml:space="preserve">Valves-DTM </t>
  </si>
  <si>
    <t xml:space="preserve">Gas </t>
  </si>
  <si>
    <t>Valves-DTM (AM)</t>
  </si>
  <si>
    <t>Heavy Oil &lt;20° API</t>
  </si>
  <si>
    <t>Light Oil &gt; 20°</t>
  </si>
  <si>
    <t xml:space="preserve">Light Oil &gt; 20° </t>
  </si>
  <si>
    <t>Water/Light Oil</t>
  </si>
  <si>
    <t>Valves (controlled)</t>
  </si>
  <si>
    <t>All</t>
  </si>
  <si>
    <t>Pumps</t>
  </si>
  <si>
    <t>Heavy Oil &lt;20°API</t>
  </si>
  <si>
    <t>Light Oil &gt;20°</t>
  </si>
  <si>
    <t>Pumps (controlled)</t>
  </si>
  <si>
    <t>Flanges</t>
  </si>
  <si>
    <t>Flanges-DTM</t>
  </si>
  <si>
    <t>Flanges-DTM (AM)</t>
  </si>
  <si>
    <t>Flanges-DTM(AM)</t>
  </si>
  <si>
    <t>Flanges (controlled)</t>
  </si>
  <si>
    <t>Compressors</t>
  </si>
  <si>
    <t>Compressors (controlled)</t>
  </si>
  <si>
    <t>Relief Valves</t>
  </si>
  <si>
    <t>Relief Valves (controlled)</t>
  </si>
  <si>
    <t>Open-Ended Lines</t>
  </si>
  <si>
    <t>Open-Ended Lines (controlled)</t>
  </si>
  <si>
    <t>Sampling (hourly)</t>
  </si>
  <si>
    <t>Sampling (annual)</t>
  </si>
  <si>
    <t>Connectors</t>
  </si>
  <si>
    <t>Connectors-DTM</t>
  </si>
  <si>
    <t>Connectors-DTM (AM)</t>
  </si>
  <si>
    <t>Other</t>
  </si>
  <si>
    <t>Process Drains</t>
  </si>
  <si>
    <t>Gas/Vapor</t>
  </si>
  <si>
    <t>Light Liquid</t>
  </si>
  <si>
    <t>Valves-DTM</t>
  </si>
  <si>
    <t xml:space="preserve">Gas/Vapor </t>
  </si>
  <si>
    <t xml:space="preserve">Light Liquid </t>
  </si>
  <si>
    <t>Valves-DTM(AM)</t>
  </si>
  <si>
    <t>Heavy Liquid</t>
  </si>
  <si>
    <t>Ultra Heavy Liquid</t>
  </si>
  <si>
    <t>Valves (Controlled)</t>
  </si>
  <si>
    <t>Flanges/Connectors</t>
  </si>
  <si>
    <t>Flanges/Connectors-DTM</t>
  </si>
  <si>
    <t>Flanges/Connectors-DTM(AM)</t>
  </si>
  <si>
    <t>Flanges/Connectors (controlled)</t>
  </si>
  <si>
    <t>Process Drains [1]</t>
  </si>
  <si>
    <t>Ethylene oxide w/MID</t>
  </si>
  <si>
    <t>Inherently low-emitting activities and routine maintenance</t>
  </si>
  <si>
    <t>Current permit conditions apply unless any condition of this attachment is more stringent than the permit requirements, then for the purposes of complying with this permit, the attachment shall govern and be the standard by which compliance shall be demonstrated.</t>
  </si>
  <si>
    <t>The permit holder shall maintain a Risk Management Plan at the site which describes the measures taken by facility personnel to prevent and respond to upsets or severe leaks of pollutants requiring disaster review. This plan shall include a monitoring and alarm system and notification of civil authorities, appropriate organizations, and potentially affected residences. Response procedures in the event of leaks other than minor valve leaks shall comply with the mitigation and emergency procedure.</t>
  </si>
  <si>
    <t>Federal and State Applicability</t>
  </si>
  <si>
    <t>These facilities shall comply with all applicable requirements of the EPA regulations on Standards of Performance for New Stationary Sources promulgated in 40 CFR Part 60:</t>
  </si>
  <si>
    <t>A</t>
  </si>
  <si>
    <t>B</t>
  </si>
  <si>
    <t>D</t>
  </si>
  <si>
    <t>C</t>
  </si>
  <si>
    <t>E</t>
  </si>
  <si>
    <t>F</t>
  </si>
  <si>
    <t>G</t>
  </si>
  <si>
    <t>H</t>
  </si>
  <si>
    <t>I</t>
  </si>
  <si>
    <t>J</t>
  </si>
  <si>
    <t>K</t>
  </si>
  <si>
    <t>L</t>
  </si>
  <si>
    <t>M</t>
  </si>
  <si>
    <t>There are no input areas on this worksheet. Press UP or DOWN ARROW in column A to read through the document.</t>
  </si>
  <si>
    <t>I. Special Conditions</t>
  </si>
  <si>
    <t>II. Applicant Confirmation</t>
  </si>
  <si>
    <t>I have reviewed and agree to the following: BACT as represented in this application; emission rates represented in the Emission Summary of the workbook; the impacts review contained within this workbook; all other representations made in this application workbook; and the draft permit. In addition, this workbook is submitted as part of my application and accurately represents my proposed project.</t>
  </si>
  <si>
    <t>Confirm that you agree with the statement above by electronically signing (typing) your name here:</t>
  </si>
  <si>
    <t>Subpart OOOO: Standards of Performance for Crude Oil and Natural Gas Production, Transmission and Distribution for which Construction, Modification or Reconstruction Commenced After August 23, 2011, and on or before September 18, 2015</t>
  </si>
  <si>
    <t>These facilities shall comply with all applicable requirements of the EPA regulations on National Emission Standards for Hazardous Air Pollutants in 40 CFR Part 61:</t>
  </si>
  <si>
    <t>These facilities shall comply with all applicable requirements of the EPA regulations on National Emission Standards for Hazardous Air Pollutants for Source Categories in 40 CFR Part 63:</t>
  </si>
  <si>
    <t>Subpart Y: National Emission Standards for Marine Tank Vessel Loading Operations</t>
  </si>
  <si>
    <t>N</t>
  </si>
  <si>
    <t>O</t>
  </si>
  <si>
    <t>P</t>
  </si>
  <si>
    <t>Q</t>
  </si>
  <si>
    <t>Subpart DDDDD Industrial, Commercial and Institutional Boilers and Process Heaters (major sources)</t>
  </si>
  <si>
    <t>R</t>
  </si>
  <si>
    <t>S</t>
  </si>
  <si>
    <t>T</t>
  </si>
  <si>
    <t>U</t>
  </si>
  <si>
    <t>Leak Detection and Repair Monitoring Program</t>
  </si>
  <si>
    <t>Construction of new and reworked piping, valves, pump systems, and compressor systems shall conform to applicable American National Standards Institute (ANSI), American Petroleum Institute (API), American Society of Mechanical Engineers (ASME), or equivalent codes.</t>
  </si>
  <si>
    <t>New and reworked underground process pipelines shall contain no buried valves such that fugitive emission monitoring is rendered impractical.  New and reworked buried connectors shall be welded.</t>
  </si>
  <si>
    <t>(1)</t>
  </si>
  <si>
    <t>a cap, blind flange, plug, or second valve must be installed on the line or valve; or</t>
  </si>
  <si>
    <t>(2)</t>
  </si>
  <si>
    <t>Except as may be provided for in the special conditions of this permit, all pump, compressor, and agitator seals shall be monitored with an approved gas analyzer at least quarterly or be equipped with a shaft sealing system that prevents or detects emissions of VOC from the seal.  Seal systems designed and operated to prevent emissions or seals equipped with automatic seal failure detection and alarm system need not be monitored.  These seal systems may include (but are not limited to) dual pump seals with barrier fluid at higher pressure than process pressure, seals degassing to vent control systems kept in good working order, or seals equipped with an automatic seal failure detection and alarm system.  Submerged pumps or sealless pumps (including, but not limited to, diaphragm, canned, or magnetic-driven pumps) may be used to satisfy the requirements of this condition and need not be monitored.</t>
  </si>
  <si>
    <t>Records of repairs shall include date of repairs, repair results, justification for delay of repairs, and corrective actions taken for all components.  Records of instrument monitoring shall indicate dates and times, test methods, and instrument readings.   The instrument monitoring record shall include the time that monitoring took place for no less than 95% of the instrument readings recorded.  Records of physical inspections shall be noted in the operator’s log or equivalent.</t>
  </si>
  <si>
    <t>Alternative monitoring frequency schedules of 30 TAC 115.352 - 115.359 or National Emission Standards for Organic Hazardous Air Pollutants, 40 CFR Part 63, Subpart H, may be used in lieu of Items F and G of this condition.</t>
  </si>
  <si>
    <t>Compliance with the requirements of this condition does not assure compliance with requirements of 30 TAC Chapter 115, an applicable New Source Performance Standard (NSPS), or an applicable National Emission Standard for Hazardous Air Pollutants (NESHAPS) and does not constitute approval of alternative standards for these regulations.</t>
  </si>
  <si>
    <t>Piping, Valves, Connectors, Pumps, Agitators and Compressors, in contact with Insert Compound - Intensive Directed Maintenance – 28MID
Except as may be provided for in the Special Conditions of this permit, the following requirements apply to the above-referenced equipment:</t>
  </si>
  <si>
    <t>Construction of new and reworked piping, valves, pump systems, agitators, and compressor systems shall conform to applicable American National Standards Institute (ANSI), American Petroleum Institute (API), American Society of Mechanical Engineers (ASME), or equivalent codes.</t>
  </si>
  <si>
    <t>To the extent that good engineering practice will permit, new and reworked valves and piping connections shall be so located to be reasonably accessible for leak-checking during plant operation.  Difficult-to-monitor and unsafe-to-monitor valves, as defined by Title 30 Texas Administrative Code Chapter 115 (30 TAC Chapter 115), shall be identified in a list to be made available upon request.  The difficult-to-monitor and unsafe-to-monitor valves may be identified by one or more of the methods described in Paragraph A above.  If an unsafe to monitor component is not considered safe to monitor within a calendar year, then it shall be monitored as soon as possible during safe to monitor times.  A difficult to monitor component for which quarterly monitoring is specified may instead be monitored annually.</t>
  </si>
  <si>
    <t>New and reworked piping connections shall be welded or flanged.  Screwed connections are permissible only on piping smaller than two-inch diameter.  Gas or hydraulic testing of the new and reworked piping connections at no less than operating pressure shall be performed prior to returning the components to service or they shall be monitored for leaks using an approved gas analyzer within 15 days of the components being returned to service.  Adjustments shall be made as necessary to obtain leak-free performance.  Connectors shall be inspected by visual, audible, and/or olfactory means at least weekly by operating personnel walk-through.
Each open-ended valve or line shall be equipped with an appropriately sized cap, blind flange, plug, or a second valve to seal the line.   Except during sampling, both valves shall be closed.   If the isolation of equipment for hot work or the removal of a component for repair or replacement results in an open-ended line or valve, it is exempt from the requirement to install a cap, blind flange, plug, or second valve for 72 hours.  If the repair or replacement is not completed within 72 hours, the permit holder must complete either of the following actions within that time period;</t>
  </si>
  <si>
    <t>the open-ended valve or line shall be monitored once for leaks above background for a plant or unit turnaround lasting up to 45 days with an approved gas analyzer and the results recorded.  For all other situations, the open-ended valve or line shall be monitored once by the end of the 72 hours period following the creation of the open-ended line and monthly thereafter with an approved gas analyzer and the results recorded.  For turnarounds and all other situations, leaks are indicated by readings of 500 ppmv and must be repaired within 24 hours or a cap, blind flange, plug, or second valve must be installed on the line or valve.</t>
  </si>
  <si>
    <t>Accessible valves shall be monitored by leak-checking for fugitive emissions at least quarterly using an approved gas analyzer with a directed maintenance program.  Sealless/leakless valves (including, but not limited to, welded bonnet bellows and diaphragm valves) and relief valves equipped with a rupture disc upstream or venting to a control device are not required to be monitored.  For valves equipped with rupture discs, a pressure-sensing device shall be installed between the relief valve and rupture disc to monitor disc integrity.  All leaking discs shall be replaced at the earliest opportunity but no later than the next process shutdown.
A check of the reading of the pressure-sensing device to verify disc integrity shall be performed at least quarterly and recorded in the unit log or equivalent.  Pressure-sensing devices that are continuously monitored with alarms are exempt from recordkeeping requirements specified in this paragraph.
An approved gas analyzer shall conform to requirements listed in Method 21 of 40 CFR part 60, appendix A.  The gas analyzer shall be calibrated with methane.   In addition, the response factor of the instrument for a specific VOC of interest shall be determined and meet the requirements of Section 8 of Method 21.  If a mixture of VOCs is being monitored, the response factor shall be calculated for the average composition of the process fluid.  A calculated average is not required when all of the compounds in the mixture have a response factor less than 10 using methane.  If a response factor less than 10 cannot be achieved using methane, then the instrument may be calibrated with one of the VOC to be measured or any other VOC so long as the instrument has a response factor of less than 10 for each of the VOC to be measured.
A directed maintenance program shall consist of the repair and maintenance of components assisted simultaneously by the use of an approved gas analyzer such that a minimum concentration of leaking VOC is obtained for each component being maintained.  A first attempt to repair the leak must be made within 5 days.  Records of the first attempt to repair shall be maintained.   Replaced components shall be re-monitored within 15 days of being placed back into VOC service.</t>
  </si>
  <si>
    <t>All new and replacement pumps, compressors, and agitators shall be equipped with a shaft sealing system that prevents or detects emissions of VOC from the seal.  These seal systems need not be monitored and may include (but are not limited to) dual pump seals with barrier fluid at higher pressure than process pressure, seals degassing to vent control systems kept in good working order, or seals equipped with an automatic seal failure detection and alarm system.  Submerged pumps or sealless pumps (including, but not limited to, diaphragm, canned, or magnetic-driven pumps) may be used to satisfy the requirements of this condition and need not be monitored.
All other pump, compressor, and agitator seals shall be monitored with an approved gas analyzer at least quarterly.</t>
  </si>
  <si>
    <t>Damaged or leaking valves, connectors, compressor seals, pump seals, and agitator seals found to be emitting VOC in excess of 500 parts per million by volume (ppmv) or found by visual inspection to be leaking (e.g., dripping process fluids) shall be tagged and replaced or repaired.  A leaking component shall be repaired as soon as practicable, but no later than 15 days after the leak is found.  If the repair of a component would require a unit shutdown that would create more emissions than the repair would eliminate, the repair may be delayed until the next scheduled shutdown. All leaking components which cannot be repaired until a scheduled shutdown shall be identified for such repair by tagging.  A listing of all components that qualify for delay of repair shall be maintained on a delay of repair list.  The cumulative daily emissions from all components on the delay of repair list shall be estimated by multiplying by 24 the mass emission rate for each component calculated in accordance with the instructions in 30 TAC 115.782 (c)(1)(B)(i)(II).  The calculations of the cumulative daily emissions from all components on the delay of repair list shall be updated within ten days of when the latest leaking component is added to the delay of repair list.   When the cumulative daily emission rate of all components on the delay of repair list times the number of days until the next scheduled unit shutdown is equal to or exceeds the total emissions from a unit shutdown as calculated in accordance with 30 TAC 115.782 (c)(1)(B)(i)(I), the TCEQ Regional Manager and any local programs shall be notified and may require early unit shutdown or other appropriate action based on the number and severity of tagged leaks awaiting shutdown.  This notification shall be made within 15 days of making this determination.</t>
  </si>
  <si>
    <t>In lieu of the monitoring frequency specified in paragraph F, valves in gas and light liquid service may be monitored on a semiannual basis if the percent of valves leaking for two consecutive quarterly monitoring periods is less than 0.5 percent.
Valves in gas and light liquid service may be monitored on an annual basis if the percent of valves leaking for two consecutive semiannual monitoring periods is less than 0.5 percent.
If the percent of valves leaking for any semiannual or annual monitoring period is 0.5 percent or greater, the facility shall revert to quarterly monitoring until the facility again qualifies for the alternative monitoring schedules previously outlined in this paragraph.</t>
  </si>
  <si>
    <t>Records of repairs shall include date of repairs, repair results, justification for delay of repairs, and corrective actions taken for all components.  Records of instrument monitoring shall indicate dates and times, test methods, and instrument readings.  The instrument monitoring record shall include the time that monitoring took place for no less than 95% of the instrument readings recorded.  Records of physical inspections shall be noted in the operator’s log or equivalent.</t>
  </si>
  <si>
    <t>Compliance with the requirements of this condition does not assure compliance with requirements of 30 TAC Chapter 115, an applicable New Source Performance Standard, or an applicable National Emission Standard for Hazardous Air Pollutants and does not constitute approval of alternative standards for these regulations.</t>
  </si>
  <si>
    <t>The open-ended valve or line shall be monitored once for leaks above background for a plant or unit turnaround lasting up to 45 days with an approved gas analyzer and the results recorded.  For all other situations, the open-ended valve or line shall be monitored once by the end of the 72 hours period following the creation of the open-ended line and monthly thereafter with an approved gas analyzer and the results recorded.  For turnarounds and all other situations, leaks are indicated by readings of 500 ppmv and must be repaired within 24 hours or a cap, blind flange, plug, or second valve must be installed on the line or valve.</t>
  </si>
  <si>
    <t>Accessible valves shall be monitored by leak-checking for fugitive emissions at least quarterly using an approved gas analyzer with a directed maintenance program.  Non accessible valves shall be monitored by leak-checking for fugitive emissions at least annually using an approved gas analyzer with a directed maintenance program.  Sealless/leakless valves (including, but not limited to, welded bonnet bellows and diaphragm valves) and relief valves equipped with a rupture disc upstream or venting to a control device are not required to be monitored.  For valves equipped with rupture discs, a pressure-sensing device shall be installed between the relief valve and rupture disc to monitor disc integrity.  All leaking discs shall be replaced at the earliest opportunity but no later than the next process shutdown.  A check of the reading of the pressure-sensing device to verify disc integrity shall be performed at least quarterly and recorded in the unit log or equivalent.  Pressure-sensing devices that are continuously monitored with alarms are exempt from recordkeeping requirements specified in this paragraph.
The gas analyzer shall conform to requirements listed in Method 21 of 40 CFR part 60, appendix A.  The gas analyzer shall be calibrated with methane.   In addition, the response factor of the instrument for a specific VOC of interest shall be determined and meet the requirements of Section 8 of Method 21.  If a mixture of VOCs is being monitored, the response factor shall be calculated for the average composition of the process fluid.  A calculated average is not required when all of the compounds in the mixture have a response factor less than 10 using methane.  If a response factor less than 10 cannot be achieved using methane, than the instrument may be calibrated with one of the VOC to be measured or any other VOC so long as the instrument has a response factor of less than 10 for each of the VOC to be measured.
A directed maintenance program shall consist of the repair and maintenance of components assisted simultaneously by the use of an approved gas analyzer such that a minimum concentration of leaking VOC is obtained for each component being maintained.  Replaced components shall be re-monitored within 15 days of being placed back into VOC service.</t>
  </si>
  <si>
    <t>Damaged or leaking valves, connectors, compressor seals, pump seals, and agitator seals found to be emitting VOC in excess of 500 parts per million by volume (ppmv) or found by visual inspection to be leaking (e.g., dripping process fluids) shall be tagged and replaced or repaired.  A first attempt to repair the leak must be made within 5 days.  Records of the first attempt to repair shall be maintained.  A leaking component shall be repaired as soon as practicable, but no later than 15 days after the leak is found.  If the repair of a component would require a unit shutdown that would create more emissions than the repair would eliminate, the repair may be delayed until the next scheduled shutdown. All leaking components which cannot be repaired until a scheduled shutdown shall be identified for such repair by tagging.  A listing of all components that qualify for delay of repair shall be maintained on a delay of repair list.  The cumulative daily emissions from all components on the delay of repair list shall be estimated by multiplying by 24 the mass emission rate for each component calculated in accordance with the instructions in 30 TAC 115.782 (c)(1)(B)(i)(II).  The calculations of the cumulative daily emissions from all components on the delay of repair list shall be updated within ten days of when the latest leaking component is added to the delay of repair list.   When the cumulative daily emission rate of all components on the delay of repair list times the number of days until the next scheduled unit shutdown is equal to or exceeds the total emissions from a unit shutdown as calculated in accordance with 30 TAC 115.782 (c)(1)(B)(i)(I), the TCEQ Regional Manager and any local programs shall be notified and may require early unit shutdown or other appropriate action based on the number and severity of tagged leaks awaiting shutdown.  This notification shall be made within 15 days of making this determination.</t>
  </si>
  <si>
    <t>Records of repairs shall include date of repairs, repair results, justification for delay of repairs, and corrective actions taken for all components.  Records of instrument monitoring shall indicate dates, times, test methods, and instrument readings.  The instrument monitoring record shall include the time that monitoring took place for no less than 95% of the instrument readings recorded.  Records of physical inspections shall be noted in the operator’s log or equivalent.</t>
  </si>
  <si>
    <t>Any component found to be leaking by physical inspection (i.e., sight, sound, or smell) shall be repaired or monitored with an approved gas analyzer within 15 days to determine whether the component is leaking in excess of 500 ppmv of VOC.  If the component is found to be leaking in excess of 500 ppmv of VOC, it shall be subject to the repair and replacement requirements contained in this special condition.</t>
  </si>
  <si>
    <t>Audio, olfactory, and visual checks for leaks within the operating area shall be made every four hours.</t>
  </si>
  <si>
    <t>Immediately, but no later than one hour upon detection of a leak, plant personnel shall take at least one of the following actions:</t>
  </si>
  <si>
    <t>Isolate the leak.</t>
  </si>
  <si>
    <t>Commence repair or replacement of the leaking component.</t>
  </si>
  <si>
    <t>(3)</t>
  </si>
  <si>
    <t>Use a leak collection/containment system to prevent the leak until repair or replacement can be made if immediate repair is not possible.</t>
  </si>
  <si>
    <t>Date and time of each inspection shall be noted in the operator's log or equivalent.  Records shall be maintained at the plant site of all repairs and replacements made due to leaks.  These records shall be made available to representatives of the Texas Commission on Environmental Quality (TCEQ) upon request.</t>
  </si>
  <si>
    <t>Storage tanks are subject to the following requirements: The control requirements specified in parts A–E of this condition shall not apply (1) where the VOC has an aggregate partial pressure of less than 0.50 psia at the maximum feed temperature or 95°F, whichever is greater, or (2) storage tanks smaller than 25,000 gallons.</t>
  </si>
  <si>
    <t>The tank emissions must be controlled as specified in one of the paragraphs below:</t>
  </si>
  <si>
    <t>An internal floating deck or “roof” shall be installed. A domed external floating roof tank is equivalent to an internal floating roof tank. The floating roof shall be equipped with one of the following closure devices between the wall of the storage vessel and the edge of the floating roof: (1) a liquid-mounted seal, (2) two continuous seals mounted one above the other, or (3) a mechanical shoe seal.</t>
  </si>
  <si>
    <t>For any tank equipped with a floating roof, the permit holder shall perform the visual inspections and any seal gap measurements specified in Title 40 Code of Federal Regulations § 60.113b (40 CFR § 60.113b) Testing and Procedures (as amended at 54 FR 32973, Aug. 11, 1989) to verify fitting and seal integrity. Records shall be maintained of the dates inspection was performed, any measurements made, results of inspections and measurements made (including raw data), and actions taken to correct any deficiencies noted.</t>
  </si>
  <si>
    <t>The floating roof design shall incorporate sufficient flotation to conform to the requirements of API Code 650 dated November 1, 1998 except that an internal floating cover need not be designed to meet rainfall support requirements and the materials of construction may be steel or other materials.</t>
  </si>
  <si>
    <t>The tanks shall be designed to completely drain its entire contents to a sump in a manner that leaves no more than 9 gallons of free-standing liquid in the tank or the sump.</t>
  </si>
  <si>
    <t>Tanks shall be constructed or equipped with a connection to a vapor recovery system that routes vapors from the vapor space under the landed roof to a control device.</t>
  </si>
  <si>
    <t>Except for labels, logos, etc. not to exceed 15 percent of the tank total surface area, uninsulated tank exterior surfaces exposed to the sun shall be white or unpainted aluminum. Storage tanks must be equipped with permanent submerged fill pipes.</t>
  </si>
  <si>
    <t xml:space="preserve">The permit holder shall maintain a record of tank throughput for the previous month and the past consecutive 12-month period for each tank.  </t>
  </si>
  <si>
    <t>All lines and connectors shall be visually inspected for any defects prior to hookup. Lines and connectors that are visibly damaged shall be removed from service. Operations shall cease immediately upon detection of any liquid leaking from the lines or connections.</t>
  </si>
  <si>
    <t>Loading of materials with a vapor pressure of equal or greater than 0.5 pounds per inch square atmosphere (psia) shall be vented to control.</t>
  </si>
  <si>
    <t>A blower system shall be installed to produce a vacuum in the tank truck during all loading operations. A pressure/vacuum gauge shall be installed on the suction side of the loading rack blower system adjacent to the truck being loaded to verify a vacuum in that vessel. Loading shall not occur unless there is a vacuum of at least 1.5 inch water column being maintained by the vacuum-assist vapor collection system when loading trucks. The vacuum shall be recorded every 15 minutes during loading.</t>
  </si>
  <si>
    <t>In order to ensure 100-percent capture efficiency of VOC during railcar loading, the following requirements must be met:</t>
  </si>
  <si>
    <t>Each railcar to be loaded shall be pressure certified by Department of Transportation (DOT) Class DOT-111AW or Class DOT-115AW testing or equivalent within the past 12 months prior to loading. The holder of this permit shall not allow a railcar to be loaded unless it has provided a certificate which shows the date the railcar last passed the leak-tight test required by this condition and the identification number of the railcar.  Records of the date on which the testing was performed and the test method used shall be maintained for each railcar loaded.</t>
  </si>
  <si>
    <t>Hard-piped or bolted connections, and/or dry lock design hard-piped loading arms shall be used for all pressurized loading operations.</t>
  </si>
  <si>
    <t>Each railcar to be loaded shall be designed to handle a pressure of 15 psi gauge or greater.</t>
  </si>
  <si>
    <t>Each railcar to be loaded shall not be equipped with a spew gauge.</t>
  </si>
  <si>
    <t>A blower system shall be installed to produce a vacuum in the non-inerted marine vessel during all loading operations.  A pressure/vacuum gauge shall be installed on the suction side of the loading rack blower system adjacent to the vessel being loaded to verify a vacuum in that vessel.  Loading shall not occur unless there is a vacuum of at least 1.5-inch water column being maintained by the vacuum-assist vapor collection system when loading trucks.  The vacuum shall be recorded every 15 minutes during loading.</t>
  </si>
  <si>
    <t xml:space="preserve">Before loading a marine vessel with a VOC which has a vapor pressure equal to or greater than 0.5 pounds per square inch absolute (psia) at 95°F or the loading temperature, whichever is higher, the owner or operator of the marine terminal shall verify that the marine vessel has passed an annual vapor tightness test as specified in 40 CFR §63.565(c) (September 19, 1995) or 40 CFR §61.304(f) (October 17, 2000) within the previous twelve months.   </t>
  </si>
  <si>
    <t>Before loading, the owner or operator of the marine terminal shall verify that the marine vessel has passed an annual vapor tightness test as specified in 40 CFR §63.565(c) (September 19, 1995, amended February 27, 2014) or 40 CFR §61.304(f) (October 17, 2000) within the previous twelve months, and received a recent, completed Standard Tanker Chartering Questionnaire form (Q88) or equivalent.</t>
  </si>
  <si>
    <t xml:space="preserve">VOC loading rates shall be recorded during loading. The loading rate must not exceed the maximum permitted loading rate.     </t>
  </si>
  <si>
    <t xml:space="preserve">During loading, the owner or operator of the marine terminal or of the marine vessel shall conduct audio, olfactory, and visual checks for leaks within the first hour of loading and at least once every 8 hours thereafter for on-shore equipment and on board the ship.  </t>
  </si>
  <si>
    <t>If a liquid leak is detected during loading and cannot be repaired immediately (for example, by tightening a bolt or packing gland), then the loading operation shall cease until the leak is repaired.</t>
  </si>
  <si>
    <t>If a vapor leak is detected by sight, sound, smell, or hydrocarbon gas analyzer during the loading operation, then a "first attempt" shall be made to repair the leak. Loading operations need not be ceased if the first attempt to repair the leak is not successful provided that the first attempt effort is documented by the owner or operator of the marine vessel and a copy of the repair log is made available to a representative of the marine terminal.</t>
  </si>
  <si>
    <t>If the attempt to repair the leak is not successful and loading continues, emissions from the loading operation for that ship shall be calculated assuming a collection efficiency of 99%.</t>
  </si>
  <si>
    <t>Storage tanks and loading operations at this facility are limited to those shown in Attachment D.</t>
  </si>
  <si>
    <t>Flares shall be designed and operated in accordance with the following requirements:</t>
  </si>
  <si>
    <t>The flare shall be operated with a flame present at all times and/or have a constant pilot flame. The pilot flame shall be continuously monitored by a thermocouple, infrared monitor, or ultraviolet monitor. The time, date, and duration of any loss of pilot flame shall be recorded. Each monitoring device shall be accurate to, and shall be calibrated at a frequency in accordance with, the manufacturer’s specifications.</t>
  </si>
  <si>
    <t>Calibration of the analyzer shall follow the procedures and requirements of Section 10.0 of 40 CFR Part 60, Appendix B, Performance Specification 9, as amended through October 17, 2000 (65 FR 61744), except that the multi-point calibration procedure in Section 10.1 of Performance Specification 9 shall be performed at least once every calendar quarter instead of once every month, and the mid-level calibration check procedure in Section 10.2 of Performance Specification 9 shall be performed at least once every calendar week instead of once every 24 hours. The calibration gases used for calibration procedures shall be in accordance with Section 7.1 of Performance Specification 9. Net heating value of the gas combusted in the flare shall be calculated according to the equation given in 40 CFR §60.18(f)(3) as amended through October 17, 2000 (65 FR 61744).</t>
  </si>
  <si>
    <t>The monitors and analyzers shall operate as required by this section at least 95% of the time when the flare is operational, averaged over a rolling 12 month period.  Flared gas net heating value and actual exit velocity determined in accordance with 40 CFR §§60.18(f)(3) and 60.18(f)(4) shall be recorded at least once every hour.</t>
  </si>
  <si>
    <t>Hourly mass emission rates shall be determined and recorded using the above readings and the emission factors used in the permit application.</t>
  </si>
  <si>
    <t>VCU</t>
  </si>
  <si>
    <t>The temperature measurement device shall reduce the temperature readings to an averaging period of 6 minutes or less and record it at that frequency. The temperature monitor shall be installed, calibrated or have a calibration check performed at least annually, and maintained according to the manufacturer's specifications. The device shall have an accuracy of the greater of ±2 percent of the temperature being measured expressed in degrees Celsius or ±2.5°C.</t>
  </si>
  <si>
    <t>Quality assured (or valid) data must be generated when the VCU is operating except during the performance of a daily zero and span check. Loss of valid data due to periods of monitor break down, out-of-control operation (producing inaccurate data), repair, maintenance, or calibration may be exempted provided it does not exceed 5 percent of the time (in minutes) that the VCU operated over the previous rolling 12 month period. The measurements missed shall be estimated using engineering judgment and the methods used recorded.</t>
  </si>
  <si>
    <t>The vapor combustor shall be operated with no visible emissions and have a constant pilot flame during all times waste gas could be directed to it. The pilot flame shall be continuously monitored by a thermocouple or an infrared monitor. The time, date, and duration of any loss of pilot flame shall be recorded. Each monitoring device shall be accurate to, and shall be calibrated or have a calibration check performed at a frequency in accordance with, the manufacturer’s specifications.</t>
  </si>
  <si>
    <t>Once a month, inspect the valves, verifying the position of the valves and the condition of the car seals to prevent flow out the bypass.</t>
  </si>
  <si>
    <t>The VOC sampling and analysis shall be performed using an instrument with a flame ionization detector (FID), or a TCEQ-approved alternative detector. The instrument/FID must meet all requirements specified in Section 8.1 of EPA Method 21 (40 CFR 60, Appendix A). Sampling and analysis for VOC breakthrough shall be performed as follows:</t>
  </si>
  <si>
    <t>The sampling point shall be at the outlet of the initial canister but before the inlet to the second or final polishing canister. Sample ports or connections must be designed such that air leakage into the sample port does not occur during sampling.</t>
  </si>
  <si>
    <t>During sampling, data recording shall not begin until after two times the instrument response time.  The VOC concentration shall be monitored for at least 5 minutes, recording 1-minute averages.</t>
  </si>
  <si>
    <t>Records of the CAS monitoring maintained at the plant site shall include (but are not limited to) the following:</t>
  </si>
  <si>
    <t>Sample time and date.</t>
  </si>
  <si>
    <t>Monitoring results (ppmv).</t>
  </si>
  <si>
    <t>Corrective action taken including the time and date of that action.</t>
  </si>
  <si>
    <t>(4)</t>
  </si>
  <si>
    <t>Process operations occurring at the time of sampling.</t>
  </si>
  <si>
    <t>Alternate monitoring or sampling requirements that are equivalent or better may be approved by the TCEQ Regional Director. Alternate requirements must be approved in writing before they can be used for compliance purposes.</t>
  </si>
  <si>
    <t>When the CEMS is out of service, proper operation of the CAS shall be ensured through system inspection and evaluation and operation in accordance with the manufacturer’s recommendations, and after 180 days of operation, also within parameters shown to assure compliance with the maximum concentration limitation. Operating parameters for the CAS system shall be checked to assure compliance with the manufacturer’s recommendations and past compliant practice operating ranges. A canister cycle checklist will be maintained as the CAS record for all periods when the CEMS is out of service.</t>
  </si>
  <si>
    <t>The instrument/FID shall be calibrated daily with zero and span cylinder calibration gas mixtures. Zero gas shall be certified to contain less than 0.1 ppmv total hydrocarbons. Span calibration gas shall be propane at a concentration within ± 10 percent of the breakthrough concentration, and certified by the manufacturer to be ± 2 percent accurate. Calibration error for the zero and span calibration gas checks must be less than ± 5 percent of the span calibration gas value before sampling may be conducted.</t>
  </si>
  <si>
    <t>Sample ports or connections must be designed such that air leakage into the sample port does not occur during sampling.</t>
  </si>
  <si>
    <t>During sampling, data recording shall not begin until after two times the instrument response time. The VOC concentration shall be monitored for at least 5 minutes, recording 1-minute averages.</t>
  </si>
  <si>
    <t>Compliance with the breakthrough concentration shall be determined on a 1-minute average basis. While monitoring during CEMS downtime or out-of-control periods, compliance shall be determined by the highest 1-minute average.</t>
  </si>
  <si>
    <t>CEMS monitoring results on a 15-minute average basis, and 1-minute averages for any time periods when maximum allowable concentration is exceeded;</t>
  </si>
  <si>
    <t>CEMS daily calibration and quarterly audit results;</t>
  </si>
  <si>
    <t>Manufacturers recommended operating ranges and actual compliant operating ranges, with the canister cycle check list to be used during periodic monitoring;</t>
  </si>
  <si>
    <t>Results of all periodic monitoring conducted during CEMS downtime or out-of-control periods; and</t>
  </si>
  <si>
    <t>(5)</t>
  </si>
  <si>
    <t>Corrective actions taken (including the time and date of that action).</t>
  </si>
  <si>
    <t>All personnel involved in maintenance of the CAS shall be trained by the manufacturer in proper maintenance procedures.  Certification of such training shall be provided by the manufacturer for each affected individual.  A record of certification shall be maintained at the terminal for each affected individual.</t>
  </si>
  <si>
    <t>Maintenance shall be performed on the CAS according to the manufacturer’s recommended guidelines.  The permit holder shall obtain a yearly certification by the manufacturer or a qualified contractor that the recommended maintenance is being performed.</t>
  </si>
  <si>
    <t>Visual inspection for carbon build-up around the stack shall occur once a week.  If carbon build up is noticed, it shall be recorded, the CAS shall be shut down, and corrective action shall be taken in accordance with the system maintenance manual.</t>
  </si>
  <si>
    <t>The CAS shall be sampled and recorded continuously by a CEMS to determine breakthrough of VOC through the first canister and assure the VOC concentration does not exceed the breakthrough concentration from the second or final polishing canister.</t>
  </si>
  <si>
    <t>During any CEMS downtime or out-of-control period exceeding 24 hours, any facility controlled by CAS shall be shut down or the CAS exhaust shall be sampled at a frequency equal to 25 percent of the normal operating time to regeneration. The VOC sampling and analysis shall be performed using an instrument with a FID, or a TCEQ-approved alternative detector. The instrument/FID must meet all requirements specified in Section 8.1 of EPA Method 21 (40 CFR 60, Appendix A). Sampling and analysis for VOC concentration shall be performed as follows:</t>
  </si>
  <si>
    <t>The instrument/FID shall be calibrated daily with zero and span cylinder calibration gas mixtures. Zero gas shall be certified to contain less than 0.1 ppmv total hydrocarbons. Span calibration gas shall be propane at a concentration within ± 10 percent of the breakthrough concentration and certified by the manufacturer to be ± 2 percent accurate. Calibration error for the zero and span calibration gas checks must be less than ± 5 percent of the span calibration gas value before sampling may be conducted.</t>
  </si>
  <si>
    <t>Compliance with the breakthrough concentration shall be determined on a 1-minute average basis.  While monitoring during CEMS downtime or out-of-control periods, compliance shall be determined by the highest 1-minute average.</t>
  </si>
  <si>
    <t>A non-resettable run time meter shall be installed on each engine.</t>
  </si>
  <si>
    <t>Initial Determination of Compliance</t>
  </si>
  <si>
    <t>The appropriate TCEQ Regional Office shall be notified not less than 45 days prior to sampling. The notice shall include:</t>
  </si>
  <si>
    <t>Proposed date for pretest meeting.</t>
  </si>
  <si>
    <t>Date sampling will occur.</t>
  </si>
  <si>
    <t>Name of firm conducting sampling.</t>
  </si>
  <si>
    <t>Type of sampling equipment to be used.</t>
  </si>
  <si>
    <t>Method or procedure to be used in sampling.</t>
  </si>
  <si>
    <t>(6)</t>
  </si>
  <si>
    <t>Description of any proposed deviation from the sampling procedures specified in this permit or TCEQ/EPA sampling procedures.</t>
  </si>
  <si>
    <t>(7)</t>
  </si>
  <si>
    <t>Procedure/parameters to be used to determine worst case emissions.</t>
  </si>
  <si>
    <t>Sampling shall occur within 60 days after achieving the maximum operating rate, but no later than 180 days after initial start-up of the facilities and at such other times as may be required by the TCEQ Executive Director. Requests for additional time to perform sampling shall be submitted to the appropriate regional office.</t>
  </si>
  <si>
    <t>Sampling ports and platform(s) shall be incorporated into the design of (source stack and EPN) according to the specifications set forth in the attachment entitled “Chapter 2, Guidelines For Stack Sampling Facilities” of the TCEQ Sampling Procedures Manual. Alternate sampling facility designs must be submitted for approval to the TCEQ Regional Director.</t>
  </si>
  <si>
    <t>Conduct a once a month visual, audible, and/or olfactory inspection of the capture system to verify there are no leaking components in the capture system; or</t>
  </si>
  <si>
    <t>Once a year, verify the capture system is leak free by inspecting in accordance with 40 CFR Part 60, Appendix A, Test Method 21. Leaks shall be indicated by an instrument reading greater than or equal to 500 ppmv above background.</t>
  </si>
  <si>
    <t>Once a month, inspect the valves, verifying that the position of the valves and the condition of the car seals prevent flow out the bypass.</t>
  </si>
  <si>
    <t>A bypass does not include authorized analyzer vents, highpoint bleeder vents, low point drains, or rupture discs upstream of pressure relief valves if the pressure between the disc and relief valve is monitored and recorded at least weekly. A deviation shall be reported if the monitoring or inspections indicate bypass of the control device when it is required to be in service.</t>
  </si>
  <si>
    <t>Records of the inspections required shall be maintained and if the results of any of the above inspections are not satisfactory, the permit holder shall promptly take necessary corrective action.</t>
  </si>
  <si>
    <t>the process unit at which emissions from the MSS activity occurred, including the emission point number and common name of the process unit;</t>
  </si>
  <si>
    <t xml:space="preserve">the type of planned MSS activity and the reason for the planned activity; </t>
  </si>
  <si>
    <t>the common name and the facility identification number, if applicable, of the facilities at which the MSS activity and emissions occurred;</t>
  </si>
  <si>
    <t>the date and time of the MSS activity and its duration;</t>
  </si>
  <si>
    <t xml:space="preserve">the estimated quantity of each air contaminant, or mixture of air contaminants, emitted with the data and methods used to determine it.  The emissions shall be estimated using the methods identified in the permit application, consistent with good engineering practice.  </t>
  </si>
  <si>
    <t xml:space="preserve">All MSS emissions shall be summed monthly and the rolling 12-month emissions shall be updated on a monthly basis.  </t>
  </si>
  <si>
    <t>The process equipment shall be depressurized to a control device or a controlled recovery system prior to venting to atmosphere, degassing, or draining liquid.  Equipment that only contains material that is liquid with VOC partial pressure less than 0.50 psi at the normal process temperature and 95°F may be opened to atmosphere and drained in accordance with paragraph C of this special condition.  The vapor pressure at 95°F may be used if the actual temperature of the liquid is verified to be less than 95°F and the temperature is recorded.</t>
  </si>
  <si>
    <t>If mixed phase materials must be removed from process equipment, the cleared material shall be routed to a knockout drum or equivalent to allow for managed initial phase separation.  If the VOC partial pressure is greater than 0.50 psi at either the normal process temperature or 95°F, any vents in the system must be routed to a control device or a controlled recovery system.  The vapor pressure at 95°F may be used if the actual temperature of the liquid is verified to be less than 95°F and the temperature is recorded.  Control must remain in place until degassing has been completed, the criteria in Part D.(2) of this condition have been satisfied, or the system is no longer vented to atmosphere.</t>
  </si>
  <si>
    <t>All liquids from process equipment or storage vessels must be removed to the maximum extent practical prior to opening equipment to commence degassing and/or maintenance.  Liquids must be drained into a closed vessel or closed liquid recovery system unless prevented by the physical configuration of the equipment.  If it is necessary to drain liquid into an open pan or sump, the liquid must be covered or transferred to a covered vessel within one hour of being drained.</t>
  </si>
  <si>
    <t>Air contaminant concentration shall be measured using an instrument/detector meeting one set of requirements specified below.</t>
  </si>
  <si>
    <t>The instrument shall be calibrated within 24 hours of use with a calibration gas such that the response factor (RF) of the VOC (or mixture of VOCs) to be monitored shall be less than 2.0.  The calibration gas and the gas to be measured, and its approximate (RF) shall be recorded.  If the RF of the VOC (or mixture of VOCs) to be monitored is greater than 2.0, the VOC concentration shall be determined as follows: 
VOC Concentration = Concentration as read from the instrument*RF 
In no case should a calibration gas be used such that the RF of the VOC (or mixture of VOCs) to be monitored is greater than 5.0.</t>
  </si>
  <si>
    <t>Sampling shall be performed as directed by this permit in lieu of section 8.3 of Method 21.  During sampling, data recording shall not begin until after two times the instrument response time.  The date and time shall be recorded, and VOC concentration shall be monitored for at least 5 minutes, recording VOC concentration each minute.  As an alternative the VOC concentration may be monitored over a five-minute period with an instrument designed to continuously measure concentration and record the highest concentration read.  The highest measured VOC concentration shall be recorded and shall not exceed the specified VOC concentration limit prior to uncontrolled venting.</t>
  </si>
  <si>
    <t xml:space="preserve">Colorimetric gas detector tubes may be used to determine air contaminant concentrations if they are used in accordance with the following requirements. </t>
  </si>
  <si>
    <t>The air contaminant concentration measured as defined in (3) is less than 80 percent of the range of the tube and is at least 20 percent of the maximum range of the tube.</t>
  </si>
  <si>
    <t>The tube is used in accordance with the manufacturer’s guidelines.</t>
  </si>
  <si>
    <t>Records shall be maintained of the tube type, range, measured concentrations, and time the samples were taken.</t>
  </si>
  <si>
    <t>Lower explosive limit measured with a lower explosive limit detector.</t>
  </si>
  <si>
    <t>A certified methane gas standard equivalent to 25% of the LEL for pentane may be used for calibration and functionality tests provided that the LEL response is within 95% of that for the appropriate gas.</t>
  </si>
  <si>
    <t>(a)</t>
  </si>
  <si>
    <t>An appropriate gas is one which when used for calibration of the detector, ensures that the response factor (RF) of the VOC (or mixture of VOCs) to be monitored is less than 1.2.</t>
  </si>
  <si>
    <t>(b)</t>
  </si>
  <si>
    <t>The same type of certified gas standard is a standard consisting of the same gas as used for calibration, certified to be 25 percent of the LEL for that gas.</t>
  </si>
  <si>
    <t>Unless storing liquid with a VOC vapor pressure less than 0.50 psia at 95°F, if the tank is to be completely drained, the tank liquid level shall be continuously lowered after the tank floating roof initially lands on its supporting legs until the tank and tank sump have been drained to the maximum extent practicable without entering the tank.</t>
  </si>
  <si>
    <t>The tank roof shall be landed on its lowest legs unless tank entry is planned.  If the VOC vapor pressure of the liquid is greater than or equal to 0.50 psia at 95°F, the time the roof is landed shall be restricted to 24 hours unless the tank has been completely drained and degassed.</t>
  </si>
  <si>
    <t>Tanks shall be degassed as follows:</t>
  </si>
  <si>
    <t>The vapor space under the floating roof shall be vented using good engineering practice to ensure air contaminants are flushed out of the tank through the control device or controlled recovery system to the extent allowed by the storage tank design.</t>
  </si>
  <si>
    <t>The sampling point shall be upstream of the inlet to the control device or controlled recovery system.  The sample ports and the collection system must be designed and operated such that there is no air leakage into the sample probe or the collection system downstream of the process equipment or vessel being purged.</t>
  </si>
  <si>
    <t>Degassing must be performed every 24 hours unless there is no standing liquid in the tank or the VOC partial pressure of the remaining liquid in the tank is less than 0.15 psia.</t>
  </si>
  <si>
    <t>Except as allowed below, the tank shall not be opened or ventilated without control until part G of this condition is satisfied.
Minimize air circulation in the tank vapor space: One manway may be opened to allow access to the tank to remove or de-volatilize the remaining liquid.  Other manways or access points may be opened as necessary to remove or de-volatilize the remaining liquid.  Wind barriers shall be installed at all open manways and access points to minimize air flow through the tank. Access points shall be closed when not in use.</t>
  </si>
  <si>
    <t>The tank may be opened without restriction and ventilated without control, after all standing liquid has been removed from the tank or the liquid remaining in the tank has a VOC partial pressure less than 0.02 psia.  These criteria shall be demonstrated in any one of the following ways.</t>
  </si>
  <si>
    <t>Low VOC partial pressure liquid that is soluble with the liquid previously stored may be added to the tank to lower the VOC partial of the liquid mixture remaining in the tank to less than 0.02 psia.  This liquid shall be added during tank degassing if practicable.  The estimated volume of liquid remaining in the drained tank and the volume and type of liquid added shall be recorded.  The liquid VOC partial pressure may be estimated based on this information and engineering calculations.</t>
  </si>
  <si>
    <t>Take a representative sample of the liquid remaining in the tank and verify no visible sheen using the static sheen test from 40 CFR 435 Subpart A Appendix 1.</t>
  </si>
  <si>
    <t>Take a representative sample of the liquid remaining in the tank and verify hexane soluble VOC concentration is less than 1000 ppmw using EPA method 1664 (may also use 8260B or 5030 with 8015 from SW-846).</t>
  </si>
  <si>
    <t>(c)</t>
  </si>
  <si>
    <t>No standing liquid verified through visual inspection.</t>
  </si>
  <si>
    <t>The permit holder shall maintain records to document the method used to release the tank.</t>
  </si>
  <si>
    <t>The occurrence of each roof landing and the associated emissions shall be recorded and the rolling 12-month tank roof landing emissions shall be updated on a monthly basis.  These records shall include at least the following information:</t>
  </si>
  <si>
    <t>the identification of the tank and emission point number, and any control devices or recovery systems used to reduce emissions;</t>
  </si>
  <si>
    <t>the reason for the tank roof landing;</t>
  </si>
  <si>
    <t>for the purpose of estimating emissions, the date, time, and other information specified for each of the following events:</t>
  </si>
  <si>
    <t>the roof was initially landed,</t>
  </si>
  <si>
    <t>all liquid was pumped from the tank to the extent practical,</t>
  </si>
  <si>
    <t>start and completion of controlled degassing, and total volumetric flow,</t>
  </si>
  <si>
    <t>(d)</t>
  </si>
  <si>
    <t>all standing liquid was removed from the tank or any transfers of low VOC partial pressure liquid to or from the tank including volumes and vapor pressures to reduce tank liquid VOC partial pressure to &lt;0.02 psi,</t>
  </si>
  <si>
    <t>(e)</t>
  </si>
  <si>
    <t>if there is liquid in the tank, VOC partial pressure of liquid, start and completion of uncontrolled degassing, and total volumetric flow,</t>
  </si>
  <si>
    <t>(f)</t>
  </si>
  <si>
    <t>refilling commenced, liquid filling the tank, and the volume necessary to float the roof; and</t>
  </si>
  <si>
    <t>(g)</t>
  </si>
  <si>
    <t>tank roof off supporting legs, floating on liquid;</t>
  </si>
  <si>
    <t>The following requirements apply to vacuum and air mover truck operations to support planned MSS at this site:</t>
  </si>
  <si>
    <t xml:space="preserve">Prior to initial use, identify any liquid in the truck.  Record the liquid level and document the VOC partial pressure.  After each liquid transfer, identify the liquid, the volume transferred, and its VOC partial pressure.  </t>
  </si>
  <si>
    <t>If vacuum pumps or blowers are operated when liquid is in or being transferred to the truck, the following requirements apply:</t>
  </si>
  <si>
    <t>The vacuum/blower exhaust shall be routed to a control device or a controlled recovery system.</t>
  </si>
  <si>
    <t>Equip fill line intake with a “duckbill” or equivalent attachment if the hose end cannot be submerged in the liquid being collected.</t>
  </si>
  <si>
    <t>A daily record containing the information identified below is required for each vacuum truck in operation at the site each day.</t>
  </si>
  <si>
    <t xml:space="preserve">For each liquid transfer made with the vacuum operating, record the duration of any periods when air may have been entrained with the liquid transfer.  The reason for operating in this manner and whether a “duckbill” or equivalent was used shall be recorded.  Short, incidental periods, such as those necessary to walk from the truck to the fill line intake, do not need to be documented.  </t>
  </si>
  <si>
    <t>If the vacuum truck exhaust is controlled with a control device other than an engine or oxidizer, VOC exhaust concentration upon commencing each transfer, at the end of each transfer, and at least every hour during each transfer shall be recorded, measured using an instrument meeting the requirements of Special Condition No 56.</t>
  </si>
  <si>
    <t>Record the volume in the vacuum truck at the end of the day, or the volume unloaded, as applicable.</t>
  </si>
  <si>
    <t>The permit holder shall determine the vacuum truck emissions each month using the daily vacuum truck records and the calculation methods utilized in the permit application.  If records of the volume of liquid transferred for each pick-up are not maintained, the emissions shall be determined using the physical properties of the liquid vacuumed with the greatest potential emissions.  Rolling 12-month vacuum truck emissions shall also be determined on a monthly basis.</t>
  </si>
  <si>
    <t>If the VOC partial pressure of all the liquids vacuumed into the truck is less than 0.10 psi, this shall be recorded when the truck is unloaded or leaves the plant site and the emissions may be estimated as the maximum potential to emit for a truck in that service as documented in the permit application.  The recordkeeping requirements in parts A through D do not apply.</t>
  </si>
  <si>
    <t>Additional occurrences of MSS activities authorized by this permit may be authorized under permit by rule only if conducted in compliance with this permit’s procedures, emission controls, monitoring, and recordkeeping requirements applicable to the activity.</t>
  </si>
  <si>
    <t>The thermal oxidizer firebox exit temperature shall be maintained at not less than 1400°F and waste gas flows shall be limited to assure at least a 0.5 second residence time in the fire box while waste gas is being fed into the oxidizer.</t>
  </si>
  <si>
    <t>The thermal oxidizer exhaust temperature shall be continuously monitored and recorded when waste gas is directed to the oxidizer. The temperature measurements shall be made at intervals of six minutes or less and recorded at that frequency.
The temperature measurement device shall be installed, calibrated, and maintained according to accepted practice and the manufacturer’s specifications.  The device shall have an accuracy of the greater of ±0.75 percent of the temperature being measured expressed in degrees Celsius or ±2.5°C.</t>
  </si>
  <si>
    <t>Date and start time of tank roof landings prior to degassing and forced ventilation.</t>
  </si>
  <si>
    <t>Date, start time and end time of refilling the floating roof tanks after MSS or convenience landings, condition prior to refilling (clean/dirty) to determine saturation factor, tank refilling rate, material being placed in the tank, and material vapor pressure.</t>
  </si>
  <si>
    <t>Date, start time and end time of controlled degassing and forced ventilation, the tanks involved, the blower volumetric rate, material in the tank prior to degassing or forced ventilation, and vapor pressure of that material.</t>
  </si>
  <si>
    <t>Date, start time and end time of the pigging operations and high volume MSS activities, volume of piping, material in the pipe, and the vapor pressure and vapor molecular weight of that material.</t>
  </si>
  <si>
    <t xml:space="preserve">Records demonstrating compliance with the RAP Emission Rates Table Attachment and all other records required by the conditions of this permit are to be maintained electronically or in hard copy format for at least five years at the site and made available to representatives of the TCEQ or any local air pollution control program having jurisdiction.  </t>
  </si>
  <si>
    <t>Attachment A</t>
  </si>
  <si>
    <t>Inherently Low-Emitting MSS Activities</t>
  </si>
  <si>
    <t>Aerosol Cans</t>
  </si>
  <si>
    <t>Soap and other aqueous based cleaners</t>
  </si>
  <si>
    <t>Attachment B</t>
  </si>
  <si>
    <t>Routine Maintenance Activities</t>
  </si>
  <si>
    <t>Filter repair/replacement</t>
  </si>
  <si>
    <t>Attachment C</t>
  </si>
  <si>
    <t>MSS Activity Summary</t>
  </si>
  <si>
    <t>Attachment D</t>
  </si>
  <si>
    <t>Public Notice Applicability, Required Information, and Small Business Classification</t>
  </si>
  <si>
    <t>https://www.tceq.texas.gov/permitting/air/bilingual/how1_2_pn.html</t>
  </si>
  <si>
    <t>I. Public Notice Applicability</t>
  </si>
  <si>
    <t>A. Application Type</t>
  </si>
  <si>
    <t>Is this an application for an initial permit?</t>
  </si>
  <si>
    <t>Is there any change in character of emissions in this application (a new criteria pollutant or a new VOC or PM species)?</t>
  </si>
  <si>
    <t>Is there a new air contaminant in this application?</t>
  </si>
  <si>
    <t>PN Threshold</t>
  </si>
  <si>
    <t>Notice required?</t>
  </si>
  <si>
    <r>
      <t>PM</t>
    </r>
    <r>
      <rPr>
        <vertAlign val="subscript"/>
        <sz val="11"/>
        <color theme="1"/>
        <rFont val="Arial"/>
        <family val="2"/>
      </rPr>
      <t>10</t>
    </r>
  </si>
  <si>
    <r>
      <t>PM</t>
    </r>
    <r>
      <rPr>
        <vertAlign val="subscript"/>
        <sz val="11"/>
        <color theme="1"/>
        <rFont val="Arial"/>
        <family val="2"/>
      </rPr>
      <t>2.5</t>
    </r>
  </si>
  <si>
    <r>
      <t>NO</t>
    </r>
    <r>
      <rPr>
        <vertAlign val="subscript"/>
        <sz val="11"/>
        <color theme="1"/>
        <rFont val="Arial"/>
        <family val="2"/>
      </rPr>
      <t>X</t>
    </r>
  </si>
  <si>
    <r>
      <t>SO</t>
    </r>
    <r>
      <rPr>
        <vertAlign val="subscript"/>
        <sz val="11"/>
        <color theme="1"/>
        <rFont val="Arial"/>
        <family val="2"/>
      </rPr>
      <t>2</t>
    </r>
  </si>
  <si>
    <t>Project Change in Allowable (tpy)</t>
  </si>
  <si>
    <t>* Notice is required for PM, PM10, and PM2.5 if one of these pollutants is above the threshold.</t>
  </si>
  <si>
    <t>II. Public Notice Information</t>
  </si>
  <si>
    <t>Complete this section if public notice is required (determined in the above section) or if you are not sure if public notice is required.</t>
  </si>
  <si>
    <t>A. Contact Information</t>
  </si>
  <si>
    <t>Company Name:</t>
  </si>
  <si>
    <t>Name of Public Place:</t>
  </si>
  <si>
    <t>Physical Address:</t>
  </si>
  <si>
    <t>County:</t>
  </si>
  <si>
    <t>Has the public place granted authorization to place the application for public viewing and copying?</t>
  </si>
  <si>
    <t>Is a bilingual program required by the Texas Education Code in the School District?</t>
  </si>
  <si>
    <t>Are the children who attend either the elementary school or the middle school closest to your facility eligible to be enrolled in a bilingual program provided by the district?</t>
  </si>
  <si>
    <t>If yes to either question above, list which language(s) are required by the bilingual program?</t>
  </si>
  <si>
    <t xml:space="preserve">Enter the second required language, if applicable. </t>
  </si>
  <si>
    <t>Enter the third required language, if applicable.</t>
  </si>
  <si>
    <t>Enter the fourth required language, if applicable.</t>
  </si>
  <si>
    <t>III. Small Business Classification</t>
  </si>
  <si>
    <t>Complete this section to determine small business classification. If a small business requests a permit, agency rules (30 TAC § 39.603(f)(1)(A)) allow for alternative public notification requirements if all of the following criteria are met. If these requirements are met, public notice does not have to include publication of the prominent (12 square inch) newspaper notice.</t>
  </si>
  <si>
    <t>Does the company (including parent companies and subsidiary companies) have fewer than 100 employees or less than $6 million in annual gross receipts?</t>
  </si>
  <si>
    <t>Is the site a major source under 30 TAC Chapter 122, Federal Operating Permit Program?</t>
  </si>
  <si>
    <t>Are the site emissions of any individual air contaminant greater than or equal to 50 tpy?</t>
  </si>
  <si>
    <t>Are the site emissions of all air contaminants combined greater than or equal to 75 tpy?</t>
  </si>
  <si>
    <t>Small business classification:</t>
  </si>
  <si>
    <r>
      <rPr>
        <b/>
        <sz val="11"/>
        <color theme="1"/>
        <rFont val="Arial"/>
        <family val="2"/>
      </rPr>
      <t>B. Public place</t>
    </r>
    <r>
      <rPr>
        <sz val="11"/>
        <color theme="1"/>
        <rFont val="Arial"/>
        <family val="2"/>
      </rPr>
      <t xml:space="preserve">
Place a copy of the full application (including all of this workbook and all attachments) at a public place in the county where the facilities are or will be located. You must state where in the county the application will be available for public review and comment. The location must be a public place and described in the notice. A public place is a location which is owned and operated by public funds (such as libraries, county courthouses, city halls) and cannot be a commercial enterprise. You are required to pre-arrange this availability with the public place indicated below. The application must remain available from the first day of publication through the designated comment period.
If this is an application for a PSD, nonattainment, or FCAA §112(g) permit, the public place must have internet access available for the public as required in 30 TAC § 39.411(f)(3). 
If the application is submitted to the agency with information marked as Confidential, you are required to indicate which specific portions of the application are not being made available to the public. These portions of the application must be accompanied with the following statement: </t>
    </r>
    <r>
      <rPr>
        <b/>
        <sz val="11"/>
        <color theme="1"/>
        <rFont val="Arial"/>
        <family val="2"/>
      </rPr>
      <t>Any request for portions of this application that are marked as confidential must be submitted in writing, pursuant to the Public Information Act, to the TCEQ Public Information Coordinator, MC 197, P.O. Box 13087, Austin, Texas 78711-3087.</t>
    </r>
  </si>
  <si>
    <r>
      <rPr>
        <b/>
        <sz val="11"/>
        <color theme="1"/>
        <rFont val="Arial"/>
        <family val="2"/>
      </rPr>
      <t xml:space="preserve">Instructions: </t>
    </r>
    <r>
      <rPr>
        <sz val="11"/>
        <color theme="1"/>
        <rFont val="Arial"/>
        <family val="2"/>
      </rPr>
      <t xml:space="preserve">
1. Complete all blank questions below in the Public Notice Applicability section. A summary statement at the end will indicate if notice is required.
2. If public notice applies, additional information is required to meet the requirements of the THSC § 382.056. If you are unsure whether public notice applies, we encourage you to complete this section to facilitate a quicker review of the application.
3. Complete all questions in the Small Business Classification section to determine eligibility.</t>
    </r>
  </si>
  <si>
    <t>The table below will generate emission increases based on the values represented previously in this workbook.
Note: Emissions of PM, PM10, and/or PM2.5 may have been previously quantified and authorized as PM, PM10,and/or PM2.5. These emissions will be speciated based on current guidance and policy to demonstrate compliance with current standards and public notice requirements may change during the permit review.</t>
  </si>
  <si>
    <r>
      <t xml:space="preserve">Enter the contact information for the </t>
    </r>
    <r>
      <rPr>
        <b/>
        <sz val="11"/>
        <color theme="1"/>
        <rFont val="Arial"/>
        <family val="2"/>
      </rPr>
      <t>person responsible for publishing</t>
    </r>
    <r>
      <rPr>
        <sz val="11"/>
        <color theme="1"/>
        <rFont val="Arial"/>
        <family val="2"/>
      </rPr>
      <t>. This is a designated representative who is responsible for ensuring public notice is properly published in the appropriate newspaper and signs are posted at the facility site. This person will be contacted directly when the TCEQ is ready to authorize public notice for the application.</t>
    </r>
  </si>
  <si>
    <r>
      <t xml:space="preserve">Enter the contact information for the </t>
    </r>
    <r>
      <rPr>
        <b/>
        <sz val="11"/>
        <color theme="1"/>
        <rFont val="Arial"/>
        <family val="2"/>
      </rPr>
      <t>Technical Contact</t>
    </r>
    <r>
      <rPr>
        <sz val="11"/>
        <color theme="1"/>
        <rFont val="Arial"/>
        <family val="2"/>
      </rPr>
      <t>. This is the designated representative who will be listed in the public notice as a contact for additional information.</t>
    </r>
  </si>
  <si>
    <r>
      <rPr>
        <b/>
        <sz val="11"/>
        <color theme="1"/>
        <rFont val="Arial"/>
        <family val="2"/>
      </rPr>
      <t>C. Alternate Language Publication</t>
    </r>
    <r>
      <rPr>
        <sz val="11"/>
        <color theme="1"/>
        <rFont val="Arial"/>
        <family val="2"/>
      </rPr>
      <t xml:space="preserve">
In some cases, public notice in an alternate language is required. If an elementary or middle school nearest to the facility is in a school district required by the Texas Education Code to have a bilingual program, a bilingual notice will be required. If there is no bilingual program required in the school nearest the facility, but children who would normally attend those schools are eligible to attend bilingual programs elsewhere in the school district, the bilingual notice will also be required. If it is determined that alternate language notice is required, you are responsible for ensuring that the publication in the alternate language is complete and accurate in that language.</t>
    </r>
  </si>
  <si>
    <t>Baseline Actual Emission Information</t>
  </si>
  <si>
    <t>This cell is intentionally blank.</t>
  </si>
  <si>
    <t>H2SO4</t>
  </si>
  <si>
    <t>Current Sitewide PTE (tpy)
(all authorizations - 
does not include this project)</t>
  </si>
  <si>
    <t>Baseline Emission Years (e.g. Sep 1992 - Aug 1994)</t>
  </si>
  <si>
    <t>Baseline Emissions (tpy)
Flare</t>
  </si>
  <si>
    <t>Baseline Emissions (tpy)
VCU</t>
  </si>
  <si>
    <t>Baseline Emissions (tpy)
CAS</t>
  </si>
  <si>
    <t>Baseline Emissions (tpy)
Engine1</t>
  </si>
  <si>
    <t>Baseline Emissions (tpy)
Engine2</t>
  </si>
  <si>
    <t>Baseline Emissions (tpy)
Fug</t>
  </si>
  <si>
    <t>Total Baseline Emissions (tpy)</t>
  </si>
  <si>
    <t>Press tab to move to input areas. Press UP or DOWN ARROW in column A to read through the document.</t>
  </si>
  <si>
    <t>https://www.tceq.texas.gov/assets/public/permitting/air/Guidance/NewSourceReview/fnsr_app_determ.pdf</t>
  </si>
  <si>
    <t>This cell intentionally left blank</t>
  </si>
  <si>
    <t>Are there any pending projects involving EPNs in this project?</t>
  </si>
  <si>
    <t>Major Source Threshold (tpy)</t>
  </si>
  <si>
    <t>Ozone (as VOC)</t>
  </si>
  <si>
    <t>Other/Not Listed</t>
  </si>
  <si>
    <t>Carbon black plants (furnace process)</t>
  </si>
  <si>
    <t>Charcoal production plants</t>
  </si>
  <si>
    <t>Chemical process plants (other than ethanol by fermentation)</t>
  </si>
  <si>
    <t>Coal cleaning plants (with thermal dryers)</t>
  </si>
  <si>
    <t>Coke oven batteries</t>
  </si>
  <si>
    <t>Fossil fuel-fired steam electric plants &gt; 250 million BTUs per hour heat input</t>
  </si>
  <si>
    <t>Fossil-fuel boilers (or combinations) totaling &gt; 250 million BTUs per hour heat input</t>
  </si>
  <si>
    <t>Fuel conversion plants</t>
  </si>
  <si>
    <t>Glass fiber processing plants</t>
  </si>
  <si>
    <t>Hydrofluoric, sulfuric, or nitric acid plants</t>
  </si>
  <si>
    <t>Iron and steel mills</t>
  </si>
  <si>
    <t>Kraft pulp mills</t>
  </si>
  <si>
    <t>Lime plants</t>
  </si>
  <si>
    <t>Municipal incinerators capable of charging more than 250 tons of refuse per day</t>
  </si>
  <si>
    <t>Petroleum refineries</t>
  </si>
  <si>
    <t>Petroleum storage and transfer units with total storage capacity above 300,000 barrels</t>
  </si>
  <si>
    <t>Phosphate rock processing plants</t>
  </si>
  <si>
    <t>Portland cement plants</t>
  </si>
  <si>
    <t>Primary aluminum ore reduction plants</t>
  </si>
  <si>
    <t>Primary copper smelters</t>
  </si>
  <si>
    <t>Primary lead smelters</t>
  </si>
  <si>
    <t>Primary zinc smelters</t>
  </si>
  <si>
    <t>Secondary metal production plants</t>
  </si>
  <si>
    <t>Sintering plants</t>
  </si>
  <si>
    <t>Sulfur recovery plants</t>
  </si>
  <si>
    <t>Taconite ore processing plants</t>
  </si>
  <si>
    <t>Named Sources for PSD</t>
  </si>
  <si>
    <t>Best Available Control Technology</t>
  </si>
  <si>
    <t>IV. Drum and Tote Loading</t>
  </si>
  <si>
    <t>Using the drop-down menus, indicate which of the following inherently low-emitting activities and routine maintenance activities will be conducted at the site.</t>
  </si>
  <si>
    <t>Pilot fuel flow rate (scf/hr per pilot)</t>
  </si>
  <si>
    <t>Is this a temporary unit? Note: Permanent VCUs require a completed "VCU" sheet.</t>
  </si>
  <si>
    <t>Vapor Oxidizer</t>
  </si>
  <si>
    <t>Will a vapor oxidizer be modified, affected, or newly authorized in this project?</t>
  </si>
  <si>
    <t>Is this a temporary unit? Note: Permanent thermal oxidizers require a completed "VaporOxidizer" sheet.</t>
  </si>
  <si>
    <t>Baseline Emissions (tpy)
Vapor Oxidizer</t>
  </si>
  <si>
    <t>What type of vapor oxidizer is this unit?</t>
  </si>
  <si>
    <t>Baseline Emissions (tpy)
Tank 1</t>
  </si>
  <si>
    <t>Baseline Emissions (tpy)
Tank 3</t>
  </si>
  <si>
    <t>Baseline Emissions (tpy)
Tank 4</t>
  </si>
  <si>
    <t>Baseline Emissions (tpy)
Tank 5</t>
  </si>
  <si>
    <t>Baseline Emissions (tpy)
Heater/Boiler 1</t>
  </si>
  <si>
    <t>Baseline Emissions (tpy)
Heater/Boiler 2</t>
  </si>
  <si>
    <t>Baseline Emissions (tpy)
Railcar Loading</t>
  </si>
  <si>
    <t>Baseline Emissions (tpy)
Tank Truck Loading</t>
  </si>
  <si>
    <t>Baseline Emissions (tpy)
Tote/Drum Loading</t>
  </si>
  <si>
    <t>25 ft minimum</t>
  </si>
  <si>
    <t>3 ft minimum</t>
  </si>
  <si>
    <t>Is this a greenfield site?</t>
  </si>
  <si>
    <t>Is this project for new facilities controlled and operated directly by the federal government? (30 TAC § 116.141(b)(1))</t>
  </si>
  <si>
    <t>Is a fee reduction or exemption for research projects requested?</t>
  </si>
  <si>
    <t>Hard copy of the "PI-1-MarineLoading" sheet (unless submitting through STEERS), electronic workbook, electronic application attachments, and original Core Data Form if applicable.</t>
  </si>
  <si>
    <t>All applications in an area having jurisdiction, unless submitting through STEERS</t>
  </si>
  <si>
    <t>All applications, unless submitting through STEERS</t>
  </si>
  <si>
    <t>Does the attachment include all parameters necessary to duplicate emission calculations including but not limited to meteorological data and parameters unique to each tank and product?</t>
  </si>
  <si>
    <t>Does the emissions inventory data include all existing sources represented in this RAP?</t>
  </si>
  <si>
    <t>III. Storage Tank Emissions</t>
  </si>
  <si>
    <t>II. Input Parameters</t>
  </si>
  <si>
    <t>A. Impacts Analysis Parameters</t>
  </si>
  <si>
    <t>B. Tank Parameters</t>
  </si>
  <si>
    <t>B. Loading Parameters</t>
  </si>
  <si>
    <t>B. Flare Parameters</t>
  </si>
  <si>
    <t>B. VCU Parameters</t>
  </si>
  <si>
    <t>B. Vapor Oxidizer Parameters</t>
  </si>
  <si>
    <t>B. CAS Parameters</t>
  </si>
  <si>
    <t>B. Engine Parameters</t>
  </si>
  <si>
    <t>B. Heater/Boiler Parameters</t>
  </si>
  <si>
    <t>B. Temporary VCU Parameters</t>
  </si>
  <si>
    <t>B. Temporary Thermal Oxidizer Parameters</t>
  </si>
  <si>
    <t>Proposed increase in operating hours (hr/yr)</t>
  </si>
  <si>
    <t>Product name</t>
  </si>
  <si>
    <t>Vapor weight fraction</t>
  </si>
  <si>
    <t>Loading: Marine (Inland Barges)</t>
  </si>
  <si>
    <t>Loading: Marine (Ships &amp; Ocean-Going Vessels)</t>
  </si>
  <si>
    <t>99% minimum</t>
  </si>
  <si>
    <t>Is the vapor oxidizer equipped with low-NOx burners?</t>
  </si>
  <si>
    <t>Exhaust gas maximum VOC concentration (ppmv)</t>
  </si>
  <si>
    <t>1 minimum</t>
  </si>
  <si>
    <r>
      <t>Oxidizer firebox exit temperature (</t>
    </r>
    <r>
      <rPr>
        <sz val="11"/>
        <color theme="1"/>
        <rFont val="Calibri"/>
        <family val="2"/>
      </rPr>
      <t>°</t>
    </r>
    <r>
      <rPr>
        <sz val="11"/>
        <color theme="1"/>
        <rFont val="Arial"/>
        <family val="2"/>
      </rPr>
      <t>F)</t>
    </r>
  </si>
  <si>
    <r>
      <t xml:space="preserve">1400 </t>
    </r>
    <r>
      <rPr>
        <sz val="11"/>
        <color theme="1"/>
        <rFont val="Calibri"/>
        <family val="2"/>
      </rPr>
      <t>°</t>
    </r>
    <r>
      <rPr>
        <sz val="11"/>
        <color theme="1"/>
        <rFont val="Arial"/>
        <family val="2"/>
      </rPr>
      <t>F minimum</t>
    </r>
  </si>
  <si>
    <r>
      <t>Catalytic oxidizer firebox inlet temperature (</t>
    </r>
    <r>
      <rPr>
        <sz val="11"/>
        <color theme="1"/>
        <rFont val="Calibri"/>
        <family val="2"/>
      </rPr>
      <t>°</t>
    </r>
    <r>
      <rPr>
        <sz val="11"/>
        <color theme="1"/>
        <rFont val="Arial"/>
        <family val="2"/>
      </rPr>
      <t>F)</t>
    </r>
  </si>
  <si>
    <r>
      <t xml:space="preserve">1400 </t>
    </r>
    <r>
      <rPr>
        <sz val="11"/>
        <color theme="1"/>
        <rFont val="Calibri"/>
        <family val="2"/>
      </rPr>
      <t>°</t>
    </r>
    <r>
      <rPr>
        <sz val="11"/>
        <color theme="1"/>
        <rFont val="Arial"/>
        <family val="2"/>
      </rPr>
      <t>F minimum</t>
    </r>
  </si>
  <si>
    <t>Is the vapor oxidizer equipped with CEMS?</t>
  </si>
  <si>
    <t>Confirm vendor guarantees for the unit's emission factors will be kept on-site with records of MSS.</t>
  </si>
  <si>
    <t>Pollutants emitted</t>
  </si>
  <si>
    <t>VOC, PM</t>
  </si>
  <si>
    <t>Facility &amp; Activity Description</t>
  </si>
  <si>
    <t>Fixed roof storage tank MSS</t>
  </si>
  <si>
    <t>Maximum hourly throughput (bbl/hr)</t>
  </si>
  <si>
    <t>Impacts Analysis</t>
  </si>
  <si>
    <t>Engine1</t>
  </si>
  <si>
    <t>Engine2</t>
  </si>
  <si>
    <t>Fug</t>
  </si>
  <si>
    <t>Are the impacts from this project acceptable for all species?</t>
  </si>
  <si>
    <t>Species</t>
  </si>
  <si>
    <t>Impacts acceptable?</t>
  </si>
  <si>
    <t>Notes</t>
  </si>
  <si>
    <t>Emission Summary</t>
  </si>
  <si>
    <t>Proposed Increase
NOx lb/hr</t>
  </si>
  <si>
    <t>Proposed Increase
CO lb/hr</t>
  </si>
  <si>
    <t>Proposed Increase
PM lb/hr</t>
  </si>
  <si>
    <t>Proposed Increase
PM10 lb/hr</t>
  </si>
  <si>
    <t>Proposed Increase
PM2.5 lb/hr</t>
  </si>
  <si>
    <t>Total tpy</t>
  </si>
  <si>
    <t>II. Proposed Annual Allowable Increases by EPN*</t>
  </si>
  <si>
    <t>I. Proposed Hourly Allowable Increases by EPN*</t>
  </si>
  <si>
    <t>Current
NOx tpy</t>
  </si>
  <si>
    <t>Proposed Increase
NOx tpy</t>
  </si>
  <si>
    <t>Current CO tpy</t>
  </si>
  <si>
    <t>Proposed Increase
CO tpy</t>
  </si>
  <si>
    <t>Current PM tpy</t>
  </si>
  <si>
    <t>Proposed Increase
PM tpy</t>
  </si>
  <si>
    <t>Current PM10 tpy</t>
  </si>
  <si>
    <t>Proposed Increase
PM10 tpy</t>
  </si>
  <si>
    <t>Current PM2.5 tpy</t>
  </si>
  <si>
    <t>Proposed Increase
PM2.5 tpy</t>
  </si>
  <si>
    <t>Current VOC tpy</t>
  </si>
  <si>
    <t>Proposed
Increase
VOC tpy</t>
  </si>
  <si>
    <t>Current SO2 tpy</t>
  </si>
  <si>
    <t>Proposed
Increase
SO2 tpy</t>
  </si>
  <si>
    <t>Current H2S tpy</t>
  </si>
  <si>
    <t>Proposed
Increase
H2S tpy</t>
  </si>
  <si>
    <t>Current H2SO4 tpy</t>
  </si>
  <si>
    <t>Proposed
Increase
H2SO4 tpy</t>
  </si>
  <si>
    <t>Total lb/hr</t>
  </si>
  <si>
    <t>8 ft minimum</t>
  </si>
  <si>
    <t>0.3 ft minimum</t>
  </si>
  <si>
    <r>
      <t xml:space="preserve">600 </t>
    </r>
    <r>
      <rPr>
        <sz val="11"/>
        <color theme="1"/>
        <rFont val="Calibri"/>
        <family val="2"/>
      </rPr>
      <t>°</t>
    </r>
    <r>
      <rPr>
        <sz val="11"/>
        <color theme="1"/>
        <rFont val="Arial"/>
        <family val="2"/>
      </rPr>
      <t>F minimum</t>
    </r>
  </si>
  <si>
    <t>90 fps minimum</t>
  </si>
  <si>
    <t>Is this unit a heater or a boiler?</t>
  </si>
  <si>
    <t>Stack exit diameter (ft)</t>
  </si>
  <si>
    <r>
      <t>Stack exit temperature (</t>
    </r>
    <r>
      <rPr>
        <sz val="11"/>
        <color theme="1"/>
        <rFont val="Calibri"/>
        <family val="2"/>
      </rPr>
      <t>°</t>
    </r>
    <r>
      <rPr>
        <sz val="11"/>
        <color theme="1"/>
        <rFont val="Arial"/>
        <family val="2"/>
      </rPr>
      <t>F)</t>
    </r>
  </si>
  <si>
    <t>Stack exit velocity (fps)</t>
  </si>
  <si>
    <t>Distance to property line (ft) - 25 ft minimum</t>
  </si>
  <si>
    <t>Release height (ft) - 3 ft minimum</t>
  </si>
  <si>
    <t>40 ft minimum</t>
  </si>
  <si>
    <t>7 ft minimum</t>
  </si>
  <si>
    <t>32 fps minimum</t>
  </si>
  <si>
    <t>1200 °F minimum</t>
  </si>
  <si>
    <t>B. Inherently Low-Emitting Activities</t>
  </si>
  <si>
    <t>C. Routine Maintenance Activities</t>
  </si>
  <si>
    <t>12 ft minimum</t>
  </si>
  <si>
    <t>Stack exit temperature (°F)</t>
  </si>
  <si>
    <t>2 ft minimum</t>
  </si>
  <si>
    <t>1400 °F minimum</t>
  </si>
  <si>
    <t>Distance to the property line (ft) - 25 ft minimum</t>
  </si>
  <si>
    <t>Emergency Diesel Engine 1</t>
  </si>
  <si>
    <t>Heater/Boiler 1</t>
  </si>
  <si>
    <t>Control required for products with TVP greater than or equal to 0.50 psia at maximum loading temperature</t>
  </si>
  <si>
    <r>
      <t xml:space="preserve">554.67 </t>
    </r>
    <r>
      <rPr>
        <sz val="11"/>
        <color theme="1"/>
        <rFont val="Calibri"/>
        <family val="2"/>
      </rPr>
      <t>°</t>
    </r>
    <r>
      <rPr>
        <sz val="11"/>
        <color theme="1"/>
        <rFont val="Arial"/>
        <family val="2"/>
      </rPr>
      <t>R</t>
    </r>
    <r>
      <rPr>
        <sz val="11"/>
        <color theme="1"/>
        <rFont val="Arial"/>
        <family val="2"/>
      </rPr>
      <t xml:space="preserve"> minimum</t>
    </r>
  </si>
  <si>
    <t>524.67 °R minimum</t>
  </si>
  <si>
    <t>98% minimum</t>
  </si>
  <si>
    <t>30 ft minimum</t>
  </si>
  <si>
    <r>
      <t xml:space="preserve">1200 </t>
    </r>
    <r>
      <rPr>
        <sz val="11"/>
        <color theme="1"/>
        <rFont val="Calibri"/>
        <family val="2"/>
      </rPr>
      <t>°</t>
    </r>
    <r>
      <rPr>
        <sz val="11"/>
        <color theme="1"/>
        <rFont val="Arial"/>
        <family val="2"/>
      </rPr>
      <t>F minimum</t>
    </r>
  </si>
  <si>
    <t>Sulfur content of pilot fuel (gr/100dscf)</t>
  </si>
  <si>
    <t>once per hour minimum</t>
  </si>
  <si>
    <t>15 ppmw maximum</t>
  </si>
  <si>
    <t>*The proposed emission rate increases represented on this sheet are in addition to those listed for the EPNs on the existing permit's MAERT. In the case of an initial permit action, the proposed increases are the full potential to emit values that will be in the permit MAERT.</t>
  </si>
  <si>
    <t>Fee amount</t>
  </si>
  <si>
    <t>Check, money order, or ePay voucher, or other transaction number (if submitted through STEERS, enter "STEERS" instead of the transaction number)</t>
  </si>
  <si>
    <r>
      <rPr>
        <b/>
        <sz val="11"/>
        <color theme="1"/>
        <rFont val="Arial"/>
        <family val="2"/>
      </rPr>
      <t xml:space="preserve">D. Are any HAPs to be authorized/re-authorized with this project? </t>
    </r>
    <r>
      <rPr>
        <sz val="11"/>
        <color theme="1"/>
        <rFont val="Arial"/>
        <family val="2"/>
      </rPr>
      <t>The category "HAPs" must be specifically listed in the public notice if the project authorizes any HAP pollutants.</t>
    </r>
  </si>
  <si>
    <t>This sheet contains the draft permit prepared by the TCEQ for this project and the applicant agreement to representations in this workbook.
Instructions:
1. Review the Special Conditions. During the technical review, APD staff will convert this sheet to a Word document. If this is a permit amendment, this document will be attached to your existing permit. If this is an initial permit, this document will be the permit special conditions.
2. Not applicable requirements are greyed out.
3. Electronically sign this document at the end, indicating agreement with the statement.</t>
  </si>
  <si>
    <t>The permit holder shall install, calibrate, and maintain a continuous emission monitoring system (CEMS) to measure and record the exhaust stack concentration of VOC from the vapor oxidizer.</t>
  </si>
  <si>
    <t>Section 1 below applies to sources subject to the quality-assurance requirements of 40 CFR Part 60, Appendix F; section 2 applies to all other sources:</t>
  </si>
  <si>
    <t>The permit holder shall assure that the CEMS meets the applicable quality-assurance requirements specified in 40 CFR Part 60, Appendix F, Procedure 1.  Relative accuracy exceedances, as specified in 40 CFR Part 60, Appendix F, Section 5.2.3 and any CEMS downtime shall be reported to the appropriate TCEQ Regional Manager, and necessary corrective action shall be taken.  Supplemental stack concentration measurements may be required at the discretion of the appropriate TCEQ Regional Manager.</t>
  </si>
  <si>
    <t>The system shall be zeroed and spanned daily, and corrective action taken when the 24-hour span drift exceeds two times the amounts specified in the applicable Performance Specification Nos. 1 through 9, 40 CFR Part 60, Appendix B, or as specified by the TCEQ if not specified in Appendix B.  Zero and span is not required on weekends and plant holidays if instrument technicians are not normally scheduled on those days.
Each monitor shall be quality-assured at least quarterly using Cylinder Gas Audits (CGA) in accordance with 40 CFR Part 60, Appendix F, Procedure 1, Section 5.1.2, with the following exception:  a relative accuracy test audit (RATA) is not required once every four quarters (i.e., four successive quarterly CGA may be conducted).  An equivalent quality-assurance method approved by the TCEQ may also be used.  Successive quarterly audits shall occur no closer than two months.
All CGA exceedances of +15 percent accuracy indicate that the CEMS is out of control.</t>
  </si>
  <si>
    <t>All monitoring data and quality-assurance data shall be maintained by the source.  The data from the CEMS may, at the discretion of the TCEQ, be used to determine compliance with the conditions of this permit.</t>
  </si>
  <si>
    <t>The appropriate TCEQ Regional Office shall be notified at least 30 days prior to any required RATA in order to provide them the opportunity to observe the testing.</t>
  </si>
  <si>
    <t>Quality-assured (or valid) data must be generated when the vapor oxidizer is operating except during the performance of a daily zero and span check.  Loss of valid data due to periods of monitor break down, out-of-control operation (producing inaccurate data), repair, maintenance, or calibration may be exempted provided it does not exceed 5 percent of the time (in minutes) that the vapor oxidizer operated over the previous rolling 12-month period.  The measurements missed shall be estimated using engineering judgment and the methods used recorded.  Options to increase system reliability to an acceptable value, including a redundant CEMS, may be required by the TCEQ Regional Manager.</t>
  </si>
  <si>
    <t>The permit holder shall install and operate a totalizing fuel flow meter to measure the gas fuel usage for each boiler or heater. Fuel usage for each shall be recorded monthly.  Each monitoring device shall be calibrated at a frequency in accordance with the manufacturer’s specifications or at least annually, whichever is more frequent, and shall be accurate to within 5 percent.
Quality assured (or valid) data must be generated when the boiler or heater is operating.  Loss of valid data due to periods of monitor break down, out-of-control operation (producing inaccurate data), repair, maintenance, or calibration may be exempted provided it does not exceed 5 percent of the time (in minutes) that the boiler or heater operated over the previous rolling 12-month period. The measurements missed shall be estimated using engineering judgment and the methods used recorded.</t>
  </si>
  <si>
    <t>Quality assured (or valid) data must be generated when the boiler or heater is operating.  Loss of valid data due to periods of monitor break down, out-of-control operation (producing inaccurate data), repair, maintenance, or calibration may be exempted provided it does not exceed 5 percent of the time (in minutes) that the boiler or heater operated over the previous rolling 12 month period. The measurements missed shall be estimated using engineering judgment and the methods used recorded.</t>
  </si>
  <si>
    <t>Temporary VCU</t>
  </si>
  <si>
    <t xml:space="preserve">In order to demonstrate compliance with the maximum volumetric flow rate to the temporary VCU and the maximum VCU firing rate, the permit holder shall record the following during periods of VCU operation:  </t>
  </si>
  <si>
    <t>Hourly emissions to control device (lb/hr)</t>
  </si>
  <si>
    <t>Annual emissions to control device (tpy)</t>
  </si>
  <si>
    <t>III. Approved Product List</t>
  </si>
  <si>
    <t>I. Fuel Gas Specifications</t>
  </si>
  <si>
    <t>Fuel Name</t>
  </si>
  <si>
    <t>Fuel gas</t>
  </si>
  <si>
    <t>Approved Product List and Fuel Gas Specifications</t>
  </si>
  <si>
    <t>Approved Product List &amp; Fuel Gas Specifications</t>
  </si>
  <si>
    <t>Load-DrumTote</t>
  </si>
  <si>
    <t>Load-Truck</t>
  </si>
  <si>
    <t>Load-Rail</t>
  </si>
  <si>
    <t>FUG</t>
  </si>
  <si>
    <t>There are no increases to potential or actual emission rates for sources authorized outside of this RAP workbook.</t>
  </si>
  <si>
    <r>
      <t xml:space="preserve">800 </t>
    </r>
    <r>
      <rPr>
        <sz val="11"/>
        <color theme="1"/>
        <rFont val="Calibri"/>
        <family val="2"/>
      </rPr>
      <t>°</t>
    </r>
    <r>
      <rPr>
        <sz val="11"/>
        <color theme="1"/>
        <rFont val="Arial"/>
        <family val="2"/>
      </rPr>
      <t>F minimum</t>
    </r>
  </si>
  <si>
    <t>PM/PM10/PM2.5 emission factor (lb/MMscf)</t>
  </si>
  <si>
    <t>TCEQ publication RG-360/14 Appendix A</t>
  </si>
  <si>
    <t>Will loading of this product  be controlled?</t>
  </si>
  <si>
    <t>Loading: Railcar</t>
  </si>
  <si>
    <t>10 ft minimum</t>
  </si>
  <si>
    <t>UIM Data</t>
  </si>
  <si>
    <t>Load-MarineBarge</t>
  </si>
  <si>
    <t>Load-MarineShip</t>
  </si>
  <si>
    <t>VaporOxidizer</t>
  </si>
  <si>
    <t>Stack Height</t>
  </si>
  <si>
    <t>Model ID</t>
  </si>
  <si>
    <t>Generic Impacts-Region 12</t>
  </si>
  <si>
    <t>1-hr</t>
  </si>
  <si>
    <t>3-hr</t>
  </si>
  <si>
    <t>8-hr</t>
  </si>
  <si>
    <t>24-hr</t>
  </si>
  <si>
    <t>Annual</t>
  </si>
  <si>
    <t>TANK12</t>
  </si>
  <si>
    <t>TANK30</t>
  </si>
  <si>
    <t>TANK35</t>
  </si>
  <si>
    <t>TANK40</t>
  </si>
  <si>
    <t>TANK45</t>
  </si>
  <si>
    <t>TANK50</t>
  </si>
  <si>
    <t>FUELTANK</t>
  </si>
  <si>
    <t>VCU40</t>
  </si>
  <si>
    <t>VCU50</t>
  </si>
  <si>
    <t>VCU60</t>
  </si>
  <si>
    <t>FLARE30</t>
  </si>
  <si>
    <t>FLARE40</t>
  </si>
  <si>
    <t>FLARE50</t>
  </si>
  <si>
    <t>ENGINE8</t>
  </si>
  <si>
    <t>ENGINE12</t>
  </si>
  <si>
    <t>TRUCK</t>
  </si>
  <si>
    <t>RAIL</t>
  </si>
  <si>
    <t>HEATER</t>
  </si>
  <si>
    <t>BOILER</t>
  </si>
  <si>
    <t>PORTCD12</t>
  </si>
  <si>
    <t>PORTCD20</t>
  </si>
  <si>
    <t>BARGE10</t>
  </si>
  <si>
    <t>BARGE15</t>
  </si>
  <si>
    <t>BARGE20</t>
  </si>
  <si>
    <t>SHIP30</t>
  </si>
  <si>
    <t>SHIP40</t>
  </si>
  <si>
    <t>SHIP50</t>
  </si>
  <si>
    <t>Dist. to prop line</t>
  </si>
  <si>
    <t>Generic Impacts - Region 10</t>
  </si>
  <si>
    <t>Generic Impacts - Region 14</t>
  </si>
  <si>
    <t>Generic Impacts - Region 15</t>
  </si>
  <si>
    <t>uim-I hr</t>
  </si>
  <si>
    <t>uim 3 hr</t>
  </si>
  <si>
    <t>uim 24 hr</t>
  </si>
  <si>
    <t>uim annual</t>
  </si>
  <si>
    <t>Region</t>
  </si>
  <si>
    <t>Cameron</t>
  </si>
  <si>
    <t>Sampling Connections (hourly)</t>
  </si>
  <si>
    <t>Sampling Connections (annual)</t>
  </si>
  <si>
    <t>Agitators</t>
  </si>
  <si>
    <t>Heater1</t>
  </si>
  <si>
    <t>Boiler1</t>
  </si>
  <si>
    <t>Heater2</t>
  </si>
  <si>
    <t>Boiler2</t>
  </si>
  <si>
    <t>TempTO</t>
  </si>
  <si>
    <t>TempVCU</t>
  </si>
  <si>
    <t>there is no minimum or maximum for this parameter</t>
  </si>
  <si>
    <t>this cell is intentionally left blank</t>
  </si>
  <si>
    <t>no minimum or maximum for this parameter</t>
  </si>
  <si>
    <t>this cell is intentionally blank</t>
  </si>
  <si>
    <t>this cell intentionally blank</t>
  </si>
  <si>
    <t>n/a</t>
  </si>
  <si>
    <t>70% minimum</t>
  </si>
  <si>
    <t>98.7% minimum</t>
  </si>
  <si>
    <t>Impacts</t>
  </si>
  <si>
    <t>Is the unit equipped with a standby oxidizer firebox?</t>
  </si>
  <si>
    <t>B. Project Increases and Public Notice Thresholds</t>
  </si>
  <si>
    <t>Yes</t>
  </si>
  <si>
    <t>Is this an application for an initial permit or an amendment to an existing permit?</t>
  </si>
  <si>
    <t>Regions</t>
  </si>
  <si>
    <t>County</t>
  </si>
  <si>
    <t>Classification</t>
  </si>
  <si>
    <t>ozone</t>
  </si>
  <si>
    <t>NA Counties for this RAP</t>
  </si>
  <si>
    <t>NA classificaiton info</t>
  </si>
  <si>
    <t>Fugitive Factors</t>
  </si>
  <si>
    <t>Fugitive Control efficiencies - oil and gas</t>
  </si>
  <si>
    <t>Fugitive Control efficiencies - general</t>
  </si>
  <si>
    <t>IV. Speciated Emission Rates</t>
  </si>
  <si>
    <t>All Products</t>
  </si>
  <si>
    <t>Unique Product Number</t>
  </si>
  <si>
    <t>CAS: Unique Product Numbers</t>
  </si>
  <si>
    <t>CAS: Products Sent</t>
  </si>
  <si>
    <t>CAS: Unique products sent</t>
  </si>
  <si>
    <t>Flare: Unique Product Numbers</t>
  </si>
  <si>
    <t>Flare: Products Sent</t>
  </si>
  <si>
    <t>Flare: Unique products sent</t>
  </si>
  <si>
    <t>UNITS</t>
  </si>
  <si>
    <t>flare</t>
  </si>
  <si>
    <t>Post-control hourly emissions (lb/hr)</t>
  </si>
  <si>
    <t>Fuel Gas</t>
  </si>
  <si>
    <t>0.6 minimum</t>
  </si>
  <si>
    <t>III. Flare Emission Rates</t>
  </si>
  <si>
    <t>III. CAS Emission Rates</t>
  </si>
  <si>
    <t>III. VCU Emission Rates</t>
  </si>
  <si>
    <t>VCU: Unique Product Numbers</t>
  </si>
  <si>
    <t>VCU: Products Sent</t>
  </si>
  <si>
    <t>VCU: Unique products sent</t>
  </si>
  <si>
    <t>Flare: Unique product emissions (lb/hr)</t>
  </si>
  <si>
    <t>Flare: Unique product emissions (tpy)</t>
  </si>
  <si>
    <t>If yes, list the emission units in this project subject to CAM. Use the sheet name identifiers, for example Tank1, Tank2, Loading-DrumTote, etc.</t>
  </si>
  <si>
    <t>VCU: Emissions sent to (tpy)</t>
  </si>
  <si>
    <t>VCU: Emissions sent to (lb/hr)</t>
  </si>
  <si>
    <t>VCU: Unique product emissions (lb/hr)</t>
  </si>
  <si>
    <t>VCU: Unique product emissions (tpy)</t>
  </si>
  <si>
    <t>Flare: Emissions sent to (lb/hr)</t>
  </si>
  <si>
    <t>Flare: Emissions sent to (tpy)</t>
  </si>
  <si>
    <t>VO: Unique Product Numbers</t>
  </si>
  <si>
    <t>VO: Products Sent</t>
  </si>
  <si>
    <t>VO: Emissions sent to (lb/hr)</t>
  </si>
  <si>
    <t>VO: Emissions sent to (tpy)</t>
  </si>
  <si>
    <t>VO: Unique products sent</t>
  </si>
  <si>
    <t>VO: Unique product emissions (lb/hr)</t>
  </si>
  <si>
    <t>VO: Unique product emissions (tpy)</t>
  </si>
  <si>
    <t>vapor oxidizer</t>
  </si>
  <si>
    <t>B. Waste Stream</t>
  </si>
  <si>
    <t>Control device for convenience roof landings</t>
  </si>
  <si>
    <t>Tank MSS</t>
  </si>
  <si>
    <t>Maximum hourly emissions (lb/hr)</t>
  </si>
  <si>
    <t>Emission factor (select one)</t>
  </si>
  <si>
    <t>Control efficiency - set 1 (select one, do not leave blank)</t>
  </si>
  <si>
    <t>Control efficiency - set 2 (select one, do not leave blank)</t>
  </si>
  <si>
    <t>Maximum VOC concentration of the vapor space prior to start of forced ventilation (ppmv)</t>
  </si>
  <si>
    <t>Products stored in tanks</t>
  </si>
  <si>
    <t>Products stored in tanks - unique</t>
  </si>
  <si>
    <t>Tank unique product numbers</t>
  </si>
  <si>
    <t>B. Emissions</t>
  </si>
  <si>
    <t>Significant Impact Level (ug/m3)</t>
  </si>
  <si>
    <t>If the VOC vapor pressure of the liquid being drained from the tank is greater than or equal to 0.50 psia at 95°F, a vapor recovery system shall be connected to the vapor space under the landed tank roof and the vapor space vented to a control device.  The locations and identifiers of vents other than permanent roof fittings and seals, control device or controlled recovery system, and controlled exhaust stream shall be recorded.  There shall be no other gas/vapor flow out of the vapor space under the floating roof when the vapor space is directed to the control device.  The vapor space shall be vented to the control device during the period from the first stoppage of liquid withdrawal after the roof is landed until the tank has been degassed per part E of this condition or the tank has been filled so that the landed roof is floating on liquid.</t>
  </si>
  <si>
    <t>A bypass does not include authorized analyzer vents, highpoint bleeder vents, low point drains, or rupture discs upstream of pressure relief valves if the pressure between the disc and relief valve is monitored and recorded at least weekly.  A deviation shall be reported if the monitoring or inspections indicate bypass of the vapor oxidizer when it is required to be in service.</t>
  </si>
  <si>
    <t>If the VOC partial pressure is greater than 0.50 psi at the normal process temperature or 95°F, facilities shall be degassed using good engineering practice to ensure air contaminants are removed from the system through the control device or controlled recovery system to the extent allowed by process equipment or storage vessel design.  The vapor pressure at 95°F may be used if the actual temperature of the liquid is verified to be less than 95°F and the temperature is recorded.  The facilities to be degassed shall not be vented directly to atmosphere, except as necessary to establish isolation of the work area or to monitor VOC concentration following controlled depressurization.  The venting shall be minimized to the maximum extent practicable and actions taken recorded.  The control device or recovery system utilized shall be recorded with the estimated emissions from controlled and uncontrolled degassing calculated using the methods that were used to determine allowable emissions for the permit application. For MSS activities identified in Attachment B, one of the following options shall be used.</t>
  </si>
  <si>
    <t xml:space="preserve">The facilities being prepared for maintenance shall not be vented directly to atmosphere until the VOC concentration has been verified to be less than 10 percent of the lower explosive limit (LEL) per the site safety procedures.  </t>
  </si>
  <si>
    <t>Permits are issued to either the facility owner or operator, commonly referred to as the applicant or permit holder. List the legal name of the company, corporation, partnership, or person who is applying for the permit. We will verify the legal name with the Texas Secretary of State at (512) 463-5555 or at the link below:</t>
  </si>
  <si>
    <t>This form will not be processed until all delinquent fees and/or penalties owed to the TCEQ or the Office of the Attorney General on behalf of the TCEQ is paid in accordance with the Delinquent Fee and Penalty Protocol. For more information regarding delinquent fees and penalties, go to the TCEQ website at the link below:</t>
  </si>
  <si>
    <t>This information can be found at the link below (note, this site is not compatible with Internet Explorer):</t>
  </si>
  <si>
    <t>A list of SIC codes can be found at the link below:</t>
  </si>
  <si>
    <t>Certain areas of the state have concentrations of specific pollutants that are of concern. The TCEQ has designated these portions of the state as watch list areas. Location of a facility in a watch list area could result in additional restrictions on emissions of the affected air pollutant(s) or additional permit requirements. The location of the areas and pollutants of interest can be found at the link below:</t>
  </si>
  <si>
    <t>This sheet is intended to assist in this determination of public notice requirements and is not a replacement for 30 TAC Chapter 39 (Public Notice).
The THSC §382.056 and corresponding rules in 30 TAC Chapter 39 (Public Notice) require that you publish a notice of intent to obtain a permit and in certain circumstances, notice of preliminary decision. Notices must be published in a newspaper of general circulation in the municipality where the proposed facility is or will be located (not applicable to alternative language notices). The notices must include a description of the facility and the fact that a person who may be affected by emissions from the facility may request a public hearing and any other information the TCEQ requires by rule. Signs must also be posted at the site in compliance with 30 TAC § 39.604(c). Additional information regarding public notice such as an overview of requirements, an applicability table, and a list of some common errors that may cause renotice and delays in processing your application can be found at the link below:</t>
  </si>
  <si>
    <t>Baseline Emissions (tpy)
MarineBarge Loading</t>
  </si>
  <si>
    <t>Baseline Emissions (tpy)
MarineShip Loading</t>
  </si>
  <si>
    <t>Current NH3 tpy</t>
  </si>
  <si>
    <t>Proposed Increase
NH3 tpy</t>
  </si>
  <si>
    <t>Proposed Increase
NH3 lb/hr</t>
  </si>
  <si>
    <t>Proposed Increase
H2SO4 lb/hr</t>
  </si>
  <si>
    <t>Proposed Increase
H2S lb/hr</t>
  </si>
  <si>
    <t>Proposed Increase
SO2 lb/hr</t>
  </si>
  <si>
    <t>Proposed Increase
VOC lb/hr</t>
  </si>
  <si>
    <t>557-99-3 (Not Defined)</t>
  </si>
  <si>
    <t>557-99-3 (For air permit reviews in agricultural areas)</t>
  </si>
  <si>
    <t>1341-49-7 (Not Defined)</t>
  </si>
  <si>
    <t>1341-49-7 (For air permit reviews in agricultural areas)</t>
  </si>
  <si>
    <t>13826-83-0 (Not Defined)</t>
  </si>
  <si>
    <t>12125-01-8 (Not Defined)</t>
  </si>
  <si>
    <t>12125-01-8 (For air permit reviews in agricultural areas)</t>
  </si>
  <si>
    <t>7637-07-2 (Not Defined)</t>
  </si>
  <si>
    <t>7637-07-2 (For air permit reviews in agricultural areas)</t>
  </si>
  <si>
    <t>7789-75-5 (Not Defined)</t>
  </si>
  <si>
    <t>7789-75-5 (For air permit reviews in agricultural areas)</t>
  </si>
  <si>
    <t>353-50-4 (For air permit reviews in agricultural areas)</t>
  </si>
  <si>
    <t>16872-11-0 (Not Defined)</t>
  </si>
  <si>
    <t>16872-11-0 (For air permit reviews in agricultural areas)</t>
  </si>
  <si>
    <t>16961-83-4 (Not Defined)</t>
  </si>
  <si>
    <t>16961-83-4 (For air permit reviews in agricultural areas)</t>
  </si>
  <si>
    <t>7789-21-1 (Not Defined)</t>
  </si>
  <si>
    <t>7789-21-1 (For air permit reviews in agricultural areas)</t>
  </si>
  <si>
    <t>17439-11-1 (Not Defined)</t>
  </si>
  <si>
    <t>17439-11-1 (For air permit reviews in agricultural areas)</t>
  </si>
  <si>
    <t>12021-95-3 (Not Defined)</t>
  </si>
  <si>
    <t>12021-95-3 (For air permit reviews in agricultural areas)</t>
  </si>
  <si>
    <t>958029-37-3 (Not Defined)</t>
  </si>
  <si>
    <t>958029-37-3 (For air permit reviews in agricultural areas)</t>
  </si>
  <si>
    <t>7664-39-3 (Not Defined)</t>
  </si>
  <si>
    <t>7664-39-3 (For air permit reviews in agricultural areas)</t>
  </si>
  <si>
    <t>16949-65-8 (Not Defined)</t>
  </si>
  <si>
    <t>16949-65-8 (For air permit reviews in agricultural areas)</t>
  </si>
  <si>
    <t>7616-94-6 (Not Defined)</t>
  </si>
  <si>
    <t>7616-94-6 (For air permit reviews in agricultural areas)</t>
  </si>
  <si>
    <t>7647-19-0 (Not Defined)</t>
  </si>
  <si>
    <t>7647-19-0 (For air permit reviews in agricultural areas)</t>
  </si>
  <si>
    <t>7789-23-3 (Not Defined)</t>
  </si>
  <si>
    <t>7789-23-3 (For air permit reviews in agricultural areas)</t>
  </si>
  <si>
    <t>2991-51-7 (Not Defined)</t>
  </si>
  <si>
    <t>2991-51-7 (For air permit reviews in agricultural areas)</t>
  </si>
  <si>
    <t>39384-00-4 (Not Defined)</t>
  </si>
  <si>
    <t>39384-00-4 (For air permit reviews in agricultural areas)</t>
  </si>
  <si>
    <t>13966-66-0 (Not Defined)</t>
  </si>
  <si>
    <t>13966-66-0 (For air permit reviews in agricultural areas)</t>
  </si>
  <si>
    <t>7783-61-1 (Not Defined)</t>
  </si>
  <si>
    <t>7783-61-1 (For air permit reviews in agricultural areas)</t>
  </si>
  <si>
    <t>1333-83-1 (Not Defined)</t>
  </si>
  <si>
    <t>1333-83-1 (For air permit reviews in agricultural areas)</t>
  </si>
  <si>
    <t>13755-29-8 (Not Defined)</t>
  </si>
  <si>
    <t>13755-29-8 (For air permit reviews in agricultural areas)</t>
  </si>
  <si>
    <t>7681-49-4 (Not Defined)</t>
  </si>
  <si>
    <t>7681-49-4 (For air permit reviews in agricultural areas)</t>
  </si>
  <si>
    <t>16893-85-9 (Not Defined)</t>
  </si>
  <si>
    <t>16893-85-9 (For air permit reviews in agricultural areas)</t>
  </si>
  <si>
    <t>5714-22-7 (Not Defined)</t>
  </si>
  <si>
    <t>5714-22-7 (For air permit reviews in agricultural areas)</t>
  </si>
  <si>
    <t>7783-60-0 (Not Defined)</t>
  </si>
  <si>
    <t>7783-60-0 (For air permit reviews in agricultural areas)</t>
  </si>
  <si>
    <t>76-05-1 (Not Defined)</t>
  </si>
  <si>
    <t>76-05-1 (For air permit reviews in agricultural areas)</t>
  </si>
  <si>
    <t>75-02-5 (Not Defined)</t>
  </si>
  <si>
    <t>75-02-5 (For air permit reviews in agricultural areas)</t>
  </si>
  <si>
    <t>13709-36-9 (Not Defined)</t>
  </si>
  <si>
    <t>13709-36-9 (For air permit reviews in agricultural areas)</t>
  </si>
  <si>
    <t>particulate matter</t>
  </si>
  <si>
    <t>No Value</t>
  </si>
  <si>
    <t>nitrogen oxides</t>
  </si>
  <si>
    <r>
      <t xml:space="preserve">particulate matter </t>
    </r>
    <r>
      <rPr>
        <sz val="11"/>
        <color theme="1"/>
        <rFont val="Calibri"/>
        <family val="2"/>
      </rPr>
      <t>≤</t>
    </r>
    <r>
      <rPr>
        <sz val="7.7"/>
        <color theme="1"/>
        <rFont val="Arial"/>
        <family val="2"/>
      </rPr>
      <t xml:space="preserve"> 10</t>
    </r>
  </si>
  <si>
    <r>
      <t xml:space="preserve">particulate matter </t>
    </r>
    <r>
      <rPr>
        <sz val="11"/>
        <color theme="1"/>
        <rFont val="Calibri"/>
        <family val="2"/>
      </rPr>
      <t>≤</t>
    </r>
    <r>
      <rPr>
        <sz val="7.7"/>
        <color theme="1"/>
        <rFont val="Arial"/>
        <family val="2"/>
      </rPr>
      <t xml:space="preserve"> 2.5</t>
    </r>
  </si>
  <si>
    <t>hyrdogen sulfide</t>
  </si>
  <si>
    <t>H. Are emissions inventory data attached?</t>
  </si>
  <si>
    <t>Lower heating value (Btu/lb)</t>
  </si>
  <si>
    <t>this cell intentionally left blank</t>
  </si>
  <si>
    <t>For ProdList</t>
  </si>
  <si>
    <t>Unique CAS numbers</t>
  </si>
  <si>
    <t>All CAS numbers</t>
  </si>
  <si>
    <t>For Impacts CAS List</t>
  </si>
  <si>
    <r>
      <t>Exit temperature of the standby oxidizer firebox (</t>
    </r>
    <r>
      <rPr>
        <sz val="11"/>
        <color theme="1"/>
        <rFont val="Calibri"/>
        <family val="2"/>
      </rPr>
      <t>°</t>
    </r>
    <r>
      <rPr>
        <sz val="11"/>
        <color theme="1"/>
        <rFont val="Arial"/>
        <family val="2"/>
      </rPr>
      <t>F)</t>
    </r>
  </si>
  <si>
    <t>10% of short-term ESL (µg/m3)</t>
  </si>
  <si>
    <t>10% of long-term ESL (µg/m3)</t>
  </si>
  <si>
    <t>Is this a newly authorized species at the site?</t>
  </si>
  <si>
    <t>Select the third method, if applicable.</t>
  </si>
  <si>
    <t>Has this species been evaluated for exceedances of the ESL in previous projects at this site?</t>
  </si>
  <si>
    <t>8760 hr/yr maximum</t>
  </si>
  <si>
    <t>between 0.06 and 0.138</t>
  </si>
  <si>
    <t>between 0.1 and 0.3</t>
  </si>
  <si>
    <t>III. Vapor Oxidizer Emission Rates</t>
  </si>
  <si>
    <t>The generic predictions were developed by the TCEQ Air Dispersion Modeling Team based on the TCEQ Region and each source's release height and distance to the property line. The generic predictions are based on modeling each source with an emission rate of one pound per hour. The generic prediction is multiplied with the source's proposed emissions increases (in lb/hr) to determine the source's prediction, which is then compared with thresholds to determine if impacts are acceptable. If the project consists of multiple sources, the predictions from each source are added together and the total prediction is then compared with thresholds to determine if impacts are acceptable.</t>
  </si>
  <si>
    <t>Is this a constant-level tank? Note: continuous liquid height monitoring required.</t>
  </si>
  <si>
    <t>C. Compliance Assurance Monitoring</t>
  </si>
  <si>
    <t>Long-term impacts evaluation required for this species?*</t>
  </si>
  <si>
    <t>NAAQS</t>
  </si>
  <si>
    <t>SPLS</t>
  </si>
  <si>
    <t>Averaging time</t>
  </si>
  <si>
    <t>annual</t>
  </si>
  <si>
    <t>30-minute</t>
  </si>
  <si>
    <t>none</t>
  </si>
  <si>
    <t>Tank1 - annual</t>
  </si>
  <si>
    <t>Tank2 - annual</t>
  </si>
  <si>
    <t>Tank3 - annual</t>
  </si>
  <si>
    <t>Tank4 - annual</t>
  </si>
  <si>
    <t>Tank5 - annual</t>
  </si>
  <si>
    <t>Load-DrumTote - annual</t>
  </si>
  <si>
    <t>Load-Truck - annual</t>
  </si>
  <si>
    <t>Load-Rail - annual</t>
  </si>
  <si>
    <t>Flare - annual</t>
  </si>
  <si>
    <t>VCU - annual</t>
  </si>
  <si>
    <t>VO - annual</t>
  </si>
  <si>
    <t>CAS - annual</t>
  </si>
  <si>
    <t>Engine1 - annual</t>
  </si>
  <si>
    <t>Engine2 - annual</t>
  </si>
  <si>
    <t>Heater1 - annual</t>
  </si>
  <si>
    <t>Heater2 - annual</t>
  </si>
  <si>
    <t>Boiler1 - annual</t>
  </si>
  <si>
    <t>Boiler2 - annual</t>
  </si>
  <si>
    <t>FUG - annual</t>
  </si>
  <si>
    <t>MSS - annual</t>
  </si>
  <si>
    <t>Standard</t>
  </si>
  <si>
    <t>Tank1 - 1hr</t>
  </si>
  <si>
    <t>Tank2 - 1hr</t>
  </si>
  <si>
    <t>Tank3 - 1hr</t>
  </si>
  <si>
    <t>Tank4 - 1hr</t>
  </si>
  <si>
    <t>Tank5 - 1hr</t>
  </si>
  <si>
    <t>Load-DrumTote - 1hr</t>
  </si>
  <si>
    <t>Load-Truck - 1hr</t>
  </si>
  <si>
    <t>Load-Rail - 1hr</t>
  </si>
  <si>
    <t>Engine1 - 1hr</t>
  </si>
  <si>
    <t>Engine2 - 1hr</t>
  </si>
  <si>
    <t>Heater1 - 1hr</t>
  </si>
  <si>
    <t>Heater2 - 1hr</t>
  </si>
  <si>
    <t>Boiler1 - 1hr</t>
  </si>
  <si>
    <t>Boiler2 - 1hr</t>
  </si>
  <si>
    <t>FUG - 1hr</t>
  </si>
  <si>
    <t>Is the land use of the surrounding area classified as industrial or non-industrial?</t>
  </si>
  <si>
    <t>Tank2 - 3hr</t>
  </si>
  <si>
    <t>Tank1 - 3hr</t>
  </si>
  <si>
    <t>Tank3 -  3hr</t>
  </si>
  <si>
    <t>Tank4 -  3hr</t>
  </si>
  <si>
    <t>Tank5 -  3hr</t>
  </si>
  <si>
    <t>Load-DrumTote -  3hr</t>
  </si>
  <si>
    <t>Load-Truck -  3hr</t>
  </si>
  <si>
    <t>Load-Rail -  3hr</t>
  </si>
  <si>
    <t>Engine1 - 3hr</t>
  </si>
  <si>
    <t>Engine2 - 3hr</t>
  </si>
  <si>
    <t>Heater1 - 3hr</t>
  </si>
  <si>
    <t>Heater2 - 3hr</t>
  </si>
  <si>
    <t>Boiler1 - 3hr</t>
  </si>
  <si>
    <t>Boiler2 - 3hr</t>
  </si>
  <si>
    <t>FUG - 3hr</t>
  </si>
  <si>
    <t>Load-MarineBarge - 1hr</t>
  </si>
  <si>
    <t>Load-MarineShip - 1hr</t>
  </si>
  <si>
    <t>Load-MarineBarge -  3hr</t>
  </si>
  <si>
    <t>Load-MarineShip -  3hr</t>
  </si>
  <si>
    <t>Load-MarineBarge - annual</t>
  </si>
  <si>
    <t>Load-MarineShip - annual</t>
  </si>
  <si>
    <t>Tank1 - 8hr</t>
  </si>
  <si>
    <t>Tank3 - 8hr</t>
  </si>
  <si>
    <t>Tank4 - 8hr</t>
  </si>
  <si>
    <t>Tank5 - 8hr</t>
  </si>
  <si>
    <t>Load-DrumTote- 8hr</t>
  </si>
  <si>
    <t>Load-Truck - 8hr</t>
  </si>
  <si>
    <t>Load-Rail- 8hr</t>
  </si>
  <si>
    <t>Load-MarineBarge- 8hr</t>
  </si>
  <si>
    <t>Load-MarineShip - 8hr</t>
  </si>
  <si>
    <t>Flare- 8hr</t>
  </si>
  <si>
    <t>VCU - 8hr</t>
  </si>
  <si>
    <t>VO - 8hr</t>
  </si>
  <si>
    <t>CAS -- 8hr</t>
  </si>
  <si>
    <t>Engine1 - 8hr</t>
  </si>
  <si>
    <t>Engine2 - 8hr</t>
  </si>
  <si>
    <t>Heater1 - 8hr</t>
  </si>
  <si>
    <t>Heater2 - 8hr</t>
  </si>
  <si>
    <t>Boiler1 - 8hr</t>
  </si>
  <si>
    <t>Boiler2 - 8hr</t>
  </si>
  <si>
    <t>FUG - 8hr</t>
  </si>
  <si>
    <t>1-HR</t>
  </si>
  <si>
    <t>3-HR</t>
  </si>
  <si>
    <t>8-HR</t>
  </si>
  <si>
    <t>ANNUAL</t>
  </si>
  <si>
    <t>Fixed tank</t>
  </si>
  <si>
    <t>EFR</t>
  </si>
  <si>
    <t>IFR</t>
  </si>
  <si>
    <t>Primary Seal Types</t>
  </si>
  <si>
    <t>Secondary Seal Type</t>
  </si>
  <si>
    <t>IFR, mechanical or liquid</t>
  </si>
  <si>
    <t>rim-mounted</t>
  </si>
  <si>
    <t>shoe-mounted</t>
  </si>
  <si>
    <t>flexible-wiper</t>
  </si>
  <si>
    <t>IFR, vapor-mounted</t>
  </si>
  <si>
    <t>Pfixed</t>
  </si>
  <si>
    <t>PEFR</t>
  </si>
  <si>
    <t>PIFR</t>
  </si>
  <si>
    <t>SEFR</t>
  </si>
  <si>
    <t>SIFRml</t>
  </si>
  <si>
    <t>SIFRv</t>
  </si>
  <si>
    <t>Tank1 - 24hr</t>
  </si>
  <si>
    <t>Tank2 - 24hr</t>
  </si>
  <si>
    <t>Tank3 - 24hr</t>
  </si>
  <si>
    <t>Tank4 - 24hr</t>
  </si>
  <si>
    <t>Tank5 - 24hr</t>
  </si>
  <si>
    <t>Load-DrumTote- 24hr</t>
  </si>
  <si>
    <t>Load-Truck - 24hr</t>
  </si>
  <si>
    <t>Load-Rail- 24hr</t>
  </si>
  <si>
    <t>Load-MarineBarge - 24hr</t>
  </si>
  <si>
    <t>Load-MarineShip - 24hr</t>
  </si>
  <si>
    <t>Engine1 - 24hr</t>
  </si>
  <si>
    <t>Engine2- 24hr</t>
  </si>
  <si>
    <t>Heater1- 24hr</t>
  </si>
  <si>
    <t>Heater2- 24hr</t>
  </si>
  <si>
    <t>Boiler1 - 24hr</t>
  </si>
  <si>
    <t>Boiler2 - 24hr</t>
  </si>
  <si>
    <t>FUG - 24hr</t>
  </si>
  <si>
    <t>24-HR</t>
  </si>
  <si>
    <t>Floating Roof Convenience Landings</t>
  </si>
  <si>
    <t>I. Emission Calculation Methodology</t>
  </si>
  <si>
    <t>A. Event Information</t>
  </si>
  <si>
    <t>Total emissions per event (lb/event)</t>
  </si>
  <si>
    <t>Emissions per year (tpy)</t>
  </si>
  <si>
    <t>Description</t>
  </si>
  <si>
    <t>Emissions vented directly to atmosphere</t>
  </si>
  <si>
    <t>All emissions of VOC represented below were calculated using the current version of US Environmental Protection Agency (EPA) Compilation of Air Pollutant Emission Factors (AP-42) Chapter 7: Liquid Storage Tanks or a tank emission calculation software utilizing the same methods in AP-42 Ch. 7.</t>
  </si>
  <si>
    <t>All emissions represented below meet the following criteria: (1) emissions were calculated using a product that is authorized for storage in the given tank and (2) emissions are based on the product that results in the highest quantity of emissions compared to other stored products.</t>
  </si>
  <si>
    <t>All emissions from control devices represented below were calculated using the appropriate TCEQ guidance, AP-42 emission factors, and/or vendor guarantees.</t>
  </si>
  <si>
    <t>Emissions from control device</t>
  </si>
  <si>
    <t>C. Forced Ventilation Emissions</t>
  </si>
  <si>
    <t>Will this MSS activity be controlled?</t>
  </si>
  <si>
    <t>B. Vapor Space Purge/Degassing Procedure and Emissions</t>
  </si>
  <si>
    <t>These emissions are included in routine emissions due to the nature of fixed roof tanks.</t>
  </si>
  <si>
    <t>E. Refilling Emissions</t>
  </si>
  <si>
    <t>Will this MSS activity be controlled? (Note: control of this activity is a requirement of the RAP.)</t>
  </si>
  <si>
    <t>F. Fixed Roof Tank MSS Emissions</t>
  </si>
  <si>
    <t>II. Floating Roof Tank MSS</t>
  </si>
  <si>
    <t>A. Control device for floating roof tanks during MSS</t>
  </si>
  <si>
    <t>B. Standing Idle Emissions After Roof Landing</t>
  </si>
  <si>
    <t>C. Vapor Space Purge/Degassing Procedure and Emissions</t>
  </si>
  <si>
    <t>D. Forced Ventilation Emissions</t>
  </si>
  <si>
    <t>F. Refloat Emissions</t>
  </si>
  <si>
    <t>G. Floating Roof Tank MSS Emissions</t>
  </si>
  <si>
    <t>III. Fixed Roof Tank MSS</t>
  </si>
  <si>
    <t>V. Emissions</t>
  </si>
  <si>
    <t>Annual emissions (tpy)</t>
  </si>
  <si>
    <t>General MSS and Temporary Control Devices</t>
  </si>
  <si>
    <t>A. General MSS Emissions</t>
  </si>
  <si>
    <t>Hourly emissions (lb/hr)</t>
  </si>
  <si>
    <t>Activities</t>
  </si>
  <si>
    <t>The project only authorizes emissions from sources located in TCEQ Regions 10, 12, 14, or 15.</t>
  </si>
  <si>
    <t>The unloading, loading, or maintenance of very large crude carriers and ultra large crude carriers is not included in this project.</t>
  </si>
  <si>
    <r>
      <t xml:space="preserve">This sheet details drum or tote loading specifications and determines emission rates.
</t>
    </r>
    <r>
      <rPr>
        <b/>
        <sz val="11"/>
        <color theme="1"/>
        <rFont val="Arial"/>
        <family val="2"/>
      </rPr>
      <t>Instructions:</t>
    </r>
    <r>
      <rPr>
        <sz val="11"/>
        <color theme="1"/>
        <rFont val="Arial"/>
        <family val="2"/>
      </rPr>
      <t xml:space="preserve">
1. Complete Sections I and II. Note any minimum or maximum values that may be applicable.
2. Complete columns A through E of Section III. Column E asks whether loading of the specified product will be controlled. Although loading of products with TVP less than 0.50 psia at maximum loading temperatures does not require control, it is acceptable to control loading in an effort to limit emissions. For this reason, the question in Section III column E must be answered regardless of product TVP.
</t>
    </r>
    <r>
      <rPr>
        <b/>
        <sz val="11"/>
        <color theme="1"/>
        <rFont val="Arial"/>
        <family val="2"/>
      </rPr>
      <t>Important notes:</t>
    </r>
    <r>
      <rPr>
        <sz val="11"/>
        <color theme="1"/>
        <rFont val="Arial"/>
        <family val="2"/>
      </rPr>
      <t xml:space="preserve">
-Emissions from loading include uncollected emissions released at the loading location and collected emissions to be sent to a control device.
-Emission rates are calculated using Equation 1 of EPA's AP-42 Chapter 5.2: Transportation and Marketing of Petroleum Liquids (July 2008).
-Loading of products with TVP greater than or equal to 0.50 psia at maximum loading temperature must be controlled.
</t>
    </r>
  </si>
  <si>
    <r>
      <t xml:space="preserve">This sheet details truck loading specifications and determines emission rates.
</t>
    </r>
    <r>
      <rPr>
        <b/>
        <sz val="11"/>
        <color theme="1"/>
        <rFont val="Arial"/>
        <family val="2"/>
      </rPr>
      <t>Instructions:</t>
    </r>
    <r>
      <rPr>
        <sz val="11"/>
        <color theme="1"/>
        <rFont val="Arial"/>
        <family val="2"/>
      </rPr>
      <t xml:space="preserve">
1. Complete Sections I and II. Note any minimum or maximum values that may be applicable.
2. Complete columns A through E of Section III. Column E asks whether loading of the specified product will be controlled. Although loading of products with TVP less than 0.50 psia at maximum loading temperatures does not require control, it is acceptable to control loading in an effort to limit emissions. For this reason, the question in Section III column E must be answered regardless of product TVP.
</t>
    </r>
    <r>
      <rPr>
        <b/>
        <sz val="11"/>
        <color theme="1"/>
        <rFont val="Arial"/>
        <family val="2"/>
      </rPr>
      <t>Important notes:</t>
    </r>
    <r>
      <rPr>
        <sz val="11"/>
        <color theme="1"/>
        <rFont val="Arial"/>
        <family val="2"/>
      </rPr>
      <t xml:space="preserve">
-Emissions from loading include uncollected emissions released at the loading location and collected emissions to be sent to a control device.
-Emission rates are calculated using Equation 1 of EPA's AP-42 Chapter 5.2: Transportation and Marketing of Petroleum Liquids (July 2008).
-Loading of products with TVP greater than or equal to 0.50 psia at maximum loading temperature must be controlled.
</t>
    </r>
  </si>
  <si>
    <r>
      <t xml:space="preserve">This sheet details railcar loading specifications and determines emission rates.
</t>
    </r>
    <r>
      <rPr>
        <b/>
        <sz val="11"/>
        <color theme="1"/>
        <rFont val="Arial"/>
        <family val="2"/>
      </rPr>
      <t>Instructions:</t>
    </r>
    <r>
      <rPr>
        <sz val="11"/>
        <color theme="1"/>
        <rFont val="Arial"/>
        <family val="2"/>
      </rPr>
      <t xml:space="preserve">
1. Complete Sections I and II. Note any minimum or maximum values that may be applicable.
2. Complete columns A through E of Section III. Column E asks whether loading of the specified product will be controlled. Although loading of products with TVP less than 0.50 psia at maximum loading temperatures does not require control, it is acceptable to control loading in an effort to limit emissions. For this reason, the question in Section III column E must be answered regardless of product TVP.
</t>
    </r>
    <r>
      <rPr>
        <b/>
        <sz val="11"/>
        <color theme="1"/>
        <rFont val="Arial"/>
        <family val="2"/>
      </rPr>
      <t xml:space="preserve">
Important notes:
</t>
    </r>
    <r>
      <rPr>
        <sz val="11"/>
        <color theme="1"/>
        <rFont val="Arial"/>
        <family val="2"/>
      </rPr>
      <t xml:space="preserve">-Emissions from loading include uncollected emissions released at the loading location and collected emissions to be sent to a control device.
-Emission rates are calculated using Equation 1 of EPA's AP-42 Chapter 5.2: Transportation and Marketing of Petroleum Liquids (July 2008).
-Loading of products with TVP greater than or equal to 0.50 psia at maximum loading temperature must be controlled.
</t>
    </r>
  </si>
  <si>
    <r>
      <t xml:space="preserve">This sheet details marine loading of non-inerted vessels (inland barges) and determines emission rates.
</t>
    </r>
    <r>
      <rPr>
        <b/>
        <sz val="11"/>
        <color theme="1"/>
        <rFont val="Arial"/>
        <family val="2"/>
      </rPr>
      <t>Instructions:</t>
    </r>
    <r>
      <rPr>
        <sz val="11"/>
        <color theme="1"/>
        <rFont val="Arial"/>
        <family val="2"/>
      </rPr>
      <t xml:space="preserve">
1. Complete Sections I and II. Note any minimum or maximum values that may be applicable.
2. Complete columns A through E of Section III. Column E asks whether loading of the specified product will be controlled. Although loading of products with TVP less than 0.50 psia at maximum loading temperatures does not require control, it is acceptable to control loading in an effort to limit emissions. For this reason, the question in Section III column E must be answered regardless of product TVP.
</t>
    </r>
    <r>
      <rPr>
        <b/>
        <sz val="11"/>
        <color theme="1"/>
        <rFont val="Arial"/>
        <family val="2"/>
      </rPr>
      <t>Important notes:</t>
    </r>
    <r>
      <rPr>
        <sz val="11"/>
        <color theme="1"/>
        <rFont val="Arial"/>
        <family val="2"/>
      </rPr>
      <t xml:space="preserve">
-Emissions from loading include uncollected emissions released at the loading location and collected emissions to be sent to a control device.
-Emission rates are calculated using Equation 1 of EPA's AP-42 Chapter 5.2: Transportation and Marketing of Petroleum Liquids (July 2008).
-Loading of products with TVP greater than or equal to 0.50 psia at maximum loading temperature must be controlled.
</t>
    </r>
  </si>
  <si>
    <r>
      <t xml:space="preserve">This sheet details marine loading of inerted vessels (ships and ocean-going vessels) and determines emission rates.
</t>
    </r>
    <r>
      <rPr>
        <b/>
        <sz val="11"/>
        <color theme="1"/>
        <rFont val="Arial"/>
        <family val="2"/>
      </rPr>
      <t>Instructions:</t>
    </r>
    <r>
      <rPr>
        <sz val="11"/>
        <color theme="1"/>
        <rFont val="Arial"/>
        <family val="2"/>
      </rPr>
      <t xml:space="preserve">
1. Complete Sections I and II. Note any minimum or maximum values that may be applicable.
2. Complete columns A through E of Section III. Column E asks whether loading of the specified product will be controlled. Although loading of products with TVP less than 0.50 psia at maximum loading temperatures does not require control, it is acceptable to control loading in an effort to limit emissions. For this reason, the question in Section III column E must be answered regardless of product TVP.
</t>
    </r>
    <r>
      <rPr>
        <b/>
        <sz val="11"/>
        <color theme="1"/>
        <rFont val="Arial"/>
        <family val="2"/>
      </rPr>
      <t>Important notes:</t>
    </r>
    <r>
      <rPr>
        <sz val="11"/>
        <color theme="1"/>
        <rFont val="Arial"/>
        <family val="2"/>
      </rPr>
      <t xml:space="preserve">
-Emissions from loading include uncollected emissions released at the loading location and collected emissions to be sent to a control device.
-Emission rates are calculated using Equation 1 of EPA's AP-42 Chapter 5.2: Transportation and Marketing of Petroleum Liquids (July 2008).
-Loading of products with TVP greater than or equal to 0.50 psia at maximum loading temperature must be controlled.
-Loading of very large crude carriers and ultra-large crude carriers cannot be authorized by this RAP
</t>
    </r>
  </si>
  <si>
    <t>Carbon Adsorption System</t>
  </si>
  <si>
    <t>I. RAP-MarineLoading Criteria</t>
  </si>
  <si>
    <t>Original signature is required, unless submitted through STEERS.</t>
  </si>
  <si>
    <t>Does the plot plan clearly show a north arrow, an accurate scale, all property lines, all emission points, buildings, tanks, process vessels, other process equipment, and two benchmark locations?</t>
  </si>
  <si>
    <t>https://wrm.capitol.texas.gov/home</t>
  </si>
  <si>
    <t>YN name range for dropdowns</t>
  </si>
  <si>
    <t>Heaters, boilers, and engines (if included in this project) will not be used as a control device. Select "Not applicable" if there are no heaters, boilers, or engines included in this project.</t>
  </si>
  <si>
    <t>The permanent and portable flare (if included in this project) will not burn halogenated compounds. Select "Not applicable" if there are no flares included in this project.</t>
  </si>
  <si>
    <t>Principal SIC code:</t>
  </si>
  <si>
    <t>NAICS codes and conversions between NAICS and SIC Codes are available at the link below:</t>
  </si>
  <si>
    <t>For initial projects, all necessary MSS activities are represented in this application workbook. For amendments, all necessary MSS activities are currently authorized or will be represented in this application workbook.</t>
  </si>
  <si>
    <t>no data</t>
  </si>
  <si>
    <t>Products stored in tank3 - unique</t>
  </si>
  <si>
    <t>Products stored in tank4 - unique</t>
  </si>
  <si>
    <t>Products stored in tank5 - unique</t>
  </si>
  <si>
    <t>Tank1 unique product numbers</t>
  </si>
  <si>
    <t>Products stored in tank1</t>
  </si>
  <si>
    <t>Products stored in tank1 - unique</t>
  </si>
  <si>
    <t>Tank2 unique product numbers</t>
  </si>
  <si>
    <t>Products stored in tank2</t>
  </si>
  <si>
    <t>Products stored in tank2 - unique</t>
  </si>
  <si>
    <t>Tank3 unique product numbers</t>
  </si>
  <si>
    <t>Products stored in tank3</t>
  </si>
  <si>
    <t>Tank4 unique product numbers</t>
  </si>
  <si>
    <t>Products stored in tank4</t>
  </si>
  <si>
    <t>Tank5 unique product numbers</t>
  </si>
  <si>
    <t>Products stored in tank5</t>
  </si>
  <si>
    <t>Unique Products Per Tank</t>
  </si>
  <si>
    <t>Tank1 Speciation</t>
  </si>
  <si>
    <t>Wt fraction</t>
  </si>
  <si>
    <t>Tank2 Speciation</t>
  </si>
  <si>
    <t>Tank3 Speciation</t>
  </si>
  <si>
    <t>Tank4 Speciation</t>
  </si>
  <si>
    <t>Tank5 Speciation</t>
  </si>
  <si>
    <t>Highest Hourly by Species - Tank 1</t>
  </si>
  <si>
    <t>Highest Hourly by Species - Tank 2</t>
  </si>
  <si>
    <t>Highest Hourly by Species - Tank 3</t>
  </si>
  <si>
    <t>Highest Hourly by Species - Tank 4</t>
  </si>
  <si>
    <t>Highest Hourly by Species - Tank 5</t>
  </si>
  <si>
    <t>Convenience Landings - VOC Vented to Atmosphere</t>
  </si>
  <si>
    <t>Annual Impacts by Species - Tank 1</t>
  </si>
  <si>
    <t>Annual Impacts by Species - Tank 2</t>
  </si>
  <si>
    <t>Annual Impacts by Species - Tank 3</t>
  </si>
  <si>
    <t>Annual Impacts by Species - Tank 4</t>
  </si>
  <si>
    <t>Annual Impacts by Species - Tank 5</t>
  </si>
  <si>
    <t>Tank1 - annual - ConvLand</t>
  </si>
  <si>
    <t>Tank2 - annual - ConvLand</t>
  </si>
  <si>
    <t>Tank3 - annual - ConvLand</t>
  </si>
  <si>
    <t>Tank4 - annual  - ConvLand</t>
  </si>
  <si>
    <t>Tank5 - annual - ConvLand</t>
  </si>
  <si>
    <t>Convenience Landings - VOC emissions from control device by tank</t>
  </si>
  <si>
    <t>Permanent flare</t>
  </si>
  <si>
    <t>Permanent VCU</t>
  </si>
  <si>
    <t>Permanent VO</t>
  </si>
  <si>
    <t>Temporary Flare</t>
  </si>
  <si>
    <t>Temporary thermal oxidizer</t>
  </si>
  <si>
    <t>Routed to?</t>
  </si>
  <si>
    <t>Convenience Landings - VOC emissions from control device by tank and device</t>
  </si>
  <si>
    <t>Convenience Landings - VOC emissions from control device by device only</t>
  </si>
  <si>
    <t>Temporary flare</t>
  </si>
  <si>
    <t>Temporary TO</t>
  </si>
  <si>
    <t>Flare - 1hr - Conv Land</t>
  </si>
  <si>
    <t>VCU - 1hr - Conv Land</t>
  </si>
  <si>
    <t>VO - 1hr - Conv Land</t>
  </si>
  <si>
    <t>Flare - annual - Conv Land</t>
  </si>
  <si>
    <t>VCU - annual - Conv Land</t>
  </si>
  <si>
    <t>VO - annual - Conv Land</t>
  </si>
  <si>
    <t>II. Temporary Flare</t>
  </si>
  <si>
    <t>III. Temporary VCU</t>
  </si>
  <si>
    <t>IV. Temporary Thermal Oxidizer</t>
  </si>
  <si>
    <t>Is this a temporary unit? Note: Permanent flares require a completed "Flare" sheet.</t>
  </si>
  <si>
    <r>
      <t xml:space="preserve">This sheet details tank specifications and determines emission rates.
</t>
    </r>
    <r>
      <rPr>
        <b/>
        <sz val="11"/>
        <color theme="1"/>
        <rFont val="Arial"/>
        <family val="2"/>
      </rPr>
      <t xml:space="preserve">Instructions:
</t>
    </r>
    <r>
      <rPr>
        <sz val="11"/>
        <color theme="1"/>
        <rFont val="Arial"/>
        <family val="2"/>
      </rPr>
      <t xml:space="preserve">1. Complete all information in Sections I and II.
2. Complete Section III.
     -Confirm emission calculation methods.
     -Enter hourly and annual emission rates for total VOC.
3. Attach emission rate calculations for each tank and product in this project. The attachment must include all parameters required to verify emission rates.
</t>
    </r>
    <r>
      <rPr>
        <b/>
        <sz val="11"/>
        <color theme="1"/>
        <rFont val="Arial"/>
        <family val="2"/>
      </rPr>
      <t>Important notes:</t>
    </r>
    <r>
      <rPr>
        <sz val="11"/>
        <color theme="1"/>
        <rFont val="Arial"/>
        <family val="2"/>
      </rPr>
      <t xml:space="preserve">
     -Speciated emission rates are automatically calculated using weight fractions provided on the Products sheet.
     -Control for routine operations is required in certain situations as dictated by Tier I BACT. For example, if a fixed roof tank will store product with a maximum TVP of equal to or greater than 11.0 psia, then control is required.
     -Convenience landings may be authorized on the "ConvenienceLand" sheet.
</t>
    </r>
  </si>
  <si>
    <r>
      <t xml:space="preserve">This sheet details tank specifications and determines emission rates.
</t>
    </r>
    <r>
      <rPr>
        <b/>
        <sz val="11"/>
        <color theme="1"/>
        <rFont val="Arial"/>
        <family val="2"/>
      </rPr>
      <t>Instructions:</t>
    </r>
    <r>
      <rPr>
        <sz val="11"/>
        <color theme="1"/>
        <rFont val="Arial"/>
        <family val="2"/>
      </rPr>
      <t xml:space="preserve">
1. Complete all information in Sections I and II.
2. Complete Section III.
     -Confirm emission calculation methods.
     -Enter hourly and annual emission rates for total VOC.
3. Attach emission rate calculations for each tank and product in this project. The attachment must include all parameters required to verify emission rates.
</t>
    </r>
    <r>
      <rPr>
        <b/>
        <sz val="11"/>
        <color theme="1"/>
        <rFont val="Arial"/>
        <family val="2"/>
      </rPr>
      <t>Important notes:</t>
    </r>
    <r>
      <rPr>
        <sz val="11"/>
        <color theme="1"/>
        <rFont val="Arial"/>
        <family val="2"/>
      </rPr>
      <t xml:space="preserve">
     -Speciated emission rates are automatically calculated using weight fractions provided on the Products sheet.
     -Control for routine operations is required in certain situations as dictated by Tier I BACT. For example, if a fixed roof tank will store product with a maximum TVP of equal to or greater than 11.0 psia, then control is required.
     -Convenience landings may be authorized on the "ConvenienceLand" sheet.</t>
    </r>
  </si>
  <si>
    <r>
      <t xml:space="preserve">This sheet details tank specifications and determines emission rates.
</t>
    </r>
    <r>
      <rPr>
        <b/>
        <sz val="11"/>
        <color theme="1"/>
        <rFont val="Arial"/>
        <family val="2"/>
      </rPr>
      <t>Instructions:</t>
    </r>
    <r>
      <rPr>
        <sz val="11"/>
        <color theme="1"/>
        <rFont val="Arial"/>
        <family val="2"/>
      </rPr>
      <t xml:space="preserve">
1. Complete all information in Sections I and II.
2. Complete Section III.
     -Confirm emission calculation methods.
     -Enter hourly and annual emission rates for total VOC.
3. Attach emission rate calculations for each tank and product in this project. The attachment must include all parameters required to verify emission rates.
</t>
    </r>
    <r>
      <rPr>
        <b/>
        <sz val="11"/>
        <color theme="1"/>
        <rFont val="Arial"/>
        <family val="2"/>
      </rPr>
      <t xml:space="preserve">
Important notes:
</t>
    </r>
    <r>
      <rPr>
        <sz val="11"/>
        <color theme="1"/>
        <rFont val="Arial"/>
        <family val="2"/>
      </rPr>
      <t xml:space="preserve">     -Speciated emission rates are automatically calculated using weight fractions provided on the Products sheet.
     -Control for routine operations is required in certain situations as dictated by Tier I BACT. For example, if a fixed roof tank will store product with a maximum TVP of equal to or greater than 11.0 psia, then control is required.
     -Convenience landings may be authorized on the "ConvenienceLand" sheet.</t>
    </r>
  </si>
  <si>
    <t>Flare -  3hr - Conv Land</t>
  </si>
  <si>
    <t>VCU -  3hr - Conv Land</t>
  </si>
  <si>
    <t>VO -  3hr - Conv Land</t>
  </si>
  <si>
    <t>Temporary Flare - annual - Conv Land</t>
  </si>
  <si>
    <t>Temporary VCU - annual - Conv Land</t>
  </si>
  <si>
    <t>Temporary TO - annual - Conv Land</t>
  </si>
  <si>
    <t>Temporary Flare - 1hr - Conv Land</t>
  </si>
  <si>
    <t>Temporary VCU - 1hr - Conv Land</t>
  </si>
  <si>
    <t>Temporary TO - 1hr - Conv Land</t>
  </si>
  <si>
    <t>Temporary Flare - 3hr - Conv Land</t>
  </si>
  <si>
    <t>Temporary VCU - 3hr - Conv Land</t>
  </si>
  <si>
    <t>Temporary TO - 3hr - Conv Land</t>
  </si>
  <si>
    <t>Temporary Flare - 8hr - Conv Land</t>
  </si>
  <si>
    <t>Temporary VCU - 8hr - Conv Land</t>
  </si>
  <si>
    <t>Temporary TO - 8hr - Conv Land</t>
  </si>
  <si>
    <t>Flare- 8hr - Conv Land</t>
  </si>
  <si>
    <t>VCU - 8hr - Conv Land</t>
  </si>
  <si>
    <t>VO - 8hr - Conv Land</t>
  </si>
  <si>
    <t>Flare - 24hr - Conv Land</t>
  </si>
  <si>
    <t>VCU - 24hr - Conv Land</t>
  </si>
  <si>
    <t>VO - 24hr - Conv Land</t>
  </si>
  <si>
    <t>D. Speciated Emissions for Routine Maintenance Activities</t>
  </si>
  <si>
    <t>Instructions:
(1) Select CAS numbers of chemical species that will be emitted during routine maintenance activities. The CAS numbers are limited to those previously represented on the "Products" sheet.
(2) Input the vapor weight fraction of each species.</t>
  </si>
  <si>
    <t>Will loading of this product be controlled?</t>
  </si>
  <si>
    <r>
      <t xml:space="preserve">This sheet details heater and boiler specifications and determines emission rates.
</t>
    </r>
    <r>
      <rPr>
        <b/>
        <sz val="11"/>
        <color theme="1"/>
        <rFont val="Arial"/>
        <family val="2"/>
      </rPr>
      <t>Instructions:</t>
    </r>
    <r>
      <rPr>
        <sz val="11"/>
        <color theme="1"/>
        <rFont val="Arial"/>
        <family val="2"/>
      </rPr>
      <t xml:space="preserve">
1. Complete all information below.
2. Species and emission rates will be calculated from the representations made on this sheet.
3. Provide vendor guarantees for emission factors as an attachment to this application.</t>
    </r>
  </si>
  <si>
    <t>Select the second method, if applicable.</t>
  </si>
  <si>
    <t>1. Complete the workbook sheets in order, moving left to right and top to bottom.
2. Complete all blank cells on each applicable emission source sheet. For amendments of existing NSR permits, only account for increases. For example, on the "Load-Rail" sheet, only enter the proposed throughput increase in the Project Emission Rates section.
3. On the "CND" sheet, confirm acceptance of all information in this workbook and submitted with the application.</t>
  </si>
  <si>
    <t>no control</t>
  </si>
  <si>
    <t>II. Input Parameters for Impacts Analysis</t>
  </si>
  <si>
    <t>III. Emission Factors</t>
  </si>
  <si>
    <t>IV. Control Efficiencies</t>
  </si>
  <si>
    <t>V. Emission Rates</t>
  </si>
  <si>
    <t>VI. Speciation</t>
  </si>
  <si>
    <t>TempFlare</t>
  </si>
  <si>
    <t>Is a disaster review attached to this application?</t>
  </si>
  <si>
    <t>petroleum residues, vacuum distillates</t>
  </si>
  <si>
    <t>This sheet determines application fee requirements for this application.
Fees are due and payable at the time an application is filed. Required fees must be received before the agency will consider an application to be complete. Applications will not be considered for review nor will any time constraints required of the TCEQ for application processing begin until a fee is received. (30 TAC § 116.143)
All permit fees shall be remitted by check, certified check, electronic funds transfer, or money order payable to the Texas Commission on Environmental Quality (TCEQ) and mailed to the TCEQ, P.O. Box 13088, MC 214, Austin, Texas 78711-3088. The State Treasury will not accept checks drawn on foreign banks. Instructions for online payment through the ePay system can be found at:</t>
  </si>
  <si>
    <t>Auxiliary buildings, including materials storage, employee facilities, and changes to existing structures.</t>
  </si>
  <si>
    <r>
      <t xml:space="preserve">This sheet contains specifications for general MSS activities and temporary control devices used for MSS.
</t>
    </r>
    <r>
      <rPr>
        <b/>
        <sz val="11"/>
        <color theme="1"/>
        <rFont val="Arial"/>
        <family val="2"/>
      </rPr>
      <t xml:space="preserve">Instructions:
</t>
    </r>
    <r>
      <rPr>
        <sz val="11"/>
        <color theme="1"/>
        <rFont val="Arial"/>
        <family val="2"/>
      </rPr>
      <t>1. Complete all information in the sections below.
2. Attach emission rate calculations for general MSS activities and vendor guarantees for temporary control devices, as applicable. The emission rate calculation attachment must include all parameters required to verify emission rates.</t>
    </r>
  </si>
  <si>
    <t>52581-71-2</t>
  </si>
  <si>
    <t>15827-60-8</t>
  </si>
  <si>
    <t>57378-68-4</t>
  </si>
  <si>
    <t>354-56-3</t>
  </si>
  <si>
    <t>138495-42-8</t>
  </si>
  <si>
    <t>75-68-3</t>
  </si>
  <si>
    <t>420-46-2</t>
  </si>
  <si>
    <t>637-88-7</t>
  </si>
  <si>
    <t>1599-67-3</t>
  </si>
  <si>
    <t>3452-07-1</t>
  </si>
  <si>
    <t>1454-85-9</t>
  </si>
  <si>
    <t>506-52-5</t>
  </si>
  <si>
    <t>18835-33-1</t>
  </si>
  <si>
    <t>36653-82-4</t>
  </si>
  <si>
    <t>1454-84-8</t>
  </si>
  <si>
    <t>18835-34-2</t>
  </si>
  <si>
    <t>112-92-5</t>
  </si>
  <si>
    <t>189233-31-6</t>
  </si>
  <si>
    <t>15814-56-9</t>
  </si>
  <si>
    <t>629-76-5</t>
  </si>
  <si>
    <t>13360-61-7</t>
  </si>
  <si>
    <t>10192-32-2</t>
  </si>
  <si>
    <t>112-72-1</t>
  </si>
  <si>
    <t>68171-29-9</t>
  </si>
  <si>
    <t>78-67-1</t>
  </si>
  <si>
    <t>61837-81-8</t>
  </si>
  <si>
    <t>128-39-2</t>
  </si>
  <si>
    <t>2490-48-4</t>
  </si>
  <si>
    <t>5460-81-1</t>
  </si>
  <si>
    <t>98-27-1</t>
  </si>
  <si>
    <t>98-52-2</t>
  </si>
  <si>
    <t>148617-59-8</t>
  </si>
  <si>
    <t>93924-10-8</t>
  </si>
  <si>
    <t>13826-83-0 (For air permit reviews in agricultural areas)</t>
  </si>
  <si>
    <t>71487-01-9</t>
  </si>
  <si>
    <t>353-50-4 (Not Found)</t>
  </si>
  <si>
    <t>67762-27-0</t>
  </si>
  <si>
    <t>4948-28-1</t>
  </si>
  <si>
    <t>73138-80-4</t>
  </si>
  <si>
    <t>8051-30-7</t>
  </si>
  <si>
    <t>68109-72-8</t>
  </si>
  <si>
    <t>1675-54-3</t>
  </si>
  <si>
    <t>141-04-8</t>
  </si>
  <si>
    <t>27178-16-1</t>
  </si>
  <si>
    <t>51363-64-5</t>
  </si>
  <si>
    <t>1330-86-5</t>
  </si>
  <si>
    <t>68425-61-6</t>
  </si>
  <si>
    <t>627-93-0</t>
  </si>
  <si>
    <t>25322-17-2</t>
  </si>
  <si>
    <t>68037-81-0</t>
  </si>
  <si>
    <t>93-99-2</t>
  </si>
  <si>
    <t>101-81-5</t>
  </si>
  <si>
    <t>32686-95-6</t>
  </si>
  <si>
    <t>68955-71-5</t>
  </si>
  <si>
    <t>16958-92-2</t>
  </si>
  <si>
    <t>68515-75-3</t>
  </si>
  <si>
    <t>68131-13-5</t>
  </si>
  <si>
    <t>59139-23-0</t>
  </si>
  <si>
    <t>10029-30-8</t>
  </si>
  <si>
    <t>143-28-2</t>
  </si>
  <si>
    <t>1623-05-8</t>
  </si>
  <si>
    <t>27925-07-1</t>
  </si>
  <si>
    <t>104-85-8</t>
  </si>
  <si>
    <t>93-56-1</t>
  </si>
  <si>
    <t>2549-53-3</t>
  </si>
  <si>
    <t>89-83-8</t>
  </si>
  <si>
    <t>18435-53-5</t>
  </si>
  <si>
    <t>112-37-8</t>
  </si>
  <si>
    <t>4259-15-8</t>
  </si>
  <si>
    <t>(Z)-alpha-9-octadecenyl-omega-hydroxy-poly[oxy(methyl-1,2-ethanediyl)]</t>
  </si>
  <si>
    <t>[(phosphonomethyl)imino] bis[2,1-ethanediylnitrilobis(methylene)] tetrakis-phosphonic acid</t>
  </si>
  <si>
    <t>1-(2,6,6-trimethyl-3-cyclohexen-1-yl)-2-buten-1-one</t>
  </si>
  <si>
    <t>1,1,1,2,3,4,4,5,5,5,-decafluoropentane</t>
  </si>
  <si>
    <t>1,1,1-chlorodifluoroethane</t>
  </si>
  <si>
    <t>1,1,1-trifluoroethane</t>
  </si>
  <si>
    <t>1-carboxyethenylcarboxyphosphonate</t>
  </si>
  <si>
    <t>alcohol alkoxylate, surfactant</t>
  </si>
  <si>
    <t>alkenyl modified oxyalkylene polymer</t>
  </si>
  <si>
    <t>alkyl amine surfactant</t>
  </si>
  <si>
    <t>alkyl amine surfactant, acetate salt</t>
  </si>
  <si>
    <t>alkyl amine surfactant, phosphate ester salt</t>
  </si>
  <si>
    <t>alkyl aryl sulfonic acid</t>
  </si>
  <si>
    <t>amine fatty acid condensate</t>
  </si>
  <si>
    <t>amine fatty acid condensate, acetate</t>
  </si>
  <si>
    <t>amine salt of dodecylbenzene sulfonic acid</t>
  </si>
  <si>
    <t>arene-derived surfactant</t>
  </si>
  <si>
    <t>aromatic amine, mercaptoacetic acid salt</t>
  </si>
  <si>
    <t>aromatic amines, acetates</t>
  </si>
  <si>
    <t>blended feeding fat</t>
  </si>
  <si>
    <t>carbonate, organic</t>
  </si>
  <si>
    <t>carboxylic acid</t>
  </si>
  <si>
    <t>castor oil polyol</t>
  </si>
  <si>
    <t>di-phenyl, methyl-phenyl siloxanes and silicones, polymers with methyl-phenyl silsesquioxanes</t>
  </si>
  <si>
    <t>diphenylmethane</t>
  </si>
  <si>
    <t>dipropylene glycol monobenzoate</t>
  </si>
  <si>
    <t>disulfonate surfactant</t>
  </si>
  <si>
    <t>emulsifier, generic, not otherwise specified</t>
  </si>
  <si>
    <t>fatty acid ester, generic, not otherwise specified</t>
  </si>
  <si>
    <t>fatty amide, sodium salt</t>
  </si>
  <si>
    <t>fatty amine carboxylate complex</t>
  </si>
  <si>
    <t>fatty amino compound, acetic acid salt</t>
  </si>
  <si>
    <t>gasoline additives, generic, not otherwise specified</t>
  </si>
  <si>
    <t>ionic surfactant</t>
  </si>
  <si>
    <t>organosiloxane polymer</t>
  </si>
  <si>
    <t>oxirane, generic, not otherwise specified</t>
  </si>
  <si>
    <t>oxyalkylated amines</t>
  </si>
  <si>
    <t>polyalkene, generic, not otherwise specified</t>
  </si>
  <si>
    <t>polyether polyol</t>
  </si>
  <si>
    <t>silicones, di-Me</t>
  </si>
  <si>
    <t>siloxanes, di-Me</t>
  </si>
  <si>
    <t>soy-based mixture</t>
  </si>
  <si>
    <t>substituted nonylphenol surfactant</t>
  </si>
  <si>
    <t>surfactant, generic, not otherwise specified</t>
  </si>
  <si>
    <t>tertiary amines derived from fatty alcohols</t>
  </si>
  <si>
    <t>Chemical species involved in this project are found in the Toxicity Factor Database.</t>
  </si>
  <si>
    <t>0.06 minimum and 0.138 maximum</t>
  </si>
  <si>
    <t>0.1 minimum and 0.3 maximum</t>
  </si>
  <si>
    <t>Currently authorized operating hours (hr/yr)</t>
  </si>
  <si>
    <t>Proposed operating hours (hr/yr)</t>
  </si>
  <si>
    <t>Proposed emission factor (lb/MMBtu)</t>
  </si>
  <si>
    <t>Source of proposed emission factor</t>
  </si>
  <si>
    <t>Currently authorized sulfur content (ppmw)</t>
  </si>
  <si>
    <t>Proposed sulfur content (ppmw)</t>
  </si>
  <si>
    <t>current + proposed cannot exceed 100 hr/yr</t>
  </si>
  <si>
    <t>Current annual emissions (tpy)</t>
  </si>
  <si>
    <t>Current hourly emissions (lb/hr)</t>
  </si>
  <si>
    <t>Proposed hourly emissions (lb/hr)</t>
  </si>
  <si>
    <t>Proposed annual emissions (tpy)</t>
  </si>
  <si>
    <t>Proposed firing rate (MMBtu/hr)</t>
  </si>
  <si>
    <t>Currently authorized firing rate (MMBtu/hr)</t>
  </si>
  <si>
    <t>8760 hours maximum</t>
  </si>
  <si>
    <t>A. Total VOC and Products of Combustion</t>
  </si>
  <si>
    <t>B. Speciated Fuel Gas Emissions</t>
  </si>
  <si>
    <t>Currently authorized sulfur content of fuel (ppmw)</t>
  </si>
  <si>
    <t>Proposed sulfur content of fuel (ppmw)</t>
  </si>
  <si>
    <t>Brake-specific fuel consumption (Btu/bhp-hr)</t>
  </si>
  <si>
    <t>Proposed higher heating value of fuel (Btu/lb)</t>
  </si>
  <si>
    <t>Currently authorized higher heating value of fuel (Btu/lb)</t>
  </si>
  <si>
    <r>
      <t xml:space="preserve">Proposed emission factor (lb/MMBtu)
</t>
    </r>
    <r>
      <rPr>
        <sz val="11"/>
        <color theme="1"/>
        <rFont val="Arial"/>
        <family val="2"/>
      </rPr>
      <t>Note: These values should account for all applicable control methods.</t>
    </r>
  </si>
  <si>
    <t>Subpart D: Standards of Performance for Fossil-Fuel-Fired Steam Generators for Which Construction Is Commenced After August 17, 1971</t>
  </si>
  <si>
    <t>Subpart Da: Standards of Performance for Electric Utility Steam Generating Units for Which Construction Is Commenced After September 18, 1978</t>
  </si>
  <si>
    <t>Subpart Db: Standards of Performance for Industrial-Commercial-Institutional Steam Generating Units</t>
  </si>
  <si>
    <t>Subpart Dc: Standards of Performance for Small Industrial-Commercial-Institutional Steam Generating Units</t>
  </si>
  <si>
    <t>Will a temporary flare be modified, affected, or newly authorized in this project?</t>
  </si>
  <si>
    <t>Will a temporary VCU be modified, affected, or newly authorized in this project?</t>
  </si>
  <si>
    <t>Will a temporary thermal oxidizer be modified, affected, or newly authorized in this project?</t>
  </si>
  <si>
    <t>UTM zone</t>
  </si>
  <si>
    <t>Select the compounds that will be monitored using the 28AVO program. Only chlorine, ammonia, hydrogen sulfide, hydrogen fluoride, hydrogen cyanide, and mercaptans are approved for this monitoring program.</t>
  </si>
  <si>
    <t>Select the second compound, if applicable.</t>
  </si>
  <si>
    <t>Select the third compound, if applicable.</t>
  </si>
  <si>
    <t>Select the fourth compound, if applicable.</t>
  </si>
  <si>
    <t>Select the fifth compound, if applicable.</t>
  </si>
  <si>
    <t>Select the sixth compound, if applicable.</t>
  </si>
  <si>
    <t>E/IFR Tank MSS Emissions</t>
  </si>
  <si>
    <t>Tank 1 speciation</t>
  </si>
  <si>
    <t>Tank 2 speciation</t>
  </si>
  <si>
    <t>Tank 3 speciation</t>
  </si>
  <si>
    <t>Tank 4 speciation</t>
  </si>
  <si>
    <t>Tank 5 speciation</t>
  </si>
  <si>
    <t>E/IFR?</t>
  </si>
  <si>
    <t>E/IFR MSS - VOC Vented to Atmosphere by Tank</t>
  </si>
  <si>
    <t>E/IFR MSS - VOC emissions from control device by tank</t>
  </si>
  <si>
    <t>E/IFR MSS - VOC emissions from control device by tank and device</t>
  </si>
  <si>
    <t>Floating roof tank EPN</t>
  </si>
  <si>
    <t>Control device</t>
  </si>
  <si>
    <t>E/IFR MSS - VOC emissions from control device by device only</t>
  </si>
  <si>
    <t>Convenience Landings - H2S and POC emissions by control device only</t>
  </si>
  <si>
    <t>E/IFR MSS - H2S and POC emissions by control device and tank</t>
  </si>
  <si>
    <t>Convenience Landings - H2S and POC emissions by control device and tank</t>
  </si>
  <si>
    <t>E/IFR - H2S and POC emissions by control device only</t>
  </si>
  <si>
    <t>Fixed roof tank MSS</t>
  </si>
  <si>
    <t>Unique CAS numbers in E/IFR Tanks</t>
  </si>
  <si>
    <t>All CAS Numbers in E/IFR Tanks</t>
  </si>
  <si>
    <t>CAS for LandEmiss E/IFR Tanks Impacts</t>
  </si>
  <si>
    <t>Unique CAS numbers in Fixed Tanks</t>
  </si>
  <si>
    <t>All CAS Numbers in Fixed Tanks</t>
  </si>
  <si>
    <t>CAS for Fixed Tank MSS Impacts</t>
  </si>
  <si>
    <t>Fixed?</t>
  </si>
  <si>
    <t>Fixed tank MSS VOC emissions to atmosphere by tank</t>
  </si>
  <si>
    <t>Fixed roof tank MSS - VOC emissions from control device by tank</t>
  </si>
  <si>
    <t>Fixed roof tank MSS - VOC emissions from control device by tank and device</t>
  </si>
  <si>
    <t>A. Control devices for fixed roof tanks during MSS</t>
  </si>
  <si>
    <t>Fixed roof tank MSS - VOC emissions from control device by device only</t>
  </si>
  <si>
    <t>Convenience Landings - H2S and POC emissions by tank</t>
  </si>
  <si>
    <t>Fixed roof tank MSS - H2S and POC emissions from control device</t>
  </si>
  <si>
    <t>Fixed roof tank MSS - H2S and POC emissions from control device by tank and device</t>
  </si>
  <si>
    <t>Fixed roof tank MSS - H2S and POC emissions from control device by device only</t>
  </si>
  <si>
    <t>Tank1 - 3hr - conv land</t>
  </si>
  <si>
    <t>Tank2 - 3hr - conv land</t>
  </si>
  <si>
    <t>Tank3 -  3hr - conv land</t>
  </si>
  <si>
    <t>Tank4 -  3hr - conv land</t>
  </si>
  <si>
    <t>Tank5 -  3hr - conv land</t>
  </si>
  <si>
    <t>Tank1 - 24hr - conv land</t>
  </si>
  <si>
    <t>Tank2 - 24hr - conv land</t>
  </si>
  <si>
    <t>Tank3 - 24hr - conv land</t>
  </si>
  <si>
    <t>Tank4 - 24hr - conv land</t>
  </si>
  <si>
    <t>Tank5 - 24hr - conv land</t>
  </si>
  <si>
    <t>Source name</t>
  </si>
  <si>
    <t>tank1</t>
  </si>
  <si>
    <t>tank2</t>
  </si>
  <si>
    <t>tank3</t>
  </si>
  <si>
    <t>tank4</t>
  </si>
  <si>
    <t>tank5</t>
  </si>
  <si>
    <t>drum load</t>
  </si>
  <si>
    <t>truck load</t>
  </si>
  <si>
    <t>rail load</t>
  </si>
  <si>
    <t>barge load</t>
  </si>
  <si>
    <t>ship load</t>
  </si>
  <si>
    <t>vcu</t>
  </si>
  <si>
    <t>vo</t>
  </si>
  <si>
    <t>cas</t>
  </si>
  <si>
    <t>engine1</t>
  </si>
  <si>
    <t>engine2</t>
  </si>
  <si>
    <t>heater1</t>
  </si>
  <si>
    <t>boiler1</t>
  </si>
  <si>
    <t>heater2</t>
  </si>
  <si>
    <t>boiler2</t>
  </si>
  <si>
    <t>fug</t>
  </si>
  <si>
    <t>gen mss</t>
  </si>
  <si>
    <t>temp flare</t>
  </si>
  <si>
    <t>temp vcu</t>
  </si>
  <si>
    <t>temp to</t>
  </si>
  <si>
    <t>uim 8 hr</t>
  </si>
  <si>
    <t>Elevated Flare</t>
  </si>
  <si>
    <t>All sources must be listed in this workbook. The project only authorizes emissions from a maximum of five storage tanks, loading operations, fugitive components, MSS, a maximum of two emergency diesel engines, a maximum of two heaters and/or boilers, and/or associated control devices (one elevated flare, one VCU, one vapor oxidizer, one CAS, one temporary flare, one temporary VCU, and/or one temporary thermal oxidizer).</t>
  </si>
  <si>
    <t>Will a elevated flare be modified, affected, or newly authorized in this project?</t>
  </si>
  <si>
    <t>Operating scenario 1 combined concentration (µg/m3)</t>
  </si>
  <si>
    <t>Operating scenario 2 combined concentration (µg/m3)</t>
  </si>
  <si>
    <t>Operating scenario 3 combined concentration (µg/m3)</t>
  </si>
  <si>
    <t>Operating scenario 4 combined concentration (µg/m3)</t>
  </si>
  <si>
    <t>Operating scenario 5 combined concentration (µg/m3)</t>
  </si>
  <si>
    <t>Operating scenario 6 combined concentration (µg/m3)</t>
  </si>
  <si>
    <t>Combined short-term concentration (µg/m3)</t>
  </si>
  <si>
    <t>Quick-links to each section:</t>
  </si>
  <si>
    <t>I. Summary</t>
  </si>
  <si>
    <t>II. Unit Impact Multiplier for Each Source</t>
  </si>
  <si>
    <t xml:space="preserve">this </t>
  </si>
  <si>
    <t>Short-term ESL (µg/m3)</t>
  </si>
  <si>
    <t>Long-term ESL (µg/m3)</t>
  </si>
  <si>
    <t>Is a site-wide analysis allowed for the purposes of this RAP?*</t>
  </si>
  <si>
    <t>Are short-term project-wide impacts acceptable?</t>
  </si>
  <si>
    <t>Are long-term project-wide impacts acceptable?</t>
  </si>
  <si>
    <t>*Site-wide analysis may only be utilized if the chemical species is not currently authorized at the site.</t>
  </si>
  <si>
    <t>Are short-term site-wide impacts acceptable for all operating scenarios?</t>
  </si>
  <si>
    <t>Are long-term site-wide impacts acceptable for all operating scenarios?</t>
  </si>
  <si>
    <t>B. Temporary Flare Parameters</t>
  </si>
  <si>
    <t>Baseline Emissions (tpy)
Temporary Flare</t>
  </si>
  <si>
    <t>Baseline Emissions (tpy)
Temporary Thermal Oxidizer</t>
  </si>
  <si>
    <t>Baseline Emissions (tpy)
Temporary VCU</t>
  </si>
  <si>
    <t>Baseline Emissions (tpy)
Tank 2 MSS</t>
  </si>
  <si>
    <t>Worst-case distance to the property line (ft)
Note: if this unit will be placed in multiple locations for various MSS activities, then choose the distance closest to the property line.</t>
  </si>
  <si>
    <t>H2S control efficiency (%)</t>
  </si>
  <si>
    <t>IV. Project- and Site-wide Impacts for NAAQS and SPLS Pollutants</t>
  </si>
  <si>
    <t>V. Combined Short- and Long-term Concentrations for Non-criteria Pollutants</t>
  </si>
  <si>
    <t>VI. Project-wide Impacts Evaluation for Non-Criteria Pollutants</t>
  </si>
  <si>
    <t>Operating scenario 1:
Routine</t>
  </si>
  <si>
    <t>Operating scenario 2: 
Tank 1 MSS</t>
  </si>
  <si>
    <t>VII. Site-wide Impacts Evaluation for Non-criteria Pollutants</t>
  </si>
  <si>
    <t>Does the flare have a flow monitor? Note: The flare must have a flow monitor to qualify for this RAP.</t>
  </si>
  <si>
    <t>*A long-term health impacts analysis is not necessary under four circumstances: (1) the species is considered a simple asphyxiant, (2) the long-term ESL is equal to or greater than the short-term ESL, (3) the species has no long-term ESL but is required to meet applicable NAAQS or State Property Line Standards. In the fourth case, the pollutant will have been evaluated in the Section III.</t>
  </si>
  <si>
    <t>X</t>
  </si>
  <si>
    <t>General MSS - 1hr</t>
  </si>
  <si>
    <t>General MSS lb/hr</t>
  </si>
  <si>
    <t>General MSS tpy</t>
  </si>
  <si>
    <t>General MSS species</t>
  </si>
  <si>
    <t>Total - Annual - Scenario 1</t>
  </si>
  <si>
    <t>Total - 24 hr - Scenario 1</t>
  </si>
  <si>
    <t>Total - 24 hr - Scenario 2</t>
  </si>
  <si>
    <t>Total - 24 hr - Scenario 3</t>
  </si>
  <si>
    <t>Total - 24 hr - Scenario 4</t>
  </si>
  <si>
    <t>Total - 24 hr - Scenario 5</t>
  </si>
  <si>
    <t>Total - 24 hr - Scenario 6</t>
  </si>
  <si>
    <t>Total - 1hr - Scenario 1</t>
  </si>
  <si>
    <t>Total - 1hr - Scenario 2</t>
  </si>
  <si>
    <t>Total - 1hr - Scenario 3</t>
  </si>
  <si>
    <t>Total - 1hr - Scenario 4</t>
  </si>
  <si>
    <t>Total - 1hr - Scenario 5</t>
  </si>
  <si>
    <t>Total - 1hr - Scenario 6</t>
  </si>
  <si>
    <t>Total - 3hr  - Scenario 1</t>
  </si>
  <si>
    <t>Total - 3hr  - Scenario 2</t>
  </si>
  <si>
    <t>Total - 3hr  - Scenario 3</t>
  </si>
  <si>
    <t>Total - 3hr  - Scenario 4</t>
  </si>
  <si>
    <t>Total - 3hr  - Scenario 5</t>
  </si>
  <si>
    <t>Total - 3hr  - Scenario 6</t>
  </si>
  <si>
    <t>Total - 8hr - Scenario 1</t>
  </si>
  <si>
    <t>Total - 8hr - Scenario 2</t>
  </si>
  <si>
    <t>Total - 8hr - Scenario 3</t>
  </si>
  <si>
    <t>Total - 8hr - Scenario 4</t>
  </si>
  <si>
    <t>Total - 8hr - Scenario 5</t>
  </si>
  <si>
    <t>Total - 8hr - Scenario 6</t>
  </si>
  <si>
    <t>Tank1 - 1hr - Conv Land</t>
  </si>
  <si>
    <t>Tank1 - 1hr - MSS</t>
  </si>
  <si>
    <t>Tank2 - 1hr - Conv Land</t>
  </si>
  <si>
    <t>Tank2 - 1hr - MSS</t>
  </si>
  <si>
    <t>Tank3 - 1hr - Conv Land</t>
  </si>
  <si>
    <t>Tank3 - 1hr - MSS</t>
  </si>
  <si>
    <t>Tank4 - 1hr - Conv Land</t>
  </si>
  <si>
    <t>Tank4 - 1hr - MSS</t>
  </si>
  <si>
    <t>Tank5 - 1hr - Conv Land</t>
  </si>
  <si>
    <t>Tank5 - 1hr - MSS</t>
  </si>
  <si>
    <t>Flare - 1hr - MSS</t>
  </si>
  <si>
    <t>VCU - 1hr - MSS</t>
  </si>
  <si>
    <t>VO - 1hr - MSS</t>
  </si>
  <si>
    <t>Temporary Flare - 1hr - MSS</t>
  </si>
  <si>
    <t>Temporary VCU - 1hr - MSS</t>
  </si>
  <si>
    <t>Temporary TO - 1hr - MSS</t>
  </si>
  <si>
    <t>Tank1 - 3hr - MSS</t>
  </si>
  <si>
    <t>Tank2 - 3hr - MSS</t>
  </si>
  <si>
    <t>Tank3 -  3hr - MSS</t>
  </si>
  <si>
    <t>Tank4 -  3hr - MSS</t>
  </si>
  <si>
    <t>Tank5 -  3hr - MSS</t>
  </si>
  <si>
    <t>Flare -  3hr - MSS</t>
  </si>
  <si>
    <t>VCU -  3hr - MSS</t>
  </si>
  <si>
    <t>VO -  3hr - MSS</t>
  </si>
  <si>
    <t>Temporary Flare - 3hr - MSS</t>
  </si>
  <si>
    <t>Temporary VCU - 3hr - MSS</t>
  </si>
  <si>
    <t>Temporary TO - 3hr - MSS</t>
  </si>
  <si>
    <t>Tank2 - 8hr</t>
  </si>
  <si>
    <t>Flare- 8hr - MSS</t>
  </si>
  <si>
    <t>VCU - 8hr - MSS</t>
  </si>
  <si>
    <t>VO - 8hr - MSS</t>
  </si>
  <si>
    <t>Temporary Flare - 8hr - MSS</t>
  </si>
  <si>
    <t>Temporary VCU - 8hr - MSS</t>
  </si>
  <si>
    <t>Temporary TO - 8hr - MSS</t>
  </si>
  <si>
    <t>Tank1 - 24hr - MSS</t>
  </si>
  <si>
    <t>Tank2 - 24hr - MSS</t>
  </si>
  <si>
    <t>Tank3 - 24hr - MSS</t>
  </si>
  <si>
    <t>Tank4 - 24hr - MSS</t>
  </si>
  <si>
    <t>Tank5 - 24hr - MSS</t>
  </si>
  <si>
    <t>Flare - 24hr - MSS</t>
  </si>
  <si>
    <t>VCU - 24hr - MSS</t>
  </si>
  <si>
    <t>VO - 24hr - MSS</t>
  </si>
  <si>
    <t>General MSS - 24hr</t>
  </si>
  <si>
    <t>General MSS- 8hr</t>
  </si>
  <si>
    <t>General MSS -3hr</t>
  </si>
  <si>
    <t>Tank1 - annual - MSS</t>
  </si>
  <si>
    <t>Tank2 - annual - MSS</t>
  </si>
  <si>
    <t>Tank3 - annual - MSS</t>
  </si>
  <si>
    <t>Tank5 - annual - MSS</t>
  </si>
  <si>
    <t>Flare - annual - MSS</t>
  </si>
  <si>
    <t>VCU - annual - MSS</t>
  </si>
  <si>
    <t>VO - annual - MSS</t>
  </si>
  <si>
    <t>Temporary Flare - annual - MSS</t>
  </si>
  <si>
    <t>Temporary VCU - annual - MSS</t>
  </si>
  <si>
    <t>Temporary TO - annual - MSS</t>
  </si>
  <si>
    <t>Emergency Diesel Engine 2</t>
  </si>
  <si>
    <t>Heater/Boiler 2</t>
  </si>
  <si>
    <t>Truck</t>
  </si>
  <si>
    <t>Rail</t>
  </si>
  <si>
    <t>FLARE</t>
  </si>
  <si>
    <t>VO</t>
  </si>
  <si>
    <t>FIN not required.</t>
  </si>
  <si>
    <t>Tank4 - annual  - MSS</t>
  </si>
  <si>
    <t>Prior to forced ventilation, the vapor space must undergo controlled degassing to a specified concentration of VOC. Use the table below to define this concentration for each stored product. The concentration must be less than 10,000 ppmv. The information provided will be a part of the special conditions and must also be reflected in the attached emission calculations.</t>
  </si>
  <si>
    <t>Temporary flare - 24hr - Conv Land</t>
  </si>
  <si>
    <t>Temporary flare - 24hr - MSS</t>
  </si>
  <si>
    <t>Temporary VCU - 24hr - Conv Land</t>
  </si>
  <si>
    <t>Temporary VCU - 24hr - MSS</t>
  </si>
  <si>
    <t>Temporary TO - 24hr - Conv Land</t>
  </si>
  <si>
    <t>Temporary TO - 24hr - MSS</t>
  </si>
  <si>
    <t>Operating scenario 3: 
Tank 2 MSS</t>
  </si>
  <si>
    <t>Operating scenario 4: 
Tank 3 MSS</t>
  </si>
  <si>
    <t>Operating scenario 5: 
Tank 4 MSS</t>
  </si>
  <si>
    <t>Operating scenario 6: 
Tank 5 MSS</t>
  </si>
  <si>
    <t>The table below lays out each authorized operating scenario for this permit. An "X" indicates that emission source and activity may occur under the specified scenario. Operating scenarios 1 through 6 are used for the 1-hr, 3-hr, 8-hr, and 24-hr averaging periods. As such, during those periods, actual operations at the site must comply with one of scenarios 1 through 6. The only modification to operating scenarios allowed is halting emissions from an operating source and activity. Halting emissions from an operating source and activity does not authorize an increase of emissions from other emission sources or activities. For example, if operating scenario 1 is underway and loading is not occurring, this does not allow higher emissions from tank routine emissions.</t>
  </si>
  <si>
    <t>Full standard (µg/m3)*</t>
  </si>
  <si>
    <t>*The full standard is only utilized for evaluating emissions of SPLS pollutants at greenfield sites.</t>
  </si>
  <si>
    <t>Any existing sources in this project are not moving to a new location as part of this project. Select "Not applicable" if these are not existing sources in this project.</t>
  </si>
  <si>
    <t>All emissions of VOC represented on this sheet were calculated using the current version of US Environmental Protection Agency (EPA) Compilation of Air Pollutant Emission Factors (AP-42) Chapter 7: Liquid Storage Tanks or a tank emission calculation software utilizing the same methods in AP-42 Ch. 7.</t>
  </si>
  <si>
    <t>All emissions from control devices on this sheet were calculated using the appropriate TCEQ guidance, AP-42 emission factors, and/or vendor guarantees.</t>
  </si>
  <si>
    <t>All emissions represented on this sheet are based on: 
     (1) a product that is authorized for storage via this RAP, 
     (2) the product that results in the highest quantity of emissions compared to other stored products, and 
     (3) the control device that results in the highest quantity of emissions compared to other control devices that could possibly be used.</t>
  </si>
  <si>
    <t>temporary flare</t>
  </si>
  <si>
    <t>Boiler/heater 1</t>
  </si>
  <si>
    <t>Boiler/heater 2</t>
  </si>
  <si>
    <t>fixed</t>
  </si>
  <si>
    <t>&lt; 25 Mgal</t>
  </si>
  <si>
    <t>≥ 25 Mgal</t>
  </si>
  <si>
    <t>TVP &lt; 0.50</t>
  </si>
  <si>
    <t>Fixed roof with submerged fill. Uninsulated exterior surfaces exposed to the sun shall be white or aluminum.</t>
  </si>
  <si>
    <r>
      <t xml:space="preserve">0.50 </t>
    </r>
    <r>
      <rPr>
        <b/>
        <sz val="11"/>
        <color rgb="FF000000"/>
        <rFont val="Arial"/>
        <family val="2"/>
      </rPr>
      <t>≤</t>
    </r>
    <r>
      <rPr>
        <b/>
        <sz val="11"/>
        <color theme="1"/>
        <rFont val="Arial"/>
        <family val="2"/>
      </rPr>
      <t xml:space="preserve"> TVP &lt; 11.0</t>
    </r>
  </si>
  <si>
    <r>
      <t xml:space="preserve">TVP </t>
    </r>
    <r>
      <rPr>
        <b/>
        <sz val="11"/>
        <color theme="1"/>
        <rFont val="Calibri"/>
        <family val="2"/>
      </rPr>
      <t>≥</t>
    </r>
    <r>
      <rPr>
        <b/>
        <sz val="11"/>
        <color theme="1"/>
        <rFont val="Arial"/>
        <family val="2"/>
      </rPr>
      <t xml:space="preserve"> 11.0 TVP</t>
    </r>
  </si>
  <si>
    <t>external</t>
  </si>
  <si>
    <t>This combination is not available.</t>
  </si>
  <si>
    <t>internal</t>
  </si>
  <si>
    <t>BACT: other sources</t>
  </si>
  <si>
    <t>BACT: tanks</t>
  </si>
  <si>
    <t>marine loading &lt;0.5 VP</t>
  </si>
  <si>
    <t>marine loading, inerted vessels</t>
  </si>
  <si>
    <t>railcar loading &lt;0.5 VP</t>
  </si>
  <si>
    <t>marine loading ≥0.5 VP</t>
  </si>
  <si>
    <t>railcar loading ≥0.5 VP</t>
  </si>
  <si>
    <t>tank truck loading &lt;0.5 VP</t>
  </si>
  <si>
    <t>drum/tote loading &lt;0.5 VP</t>
  </si>
  <si>
    <t>tank truck loading ≥0.5 VP, CE&lt;&gt; 100</t>
  </si>
  <si>
    <t>tank truck loading ≥0.5 VP, CE= 100</t>
  </si>
  <si>
    <t>CAS regenerative</t>
  </si>
  <si>
    <t>CAS nonregenerative</t>
  </si>
  <si>
    <t>fugitives</t>
  </si>
  <si>
    <t>engine 2</t>
  </si>
  <si>
    <t>fugitive program</t>
  </si>
  <si>
    <t>avo options</t>
  </si>
  <si>
    <t>tank mss - floating roof</t>
  </si>
  <si>
    <t>tank mss - fixed roof</t>
  </si>
  <si>
    <t>Tank MSS - Floating Roof</t>
  </si>
  <si>
    <t>Tank MSS - Fixed Roof</t>
  </si>
  <si>
    <t>routine</t>
  </si>
  <si>
    <t>inherently low-emitting and routine maintenance activities</t>
  </si>
  <si>
    <t>Annual averaging period combined concentration (µg/m3)</t>
  </si>
  <si>
    <t>III. Operating Scenarios for 1-hr, 3-hr, 8-hr, and 24-hr Averaging Periods</t>
  </si>
  <si>
    <t>Combined long-term concentration (µg/m3)</t>
  </si>
  <si>
    <t>blank</t>
  </si>
  <si>
    <t>Will fuel gas be fired in any of the following units: permanent flare, permanent VCU, permanent vapor oxidizer, boiler, heater?</t>
  </si>
  <si>
    <t>II. Product List Examples</t>
  </si>
  <si>
    <r>
      <rPr>
        <b/>
        <sz val="11"/>
        <color rgb="FFC00000"/>
        <rFont val="Arial"/>
        <family val="2"/>
      </rPr>
      <t>Example 1</t>
    </r>
    <r>
      <rPr>
        <b/>
        <sz val="11"/>
        <color theme="1"/>
        <rFont val="Arial"/>
        <family val="2"/>
      </rPr>
      <t>:</t>
    </r>
    <r>
      <rPr>
        <sz val="11"/>
        <color theme="1"/>
        <rFont val="Arial"/>
        <family val="2"/>
      </rPr>
      <t xml:space="preserve"> For crude products, there are two CAS Number options: "crude oil, &lt; 1% benzene" and "68410-00-4". If the crude product to be stored at the site has a benzene content greater than or equal to 1%, then use the latter CAS number option. In this case, the benzene weight fraction must be specified in the additional rows available for the product. For any sort of crude product, H2S weight fractions must be represented.</t>
    </r>
  </si>
  <si>
    <r>
      <rPr>
        <b/>
        <sz val="11"/>
        <color rgb="FFC00000"/>
        <rFont val="Arial"/>
        <family val="2"/>
      </rPr>
      <t>Example 3</t>
    </r>
    <r>
      <rPr>
        <b/>
        <sz val="11"/>
        <color theme="1"/>
        <rFont val="Arial"/>
        <family val="2"/>
      </rPr>
      <t>:</t>
    </r>
    <r>
      <rPr>
        <sz val="11"/>
        <color theme="1"/>
        <rFont val="Arial"/>
        <family val="2"/>
      </rPr>
      <t xml:space="preserve"> If the product is a blend, enter all the CAS numbers that comprise the product. Enter the product-specific liquid and vapor weight fractions for each CAS number. If less than 10 CAS numbers are necessary, leave the remaining rows blank.</t>
    </r>
  </si>
  <si>
    <t>Example 3 - Blend 1</t>
  </si>
  <si>
    <t>100 hr/yr maximum</t>
  </si>
  <si>
    <t>Fuel type</t>
  </si>
  <si>
    <t>C. Method of Minimizing NOx Emissions</t>
  </si>
  <si>
    <t>temporary thermal oxidizer</t>
  </si>
  <si>
    <t>Tank 1 - E/IFR products</t>
  </si>
  <si>
    <t>Tank 2 - E/IFR products</t>
  </si>
  <si>
    <t>Tank 3 - E/IFR products</t>
  </si>
  <si>
    <t>Tank 4 - E/IFR products</t>
  </si>
  <si>
    <t>Tank 5 - E/IFR products</t>
  </si>
  <si>
    <t>Tank 1 - fixed roof products</t>
  </si>
  <si>
    <t>Tank 2 - fixed roof products</t>
  </si>
  <si>
    <t>Tank 3 - fixed roof products</t>
  </si>
  <si>
    <t>Tank 4 - fixed roof products</t>
  </si>
  <si>
    <t>Tank 5 - fixed roof products</t>
  </si>
  <si>
    <t>Unique Product Numbers</t>
  </si>
  <si>
    <t>Unique Product List for TankMSS Sheet</t>
  </si>
  <si>
    <t>Unfiltered Product List for TankMSS Sheet</t>
  </si>
  <si>
    <t>Fixed Tanks</t>
  </si>
  <si>
    <t>E/IFR Tanks</t>
  </si>
  <si>
    <t>routine and MSS</t>
  </si>
  <si>
    <t>routine - working, standing, refill</t>
  </si>
  <si>
    <t>routine - convenience landing</t>
  </si>
  <si>
    <t>Operating scenario 1 (µg/m3)</t>
  </si>
  <si>
    <t>Operating scenario 2 (µg/m3)</t>
  </si>
  <si>
    <t>Operating scenario 3 (µg/m3)</t>
  </si>
  <si>
    <t>Operating scenario 4 (µg/m3)</t>
  </si>
  <si>
    <t>Operating scenario 5 (µg/m3)</t>
  </si>
  <si>
    <t>Operating scenario 6 (µg/m3)</t>
  </si>
  <si>
    <t>During loading of inerted marine vessels, the owner or operator of the marine terminal or of the marine vessel shall conduct audio, visual, and olfactory checks for leaks once every 8 hours for on-shore equipment and on board the vessel. The pressure at the vapor collection connection and the loading rate will be monitored and recorded. Federal Coast Guard Regulation requires ocean-going vessels to be inerted. MSS: Same as normal operations.</t>
  </si>
  <si>
    <t>Only submerged or bottom loading. No splash loading. MSS: Same as normal operations.</t>
  </si>
  <si>
    <t>Only submerged filling or lance fill. Good housekeeping for spills. MSS: Same as normal operations.</t>
  </si>
  <si>
    <t>drum/tote loading ≥0.5 VP</t>
  </si>
  <si>
    <t>Submerged loading of drums shall be performed within a total enclosure or within a partial enclosure designed and operated with a capture velocity of at least 200 fpm (if outside, 300 fpm to 500 fpm)  at the drum vent. The enclosure shall be designed and operated consistent with the specifications in Industrial Ventilation: A Manual of Recommended Practice. MSS: Same as normal operations.</t>
  </si>
  <si>
    <t>Same as normal operation BACT requirements except as follows for fixed roof tank draining. Send liquid to a covered vessel. If there is any standing liquid within the tank, and the tank is opened to the atmosphere or ventilated,  the vapor stream must be routed to a control device until there is no standing liquid or the VOC vapor pressure is less than 0.02 psia. The control device must meet BACT.</t>
  </si>
  <si>
    <t>Tank roof convenience landings</t>
  </si>
  <si>
    <t>Are emission calculations for all tanks included as an attachment?</t>
  </si>
  <si>
    <t>G. Tank Emission Calculations</t>
  </si>
  <si>
    <t>Does the attachment address routine working, standing, and filling losses?</t>
  </si>
  <si>
    <t>Does the attachment address convenience roof landings?</t>
  </si>
  <si>
    <t>I. Is a copy of the drum/tote loading enclosure design, minimum capture velocity calculations, and vacuum blower capacity attached?</t>
  </si>
  <si>
    <t>J. Control Device Attachments</t>
  </si>
  <si>
    <t>Is vendor data for the flare attached? Select "Not applicable" if vendor data is not relied on for flare emission factors.</t>
  </si>
  <si>
    <t>Is vendor data for the VCU attached? Select "Not applicable" if vendor data is not relied on for VCU emission factors.</t>
  </si>
  <si>
    <t>Is vendor data for the vapor oxidizer attached? Select "Not applicable" if vendor data is not relied on for vapor oxidizer emission factors.</t>
  </si>
  <si>
    <t>Is vendor data for the temporary flare attached? Select "Not applicable" if vendor data is not relied on for temporary flare emission factors.</t>
  </si>
  <si>
    <t>Is vendor data for the temporary VCU attached? Select "Not applicable" if vendor data is not relied on for temporary VCU emission factors.</t>
  </si>
  <si>
    <t>Are vendor specifications on breakthrough concentration for the CAS attached?</t>
  </si>
  <si>
    <t>K. Combustion Device Attachments</t>
  </si>
  <si>
    <t xml:space="preserve">Is vendor data for emergency engine 1 attached? </t>
  </si>
  <si>
    <t xml:space="preserve">Is vendor data for emergency engine 2 attached? </t>
  </si>
  <si>
    <t>L. Are emission rate calculations for general MSS activities attached?</t>
  </si>
  <si>
    <t>Does the attachment include all parameters necessary to duplicate emission calculations for each general MSS activity represented on the MSS sheet?</t>
  </si>
  <si>
    <t>between 10 and 100 ppmv</t>
  </si>
  <si>
    <t>Annual Operating Scenario</t>
  </si>
  <si>
    <t>Any single tank</t>
  </si>
  <si>
    <t>routine - working, standing, filling</t>
  </si>
  <si>
    <t>This attachment authorizes emissions only from those emissions points listed in the Readily Available Permit (RAP) Emission Rates Table Attachment and the facilities covered by this attachment are authorized to emit subject to the emission rate limits on that table and other operating conditions specified in this attachment.</t>
  </si>
  <si>
    <t>Non-fugitive emissions from relief valves, safety valves, or rupture discs of gases containing volatile organic compounds (VOC) at a concentration of greater than 1 percent are not authorized by this permit unless authorized on the RAP Emission Rates Table Attachment. Any releases directly to atmosphere from relief valves, safety valves, or rupture discs of gases containing VOC at a concentration greater than 1 weight percent are not consistent with good practice for minimizing emissions.</t>
  </si>
  <si>
    <t>Subpart Kb: Standards of Performance for Volatile Organic Liquid Storage Vessels (Including Petroleum Liquid Storage Vessels) for which Construction, Reconstruction, or Modification Commenced After July 23, 1984</t>
  </si>
  <si>
    <t>Subpart QQQ: Standards of Performance for VOC Emissions from Petroleum Refinery Wastewater Systems</t>
  </si>
  <si>
    <t>Subpart HH: National Emission Standards for Hazardous Air Pollutants from Oil and Natural Gas Production Facilities</t>
  </si>
  <si>
    <t>The requirements of paragraphs F and G shall not apply (1) where the VOC has an aggregate partial pressure or vapor pressure of less than 0.044 pounds per square inch, absolute (psia) at 68°F or (2) operating pressure is at least 5 kilopascals (0.725 psi) below ambient pressure. Equipment excluded from this condition shall be identified in a list or by one of the methods described below to be made readily available upon request.
The exempted components may be identified by one or more of the following methods:
-piping and instrumentation diagram (PID);
-a written or electronic database or electronic file;
-color coding;
-a form of weatherproof identification; or
-designation of exempted process unit boundaries.</t>
  </si>
  <si>
    <t>New and reworked underground process pipelines shall contain no buried valves such that fugitive emission monitoring is rendered impractical. New and reworked buried connectors shall be welded.</t>
  </si>
  <si>
    <t>To the extent that good engineering practice will permit, new and reworked valves and piping connections shall be so located to be reasonably accessible for leak-checking during plant operation.  Difficult-to-monitor and unsafe-to-monitor valves, as defined by Title 30 Texas Administrative Code Chapter 115 (30 TAC Chapter 115), shall be identified in a list to be made readily available upon request. The difficult-to-monitor and unsafe-to-monitor valves may be identified by one or more of the methods described in Paragraph A above. If an unsafe to monitor component is not considered safe to monitor within a calendar year, then it shall be monitored as soon as possible during safe to monitor times. A difficult to monitor component for which quarterly monitoring is specified may instead be monitored annually.</t>
  </si>
  <si>
    <t>the open-ended valve or line shall be monitored once for leaks above background for a plant or unit turnaround lasting up to 45 days with an approved gas analyzer and the results recorded. For all other situations, the open-ended valve or line shall be monitored once within the 72-hour period following the creation of the open-ended line and monthly thereafter with an approved gas analyzer and the results recorded. For turnarounds and all other situations, leaks are indicated by readings of 500 ppmv and must be repaired within 24 hours or a cap, blind flange, plug, or second valve must be installed on the line or valve.</t>
  </si>
  <si>
    <t>New and reworked piping connections shall be welded or flanged. Screwed connections are permissible only on piping smaller than two-inch diameter.  Gas or hydraulic testing of the new and reworked piping connections at no less than operating pressure shall be performed prior to returning the components to service or they shall be monitored for leaks using an approved gas analyzer within 15 days of the components being returned to service. Adjustments shall be made as necessary to obtain leak-free performance. Connectors shall be inspected by visual, audible, and/or olfactory means at least weekly by operating personnel walk-through.
Each open-ended valve or line shall be equipped with an appropriately sized cap, blind flange, plug, or a second valve to seal the line. Except during sampling, both valves shall be closed.   If the isolation of equipment for hot work or the removal of a component for repair or replacement results in an open-ended line or valve, it is exempt from the requirement to install a cap, blind flange, plug, or second valve for 72 hours. If the repair or replacement is not completed within 72 hours, the permit holder must complete either of the following actions within that time period;</t>
  </si>
  <si>
    <t>Piping, Valves, Connectors, Pumps, Agitators, and Compressors – 28VHP
The following requirements apply to piping, valves, connectors, pumps, agitators, and compressors containing or in contact with fluids that could reasonably be expected to contain greater than or equal to 10 weight percent VOC at any time.</t>
  </si>
  <si>
    <t>Accessible valves shall be monitored by leak-checking for fugitive emissions at least quarterly using an approved gas analyzer. Sealless/leakless valves (including, but not limited to, welded bonnet bellows and diaphragm valves) and relief valves equipped with a rupture disc upstream or venting to a control device are not required to be monitored.  If a relief valve is equipped with rupture disc, a pressure-sensing device shall be installed between the relief valve and rupture disc to monitor disc integrity.
A check of the reading of the pressure-sensing device to verify disc integrity shall be performed at least quarterly and recorded in the unit log or equivalent. Pressure-sensing devices that are continuously monitored with alarms are exempt from recordkeeping requirements specified in this paragraph. All leaking discs shall be replaced at the earliest opportunity but no later than the next process shutdown.
The gas analyzer shall conform to requirements listed in Method 21 of 40 CFR part 60, appendix A.  The gas analyzer shall be calibrated with methane.  In addition, the response factor of the instrument for a specific VOC of interest shall be determined and meet the requirements of Section 8 of Method 21.  If a mixture of VOCs is being monitored, the response factor shall be calculated for the average composition of the process fluid. A calculated average is not required when all of the compounds in the mixture have a response factor less than 10 using methane. If a response factor less than 10 cannot be achieved using methane, then the instrument may be calibrated with one of the VOC to be measured or any other VOC so long as the instrument has a response factor of less than 10 for each of the VOC to be measured.
Replacements for leaking components shall be re-monitored within 15 days of being placed back into VOC service.</t>
  </si>
  <si>
    <t>Damaged or leaking valves or connectors found to be emitting VOC in excess of 500 parts per million by volume (ppmv) or found by visual inspection to be leaking (e.g., dripping process fluids) shall be tagged and replaced or repaired. Damaged or leaking pump, compressor, and agitator seals found to be emitting VOC in excess of 2,000 ppmv or found by visual inspection to be leaking (e.g., dripping process fluids) shall be tagged and replaced or repaired. A first attempt to repair the leak must be made within 5 days and a record of the attempt shall be maintained.</t>
  </si>
  <si>
    <t>A leaking component shall be repaired as soon as practicable, but no later than 15 days after the leak is found. If the repair of a component would require a unit shutdown that would create more emissions than the repair would eliminate, the repair may be delayed until the next scheduled shutdown. All leaking components which cannot be repaired until a scheduled shutdown shall be identified for such repair by tagging within 15 days of the detection of the leak. A listing of all components that qualify for delay of repair shall be maintained on a delay of repair list. The cumulative daily emissions from all components on the delay of repair list shall be estimated by multiplying by 24 the mass emission rate for each component calculated in accordance with the instructions in 30 TAC 115.782 (c)(1)(B)(i)(II).  The calculations of the cumulative daily emissions from all components on the delay of repair list shall be updated within ten days of when the latest leaking component is added to the delay of repair list.   When the cumulative daily emission rate of all components on the delay of repair list times the number of days until the next scheduled unit shutdown is equal to or exceeds the total emissions from a unit shut down as calculated in accordance with 30 TAC 115.782 (c)(1)(B)(i)(I) or 500 pounds, whichever is greater, the TCEQ Regional Manager and any local programs shall be notified and the TCEQ Executive Director may require early unit shut down or other appropriate action based on the number and severity of tagged leaks awaiting shutdown.  This notification shall be made within 15 days of making this determination.</t>
  </si>
  <si>
    <t>The requirements of paragraphs F and G shall not apply (1) where the volatile organic compounds (VOC) has an aggregate partial pressure or vapor pressure of less than 0.044 pounds per square inch, absolute (psia) at 68°F or (2) operating pressure is at least 5 kilopascals (0.725 psi) below ambient pressure. Equipment excluded from this condition shall be identified in a list or by one of the methods described below to be made available upon request.
The exempted components may be identified by one or more of the following methods:
-piping and instrumentation diagram (PID);
-a written or electronic database or electronic file;
-color coding;
-a form of weatherproof identification; or
-designation of exempted process unit boundaries.</t>
  </si>
  <si>
    <t>The percent of valves leaking used in paragraph I shall be determined using the following formula:
(Vl + Vs) x 100/Vt = Vp
Where:
Vl =  the number of valves found leaking by the end of the monitoring period, either  by Method 21 or sight, sound, and smell.
Vs =  the number of valves for which repair has been delayed and are listed on the facility shutdown log.
Vt =  the total number of valves in the facility subject to the monitoring requirements, as of the last day of the monitoring period, not including nonaccessible and unsafe-to monitor valves.
Vp =  the percentage of leaking valves for the monitoring period.</t>
  </si>
  <si>
    <t>To the extent that good engineering practice will permit, new and reworked valves and piping connections shall be so located to be reasonably accessible for leak-checking during plant operation.  Difficult-to-monitor and unsafe-to-monitor valves, as defined by Title 30 Texas Administrative Code Chapter 115 (30 TAC Chapter 115), shall be identified in a list to be made readily available upon request. The difficult-to-monitor and unsafe-to-monitor valves may be identified by one or more of the methods described in paragraph A above. If an unsafe to monitor component is not considered safe to monitor within a calendar year, then it shall be monitored as soon as possible during safe to monitor times.  A difficult to monitor component for which quarterly monitoring is specified may instead be monitored annually.</t>
  </si>
  <si>
    <t>New and reworked piping connections shall be welded or flanged.  Screwed connections are permissible only on piping smaller than two-inch diameter.  Gas or hydraulic testing of the new and reworked piping connections at no less than operating pressure shall be performed prior to returning the components to service or they shall be monitored for leaks using an approved gas analyzer within 15 days of the components being returned to service.  Adjustments shall be made as necessary to obtain leak-free performance.
Connectors shall be inspected by visual, audible, and/or olfactory means at least weekly by operating personnel walk-through.  In addition, all connectors shall be monitored by leak-checking for fugitive emissions at least quarterly using an approved gas analyzer with a directed maintenance program in accordance with items F thru J of this special condition.
In lieu of the monitoring frequency specified above, connectors may be monitored on a semiannual basis if the percent of connectors leaking for two consecutive quarterly monitoring periods is less than 0.5 percent.
Connectors may be monitored on an annual basis if the percent of connectors leaking for two consecutive semiannual monitoring periods is less than 0.5 percent.</t>
  </si>
  <si>
    <t xml:space="preserve">If the percent of connectors leaking for any semiannual or annual monitoring period is 0.5 percent or greater, the facility shall revert to quarterly monitoring until the facility again qualifies for the alternative monitoring schedules previously outlined in this paragraph.
The percent of connectors leaking shall be determined using the following formula:
(Cl + Cs) x 100/Ct = Cp
Where:
Cl = the number of connectors found leaking by the end of the monitoring period, either by Method 21 or sight, sound, and smell.
Cs = the number of connectors for which repair has been delayed and are listed on the facility shutdown log.
Ct = the total number of connectors in the facility subject to the monitoring requirements, as of the last day of the monitoring period, not including non-accessible and unsafe to monitor connectors.
Cp = the percentage of leaking connectors for the monitoring period.
Each open-ended valve or line shall be equipped with an appropriately sized cap, blind flange, plug, or a second valve to seal the line.   Except during sampling, both valves shall be closed.   If the isolation of equipment for hot work or the removal of a component for repair or replacement results in an open-ended line or valve, it is exempt from the requirement to install a cap, blind flange, plug, or second valve for 72 hours.  If the repair or replacement is not completed within 72 hours, the permit holder must complete either of the following actions within that time period;
</t>
  </si>
  <si>
    <t>Compliance with the requirements of this condition does not assure compliance with requirements of 30 TAC Chapter 115, an applicable New Source Performance Standard (NSPS), or an applicable National Emission Standard for Hazardous Air Pollutants (NESHAPS), and does not constitute approval of alternative standards for these regulations.</t>
  </si>
  <si>
    <t>The percent of valves leaking used in paragraph K shall be determined using the following formula:
(Vl + Vs ) x 100/Vt = Vp
Where:
Vl = the number of valves found leaking by the end of the monitoring period, either by Method 21 or sight, sound, and smell.
Vs = the number of valves for which repair has been delayed and are listed on the facility shutdown log.
Vt = the total number of valves in the facility subject to the monitoring requirements, as of the last day of the monitoring period, not including nonaccessible and unsafe to monitor valves.
Vp = the percentage of leaking valves for the monitoring period.</t>
  </si>
  <si>
    <t>Storage Tank Operational Specifications</t>
  </si>
  <si>
    <t>Tanks are approved to store the liquids listed in the RAP- Marine Loading application. Storage tank throughput and service shall be limited to the following:</t>
  </si>
  <si>
    <t>An open-top tank shall contain a floating roof (external floating roof tank) which uses double seal or secondary seal technology provided the primary seal consists of either a mechanical shoe seal or a liquid-mounted seal and the secondary seal is rim-mounted. A weathershield is not approvable as a secondary seal unless specifically reviewed and determined to be vapor-tight.</t>
  </si>
  <si>
    <t>The frequency of sampling shall be monthly.</t>
  </si>
  <si>
    <t>Records of H2S concentrations measured to meet the requirements of this condition shall be maintained at the plant site.</t>
  </si>
  <si>
    <t>Convenience Roof Landings for Storage Tanks (Routine Emissions)</t>
  </si>
  <si>
    <t>The locations and identifiers of vents other than permanent roof fittings and seals, control device or controlled recovery system, and controlled exhaust stream shall be recorded. There shall be no other gas/vapor flow out of the vapor space under the floating roof when the vapor space is directed to the control device. The vapor recovery system collection rate shall be no less than 100 cubic feet per minute when the tank is idle or the tank is being drained, and two times the fill rate when the tank is being refilled.</t>
  </si>
  <si>
    <t>The control device shall be operated as required by this permit. If controlling through a fixed roof vent, route to control during the entire tank refill.
The roof shall be landed on its lowest legs.</t>
  </si>
  <si>
    <t>At all times that the roof is resting on its leg supports, the tank emissions shall be controlled by a closed vent system and control device meeting the following specifications:</t>
  </si>
  <si>
    <t>The occurrence of each roof landing and the associated emissions shall be recorded, and the rolling 12-month tank roof landing emissions shall be updated on a monthly basis. These records shall include at least the following information (as applicable):</t>
  </si>
  <si>
    <t>The identification of the tank and emission point number, and any control devices or controlled recovery systems used to reduce emissions;</t>
  </si>
  <si>
    <t>The reason for the tank roof landing;</t>
  </si>
  <si>
    <t>For the purpose of estimating emissions, the date, time, and other information specified for each of the following events:</t>
  </si>
  <si>
    <t>The roof was initially landed;</t>
  </si>
  <si>
    <t>All liquid was pumped from the tank to the extent practicable;</t>
  </si>
  <si>
    <t>Refilling commenced, liquid filling the tank, and the volume necessary to float the roof; and</t>
  </si>
  <si>
    <t>Tank roof off supporting legs, floating on liquid.</t>
  </si>
  <si>
    <t>The estimated quantity of each air contaminant, or mixture of air contaminants, emitted with the data and methods used to determine it. The emissions associated with roof landing activities shall be calculated using the methods described in Section 7.1.3.3 of AP‑42 “Compilation of Air Pollution Emission Factors, Chapter 7—Storage of Organic Liquids” dated November 2019 (or later edition) and the permit application.</t>
  </si>
  <si>
    <t xml:space="preserve">All loading operations are limited to the liquids, rates, and throughputs identified in the RAP- Marine Loading application. All loading shall be submerged and rolling 12-month rack throughput records shall be updated on a monthly basis for each product loaded. </t>
  </si>
  <si>
    <t>Tank trucks shall be tested or inspected and certified within the past 12 months in accordance with U.S. Department of Transportation (DOT) pressure test requirements of 49 CFR §180.407.  The permit holder shall not allow a tank truck to be filled unless it has passed a pressure test within the past year as evidenced by a certificate or markings which shows the date the tank truck last passed the pressure test required by this condition and the identification number of the tank truck. </t>
  </si>
  <si>
    <t>The loading or dispensing of gasoline is limited to gasolines meeting the monthly RVP standards specified in the versions of 40 CFR 80.27(a)(2) and ASTM D4814 which are in effect as of this RAP.  These monthly maximum RVP limits are as follows:
-January-March: 13.5 psia
-April: 11.5 psia
-May: 9 psia
-June-August: 7.8 psia
-September 1-15: 7.8 psia
-September 16-30: 10 psia
-October: 11.5 psia
-November-December: 13.5 psia</t>
  </si>
  <si>
    <t xml:space="preserve">The holder of this permit shall obtain the RVP data provided by the delivering refinery for each batch of gasoline delivered to the terminal by pipeline. Gasoline RVP data shall be reduced to monthly weighted averages of pipeline receipts for purposes of determining compliance with the conditions of this permit.  </t>
  </si>
  <si>
    <t>Quality assured (or valid) data must be generated when the vapor oxidizer is operating except during the performance of a daily zero and span check.  Loss of valid data due to periods of monitor break down, out-of-control operation (producing inaccurate data), repair, maintenance, or calibration may be exempted provided it does not exceed 5 percent of the time (in minutes) that the vapor oxidizer operated over the previous rolling 12 month period.  The measurements missed shall be estimated using engineering judgment and the methods used recorded.</t>
  </si>
  <si>
    <t>The following requirements apply to capture systems for the vapor oxidizer.</t>
  </si>
  <si>
    <t>The permit holder shall comply with A(1) or A(2) as follows:</t>
  </si>
  <si>
    <t>Once a year, verify the capture system is leak-free by inspecting in accordance with 40 CFR Part 60, Appendix A, Test Method 21.  Leaks shall be indicated by an instrument reading greater than or equal to 500 ppmv above background.</t>
  </si>
  <si>
    <t>The vapor oxidizer shall not have a bypass.</t>
  </si>
  <si>
    <t>MSS emissions from emergency engines shall not exceed the hourly emission rates in the MAERT.</t>
  </si>
  <si>
    <t>The maximum heat input of the boiler(s) and/or heater(s) shall not exceed the following maximum hourly rates:</t>
  </si>
  <si>
    <t xml:space="preserve">The boiler(s) and/or heater(s) shall be fired with the following fuel(s) meeting the specified requirements below: </t>
  </si>
  <si>
    <t>The gas shall be sampled every 6 months to determine total sulfur and net heating value.  Test results from the fuel supplier may be used to satisfy this requirement.</t>
  </si>
  <si>
    <t>Opacity Requirements</t>
  </si>
  <si>
    <t>Visible emission observations shall be conducted and recorded at least once during each calendar quarter unless the emission unit is not operating for the entire calendar quarter.</t>
  </si>
  <si>
    <t>These observations shall be made by first observing for visible emissions while each facility is in operation.  Observations shall be made at least 15 feet and no more than 0.25 miles from the emission point(s).  Up to three emissions points may be read concurrently, provided that all three emissions points are within a 70-degree viewing sector or angle in front of the observer such that the proper sun position (at the observer's back) can be maintained for all three emission points.  A certified opacity reader is not required for these visible emission observations.</t>
  </si>
  <si>
    <t>If no visible emissions are present during the observations conducted as specified in this Special Condition, then compliance with the opacity limit will have been demonstrated.</t>
  </si>
  <si>
    <t>If visible emissions are present, the permit holder shall perform one of the following within 24 hours:</t>
  </si>
  <si>
    <t>Assume that an exceedance of the applicable opacity limit specified in this Special Condition has occurred; or</t>
  </si>
  <si>
    <t>If an exceedance has occurred, the permit holder shall take corrective action within 48 hours.</t>
  </si>
  <si>
    <t>The facility being sampled shall operate maximum production during stack emission testing. These conditions/parameters and any other primary operating parameters that affect the emission rate shall be monitored and recorded during the stack test. Any additional parameters shall be determined at the pretest meeting and shall be stated in the sampling report. Permit conditions and parameter limits may be waived during stack testing performed under this condition if the proposed condition/parameter range is identified in the test notice specified in paragraph A and accepted by the TCEQ Regional Office.  Permit allowable emissions and emission control requirements are not waived and still apply during stack testing periods.</t>
  </si>
  <si>
    <t>Copies of the final sampling report shall be forwarded to the offices below within 60 days after sampling is completed. Sampling reports shall comply with the attached provisions entitled “Chapter 14, Contents of Sampling Reports” of the TCEQ Sampling Procedures Manual.
The reports shall be distributed as follows:
-One copy to the appropriate TCEQ Regional Office.
-One copy to each local air pollution control program.</t>
  </si>
  <si>
    <t>Maintenance, Startup, and Shutdown (MSS)</t>
  </si>
  <si>
    <t>The locations and/or identifiers where the purge gas or steam enters the process equipment or storage vessel and the exit points for the exhaust gases shall be recorded (process flow diagrams [PFDs] or piping and instrumentation diagrams [P&amp;IDs] may be used to demonstrate compliance with the requirement).  If the process equipment is purged with a gas, two system volumes of purge gas must have passed through the control device or controlled recovery system before the vent stream may be sampled to verify acceptable VOC concentration prior to uncontrolled venting.  The VOC sampling and analysis shall be performed using an instrument meeting the requirements of the next special condition.  The sampling point shall be upstream of the inlet to the control device or controlled recovery system.  The sample ports and the collection system must be designed and operated such that there is no air leakage into the sample probe or the collection system downstream of the process equipment or vessel being purged.  If there is not a connection (such as a sample, vent, or drain valve) available from which a representative sample may be obtained, a sample may be taken upon entry into the system after degassing has been completed.  The sample shall be taken from inside the vessel so as to minimize any air or dilution from the entry point.  The facilities shall be degassed to a control device or controlled recovery system until the VOC concentration is less than 10,000 ppmv or 10 percent of the LEL.  Documented site procedures used to de-inventory equipment to a control device for safety purposes (i.e., hot work or vessel entry procedures) that achieve at least the same level of purging may be used in lieu of the above.</t>
  </si>
  <si>
    <t>Definitions</t>
  </si>
  <si>
    <t>The detector shall be calibrated monthly with an appropriate certified gas standard at 25% of the lower explosive limit (LEL) for the appropriate gas. Records of the calibration date/time and calibration result (pass/fail) shall be maintained.</t>
  </si>
  <si>
    <t>A functionality test shall be performed on each detector within 24 hours of use with a certified gas standard at 25% of the LEL for the appropriate gas used in (1) above. The LEL monitor shall read no lower than 90% of the calibration gas certified value.  Records, including the date/time and test results, shall be maintained.</t>
  </si>
  <si>
    <t xml:space="preserve">At least 2 samples taken at least 5 minutes apart must satisfy the following prior to uncontrolled venting:
measured contaminant concentration (ppmv) &lt; release concentration.
Where the release concentration is:
10,000*mole fraction of the total air contaminants present that can be detected by the tube.
The mole fraction may be estimated based on process knowledge.  The release concentration and basis for its determination shall be recorded.  </t>
  </si>
  <si>
    <t>During roof landings, if the tank is not degassed per part E of this condition, the date and time the roof is again floating on liquid shall be recorded and parts E through G of this condition do not apply.</t>
  </si>
  <si>
    <t>Any gas or vapor removed from the vapor space under the floating roof shall be routed to a control device or controlled recovery system and controlled degassing must be maintained until the VOC concentration is less than or equal to the values specified in the table below. Forced ventilation shall not occur until the residual concentration is less than or equal to the values specified in the table below.</t>
  </si>
  <si>
    <t>If water is added or sprayed into the tank to remove standing VOC, one of the following must be demonstrated:</t>
  </si>
  <si>
    <t xml:space="preserve">Only one tank with a landed floating roof may be filled at any given time.  Tanks shall be refilled as rapidly as practicable until the roof is off its legs with the following exception: The vapor space below the tank roof is directed to a control device when the tank is refilled until the roof is floating on the liquid.  The control device used and the method and locations used to connect the control device shall be recorded.  All vents from the tank being filled must exit through the control device.  </t>
  </si>
  <si>
    <t>the estimated quantity of each air contaminant, or mixture of air contaminants, emitted between events c and g with the data and methods used to determine it. The emissions associated with roof landing and cleaning activities shall be calculated using the methods described in Section 7.1.3.3 and 7.1.3.4 of AP-42 "Compilation of Air Pollution Emission Factors, Chapter 7 - Storage of Organic Liquids" dated November 2019 and the permit application.</t>
  </si>
  <si>
    <t>The heating value and velocity requirements in 40 CFR 60.18 shall be satisfied during operations authorized by this permit.</t>
  </si>
  <si>
    <t>The flare shall be operated with a flame present at all times and/or have a constant pilot flame. The pilot flame shall be continuously monitored by a thermocouple or an infrared monitor.  The time, date, and duration of any loss of pilot flame shall be recorded.  Each monitoring device shall be accurate to and shall be calibrated at a frequency in accordance with, the manufacturer’s specifications.</t>
  </si>
  <si>
    <t>The plant flare system and any temporary flare shall meet all flow monitoring requirements for waste gas and assist gas as specified in the Flare Operational Specifications section of these conditions when used for control of MSS activities.</t>
  </si>
  <si>
    <t>Convenience landings, pigging operations containing VOC, high volume minor MSS activities, and floating roof MSS activities shall be routed to the temporary VCU.</t>
  </si>
  <si>
    <t xml:space="preserve">Fuel for the temporary VCU shall be natural gas.  </t>
  </si>
  <si>
    <t>amendments only</t>
  </si>
  <si>
    <t>Only if disaster review pollutant on PI-1</t>
  </si>
  <si>
    <t>Grey these out unless yes on the PI-1</t>
  </si>
  <si>
    <t>Grey unless 28VHP selected on FUG</t>
  </si>
  <si>
    <t>Grey unless 28MID on fugitive sheet
Formula needed</t>
  </si>
  <si>
    <t>Grey unless 28LAER on fugitive sheet</t>
  </si>
  <si>
    <t>Pull list of compound(s) from dropdowns on FUG sheet</t>
  </si>
  <si>
    <t>Grey if 0 tanks on PI-1</t>
  </si>
  <si>
    <t>Formulas needed</t>
  </si>
  <si>
    <t>Grey if all tanks are controlled</t>
  </si>
  <si>
    <t>Grey if all tanks are less than 25,000 OR if all tank pressures are below 0.5</t>
  </si>
  <si>
    <t>Grey if no control</t>
  </si>
  <si>
    <t>Grey if all tanks are less than 25,000 OR if all tank pressures are below 0.5
Grey if no floating roof tanks</t>
  </si>
  <si>
    <t>Gray if no crude
Formulas for products and concentrations</t>
  </si>
  <si>
    <t>Formula</t>
  </si>
  <si>
    <t xml:space="preserve">Grey this section if no loading operations
Formula </t>
  </si>
  <si>
    <t>applicable if truck loading collection efficiency is 98.7%</t>
  </si>
  <si>
    <t>applicable if truck loading collection efficiency is 99.2%</t>
  </si>
  <si>
    <t>applicable if truck loading collection is 100%</t>
  </si>
  <si>
    <t>Grey unless truck loading AND products ≥ 0.5 psi and collection is entered as 100%
applicable if truck loading collection efficiency is 100</t>
  </si>
  <si>
    <t>Grey unless rail loading</t>
  </si>
  <si>
    <t>Applicable for all drum loading
Formula needed</t>
  </si>
  <si>
    <t>Only if non-inerted marine loading (PI-1 G109)</t>
  </si>
  <si>
    <t>Only if inerted marine loading (PI-1 G 110)</t>
  </si>
  <si>
    <t>Formula needed
This whole section – only if a flare (pi-1 G111)</t>
  </si>
  <si>
    <t>Formula needed
Only if yes on PI-1 G112 (for VCU)</t>
  </si>
  <si>
    <t>Grey unless vapor oxidizer in project (PI-1 G114)
Formula needed</t>
  </si>
  <si>
    <t>Formula needed</t>
  </si>
  <si>
    <t>Use paragraph 1 for regenerative thermal and non regenerative thermal. Use paragraphs 2 and 3 for catalytic oxidizer.</t>
  </si>
  <si>
    <t>formula</t>
  </si>
  <si>
    <t>Grey out if oxidizer has a CEMS.</t>
  </si>
  <si>
    <t xml:space="preserve">The oxygen analyzer used to satisfy the vapor oxidizer’s exhaust oxygen concentration requirements shall continuously monitor and record oxygen concentration when waste gas is directed to the oxidizer.  It shall reduce the oxygen readings to an averaging period of 6 minutes or less and record it at that frequency.
The oxygen analyzer shall be zeroed and spanned daily and corrective action taken when the 24-hour span drift exceeds two times the amounts specified Performance Specification No. 3, 40 CFR Part 60, Appendix B.  Zero and span is not required on weekends and plant holidays if instrument technicians are not normally scheduled on those days.
The analyzer shall be quality-assured at least semiannually using cylinder gas audits (CGAs) in accordance with 40 CFR Part 60, Appendix F, Procedure 1, § 5.1.2, with the following exception: a relative accuracy test audit is not required once every four quarters (i.e., two successive semiannual CGAs may be conducted). An equivalent quality-assurance method approved by the TCEQ may also be used. Successive semiannual audits shall occur no closer than four months.  Necessary corrective action shall be taken for all CGA exceedances of ±15 percent accuracy and any continuous emissions monitoring system downtime in excess of 5 percent of the incinerator operating time. These occurrences and corrective actions shall be reported to the appropriate TCEQ Regional Director on a quarterly basis. Supplemental stack concentration measurements may be required at the discretion of the appropriate TCEQ Regional Director.
Quality assured (or valid) data must be generated when the vapor oxidizer is operating except during the performance of a daily zero and span check.  Loss of valid data due to periods of monitor break down, out-of-control operation (producing inaccurate data), repair, maintenance, or calibration may be exempted provided it does not exceed 5 percent of the time (in minutes) that the vapor oxidizer operated over the previous rolling 12 month period.  The measurements missed shall be estimated using engineering judgment and the methods used recorded.	</t>
  </si>
  <si>
    <t>Formula
Grey unless oxidizer has a stand-by firebox</t>
  </si>
  <si>
    <t>Formula
Grey unless has vapor oxidizer with CEMS (VaporOxidizer, D29)</t>
  </si>
  <si>
    <t>Grey unless has vapor oxidizer with CAM – VaporOxidizerD61
formula</t>
  </si>
  <si>
    <t>Greyed out if it has a bypass</t>
  </si>
  <si>
    <t>Greyed out if NO bypass</t>
  </si>
  <si>
    <t>Formula 
Grey unless has CAS (PI-1 G113)</t>
  </si>
  <si>
    <t>Formula (minimum is one hour) – CAS D23</t>
  </si>
  <si>
    <t>Formula
CAS D19</t>
  </si>
  <si>
    <t>Formula
CAS D19(allowable range will be 10 to 100 ppmv).</t>
  </si>
  <si>
    <t>Formula
Applicable for regenerative</t>
  </si>
  <si>
    <t>Required for regenerative and non-regenerative</t>
  </si>
  <si>
    <t>Formula
Applicable for non-regenerative when CEMS used</t>
  </si>
  <si>
    <t>Grey unless has engines on pi-1
Formula, engine sheets D7</t>
  </si>
  <si>
    <t>Formula-from engine1</t>
  </si>
  <si>
    <t>Grey if only 1 engine
Formula – from engine 2</t>
  </si>
  <si>
    <t>Grey unless a heater or boiler on PI-1</t>
  </si>
  <si>
    <t>Formula from Boiler/heater1</t>
  </si>
  <si>
    <t>Grey if only 1 heater/boiler
Formula from heater/boiler2</t>
  </si>
  <si>
    <t>NOx and CO emissions shall not exceed the following:</t>
  </si>
  <si>
    <t>Formula
FIN-D7</t>
  </si>
  <si>
    <t>Formula
Grey unless D25 on heaterboiler says fuel gas</t>
  </si>
  <si>
    <t>Formula
Grey unless have CEMS for boiler/heater (D27)</t>
  </si>
  <si>
    <t>Grey if flare, VCU , and CAS do not control units subject to CAM (see CAM sections on flare/VCU sheets)
formula</t>
  </si>
  <si>
    <t>Formula
Fill in FIN if “Yes” on the following: 
-Flare Sheet, cell D62
-VCU Sheet, cell D71
-VaporOxidizer Sheet, cell D63
-CAS Sheet, cell D38</t>
  </si>
  <si>
    <t>Grey at different times, depending on listings of MSS sheet.</t>
  </si>
  <si>
    <t>Formula for FINS</t>
  </si>
  <si>
    <t>Formulas for FINs</t>
  </si>
  <si>
    <t>Grey unless has temp TO</t>
  </si>
  <si>
    <t>Grey unless has temp VCU</t>
  </si>
  <si>
    <t>Floating roof storage tank MSS-related roof landings—Standing idle, degassing, post-control degassing, cleaning, and refilling</t>
  </si>
  <si>
    <t>Minor MSS Activities including draining, venting and refilling pumps, filters, meters, valves, vessels, and piping.</t>
  </si>
  <si>
    <t>Vacuum Trucks and Air Movers— Vapor collection from the process using a vacuum truck or air mover</t>
  </si>
  <si>
    <t xml:space="preserve">The pressure at the vapor collection connection of an inerted marine vessel must be maintained such that the pressure in a vessels’ cargo tanks does not go below 0.2 pounds per square inch gauge (psig) or exceed 80% of the lowest setting of any of the vessel’s pressure relief valves.  The lowest vessel cargo tank or vent header pressure relief valve setting for the vessel being loaded shall be recorded.  Pressure shall be continuously monitored while the vessel is being loaded.  Pressure shall be recorded at least once every 15 minutes.   </t>
  </si>
  <si>
    <t>Install a flow indicator that records and verifies zero flow at least once every 15 minutes immediately downstream of each valve that if opened would allow a vent stream to bypass the control device and be emitted, either directly or indirectly, to the atmosphere.</t>
  </si>
  <si>
    <t>Install a flow indicator that records and verifies zero flow at least once every 15 minutes immediately downstream of each valve that if opened would allow a vent stream to bypass the control device and be emitted, either directly or indirectly, to the atmosphere; or</t>
  </si>
  <si>
    <r>
      <t>VOC, NO</t>
    </r>
    <r>
      <rPr>
        <vertAlign val="subscript"/>
        <sz val="11"/>
        <color theme="1"/>
        <rFont val="Arial"/>
        <family val="2"/>
      </rPr>
      <t>x</t>
    </r>
    <r>
      <rPr>
        <sz val="11"/>
        <color theme="1"/>
        <rFont val="Arial"/>
        <family val="2"/>
      </rPr>
      <t>, CO, H</t>
    </r>
    <r>
      <rPr>
        <vertAlign val="subscript"/>
        <sz val="11"/>
        <color theme="1"/>
        <rFont val="Arial"/>
        <family val="2"/>
      </rPr>
      <t>2</t>
    </r>
    <r>
      <rPr>
        <sz val="11"/>
        <color theme="1"/>
        <rFont val="Arial"/>
        <family val="2"/>
      </rPr>
      <t>S, SO</t>
    </r>
    <r>
      <rPr>
        <vertAlign val="subscript"/>
        <sz val="11"/>
        <color theme="1"/>
        <rFont val="Arial"/>
        <family val="2"/>
      </rPr>
      <t>2</t>
    </r>
  </si>
  <si>
    <t>Will a vacuum or air mover truck be used during tank cleaning/sludge removal?</t>
  </si>
  <si>
    <t>Currently authorized H2S destruction efficiency (%)</t>
  </si>
  <si>
    <t>Proposed H2S destruction efficiency (%)</t>
  </si>
  <si>
    <t>Currently authorized H2S content of the fuel (vapor weight fraction)</t>
  </si>
  <si>
    <t>Proposed H2S content of the fuel (vapor weight fraction)</t>
  </si>
  <si>
    <t>Select the method(s) for minimizing NOx emissions. Control techniques not listed cannot be authorized with this RAP.</t>
  </si>
  <si>
    <r>
      <t>Source of emission factor</t>
    </r>
    <r>
      <rPr>
        <sz val="11"/>
        <color theme="1"/>
        <rFont val="Arial"/>
        <family val="2"/>
      </rPr>
      <t xml:space="preserve">
Note: Units may need to be converted depending on source.</t>
    </r>
  </si>
  <si>
    <t>B. Temporary Flare MSS Emissions</t>
  </si>
  <si>
    <t>C. Temporary VCU MSS Emissions</t>
  </si>
  <si>
    <t>D. Temporary Thermal Oxidizer MSS Emissions</t>
  </si>
  <si>
    <t>grey if no floating roof (entire cnd)</t>
  </si>
  <si>
    <t>RVP Counties</t>
  </si>
  <si>
    <t>De Witt</t>
  </si>
  <si>
    <t>Site in an RVP County?</t>
  </si>
  <si>
    <t>Is the unit equipped with CEMS for VOC breakthrough concentration?</t>
  </si>
  <si>
    <t>Formula
Applicable for non-regenerative NO CEMS</t>
  </si>
  <si>
    <t>Attachment A identifies the inherently low emitting MSS activities that may be performed at the site.  Emissions from activities identified in Attachment A shall be considered to be equal to the potential to emit represented in the permit application.  The estimated emissions from the activities listed in Attachment A must be revalidated annually.  This revalidation shall consist of the estimated emissions for each type of activity and the basis for that emission estimate.</t>
  </si>
  <si>
    <t>Routine maintenance activities, as identified in Attachment B may be tracked through the work orders or equivalent.  Emissions from activities identified in Attachment B shall be calculated using the number of work orders or equivalent that month and the emissions associated with that activity identified in the permit application.</t>
  </si>
  <si>
    <t xml:space="preserve">Process units and facilities – with the exception of floating and fixed roof storage tanks, temporary vessels used for MSS operations, vacuum and air mover trucks, and vessels identified in Attachment A – shall be depressurized, emptied, degassed, and placed in service in accordance with the following requirements.  </t>
  </si>
  <si>
    <t>Baseline Emissions (tpy)
MSS – Inherently Low-emitting and Routine Maintenance Activities</t>
  </si>
  <si>
    <t>gray if no fixed roof tanks</t>
  </si>
  <si>
    <t>This permit authorizes emissions from storage tanks during the following planned MSS activities: floating roof landings for MSS, floating roof storage tank cleaning, and fixed roof storage tank cleaning. Tank roof landings include all operations when the tank floating roof is on its supporting leg. These emissions are subject to the maximum allowable emission rates indicated in the RAP Emission Rates Table Attachment. Only one tank MSS activity shall occur at any given time.</t>
  </si>
  <si>
    <t>Fixed roof storage tanks are subject to the following requirements.</t>
  </si>
  <si>
    <t>The vapor space under the roof shall be vented using good engineering practice to ensure air contaminants are flushed out of the tank through the control device or controlled recovery system to the extent allowed by the storage tank design.</t>
  </si>
  <si>
    <t>Any gas or vapor removed from the vapor space under the roof shall be routed to a control device or controlled recovery system and controlled degassing must be maintained until the VOC concentration is less than or equal to the values specified in the table below. Forced ventilation shall not occur until the residual concentration is less than or equal to the values specified in the table below.</t>
  </si>
  <si>
    <t>Maximum VOC concentration of the vapor space prior to start forced ventilation (ppmv)</t>
  </si>
  <si>
    <t>Ventilation of the vapor space shall be controlled. Tanks shall be degassed as follows.</t>
  </si>
  <si>
    <t>The following requirements apply to MSS floating roof landings.</t>
  </si>
  <si>
    <t>Format helper column</t>
  </si>
  <si>
    <t>Except as may be provided for in the Special Conditions of this permit, the following requirements apply to the above-referenced equipment:</t>
  </si>
  <si>
    <t>28AVO Unique Pollutants Number</t>
  </si>
  <si>
    <t>28AVO Pollutants Monitored</t>
  </si>
  <si>
    <t>28AVO Unique Pollutants Monitored</t>
  </si>
  <si>
    <t>throughput gal/hr</t>
  </si>
  <si>
    <t>throughput gal/yr</t>
  </si>
  <si>
    <t>Grey unless there’s a constant level tank
formula needed</t>
  </si>
  <si>
    <t>Grey unless there’s a heated tank
formula needed</t>
  </si>
  <si>
    <t>Heated Tank FINS</t>
  </si>
  <si>
    <t>Unique # heated tank FINs</t>
  </si>
  <si>
    <t>Heated tank FINs Unique</t>
  </si>
  <si>
    <t>Unique # constant-level tank FINs</t>
  </si>
  <si>
    <t>Constant level tank FINS</t>
  </si>
  <si>
    <t>Constant-level tank FINs Unique</t>
  </si>
  <si>
    <t>Crude Products</t>
  </si>
  <si>
    <t>Crude Products Unique</t>
  </si>
  <si>
    <t>Crude Products Unique #</t>
  </si>
  <si>
    <t>Loading sources</t>
  </si>
  <si>
    <t>Loading sources unique</t>
  </si>
  <si>
    <t>Loading sources unique #</t>
  </si>
  <si>
    <t>The monitoring data shall be reduced to 1-hr average concentrations at least once every day, using a minimum of four equally spaced data points from each one-hour period.  The individual average concentrations shall be reduced to units of lb/hr at least once every week as follows:
The measured 1-hr average concentration from the CEMS shall be multiplied by the flow rate represented in the permit application or the flow rate measured during the latest stack test performed in accordance with Initial Demonstration of Compliance section of these conditions to determine the hourly emission rate.</t>
  </si>
  <si>
    <t>FINs sent to CAS unique #</t>
  </si>
  <si>
    <t>FINs sent to CAS</t>
  </si>
  <si>
    <t>FINs sent to CAS unique</t>
  </si>
  <si>
    <r>
      <t xml:space="preserve">This sheet details diesel engine specifications and determines emission rates for one emergency diesel engine.
</t>
    </r>
    <r>
      <rPr>
        <b/>
        <sz val="11"/>
        <color theme="1"/>
        <rFont val="Arial"/>
        <family val="2"/>
      </rPr>
      <t>Instructions:</t>
    </r>
    <r>
      <rPr>
        <sz val="11"/>
        <color theme="1"/>
        <rFont val="Arial"/>
        <family val="2"/>
      </rPr>
      <t xml:space="preserve">
1. Complete all information below.
2. Species and emission rates will be calculated from the representations made on this sheet.
3. Provide vendor guarantees for emission factors as an attachment to this application.</t>
    </r>
  </si>
  <si>
    <t>Fuel shall be ultra-low sulfur diesel (ULSD). Sulfur content of fuel for each engine shall not exceed the values identified below.</t>
  </si>
  <si>
    <t>Is the unit equipped with CEMS for fuel usage, NOx, CO and O2?</t>
  </si>
  <si>
    <t>Opacity cnd FINs</t>
  </si>
  <si>
    <t>Opacity cnd FINs - unique</t>
  </si>
  <si>
    <t>Opacity cnd FINs - unique#</t>
  </si>
  <si>
    <t>Stack test cnd FINs</t>
  </si>
  <si>
    <t>Stack test cnd FINs - unique #</t>
  </si>
  <si>
    <t>Stack test cnd FINs - unique</t>
  </si>
  <si>
    <t>Air contaminants emitted from the boilers/heaters to be tested for include (but are not limited to) NOx and CO.</t>
  </si>
  <si>
    <t>Air contaminants emitted from the vapor oxidizer to be tested for include (but are not limited to) NOx, VOC, CO, SO2, PM, PM10, PM2.5, and O2.</t>
  </si>
  <si>
    <t>Air contaminants emitted from the VCU to be tested for include (but are not limited to) NOx, VOC, CO, SO2, PM, PM10, PM2.5, and O2. Air contaminants emitted from the boilers/heaters to be tested for include (but are not limited to) NOx and CO.</t>
  </si>
  <si>
    <t>Capture system cnd FINs - unique #</t>
  </si>
  <si>
    <t>Capture system cnd FINs - unique</t>
  </si>
  <si>
    <t xml:space="preserve">Capture system cnd FINs </t>
  </si>
  <si>
    <t>Control device FINs - unique #</t>
  </si>
  <si>
    <t>Control device FINs</t>
  </si>
  <si>
    <t>Control device FINs - unique</t>
  </si>
  <si>
    <t>Route to a control device when degassing and refilling. The control must be maintained until the VOC concentration is less than 10,000 ppmv VOC (or equivalent for non-VOCs). If there is any standing liquid within the tank, and the tank is opened to the atmosphere or ventilated, the vapor stream must be controlled until there is no standing liquid or the VOC vapor pressure is less than 0.02 psia. Route to a control device) during roof refloating if emissions from filling tanks without degassing and cleaning is &gt; 5 tpy. In this case,  if controlling through fixed roof vent, route to control device during entire tank refill. New tanks must be designed to be drain dry with connections to control vapors under a landed roof. Commence under-roof degassing within 24 hours of landing. Degas every 24 hours unless no standing liquid in tank or vapor pressure of liquid in tank has a VOC partial pressure &lt;0.02 psi.</t>
  </si>
  <si>
    <t>Railcar Loading</t>
  </si>
  <si>
    <t>Tank Roof Convenience Landings</t>
  </si>
  <si>
    <t>VP</t>
  </si>
  <si>
    <t>capacity</t>
  </si>
  <si>
    <t>Tank control list options</t>
  </si>
  <si>
    <t>Tank FINs to control - unique #</t>
  </si>
  <si>
    <t>Tank FINs to control - unique</t>
  </si>
  <si>
    <t>Tank FINs to control</t>
  </si>
  <si>
    <t>All vents from the tanks listed below shall be routed to the specified control device.</t>
  </si>
  <si>
    <t>Conv. Land Control Devs</t>
  </si>
  <si>
    <t>Conv. Land Control Devs - unique #</t>
  </si>
  <si>
    <t>Conv. Land Control Devs - unique</t>
  </si>
  <si>
    <t>permanent flare</t>
  </si>
  <si>
    <t>Control Device</t>
  </si>
  <si>
    <t>Control Device FIN</t>
  </si>
  <si>
    <t>Conv. Land Control Devs - FIN</t>
  </si>
  <si>
    <t>permanent VCU</t>
  </si>
  <si>
    <t>permanent thermal oxidizer</t>
  </si>
  <si>
    <t>temporary vcu</t>
  </si>
  <si>
    <t>I/EFR Tank FINs - unique #</t>
  </si>
  <si>
    <t>No Bypass cnd FINs - unique #</t>
  </si>
  <si>
    <t>No Bypass cnd FINs</t>
  </si>
  <si>
    <t>No Bypass cnd FINs - unique</t>
  </si>
  <si>
    <t>Has Bypass cnd FINs - unique #</t>
  </si>
  <si>
    <t>Has Bypass cnd FINs</t>
  </si>
  <si>
    <t>Has Bypass cnd FINs - unique</t>
  </si>
  <si>
    <t>Fixed roof tank EPN</t>
  </si>
  <si>
    <t>Emergency Engine 1</t>
  </si>
  <si>
    <t>Emergency Engine 2</t>
  </si>
  <si>
    <t>Loading Throughput Limits</t>
  </si>
  <si>
    <t>rim mounted</t>
  </si>
  <si>
    <t>Vent to a control and meet the specific control device requirements. Fixed roof with submerged fill. Uninsulated exterior surfaces exposed to the sun shall be white or aluminum.</t>
  </si>
  <si>
    <t>Vent to a control and meet the specific control device requirements.</t>
  </si>
  <si>
    <t>White or aluminum uninsulated exterior surface exposed to the sun. Slotted guide pole fittings must have a gasketed cover, and at least 2 of the following: wiper, float, or sleeve.</t>
  </si>
  <si>
    <t>White or aluminum uninsulated exterior surface exposed to the sun.</t>
  </si>
  <si>
    <t>Pulled in BACT</t>
  </si>
  <si>
    <t>should control be listed?</t>
  </si>
  <si>
    <t>should seals be listed?</t>
  </si>
  <si>
    <t>Mechanical</t>
  </si>
  <si>
    <t>Liquid-mounted</t>
  </si>
  <si>
    <t>Vapor-mounted</t>
  </si>
  <si>
    <t xml:space="preserve"> Tank 5</t>
  </si>
  <si>
    <t>Marine Loading</t>
  </si>
  <si>
    <t>Tank Truck Loading</t>
  </si>
  <si>
    <t>Fugitives: Piping and equipment leaks</t>
  </si>
  <si>
    <t>grey if distance to property line on the tank sheet is blank</t>
  </si>
  <si>
    <t>grey if no response for control device question for floating roof tanks on MSSTank sheet</t>
  </si>
  <si>
    <t>grey if no response for control device question for fixed roof tanks on MSSTank sheet</t>
  </si>
  <si>
    <t>grey if distance to property line empty for this source's sheet</t>
  </si>
  <si>
    <t>Is vendor data for the temporary thermal oxidizer attached? Select "Not applicable" if vendor data is not relied on for temporary thermal oxidizer emission factors.</t>
  </si>
  <si>
    <t>Grey if no marine loading (inerted or non-inerted)</t>
  </si>
  <si>
    <t>All tank MSS Temp Control Devs - unique #</t>
  </si>
  <si>
    <t>All tank MSS Temp Control Devs</t>
  </si>
  <si>
    <t>All tank MSS Temp Control Devs - unique</t>
  </si>
  <si>
    <t>Control Device(s) and FIN(s)</t>
  </si>
  <si>
    <t>formula in right column</t>
  </si>
  <si>
    <t>Attachment E</t>
  </si>
  <si>
    <t>Operating Scenario 1: Routine Operations</t>
  </si>
  <si>
    <t>Operating Scenario 1: MSS Operations</t>
  </si>
  <si>
    <t>FIN &amp; Activity</t>
  </si>
  <si>
    <t>Any single tank - MSS operations</t>
  </si>
  <si>
    <t>Inherently Low-Emitting and Routine Maintenance Activities - MSS operations</t>
  </si>
  <si>
    <t>In order to demonstrate compliance with this special condition, the permit holder shall determine the dissolved hydrogen sulfide concentration of each crude product stock to be stored in the storage tanks identified above. The hydrogen sulfide concentration may be determined using method ASTM UOP163-10 or ASTM D7621-16. Any additional method of sampling method and analysis used must be approved by the TCEQ. Records of sampling results shall be kept for a period of five years.</t>
  </si>
  <si>
    <t>Units</t>
  </si>
  <si>
    <t>Drum/Tote</t>
  </si>
  <si>
    <t>MarineBarge</t>
  </si>
  <si>
    <t>MarineShip</t>
  </si>
  <si>
    <t>CAS: Emissions sent to (lb/hr)</t>
  </si>
  <si>
    <t>CAS: Emissions sent to (tpy)</t>
  </si>
  <si>
    <t>CAS: Unique product emissions (lb/hr)</t>
  </si>
  <si>
    <t>CAS: Unique product emissions (tpy)</t>
  </si>
  <si>
    <t>FLARE - TANKS</t>
  </si>
  <si>
    <t>FLARE - LOADING</t>
  </si>
  <si>
    <t>VCU - TANKS</t>
  </si>
  <si>
    <t>VCU - LOADING</t>
  </si>
  <si>
    <t>VO - LOADING</t>
  </si>
  <si>
    <t>VO - TANKS</t>
  </si>
  <si>
    <t>CAS - TANKS</t>
  </si>
  <si>
    <t>CAS - LOADING</t>
  </si>
  <si>
    <t>vapor oxidizer CEMS required?</t>
  </si>
  <si>
    <t>FLARE - SPECIATED EMISSIONS - TANKS ONLY</t>
  </si>
  <si>
    <t>VCU - SPECIATED EMISSIONS - TANKS ONLY</t>
  </si>
  <si>
    <t>VO - SPECIATED EMISSIONS - TANKS ONLY</t>
  </si>
  <si>
    <t>CAS - SPECIATED EMISSIONS - TANKS ONLY</t>
  </si>
  <si>
    <t>Flare - loading - 1hr</t>
  </si>
  <si>
    <t>VCU - loading - 1hr</t>
  </si>
  <si>
    <t>VO - loading - 1hr</t>
  </si>
  <si>
    <t>CAS - loading - 1hr</t>
  </si>
  <si>
    <t>Flare - tanks - 1hr</t>
  </si>
  <si>
    <t>VCU - tanks - 1hr</t>
  </si>
  <si>
    <t>VO - tanks - 1hr</t>
  </si>
  <si>
    <t>CAS - tanks - 1hr</t>
  </si>
  <si>
    <t>CAS Unique Designator</t>
  </si>
  <si>
    <t>Unique CAS</t>
  </si>
  <si>
    <t>Flare- pilot/supp fuel - 1-hr</t>
  </si>
  <si>
    <t>VCU - pilot/supp fuel - 1-hr</t>
  </si>
  <si>
    <t>VO - pilot/supp fuel - 1-hr</t>
  </si>
  <si>
    <t>CONTROL DEVICE SULFUR EMISSIONS</t>
  </si>
  <si>
    <t>Flare - pilot/supp fuel -  3hr</t>
  </si>
  <si>
    <t>Flare - tanks - 3hr</t>
  </si>
  <si>
    <t>Flare - loading - 3hr</t>
  </si>
  <si>
    <t>VCU - pilot/supp fuel -  3hr</t>
  </si>
  <si>
    <t>VCU - tanks - 3hr</t>
  </si>
  <si>
    <t>VCU - loading - 3hr</t>
  </si>
  <si>
    <t>VO - pilot/supp fuel -  3hr</t>
  </si>
  <si>
    <t>VO - tanks - 3hr</t>
  </si>
  <si>
    <t>VO - loading - 3hr</t>
  </si>
  <si>
    <t>CAS - tanks - 3-hr</t>
  </si>
  <si>
    <t>CAS - loading - 3hr</t>
  </si>
  <si>
    <t>Flare - pilot/supp fuel - 24hr</t>
  </si>
  <si>
    <t>Flare - tanks - 24hr</t>
  </si>
  <si>
    <t>Flare - loading - 24hr</t>
  </si>
  <si>
    <t>VCU - pilot/supp fuel - 24hr</t>
  </si>
  <si>
    <t>VCU - tanks - 24hr</t>
  </si>
  <si>
    <t>VCU - loading - 24hr</t>
  </si>
  <si>
    <t>VO - pilot/supp fuel - 24hr</t>
  </si>
  <si>
    <t>VO - tanks - 24hr</t>
  </si>
  <si>
    <t>VO - loading - 24hr</t>
  </si>
  <si>
    <t>CAS - tanks - 24hr</t>
  </si>
  <si>
    <t>CAS - loading - 24hr</t>
  </si>
  <si>
    <t>control of routine loading operations</t>
  </si>
  <si>
    <t>control of routine tank operations</t>
  </si>
  <si>
    <r>
      <t xml:space="preserve">This sheet determines emission rates for floating roof convenience landings.
Convenience roof landings are defined as routine operational events during which a floating roof is landed and the tank is subsequently refilled. No maintenance or cleaning is permitted to occur as part of a convenience roof landing event. Convenience roof landings are not MSS.
</t>
    </r>
    <r>
      <rPr>
        <b/>
        <sz val="11"/>
        <color theme="1"/>
        <rFont val="Arial"/>
        <family val="2"/>
      </rPr>
      <t>Instructions:</t>
    </r>
    <r>
      <rPr>
        <sz val="11"/>
        <color theme="1"/>
        <rFont val="Arial"/>
        <family val="2"/>
      </rPr>
      <t xml:space="preserve">
1. Read the questions in Section I and select an answer.
2. Complete the remaining sections.
3. Attach emission rate calculations for convenience roof landings for each tank and product in this project. The attachment must include all parameters required to verify emission rates.
</t>
    </r>
    <r>
      <rPr>
        <b/>
        <sz val="11"/>
        <color theme="1"/>
        <rFont val="Arial"/>
        <family val="2"/>
      </rPr>
      <t xml:space="preserve">
Important note:
</t>
    </r>
    <r>
      <rPr>
        <sz val="11"/>
        <color theme="1"/>
        <rFont val="Arial"/>
        <family val="2"/>
      </rPr>
      <t xml:space="preserve">     -Control of convenience roof landings, regardless of product stored, is a requirement of this RAP.
</t>
    </r>
  </si>
  <si>
    <t>Instructions:
(1) Input emissions of VOC vented directly to the atmosphere during uncontrolled phases of the landing.
(2) Input emissions from the control device.</t>
  </si>
  <si>
    <t>This sheet reviews the impacts from this project. The permit application is not eligible for a RAP-MarineLoading if any pollutants do not have acceptable impacts using the technique provided on this sheet. Adjustments to EPN inputs may be required to have acceptable impacts.
Instructions:
1. Answer the questions in columns D and E of Section V. The rest of the information is determined from inputs on previous sheets.
2. If impacts are not acceptable (see Summary), then adjust the inputs on the source sheets until impacts are acceptable for all species
Notes:
-It is assumed that 100% of NOx emissions from this project are NO2.</t>
  </si>
  <si>
    <t>Scenario 1: Routine Operations for 1-, 3-, 8-, and 24-hr Averaging Periods</t>
  </si>
  <si>
    <t>Scenario 2: MSS Operations for 1-, 3-, 8-, and 24-hr Averaging Periods</t>
  </si>
  <si>
    <t>Scenario 1 combined concentration (µg/m3)</t>
  </si>
  <si>
    <t>Scenario 2 combined concentration (µg/m3)</t>
  </si>
  <si>
    <t>CAS numbers used</t>
  </si>
  <si>
    <t>Highest true vapor pressure of all products to be loaded (psia at maximum temperature)</t>
  </si>
  <si>
    <t>Must be equal to the highest value in column I of section III</t>
  </si>
  <si>
    <t>Allowable Operating Scenarios for 1-hr, 3-hr, 8-hr, and 24-hr Averaging Periods*</t>
  </si>
  <si>
    <r>
      <t xml:space="preserve">This sheet details tank MSS specifications and determines emission rates.
</t>
    </r>
    <r>
      <rPr>
        <b/>
        <sz val="11"/>
        <color theme="1"/>
        <rFont val="Arial"/>
        <family val="2"/>
      </rPr>
      <t>Instructions:</t>
    </r>
    <r>
      <rPr>
        <sz val="11"/>
        <color theme="1"/>
        <rFont val="Arial"/>
        <family val="2"/>
      </rPr>
      <t xml:space="preserve">
1. Complete all sections below. Note: Annual emissions must reflect the tons emitted per event multiplied by the number events per year.
2. Attach emission rate calculations for tank cleanings and roof landings for each tank and product in this project. The attachment must include all parameters required to verify emission rates.</t>
    </r>
  </si>
  <si>
    <t>*These operating scenarios do not inhibit what emission activities may occur over a rolling 12-month period.</t>
  </si>
  <si>
    <t>A volume of purge gas equivalent to twice the volume of the vapor space under the floating roof must have passed through the control device or into a controlled recovery system, before the vent stream may be sampled to verify acceptable VOC concentration.  The measurement of purge gas volume shall not include any make-up air introduced into the control device or recovery system.  The VOC sampling and analysis shall be performed as specified in the Special Condition 60.</t>
  </si>
  <si>
    <t>Stop ventilation and close the tank for at least 24 hours.  When the tank manway is opened after this period, verify VOC concentration is less than 1000 ppmv through the procedure in Special Condition 60.</t>
  </si>
  <si>
    <t>Control Devices Authorized</t>
  </si>
  <si>
    <t>Control Devices Authorized - Unique Number</t>
  </si>
  <si>
    <t>Control Devices for ConvenienceLand and TankMSS</t>
  </si>
  <si>
    <t>Control Devices for TankMSS</t>
  </si>
  <si>
    <t>Control Devices for Tank and Loading Sheets</t>
  </si>
  <si>
    <t>This project is to authorize new facilities or modifications to existing facilities associated with marine loading operations. The project modifies or adds tanks, loading operations, and fugitive components, as well as the associated control devices, combustion devices, and MSS. Each of the new and/or modified sources are described below.</t>
  </si>
  <si>
    <t>A. 30 TAC Chapter 101 - General Air Quality Rules</t>
  </si>
  <si>
    <t>B. 30 TAC Chapter 111 - Control of Air Pollution from Visible Emissions and Particulate Matter</t>
  </si>
  <si>
    <t>C. 30 TAC Chapter 112 - Control of Air Pollution from Sulfur Compounds</t>
  </si>
  <si>
    <t>D. 30 TAC Chapter 115 - Control of Air Pollution from Volatile Organic Compounds</t>
  </si>
  <si>
    <t>E. 30 TAC Chapter 117 - Control of Air Pollution from Nitrogen Compounds</t>
  </si>
  <si>
    <t>Will post-project, site-wide emissions of any single HAP amount to greater than or equal to 10 tpy?</t>
  </si>
  <si>
    <t>Will post-project, site-wide emissions of any combination of HAP amount to greater than or equal to 25 tpy?</t>
  </si>
  <si>
    <t>What is the maximum proposed dissolved hydrogen sulfide content in any crude product stored on-site (ppmw)?</t>
  </si>
  <si>
    <r>
      <t xml:space="preserve">This sheet provides general information needed by TCEQ APD and is required for this RAP.
</t>
    </r>
    <r>
      <rPr>
        <b/>
        <sz val="11"/>
        <color theme="1"/>
        <rFont val="Arial"/>
        <family val="2"/>
      </rPr>
      <t>Instructions:</t>
    </r>
    <r>
      <rPr>
        <sz val="11"/>
        <color theme="1"/>
        <rFont val="Arial"/>
        <family val="2"/>
      </rPr>
      <t xml:space="preserve">
1. Complete all applicable sections below.
</t>
    </r>
    <r>
      <rPr>
        <b/>
        <sz val="11"/>
        <color rgb="FFC00000"/>
        <rFont val="Arial"/>
        <family val="2"/>
      </rPr>
      <t>2. An original signature and hard copy submittal is required for this sheet, unless submitted through STEERS.</t>
    </r>
  </si>
  <si>
    <t>CN: The CN is a unique number given to each business, governmental body, association, individual, or other entity that owns, operates, is responsible for, or is affiliated with a regulated entity. We assign the CN when a Core Data Form is initially submitted to the Central Registry.</t>
  </si>
  <si>
    <t>RN: The RN is a unique agency-assigned number given to each person, organization, place, or thing that is of environmental interest to us and where regulated activities will occur. The RN is assigned when a Core Data Form is initially submitted to the Central Registry, if the agency has conducted an investigation, or if the agency has issued an enforcement action. The RN replaces existing air account numbers. The RN for portable units is assigned to the unit itself, and that same RN should be used when applying for an authorization at a different location.</t>
  </si>
  <si>
    <r>
      <t xml:space="preserve">E. Tank Cleaning/Sludge Removal Emissions
</t>
    </r>
    <r>
      <rPr>
        <sz val="11"/>
        <color theme="1"/>
        <rFont val="Arial"/>
        <family val="2"/>
      </rPr>
      <t>Note: The emissions represented here should include all tank cleaning and sludge removal activities. Any vacuum and air mover truck emissions should be included here.</t>
    </r>
  </si>
  <si>
    <r>
      <t xml:space="preserve">D. Tank Cleaning/Sludge Removal Emissions
</t>
    </r>
    <r>
      <rPr>
        <sz val="11"/>
        <color theme="1"/>
        <rFont val="Arial"/>
        <family val="2"/>
      </rPr>
      <t>Note: The emissions represented here should include all tank cleaning and sludge removal activities. Any vacuum and air mover truck emissions should be included here.</t>
    </r>
  </si>
  <si>
    <t>The calorimeter shall be calibrated, installed, operated, and maintained, in accordance with manufacturer recommendations, to continuously measure and record the net heating value of the gas sent to the flare, in Btu/scf of the gas.</t>
  </si>
  <si>
    <t>Abbreviations</t>
  </si>
  <si>
    <t>Abbreviation</t>
  </si>
  <si>
    <t>Definition</t>
  </si>
  <si>
    <t>ADMT</t>
  </si>
  <si>
    <t>Air Dispersion Modeling Team</t>
  </si>
  <si>
    <t>AM</t>
  </si>
  <si>
    <t>annual monitoring</t>
  </si>
  <si>
    <t>APD</t>
  </si>
  <si>
    <t>Air Permits Division</t>
  </si>
  <si>
    <t>APDG</t>
  </si>
  <si>
    <t>Air Permit Reviewer Reference Guide</t>
  </si>
  <si>
    <t>API</t>
  </si>
  <si>
    <t>American Petroleum Institute</t>
  </si>
  <si>
    <t>APIRT</t>
  </si>
  <si>
    <t>Air Permits Initial Review Team</t>
  </si>
  <si>
    <t>APWL</t>
  </si>
  <si>
    <t>Air Pollutant Watch List</t>
  </si>
  <si>
    <t>ASTM</t>
  </si>
  <si>
    <t>American Society for Testing and Materials</t>
  </si>
  <si>
    <t>bbl</t>
  </si>
  <si>
    <t>barrel</t>
  </si>
  <si>
    <t>bhp</t>
  </si>
  <si>
    <t>brake horsepower</t>
  </si>
  <si>
    <t>Btu</t>
  </si>
  <si>
    <t>British thermal units</t>
  </si>
  <si>
    <t>Celsius</t>
  </si>
  <si>
    <t>CAM</t>
  </si>
  <si>
    <t>compliance assurance monitoring</t>
  </si>
  <si>
    <t>carbon adsorption unit</t>
  </si>
  <si>
    <t>Chemical Abstracts Service number</t>
  </si>
  <si>
    <t>CEMS</t>
  </si>
  <si>
    <t>continuous emissions monitoring system</t>
  </si>
  <si>
    <t>CFR</t>
  </si>
  <si>
    <t>Code of Federal Regulations</t>
  </si>
  <si>
    <t>CGA</t>
  </si>
  <si>
    <t>cylinder gas audits</t>
  </si>
  <si>
    <t>CN</t>
  </si>
  <si>
    <t>customer number</t>
  </si>
  <si>
    <t>DOT</t>
  </si>
  <si>
    <t>Department of Transportation</t>
  </si>
  <si>
    <t>DRE</t>
  </si>
  <si>
    <t>destruction efficiency</t>
  </si>
  <si>
    <t>dscf</t>
  </si>
  <si>
    <t>dry standard cubic feet</t>
  </si>
  <si>
    <t>DTM</t>
  </si>
  <si>
    <t>difficult-to-monitor</t>
  </si>
  <si>
    <t>EPA</t>
  </si>
  <si>
    <t>Environmental Protection Agency</t>
  </si>
  <si>
    <t>emission point number</t>
  </si>
  <si>
    <t>ESL</t>
  </si>
  <si>
    <t>Effects Screening Levels</t>
  </si>
  <si>
    <t>Fahrenheit</t>
  </si>
  <si>
    <t>FID</t>
  </si>
  <si>
    <t>flame ionization detector</t>
  </si>
  <si>
    <t>facility identification number</t>
  </si>
  <si>
    <t>fps</t>
  </si>
  <si>
    <t>feet per second</t>
  </si>
  <si>
    <t>ft</t>
  </si>
  <si>
    <t>feet</t>
  </si>
  <si>
    <t>gal</t>
  </si>
  <si>
    <t>gallon</t>
  </si>
  <si>
    <t>gr</t>
  </si>
  <si>
    <t>grains</t>
  </si>
  <si>
    <t>HAP</t>
  </si>
  <si>
    <t>hazardous air pollutants</t>
  </si>
  <si>
    <t>hr</t>
  </si>
  <si>
    <t>hour</t>
  </si>
  <si>
    <t>lb</t>
  </si>
  <si>
    <t>pound</t>
  </si>
  <si>
    <t>m3</t>
  </si>
  <si>
    <t>cubic meter</t>
  </si>
  <si>
    <t>MAERT</t>
  </si>
  <si>
    <t>Maximum Allowable Emission Rate Table</t>
  </si>
  <si>
    <t>min</t>
  </si>
  <si>
    <t>minute</t>
  </si>
  <si>
    <t>MM</t>
  </si>
  <si>
    <t>million</t>
  </si>
  <si>
    <t>maintenance, startup, and shutdown</t>
  </si>
  <si>
    <t>MTBE</t>
  </si>
  <si>
    <t>methyl tertiary butyl ether</t>
  </si>
  <si>
    <t>National Ambient Air Quality Standards</t>
  </si>
  <si>
    <t>NAICS</t>
  </si>
  <si>
    <t>North American Industry Classification System</t>
  </si>
  <si>
    <t>NO2</t>
  </si>
  <si>
    <t>NSR</t>
  </si>
  <si>
    <t>New Source Review</t>
  </si>
  <si>
    <t>O2</t>
  </si>
  <si>
    <t>oxygen</t>
  </si>
  <si>
    <t>particulate matter equal to or less than 10 microns in diameter</t>
  </si>
  <si>
    <t>particulate matter equal to or less than 2.5 microns in diameter</t>
  </si>
  <si>
    <t>ppmv</t>
  </si>
  <si>
    <t>parts per million by volume</t>
  </si>
  <si>
    <t>ppmw</t>
  </si>
  <si>
    <t>parts per million by weight</t>
  </si>
  <si>
    <t>PSD</t>
  </si>
  <si>
    <t>Prevention of Significant Deterioration</t>
  </si>
  <si>
    <t>psia</t>
  </si>
  <si>
    <t>pounds per square inch absolute</t>
  </si>
  <si>
    <t>psig</t>
  </si>
  <si>
    <t>pounds per square inch gauge</t>
  </si>
  <si>
    <t>PTE</t>
  </si>
  <si>
    <t>potential to emit</t>
  </si>
  <si>
    <t>RAP</t>
  </si>
  <si>
    <t>Readily Available Permit</t>
  </si>
  <si>
    <t>RF</t>
  </si>
  <si>
    <t>response factor</t>
  </si>
  <si>
    <t>RN</t>
  </si>
  <si>
    <t>regulated entity number</t>
  </si>
  <si>
    <t>RVP</t>
  </si>
  <si>
    <t>Reid vapor pressure</t>
  </si>
  <si>
    <t>scf</t>
  </si>
  <si>
    <t>standard cubic feet</t>
  </si>
  <si>
    <t>SIC</t>
  </si>
  <si>
    <t>Standard Industrial Classification</t>
  </si>
  <si>
    <t>SIL</t>
  </si>
  <si>
    <t>significant impact level</t>
  </si>
  <si>
    <t>State Property Line Standards</t>
  </si>
  <si>
    <t>State of Texas Environmental Electronic Reporting System</t>
  </si>
  <si>
    <t>TAC</t>
  </si>
  <si>
    <t>Texas Administrative Code</t>
  </si>
  <si>
    <t>TCEQ</t>
  </si>
  <si>
    <t>Texas Commission on Environmental Quality</t>
  </si>
  <si>
    <t>THSC</t>
  </si>
  <si>
    <t>Texas Health and Safety Code</t>
  </si>
  <si>
    <t>tons per year</t>
  </si>
  <si>
    <t>TVP</t>
  </si>
  <si>
    <t>true vapor pressure</t>
  </si>
  <si>
    <t>ug</t>
  </si>
  <si>
    <t>microgram</t>
  </si>
  <si>
    <t>UIM</t>
  </si>
  <si>
    <t>unit impact multiplier</t>
  </si>
  <si>
    <t>ULSD</t>
  </si>
  <si>
    <t>ultra-low sulfur diesel</t>
  </si>
  <si>
    <t>USGS</t>
  </si>
  <si>
    <t>United States Geological Survey</t>
  </si>
  <si>
    <t>UTM</t>
  </si>
  <si>
    <t>Universal Transverse Mercator</t>
  </si>
  <si>
    <t>vapor combustion unit</t>
  </si>
  <si>
    <t>volatile organic compounds</t>
  </si>
  <si>
    <t>This reference sheet defines abbreviations used in this RAP.</t>
  </si>
  <si>
    <t>Instructions &amp; Reference Sheets</t>
  </si>
  <si>
    <t>0.5 minimum; 1.00 maximum</t>
  </si>
  <si>
    <t>The site is considered a major source for Title V purposes. A Title V permit is required prior to operation.</t>
  </si>
  <si>
    <t>drum</t>
  </si>
  <si>
    <t>truck</t>
  </si>
  <si>
    <t>rail</t>
  </si>
  <si>
    <t>barge</t>
  </si>
  <si>
    <t>ship</t>
  </si>
  <si>
    <t>heater/boiler1</t>
  </si>
  <si>
    <t>heater/boiler2</t>
  </si>
  <si>
    <t>For currently authorized control devices: the permanent VCU, permanent vapor oxidizer, temporary VCU, and/or temporary thermal oxidizer has PM, PM10, and PM2.5 quantified in the existing permit. Additionally, if sulfur compounds or hydrogen sulfide are present in the unit's fuel, pilot light fuel, or waste streams controlled by the unit, then SO2 and H2S are quantified in the existing permit. Select "Not applicable" if these are not existing sources.</t>
  </si>
  <si>
    <t>F. Are emission calculations attached demonstrating HAP emissions associated with this project will not cause site-wide HAP emissions to equal or exceed 10 tpy of any single HAP or 25 tpy of any combination of HAP?</t>
  </si>
  <si>
    <t>If an approved tank emission calculation software was used, are the input and output files attached?</t>
  </si>
  <si>
    <t>Example 2 - Motor Gasoline RVP 7</t>
  </si>
  <si>
    <t>Example 1 - Crude Oil RVP 8</t>
  </si>
  <si>
    <t>Does the attachment address all tank maintenance including fixed roof tank MSS and MSS roof landings?</t>
  </si>
  <si>
    <t>Does the attachment include any products not represented in the tank sheets of this application workbook?</t>
  </si>
  <si>
    <t>A. Is confidential information submitted with this application?</t>
  </si>
  <si>
    <t>Subpart CCCCCC: National Emission Standards for Hazardous Air Pollutants for Source Category: Gasoline Dispensing Facilities</t>
  </si>
  <si>
    <t>https://www.tceq.texas.gov/permitting/air/confidential.html</t>
  </si>
  <si>
    <t>Out of all stored products, maximum possible true vapor pressure at maximum liquid surface temperature (psia)</t>
  </si>
  <si>
    <t>Out of all stored products, minimum possible true vapor pressure at minimum liquid surface temperature (psia)</t>
  </si>
  <si>
    <t>Mixing of products that results in a chemical reaction is not authorized as part of this project.</t>
  </si>
  <si>
    <t>All fixed and floating roof tank degassing during MSS or convenience roof landings, regardless of the product stored in the tank, must be controlled by a permanent or temporary control device represented in this workbook. Select "Not applicable" if this activity is not part of this project.</t>
  </si>
  <si>
    <t>If yes, the project does not qualify for this RAP.</t>
  </si>
  <si>
    <t>The signature below confirms that I have knowledge of the facts included in this application and that these facts are true and correct to the best of my knowledge and belief. I further state that to the best of my knowledge and belief, the project for which application is made will not in any way violate any provision of the Texas Water Code (TWC), Chapter 7; the Texas Health and Safety Code, Chapter 382, the Texas Clean Air Act (TCAA), the air quality rules of the Texas Commission on Environmental Quality; or any local governmental ordinance or resolution enacted pursuant to the TCAA. I further state that I understand my signature indicates that this application meets all applicable nonattainment, prevention of significant deterioration, or major source of hazardous air pollutant permitting requirements. The signature further signifies awareness that intentionally or knowingly making or causing to be made false material statements or representations in the application is a criminal offense subject to criminal penalties.</t>
  </si>
  <si>
    <t>Capacity (gal)</t>
  </si>
  <si>
    <t>What is the proposed liquid weight percent of MTBE in the gasoline stored?</t>
  </si>
  <si>
    <t>What is the proposed liquid weight percent of benzene in the gasoline stored?</t>
  </si>
  <si>
    <t>Is vendor data for heater/boiler 2 attached? Select "Not applicable" if vendor data is not relied on for heater/boiler 2 emission factors.</t>
  </si>
  <si>
    <t>Is vendor data for heater/boiler 1 attached? Select "Not applicable" if vendor data is not relied on for heater/boiler 1 emission factors.</t>
  </si>
  <si>
    <t>[3] If hourly, emission factor for sampling connections is in terms of pounds per hour per sample taken. If annual, emission factor for sampling connections is in terms of pounds per year per sample taken.</t>
  </si>
  <si>
    <t>https://www.tceq.texas.gov/permitting/central_registry/guidance.html</t>
  </si>
  <si>
    <t>The project itself does not exceed PSD or Nonattainment major source thresholds. For existing major sources, the project does not require a netting analysis.</t>
  </si>
  <si>
    <r>
      <t xml:space="preserve">The owner or operator of the facility must apply for authority to construct. The appropriate company official (owner, plant manager, president, vice president, or environmental director) must sign all copies of the application. The applicant’s consultant cannot sign the application. </t>
    </r>
    <r>
      <rPr>
        <b/>
        <sz val="11"/>
        <color theme="1"/>
        <rFont val="Arial"/>
        <family val="2"/>
      </rPr>
      <t>Important Note: Unless submitting through STEERS, signatures must be original in ink, not reproduced by photocopy, fax, or other means, and must be received before any permit is issued.</t>
    </r>
  </si>
  <si>
    <t>Instructions:
(1) Input emissions of VOC vented directly to the atmosphere during uncontrolled phases of the landing.
(2) Input post-control emissions from the control device.</t>
  </si>
  <si>
    <t>Maximum Fill/Withdrawal Rate (bbl/hr)</t>
  </si>
  <si>
    <t>Rolling 12-month Throughput (bbl/yr)</t>
  </si>
  <si>
    <t>The permit holder must comply with all of the following, as listed in this workbook:
     -Emission sources and rates;
     -BACT;
     -Impacts Analysis;
     -Special Conditions;
     -Representations made in this application workbook.</t>
  </si>
  <si>
    <r>
      <t>Pollutant</t>
    </r>
    <r>
      <rPr>
        <sz val="11"/>
        <color theme="1"/>
        <rFont val="Arial"/>
        <family val="2"/>
      </rPr>
      <t xml:space="preserve">
Note: NOx and CO proposed emission factors are limited by BACT.</t>
    </r>
  </si>
  <si>
    <t>SOCMI w/ C2</t>
  </si>
  <si>
    <t>Is this an application for a minor permit amendment? Note: major permit amendments do not meet the criteria of this RAP.</t>
  </si>
  <si>
    <t>Float MSS Control Devs - unique #</t>
  </si>
  <si>
    <t>Float MSS Control Devs</t>
  </si>
  <si>
    <t>Float MSS Control Devs - unique</t>
  </si>
  <si>
    <t>Fixed MSS Control Devs - unique #</t>
  </si>
  <si>
    <t>Fixed MSS Control Devs</t>
  </si>
  <si>
    <t>Fixed MSS Control Devs - unique</t>
  </si>
  <si>
    <t>Will convenience roof landings be modified or newly authorized as part of this project?</t>
  </si>
  <si>
    <t>To find your local air pollution control programs use the link in Section V of this sheet.</t>
  </si>
  <si>
    <t>This row is optional. If you do not think the table below accurately represents public notice applicability increases for your project, provide discussion here (1000 characters maximum).</t>
  </si>
  <si>
    <t>1-hr
(µg/m3 per lb/hr)</t>
  </si>
  <si>
    <t>3-hr
(µg/m3 per lb/hr)</t>
  </si>
  <si>
    <t>8-hr
(µg/m3 per lb/hr)</t>
  </si>
  <si>
    <t>24-hr
(µg/m3 per lb/hr)</t>
  </si>
  <si>
    <t>Annual
(µg/m3 per lb/hr)</t>
  </si>
  <si>
    <t>The table below lays out each authorized operating scenario for this permit. An "X" indicates that emission source and activity may occur under the specified scenario. Scenario 1 and 2 are apply to the 1-hr, 3-hr, 8-hr, and 24-hr averaging periods. As such, during those periods, actual operations at the site must comply with one of the two scenarios. The only modification to operating scenarios allowed is halting emissions from an operating source and activity. Halting emissions from an operating source and activity does not authorize an increase of emissions from other emission sources or activities. For example, if Scenario 1 is underway and railcar loading is not occurring, this does not allow higher emissions from tank routine emissions.</t>
  </si>
  <si>
    <t>Scenario 1 Combined Concentration
(µg/m3)</t>
  </si>
  <si>
    <t>Scenario 2 Combined Concentration
(µg/m3)</t>
  </si>
  <si>
    <t>Annual Averaging Period Combined Concentration
(µg/m3)</t>
  </si>
  <si>
    <t>Regular, Certified, Priority Mail
MC 214, P.O. Box 13088, Austin, Texas 78711-3088
or
Hand Delivery, Overnight Mail
Mail Code 214, 12100 Park 35 Circle, Building A, Third Floor, Austin, Texas 78753
Note: The official application cannot be faxed.</t>
  </si>
  <si>
    <t>Subpart ZZZZ: National Emissions Standards for Hazardous Air Pollutants for Stationary Reciprocating Internal Combustion Engines</t>
  </si>
  <si>
    <t>Subpart DDDDD: National Emission Standards for Hazardous Air Pollutant for Industrial, Commercial, and Institutional Boilers and Process Heaters (major sources)</t>
  </si>
  <si>
    <t>Gray if no landings authorized
Formula</t>
  </si>
  <si>
    <t>new tanks only</t>
  </si>
  <si>
    <t>IV. Impacts Analysis for NAAQS and SPLS Pollutants</t>
  </si>
  <si>
    <r>
      <t xml:space="preserve">This sheet contains all products approved for storage and/or loading through this RAP along with all fuel types approved for combustion devices in this RAP. </t>
    </r>
    <r>
      <rPr>
        <b/>
        <sz val="11"/>
        <color rgb="FFC00000"/>
        <rFont val="Arial"/>
        <family val="2"/>
      </rPr>
      <t>This sheet must be completed because products and corresponding information listed here will be utilized throughout the workbook.</t>
    </r>
    <r>
      <rPr>
        <sz val="11"/>
        <color theme="1"/>
        <rFont val="Arial"/>
        <family val="2"/>
      </rPr>
      <t xml:space="preserve">
</t>
    </r>
    <r>
      <rPr>
        <b/>
        <sz val="11"/>
        <color theme="1"/>
        <rFont val="Arial"/>
        <family val="2"/>
      </rPr>
      <t>Instructions:</t>
    </r>
    <r>
      <rPr>
        <sz val="11"/>
        <color theme="1"/>
        <rFont val="Arial"/>
        <family val="2"/>
      </rPr>
      <t xml:space="preserve">
1. Complete Section I - Fuel Gas Specifications. Many of the common constituents of fuel gas are not in the Toxicity Factor Database and therefore will not be in the CAS number list. Instead, please select the CAS number for either "natural gas, dried" or "natural gasoline" and add other fuel gas constituents as needed.
2. Review the examples in Section II.
3. Using the examples as a guide, complete Section III.
     (a) Fill in columns A through E, G, and H for each product. 
               -Only 10 products are allowed. If less than 10 products will be authorized, leave the extra rows blank.
               -Product name must be between 2 and 100 characters long (including spaces).
               -Once moving beyond this sheet, avoid changing product names. If a product name is changed after filling out the rest of the application, you must return to other sheets involving that product and select the updated name.
     (b) In column E, </t>
    </r>
    <r>
      <rPr>
        <b/>
        <sz val="11"/>
        <color theme="1"/>
        <rFont val="Arial"/>
        <family val="2"/>
      </rPr>
      <t>list all relevant CAS numbers for each product</t>
    </r>
    <r>
      <rPr>
        <sz val="11"/>
        <color theme="1"/>
        <rFont val="Arial"/>
        <family val="2"/>
      </rPr>
      <t xml:space="preserve">. Only 10 CAS numbers per product are allowed. If less than 10 CAS numbers are necessary, leave the extra rows blank. Do not list the same CAS number more than once per product.
</t>
    </r>
    <r>
      <rPr>
        <b/>
        <sz val="11"/>
        <color theme="1"/>
        <rFont val="Arial"/>
        <family val="2"/>
      </rPr>
      <t>Notes on CAS numbers:</t>
    </r>
    <r>
      <rPr>
        <sz val="11"/>
        <color theme="1"/>
        <rFont val="Arial"/>
        <family val="2"/>
      </rPr>
      <t xml:space="preserve">
     -The "Species" sheet can be used to find CAS numbers.
     -If a species has no CAS number, identify the species name using the instructions on the "Species" sheet. Then, enter the species name in the CAS Number(s) column.
     -If the site is located in an agricultural area, use the appropriate CAS number. For example, acetyl fluoride has three versions: "acetyl fluoride", "acetyl fluoride (for air permit reviews in agricultural areas)", and "acetyl fluoride (For air permit reviews in agricultural areas with cattle)".</t>
    </r>
  </si>
  <si>
    <t>Maximum possible lower heating value of waste stream, 1-hr averaging period (Btu/scf)</t>
  </si>
  <si>
    <t>Consider all products that will be routed to the flare and choose the maximum possible LHV.</t>
  </si>
  <si>
    <t>Consider all products that will be routed to the flare and calculate the average LHV.</t>
  </si>
  <si>
    <r>
      <t xml:space="preserve">This sheet details vapor combustion unit specifications and determines emission rates.
</t>
    </r>
    <r>
      <rPr>
        <b/>
        <sz val="11"/>
        <color theme="1"/>
        <rFont val="Arial"/>
        <family val="2"/>
      </rPr>
      <t>Instructions:</t>
    </r>
    <r>
      <rPr>
        <sz val="11"/>
        <color theme="1"/>
        <rFont val="Arial"/>
        <family val="2"/>
      </rPr>
      <t xml:space="preserve">
1. Complete all information below.
2. Species and emission rates will be compiled from the representations made on the tank and loading sheets.
3. If using vendor data for any emission factor, provide the specifications as an attachment to the application.
Important note:
-For existing permits only, if the current MAERT reflects worst-case pilot and/or supplemental fuel emissions, entering zero for proposed increase in pilot and/or supplemental fuel flow rate is acceptable.
-Emission rates do not include emissions from control of MSS or tank roof convenience landings.</t>
    </r>
  </si>
  <si>
    <r>
      <t xml:space="preserve">This sheet details vapor oxidizer specifications and determines emission rates.
</t>
    </r>
    <r>
      <rPr>
        <b/>
        <sz val="11"/>
        <color theme="1"/>
        <rFont val="Arial"/>
        <family val="2"/>
      </rPr>
      <t>Instructions:</t>
    </r>
    <r>
      <rPr>
        <sz val="11"/>
        <color theme="1"/>
        <rFont val="Arial"/>
        <family val="2"/>
      </rPr>
      <t xml:space="preserve">
1. Complete all information below.
2. Species and emission rates will be compiled from the representations made on the tank and loading sheets.
3. If using vendor data for any emission factor, provide the specifications as an attachment to the application.
</t>
    </r>
    <r>
      <rPr>
        <b/>
        <sz val="11"/>
        <color theme="1"/>
        <rFont val="Arial"/>
        <family val="2"/>
      </rPr>
      <t>Important notes:</t>
    </r>
    <r>
      <rPr>
        <sz val="11"/>
        <color theme="1"/>
        <rFont val="Arial"/>
        <family val="2"/>
      </rPr>
      <t xml:space="preserve">
-For existing permits only, if the current MAERT already reflects worst-case pilot fuel emissions, entering zero for proposed increase in pilot fuel flow rate is acceptable.
-Emission rates do not include emissions from control of MSS or tank roof convenience landings.</t>
    </r>
  </si>
  <si>
    <r>
      <t xml:space="preserve">This sheet details flare specifications and determines emission rates.
</t>
    </r>
    <r>
      <rPr>
        <b/>
        <sz val="11"/>
        <color theme="1"/>
        <rFont val="Arial"/>
        <family val="2"/>
      </rPr>
      <t>Instructions:</t>
    </r>
    <r>
      <rPr>
        <sz val="11"/>
        <color theme="1"/>
        <rFont val="Arial"/>
        <family val="2"/>
      </rPr>
      <t xml:space="preserve">
1. Complete all information below. Only sections I and II require applicant input.
2. Species and emission rates will be compiled from the representations made on the tank and loading sheets.
3. If using vendor data for any emission factor, provide the specifications as an attachment to the application.
4. Provide representations for how the composition analyzer or calorimeter calibration checks will be performed.
</t>
    </r>
    <r>
      <rPr>
        <b/>
        <sz val="11"/>
        <color theme="1"/>
        <rFont val="Arial"/>
        <family val="2"/>
      </rPr>
      <t xml:space="preserve">
Important notes:
</t>
    </r>
    <r>
      <rPr>
        <sz val="11"/>
        <color theme="1"/>
        <rFont val="Arial"/>
        <family val="2"/>
      </rPr>
      <t>-If the flare has multiple VOC destruction efficiencies depending on VOC type, enter the lowest percentage.
-For existing permits only, if the current MAERT reflects worst-case pilot and/or supplemental fuel emissions, entering zero for proposed increase in pilot and/or supplemental fuel flow rate is acceptable.
-Emission rates do not include emissions from control of MSS or tank roof convenience landings.</t>
    </r>
  </si>
  <si>
    <t>Post-control annual (tpy)</t>
  </si>
  <si>
    <t>=IF($E$6="new",0,IFERROR(VLOOKUP($A56,Products!$E$8:$H$17,4,FALSE)*$E$44,0)</t>
  </si>
  <si>
    <r>
      <t xml:space="preserve">Pollutant
</t>
    </r>
    <r>
      <rPr>
        <sz val="11"/>
        <color theme="1"/>
        <rFont val="Arial"/>
        <family val="2"/>
      </rPr>
      <t>Note: NOx and CO proposed emission factors are limited by BACT.</t>
    </r>
  </si>
  <si>
    <r>
      <t xml:space="preserve">Source of emission factor
</t>
    </r>
    <r>
      <rPr>
        <sz val="11"/>
        <color theme="1"/>
        <rFont val="Arial"/>
        <family val="2"/>
      </rPr>
      <t>Note: Units may need to be converted depending on source.</t>
    </r>
  </si>
  <si>
    <r>
      <t xml:space="preserve">This sheet details sources of fugitive emissions and determines the emission rates.
TCEQ APDG 6422 (Air Permit Technical Guidance for Chemical Sources Fugitive Guidance) dated June 2018 provides a detailed explanation of terms, concepts, and guidance on the use of appropriate emission factors, control efficiencies, and fugitive monitoring programs.
</t>
    </r>
    <r>
      <rPr>
        <b/>
        <sz val="11"/>
        <color theme="1"/>
        <rFont val="Arial"/>
        <family val="2"/>
      </rPr>
      <t xml:space="preserve">Instructions:
</t>
    </r>
    <r>
      <rPr>
        <sz val="11"/>
        <color theme="1"/>
        <rFont val="Arial"/>
        <family val="2"/>
      </rPr>
      <t xml:space="preserve">1. Complete all blank cells in Sections I, II, III, and IV.
2. Section V calculates the emission rates for each component type.
    A. Enter the component counts.
    B. The agency pre-approved emission factors and/or control efficiencies in Sections II and III will be populated automatically for each component. 
3. Provide speciation totaling 100% in Section VI.
    A. Enter the CAS number for each species using either the drop down list or typing the number. The name of chemical species will be automatically populated.
    B. Some species do not have CAS numbers. For this situation select the species name rather than the CAS number. For more detailed instructions, see the "Species" sheet.
</t>
    </r>
    <r>
      <rPr>
        <b/>
        <sz val="11"/>
        <color theme="1"/>
        <rFont val="Arial"/>
        <family val="2"/>
      </rPr>
      <t>Notes:</t>
    </r>
    <r>
      <rPr>
        <sz val="11"/>
        <color theme="1"/>
        <rFont val="Arial"/>
        <family val="2"/>
      </rPr>
      <t xml:space="preserve">
- Petroleum Marketing Terminal and Refinery factors are not available for this RAP.
- 28VHP, 28MID, and 28LAER are the only LDAR programs available for this RAP.
- New sites: the counting of fugitive components should be represented to the best estimate. An as-built project may be submitted later to reflect the true counting of the fugitive components.
- Existing sites: the counting of fugitive components should reflect the actual increase in number of fugitive components and no buffer is allowed.</t>
    </r>
  </si>
  <si>
    <t>Will tank MSS activities be modified or newly authorized via this project?</t>
  </si>
  <si>
    <t>This sheet provides emission summaries of the proposed project.
Instructions:
1. In Section I, the proposed emission rate or emission rate increase for each source will be automatically populated from data entered on previous sheets.
2. In Section II, enter the current annual emission rate for each source. For initial permit actions, enter 0 for these values. For amendments, use the annual emission rate from your current MAERT.</t>
  </si>
  <si>
    <t>The closed vent system shall be designed to collect all VOC vapors and gases discharged from the storage vessel and operated with no detectable emissions as indicated by an instrument reading of less than 500 ppm above background and visual inspections, as determined in 40 CFR Part 60, Subpart VV, § 60.485(b).</t>
  </si>
  <si>
    <t>The permit holder shall not allow a gasoline tank truck to be filled unless certification has been presented indicating that the truck has passed a vapor tightness test within the past 12 months conforming to the requirements of 40 CFR Part 60, Subpart XX.</t>
  </si>
  <si>
    <t>The permit holder shall not allow a gasoline tank truck to be filled unless certification has been presented indicating that the truck has passed a vapor tightness test within the past 12 months conforming to the requirements of 40 CFR Part 63, Subpart R.</t>
  </si>
  <si>
    <t>The following additional requirements apply to loading of a VOC which has a vapor pressure equal to or greater than 0.5 pounds per square inch absolute (psia) under actual storage conditions onto inerted marine vessels (ships).</t>
  </si>
  <si>
    <t>The CEMS shall meet the design and performance specifications, pass the field tests, and meet the installation requirements and the data analysis and reporting requirements specified in the applicable Performance Specification Nos. 1 through 9, 40 CFR Part 60, Appendix B.  If there are no applicable performance specifications in 40 CFR Part 60, Appendix B, contact the TCEQ Office of Air, Air Permits Division for requirements to be met.</t>
  </si>
  <si>
    <t>The CEMS shall meet the design and performance specifications, pass the field tests, meet the installation requirements, and complete the data analysis and reporting requirements specified in Performance Specification 8A, 40 CFR Part 60, Appendix B.
The system shall be zeroed and spanned daily when the CAS is in operation, and corrective action taken when the 24-hour calibration drift exceeds two times the amounts specified in Performance Specification 8A. The CEMS shall be considered out-of-control, as defined in 40 CFR Part 60, Appendix F, Section 4.3.1, if the daily zero or span calibration drift checks exceed two times the allowable drift specified in Performance Specification 8A for five consecutive daily calibration drift checks.
Each monitor shall be quality-assured at least quarterly in accordance with 40 CFR Part 60, Appendix F, Procedure 1. Any failed quarterly audit and CEMS downtime shall be reported to the appropriate TCEQ Regional Manager, and necessary corrective action shall be taken. After any failed quarterly audit, the CEMS shall be considered out-of-control, as defined in 40 CFR Part 60, Appendix F, Section 5.2, until the successful completion of a corresponding audit following the corrective action.
Quality assured (or valid) data must be generated when the CAS is operating except during the performance of a daily zero and span check.  Loss of valid data due to periods of monitor break down, out-of-control operation (producing inaccurate data), repair, maintenance, or calibration may be exempted provided it does not exceed 5 percent of the time (in minutes) that the CAS operated over the previous rolling 12 month period. The CAS measurements missed shall be estimated using engineering judgment and the methods used recorded.</t>
  </si>
  <si>
    <t>During any CEMS downtime or out-of-control period exceeding 24 hours, the facilities controlled by CAS shall be shut down or the CAS exhaust and vent between the first and second canister shall be sampled at a frequency equal to 25 percent of the normal operating time to canister replacement regeneration. The VOC sampling and analysis shall be performed using an instrument with an FID, or a TCEQ-approved alternative detector. The instrument/FID must meet all requirements specified in Section 8.1 of EPA Method 21 (40 CFR Part 60, Appendix A). Sampling and analysis for VOC concentration shall be performed as follows:</t>
  </si>
  <si>
    <t>The CEMS shall meet the design and performance specifications, pass the field tests, meet the installation requirements, and complete the data analysis and reporting requirements specified in Performance Specification 8A, 40 CFR Part 60, Appendix B.
The system shall be zeroed and spanned daily when the CAS is in operation, and corrective action taken when the 24-hour calibration drift exceeds two times the amounts specified in Performance Specification 8A.  The CEMS shall be considered out-of-control, as defined in 40 CFR Part 60, Appendix F, Section 4.3.1, if the daily zero or span calibration drift checks exceed two times the allowable drift specified in Performance Specification 8A for five consecutive daily calibration drift checks.
Each monitor shall be quality-assured at least quarterly in accordance with 40 CFR Part 60, Appendix F, Procedure 1. Any failed quarterly audit and CEMS downtime shall be reported to the appropriate TCEQ Regional Manager, and necessary corrective action shall be taken. After any failed quarterly audit, the CEMS shall be considered out-of-control, as defined in 40 CFR Part 60, Appendix F, Section 5.2, until the successful completion of a corresponding audit following the corrective action.
Quality assured (or valid) data must be generated when the CAS is operating except during the performance of a daily zero and span check. Loss of valid data due to periods of monitor break down, out-of-control operation (producing inaccurate data), repair, maintenance, or calibration may be exempted provided it does not exceed 5 percent of the time (in minutes) that the CAS operated over the previous rolling 12-month period. The measurements missed shall be estimated using engineering judgment and the methods used recorded.</t>
  </si>
  <si>
    <t>Conduct and record an opacity observation as determined by 40 CFR Part 60, Appendix A, Reference Method (RM) 9 to determine if an exceedance of the opacity limit of this Special Condition has occurred.</t>
  </si>
  <si>
    <t xml:space="preserve">VOC concentration shall be measured using an instrument meeting all the requirements specified in EPA Method 21 (40 CFR Part 60, Appendix A) with the following exceptions:  </t>
  </si>
  <si>
    <t>Piping, Valves, Connectors, Pumps, Agitators, and Compressors - Intensive Directed Maintenance – 28LAER
Except as may be provided for in the Special Conditions of this permit, the following requirements apply to the above-referenced equipment:</t>
  </si>
  <si>
    <t>Vapor combustion units (VCU) shall be designed and operated in accordance with the following requirements:</t>
  </si>
  <si>
    <t>This sheet is for informational purposes only. No data is required and you do not need to print this sheet. This sheet provides guidance on the RAP: Marine Loading criteria and instructions for preparing and submitting an application.</t>
  </si>
  <si>
    <t>To find your regional office address go to the link above or call (512) 239-1250.</t>
  </si>
  <si>
    <r>
      <t xml:space="preserve">This sheet reviews the impacts from this project. The permit application is not eligible for the RAP: Marine Loading if any pollutants do not have acceptable impacts using the technique provided on this sheet. Adjustments to inputs on unit sheets may be required to have acceptable impacts.
</t>
    </r>
    <r>
      <rPr>
        <b/>
        <sz val="11"/>
        <color theme="1"/>
        <rFont val="Arial"/>
        <family val="2"/>
      </rPr>
      <t>Instructions:</t>
    </r>
    <r>
      <rPr>
        <sz val="11"/>
        <color theme="1"/>
        <rFont val="Arial"/>
        <family val="2"/>
      </rPr>
      <t xml:space="preserve">
1. Answer the questions in columns D and E of Section VI for each chemical species. The rest of the information on this sheet is determined from inputs on previous sheets.
2. If impacts are not acceptable (see Summary), then adjust the inputs on the source sheets until impacts are acceptable for all species.
</t>
    </r>
    <r>
      <rPr>
        <b/>
        <sz val="11"/>
        <color theme="1"/>
        <rFont val="Arial"/>
        <family val="2"/>
      </rPr>
      <t>Notes:</t>
    </r>
    <r>
      <rPr>
        <sz val="11"/>
        <color theme="1"/>
        <rFont val="Arial"/>
        <family val="2"/>
      </rPr>
      <t xml:space="preserve">
-It is assumed that 100% of NOx emissions from this project are NO2.</t>
    </r>
  </si>
  <si>
    <r>
      <t xml:space="preserve">This sheet details CAS specifications and determines emission rates.
</t>
    </r>
    <r>
      <rPr>
        <b/>
        <sz val="11"/>
        <color theme="1"/>
        <rFont val="Arial"/>
        <family val="2"/>
      </rPr>
      <t>Instructions:</t>
    </r>
    <r>
      <rPr>
        <sz val="11"/>
        <color theme="1"/>
        <rFont val="Arial"/>
        <family val="2"/>
      </rPr>
      <t xml:space="preserve">
1. Complete all information below.
2. Project and speciated emission rates will be compiled from representations made on this sheet, tank and loading sheets, and the "Products" sheet.
3. Provide vendor specifications on breakthrough and outlet concentration as an attachment to this application.</t>
    </r>
  </si>
  <si>
    <t>In signing the "PI-1-MarineLoading" sheet with this fee sheet attached, I certify that the total estimated capital cost of the project as defined in 30 TAC § 116.141 is equal to or less than the below figure. I further state that I have read and understand Texas Water Code § 7.179, which defines Criminal Offenses for certain violations, including intentionally or knowingly making, or causing to be made, false material statements or representations.</t>
  </si>
  <si>
    <r>
      <t xml:space="preserve">This sheet compiles baseline emission information for sources in this project for use in the federal applicability determination.
</t>
    </r>
    <r>
      <rPr>
        <b/>
        <sz val="11"/>
        <color theme="1"/>
        <rFont val="Arial"/>
        <family val="2"/>
      </rPr>
      <t>Instructions:</t>
    </r>
    <r>
      <rPr>
        <sz val="11"/>
        <color theme="1"/>
        <rFont val="Arial"/>
        <family val="2"/>
      </rPr>
      <t xml:space="preserve">
1. Enter a value for each yellow cell. If there are no baseline emissions for a particular unit and/or pollutants, enter a 0. These values will be compiled into the "FedApp" sheet.
2. If this is a named source for PSD, the current sitewide PTE must include fugitive emissions.
3. If using baseline emissions in the federal applicability determination, attach a printout from Emissions Inventory showing the baseline emission years for the units in the project.
</t>
    </r>
    <r>
      <rPr>
        <b/>
        <sz val="11"/>
        <color theme="1"/>
        <rFont val="Arial"/>
        <family val="2"/>
      </rPr>
      <t xml:space="preserve">
Notes:
</t>
    </r>
    <r>
      <rPr>
        <sz val="11"/>
        <color theme="1"/>
        <rFont val="Arial"/>
        <family val="2"/>
      </rPr>
      <t>1. Baseline emissions years:
   -The baseline period is determined by a consecutive 24-month period and is not required to be on a calendar year basis.
   -You must use the same 24 months for a single pollutant.
   -The selected baseline period must be in the contemporaneous period.
2. Baseline emissions:
   -Enter the average over the baseline period.
   -The values cannot exceed the currently authorized emission rate.
   -The values must be relatively consistent with data from emissions inventory.</t>
    </r>
  </si>
  <si>
    <r>
      <t xml:space="preserve">This sheet lists the practices and controls which represent BACT for each specific unit in this project. BACT is required by 30 TAC §116.111(a)(2)(C).
</t>
    </r>
    <r>
      <rPr>
        <b/>
        <sz val="11"/>
        <color theme="1"/>
        <rFont val="Arial"/>
        <family val="2"/>
      </rPr>
      <t>Instructions:</t>
    </r>
    <r>
      <rPr>
        <sz val="11"/>
        <color theme="1"/>
        <rFont val="Arial"/>
        <family val="2"/>
      </rPr>
      <t xml:space="preserve">
1. Review the BACT requirements.
2. Acceptance of the BACT for each unit is confirmed on the "CND" sheet.</t>
    </r>
  </si>
  <si>
    <t>any projects involving gasoline storage (pi-1 row 101)</t>
  </si>
  <si>
    <t>Does this project involve storage of gasoline?</t>
  </si>
  <si>
    <t>Does this project involve storage of crude products?</t>
  </si>
  <si>
    <t>82 ft minimum</t>
  </si>
  <si>
    <t>NO PM10 ANNUAL STANDARD</t>
  </si>
  <si>
    <t>Vendor-specified minimum combustion chamber temperature (°F)</t>
  </si>
  <si>
    <r>
      <t xml:space="preserve">This reference sheet lists the acceptable species for the RAP: Marine Loading. This list will be updated to reflect changes in the Toxicity Factor Database. Chemical species involved in this project must be found in this list. Other species do not qualify for this RAP.
</t>
    </r>
    <r>
      <rPr>
        <b/>
        <sz val="11"/>
        <color theme="1"/>
        <rFont val="Arial"/>
        <family val="2"/>
      </rPr>
      <t>Important note regarding allowable species listed here without a CAS number:</t>
    </r>
    <r>
      <rPr>
        <sz val="11"/>
        <color theme="1"/>
        <rFont val="Arial"/>
        <family val="2"/>
      </rPr>
      <t xml:space="preserve">
If a species has no CAS number, follow these instructions.
     (1) Filter column A to only show "not found" CAS numbers.
     (2) Identify the correct substance by the species name.
     (3) The species name can be used on the "Products" sheet in the "CAS number" column. Either type the name exactly as shown here or copy and paste as values. Do not use any other paste option.</t>
    </r>
  </si>
  <si>
    <t>99% minimum; 99.9% maximum</t>
  </si>
  <si>
    <t>All modified sources involved in this project meet the BACT requirements listed on the "BACT" sheet of this workbook. This represents Tier I BACT or more stringent control. Tier II or III BACT analyses will not be accepted for this RAP.</t>
  </si>
  <si>
    <t>All sources modified or affected as a result of this project are represented in this application. I.e., increases to potential or actual emission rates for sources authorized outside of this RAP workbook are not allowed. See Title 30 Administrative Code Chapter 116 (30 TAC § 116) for additional information.</t>
  </si>
  <si>
    <t>Air Quality Analysis Report - Marine Loading</t>
  </si>
  <si>
    <t>I. Project Identification Information</t>
  </si>
  <si>
    <t>Air quality analyses (AQAs) were performed in support of the Marine Terminal readily available permit (RAP) and Marine Terminal Standard Permit (SP). AQAs were performed for four TCEQ regions, each with counties located along the coast. The TCEQ regions are Region 10 (Beaumont), Region 12 (Houston), Region 14 (Corpus Christi), and Region 15 (Brownsville). This AQA report summarizes the results for all four TCEQ regions.</t>
  </si>
  <si>
    <t>II. Report Summary</t>
  </si>
  <si>
    <t>Generic modeling was conducted for a number of facilities at various setback distances. The results are summarized below by TCEQ region and setback distance. Tables 1a – 1j have results for TCEQ Region 10; Tables 2a – 2j have results for TCEQ Region 12; Tables 3a – 3j have results for TCEQ Region 14; and Tables 4a – 4j have results for TCEQ Region 15. The Model IDs represent sources that were modeled, and these sources are further described below in Section 4.</t>
  </si>
  <si>
    <t>Table 1a. Generic Modeling Results for TCEQ Region 10 with 25-ft Setback</t>
  </si>
  <si>
    <t>1-hr GLCmax (µg/m3 per lb/hr)</t>
  </si>
  <si>
    <t>3-hr GLCmax (µg/m3 per lb/hr)</t>
  </si>
  <si>
    <t>8-hr GLCmax (µg/m3 per lb/hr)</t>
  </si>
  <si>
    <t>24-hr GLCmax (µg/m3 per lb/hr)</t>
  </si>
  <si>
    <t>Annual GLCmax (µg/m3 per lb/hr)</t>
  </si>
  <si>
    <t>Table 1b. Generic Modeling Results for TCEQ Region 10 with 50-ft Setback</t>
  </si>
  <si>
    <t>Table 1c. Generic Modeling Results for TCEQ Region 10 with 100-ft Setback</t>
  </si>
  <si>
    <t>Table 1d. Generic Modeling Results for TCEQ Region 10 with 200-ft Setback</t>
  </si>
  <si>
    <t>Table 1e. Generic Modeling Results for TCEQ Region 10 with 300-ft Setback</t>
  </si>
  <si>
    <t>Table 1f. Generic Modeling Results for TCEQ Region 10 with 400-ft Setback</t>
  </si>
  <si>
    <t>Table 1g. Generic Modeling Results for TCEQ Region 10 with 500-ft Setback</t>
  </si>
  <si>
    <t>Table 1h. Generic Modeling Results for TCEQ Region 10 with 750-ft Setback</t>
  </si>
  <si>
    <t>Table 1i. Generic Modeling Results for TCEQ Region 10 with 1000-ft Setback</t>
  </si>
  <si>
    <t>Table 1j. Generic Modeling Results for TCEQ Region 10 with 25-m Setback</t>
  </si>
  <si>
    <t>Table 2a. Generic Modeling Results for TCEQ Region 12 with 25-ft Setback</t>
  </si>
  <si>
    <t>Table 2b. Generic Modeling Results for TCEQ Region 12 with 50-ft Setback</t>
  </si>
  <si>
    <t>Table 2c. Generic Modeling Results for TCEQ Region 12 with 100-ft Setback</t>
  </si>
  <si>
    <t>Table 2d. Generic Modeling Results for TCEQ Region 12 with 200-ft Setback</t>
  </si>
  <si>
    <t>Table 2e. Generic Modeling Results for TCEQ Region 12 with 300-ft Setback</t>
  </si>
  <si>
    <t>Table 2f. Generic Modeling Results for TCEQ Region 12 with 400-ft Setback</t>
  </si>
  <si>
    <t>Table 2g. Generic Modeling Results for TCEQ Region 12 with 500-ft Setback</t>
  </si>
  <si>
    <t>Table 2h. Generic Modeling Results for TCEQ Region 12 with 750-ft Setback</t>
  </si>
  <si>
    <t>Table 2i. Generic Modeling Results for TCEQ Region 12 with 1000-ft Setback</t>
  </si>
  <si>
    <t>Table 2j. Generic Modeling Results for TCEQ Region 12 with 25-m Setback</t>
  </si>
  <si>
    <t>Table 3a. Generic Modeling Results for TCEQ Region 14 with 25-ft Setback</t>
  </si>
  <si>
    <t>Table 3b. Generic Modeling Results for TCEQ Region 14 with 50-ft Setback</t>
  </si>
  <si>
    <t>Table 3c. Generic Modeling Results for TCEQ Region 14 with 100-ft Setback</t>
  </si>
  <si>
    <t>Table 3d. Generic Modeling Results for TCEQ Region 14 with 200-ft Setback</t>
  </si>
  <si>
    <t>Table 3e. Generic Modeling Results for TCEQ Region 14 with 300-ft Setback</t>
  </si>
  <si>
    <t>Table 3f. Generic Modeling Results for TCEQ Region 14 with 400-ft Setback</t>
  </si>
  <si>
    <t>Table 3g. Generic Modeling Results for TCEQ Region 14 with 500-ft Setback</t>
  </si>
  <si>
    <t>Table 3h. Generic Modeling Results for TCEQ Region 14 with 750-ft Setback</t>
  </si>
  <si>
    <t>Table 3i. Generic Modeling Results for TCEQ Region 14 with 1000-ft Setback</t>
  </si>
  <si>
    <t>Table 3j. Generic Modeling Results for TCEQ Region 14 with 25-m Setback</t>
  </si>
  <si>
    <t>Table 4a. Generic Modeling Results for TCEQ Region 15 with 25-ft Setback</t>
  </si>
  <si>
    <t>Table 4b. Generic Modeling Results for TCEQ Region 15 with 50-ft Setback</t>
  </si>
  <si>
    <t>Table 4c. Generic Modeling Results for TCEQ Region 15 with 100-ft Setback</t>
  </si>
  <si>
    <t>Table 4d. Generic Modeling Results for TCEQ Region 15 with 200-ft Setback</t>
  </si>
  <si>
    <t>Table 4e. Generic Modeling Results for TCEQ Region 15 with 300-ft Setback</t>
  </si>
  <si>
    <t>Table 4f. Generic Modeling Results for TCEQ Region 15 with 400-ft Setback</t>
  </si>
  <si>
    <t>Table 4g. Generic Modeling Results for TCEQ Region 15 with 500-ft Setback</t>
  </si>
  <si>
    <t>Table 4h. Generic Modeling Results for TCEQ Region 15 with 750-ft Setback</t>
  </si>
  <si>
    <t>Table 4i. Generic Modeling Results for TCEQ Region 15 with 1000-ft Setback</t>
  </si>
  <si>
    <t>Table 4j. Generic Modeling Results for TCEQ Region 15 with 25-m Setback</t>
  </si>
  <si>
    <t>III. Model Used and Modeling Techniques</t>
  </si>
  <si>
    <t>AERMOD (Version 19191) was used.
The modeling was conducted using an emission rate of 1 lb/hr for all sources to determine generic short-term and long-term predictions. The modeling was also conducted using receptor grids that started at various distances from the modeled sources. See section 3c below for additional information on the modeled receptor grids.</t>
  </si>
  <si>
    <t>A. Land Use</t>
  </si>
  <si>
    <t>Land use/land cover analyses were performed using AERSURFACE consistent with guidance given in the AERMOD Implementation Guide (August, 2019). The recommended input data, the National Land Cover Data 1992 archives (NLCD92), were used for these analyses.
For TCEQ Region 10, the AERSURFACE analysis resulted in a calculated albedo of 0.17, a calculated Bowen ratio of 0.71, and a calculated surface roughness length of 0.025 meters. These values were used to develop the meteorological data set for the TCEQ Region 10 analysis.
For TCEQ Region 12, the AERSURFACE analysis resulted in a calculated albedo of 0.16, a calculated Bowen ratio of 0.77, and a calculated surface roughness length of 0.11 meters. These values were used to develop the meteorological data set for the TCEQ Region 12 analysis.
For TCEQ Region 14, the AERSURFACE analysis resulted in a calculated albedo of 0.18, a calculated Bowen ratio of 0.62, and a calculated surface roughness length of 0.086 meters. These values were used to develop the meteorological data set for the TCEQ Region 14 analysis.
For TCEQ Region 15, the AERSURFACE analysis resulted in a calculated albedo of 0.17, a calculated Bowen ratio of 0.71, and a calculated surface roughness length of 0.05 meters. These values were used to develop the meteorological data set for the TCEQ Region 15 analysis.
Flat terrain was used in all of the modeling analyses. Using flat terrain is reasonable for TCEQ Regions 10, 12, 14, and 15 based on their generally flat, coastal locations, and given that the maximum modeled predictions occur near the modeled sources.</t>
  </si>
  <si>
    <t>B. Meteorological Data</t>
  </si>
  <si>
    <t>Meteorological data for years 2011-2015 from stations representative for TCEQ Regions 10, 12, 14, and 15 were used in the analyses. Raw surface and upper air meteorological data were processed using AERMET (Version 16216). The ADJ_U* option was used in the AERMET meteorological data processing.</t>
  </si>
  <si>
    <t>TCEQ Region 10:
Surface Station and ID:  Port Arthur, TX (Station #: 12917)
Upper Air Station and ID:  Lake Charles, LA (Station #: 3937)
Meteorological Dataset:  2011-2015
Profile Base Elevation:  4.9 meters</t>
  </si>
  <si>
    <t>TCEQ Region 12:
Surface Station and ID:  Houston, TX (Station #: 12960)
Upper Air Station and ID:  Lake Charles, LA (Station #: 3937)
Meteorological Dataset:  2011-2015
Profile Base Elevation:  32 meters</t>
  </si>
  <si>
    <t>TCEQ Region 14:
Surface Station and ID:  Corpus Christi, TX (Station #: 12924)
Upper Air Station and ID:  Corpus Christi, TX (Station #: 12924)
Meteorological Dataset:  2011-2015
Profile Base Elevation:  13.4 meters</t>
  </si>
  <si>
    <t>TCEQ Region 15:
Surface Station and ID:  Brownsville, TX (Station #: 12919)
Upper Air Station and ID:  Brownsville, TX (Station #: 12919)
Meteorological Dataset:  2011-2015
Profile Base Elevation:  6.7 meters</t>
  </si>
  <si>
    <t>C. Receptor Grid</t>
  </si>
  <si>
    <t>As noted above, the modeling was conducted using receptor grids that started at various distances from the modeled sources. For sources located on land (all sources except for BARGE and SHIP sources), the starting distances are 25 feet, 50 feet, 100 feet, 200 feet, 300 feet, 400 feet, 500 feet, 750 feet, and 1000 feet. For sources located over water (BARGE and SHIP sources), the starting distance is 25 meters. A distance of 25 meters is used as a starting point to represent an area that is reasonably expected to be controlled when barge/ship loading activities are occurring.
Receptors with a grid spacing of 25 meters extended from the starting distance out 200 meters. Receptors with a grid spacing of 100 meters extended from the starting distance out 1000 meters.</t>
  </si>
  <si>
    <t>IV. Modeling Emissions Inventory</t>
  </si>
  <si>
    <t>The marine terminal facilities have emissions from stacks and emissions that are fugitive in nature. The determination of the modeled source parameters was based on a review of previously submitted permit applications for marine terminal projects and selecting source parameters to minimize plume rise in order to estimate conservative impacts. Each modeled source is further described below, and the modeled source parameters are summarized in Tables 5 and 6.</t>
  </si>
  <si>
    <t>Model IDs TANK12, TANK30, TANK35, TANK40, TANK45, and TANK50: These modeled sources represent emissions from storage tanks and the numbers represent different release heights. They were modeled as volume sources using the parameters listed in Table 6. A cube with a side length of one foot was used to calculate the initial horizontal sigmas. The initial vertical sigmas are based on the tank heights, consistent with EPA guidance for elevated volume sources located on a building. The model predictions associated with Model ID TANK12 can also be used for frac tanks and vacuum trucks.</t>
  </si>
  <si>
    <t>Model ID HEATER: This modeled source represents emissions from the heater stack. It was modeled as a point source using the parameters listed in Table 5.</t>
  </si>
  <si>
    <t>Model ID BOILER: This modeled source represents emissions from the boiler stack. It was modeled as a point source using the parameters listed in Table 5.</t>
  </si>
  <si>
    <t>Model ID FUELTANK: This modeled source represents emissions from fuel storage tanks. It was modeled as a volume source using the parameters listed in Table 6. A cube with a side length of one foot was used to calculate the initial horizontal sigma. The initial vertical sigma is based on the fuel tank height, consistent with EPA guidance for elevated volume sources located on a building. The model predictions associated with Model ID FUELTANK can also be used for emissions from a carbon adsorption system (CAS).</t>
  </si>
  <si>
    <t>Model IDs ENGINE8 and ENGINE12: These modeled sources represent emissions from the emergency engine stacks and the numbers represent different release heights. They were modeled as point sources using the parameters listed in Table 5.</t>
  </si>
  <si>
    <t>Model IDs TRUCK and RAIL: These modeled sources represent emissions from truck and railcar loading activities. They were modeled as volume sources using the parameters listed in Table 6. A cube with a side length of one foot was used to calculate the initial horizontal sigmas. The initial vertical sigmas are based on EPA guidance for elevated volume sources not located on or adjacent to a building.</t>
  </si>
  <si>
    <t>Model IDs BARGE10, BARGE15, BARGE20, SHIP30, SHIP40, and SHIP50: These modeled sources represent emissions from barge (IDs beginning with BARGE) and ship (IDs beginning with SHIP) loading activities and the numbers represent different release heights. They were modeled as volume sources using the parameters listed in Table 6. A cube with a side length of one foot was used to calculate the initial horizontal sigmas. The initial vertical sigmas are based on EPA guidance for elevated volume sources not located on or adjacent to a building.</t>
  </si>
  <si>
    <t>Model ID FUG: This modeled source represents fugitive emissions (piping, valves, etc.). It was modeled as a volume source using the parameters listed in Table 6. A cube with a side length of one foot was used to calculate the initial horizontal sigma. The initial vertical sigma is based on EPA guidance for elevated volume sources not located on or adjacent to a building. The model predictions associated with Model ID FUG can also be used for emissions from drum and/or tote loading, as well as planned MSS emissions associated with non-tank MSS activities.</t>
  </si>
  <si>
    <t>Model IDs PORTCD12 and PORTCD20: These modeled sources represent emissions from a portable control device and the numbers represent different release heights. They were modeled as point sources using the parameters listed in Table 5.</t>
  </si>
  <si>
    <t>Model IDs FLARE30, FLARE40, and FLARE50: These modeled sources represent emissions from flares and the numbers represent different release heights. They were modeled as point sources using the parameters listed in Table 5. The exit diameters listed in Table 5 represent relatively small values selected to limit the amount of plume rise modeled from the flares.</t>
  </si>
  <si>
    <t>Model IDs VCU40, VCU50, and VCU60: These modeled sources represent emissions from vapor combustor units (VCUs) and the numbers represent different release heights. They were modeled as point sources using the parameters listed in Table 5. The model predictions associated with the VCUs can also be used for thermal oxidizers.</t>
  </si>
  <si>
    <t>Table 5. Point Source Parameter Information</t>
  </si>
  <si>
    <t>Source</t>
  </si>
  <si>
    <t>Release Height (ft)</t>
  </si>
  <si>
    <t>Exit Velocity (ft/sec)</t>
  </si>
  <si>
    <t>Exit Diameter (ft)</t>
  </si>
  <si>
    <t>Exit Temperature (°F)</t>
  </si>
  <si>
    <t>Heater</t>
  </si>
  <si>
    <t>Boiler</t>
  </si>
  <si>
    <t>Emergency Engine</t>
  </si>
  <si>
    <t>Portable Control Device</t>
  </si>
  <si>
    <t>Table 6. Volume Source Parameter Information</t>
  </si>
  <si>
    <t>Horizontal Sigma (ft)</t>
  </si>
  <si>
    <t>Vertical Sigma (ft)</t>
  </si>
  <si>
    <t>Storage Tank</t>
  </si>
  <si>
    <t>Fuel Storage Tank</t>
  </si>
  <si>
    <t>Truck Loading</t>
  </si>
  <si>
    <t>Barge Loading</t>
  </si>
  <si>
    <t>Ship Loading</t>
  </si>
  <si>
    <t>Fugitives</t>
  </si>
  <si>
    <t>intentionally blank</t>
  </si>
  <si>
    <t>This reference sheet provides the air quality analyses run for each TCEQ region.</t>
  </si>
  <si>
    <t>ModelingReport</t>
  </si>
  <si>
    <t xml:space="preserve">Route to a control device when degassing and refilling. The control device must be maintained until the VOC concentration is less than 10,000 ppmv for VOC (or equivalent for non-VOCs). Route to a control device during entire tank refill. New tanks must be designed to be drain dry with connections to control vapors under a landed roof. Commence under-roof degassing within 24 hours of landing. Degas every 24 hours unless no standing liquid in tank or vapor pressure of liquid in tank has a VOC partial pressure &lt;0.02 psi. </t>
  </si>
  <si>
    <t>The project does not necessitate updates to a previous netting analysis by falling within the contemporaneous window of a past project.</t>
  </si>
  <si>
    <t>For existing sites, the RN associated with this RAP has a current compliance history classification of Satisfactory or High. Information on compliance history classifications and details on obtaining a compliance history report can be found using the website links listed in Section V of the "Instructions" sheet. Select "Not applicable" if this is a greenfield site.</t>
  </si>
  <si>
    <t>9. The permanent and temporary flare (if included in this project) must not burn halogenated compounds.
10. Heaters, boilers, and engines (if included in this project) must not be used as control devices.
11. All fixed and floating roof tank degassing during MSS or convenience roof landings, regardless of the product stored in the tank, must be controlled by a permanent or temporary control device represented in this workbook.
12. Mixing of products that results in a chemical reaction cannot be authorized in this project.
13. Any existing sources in this project are not moving to a new location as part of this project.
14. All modified sources in this project meet the BACT requirements listed on the "BACT" sheet of this workbook. This represents Tier I BACT or more stringent control. Tier II or III BACT analyses will not be accepted for this RAP.</t>
  </si>
  <si>
    <t>15. For existing sites, the regulated entity number (RN) associated with this RAP has a current compliance history classification of Satisfactory or High. Information on compliance history classifications and details on obtaining a compliance history report can be found in Section V of this sheet.
16. For currently authorized control devices: the permanent VCU, permanent vapor oxidizer, temporary VCU, and/or temporary thermal oxidizer must have PM, PM10, and PM2.5 quantified in the existing permit. Additionally, if sulfur compounds or hydrogen sulfide are present in the unit's fuel, pilot light fuel, or waste streams controlled by the unit, then SO2 and H2S must be quantified in the existing permit.
17. The permit holder must comply with all of the following, as listed in this workbook:
     -Emission sources and rates;
     -Best Available Control Technology (BACT);
     -Impacts Analysis;
     -Special Conditions;
     -Representations made in this application workbook.</t>
  </si>
  <si>
    <t>The following qualification criteria must be met in order to submit an application for this RAP. Confirmation will be completed on the "PI-1-MarineLoading" sheet.
1. The project only authorizes emissions from sources located in TCEQ Regions 10, 12, 14, or 15. A link to the TCEQ regional offices directory can be found in Section V of this sheet.
2. All sources must be listed in this workbook. The project only authorizes emissions from a maximum of five storage tanks, loading operations, fugitive components, MSS, a maximum of two emergency diesel engines, a maximum of two heaters and/or boilers, and/or associated control devices (one elevated flare, one VCU, one vapor oxidizer, one CAS, one temporary flare, one temporary VCU, and/or one temporary thermal oxidizer).
3. All applicable MSS activities are represented in this application workbook.
4. All sources modified or affected as a result of this project must be represented in this application. I.e., increases to potential or actual emission rates for sources authorized outside of this RAP workbook are not allowed. See Title 30 Administrative Code Chapter 116 (30 TAC § 116) for additional information.</t>
  </si>
  <si>
    <t>5. The project itself must not exceed PSD or Nonattainment major source thresholds. For existing major sources, projects requiring netting are not eligible for the RAP.
6. The project must not necessitate updates to a previous netting analysis by falling within the contemporaneous window of a past project.
7. The unloading, loading, or maintenance of very large crude carriers (VLCC) or ultra large crude carriers (ULCC) is not included in this project. VLCC and ULCC have capacities greater than or equal to 2.0 million bbl.
8. Chemical species involved in this project must be found in the Toxicity Factor Database, which is represented on the "Species" sheet of this workbook.</t>
  </si>
  <si>
    <t>Good engineering practices.</t>
  </si>
  <si>
    <r>
      <rPr>
        <b/>
        <sz val="11"/>
        <color rgb="FFC00000"/>
        <rFont val="Arial"/>
        <family val="2"/>
      </rPr>
      <t>Example 2</t>
    </r>
    <r>
      <rPr>
        <b/>
        <sz val="11"/>
        <color theme="1"/>
        <rFont val="Arial"/>
        <family val="2"/>
      </rPr>
      <t xml:space="preserve">: </t>
    </r>
    <r>
      <rPr>
        <sz val="11"/>
        <color theme="1"/>
        <rFont val="Arial"/>
        <family val="2"/>
      </rPr>
      <t>For gasoline, at least 2 CAS numbers must be represented. One is the gasoline CAS number (ex: "8006-61-9") and the other is benzene. Regardless of the benzene content, it must be listed as a separate CAS number. If the gasoline product contains any MTBE, also list this as a separate CAS number.</t>
    </r>
  </si>
  <si>
    <t>PI-1-Marine Loading: General Application for RAP - Marine Loading</t>
  </si>
  <si>
    <t>Email the workbook to apirt@tceq.texas.gov or submit through STEERS.
For submitting the hard copy "PI-1-MarineLoading" sheet and/or Core Data Form (if applicable):
Regular, Certified, Priority Mail
MC 161, P.O. Box 13087, Austin, Texas 78711-3087 or
Hand Delivery, Overnight Mail
Mail Code 161, 12100 Park 35 Circle, Building C, Third Floor,
Room 300W, Austin, Texas 78753</t>
  </si>
  <si>
    <r>
      <t xml:space="preserve">B. Sources modified, affected, or newly authorized in this project
</t>
    </r>
    <r>
      <rPr>
        <sz val="11"/>
        <color theme="1"/>
        <rFont val="Arial"/>
        <family val="2"/>
      </rPr>
      <t>Important notes:
     -Rows in this section will be unavailable (grey) depending on answers in Section I of this sheet.
     -If revisions to this section are necessary after completing the application, first clear all input cells in corresponding sheets. For example, if a flare is no longer needed then first clear all input cells on the "Flare" sheet prior to selecting "No" in cell G123.</t>
    </r>
  </si>
  <si>
    <t>If there is a bypass for the control device, the permit holder shall comply with either C(1) or C(2) as follows:</t>
  </si>
  <si>
    <t>A volume of purge gas equivalent to twice the volume of the vapor space under the roof must have passed through the control device or into a controlled recovery system, before the vent stream may be sampled to verify acceptable VOC concentration.  The measurement of purge gas volume shall not include any make-up air introduced into the control device or recovery system.  The VOC sampling and analysis shall be performed as specified in the previous special condition.</t>
  </si>
  <si>
    <t>If not listed above, list any 40 CFR Part 61 Subparts that the sources in this project will be or are subject to. Use the same format used above ("Subpart [subpart letters]: [subpart title]").</t>
  </si>
  <si>
    <t>If not listed above, list any 40 CFR Part 63 Subparts that the sources in this project will be or are subject to. Use the same format used above ("Subpart [subpart letters]: [subpart title]").</t>
  </si>
  <si>
    <t>If not listed above, list any 40 CFR Part 60 Subparts that the sources in this project will be or are subject to. Use the same format used above ("Subpart [subpart letters]: [subpart title]").</t>
  </si>
  <si>
    <t>V</t>
  </si>
  <si>
    <t>Lower explosive limit detector may not be used to measure the air contaminant concentration of storage tanks.</t>
  </si>
  <si>
    <t>Readily Available Permit: Marine Loading</t>
  </si>
  <si>
    <t>The RAP: Marine Loading is a New Source Review (NSR) authorization for an amendment to an existing permit or for an initial permit.
Here are a few examples of how this RAP might be used. Other scenarios meeting the criteria are also allowed.
1. Construct a new marine loading site, which may include the following: storage tanks, emergency engines, control devices, heaters, fugitives, truck loading, railcar loading, and maintenance, startup, and shutdown (MSS).
2. Authorize increases in marine loading throughputs at an existing site along with the associated emission increases from storage tanks and other on-site sources.
3. Authorize handling of a new product at an existing marine loading site.</t>
  </si>
  <si>
    <t>This application workbook provides administrative and technical information needed by the Texas Commission on Environmental Quality (TCEQ) to authorize marine loading and associated processes and facilities. The qualification criteria for this RAP must be agreed to prior to submittal of the application.
If you are using this workbook to modify an existing permit, the facilities shall have been constructed and operated as authorized. All representations in the completed RAP application shall be enforceable representations upon issuance of the permit.</t>
  </si>
  <si>
    <t>Applications deemed administratively complete by May 1, 2022 must provide a plain language summary of the application to be posted on the TCEQ website. Templates can be found at the link below.</t>
  </si>
  <si>
    <t>https://www.tceq.texas.gov/permitting/air/guidance/newsourcereview/nsrapp-tools.html</t>
  </si>
  <si>
    <t>Is a Plain Language Summary as required by 30 TAC § 39.405(k) provided with the application?</t>
  </si>
  <si>
    <t>Is a Plain Language Summary in an alternative language as required by 30 TAC § 39.426(c) provided with the application?</t>
  </si>
  <si>
    <t>Applicant Internal Comments</t>
  </si>
  <si>
    <t>I. General RAP Qualification Questions</t>
  </si>
  <si>
    <t>Confirm this project will have no affected sources upstream of the modified sources.</t>
  </si>
  <si>
    <t>Confirm the following methods will not be used in the federal applicability analysis for this project:
   -net-to-zero;
   -retrospective review;
   -incremental increases; 
   -projected actuals;
   -could have accommodated; or
   -decreases included in project emission increases.</t>
  </si>
  <si>
    <t>If yes, describe the proposed changes in the other pending projects. Limited to 300 characters.</t>
  </si>
  <si>
    <t>When was the most recent air authorization action affecting sources in this RAP project? Provide the date and a brief description of the change. Enter NA if there are no other air authorization actions affecting sources in this RAP project. Limited to 300 characters.</t>
  </si>
  <si>
    <t>II. Nonattainment NSR Applicability Summary</t>
  </si>
  <si>
    <t>A. Step 1: Determine if the site is in a nonattainment area for any criteria pollutant(s) or precursor(s).</t>
  </si>
  <si>
    <t>Step 1 Determination:</t>
  </si>
  <si>
    <t>County (selected on the PI-1-MarineLoading sheet):</t>
  </si>
  <si>
    <t>Partial County List (12/2021)</t>
  </si>
  <si>
    <t>Current Nonattainment Counties (12/2021), including counties designated maintenance (12/2021)</t>
  </si>
  <si>
    <t>Table for threshold and offset look ups</t>
  </si>
  <si>
    <t>Named Sources</t>
  </si>
  <si>
    <t>This sheet determines federal applicability for this project. If the project requires netting, nonattainment NSR, and/or PSD review, it does not qualify for this RAP.</t>
  </si>
  <si>
    <t>All comments must be deleted prior to application submittal.</t>
  </si>
  <si>
    <t>Anderson</t>
  </si>
  <si>
    <t>Designation</t>
  </si>
  <si>
    <t>Designation Text</t>
  </si>
  <si>
    <t>Effective Date</t>
  </si>
  <si>
    <t>Ozone</t>
  </si>
  <si>
    <r>
      <rPr>
        <b/>
        <sz val="11"/>
        <color theme="1"/>
        <rFont val="Arial"/>
        <family val="2"/>
      </rPr>
      <t xml:space="preserve">Instructions:
</t>
    </r>
    <r>
      <rPr>
        <sz val="11"/>
        <color theme="1"/>
        <rFont val="Arial"/>
        <family val="2"/>
      </rPr>
      <t>1. Answer the general questions in Section I.
2. Complete Section II to determine if nonattainment NSR is required for the project as proposed.
3. Complete Section III to determine if PSD review is required for the project as proposed.
4. If nonattainment NSR, PSD review, or netting are required, then the project as proposed does not qualify for a RAP. Adjust the project to reduce emissions or apply for a case-by-case NSR permit using the Form PI-1. If nonattainment NSR, PSD review, and netting are not required, then continue to the next sheet.</t>
    </r>
  </si>
  <si>
    <t>Freestone</t>
  </si>
  <si>
    <t>nonattainment</t>
  </si>
  <si>
    <t>nonattainment for SO2</t>
  </si>
  <si>
    <t>December 13, 2016</t>
  </si>
  <si>
    <t>Major Source - nonattainment</t>
  </si>
  <si>
    <r>
      <rPr>
        <b/>
        <sz val="11"/>
        <color theme="1"/>
        <rFont val="Arial"/>
        <family val="2"/>
      </rPr>
      <t>Notes:</t>
    </r>
    <r>
      <rPr>
        <sz val="11"/>
        <color theme="1"/>
        <rFont val="Arial"/>
        <family val="2"/>
      </rPr>
      <t xml:space="preserve">
1. Many of the cells will be populated automatically based on data entered on other sheets or questions.
2. The cells labeled "Determination" will guide you through this sheet.
3. More complex federal applicability review options are not allowed for this RAP: net-to-zero, retrospective review, incremental increases, and projected actuals/could have accommodated.
4. Additional information about federal applicability can be found at the link below:</t>
    </r>
  </si>
  <si>
    <t>Howard</t>
  </si>
  <si>
    <t>Bexar</t>
  </si>
  <si>
    <t>Major Source - marginal</t>
  </si>
  <si>
    <t>Hutchinson</t>
  </si>
  <si>
    <t>Major Source - moderate</t>
  </si>
  <si>
    <t>Navarro</t>
  </si>
  <si>
    <t>Major Source - serious</t>
  </si>
  <si>
    <t>Panola</t>
  </si>
  <si>
    <t>Collin</t>
  </si>
  <si>
    <t>Major Source - severe</t>
  </si>
  <si>
    <t>Requested Information</t>
  </si>
  <si>
    <t>Rusk</t>
  </si>
  <si>
    <t>Dallas</t>
  </si>
  <si>
    <t>Major Source - extreme</t>
  </si>
  <si>
    <t>Titus</t>
  </si>
  <si>
    <t>Denton</t>
  </si>
  <si>
    <t>Netting Threshold - nonattainment</t>
  </si>
  <si>
    <t>El Paso</t>
  </si>
  <si>
    <t>moderate</t>
  </si>
  <si>
    <t>moderate nonattainment for PM10</t>
  </si>
  <si>
    <t>November 6, 1991</t>
  </si>
  <si>
    <t>Netting Threshold - marginal</t>
  </si>
  <si>
    <t>December 30, 2021</t>
  </si>
  <si>
    <t>Netting Threshold - moderate</t>
  </si>
  <si>
    <t>Ellis</t>
  </si>
  <si>
    <t>Netting Threshold - serious</t>
  </si>
  <si>
    <t>Netting Threshold - severe</t>
  </si>
  <si>
    <t>Netting Threshold - extreme</t>
  </si>
  <si>
    <t>is an na county?</t>
  </si>
  <si>
    <t>is el paso?</t>
  </si>
  <si>
    <t>is partial SO2?</t>
  </si>
  <si>
    <t>April 30, 2021</t>
  </si>
  <si>
    <t>Johnson</t>
  </si>
  <si>
    <t>B. Step 2: Determine if the site is an existing major source. Compare the current sitewide PTE, including fugitive emissions at named sources, to the major source threshold for each criteria pollutant or precursor for which the area is nonattainment.</t>
  </si>
  <si>
    <t>Kaufman</t>
  </si>
  <si>
    <t>Criteria Pollutant or Precursor</t>
  </si>
  <si>
    <r>
      <t xml:space="preserve">Current Sitewide PTE (tpy)
</t>
    </r>
    <r>
      <rPr>
        <sz val="11"/>
        <color theme="1"/>
        <rFont val="Arial"/>
        <family val="2"/>
      </rPr>
      <t>all authorizations, excluding this project</t>
    </r>
  </si>
  <si>
    <t>Current Sitewide PTE ≥ Major Source Threshold?</t>
  </si>
  <si>
    <r>
      <t>Ozone (as NO</t>
    </r>
    <r>
      <rPr>
        <vertAlign val="subscript"/>
        <sz val="11"/>
        <color theme="1"/>
        <rFont val="Arial"/>
        <family val="2"/>
      </rPr>
      <t>x</t>
    </r>
    <r>
      <rPr>
        <sz val="11"/>
        <color theme="1"/>
        <rFont val="Arial"/>
        <family val="2"/>
      </rPr>
      <t>)</t>
    </r>
  </si>
  <si>
    <t>Parker</t>
  </si>
  <si>
    <t>Rockwall</t>
  </si>
  <si>
    <r>
      <t xml:space="preserve">Project Emissions Increase (tpy)
</t>
    </r>
    <r>
      <rPr>
        <sz val="11"/>
        <color theme="1"/>
        <rFont val="Arial"/>
        <family val="2"/>
      </rPr>
      <t>(Project PTE - Baseline Actual Emissions)</t>
    </r>
  </si>
  <si>
    <t>Threshold (tpy)</t>
  </si>
  <si>
    <t>Project Emissions Increase ≥ Threshold?</t>
  </si>
  <si>
    <t>Tarrant</t>
  </si>
  <si>
    <t>Wise</t>
  </si>
  <si>
    <t>III. PSD Applicability Summary</t>
  </si>
  <si>
    <t>A. Step 1: Determine if the project is a named source.</t>
  </si>
  <si>
    <t>Select the source type that most closely matches the facility in this application. If no source type applies, select "Other/Not Listed". Note: This list is based on 40 CFR § 51.166(b)(1)(i)(a).</t>
  </si>
  <si>
    <t>Provide a short description of the facility, limited to 300 characters.</t>
  </si>
  <si>
    <t>B. Step 2: Determine if the site is currently major by comparing the current sitewide PTE to the major source threshold. Read the step 1 determination above for information about including or excluding fugitive emissions in the PTE calculation.</t>
  </si>
  <si>
    <r>
      <t>NO</t>
    </r>
    <r>
      <rPr>
        <vertAlign val="subscript"/>
        <sz val="11"/>
        <color theme="1"/>
        <rFont val="Arial"/>
        <family val="2"/>
      </rPr>
      <t>x</t>
    </r>
  </si>
  <si>
    <r>
      <t>H</t>
    </r>
    <r>
      <rPr>
        <vertAlign val="subscript"/>
        <sz val="11"/>
        <color theme="1"/>
        <rFont val="Arial"/>
        <family val="2"/>
      </rPr>
      <t>2</t>
    </r>
    <r>
      <rPr>
        <sz val="11"/>
        <color theme="1"/>
        <rFont val="Arial"/>
        <family val="2"/>
      </rPr>
      <t>SO</t>
    </r>
    <r>
      <rPr>
        <vertAlign val="subscript"/>
        <sz val="11"/>
        <color theme="1"/>
        <rFont val="Arial"/>
        <family val="2"/>
      </rPr>
      <t>4</t>
    </r>
  </si>
  <si>
    <r>
      <t xml:space="preserve">Project Emissions Increase (tpy)
</t>
    </r>
    <r>
      <rPr>
        <sz val="11"/>
        <color theme="1"/>
        <rFont val="Arial"/>
        <family val="2"/>
      </rPr>
      <t>(Project PTE  - Baseline Actual Emissions)</t>
    </r>
  </si>
  <si>
    <t>Increase ≥ Threshold?</t>
  </si>
  <si>
    <t>-</t>
  </si>
  <si>
    <t>*Cells J53:J60: if the row is visible, returns 1 if increase is = or &gt; threshold (summed in J61 for use in step 3 determination text)</t>
  </si>
  <si>
    <t>*Cells K53:K60: used only for nonattainment areas; returns 0 for regular criteria pollutants; returns 1 for nonattainment pollutants if increase is = or &gt; threshold (summed in K61 for use in step 3 determination text)</t>
  </si>
  <si>
    <t>*Cells L53:L60: used only for nonattainment areas; returns 0 for nonattainment pollutants; returns 1 for regular criteria pollutants if increase is = or &gt; threshold (summed in L61 for use in step 3 determination text)</t>
  </si>
  <si>
    <t>D. Step 4: Determine if the project emissions increase of the remaining regulated criteria and non-criteria pollutants is a major modification. Compare the project emissions increase for each remaining regulated pollutant to the associated significant level.</t>
  </si>
  <si>
    <t>Significant Level (tpy)</t>
  </si>
  <si>
    <t>Increase ≥ Significant Level?</t>
  </si>
  <si>
    <t>end of worksheet</t>
  </si>
  <si>
    <t>Under Texas Government Code 559.003(a), individuals are entitled to receive and review any information collected by TCEQ about the individual by means of a form that that is completed and filed with TCEQ in a paper or electronic format on the TCEQ website consistent with Texas Government Code sec., 559.003(b). The individual is also entitled to have TCEQ correct information about the individual that is incorrect.
If you have questions on how to fill out this form or about the Air Permits Division, please contact us at 512-239-1250.</t>
  </si>
  <si>
    <t>IV. Plain Language Summary</t>
  </si>
  <si>
    <r>
      <rPr>
        <b/>
        <sz val="11"/>
        <color theme="1"/>
        <rFont val="Arial"/>
        <family val="2"/>
      </rPr>
      <t xml:space="preserve">C. Is public notice required for this project as represented in this workbook?
</t>
    </r>
    <r>
      <rPr>
        <sz val="11"/>
        <color theme="1"/>
        <rFont val="Arial"/>
        <family val="2"/>
      </rPr>
      <t>Note: public notice applicability for this project may change throughout the technical review.</t>
    </r>
  </si>
  <si>
    <t>Future Update Ideas:</t>
  </si>
  <si>
    <t>Accessiblity Note</t>
  </si>
  <si>
    <t>Federal applicablity, tanks, engines, loading, MSS</t>
  </si>
  <si>
    <t>Version:</t>
  </si>
  <si>
    <t>Update Date:</t>
  </si>
  <si>
    <t>OS Project Manager:</t>
  </si>
  <si>
    <t>Team Members:</t>
  </si>
  <si>
    <t>Jett Koen</t>
  </si>
  <si>
    <t>Update standardization and accessiblity</t>
  </si>
  <si>
    <t>needs full accessiblity update</t>
  </si>
  <si>
    <t>Updates:</t>
  </si>
  <si>
    <t>Severe</t>
  </si>
  <si>
    <t>updated (10/07/22) in Caps</t>
  </si>
  <si>
    <t>severe</t>
  </si>
  <si>
    <t>November 7, 2022</t>
  </si>
  <si>
    <t>Form number</t>
  </si>
  <si>
    <t>add PIP question to PI-1-MarineLoading sheet</t>
  </si>
  <si>
    <t>Future Proof Note:</t>
  </si>
  <si>
    <t>https://www.census.gov/naics/</t>
  </si>
  <si>
    <t>https://www.tceq.texas.gov/permitting/air#pip</t>
  </si>
  <si>
    <t>Is the PIP Form (TCEQ Form 20960) attached?</t>
  </si>
  <si>
    <t>M. Is a Public Involvement Plan (PIP) required for this project?</t>
  </si>
  <si>
    <t>Requirements can be found at the following link:</t>
  </si>
  <si>
    <t>Sandra Juarez (tester)</t>
  </si>
  <si>
    <t>1. Prepare all items to make the complete application. Follow "Section IV. Workbook Instructions" below to complete the application workbook.
    A complete application for this RAP includes the following:
       • Core Data Form (if applicable)
       • Process Flow Diagram
       • Current Area Map
       • Plot Plan
       • RAP-Marine Loading Application Workbook (file name: Date_ApplicationWorkbook_Company Name_
         Permit Number if known)
       • If the project involves tank(s): storage tank emission calculations or data files from approved 
         calculation software
       • Vendor data (if used for emission factors)
       • A printout from Emissions Inventory showing the baseline emission years for the units in the project (if using 
         baseline emissions in the federal applicability 
          determination) 
       • Any and all attachments requested throughout the workbook</t>
  </si>
  <si>
    <r>
      <t xml:space="preserve">2. </t>
    </r>
    <r>
      <rPr>
        <b/>
        <sz val="11"/>
        <color rgb="FFC00000"/>
        <rFont val="Arial"/>
        <family val="2"/>
      </rPr>
      <t>Submit the application through STEERS as an ePermits application.</t>
    </r>
    <r>
      <rPr>
        <sz val="11"/>
        <color theme="1"/>
        <rFont val="Arial"/>
        <family val="2"/>
      </rPr>
      <t xml:space="preserve"> When submitting through STEERS a
    wet signature is not required and the system will notify the appropriate regional office and local program(s). You 
    are still required to provide a hard copy of the application to be displayed at the public viewing location during 
    public notice.
3. </t>
    </r>
    <r>
      <rPr>
        <b/>
        <sz val="11"/>
        <color rgb="FFC00000"/>
        <rFont val="Arial"/>
        <family val="2"/>
      </rPr>
      <t>Submit all application attachments through STEERS as part of your ePermit application unless:</t>
    </r>
    <r>
      <rPr>
        <sz val="11"/>
        <color theme="1"/>
        <rFont val="Arial"/>
        <family val="2"/>
      </rPr>
      <t xml:space="preserve">
         • the file size of an attachment exceeds 50 MB or
         • the file type is not accepted (accepted file types are xls, xlsm, xlsx, txt, pdf, doc, docx, wpd, csv, xml, jpg, 
           gif, tif, and jpeg).
     If the attachment cannot be submitted through STEERS for one of the reasons listed above, submit the 
     attachment through email or TCEQ FTPS. For the initial submittal, you must share these files with
     APIRT@tceq.texas.gov. Once your project is assigned, you will share files directly with your reviewer. If 
     confidential files will be submitted, follow the additional instructions below.     
    </t>
    </r>
    <r>
      <rPr>
        <b/>
        <sz val="11"/>
        <color rgb="FFC00000"/>
        <rFont val="Arial"/>
        <family val="2"/>
      </rPr>
      <t>Confidential files</t>
    </r>
    <r>
      <rPr>
        <sz val="11"/>
        <color theme="1"/>
        <rFont val="Arial"/>
        <family val="2"/>
      </rPr>
      <t xml:space="preserve"> must be submitted through STEERS or the TCEQ FTPS. All pages must be marked 
    confidential and have confidential in the file name. Confidential submittals must be separate from non-
    confidential application materials. Note: emails sent to the agency are not encryption protected via Secure 
    Sockets Layers by our server and may be subject to interception by common third-party internet tools. Anything 
    marked as confidential will be treated as such by APD staff upon receipt.</t>
    </r>
  </si>
  <si>
    <t>4. Submit copies of the application materials to other applicable program areas in accordance with "Section VI. Where to Submit Application Materials" below.
5. Do not begin construction until notified by the TCEQ.
6. If the qualification criteria are not met, or if the applicant does not agree with the RAP-SCT Special Conditions, the applicant will receive notice that the application has been voided and the applicant should seek a different type of authorization as appropriate.
See the below link for additional information about submitting via FTPS:</t>
  </si>
  <si>
    <t>https://ftps.tceq.texas.gov/help/</t>
  </si>
  <si>
    <r>
      <t>If yes, is each confidential page marked "</t>
    </r>
    <r>
      <rPr>
        <b/>
        <i/>
        <sz val="11"/>
        <color rgb="FFC00000"/>
        <rFont val="Arial"/>
        <family val="2"/>
      </rPr>
      <t>CONFIDENTIAL</t>
    </r>
    <r>
      <rPr>
        <i/>
        <sz val="11"/>
        <color theme="1"/>
        <rFont val="Arial"/>
        <family val="2"/>
      </rPr>
      <t>" in large red letters?</t>
    </r>
  </si>
  <si>
    <t>THSC §382.041 restricts whether confidential information can be disclosed. Mark any information related to secret or proprietary processes or methods of manufacture as confidential if you do not want this information in the public file. All confidential information should be separated from the application and submitted as a separate file. Additional information regarding confidential information can be found at the link below:</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</si>
</sst>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
    <numFmt numFmtId="165" formatCode="&quot;$&quot;#,##0.00"/>
    <numFmt numFmtId="166" formatCode="0.0000"/>
    <numFmt numFmtId="167" formatCode="0.000000%"/>
    <numFmt numFmtId="168" formatCode="0.00000"/>
    <numFmt numFmtId="169" formatCode="0.0%"/>
    <numFmt numFmtId="170" formatCode="0.00000000"/>
    <numFmt numFmtId="171" formatCode="[=0]0;[&lt;0.01]0.00E+00;#,##0.00"/>
  </numFmts>
  <fonts count="42" x14ac:knownFonts="1">
    <font>
      <sz val="11"/>
      <color theme="1"/>
      <name val="Arial"/>
      <family val="2"/>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9C0006"/>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1"/>
      <color theme="1"/>
      <name val="Arial"/>
      <family val="2"/>
    </font>
    <font>
      <u/>
      <sz val="11"/>
      <color rgb="FF0000F5"/>
      <name val="Arial"/>
      <family val="2"/>
    </font>
    <font>
      <b/>
      <sz val="11"/>
      <color theme="1"/>
      <name val="Arial"/>
      <family val="2"/>
    </font>
    <font>
      <b/>
      <sz val="14"/>
      <color theme="1"/>
      <name val="Arial"/>
      <family val="2"/>
    </font>
    <font>
      <sz val="11"/>
      <color theme="1"/>
      <name val="Calibri"/>
      <family val="2"/>
    </font>
    <font>
      <u/>
      <sz val="11"/>
      <color theme="11"/>
      <name val="Arial"/>
      <family val="2"/>
    </font>
    <font>
      <sz val="11"/>
      <color rgb="FF006100"/>
      <name val="Calibri"/>
      <family val="2"/>
      <scheme val="minor"/>
    </font>
    <font>
      <sz val="11"/>
      <color rgb="FF9C5700"/>
      <name val="Calibri"/>
      <family val="2"/>
      <scheme val="minor"/>
    </font>
    <font>
      <i/>
      <sz val="11"/>
      <color rgb="FF7F7F7F"/>
      <name val="Calibri"/>
      <family val="2"/>
      <scheme val="minor"/>
    </font>
    <font>
      <b/>
      <sz val="11"/>
      <color rgb="FFC00000"/>
      <name val="Arial"/>
      <family val="2"/>
    </font>
    <font>
      <sz val="11"/>
      <color theme="0"/>
      <name val="Arial"/>
      <family val="2"/>
    </font>
    <font>
      <sz val="8"/>
      <name val="Arial"/>
      <family val="2"/>
    </font>
    <font>
      <vertAlign val="subscript"/>
      <sz val="11"/>
      <color theme="1"/>
      <name val="Arial"/>
      <family val="2"/>
    </font>
    <font>
      <sz val="11"/>
      <color theme="0" tint="-0.499984740745262"/>
      <name val="Arial"/>
      <family val="2"/>
    </font>
    <font>
      <b/>
      <i/>
      <sz val="11"/>
      <color rgb="FFC00000"/>
      <name val="Arial"/>
      <family val="2"/>
    </font>
    <font>
      <sz val="1"/>
      <color rgb="FFFFFFCC"/>
      <name val="Arial"/>
      <family val="2"/>
    </font>
    <font>
      <sz val="11"/>
      <name val="Arial"/>
      <family val="2"/>
    </font>
    <font>
      <sz val="7.7"/>
      <color theme="1"/>
      <name val="Arial"/>
      <family val="2"/>
    </font>
    <font>
      <sz val="11"/>
      <color rgb="FFFF0000"/>
      <name val="Arial"/>
      <family val="2"/>
    </font>
    <font>
      <b/>
      <sz val="11"/>
      <color rgb="FF000000"/>
      <name val="Arial"/>
      <family val="2"/>
    </font>
    <font>
      <b/>
      <sz val="11"/>
      <color theme="1"/>
      <name val="Calibri"/>
      <family val="2"/>
    </font>
    <font>
      <sz val="11"/>
      <color rgb="FF000000"/>
      <name val="Arial"/>
      <family val="2"/>
    </font>
    <font>
      <b/>
      <sz val="11"/>
      <color rgb="FFFF0000"/>
      <name val="Arial"/>
      <family val="2"/>
    </font>
    <font>
      <b/>
      <sz val="12"/>
      <color theme="1"/>
      <name val="Arial"/>
      <family val="2"/>
    </font>
    <font>
      <sz val="10"/>
      <color theme="1"/>
      <name val="Arial"/>
      <family val="2"/>
    </font>
    <font>
      <u/>
      <sz val="11"/>
      <color theme="10"/>
      <name val="Arial"/>
      <family val="2"/>
    </font>
    <font>
      <i/>
      <sz val="11"/>
      <color theme="1"/>
      <name val="Arial"/>
      <family val="2"/>
    </font>
  </fonts>
  <fills count="49">
    <fill>
      <patternFill patternType="none"/>
    </fill>
    <fill>
      <patternFill patternType="gray125"/>
    </fill>
    <fill>
      <patternFill patternType="solid">
        <fgColor rgb="FFFFC7CE"/>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CC"/>
        <bgColor indexed="64"/>
      </patternFill>
    </fill>
    <fill>
      <patternFill patternType="solid">
        <fgColor theme="0" tint="-0.499984740745262"/>
        <bgColor indexed="64"/>
      </patternFill>
    </fill>
    <fill>
      <patternFill patternType="solid">
        <fgColor rgb="FFC6EFCE"/>
      </patternFill>
    </fill>
    <fill>
      <patternFill patternType="solid">
        <fgColor rgb="FFFFEB9C"/>
      </patternFill>
    </fill>
    <fill>
      <patternFill patternType="solid">
        <fgColor theme="0" tint="-0.14999847407452621"/>
        <bgColor indexed="64"/>
      </patternFill>
    </fill>
    <fill>
      <patternFill patternType="solid">
        <fgColor theme="0" tint="-0.14996795556505021"/>
        <bgColor indexed="64"/>
      </patternFill>
    </fill>
    <fill>
      <patternFill patternType="solid">
        <fgColor theme="0" tint="-0.249977111117893"/>
        <bgColor indexed="64"/>
      </patternFill>
    </fill>
    <fill>
      <patternFill patternType="solid">
        <fgColor rgb="FFFF99CC"/>
        <bgColor indexed="64"/>
      </patternFill>
    </fill>
    <fill>
      <patternFill patternType="solid">
        <fgColor theme="0"/>
        <bgColor indexed="64"/>
      </patternFill>
    </fill>
    <fill>
      <patternFill patternType="solid">
        <fgColor theme="8"/>
        <bgColor indexed="64"/>
      </patternFill>
    </fill>
    <fill>
      <patternFill patternType="solid">
        <fgColor rgb="FFFFFF00"/>
        <bgColor indexed="64"/>
      </patternFill>
    </fill>
    <fill>
      <patternFill patternType="solid">
        <fgColor theme="9"/>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EBB8B7"/>
        <bgColor indexed="64"/>
      </patternFill>
    </fill>
    <fill>
      <patternFill patternType="solid">
        <fgColor theme="6" tint="0.79998168889431442"/>
        <bgColor indexed="64"/>
      </patternFill>
    </fill>
    <fill>
      <patternFill patternType="solid">
        <fgColor rgb="FFDAEEF3"/>
        <bgColor indexed="64"/>
      </patternFill>
    </fill>
    <fill>
      <patternFill patternType="solid">
        <fgColor theme="4" tint="0.39997558519241921"/>
        <bgColor indexed="64"/>
      </patternFill>
    </fill>
  </fills>
  <borders count="11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thin">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thin">
        <color indexed="64"/>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thin">
        <color indexed="64"/>
      </top>
      <bottom/>
      <diagonal/>
    </border>
    <border>
      <left style="thin">
        <color indexed="64"/>
      </left>
      <right/>
      <top style="medium">
        <color indexed="64"/>
      </top>
      <bottom/>
      <diagonal/>
    </border>
    <border>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bottom style="double">
        <color indexed="64"/>
      </bottom>
      <diagonal/>
    </border>
    <border>
      <left/>
      <right style="thin">
        <color indexed="64"/>
      </right>
      <top/>
      <bottom style="medium">
        <color indexed="64"/>
      </bottom>
      <diagonal/>
    </border>
    <border>
      <left style="medium">
        <color indexed="64"/>
      </left>
      <right/>
      <top style="thin">
        <color theme="0"/>
      </top>
      <bottom style="thin">
        <color theme="0"/>
      </bottom>
      <diagonal/>
    </border>
    <border>
      <left/>
      <right/>
      <top style="thin">
        <color theme="0"/>
      </top>
      <bottom style="thin">
        <color theme="0"/>
      </bottom>
      <diagonal/>
    </border>
    <border>
      <left style="medium">
        <color indexed="64"/>
      </left>
      <right/>
      <top style="thin">
        <color theme="0"/>
      </top>
      <bottom style="medium">
        <color indexed="64"/>
      </bottom>
      <diagonal/>
    </border>
    <border>
      <left/>
      <right/>
      <top style="thin">
        <color theme="0"/>
      </top>
      <bottom style="medium">
        <color indexed="64"/>
      </bottom>
      <diagonal/>
    </border>
    <border>
      <left/>
      <right style="thin">
        <color indexed="64"/>
      </right>
      <top/>
      <bottom style="thin">
        <color indexed="64"/>
      </bottom>
      <diagonal/>
    </border>
    <border>
      <left/>
      <right style="medium">
        <color indexed="64"/>
      </right>
      <top style="thin">
        <color theme="0"/>
      </top>
      <bottom style="thin">
        <color theme="0"/>
      </bottom>
      <diagonal/>
    </border>
    <border>
      <left/>
      <right style="medium">
        <color indexed="64"/>
      </right>
      <top style="thin">
        <color theme="0"/>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right style="thick">
        <color indexed="64"/>
      </right>
      <top style="medium">
        <color indexed="64"/>
      </top>
      <bottom style="medium">
        <color indexed="64"/>
      </bottom>
      <diagonal/>
    </border>
    <border>
      <left/>
      <right style="thick">
        <color indexed="64"/>
      </right>
      <top/>
      <bottom style="medium">
        <color indexed="64"/>
      </bottom>
      <diagonal/>
    </border>
    <border>
      <left/>
      <right style="medium">
        <color indexed="64"/>
      </right>
      <top/>
      <bottom style="thick">
        <color indexed="64"/>
      </bottom>
      <diagonal/>
    </border>
    <border>
      <left/>
      <right style="thick">
        <color indexed="64"/>
      </right>
      <top/>
      <bottom style="thick">
        <color indexed="64"/>
      </bottom>
      <diagonal/>
    </border>
    <border>
      <left/>
      <right/>
      <top/>
      <bottom style="thin">
        <color indexed="64"/>
      </bottom>
      <diagonal/>
    </border>
    <border>
      <left/>
      <right style="thick">
        <color indexed="64"/>
      </right>
      <top/>
      <bottom/>
      <diagonal/>
    </border>
    <border>
      <left style="medium">
        <color indexed="64"/>
      </left>
      <right style="thin">
        <color indexed="64"/>
      </right>
      <top style="medium">
        <color indexed="64"/>
      </top>
      <bottom style="thin">
        <color theme="0"/>
      </bottom>
      <diagonal/>
    </border>
    <border>
      <left style="medium">
        <color indexed="64"/>
      </left>
      <right/>
      <top style="medium">
        <color indexed="64"/>
      </top>
      <bottom style="thin">
        <color theme="0"/>
      </bottom>
      <diagonal/>
    </border>
    <border>
      <left/>
      <right/>
      <top style="medium">
        <color indexed="64"/>
      </top>
      <bottom style="thin">
        <color theme="0"/>
      </bottom>
      <diagonal/>
    </border>
    <border>
      <left/>
      <right style="medium">
        <color indexed="64"/>
      </right>
      <top style="medium">
        <color indexed="64"/>
      </top>
      <bottom style="thin">
        <color theme="0"/>
      </bottom>
      <diagonal/>
    </border>
    <border>
      <left style="thin">
        <color indexed="64"/>
      </left>
      <right/>
      <top/>
      <bottom/>
      <diagonal/>
    </border>
    <border>
      <left style="medium">
        <color indexed="64"/>
      </left>
      <right/>
      <top style="medium">
        <color indexed="64"/>
      </top>
      <bottom style="medium">
        <color theme="9" tint="-0.499984740745262"/>
      </bottom>
      <diagonal/>
    </border>
    <border>
      <left style="medium">
        <color indexed="64"/>
      </left>
      <right style="thin">
        <color theme="9" tint="-0.499984740745262"/>
      </right>
      <top/>
      <bottom style="thin">
        <color theme="9" tint="-0.499984740745262"/>
      </bottom>
      <diagonal/>
    </border>
    <border>
      <left style="thin">
        <color theme="9" tint="-0.499984740745262"/>
      </left>
      <right style="medium">
        <color indexed="64"/>
      </right>
      <top/>
      <bottom style="thin">
        <color theme="9" tint="-0.499984740745262"/>
      </bottom>
      <diagonal/>
    </border>
    <border>
      <left style="medium">
        <color indexed="64"/>
      </left>
      <right style="thin">
        <color theme="9" tint="-0.499984740745262"/>
      </right>
      <top style="thin">
        <color theme="9" tint="-0.499984740745262"/>
      </top>
      <bottom style="thin">
        <color theme="9" tint="-0.499984740745262"/>
      </bottom>
      <diagonal/>
    </border>
    <border>
      <left style="thin">
        <color theme="9" tint="-0.499984740745262"/>
      </left>
      <right style="medium">
        <color indexed="64"/>
      </right>
      <top style="thin">
        <color theme="9" tint="-0.499984740745262"/>
      </top>
      <bottom style="thin">
        <color theme="9" tint="-0.499984740745262"/>
      </bottom>
      <diagonal/>
    </border>
    <border>
      <left style="medium">
        <color indexed="64"/>
      </left>
      <right style="thin">
        <color theme="9" tint="-0.499984740745262"/>
      </right>
      <top style="thin">
        <color theme="9" tint="-0.499984740745262"/>
      </top>
      <bottom style="medium">
        <color indexed="64"/>
      </bottom>
      <diagonal/>
    </border>
    <border>
      <left style="thin">
        <color theme="9" tint="-0.499984740745262"/>
      </left>
      <right style="medium">
        <color indexed="64"/>
      </right>
      <top style="thin">
        <color theme="9" tint="-0.499984740745262"/>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rgb="FF000000"/>
      </left>
      <right style="medium">
        <color rgb="FF000000"/>
      </right>
      <top style="medium">
        <color rgb="FF000000"/>
      </top>
      <bottom/>
      <diagonal/>
    </border>
    <border>
      <left style="medium">
        <color rgb="FF000000"/>
      </left>
      <right style="medium">
        <color rgb="FF000000"/>
      </right>
      <top/>
      <bottom/>
      <diagonal/>
    </border>
    <border>
      <left/>
      <right style="medium">
        <color rgb="FF000000"/>
      </right>
      <top/>
      <bottom/>
      <diagonal/>
    </border>
    <border>
      <left style="medium">
        <color rgb="FF000000"/>
      </left>
      <right style="medium">
        <color rgb="FF000000"/>
      </right>
      <top/>
      <bottom style="medium">
        <color rgb="FF000000"/>
      </bottom>
      <diagonal/>
    </border>
  </borders>
  <cellStyleXfs count="59">
    <xf numFmtId="0" fontId="0" fillId="0" borderId="0">
      <alignment horizontal="left" vertical="top" wrapText="1"/>
    </xf>
    <xf numFmtId="43" fontId="1" fillId="0" borderId="0" applyFont="0" applyFill="0" applyBorder="0" applyAlignment="0" applyProtection="0"/>
    <xf numFmtId="41"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9"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4" applyNumberFormat="0" applyAlignment="0" applyProtection="0"/>
    <xf numFmtId="0" fontId="8" fillId="4" borderId="5" applyNumberFormat="0" applyAlignment="0" applyProtection="0"/>
    <xf numFmtId="0" fontId="9" fillId="4" borderId="4" applyNumberFormat="0" applyAlignment="0" applyProtection="0"/>
    <xf numFmtId="0" fontId="10" fillId="0" borderId="6" applyNumberFormat="0" applyFill="0" applyAlignment="0" applyProtection="0"/>
    <xf numFmtId="0" fontId="11" fillId="5" borderId="7" applyNumberFormat="0" applyAlignment="0" applyProtection="0"/>
    <xf numFmtId="0" fontId="12" fillId="0" borderId="0" applyNumberFormat="0" applyFill="0" applyBorder="0" applyAlignment="0" applyProtection="0"/>
    <xf numFmtId="0" fontId="1" fillId="6" borderId="8" applyNumberFormat="0" applyFont="0" applyAlignment="0" applyProtection="0"/>
    <xf numFmtId="0" fontId="13" fillId="0" borderId="9" applyNumberFormat="0" applyFill="0" applyAlignment="0" applyProtection="0"/>
    <xf numFmtId="0" fontId="14"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4"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4"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4"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4"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4"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0" borderId="0" applyNumberFormat="0" applyBorder="0" applyAlignment="0" applyProtection="0"/>
    <xf numFmtId="0" fontId="16" fillId="0" borderId="0" applyNumberFormat="0" applyFill="0" applyBorder="0" applyAlignment="0" applyProtection="0"/>
    <xf numFmtId="49" fontId="18" fillId="36" borderId="18">
      <alignment horizontal="center" vertical="center"/>
    </xf>
    <xf numFmtId="0" fontId="17" fillId="0" borderId="10">
      <alignment horizontal="left" vertical="top" wrapText="1"/>
    </xf>
    <xf numFmtId="10" fontId="15" fillId="0" borderId="0">
      <alignment horizontal="left" vertical="center"/>
    </xf>
    <xf numFmtId="164" fontId="15" fillId="32" borderId="10">
      <alignment wrapText="1"/>
    </xf>
    <xf numFmtId="0" fontId="20" fillId="0" borderId="0" applyNumberFormat="0" applyFill="0" applyBorder="0" applyAlignment="0" applyProtection="0"/>
    <xf numFmtId="0" fontId="21" fillId="33" borderId="0" applyNumberFormat="0" applyBorder="0" applyAlignment="0" applyProtection="0"/>
    <xf numFmtId="0" fontId="22" fillId="34" borderId="0" applyNumberFormat="0" applyBorder="0" applyAlignment="0" applyProtection="0"/>
    <xf numFmtId="0" fontId="23" fillId="0" borderId="0" applyNumberFormat="0" applyFill="0" applyBorder="0" applyAlignment="0" applyProtection="0"/>
    <xf numFmtId="0" fontId="24" fillId="0" borderId="10">
      <alignment horizontal="left" vertical="top" wrapText="1"/>
    </xf>
    <xf numFmtId="0" fontId="25" fillId="0" borderId="0">
      <alignment horizontal="left" vertical="top"/>
    </xf>
    <xf numFmtId="0" fontId="17" fillId="35" borderId="18">
      <alignment horizontal="left" vertical="top"/>
    </xf>
    <xf numFmtId="0" fontId="25" fillId="0" borderId="11" applyBorder="0">
      <alignment horizontal="left" vertical="top"/>
    </xf>
    <xf numFmtId="0" fontId="15" fillId="0" borderId="0"/>
    <xf numFmtId="0" fontId="40" fillId="0" borderId="0" applyNumberFormat="0" applyFill="0" applyBorder="0" applyAlignment="0" applyProtection="0"/>
  </cellStyleXfs>
  <cellXfs count="1188">
    <xf numFmtId="0" fontId="0" fillId="0" borderId="0" xfId="0">
      <alignment horizontal="left" vertical="top" wrapText="1"/>
    </xf>
    <xf numFmtId="0" fontId="17" fillId="0" borderId="0" xfId="0" applyFont="1">
      <alignment horizontal="left" vertical="top" wrapText="1"/>
    </xf>
    <xf numFmtId="2" fontId="0" fillId="0" borderId="10" xfId="0" applyNumberFormat="1" applyBorder="1" applyAlignment="1">
      <alignment horizontal="left" vertical="top"/>
    </xf>
    <xf numFmtId="0" fontId="0" fillId="0" borderId="0" xfId="0" applyAlignment="1">
      <alignment horizontal="left"/>
    </xf>
    <xf numFmtId="0" fontId="0" fillId="0" borderId="24" xfId="0" applyBorder="1" applyAlignment="1">
      <alignment horizontal="left" vertical="top"/>
    </xf>
    <xf numFmtId="0" fontId="0" fillId="0" borderId="24" xfId="0" applyBorder="1" applyAlignment="1">
      <alignment horizontal="left" vertical="center"/>
    </xf>
    <xf numFmtId="0" fontId="0" fillId="0" borderId="25" xfId="0" applyBorder="1" applyAlignment="1">
      <alignment horizontal="left" vertical="top"/>
    </xf>
    <xf numFmtId="0" fontId="0" fillId="0" borderId="28" xfId="0" applyBorder="1" applyAlignment="1">
      <alignment vertical="top"/>
    </xf>
    <xf numFmtId="0" fontId="0" fillId="0" borderId="0" xfId="0" applyAlignment="1">
      <alignment horizontal="left" vertical="top"/>
    </xf>
    <xf numFmtId="0" fontId="0" fillId="0" borderId="24" xfId="0" applyBorder="1">
      <alignment horizontal="left" vertical="top" wrapText="1"/>
    </xf>
    <xf numFmtId="0" fontId="0" fillId="0" borderId="28" xfId="0" applyBorder="1" applyAlignment="1">
      <alignment horizontal="left" vertical="top"/>
    </xf>
    <xf numFmtId="0" fontId="15" fillId="0" borderId="24" xfId="46" applyFont="1" applyBorder="1">
      <alignment horizontal="left" vertical="top" wrapText="1"/>
    </xf>
    <xf numFmtId="2" fontId="0" fillId="0" borderId="25" xfId="0" applyNumberFormat="1" applyBorder="1" applyAlignment="1">
      <alignment horizontal="left" vertical="top"/>
    </xf>
    <xf numFmtId="2" fontId="0" fillId="0" borderId="29" xfId="0" applyNumberFormat="1" applyBorder="1" applyAlignment="1">
      <alignment horizontal="left" vertical="top"/>
    </xf>
    <xf numFmtId="2" fontId="0" fillId="0" borderId="30" xfId="0" applyNumberFormat="1" applyBorder="1" applyAlignment="1">
      <alignment horizontal="left" vertical="top"/>
    </xf>
    <xf numFmtId="0" fontId="25" fillId="0" borderId="0" xfId="54">
      <alignment horizontal="left" vertical="top"/>
    </xf>
    <xf numFmtId="0" fontId="0" fillId="0" borderId="10" xfId="0" applyBorder="1">
      <alignment horizontal="left" vertical="top" wrapText="1"/>
    </xf>
    <xf numFmtId="0" fontId="17" fillId="0" borderId="31" xfId="0" applyFont="1" applyBorder="1">
      <alignment horizontal="left" vertical="top" wrapText="1"/>
    </xf>
    <xf numFmtId="0" fontId="17" fillId="0" borderId="32" xfId="0" applyFont="1" applyBorder="1">
      <alignment horizontal="left" vertical="top" wrapText="1"/>
    </xf>
    <xf numFmtId="0" fontId="17" fillId="0" borderId="33" xfId="0" applyFont="1" applyBorder="1">
      <alignment horizontal="left" vertical="top" wrapText="1"/>
    </xf>
    <xf numFmtId="2" fontId="0" fillId="0" borderId="10" xfId="0" applyNumberFormat="1" applyBorder="1">
      <alignment horizontal="left" vertical="top" wrapText="1"/>
    </xf>
    <xf numFmtId="2" fontId="0" fillId="0" borderId="25" xfId="0" applyNumberFormat="1" applyBorder="1">
      <alignment horizontal="left" vertical="top" wrapText="1"/>
    </xf>
    <xf numFmtId="166" fontId="0" fillId="0" borderId="10" xfId="0" applyNumberFormat="1" applyBorder="1">
      <alignment horizontal="left" vertical="top" wrapText="1"/>
    </xf>
    <xf numFmtId="166" fontId="0" fillId="0" borderId="25" xfId="0" applyNumberFormat="1" applyBorder="1">
      <alignment horizontal="left" vertical="top" wrapText="1"/>
    </xf>
    <xf numFmtId="166" fontId="0" fillId="0" borderId="19" xfId="0" applyNumberFormat="1" applyBorder="1">
      <alignment horizontal="left" vertical="top" wrapText="1"/>
    </xf>
    <xf numFmtId="166" fontId="0" fillId="0" borderId="35" xfId="0" applyNumberFormat="1" applyBorder="1">
      <alignment horizontal="left" vertical="top" wrapText="1"/>
    </xf>
    <xf numFmtId="2" fontId="0" fillId="0" borderId="21" xfId="0" applyNumberFormat="1" applyBorder="1" applyAlignment="1">
      <alignment vertical="top" wrapText="1"/>
    </xf>
    <xf numFmtId="2" fontId="0" fillId="0" borderId="22" xfId="0" applyNumberFormat="1" applyBorder="1" applyAlignment="1">
      <alignment vertical="top" wrapText="1"/>
    </xf>
    <xf numFmtId="0" fontId="0" fillId="0" borderId="29" xfId="0" applyBorder="1">
      <alignment horizontal="left" vertical="top" wrapText="1"/>
    </xf>
    <xf numFmtId="0" fontId="0" fillId="0" borderId="25" xfId="0" applyBorder="1">
      <alignment horizontal="left" vertical="top" wrapText="1"/>
    </xf>
    <xf numFmtId="0" fontId="0" fillId="0" borderId="24" xfId="0" applyBorder="1" applyAlignment="1">
      <alignment horizontal="center" wrapText="1"/>
    </xf>
    <xf numFmtId="0" fontId="0" fillId="0" borderId="42" xfId="0" applyBorder="1" applyAlignment="1">
      <alignment horizontal="center" wrapText="1"/>
    </xf>
    <xf numFmtId="0" fontId="17" fillId="0" borderId="20" xfId="0" applyFont="1" applyBorder="1" applyAlignment="1">
      <alignment horizontal="center"/>
    </xf>
    <xf numFmtId="0" fontId="17" fillId="0" borderId="21" xfId="0" applyFont="1" applyBorder="1">
      <alignment horizontal="left" vertical="top" wrapText="1"/>
    </xf>
    <xf numFmtId="0" fontId="17" fillId="0" borderId="22" xfId="0" applyFont="1" applyBorder="1">
      <alignment horizontal="left" vertical="top" wrapText="1"/>
    </xf>
    <xf numFmtId="0" fontId="0" fillId="31" borderId="43" xfId="0" applyFill="1" applyBorder="1" applyProtection="1">
      <alignment horizontal="left" vertical="top" wrapText="1"/>
      <protection locked="0"/>
    </xf>
    <xf numFmtId="0" fontId="0" fillId="31" borderId="44" xfId="0" applyFill="1" applyBorder="1" applyProtection="1">
      <alignment horizontal="left" vertical="top" wrapText="1"/>
      <protection locked="0"/>
    </xf>
    <xf numFmtId="0" fontId="0" fillId="31" borderId="35" xfId="0" applyFill="1" applyBorder="1" applyProtection="1">
      <alignment horizontal="left" vertical="top" wrapText="1"/>
      <protection locked="0"/>
    </xf>
    <xf numFmtId="0" fontId="0" fillId="31" borderId="25" xfId="0" applyFill="1" applyBorder="1" applyAlignment="1" applyProtection="1">
      <alignment horizontal="left" vertical="top"/>
      <protection locked="0"/>
    </xf>
    <xf numFmtId="0" fontId="0" fillId="31" borderId="30" xfId="0" applyFill="1" applyBorder="1" applyAlignment="1" applyProtection="1">
      <alignment horizontal="left" vertical="top"/>
      <protection locked="0"/>
    </xf>
    <xf numFmtId="0" fontId="0" fillId="31" borderId="10" xfId="0" applyFill="1" applyBorder="1" applyAlignment="1" applyProtection="1">
      <alignment vertical="center"/>
      <protection locked="0"/>
    </xf>
    <xf numFmtId="1" fontId="0" fillId="31" borderId="10" xfId="0" applyNumberFormat="1" applyFill="1" applyBorder="1" applyAlignment="1" applyProtection="1">
      <alignment horizontal="left" vertical="top"/>
      <protection locked="0"/>
    </xf>
    <xf numFmtId="0" fontId="0" fillId="31" borderId="10" xfId="0" applyFill="1" applyBorder="1" applyProtection="1">
      <alignment horizontal="left" vertical="top" wrapText="1"/>
      <protection locked="0"/>
    </xf>
    <xf numFmtId="0" fontId="0" fillId="31" borderId="19" xfId="0" applyFill="1" applyBorder="1" applyProtection="1">
      <alignment horizontal="left" vertical="top" wrapText="1"/>
      <protection locked="0"/>
    </xf>
    <xf numFmtId="0" fontId="0" fillId="31" borderId="24" xfId="0" applyFill="1" applyBorder="1" applyProtection="1">
      <alignment horizontal="left" vertical="top" wrapText="1"/>
      <protection locked="0"/>
    </xf>
    <xf numFmtId="0" fontId="0" fillId="31" borderId="25" xfId="0" applyFill="1" applyBorder="1" applyProtection="1">
      <alignment horizontal="left" vertical="top" wrapText="1"/>
      <protection locked="0"/>
    </xf>
    <xf numFmtId="0" fontId="0" fillId="0" borderId="10" xfId="0" applyBorder="1" applyAlignment="1">
      <alignment vertical="center"/>
    </xf>
    <xf numFmtId="0" fontId="0" fillId="31" borderId="25" xfId="0" applyFill="1" applyBorder="1" applyAlignment="1" applyProtection="1">
      <alignment vertical="center"/>
      <protection locked="0"/>
    </xf>
    <xf numFmtId="0" fontId="17" fillId="0" borderId="31" xfId="46" applyBorder="1">
      <alignment horizontal="left" vertical="top" wrapText="1"/>
    </xf>
    <xf numFmtId="0" fontId="17" fillId="0" borderId="32" xfId="46" applyBorder="1">
      <alignment horizontal="left" vertical="top" wrapText="1"/>
    </xf>
    <xf numFmtId="0" fontId="0" fillId="0" borderId="68" xfId="0" applyBorder="1">
      <alignment horizontal="left" vertical="top" wrapText="1"/>
    </xf>
    <xf numFmtId="0" fontId="0" fillId="0" borderId="25" xfId="0" applyBorder="1" applyAlignment="1">
      <alignment vertical="center"/>
    </xf>
    <xf numFmtId="0" fontId="0" fillId="0" borderId="10" xfId="0" applyBorder="1" applyAlignment="1">
      <alignment horizontal="left" vertical="top"/>
    </xf>
    <xf numFmtId="0" fontId="17" fillId="0" borderId="0" xfId="0" applyFont="1" applyAlignment="1">
      <alignment horizontal="left" vertical="top"/>
    </xf>
    <xf numFmtId="0" fontId="17" fillId="0" borderId="20" xfId="46" applyBorder="1" applyAlignment="1">
      <alignment horizontal="left" wrapText="1"/>
    </xf>
    <xf numFmtId="0" fontId="17" fillId="0" borderId="21" xfId="46" applyBorder="1" applyAlignment="1">
      <alignment horizontal="left" wrapText="1"/>
    </xf>
    <xf numFmtId="49" fontId="17" fillId="0" borderId="21" xfId="46" applyNumberFormat="1" applyBorder="1" applyAlignment="1">
      <alignment horizontal="left" wrapText="1"/>
    </xf>
    <xf numFmtId="0" fontId="17" fillId="0" borderId="63" xfId="46" applyBorder="1" applyAlignment="1">
      <alignment horizontal="left" wrapText="1"/>
    </xf>
    <xf numFmtId="0" fontId="0" fillId="31" borderId="48" xfId="0" applyFill="1" applyBorder="1" applyAlignment="1" applyProtection="1">
      <alignment horizontal="left" wrapText="1"/>
      <protection locked="0"/>
    </xf>
    <xf numFmtId="0" fontId="0" fillId="0" borderId="47" xfId="0" applyBorder="1" applyAlignment="1">
      <alignment horizontal="left" wrapText="1"/>
    </xf>
    <xf numFmtId="164" fontId="15" fillId="32" borderId="24" xfId="48" applyBorder="1" applyAlignment="1">
      <alignment horizontal="left" wrapText="1"/>
    </xf>
    <xf numFmtId="164" fontId="15" fillId="32" borderId="10" xfId="48" applyAlignment="1">
      <alignment horizontal="left" wrapText="1"/>
    </xf>
    <xf numFmtId="0" fontId="0" fillId="0" borderId="10" xfId="0" applyBorder="1" applyAlignment="1">
      <alignment horizontal="left" wrapText="1"/>
    </xf>
    <xf numFmtId="0" fontId="0" fillId="0" borderId="10" xfId="0" applyBorder="1" applyAlignment="1">
      <alignment horizontal="left"/>
    </xf>
    <xf numFmtId="0" fontId="0" fillId="31" borderId="24" xfId="0" applyFill="1" applyBorder="1" applyAlignment="1" applyProtection="1">
      <alignment horizontal="left" wrapText="1"/>
      <protection locked="0"/>
    </xf>
    <xf numFmtId="164" fontId="15" fillId="32" borderId="28" xfId="48" applyBorder="1" applyAlignment="1">
      <alignment horizontal="left" wrapText="1"/>
    </xf>
    <xf numFmtId="164" fontId="15" fillId="32" borderId="29" xfId="48" applyBorder="1" applyAlignment="1">
      <alignment horizontal="left" wrapText="1"/>
    </xf>
    <xf numFmtId="0" fontId="0" fillId="0" borderId="29" xfId="0" applyBorder="1" applyAlignment="1">
      <alignment horizontal="left" wrapText="1"/>
    </xf>
    <xf numFmtId="0" fontId="0" fillId="31" borderId="47" xfId="0" applyFill="1" applyBorder="1" applyAlignment="1" applyProtection="1">
      <alignment horizontal="left" wrapText="1"/>
      <protection locked="0"/>
    </xf>
    <xf numFmtId="49" fontId="0" fillId="31" borderId="47" xfId="0" applyNumberFormat="1" applyFill="1" applyBorder="1" applyAlignment="1" applyProtection="1">
      <alignment horizontal="left" wrapText="1"/>
      <protection locked="0"/>
    </xf>
    <xf numFmtId="49" fontId="0" fillId="31" borderId="10" xfId="0" applyNumberFormat="1" applyFill="1" applyBorder="1" applyAlignment="1" applyProtection="1">
      <alignment horizontal="left" wrapText="1"/>
      <protection locked="0"/>
    </xf>
    <xf numFmtId="0" fontId="0" fillId="31" borderId="10" xfId="0" applyFill="1" applyBorder="1" applyAlignment="1" applyProtection="1">
      <alignment horizontal="left" wrapText="1"/>
      <protection locked="0"/>
    </xf>
    <xf numFmtId="49" fontId="0" fillId="31" borderId="29" xfId="0" applyNumberFormat="1" applyFill="1" applyBorder="1" applyAlignment="1" applyProtection="1">
      <alignment horizontal="left" wrapText="1"/>
      <protection locked="0"/>
    </xf>
    <xf numFmtId="49" fontId="0" fillId="0" borderId="10" xfId="0" applyNumberFormat="1" applyBorder="1" applyAlignment="1">
      <alignment vertical="center" wrapText="1"/>
    </xf>
    <xf numFmtId="0" fontId="0" fillId="0" borderId="10" xfId="0" applyBorder="1" applyAlignment="1">
      <alignment vertical="center" wrapText="1"/>
    </xf>
    <xf numFmtId="49" fontId="0" fillId="31" borderId="10" xfId="0" applyNumberFormat="1" applyFill="1" applyBorder="1" applyAlignment="1" applyProtection="1">
      <alignment vertical="center" wrapText="1"/>
      <protection locked="0"/>
    </xf>
    <xf numFmtId="49" fontId="0" fillId="31" borderId="10" xfId="0" applyNumberFormat="1" applyFill="1" applyBorder="1" applyAlignment="1" applyProtection="1">
      <alignment vertical="top" wrapText="1"/>
      <protection locked="0"/>
    </xf>
    <xf numFmtId="164" fontId="15" fillId="32" borderId="10" xfId="48">
      <alignment wrapText="1"/>
    </xf>
    <xf numFmtId="164" fontId="15" fillId="32" borderId="29" xfId="48" applyBorder="1">
      <alignment wrapText="1"/>
    </xf>
    <xf numFmtId="0" fontId="17" fillId="0" borderId="10" xfId="46">
      <alignment horizontal="left" vertical="top" wrapText="1"/>
    </xf>
    <xf numFmtId="0" fontId="17" fillId="0" borderId="25" xfId="46" applyBorder="1">
      <alignment horizontal="left" vertical="top" wrapText="1"/>
    </xf>
    <xf numFmtId="0" fontId="17" fillId="0" borderId="10" xfId="46" applyAlignment="1">
      <alignment horizontal="left" wrapText="1"/>
    </xf>
    <xf numFmtId="0" fontId="17" fillId="0" borderId="24" xfId="46" applyBorder="1" applyAlignment="1">
      <alignment horizontal="left" wrapText="1"/>
    </xf>
    <xf numFmtId="0" fontId="17" fillId="0" borderId="25" xfId="46" applyBorder="1" applyAlignment="1">
      <alignment horizontal="left" wrapText="1"/>
    </xf>
    <xf numFmtId="2" fontId="0" fillId="0" borderId="29" xfId="0" applyNumberFormat="1" applyBorder="1">
      <alignment horizontal="left" vertical="top" wrapText="1"/>
    </xf>
    <xf numFmtId="2" fontId="0" fillId="0" borderId="30" xfId="0" applyNumberFormat="1" applyBorder="1">
      <alignment horizontal="left" vertical="top" wrapText="1"/>
    </xf>
    <xf numFmtId="0" fontId="0" fillId="0" borderId="53" xfId="0" applyBorder="1">
      <alignment horizontal="left" vertical="top" wrapText="1"/>
    </xf>
    <xf numFmtId="0" fontId="0" fillId="0" borderId="54" xfId="0" applyBorder="1">
      <alignment horizontal="left" vertical="top" wrapText="1"/>
    </xf>
    <xf numFmtId="0" fontId="0" fillId="0" borderId="55" xfId="0" applyBorder="1">
      <alignment horizontal="left" vertical="top" wrapText="1"/>
    </xf>
    <xf numFmtId="0" fontId="0" fillId="0" borderId="56" xfId="0" applyBorder="1">
      <alignment horizontal="left" vertical="top" wrapText="1"/>
    </xf>
    <xf numFmtId="0" fontId="0" fillId="0" borderId="57" xfId="0" applyBorder="1">
      <alignment horizontal="left" vertical="top" wrapText="1"/>
    </xf>
    <xf numFmtId="0" fontId="0" fillId="0" borderId="66" xfId="0" applyBorder="1">
      <alignment horizontal="left" vertical="top" wrapText="1"/>
    </xf>
    <xf numFmtId="0" fontId="0" fillId="0" borderId="67" xfId="0" applyBorder="1">
      <alignment horizontal="left" vertical="top" wrapText="1"/>
    </xf>
    <xf numFmtId="0" fontId="13" fillId="0" borderId="0" xfId="0" applyFont="1" applyAlignment="1"/>
    <xf numFmtId="0" fontId="17" fillId="0" borderId="73" xfId="0" applyFont="1" applyBorder="1" applyAlignment="1">
      <alignment horizontal="left" vertical="top"/>
    </xf>
    <xf numFmtId="0" fontId="0" fillId="0" borderId="74" xfId="0" applyBorder="1" applyAlignment="1">
      <alignment horizontal="left" vertical="top"/>
    </xf>
    <xf numFmtId="0" fontId="0" fillId="0" borderId="75" xfId="0" applyBorder="1" applyAlignment="1">
      <alignment horizontal="left" vertical="top"/>
    </xf>
    <xf numFmtId="164" fontId="25" fillId="32" borderId="24" xfId="48" applyFont="1" applyBorder="1" applyAlignment="1"/>
    <xf numFmtId="164" fontId="25" fillId="32" borderId="10" xfId="48" applyFont="1" applyAlignment="1"/>
    <xf numFmtId="164" fontId="25" fillId="32" borderId="28" xfId="48" applyFont="1" applyBorder="1" applyAlignment="1"/>
    <xf numFmtId="164" fontId="25" fillId="32" borderId="29" xfId="48" applyFont="1" applyBorder="1" applyAlignment="1"/>
    <xf numFmtId="0" fontId="25" fillId="0" borderId="10" xfId="0" applyFont="1" applyBorder="1" applyAlignment="1">
      <alignment horizontal="left" vertical="top"/>
    </xf>
    <xf numFmtId="0" fontId="25" fillId="0" borderId="29" xfId="0" applyFont="1" applyBorder="1" applyAlignment="1">
      <alignment horizontal="left" vertical="top"/>
    </xf>
    <xf numFmtId="0" fontId="0" fillId="31" borderId="30" xfId="0" applyFill="1" applyBorder="1" applyProtection="1">
      <alignment horizontal="left" vertical="top" wrapText="1"/>
      <protection locked="0"/>
    </xf>
    <xf numFmtId="0" fontId="0" fillId="39" borderId="10" xfId="0" applyFill="1" applyBorder="1">
      <alignment horizontal="left" vertical="top" wrapText="1"/>
    </xf>
    <xf numFmtId="0" fontId="0" fillId="0" borderId="29" xfId="0" applyBorder="1" applyAlignment="1">
      <alignment vertical="center" wrapText="1"/>
    </xf>
    <xf numFmtId="0" fontId="0" fillId="0" borderId="29" xfId="0" applyBorder="1" applyAlignment="1">
      <alignment vertical="center"/>
    </xf>
    <xf numFmtId="0" fontId="0" fillId="0" borderId="30" xfId="0" applyBorder="1" applyAlignment="1">
      <alignment vertical="center"/>
    </xf>
    <xf numFmtId="0" fontId="0" fillId="31" borderId="33" xfId="0" applyFill="1" applyBorder="1" applyAlignment="1" applyProtection="1">
      <alignment horizontal="left" vertical="top"/>
      <protection locked="0"/>
    </xf>
    <xf numFmtId="0" fontId="17" fillId="0" borderId="30" xfId="0" applyFont="1" applyBorder="1">
      <alignment horizontal="left" vertical="top" wrapText="1"/>
    </xf>
    <xf numFmtId="0" fontId="0" fillId="0" borderId="31" xfId="0" applyBorder="1">
      <alignment horizontal="left" vertical="top" wrapText="1"/>
    </xf>
    <xf numFmtId="0" fontId="0" fillId="0" borderId="32" xfId="0" applyBorder="1">
      <alignment horizontal="left" vertical="top" wrapText="1"/>
    </xf>
    <xf numFmtId="0" fontId="0" fillId="0" borderId="28" xfId="0" applyBorder="1">
      <alignment horizontal="left" vertical="top" wrapText="1"/>
    </xf>
    <xf numFmtId="0" fontId="0" fillId="0" borderId="30" xfId="0" applyBorder="1">
      <alignment horizontal="left" vertical="top" wrapText="1"/>
    </xf>
    <xf numFmtId="167" fontId="15" fillId="0" borderId="0" xfId="47" applyNumberFormat="1">
      <alignment horizontal="left" vertical="center"/>
    </xf>
    <xf numFmtId="0" fontId="0" fillId="0" borderId="25" xfId="0" applyBorder="1" applyAlignment="1">
      <alignment vertical="top" wrapText="1"/>
    </xf>
    <xf numFmtId="0" fontId="0" fillId="39" borderId="25" xfId="0" applyFill="1" applyBorder="1">
      <alignment horizontal="left" vertical="top" wrapText="1"/>
    </xf>
    <xf numFmtId="0" fontId="17" fillId="0" borderId="33" xfId="46" applyBorder="1">
      <alignment horizontal="left" vertical="top" wrapText="1"/>
    </xf>
    <xf numFmtId="0" fontId="28" fillId="32" borderId="10" xfId="0" applyFont="1" applyFill="1" applyBorder="1" applyAlignment="1">
      <alignment wrapText="1"/>
    </xf>
    <xf numFmtId="0" fontId="0" fillId="0" borderId="31" xfId="0" applyBorder="1" applyAlignment="1">
      <alignment horizontal="center" wrapText="1"/>
    </xf>
    <xf numFmtId="0" fontId="28" fillId="32" borderId="25" xfId="0" applyFont="1" applyFill="1" applyBorder="1" applyAlignment="1">
      <alignment wrapText="1"/>
    </xf>
    <xf numFmtId="0" fontId="0" fillId="0" borderId="28" xfId="0" applyBorder="1" applyAlignment="1">
      <alignment horizontal="center" wrapText="1"/>
    </xf>
    <xf numFmtId="0" fontId="0" fillId="0" borderId="78" xfId="0" applyBorder="1" applyAlignment="1">
      <alignment horizontal="left" vertical="top"/>
    </xf>
    <xf numFmtId="49" fontId="0" fillId="0" borderId="0" xfId="0" applyNumberFormat="1">
      <alignment horizontal="left" vertical="top" wrapText="1"/>
    </xf>
    <xf numFmtId="2" fontId="0" fillId="0" borderId="10" xfId="0" applyNumberFormat="1" applyBorder="1" applyAlignment="1">
      <alignment vertical="top"/>
    </xf>
    <xf numFmtId="2" fontId="0" fillId="0" borderId="25" xfId="0" applyNumberFormat="1" applyBorder="1" applyAlignment="1">
      <alignment vertical="top"/>
    </xf>
    <xf numFmtId="2" fontId="0" fillId="0" borderId="29" xfId="0" applyNumberFormat="1" applyBorder="1" applyAlignment="1">
      <alignment vertical="top"/>
    </xf>
    <xf numFmtId="2" fontId="0" fillId="0" borderId="30" xfId="0" applyNumberFormat="1" applyBorder="1" applyAlignment="1">
      <alignment vertical="top"/>
    </xf>
    <xf numFmtId="166" fontId="0" fillId="0" borderId="10" xfId="0" applyNumberFormat="1" applyBorder="1" applyAlignment="1">
      <alignment vertical="top" wrapText="1"/>
    </xf>
    <xf numFmtId="166" fontId="0" fillId="0" borderId="25" xfId="0" applyNumberFormat="1" applyBorder="1" applyAlignment="1">
      <alignment vertical="top" wrapText="1"/>
    </xf>
    <xf numFmtId="166" fontId="0" fillId="0" borderId="29" xfId="0" applyNumberFormat="1" applyBorder="1" applyAlignment="1">
      <alignment vertical="top" wrapText="1"/>
    </xf>
    <xf numFmtId="166" fontId="0" fillId="0" borderId="30" xfId="0" applyNumberFormat="1" applyBorder="1" applyAlignment="1">
      <alignment vertical="top" wrapText="1"/>
    </xf>
    <xf numFmtId="166" fontId="0" fillId="0" borderId="29" xfId="0" applyNumberFormat="1" applyBorder="1">
      <alignment horizontal="left" vertical="top" wrapText="1"/>
    </xf>
    <xf numFmtId="49" fontId="0" fillId="31" borderId="10" xfId="0" applyNumberFormat="1" applyFill="1" applyBorder="1" applyProtection="1">
      <alignment horizontal="left" vertical="top" wrapText="1"/>
      <protection locked="0"/>
    </xf>
    <xf numFmtId="49" fontId="0" fillId="31" borderId="29" xfId="0" applyNumberFormat="1" applyFill="1" applyBorder="1" applyProtection="1">
      <alignment horizontal="left" vertical="top" wrapText="1"/>
      <protection locked="0"/>
    </xf>
    <xf numFmtId="49" fontId="0" fillId="39" borderId="10" xfId="0" applyNumberFormat="1" applyFill="1" applyBorder="1">
      <alignment horizontal="left" vertical="top" wrapText="1"/>
    </xf>
    <xf numFmtId="0" fontId="30" fillId="39" borderId="25" xfId="0" applyFont="1" applyFill="1" applyBorder="1" applyAlignment="1">
      <alignment horizontal="left" vertical="top"/>
    </xf>
    <xf numFmtId="0" fontId="30" fillId="39" borderId="30" xfId="0" applyFont="1" applyFill="1" applyBorder="1" applyAlignment="1">
      <alignment horizontal="left" vertical="top"/>
    </xf>
    <xf numFmtId="0" fontId="30" fillId="39" borderId="10" xfId="0" applyFont="1" applyFill="1" applyBorder="1" applyAlignment="1">
      <alignment horizontal="left" vertical="top"/>
    </xf>
    <xf numFmtId="0" fontId="30" fillId="39" borderId="29" xfId="0" applyFont="1" applyFill="1" applyBorder="1" applyAlignment="1">
      <alignment horizontal="left" vertical="top"/>
    </xf>
    <xf numFmtId="49" fontId="30" fillId="39" borderId="10" xfId="0" applyNumberFormat="1" applyFont="1" applyFill="1" applyBorder="1" applyAlignment="1">
      <alignment horizontal="left" vertical="top"/>
    </xf>
    <xf numFmtId="49" fontId="30" fillId="39" borderId="29" xfId="0" applyNumberFormat="1" applyFont="1" applyFill="1" applyBorder="1" applyAlignment="1">
      <alignment horizontal="left" vertical="top"/>
    </xf>
    <xf numFmtId="0" fontId="0" fillId="39" borderId="24" xfId="0" applyFill="1" applyBorder="1">
      <alignment horizontal="left" vertical="top" wrapText="1"/>
    </xf>
    <xf numFmtId="0" fontId="0" fillId="0" borderId="49" xfId="0" applyBorder="1">
      <alignment horizontal="left" vertical="top" wrapText="1"/>
    </xf>
    <xf numFmtId="10" fontId="0" fillId="0" borderId="29" xfId="0" applyNumberFormat="1" applyBorder="1" applyAlignment="1">
      <alignment vertical="top" wrapText="1"/>
    </xf>
    <xf numFmtId="0" fontId="17" fillId="0" borderId="22" xfId="0" applyFont="1" applyBorder="1" applyAlignment="1">
      <alignment horizontal="center" vertical="center" wrapText="1"/>
    </xf>
    <xf numFmtId="164" fontId="15" fillId="32" borderId="10" xfId="48" applyAlignment="1"/>
    <xf numFmtId="164" fontId="15" fillId="32" borderId="47" xfId="48" applyBorder="1">
      <alignment wrapText="1"/>
    </xf>
    <xf numFmtId="164" fontId="15" fillId="32" borderId="47" xfId="48" applyBorder="1" applyAlignment="1"/>
    <xf numFmtId="0" fontId="0" fillId="0" borderId="78" xfId="0" applyBorder="1">
      <alignment horizontal="left" vertical="top" wrapText="1"/>
    </xf>
    <xf numFmtId="0" fontId="0" fillId="0" borderId="61" xfId="0" applyBorder="1">
      <alignment horizontal="left" vertical="top" wrapText="1"/>
    </xf>
    <xf numFmtId="0" fontId="17" fillId="0" borderId="56" xfId="0" applyFont="1" applyBorder="1">
      <alignment horizontal="left" vertical="top" wrapText="1"/>
    </xf>
    <xf numFmtId="0" fontId="17" fillId="0" borderId="57" xfId="0" applyFont="1" applyBorder="1">
      <alignment horizontal="left" vertical="top" wrapText="1"/>
    </xf>
    <xf numFmtId="49" fontId="0" fillId="0" borderId="24" xfId="0" applyNumberFormat="1" applyBorder="1">
      <alignment horizontal="left" vertical="top" wrapText="1"/>
    </xf>
    <xf numFmtId="49" fontId="0" fillId="0" borderId="25" xfId="0" applyNumberFormat="1" applyBorder="1">
      <alignment horizontal="left" vertical="top" wrapText="1"/>
    </xf>
    <xf numFmtId="2" fontId="0" fillId="0" borderId="0" xfId="0" applyNumberFormat="1" applyAlignment="1">
      <alignment horizontal="left" vertical="top"/>
    </xf>
    <xf numFmtId="2" fontId="0" fillId="0" borderId="0" xfId="0" applyNumberFormat="1">
      <alignment horizontal="left" vertical="top" wrapText="1"/>
    </xf>
    <xf numFmtId="0" fontId="0" fillId="38" borderId="0" xfId="0" applyFill="1">
      <alignment horizontal="left" vertical="top" wrapText="1"/>
    </xf>
    <xf numFmtId="0" fontId="0" fillId="0" borderId="10" xfId="0" applyBorder="1" applyAlignment="1">
      <alignment vertical="top" wrapText="1"/>
    </xf>
    <xf numFmtId="0" fontId="0" fillId="31" borderId="29" xfId="0" applyFill="1" applyBorder="1" applyProtection="1">
      <alignment horizontal="left" vertical="top" wrapText="1"/>
      <protection locked="0"/>
    </xf>
    <xf numFmtId="0" fontId="0" fillId="0" borderId="29" xfId="0" applyBorder="1" applyAlignment="1">
      <alignment vertical="top" wrapText="1"/>
    </xf>
    <xf numFmtId="0" fontId="17" fillId="0" borderId="19" xfId="46" applyBorder="1" applyAlignment="1">
      <alignment vertical="top" wrapText="1"/>
    </xf>
    <xf numFmtId="0" fontId="17" fillId="0" borderId="19" xfId="46" applyBorder="1">
      <alignment horizontal="left" vertical="top" wrapText="1"/>
    </xf>
    <xf numFmtId="0" fontId="17" fillId="0" borderId="35" xfId="46" applyBorder="1">
      <alignment horizontal="left" vertical="top" wrapText="1"/>
    </xf>
    <xf numFmtId="0" fontId="0" fillId="0" borderId="47" xfId="0" applyBorder="1" applyAlignment="1">
      <alignment vertical="top" wrapText="1"/>
    </xf>
    <xf numFmtId="0" fontId="0" fillId="31" borderId="47" xfId="0" applyFill="1" applyBorder="1" applyProtection="1">
      <alignment horizontal="left" vertical="top" wrapText="1"/>
      <protection locked="0"/>
    </xf>
    <xf numFmtId="0" fontId="25" fillId="0" borderId="29" xfId="56" applyBorder="1">
      <alignment horizontal="left" vertical="top"/>
    </xf>
    <xf numFmtId="0" fontId="0" fillId="0" borderId="29" xfId="0" applyBorder="1" applyAlignment="1">
      <alignment horizontal="left" vertical="top"/>
    </xf>
    <xf numFmtId="0" fontId="0" fillId="31" borderId="29" xfId="0" applyFill="1" applyBorder="1" applyAlignment="1" applyProtection="1">
      <alignment horizontal="left" vertical="top"/>
      <protection locked="0"/>
    </xf>
    <xf numFmtId="0" fontId="0" fillId="31" borderId="10" xfId="0" applyFill="1" applyBorder="1" applyAlignment="1" applyProtection="1">
      <alignment horizontal="left" vertical="top"/>
      <protection locked="0"/>
    </xf>
    <xf numFmtId="0" fontId="17" fillId="0" borderId="48" xfId="46" applyBorder="1">
      <alignment horizontal="left" vertical="top" wrapText="1"/>
    </xf>
    <xf numFmtId="0" fontId="17" fillId="0" borderId="47" xfId="46" applyBorder="1">
      <alignment horizontal="left" vertical="top" wrapText="1"/>
    </xf>
    <xf numFmtId="0" fontId="17" fillId="0" borderId="49" xfId="46" applyBorder="1">
      <alignment horizontal="left" vertical="top" wrapText="1"/>
    </xf>
    <xf numFmtId="0" fontId="25" fillId="0" borderId="24" xfId="56" applyBorder="1">
      <alignment horizontal="left" vertical="top"/>
    </xf>
    <xf numFmtId="0" fontId="25" fillId="0" borderId="28" xfId="56" applyBorder="1">
      <alignment horizontal="left" vertical="top"/>
    </xf>
    <xf numFmtId="0" fontId="17" fillId="0" borderId="56" xfId="46" applyBorder="1">
      <alignment horizontal="left" vertical="top" wrapText="1"/>
    </xf>
    <xf numFmtId="2" fontId="0" fillId="40" borderId="0" xfId="0" applyNumberFormat="1" applyFill="1">
      <alignment horizontal="left" vertical="top" wrapText="1"/>
    </xf>
    <xf numFmtId="2" fontId="0" fillId="40" borderId="0" xfId="0" applyNumberFormat="1" applyFill="1" applyAlignment="1">
      <alignment horizontal="left" vertical="top"/>
    </xf>
    <xf numFmtId="164" fontId="15" fillId="32" borderId="10" xfId="48" quotePrefix="1">
      <alignment wrapText="1"/>
    </xf>
    <xf numFmtId="0" fontId="25" fillId="0" borderId="25" xfId="56" applyBorder="1">
      <alignment horizontal="left" vertical="top"/>
    </xf>
    <xf numFmtId="0" fontId="25" fillId="0" borderId="30" xfId="56" applyBorder="1">
      <alignment horizontal="left" vertical="top"/>
    </xf>
    <xf numFmtId="49" fontId="0" fillId="0" borderId="0" xfId="0" applyNumberFormat="1" applyAlignment="1">
      <alignment horizontal="left" vertical="top"/>
    </xf>
    <xf numFmtId="49" fontId="31" fillId="0" borderId="24" xfId="54" applyNumberFormat="1" applyFont="1" applyBorder="1" applyAlignment="1">
      <alignment horizontal="left" vertical="top" wrapText="1"/>
    </xf>
    <xf numFmtId="0" fontId="0" fillId="31" borderId="10" xfId="0" applyFill="1" applyBorder="1" applyAlignment="1" applyProtection="1">
      <alignment vertical="top"/>
      <protection locked="0"/>
    </xf>
    <xf numFmtId="0" fontId="0" fillId="0" borderId="24" xfId="0" applyBorder="1" applyAlignment="1">
      <alignment vertical="top"/>
    </xf>
    <xf numFmtId="164" fontId="15" fillId="32" borderId="47" xfId="48" quotePrefix="1" applyBorder="1">
      <alignment wrapText="1"/>
    </xf>
    <xf numFmtId="0" fontId="0" fillId="31" borderId="12" xfId="0" applyFill="1" applyBorder="1" applyProtection="1">
      <alignment horizontal="left" vertical="top" wrapText="1"/>
      <protection locked="0"/>
    </xf>
    <xf numFmtId="2" fontId="15" fillId="0" borderId="29" xfId="48" applyNumberFormat="1" applyFill="1" applyBorder="1" applyAlignment="1">
      <alignment horizontal="left" vertical="top" wrapText="1"/>
    </xf>
    <xf numFmtId="0" fontId="0" fillId="31" borderId="10" xfId="0" applyFill="1" applyBorder="1" applyAlignment="1" applyProtection="1">
      <protection locked="0"/>
    </xf>
    <xf numFmtId="0" fontId="0" fillId="31" borderId="10" xfId="0" applyFill="1" applyBorder="1" applyAlignment="1" applyProtection="1">
      <alignment wrapText="1"/>
      <protection locked="0"/>
    </xf>
    <xf numFmtId="0" fontId="17" fillId="0" borderId="84" xfId="46" applyBorder="1">
      <alignment horizontal="left" vertical="top" wrapText="1"/>
    </xf>
    <xf numFmtId="2" fontId="0" fillId="0" borderId="10" xfId="0" applyNumberFormat="1" applyBorder="1" applyAlignment="1">
      <alignment vertical="top" wrapText="1"/>
    </xf>
    <xf numFmtId="2" fontId="0" fillId="0" borderId="10" xfId="0" applyNumberFormat="1" applyBorder="1" applyAlignment="1"/>
    <xf numFmtId="2" fontId="0" fillId="0" borderId="25" xfId="0" applyNumberFormat="1" applyBorder="1" applyAlignment="1"/>
    <xf numFmtId="2" fontId="0" fillId="0" borderId="30" xfId="0" applyNumberFormat="1" applyBorder="1" applyAlignment="1"/>
    <xf numFmtId="49" fontId="0" fillId="0" borderId="10" xfId="0" applyNumberFormat="1" applyBorder="1">
      <alignment horizontal="left" vertical="top" wrapText="1"/>
    </xf>
    <xf numFmtId="2" fontId="0" fillId="40" borderId="0" xfId="0" quotePrefix="1" applyNumberFormat="1" applyFill="1" applyAlignment="1">
      <alignment horizontal="left" vertical="top"/>
    </xf>
    <xf numFmtId="0" fontId="0" fillId="31" borderId="35" xfId="0" applyFill="1" applyBorder="1" applyAlignment="1" applyProtection="1">
      <alignment horizontal="left" vertical="top"/>
      <protection locked="0"/>
    </xf>
    <xf numFmtId="1" fontId="0" fillId="0" borderId="0" xfId="0" applyNumberFormat="1">
      <alignment horizontal="left" vertical="top" wrapText="1"/>
    </xf>
    <xf numFmtId="2" fontId="31" fillId="40" borderId="0" xfId="0" applyNumberFormat="1" applyFont="1" applyFill="1">
      <alignment horizontal="left" vertical="top" wrapText="1"/>
    </xf>
    <xf numFmtId="2" fontId="0" fillId="0" borderId="78" xfId="0" applyNumberFormat="1" applyBorder="1" applyAlignment="1">
      <alignment horizontal="left" vertical="top"/>
    </xf>
    <xf numFmtId="0" fontId="0" fillId="0" borderId="30" xfId="0" applyBorder="1" applyAlignment="1">
      <alignment vertical="top" wrapText="1"/>
    </xf>
    <xf numFmtId="0" fontId="31" fillId="0" borderId="10" xfId="54" applyFont="1" applyBorder="1" applyAlignment="1">
      <alignment horizontal="left" vertical="top" wrapText="1"/>
    </xf>
    <xf numFmtId="0" fontId="0" fillId="0" borderId="19" xfId="0" applyBorder="1">
      <alignment horizontal="left" vertical="top" wrapText="1"/>
    </xf>
    <xf numFmtId="0" fontId="17" fillId="0" borderId="61" xfId="46" applyBorder="1">
      <alignment horizontal="left" vertical="top" wrapText="1"/>
    </xf>
    <xf numFmtId="164" fontId="15" fillId="32" borderId="0" xfId="48" applyBorder="1">
      <alignment wrapText="1"/>
    </xf>
    <xf numFmtId="2" fontId="0" fillId="38" borderId="0" xfId="0" applyNumberFormat="1" applyFill="1">
      <alignment horizontal="left" vertical="top" wrapText="1"/>
    </xf>
    <xf numFmtId="2" fontId="0" fillId="0" borderId="0" xfId="0" quotePrefix="1" applyNumberFormat="1" applyAlignment="1">
      <alignment horizontal="left" vertical="top"/>
    </xf>
    <xf numFmtId="2" fontId="15" fillId="32" borderId="10" xfId="48" applyNumberFormat="1">
      <alignment wrapText="1"/>
    </xf>
    <xf numFmtId="0" fontId="0" fillId="40" borderId="0" xfId="0" applyFill="1">
      <alignment horizontal="left" vertical="top" wrapText="1"/>
    </xf>
    <xf numFmtId="0" fontId="17" fillId="0" borderId="33" xfId="46" applyBorder="1" applyAlignment="1">
      <alignment vertical="top" wrapText="1"/>
    </xf>
    <xf numFmtId="0" fontId="15" fillId="0" borderId="10" xfId="46" applyFont="1">
      <alignment horizontal="left" vertical="top" wrapText="1"/>
    </xf>
    <xf numFmtId="168" fontId="0" fillId="0" borderId="10" xfId="0" applyNumberFormat="1" applyBorder="1">
      <alignment horizontal="left" vertical="top" wrapText="1"/>
    </xf>
    <xf numFmtId="168" fontId="0" fillId="0" borderId="25" xfId="0" applyNumberFormat="1" applyBorder="1">
      <alignment horizontal="left" vertical="top" wrapText="1"/>
    </xf>
    <xf numFmtId="168" fontId="0" fillId="0" borderId="30" xfId="0" applyNumberFormat="1" applyBorder="1">
      <alignment horizontal="left" vertical="top" wrapText="1"/>
    </xf>
    <xf numFmtId="2" fontId="31" fillId="0" borderId="10" xfId="54" applyNumberFormat="1" applyFont="1" applyBorder="1" applyAlignment="1">
      <alignment horizontal="left" vertical="top" wrapText="1"/>
    </xf>
    <xf numFmtId="49" fontId="31" fillId="0" borderId="34" xfId="54" applyNumberFormat="1" applyFont="1" applyBorder="1" applyAlignment="1">
      <alignment horizontal="left" vertical="top" wrapText="1"/>
    </xf>
    <xf numFmtId="0" fontId="31" fillId="0" borderId="19" xfId="54" applyFont="1" applyBorder="1" applyAlignment="1">
      <alignment horizontal="left" vertical="top" wrapText="1"/>
    </xf>
    <xf numFmtId="2" fontId="0" fillId="0" borderId="19" xfId="0" applyNumberFormat="1" applyBorder="1">
      <alignment horizontal="left" vertical="top" wrapText="1"/>
    </xf>
    <xf numFmtId="164" fontId="15" fillId="32" borderId="19" xfId="48" applyBorder="1">
      <alignment wrapText="1"/>
    </xf>
    <xf numFmtId="0" fontId="0" fillId="0" borderId="35" xfId="0" applyBorder="1" applyAlignment="1">
      <alignment vertical="top" wrapText="1"/>
    </xf>
    <xf numFmtId="49" fontId="18" fillId="36" borderId="18" xfId="45">
      <alignment horizontal="center" vertical="center"/>
    </xf>
    <xf numFmtId="0" fontId="0" fillId="0" borderId="18" xfId="0" applyBorder="1">
      <alignment horizontal="left" vertical="top" wrapText="1"/>
    </xf>
    <xf numFmtId="0" fontId="25" fillId="0" borderId="10" xfId="56" applyBorder="1">
      <alignment horizontal="left" vertical="top"/>
    </xf>
    <xf numFmtId="0" fontId="25" fillId="0" borderId="33" xfId="56" applyBorder="1">
      <alignment horizontal="left" vertical="top"/>
    </xf>
    <xf numFmtId="0" fontId="0" fillId="39" borderId="0" xfId="0" applyFill="1">
      <alignment horizontal="left" vertical="top" wrapText="1"/>
    </xf>
    <xf numFmtId="0" fontId="0" fillId="0" borderId="10" xfId="0" quotePrefix="1" applyBorder="1">
      <alignment horizontal="left" vertical="top" wrapText="1"/>
    </xf>
    <xf numFmtId="0" fontId="0" fillId="0" borderId="34" xfId="0" applyBorder="1">
      <alignment horizontal="left" vertical="top" wrapText="1"/>
    </xf>
    <xf numFmtId="2" fontId="0" fillId="0" borderId="40" xfId="0" applyNumberFormat="1" applyBorder="1" applyAlignment="1">
      <alignment vertical="top" wrapText="1"/>
    </xf>
    <xf numFmtId="2" fontId="0" fillId="0" borderId="40" xfId="0" applyNumberFormat="1" applyBorder="1" applyAlignment="1"/>
    <xf numFmtId="2" fontId="0" fillId="0" borderId="35" xfId="0" applyNumberFormat="1" applyBorder="1" applyAlignment="1"/>
    <xf numFmtId="2" fontId="0" fillId="0" borderId="0" xfId="0" quotePrefix="1" applyNumberFormat="1">
      <alignment horizontal="left" vertical="top" wrapText="1"/>
    </xf>
    <xf numFmtId="0" fontId="0" fillId="0" borderId="39" xfId="0" applyBorder="1">
      <alignment horizontal="left" vertical="top" wrapText="1"/>
    </xf>
    <xf numFmtId="2" fontId="0" fillId="0" borderId="41" xfId="0" applyNumberFormat="1" applyBorder="1" applyAlignment="1"/>
    <xf numFmtId="166" fontId="0" fillId="0" borderId="11" xfId="0" applyNumberFormat="1" applyBorder="1">
      <alignment horizontal="left" vertical="top" wrapText="1"/>
    </xf>
    <xf numFmtId="166" fontId="0" fillId="31" borderId="10" xfId="0" applyNumberFormat="1" applyFill="1" applyBorder="1" applyProtection="1">
      <alignment horizontal="left" vertical="top" wrapText="1"/>
      <protection locked="0"/>
    </xf>
    <xf numFmtId="166" fontId="0" fillId="31" borderId="19" xfId="0" applyNumberFormat="1" applyFill="1" applyBorder="1" applyProtection="1">
      <alignment horizontal="left" vertical="top" wrapText="1"/>
      <protection locked="0"/>
    </xf>
    <xf numFmtId="164" fontId="15" fillId="32" borderId="25" xfId="48" applyBorder="1">
      <alignment wrapText="1"/>
    </xf>
    <xf numFmtId="0" fontId="17" fillId="0" borderId="11" xfId="46" applyBorder="1">
      <alignment horizontal="left" vertical="top" wrapText="1"/>
    </xf>
    <xf numFmtId="0" fontId="0" fillId="0" borderId="11" xfId="0" quotePrefix="1" applyBorder="1">
      <alignment horizontal="left" vertical="top" wrapText="1"/>
    </xf>
    <xf numFmtId="0" fontId="36" fillId="39" borderId="0" xfId="0" applyFont="1" applyFill="1">
      <alignment horizontal="left" vertical="top" wrapText="1"/>
    </xf>
    <xf numFmtId="0" fontId="0" fillId="0" borderId="48" xfId="0" applyBorder="1">
      <alignment horizontal="left" vertical="top" wrapText="1"/>
    </xf>
    <xf numFmtId="0" fontId="0" fillId="0" borderId="10" xfId="0" quotePrefix="1" applyBorder="1" applyAlignment="1">
      <alignment vertical="top" wrapText="1"/>
    </xf>
    <xf numFmtId="0" fontId="0" fillId="0" borderId="0" xfId="0" quotePrefix="1">
      <alignment horizontal="left" vertical="top" wrapText="1"/>
    </xf>
    <xf numFmtId="0" fontId="17" fillId="0" borderId="0" xfId="46" applyBorder="1">
      <alignment horizontal="left" vertical="top" wrapText="1"/>
    </xf>
    <xf numFmtId="0" fontId="0" fillId="42" borderId="0" xfId="0" applyFill="1" applyAlignment="1">
      <alignment horizontal="left" vertical="top"/>
    </xf>
    <xf numFmtId="166" fontId="0" fillId="0" borderId="21" xfId="0" applyNumberFormat="1" applyBorder="1">
      <alignment horizontal="left" vertical="top" wrapText="1"/>
    </xf>
    <xf numFmtId="166" fontId="0" fillId="0" borderId="22" xfId="0" applyNumberFormat="1" applyBorder="1">
      <alignment horizontal="left" vertical="top" wrapText="1"/>
    </xf>
    <xf numFmtId="0" fontId="17" fillId="0" borderId="32" xfId="0" applyFont="1" applyBorder="1" applyAlignment="1">
      <alignment vertical="top"/>
    </xf>
    <xf numFmtId="0" fontId="17" fillId="0" borderId="32" xfId="0" applyFont="1" applyBorder="1" applyAlignment="1">
      <alignment vertical="top" wrapText="1"/>
    </xf>
    <xf numFmtId="0" fontId="17" fillId="0" borderId="33" xfId="0" applyFont="1" applyBorder="1" applyAlignment="1">
      <alignment vertical="top" wrapText="1"/>
    </xf>
    <xf numFmtId="0" fontId="0" fillId="0" borderId="31" xfId="0" applyBorder="1" applyAlignment="1">
      <alignment vertical="top" wrapText="1"/>
    </xf>
    <xf numFmtId="0" fontId="17" fillId="0" borderId="33" xfId="0" applyFont="1" applyBorder="1" applyAlignment="1">
      <alignment vertical="top"/>
    </xf>
    <xf numFmtId="0" fontId="17" fillId="0" borderId="28" xfId="0" applyFont="1" applyBorder="1" applyAlignment="1">
      <alignment vertical="top"/>
    </xf>
    <xf numFmtId="0" fontId="15" fillId="0" borderId="18" xfId="54" applyFont="1" applyBorder="1" applyAlignment="1">
      <alignment horizontal="left" vertical="top" wrapText="1"/>
    </xf>
    <xf numFmtId="0" fontId="31" fillId="39" borderId="10" xfId="0" applyFont="1" applyFill="1" applyBorder="1" applyAlignment="1">
      <alignment vertical="top" wrapText="1"/>
    </xf>
    <xf numFmtId="0" fontId="17" fillId="0" borderId="24" xfId="0" applyFont="1" applyBorder="1" applyAlignment="1">
      <alignment vertical="top"/>
    </xf>
    <xf numFmtId="0" fontId="31" fillId="0" borderId="25" xfId="0" applyFont="1" applyBorder="1" applyAlignment="1">
      <alignment vertical="top" wrapText="1"/>
    </xf>
    <xf numFmtId="0" fontId="17" fillId="0" borderId="0" xfId="0" applyFont="1" applyAlignment="1">
      <alignment vertical="top" wrapText="1"/>
    </xf>
    <xf numFmtId="0" fontId="0" fillId="0" borderId="0" xfId="0" applyAlignment="1">
      <alignment vertical="top" wrapText="1"/>
    </xf>
    <xf numFmtId="0" fontId="17" fillId="41" borderId="31" xfId="0" applyFont="1" applyFill="1" applyBorder="1" applyAlignment="1">
      <alignment vertical="top"/>
    </xf>
    <xf numFmtId="0" fontId="31" fillId="39" borderId="25" xfId="0" applyFont="1" applyFill="1" applyBorder="1" applyAlignment="1">
      <alignment vertical="top" wrapText="1"/>
    </xf>
    <xf numFmtId="0" fontId="31" fillId="0" borderId="30" xfId="0" applyFont="1" applyBorder="1" applyAlignment="1">
      <alignment vertical="top" wrapText="1"/>
    </xf>
    <xf numFmtId="0" fontId="31" fillId="39" borderId="63" xfId="0" applyFont="1" applyFill="1" applyBorder="1" applyAlignment="1">
      <alignment vertical="top" wrapText="1"/>
    </xf>
    <xf numFmtId="0" fontId="31" fillId="39" borderId="89" xfId="0" applyFont="1" applyFill="1" applyBorder="1" applyAlignment="1">
      <alignment vertical="top" wrapText="1"/>
    </xf>
    <xf numFmtId="0" fontId="31" fillId="39" borderId="68" xfId="0" applyFont="1" applyFill="1" applyBorder="1" applyAlignment="1">
      <alignment vertical="top" wrapText="1"/>
    </xf>
    <xf numFmtId="0" fontId="31" fillId="39" borderId="90" xfId="0" applyFont="1" applyFill="1" applyBorder="1" applyAlignment="1">
      <alignment vertical="top" wrapText="1"/>
    </xf>
    <xf numFmtId="0" fontId="31" fillId="39" borderId="91" xfId="0" applyFont="1" applyFill="1" applyBorder="1" applyAlignment="1">
      <alignment vertical="top" wrapText="1"/>
    </xf>
    <xf numFmtId="0" fontId="31" fillId="39" borderId="92" xfId="0" applyFont="1" applyFill="1" applyBorder="1" applyAlignment="1">
      <alignment vertical="top" wrapText="1"/>
    </xf>
    <xf numFmtId="0" fontId="17" fillId="0" borderId="34" xfId="0" applyFont="1" applyBorder="1" applyAlignment="1">
      <alignment vertical="top"/>
    </xf>
    <xf numFmtId="0" fontId="31" fillId="39" borderId="57" xfId="0" applyFont="1" applyFill="1" applyBorder="1" applyAlignment="1">
      <alignment vertical="top" wrapText="1"/>
    </xf>
    <xf numFmtId="0" fontId="31" fillId="39" borderId="94" xfId="0" applyFont="1" applyFill="1" applyBorder="1" applyAlignment="1">
      <alignment vertical="top" wrapText="1"/>
    </xf>
    <xf numFmtId="0" fontId="15" fillId="39" borderId="18" xfId="55" applyFont="1" applyFill="1" applyAlignment="1">
      <alignment horizontal="left" vertical="top" wrapText="1"/>
    </xf>
    <xf numFmtId="1" fontId="0" fillId="0" borderId="10" xfId="0" applyNumberFormat="1" applyBorder="1">
      <alignment horizontal="left" vertical="top" wrapText="1"/>
    </xf>
    <xf numFmtId="1" fontId="0" fillId="0" borderId="25" xfId="0" applyNumberFormat="1" applyBorder="1">
      <alignment horizontal="left" vertical="top" wrapText="1"/>
    </xf>
    <xf numFmtId="1" fontId="0" fillId="0" borderId="29" xfId="0" applyNumberFormat="1" applyBorder="1">
      <alignment horizontal="left" vertical="top" wrapText="1"/>
    </xf>
    <xf numFmtId="1" fontId="0" fillId="0" borderId="10" xfId="0" applyNumberFormat="1" applyBorder="1" applyAlignment="1">
      <alignment horizontal="center" vertical="center" wrapText="1"/>
    </xf>
    <xf numFmtId="0" fontId="0" fillId="0" borderId="25" xfId="0" applyBorder="1" applyAlignment="1">
      <alignment horizontal="center" vertical="center" wrapText="1"/>
    </xf>
    <xf numFmtId="0" fontId="17" fillId="0" borderId="34" xfId="46" applyBorder="1">
      <alignment horizontal="left" vertical="top" wrapText="1"/>
    </xf>
    <xf numFmtId="0" fontId="0" fillId="0" borderId="53" xfId="0" applyBorder="1" applyAlignment="1">
      <alignment horizontal="left" vertical="top"/>
    </xf>
    <xf numFmtId="0" fontId="0" fillId="32" borderId="54" xfId="0" applyFill="1" applyBorder="1">
      <alignment horizontal="left" vertical="top" wrapText="1"/>
    </xf>
    <xf numFmtId="0" fontId="0" fillId="32" borderId="0" xfId="0" applyFill="1">
      <alignment horizontal="left" vertical="top" wrapText="1"/>
    </xf>
    <xf numFmtId="0" fontId="0" fillId="32" borderId="67" xfId="0" applyFill="1" applyBorder="1">
      <alignment horizontal="left" vertical="top" wrapText="1"/>
    </xf>
    <xf numFmtId="0" fontId="0" fillId="32" borderId="55" xfId="0" applyFill="1" applyBorder="1">
      <alignment horizontal="left" vertical="top" wrapText="1"/>
    </xf>
    <xf numFmtId="0" fontId="0" fillId="32" borderId="57" xfId="0" applyFill="1" applyBorder="1">
      <alignment horizontal="left" vertical="top" wrapText="1"/>
    </xf>
    <xf numFmtId="0" fontId="0" fillId="32" borderId="68" xfId="0" applyFill="1" applyBorder="1">
      <alignment horizontal="left" vertical="top" wrapText="1"/>
    </xf>
    <xf numFmtId="0" fontId="0" fillId="32" borderId="10" xfId="0" applyFill="1" applyBorder="1">
      <alignment horizontal="left" vertical="top" wrapText="1"/>
    </xf>
    <xf numFmtId="0" fontId="0" fillId="32" borderId="25" xfId="0" applyFill="1" applyBorder="1">
      <alignment horizontal="left" vertical="top" wrapText="1"/>
    </xf>
    <xf numFmtId="0" fontId="0" fillId="0" borderId="32" xfId="0" applyBorder="1" applyAlignment="1">
      <alignment horizontal="left" vertical="top"/>
    </xf>
    <xf numFmtId="0" fontId="0" fillId="0" borderId="10" xfId="0" applyBorder="1" applyAlignment="1">
      <alignment vertical="top"/>
    </xf>
    <xf numFmtId="0" fontId="0" fillId="0" borderId="32" xfId="0" applyBorder="1" applyAlignment="1">
      <alignment vertical="top"/>
    </xf>
    <xf numFmtId="0" fontId="0" fillId="0" borderId="25" xfId="0" applyBorder="1" applyAlignment="1">
      <alignment vertical="top"/>
    </xf>
    <xf numFmtId="0" fontId="0" fillId="0" borderId="29" xfId="0" applyBorder="1" applyAlignment="1">
      <alignment vertical="top"/>
    </xf>
    <xf numFmtId="0" fontId="0" fillId="0" borderId="30" xfId="0" applyBorder="1" applyAlignment="1">
      <alignment vertical="top"/>
    </xf>
    <xf numFmtId="0" fontId="17" fillId="0" borderId="37" xfId="46" applyBorder="1">
      <alignment horizontal="left" vertical="top" wrapText="1"/>
    </xf>
    <xf numFmtId="0" fontId="17" fillId="0" borderId="37" xfId="46" applyBorder="1" applyAlignment="1">
      <alignment vertical="top" wrapText="1"/>
    </xf>
    <xf numFmtId="0" fontId="17" fillId="0" borderId="38" xfId="46" applyBorder="1" applyAlignment="1">
      <alignment vertical="top" wrapText="1"/>
    </xf>
    <xf numFmtId="0" fontId="0" fillId="0" borderId="33" xfId="0" applyBorder="1" applyAlignment="1">
      <alignment vertical="top"/>
    </xf>
    <xf numFmtId="0" fontId="17" fillId="0" borderId="35" xfId="46" applyBorder="1" applyAlignment="1">
      <alignment vertical="top" wrapText="1"/>
    </xf>
    <xf numFmtId="2" fontId="0" fillId="0" borderId="47" xfId="0" applyNumberFormat="1" applyBorder="1" applyAlignment="1">
      <alignment vertical="top"/>
    </xf>
    <xf numFmtId="2" fontId="0" fillId="0" borderId="49" xfId="0" applyNumberFormat="1" applyBorder="1" applyAlignment="1">
      <alignment vertical="top"/>
    </xf>
    <xf numFmtId="166" fontId="0" fillId="0" borderId="32" xfId="0" applyNumberFormat="1" applyBorder="1" applyAlignment="1">
      <alignment vertical="top" wrapText="1"/>
    </xf>
    <xf numFmtId="166" fontId="0" fillId="0" borderId="33" xfId="0" applyNumberFormat="1" applyBorder="1" applyAlignment="1">
      <alignment vertical="top" wrapText="1"/>
    </xf>
    <xf numFmtId="0" fontId="0" fillId="43" borderId="56" xfId="0" applyFill="1" applyBorder="1">
      <alignment horizontal="left" vertical="top" wrapText="1"/>
    </xf>
    <xf numFmtId="0" fontId="0" fillId="43" borderId="0" xfId="0" applyFill="1">
      <alignment horizontal="left" vertical="top" wrapText="1"/>
    </xf>
    <xf numFmtId="0" fontId="0" fillId="43" borderId="57" xfId="0" applyFill="1" applyBorder="1">
      <alignment horizontal="left" vertical="top" wrapText="1"/>
    </xf>
    <xf numFmtId="0" fontId="17" fillId="0" borderId="12" xfId="46" applyBorder="1">
      <alignment horizontal="left" vertical="top" wrapText="1"/>
    </xf>
    <xf numFmtId="0" fontId="0" fillId="0" borderId="56" xfId="0" applyBorder="1" applyAlignment="1">
      <alignment horizontal="left" vertical="top"/>
    </xf>
    <xf numFmtId="0" fontId="0" fillId="0" borderId="66" xfId="0" applyBorder="1" applyAlignment="1">
      <alignment horizontal="left" vertical="top"/>
    </xf>
    <xf numFmtId="0" fontId="0" fillId="0" borderId="67" xfId="0" applyBorder="1" applyAlignment="1">
      <alignment horizontal="left" vertical="top"/>
    </xf>
    <xf numFmtId="0" fontId="0" fillId="43" borderId="56" xfId="0" applyFill="1" applyBorder="1" applyAlignment="1">
      <alignment horizontal="left" vertical="top"/>
    </xf>
    <xf numFmtId="0" fontId="0" fillId="43" borderId="0" xfId="0" applyFill="1" applyAlignment="1">
      <alignment horizontal="left" vertical="top"/>
    </xf>
    <xf numFmtId="0" fontId="0" fillId="43" borderId="57" xfId="0" applyFill="1" applyBorder="1" applyAlignment="1">
      <alignment horizontal="left" vertical="top"/>
    </xf>
    <xf numFmtId="2" fontId="0" fillId="43" borderId="0" xfId="0" applyNumberFormat="1" applyFill="1" applyAlignment="1">
      <alignment horizontal="left" vertical="top"/>
    </xf>
    <xf numFmtId="0" fontId="0" fillId="32" borderId="0" xfId="0" applyFill="1" applyAlignment="1">
      <alignment horizontal="left" vertical="top"/>
    </xf>
    <xf numFmtId="0" fontId="0" fillId="32" borderId="67" xfId="0" applyFill="1" applyBorder="1" applyAlignment="1">
      <alignment horizontal="left" vertical="top"/>
    </xf>
    <xf numFmtId="0" fontId="17" fillId="0" borderId="47" xfId="46" applyBorder="1" applyAlignment="1">
      <alignment vertical="top" wrapText="1"/>
    </xf>
    <xf numFmtId="2" fontId="0" fillId="38" borderId="0" xfId="0" applyNumberFormat="1" applyFill="1" applyAlignment="1">
      <alignment horizontal="left" vertical="top"/>
    </xf>
    <xf numFmtId="0" fontId="25" fillId="0" borderId="10" xfId="56" quotePrefix="1" applyBorder="1">
      <alignment horizontal="left" vertical="top"/>
    </xf>
    <xf numFmtId="0" fontId="0" fillId="0" borderId="32" xfId="0" applyBorder="1" applyAlignment="1">
      <alignment vertical="top" wrapText="1"/>
    </xf>
    <xf numFmtId="0" fontId="0" fillId="0" borderId="47" xfId="0" applyBorder="1">
      <alignment horizontal="left" vertical="top" wrapText="1"/>
    </xf>
    <xf numFmtId="0" fontId="0" fillId="0" borderId="33" xfId="0" applyBorder="1" applyAlignment="1">
      <alignment vertical="top" wrapText="1"/>
    </xf>
    <xf numFmtId="0" fontId="0" fillId="44" borderId="0" xfId="0" applyFill="1" applyAlignment="1">
      <alignment horizontal="left" vertical="top"/>
    </xf>
    <xf numFmtId="0" fontId="0" fillId="44" borderId="57" xfId="0" applyFill="1" applyBorder="1" applyAlignment="1">
      <alignment horizontal="left" vertical="top"/>
    </xf>
    <xf numFmtId="0" fontId="0" fillId="44" borderId="67" xfId="0" applyFill="1" applyBorder="1" applyAlignment="1">
      <alignment horizontal="left" vertical="top"/>
    </xf>
    <xf numFmtId="0" fontId="0" fillId="44" borderId="68" xfId="0" applyFill="1" applyBorder="1" applyAlignment="1">
      <alignment horizontal="left" vertical="top"/>
    </xf>
    <xf numFmtId="0" fontId="25" fillId="0" borderId="48" xfId="56" applyBorder="1">
      <alignment horizontal="left" vertical="top"/>
    </xf>
    <xf numFmtId="0" fontId="17" fillId="0" borderId="32" xfId="46" applyBorder="1" applyAlignment="1">
      <alignment vertical="top" wrapText="1"/>
    </xf>
    <xf numFmtId="49" fontId="31" fillId="0" borderId="28" xfId="54" applyNumberFormat="1" applyFont="1" applyBorder="1" applyAlignment="1">
      <alignment horizontal="left" vertical="top" wrapText="1"/>
    </xf>
    <xf numFmtId="0" fontId="31" fillId="0" borderId="29" xfId="54" applyFont="1" applyBorder="1" applyAlignment="1">
      <alignment horizontal="left" vertical="top" wrapText="1"/>
    </xf>
    <xf numFmtId="0" fontId="17" fillId="0" borderId="95" xfId="46" applyBorder="1" applyAlignment="1">
      <alignment vertical="top" wrapText="1"/>
    </xf>
    <xf numFmtId="0" fontId="17" fillId="0" borderId="49" xfId="46" applyBorder="1" applyAlignment="1">
      <alignment vertical="top" wrapText="1"/>
    </xf>
    <xf numFmtId="0" fontId="17" fillId="0" borderId="33" xfId="46" applyBorder="1" applyAlignment="1">
      <alignment vertical="top"/>
    </xf>
    <xf numFmtId="0" fontId="15" fillId="0" borderId="10" xfId="48" applyNumberFormat="1" applyFill="1">
      <alignment wrapText="1"/>
    </xf>
    <xf numFmtId="0" fontId="15" fillId="0" borderId="25" xfId="48" applyNumberFormat="1" applyFill="1" applyBorder="1">
      <alignment wrapText="1"/>
    </xf>
    <xf numFmtId="0" fontId="15" fillId="0" borderId="29" xfId="48" applyNumberFormat="1" applyFill="1" applyBorder="1">
      <alignment wrapText="1"/>
    </xf>
    <xf numFmtId="0" fontId="15" fillId="0" borderId="30" xfId="48" applyNumberFormat="1" applyFill="1" applyBorder="1">
      <alignment wrapText="1"/>
    </xf>
    <xf numFmtId="0" fontId="0" fillId="31" borderId="32" xfId="0" applyFill="1" applyBorder="1" applyProtection="1">
      <alignment horizontal="left" vertical="top" wrapText="1"/>
      <protection locked="0"/>
    </xf>
    <xf numFmtId="0" fontId="0" fillId="31" borderId="33" xfId="0" applyFill="1" applyBorder="1" applyProtection="1">
      <alignment horizontal="left" vertical="top" wrapText="1"/>
      <protection locked="0"/>
    </xf>
    <xf numFmtId="0" fontId="0" fillId="32" borderId="30" xfId="0" applyFill="1" applyBorder="1">
      <alignment horizontal="left" vertical="top" wrapText="1"/>
    </xf>
    <xf numFmtId="0" fontId="31" fillId="31" borderId="25" xfId="0" applyFont="1" applyFill="1" applyBorder="1" applyProtection="1">
      <alignment horizontal="left" vertical="top" wrapText="1"/>
      <protection locked="0"/>
    </xf>
    <xf numFmtId="0" fontId="33" fillId="0" borderId="0" xfId="0" applyFont="1">
      <alignment horizontal="left" vertical="top" wrapText="1"/>
    </xf>
    <xf numFmtId="0" fontId="37" fillId="0" borderId="21" xfId="0" applyFont="1" applyBorder="1">
      <alignment horizontal="left" vertical="top" wrapText="1"/>
    </xf>
    <xf numFmtId="0" fontId="37" fillId="0" borderId="22" xfId="0" applyFont="1" applyBorder="1">
      <alignment horizontal="left" vertical="top" wrapText="1"/>
    </xf>
    <xf numFmtId="0" fontId="33" fillId="32" borderId="43" xfId="0" applyFont="1" applyFill="1" applyBorder="1">
      <alignment horizontal="left" vertical="top" wrapText="1"/>
    </xf>
    <xf numFmtId="0" fontId="33" fillId="32" borderId="44" xfId="0" applyFont="1" applyFill="1" applyBorder="1">
      <alignment horizontal="left" vertical="top" wrapText="1"/>
    </xf>
    <xf numFmtId="0" fontId="33" fillId="32" borderId="32" xfId="0" applyFont="1" applyFill="1" applyBorder="1">
      <alignment horizontal="left" vertical="top" wrapText="1"/>
    </xf>
    <xf numFmtId="0" fontId="33" fillId="32" borderId="33" xfId="0" applyFont="1" applyFill="1" applyBorder="1">
      <alignment horizontal="left" vertical="top" wrapText="1"/>
    </xf>
    <xf numFmtId="0" fontId="33" fillId="32" borderId="10" xfId="0" applyFont="1" applyFill="1" applyBorder="1" applyAlignment="1">
      <alignment wrapText="1"/>
    </xf>
    <xf numFmtId="0" fontId="33" fillId="31" borderId="10" xfId="0" applyFont="1" applyFill="1" applyBorder="1">
      <alignment horizontal="left" vertical="top" wrapText="1"/>
    </xf>
    <xf numFmtId="0" fontId="33" fillId="32" borderId="25" xfId="0" applyFont="1" applyFill="1" applyBorder="1" applyAlignment="1">
      <alignment wrapText="1"/>
    </xf>
    <xf numFmtId="0" fontId="33" fillId="32" borderId="10" xfId="0" applyFont="1" applyFill="1" applyBorder="1">
      <alignment horizontal="left" vertical="top" wrapText="1"/>
    </xf>
    <xf numFmtId="0" fontId="33" fillId="32" borderId="25" xfId="0" applyFont="1" applyFill="1" applyBorder="1">
      <alignment horizontal="left" vertical="top" wrapText="1"/>
    </xf>
    <xf numFmtId="0" fontId="33" fillId="32" borderId="30" xfId="0" applyFont="1" applyFill="1" applyBorder="1">
      <alignment horizontal="left" vertical="top" wrapText="1"/>
    </xf>
    <xf numFmtId="0" fontId="28" fillId="32" borderId="10" xfId="0" applyFont="1" applyFill="1" applyBorder="1">
      <alignment horizontal="left" vertical="top" wrapText="1"/>
    </xf>
    <xf numFmtId="0" fontId="17" fillId="0" borderId="20" xfId="0" applyFont="1" applyBorder="1" applyAlignment="1">
      <alignment horizontal="center" wrapText="1"/>
    </xf>
    <xf numFmtId="0" fontId="17" fillId="0" borderId="10" xfId="46" applyAlignment="1">
      <alignment vertical="top" wrapText="1"/>
    </xf>
    <xf numFmtId="0" fontId="17" fillId="0" borderId="25" xfId="46" applyBorder="1" applyAlignment="1">
      <alignment vertical="top" wrapText="1"/>
    </xf>
    <xf numFmtId="0" fontId="17" fillId="0" borderId="31" xfId="46" applyBorder="1" applyAlignment="1">
      <alignment vertical="top" wrapText="1"/>
    </xf>
    <xf numFmtId="0" fontId="17" fillId="0" borderId="99" xfId="0" applyFont="1" applyBorder="1">
      <alignment horizontal="left" vertical="top" wrapText="1"/>
    </xf>
    <xf numFmtId="0" fontId="0" fillId="0" borderId="99" xfId="0" applyBorder="1" applyAlignment="1">
      <alignment horizontal="left" vertical="top"/>
    </xf>
    <xf numFmtId="168" fontId="0" fillId="0" borderId="29" xfId="0" applyNumberFormat="1" applyBorder="1">
      <alignment horizontal="left" vertical="top" wrapText="1"/>
    </xf>
    <xf numFmtId="166" fontId="0" fillId="0" borderId="10" xfId="0" applyNumberFormat="1" applyBorder="1" applyAlignment="1">
      <alignment vertical="top"/>
    </xf>
    <xf numFmtId="166" fontId="0" fillId="0" borderId="25" xfId="0" applyNumberFormat="1" applyBorder="1" applyAlignment="1">
      <alignment vertical="top"/>
    </xf>
    <xf numFmtId="166" fontId="0" fillId="0" borderId="29" xfId="0" applyNumberFormat="1" applyBorder="1" applyAlignment="1">
      <alignment vertical="top"/>
    </xf>
    <xf numFmtId="166" fontId="0" fillId="0" borderId="30" xfId="0" applyNumberFormat="1" applyBorder="1" applyAlignment="1">
      <alignment vertical="top"/>
    </xf>
    <xf numFmtId="1" fontId="0" fillId="0" borderId="19" xfId="0" applyNumberFormat="1" applyBorder="1" applyAlignment="1">
      <alignment horizontal="center" vertical="center" wrapText="1"/>
    </xf>
    <xf numFmtId="0" fontId="0" fillId="0" borderId="35" xfId="0" applyBorder="1" applyAlignment="1">
      <alignment horizontal="center" vertical="center" wrapText="1"/>
    </xf>
    <xf numFmtId="0" fontId="15" fillId="31" borderId="49" xfId="46" applyFont="1" applyFill="1" applyBorder="1" applyProtection="1">
      <alignment horizontal="left" vertical="top" wrapText="1"/>
      <protection locked="0"/>
    </xf>
    <xf numFmtId="0" fontId="17" fillId="0" borderId="18" xfId="46" applyBorder="1">
      <alignment horizontal="left" vertical="top" wrapText="1"/>
    </xf>
    <xf numFmtId="0" fontId="17" fillId="0" borderId="100" xfId="46" applyBorder="1">
      <alignment horizontal="left" vertical="top" wrapText="1"/>
    </xf>
    <xf numFmtId="0" fontId="0" fillId="0" borderId="101" xfId="0" applyBorder="1">
      <alignment horizontal="left" vertical="top" wrapText="1"/>
    </xf>
    <xf numFmtId="0" fontId="0" fillId="0" borderId="102" xfId="0" applyBorder="1">
      <alignment horizontal="left" vertical="top" wrapText="1"/>
    </xf>
    <xf numFmtId="0" fontId="0" fillId="0" borderId="103" xfId="0" applyBorder="1">
      <alignment horizontal="left" vertical="top" wrapText="1"/>
    </xf>
    <xf numFmtId="0" fontId="0" fillId="0" borderId="104" xfId="0" applyBorder="1">
      <alignment horizontal="left" vertical="top" wrapText="1"/>
    </xf>
    <xf numFmtId="0" fontId="0" fillId="0" borderId="105" xfId="0" applyBorder="1">
      <alignment horizontal="left" vertical="top" wrapText="1"/>
    </xf>
    <xf numFmtId="0" fontId="0" fillId="0" borderId="106" xfId="0" applyBorder="1">
      <alignment horizontal="left" vertical="top" wrapText="1"/>
    </xf>
    <xf numFmtId="0" fontId="17" fillId="35" borderId="18" xfId="55" applyProtection="1">
      <alignment horizontal="left" vertical="top"/>
      <protection locked="0"/>
    </xf>
    <xf numFmtId="0" fontId="17" fillId="0" borderId="21" xfId="46" applyBorder="1">
      <alignment horizontal="left" vertical="top" wrapText="1"/>
    </xf>
    <xf numFmtId="0" fontId="17" fillId="0" borderId="22" xfId="46" applyBorder="1">
      <alignment horizontal="left" vertical="top" wrapText="1"/>
    </xf>
    <xf numFmtId="166" fontId="0" fillId="0" borderId="47" xfId="0" applyNumberFormat="1" applyBorder="1">
      <alignment horizontal="left" vertical="top" wrapText="1"/>
    </xf>
    <xf numFmtId="2" fontId="0" fillId="0" borderId="47" xfId="0" applyNumberFormat="1" applyBorder="1">
      <alignment horizontal="left" vertical="top" wrapText="1"/>
    </xf>
    <xf numFmtId="2" fontId="0" fillId="0" borderId="49" xfId="0" applyNumberFormat="1" applyBorder="1">
      <alignment horizontal="left" vertical="top" wrapText="1"/>
    </xf>
    <xf numFmtId="170" fontId="0" fillId="31" borderId="10" xfId="0" applyNumberFormat="1" applyFill="1" applyBorder="1" applyAlignment="1" applyProtection="1">
      <alignment horizontal="left" wrapText="1"/>
      <protection locked="0"/>
    </xf>
    <xf numFmtId="170" fontId="0" fillId="31" borderId="25" xfId="0" applyNumberFormat="1" applyFill="1" applyBorder="1" applyAlignment="1" applyProtection="1">
      <alignment horizontal="left" wrapText="1"/>
      <protection locked="0"/>
    </xf>
    <xf numFmtId="170" fontId="0" fillId="31" borderId="29" xfId="0" applyNumberFormat="1" applyFill="1" applyBorder="1" applyAlignment="1" applyProtection="1">
      <alignment horizontal="left" wrapText="1"/>
      <protection locked="0"/>
    </xf>
    <xf numFmtId="170" fontId="0" fillId="31" borderId="30" xfId="0" applyNumberFormat="1" applyFill="1" applyBorder="1" applyAlignment="1" applyProtection="1">
      <alignment horizontal="left" wrapText="1"/>
      <protection locked="0"/>
    </xf>
    <xf numFmtId="170" fontId="0" fillId="31" borderId="47" xfId="0" applyNumberFormat="1" applyFill="1" applyBorder="1" applyAlignment="1" applyProtection="1">
      <alignment horizontal="left" wrapText="1"/>
      <protection locked="0"/>
    </xf>
    <xf numFmtId="166" fontId="0" fillId="0" borderId="20" xfId="0" applyNumberFormat="1" applyBorder="1">
      <alignment horizontal="left" vertical="top" wrapText="1"/>
    </xf>
    <xf numFmtId="0" fontId="0" fillId="39" borderId="10" xfId="0" applyFill="1" applyBorder="1" applyAlignment="1">
      <alignment horizontal="left" vertical="top"/>
    </xf>
    <xf numFmtId="0" fontId="31" fillId="31" borderId="10" xfId="0" applyFont="1" applyFill="1" applyBorder="1" applyProtection="1">
      <alignment horizontal="left" vertical="top" wrapText="1"/>
      <protection locked="0"/>
    </xf>
    <xf numFmtId="0" fontId="31" fillId="31" borderId="29" xfId="0" applyFont="1" applyFill="1" applyBorder="1" applyProtection="1">
      <alignment horizontal="left" vertical="top" wrapText="1"/>
      <protection locked="0"/>
    </xf>
    <xf numFmtId="0" fontId="17" fillId="0" borderId="10" xfId="0" applyFont="1" applyBorder="1">
      <alignment horizontal="left" vertical="top" wrapText="1"/>
    </xf>
    <xf numFmtId="0" fontId="17" fillId="0" borderId="25" xfId="0" applyFont="1" applyBorder="1">
      <alignment horizontal="left" vertical="top" wrapText="1"/>
    </xf>
    <xf numFmtId="0" fontId="17" fillId="0" borderId="47" xfId="46" applyBorder="1" applyAlignment="1">
      <alignment horizontal="left" vertical="top"/>
    </xf>
    <xf numFmtId="0" fontId="17" fillId="0" borderId="47" xfId="0" applyFont="1" applyBorder="1">
      <alignment horizontal="left" vertical="top" wrapText="1"/>
    </xf>
    <xf numFmtId="0" fontId="17" fillId="0" borderId="49" xfId="0" applyFont="1" applyBorder="1">
      <alignment horizontal="left" vertical="top" wrapText="1"/>
    </xf>
    <xf numFmtId="0" fontId="17" fillId="0" borderId="61" xfId="46" applyBorder="1" applyAlignment="1">
      <alignment vertical="top" wrapText="1"/>
    </xf>
    <xf numFmtId="0" fontId="17" fillId="0" borderId="47" xfId="46" applyBorder="1" applyAlignment="1">
      <alignment vertical="top"/>
    </xf>
    <xf numFmtId="0" fontId="17" fillId="0" borderId="47" xfId="0" applyFont="1" applyBorder="1" applyAlignment="1">
      <alignment vertical="top" wrapText="1"/>
    </xf>
    <xf numFmtId="0" fontId="17" fillId="0" borderId="49" xfId="0" applyFont="1" applyBorder="1" applyAlignment="1">
      <alignment vertical="top" wrapText="1"/>
    </xf>
    <xf numFmtId="0" fontId="17" fillId="0" borderId="32" xfId="46" applyBorder="1" applyAlignment="1">
      <alignment vertical="top"/>
    </xf>
    <xf numFmtId="0" fontId="17" fillId="0" borderId="24" xfId="46" applyBorder="1">
      <alignment horizontal="left" vertical="top" wrapText="1"/>
    </xf>
    <xf numFmtId="0" fontId="0" fillId="0" borderId="28" xfId="0" applyBorder="1" applyAlignment="1">
      <alignment vertical="top" wrapText="1"/>
    </xf>
    <xf numFmtId="0" fontId="0" fillId="0" borderId="24" xfId="0" applyBorder="1" applyAlignment="1">
      <alignment vertical="top" wrapText="1"/>
    </xf>
    <xf numFmtId="0" fontId="0" fillId="0" borderId="35" xfId="0" applyBorder="1">
      <alignment horizontal="left" vertical="top" wrapText="1"/>
    </xf>
    <xf numFmtId="164" fontId="15" fillId="32" borderId="30" xfId="48" applyBorder="1">
      <alignment wrapText="1"/>
    </xf>
    <xf numFmtId="1" fontId="0" fillId="0" borderId="30" xfId="0" applyNumberFormat="1" applyBorder="1">
      <alignment horizontal="left" vertical="top" wrapText="1"/>
    </xf>
    <xf numFmtId="0" fontId="17" fillId="35" borderId="18" xfId="55" applyAlignment="1">
      <alignment horizontal="left" vertical="top" wrapText="1"/>
    </xf>
    <xf numFmtId="0" fontId="17" fillId="0" borderId="69" xfId="46" applyBorder="1">
      <alignment horizontal="left" vertical="top" wrapText="1"/>
    </xf>
    <xf numFmtId="0" fontId="15" fillId="0" borderId="18" xfId="46" applyFont="1" applyBorder="1">
      <alignment horizontal="left" vertical="top" wrapText="1"/>
    </xf>
    <xf numFmtId="0" fontId="17" fillId="0" borderId="65" xfId="46" applyBorder="1">
      <alignment horizontal="left" vertical="top" wrapText="1"/>
    </xf>
    <xf numFmtId="0" fontId="25" fillId="0" borderId="0" xfId="54" applyAlignment="1">
      <alignment horizontal="left" vertical="top" wrapText="1"/>
    </xf>
    <xf numFmtId="0" fontId="25" fillId="0" borderId="47" xfId="56" applyBorder="1">
      <alignment horizontal="left" vertical="top"/>
    </xf>
    <xf numFmtId="0" fontId="25" fillId="0" borderId="34" xfId="56" applyBorder="1">
      <alignment horizontal="left" vertical="top"/>
    </xf>
    <xf numFmtId="0" fontId="0" fillId="0" borderId="11" xfId="0" applyBorder="1" applyAlignment="1">
      <alignment vertical="top" wrapText="1"/>
    </xf>
    <xf numFmtId="0" fontId="0" fillId="0" borderId="11" xfId="0" quotePrefix="1" applyBorder="1" applyAlignment="1">
      <alignment vertical="top" wrapText="1"/>
    </xf>
    <xf numFmtId="0" fontId="25" fillId="0" borderId="0" xfId="54" quotePrefix="1">
      <alignment horizontal="left" vertical="top"/>
    </xf>
    <xf numFmtId="0" fontId="25" fillId="0" borderId="10" xfId="54" quotePrefix="1" applyBorder="1">
      <alignment horizontal="left" vertical="top"/>
    </xf>
    <xf numFmtId="0" fontId="38" fillId="35" borderId="18" xfId="57" applyFont="1" applyFill="1" applyBorder="1" applyAlignment="1">
      <alignment horizontal="center" vertical="center"/>
    </xf>
    <xf numFmtId="0" fontId="39" fillId="0" borderId="0" xfId="57" applyFont="1"/>
    <xf numFmtId="0" fontId="39" fillId="32" borderId="0" xfId="57" applyFont="1" applyFill="1"/>
    <xf numFmtId="0" fontId="39" fillId="45" borderId="0" xfId="57" applyFont="1" applyFill="1"/>
    <xf numFmtId="0" fontId="39" fillId="44" borderId="0" xfId="57" applyFont="1" applyFill="1"/>
    <xf numFmtId="0" fontId="39" fillId="46" borderId="0" xfId="57" applyFont="1" applyFill="1"/>
    <xf numFmtId="0" fontId="15" fillId="0" borderId="69" xfId="57" applyBorder="1" applyAlignment="1">
      <alignment horizontal="left" vertical="top" wrapText="1"/>
    </xf>
    <xf numFmtId="0" fontId="15" fillId="0" borderId="108" xfId="57" applyBorder="1"/>
    <xf numFmtId="0" fontId="39" fillId="0" borderId="0" xfId="57" quotePrefix="1" applyFont="1"/>
    <xf numFmtId="0" fontId="15" fillId="31" borderId="109" xfId="57" applyFill="1" applyBorder="1" applyAlignment="1" applyProtection="1">
      <alignment horizontal="left" vertical="top" wrapText="1"/>
      <protection locked="0"/>
    </xf>
    <xf numFmtId="0" fontId="15" fillId="0" borderId="0" xfId="57"/>
    <xf numFmtId="0" fontId="15" fillId="31" borderId="110" xfId="57" applyFill="1" applyBorder="1" applyAlignment="1" applyProtection="1">
      <alignment horizontal="left" vertical="top" wrapText="1"/>
      <protection locked="0"/>
    </xf>
    <xf numFmtId="0" fontId="17" fillId="0" borderId="48" xfId="57" applyFont="1" applyBorder="1" applyAlignment="1">
      <alignment horizontal="left" vertical="top" wrapText="1"/>
    </xf>
    <xf numFmtId="0" fontId="17" fillId="0" borderId="49" xfId="57" applyFont="1" applyBorder="1" applyAlignment="1">
      <alignment horizontal="left" vertical="top" wrapText="1"/>
    </xf>
    <xf numFmtId="0" fontId="15" fillId="0" borderId="48" xfId="57" applyBorder="1" applyAlignment="1">
      <alignment horizontal="left" vertical="top" wrapText="1"/>
    </xf>
    <xf numFmtId="0" fontId="15" fillId="31" borderId="49" xfId="57" applyFill="1" applyBorder="1" applyAlignment="1" applyProtection="1">
      <alignment horizontal="left" vertical="top" wrapText="1"/>
      <protection locked="0"/>
    </xf>
    <xf numFmtId="0" fontId="15" fillId="0" borderId="24" xfId="57" applyBorder="1" applyAlignment="1">
      <alignment horizontal="left" vertical="top" wrapText="1"/>
    </xf>
    <xf numFmtId="0" fontId="15" fillId="31" borderId="25" xfId="57" applyFill="1" applyBorder="1" applyAlignment="1" applyProtection="1">
      <alignment horizontal="left" vertical="top" wrapText="1"/>
      <protection locked="0"/>
    </xf>
    <xf numFmtId="0" fontId="15" fillId="0" borderId="28" xfId="57" applyBorder="1" applyAlignment="1">
      <alignment horizontal="left" vertical="top" wrapText="1"/>
    </xf>
    <xf numFmtId="0" fontId="15" fillId="31" borderId="30" xfId="57" applyFill="1" applyBorder="1" applyAlignment="1" applyProtection="1">
      <alignment horizontal="left" vertical="top" wrapText="1"/>
      <protection locked="0"/>
    </xf>
    <xf numFmtId="0" fontId="17" fillId="0" borderId="47" xfId="57" applyFont="1" applyBorder="1" applyAlignment="1">
      <alignment horizontal="left" vertical="top" wrapText="1"/>
    </xf>
    <xf numFmtId="0" fontId="17" fillId="0" borderId="87" xfId="57" applyFont="1" applyBorder="1" applyAlignment="1">
      <alignment horizontal="left" vertical="top" wrapText="1"/>
    </xf>
    <xf numFmtId="0" fontId="39" fillId="32" borderId="0" xfId="57" quotePrefix="1" applyFont="1" applyFill="1"/>
    <xf numFmtId="0" fontId="39" fillId="47" borderId="0" xfId="57" applyFont="1" applyFill="1"/>
    <xf numFmtId="0" fontId="17" fillId="0" borderId="84" xfId="57" applyFont="1" applyBorder="1" applyAlignment="1">
      <alignment horizontal="left" vertical="top" wrapText="1"/>
    </xf>
    <xf numFmtId="0" fontId="15" fillId="31" borderId="111" xfId="57" applyFill="1" applyBorder="1" applyAlignment="1" applyProtection="1">
      <alignment horizontal="left" vertical="top" wrapText="1"/>
      <protection locked="0"/>
    </xf>
    <xf numFmtId="0" fontId="15" fillId="31" borderId="112" xfId="57" applyFill="1" applyBorder="1" applyAlignment="1" applyProtection="1">
      <alignment horizontal="left" vertical="top" wrapText="1"/>
      <protection locked="0"/>
    </xf>
    <xf numFmtId="0" fontId="15" fillId="0" borderId="0" xfId="57" applyAlignment="1">
      <alignment horizontal="left" vertical="top" wrapText="1"/>
    </xf>
    <xf numFmtId="171" fontId="15" fillId="0" borderId="10" xfId="57" applyNumberFormat="1" applyBorder="1" applyAlignment="1">
      <alignment horizontal="left" vertical="top" wrapText="1"/>
    </xf>
    <xf numFmtId="171" fontId="15" fillId="0" borderId="19" xfId="57" applyNumberFormat="1" applyBorder="1" applyAlignment="1">
      <alignment horizontal="left" vertical="top" wrapText="1"/>
    </xf>
    <xf numFmtId="171" fontId="15" fillId="0" borderId="10" xfId="57" quotePrefix="1" applyNumberFormat="1" applyBorder="1" applyAlignment="1">
      <alignment horizontal="left" vertical="top" wrapText="1"/>
    </xf>
    <xf numFmtId="171" fontId="15" fillId="0" borderId="19" xfId="57" quotePrefix="1" applyNumberFormat="1" applyBorder="1" applyAlignment="1">
      <alignment horizontal="left" vertical="top" wrapText="1"/>
    </xf>
    <xf numFmtId="0" fontId="15" fillId="0" borderId="10" xfId="57" applyBorder="1" applyAlignment="1">
      <alignment horizontal="left" vertical="top" wrapText="1"/>
    </xf>
    <xf numFmtId="0" fontId="15" fillId="0" borderId="11" xfId="57" applyBorder="1" applyAlignment="1">
      <alignment horizontal="left" vertical="top" wrapText="1"/>
    </xf>
    <xf numFmtId="0" fontId="15" fillId="0" borderId="34" xfId="57" applyBorder="1" applyAlignment="1">
      <alignment horizontal="left" vertical="top" wrapText="1"/>
    </xf>
    <xf numFmtId="0" fontId="15" fillId="0" borderId="19" xfId="57" applyBorder="1" applyAlignment="1">
      <alignment horizontal="left" vertical="top" wrapText="1"/>
    </xf>
    <xf numFmtId="0" fontId="15" fillId="0" borderId="15" xfId="57" applyBorder="1" applyAlignment="1">
      <alignment horizontal="left" vertical="top" wrapText="1"/>
    </xf>
    <xf numFmtId="0" fontId="15" fillId="0" borderId="12" xfId="57" applyBorder="1" applyAlignment="1">
      <alignment horizontal="left" vertical="top" wrapText="1"/>
    </xf>
    <xf numFmtId="0" fontId="15" fillId="0" borderId="16" xfId="57" applyBorder="1" applyAlignment="1">
      <alignment horizontal="left" vertical="top" wrapText="1"/>
    </xf>
    <xf numFmtId="0" fontId="39" fillId="47" borderId="0" xfId="57" quotePrefix="1" applyFont="1" applyFill="1"/>
    <xf numFmtId="0" fontId="0" fillId="0" borderId="0" xfId="0" applyAlignment="1"/>
    <xf numFmtId="49" fontId="39" fillId="46" borderId="0" xfId="57" applyNumberFormat="1" applyFont="1" applyFill="1"/>
    <xf numFmtId="0" fontId="17" fillId="48" borderId="67" xfId="0" applyFont="1" applyFill="1" applyBorder="1">
      <alignment horizontal="left" vertical="top" wrapText="1"/>
    </xf>
    <xf numFmtId="0" fontId="0" fillId="48" borderId="67" xfId="0" applyFill="1" applyBorder="1">
      <alignment horizontal="left" vertical="top" wrapText="1"/>
    </xf>
    <xf numFmtId="14" fontId="0" fillId="0" borderId="0" xfId="0" applyNumberFormat="1">
      <alignment horizontal="left" vertical="top" wrapText="1"/>
    </xf>
    <xf numFmtId="0" fontId="17" fillId="0" borderId="67" xfId="0" applyFont="1" applyBorder="1" applyAlignment="1">
      <alignment horizontal="left" vertical="top"/>
    </xf>
    <xf numFmtId="0" fontId="0" fillId="0" borderId="56" xfId="0" applyBorder="1">
      <alignment horizontal="left" vertical="top" wrapText="1"/>
    </xf>
    <xf numFmtId="0" fontId="0" fillId="0" borderId="0" xfId="0">
      <alignment horizontal="left" vertical="top" wrapText="1"/>
    </xf>
    <xf numFmtId="0" fontId="0" fillId="0" borderId="57" xfId="0" applyBorder="1">
      <alignment horizontal="left" vertical="top" wrapText="1"/>
    </xf>
    <xf numFmtId="0" fontId="16" fillId="0" borderId="66" xfId="44" applyBorder="1" applyAlignment="1">
      <alignment horizontal="left" vertical="top" wrapText="1"/>
    </xf>
    <xf numFmtId="0" fontId="0" fillId="0" borderId="67" xfId="0" applyBorder="1">
      <alignment horizontal="left" vertical="top" wrapText="1"/>
    </xf>
    <xf numFmtId="0" fontId="0" fillId="0" borderId="68" xfId="0" applyBorder="1">
      <alignment horizontal="left" vertical="top" wrapText="1"/>
    </xf>
    <xf numFmtId="0" fontId="16" fillId="0" borderId="24" xfId="44" applyBorder="1" applyAlignment="1">
      <alignment horizontal="left" vertical="top"/>
    </xf>
    <xf numFmtId="0" fontId="16" fillId="0" borderId="10" xfId="44" applyBorder="1" applyAlignment="1">
      <alignment horizontal="left" vertical="top"/>
    </xf>
    <xf numFmtId="0" fontId="16" fillId="0" borderId="25" xfId="44" applyBorder="1" applyAlignment="1">
      <alignment horizontal="left" vertical="top"/>
    </xf>
    <xf numFmtId="0" fontId="17" fillId="35" borderId="69" xfId="55" applyBorder="1">
      <alignment horizontal="left" vertical="top"/>
    </xf>
    <xf numFmtId="0" fontId="0" fillId="0" borderId="53" xfId="0" applyBorder="1">
      <alignment horizontal="left" vertical="top" wrapText="1"/>
    </xf>
    <xf numFmtId="0" fontId="0" fillId="0" borderId="54" xfId="0" applyBorder="1">
      <alignment horizontal="left" vertical="top" wrapText="1"/>
    </xf>
    <xf numFmtId="0" fontId="0" fillId="0" borderId="55" xfId="0" applyBorder="1">
      <alignment horizontal="left" vertical="top" wrapText="1"/>
    </xf>
    <xf numFmtId="0" fontId="25" fillId="0" borderId="0" xfId="54">
      <alignment horizontal="left" vertical="top"/>
    </xf>
    <xf numFmtId="0" fontId="17" fillId="35" borderId="18" xfId="55">
      <alignment horizontal="left" vertical="top"/>
    </xf>
    <xf numFmtId="0" fontId="0" fillId="0" borderId="34" xfId="0" applyBorder="1">
      <alignment horizontal="left" vertical="top" wrapText="1"/>
    </xf>
    <xf numFmtId="0" fontId="0" fillId="0" borderId="19" xfId="0" applyBorder="1">
      <alignment horizontal="left" vertical="top" wrapText="1"/>
    </xf>
    <xf numFmtId="0" fontId="0" fillId="0" borderId="35" xfId="0" applyBorder="1">
      <alignment horizontal="left" vertical="top" wrapText="1"/>
    </xf>
    <xf numFmtId="0" fontId="0" fillId="0" borderId="28" xfId="0" applyBorder="1">
      <alignment horizontal="left" vertical="top" wrapText="1"/>
    </xf>
    <xf numFmtId="0" fontId="0" fillId="0" borderId="29" xfId="0" applyBorder="1">
      <alignment horizontal="left" vertical="top" wrapText="1"/>
    </xf>
    <xf numFmtId="0" fontId="0" fillId="0" borderId="30" xfId="0" applyBorder="1">
      <alignment horizontal="left" vertical="top" wrapText="1"/>
    </xf>
    <xf numFmtId="49" fontId="18" fillId="35" borderId="53" xfId="45" applyFill="1" applyBorder="1">
      <alignment horizontal="center" vertical="center"/>
    </xf>
    <xf numFmtId="49" fontId="18" fillId="35" borderId="54" xfId="45" applyFill="1" applyBorder="1">
      <alignment horizontal="center" vertical="center"/>
    </xf>
    <xf numFmtId="49" fontId="18" fillId="35" borderId="55" xfId="45" applyFill="1" applyBorder="1">
      <alignment horizontal="center" vertical="center"/>
    </xf>
    <xf numFmtId="0" fontId="0" fillId="35" borderId="66" xfId="0" applyFill="1" applyBorder="1" applyAlignment="1">
      <alignment horizontal="center" vertical="top"/>
    </xf>
    <xf numFmtId="0" fontId="0" fillId="35" borderId="67" xfId="0" applyFill="1" applyBorder="1" applyAlignment="1">
      <alignment horizontal="center" vertical="top"/>
    </xf>
    <xf numFmtId="0" fontId="0" fillId="35" borderId="68" xfId="0" applyFill="1" applyBorder="1" applyAlignment="1">
      <alignment horizontal="center" vertical="top"/>
    </xf>
    <xf numFmtId="0" fontId="0" fillId="0" borderId="42" xfId="0" applyBorder="1">
      <alignment horizontal="left" vertical="top" wrapText="1"/>
    </xf>
    <xf numFmtId="0" fontId="0" fillId="0" borderId="43" xfId="0" applyBorder="1">
      <alignment horizontal="left" vertical="top" wrapText="1"/>
    </xf>
    <xf numFmtId="0" fontId="0" fillId="0" borderId="44" xfId="0" applyBorder="1">
      <alignment horizontal="left" vertical="top" wrapText="1"/>
    </xf>
    <xf numFmtId="49" fontId="15" fillId="35" borderId="56" xfId="45" applyFont="1" applyFill="1" applyBorder="1">
      <alignment horizontal="center" vertical="center"/>
    </xf>
    <xf numFmtId="49" fontId="15" fillId="35" borderId="0" xfId="45" applyFont="1" applyFill="1" applyBorder="1">
      <alignment horizontal="center" vertical="center"/>
    </xf>
    <xf numFmtId="49" fontId="15" fillId="35" borderId="57" xfId="45" applyFont="1" applyFill="1" applyBorder="1">
      <alignment horizontal="center" vertical="center"/>
    </xf>
    <xf numFmtId="0" fontId="16" fillId="0" borderId="10" xfId="44" applyBorder="1"/>
    <xf numFmtId="0" fontId="16" fillId="0" borderId="25" xfId="44" applyBorder="1"/>
    <xf numFmtId="0" fontId="16" fillId="0" borderId="10" xfId="44" applyBorder="1" applyAlignment="1">
      <alignment vertical="center" wrapText="1"/>
    </xf>
    <xf numFmtId="0" fontId="16" fillId="0" borderId="25" xfId="44" applyBorder="1" applyAlignment="1">
      <alignment vertical="center" wrapText="1"/>
    </xf>
    <xf numFmtId="0" fontId="16" fillId="0" borderId="29" xfId="44" applyBorder="1"/>
    <xf numFmtId="0" fontId="16" fillId="0" borderId="30" xfId="44" applyBorder="1"/>
    <xf numFmtId="0" fontId="16" fillId="0" borderId="10" xfId="44" applyBorder="1" applyAlignment="1">
      <alignment horizontal="left" vertical="center" wrapText="1"/>
    </xf>
    <xf numFmtId="0" fontId="16" fillId="0" borderId="25" xfId="44" applyBorder="1" applyAlignment="1">
      <alignment horizontal="left" vertical="center" wrapText="1"/>
    </xf>
    <xf numFmtId="0" fontId="17" fillId="0" borderId="31" xfId="0" applyFont="1" applyBorder="1" applyAlignment="1">
      <alignment horizontal="left" vertical="top"/>
    </xf>
    <xf numFmtId="0" fontId="17" fillId="0" borderId="32" xfId="0" applyFont="1" applyBorder="1" applyAlignment="1">
      <alignment horizontal="left" vertical="top"/>
    </xf>
    <xf numFmtId="0" fontId="17" fillId="0" borderId="33" xfId="0" applyFont="1" applyBorder="1" applyAlignment="1">
      <alignment horizontal="left" vertical="top"/>
    </xf>
    <xf numFmtId="0" fontId="16" fillId="0" borderId="52" xfId="44" applyBorder="1" applyAlignment="1">
      <alignment horizontal="left" vertical="top"/>
    </xf>
    <xf numFmtId="0" fontId="16" fillId="0" borderId="14" xfId="44" applyBorder="1" applyAlignment="1">
      <alignment horizontal="left" vertical="top"/>
    </xf>
    <xf numFmtId="0" fontId="16" fillId="0" borderId="70" xfId="44" applyBorder="1" applyAlignment="1">
      <alignment horizontal="left" vertical="top"/>
    </xf>
    <xf numFmtId="0" fontId="17" fillId="0" borderId="24" xfId="0" applyFont="1" applyBorder="1" applyAlignment="1">
      <alignment horizontal="left" vertical="top"/>
    </xf>
    <xf numFmtId="0" fontId="17" fillId="0" borderId="10" xfId="0" applyFont="1" applyBorder="1" applyAlignment="1">
      <alignment horizontal="left" vertical="top"/>
    </xf>
    <xf numFmtId="0" fontId="17" fillId="0" borderId="25" xfId="0" applyFont="1" applyBorder="1" applyAlignment="1">
      <alignment horizontal="left" vertical="top"/>
    </xf>
    <xf numFmtId="0" fontId="16" fillId="0" borderId="28" xfId="44" applyBorder="1" applyAlignment="1">
      <alignment horizontal="left" vertical="top"/>
    </xf>
    <xf numFmtId="0" fontId="16" fillId="0" borderId="29" xfId="44" applyBorder="1" applyAlignment="1">
      <alignment horizontal="left" vertical="top"/>
    </xf>
    <xf numFmtId="0" fontId="16" fillId="0" borderId="30" xfId="44" applyBorder="1" applyAlignment="1">
      <alignment horizontal="left" vertical="top"/>
    </xf>
    <xf numFmtId="0" fontId="0" fillId="0" borderId="66" xfId="0" quotePrefix="1" applyBorder="1">
      <alignment horizontal="left" vertical="top" wrapText="1"/>
    </xf>
    <xf numFmtId="0" fontId="16" fillId="0" borderId="24" xfId="44" applyFill="1" applyBorder="1" applyAlignment="1">
      <alignment horizontal="left" vertical="top" wrapText="1"/>
    </xf>
    <xf numFmtId="0" fontId="16" fillId="0" borderId="10" xfId="44" applyFill="1" applyBorder="1" applyAlignment="1">
      <alignment horizontal="left" vertical="top" wrapText="1"/>
    </xf>
    <xf numFmtId="0" fontId="16" fillId="0" borderId="25" xfId="44" applyFill="1" applyBorder="1" applyAlignment="1">
      <alignment horizontal="left" vertical="top" wrapText="1"/>
    </xf>
    <xf numFmtId="0" fontId="25" fillId="0" borderId="0" xfId="0" applyFont="1">
      <alignment horizontal="left" vertical="top" wrapText="1"/>
    </xf>
    <xf numFmtId="0" fontId="0" fillId="0" borderId="20" xfId="0" applyBorder="1">
      <alignment horizontal="left" vertical="top" wrapText="1"/>
    </xf>
    <xf numFmtId="0" fontId="0" fillId="0" borderId="22" xfId="0" applyBorder="1">
      <alignment horizontal="left" vertical="top" wrapText="1"/>
    </xf>
    <xf numFmtId="49" fontId="18" fillId="36" borderId="18" xfId="45">
      <alignment horizontal="center" vertical="center"/>
    </xf>
    <xf numFmtId="0" fontId="25" fillId="0" borderId="53" xfId="0" applyFont="1" applyBorder="1">
      <alignment horizontal="left" vertical="top" wrapText="1"/>
    </xf>
    <xf numFmtId="0" fontId="25" fillId="0" borderId="54" xfId="0" applyFont="1" applyBorder="1">
      <alignment horizontal="left" vertical="top" wrapText="1"/>
    </xf>
    <xf numFmtId="0" fontId="0" fillId="0" borderId="24" xfId="0" applyBorder="1" applyAlignment="1">
      <alignment horizontal="left" vertical="top"/>
    </xf>
    <xf numFmtId="0" fontId="0" fillId="0" borderId="10" xfId="0" applyBorder="1" applyAlignment="1">
      <alignment horizontal="left" vertical="top"/>
    </xf>
    <xf numFmtId="0" fontId="0" fillId="0" borderId="24" xfId="0" applyBorder="1">
      <alignment horizontal="left" vertical="top" wrapText="1"/>
    </xf>
    <xf numFmtId="0" fontId="0" fillId="0" borderId="10" xfId="0" applyBorder="1">
      <alignment horizontal="left" vertical="top" wrapText="1"/>
    </xf>
    <xf numFmtId="166" fontId="0" fillId="31" borderId="19" xfId="0" applyNumberFormat="1" applyFill="1" applyBorder="1" applyAlignment="1" applyProtection="1">
      <alignment horizontal="left" vertical="top"/>
      <protection locked="0"/>
    </xf>
    <xf numFmtId="166" fontId="0" fillId="31" borderId="35" xfId="0" applyNumberFormat="1" applyFill="1" applyBorder="1" applyAlignment="1" applyProtection="1">
      <alignment horizontal="left" vertical="top"/>
      <protection locked="0"/>
    </xf>
    <xf numFmtId="10" fontId="0" fillId="31" borderId="19" xfId="0" applyNumberFormat="1" applyFill="1" applyBorder="1" applyAlignment="1" applyProtection="1">
      <alignment horizontal="left" vertical="top"/>
      <protection locked="0"/>
    </xf>
    <xf numFmtId="10" fontId="0" fillId="31" borderId="35" xfId="0" applyNumberFormat="1" applyFill="1" applyBorder="1" applyAlignment="1" applyProtection="1">
      <alignment horizontal="left" vertical="top"/>
      <protection locked="0"/>
    </xf>
    <xf numFmtId="0" fontId="0" fillId="0" borderId="39" xfId="0" applyBorder="1">
      <alignment horizontal="left" vertical="top" wrapText="1"/>
    </xf>
    <xf numFmtId="0" fontId="0" fillId="0" borderId="40" xfId="0" applyBorder="1">
      <alignment horizontal="left" vertical="top" wrapText="1"/>
    </xf>
    <xf numFmtId="0" fontId="0" fillId="0" borderId="25" xfId="0" applyBorder="1">
      <alignment horizontal="left" vertical="top" wrapText="1"/>
    </xf>
    <xf numFmtId="0" fontId="17" fillId="0" borderId="31" xfId="46" applyBorder="1">
      <alignment horizontal="left" vertical="top" wrapText="1"/>
    </xf>
    <xf numFmtId="0" fontId="17" fillId="0" borderId="32" xfId="46" applyBorder="1">
      <alignment horizontal="left" vertical="top" wrapText="1"/>
    </xf>
    <xf numFmtId="0" fontId="17" fillId="0" borderId="33" xfId="46" applyBorder="1">
      <alignment horizontal="left" vertical="top" wrapText="1"/>
    </xf>
    <xf numFmtId="0" fontId="29" fillId="0" borderId="27" xfId="0" applyFont="1" applyBorder="1" applyAlignment="1">
      <alignment horizontal="center" vertical="top" wrapText="1"/>
    </xf>
    <xf numFmtId="0" fontId="29" fillId="0" borderId="13" xfId="0" applyFont="1" applyBorder="1" applyAlignment="1">
      <alignment horizontal="center" vertical="top" wrapText="1"/>
    </xf>
    <xf numFmtId="0" fontId="29" fillId="0" borderId="26" xfId="0" applyFont="1" applyBorder="1" applyAlignment="1">
      <alignment horizontal="center" vertical="top" wrapText="1"/>
    </xf>
    <xf numFmtId="0" fontId="17" fillId="0" borderId="24" xfId="0" applyFont="1" applyBorder="1">
      <alignment horizontal="left" vertical="top" wrapText="1"/>
    </xf>
    <xf numFmtId="0" fontId="17" fillId="0" borderId="10" xfId="0" applyFont="1" applyBorder="1">
      <alignment horizontal="left" vertical="top" wrapText="1"/>
    </xf>
    <xf numFmtId="0" fontId="17" fillId="0" borderId="25" xfId="0" applyFont="1" applyBorder="1">
      <alignment horizontal="left" vertical="top" wrapText="1"/>
    </xf>
    <xf numFmtId="0" fontId="0" fillId="0" borderId="28" xfId="0" applyBorder="1" applyAlignment="1">
      <alignment horizontal="left" vertical="top"/>
    </xf>
    <xf numFmtId="0" fontId="0" fillId="0" borderId="29" xfId="0" applyBorder="1" applyAlignment="1">
      <alignment horizontal="left" vertical="top"/>
    </xf>
    <xf numFmtId="0" fontId="0" fillId="0" borderId="30" xfId="0" applyBorder="1" applyAlignment="1">
      <alignment horizontal="left" vertical="top"/>
    </xf>
    <xf numFmtId="0" fontId="0" fillId="31" borderId="11" xfId="0" applyFill="1" applyBorder="1" applyAlignment="1" applyProtection="1">
      <alignment horizontal="left" vertical="top"/>
      <protection locked="0"/>
    </xf>
    <xf numFmtId="0" fontId="0" fillId="31" borderId="13" xfId="0" applyFill="1" applyBorder="1" applyAlignment="1" applyProtection="1">
      <alignment horizontal="left" vertical="top"/>
      <protection locked="0"/>
    </xf>
    <xf numFmtId="0" fontId="0" fillId="31" borderId="26" xfId="0" applyFill="1" applyBorder="1" applyAlignment="1" applyProtection="1">
      <alignment horizontal="left" vertical="top"/>
      <protection locked="0"/>
    </xf>
    <xf numFmtId="0" fontId="25" fillId="0" borderId="11" xfId="0" applyFont="1" applyBorder="1" applyAlignment="1">
      <alignment horizontal="left" vertical="top"/>
    </xf>
    <xf numFmtId="0" fontId="25" fillId="0" borderId="13" xfId="0" applyFont="1" applyBorder="1" applyAlignment="1">
      <alignment horizontal="left" vertical="top"/>
    </xf>
    <xf numFmtId="0" fontId="25" fillId="0" borderId="26" xfId="0" applyFont="1" applyBorder="1" applyAlignment="1">
      <alignment horizontal="left" vertical="top"/>
    </xf>
    <xf numFmtId="0" fontId="0" fillId="31" borderId="45" xfId="0" applyFill="1" applyBorder="1" applyAlignment="1" applyProtection="1">
      <alignment horizontal="left" vertical="top"/>
      <protection locked="0"/>
    </xf>
    <xf numFmtId="0" fontId="0" fillId="31" borderId="23" xfId="0" applyFill="1" applyBorder="1" applyAlignment="1" applyProtection="1">
      <alignment horizontal="left" vertical="top"/>
      <protection locked="0"/>
    </xf>
    <xf numFmtId="0" fontId="0" fillId="31" borderId="46" xfId="0" applyFill="1" applyBorder="1" applyAlignment="1" applyProtection="1">
      <alignment horizontal="left" vertical="top"/>
      <protection locked="0"/>
    </xf>
    <xf numFmtId="0" fontId="25" fillId="0" borderId="65" xfId="54" applyBorder="1">
      <alignment horizontal="left" vertical="top"/>
    </xf>
    <xf numFmtId="0" fontId="41" fillId="0" borderId="24" xfId="0" applyFont="1" applyBorder="1" applyAlignment="1">
      <alignment horizontal="left" vertical="top"/>
    </xf>
    <xf numFmtId="0" fontId="41" fillId="0" borderId="10" xfId="0" applyFont="1" applyBorder="1" applyAlignment="1">
      <alignment horizontal="left" vertical="top"/>
    </xf>
    <xf numFmtId="0" fontId="17" fillId="0" borderId="10" xfId="46">
      <alignment horizontal="left" vertical="top" wrapText="1"/>
    </xf>
    <xf numFmtId="0" fontId="17" fillId="0" borderId="24" xfId="46" applyBorder="1">
      <alignment horizontal="left" vertical="top" wrapText="1"/>
    </xf>
    <xf numFmtId="0" fontId="17" fillId="0" borderId="27" xfId="46" applyBorder="1">
      <alignment horizontal="left" vertical="top" wrapText="1"/>
    </xf>
    <xf numFmtId="0" fontId="17" fillId="0" borderId="13" xfId="46" applyBorder="1">
      <alignment horizontal="left" vertical="top" wrapText="1"/>
    </xf>
    <xf numFmtId="0" fontId="17" fillId="0" borderId="26" xfId="46" applyBorder="1">
      <alignment horizontal="left" vertical="top" wrapText="1"/>
    </xf>
    <xf numFmtId="0" fontId="17" fillId="0" borderId="48" xfId="46" applyBorder="1">
      <alignment horizontal="left" vertical="top" wrapText="1"/>
    </xf>
    <xf numFmtId="0" fontId="17" fillId="0" borderId="47" xfId="46" applyBorder="1">
      <alignment horizontal="left" vertical="top" wrapText="1"/>
    </xf>
    <xf numFmtId="0" fontId="17" fillId="0" borderId="49" xfId="46" applyBorder="1">
      <alignment horizontal="left" vertical="top" wrapText="1"/>
    </xf>
    <xf numFmtId="0" fontId="0" fillId="0" borderId="48" xfId="0" applyBorder="1">
      <alignment horizontal="left" vertical="top" wrapText="1"/>
    </xf>
    <xf numFmtId="0" fontId="0" fillId="0" borderId="47" xfId="0" applyBorder="1">
      <alignment horizontal="left" vertical="top" wrapText="1"/>
    </xf>
    <xf numFmtId="0" fontId="0" fillId="0" borderId="34" xfId="0" applyBorder="1" applyAlignment="1">
      <alignment horizontal="left" vertical="top"/>
    </xf>
    <xf numFmtId="0" fontId="0" fillId="0" borderId="19" xfId="0" applyBorder="1" applyAlignment="1">
      <alignment horizontal="left" vertical="top"/>
    </xf>
    <xf numFmtId="0" fontId="0" fillId="31" borderId="29" xfId="0" applyFill="1" applyBorder="1" applyProtection="1">
      <alignment horizontal="left" vertical="top" wrapText="1"/>
      <protection locked="0"/>
    </xf>
    <xf numFmtId="0" fontId="0" fillId="31" borderId="30" xfId="0" applyFill="1" applyBorder="1" applyProtection="1">
      <alignment horizontal="left" vertical="top" wrapText="1"/>
      <protection locked="0"/>
    </xf>
    <xf numFmtId="0" fontId="0" fillId="31" borderId="29" xfId="0" applyFill="1" applyBorder="1" applyAlignment="1" applyProtection="1">
      <alignment horizontal="left" vertical="top"/>
      <protection locked="0"/>
    </xf>
    <xf numFmtId="0" fontId="0" fillId="31" borderId="30" xfId="0" applyFill="1" applyBorder="1" applyAlignment="1" applyProtection="1">
      <alignment horizontal="left" vertical="top"/>
      <protection locked="0"/>
    </xf>
    <xf numFmtId="0" fontId="0" fillId="31" borderId="10" xfId="0" applyFill="1" applyBorder="1" applyAlignment="1" applyProtection="1">
      <alignment horizontal="left" vertical="top"/>
      <protection locked="0"/>
    </xf>
    <xf numFmtId="0" fontId="0" fillId="31" borderId="25" xfId="0" applyFill="1" applyBorder="1" applyAlignment="1" applyProtection="1">
      <alignment horizontal="left" vertical="top"/>
      <protection locked="0"/>
    </xf>
    <xf numFmtId="0" fontId="15" fillId="0" borderId="27" xfId="46" applyFont="1" applyBorder="1">
      <alignment horizontal="left" vertical="top" wrapText="1"/>
    </xf>
    <xf numFmtId="0" fontId="15" fillId="0" borderId="13" xfId="46" applyFont="1" applyBorder="1">
      <alignment horizontal="left" vertical="top" wrapText="1"/>
    </xf>
    <xf numFmtId="0" fontId="15" fillId="0" borderId="12" xfId="46" applyFont="1" applyBorder="1">
      <alignment horizontal="left" vertical="top" wrapText="1"/>
    </xf>
    <xf numFmtId="0" fontId="0" fillId="31" borderId="45" xfId="0" applyFill="1" applyBorder="1" applyAlignment="1" applyProtection="1">
      <alignment vertical="top" wrapText="1"/>
      <protection locked="0"/>
    </xf>
    <xf numFmtId="0" fontId="0" fillId="31" borderId="23" xfId="0" applyFill="1" applyBorder="1" applyAlignment="1" applyProtection="1">
      <alignment vertical="top" wrapText="1"/>
      <protection locked="0"/>
    </xf>
    <xf numFmtId="0" fontId="0" fillId="31" borderId="46" xfId="0" applyFill="1" applyBorder="1" applyAlignment="1" applyProtection="1">
      <alignment vertical="top" wrapText="1"/>
      <protection locked="0"/>
    </xf>
    <xf numFmtId="0" fontId="0" fillId="0" borderId="50" xfId="0" applyBorder="1">
      <alignment horizontal="left" vertical="top" wrapText="1"/>
    </xf>
    <xf numFmtId="0" fontId="0" fillId="0" borderId="23" xfId="0" applyBorder="1">
      <alignment horizontal="left" vertical="top" wrapText="1"/>
    </xf>
    <xf numFmtId="0" fontId="0" fillId="0" borderId="51" xfId="0" applyBorder="1">
      <alignment horizontal="left" vertical="top" wrapText="1"/>
    </xf>
    <xf numFmtId="0" fontId="16" fillId="0" borderId="48" xfId="44" applyBorder="1" applyAlignment="1">
      <alignment horizontal="left" vertical="top"/>
    </xf>
    <xf numFmtId="0" fontId="16" fillId="0" borderId="47" xfId="44" applyBorder="1" applyAlignment="1">
      <alignment horizontal="left" vertical="top"/>
    </xf>
    <xf numFmtId="0" fontId="16" fillId="0" borderId="49" xfId="44" applyBorder="1" applyAlignment="1">
      <alignment horizontal="left" vertical="top"/>
    </xf>
    <xf numFmtId="0" fontId="0" fillId="0" borderId="35" xfId="0" applyBorder="1" applyAlignment="1">
      <alignment horizontal="left" vertical="top"/>
    </xf>
    <xf numFmtId="0" fontId="0" fillId="0" borderId="52" xfId="0" applyBorder="1" applyAlignment="1">
      <alignment horizontal="left" vertical="top"/>
    </xf>
    <xf numFmtId="0" fontId="0" fillId="0" borderId="14" xfId="0" applyBorder="1" applyAlignment="1">
      <alignment horizontal="left" vertical="top"/>
    </xf>
    <xf numFmtId="0" fontId="0" fillId="0" borderId="70" xfId="0" applyBorder="1" applyAlignment="1">
      <alignment horizontal="left" vertical="top"/>
    </xf>
    <xf numFmtId="0" fontId="0" fillId="39" borderId="24" xfId="0" applyFill="1" applyBorder="1">
      <alignment horizontal="left" vertical="top" wrapText="1"/>
    </xf>
    <xf numFmtId="0" fontId="0" fillId="39" borderId="10" xfId="0" applyFill="1" applyBorder="1">
      <alignment horizontal="left" vertical="top" wrapText="1"/>
    </xf>
    <xf numFmtId="49" fontId="0" fillId="31" borderId="10" xfId="0" applyNumberFormat="1" applyFill="1" applyBorder="1" applyProtection="1">
      <alignment horizontal="left" vertical="top" wrapText="1"/>
      <protection locked="0"/>
    </xf>
    <xf numFmtId="49" fontId="0" fillId="31" borderId="25" xfId="0" applyNumberFormat="1" applyFill="1" applyBorder="1" applyProtection="1">
      <alignment horizontal="left" vertical="top" wrapText="1"/>
      <protection locked="0"/>
    </xf>
    <xf numFmtId="0" fontId="25" fillId="0" borderId="0" xfId="0" applyFont="1" applyAlignment="1">
      <alignment horizontal="left" vertical="top"/>
    </xf>
    <xf numFmtId="0" fontId="0" fillId="0" borderId="21" xfId="0" applyBorder="1">
      <alignment horizontal="left" vertical="top" wrapText="1"/>
    </xf>
    <xf numFmtId="0" fontId="24" fillId="0" borderId="24" xfId="0" applyFont="1" applyBorder="1">
      <alignment horizontal="left" vertical="top" wrapText="1"/>
    </xf>
    <xf numFmtId="0" fontId="24" fillId="0" borderId="10" xfId="0" applyFont="1" applyBorder="1">
      <alignment horizontal="left" vertical="top" wrapText="1"/>
    </xf>
    <xf numFmtId="0" fontId="0" fillId="0" borderId="31" xfId="0" applyBorder="1" applyAlignment="1">
      <alignment horizontal="left" vertical="top"/>
    </xf>
    <xf numFmtId="0" fontId="0" fillId="0" borderId="32" xfId="0" applyBorder="1" applyAlignment="1">
      <alignment horizontal="left" vertical="top"/>
    </xf>
    <xf numFmtId="0" fontId="0" fillId="0" borderId="33" xfId="0" applyBorder="1" applyAlignment="1">
      <alignment horizontal="left" vertical="top"/>
    </xf>
    <xf numFmtId="0" fontId="0" fillId="39" borderId="27" xfId="0" applyFill="1" applyBorder="1">
      <alignment horizontal="left" vertical="top" wrapText="1"/>
    </xf>
    <xf numFmtId="0" fontId="0" fillId="39" borderId="13" xfId="0" applyFill="1" applyBorder="1">
      <alignment horizontal="left" vertical="top" wrapText="1"/>
    </xf>
    <xf numFmtId="0" fontId="0" fillId="39" borderId="12" xfId="0" applyFill="1" applyBorder="1">
      <alignment horizontal="left" vertical="top" wrapText="1"/>
    </xf>
    <xf numFmtId="49" fontId="0" fillId="31" borderId="29" xfId="0" applyNumberFormat="1" applyFill="1" applyBorder="1" applyProtection="1">
      <alignment horizontal="left" vertical="top" wrapText="1"/>
      <protection locked="0"/>
    </xf>
    <xf numFmtId="49" fontId="0" fillId="31" borderId="30" xfId="0" applyNumberFormat="1" applyFill="1" applyBorder="1" applyProtection="1">
      <alignment horizontal="left" vertical="top" wrapText="1"/>
      <protection locked="0"/>
    </xf>
    <xf numFmtId="0" fontId="0" fillId="39" borderId="28" xfId="0" applyFill="1" applyBorder="1">
      <alignment horizontal="left" vertical="top" wrapText="1"/>
    </xf>
    <xf numFmtId="0" fontId="0" fillId="39" borderId="29" xfId="0" applyFill="1" applyBorder="1">
      <alignment horizontal="left" vertical="top" wrapText="1"/>
    </xf>
    <xf numFmtId="0" fontId="0" fillId="31" borderId="10" xfId="0" applyFill="1" applyBorder="1" applyProtection="1">
      <alignment horizontal="left" vertical="top" wrapText="1"/>
      <protection locked="0"/>
    </xf>
    <xf numFmtId="0" fontId="0" fillId="31" borderId="25" xfId="0" applyFill="1" applyBorder="1" applyProtection="1">
      <alignment horizontal="left" vertical="top" wrapText="1"/>
      <protection locked="0"/>
    </xf>
    <xf numFmtId="0" fontId="16" fillId="0" borderId="23" xfId="44" applyBorder="1" applyAlignment="1">
      <alignment horizontal="left" vertical="top" wrapText="1"/>
    </xf>
    <xf numFmtId="0" fontId="16" fillId="0" borderId="46" xfId="44" applyBorder="1" applyAlignment="1">
      <alignment horizontal="left" vertical="top" wrapText="1"/>
    </xf>
    <xf numFmtId="0" fontId="17" fillId="0" borderId="36" xfId="0" applyFont="1" applyBorder="1">
      <alignment horizontal="left" vertical="top" wrapText="1"/>
    </xf>
    <xf numFmtId="0" fontId="17" fillId="0" borderId="37" xfId="0" applyFont="1" applyBorder="1">
      <alignment horizontal="left" vertical="top" wrapText="1"/>
    </xf>
    <xf numFmtId="0" fontId="0" fillId="31" borderId="45" xfId="0" applyFill="1" applyBorder="1" applyProtection="1">
      <alignment horizontal="left" vertical="top" wrapText="1"/>
      <protection locked="0"/>
    </xf>
    <xf numFmtId="0" fontId="0" fillId="31" borderId="23" xfId="0" applyFill="1" applyBorder="1" applyProtection="1">
      <alignment horizontal="left" vertical="top" wrapText="1"/>
      <protection locked="0"/>
    </xf>
    <xf numFmtId="0" fontId="0" fillId="31" borderId="46" xfId="0" applyFill="1" applyBorder="1" applyProtection="1">
      <alignment horizontal="left" vertical="top" wrapText="1"/>
      <protection locked="0"/>
    </xf>
    <xf numFmtId="0" fontId="0" fillId="0" borderId="50" xfId="0" applyBorder="1" applyAlignment="1">
      <alignment vertical="top" wrapText="1"/>
    </xf>
    <xf numFmtId="0" fontId="0" fillId="0" borderId="23" xfId="0" applyBorder="1" applyAlignment="1">
      <alignment vertical="top" wrapText="1"/>
    </xf>
    <xf numFmtId="0" fontId="0" fillId="0" borderId="46" xfId="0" applyBorder="1" applyAlignment="1">
      <alignment vertical="top" wrapText="1"/>
    </xf>
    <xf numFmtId="164" fontId="15" fillId="32" borderId="24" xfId="48" applyBorder="1">
      <alignment wrapText="1"/>
    </xf>
    <xf numFmtId="164" fontId="15" fillId="32" borderId="10" xfId="48">
      <alignment wrapText="1"/>
    </xf>
    <xf numFmtId="164" fontId="15" fillId="32" borderId="28" xfId="48" applyBorder="1">
      <alignment wrapText="1"/>
    </xf>
    <xf numFmtId="164" fontId="15" fillId="32" borderId="29" xfId="48" applyBorder="1">
      <alignment wrapText="1"/>
    </xf>
    <xf numFmtId="0" fontId="0" fillId="0" borderId="58" xfId="0" applyBorder="1">
      <alignment horizontal="left" vertical="top" wrapText="1"/>
    </xf>
    <xf numFmtId="0" fontId="0" fillId="0" borderId="59" xfId="0" applyBorder="1">
      <alignment horizontal="left" vertical="top" wrapText="1"/>
    </xf>
    <xf numFmtId="0" fontId="0" fillId="0" borderId="62" xfId="0" applyBorder="1">
      <alignment horizontal="left" vertical="top" wrapText="1"/>
    </xf>
    <xf numFmtId="0" fontId="0" fillId="0" borderId="64" xfId="0" applyBorder="1">
      <alignment horizontal="left" vertical="top" wrapText="1"/>
    </xf>
    <xf numFmtId="0" fontId="0" fillId="0" borderId="65" xfId="0" applyBorder="1">
      <alignment horizontal="left" vertical="top" wrapText="1"/>
    </xf>
    <xf numFmtId="0" fontId="0" fillId="0" borderId="63" xfId="0" applyBorder="1">
      <alignment horizontal="left" vertical="top" wrapText="1"/>
    </xf>
    <xf numFmtId="0" fontId="0" fillId="0" borderId="49" xfId="0" applyBorder="1">
      <alignment horizontal="left" vertical="top" wrapText="1"/>
    </xf>
    <xf numFmtId="0" fontId="25" fillId="0" borderId="54" xfId="56" applyBorder="1">
      <alignment horizontal="left" vertical="top"/>
    </xf>
    <xf numFmtId="0" fontId="25" fillId="0" borderId="67" xfId="56" applyBorder="1">
      <alignment horizontal="left" vertical="top"/>
    </xf>
    <xf numFmtId="0" fontId="0" fillId="31" borderId="71" xfId="0" applyFill="1" applyBorder="1" applyAlignment="1" applyProtection="1">
      <alignment vertical="top" wrapText="1"/>
      <protection locked="0"/>
    </xf>
    <xf numFmtId="0" fontId="0" fillId="31" borderId="54" xfId="0" applyFill="1" applyBorder="1" applyAlignment="1" applyProtection="1">
      <alignment vertical="top" wrapText="1"/>
      <protection locked="0"/>
    </xf>
    <xf numFmtId="0" fontId="0" fillId="31" borderId="55" xfId="0" applyFill="1" applyBorder="1" applyAlignment="1" applyProtection="1">
      <alignment vertical="top" wrapText="1"/>
      <protection locked="0"/>
    </xf>
    <xf numFmtId="0" fontId="0" fillId="0" borderId="53" xfId="0" applyBorder="1" applyAlignment="1">
      <alignment vertical="top" wrapText="1"/>
    </xf>
    <xf numFmtId="0" fontId="0" fillId="0" borderId="54" xfId="0" applyBorder="1" applyAlignment="1">
      <alignment vertical="top" wrapText="1"/>
    </xf>
    <xf numFmtId="0" fontId="0" fillId="0" borderId="72" xfId="0" applyBorder="1" applyAlignment="1">
      <alignment vertical="top" wrapText="1"/>
    </xf>
    <xf numFmtId="0" fontId="0" fillId="0" borderId="27" xfId="0" applyBorder="1" applyAlignment="1">
      <alignment vertical="top" wrapText="1"/>
    </xf>
    <xf numFmtId="0" fontId="0" fillId="0" borderId="13" xfId="0" applyBorder="1" applyAlignment="1">
      <alignment vertical="top" wrapText="1"/>
    </xf>
    <xf numFmtId="0" fontId="0" fillId="0" borderId="12" xfId="0" applyBorder="1" applyAlignment="1">
      <alignment vertical="top" wrapText="1"/>
    </xf>
    <xf numFmtId="164" fontId="15" fillId="32" borderId="27" xfId="48" applyBorder="1">
      <alignment wrapText="1"/>
    </xf>
    <xf numFmtId="164" fontId="15" fillId="32" borderId="12" xfId="48" applyBorder="1">
      <alignment wrapText="1"/>
    </xf>
    <xf numFmtId="0" fontId="0" fillId="31" borderId="24" xfId="0" applyFill="1" applyBorder="1" applyProtection="1">
      <alignment horizontal="left" vertical="top" wrapText="1"/>
      <protection locked="0"/>
    </xf>
    <xf numFmtId="164" fontId="15" fillId="32" borderId="50" xfId="48" applyBorder="1">
      <alignment wrapText="1"/>
    </xf>
    <xf numFmtId="164" fontId="15" fillId="32" borderId="51" xfId="48" applyBorder="1">
      <alignment wrapText="1"/>
    </xf>
    <xf numFmtId="0" fontId="17" fillId="0" borderId="48" xfId="46" applyBorder="1" applyAlignment="1">
      <alignment horizontal="left" vertical="top"/>
    </xf>
    <xf numFmtId="0" fontId="17" fillId="0" borderId="47" xfId="46" applyBorder="1" applyAlignment="1">
      <alignment horizontal="left" vertical="top"/>
    </xf>
    <xf numFmtId="0" fontId="0" fillId="0" borderId="10" xfId="0" applyBorder="1" applyAlignment="1">
      <alignment vertical="top" wrapText="1"/>
    </xf>
    <xf numFmtId="0" fontId="0" fillId="0" borderId="25" xfId="0" applyBorder="1" applyAlignment="1">
      <alignment vertical="top" wrapText="1"/>
    </xf>
    <xf numFmtId="0" fontId="25" fillId="0" borderId="10" xfId="0" applyFont="1" applyBorder="1" applyAlignment="1">
      <alignment vertical="top"/>
    </xf>
    <xf numFmtId="0" fontId="25" fillId="0" borderId="25" xfId="0" applyFont="1" applyBorder="1" applyAlignment="1">
      <alignment vertical="top"/>
    </xf>
    <xf numFmtId="0" fontId="25" fillId="0" borderId="29" xfId="0" applyFont="1" applyBorder="1" applyAlignment="1">
      <alignment vertical="top"/>
    </xf>
    <xf numFmtId="0" fontId="25" fillId="0" borderId="30" xfId="0" applyFont="1" applyBorder="1" applyAlignment="1">
      <alignment vertical="top"/>
    </xf>
    <xf numFmtId="2" fontId="0" fillId="31" borderId="10" xfId="0" applyNumberFormat="1" applyFill="1" applyBorder="1" applyAlignment="1" applyProtection="1">
      <alignment horizontal="left" vertical="top"/>
      <protection locked="0"/>
    </xf>
    <xf numFmtId="0" fontId="17" fillId="0" borderId="32" xfId="0" applyFont="1" applyBorder="1" applyAlignment="1">
      <alignment vertical="top"/>
    </xf>
    <xf numFmtId="0" fontId="17" fillId="0" borderId="32" xfId="0" applyFont="1" applyBorder="1" applyAlignment="1">
      <alignment vertical="top" wrapText="1"/>
    </xf>
    <xf numFmtId="0" fontId="17" fillId="0" borderId="33" xfId="0" applyFont="1" applyBorder="1" applyAlignment="1">
      <alignment vertical="top" wrapText="1"/>
    </xf>
    <xf numFmtId="0" fontId="0" fillId="0" borderId="27" xfId="0" applyBorder="1" applyAlignment="1">
      <alignment horizontal="left" vertical="top"/>
    </xf>
    <xf numFmtId="0" fontId="0" fillId="0" borderId="13" xfId="0" applyBorder="1" applyAlignment="1">
      <alignment horizontal="left" vertical="top"/>
    </xf>
    <xf numFmtId="0" fontId="0" fillId="0" borderId="12" xfId="0" applyBorder="1" applyAlignment="1">
      <alignment horizontal="left" vertical="top"/>
    </xf>
    <xf numFmtId="0" fontId="0" fillId="0" borderId="50" xfId="0" applyBorder="1" applyAlignment="1">
      <alignment horizontal="left" vertical="top"/>
    </xf>
    <xf numFmtId="0" fontId="0" fillId="0" borderId="23" xfId="0" applyBorder="1" applyAlignment="1">
      <alignment horizontal="left" vertical="top"/>
    </xf>
    <xf numFmtId="0" fontId="0" fillId="0" borderId="51" xfId="0" applyBorder="1" applyAlignment="1">
      <alignment horizontal="left" vertical="top"/>
    </xf>
    <xf numFmtId="0" fontId="0" fillId="0" borderId="10" xfId="0" applyBorder="1" applyAlignment="1">
      <alignment vertical="top"/>
    </xf>
    <xf numFmtId="0" fontId="0" fillId="0" borderId="25" xfId="0" applyBorder="1" applyAlignment="1">
      <alignment vertical="top"/>
    </xf>
    <xf numFmtId="0" fontId="0" fillId="0" borderId="29" xfId="0" applyBorder="1" applyAlignment="1">
      <alignment vertical="top"/>
    </xf>
    <xf numFmtId="0" fontId="0" fillId="0" borderId="30" xfId="0" applyBorder="1" applyAlignment="1">
      <alignment vertical="top"/>
    </xf>
    <xf numFmtId="0" fontId="17" fillId="0" borderId="31" xfId="46" applyBorder="1" applyAlignment="1">
      <alignment horizontal="left" vertical="top"/>
    </xf>
    <xf numFmtId="0" fontId="17" fillId="0" borderId="32" xfId="46" applyBorder="1" applyAlignment="1">
      <alignment horizontal="left" vertical="top"/>
    </xf>
    <xf numFmtId="0" fontId="0" fillId="31" borderId="10" xfId="0" applyFill="1" applyBorder="1" applyAlignment="1" applyProtection="1">
      <alignment vertical="top"/>
      <protection locked="0"/>
    </xf>
    <xf numFmtId="0" fontId="0" fillId="31" borderId="32" xfId="0" applyFill="1" applyBorder="1" applyAlignment="1" applyProtection="1">
      <alignment horizontal="left" vertical="top"/>
      <protection locked="0"/>
    </xf>
    <xf numFmtId="0" fontId="0" fillId="31" borderId="33" xfId="0" applyFill="1" applyBorder="1" applyAlignment="1" applyProtection="1">
      <alignment horizontal="left" vertical="top"/>
      <protection locked="0"/>
    </xf>
    <xf numFmtId="0" fontId="0" fillId="0" borderId="31" xfId="0" applyBorder="1" applyAlignment="1">
      <alignment vertical="top" wrapText="1"/>
    </xf>
    <xf numFmtId="0" fontId="0" fillId="0" borderId="32" xfId="0" applyBorder="1" applyAlignment="1">
      <alignment vertical="top" wrapText="1"/>
    </xf>
    <xf numFmtId="0" fontId="0" fillId="0" borderId="28" xfId="0" applyBorder="1" applyAlignment="1">
      <alignment vertical="top" wrapText="1"/>
    </xf>
    <xf numFmtId="0" fontId="0" fillId="0" borderId="29" xfId="0" applyBorder="1" applyAlignment="1">
      <alignment vertical="top" wrapText="1"/>
    </xf>
    <xf numFmtId="0" fontId="0" fillId="31" borderId="24" xfId="0" applyFill="1" applyBorder="1" applyAlignment="1" applyProtection="1">
      <alignment horizontal="left" vertical="top"/>
      <protection locked="0"/>
    </xf>
    <xf numFmtId="0" fontId="25" fillId="0" borderId="93" xfId="54" applyBorder="1">
      <alignment horizontal="left" vertical="top"/>
    </xf>
    <xf numFmtId="49" fontId="18" fillId="36" borderId="107" xfId="45" applyBorder="1">
      <alignment horizontal="center" vertical="center"/>
    </xf>
    <xf numFmtId="164" fontId="15" fillId="32" borderId="11" xfId="48" applyBorder="1">
      <alignment wrapText="1"/>
    </xf>
    <xf numFmtId="0" fontId="0" fillId="0" borderId="11" xfId="0" applyBorder="1">
      <alignment horizontal="left" vertical="top" wrapText="1"/>
    </xf>
    <xf numFmtId="0" fontId="0" fillId="0" borderId="13" xfId="0" applyBorder="1">
      <alignment horizontal="left" vertical="top" wrapText="1"/>
    </xf>
    <xf numFmtId="0" fontId="0" fillId="0" borderId="26" xfId="0" applyBorder="1">
      <alignment horizontal="left" vertical="top" wrapText="1"/>
    </xf>
    <xf numFmtId="0" fontId="0" fillId="0" borderId="52" xfId="0" applyBorder="1">
      <alignment horizontal="left" vertical="top" wrapText="1"/>
    </xf>
    <xf numFmtId="0" fontId="0" fillId="0" borderId="14" xfId="0" applyBorder="1">
      <alignment horizontal="left" vertical="top" wrapText="1"/>
    </xf>
    <xf numFmtId="0" fontId="0" fillId="0" borderId="16" xfId="0" applyBorder="1">
      <alignment horizontal="left" vertical="top" wrapText="1"/>
    </xf>
    <xf numFmtId="0" fontId="0" fillId="0" borderId="17" xfId="0" applyBorder="1">
      <alignment horizontal="left" vertical="top" wrapText="1"/>
    </xf>
    <xf numFmtId="0" fontId="17" fillId="0" borderId="12" xfId="46" applyBorder="1">
      <alignment horizontal="left" vertical="top" wrapText="1"/>
    </xf>
    <xf numFmtId="0" fontId="25" fillId="0" borderId="66" xfId="56" applyBorder="1">
      <alignment horizontal="left" vertical="top"/>
    </xf>
    <xf numFmtId="0" fontId="25" fillId="0" borderId="79" xfId="56" applyBorder="1">
      <alignment horizontal="left" vertical="top"/>
    </xf>
    <xf numFmtId="0" fontId="25" fillId="0" borderId="52" xfId="56" applyBorder="1">
      <alignment horizontal="left" vertical="top"/>
    </xf>
    <xf numFmtId="0" fontId="25" fillId="0" borderId="14" xfId="56" applyBorder="1">
      <alignment horizontal="left" vertical="top"/>
    </xf>
    <xf numFmtId="0" fontId="25" fillId="0" borderId="16" xfId="56" applyBorder="1">
      <alignment horizontal="left" vertical="top"/>
    </xf>
    <xf numFmtId="0" fontId="25" fillId="0" borderId="56" xfId="56" applyBorder="1">
      <alignment horizontal="left" vertical="top"/>
    </xf>
    <xf numFmtId="0" fontId="25" fillId="0" borderId="0" xfId="56" applyBorder="1">
      <alignment horizontal="left" vertical="top"/>
    </xf>
    <xf numFmtId="0" fontId="25" fillId="0" borderId="17" xfId="56" applyBorder="1">
      <alignment horizontal="left" vertical="top"/>
    </xf>
    <xf numFmtId="0" fontId="0" fillId="31" borderId="19" xfId="0" applyFill="1" applyBorder="1" applyProtection="1">
      <alignment horizontal="left" vertical="top" wrapText="1"/>
      <protection locked="0"/>
    </xf>
    <xf numFmtId="0" fontId="0" fillId="31" borderId="35" xfId="0" applyFill="1" applyBorder="1" applyProtection="1">
      <alignment horizontal="left" vertical="top" wrapText="1"/>
      <protection locked="0"/>
    </xf>
    <xf numFmtId="0" fontId="0" fillId="0" borderId="66" xfId="0" applyBorder="1">
      <alignment horizontal="left" vertical="top" wrapText="1"/>
    </xf>
    <xf numFmtId="0" fontId="0" fillId="0" borderId="79" xfId="0" applyBorder="1">
      <alignment horizontal="left" vertical="top" wrapText="1"/>
    </xf>
    <xf numFmtId="0" fontId="0" fillId="31" borderId="25" xfId="0" applyFill="1" applyBorder="1" applyAlignment="1" applyProtection="1">
      <alignment vertical="top"/>
      <protection locked="0"/>
    </xf>
    <xf numFmtId="0" fontId="0" fillId="31" borderId="45" xfId="0" applyFill="1" applyBorder="1" applyAlignment="1" applyProtection="1">
      <alignment vertical="top"/>
      <protection locked="0"/>
    </xf>
    <xf numFmtId="0" fontId="0" fillId="31" borderId="46" xfId="0" applyFill="1" applyBorder="1" applyAlignment="1" applyProtection="1">
      <alignment vertical="top"/>
      <protection locked="0"/>
    </xf>
    <xf numFmtId="0" fontId="0" fillId="0" borderId="24" xfId="0" applyBorder="1" applyAlignment="1">
      <alignment horizontal="left"/>
    </xf>
    <xf numFmtId="0" fontId="0" fillId="0" borderId="10" xfId="0" applyBorder="1" applyAlignment="1">
      <alignment horizontal="left"/>
    </xf>
    <xf numFmtId="0" fontId="0" fillId="0" borderId="25" xfId="0" applyBorder="1" applyAlignment="1">
      <alignment horizontal="left" vertical="top"/>
    </xf>
    <xf numFmtId="10" fontId="15" fillId="31" borderId="10" xfId="47" applyFill="1" applyBorder="1" applyAlignment="1" applyProtection="1">
      <alignment horizontal="left" vertical="top"/>
      <protection locked="0"/>
    </xf>
    <xf numFmtId="0" fontId="17" fillId="0" borderId="10" xfId="46" applyAlignment="1">
      <alignment vertical="top"/>
    </xf>
    <xf numFmtId="0" fontId="17" fillId="0" borderId="10" xfId="46" applyAlignment="1">
      <alignment horizontal="left" vertical="top"/>
    </xf>
    <xf numFmtId="0" fontId="17" fillId="0" borderId="25" xfId="46" applyBorder="1" applyAlignment="1">
      <alignment horizontal="left" vertical="top"/>
    </xf>
    <xf numFmtId="0" fontId="0" fillId="31" borderId="32" xfId="0" applyFill="1" applyBorder="1" applyAlignment="1" applyProtection="1">
      <alignment horizontal="left"/>
      <protection locked="0"/>
    </xf>
    <xf numFmtId="0" fontId="0" fillId="31" borderId="33" xfId="0" applyFill="1" applyBorder="1" applyAlignment="1" applyProtection="1">
      <alignment horizontal="left"/>
      <protection locked="0"/>
    </xf>
    <xf numFmtId="0" fontId="0" fillId="31" borderId="10" xfId="0" applyFill="1" applyBorder="1" applyAlignment="1" applyProtection="1">
      <alignment horizontal="left"/>
      <protection locked="0"/>
    </xf>
    <xf numFmtId="0" fontId="0" fillId="31" borderId="25" xfId="0" applyFill="1" applyBorder="1" applyAlignment="1" applyProtection="1">
      <alignment horizontal="left"/>
      <protection locked="0"/>
    </xf>
    <xf numFmtId="0" fontId="0" fillId="31" borderId="29" xfId="0" applyFill="1" applyBorder="1" applyAlignment="1" applyProtection="1">
      <alignment horizontal="left"/>
      <protection locked="0"/>
    </xf>
    <xf numFmtId="0" fontId="0" fillId="31" borderId="30" xfId="0" applyFill="1" applyBorder="1" applyAlignment="1" applyProtection="1">
      <alignment horizontal="left"/>
      <protection locked="0"/>
    </xf>
    <xf numFmtId="0" fontId="17" fillId="0" borderId="24" xfId="46" applyBorder="1" applyAlignment="1">
      <alignment horizontal="left" vertical="top"/>
    </xf>
    <xf numFmtId="169" fontId="15" fillId="31" borderId="10" xfId="47" applyNumberFormat="1" applyFill="1" applyBorder="1" applyAlignment="1" applyProtection="1">
      <alignment horizontal="left" vertical="top"/>
      <protection locked="0"/>
    </xf>
    <xf numFmtId="0" fontId="31" fillId="0" borderId="10" xfId="0" applyFont="1" applyBorder="1" applyAlignment="1">
      <alignment horizontal="left" vertical="top"/>
    </xf>
    <xf numFmtId="0" fontId="31" fillId="0" borderId="25" xfId="0" applyFont="1" applyBorder="1" applyAlignment="1">
      <alignment horizontal="left" vertical="top"/>
    </xf>
    <xf numFmtId="10" fontId="15" fillId="0" borderId="10" xfId="47" applyBorder="1" applyAlignment="1">
      <alignment horizontal="left" vertical="top"/>
    </xf>
    <xf numFmtId="9" fontId="25" fillId="0" borderId="10" xfId="0" applyNumberFormat="1" applyFont="1" applyBorder="1" applyAlignment="1">
      <alignment horizontal="left" vertical="top"/>
    </xf>
    <xf numFmtId="9" fontId="25" fillId="0" borderId="25" xfId="0" applyNumberFormat="1" applyFont="1" applyBorder="1" applyAlignment="1">
      <alignment horizontal="left" vertical="top"/>
    </xf>
    <xf numFmtId="0" fontId="25" fillId="0" borderId="10" xfId="0" applyFont="1" applyBorder="1" applyAlignment="1">
      <alignment horizontal="left" vertical="top"/>
    </xf>
    <xf numFmtId="0" fontId="25" fillId="0" borderId="25" xfId="0" applyFont="1" applyBorder="1" applyAlignment="1">
      <alignment horizontal="left" vertical="top"/>
    </xf>
    <xf numFmtId="0" fontId="0" fillId="0" borderId="15" xfId="0" applyBorder="1">
      <alignment horizontal="left" vertical="top" wrapText="1"/>
    </xf>
    <xf numFmtId="0" fontId="0" fillId="0" borderId="70" xfId="0" applyBorder="1">
      <alignment horizontal="left" vertical="top" wrapText="1"/>
    </xf>
    <xf numFmtId="0" fontId="0" fillId="0" borderId="11" xfId="0" applyBorder="1" applyAlignment="1">
      <alignment vertical="top"/>
    </xf>
    <xf numFmtId="0" fontId="0" fillId="0" borderId="26" xfId="0" applyBorder="1" applyAlignment="1">
      <alignment vertical="top"/>
    </xf>
    <xf numFmtId="0" fontId="25" fillId="0" borderId="11" xfId="56" applyBorder="1">
      <alignment horizontal="left" vertical="top"/>
    </xf>
    <xf numFmtId="0" fontId="25" fillId="0" borderId="26" xfId="56" applyBorder="1">
      <alignment horizontal="left" vertical="top"/>
    </xf>
    <xf numFmtId="3" fontId="0" fillId="0" borderId="11" xfId="0" applyNumberFormat="1" applyBorder="1" applyAlignment="1">
      <alignment horizontal="left" vertical="top"/>
    </xf>
    <xf numFmtId="3" fontId="0" fillId="0" borderId="12" xfId="0" applyNumberFormat="1" applyBorder="1" applyAlignment="1">
      <alignment horizontal="left" vertical="top"/>
    </xf>
    <xf numFmtId="0" fontId="25" fillId="0" borderId="45" xfId="56" applyBorder="1">
      <alignment horizontal="left" vertical="top"/>
    </xf>
    <xf numFmtId="0" fontId="25" fillId="0" borderId="46" xfId="56" applyBorder="1">
      <alignment horizontal="left" vertical="top"/>
    </xf>
    <xf numFmtId="0" fontId="0" fillId="0" borderId="27" xfId="0" applyBorder="1">
      <alignment horizontal="left" vertical="top" wrapText="1"/>
    </xf>
    <xf numFmtId="3" fontId="0" fillId="31" borderId="11" xfId="0" applyNumberFormat="1" applyFill="1" applyBorder="1" applyAlignment="1" applyProtection="1">
      <alignment horizontal="left" vertical="top"/>
      <protection locked="0"/>
    </xf>
    <xf numFmtId="3" fontId="0" fillId="31" borderId="12" xfId="0" applyNumberFormat="1" applyFill="1" applyBorder="1" applyAlignment="1" applyProtection="1">
      <alignment horizontal="left" vertical="top"/>
      <protection locked="0"/>
    </xf>
    <xf numFmtId="0" fontId="17" fillId="0" borderId="61" xfId="46" applyBorder="1" applyAlignment="1">
      <alignment vertical="top"/>
    </xf>
    <xf numFmtId="0" fontId="17" fillId="0" borderId="62" xfId="46" applyBorder="1" applyAlignment="1">
      <alignment vertical="top"/>
    </xf>
    <xf numFmtId="2" fontId="0" fillId="0" borderId="10" xfId="0" applyNumberFormat="1" applyBorder="1" applyAlignment="1">
      <alignment horizontal="left" vertical="top"/>
    </xf>
    <xf numFmtId="2" fontId="0" fillId="0" borderId="25" xfId="0" applyNumberFormat="1" applyBorder="1" applyAlignment="1">
      <alignment horizontal="left" vertical="top"/>
    </xf>
    <xf numFmtId="2" fontId="0" fillId="0" borderId="29" xfId="0" applyNumberFormat="1" applyBorder="1" applyAlignment="1">
      <alignment horizontal="left" vertical="top"/>
    </xf>
    <xf numFmtId="2" fontId="0" fillId="0" borderId="30" xfId="0" applyNumberFormat="1" applyBorder="1" applyAlignment="1">
      <alignment horizontal="left" vertical="top"/>
    </xf>
    <xf numFmtId="166" fontId="0" fillId="0" borderId="10" xfId="0" applyNumberFormat="1" applyBorder="1" applyAlignment="1">
      <alignment horizontal="left" vertical="top"/>
    </xf>
    <xf numFmtId="166" fontId="0" fillId="0" borderId="25" xfId="0" applyNumberFormat="1" applyBorder="1" applyAlignment="1">
      <alignment horizontal="left" vertical="top"/>
    </xf>
    <xf numFmtId="166" fontId="0" fillId="0" borderId="29" xfId="0" applyNumberFormat="1" applyBorder="1" applyAlignment="1">
      <alignment horizontal="left" vertical="top"/>
    </xf>
    <xf numFmtId="166" fontId="0" fillId="0" borderId="30" xfId="0" applyNumberFormat="1" applyBorder="1" applyAlignment="1">
      <alignment horizontal="left" vertical="top"/>
    </xf>
    <xf numFmtId="0" fontId="0" fillId="0" borderId="11" xfId="0" applyBorder="1" applyAlignment="1">
      <alignment horizontal="left" vertical="top"/>
    </xf>
    <xf numFmtId="0" fontId="0" fillId="0" borderId="12" xfId="0" applyBorder="1">
      <alignment horizontal="left" vertical="top" wrapText="1"/>
    </xf>
    <xf numFmtId="0" fontId="0" fillId="31" borderId="12" xfId="0" applyFill="1" applyBorder="1" applyAlignment="1" applyProtection="1">
      <alignment horizontal="left" vertical="top"/>
      <protection locked="0"/>
    </xf>
    <xf numFmtId="0" fontId="17" fillId="0" borderId="58" xfId="46" applyBorder="1" applyAlignment="1">
      <alignment horizontal="left" vertical="top"/>
    </xf>
    <xf numFmtId="0" fontId="17" fillId="0" borderId="59" xfId="46" applyBorder="1" applyAlignment="1">
      <alignment horizontal="left" vertical="top"/>
    </xf>
    <xf numFmtId="0" fontId="17" fillId="0" borderId="62" xfId="46" applyBorder="1" applyAlignment="1">
      <alignment horizontal="left" vertical="top"/>
    </xf>
    <xf numFmtId="0" fontId="17" fillId="0" borderId="60" xfId="46" applyBorder="1" applyAlignment="1">
      <alignment horizontal="left" vertical="top"/>
    </xf>
    <xf numFmtId="0" fontId="0" fillId="0" borderId="45" xfId="0" applyBorder="1" applyAlignment="1">
      <alignment horizontal="left" vertical="top"/>
    </xf>
    <xf numFmtId="0" fontId="0" fillId="31" borderId="51" xfId="0" applyFill="1" applyBorder="1" applyAlignment="1" applyProtection="1">
      <alignment horizontal="left" vertical="top"/>
      <protection locked="0"/>
    </xf>
    <xf numFmtId="0" fontId="17" fillId="0" borderId="58" xfId="46" applyBorder="1" applyAlignment="1">
      <alignment horizontal="left"/>
    </xf>
    <xf numFmtId="0" fontId="17" fillId="0" borderId="59" xfId="46" applyBorder="1" applyAlignment="1">
      <alignment horizontal="left"/>
    </xf>
    <xf numFmtId="0" fontId="0" fillId="0" borderId="26" xfId="0" applyBorder="1" applyAlignment="1">
      <alignment horizontal="left" vertical="top"/>
    </xf>
    <xf numFmtId="10" fontId="15" fillId="31" borderId="10" xfId="47" applyFill="1" applyBorder="1" applyProtection="1">
      <alignment horizontal="left" vertical="center"/>
      <protection locked="0"/>
    </xf>
    <xf numFmtId="10" fontId="15" fillId="0" borderId="10" xfId="47" applyBorder="1">
      <alignment horizontal="left" vertical="center"/>
    </xf>
    <xf numFmtId="10" fontId="15" fillId="0" borderId="25" xfId="47" applyBorder="1">
      <alignment horizontal="left" vertical="center"/>
    </xf>
    <xf numFmtId="0" fontId="17" fillId="35" borderId="31" xfId="55" applyBorder="1">
      <alignment horizontal="left" vertical="top"/>
    </xf>
    <xf numFmtId="0" fontId="17" fillId="35" borderId="32" xfId="55" applyBorder="1">
      <alignment horizontal="left" vertical="top"/>
    </xf>
    <xf numFmtId="0" fontId="17" fillId="35" borderId="33" xfId="55" applyBorder="1">
      <alignment horizontal="left" vertical="top"/>
    </xf>
    <xf numFmtId="166" fontId="0" fillId="0" borderId="45" xfId="0" applyNumberFormat="1" applyBorder="1" applyAlignment="1">
      <alignment horizontal="left" vertical="top"/>
    </xf>
    <xf numFmtId="166" fontId="0" fillId="0" borderId="46" xfId="0" applyNumberFormat="1" applyBorder="1" applyAlignment="1">
      <alignment horizontal="left" vertical="top"/>
    </xf>
    <xf numFmtId="0" fontId="25" fillId="0" borderId="64" xfId="54" applyBorder="1">
      <alignment horizontal="left" vertical="top"/>
    </xf>
    <xf numFmtId="0" fontId="25" fillId="0" borderId="63" xfId="54" applyBorder="1">
      <alignment horizontal="left" vertical="top"/>
    </xf>
    <xf numFmtId="0" fontId="0" fillId="0" borderId="46" xfId="0" applyBorder="1" applyAlignment="1">
      <alignment horizontal="left" vertical="top"/>
    </xf>
    <xf numFmtId="0" fontId="0" fillId="0" borderId="24" xfId="0" applyBorder="1" applyAlignment="1">
      <alignment vertical="top" wrapText="1"/>
    </xf>
    <xf numFmtId="0" fontId="0" fillId="0" borderId="48" xfId="0" applyBorder="1" applyAlignment="1">
      <alignment vertical="top"/>
    </xf>
    <xf numFmtId="0" fontId="0" fillId="0" borderId="47" xfId="0" applyBorder="1" applyAlignment="1">
      <alignment vertical="top"/>
    </xf>
    <xf numFmtId="0" fontId="17" fillId="0" borderId="34" xfId="46" applyBorder="1" applyAlignment="1">
      <alignment vertical="top" wrapText="1"/>
    </xf>
    <xf numFmtId="0" fontId="17" fillId="0" borderId="19" xfId="46" applyBorder="1" applyAlignment="1">
      <alignment vertical="top" wrapText="1"/>
    </xf>
    <xf numFmtId="0" fontId="15" fillId="0" borderId="11" xfId="56" applyFont="1" applyBorder="1">
      <alignment horizontal="left" vertical="top"/>
    </xf>
    <xf numFmtId="0" fontId="15" fillId="0" borderId="26" xfId="56" applyFont="1" applyBorder="1">
      <alignment horizontal="left" vertical="top"/>
    </xf>
    <xf numFmtId="0" fontId="0" fillId="0" borderId="16" xfId="0" applyBorder="1" applyAlignment="1">
      <alignment horizontal="left" vertical="top"/>
    </xf>
    <xf numFmtId="0" fontId="0" fillId="31" borderId="15" xfId="0" applyFill="1" applyBorder="1" applyAlignment="1" applyProtection="1">
      <alignment horizontal="left" vertical="top"/>
      <protection locked="0"/>
    </xf>
    <xf numFmtId="0" fontId="0" fillId="31" borderId="16" xfId="0" applyFill="1" applyBorder="1" applyAlignment="1" applyProtection="1">
      <alignment horizontal="left" vertical="top"/>
      <protection locked="0"/>
    </xf>
    <xf numFmtId="0" fontId="0" fillId="0" borderId="15" xfId="0" applyBorder="1" applyAlignment="1">
      <alignment horizontal="left" vertical="top"/>
    </xf>
    <xf numFmtId="0" fontId="17" fillId="0" borderId="60" xfId="46" applyBorder="1" applyAlignment="1">
      <alignment horizontal="left"/>
    </xf>
    <xf numFmtId="0" fontId="17" fillId="0" borderId="61" xfId="46" applyBorder="1">
      <alignment horizontal="left" vertical="top" wrapText="1"/>
    </xf>
    <xf numFmtId="0" fontId="17" fillId="0" borderId="60" xfId="46" applyBorder="1">
      <alignment horizontal="left" vertical="top" wrapText="1"/>
    </xf>
    <xf numFmtId="0" fontId="17" fillId="0" borderId="62" xfId="46" applyBorder="1">
      <alignment horizontal="left" vertical="top" wrapText="1"/>
    </xf>
    <xf numFmtId="0" fontId="15" fillId="31" borderId="10" xfId="47" applyNumberFormat="1" applyFill="1" applyBorder="1" applyAlignment="1" applyProtection="1">
      <alignment horizontal="left" vertical="top"/>
      <protection locked="0"/>
    </xf>
    <xf numFmtId="0" fontId="25" fillId="0" borderId="10" xfId="56" applyBorder="1">
      <alignment horizontal="left" vertical="top"/>
    </xf>
    <xf numFmtId="0" fontId="25" fillId="0" borderId="25" xfId="56" applyBorder="1">
      <alignment horizontal="left" vertical="top"/>
    </xf>
    <xf numFmtId="10" fontId="0" fillId="31" borderId="11" xfId="0" applyNumberFormat="1" applyFill="1" applyBorder="1" applyAlignment="1" applyProtection="1">
      <alignment horizontal="left" vertical="top"/>
      <protection locked="0"/>
    </xf>
    <xf numFmtId="10" fontId="0" fillId="31" borderId="12" xfId="0" applyNumberFormat="1" applyFill="1" applyBorder="1" applyAlignment="1" applyProtection="1">
      <alignment horizontal="left" vertical="top"/>
      <protection locked="0"/>
    </xf>
    <xf numFmtId="0" fontId="17" fillId="0" borderId="87" xfId="46" applyBorder="1" applyAlignment="1">
      <alignment vertical="top"/>
    </xf>
    <xf numFmtId="0" fontId="17" fillId="0" borderId="88" xfId="46" applyBorder="1" applyAlignment="1">
      <alignment vertical="top"/>
    </xf>
    <xf numFmtId="0" fontId="0" fillId="0" borderId="45" xfId="0" applyBorder="1">
      <alignment horizontal="left" vertical="top" wrapText="1"/>
    </xf>
    <xf numFmtId="0" fontId="31" fillId="0" borderId="10" xfId="56" applyFont="1" applyBorder="1">
      <alignment horizontal="left" vertical="top"/>
    </xf>
    <xf numFmtId="0" fontId="31" fillId="0" borderId="25" xfId="56" applyFont="1" applyBorder="1">
      <alignment horizontal="left" vertical="top"/>
    </xf>
    <xf numFmtId="0" fontId="17" fillId="35" borderId="53" xfId="55" applyBorder="1">
      <alignment horizontal="left" vertical="top"/>
    </xf>
    <xf numFmtId="0" fontId="17" fillId="35" borderId="54" xfId="55" applyBorder="1">
      <alignment horizontal="left" vertical="top"/>
    </xf>
    <xf numFmtId="0" fontId="17" fillId="35" borderId="55" xfId="55" applyBorder="1">
      <alignment horizontal="left" vertical="top"/>
    </xf>
    <xf numFmtId="0" fontId="17" fillId="0" borderId="36" xfId="46" applyBorder="1" applyAlignment="1">
      <alignment vertical="top" wrapText="1"/>
    </xf>
    <xf numFmtId="0" fontId="17" fillId="0" borderId="37" xfId="46" applyBorder="1" applyAlignment="1">
      <alignment vertical="top" wrapText="1"/>
    </xf>
    <xf numFmtId="0" fontId="25" fillId="0" borderId="24" xfId="0" applyFont="1" applyBorder="1" applyAlignment="1">
      <alignment vertical="top"/>
    </xf>
    <xf numFmtId="0" fontId="25" fillId="0" borderId="28" xfId="0" applyFont="1" applyBorder="1" applyAlignment="1">
      <alignment vertical="top"/>
    </xf>
    <xf numFmtId="0" fontId="0" fillId="0" borderId="31" xfId="0" applyBorder="1" applyAlignment="1">
      <alignment vertical="top"/>
    </xf>
    <xf numFmtId="0" fontId="0" fillId="0" borderId="32" xfId="0" applyBorder="1" applyAlignment="1">
      <alignment vertical="top"/>
    </xf>
    <xf numFmtId="0" fontId="31" fillId="0" borderId="11" xfId="56" applyFont="1" applyBorder="1">
      <alignment horizontal="left" vertical="top"/>
    </xf>
    <xf numFmtId="0" fontId="31" fillId="0" borderId="26" xfId="56" applyFont="1" applyBorder="1">
      <alignment horizontal="left" vertical="top"/>
    </xf>
    <xf numFmtId="0" fontId="15" fillId="31" borderId="10" xfId="47" applyNumberFormat="1" applyFill="1" applyBorder="1" applyProtection="1">
      <alignment horizontal="left" vertical="center"/>
      <protection locked="0"/>
    </xf>
    <xf numFmtId="0" fontId="0" fillId="0" borderId="10" xfId="47" applyNumberFormat="1" applyFont="1" applyBorder="1">
      <alignment horizontal="left" vertical="center"/>
    </xf>
    <xf numFmtId="0" fontId="15" fillId="0" borderId="25" xfId="47" applyNumberFormat="1" applyBorder="1">
      <alignment horizontal="left" vertical="center"/>
    </xf>
    <xf numFmtId="0" fontId="15" fillId="0" borderId="10" xfId="47" applyNumberFormat="1" applyBorder="1">
      <alignment horizontal="left" vertical="center"/>
    </xf>
    <xf numFmtId="0" fontId="15" fillId="31" borderId="29" xfId="47" applyNumberFormat="1" applyFill="1" applyBorder="1" applyProtection="1">
      <alignment horizontal="left" vertical="center"/>
      <protection locked="0"/>
    </xf>
    <xf numFmtId="0" fontId="15" fillId="0" borderId="29" xfId="47" applyNumberFormat="1" applyBorder="1">
      <alignment horizontal="left" vertical="center"/>
    </xf>
    <xf numFmtId="0" fontId="15" fillId="0" borderId="30" xfId="47" applyNumberFormat="1" applyBorder="1">
      <alignment horizontal="left" vertical="center"/>
    </xf>
    <xf numFmtId="0" fontId="15" fillId="0" borderId="11" xfId="46" applyFont="1" applyBorder="1" applyAlignment="1">
      <alignment vertical="top"/>
    </xf>
    <xf numFmtId="0" fontId="15" fillId="0" borderId="26" xfId="46" applyFont="1" applyBorder="1" applyAlignment="1">
      <alignment vertical="top"/>
    </xf>
    <xf numFmtId="0" fontId="17" fillId="0" borderId="31" xfId="46" applyBorder="1" applyAlignment="1">
      <alignment horizontal="left"/>
    </xf>
    <xf numFmtId="0" fontId="17" fillId="0" borderId="32" xfId="46" applyBorder="1" applyAlignment="1">
      <alignment horizontal="left"/>
    </xf>
    <xf numFmtId="3" fontId="0" fillId="31" borderId="10" xfId="0" applyNumberFormat="1" applyFill="1" applyBorder="1" applyAlignment="1" applyProtection="1">
      <alignment horizontal="left" vertical="top"/>
      <protection locked="0"/>
    </xf>
    <xf numFmtId="0" fontId="25" fillId="0" borderId="67" xfId="54" applyBorder="1">
      <alignment horizontal="left" vertical="top"/>
    </xf>
    <xf numFmtId="0" fontId="17" fillId="0" borderId="49" xfId="46" applyBorder="1" applyAlignment="1">
      <alignment horizontal="left" vertical="top"/>
    </xf>
    <xf numFmtId="0" fontId="0" fillId="31" borderId="0" xfId="0" applyFill="1" applyProtection="1">
      <alignment horizontal="left" vertical="top" wrapText="1"/>
      <protection locked="0"/>
    </xf>
    <xf numFmtId="0" fontId="0" fillId="0" borderId="39" xfId="0" applyBorder="1" applyAlignment="1">
      <alignment horizontal="left" vertical="top"/>
    </xf>
    <xf numFmtId="10" fontId="0" fillId="31" borderId="10" xfId="0" applyNumberFormat="1" applyFill="1" applyBorder="1" applyAlignment="1" applyProtection="1">
      <alignment horizontal="left" vertical="top"/>
      <protection locked="0"/>
    </xf>
    <xf numFmtId="0" fontId="0" fillId="0" borderId="24" xfId="0" applyBorder="1" applyAlignment="1">
      <alignment vertical="top"/>
    </xf>
    <xf numFmtId="0" fontId="17" fillId="0" borderId="20" xfId="46" applyBorder="1">
      <alignment horizontal="left" vertical="top" wrapText="1"/>
    </xf>
    <xf numFmtId="0" fontId="17" fillId="0" borderId="21" xfId="46" applyBorder="1">
      <alignment horizontal="left" vertical="top" wrapText="1"/>
    </xf>
    <xf numFmtId="0" fontId="17" fillId="0" borderId="27" xfId="46" applyBorder="1" applyAlignment="1">
      <alignment horizontal="left" vertical="top"/>
    </xf>
    <xf numFmtId="0" fontId="17" fillId="0" borderId="13" xfId="46" applyBorder="1" applyAlignment="1">
      <alignment horizontal="left" vertical="top"/>
    </xf>
    <xf numFmtId="0" fontId="17" fillId="0" borderId="12" xfId="46" applyBorder="1" applyAlignment="1">
      <alignment horizontal="left" vertical="top"/>
    </xf>
    <xf numFmtId="0" fontId="17" fillId="0" borderId="11" xfId="46" applyBorder="1" applyAlignment="1">
      <alignment horizontal="left" vertical="top"/>
    </xf>
    <xf numFmtId="0" fontId="17" fillId="0" borderId="26" xfId="46" applyBorder="1" applyAlignment="1">
      <alignment horizontal="left" vertical="top"/>
    </xf>
    <xf numFmtId="166" fontId="0" fillId="0" borderId="11" xfId="0" applyNumberFormat="1" applyBorder="1">
      <alignment horizontal="left" vertical="top" wrapText="1"/>
    </xf>
    <xf numFmtId="166" fontId="0" fillId="0" borderId="26" xfId="0" applyNumberFormat="1" applyBorder="1">
      <alignment horizontal="left" vertical="top" wrapText="1"/>
    </xf>
    <xf numFmtId="166" fontId="0" fillId="0" borderId="10" xfId="0" applyNumberFormat="1" applyBorder="1">
      <alignment horizontal="left" vertical="top" wrapText="1"/>
    </xf>
    <xf numFmtId="166" fontId="0" fillId="0" borderId="25" xfId="0" applyNumberFormat="1" applyBorder="1">
      <alignment horizontal="left" vertical="top" wrapText="1"/>
    </xf>
    <xf numFmtId="166" fontId="0" fillId="0" borderId="45" xfId="0" applyNumberFormat="1" applyBorder="1">
      <alignment horizontal="left" vertical="top" wrapText="1"/>
    </xf>
    <xf numFmtId="166" fontId="0" fillId="0" borderId="46" xfId="0" applyNumberFormat="1" applyBorder="1">
      <alignment horizontal="left" vertical="top" wrapText="1"/>
    </xf>
    <xf numFmtId="0" fontId="17" fillId="0" borderId="25" xfId="46" applyBorder="1">
      <alignment horizontal="left" vertical="top" wrapText="1"/>
    </xf>
    <xf numFmtId="0" fontId="17" fillId="0" borderId="11" xfId="46" applyBorder="1">
      <alignment horizontal="left" vertical="top" wrapText="1"/>
    </xf>
    <xf numFmtId="10" fontId="15" fillId="31" borderId="11" xfId="47" applyFill="1" applyBorder="1" applyProtection="1">
      <alignment horizontal="left" vertical="center"/>
      <protection locked="0"/>
    </xf>
    <xf numFmtId="10" fontId="15" fillId="31" borderId="13" xfId="47" applyFill="1" applyBorder="1" applyProtection="1">
      <alignment horizontal="left" vertical="center"/>
      <protection locked="0"/>
    </xf>
    <xf numFmtId="10" fontId="15" fillId="31" borderId="12" xfId="47" applyFill="1" applyBorder="1" applyProtection="1">
      <alignment horizontal="left" vertical="center"/>
      <protection locked="0"/>
    </xf>
    <xf numFmtId="0" fontId="17" fillId="0" borderId="27" xfId="46" applyBorder="1" applyAlignment="1">
      <alignment horizontal="left"/>
    </xf>
    <xf numFmtId="0" fontId="17" fillId="0" borderId="13" xfId="46" applyBorder="1" applyAlignment="1">
      <alignment horizontal="left"/>
    </xf>
    <xf numFmtId="0" fontId="17" fillId="0" borderId="59" xfId="46" applyBorder="1">
      <alignment horizontal="left" vertical="top" wrapText="1"/>
    </xf>
    <xf numFmtId="0" fontId="17" fillId="0" borderId="61" xfId="46" applyBorder="1" applyAlignment="1">
      <alignment vertical="top" wrapText="1"/>
    </xf>
    <xf numFmtId="0" fontId="17" fillId="0" borderId="60" xfId="46" applyBorder="1" applyAlignment="1">
      <alignment vertical="top" wrapText="1"/>
    </xf>
    <xf numFmtId="166" fontId="0" fillId="0" borderId="11" xfId="0" applyNumberFormat="1" applyBorder="1" applyAlignment="1">
      <alignment vertical="top" wrapText="1"/>
    </xf>
    <xf numFmtId="166" fontId="0" fillId="0" borderId="12" xfId="0" applyNumberFormat="1" applyBorder="1" applyAlignment="1">
      <alignment vertical="top" wrapText="1"/>
    </xf>
    <xf numFmtId="166" fontId="0" fillId="0" borderId="45" xfId="0" applyNumberFormat="1" applyBorder="1" applyAlignment="1">
      <alignment vertical="top" wrapText="1"/>
    </xf>
    <xf numFmtId="166" fontId="0" fillId="0" borderId="51" xfId="0" applyNumberFormat="1" applyBorder="1" applyAlignment="1">
      <alignment vertical="top" wrapText="1"/>
    </xf>
    <xf numFmtId="0" fontId="25" fillId="0" borderId="67" xfId="54" applyBorder="1" applyAlignment="1">
      <alignment vertical="top"/>
    </xf>
    <xf numFmtId="0" fontId="17" fillId="0" borderId="32" xfId="46" applyBorder="1" applyAlignment="1">
      <alignment vertical="top" wrapText="1"/>
    </xf>
    <xf numFmtId="0" fontId="17" fillId="0" borderId="33" xfId="46" applyBorder="1" applyAlignment="1">
      <alignment vertical="top" wrapText="1"/>
    </xf>
    <xf numFmtId="0" fontId="25" fillId="0" borderId="10" xfId="56" applyBorder="1" applyAlignment="1">
      <alignment vertical="top"/>
    </xf>
    <xf numFmtId="0" fontId="25" fillId="0" borderId="25" xfId="56" applyBorder="1" applyAlignment="1">
      <alignment vertical="top"/>
    </xf>
    <xf numFmtId="0" fontId="0" fillId="0" borderId="30" xfId="0" applyBorder="1" applyAlignment="1">
      <alignment vertical="top" wrapText="1"/>
    </xf>
    <xf numFmtId="0" fontId="17" fillId="0" borderId="58" xfId="46" applyBorder="1">
      <alignment horizontal="left" vertical="top" wrapText="1"/>
    </xf>
    <xf numFmtId="49" fontId="0" fillId="0" borderId="50" xfId="0" applyNumberFormat="1" applyBorder="1" applyAlignment="1">
      <alignment vertical="top" wrapText="1"/>
    </xf>
    <xf numFmtId="49" fontId="0" fillId="0" borderId="23" xfId="0" applyNumberFormat="1" applyBorder="1" applyAlignment="1">
      <alignment vertical="top" wrapText="1"/>
    </xf>
    <xf numFmtId="49" fontId="0" fillId="0" borderId="51" xfId="0" applyNumberFormat="1" applyBorder="1" applyAlignment="1">
      <alignment vertical="top" wrapText="1"/>
    </xf>
    <xf numFmtId="49" fontId="0" fillId="0" borderId="27" xfId="0" applyNumberFormat="1" applyBorder="1" applyAlignment="1">
      <alignment vertical="top" wrapText="1"/>
    </xf>
    <xf numFmtId="49" fontId="0" fillId="0" borderId="13" xfId="0" applyNumberFormat="1" applyBorder="1" applyAlignment="1">
      <alignment vertical="top" wrapText="1"/>
    </xf>
    <xf numFmtId="49" fontId="0" fillId="0" borderId="12" xfId="0" applyNumberFormat="1" applyBorder="1" applyAlignment="1">
      <alignment vertical="top" wrapText="1"/>
    </xf>
    <xf numFmtId="0" fontId="17" fillId="0" borderId="27" xfId="46" applyBorder="1" applyAlignment="1">
      <alignment vertical="top" wrapText="1"/>
    </xf>
    <xf numFmtId="0" fontId="17" fillId="0" borderId="13" xfId="46" applyBorder="1" applyAlignment="1">
      <alignment vertical="top" wrapText="1"/>
    </xf>
    <xf numFmtId="0" fontId="17" fillId="0" borderId="12" xfId="46" applyBorder="1" applyAlignment="1">
      <alignment vertical="top" wrapText="1"/>
    </xf>
    <xf numFmtId="0" fontId="25" fillId="0" borderId="57" xfId="56" applyBorder="1">
      <alignment horizontal="left" vertical="top"/>
    </xf>
    <xf numFmtId="0" fontId="17" fillId="0" borderId="61" xfId="46" applyBorder="1" applyAlignment="1">
      <alignment horizontal="left" vertical="top"/>
    </xf>
    <xf numFmtId="10" fontId="0" fillId="31" borderId="13" xfId="0" applyNumberFormat="1" applyFill="1" applyBorder="1" applyAlignment="1" applyProtection="1">
      <alignment horizontal="left" vertical="top"/>
      <protection locked="0"/>
    </xf>
    <xf numFmtId="0" fontId="0" fillId="0" borderId="17" xfId="0" applyBorder="1" applyAlignment="1">
      <alignment horizontal="left" vertical="top"/>
    </xf>
    <xf numFmtId="0" fontId="15" fillId="31" borderId="11" xfId="46" applyFont="1" applyFill="1" applyBorder="1" applyAlignment="1" applyProtection="1">
      <alignment horizontal="left" vertical="top"/>
      <protection locked="0"/>
    </xf>
    <xf numFmtId="0" fontId="15" fillId="31" borderId="13" xfId="46" applyFont="1" applyFill="1" applyBorder="1" applyAlignment="1" applyProtection="1">
      <alignment horizontal="left" vertical="top"/>
      <protection locked="0"/>
    </xf>
    <xf numFmtId="0" fontId="15" fillId="31" borderId="12" xfId="46" applyFont="1" applyFill="1" applyBorder="1" applyAlignment="1" applyProtection="1">
      <alignment horizontal="left" vertical="top"/>
      <protection locked="0"/>
    </xf>
    <xf numFmtId="0" fontId="0" fillId="0" borderId="31" xfId="0" applyBorder="1">
      <alignment horizontal="left" vertical="top" wrapText="1"/>
    </xf>
    <xf numFmtId="0" fontId="0" fillId="0" borderId="32" xfId="0" applyBorder="1">
      <alignment horizontal="left" vertical="top" wrapText="1"/>
    </xf>
    <xf numFmtId="0" fontId="0" fillId="31" borderId="32" xfId="0" applyFill="1" applyBorder="1" applyProtection="1">
      <alignment horizontal="left" vertical="top" wrapText="1"/>
      <protection locked="0"/>
    </xf>
    <xf numFmtId="0" fontId="0" fillId="31" borderId="33" xfId="0" applyFill="1" applyBorder="1" applyProtection="1">
      <alignment horizontal="left" vertical="top" wrapText="1"/>
      <protection locked="0"/>
    </xf>
    <xf numFmtId="0" fontId="17" fillId="0" borderId="28" xfId="0" applyFont="1" applyBorder="1" applyAlignment="1">
      <alignment horizontal="center" vertical="top" wrapText="1"/>
    </xf>
    <xf numFmtId="0" fontId="17" fillId="0" borderId="29" xfId="0" applyFont="1" applyBorder="1" applyAlignment="1">
      <alignment horizontal="center" vertical="top" wrapText="1"/>
    </xf>
    <xf numFmtId="0" fontId="17" fillId="37" borderId="53" xfId="0" applyFont="1" applyFill="1" applyBorder="1">
      <alignment horizontal="left" vertical="top" wrapText="1"/>
    </xf>
    <xf numFmtId="0" fontId="17" fillId="37" borderId="54" xfId="0" applyFont="1" applyFill="1" applyBorder="1">
      <alignment horizontal="left" vertical="top" wrapText="1"/>
    </xf>
    <xf numFmtId="0" fontId="17" fillId="37" borderId="55" xfId="0" applyFont="1" applyFill="1" applyBorder="1">
      <alignment horizontal="left" vertical="top" wrapText="1"/>
    </xf>
    <xf numFmtId="0" fontId="0" fillId="0" borderId="33" xfId="0" applyBorder="1">
      <alignment horizontal="left" vertical="top" wrapText="1"/>
    </xf>
    <xf numFmtId="0" fontId="17" fillId="0" borderId="20" xfId="0" applyFont="1" applyBorder="1">
      <alignment horizontal="left" vertical="top" wrapText="1"/>
    </xf>
    <xf numFmtId="0" fontId="17" fillId="0" borderId="21" xfId="0" applyFont="1" applyBorder="1">
      <alignment horizontal="left" vertical="top" wrapText="1"/>
    </xf>
    <xf numFmtId="0" fontId="0" fillId="31" borderId="21" xfId="0" applyFill="1" applyBorder="1" applyProtection="1">
      <alignment horizontal="left" vertical="top" wrapText="1"/>
      <protection locked="0"/>
    </xf>
    <xf numFmtId="0" fontId="0" fillId="31" borderId="22" xfId="0" applyFill="1" applyBorder="1" applyProtection="1">
      <alignment horizontal="left" vertical="top" wrapText="1"/>
      <protection locked="0"/>
    </xf>
    <xf numFmtId="0" fontId="17" fillId="0" borderId="32" xfId="0" applyFont="1" applyBorder="1">
      <alignment horizontal="left" vertical="top" wrapText="1"/>
    </xf>
    <xf numFmtId="0" fontId="0" fillId="31" borderId="29" xfId="0" applyFill="1" applyBorder="1" applyAlignment="1" applyProtection="1">
      <alignment vertical="top"/>
      <protection locked="0"/>
    </xf>
    <xf numFmtId="0" fontId="0" fillId="31" borderId="30" xfId="0" applyFill="1" applyBorder="1" applyAlignment="1" applyProtection="1">
      <alignment vertical="top"/>
      <protection locked="0"/>
    </xf>
    <xf numFmtId="0" fontId="0" fillId="31" borderId="10" xfId="0" applyFill="1" applyBorder="1" applyAlignment="1" applyProtection="1">
      <alignment vertical="top" wrapText="1"/>
      <protection locked="0"/>
    </xf>
    <xf numFmtId="0" fontId="0" fillId="31" borderId="25" xfId="0" applyFill="1" applyBorder="1" applyAlignment="1" applyProtection="1">
      <alignment vertical="top" wrapText="1"/>
      <protection locked="0"/>
    </xf>
    <xf numFmtId="0" fontId="17" fillId="0" borderId="53" xfId="46" applyBorder="1">
      <alignment horizontal="left" vertical="top" wrapText="1"/>
    </xf>
    <xf numFmtId="0" fontId="17" fillId="0" borderId="54" xfId="46" applyBorder="1">
      <alignment horizontal="left" vertical="top" wrapText="1"/>
    </xf>
    <xf numFmtId="0" fontId="17" fillId="0" borderId="55" xfId="46" applyBorder="1">
      <alignment horizontal="left" vertical="top" wrapText="1"/>
    </xf>
    <xf numFmtId="0" fontId="25" fillId="0" borderId="54" xfId="54" applyBorder="1">
      <alignment horizontal="left" vertical="top"/>
    </xf>
    <xf numFmtId="0" fontId="0" fillId="0" borderId="40" xfId="0" applyBorder="1" applyAlignment="1">
      <alignment horizontal="left" vertical="top"/>
    </xf>
    <xf numFmtId="0" fontId="0" fillId="31" borderId="40" xfId="0" applyFill="1" applyBorder="1" applyAlignment="1" applyProtection="1">
      <alignment vertical="top"/>
      <protection locked="0"/>
    </xf>
    <xf numFmtId="0" fontId="0" fillId="31" borderId="41" xfId="0" applyFill="1" applyBorder="1" applyAlignment="1" applyProtection="1">
      <alignment vertical="top"/>
      <protection locked="0"/>
    </xf>
    <xf numFmtId="0" fontId="0" fillId="31" borderId="29" xfId="0" applyFill="1" applyBorder="1" applyAlignment="1" applyProtection="1">
      <alignment vertical="top" wrapText="1"/>
      <protection locked="0"/>
    </xf>
    <xf numFmtId="0" fontId="0" fillId="31" borderId="30" xfId="0" applyFill="1" applyBorder="1" applyAlignment="1" applyProtection="1">
      <alignment vertical="top" wrapText="1"/>
      <protection locked="0"/>
    </xf>
    <xf numFmtId="0" fontId="0" fillId="31" borderId="32" xfId="0" applyFill="1" applyBorder="1" applyAlignment="1" applyProtection="1">
      <alignment vertical="top" wrapText="1"/>
      <protection locked="0"/>
    </xf>
    <xf numFmtId="0" fontId="0" fillId="31" borderId="33" xfId="0" applyFill="1" applyBorder="1" applyAlignment="1" applyProtection="1">
      <alignment vertical="top" wrapText="1"/>
      <protection locked="0"/>
    </xf>
    <xf numFmtId="0" fontId="17" fillId="0" borderId="58" xfId="46" applyBorder="1" applyAlignment="1">
      <alignment vertical="top" wrapText="1"/>
    </xf>
    <xf numFmtId="0" fontId="17" fillId="0" borderId="62" xfId="46" applyBorder="1" applyAlignment="1">
      <alignment vertical="top" wrapText="1"/>
    </xf>
    <xf numFmtId="0" fontId="0" fillId="0" borderId="27" xfId="0" applyBorder="1" applyAlignment="1">
      <alignment vertical="top"/>
    </xf>
    <xf numFmtId="0" fontId="0" fillId="0" borderId="12" xfId="0" applyBorder="1" applyAlignment="1">
      <alignment vertical="top"/>
    </xf>
    <xf numFmtId="0" fontId="0" fillId="31" borderId="11" xfId="0" applyFill="1" applyBorder="1" applyAlignment="1" applyProtection="1">
      <alignment vertical="top"/>
      <protection locked="0"/>
    </xf>
    <xf numFmtId="0" fontId="0" fillId="31" borderId="26" xfId="0" applyFill="1" applyBorder="1" applyAlignment="1" applyProtection="1">
      <alignment vertical="top"/>
      <protection locked="0"/>
    </xf>
    <xf numFmtId="0" fontId="0" fillId="0" borderId="50" xfId="0" applyBorder="1" applyAlignment="1">
      <alignment vertical="top"/>
    </xf>
    <xf numFmtId="0" fontId="0" fillId="0" borderId="51" xfId="0" applyBorder="1" applyAlignment="1">
      <alignment vertical="top"/>
    </xf>
    <xf numFmtId="0" fontId="0" fillId="0" borderId="66" xfId="0" applyBorder="1" applyAlignment="1">
      <alignment horizontal="left" vertical="top"/>
    </xf>
    <xf numFmtId="0" fontId="0" fillId="0" borderId="67" xfId="0" applyBorder="1" applyAlignment="1">
      <alignment horizontal="left" vertical="top"/>
    </xf>
    <xf numFmtId="0" fontId="0" fillId="0" borderId="68" xfId="0" applyBorder="1" applyAlignment="1">
      <alignment horizontal="left" vertical="top"/>
    </xf>
    <xf numFmtId="0" fontId="0" fillId="0" borderId="42" xfId="0" applyBorder="1" applyAlignment="1">
      <alignment horizontal="left" vertical="top"/>
    </xf>
    <xf numFmtId="0" fontId="0" fillId="0" borderId="43" xfId="0" applyBorder="1" applyAlignment="1">
      <alignment horizontal="left" vertical="top"/>
    </xf>
    <xf numFmtId="0" fontId="0" fillId="31" borderId="43" xfId="0" applyFill="1" applyBorder="1" applyAlignment="1" applyProtection="1">
      <alignment vertical="top"/>
      <protection locked="0"/>
    </xf>
    <xf numFmtId="0" fontId="0" fillId="31" borderId="44" xfId="0" applyFill="1" applyBorder="1" applyAlignment="1" applyProtection="1">
      <alignment vertical="top"/>
      <protection locked="0"/>
    </xf>
    <xf numFmtId="168" fontId="0" fillId="31" borderId="11" xfId="0" applyNumberFormat="1" applyFill="1" applyBorder="1" applyAlignment="1" applyProtection="1">
      <alignment vertical="top"/>
      <protection locked="0"/>
    </xf>
    <xf numFmtId="168" fontId="0" fillId="31" borderId="26" xfId="0" applyNumberFormat="1" applyFill="1" applyBorder="1" applyAlignment="1" applyProtection="1">
      <alignment vertical="top"/>
      <protection locked="0"/>
    </xf>
    <xf numFmtId="168" fontId="0" fillId="31" borderId="45" xfId="0" applyNumberFormat="1" applyFill="1" applyBorder="1" applyAlignment="1" applyProtection="1">
      <alignment vertical="top"/>
      <protection locked="0"/>
    </xf>
    <xf numFmtId="168" fontId="0" fillId="31" borderId="46" xfId="0" applyNumberFormat="1" applyFill="1" applyBorder="1" applyAlignment="1" applyProtection="1">
      <alignment vertical="top"/>
      <protection locked="0"/>
    </xf>
    <xf numFmtId="0" fontId="0" fillId="0" borderId="11" xfId="0" applyBorder="1" applyAlignment="1">
      <alignment vertical="top" wrapText="1"/>
    </xf>
    <xf numFmtId="10" fontId="0" fillId="31" borderId="10" xfId="0" applyNumberFormat="1" applyFill="1" applyBorder="1" applyAlignment="1" applyProtection="1">
      <alignment vertical="top" wrapText="1"/>
      <protection locked="0"/>
    </xf>
    <xf numFmtId="0" fontId="17" fillId="0" borderId="24" xfId="46" applyBorder="1" applyAlignment="1">
      <alignment vertical="top" wrapText="1"/>
    </xf>
    <xf numFmtId="0" fontId="17" fillId="0" borderId="10" xfId="46" applyAlignment="1">
      <alignment vertical="top" wrapText="1"/>
    </xf>
    <xf numFmtId="0" fontId="17" fillId="0" borderId="25" xfId="46" applyBorder="1" applyAlignment="1">
      <alignment vertical="top" wrapText="1"/>
    </xf>
    <xf numFmtId="49" fontId="0" fillId="31" borderId="27" xfId="0" applyNumberFormat="1" applyFill="1" applyBorder="1" applyProtection="1">
      <alignment horizontal="left" vertical="top" wrapText="1"/>
      <protection locked="0"/>
    </xf>
    <xf numFmtId="49" fontId="0" fillId="31" borderId="13" xfId="0" applyNumberFormat="1" applyFill="1" applyBorder="1" applyProtection="1">
      <alignment horizontal="left" vertical="top" wrapText="1"/>
      <protection locked="0"/>
    </xf>
    <xf numFmtId="49" fontId="0" fillId="31" borderId="12" xfId="0" applyNumberFormat="1" applyFill="1" applyBorder="1" applyProtection="1">
      <alignment horizontal="left" vertical="top" wrapText="1"/>
      <protection locked="0"/>
    </xf>
    <xf numFmtId="49" fontId="0" fillId="31" borderId="50" xfId="0" applyNumberFormat="1" applyFill="1" applyBorder="1" applyProtection="1">
      <alignment horizontal="left" vertical="top" wrapText="1"/>
      <protection locked="0"/>
    </xf>
    <xf numFmtId="49" fontId="0" fillId="31" borderId="23" xfId="0" applyNumberFormat="1" applyFill="1" applyBorder="1" applyProtection="1">
      <alignment horizontal="left" vertical="top" wrapText="1"/>
      <protection locked="0"/>
    </xf>
    <xf numFmtId="49" fontId="0" fillId="31" borderId="51" xfId="0" applyNumberFormat="1" applyFill="1" applyBorder="1" applyProtection="1">
      <alignment horizontal="left" vertical="top" wrapText="1"/>
      <protection locked="0"/>
    </xf>
    <xf numFmtId="0" fontId="17" fillId="0" borderId="11" xfId="46" applyBorder="1" applyAlignment="1">
      <alignment vertical="top" wrapText="1"/>
    </xf>
    <xf numFmtId="0" fontId="17" fillId="0" borderId="31" xfId="46" applyBorder="1" applyAlignment="1">
      <alignment vertical="top" wrapText="1"/>
    </xf>
    <xf numFmtId="0" fontId="0" fillId="0" borderId="45" xfId="0" applyBorder="1" applyAlignment="1">
      <alignment vertical="top" wrapText="1"/>
    </xf>
    <xf numFmtId="0" fontId="0" fillId="0" borderId="51" xfId="0" applyBorder="1" applyAlignment="1">
      <alignment vertical="top" wrapText="1"/>
    </xf>
    <xf numFmtId="164" fontId="15" fillId="32" borderId="13" xfId="48" applyBorder="1">
      <alignment wrapText="1"/>
    </xf>
    <xf numFmtId="0" fontId="0" fillId="31" borderId="12" xfId="0" applyFill="1" applyBorder="1" applyAlignment="1" applyProtection="1">
      <alignment vertical="top"/>
      <protection locked="0"/>
    </xf>
    <xf numFmtId="0" fontId="0" fillId="31" borderId="51" xfId="0" applyFill="1" applyBorder="1" applyAlignment="1" applyProtection="1">
      <alignment vertical="top"/>
      <protection locked="0"/>
    </xf>
    <xf numFmtId="0" fontId="0" fillId="0" borderId="13" xfId="0" applyBorder="1" applyAlignment="1">
      <alignment vertical="top"/>
    </xf>
    <xf numFmtId="0" fontId="17" fillId="0" borderId="26" xfId="46" applyBorder="1" applyAlignment="1">
      <alignment vertical="top" wrapText="1"/>
    </xf>
    <xf numFmtId="0" fontId="25" fillId="0" borderId="66" xfId="54" applyBorder="1">
      <alignment horizontal="left" vertical="top"/>
    </xf>
    <xf numFmtId="0" fontId="25" fillId="0" borderId="68" xfId="54" applyBorder="1">
      <alignment horizontal="left" vertical="top"/>
    </xf>
    <xf numFmtId="0" fontId="0" fillId="0" borderId="47" xfId="0" applyBorder="1" applyAlignment="1">
      <alignment horizontal="left" vertical="top"/>
    </xf>
    <xf numFmtId="0" fontId="0" fillId="0" borderId="49" xfId="0" applyBorder="1" applyAlignment="1">
      <alignment horizontal="left" vertical="top"/>
    </xf>
    <xf numFmtId="0" fontId="0" fillId="0" borderId="23" xfId="0" applyBorder="1" applyAlignment="1">
      <alignment vertical="top"/>
    </xf>
    <xf numFmtId="0" fontId="0" fillId="31" borderId="11" xfId="0" applyFill="1" applyBorder="1" applyAlignment="1" applyProtection="1">
      <alignment vertical="top" wrapText="1"/>
      <protection locked="0"/>
    </xf>
    <xf numFmtId="0" fontId="0" fillId="31" borderId="12" xfId="0" applyFill="1" applyBorder="1" applyAlignment="1" applyProtection="1">
      <alignment vertical="top" wrapText="1"/>
      <protection locked="0"/>
    </xf>
    <xf numFmtId="10" fontId="0" fillId="31" borderId="11" xfId="0" applyNumberFormat="1" applyFill="1" applyBorder="1" applyAlignment="1" applyProtection="1">
      <alignment vertical="top"/>
      <protection locked="0"/>
    </xf>
    <xf numFmtId="10" fontId="0" fillId="31" borderId="12" xfId="0" applyNumberFormat="1" applyFill="1" applyBorder="1" applyAlignment="1" applyProtection="1">
      <alignment vertical="top"/>
      <protection locked="0"/>
    </xf>
    <xf numFmtId="0" fontId="17" fillId="0" borderId="59" xfId="46" applyBorder="1" applyAlignment="1">
      <alignment vertical="top" wrapText="1"/>
    </xf>
    <xf numFmtId="0" fontId="15" fillId="0" borderId="34" xfId="46" applyFont="1" applyBorder="1">
      <alignment horizontal="left" vertical="top" wrapText="1"/>
    </xf>
    <xf numFmtId="0" fontId="15" fillId="0" borderId="24" xfId="46" applyFont="1" applyBorder="1">
      <alignment horizontal="left" vertical="top" wrapText="1"/>
    </xf>
    <xf numFmtId="0" fontId="15" fillId="0" borderId="10" xfId="46" applyFont="1">
      <alignment horizontal="left" vertical="top" wrapText="1"/>
    </xf>
    <xf numFmtId="0" fontId="15" fillId="0" borderId="28" xfId="46" applyFont="1" applyBorder="1">
      <alignment horizontal="left" vertical="top" wrapText="1"/>
    </xf>
    <xf numFmtId="0" fontId="15" fillId="0" borderId="29" xfId="46" applyFont="1" applyBorder="1">
      <alignment horizontal="left" vertical="top" wrapText="1"/>
    </xf>
    <xf numFmtId="0" fontId="0" fillId="31" borderId="11" xfId="0" applyFill="1" applyBorder="1" applyProtection="1">
      <alignment horizontal="left" vertical="top" wrapText="1"/>
      <protection locked="0"/>
    </xf>
    <xf numFmtId="0" fontId="0" fillId="31" borderId="13" xfId="0" applyFill="1" applyBorder="1" applyProtection="1">
      <alignment horizontal="left" vertical="top" wrapText="1"/>
      <protection locked="0"/>
    </xf>
    <xf numFmtId="0" fontId="0" fillId="31" borderId="26" xfId="0" applyFill="1" applyBorder="1" applyProtection="1">
      <alignment horizontal="left" vertical="top" wrapText="1"/>
      <protection locked="0"/>
    </xf>
    <xf numFmtId="164" fontId="15" fillId="32" borderId="23" xfId="48" applyBorder="1">
      <alignment wrapText="1"/>
    </xf>
    <xf numFmtId="0" fontId="25" fillId="0" borderId="29" xfId="56" applyBorder="1">
      <alignment horizontal="left" vertical="top"/>
    </xf>
    <xf numFmtId="0" fontId="25" fillId="0" borderId="30" xfId="56" applyBorder="1">
      <alignment horizontal="left" vertical="top"/>
    </xf>
    <xf numFmtId="166" fontId="0" fillId="39" borderId="11" xfId="0" applyNumberFormat="1" applyFill="1" applyBorder="1">
      <alignment horizontal="left" vertical="top" wrapText="1"/>
    </xf>
    <xf numFmtId="166" fontId="0" fillId="39" borderId="12" xfId="0" applyNumberFormat="1" applyFill="1" applyBorder="1">
      <alignment horizontal="left" vertical="top" wrapText="1"/>
    </xf>
    <xf numFmtId="164" fontId="15" fillId="32" borderId="26" xfId="48" applyBorder="1">
      <alignment wrapText="1"/>
    </xf>
    <xf numFmtId="166" fontId="0" fillId="39" borderId="26" xfId="0" applyNumberFormat="1" applyFill="1" applyBorder="1">
      <alignment horizontal="left" vertical="top" wrapText="1"/>
    </xf>
    <xf numFmtId="49" fontId="18" fillId="36" borderId="64" xfId="45" applyBorder="1">
      <alignment horizontal="center" vertical="center"/>
    </xf>
    <xf numFmtId="49" fontId="18" fillId="36" borderId="65" xfId="45" applyBorder="1">
      <alignment horizontal="center" vertical="center"/>
    </xf>
    <xf numFmtId="49" fontId="18" fillId="36" borderId="63" xfId="45" applyBorder="1">
      <alignment horizontal="center" vertical="center"/>
    </xf>
    <xf numFmtId="0" fontId="17" fillId="35" borderId="64" xfId="55" applyBorder="1">
      <alignment horizontal="left" vertical="top"/>
    </xf>
    <xf numFmtId="0" fontId="17" fillId="35" borderId="65" xfId="55" applyBorder="1">
      <alignment horizontal="left" vertical="top"/>
    </xf>
    <xf numFmtId="0" fontId="17" fillId="35" borderId="63" xfId="55" applyBorder="1">
      <alignment horizontal="left" vertical="top"/>
    </xf>
    <xf numFmtId="166" fontId="0" fillId="0" borderId="12" xfId="0" applyNumberFormat="1" applyBorder="1">
      <alignment horizontal="left" vertical="top" wrapText="1"/>
    </xf>
    <xf numFmtId="0" fontId="17" fillId="0" borderId="76" xfId="46" applyBorder="1">
      <alignment horizontal="left" vertical="top" wrapText="1"/>
    </xf>
    <xf numFmtId="166" fontId="0" fillId="39" borderId="15" xfId="0" applyNumberFormat="1" applyFill="1" applyBorder="1">
      <alignment horizontal="left" vertical="top" wrapText="1"/>
    </xf>
    <xf numFmtId="166" fontId="0" fillId="39" borderId="16" xfId="0" applyNumberFormat="1" applyFill="1" applyBorder="1">
      <alignment horizontal="left" vertical="top" wrapText="1"/>
    </xf>
    <xf numFmtId="164" fontId="15" fillId="32" borderId="15" xfId="48" applyBorder="1">
      <alignment wrapText="1"/>
    </xf>
    <xf numFmtId="164" fontId="15" fillId="32" borderId="16" xfId="48" applyBorder="1">
      <alignment wrapText="1"/>
    </xf>
    <xf numFmtId="166" fontId="0" fillId="0" borderId="76" xfId="0" applyNumberFormat="1" applyBorder="1">
      <alignment horizontal="left" vertical="top" wrapText="1"/>
    </xf>
    <xf numFmtId="166" fontId="0" fillId="0" borderId="20" xfId="0" applyNumberFormat="1" applyBorder="1">
      <alignment horizontal="left" vertical="top" wrapText="1"/>
    </xf>
    <xf numFmtId="166" fontId="0" fillId="0" borderId="21" xfId="0" applyNumberFormat="1" applyBorder="1">
      <alignment horizontal="left" vertical="top" wrapText="1"/>
    </xf>
    <xf numFmtId="0" fontId="0" fillId="0" borderId="77" xfId="0" applyBorder="1">
      <alignment horizontal="left" vertical="top" wrapText="1"/>
    </xf>
    <xf numFmtId="0" fontId="17" fillId="0" borderId="76" xfId="46" applyBorder="1" applyAlignment="1">
      <alignment vertical="top" wrapText="1"/>
    </xf>
    <xf numFmtId="0" fontId="17" fillId="0" borderId="65" xfId="46" applyBorder="1" applyAlignment="1">
      <alignment vertical="top" wrapText="1"/>
    </xf>
    <xf numFmtId="0" fontId="17" fillId="0" borderId="63" xfId="46" applyBorder="1" applyAlignment="1">
      <alignment vertical="top" wrapText="1"/>
    </xf>
    <xf numFmtId="0" fontId="25" fillId="0" borderId="0" xfId="54" applyAlignment="1">
      <alignment vertical="top"/>
    </xf>
    <xf numFmtId="168" fontId="0" fillId="0" borderId="11" xfId="0" applyNumberFormat="1" applyBorder="1">
      <alignment horizontal="left" vertical="top" wrapText="1"/>
    </xf>
    <xf numFmtId="168" fontId="0" fillId="0" borderId="26" xfId="0" applyNumberFormat="1" applyBorder="1">
      <alignment horizontal="left" vertical="top" wrapText="1"/>
    </xf>
    <xf numFmtId="168" fontId="0" fillId="0" borderId="45" xfId="0" applyNumberFormat="1" applyBorder="1">
      <alignment horizontal="left" vertical="top" wrapText="1"/>
    </xf>
    <xf numFmtId="168" fontId="0" fillId="0" borderId="46" xfId="0" applyNumberFormat="1" applyBorder="1">
      <alignment horizontal="left" vertical="top" wrapText="1"/>
    </xf>
    <xf numFmtId="0" fontId="25" fillId="0" borderId="64" xfId="54" applyBorder="1" applyAlignment="1">
      <alignment vertical="top" wrapText="1"/>
    </xf>
    <xf numFmtId="0" fontId="25" fillId="0" borderId="65" xfId="54" applyBorder="1" applyAlignment="1">
      <alignment vertical="top" wrapText="1"/>
    </xf>
    <xf numFmtId="0" fontId="17" fillId="35" borderId="53" xfId="55" applyBorder="1" applyAlignment="1">
      <alignment vertical="top" wrapText="1"/>
    </xf>
    <xf numFmtId="0" fontId="17" fillId="35" borderId="54" xfId="55" applyBorder="1" applyAlignment="1">
      <alignment vertical="top" wrapText="1"/>
    </xf>
    <xf numFmtId="0" fontId="17" fillId="35" borderId="72" xfId="55" applyBorder="1" applyAlignment="1">
      <alignment vertical="top" wrapText="1"/>
    </xf>
    <xf numFmtId="0" fontId="0" fillId="0" borderId="28" xfId="0" applyBorder="1" applyAlignment="1">
      <alignment vertical="top"/>
    </xf>
    <xf numFmtId="0" fontId="17" fillId="0" borderId="47" xfId="46" applyBorder="1" applyAlignment="1">
      <alignment vertical="top" wrapText="1"/>
    </xf>
    <xf numFmtId="0" fontId="0" fillId="0" borderId="96" xfId="0" applyBorder="1" applyAlignment="1">
      <alignment vertical="top" wrapText="1"/>
    </xf>
    <xf numFmtId="0" fontId="0" fillId="0" borderId="97" xfId="0" applyBorder="1" applyAlignment="1">
      <alignment vertical="top" wrapText="1"/>
    </xf>
    <xf numFmtId="0" fontId="0" fillId="0" borderId="98" xfId="0" applyBorder="1" applyAlignment="1">
      <alignment vertical="top" wrapText="1"/>
    </xf>
    <xf numFmtId="0" fontId="17" fillId="0" borderId="80" xfId="46" applyBorder="1" applyAlignment="1">
      <alignment vertical="top" wrapText="1"/>
    </xf>
    <xf numFmtId="0" fontId="17" fillId="0" borderId="81" xfId="46" applyBorder="1" applyAlignment="1">
      <alignment vertical="top" wrapText="1"/>
    </xf>
    <xf numFmtId="0" fontId="17" fillId="0" borderId="85" xfId="46" applyBorder="1" applyAlignment="1">
      <alignment vertical="top" wrapText="1"/>
    </xf>
    <xf numFmtId="0" fontId="16" fillId="0" borderId="80" xfId="44" applyBorder="1" applyAlignment="1">
      <alignment vertical="top" wrapText="1"/>
    </xf>
    <xf numFmtId="0" fontId="16" fillId="0" borderId="81" xfId="44" applyBorder="1" applyAlignment="1">
      <alignment vertical="top" wrapText="1"/>
    </xf>
    <xf numFmtId="0" fontId="16" fillId="0" borderId="85" xfId="44" applyBorder="1" applyAlignment="1">
      <alignment vertical="top" wrapText="1"/>
    </xf>
    <xf numFmtId="0" fontId="17" fillId="35" borderId="64" xfId="55" applyBorder="1" applyAlignment="1">
      <alignment vertical="top"/>
    </xf>
    <xf numFmtId="0" fontId="17" fillId="35" borderId="65" xfId="55" applyBorder="1" applyAlignment="1">
      <alignment vertical="top"/>
    </xf>
    <xf numFmtId="0" fontId="17" fillId="35" borderId="63" xfId="55" applyBorder="1" applyAlignment="1">
      <alignment vertical="top"/>
    </xf>
    <xf numFmtId="0" fontId="0" fillId="0" borderId="58" xfId="0" applyBorder="1" applyAlignment="1">
      <alignment vertical="top" wrapText="1"/>
    </xf>
    <xf numFmtId="0" fontId="0" fillId="0" borderId="59" xfId="0" applyBorder="1" applyAlignment="1">
      <alignment vertical="top" wrapText="1"/>
    </xf>
    <xf numFmtId="0" fontId="0" fillId="0" borderId="62" xfId="0" applyBorder="1" applyAlignment="1">
      <alignment vertical="top" wrapText="1"/>
    </xf>
    <xf numFmtId="0" fontId="0" fillId="0" borderId="64" xfId="0" applyBorder="1" applyAlignment="1">
      <alignment vertical="top" wrapText="1"/>
    </xf>
    <xf numFmtId="0" fontId="0" fillId="0" borderId="65" xfId="0" applyBorder="1" applyAlignment="1">
      <alignment vertical="top" wrapText="1"/>
    </xf>
    <xf numFmtId="0" fontId="0" fillId="0" borderId="63" xfId="0" applyBorder="1" applyAlignment="1">
      <alignment vertical="top" wrapText="1"/>
    </xf>
    <xf numFmtId="0" fontId="25" fillId="0" borderId="65" xfId="54" applyBorder="1" applyAlignment="1">
      <alignment vertical="top"/>
    </xf>
    <xf numFmtId="0" fontId="17" fillId="35" borderId="53" xfId="55" applyBorder="1" applyAlignment="1">
      <alignment vertical="top"/>
    </xf>
    <xf numFmtId="0" fontId="17" fillId="35" borderId="54" xfId="55" applyBorder="1" applyAlignment="1">
      <alignment vertical="top"/>
    </xf>
    <xf numFmtId="0" fontId="17" fillId="35" borderId="55" xfId="55" applyBorder="1" applyAlignment="1">
      <alignment vertical="top"/>
    </xf>
    <xf numFmtId="0" fontId="25" fillId="0" borderId="64" xfId="54" applyBorder="1" applyAlignment="1">
      <alignment vertical="top"/>
    </xf>
    <xf numFmtId="0" fontId="17" fillId="0" borderId="48" xfId="46" applyBorder="1" applyAlignment="1">
      <alignment vertical="top" wrapText="1"/>
    </xf>
    <xf numFmtId="0" fontId="17" fillId="0" borderId="64" xfId="46" applyBorder="1" applyAlignment="1">
      <alignment vertical="top" wrapText="1"/>
    </xf>
    <xf numFmtId="0" fontId="17" fillId="0" borderId="77" xfId="46" applyBorder="1" applyAlignment="1">
      <alignment vertical="top" wrapText="1"/>
    </xf>
    <xf numFmtId="0" fontId="16" fillId="0" borderId="82" xfId="44" applyBorder="1" applyAlignment="1">
      <alignment vertical="top" wrapText="1"/>
    </xf>
    <xf numFmtId="0" fontId="16" fillId="0" borderId="83" xfId="44" applyBorder="1" applyAlignment="1">
      <alignment vertical="top" wrapText="1"/>
    </xf>
    <xf numFmtId="0" fontId="16" fillId="0" borderId="86" xfId="44" applyBorder="1" applyAlignment="1">
      <alignment vertical="top" wrapText="1"/>
    </xf>
    <xf numFmtId="0" fontId="17" fillId="35" borderId="64" xfId="55" applyBorder="1" applyAlignment="1">
      <alignment vertical="top" wrapText="1"/>
    </xf>
    <xf numFmtId="0" fontId="17" fillId="35" borderId="65" xfId="55" applyBorder="1" applyAlignment="1">
      <alignment vertical="top" wrapText="1"/>
    </xf>
    <xf numFmtId="0" fontId="17" fillId="35" borderId="63" xfId="55" applyBorder="1" applyAlignment="1">
      <alignment vertical="top" wrapText="1"/>
    </xf>
    <xf numFmtId="165" fontId="0" fillId="31" borderId="10" xfId="0" applyNumberFormat="1" applyFill="1" applyBorder="1" applyAlignment="1" applyProtection="1">
      <alignment horizontal="left" vertical="top"/>
      <protection locked="0"/>
    </xf>
    <xf numFmtId="165" fontId="0" fillId="31" borderId="25" xfId="0" applyNumberFormat="1" applyFill="1" applyBorder="1" applyAlignment="1" applyProtection="1">
      <alignment horizontal="left" vertical="top"/>
      <protection locked="0"/>
    </xf>
    <xf numFmtId="0" fontId="25" fillId="0" borderId="56" xfId="54" applyBorder="1">
      <alignment horizontal="left" vertical="top"/>
    </xf>
    <xf numFmtId="0" fontId="25" fillId="0" borderId="57" xfId="54" applyBorder="1">
      <alignment horizontal="left" vertical="top"/>
    </xf>
    <xf numFmtId="165" fontId="0" fillId="0" borderId="45" xfId="0" applyNumberFormat="1" applyBorder="1" applyAlignment="1">
      <alignment horizontal="left" vertical="top"/>
    </xf>
    <xf numFmtId="165" fontId="0" fillId="0" borderId="23" xfId="0" applyNumberFormat="1" applyBorder="1" applyAlignment="1">
      <alignment horizontal="left" vertical="top"/>
    </xf>
    <xf numFmtId="165" fontId="0" fillId="0" borderId="46" xfId="0" applyNumberFormat="1" applyBorder="1" applyAlignment="1">
      <alignment horizontal="left" vertical="top"/>
    </xf>
    <xf numFmtId="165" fontId="0" fillId="0" borderId="11" xfId="0" applyNumberFormat="1" applyBorder="1" applyAlignment="1">
      <alignment horizontal="left" vertical="top"/>
    </xf>
    <xf numFmtId="165" fontId="0" fillId="0" borderId="13" xfId="0" applyNumberFormat="1" applyBorder="1" applyAlignment="1">
      <alignment horizontal="left" vertical="top"/>
    </xf>
    <xf numFmtId="165" fontId="0" fillId="0" borderId="26" xfId="0" applyNumberFormat="1" applyBorder="1" applyAlignment="1">
      <alignment horizontal="left" vertical="top"/>
    </xf>
    <xf numFmtId="165" fontId="0" fillId="0" borderId="32" xfId="0" applyNumberFormat="1" applyBorder="1" applyAlignment="1">
      <alignment horizontal="left" vertical="top"/>
    </xf>
    <xf numFmtId="165" fontId="0" fillId="0" borderId="33" xfId="0" applyNumberFormat="1" applyBorder="1" applyAlignment="1">
      <alignment horizontal="left" vertical="top"/>
    </xf>
    <xf numFmtId="165" fontId="0" fillId="31" borderId="11" xfId="0" applyNumberFormat="1" applyFill="1" applyBorder="1" applyAlignment="1" applyProtection="1">
      <alignment horizontal="left" vertical="top"/>
      <protection locked="0"/>
    </xf>
    <xf numFmtId="165" fontId="0" fillId="31" borderId="13" xfId="0" applyNumberFormat="1" applyFill="1" applyBorder="1" applyAlignment="1" applyProtection="1">
      <alignment horizontal="left" vertical="top"/>
      <protection locked="0"/>
    </xf>
    <xf numFmtId="165" fontId="0" fillId="31" borderId="26" xfId="0" applyNumberFormat="1" applyFill="1" applyBorder="1" applyAlignment="1" applyProtection="1">
      <alignment horizontal="left" vertical="top"/>
      <protection locked="0"/>
    </xf>
    <xf numFmtId="0" fontId="17" fillId="0" borderId="34" xfId="0" applyFont="1" applyBorder="1">
      <alignment horizontal="left" vertical="top" wrapText="1"/>
    </xf>
    <xf numFmtId="0" fontId="17" fillId="0" borderId="19" xfId="0" applyFont="1" applyBorder="1">
      <alignment horizontal="left" vertical="top" wrapText="1"/>
    </xf>
    <xf numFmtId="0" fontId="17" fillId="0" borderId="35" xfId="0" applyFont="1" applyBorder="1">
      <alignment horizontal="left" vertical="top" wrapText="1"/>
    </xf>
    <xf numFmtId="0" fontId="25" fillId="0" borderId="53" xfId="54" applyBorder="1">
      <alignment horizontal="left" vertical="top"/>
    </xf>
    <xf numFmtId="0" fontId="25" fillId="0" borderId="55" xfId="54" applyBorder="1">
      <alignment horizontal="left" vertical="top"/>
    </xf>
    <xf numFmtId="165" fontId="0" fillId="0" borderId="29" xfId="0" applyNumberFormat="1" applyBorder="1" applyAlignment="1">
      <alignment horizontal="left" vertical="top"/>
    </xf>
    <xf numFmtId="165" fontId="0" fillId="0" borderId="30" xfId="0" applyNumberFormat="1" applyBorder="1" applyAlignment="1">
      <alignment horizontal="left" vertical="top"/>
    </xf>
    <xf numFmtId="0" fontId="16" fillId="0" borderId="39" xfId="44" applyBorder="1" applyAlignment="1">
      <alignment horizontal="left" vertical="top"/>
    </xf>
    <xf numFmtId="0" fontId="16" fillId="0" borderId="40" xfId="44" applyBorder="1" applyAlignment="1">
      <alignment horizontal="left" vertical="top"/>
    </xf>
    <xf numFmtId="0" fontId="16" fillId="0" borderId="41" xfId="44" applyBorder="1" applyAlignment="1">
      <alignment horizontal="left" vertical="top"/>
    </xf>
    <xf numFmtId="0" fontId="0" fillId="0" borderId="36" xfId="0" applyBorder="1">
      <alignment horizontal="left" vertical="top" wrapText="1"/>
    </xf>
    <xf numFmtId="0" fontId="0" fillId="0" borderId="37" xfId="0" applyBorder="1">
      <alignment horizontal="left" vertical="top" wrapText="1"/>
    </xf>
    <xf numFmtId="0" fontId="0" fillId="0" borderId="38" xfId="0" applyBorder="1">
      <alignment horizontal="left" vertical="top" wrapText="1"/>
    </xf>
    <xf numFmtId="0" fontId="17" fillId="0" borderId="21" xfId="0" applyFont="1" applyBorder="1" applyAlignment="1">
      <alignment horizontal="center" vertical="center" wrapText="1"/>
    </xf>
    <xf numFmtId="0" fontId="17" fillId="0" borderId="20" xfId="0" applyFont="1" applyBorder="1" applyAlignment="1">
      <alignment horizontal="center" vertical="center" wrapText="1"/>
    </xf>
    <xf numFmtId="0" fontId="16" fillId="0" borderId="56" xfId="44" applyBorder="1" applyAlignment="1">
      <alignment horizontal="left" vertical="top" wrapText="1"/>
    </xf>
    <xf numFmtId="0" fontId="16" fillId="0" borderId="0" xfId="44" applyBorder="1" applyAlignment="1">
      <alignment horizontal="left" vertical="top" wrapText="1"/>
    </xf>
    <xf numFmtId="0" fontId="16" fillId="0" borderId="57" xfId="44" applyBorder="1" applyAlignment="1">
      <alignment horizontal="left" vertical="top" wrapText="1"/>
    </xf>
    <xf numFmtId="0" fontId="17" fillId="0" borderId="31" xfId="0" applyFont="1" applyBorder="1">
      <alignment horizontal="left" vertical="top" wrapText="1"/>
    </xf>
    <xf numFmtId="0" fontId="17" fillId="0" borderId="33" xfId="0" applyFont="1" applyBorder="1">
      <alignment horizontal="left" vertical="top" wrapText="1"/>
    </xf>
    <xf numFmtId="0" fontId="17" fillId="0" borderId="48" xfId="0" applyFont="1" applyBorder="1">
      <alignment horizontal="left" vertical="top" wrapText="1"/>
    </xf>
    <xf numFmtId="0" fontId="17" fillId="0" borderId="47" xfId="0" applyFont="1" applyBorder="1">
      <alignment horizontal="left" vertical="top" wrapText="1"/>
    </xf>
    <xf numFmtId="0" fontId="17" fillId="0" borderId="49" xfId="0" applyFont="1" applyBorder="1">
      <alignment horizontal="left" vertical="top" wrapText="1"/>
    </xf>
    <xf numFmtId="0" fontId="0" fillId="31" borderId="47" xfId="0" applyFill="1" applyBorder="1" applyProtection="1">
      <alignment horizontal="left" vertical="top" wrapText="1"/>
      <protection locked="0"/>
    </xf>
    <xf numFmtId="0" fontId="0" fillId="31" borderId="49" xfId="0" applyFill="1" applyBorder="1" applyProtection="1">
      <alignment horizontal="left" vertical="top" wrapText="1"/>
      <protection locked="0"/>
    </xf>
    <xf numFmtId="0" fontId="17" fillId="35" borderId="64" xfId="0" applyFont="1" applyFill="1" applyBorder="1">
      <alignment horizontal="left" vertical="top" wrapText="1"/>
    </xf>
    <xf numFmtId="0" fontId="17" fillId="35" borderId="65" xfId="0" applyFont="1" applyFill="1" applyBorder="1">
      <alignment horizontal="left" vertical="top" wrapText="1"/>
    </xf>
    <xf numFmtId="0" fontId="17" fillId="35" borderId="63" xfId="0" applyFont="1" applyFill="1" applyBorder="1">
      <alignment horizontal="left" vertical="top" wrapText="1"/>
    </xf>
    <xf numFmtId="0" fontId="17" fillId="0" borderId="0" xfId="0" applyFont="1">
      <alignment horizontal="left" vertical="top" wrapText="1"/>
    </xf>
    <xf numFmtId="0" fontId="17" fillId="0" borderId="57" xfId="0" applyFont="1" applyBorder="1">
      <alignment horizontal="left" vertical="top" wrapText="1"/>
    </xf>
    <xf numFmtId="0" fontId="17" fillId="0" borderId="50" xfId="0" applyFont="1" applyBorder="1">
      <alignment horizontal="left" vertical="top" wrapText="1"/>
    </xf>
    <xf numFmtId="0" fontId="17" fillId="0" borderId="23" xfId="0" applyFont="1" applyBorder="1">
      <alignment horizontal="left" vertical="top" wrapText="1"/>
    </xf>
    <xf numFmtId="0" fontId="17" fillId="0" borderId="51" xfId="0" applyFont="1" applyBorder="1">
      <alignment horizontal="left" vertical="top" wrapText="1"/>
    </xf>
    <xf numFmtId="0" fontId="18" fillId="35" borderId="64" xfId="0" applyFont="1" applyFill="1" applyBorder="1" applyAlignment="1">
      <alignment horizontal="center"/>
    </xf>
    <xf numFmtId="0" fontId="18" fillId="35" borderId="65" xfId="0" applyFont="1" applyFill="1" applyBorder="1" applyAlignment="1">
      <alignment horizontal="center"/>
    </xf>
    <xf numFmtId="0" fontId="18" fillId="35" borderId="63" xfId="0" applyFont="1" applyFill="1" applyBorder="1" applyAlignment="1">
      <alignment horizontal="center"/>
    </xf>
    <xf numFmtId="0" fontId="0" fillId="0" borderId="64" xfId="0" applyBorder="1" applyAlignment="1">
      <alignment wrapText="1"/>
    </xf>
    <xf numFmtId="0" fontId="0" fillId="0" borderId="65" xfId="0" applyBorder="1" applyAlignment="1">
      <alignment wrapText="1"/>
    </xf>
    <xf numFmtId="0" fontId="0" fillId="0" borderId="63" xfId="0" applyBorder="1" applyAlignment="1">
      <alignment wrapText="1"/>
    </xf>
    <xf numFmtId="0" fontId="25" fillId="0" borderId="56" xfId="0" applyFont="1" applyBorder="1">
      <alignment horizontal="left" vertical="top" wrapText="1"/>
    </xf>
    <xf numFmtId="0" fontId="17" fillId="0" borderId="24" xfId="57" applyFont="1" applyBorder="1" applyAlignment="1">
      <alignment horizontal="left" vertical="top" wrapText="1"/>
    </xf>
    <xf numFmtId="0" fontId="17" fillId="0" borderId="10" xfId="57" applyFont="1" applyBorder="1" applyAlignment="1">
      <alignment horizontal="left" vertical="top" wrapText="1"/>
    </xf>
    <xf numFmtId="0" fontId="17" fillId="0" borderId="11" xfId="57" applyFont="1" applyBorder="1" applyAlignment="1">
      <alignment horizontal="left" vertical="top" wrapText="1"/>
    </xf>
    <xf numFmtId="0" fontId="15" fillId="0" borderId="50" xfId="57" applyBorder="1" applyAlignment="1">
      <alignment horizontal="left" vertical="top" wrapText="1"/>
    </xf>
    <xf numFmtId="0" fontId="15" fillId="0" borderId="23" xfId="57" applyBorder="1" applyAlignment="1">
      <alignment horizontal="left" vertical="top" wrapText="1"/>
    </xf>
    <xf numFmtId="0" fontId="15" fillId="31" borderId="11" xfId="57" applyFill="1" applyBorder="1" applyAlignment="1" applyProtection="1">
      <alignment horizontal="left" vertical="top" wrapText="1"/>
      <protection locked="0"/>
    </xf>
    <xf numFmtId="0" fontId="15" fillId="31" borderId="13" xfId="57" applyFill="1" applyBorder="1" applyAlignment="1" applyProtection="1">
      <alignment horizontal="left" vertical="top" wrapText="1"/>
      <protection locked="0"/>
    </xf>
    <xf numFmtId="0" fontId="15" fillId="0" borderId="11" xfId="57" applyBorder="1" applyAlignment="1">
      <alignment horizontal="left" vertical="top" wrapText="1"/>
    </xf>
    <xf numFmtId="0" fontId="15" fillId="0" borderId="13" xfId="57" applyBorder="1" applyAlignment="1">
      <alignment horizontal="left" vertical="top" wrapText="1"/>
    </xf>
    <xf numFmtId="0" fontId="15" fillId="0" borderId="27" xfId="57" applyBorder="1" applyAlignment="1">
      <alignment horizontal="left" vertical="top" wrapText="1"/>
    </xf>
    <xf numFmtId="0" fontId="17" fillId="35" borderId="53" xfId="57" applyFont="1" applyFill="1" applyBorder="1"/>
    <xf numFmtId="0" fontId="17" fillId="35" borderId="54" xfId="57" applyFont="1" applyFill="1" applyBorder="1"/>
    <xf numFmtId="0" fontId="17" fillId="0" borderId="58" xfId="57" applyFont="1" applyBorder="1" applyAlignment="1">
      <alignment horizontal="left" vertical="top" wrapText="1"/>
    </xf>
    <xf numFmtId="0" fontId="17" fillId="0" borderId="59" xfId="57" applyFont="1" applyBorder="1" applyAlignment="1">
      <alignment horizontal="left" vertical="top" wrapText="1"/>
    </xf>
    <xf numFmtId="0" fontId="15" fillId="0" borderId="45" xfId="57" applyBorder="1" applyAlignment="1">
      <alignment horizontal="left" vertical="top" wrapText="1"/>
    </xf>
    <xf numFmtId="0" fontId="17" fillId="0" borderId="31" xfId="57" applyFont="1" applyBorder="1" applyAlignment="1">
      <alignment horizontal="left" vertical="top" wrapText="1"/>
    </xf>
    <xf numFmtId="0" fontId="17" fillId="0" borderId="32" xfId="57" applyFont="1" applyBorder="1" applyAlignment="1">
      <alignment horizontal="left" vertical="top" wrapText="1"/>
    </xf>
    <xf numFmtId="0" fontId="17" fillId="0" borderId="61" xfId="57" applyFont="1" applyBorder="1" applyAlignment="1">
      <alignment horizontal="left" vertical="top" wrapText="1"/>
    </xf>
    <xf numFmtId="0" fontId="17" fillId="35" borderId="64" xfId="57" applyFont="1" applyFill="1" applyBorder="1"/>
    <xf numFmtId="0" fontId="17" fillId="35" borderId="63" xfId="57" applyFont="1" applyFill="1" applyBorder="1"/>
    <xf numFmtId="0" fontId="18" fillId="35" borderId="53" xfId="57" applyFont="1" applyFill="1" applyBorder="1" applyAlignment="1">
      <alignment horizontal="center" vertical="center"/>
    </xf>
    <xf numFmtId="0" fontId="18" fillId="35" borderId="54" xfId="57" applyFont="1" applyFill="1" applyBorder="1" applyAlignment="1">
      <alignment horizontal="center" vertical="center"/>
    </xf>
    <xf numFmtId="0" fontId="18" fillId="35" borderId="55" xfId="57" applyFont="1" applyFill="1" applyBorder="1" applyAlignment="1">
      <alignment horizontal="center" vertical="center"/>
    </xf>
    <xf numFmtId="0" fontId="15" fillId="0" borderId="36" xfId="57" applyBorder="1" applyAlignment="1">
      <alignment horizontal="left" vertical="top" wrapText="1"/>
    </xf>
    <xf numFmtId="0" fontId="15" fillId="0" borderId="37" xfId="57" applyBorder="1" applyAlignment="1">
      <alignment horizontal="left" vertical="top" wrapText="1"/>
    </xf>
    <xf numFmtId="0" fontId="15" fillId="0" borderId="38" xfId="57" applyBorder="1" applyAlignment="1">
      <alignment horizontal="left" vertical="top" wrapText="1"/>
    </xf>
    <xf numFmtId="0" fontId="15" fillId="0" borderId="39" xfId="57" applyBorder="1" applyAlignment="1">
      <alignment horizontal="left" vertical="top" wrapText="1"/>
    </xf>
    <xf numFmtId="0" fontId="15" fillId="0" borderId="40" xfId="57" applyBorder="1" applyAlignment="1">
      <alignment horizontal="left" vertical="top" wrapText="1"/>
    </xf>
    <xf numFmtId="0" fontId="15" fillId="0" borderId="41" xfId="57" applyBorder="1" applyAlignment="1">
      <alignment horizontal="left" vertical="top" wrapText="1"/>
    </xf>
    <xf numFmtId="0" fontId="40" fillId="0" borderId="42" xfId="58" applyBorder="1" applyAlignment="1">
      <alignment horizontal="left" vertical="top" wrapText="1"/>
    </xf>
    <xf numFmtId="0" fontId="15" fillId="0" borderId="43" xfId="57" applyBorder="1" applyAlignment="1">
      <alignment horizontal="left" vertical="top" wrapText="1"/>
    </xf>
    <xf numFmtId="0" fontId="15" fillId="0" borderId="44" xfId="57" applyBorder="1" applyAlignment="1">
      <alignment horizontal="left" vertical="top" wrapText="1"/>
    </xf>
    <xf numFmtId="0" fontId="0" fillId="0" borderId="26" xfId="0" applyBorder="1" applyAlignment="1">
      <alignment vertical="top" wrapText="1"/>
    </xf>
    <xf numFmtId="0" fontId="0" fillId="0" borderId="87" xfId="0" applyBorder="1" applyAlignment="1">
      <alignment vertical="top" wrapText="1"/>
    </xf>
    <xf numFmtId="0" fontId="0" fillId="0" borderId="93" xfId="0" applyBorder="1" applyAlignment="1">
      <alignment vertical="top" wrapText="1"/>
    </xf>
    <xf numFmtId="0" fontId="0" fillId="0" borderId="88" xfId="0" applyBorder="1" applyAlignment="1">
      <alignment vertical="top" wrapText="1"/>
    </xf>
    <xf numFmtId="0" fontId="0" fillId="0" borderId="11" xfId="0" quotePrefix="1" applyBorder="1" applyAlignment="1">
      <alignment vertical="top" wrapText="1"/>
    </xf>
    <xf numFmtId="0" fontId="0" fillId="0" borderId="11" xfId="0" quotePrefix="1" applyBorder="1">
      <alignment horizontal="left" vertical="top" wrapText="1"/>
    </xf>
    <xf numFmtId="0" fontId="0" fillId="0" borderId="13" xfId="0" quotePrefix="1" applyBorder="1">
      <alignment horizontal="left" vertical="top" wrapText="1"/>
    </xf>
    <xf numFmtId="0" fontId="0" fillId="0" borderId="26" xfId="0" quotePrefix="1" applyBorder="1">
      <alignment horizontal="left" vertical="top" wrapText="1"/>
    </xf>
    <xf numFmtId="0" fontId="0" fillId="0" borderId="87" xfId="0" applyBorder="1">
      <alignment horizontal="left" vertical="top" wrapText="1"/>
    </xf>
    <xf numFmtId="0" fontId="0" fillId="0" borderId="93" xfId="0" applyBorder="1">
      <alignment horizontal="left" vertical="top" wrapText="1"/>
    </xf>
    <xf numFmtId="0" fontId="0" fillId="0" borderId="88" xfId="0" applyBorder="1">
      <alignment horizontal="left" vertical="top" wrapText="1"/>
    </xf>
    <xf numFmtId="0" fontId="17" fillId="0" borderId="42" xfId="46" applyBorder="1">
      <alignment horizontal="left" vertical="top" wrapText="1"/>
    </xf>
    <xf numFmtId="0" fontId="17" fillId="0" borderId="43" xfId="46" applyBorder="1">
      <alignment horizontal="left" vertical="top" wrapText="1"/>
    </xf>
    <xf numFmtId="0" fontId="17" fillId="0" borderId="44" xfId="46" applyBorder="1">
      <alignment horizontal="left" vertical="top" wrapText="1"/>
    </xf>
    <xf numFmtId="0" fontId="17" fillId="0" borderId="39" xfId="46" applyBorder="1">
      <alignment horizontal="left" vertical="top" wrapText="1"/>
    </xf>
    <xf numFmtId="0" fontId="17" fillId="0" borderId="40" xfId="46" applyBorder="1">
      <alignment horizontal="left" vertical="top" wrapText="1"/>
    </xf>
    <xf numFmtId="0" fontId="17" fillId="0" borderId="41" xfId="46" applyBorder="1">
      <alignment horizontal="left" vertical="top" wrapText="1"/>
    </xf>
    <xf numFmtId="0" fontId="17" fillId="0" borderId="36" xfId="46" applyBorder="1">
      <alignment horizontal="left" vertical="top" wrapText="1"/>
    </xf>
    <xf numFmtId="0" fontId="17" fillId="0" borderId="37" xfId="46" applyBorder="1">
      <alignment horizontal="left" vertical="top" wrapText="1"/>
    </xf>
    <xf numFmtId="0" fontId="17" fillId="0" borderId="38" xfId="46" applyBorder="1">
      <alignment horizontal="left" vertical="top" wrapText="1"/>
    </xf>
    <xf numFmtId="0" fontId="0" fillId="31" borderId="20" xfId="0" applyFill="1" applyBorder="1" applyAlignment="1" applyProtection="1">
      <alignment horizontal="left" vertical="top"/>
      <protection locked="0"/>
    </xf>
    <xf numFmtId="0" fontId="0" fillId="31" borderId="21" xfId="0" applyFill="1" applyBorder="1" applyAlignment="1" applyProtection="1">
      <alignment horizontal="left" vertical="top"/>
      <protection locked="0"/>
    </xf>
    <xf numFmtId="0" fontId="0" fillId="31" borderId="22" xfId="0" applyFill="1" applyBorder="1" applyAlignment="1" applyProtection="1">
      <alignment horizontal="left" vertical="top"/>
      <protection locked="0"/>
    </xf>
    <xf numFmtId="0" fontId="17" fillId="0" borderId="56" xfId="0" applyFont="1" applyBorder="1" applyAlignment="1">
      <alignment horizontal="left" vertical="top"/>
    </xf>
    <xf numFmtId="0" fontId="17" fillId="0" borderId="0" xfId="0" applyFont="1" applyAlignment="1">
      <alignment horizontal="left" vertical="top"/>
    </xf>
    <xf numFmtId="0" fontId="17" fillId="0" borderId="57" xfId="0" applyFont="1" applyBorder="1" applyAlignment="1">
      <alignment horizontal="left" vertical="top"/>
    </xf>
    <xf numFmtId="0" fontId="17" fillId="0" borderId="28" xfId="46" applyBorder="1">
      <alignment horizontal="left" vertical="top" wrapText="1"/>
    </xf>
    <xf numFmtId="0" fontId="17" fillId="0" borderId="29" xfId="46" applyBorder="1">
      <alignment horizontal="left" vertical="top" wrapText="1"/>
    </xf>
    <xf numFmtId="0" fontId="17" fillId="0" borderId="30" xfId="46" applyBorder="1">
      <alignment horizontal="left" vertical="top" wrapText="1"/>
    </xf>
    <xf numFmtId="0" fontId="0" fillId="0" borderId="46" xfId="0" applyBorder="1">
      <alignment horizontal="left" vertical="top" wrapText="1"/>
    </xf>
    <xf numFmtId="0" fontId="0" fillId="0" borderId="41" xfId="0" applyBorder="1">
      <alignment horizontal="left" vertical="top" wrapText="1"/>
    </xf>
    <xf numFmtId="0" fontId="0" fillId="0" borderId="55" xfId="0" applyBorder="1" applyAlignment="1">
      <alignment vertical="top" wrapText="1"/>
    </xf>
    <xf numFmtId="0" fontId="17" fillId="35" borderId="18" xfId="55" applyAlignment="1">
      <alignment horizontal="center" vertical="center" wrapText="1"/>
    </xf>
    <xf numFmtId="0" fontId="17" fillId="0" borderId="20" xfId="46" applyBorder="1" applyAlignment="1">
      <alignment vertical="top" wrapText="1"/>
    </xf>
    <xf numFmtId="0" fontId="17" fillId="0" borderId="21" xfId="46" applyBorder="1" applyAlignment="1">
      <alignment vertical="top" wrapText="1"/>
    </xf>
    <xf numFmtId="0" fontId="17" fillId="0" borderId="22" xfId="46" applyBorder="1" applyAlignment="1">
      <alignment vertical="top" wrapText="1"/>
    </xf>
    <xf numFmtId="0" fontId="15" fillId="0" borderId="24" xfId="48" applyNumberFormat="1" applyFill="1" applyBorder="1">
      <alignment wrapText="1"/>
    </xf>
    <xf numFmtId="0" fontId="15" fillId="0" borderId="10" xfId="48" applyNumberFormat="1" applyFill="1">
      <alignment wrapText="1"/>
    </xf>
    <xf numFmtId="0" fontId="15" fillId="0" borderId="28" xfId="48" applyNumberFormat="1" applyFill="1" applyBorder="1">
      <alignment wrapText="1"/>
    </xf>
    <xf numFmtId="0" fontId="15" fillId="0" borderId="29" xfId="48" applyNumberFormat="1" applyFill="1" applyBorder="1">
      <alignment wrapText="1"/>
    </xf>
    <xf numFmtId="0" fontId="25" fillId="0" borderId="56" xfId="54" applyBorder="1" applyAlignment="1">
      <alignment horizontal="left" vertical="top" wrapText="1"/>
    </xf>
    <xf numFmtId="0" fontId="25" fillId="0" borderId="0" xfId="54" applyAlignment="1">
      <alignment horizontal="left" vertical="top" wrapText="1"/>
    </xf>
    <xf numFmtId="0" fontId="16" fillId="0" borderId="24" xfId="44" applyNumberFormat="1" applyFill="1" applyBorder="1" applyAlignment="1">
      <alignment wrapText="1"/>
    </xf>
    <xf numFmtId="0" fontId="16" fillId="0" borderId="10" xfId="44" applyNumberFormat="1" applyFill="1" applyBorder="1" applyAlignment="1">
      <alignment wrapText="1"/>
    </xf>
    <xf numFmtId="0" fontId="16" fillId="0" borderId="25" xfId="44" applyNumberFormat="1" applyFill="1" applyBorder="1" applyAlignment="1">
      <alignment wrapText="1"/>
    </xf>
    <xf numFmtId="0" fontId="16" fillId="0" borderId="28" xfId="44" applyNumberFormat="1" applyFill="1" applyBorder="1" applyAlignment="1">
      <alignment wrapText="1"/>
    </xf>
    <xf numFmtId="0" fontId="16" fillId="0" borderId="29" xfId="44" applyNumberFormat="1" applyFill="1" applyBorder="1" applyAlignment="1">
      <alignment wrapText="1"/>
    </xf>
    <xf numFmtId="0" fontId="16" fillId="0" borderId="30" xfId="44" applyNumberFormat="1" applyFill="1" applyBorder="1" applyAlignment="1">
      <alignment wrapText="1"/>
    </xf>
    <xf numFmtId="49" fontId="18" fillId="36" borderId="69" xfId="45" applyBorder="1">
      <alignment horizontal="center" vertical="center"/>
    </xf>
    <xf numFmtId="0" fontId="17" fillId="35" borderId="69" xfId="55" applyBorder="1" applyAlignment="1">
      <alignment horizontal="left" vertical="top" wrapText="1"/>
    </xf>
    <xf numFmtId="0" fontId="17" fillId="0" borderId="22" xfId="46" applyBorder="1">
      <alignment horizontal="left" vertical="top" wrapText="1"/>
    </xf>
    <xf numFmtId="0" fontId="0" fillId="0" borderId="18" xfId="0" applyBorder="1">
      <alignment horizontal="left" vertical="top" wrapText="1"/>
    </xf>
    <xf numFmtId="0" fontId="17" fillId="0" borderId="67" xfId="0" applyFont="1" applyBorder="1">
      <alignment horizontal="left" vertical="top" wrapText="1"/>
    </xf>
    <xf numFmtId="0" fontId="17" fillId="0" borderId="64" xfId="0" applyFont="1" applyBorder="1">
      <alignment horizontal="left" vertical="top" wrapText="1"/>
    </xf>
    <xf numFmtId="0" fontId="17" fillId="0" borderId="65" xfId="0" applyFont="1" applyBorder="1">
      <alignment horizontal="left" vertical="top" wrapText="1"/>
    </xf>
    <xf numFmtId="0" fontId="17" fillId="0" borderId="63" xfId="0" applyFont="1" applyBorder="1">
      <alignment horizontal="left" vertical="top" wrapText="1"/>
    </xf>
    <xf numFmtId="0" fontId="17" fillId="0" borderId="10" xfId="0" applyFont="1" applyBorder="1" applyAlignment="1">
      <alignment horizontal="center"/>
    </xf>
    <xf numFmtId="0" fontId="17" fillId="41" borderId="11" xfId="0" applyFont="1" applyFill="1" applyBorder="1">
      <alignment horizontal="left" vertical="top" wrapText="1"/>
    </xf>
    <xf numFmtId="0" fontId="17" fillId="41" borderId="13" xfId="0" applyFont="1" applyFill="1" applyBorder="1">
      <alignment horizontal="left" vertical="top" wrapText="1"/>
    </xf>
    <xf numFmtId="0" fontId="17" fillId="41" borderId="12" xfId="0" applyFont="1" applyFill="1" applyBorder="1">
      <alignment horizontal="left" vertical="top" wrapText="1"/>
    </xf>
  </cellXfs>
  <cellStyles count="59">
    <cellStyle name="20% - Accent1" xfId="21" builtinId="30" hidden="1"/>
    <cellStyle name="20% - Accent2" xfId="25" builtinId="34" hidden="1"/>
    <cellStyle name="20% - Accent3" xfId="29" builtinId="38" hidden="1"/>
    <cellStyle name="20% - Accent4" xfId="33" builtinId="42" hidden="1"/>
    <cellStyle name="20% - Accent5" xfId="37" builtinId="46" hidden="1"/>
    <cellStyle name="20% - Accent6" xfId="41" builtinId="50" hidden="1"/>
    <cellStyle name="40% - Accent1" xfId="22" builtinId="31" hidden="1"/>
    <cellStyle name="40% - Accent2" xfId="26" builtinId="35" hidden="1"/>
    <cellStyle name="40% - Accent3" xfId="30" builtinId="39" hidden="1"/>
    <cellStyle name="40% - Accent4" xfId="34" builtinId="43" hidden="1"/>
    <cellStyle name="40% - Accent5" xfId="38" builtinId="47" hidden="1"/>
    <cellStyle name="40% - Accent6" xfId="42" builtinId="51" hidden="1"/>
    <cellStyle name="60% - Accent1" xfId="23" builtinId="32" hidden="1"/>
    <cellStyle name="60% - Accent2" xfId="27" builtinId="36" hidden="1"/>
    <cellStyle name="60% - Accent3" xfId="31" builtinId="40" hidden="1"/>
    <cellStyle name="60% - Accent4" xfId="35" builtinId="44" hidden="1"/>
    <cellStyle name="60% - Accent5" xfId="39" builtinId="48" hidden="1"/>
    <cellStyle name="60% - Accent6" xfId="43" builtinId="52" hidden="1"/>
    <cellStyle name="Accent1" xfId="20" builtinId="29" hidden="1"/>
    <cellStyle name="Accent2" xfId="24" builtinId="33" hidden="1"/>
    <cellStyle name="Accent3" xfId="28" builtinId="37" hidden="1"/>
    <cellStyle name="Accent4" xfId="32" builtinId="41" hidden="1"/>
    <cellStyle name="Accent5" xfId="36" builtinId="45" hidden="1"/>
    <cellStyle name="Accent6" xfId="40" builtinId="49" hidden="1"/>
    <cellStyle name="Accessibility" xfId="54" xr:uid="{3D7F29D0-6467-446F-BF22-C50FF28A6661}"/>
    <cellStyle name="Bad" xfId="11" builtinId="27" hidden="1"/>
    <cellStyle name="Calculation" xfId="14" builtinId="22" hidden="1"/>
    <cellStyle name="Check Cell" xfId="16" builtinId="23" hidden="1"/>
    <cellStyle name="Comma" xfId="1" builtinId="3" hidden="1"/>
    <cellStyle name="Comma [0]" xfId="2" builtinId="6" hidden="1"/>
    <cellStyle name="Currency" xfId="3" builtinId="4" hidden="1"/>
    <cellStyle name="Currency [0]" xfId="4" builtinId="7" hidden="1"/>
    <cellStyle name="Explanatory Text" xfId="52" builtinId="53" hidden="1"/>
    <cellStyle name="Followed Hyperlink" xfId="49" builtinId="9" hidden="1"/>
    <cellStyle name="Good" xfId="50" builtinId="26" hidden="1"/>
    <cellStyle name="GreyedOut" xfId="48" xr:uid="{C05268F7-358E-4BE5-9991-DC0849A6AF24}"/>
    <cellStyle name="Heading" xfId="46" xr:uid="{270862A4-B803-4567-80A0-0AFB4FC32DAF}"/>
    <cellStyle name="Heading 1" xfId="7" builtinId="16" hidden="1"/>
    <cellStyle name="Heading 2" xfId="8" builtinId="17" hidden="1"/>
    <cellStyle name="Heading 3" xfId="9" builtinId="18" hidden="1"/>
    <cellStyle name="Heading 4" xfId="10" builtinId="19" hidden="1"/>
    <cellStyle name="Hyperlink" xfId="44" builtinId="8" customBuiltin="1"/>
    <cellStyle name="Hyperlink 2" xfId="58" xr:uid="{973C8A66-C5A5-4F9F-877E-E093C3961663}"/>
    <cellStyle name="ImportantText" xfId="53" xr:uid="{82DA27E7-1114-46A7-9FE4-457A699AD22A}"/>
    <cellStyle name="Input" xfId="12" builtinId="20" hidden="1"/>
    <cellStyle name="InvisibleText" xfId="56" xr:uid="{98D5D61B-0BD9-4D15-A6B8-7C344F155F1A}"/>
    <cellStyle name="Linked Cell" xfId="15" builtinId="24" hidden="1"/>
    <cellStyle name="Neutral" xfId="51" builtinId="28" hidden="1"/>
    <cellStyle name="Normal" xfId="0" builtinId="0" customBuiltin="1"/>
    <cellStyle name="Normal 2" xfId="57" xr:uid="{F5B65FC5-ED98-4F36-92CD-1CDFFD98AB48}"/>
    <cellStyle name="Note" xfId="18" builtinId="10" hidden="1"/>
    <cellStyle name="Output" xfId="13" builtinId="21" hidden="1"/>
    <cellStyle name="Percent" xfId="5" builtinId="5" hidden="1"/>
    <cellStyle name="Percent" xfId="47" builtinId="5"/>
    <cellStyle name="SectionTitle" xfId="55" xr:uid="{DB9CF899-75B5-4390-8BB9-75F1CDFE8694}"/>
    <cellStyle name="Title" xfId="6" builtinId="15" hidden="1"/>
    <cellStyle name="Title" xfId="45" builtinId="15" customBuiltin="1"/>
    <cellStyle name="Total" xfId="19" builtinId="25" hidden="1"/>
    <cellStyle name="Warning Text" xfId="17" builtinId="11" hidden="1"/>
  </cellStyles>
  <dxfs count="401">
    <dxf>
      <fill>
        <patternFill>
          <bgColor rgb="FFEBB8B7"/>
        </patternFill>
      </fill>
    </dxf>
    <dxf>
      <fill>
        <patternFill>
          <bgColor rgb="FFEBB8B7"/>
        </patternFill>
      </fill>
    </dxf>
    <dxf>
      <numFmt numFmtId="0" formatCode="General"/>
      <fill>
        <patternFill>
          <bgColor rgb="FFE8B8B7"/>
        </patternFill>
      </fill>
    </dxf>
    <dxf>
      <fill>
        <patternFill>
          <bgColor rgb="FFEBB8B7"/>
        </patternFill>
      </fill>
    </dxf>
    <dxf>
      <fill>
        <patternFill>
          <bgColor rgb="FFEBB8B7"/>
        </patternFill>
      </fill>
    </dxf>
    <dxf>
      <fill>
        <patternFill>
          <bgColor rgb="FFEBB8B7"/>
        </patternFill>
      </fill>
    </dxf>
    <dxf>
      <fill>
        <patternFill>
          <bgColor rgb="FFEBB8B7"/>
        </patternFill>
      </fill>
    </dxf>
    <dxf>
      <numFmt numFmtId="164" formatCode=";;;"/>
      <fill>
        <patternFill>
          <bgColor theme="0" tint="-0.499984740745262"/>
        </patternFill>
      </fill>
    </dxf>
    <dxf>
      <fill>
        <patternFill>
          <bgColor rgb="FFEBB8B7"/>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0" formatCode="General"/>
      <fill>
        <patternFill>
          <bgColor rgb="FFEBB8B7"/>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fill>
        <patternFill>
          <bgColor rgb="FFE6B8B7"/>
        </patternFill>
      </fill>
    </dxf>
    <dxf>
      <fill>
        <patternFill>
          <bgColor rgb="FFE6B8B7"/>
        </patternFill>
      </fill>
    </dxf>
    <dxf>
      <fill>
        <patternFill>
          <bgColor rgb="FFE6B8B7"/>
        </patternFill>
      </fill>
    </dxf>
    <dxf>
      <fill>
        <patternFill>
          <bgColor rgb="FFE6B8B7"/>
        </patternFill>
      </fill>
    </dxf>
    <dxf>
      <fill>
        <patternFill>
          <bgColor rgb="FFE6B8B7"/>
        </patternFill>
      </fill>
    </dxf>
    <dxf>
      <fill>
        <patternFill>
          <bgColor rgb="FFE6B8B7"/>
        </patternFill>
      </fill>
    </dxf>
    <dxf>
      <fill>
        <patternFill>
          <bgColor rgb="FFE6B8B7"/>
        </patternFill>
      </fill>
    </dxf>
    <dxf>
      <fill>
        <patternFill>
          <bgColor rgb="FFE6B8B7"/>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fill>
        <patternFill>
          <bgColor rgb="FFE6B8B7"/>
        </patternFill>
      </fill>
    </dxf>
    <dxf>
      <fill>
        <patternFill>
          <bgColor rgb="FFFAB8B7"/>
        </patternFill>
      </fill>
    </dxf>
    <dxf>
      <fill>
        <patternFill>
          <bgColor rgb="FFFAB8B7"/>
        </patternFill>
      </fill>
    </dxf>
    <dxf>
      <fill>
        <patternFill>
          <bgColor rgb="FFE6B8B7"/>
        </patternFill>
      </fill>
    </dxf>
    <dxf>
      <fill>
        <patternFill>
          <bgColor rgb="FFFAB8B7"/>
        </patternFill>
      </fill>
    </dxf>
    <dxf>
      <fill>
        <patternFill>
          <bgColor rgb="FFFAB8B7"/>
        </patternFill>
      </fill>
    </dxf>
    <dxf>
      <fill>
        <patternFill>
          <bgColor rgb="FFE6B8B7"/>
        </patternFill>
      </fill>
    </dxf>
    <dxf>
      <fill>
        <patternFill>
          <bgColor rgb="FFFAB8B7"/>
        </patternFill>
      </fill>
    </dxf>
    <dxf>
      <fill>
        <patternFill>
          <bgColor rgb="FFE6B8B7"/>
        </patternFill>
      </fill>
    </dxf>
    <dxf>
      <fill>
        <patternFill>
          <bgColor rgb="FFFAB8B7"/>
        </patternFill>
      </fill>
    </dxf>
    <dxf>
      <fill>
        <patternFill>
          <bgColor rgb="FFE6B8B7"/>
        </patternFill>
      </fill>
    </dxf>
    <dxf>
      <fill>
        <patternFill>
          <bgColor rgb="FFFAB8B7"/>
        </patternFill>
      </fill>
    </dxf>
    <dxf>
      <fill>
        <patternFill>
          <bgColor rgb="FFE6B8B7"/>
        </patternFill>
      </fill>
    </dxf>
    <dxf>
      <fill>
        <patternFill>
          <bgColor rgb="FFFAB8B7"/>
        </patternFill>
      </fill>
    </dxf>
    <dxf>
      <fill>
        <patternFill>
          <bgColor rgb="FFE6B8B7"/>
        </patternFill>
      </fill>
    </dxf>
    <dxf>
      <fill>
        <patternFill>
          <bgColor rgb="FFFAB8B7"/>
        </patternFill>
      </fill>
    </dxf>
    <dxf>
      <fill>
        <patternFill>
          <bgColor rgb="FFE6B8B7"/>
        </patternFill>
      </fill>
    </dxf>
    <dxf>
      <fill>
        <patternFill>
          <bgColor rgb="FFFAB8B7"/>
        </patternFill>
      </fill>
    </dxf>
    <dxf>
      <fill>
        <patternFill>
          <bgColor rgb="FFE6B8B7"/>
        </patternFill>
      </fill>
    </dxf>
    <dxf>
      <fill>
        <patternFill>
          <bgColor rgb="FFE6B8B7"/>
        </patternFill>
      </fill>
    </dxf>
    <dxf>
      <fill>
        <patternFill>
          <bgColor rgb="FFFAB8B7"/>
        </patternFill>
      </fill>
    </dxf>
    <dxf>
      <fill>
        <patternFill>
          <bgColor rgb="FFE6B8B7"/>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fill>
        <patternFill>
          <bgColor rgb="FFEBB8B7"/>
        </patternFill>
      </fill>
    </dxf>
    <dxf>
      <fill>
        <patternFill>
          <bgColor rgb="FFEBB8B7"/>
        </patternFill>
      </fill>
    </dxf>
    <dxf>
      <fill>
        <patternFill>
          <bgColor rgb="FFEBB8B7"/>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fill>
        <patternFill>
          <bgColor rgb="FFEBB8B7"/>
        </patternFill>
      </fill>
    </dxf>
    <dxf>
      <fill>
        <patternFill>
          <bgColor rgb="FFEBB8B7"/>
        </patternFill>
      </fill>
    </dxf>
    <dxf>
      <fill>
        <patternFill>
          <bgColor rgb="FFEBB8B7"/>
        </patternFill>
      </fill>
    </dxf>
    <dxf>
      <fill>
        <patternFill>
          <bgColor rgb="FFEBB8B7"/>
        </patternFill>
      </fill>
    </dxf>
    <dxf>
      <numFmt numFmtId="164" formatCode=";;;"/>
      <fill>
        <patternFill>
          <bgColor theme="0" tint="-0.499984740745262"/>
        </patternFill>
      </fill>
    </dxf>
    <dxf>
      <fill>
        <patternFill>
          <bgColor rgb="FFEBB8B7"/>
        </patternFill>
      </fill>
    </dxf>
    <dxf>
      <fill>
        <patternFill>
          <bgColor rgb="FFEBB8B7"/>
        </patternFill>
      </fill>
    </dxf>
    <dxf>
      <fill>
        <patternFill>
          <bgColor rgb="FFEBB8B7"/>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font>
        <b/>
        <i val="0"/>
      </font>
      <fill>
        <patternFill>
          <bgColor rgb="FFF0B8B7"/>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fill>
        <patternFill>
          <bgColor rgb="FFE6B8B7"/>
        </patternFill>
      </fill>
    </dxf>
    <dxf>
      <fill>
        <patternFill>
          <bgColor rgb="FFE6B8B7"/>
        </patternFill>
      </fill>
    </dxf>
    <dxf>
      <fill>
        <patternFill>
          <bgColor rgb="FFFAB8B7"/>
        </patternFill>
      </fill>
    </dxf>
    <dxf>
      <fill>
        <patternFill>
          <bgColor rgb="FFEBB8B7"/>
        </patternFill>
      </fill>
    </dxf>
    <dxf>
      <fill>
        <patternFill>
          <bgColor rgb="FFEBB8B7"/>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fill>
        <patternFill>
          <bgColor rgb="FFEBB8B7"/>
        </patternFill>
      </fill>
    </dxf>
    <dxf>
      <numFmt numFmtId="0" formatCode="General"/>
      <fill>
        <patternFill>
          <bgColor rgb="FFEBB8B7"/>
        </patternFill>
      </fill>
    </dxf>
    <dxf>
      <fill>
        <patternFill>
          <bgColor rgb="FFEBB8B7"/>
        </patternFill>
      </fill>
    </dxf>
    <dxf>
      <fill>
        <patternFill>
          <bgColor rgb="FFEBB8B7"/>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fill>
        <patternFill>
          <bgColor rgb="FFEBB8B7"/>
        </patternFill>
      </fill>
    </dxf>
    <dxf>
      <fill>
        <patternFill>
          <bgColor rgb="FFEBB8B7"/>
        </patternFill>
      </fill>
    </dxf>
    <dxf>
      <fill>
        <patternFill>
          <bgColor rgb="FFEBB8B7"/>
        </patternFill>
      </fill>
    </dxf>
    <dxf>
      <fill>
        <patternFill>
          <bgColor rgb="FFEBB8B7"/>
        </patternFill>
      </fill>
    </dxf>
    <dxf>
      <numFmt numFmtId="164" formatCode=";;;"/>
      <fill>
        <patternFill>
          <bgColor theme="0" tint="-0.499984740745262"/>
        </patternFill>
      </fill>
    </dxf>
    <dxf>
      <numFmt numFmtId="164" formatCode=";;;"/>
      <fill>
        <patternFill>
          <bgColor theme="0" tint="-0.499984740745262"/>
        </patternFill>
      </fill>
    </dxf>
    <dxf>
      <fill>
        <patternFill>
          <bgColor rgb="FFEBB8B7"/>
        </patternFill>
      </fill>
    </dxf>
    <dxf>
      <fill>
        <patternFill>
          <bgColor rgb="FFEBB8B7"/>
        </patternFill>
      </fill>
    </dxf>
    <dxf>
      <fill>
        <patternFill>
          <bgColor rgb="FFEBB8B7"/>
        </patternFill>
      </fill>
    </dxf>
    <dxf>
      <fill>
        <patternFill>
          <bgColor rgb="FFEBB8B7"/>
        </patternFill>
      </fill>
    </dxf>
    <dxf>
      <numFmt numFmtId="164" formatCode=";;;"/>
      <fill>
        <patternFill>
          <bgColor theme="0" tint="-0.499984740745262"/>
        </patternFill>
      </fill>
    </dxf>
    <dxf>
      <numFmt numFmtId="164" formatCode=";;;"/>
      <fill>
        <patternFill>
          <bgColor theme="0" tint="-0.499984740745262"/>
        </patternFill>
      </fill>
    </dxf>
    <dxf>
      <fill>
        <patternFill>
          <bgColor rgb="FFEBB8B7"/>
        </patternFill>
      </fill>
    </dxf>
    <dxf>
      <fill>
        <patternFill>
          <bgColor rgb="FFEBB8B7"/>
        </patternFill>
      </fill>
    </dxf>
    <dxf>
      <fill>
        <patternFill>
          <bgColor rgb="FFEBB8B7"/>
        </patternFill>
      </fill>
    </dxf>
    <dxf>
      <fill>
        <patternFill>
          <bgColor rgb="FFEBB8B7"/>
        </patternFill>
      </fill>
    </dxf>
    <dxf>
      <numFmt numFmtId="164" formatCode=";;;"/>
      <fill>
        <patternFill>
          <bgColor theme="0" tint="-0.499984740745262"/>
        </patternFill>
      </fill>
    </dxf>
    <dxf>
      <numFmt numFmtId="164" formatCode=";;;"/>
      <fill>
        <patternFill>
          <bgColor theme="0" tint="-0.499984740745262"/>
        </patternFill>
      </fill>
    </dxf>
    <dxf>
      <fill>
        <patternFill>
          <bgColor rgb="FFEBB8B7"/>
        </patternFill>
      </fill>
    </dxf>
    <dxf>
      <fill>
        <patternFill>
          <bgColor rgb="FFEBB8B7"/>
        </patternFill>
      </fill>
    </dxf>
    <dxf>
      <fill>
        <patternFill>
          <bgColor rgb="FFEBB8B7"/>
        </patternFill>
      </fill>
    </dxf>
    <dxf>
      <fill>
        <patternFill>
          <bgColor rgb="FFEBB8B7"/>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fill>
        <patternFill>
          <bgColor rgb="FFEBB8B7"/>
        </patternFill>
      </fill>
    </dxf>
    <dxf>
      <fill>
        <patternFill>
          <bgColor rgb="FFEBB8B7"/>
        </patternFill>
      </fill>
    </dxf>
    <dxf>
      <fill>
        <patternFill>
          <bgColor rgb="FFEBB8B7"/>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fill>
        <patternFill>
          <bgColor rgb="FFEBB8B7"/>
        </patternFill>
      </fill>
    </dxf>
    <dxf>
      <fill>
        <patternFill>
          <bgColor rgb="FFEBB8B7"/>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fill>
        <patternFill>
          <bgColor rgb="FFEBB8B7"/>
        </patternFill>
      </fill>
    </dxf>
    <dxf>
      <fill>
        <patternFill>
          <bgColor rgb="FFEBB8B7"/>
        </patternFill>
      </fill>
    </dxf>
    <dxf>
      <fill>
        <patternFill>
          <bgColor rgb="FFEBB8B7"/>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fill>
        <patternFill>
          <bgColor rgb="FFEBB8B7"/>
        </patternFill>
      </fill>
    </dxf>
    <dxf>
      <fill>
        <patternFill>
          <bgColor rgb="FFEBB8B7"/>
        </patternFill>
      </fill>
    </dxf>
    <dxf>
      <fill>
        <patternFill>
          <bgColor rgb="FFEBB8B7"/>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fill>
        <patternFill>
          <bgColor rgb="FFEBB8B7"/>
        </patternFill>
      </fill>
    </dxf>
    <dxf>
      <fill>
        <patternFill>
          <bgColor rgb="FFEBB8B7"/>
        </patternFill>
      </fill>
    </dxf>
    <dxf>
      <fill>
        <patternFill>
          <bgColor rgb="FFEBB8B7"/>
        </patternFill>
      </fill>
    </dxf>
    <dxf>
      <font>
        <color rgb="FF9C0006"/>
      </font>
      <fill>
        <patternFill>
          <bgColor rgb="FFFFC7CE"/>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fill>
        <patternFill>
          <bgColor rgb="FFE6B8B7"/>
        </patternFill>
      </fill>
    </dxf>
    <dxf>
      <fill>
        <patternFill>
          <bgColor rgb="FFE6B8B7"/>
        </patternFill>
      </fill>
    </dxf>
    <dxf>
      <fill>
        <patternFill>
          <bgColor rgb="FFE6B8B7"/>
        </patternFill>
      </fill>
    </dxf>
    <dxf>
      <fill>
        <patternFill>
          <bgColor rgb="FFE6B8B7"/>
        </patternFill>
      </fill>
    </dxf>
    <dxf>
      <fill>
        <patternFill>
          <bgColor rgb="FFE6B8B7"/>
        </patternFill>
      </fill>
    </dxf>
    <dxf>
      <fill>
        <patternFill>
          <bgColor rgb="FFE6B8B7"/>
        </patternFill>
      </fill>
    </dxf>
    <dxf>
      <fill>
        <patternFill>
          <bgColor rgb="FFE6B8B7"/>
        </patternFill>
      </fill>
    </dxf>
    <dxf>
      <fill>
        <patternFill>
          <bgColor rgb="FFE6B8B7"/>
        </patternFill>
      </fill>
    </dxf>
    <dxf>
      <fill>
        <patternFill>
          <bgColor rgb="FFE6B8B7"/>
        </patternFill>
      </fill>
    </dxf>
    <dxf>
      <fill>
        <patternFill>
          <bgColor rgb="FFE6B8B7"/>
        </patternFill>
      </fill>
    </dxf>
    <dxf>
      <numFmt numFmtId="164" formatCode=";;;"/>
      <fill>
        <patternFill>
          <bgColor theme="0" tint="-0.499984740745262"/>
        </patternFill>
      </fill>
    </dxf>
    <dxf>
      <fill>
        <patternFill>
          <bgColor rgb="FFEBB8B7"/>
        </patternFill>
      </fill>
    </dxf>
    <dxf>
      <numFmt numFmtId="0" formatCode="General"/>
      <fill>
        <patternFill>
          <bgColor rgb="FFEBB8B7"/>
        </patternFill>
      </fill>
    </dxf>
    <dxf>
      <fill>
        <patternFill>
          <bgColor rgb="FFEBB8B7"/>
        </patternFill>
      </fill>
    </dxf>
    <dxf>
      <fill>
        <patternFill>
          <bgColor rgb="FFEBB8B7"/>
        </patternFill>
      </fill>
    </dxf>
    <dxf>
      <fill>
        <patternFill>
          <bgColor rgb="FFE6B8B7"/>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numFmt numFmtId="164" formatCode=";;;"/>
      <fill>
        <patternFill>
          <bgColor theme="0" tint="-0.499984740745262"/>
        </patternFill>
      </fill>
    </dxf>
    <dxf>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numFmt numFmtId="171" formatCode="[=0]0;[&lt;0.01]0.00E+00;#,##0.00"/>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medium">
          <color indexed="64"/>
        </left>
        <right style="medium">
          <color rgb="FF000000"/>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1" formatCode="[=0]0;[&lt;0.01]0.00E+00;#,##0.00"/>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medium">
          <color indexed="64"/>
        </left>
        <right style="medium">
          <color auto="1"/>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1" formatCode="[=0]0;[&lt;0.01]0.00E+00;#,##0.00"/>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medium">
          <color indexed="64"/>
        </left>
        <right style="medium">
          <color auto="1"/>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1" formatCode="[=0]0;[&lt;0.01]0.00E+00;#,##0.00"/>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medium">
          <color indexed="64"/>
        </left>
        <right style="medium">
          <color auto="1"/>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numFmt numFmtId="171" formatCode="[=0]0;[&lt;0.01]0.00E+00;#,##0.00"/>
      <fill>
        <patternFill patternType="none">
          <fgColor indexed="64"/>
          <bgColor auto="1"/>
        </patternFill>
      </fill>
      <alignment horizontal="left" vertical="top"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1"/>
        <color theme="1"/>
        <name val="Arial"/>
        <family val="2"/>
        <scheme val="none"/>
      </font>
      <fill>
        <patternFill patternType="none">
          <fgColor indexed="64"/>
          <bgColor auto="1"/>
        </patternFill>
      </fill>
      <alignment horizontal="left" vertical="top" textRotation="0" wrapText="1" indent="0" justifyLastLine="0" shrinkToFit="0" readingOrder="0"/>
      <border diagonalUp="0" diagonalDown="0" outline="0">
        <left/>
        <right style="thin">
          <color indexed="64"/>
        </right>
        <top style="thin">
          <color indexed="64"/>
        </top>
        <bottom style="thin">
          <color indexed="64"/>
        </bottom>
      </border>
    </dxf>
    <dxf>
      <border outline="0">
        <top style="thin">
          <color indexed="64"/>
        </top>
      </border>
    </dxf>
    <dxf>
      <border outline="0">
        <left style="medium">
          <color indexed="64"/>
        </left>
        <right style="medium">
          <color auto="1"/>
        </right>
        <top style="thin">
          <color indexed="64"/>
        </top>
        <bottom style="thin">
          <color indexed="64"/>
        </bottom>
      </border>
    </dxf>
    <dxf>
      <fill>
        <patternFill patternType="none">
          <fgColor indexed="64"/>
          <bgColor auto="1"/>
        </patternFill>
      </fill>
    </dxf>
    <dxf>
      <border outline="0">
        <bottom style="thin">
          <color indexed="64"/>
        </bottom>
      </border>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theme="1"/>
        <name val="Arial"/>
        <family val="2"/>
        <scheme val="none"/>
      </font>
      <fill>
        <patternFill patternType="solid">
          <fgColor indexed="64"/>
          <bgColor rgb="FFFFFFCC"/>
        </patternFill>
      </fill>
      <alignment horizontal="left" vertical="top" textRotation="0" wrapText="1" indent="0" justifyLastLine="0" shrinkToFit="0" readingOrder="0"/>
      <border diagonalUp="0" diagonalDown="0">
        <left style="thin">
          <color indexed="64"/>
        </left>
        <right/>
        <top style="thin">
          <color indexed="64"/>
        </top>
        <bottom style="thin">
          <color indexed="64"/>
        </bottom>
      </border>
      <protection locked="0" hidden="0"/>
    </dxf>
    <dxf>
      <font>
        <b val="0"/>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left/>
        <right style="thin">
          <color indexed="64"/>
        </right>
        <top style="thin">
          <color indexed="64"/>
        </top>
        <bottom style="thin">
          <color indexed="64"/>
        </bottom>
      </border>
    </dxf>
    <dxf>
      <border diagonalUp="0" diagonalDown="0">
        <left style="medium">
          <color indexed="64"/>
        </left>
        <right style="medium">
          <color indexed="64"/>
        </right>
        <top style="medium">
          <color indexed="64"/>
        </top>
        <bottom style="medium">
          <color indexed="64"/>
        </bottom>
      </border>
    </dxf>
    <dxf>
      <border outline="0">
        <bottom style="thin">
          <color indexed="64"/>
        </bottom>
      </border>
    </dxf>
    <dxf>
      <font>
        <b/>
        <i val="0"/>
        <strike val="0"/>
        <condense val="0"/>
        <extend val="0"/>
        <outline val="0"/>
        <shadow val="0"/>
        <u val="none"/>
        <vertAlign val="baseline"/>
        <sz val="11"/>
        <color theme="1"/>
        <name val="Arial"/>
        <family val="2"/>
        <scheme val="none"/>
      </font>
      <alignment horizontal="left" vertical="top" textRotation="0" wrapText="1" indent="0" justifyLastLine="0" shrinkToFit="0" readingOrder="0"/>
      <border diagonalUp="0" diagonalDown="0">
        <left style="thin">
          <color indexed="64"/>
        </left>
        <right style="thin">
          <color indexed="64"/>
        </right>
        <top/>
        <bottom/>
        <vertical style="thin">
          <color indexed="64"/>
        </vertical>
      </border>
    </dxf>
  </dxfs>
  <tableStyles count="0" defaultTableStyle="TableStyleMedium2" defaultPivotStyle="PivotStyleLight16"/>
  <colors>
    <mruColors>
      <color rgb="FFFFFFCC"/>
      <color rgb="FFEBB8B7"/>
      <color rgb="FFDAEEF3"/>
      <color rgb="FFEBFFFF"/>
      <color rgb="FFFF99CC"/>
      <color rgb="FFF0B8B7"/>
      <color rgb="FFFAB8B7"/>
      <color rgb="FFE6B8B7"/>
      <color rgb="FFFF9999"/>
      <color rgb="FFFF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koen\Documents\Files\Projects\Temp-DeletePeriodically\RapPowerEngine1v0draft18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I-1-PowerEngine"/>
      <sheetName val="Fees"/>
      <sheetName val="ProcessFlow"/>
      <sheetName val="ENGINE1"/>
      <sheetName val="ENGINE2"/>
      <sheetName val="ENGINE3"/>
      <sheetName val="ENGINE4"/>
      <sheetName val="ENGINE5"/>
      <sheetName val="ENGINE6"/>
      <sheetName val="ENGINE7"/>
      <sheetName val="ENGINE8"/>
      <sheetName val="ENGINE9"/>
      <sheetName val="ENGINE10"/>
      <sheetName val="ENGINE Summary"/>
      <sheetName val="Tanks"/>
      <sheetName val="Current PTE"/>
      <sheetName val="Public Notice"/>
      <sheetName val="Baseline"/>
      <sheetName val="Federal Applicability"/>
      <sheetName val="BACT"/>
      <sheetName val="AQA"/>
      <sheetName val="Tox"/>
      <sheetName val="CND"/>
      <sheetName val="Project Summary"/>
      <sheetName val="Reference"/>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refreshError="1"/>
      <sheetData sheetId="18"/>
      <sheetData sheetId="19"/>
      <sheetData sheetId="20" refreshError="1"/>
      <sheetData sheetId="21" refreshError="1"/>
      <sheetData sheetId="22" refreshError="1"/>
      <sheetData sheetId="23" refreshError="1"/>
      <sheetData sheetId="24"/>
      <sheetData sheetId="25">
        <row r="10">
          <cell r="A10" t="str">
            <v>Anderson</v>
          </cell>
          <cell r="AP10" t="str">
            <v>vendor guarantee</v>
          </cell>
        </row>
        <row r="11">
          <cell r="A11" t="str">
            <v>Andrews</v>
          </cell>
          <cell r="AP11" t="str">
            <v>AP-42 Table 3.3-1</v>
          </cell>
        </row>
        <row r="12">
          <cell r="A12" t="str">
            <v>Angelina</v>
          </cell>
          <cell r="AP12" t="str">
            <v>testing data</v>
          </cell>
        </row>
        <row r="13">
          <cell r="A13" t="str">
            <v>Aransas</v>
          </cell>
          <cell r="AP13" t="str">
            <v>federal standard(s)</v>
          </cell>
        </row>
        <row r="14">
          <cell r="A14" t="str">
            <v>Archer</v>
          </cell>
        </row>
        <row r="15">
          <cell r="A15" t="str">
            <v>Armstrong</v>
          </cell>
        </row>
        <row r="16">
          <cell r="A16" t="str">
            <v>Atascosa</v>
          </cell>
        </row>
        <row r="17">
          <cell r="A17" t="str">
            <v>Austin</v>
          </cell>
        </row>
        <row r="18">
          <cell r="A18" t="str">
            <v>Bailey</v>
          </cell>
        </row>
        <row r="19">
          <cell r="A19" t="str">
            <v>Bandera</v>
          </cell>
        </row>
        <row r="20">
          <cell r="A20" t="str">
            <v>Bastrop</v>
          </cell>
        </row>
        <row r="21">
          <cell r="A21" t="str">
            <v>Baylor</v>
          </cell>
        </row>
        <row r="22">
          <cell r="A22" t="str">
            <v>Bee</v>
          </cell>
        </row>
        <row r="23">
          <cell r="A23" t="str">
            <v>Bell</v>
          </cell>
        </row>
        <row r="24">
          <cell r="A24" t="str">
            <v>Bexar</v>
          </cell>
        </row>
        <row r="25">
          <cell r="A25" t="str">
            <v>Blanco</v>
          </cell>
        </row>
        <row r="26">
          <cell r="A26" t="str">
            <v>Borden</v>
          </cell>
        </row>
        <row r="27">
          <cell r="A27" t="str">
            <v>Bosque</v>
          </cell>
        </row>
        <row r="28">
          <cell r="A28" t="str">
            <v>Bowie</v>
          </cell>
        </row>
        <row r="29">
          <cell r="A29" t="str">
            <v>Brazoria</v>
          </cell>
        </row>
        <row r="30">
          <cell r="A30" t="str">
            <v>Brazos</v>
          </cell>
        </row>
        <row r="31">
          <cell r="A31" t="str">
            <v>Brewster</v>
          </cell>
        </row>
        <row r="32">
          <cell r="A32" t="str">
            <v>Briscoe</v>
          </cell>
        </row>
        <row r="33">
          <cell r="A33" t="str">
            <v>Brooks</v>
          </cell>
        </row>
        <row r="34">
          <cell r="A34" t="str">
            <v>Brown</v>
          </cell>
        </row>
        <row r="35">
          <cell r="A35" t="str">
            <v>Burleson</v>
          </cell>
        </row>
        <row r="36">
          <cell r="A36" t="str">
            <v>Burnet</v>
          </cell>
        </row>
        <row r="37">
          <cell r="A37" t="str">
            <v>Caldwell</v>
          </cell>
        </row>
        <row r="38">
          <cell r="A38" t="str">
            <v>Calhoun</v>
          </cell>
        </row>
        <row r="39">
          <cell r="A39" t="str">
            <v>Callahan</v>
          </cell>
        </row>
        <row r="40">
          <cell r="A40" t="str">
            <v>Cameron</v>
          </cell>
        </row>
        <row r="41">
          <cell r="A41" t="str">
            <v>Camp</v>
          </cell>
        </row>
        <row r="42">
          <cell r="A42" t="str">
            <v>Carson</v>
          </cell>
        </row>
        <row r="43">
          <cell r="A43" t="str">
            <v>Cass</v>
          </cell>
        </row>
        <row r="44">
          <cell r="A44" t="str">
            <v>Castro</v>
          </cell>
        </row>
        <row r="45">
          <cell r="A45" t="str">
            <v>Chambers</v>
          </cell>
        </row>
        <row r="46">
          <cell r="A46" t="str">
            <v>Cherokee</v>
          </cell>
        </row>
        <row r="47">
          <cell r="A47" t="str">
            <v>Childress</v>
          </cell>
        </row>
        <row r="48">
          <cell r="A48" t="str">
            <v>Clay</v>
          </cell>
        </row>
        <row r="49">
          <cell r="A49" t="str">
            <v>Cochran</v>
          </cell>
        </row>
        <row r="50">
          <cell r="A50" t="str">
            <v>Coke</v>
          </cell>
        </row>
        <row r="51">
          <cell r="A51" t="str">
            <v>Coleman</v>
          </cell>
        </row>
        <row r="52">
          <cell r="A52" t="str">
            <v>Collin</v>
          </cell>
        </row>
        <row r="53">
          <cell r="A53" t="str">
            <v>Collingsworth</v>
          </cell>
        </row>
        <row r="54">
          <cell r="A54" t="str">
            <v>Colorado</v>
          </cell>
        </row>
        <row r="55">
          <cell r="A55" t="str">
            <v>Comal</v>
          </cell>
        </row>
        <row r="56">
          <cell r="A56" t="str">
            <v>Comanche</v>
          </cell>
        </row>
        <row r="57">
          <cell r="A57" t="str">
            <v>Concho</v>
          </cell>
        </row>
        <row r="58">
          <cell r="A58" t="str">
            <v>Cooke</v>
          </cell>
        </row>
        <row r="59">
          <cell r="A59" t="str">
            <v>Coryell</v>
          </cell>
        </row>
        <row r="60">
          <cell r="A60" t="str">
            <v>Cottle</v>
          </cell>
        </row>
        <row r="61">
          <cell r="A61" t="str">
            <v>Crane</v>
          </cell>
        </row>
        <row r="62">
          <cell r="A62" t="str">
            <v>Crockett</v>
          </cell>
        </row>
        <row r="63">
          <cell r="A63" t="str">
            <v>Crosby</v>
          </cell>
          <cell r="E63">
            <v>44673</v>
          </cell>
        </row>
        <row r="64">
          <cell r="A64" t="str">
            <v>Culberson</v>
          </cell>
        </row>
        <row r="65">
          <cell r="A65" t="str">
            <v>Dallam</v>
          </cell>
        </row>
        <row r="66">
          <cell r="A66" t="str">
            <v>Dallas</v>
          </cell>
        </row>
        <row r="67">
          <cell r="A67" t="str">
            <v>Dawson</v>
          </cell>
        </row>
        <row r="68">
          <cell r="A68" t="str">
            <v>Deaf Smith</v>
          </cell>
        </row>
        <row r="69">
          <cell r="A69" t="str">
            <v>**If the Total Engine Emissions exceeds the RAP limit but Max Engine Emissions does not, engines must be operated to comply with the RAP limit. The tpy maximums listed represent the combined maximum for all engines at the site authorized by a RAP. For example, if there is one engine, the maximum NOx tpy emission rate is 0.2775. If there are two engines, the combined maximum NOx tpy emission rate is 0.2775.</v>
          </cell>
        </row>
        <row r="70">
          <cell r="A70" t="str">
            <v>Denton</v>
          </cell>
        </row>
        <row r="71">
          <cell r="A71" t="str">
            <v>DeWitt</v>
          </cell>
        </row>
        <row r="72">
          <cell r="A72" t="str">
            <v>Dickens</v>
          </cell>
        </row>
        <row r="73">
          <cell r="A73" t="str">
            <v>Dimmit</v>
          </cell>
        </row>
        <row r="74">
          <cell r="A74" t="str">
            <v>Donley</v>
          </cell>
        </row>
        <row r="75">
          <cell r="A75" t="str">
            <v>Duval</v>
          </cell>
        </row>
        <row r="76">
          <cell r="A76" t="str">
            <v>Eastland</v>
          </cell>
        </row>
        <row r="77">
          <cell r="A77" t="str">
            <v>Ector</v>
          </cell>
        </row>
        <row r="78">
          <cell r="A78" t="str">
            <v>Edwards</v>
          </cell>
        </row>
        <row r="79">
          <cell r="A79" t="str">
            <v>Ellis</v>
          </cell>
        </row>
        <row r="80">
          <cell r="A80" t="str">
            <v>El Paso</v>
          </cell>
        </row>
        <row r="81">
          <cell r="A81" t="str">
            <v>Erath</v>
          </cell>
        </row>
        <row r="82">
          <cell r="A82" t="str">
            <v>Falls</v>
          </cell>
        </row>
        <row r="83">
          <cell r="A83" t="str">
            <v>Fannin</v>
          </cell>
        </row>
        <row r="84">
          <cell r="A84" t="str">
            <v>Fayette</v>
          </cell>
        </row>
        <row r="85">
          <cell r="A85" t="str">
            <v>Fisher</v>
          </cell>
        </row>
        <row r="86">
          <cell r="A86" t="str">
            <v>Floyd</v>
          </cell>
        </row>
        <row r="87">
          <cell r="A87" t="str">
            <v>Foard</v>
          </cell>
        </row>
        <row r="88">
          <cell r="A88" t="str">
            <v>Fort Bend</v>
          </cell>
        </row>
        <row r="89">
          <cell r="A89" t="str">
            <v>Franklin</v>
          </cell>
        </row>
        <row r="90">
          <cell r="A90" t="str">
            <v>Freestone</v>
          </cell>
        </row>
        <row r="91">
          <cell r="A91" t="str">
            <v>Frio</v>
          </cell>
        </row>
        <row r="92">
          <cell r="A92" t="str">
            <v>Gaines</v>
          </cell>
        </row>
        <row r="93">
          <cell r="A93" t="str">
            <v>Galveston</v>
          </cell>
        </row>
        <row r="94">
          <cell r="A94" t="str">
            <v>Garza</v>
          </cell>
        </row>
        <row r="95">
          <cell r="A95" t="str">
            <v>Gillespie</v>
          </cell>
        </row>
        <row r="96">
          <cell r="A96" t="str">
            <v>Glasscock</v>
          </cell>
        </row>
        <row r="97">
          <cell r="A97" t="str">
            <v>Goliad</v>
          </cell>
        </row>
        <row r="98">
          <cell r="A98" t="str">
            <v>Gonzales</v>
          </cell>
        </row>
        <row r="99">
          <cell r="A99" t="str">
            <v>Gray</v>
          </cell>
        </row>
        <row r="100">
          <cell r="A100" t="str">
            <v>Grayson</v>
          </cell>
        </row>
        <row r="101">
          <cell r="A101" t="str">
            <v>Gregg</v>
          </cell>
        </row>
        <row r="102">
          <cell r="A102" t="str">
            <v>Grimes</v>
          </cell>
        </row>
        <row r="103">
          <cell r="A103" t="str">
            <v>Guadalupe</v>
          </cell>
        </row>
        <row r="104">
          <cell r="A104" t="str">
            <v>Hale</v>
          </cell>
        </row>
        <row r="105">
          <cell r="A105" t="str">
            <v>Hall</v>
          </cell>
        </row>
        <row r="106">
          <cell r="A106" t="str">
            <v>Hamilton</v>
          </cell>
        </row>
        <row r="107">
          <cell r="A107" t="str">
            <v>Hansford</v>
          </cell>
        </row>
        <row r="108">
          <cell r="A108" t="str">
            <v>Hardeman</v>
          </cell>
        </row>
        <row r="109">
          <cell r="A109" t="str">
            <v>Hardin</v>
          </cell>
        </row>
        <row r="110">
          <cell r="A110" t="str">
            <v>Harris</v>
          </cell>
        </row>
        <row r="111">
          <cell r="A111" t="str">
            <v>Harrison</v>
          </cell>
        </row>
        <row r="112">
          <cell r="A112" t="str">
            <v>Hartley</v>
          </cell>
        </row>
        <row r="113">
          <cell r="A113" t="str">
            <v>Haskell</v>
          </cell>
        </row>
        <row r="114">
          <cell r="A114" t="str">
            <v>Hays</v>
          </cell>
        </row>
        <row r="115">
          <cell r="A115" t="str">
            <v>Hemphill</v>
          </cell>
        </row>
        <row r="116">
          <cell r="A116" t="str">
            <v>Henderson</v>
          </cell>
        </row>
        <row r="117">
          <cell r="A117" t="str">
            <v>Hidalgo</v>
          </cell>
        </row>
        <row r="118">
          <cell r="A118" t="str">
            <v>Hill</v>
          </cell>
        </row>
        <row r="119">
          <cell r="A119" t="str">
            <v>Hockley</v>
          </cell>
        </row>
        <row r="120">
          <cell r="A120" t="str">
            <v>Hood</v>
          </cell>
        </row>
        <row r="121">
          <cell r="A121" t="str">
            <v>Hopkins</v>
          </cell>
        </row>
        <row r="122">
          <cell r="A122" t="str">
            <v>Houston</v>
          </cell>
        </row>
        <row r="123">
          <cell r="A123" t="str">
            <v>Howard</v>
          </cell>
        </row>
        <row r="124">
          <cell r="A124" t="str">
            <v>Hudspeth</v>
          </cell>
        </row>
        <row r="125">
          <cell r="A125" t="str">
            <v>Hunt</v>
          </cell>
        </row>
        <row r="126">
          <cell r="A126" t="str">
            <v>Hutchinson</v>
          </cell>
        </row>
        <row r="127">
          <cell r="A127" t="str">
            <v>Irion</v>
          </cell>
        </row>
        <row r="128">
          <cell r="A128" t="str">
            <v>Jack</v>
          </cell>
        </row>
        <row r="129">
          <cell r="A129" t="str">
            <v>Jackson</v>
          </cell>
        </row>
        <row r="130">
          <cell r="A130" t="str">
            <v>Jasper</v>
          </cell>
        </row>
        <row r="131">
          <cell r="A131" t="str">
            <v>Jeff Davis</v>
          </cell>
        </row>
        <row r="132">
          <cell r="A132" t="str">
            <v>Jefferson</v>
          </cell>
        </row>
        <row r="133">
          <cell r="A133" t="str">
            <v>Jim Hogg</v>
          </cell>
        </row>
        <row r="134">
          <cell r="A134" t="str">
            <v>Jim Wells</v>
          </cell>
        </row>
        <row r="135">
          <cell r="A135" t="str">
            <v>Johnson</v>
          </cell>
        </row>
        <row r="136">
          <cell r="A136" t="str">
            <v>Jones</v>
          </cell>
        </row>
        <row r="137">
          <cell r="A137" t="str">
            <v>Karnes</v>
          </cell>
        </row>
        <row r="138">
          <cell r="A138" t="str">
            <v>Kaufman</v>
          </cell>
        </row>
        <row r="139">
          <cell r="A139" t="str">
            <v>Kendall</v>
          </cell>
        </row>
        <row r="140">
          <cell r="A140" t="str">
            <v>Kenedy</v>
          </cell>
        </row>
        <row r="141">
          <cell r="A141" t="str">
            <v>Kent</v>
          </cell>
        </row>
        <row r="142">
          <cell r="A142" t="str">
            <v>Kerr</v>
          </cell>
        </row>
        <row r="143">
          <cell r="A143" t="str">
            <v>Kimble</v>
          </cell>
        </row>
        <row r="144">
          <cell r="A144" t="str">
            <v>King</v>
          </cell>
        </row>
        <row r="145">
          <cell r="A145" t="str">
            <v>Kinney</v>
          </cell>
        </row>
        <row r="146">
          <cell r="A146" t="str">
            <v>Kleberg</v>
          </cell>
        </row>
        <row r="147">
          <cell r="A147" t="str">
            <v>Knox</v>
          </cell>
        </row>
        <row r="148">
          <cell r="A148" t="str">
            <v>Lamar</v>
          </cell>
        </row>
        <row r="149">
          <cell r="A149" t="str">
            <v>Lamb</v>
          </cell>
        </row>
        <row r="150">
          <cell r="A150" t="str">
            <v>Lampasas</v>
          </cell>
        </row>
        <row r="151">
          <cell r="A151" t="str">
            <v>La Salle</v>
          </cell>
        </row>
        <row r="152">
          <cell r="A152" t="str">
            <v>Lavaca</v>
          </cell>
        </row>
        <row r="153">
          <cell r="A153" t="str">
            <v>Lee</v>
          </cell>
        </row>
        <row r="154">
          <cell r="A154" t="str">
            <v>Leon</v>
          </cell>
        </row>
        <row r="155">
          <cell r="A155" t="str">
            <v>Liberty</v>
          </cell>
        </row>
        <row r="156">
          <cell r="A156" t="str">
            <v>Limestone</v>
          </cell>
        </row>
        <row r="157">
          <cell r="A157" t="str">
            <v>Lipscomb</v>
          </cell>
        </row>
        <row r="158">
          <cell r="A158" t="str">
            <v>Live Oak</v>
          </cell>
        </row>
        <row r="159">
          <cell r="A159" t="str">
            <v>Llano</v>
          </cell>
        </row>
        <row r="160">
          <cell r="A160" t="str">
            <v>Loving</v>
          </cell>
        </row>
        <row r="161">
          <cell r="A161" t="str">
            <v>Lubbock</v>
          </cell>
        </row>
        <row r="162">
          <cell r="A162" t="str">
            <v>Lynn</v>
          </cell>
        </row>
        <row r="163">
          <cell r="A163" t="str">
            <v>McCulloch</v>
          </cell>
        </row>
        <row r="164">
          <cell r="A164" t="str">
            <v>McLennan</v>
          </cell>
        </row>
        <row r="165">
          <cell r="A165" t="str">
            <v>McMullen</v>
          </cell>
        </row>
        <row r="166">
          <cell r="A166" t="str">
            <v>Madison</v>
          </cell>
        </row>
        <row r="167">
          <cell r="A167" t="str">
            <v>Marion</v>
          </cell>
        </row>
        <row r="168">
          <cell r="A168" t="str">
            <v>Martin</v>
          </cell>
        </row>
        <row r="169">
          <cell r="A169" t="str">
            <v>Mason</v>
          </cell>
        </row>
        <row r="170">
          <cell r="A170" t="str">
            <v>Matagorda</v>
          </cell>
        </row>
        <row r="171">
          <cell r="A171" t="str">
            <v>Maverick</v>
          </cell>
        </row>
        <row r="172">
          <cell r="A172" t="str">
            <v>Medina</v>
          </cell>
        </row>
        <row r="173">
          <cell r="A173" t="str">
            <v>Menard</v>
          </cell>
        </row>
        <row r="174">
          <cell r="A174" t="str">
            <v>Midland</v>
          </cell>
        </row>
        <row r="175">
          <cell r="A175" t="str">
            <v>Milam</v>
          </cell>
        </row>
        <row r="176">
          <cell r="A176" t="str">
            <v>Mills</v>
          </cell>
        </row>
        <row r="177">
          <cell r="A177" t="str">
            <v>Mitchell</v>
          </cell>
        </row>
        <row r="178">
          <cell r="A178" t="str">
            <v>Montague</v>
          </cell>
        </row>
        <row r="179">
          <cell r="A179" t="str">
            <v>Montgomery</v>
          </cell>
        </row>
        <row r="180">
          <cell r="A180" t="str">
            <v>Moore</v>
          </cell>
        </row>
        <row r="181">
          <cell r="A181" t="str">
            <v>Morris</v>
          </cell>
        </row>
        <row r="182">
          <cell r="A182" t="str">
            <v>Motley</v>
          </cell>
        </row>
        <row r="183">
          <cell r="A183" t="str">
            <v>Nacogdoches</v>
          </cell>
        </row>
        <row r="184">
          <cell r="A184" t="str">
            <v>Navarro</v>
          </cell>
        </row>
        <row r="185">
          <cell r="A185" t="str">
            <v>Newton</v>
          </cell>
        </row>
        <row r="186">
          <cell r="A186" t="str">
            <v>Nolan</v>
          </cell>
        </row>
        <row r="187">
          <cell r="A187" t="str">
            <v>Nueces</v>
          </cell>
        </row>
        <row r="188">
          <cell r="A188" t="str">
            <v>Ochiltree</v>
          </cell>
        </row>
        <row r="189">
          <cell r="A189" t="str">
            <v>Oldham</v>
          </cell>
        </row>
        <row r="190">
          <cell r="A190" t="str">
            <v>Orange</v>
          </cell>
        </row>
        <row r="191">
          <cell r="A191" t="str">
            <v>Palo Pinto</v>
          </cell>
        </row>
        <row r="192">
          <cell r="A192" t="str">
            <v>Panola</v>
          </cell>
        </row>
        <row r="193">
          <cell r="A193" t="str">
            <v>Parker</v>
          </cell>
        </row>
        <row r="194">
          <cell r="A194" t="str">
            <v>Parmer</v>
          </cell>
        </row>
        <row r="195">
          <cell r="A195" t="str">
            <v>Pecos</v>
          </cell>
        </row>
        <row r="196">
          <cell r="A196" t="str">
            <v>Polk</v>
          </cell>
        </row>
        <row r="197">
          <cell r="A197" t="str">
            <v>Potter</v>
          </cell>
        </row>
        <row r="198">
          <cell r="A198" t="str">
            <v>Presidio</v>
          </cell>
        </row>
        <row r="199">
          <cell r="A199" t="str">
            <v>Rains</v>
          </cell>
        </row>
        <row r="200">
          <cell r="A200" t="str">
            <v>Randall</v>
          </cell>
        </row>
        <row r="201">
          <cell r="A201" t="str">
            <v>Reagan</v>
          </cell>
        </row>
        <row r="202">
          <cell r="A202" t="str">
            <v>Real</v>
          </cell>
        </row>
        <row r="203">
          <cell r="A203" t="str">
            <v>Red River</v>
          </cell>
        </row>
        <row r="204">
          <cell r="A204" t="str">
            <v>Reeves</v>
          </cell>
        </row>
        <row r="205">
          <cell r="A205" t="str">
            <v>Refugio</v>
          </cell>
        </row>
        <row r="206">
          <cell r="A206" t="str">
            <v>Roberts</v>
          </cell>
        </row>
        <row r="207">
          <cell r="A207" t="str">
            <v>Robertson</v>
          </cell>
        </row>
        <row r="208">
          <cell r="A208" t="str">
            <v>Rockwall</v>
          </cell>
        </row>
        <row r="209">
          <cell r="A209" t="str">
            <v>Runnels</v>
          </cell>
        </row>
        <row r="210">
          <cell r="A210" t="str">
            <v>Rusk</v>
          </cell>
        </row>
        <row r="211">
          <cell r="A211" t="str">
            <v>Sabine</v>
          </cell>
        </row>
        <row r="212">
          <cell r="A212" t="str">
            <v>San Augustine</v>
          </cell>
        </row>
        <row r="213">
          <cell r="A213" t="str">
            <v>San Jacinto</v>
          </cell>
        </row>
        <row r="214">
          <cell r="A214" t="str">
            <v>San Patricio</v>
          </cell>
        </row>
        <row r="215">
          <cell r="A215" t="str">
            <v>San Saba</v>
          </cell>
        </row>
        <row r="216">
          <cell r="A216" t="str">
            <v>Schleicher</v>
          </cell>
        </row>
        <row r="217">
          <cell r="A217" t="str">
            <v>Scurry</v>
          </cell>
        </row>
        <row r="218">
          <cell r="A218" t="str">
            <v>Shackelford</v>
          </cell>
        </row>
        <row r="219">
          <cell r="A219" t="str">
            <v>Shelby</v>
          </cell>
        </row>
        <row r="220">
          <cell r="A220" t="str">
            <v>Sherman</v>
          </cell>
        </row>
        <row r="221">
          <cell r="A221" t="str">
            <v>Smith</v>
          </cell>
        </row>
        <row r="222">
          <cell r="A222" t="str">
            <v>Somervell</v>
          </cell>
        </row>
        <row r="223">
          <cell r="A223" t="str">
            <v>Starr</v>
          </cell>
        </row>
        <row r="224">
          <cell r="A224" t="str">
            <v>Stephens</v>
          </cell>
        </row>
        <row r="225">
          <cell r="A225" t="str">
            <v>Sterling</v>
          </cell>
        </row>
        <row r="226">
          <cell r="A226" t="str">
            <v>Stonewall</v>
          </cell>
        </row>
        <row r="227">
          <cell r="A227" t="str">
            <v>Sutton</v>
          </cell>
        </row>
        <row r="228">
          <cell r="A228" t="str">
            <v>Swisher</v>
          </cell>
        </row>
        <row r="229">
          <cell r="A229" t="str">
            <v>Tarrant</v>
          </cell>
        </row>
        <row r="230">
          <cell r="A230" t="str">
            <v>Taylor</v>
          </cell>
        </row>
        <row r="231">
          <cell r="A231" t="str">
            <v>Terrell</v>
          </cell>
        </row>
        <row r="232">
          <cell r="A232" t="str">
            <v>Terry</v>
          </cell>
        </row>
        <row r="233">
          <cell r="A233" t="str">
            <v>Throckmorton</v>
          </cell>
        </row>
        <row r="234">
          <cell r="A234" t="str">
            <v>Titus</v>
          </cell>
        </row>
        <row r="235">
          <cell r="A235" t="str">
            <v>Tom Green</v>
          </cell>
        </row>
        <row r="236">
          <cell r="A236" t="str">
            <v>Travis</v>
          </cell>
        </row>
        <row r="237">
          <cell r="A237" t="str">
            <v>Trinity</v>
          </cell>
        </row>
        <row r="238">
          <cell r="A238" t="str">
            <v>Tyler</v>
          </cell>
        </row>
        <row r="239">
          <cell r="A239" t="str">
            <v>Upshur</v>
          </cell>
        </row>
        <row r="240">
          <cell r="A240" t="str">
            <v>Upton</v>
          </cell>
        </row>
        <row r="241">
          <cell r="A241" t="str">
            <v>Uvalde</v>
          </cell>
        </row>
        <row r="242">
          <cell r="A242" t="str">
            <v>Val Verde</v>
          </cell>
        </row>
        <row r="243">
          <cell r="A243" t="str">
            <v>Van Zandt</v>
          </cell>
        </row>
        <row r="244">
          <cell r="A244" t="str">
            <v>Victoria</v>
          </cell>
        </row>
        <row r="245">
          <cell r="A245" t="str">
            <v>Walker</v>
          </cell>
        </row>
        <row r="246">
          <cell r="A246" t="str">
            <v>Waller</v>
          </cell>
        </row>
        <row r="247">
          <cell r="A247" t="str">
            <v>Ward</v>
          </cell>
        </row>
        <row r="248">
          <cell r="A248" t="str">
            <v>Washington</v>
          </cell>
        </row>
        <row r="249">
          <cell r="A249" t="str">
            <v>Webb</v>
          </cell>
        </row>
        <row r="250">
          <cell r="A250" t="str">
            <v>Wharton</v>
          </cell>
        </row>
        <row r="251">
          <cell r="A251" t="str">
            <v>Wheeler</v>
          </cell>
        </row>
        <row r="252">
          <cell r="A252" t="str">
            <v>Wichita</v>
          </cell>
        </row>
        <row r="253">
          <cell r="A253" t="str">
            <v>Wilbarger</v>
          </cell>
        </row>
        <row r="254">
          <cell r="A254" t="str">
            <v>Willacy</v>
          </cell>
        </row>
        <row r="255">
          <cell r="A255" t="str">
            <v>Williamson</v>
          </cell>
        </row>
        <row r="256">
          <cell r="A256" t="str">
            <v>Wilson</v>
          </cell>
        </row>
        <row r="257">
          <cell r="A257" t="str">
            <v>Winkler</v>
          </cell>
        </row>
        <row r="258">
          <cell r="A258" t="str">
            <v>Wise</v>
          </cell>
        </row>
        <row r="259">
          <cell r="A259" t="str">
            <v>Wood</v>
          </cell>
        </row>
        <row r="260">
          <cell r="A260" t="str">
            <v>Yoakum</v>
          </cell>
        </row>
        <row r="261">
          <cell r="A261" t="str">
            <v>Young</v>
          </cell>
        </row>
        <row r="262">
          <cell r="A262" t="str">
            <v>Zapata</v>
          </cell>
        </row>
        <row r="263">
          <cell r="A263" t="str">
            <v>Zavala</v>
          </cell>
        </row>
      </sheetData>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F90D25D-F18F-46E0-B7AA-6A3A194DFF47}" name="Table62" displayName="Table62" ref="A8:B13" totalsRowShown="0" headerRowDxfId="400" headerRowBorderDxfId="399" tableBorderDxfId="398">
  <autoFilter ref="A8:B13" xr:uid="{67831B66-5674-4A21-A2F0-E1DA0F75DB68}">
    <filterColumn colId="0" hiddenButton="1"/>
    <filterColumn colId="1" hiddenButton="1"/>
  </autoFilter>
  <tableColumns count="2">
    <tableColumn id="1" xr3:uid="{4F1A406D-283F-40FC-8624-40F6127A7F58}" name="Requested Information" dataDxfId="397"/>
    <tableColumn id="2" xr3:uid="{04F5EFEB-B278-475D-9421-E344ABB9C223}" name="Response" dataDxfId="396"/>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7AA64CA2-5DB6-412B-9CA5-31FE5A455D1E}" name="Table63" displayName="Table63" ref="A21:D25" totalsRowShown="0" headerRowDxfId="395" dataDxfId="393" headerRowBorderDxfId="394" tableBorderDxfId="392" totalsRowBorderDxfId="391">
  <autoFilter ref="A21:D25" xr:uid="{A52B2AED-8924-4C0C-BD03-0612CFBB7A5A}">
    <filterColumn colId="0" hiddenButton="1"/>
    <filterColumn colId="1" hiddenButton="1"/>
    <filterColumn colId="2" hiddenButton="1"/>
    <filterColumn colId="3" hiddenButton="1"/>
  </autoFilter>
  <tableColumns count="4">
    <tableColumn id="1" xr3:uid="{68442D1D-0370-4C12-BBAC-81DA6E322855}" name="Criteria Pollutant or Precursor" dataDxfId="390"/>
    <tableColumn id="2" xr3:uid="{E7DE4661-34D0-4A66-9CCF-81773237FC2C}" name="Current Sitewide PTE (tpy)_x000a_all authorizations, excluding this project" dataDxfId="389"/>
    <tableColumn id="3" xr3:uid="{8A10F07E-6D87-47F4-8B7D-8F8C3C1DE555}" name="Major Source Threshold (tpy)" dataDxfId="388"/>
    <tableColumn id="4" xr3:uid="{1AD58BF1-965F-4A47-AADB-3ED8C245A8C8}" name="Current Sitewide PTE ≥ Major Source Threshold?" dataDxfId="387">
      <calculatedColumnFormula>IF($B22&gt;=$C22,"Yes","No")</calculatedColumnFormula>
    </tableColumn>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79D4DB53-266D-4D5A-A94F-607A9CEAEA31}" name="Table64" displayName="Table64" ref="A28:D32" totalsRowShown="0" headerRowDxfId="386" dataDxfId="384" headerRowBorderDxfId="385" tableBorderDxfId="383" totalsRowBorderDxfId="382">
  <autoFilter ref="A28:D32" xr:uid="{AF8E2D58-7F19-4B27-962E-3C6D94DB434C}">
    <filterColumn colId="0" hiddenButton="1"/>
    <filterColumn colId="1" hiddenButton="1"/>
    <filterColumn colId="2" hiddenButton="1"/>
    <filterColumn colId="3" hiddenButton="1"/>
  </autoFilter>
  <tableColumns count="4">
    <tableColumn id="1" xr3:uid="{287AD708-D161-4A3E-9B58-0C24B8FA43A3}" name="Criteria Pollutant or Precursor" dataDxfId="381"/>
    <tableColumn id="2" xr3:uid="{79340E73-B773-409F-BBD3-7990A465981C}" name="Project Emissions Increase (tpy)_x000a_(Project PTE - Baseline Actual Emissions)" dataDxfId="380"/>
    <tableColumn id="3" xr3:uid="{A407E631-D339-4D9F-B409-2777C814588C}" name="Threshold (tpy)" dataDxfId="379">
      <calculatedColumnFormula>IF($G29,"N/A",$J29&amp;" ("&amp;IF(COUNTIF($I29,"*NET*")&gt;0,"netting threshold","major source threshold")&amp;")")</calculatedColumnFormula>
    </tableColumn>
    <tableColumn id="4" xr3:uid="{8493D49D-9C9E-4817-9795-771A62A5F817}" name="Project Emissions Increase ≥ Threshold?" dataDxfId="378">
      <calculatedColumnFormula>IF($B29&gt;=$J29,"Yes","No")</calculatedColumnFormula>
    </tableColumn>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5D29DD41-6425-4FD5-B40A-B4178CAA02A9}" name="Table65" displayName="Table65" ref="A41:D49" totalsRowShown="0" headerRowDxfId="377" dataDxfId="375" headerRowBorderDxfId="376" tableBorderDxfId="374" totalsRowBorderDxfId="373">
  <autoFilter ref="A41:D49" xr:uid="{1D7778B9-A7EC-47F5-A2B9-C9F34A705DDA}">
    <filterColumn colId="0" hiddenButton="1"/>
    <filterColumn colId="1" hiddenButton="1"/>
    <filterColumn colId="2" hiddenButton="1"/>
    <filterColumn colId="3" hiddenButton="1"/>
  </autoFilter>
  <tableColumns count="4">
    <tableColumn id="1" xr3:uid="{35F0E0D5-B5D9-45E7-B11A-A691E1545DD3}" name="Pollutant" dataDxfId="372"/>
    <tableColumn id="2" xr3:uid="{A7508F21-41C1-4A2C-804A-2CF34A9FB27F}" name="Current Sitewide PTE (tpy)_x000a_all authorizations, excluding this project" dataDxfId="371"/>
    <tableColumn id="3" xr3:uid="{EDB4C1EB-302B-479E-926D-EEB2547DBB7F}" name="Major Source Threshold (tpy)" dataDxfId="370">
      <calculatedColumnFormula>$C$42</calculatedColumnFormula>
    </tableColumn>
    <tableColumn id="4" xr3:uid="{3C89981D-493B-4126-8900-A7748BD4CC4D}" name="Current Sitewide PTE ≥ Major Source Threshold?" dataDxfId="369">
      <calculatedColumnFormula>IF($B42&gt;=$C42,"Yes","No")</calculatedColumnFormula>
    </tableColumn>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EB3170A-AD6F-4847-94EF-22E5BE481EBF}" name="Table66" displayName="Table66" ref="A52:D60" totalsRowShown="0" headerRowDxfId="368" dataDxfId="366" headerRowBorderDxfId="367" tableBorderDxfId="365" totalsRowBorderDxfId="364">
  <autoFilter ref="A52:D60" xr:uid="{E2237991-6E9A-4263-A5C7-495F69AA5A2E}">
    <filterColumn colId="0" hiddenButton="1"/>
    <filterColumn colId="1" hiddenButton="1"/>
    <filterColumn colId="2" hiddenButton="1"/>
    <filterColumn colId="3" hiddenButton="1"/>
  </autoFilter>
  <tableColumns count="4">
    <tableColumn id="1" xr3:uid="{921F11C2-C979-4BD9-A62D-D36DEADD3ECF}" name="Pollutant" dataDxfId="363"/>
    <tableColumn id="2" xr3:uid="{0A694E23-6082-413B-BE97-8C7A23C6FC2A}" name="Project Emissions Increase (tpy)_x000a_(Project PTE  - Baseline Actual Emissions)" dataDxfId="362"/>
    <tableColumn id="3" xr3:uid="{80A5BB1A-CA2A-42F7-9133-B7A90EC090A8}" name="Threshold (tpy)" dataDxfId="361">
      <calculatedColumnFormula>IF($I$50,$I53&amp;" (netting treshold)",$C$43&amp;" (major source threshold)")</calculatedColumnFormula>
    </tableColumn>
    <tableColumn id="4" xr3:uid="{F8DB1F9D-E3A7-445E-9BBD-9B3DAF2D6FBD}" name="Increase ≥ Threshold?" dataDxfId="360">
      <calculatedColumnFormula>IF($B53&gt;=$I53,"Yes","No")</calculatedColumnFormula>
    </tableColumn>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37B1A77C-C7C7-4511-B885-0CE688B00FB1}" name="Table84" displayName="Table84" ref="A63:D71" totalsRowShown="0" headerRowDxfId="359" dataDxfId="357" headerRowBorderDxfId="358" tableBorderDxfId="356" totalsRowBorderDxfId="355">
  <autoFilter ref="A63:D71" xr:uid="{4FDCC25B-EDD2-4995-9CE4-7C9B14DA9731}">
    <filterColumn colId="0" hiddenButton="1"/>
    <filterColumn colId="1" hiddenButton="1"/>
    <filterColumn colId="2" hiddenButton="1"/>
    <filterColumn colId="3" hiddenButton="1"/>
  </autoFilter>
  <tableColumns count="4">
    <tableColumn id="1" xr3:uid="{324AB864-ECEB-439B-A035-E836D4D105D7}" name="Pollutant" dataDxfId="354"/>
    <tableColumn id="2" xr3:uid="{86FC1556-1B86-48AB-8FE9-CA6366D87488}" name="Project Emissions Increase (tpy)_x000a_(Project PTE - Baseline Actual Emissions)" dataDxfId="353">
      <calculatedColumnFormula>$B53</calculatedColumnFormula>
    </tableColumn>
    <tableColumn id="3" xr3:uid="{AC41EBC7-9D43-409F-97D2-9124CE51D6B7}" name="Significant Level (tpy)" dataDxfId="352"/>
    <tableColumn id="4" xr3:uid="{9A41F904-829C-444A-90AE-BC4A24587E2B}" name="Increase ≥ Significant Level?" dataDxfId="351">
      <calculatedColumnFormula>IF($B64&gt;=$C64,"Yes","No")</calculatedColumnFormula>
    </tableColumn>
  </tableColumns>
  <tableStyleInfo showFirstColumn="0" showLastColumn="0" showRowStripes="0"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tceq.texas.gov/permitting/air/guidance/newsourcereview/nsr_fac_index.html" TargetMode="External"/><Relationship Id="rId3" Type="http://schemas.openxmlformats.org/officeDocument/2006/relationships/hyperlink" Target="http://www.tceq.texas.gov/compliance/enforcement/compliance-history/about.html" TargetMode="External"/><Relationship Id="rId7" Type="http://schemas.openxmlformats.org/officeDocument/2006/relationships/hyperlink" Target="https://www3.tceq.texas.gov/steers/" TargetMode="External"/><Relationship Id="rId12" Type="http://schemas.openxmlformats.org/officeDocument/2006/relationships/printerSettings" Target="../printerSettings/printerSettings1.bin"/><Relationship Id="rId2" Type="http://schemas.openxmlformats.org/officeDocument/2006/relationships/hyperlink" Target="https://www.tceq.texas.gov/assets/public/permitting/centralregistry/10400.docx" TargetMode="External"/><Relationship Id="rId1" Type="http://schemas.openxmlformats.org/officeDocument/2006/relationships/hyperlink" Target="https://www.tceq.texas.gov/permitting/air/nav/air_bact_chemsource.html" TargetMode="External"/><Relationship Id="rId6" Type="http://schemas.openxmlformats.org/officeDocument/2006/relationships/hyperlink" Target="http://www.tceq.texas.gov/agency/directory/region" TargetMode="External"/><Relationship Id="rId11" Type="http://schemas.openxmlformats.org/officeDocument/2006/relationships/hyperlink" Target="https://ftps.tceq.texas.gov/help/" TargetMode="External"/><Relationship Id="rId5" Type="http://schemas.openxmlformats.org/officeDocument/2006/relationships/hyperlink" Target="http://www.tceq.texas.gov/permitting/air/local_programs.html" TargetMode="External"/><Relationship Id="rId10" Type="http://schemas.openxmlformats.org/officeDocument/2006/relationships/hyperlink" Target="https://www.tceq.texas.gov/permitting/central_registry/guidance.html" TargetMode="External"/><Relationship Id="rId4" Type="http://schemas.openxmlformats.org/officeDocument/2006/relationships/hyperlink" Target="http://www.tceq.texas.gov/compliance/enforcement/compliance-history/get_report.html" TargetMode="External"/><Relationship Id="rId9" Type="http://schemas.openxmlformats.org/officeDocument/2006/relationships/hyperlink" Target="https://www3.tceq.texas.gov/steers/"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printerSettings" Target="../printerSettings/printerSettings29.bin"/><Relationship Id="rId1" Type="http://schemas.openxmlformats.org/officeDocument/2006/relationships/hyperlink" Target="https://www3.tceq.texas.gov/epay/" TargetMode="External"/></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30.bin"/><Relationship Id="rId2" Type="http://schemas.openxmlformats.org/officeDocument/2006/relationships/hyperlink" Target="https://www.tceq.texas.gov/permitting/air/guidance/newsourcereview/nsrapp-tools.html" TargetMode="External"/><Relationship Id="rId1" Type="http://schemas.openxmlformats.org/officeDocument/2006/relationships/hyperlink" Target="https://www.tceq.texas.gov/permitting/air/bilingual/how1_2_pn.html" TargetMode="Externa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8" Type="http://schemas.openxmlformats.org/officeDocument/2006/relationships/table" Target="../tables/table6.xml"/><Relationship Id="rId3" Type="http://schemas.openxmlformats.org/officeDocument/2006/relationships/table" Target="../tables/table1.xml"/><Relationship Id="rId7" Type="http://schemas.openxmlformats.org/officeDocument/2006/relationships/table" Target="../tables/table5.xml"/><Relationship Id="rId2" Type="http://schemas.openxmlformats.org/officeDocument/2006/relationships/printerSettings" Target="../printerSettings/printerSettings33.bin"/><Relationship Id="rId1" Type="http://schemas.openxmlformats.org/officeDocument/2006/relationships/hyperlink" Target="https://www.tceq.texas.gov/assets/public/permitting/air/Guidance/NewSourceReview/fnsr_app_determ.pdf" TargetMode="External"/><Relationship Id="rId6" Type="http://schemas.openxmlformats.org/officeDocument/2006/relationships/table" Target="../tables/table4.xml"/><Relationship Id="rId5" Type="http://schemas.openxmlformats.org/officeDocument/2006/relationships/table" Target="../tables/table3.xml"/><Relationship Id="rId4" Type="http://schemas.openxmlformats.org/officeDocument/2006/relationships/table" Target="../tables/table2.x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tceq.texas.gov/permitting/air/confidential.html" TargetMode="External"/><Relationship Id="rId3" Type="http://schemas.openxmlformats.org/officeDocument/2006/relationships/hyperlink" Target="https://wrm.capitol.texas.gov/home" TargetMode="External"/><Relationship Id="rId7" Type="http://schemas.openxmlformats.org/officeDocument/2006/relationships/hyperlink" Target="https://www.census.gov/naics/" TargetMode="External"/><Relationship Id="rId2" Type="http://schemas.openxmlformats.org/officeDocument/2006/relationships/hyperlink" Target="http://www.tceq.texas.gov/agency/financial/fees/delin" TargetMode="External"/><Relationship Id="rId1" Type="http://schemas.openxmlformats.org/officeDocument/2006/relationships/hyperlink" Target="http://www.sos.state.tx.us/" TargetMode="External"/><Relationship Id="rId6" Type="http://schemas.openxmlformats.org/officeDocument/2006/relationships/hyperlink" Target="https://www.naics.com/sic-codes-industry-drilldown/" TargetMode="External"/><Relationship Id="rId11" Type="http://schemas.openxmlformats.org/officeDocument/2006/relationships/printerSettings" Target="../printerSettings/printerSettings3.bin"/><Relationship Id="rId5" Type="http://schemas.openxmlformats.org/officeDocument/2006/relationships/hyperlink" Target="http://www.tceq.texas.gov/toxicology/apwl/apwl.html" TargetMode="External"/><Relationship Id="rId10" Type="http://schemas.openxmlformats.org/officeDocument/2006/relationships/hyperlink" Target="https://www.tceq.texas.gov/permitting/air" TargetMode="External"/><Relationship Id="rId4" Type="http://schemas.openxmlformats.org/officeDocument/2006/relationships/hyperlink" Target="https://www.tceq.texas.gov/permitting/air/nav/air_docs_newsource.html" TargetMode="External"/><Relationship Id="rId9" Type="http://schemas.openxmlformats.org/officeDocument/2006/relationships/hyperlink" Target="https://www.census.gov/naics/" TargetMode="External"/></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52BAD2-3F98-40D4-A60C-D4CC0F5CA35E}">
  <sheetPr codeName="Sheet41">
    <tabColor theme="1"/>
  </sheetPr>
  <dimension ref="A1:N9"/>
  <sheetViews>
    <sheetView workbookViewId="0">
      <selection activeCell="J8" sqref="J8"/>
    </sheetView>
  </sheetViews>
  <sheetFormatPr defaultRowHeight="14.25" x14ac:dyDescent="0.2"/>
  <cols>
    <col min="1" max="1" width="25.75" customWidth="1"/>
    <col min="2" max="2" width="9.875" bestFit="1" customWidth="1"/>
  </cols>
  <sheetData>
    <row r="1" spans="1:14" ht="15.75" thickBot="1" x14ac:dyDescent="0.25">
      <c r="A1" s="461" t="s">
        <v>11138</v>
      </c>
      <c r="B1" s="462">
        <v>20874</v>
      </c>
      <c r="C1" s="462"/>
      <c r="D1" s="462"/>
      <c r="E1" s="462"/>
      <c r="F1" s="462"/>
      <c r="G1" s="462"/>
      <c r="H1" s="462"/>
      <c r="I1" s="462"/>
      <c r="J1" s="462"/>
    </row>
    <row r="2" spans="1:14" ht="15" x14ac:dyDescent="0.2">
      <c r="A2" s="1" t="s">
        <v>11126</v>
      </c>
      <c r="B2" s="243">
        <v>2.1</v>
      </c>
      <c r="K2" s="459"/>
      <c r="L2" s="459"/>
      <c r="M2" s="459"/>
      <c r="N2" s="459"/>
    </row>
    <row r="3" spans="1:14" ht="15" x14ac:dyDescent="0.2">
      <c r="A3" s="1" t="s">
        <v>11127</v>
      </c>
      <c r="B3" s="463">
        <v>45254</v>
      </c>
      <c r="K3" s="459"/>
      <c r="L3" s="459"/>
      <c r="M3" s="459"/>
      <c r="N3" s="459"/>
    </row>
    <row r="4" spans="1:14" ht="15" x14ac:dyDescent="0.2">
      <c r="A4" s="1" t="s">
        <v>11128</v>
      </c>
      <c r="B4" s="8" t="s">
        <v>11130</v>
      </c>
      <c r="K4" s="459"/>
      <c r="L4" s="459"/>
      <c r="M4" s="459"/>
      <c r="N4" s="459"/>
    </row>
    <row r="5" spans="1:14" ht="15" x14ac:dyDescent="0.2">
      <c r="A5" s="1" t="s">
        <v>11129</v>
      </c>
      <c r="B5" s="8" t="s">
        <v>11146</v>
      </c>
      <c r="K5" s="459"/>
      <c r="L5" s="459"/>
      <c r="M5" s="459"/>
      <c r="N5" s="459"/>
    </row>
    <row r="6" spans="1:14" ht="15" x14ac:dyDescent="0.2">
      <c r="A6" s="1" t="s">
        <v>11133</v>
      </c>
      <c r="B6" s="8" t="s">
        <v>11139</v>
      </c>
      <c r="K6" s="459"/>
      <c r="L6" s="459"/>
      <c r="M6" s="459"/>
      <c r="N6" s="459"/>
    </row>
    <row r="7" spans="1:14" ht="15" x14ac:dyDescent="0.2">
      <c r="A7" s="1" t="s">
        <v>11140</v>
      </c>
      <c r="B7" s="8" t="s">
        <v>11125</v>
      </c>
      <c r="K7" s="459"/>
      <c r="L7" s="459"/>
      <c r="M7" s="459"/>
      <c r="N7" s="459"/>
    </row>
    <row r="8" spans="1:14" ht="15" x14ac:dyDescent="0.2">
      <c r="A8" s="53" t="s">
        <v>11123</v>
      </c>
      <c r="B8" s="8" t="s">
        <v>11131</v>
      </c>
      <c r="K8" s="459"/>
      <c r="L8" s="459"/>
      <c r="M8" s="459"/>
      <c r="N8" s="459"/>
    </row>
    <row r="9" spans="1:14" ht="15.75" thickBot="1" x14ac:dyDescent="0.25">
      <c r="A9" s="464" t="s">
        <v>11124</v>
      </c>
      <c r="B9" s="309" t="s">
        <v>11132</v>
      </c>
      <c r="C9" s="92"/>
      <c r="D9" s="92"/>
      <c r="E9" s="92"/>
      <c r="F9" s="92"/>
      <c r="G9" s="92"/>
      <c r="H9" s="92"/>
      <c r="I9" s="92"/>
      <c r="J9" s="92"/>
      <c r="K9" s="459"/>
      <c r="L9" s="459"/>
      <c r="M9" s="459"/>
      <c r="N9" s="459"/>
    </row>
  </sheetData>
  <sheetProtection algorithmName="SHA-512" hashValue="0Q2LZVDQKoLp37kfWYFlakJeHWDfDv5VHhGBT4xjFpnJcf7MdBz4ZLrkQup1AFpuEaQ1IxnGF9eoFzUcgMvaYg==" saltValue="yzlHr2aZo8WFctcOi4UKrQ==" spinCount="100000" sheet="1" objects="1" scenarios="1" formatColumns="0" formatRows="0"/>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A6AD33-2384-491C-A129-BE0CBC7ED43E}">
  <sheetPr codeName="Sheet9">
    <tabColor rgb="FFFFFFCC"/>
  </sheetPr>
  <dimension ref="A1:I142"/>
  <sheetViews>
    <sheetView showGridLines="0" zoomScaleNormal="100" workbookViewId="0">
      <selection sqref="A1:H1"/>
    </sheetView>
  </sheetViews>
  <sheetFormatPr defaultColWidth="0" defaultRowHeight="14.25" zeroHeight="1" x14ac:dyDescent="0.2"/>
  <cols>
    <col min="1" max="4" width="14.75" customWidth="1"/>
    <col min="5" max="5" width="25.125" customWidth="1"/>
    <col min="6" max="8" width="13.25" customWidth="1"/>
    <col min="9" max="9" width="2.625" customWidth="1"/>
    <col min="10" max="16384" width="9" hidden="1"/>
  </cols>
  <sheetData>
    <row r="1" spans="1:8" ht="8.25" customHeight="1" thickBot="1" x14ac:dyDescent="0.25">
      <c r="A1" s="478" t="s">
        <v>0</v>
      </c>
      <c r="B1" s="478"/>
      <c r="C1" s="478"/>
      <c r="D1" s="478"/>
      <c r="E1" s="478"/>
      <c r="F1" s="478"/>
      <c r="G1" s="478"/>
      <c r="H1" s="478"/>
    </row>
    <row r="2" spans="1:8" ht="18.75" thickBot="1" x14ac:dyDescent="0.25">
      <c r="A2" s="525" t="s">
        <v>326</v>
      </c>
      <c r="B2" s="525"/>
      <c r="C2" s="525"/>
      <c r="D2" s="525"/>
      <c r="E2" s="525"/>
      <c r="F2" s="525"/>
      <c r="G2" s="525"/>
      <c r="H2" s="525"/>
    </row>
    <row r="3" spans="1:8" ht="216" customHeight="1" thickBot="1" x14ac:dyDescent="0.25">
      <c r="A3" s="523" t="s">
        <v>9770</v>
      </c>
      <c r="B3" s="602"/>
      <c r="C3" s="602"/>
      <c r="D3" s="602"/>
      <c r="E3" s="602"/>
      <c r="F3" s="602"/>
      <c r="G3" s="602"/>
      <c r="H3" s="524"/>
    </row>
    <row r="4" spans="1:8" ht="15" thickBot="1" x14ac:dyDescent="0.25">
      <c r="A4" s="478" t="s">
        <v>1</v>
      </c>
      <c r="B4" s="478"/>
      <c r="C4" s="478"/>
      <c r="D4" s="478"/>
      <c r="E4" s="478"/>
      <c r="F4" s="478"/>
      <c r="G4" s="478"/>
      <c r="H4" s="478"/>
    </row>
    <row r="5" spans="1:8" ht="15.75" thickBot="1" x14ac:dyDescent="0.25">
      <c r="A5" s="479" t="s">
        <v>133</v>
      </c>
      <c r="B5" s="479"/>
      <c r="C5" s="479"/>
      <c r="D5" s="479"/>
      <c r="E5" s="479"/>
      <c r="F5" s="479"/>
      <c r="G5" s="479"/>
      <c r="H5" s="479"/>
    </row>
    <row r="6" spans="1:8" x14ac:dyDescent="0.2">
      <c r="A6" s="528" t="s">
        <v>166</v>
      </c>
      <c r="B6" s="529"/>
      <c r="C6" s="529"/>
      <c r="D6" s="579"/>
      <c r="E6" s="579"/>
      <c r="F6" s="579"/>
      <c r="G6" s="579"/>
      <c r="H6" s="580"/>
    </row>
    <row r="7" spans="1:8" x14ac:dyDescent="0.2">
      <c r="A7" s="528" t="s">
        <v>167</v>
      </c>
      <c r="B7" s="529"/>
      <c r="C7" s="529"/>
      <c r="D7" s="579"/>
      <c r="E7" s="579"/>
      <c r="F7" s="579"/>
      <c r="G7" s="579"/>
      <c r="H7" s="580"/>
    </row>
    <row r="8" spans="1:8" x14ac:dyDescent="0.2">
      <c r="A8" s="528" t="s">
        <v>168</v>
      </c>
      <c r="B8" s="529"/>
      <c r="C8" s="529"/>
      <c r="D8" s="579"/>
      <c r="E8" s="579"/>
      <c r="F8" s="579"/>
      <c r="G8" s="579"/>
      <c r="H8" s="580"/>
    </row>
    <row r="9" spans="1:8" x14ac:dyDescent="0.2">
      <c r="A9" s="528" t="s">
        <v>169</v>
      </c>
      <c r="B9" s="529"/>
      <c r="C9" s="529"/>
      <c r="D9" s="579"/>
      <c r="E9" s="579"/>
      <c r="F9" s="579"/>
      <c r="G9" s="579"/>
      <c r="H9" s="580"/>
    </row>
    <row r="10" spans="1:8" x14ac:dyDescent="0.2">
      <c r="A10" s="528" t="s">
        <v>170</v>
      </c>
      <c r="B10" s="529"/>
      <c r="C10" s="529"/>
      <c r="D10" s="579"/>
      <c r="E10" s="579"/>
      <c r="F10" s="579"/>
      <c r="G10" s="579"/>
      <c r="H10" s="580"/>
    </row>
    <row r="11" spans="1:8" ht="15" thickBot="1" x14ac:dyDescent="0.25">
      <c r="A11" s="548" t="s">
        <v>171</v>
      </c>
      <c r="B11" s="549"/>
      <c r="C11" s="549"/>
      <c r="D11" s="577"/>
      <c r="E11" s="577"/>
      <c r="F11" s="577"/>
      <c r="G11" s="577"/>
      <c r="H11" s="578"/>
    </row>
    <row r="12" spans="1:8" ht="15" thickBot="1" x14ac:dyDescent="0.25">
      <c r="A12" s="478" t="s">
        <v>1</v>
      </c>
      <c r="B12" s="478"/>
      <c r="C12" s="478"/>
      <c r="D12" s="478"/>
      <c r="E12" s="478"/>
      <c r="F12" s="478"/>
      <c r="G12" s="478"/>
      <c r="H12" s="478"/>
    </row>
    <row r="13" spans="1:8" ht="15.75" thickBot="1" x14ac:dyDescent="0.25">
      <c r="A13" s="479" t="s">
        <v>9166</v>
      </c>
      <c r="B13" s="479"/>
      <c r="C13" s="479"/>
      <c r="D13" s="479"/>
      <c r="E13" s="479"/>
      <c r="F13" s="479"/>
      <c r="G13" s="479"/>
      <c r="H13" s="479"/>
    </row>
    <row r="14" spans="1:8" ht="15" x14ac:dyDescent="0.2">
      <c r="A14" s="506" t="s">
        <v>9167</v>
      </c>
      <c r="B14" s="507"/>
      <c r="C14" s="507"/>
      <c r="D14" s="663" t="s">
        <v>172</v>
      </c>
      <c r="E14" s="663"/>
      <c r="F14" s="664" t="s">
        <v>8723</v>
      </c>
      <c r="G14" s="664"/>
      <c r="H14" s="665"/>
    </row>
    <row r="15" spans="1:8" ht="14.25" customHeight="1" x14ac:dyDescent="0.2">
      <c r="A15" s="528" t="s">
        <v>176</v>
      </c>
      <c r="B15" s="529"/>
      <c r="C15" s="529"/>
      <c r="D15" s="579"/>
      <c r="E15" s="579"/>
      <c r="F15" s="672" t="s">
        <v>9155</v>
      </c>
      <c r="G15" s="672"/>
      <c r="H15" s="673"/>
    </row>
    <row r="16" spans="1:8" ht="15" customHeight="1" thickBot="1" x14ac:dyDescent="0.25">
      <c r="A16" s="548" t="s">
        <v>177</v>
      </c>
      <c r="B16" s="549"/>
      <c r="C16" s="549"/>
      <c r="D16" s="577"/>
      <c r="E16" s="577"/>
      <c r="F16" s="674" t="s">
        <v>9156</v>
      </c>
      <c r="G16" s="674"/>
      <c r="H16" s="675"/>
    </row>
    <row r="17" spans="1:8" ht="15" x14ac:dyDescent="0.2">
      <c r="A17" s="506" t="s">
        <v>9168</v>
      </c>
      <c r="B17" s="507"/>
      <c r="C17" s="507"/>
      <c r="D17" s="663" t="s">
        <v>172</v>
      </c>
      <c r="E17" s="663"/>
      <c r="F17" s="664" t="s">
        <v>8723</v>
      </c>
      <c r="G17" s="664"/>
      <c r="H17" s="665"/>
    </row>
    <row r="18" spans="1:8" ht="14.25" customHeight="1" x14ac:dyDescent="0.2">
      <c r="A18" s="528" t="s">
        <v>173</v>
      </c>
      <c r="B18" s="529"/>
      <c r="C18" s="529"/>
      <c r="D18" s="579"/>
      <c r="E18" s="579"/>
      <c r="F18" s="672"/>
      <c r="G18" s="672"/>
      <c r="H18" s="673"/>
    </row>
    <row r="19" spans="1:8" ht="14.25" customHeight="1" x14ac:dyDescent="0.2">
      <c r="A19" s="528" t="s">
        <v>10823</v>
      </c>
      <c r="B19" s="529"/>
      <c r="C19" s="529"/>
      <c r="D19" s="579"/>
      <c r="E19" s="579"/>
      <c r="F19" s="658" t="s">
        <v>9361</v>
      </c>
      <c r="G19" s="658"/>
      <c r="H19" s="659"/>
    </row>
    <row r="20" spans="1:8" ht="45" customHeight="1" x14ac:dyDescent="0.2">
      <c r="A20" s="530" t="s">
        <v>10817</v>
      </c>
      <c r="B20" s="531"/>
      <c r="C20" s="531"/>
      <c r="D20" s="662"/>
      <c r="E20" s="662"/>
      <c r="F20" s="531" t="str">
        <f t="shared" ref="F20" si="0">IF(OR($D$18="",$D$19=""),"",IF(COUNTIF($D$18,"*floating*")&gt;0,"less than 11.0 psia",IF(COUNTIF($D$18,"*fixed*"),IF($D$19&lt;25000,"less than 11.0 psia if uncontrolled; no maximum if controlled","less than 0.5 psia if uncontrolled; no maximum if controlled"))))</f>
        <v/>
      </c>
      <c r="G20" s="531"/>
      <c r="H20" s="538"/>
    </row>
    <row r="21" spans="1:8" ht="45" customHeight="1" x14ac:dyDescent="0.2">
      <c r="A21" s="530" t="s">
        <v>10818</v>
      </c>
      <c r="B21" s="531"/>
      <c r="C21" s="531"/>
      <c r="D21" s="579"/>
      <c r="E21" s="579"/>
      <c r="F21" s="658" t="s">
        <v>9361</v>
      </c>
      <c r="G21" s="658"/>
      <c r="H21" s="659"/>
    </row>
    <row r="22" spans="1:8" ht="58.5" customHeight="1" x14ac:dyDescent="0.2">
      <c r="A22" s="528" t="s">
        <v>175</v>
      </c>
      <c r="B22" s="529"/>
      <c r="C22" s="529"/>
      <c r="D22" s="678"/>
      <c r="E22" s="678"/>
      <c r="F22" s="689" t="str">
        <f t="shared" ref="F22" si="1">IF($D$18="","",IF(COUNTIF($D$18,"*fixed*"),IF($D$20&gt;=11,"control required",IF(OR($D$19&lt;25000,$D$20&lt;0.5),"control not required","control required")),IF($D$20&lt;11,"control not required","regardless of control storage of products in a floating roof tank with TVP equal to or greater than 11.0 psia is not allowed, revise row 18 and/or 20")))</f>
        <v/>
      </c>
      <c r="G22" s="690"/>
      <c r="H22" s="691"/>
    </row>
    <row r="23" spans="1:8" ht="50.25" customHeight="1" x14ac:dyDescent="0.2">
      <c r="A23" s="528" t="s">
        <v>8688</v>
      </c>
      <c r="B23" s="529"/>
      <c r="C23" s="529"/>
      <c r="D23" s="579"/>
      <c r="E23" s="579"/>
      <c r="F23" s="656" t="str">
        <f>IF(OR($D$18="horizontal fixed roof",$D$18="vertical fixed roof"),"",IF($D$18="external floating roof","mechanical or liquid-mounted",IF($D$18="internal floating roof","mechanical or liquid-mounted primary seal OR vapor-mounted primary seal with secondary seal","")))</f>
        <v/>
      </c>
      <c r="G23" s="656"/>
      <c r="H23" s="657"/>
    </row>
    <row r="24" spans="1:8" ht="60" customHeight="1" x14ac:dyDescent="0.2">
      <c r="A24" s="528" t="s">
        <v>8689</v>
      </c>
      <c r="B24" s="529"/>
      <c r="C24" s="529"/>
      <c r="D24" s="579"/>
      <c r="E24" s="579"/>
      <c r="F24" s="656" t="str">
        <f>IF(OR($D$18="horizontal fixed roof",$D$18="vertical fixed roof"),"",IF($D$18="external floating roof","rim-mounted",IF(AND($D$18="internal floating roof",$D$23="vapor-mounted"),"rim-mounted","")))</f>
        <v/>
      </c>
      <c r="G24" s="656"/>
      <c r="H24" s="657"/>
    </row>
    <row r="25" spans="1:8" ht="14.25" customHeight="1" x14ac:dyDescent="0.2">
      <c r="A25" s="528" t="s">
        <v>174</v>
      </c>
      <c r="B25" s="529"/>
      <c r="C25" s="529"/>
      <c r="D25" s="579"/>
      <c r="E25" s="579"/>
      <c r="F25" s="658" t="s">
        <v>9361</v>
      </c>
      <c r="G25" s="658"/>
      <c r="H25" s="659"/>
    </row>
    <row r="26" spans="1:8" ht="32.25" customHeight="1" thickBot="1" x14ac:dyDescent="0.25">
      <c r="A26" s="483" t="s">
        <v>9534</v>
      </c>
      <c r="B26" s="484"/>
      <c r="C26" s="484"/>
      <c r="D26" s="577"/>
      <c r="E26" s="577"/>
      <c r="F26" s="660" t="s">
        <v>9361</v>
      </c>
      <c r="G26" s="660"/>
      <c r="H26" s="661"/>
    </row>
    <row r="27" spans="1:8" ht="15" thickBot="1" x14ac:dyDescent="0.25">
      <c r="A27" s="478" t="s">
        <v>1</v>
      </c>
      <c r="B27" s="478"/>
      <c r="C27" s="478"/>
      <c r="D27" s="478"/>
      <c r="E27" s="478"/>
      <c r="F27" s="478"/>
      <c r="G27" s="478"/>
      <c r="H27" s="478"/>
    </row>
    <row r="28" spans="1:8" ht="15.75" thickBot="1" x14ac:dyDescent="0.25">
      <c r="A28" s="474" t="s">
        <v>9165</v>
      </c>
      <c r="B28" s="474"/>
      <c r="C28" s="474"/>
      <c r="D28" s="474"/>
      <c r="E28" s="474"/>
      <c r="F28" s="474"/>
      <c r="G28" s="474"/>
      <c r="H28" s="474"/>
    </row>
    <row r="29" spans="1:8" ht="45" customHeight="1" x14ac:dyDescent="0.2">
      <c r="A29" s="681" t="s">
        <v>344</v>
      </c>
      <c r="B29" s="682"/>
      <c r="C29" s="682"/>
      <c r="D29" s="682"/>
      <c r="E29" s="682"/>
      <c r="F29" s="682"/>
      <c r="G29" s="679"/>
      <c r="H29" s="680"/>
    </row>
    <row r="30" spans="1:8" ht="45" customHeight="1" thickBot="1" x14ac:dyDescent="0.25">
      <c r="A30" s="683" t="s">
        <v>345</v>
      </c>
      <c r="B30" s="684"/>
      <c r="C30" s="684"/>
      <c r="D30" s="684"/>
      <c r="E30" s="684"/>
      <c r="F30" s="684"/>
      <c r="G30" s="577"/>
      <c r="H30" s="578"/>
    </row>
    <row r="31" spans="1:8" ht="81.75" customHeight="1" x14ac:dyDescent="0.2">
      <c r="A31" s="654" t="s">
        <v>9179</v>
      </c>
      <c r="B31" s="655"/>
      <c r="C31" s="171" t="str">
        <f>IF($D$6="modified","Proposed increase in hourly throughput (bbl/hr)","Proposed hourly throughput (bbl/hr)")</f>
        <v>Proposed hourly throughput (bbl/hr)</v>
      </c>
      <c r="D31" s="171" t="str">
        <f>IF($D$6="modified","Proposed increase in annual throughput (bbl/yr)","Proposed annual throughput (bbl/yr)")</f>
        <v>Proposed annual throughput (bbl/yr)</v>
      </c>
      <c r="E31" s="394" t="s">
        <v>8751</v>
      </c>
      <c r="F31" s="395" t="s">
        <v>9180</v>
      </c>
      <c r="G31" s="395" t="str">
        <f>IF($D$6="modified","Proposed increase in hourly emissions (lb/hr)","Proposed hourly emissions (lb/hr)")</f>
        <v>Proposed hourly emissions (lb/hr)</v>
      </c>
      <c r="H31" s="396" t="str">
        <f>IF($D$6="modified","Proposed increase in annual emissions (tpy)","Proposed annual emissions (tpy)")</f>
        <v>Proposed annual emissions (tpy)</v>
      </c>
    </row>
    <row r="32" spans="1:8" x14ac:dyDescent="0.2">
      <c r="A32" s="651"/>
      <c r="B32" s="615"/>
      <c r="C32" s="75"/>
      <c r="D32" s="76"/>
      <c r="E32" s="73" t="s">
        <v>291</v>
      </c>
      <c r="F32" s="46">
        <v>1</v>
      </c>
      <c r="G32" s="40"/>
      <c r="H32" s="47"/>
    </row>
    <row r="33" spans="1:8" x14ac:dyDescent="0.2">
      <c r="A33" s="628" t="str">
        <f>A32&amp;"A"</f>
        <v>A</v>
      </c>
      <c r="B33" s="628"/>
      <c r="C33" s="77" t="s">
        <v>9363</v>
      </c>
      <c r="D33" s="77" t="s">
        <v>9363</v>
      </c>
      <c r="E33" s="74" t="str">
        <f>IF($A$32="","",IF(VLOOKUP($A32,Products!$A$59:$H$159,5,FALSE)="","",VLOOKUP($A32,Products!$A$59:$H$159,5,FALSE)))</f>
        <v/>
      </c>
      <c r="F33" s="46" t="str">
        <f>IF($A$32="","",IF(VLOOKUP($A32,Products!$A$59:$H$159,8,FALSE)="","",VLOOKUP($A32,Products!$A$59:$H$159,8,FALSE)))</f>
        <v/>
      </c>
      <c r="G33" s="46" t="str">
        <f>IF($F33="","",$F33*$G$32)</f>
        <v/>
      </c>
      <c r="H33" s="51" t="str">
        <f>IF($F33="","",$F33*$H$32)</f>
        <v/>
      </c>
    </row>
    <row r="34" spans="1:8" x14ac:dyDescent="0.2">
      <c r="A34" s="688" t="str">
        <f t="shared" ref="A34:A42" si="2">A33&amp;"A"</f>
        <v>AA</v>
      </c>
      <c r="B34" s="650"/>
      <c r="C34" s="77" t="s">
        <v>9363</v>
      </c>
      <c r="D34" s="77" t="s">
        <v>9363</v>
      </c>
      <c r="E34" s="74" t="str">
        <f>IF($A$32="","",IF(VLOOKUP($A33,Products!$A$59:$H$159,5,FALSE)="","",VLOOKUP($A33,Products!$A$59:$H$159,5,FALSE)))</f>
        <v/>
      </c>
      <c r="F34" s="46" t="str">
        <f>IF($A$32="","",IF(VLOOKUP($A33,Products!$A$59:$H$159,8,FALSE)="","",VLOOKUP($A33,Products!$A$59:$H$159,8,FALSE)))</f>
        <v/>
      </c>
      <c r="G34" s="46" t="str">
        <f t="shared" ref="G34:G42" si="3">IF($F34="","",$F34*$G$32)</f>
        <v/>
      </c>
      <c r="H34" s="51" t="str">
        <f t="shared" ref="H34:H42" si="4">IF($F34="","",$F34*$H$32)</f>
        <v/>
      </c>
    </row>
    <row r="35" spans="1:8" x14ac:dyDescent="0.2">
      <c r="A35" s="688" t="str">
        <f t="shared" si="2"/>
        <v>AAA</v>
      </c>
      <c r="B35" s="650"/>
      <c r="C35" s="77" t="s">
        <v>9363</v>
      </c>
      <c r="D35" s="77" t="s">
        <v>9363</v>
      </c>
      <c r="E35" s="74" t="str">
        <f>IF($A$32="","",IF(VLOOKUP($A34,Products!$A$59:$H$159,5,FALSE)="","",VLOOKUP($A34,Products!$A$59:$H$159,5,FALSE)))</f>
        <v/>
      </c>
      <c r="F35" s="46" t="str">
        <f>IF($A$32="","",IF(VLOOKUP($A34,Products!$A$59:$H$159,8,FALSE)="","",VLOOKUP($A34,Products!$A$59:$H$159,8,FALSE)))</f>
        <v/>
      </c>
      <c r="G35" s="46" t="str">
        <f>IF($F35="","",$F35*$G$32)</f>
        <v/>
      </c>
      <c r="H35" s="51" t="str">
        <f t="shared" si="4"/>
        <v/>
      </c>
    </row>
    <row r="36" spans="1:8" x14ac:dyDescent="0.2">
      <c r="A36" s="688" t="str">
        <f t="shared" si="2"/>
        <v>AAAA</v>
      </c>
      <c r="B36" s="650"/>
      <c r="C36" s="77" t="s">
        <v>9363</v>
      </c>
      <c r="D36" s="77" t="s">
        <v>9363</v>
      </c>
      <c r="E36" s="74" t="str">
        <f>IF($A$32="","",IF(VLOOKUP($A35,Products!$A$59:$H$159,5,FALSE)="","",VLOOKUP($A35,Products!$A$59:$H$159,5,FALSE)))</f>
        <v/>
      </c>
      <c r="F36" s="46" t="str">
        <f>IF($A$32="","",IF(VLOOKUP($A35,Products!$A$59:$H$159,8,FALSE)="","",VLOOKUP($A35,Products!$A$59:$H$159,8,FALSE)))</f>
        <v/>
      </c>
      <c r="G36" s="46" t="str">
        <f t="shared" si="3"/>
        <v/>
      </c>
      <c r="H36" s="51" t="str">
        <f t="shared" si="4"/>
        <v/>
      </c>
    </row>
    <row r="37" spans="1:8" ht="14.25" customHeight="1" x14ac:dyDescent="0.2">
      <c r="A37" s="688" t="str">
        <f t="shared" si="2"/>
        <v>AAAAA</v>
      </c>
      <c r="B37" s="650"/>
      <c r="C37" s="77" t="s">
        <v>9363</v>
      </c>
      <c r="D37" s="77" t="s">
        <v>9363</v>
      </c>
      <c r="E37" s="74" t="str">
        <f>IF($A$32="","",IF(VLOOKUP($A36,Products!$A$59:$H$159,5,FALSE)="","",VLOOKUP($A36,Products!$A$59:$H$159,5,FALSE)))</f>
        <v/>
      </c>
      <c r="F37" s="46" t="str">
        <f>IF($A$32="","",IF(VLOOKUP($A36,Products!$A$59:$H$159,8,FALSE)="","",VLOOKUP($A36,Products!$A$59:$H$159,8,FALSE)))</f>
        <v/>
      </c>
      <c r="G37" s="46" t="str">
        <f t="shared" si="3"/>
        <v/>
      </c>
      <c r="H37" s="51" t="str">
        <f t="shared" si="4"/>
        <v/>
      </c>
    </row>
    <row r="38" spans="1:8" ht="14.25" customHeight="1" x14ac:dyDescent="0.2">
      <c r="A38" s="688" t="str">
        <f t="shared" si="2"/>
        <v>AAAAAA</v>
      </c>
      <c r="B38" s="650"/>
      <c r="C38" s="77" t="s">
        <v>9363</v>
      </c>
      <c r="D38" s="77" t="s">
        <v>9363</v>
      </c>
      <c r="E38" s="74" t="str">
        <f>IF($A$32="","",IF(VLOOKUP($A37,Products!$A$59:$H$159,5,FALSE)="","",VLOOKUP($A37,Products!$A$59:$H$159,5,FALSE)))</f>
        <v/>
      </c>
      <c r="F38" s="46" t="str">
        <f>IF($A$32="","",IF(VLOOKUP($A37,Products!$A$59:$H$159,8,FALSE)="","",VLOOKUP($A37,Products!$A$59:$H$159,8,FALSE)))</f>
        <v/>
      </c>
      <c r="G38" s="46" t="str">
        <f t="shared" si="3"/>
        <v/>
      </c>
      <c r="H38" s="51" t="str">
        <f t="shared" si="4"/>
        <v/>
      </c>
    </row>
    <row r="39" spans="1:8" ht="14.25" customHeight="1" x14ac:dyDescent="0.2">
      <c r="A39" s="688" t="str">
        <f t="shared" si="2"/>
        <v>AAAAAAA</v>
      </c>
      <c r="B39" s="650"/>
      <c r="C39" s="77" t="s">
        <v>9363</v>
      </c>
      <c r="D39" s="77" t="s">
        <v>9363</v>
      </c>
      <c r="E39" s="74" t="str">
        <f>IF($A$32="","",IF(VLOOKUP($A38,Products!$A$59:$H$159,5,FALSE)="","",VLOOKUP($A38,Products!$A$59:$H$159,5,FALSE)))</f>
        <v/>
      </c>
      <c r="F39" s="46" t="str">
        <f>IF($A$32="","",IF(VLOOKUP($A38,Products!$A$59:$H$159,8,FALSE)="","",VLOOKUP($A38,Products!$A$59:$H$159,8,FALSE)))</f>
        <v/>
      </c>
      <c r="G39" s="46" t="str">
        <f t="shared" si="3"/>
        <v/>
      </c>
      <c r="H39" s="51" t="str">
        <f t="shared" si="4"/>
        <v/>
      </c>
    </row>
    <row r="40" spans="1:8" ht="14.25" customHeight="1" x14ac:dyDescent="0.2">
      <c r="A40" s="688" t="str">
        <f t="shared" si="2"/>
        <v>AAAAAAAA</v>
      </c>
      <c r="B40" s="650"/>
      <c r="C40" s="77" t="s">
        <v>9363</v>
      </c>
      <c r="D40" s="77" t="s">
        <v>9363</v>
      </c>
      <c r="E40" s="74" t="str">
        <f>IF($A$32="","",IF(VLOOKUP($A39,Products!$A$59:$H$159,5,FALSE)="","",VLOOKUP($A39,Products!$A$59:$H$159,5,FALSE)))</f>
        <v/>
      </c>
      <c r="F40" s="46" t="str">
        <f>IF($A$32="","",IF(VLOOKUP($A39,Products!$A$59:$H$159,8,FALSE)="","",VLOOKUP($A39,Products!$A$59:$H$159,8,FALSE)))</f>
        <v/>
      </c>
      <c r="G40" s="46" t="str">
        <f t="shared" si="3"/>
        <v/>
      </c>
      <c r="H40" s="51" t="str">
        <f t="shared" si="4"/>
        <v/>
      </c>
    </row>
    <row r="41" spans="1:8" ht="14.25" customHeight="1" x14ac:dyDescent="0.2">
      <c r="A41" s="688" t="str">
        <f t="shared" si="2"/>
        <v>AAAAAAAAA</v>
      </c>
      <c r="B41" s="650"/>
      <c r="C41" s="77" t="s">
        <v>9363</v>
      </c>
      <c r="D41" s="77" t="s">
        <v>9363</v>
      </c>
      <c r="E41" s="74" t="str">
        <f>IF($A$32="","",IF(VLOOKUP($A40,Products!$A$59:$H$159,5,FALSE)="","",VLOOKUP($A40,Products!$A$59:$H$159,5,FALSE)))</f>
        <v/>
      </c>
      <c r="F41" s="46" t="str">
        <f>IF($A$32="","",IF(VLOOKUP($A40,Products!$A$59:$H$159,8,FALSE)="","",VLOOKUP($A40,Products!$A$59:$H$159,8,FALSE)))</f>
        <v/>
      </c>
      <c r="G41" s="46" t="str">
        <f t="shared" si="3"/>
        <v/>
      </c>
      <c r="H41" s="51" t="str">
        <f t="shared" si="4"/>
        <v/>
      </c>
    </row>
    <row r="42" spans="1:8" ht="14.25" customHeight="1" x14ac:dyDescent="0.2">
      <c r="A42" s="688" t="str">
        <f t="shared" si="2"/>
        <v>AAAAAAAAAA</v>
      </c>
      <c r="B42" s="650"/>
      <c r="C42" s="77" t="s">
        <v>9363</v>
      </c>
      <c r="D42" s="77" t="s">
        <v>9363</v>
      </c>
      <c r="E42" s="74" t="str">
        <f>IF($A$32="","",IF(VLOOKUP($A41,Products!$A$59:$H$159,5,FALSE)="","",VLOOKUP($A41,Products!$A$59:$H$159,5,FALSE)))</f>
        <v/>
      </c>
      <c r="F42" s="46" t="str">
        <f>IF($A$32="","",IF(VLOOKUP($A41,Products!$A$59:$H$159,8,FALSE)="","",VLOOKUP($A41,Products!$A$59:$H$159,8,FALSE)))</f>
        <v/>
      </c>
      <c r="G42" s="46" t="str">
        <f t="shared" si="3"/>
        <v/>
      </c>
      <c r="H42" s="51" t="str">
        <f t="shared" si="4"/>
        <v/>
      </c>
    </row>
    <row r="43" spans="1:8" ht="14.25" customHeight="1" x14ac:dyDescent="0.2">
      <c r="A43" s="651"/>
      <c r="B43" s="615"/>
      <c r="C43" s="75"/>
      <c r="D43" s="76"/>
      <c r="E43" s="73" t="s">
        <v>291</v>
      </c>
      <c r="F43" s="46">
        <v>1</v>
      </c>
      <c r="G43" s="40"/>
      <c r="H43" s="47"/>
    </row>
    <row r="44" spans="1:8" x14ac:dyDescent="0.2">
      <c r="A44" s="627" t="str">
        <f>A43&amp;"A"</f>
        <v>A</v>
      </c>
      <c r="B44" s="628"/>
      <c r="C44" s="77" t="s">
        <v>9363</v>
      </c>
      <c r="D44" s="77" t="s">
        <v>9363</v>
      </c>
      <c r="E44" s="74" t="str">
        <f>IF($A$43="","",IF(VLOOKUP($A43,Products!$A$59:$H$159,5,FALSE)="","",VLOOKUP($A43,Products!$A$59:$H$159,5,FALSE)))</f>
        <v/>
      </c>
      <c r="F44" s="46" t="str">
        <f>IF($A$43="","",IF(VLOOKUP($A43,Products!$A$59:$H$159,8,FALSE)="","",VLOOKUP($A43,Products!$A$59:$H$159,8,FALSE)))</f>
        <v/>
      </c>
      <c r="G44" s="46" t="str">
        <f>IF($F44="","",$F44*$G$43)</f>
        <v/>
      </c>
      <c r="H44" s="51" t="str">
        <f>IF($F44="","",$F44*$H$43)</f>
        <v/>
      </c>
    </row>
    <row r="45" spans="1:8" x14ac:dyDescent="0.2">
      <c r="A45" s="649" t="str">
        <f t="shared" ref="A45:A53" si="5">A44&amp;"A"</f>
        <v>AA</v>
      </c>
      <c r="B45" s="650"/>
      <c r="C45" s="77" t="s">
        <v>9363</v>
      </c>
      <c r="D45" s="77" t="s">
        <v>9363</v>
      </c>
      <c r="E45" s="74" t="str">
        <f>IF($A$43="","",IF(VLOOKUP($A44,Products!$A$59:$H$159,5,FALSE)="","",VLOOKUP($A44,Products!$A$59:$H$159,5,FALSE)))</f>
        <v/>
      </c>
      <c r="F45" s="46" t="str">
        <f>IF($A$43="","",IF(VLOOKUP($A44,Products!$A$59:$H$159,8,FALSE)="","",VLOOKUP($A44,Products!$A$59:$H$159,8,FALSE)))</f>
        <v/>
      </c>
      <c r="G45" s="46" t="str">
        <f t="shared" ref="G45:G53" si="6">IF($F45="","",$F45*$G$43)</f>
        <v/>
      </c>
      <c r="H45" s="51" t="str">
        <f t="shared" ref="H45:H53" si="7">IF($F45="","",$F45*$H$43)</f>
        <v/>
      </c>
    </row>
    <row r="46" spans="1:8" x14ac:dyDescent="0.2">
      <c r="A46" s="649" t="str">
        <f t="shared" si="5"/>
        <v>AAA</v>
      </c>
      <c r="B46" s="650"/>
      <c r="C46" s="77" t="s">
        <v>9363</v>
      </c>
      <c r="D46" s="77" t="s">
        <v>9363</v>
      </c>
      <c r="E46" s="74" t="str">
        <f>IF($A$43="","",IF(VLOOKUP($A45,Products!$A$59:$H$159,5,FALSE)="","",VLOOKUP($A45,Products!$A$59:$H$159,5,FALSE)))</f>
        <v/>
      </c>
      <c r="F46" s="46" t="str">
        <f>IF($A$43="","",IF(VLOOKUP($A45,Products!$A$59:$H$159,8,FALSE)="","",VLOOKUP($A45,Products!$A$59:$H$159,8,FALSE)))</f>
        <v/>
      </c>
      <c r="G46" s="46" t="str">
        <f t="shared" si="6"/>
        <v/>
      </c>
      <c r="H46" s="51" t="str">
        <f t="shared" si="7"/>
        <v/>
      </c>
    </row>
    <row r="47" spans="1:8" x14ac:dyDescent="0.2">
      <c r="A47" s="649" t="str">
        <f t="shared" si="5"/>
        <v>AAAA</v>
      </c>
      <c r="B47" s="650"/>
      <c r="C47" s="77" t="s">
        <v>9363</v>
      </c>
      <c r="D47" s="77" t="s">
        <v>9363</v>
      </c>
      <c r="E47" s="74" t="str">
        <f>IF($A$43="","",IF(VLOOKUP($A46,Products!$A$59:$H$159,5,FALSE)="","",VLOOKUP($A46,Products!$A$59:$H$159,5,FALSE)))</f>
        <v/>
      </c>
      <c r="F47" s="46" t="str">
        <f>IF($A$43="","",IF(VLOOKUP($A46,Products!$A$59:$H$159,8,FALSE)="","",VLOOKUP($A46,Products!$A$59:$H$159,8,FALSE)))</f>
        <v/>
      </c>
      <c r="G47" s="46" t="str">
        <f t="shared" si="6"/>
        <v/>
      </c>
      <c r="H47" s="51" t="str">
        <f t="shared" si="7"/>
        <v/>
      </c>
    </row>
    <row r="48" spans="1:8" x14ac:dyDescent="0.2">
      <c r="A48" s="649" t="str">
        <f t="shared" si="5"/>
        <v>AAAAA</v>
      </c>
      <c r="B48" s="650"/>
      <c r="C48" s="77" t="s">
        <v>9363</v>
      </c>
      <c r="D48" s="77" t="s">
        <v>9363</v>
      </c>
      <c r="E48" s="74" t="str">
        <f>IF($A$43="","",IF(VLOOKUP($A47,Products!$A$59:$H$159,5,FALSE)="","",VLOOKUP($A47,Products!$A$59:$H$159,5,FALSE)))</f>
        <v/>
      </c>
      <c r="F48" s="46" t="str">
        <f>IF($A$43="","",IF(VLOOKUP($A47,Products!$A$59:$H$159,8,FALSE)="","",VLOOKUP($A47,Products!$A$59:$H$159,8,FALSE)))</f>
        <v/>
      </c>
      <c r="G48" s="46" t="str">
        <f t="shared" si="6"/>
        <v/>
      </c>
      <c r="H48" s="51" t="str">
        <f t="shared" si="7"/>
        <v/>
      </c>
    </row>
    <row r="49" spans="1:8" x14ac:dyDescent="0.2">
      <c r="A49" s="649" t="str">
        <f t="shared" si="5"/>
        <v>AAAAAA</v>
      </c>
      <c r="B49" s="650"/>
      <c r="C49" s="77" t="s">
        <v>9363</v>
      </c>
      <c r="D49" s="77" t="s">
        <v>9363</v>
      </c>
      <c r="E49" s="74" t="str">
        <f>IF($A$43="","",IF(VLOOKUP($A48,Products!$A$59:$H$159,5,FALSE)="","",VLOOKUP($A48,Products!$A$59:$H$159,5,FALSE)))</f>
        <v/>
      </c>
      <c r="F49" s="46" t="str">
        <f>IF($A$43="","",IF(VLOOKUP($A48,Products!$A$59:$H$159,8,FALSE)="","",VLOOKUP($A48,Products!$A$59:$H$159,8,FALSE)))</f>
        <v/>
      </c>
      <c r="G49" s="46" t="str">
        <f>IF($F49="","",$F49*$G$43)</f>
        <v/>
      </c>
      <c r="H49" s="51" t="str">
        <f>IF($F49="","",$F49*$H$43)</f>
        <v/>
      </c>
    </row>
    <row r="50" spans="1:8" x14ac:dyDescent="0.2">
      <c r="A50" s="649" t="str">
        <f t="shared" si="5"/>
        <v>AAAAAAA</v>
      </c>
      <c r="B50" s="650"/>
      <c r="C50" s="77" t="s">
        <v>9363</v>
      </c>
      <c r="D50" s="77" t="s">
        <v>9363</v>
      </c>
      <c r="E50" s="74" t="str">
        <f>IF($A$43="","",IF(VLOOKUP($A49,Products!$A$59:$H$159,5,FALSE)="","",VLOOKUP($A49,Products!$A$59:$H$159,5,FALSE)))</f>
        <v/>
      </c>
      <c r="F50" s="46" t="str">
        <f>IF($A$43="","",IF(VLOOKUP($A49,Products!$A$59:$H$159,8,FALSE)="","",VLOOKUP($A49,Products!$A$59:$H$159,8,FALSE)))</f>
        <v/>
      </c>
      <c r="G50" s="46" t="str">
        <f t="shared" si="6"/>
        <v/>
      </c>
      <c r="H50" s="51" t="str">
        <f t="shared" si="7"/>
        <v/>
      </c>
    </row>
    <row r="51" spans="1:8" x14ac:dyDescent="0.2">
      <c r="A51" s="649" t="str">
        <f t="shared" si="5"/>
        <v>AAAAAAAA</v>
      </c>
      <c r="B51" s="650"/>
      <c r="C51" s="77" t="s">
        <v>9363</v>
      </c>
      <c r="D51" s="77" t="s">
        <v>9363</v>
      </c>
      <c r="E51" s="74" t="str">
        <f>IF($A$43="","",IF(VLOOKUP($A50,Products!$A$59:$H$159,5,FALSE)="","",VLOOKUP($A50,Products!$A$59:$H$159,5,FALSE)))</f>
        <v/>
      </c>
      <c r="F51" s="46" t="str">
        <f>IF($A$43="","",IF(VLOOKUP($A50,Products!$A$59:$H$159,8,FALSE)="","",VLOOKUP($A50,Products!$A$59:$H$159,8,FALSE)))</f>
        <v/>
      </c>
      <c r="G51" s="46" t="str">
        <f t="shared" si="6"/>
        <v/>
      </c>
      <c r="H51" s="51" t="str">
        <f t="shared" si="7"/>
        <v/>
      </c>
    </row>
    <row r="52" spans="1:8" x14ac:dyDescent="0.2">
      <c r="A52" s="649" t="str">
        <f t="shared" si="5"/>
        <v>AAAAAAAAA</v>
      </c>
      <c r="B52" s="650"/>
      <c r="C52" s="77" t="s">
        <v>9363</v>
      </c>
      <c r="D52" s="77" t="s">
        <v>9363</v>
      </c>
      <c r="E52" s="74" t="str">
        <f>IF($A$43="","",IF(VLOOKUP($A51,Products!$A$59:$H$159,5,FALSE)="","",VLOOKUP($A51,Products!$A$59:$H$159,5,FALSE)))</f>
        <v/>
      </c>
      <c r="F52" s="46" t="str">
        <f>IF($A$43="","",IF(VLOOKUP($A51,Products!$A$59:$H$159,8,FALSE)="","",VLOOKUP($A51,Products!$A$59:$H$159,8,FALSE)))</f>
        <v/>
      </c>
      <c r="G52" s="46" t="str">
        <f t="shared" si="6"/>
        <v/>
      </c>
      <c r="H52" s="51" t="str">
        <f t="shared" si="7"/>
        <v/>
      </c>
    </row>
    <row r="53" spans="1:8" x14ac:dyDescent="0.2">
      <c r="A53" s="649" t="str">
        <f t="shared" si="5"/>
        <v>AAAAAAAAAA</v>
      </c>
      <c r="B53" s="650"/>
      <c r="C53" s="77" t="s">
        <v>9363</v>
      </c>
      <c r="D53" s="77" t="s">
        <v>9363</v>
      </c>
      <c r="E53" s="74" t="str">
        <f>IF($A$43="","",IF(VLOOKUP($A52,Products!$A$59:$H$159,5,FALSE)="","",VLOOKUP($A52,Products!$A$59:$H$159,5,FALSE)))</f>
        <v/>
      </c>
      <c r="F53" s="46" t="str">
        <f>IF($A$43="","",IF(VLOOKUP($A52,Products!$A$59:$H$159,8,FALSE)="","",VLOOKUP($A52,Products!$A$59:$H$159,8,FALSE)))</f>
        <v/>
      </c>
      <c r="G53" s="46" t="str">
        <f t="shared" si="6"/>
        <v/>
      </c>
      <c r="H53" s="51" t="str">
        <f t="shared" si="7"/>
        <v/>
      </c>
    </row>
    <row r="54" spans="1:8" ht="14.25" customHeight="1" x14ac:dyDescent="0.2">
      <c r="A54" s="651"/>
      <c r="B54" s="615"/>
      <c r="C54" s="75"/>
      <c r="D54" s="76"/>
      <c r="E54" s="73" t="s">
        <v>291</v>
      </c>
      <c r="F54" s="46">
        <v>1</v>
      </c>
      <c r="G54" s="40"/>
      <c r="H54" s="47"/>
    </row>
    <row r="55" spans="1:8" x14ac:dyDescent="0.2">
      <c r="A55" s="627" t="str">
        <f>A54&amp;"A"</f>
        <v>A</v>
      </c>
      <c r="B55" s="628"/>
      <c r="C55" s="77" t="s">
        <v>9363</v>
      </c>
      <c r="D55" s="77" t="s">
        <v>9363</v>
      </c>
      <c r="E55" s="74" t="str">
        <f>IF($A$54="","",IF(VLOOKUP($A54,Products!$A$59:$H$159,5,FALSE)="","",VLOOKUP($A54,Products!$A$59:$H$159,5,FALSE)))</f>
        <v/>
      </c>
      <c r="F55" s="46" t="str">
        <f>IF($A$54="","",IF(VLOOKUP($A54,Products!$A$59:$H$159,8,FALSE)="","",VLOOKUP($A54,Products!$A$59:$H$159,8,FALSE)))</f>
        <v/>
      </c>
      <c r="G55" s="46" t="str">
        <f>IF($F55="","",$F55*$G$54)</f>
        <v/>
      </c>
      <c r="H55" s="51" t="str">
        <f>IF($F55="","",$F55*$H$54)</f>
        <v/>
      </c>
    </row>
    <row r="56" spans="1:8" x14ac:dyDescent="0.2">
      <c r="A56" s="649" t="str">
        <f t="shared" ref="A56:A64" si="8">A55&amp;"A"</f>
        <v>AA</v>
      </c>
      <c r="B56" s="650"/>
      <c r="C56" s="77" t="s">
        <v>9363</v>
      </c>
      <c r="D56" s="77" t="s">
        <v>9363</v>
      </c>
      <c r="E56" s="74" t="str">
        <f>IF($A$54="","",IF(VLOOKUP($A55,Products!$A$59:$H$159,5,FALSE)="","",VLOOKUP($A55,Products!$A$59:$H$159,5,FALSE)))</f>
        <v/>
      </c>
      <c r="F56" s="46" t="str">
        <f>IF($A$54="","",IF(VLOOKUP($A55,Products!$A$59:$H$159,8,FALSE)="","",VLOOKUP($A55,Products!$A$59:$H$159,8,FALSE)))</f>
        <v/>
      </c>
      <c r="G56" s="46" t="str">
        <f t="shared" ref="G56:G64" si="9">IF($F56="","",$F56*$G$54)</f>
        <v/>
      </c>
      <c r="H56" s="51" t="str">
        <f t="shared" ref="H56:H64" si="10">IF($F56="","",$F56*$H$54)</f>
        <v/>
      </c>
    </row>
    <row r="57" spans="1:8" x14ac:dyDescent="0.2">
      <c r="A57" s="649" t="str">
        <f t="shared" si="8"/>
        <v>AAA</v>
      </c>
      <c r="B57" s="650"/>
      <c r="C57" s="77" t="s">
        <v>9363</v>
      </c>
      <c r="D57" s="77" t="s">
        <v>9363</v>
      </c>
      <c r="E57" s="74" t="str">
        <f>IF($A$54="","",IF(VLOOKUP($A56,Products!$A$59:$H$159,5,FALSE)="","",VLOOKUP($A56,Products!$A$59:$H$159,5,FALSE)))</f>
        <v/>
      </c>
      <c r="F57" s="46" t="str">
        <f>IF($A$54="","",IF(VLOOKUP($A56,Products!$A$59:$H$159,8,FALSE)="","",VLOOKUP($A56,Products!$A$59:$H$159,8,FALSE)))</f>
        <v/>
      </c>
      <c r="G57" s="46" t="str">
        <f t="shared" si="9"/>
        <v/>
      </c>
      <c r="H57" s="51" t="str">
        <f t="shared" si="10"/>
        <v/>
      </c>
    </row>
    <row r="58" spans="1:8" x14ac:dyDescent="0.2">
      <c r="A58" s="649" t="str">
        <f t="shared" si="8"/>
        <v>AAAA</v>
      </c>
      <c r="B58" s="650"/>
      <c r="C58" s="77" t="s">
        <v>9363</v>
      </c>
      <c r="D58" s="77" t="s">
        <v>9363</v>
      </c>
      <c r="E58" s="74" t="str">
        <f>IF($A$54="","",IF(VLOOKUP($A57,Products!$A$59:$H$159,5,FALSE)="","",VLOOKUP($A57,Products!$A$59:$H$159,5,FALSE)))</f>
        <v/>
      </c>
      <c r="F58" s="46" t="str">
        <f>IF($A$54="","",IF(VLOOKUP($A57,Products!$A$59:$H$159,8,FALSE)="","",VLOOKUP($A57,Products!$A$59:$H$159,8,FALSE)))</f>
        <v/>
      </c>
      <c r="G58" s="46" t="str">
        <f>IF($F58="","",$F58*$G$54)</f>
        <v/>
      </c>
      <c r="H58" s="51" t="str">
        <f t="shared" si="10"/>
        <v/>
      </c>
    </row>
    <row r="59" spans="1:8" x14ac:dyDescent="0.2">
      <c r="A59" s="649" t="str">
        <f t="shared" si="8"/>
        <v>AAAAA</v>
      </c>
      <c r="B59" s="650"/>
      <c r="C59" s="77" t="s">
        <v>9363</v>
      </c>
      <c r="D59" s="77" t="s">
        <v>9363</v>
      </c>
      <c r="E59" s="74" t="str">
        <f>IF($A$54="","",IF(VLOOKUP($A58,Products!$A$59:$H$159,5,FALSE)="","",VLOOKUP($A58,Products!$A$59:$H$159,5,FALSE)))</f>
        <v/>
      </c>
      <c r="F59" s="46" t="str">
        <f>IF($A$54="","",IF(VLOOKUP($A58,Products!$A$59:$H$159,8,FALSE)="","",VLOOKUP($A58,Products!$A$59:$H$159,8,FALSE)))</f>
        <v/>
      </c>
      <c r="G59" s="46" t="str">
        <f t="shared" si="9"/>
        <v/>
      </c>
      <c r="H59" s="51" t="str">
        <f t="shared" si="10"/>
        <v/>
      </c>
    </row>
    <row r="60" spans="1:8" x14ac:dyDescent="0.2">
      <c r="A60" s="649" t="str">
        <f t="shared" si="8"/>
        <v>AAAAAA</v>
      </c>
      <c r="B60" s="650"/>
      <c r="C60" s="77" t="s">
        <v>9363</v>
      </c>
      <c r="D60" s="77" t="s">
        <v>9363</v>
      </c>
      <c r="E60" s="74" t="str">
        <f>IF($A$54="","",IF(VLOOKUP($A59,Products!$A$59:$H$159,5,FALSE)="","",VLOOKUP($A59,Products!$A$59:$H$159,5,FALSE)))</f>
        <v/>
      </c>
      <c r="F60" s="46" t="str">
        <f>IF($A$54="","",IF(VLOOKUP($A59,Products!$A$59:$H$159,8,FALSE)="","",VLOOKUP($A59,Products!$A$59:$H$159,8,FALSE)))</f>
        <v/>
      </c>
      <c r="G60" s="46" t="str">
        <f t="shared" si="9"/>
        <v/>
      </c>
      <c r="H60" s="51" t="str">
        <f t="shared" si="10"/>
        <v/>
      </c>
    </row>
    <row r="61" spans="1:8" x14ac:dyDescent="0.2">
      <c r="A61" s="649" t="str">
        <f t="shared" si="8"/>
        <v>AAAAAAA</v>
      </c>
      <c r="B61" s="650"/>
      <c r="C61" s="77" t="s">
        <v>9363</v>
      </c>
      <c r="D61" s="77" t="s">
        <v>9363</v>
      </c>
      <c r="E61" s="74" t="str">
        <f>IF($A$54="","",IF(VLOOKUP($A60,Products!$A$59:$H$159,5,FALSE)="","",VLOOKUP($A60,Products!$A$59:$H$159,5,FALSE)))</f>
        <v/>
      </c>
      <c r="F61" s="46" t="str">
        <f>IF($A$54="","",IF(VLOOKUP($A60,Products!$A$59:$H$159,8,FALSE)="","",VLOOKUP($A60,Products!$A$59:$H$159,8,FALSE)))</f>
        <v/>
      </c>
      <c r="G61" s="46" t="str">
        <f t="shared" si="9"/>
        <v/>
      </c>
      <c r="H61" s="51" t="str">
        <f t="shared" si="10"/>
        <v/>
      </c>
    </row>
    <row r="62" spans="1:8" ht="14.25" customHeight="1" x14ac:dyDescent="0.2">
      <c r="A62" s="649" t="str">
        <f t="shared" si="8"/>
        <v>AAAAAAAA</v>
      </c>
      <c r="B62" s="650"/>
      <c r="C62" s="77" t="s">
        <v>9363</v>
      </c>
      <c r="D62" s="77" t="s">
        <v>9363</v>
      </c>
      <c r="E62" s="74" t="str">
        <f>IF($A$54="","",IF(VLOOKUP($A61,Products!$A$59:$H$159,5,FALSE)="","",VLOOKUP($A61,Products!$A$59:$H$159,5,FALSE)))</f>
        <v/>
      </c>
      <c r="F62" s="46" t="str">
        <f>IF($A$54="","",IF(VLOOKUP($A61,Products!$A$59:$H$159,8,FALSE)="","",VLOOKUP($A61,Products!$A$59:$H$159,8,FALSE)))</f>
        <v/>
      </c>
      <c r="G62" s="46" t="str">
        <f t="shared" si="9"/>
        <v/>
      </c>
      <c r="H62" s="51" t="str">
        <f t="shared" si="10"/>
        <v/>
      </c>
    </row>
    <row r="63" spans="1:8" ht="14.25" customHeight="1" x14ac:dyDescent="0.2">
      <c r="A63" s="649" t="str">
        <f t="shared" si="8"/>
        <v>AAAAAAAAA</v>
      </c>
      <c r="B63" s="650"/>
      <c r="C63" s="77" t="s">
        <v>9363</v>
      </c>
      <c r="D63" s="77" t="s">
        <v>9363</v>
      </c>
      <c r="E63" s="74" t="str">
        <f>IF($A$54="","",IF(VLOOKUP($A62,Products!$A$59:$H$159,5,FALSE)="","",VLOOKUP($A62,Products!$A$59:$H$159,5,FALSE)))</f>
        <v/>
      </c>
      <c r="F63" s="46" t="str">
        <f>IF($A$54="","",IF(VLOOKUP($A62,Products!$A$59:$H$159,8,FALSE)="","",VLOOKUP($A62,Products!$A$59:$H$159,8,FALSE)))</f>
        <v/>
      </c>
      <c r="G63" s="46" t="str">
        <f t="shared" si="9"/>
        <v/>
      </c>
      <c r="H63" s="51" t="str">
        <f t="shared" si="10"/>
        <v/>
      </c>
    </row>
    <row r="64" spans="1:8" ht="14.25" customHeight="1" x14ac:dyDescent="0.2">
      <c r="A64" s="649" t="str">
        <f t="shared" si="8"/>
        <v>AAAAAAAAAA</v>
      </c>
      <c r="B64" s="650"/>
      <c r="C64" s="77" t="s">
        <v>9363</v>
      </c>
      <c r="D64" s="77" t="s">
        <v>9363</v>
      </c>
      <c r="E64" s="74" t="str">
        <f>IF($A$54="","",IF(VLOOKUP($A63,Products!$A$59:$H$159,5,FALSE)="","",VLOOKUP($A63,Products!$A$59:$H$159,5,FALSE)))</f>
        <v/>
      </c>
      <c r="F64" s="46" t="str">
        <f>IF($A$54="","",IF(VLOOKUP($A63,Products!$A$59:$H$159,8,FALSE)="","",VLOOKUP($A63,Products!$A$59:$H$159,8,FALSE)))</f>
        <v/>
      </c>
      <c r="G64" s="46" t="str">
        <f t="shared" si="9"/>
        <v/>
      </c>
      <c r="H64" s="51" t="str">
        <f t="shared" si="10"/>
        <v/>
      </c>
    </row>
    <row r="65" spans="1:8" ht="14.25" customHeight="1" x14ac:dyDescent="0.2">
      <c r="A65" s="651"/>
      <c r="B65" s="615"/>
      <c r="C65" s="75"/>
      <c r="D65" s="76"/>
      <c r="E65" s="73" t="s">
        <v>291</v>
      </c>
      <c r="F65" s="46">
        <v>1</v>
      </c>
      <c r="G65" s="40"/>
      <c r="H65" s="47"/>
    </row>
    <row r="66" spans="1:8" x14ac:dyDescent="0.2">
      <c r="A66" s="627" t="str">
        <f>A65&amp;"A"</f>
        <v>A</v>
      </c>
      <c r="B66" s="628"/>
      <c r="C66" s="77" t="s">
        <v>9363</v>
      </c>
      <c r="D66" s="77" t="s">
        <v>9363</v>
      </c>
      <c r="E66" s="74" t="str">
        <f>IF($A$65="","",IF(VLOOKUP($A65,Products!$A$59:$H$159,5,FALSE)="","",VLOOKUP($A65,Products!$A$59:$H$159,5,FALSE)))</f>
        <v/>
      </c>
      <c r="F66" s="46" t="str">
        <f>IF($A$65="","",IF(VLOOKUP($A65,Products!$A$59:$H$159,8,FALSE)="","",VLOOKUP($A65,Products!$A$59:$H$159,8,FALSE)))</f>
        <v/>
      </c>
      <c r="G66" s="46" t="str">
        <f>IF($F66="","",$F66*$G$65)</f>
        <v/>
      </c>
      <c r="H66" s="51" t="str">
        <f>IF($F66="","",$F66*$H$65)</f>
        <v/>
      </c>
    </row>
    <row r="67" spans="1:8" x14ac:dyDescent="0.2">
      <c r="A67" s="649" t="str">
        <f t="shared" ref="A67:A75" si="11">A66&amp;"A"</f>
        <v>AA</v>
      </c>
      <c r="B67" s="650"/>
      <c r="C67" s="77" t="s">
        <v>9363</v>
      </c>
      <c r="D67" s="77" t="s">
        <v>9363</v>
      </c>
      <c r="E67" s="74" t="str">
        <f>IF($A$65="","",IF(VLOOKUP($A66,Products!$A$59:$H$159,5,FALSE)="","",VLOOKUP($A66,Products!$A$59:$H$159,5,FALSE)))</f>
        <v/>
      </c>
      <c r="F67" s="46" t="str">
        <f>IF($A$65="","",IF(VLOOKUP($A66,Products!$A$59:$H$159,8,FALSE)="","",VLOOKUP($A66,Products!$A$59:$H$159,8,FALSE)))</f>
        <v/>
      </c>
      <c r="G67" s="46" t="str">
        <f t="shared" ref="G67:G75" si="12">IF($F67="","",$F67*$G$65)</f>
        <v/>
      </c>
      <c r="H67" s="51" t="str">
        <f t="shared" ref="H67:H75" si="13">IF($F67="","",$F67*$H$65)</f>
        <v/>
      </c>
    </row>
    <row r="68" spans="1:8" x14ac:dyDescent="0.2">
      <c r="A68" s="649" t="str">
        <f t="shared" si="11"/>
        <v>AAA</v>
      </c>
      <c r="B68" s="650"/>
      <c r="C68" s="77" t="s">
        <v>9363</v>
      </c>
      <c r="D68" s="77" t="s">
        <v>9363</v>
      </c>
      <c r="E68" s="74" t="str">
        <f>IF($A$65="","",IF(VLOOKUP($A67,Products!$A$59:$H$159,5,FALSE)="","",VLOOKUP($A67,Products!$A$59:$H$159,5,FALSE)))</f>
        <v/>
      </c>
      <c r="F68" s="46" t="str">
        <f>IF($A$65="","",IF(VLOOKUP($A67,Products!$A$59:$H$159,8,FALSE)="","",VLOOKUP($A67,Products!$A$59:$H$159,8,FALSE)))</f>
        <v/>
      </c>
      <c r="G68" s="46" t="str">
        <f t="shared" si="12"/>
        <v/>
      </c>
      <c r="H68" s="51" t="str">
        <f t="shared" si="13"/>
        <v/>
      </c>
    </row>
    <row r="69" spans="1:8" x14ac:dyDescent="0.2">
      <c r="A69" s="649" t="str">
        <f t="shared" si="11"/>
        <v>AAAA</v>
      </c>
      <c r="B69" s="650"/>
      <c r="C69" s="77" t="s">
        <v>9363</v>
      </c>
      <c r="D69" s="77" t="s">
        <v>9363</v>
      </c>
      <c r="E69" s="74" t="str">
        <f>IF($A$65="","",IF(VLOOKUP($A68,Products!$A$59:$H$159,5,FALSE)="","",VLOOKUP($A68,Products!$A$59:$H$159,5,FALSE)))</f>
        <v/>
      </c>
      <c r="F69" s="46" t="str">
        <f>IF($A$65="","",IF(VLOOKUP($A68,Products!$A$59:$H$159,8,FALSE)="","",VLOOKUP($A68,Products!$A$59:$H$159,8,FALSE)))</f>
        <v/>
      </c>
      <c r="G69" s="46" t="str">
        <f>IF($F69="","",$F69*$G$65)</f>
        <v/>
      </c>
      <c r="H69" s="51" t="str">
        <f>IF($F69="","",$F69*$H$65)</f>
        <v/>
      </c>
    </row>
    <row r="70" spans="1:8" x14ac:dyDescent="0.2">
      <c r="A70" s="649" t="str">
        <f t="shared" si="11"/>
        <v>AAAAA</v>
      </c>
      <c r="B70" s="650"/>
      <c r="C70" s="77" t="s">
        <v>9363</v>
      </c>
      <c r="D70" s="77" t="s">
        <v>9363</v>
      </c>
      <c r="E70" s="74" t="str">
        <f>IF($A$65="","",IF(VLOOKUP($A69,Products!$A$59:$H$159,5,FALSE)="","",VLOOKUP($A69,Products!$A$59:$H$159,5,FALSE)))</f>
        <v/>
      </c>
      <c r="F70" s="46" t="str">
        <f>IF($A$65="","",IF(VLOOKUP($A69,Products!$A$59:$H$159,8,FALSE)="","",VLOOKUP($A69,Products!$A$59:$H$159,8,FALSE)))</f>
        <v/>
      </c>
      <c r="G70" s="46" t="str">
        <f t="shared" si="12"/>
        <v/>
      </c>
      <c r="H70" s="51" t="str">
        <f t="shared" si="13"/>
        <v/>
      </c>
    </row>
    <row r="71" spans="1:8" x14ac:dyDescent="0.2">
      <c r="A71" s="649" t="str">
        <f t="shared" si="11"/>
        <v>AAAAAA</v>
      </c>
      <c r="B71" s="650"/>
      <c r="C71" s="77" t="s">
        <v>9363</v>
      </c>
      <c r="D71" s="77" t="s">
        <v>9363</v>
      </c>
      <c r="E71" s="74" t="str">
        <f>IF($A$65="","",IF(VLOOKUP($A70,Products!$A$59:$H$159,5,FALSE)="","",VLOOKUP($A70,Products!$A$59:$H$159,5,FALSE)))</f>
        <v/>
      </c>
      <c r="F71" s="46" t="str">
        <f>IF($A$65="","",IF(VLOOKUP($A70,Products!$A$59:$H$159,8,FALSE)="","",VLOOKUP($A70,Products!$A$59:$H$159,8,FALSE)))</f>
        <v/>
      </c>
      <c r="G71" s="46" t="str">
        <f t="shared" si="12"/>
        <v/>
      </c>
      <c r="H71" s="51" t="str">
        <f t="shared" si="13"/>
        <v/>
      </c>
    </row>
    <row r="72" spans="1:8" x14ac:dyDescent="0.2">
      <c r="A72" s="649" t="str">
        <f t="shared" si="11"/>
        <v>AAAAAAA</v>
      </c>
      <c r="B72" s="650"/>
      <c r="C72" s="77" t="s">
        <v>9363</v>
      </c>
      <c r="D72" s="77" t="s">
        <v>9363</v>
      </c>
      <c r="E72" s="74" t="str">
        <f>IF($A$65="","",IF(VLOOKUP($A71,Products!$A$59:$H$159,5,FALSE)="","",VLOOKUP($A71,Products!$A$59:$H$159,5,FALSE)))</f>
        <v/>
      </c>
      <c r="F72" s="46" t="str">
        <f>IF($A$65="","",IF(VLOOKUP($A71,Products!$A$59:$H$159,8,FALSE)="","",VLOOKUP($A71,Products!$A$59:$H$159,8,FALSE)))</f>
        <v/>
      </c>
      <c r="G72" s="46" t="str">
        <f t="shared" si="12"/>
        <v/>
      </c>
      <c r="H72" s="51" t="str">
        <f t="shared" si="13"/>
        <v/>
      </c>
    </row>
    <row r="73" spans="1:8" x14ac:dyDescent="0.2">
      <c r="A73" s="649" t="str">
        <f t="shared" si="11"/>
        <v>AAAAAAAA</v>
      </c>
      <c r="B73" s="650"/>
      <c r="C73" s="77" t="s">
        <v>9363</v>
      </c>
      <c r="D73" s="77" t="s">
        <v>9363</v>
      </c>
      <c r="E73" s="74" t="str">
        <f>IF($A$65="","",IF(VLOOKUP($A72,Products!$A$59:$H$159,5,FALSE)="","",VLOOKUP($A72,Products!$A$59:$H$159,5,FALSE)))</f>
        <v/>
      </c>
      <c r="F73" s="46" t="str">
        <f>IF($A$65="","",IF(VLOOKUP($A72,Products!$A$59:$H$159,8,FALSE)="","",VLOOKUP($A72,Products!$A$59:$H$159,8,FALSE)))</f>
        <v/>
      </c>
      <c r="G73" s="46" t="str">
        <f>IF($F73="","",$F73*$G$65)</f>
        <v/>
      </c>
      <c r="H73" s="51" t="str">
        <f>IF($F73="","",$F73*$H$65)</f>
        <v/>
      </c>
    </row>
    <row r="74" spans="1:8" x14ac:dyDescent="0.2">
      <c r="A74" s="649" t="str">
        <f t="shared" si="11"/>
        <v>AAAAAAAAA</v>
      </c>
      <c r="B74" s="650"/>
      <c r="C74" s="77" t="s">
        <v>9363</v>
      </c>
      <c r="D74" s="77" t="s">
        <v>9363</v>
      </c>
      <c r="E74" s="74" t="str">
        <f>IF($A$65="","",IF(VLOOKUP($A73,Products!$A$59:$H$159,5,FALSE)="","",VLOOKUP($A73,Products!$A$59:$H$159,5,FALSE)))</f>
        <v/>
      </c>
      <c r="F74" s="46" t="str">
        <f>IF($A$65="","",IF(VLOOKUP($A73,Products!$A$59:$H$159,8,FALSE)="","",VLOOKUP($A73,Products!$A$59:$H$159,8,FALSE)))</f>
        <v/>
      </c>
      <c r="G74" s="46" t="str">
        <f t="shared" si="12"/>
        <v/>
      </c>
      <c r="H74" s="51" t="str">
        <f t="shared" si="13"/>
        <v/>
      </c>
    </row>
    <row r="75" spans="1:8" x14ac:dyDescent="0.2">
      <c r="A75" s="649" t="str">
        <f t="shared" si="11"/>
        <v>AAAAAAAAAA</v>
      </c>
      <c r="B75" s="650"/>
      <c r="C75" s="77" t="s">
        <v>9363</v>
      </c>
      <c r="D75" s="77" t="s">
        <v>9363</v>
      </c>
      <c r="E75" s="74" t="str">
        <f>IF($A$65="","",IF(VLOOKUP($A74,Products!$A$59:$H$159,5,FALSE)="","",VLOOKUP($A74,Products!$A$59:$H$159,5,FALSE)))</f>
        <v/>
      </c>
      <c r="F75" s="46" t="str">
        <f>IF($A$65="","",IF(VLOOKUP($A74,Products!$A$59:$H$159,8,FALSE)="","",VLOOKUP($A74,Products!$A$59:$H$159,8,FALSE)))</f>
        <v/>
      </c>
      <c r="G75" s="46" t="str">
        <f t="shared" si="12"/>
        <v/>
      </c>
      <c r="H75" s="51" t="str">
        <f t="shared" si="13"/>
        <v/>
      </c>
    </row>
    <row r="76" spans="1:8" ht="14.25" customHeight="1" x14ac:dyDescent="0.2">
      <c r="A76" s="651"/>
      <c r="B76" s="615"/>
      <c r="C76" s="75"/>
      <c r="D76" s="76"/>
      <c r="E76" s="73" t="s">
        <v>291</v>
      </c>
      <c r="F76" s="46">
        <v>1</v>
      </c>
      <c r="G76" s="40"/>
      <c r="H76" s="47"/>
    </row>
    <row r="77" spans="1:8" x14ac:dyDescent="0.2">
      <c r="A77" s="627" t="str">
        <f>A76&amp;"A"</f>
        <v>A</v>
      </c>
      <c r="B77" s="628"/>
      <c r="C77" s="77" t="s">
        <v>9363</v>
      </c>
      <c r="D77" s="77" t="s">
        <v>9363</v>
      </c>
      <c r="E77" s="74" t="str">
        <f>IF($A$76="","",IF(VLOOKUP($A76,Products!$A$59:$H$159,5,FALSE)="","",VLOOKUP($A76,Products!$A$59:$H$159,5,FALSE)))</f>
        <v/>
      </c>
      <c r="F77" s="46" t="str">
        <f>IF($A$76="","",IF(VLOOKUP($A76,Products!$A$59:$H$159,8,FALSE)="","",VLOOKUP($A76,Products!$A$59:$H$159,8,FALSE)))</f>
        <v/>
      </c>
      <c r="G77" s="46" t="str">
        <f>IF($F77="","",$F77*$G$76)</f>
        <v/>
      </c>
      <c r="H77" s="51" t="str">
        <f>IF($F77="","",$F77*$H$76)</f>
        <v/>
      </c>
    </row>
    <row r="78" spans="1:8" x14ac:dyDescent="0.2">
      <c r="A78" s="649" t="str">
        <f t="shared" ref="A78:A86" si="14">A77&amp;"A"</f>
        <v>AA</v>
      </c>
      <c r="B78" s="650"/>
      <c r="C78" s="77" t="s">
        <v>9363</v>
      </c>
      <c r="D78" s="77" t="s">
        <v>9363</v>
      </c>
      <c r="E78" s="74" t="str">
        <f>IF($A$76="","",IF(VLOOKUP($A77,Products!$A$59:$H$159,5,FALSE)="","",VLOOKUP($A77,Products!$A$59:$H$159,5,FALSE)))</f>
        <v/>
      </c>
      <c r="F78" s="46" t="str">
        <f>IF($A$76="","",IF(VLOOKUP($A77,Products!$A$59:$H$159,8,FALSE)="","",VLOOKUP($A77,Products!$A$59:$H$159,8,FALSE)))</f>
        <v/>
      </c>
      <c r="G78" s="46" t="str">
        <f t="shared" ref="G78:G86" si="15">IF($F78="","",$F78*$G$76)</f>
        <v/>
      </c>
      <c r="H78" s="51" t="str">
        <f t="shared" ref="H78:H86" si="16">IF($F78="","",$F78*$H$76)</f>
        <v/>
      </c>
    </row>
    <row r="79" spans="1:8" x14ac:dyDescent="0.2">
      <c r="A79" s="649" t="str">
        <f t="shared" si="14"/>
        <v>AAA</v>
      </c>
      <c r="B79" s="650"/>
      <c r="C79" s="77" t="s">
        <v>9363</v>
      </c>
      <c r="D79" s="77" t="s">
        <v>9363</v>
      </c>
      <c r="E79" s="74" t="str">
        <f>IF($A$76="","",IF(VLOOKUP($A78,Products!$A$59:$H$159,5,FALSE)="","",VLOOKUP($A78,Products!$A$59:$H$159,5,FALSE)))</f>
        <v/>
      </c>
      <c r="F79" s="46" t="str">
        <f>IF($A$76="","",IF(VLOOKUP($A78,Products!$A$59:$H$159,8,FALSE)="","",VLOOKUP($A78,Products!$A$59:$H$159,8,FALSE)))</f>
        <v/>
      </c>
      <c r="G79" s="46" t="str">
        <f t="shared" si="15"/>
        <v/>
      </c>
      <c r="H79" s="51" t="str">
        <f t="shared" si="16"/>
        <v/>
      </c>
    </row>
    <row r="80" spans="1:8" x14ac:dyDescent="0.2">
      <c r="A80" s="649" t="str">
        <f t="shared" si="14"/>
        <v>AAAA</v>
      </c>
      <c r="B80" s="650"/>
      <c r="C80" s="77" t="s">
        <v>9363</v>
      </c>
      <c r="D80" s="77" t="s">
        <v>9363</v>
      </c>
      <c r="E80" s="74" t="str">
        <f>IF($A$76="","",IF(VLOOKUP($A79,Products!$A$59:$H$159,5,FALSE)="","",VLOOKUP($A79,Products!$A$59:$H$159,5,FALSE)))</f>
        <v/>
      </c>
      <c r="F80" s="46" t="str">
        <f>IF($A$76="","",IF(VLOOKUP($A79,Products!$A$59:$H$159,8,FALSE)="","",VLOOKUP($A79,Products!$A$59:$H$159,8,FALSE)))</f>
        <v/>
      </c>
      <c r="G80" s="46" t="str">
        <f t="shared" si="15"/>
        <v/>
      </c>
      <c r="H80" s="51" t="str">
        <f t="shared" si="16"/>
        <v/>
      </c>
    </row>
    <row r="81" spans="1:8" x14ac:dyDescent="0.2">
      <c r="A81" s="649" t="str">
        <f t="shared" si="14"/>
        <v>AAAAA</v>
      </c>
      <c r="B81" s="650"/>
      <c r="C81" s="77" t="s">
        <v>9363</v>
      </c>
      <c r="D81" s="77" t="s">
        <v>9363</v>
      </c>
      <c r="E81" s="74" t="str">
        <f>IF($A$76="","",IF(VLOOKUP($A80,Products!$A$59:$H$159,5,FALSE)="","",VLOOKUP($A80,Products!$A$59:$H$159,5,FALSE)))</f>
        <v/>
      </c>
      <c r="F81" s="46" t="str">
        <f>IF($A$76="","",IF(VLOOKUP($A80,Products!$A$59:$H$159,8,FALSE)="","",VLOOKUP($A80,Products!$A$59:$H$159,8,FALSE)))</f>
        <v/>
      </c>
      <c r="G81" s="46" t="str">
        <f t="shared" si="15"/>
        <v/>
      </c>
      <c r="H81" s="51" t="str">
        <f t="shared" si="16"/>
        <v/>
      </c>
    </row>
    <row r="82" spans="1:8" x14ac:dyDescent="0.2">
      <c r="A82" s="649" t="str">
        <f t="shared" si="14"/>
        <v>AAAAAA</v>
      </c>
      <c r="B82" s="650"/>
      <c r="C82" s="77" t="s">
        <v>9363</v>
      </c>
      <c r="D82" s="77" t="s">
        <v>9363</v>
      </c>
      <c r="E82" s="74" t="str">
        <f>IF($A$76="","",IF(VLOOKUP($A81,Products!$A$59:$H$159,5,FALSE)="","",VLOOKUP($A81,Products!$A$59:$H$159,5,FALSE)))</f>
        <v/>
      </c>
      <c r="F82" s="46" t="str">
        <f>IF($A$76="","",IF(VLOOKUP($A81,Products!$A$59:$H$159,8,FALSE)="","",VLOOKUP($A81,Products!$A$59:$H$159,8,FALSE)))</f>
        <v/>
      </c>
      <c r="G82" s="46" t="str">
        <f t="shared" si="15"/>
        <v/>
      </c>
      <c r="H82" s="51" t="str">
        <f t="shared" si="16"/>
        <v/>
      </c>
    </row>
    <row r="83" spans="1:8" x14ac:dyDescent="0.2">
      <c r="A83" s="649" t="str">
        <f t="shared" si="14"/>
        <v>AAAAAAA</v>
      </c>
      <c r="B83" s="650"/>
      <c r="C83" s="77" t="s">
        <v>9363</v>
      </c>
      <c r="D83" s="77" t="s">
        <v>9363</v>
      </c>
      <c r="E83" s="74" t="str">
        <f>IF($A$76="","",IF(VLOOKUP($A82,Products!$A$59:$H$159,5,FALSE)="","",VLOOKUP($A82,Products!$A$59:$H$159,5,FALSE)))</f>
        <v/>
      </c>
      <c r="F83" s="46" t="str">
        <f>IF($A$76="","",IF(VLOOKUP($A82,Products!$A$59:$H$159,8,FALSE)="","",VLOOKUP($A82,Products!$A$59:$H$159,8,FALSE)))</f>
        <v/>
      </c>
      <c r="G83" s="46" t="str">
        <f t="shared" si="15"/>
        <v/>
      </c>
      <c r="H83" s="51" t="str">
        <f t="shared" si="16"/>
        <v/>
      </c>
    </row>
    <row r="84" spans="1:8" x14ac:dyDescent="0.2">
      <c r="A84" s="649" t="str">
        <f t="shared" si="14"/>
        <v>AAAAAAAA</v>
      </c>
      <c r="B84" s="650"/>
      <c r="C84" s="77" t="s">
        <v>9363</v>
      </c>
      <c r="D84" s="77" t="s">
        <v>9363</v>
      </c>
      <c r="E84" s="74" t="str">
        <f>IF($A$76="","",IF(VLOOKUP($A83,Products!$A$59:$H$159,5,FALSE)="","",VLOOKUP($A83,Products!$A$59:$H$159,5,FALSE)))</f>
        <v/>
      </c>
      <c r="F84" s="46" t="str">
        <f>IF($A$76="","",IF(VLOOKUP($A83,Products!$A$59:$H$159,8,FALSE)="","",VLOOKUP($A83,Products!$A$59:$H$159,8,FALSE)))</f>
        <v/>
      </c>
      <c r="G84" s="46" t="str">
        <f t="shared" si="15"/>
        <v/>
      </c>
      <c r="H84" s="51" t="str">
        <f t="shared" si="16"/>
        <v/>
      </c>
    </row>
    <row r="85" spans="1:8" ht="14.25" customHeight="1" x14ac:dyDescent="0.2">
      <c r="A85" s="649" t="str">
        <f t="shared" si="14"/>
        <v>AAAAAAAAA</v>
      </c>
      <c r="B85" s="650"/>
      <c r="C85" s="77" t="s">
        <v>9363</v>
      </c>
      <c r="D85" s="77" t="s">
        <v>9363</v>
      </c>
      <c r="E85" s="74" t="str">
        <f>IF($A$76="","",IF(VLOOKUP($A84,Products!$A$59:$H$159,5,FALSE)="","",VLOOKUP($A84,Products!$A$59:$H$159,5,FALSE)))</f>
        <v/>
      </c>
      <c r="F85" s="46" t="str">
        <f>IF($A$76="","",IF(VLOOKUP($A84,Products!$A$59:$H$159,8,FALSE)="","",VLOOKUP($A84,Products!$A$59:$H$159,8,FALSE)))</f>
        <v/>
      </c>
      <c r="G85" s="46" t="str">
        <f t="shared" si="15"/>
        <v/>
      </c>
      <c r="H85" s="51" t="str">
        <f t="shared" si="16"/>
        <v/>
      </c>
    </row>
    <row r="86" spans="1:8" ht="14.25" customHeight="1" x14ac:dyDescent="0.2">
      <c r="A86" s="649" t="str">
        <f t="shared" si="14"/>
        <v>AAAAAAAAAA</v>
      </c>
      <c r="B86" s="650"/>
      <c r="C86" s="77" t="s">
        <v>9363</v>
      </c>
      <c r="D86" s="77" t="s">
        <v>9363</v>
      </c>
      <c r="E86" s="74" t="str">
        <f>IF($A$76="","",IF(VLOOKUP($A85,Products!$A$59:$H$159,5,FALSE)="","",VLOOKUP($A85,Products!$A$59:$H$159,5,FALSE)))</f>
        <v/>
      </c>
      <c r="F86" s="46" t="str">
        <f>IF($A$76="","",IF(VLOOKUP($A85,Products!$A$59:$H$159,8,FALSE)="","",VLOOKUP($A85,Products!$A$59:$H$159,8,FALSE)))</f>
        <v/>
      </c>
      <c r="G86" s="46" t="str">
        <f t="shared" si="15"/>
        <v/>
      </c>
      <c r="H86" s="51" t="str">
        <f t="shared" si="16"/>
        <v/>
      </c>
    </row>
    <row r="87" spans="1:8" ht="14.25" customHeight="1" x14ac:dyDescent="0.2">
      <c r="A87" s="651"/>
      <c r="B87" s="615"/>
      <c r="C87" s="75"/>
      <c r="D87" s="76"/>
      <c r="E87" s="73" t="s">
        <v>291</v>
      </c>
      <c r="F87" s="46">
        <v>1</v>
      </c>
      <c r="G87" s="40"/>
      <c r="H87" s="47"/>
    </row>
    <row r="88" spans="1:8" x14ac:dyDescent="0.2">
      <c r="A88" s="627" t="str">
        <f>A87&amp;"A"</f>
        <v>A</v>
      </c>
      <c r="B88" s="628"/>
      <c r="C88" s="77" t="s">
        <v>9363</v>
      </c>
      <c r="D88" s="77" t="s">
        <v>9363</v>
      </c>
      <c r="E88" s="74" t="str">
        <f>IF($A$87="","",IF(VLOOKUP($A87,Products!$A$59:$H$159,5,FALSE)="","",VLOOKUP($A87,Products!$A$59:$H$159,5,FALSE)))</f>
        <v/>
      </c>
      <c r="F88" s="46" t="str">
        <f>IF($A$87="","",IF(VLOOKUP($A87,Products!$A$59:$H$159,8,FALSE)="","",VLOOKUP($A87,Products!$A$59:$H$159,8,FALSE)))</f>
        <v/>
      </c>
      <c r="G88" s="46" t="str">
        <f>IF($F88="","",$F88*$G$87)</f>
        <v/>
      </c>
      <c r="H88" s="51" t="str">
        <f>IF($F88="","",$F88*$H$87)</f>
        <v/>
      </c>
    </row>
    <row r="89" spans="1:8" x14ac:dyDescent="0.2">
      <c r="A89" s="649" t="str">
        <f t="shared" ref="A89:A97" si="17">A88&amp;"A"</f>
        <v>AA</v>
      </c>
      <c r="B89" s="650"/>
      <c r="C89" s="77" t="s">
        <v>9363</v>
      </c>
      <c r="D89" s="77" t="s">
        <v>9363</v>
      </c>
      <c r="E89" s="74" t="str">
        <f>IF($A$87="","",IF(VLOOKUP($A88,Products!$A$59:$H$159,5,FALSE)="","",VLOOKUP($A88,Products!$A$59:$H$159,5,FALSE)))</f>
        <v/>
      </c>
      <c r="F89" s="46" t="str">
        <f>IF($A$87="","",IF(VLOOKUP($A88,Products!$A$59:$H$159,8,FALSE)="","",VLOOKUP($A88,Products!$A$59:$H$159,8,FALSE)))</f>
        <v/>
      </c>
      <c r="G89" s="46" t="str">
        <f t="shared" ref="G89:G97" si="18">IF($F89="","",$F89*$G$87)</f>
        <v/>
      </c>
      <c r="H89" s="51" t="str">
        <f t="shared" ref="H89:H97" si="19">IF($F89="","",$F89*$H$87)</f>
        <v/>
      </c>
    </row>
    <row r="90" spans="1:8" x14ac:dyDescent="0.2">
      <c r="A90" s="649" t="str">
        <f t="shared" si="17"/>
        <v>AAA</v>
      </c>
      <c r="B90" s="650"/>
      <c r="C90" s="77" t="s">
        <v>9363</v>
      </c>
      <c r="D90" s="77" t="s">
        <v>9363</v>
      </c>
      <c r="E90" s="74" t="str">
        <f>IF($A$87="","",IF(VLOOKUP($A89,Products!$A$59:$H$159,5,FALSE)="","",VLOOKUP($A89,Products!$A$59:$H$159,5,FALSE)))</f>
        <v/>
      </c>
      <c r="F90" s="46" t="str">
        <f>IF($A$87="","",IF(VLOOKUP($A89,Products!$A$59:$H$159,8,FALSE)="","",VLOOKUP($A89,Products!$A$59:$H$159,8,FALSE)))</f>
        <v/>
      </c>
      <c r="G90" s="46" t="str">
        <f t="shared" si="18"/>
        <v/>
      </c>
      <c r="H90" s="51" t="str">
        <f t="shared" si="19"/>
        <v/>
      </c>
    </row>
    <row r="91" spans="1:8" x14ac:dyDescent="0.2">
      <c r="A91" s="649" t="str">
        <f t="shared" si="17"/>
        <v>AAAA</v>
      </c>
      <c r="B91" s="650"/>
      <c r="C91" s="77" t="s">
        <v>9363</v>
      </c>
      <c r="D91" s="77" t="s">
        <v>9363</v>
      </c>
      <c r="E91" s="74" t="str">
        <f>IF($A$87="","",IF(VLOOKUP($A90,Products!$A$59:$H$159,5,FALSE)="","",VLOOKUP($A90,Products!$A$59:$H$159,5,FALSE)))</f>
        <v/>
      </c>
      <c r="F91" s="46" t="str">
        <f>IF($A$87="","",IF(VLOOKUP($A90,Products!$A$59:$H$159,8,FALSE)="","",VLOOKUP($A90,Products!$A$59:$H$159,8,FALSE)))</f>
        <v/>
      </c>
      <c r="G91" s="46" t="str">
        <f t="shared" si="18"/>
        <v/>
      </c>
      <c r="H91" s="51" t="str">
        <f t="shared" si="19"/>
        <v/>
      </c>
    </row>
    <row r="92" spans="1:8" x14ac:dyDescent="0.2">
      <c r="A92" s="649" t="str">
        <f t="shared" si="17"/>
        <v>AAAAA</v>
      </c>
      <c r="B92" s="650"/>
      <c r="C92" s="77" t="s">
        <v>9363</v>
      </c>
      <c r="D92" s="77" t="s">
        <v>9363</v>
      </c>
      <c r="E92" s="74" t="str">
        <f>IF($A$87="","",IF(VLOOKUP($A91,Products!$A$59:$H$159,5,FALSE)="","",VLOOKUP($A91,Products!$A$59:$H$159,5,FALSE)))</f>
        <v/>
      </c>
      <c r="F92" s="46" t="str">
        <f>IF($A$87="","",IF(VLOOKUP($A91,Products!$A$59:$H$159,8,FALSE)="","",VLOOKUP($A91,Products!$A$59:$H$159,8,FALSE)))</f>
        <v/>
      </c>
      <c r="G92" s="46" t="str">
        <f t="shared" si="18"/>
        <v/>
      </c>
      <c r="H92" s="51" t="str">
        <f t="shared" si="19"/>
        <v/>
      </c>
    </row>
    <row r="93" spans="1:8" x14ac:dyDescent="0.2">
      <c r="A93" s="649" t="str">
        <f t="shared" si="17"/>
        <v>AAAAAA</v>
      </c>
      <c r="B93" s="650"/>
      <c r="C93" s="77" t="s">
        <v>9363</v>
      </c>
      <c r="D93" s="77" t="s">
        <v>9363</v>
      </c>
      <c r="E93" s="74" t="str">
        <f>IF($A$87="","",IF(VLOOKUP($A92,Products!$A$59:$H$159,5,FALSE)="","",VLOOKUP($A92,Products!$A$59:$H$159,5,FALSE)))</f>
        <v/>
      </c>
      <c r="F93" s="46" t="str">
        <f>IF($A$87="","",IF(VLOOKUP($A92,Products!$A$59:$H$159,8,FALSE)="","",VLOOKUP($A92,Products!$A$59:$H$159,8,FALSE)))</f>
        <v/>
      </c>
      <c r="G93" s="46" t="str">
        <f t="shared" si="18"/>
        <v/>
      </c>
      <c r="H93" s="51" t="str">
        <f t="shared" si="19"/>
        <v/>
      </c>
    </row>
    <row r="94" spans="1:8" x14ac:dyDescent="0.2">
      <c r="A94" s="649" t="str">
        <f t="shared" si="17"/>
        <v>AAAAAAA</v>
      </c>
      <c r="B94" s="650"/>
      <c r="C94" s="77" t="s">
        <v>9363</v>
      </c>
      <c r="D94" s="77" t="s">
        <v>9363</v>
      </c>
      <c r="E94" s="74" t="str">
        <f>IF($A$87="","",IF(VLOOKUP($A93,Products!$A$59:$H$159,5,FALSE)="","",VLOOKUP($A93,Products!$A$59:$H$159,5,FALSE)))</f>
        <v/>
      </c>
      <c r="F94" s="46" t="str">
        <f>IF($A$87="","",IF(VLOOKUP($A93,Products!$A$59:$H$159,8,FALSE)="","",VLOOKUP($A93,Products!$A$59:$H$159,8,FALSE)))</f>
        <v/>
      </c>
      <c r="G94" s="46" t="str">
        <f t="shared" si="18"/>
        <v/>
      </c>
      <c r="H94" s="51" t="str">
        <f t="shared" si="19"/>
        <v/>
      </c>
    </row>
    <row r="95" spans="1:8" ht="14.25" customHeight="1" x14ac:dyDescent="0.2">
      <c r="A95" s="649" t="str">
        <f t="shared" si="17"/>
        <v>AAAAAAAA</v>
      </c>
      <c r="B95" s="650"/>
      <c r="C95" s="77" t="s">
        <v>9363</v>
      </c>
      <c r="D95" s="77" t="s">
        <v>9363</v>
      </c>
      <c r="E95" s="74" t="str">
        <f>IF($A$87="","",IF(VLOOKUP($A94,Products!$A$59:$H$159,5,FALSE)="","",VLOOKUP($A94,Products!$A$59:$H$159,5,FALSE)))</f>
        <v/>
      </c>
      <c r="F95" s="46" t="str">
        <f>IF($A$87="","",IF(VLOOKUP($A94,Products!$A$59:$H$159,8,FALSE)="","",VLOOKUP($A94,Products!$A$59:$H$159,8,FALSE)))</f>
        <v/>
      </c>
      <c r="G95" s="46" t="str">
        <f t="shared" si="18"/>
        <v/>
      </c>
      <c r="H95" s="51" t="str">
        <f t="shared" si="19"/>
        <v/>
      </c>
    </row>
    <row r="96" spans="1:8" ht="14.25" customHeight="1" x14ac:dyDescent="0.2">
      <c r="A96" s="649" t="str">
        <f t="shared" si="17"/>
        <v>AAAAAAAAA</v>
      </c>
      <c r="B96" s="650"/>
      <c r="C96" s="77" t="s">
        <v>9363</v>
      </c>
      <c r="D96" s="77" t="s">
        <v>9363</v>
      </c>
      <c r="E96" s="74" t="str">
        <f>IF($A$87="","",IF(VLOOKUP($A95,Products!$A$59:$H$159,5,FALSE)="","",VLOOKUP($A95,Products!$A$59:$H$159,5,FALSE)))</f>
        <v/>
      </c>
      <c r="F96" s="46" t="str">
        <f>IF($A$87="","",IF(VLOOKUP($A95,Products!$A$59:$H$159,8,FALSE)="","",VLOOKUP($A95,Products!$A$59:$H$159,8,FALSE)))</f>
        <v/>
      </c>
      <c r="G96" s="46" t="str">
        <f t="shared" si="18"/>
        <v/>
      </c>
      <c r="H96" s="51" t="str">
        <f t="shared" si="19"/>
        <v/>
      </c>
    </row>
    <row r="97" spans="1:8" ht="14.25" customHeight="1" x14ac:dyDescent="0.2">
      <c r="A97" s="649" t="str">
        <f t="shared" si="17"/>
        <v>AAAAAAAAAA</v>
      </c>
      <c r="B97" s="650"/>
      <c r="C97" s="77" t="s">
        <v>9363</v>
      </c>
      <c r="D97" s="77" t="s">
        <v>9363</v>
      </c>
      <c r="E97" s="74" t="str">
        <f>IF($A$87="","",IF(VLOOKUP($A96,Products!$A$59:$H$159,5,FALSE)="","",VLOOKUP($A96,Products!$A$59:$H$159,5,FALSE)))</f>
        <v/>
      </c>
      <c r="F97" s="46" t="str">
        <f>IF($A$87="","",IF(VLOOKUP($A96,Products!$A$59:$H$159,8,FALSE)="","",VLOOKUP($A96,Products!$A$59:$H$159,8,FALSE)))</f>
        <v/>
      </c>
      <c r="G97" s="46" t="str">
        <f t="shared" si="18"/>
        <v/>
      </c>
      <c r="H97" s="51" t="str">
        <f t="shared" si="19"/>
        <v/>
      </c>
    </row>
    <row r="98" spans="1:8" ht="14.25" customHeight="1" x14ac:dyDescent="0.2">
      <c r="A98" s="651"/>
      <c r="B98" s="615"/>
      <c r="C98" s="75"/>
      <c r="D98" s="76"/>
      <c r="E98" s="73" t="s">
        <v>291</v>
      </c>
      <c r="F98" s="46">
        <v>1</v>
      </c>
      <c r="G98" s="40"/>
      <c r="H98" s="47"/>
    </row>
    <row r="99" spans="1:8" x14ac:dyDescent="0.2">
      <c r="A99" s="627" t="str">
        <f>A98&amp;"A"</f>
        <v>A</v>
      </c>
      <c r="B99" s="628"/>
      <c r="C99" s="77" t="s">
        <v>9363</v>
      </c>
      <c r="D99" s="77" t="s">
        <v>9363</v>
      </c>
      <c r="E99" s="74" t="str">
        <f>IF($A$98="","",IF(VLOOKUP($A98,Products!$A$59:$H$159,5,FALSE)="","",VLOOKUP($A98,Products!$A$59:$H$159,5,FALSE)))</f>
        <v/>
      </c>
      <c r="F99" s="46" t="str">
        <f>IF($A$98="","",IF(VLOOKUP($A98,Products!$A$59:$H$159,8,FALSE)="","",VLOOKUP($A98,Products!$A$59:$H$159,8,FALSE)))</f>
        <v/>
      </c>
      <c r="G99" s="46" t="str">
        <f>IF($F99="","",$F99*$G$98)</f>
        <v/>
      </c>
      <c r="H99" s="51" t="str">
        <f>IF($F99="","",$F99*$H$98)</f>
        <v/>
      </c>
    </row>
    <row r="100" spans="1:8" x14ac:dyDescent="0.2">
      <c r="A100" s="649" t="str">
        <f t="shared" ref="A100:A108" si="20">A99&amp;"A"</f>
        <v>AA</v>
      </c>
      <c r="B100" s="650"/>
      <c r="C100" s="77" t="s">
        <v>9363</v>
      </c>
      <c r="D100" s="77" t="s">
        <v>9363</v>
      </c>
      <c r="E100" s="74" t="str">
        <f>IF($A$98="","",IF(VLOOKUP($A99,Products!$A$59:$H$159,5,FALSE)="","",VLOOKUP($A99,Products!$A$59:$H$159,5,FALSE)))</f>
        <v/>
      </c>
      <c r="F100" s="46" t="str">
        <f>IF($A$98="","",IF(VLOOKUP($A99,Products!$A$59:$H$159,8,FALSE)="","",VLOOKUP($A99,Products!$A$59:$H$159,8,FALSE)))</f>
        <v/>
      </c>
      <c r="G100" s="46" t="str">
        <f t="shared" ref="G100:G108" si="21">IF($F100="","",$F100*$G$98)</f>
        <v/>
      </c>
      <c r="H100" s="51" t="str">
        <f t="shared" ref="H100:H108" si="22">IF($F100="","",$F100*$H$98)</f>
        <v/>
      </c>
    </row>
    <row r="101" spans="1:8" x14ac:dyDescent="0.2">
      <c r="A101" s="649" t="str">
        <f t="shared" si="20"/>
        <v>AAA</v>
      </c>
      <c r="B101" s="650"/>
      <c r="C101" s="77" t="s">
        <v>9363</v>
      </c>
      <c r="D101" s="77" t="s">
        <v>9363</v>
      </c>
      <c r="E101" s="74" t="str">
        <f>IF($A$98="","",IF(VLOOKUP($A100,Products!$A$59:$H$159,5,FALSE)="","",VLOOKUP($A100,Products!$A$59:$H$159,5,FALSE)))</f>
        <v/>
      </c>
      <c r="F101" s="46" t="str">
        <f>IF($A$98="","",IF(VLOOKUP($A100,Products!$A$59:$H$159,8,FALSE)="","",VLOOKUP($A100,Products!$A$59:$H$159,8,FALSE)))</f>
        <v/>
      </c>
      <c r="G101" s="46" t="str">
        <f t="shared" si="21"/>
        <v/>
      </c>
      <c r="H101" s="51" t="str">
        <f t="shared" si="22"/>
        <v/>
      </c>
    </row>
    <row r="102" spans="1:8" x14ac:dyDescent="0.2">
      <c r="A102" s="649" t="str">
        <f t="shared" si="20"/>
        <v>AAAA</v>
      </c>
      <c r="B102" s="650"/>
      <c r="C102" s="77" t="s">
        <v>9363</v>
      </c>
      <c r="D102" s="77" t="s">
        <v>9363</v>
      </c>
      <c r="E102" s="74" t="str">
        <f>IF($A$98="","",IF(VLOOKUP($A101,Products!$A$59:$H$159,5,FALSE)="","",VLOOKUP($A101,Products!$A$59:$H$159,5,FALSE)))</f>
        <v/>
      </c>
      <c r="F102" s="46" t="str">
        <f>IF($A$98="","",IF(VLOOKUP($A101,Products!$A$59:$H$159,8,FALSE)="","",VLOOKUP($A101,Products!$A$59:$H$159,8,FALSE)))</f>
        <v/>
      </c>
      <c r="G102" s="46" t="str">
        <f t="shared" si="21"/>
        <v/>
      </c>
      <c r="H102" s="51" t="str">
        <f t="shared" si="22"/>
        <v/>
      </c>
    </row>
    <row r="103" spans="1:8" x14ac:dyDescent="0.2">
      <c r="A103" s="649" t="str">
        <f t="shared" si="20"/>
        <v>AAAAA</v>
      </c>
      <c r="B103" s="650"/>
      <c r="C103" s="77" t="s">
        <v>9363</v>
      </c>
      <c r="D103" s="77" t="s">
        <v>9363</v>
      </c>
      <c r="E103" s="74" t="str">
        <f>IF($A$98="","",IF(VLOOKUP($A102,Products!$A$59:$H$159,5,FALSE)="","",VLOOKUP($A102,Products!$A$59:$H$159,5,FALSE)))</f>
        <v/>
      </c>
      <c r="F103" s="46" t="str">
        <f>IF($A$98="","",IF(VLOOKUP($A102,Products!$A$59:$H$159,8,FALSE)="","",VLOOKUP($A102,Products!$A$59:$H$159,8,FALSE)))</f>
        <v/>
      </c>
      <c r="G103" s="46" t="str">
        <f t="shared" si="21"/>
        <v/>
      </c>
      <c r="H103" s="51" t="str">
        <f t="shared" si="22"/>
        <v/>
      </c>
    </row>
    <row r="104" spans="1:8" x14ac:dyDescent="0.2">
      <c r="A104" s="649" t="str">
        <f t="shared" si="20"/>
        <v>AAAAAA</v>
      </c>
      <c r="B104" s="650"/>
      <c r="C104" s="77" t="s">
        <v>9363</v>
      </c>
      <c r="D104" s="77" t="s">
        <v>9363</v>
      </c>
      <c r="E104" s="74" t="str">
        <f>IF($A$98="","",IF(VLOOKUP($A103,Products!$A$59:$H$159,5,FALSE)="","",VLOOKUP($A103,Products!$A$59:$H$159,5,FALSE)))</f>
        <v/>
      </c>
      <c r="F104" s="46" t="str">
        <f>IF($A$98="","",IF(VLOOKUP($A103,Products!$A$59:$H$159,8,FALSE)="","",VLOOKUP($A103,Products!$A$59:$H$159,8,FALSE)))</f>
        <v/>
      </c>
      <c r="G104" s="46" t="str">
        <f t="shared" si="21"/>
        <v/>
      </c>
      <c r="H104" s="51" t="str">
        <f t="shared" si="22"/>
        <v/>
      </c>
    </row>
    <row r="105" spans="1:8" x14ac:dyDescent="0.2">
      <c r="A105" s="649" t="str">
        <f t="shared" si="20"/>
        <v>AAAAAAA</v>
      </c>
      <c r="B105" s="650"/>
      <c r="C105" s="77" t="s">
        <v>9363</v>
      </c>
      <c r="D105" s="77" t="s">
        <v>9363</v>
      </c>
      <c r="E105" s="74" t="str">
        <f>IF($A$98="","",IF(VLOOKUP($A104,Products!$A$59:$H$159,5,FALSE)="","",VLOOKUP($A104,Products!$A$59:$H$159,5,FALSE)))</f>
        <v/>
      </c>
      <c r="F105" s="46" t="str">
        <f>IF($A$98="","",IF(VLOOKUP($A104,Products!$A$59:$H$159,8,FALSE)="","",VLOOKUP($A104,Products!$A$59:$H$159,8,FALSE)))</f>
        <v/>
      </c>
      <c r="G105" s="46" t="str">
        <f>IF($F105="","",$F105*$G$98)</f>
        <v/>
      </c>
      <c r="H105" s="51" t="str">
        <f>IF($F105="","",$F105*$H$98)</f>
        <v/>
      </c>
    </row>
    <row r="106" spans="1:8" ht="14.25" customHeight="1" x14ac:dyDescent="0.2">
      <c r="A106" s="649" t="str">
        <f t="shared" si="20"/>
        <v>AAAAAAAA</v>
      </c>
      <c r="B106" s="650"/>
      <c r="C106" s="77" t="s">
        <v>9363</v>
      </c>
      <c r="D106" s="77" t="s">
        <v>9363</v>
      </c>
      <c r="E106" s="74" t="str">
        <f>IF($A$98="","",IF(VLOOKUP($A105,Products!$A$59:$H$159,5,FALSE)="","",VLOOKUP($A105,Products!$A$59:$H$159,5,FALSE)))</f>
        <v/>
      </c>
      <c r="F106" s="46" t="str">
        <f>IF($A$98="","",IF(VLOOKUP($A105,Products!$A$59:$H$159,8,FALSE)="","",VLOOKUP($A105,Products!$A$59:$H$159,8,FALSE)))</f>
        <v/>
      </c>
      <c r="G106" s="46" t="str">
        <f t="shared" si="21"/>
        <v/>
      </c>
      <c r="H106" s="51" t="str">
        <f t="shared" si="22"/>
        <v/>
      </c>
    </row>
    <row r="107" spans="1:8" ht="14.25" customHeight="1" x14ac:dyDescent="0.2">
      <c r="A107" s="649" t="str">
        <f t="shared" si="20"/>
        <v>AAAAAAAAA</v>
      </c>
      <c r="B107" s="650"/>
      <c r="C107" s="77" t="s">
        <v>9363</v>
      </c>
      <c r="D107" s="77" t="s">
        <v>9363</v>
      </c>
      <c r="E107" s="74" t="str">
        <f>IF($A$98="","",IF(VLOOKUP($A106,Products!$A$59:$H$159,5,FALSE)="","",VLOOKUP($A106,Products!$A$59:$H$159,5,FALSE)))</f>
        <v/>
      </c>
      <c r="F107" s="46" t="str">
        <f>IF($A$98="","",IF(VLOOKUP($A106,Products!$A$59:$H$159,8,FALSE)="","",VLOOKUP($A106,Products!$A$59:$H$159,8,FALSE)))</f>
        <v/>
      </c>
      <c r="G107" s="46" t="str">
        <f t="shared" si="21"/>
        <v/>
      </c>
      <c r="H107" s="51" t="str">
        <f t="shared" si="22"/>
        <v/>
      </c>
    </row>
    <row r="108" spans="1:8" ht="14.25" customHeight="1" x14ac:dyDescent="0.2">
      <c r="A108" s="649" t="str">
        <f t="shared" si="20"/>
        <v>AAAAAAAAAA</v>
      </c>
      <c r="B108" s="650"/>
      <c r="C108" s="77" t="s">
        <v>9363</v>
      </c>
      <c r="D108" s="77" t="s">
        <v>9363</v>
      </c>
      <c r="E108" s="74" t="str">
        <f>IF($A$98="","",IF(VLOOKUP($A107,Products!$A$59:$H$159,5,FALSE)="","",VLOOKUP($A107,Products!$A$59:$H$159,5,FALSE)))</f>
        <v/>
      </c>
      <c r="F108" s="46" t="str">
        <f>IF($A$98="","",IF(VLOOKUP($A107,Products!$A$59:$H$159,8,FALSE)="","",VLOOKUP($A107,Products!$A$59:$H$159,8,FALSE)))</f>
        <v/>
      </c>
      <c r="G108" s="46" t="str">
        <f t="shared" si="21"/>
        <v/>
      </c>
      <c r="H108" s="51" t="str">
        <f t="shared" si="22"/>
        <v/>
      </c>
    </row>
    <row r="109" spans="1:8" ht="14.25" customHeight="1" x14ac:dyDescent="0.2">
      <c r="A109" s="651"/>
      <c r="B109" s="615"/>
      <c r="C109" s="75"/>
      <c r="D109" s="76"/>
      <c r="E109" s="73" t="s">
        <v>291</v>
      </c>
      <c r="F109" s="46">
        <v>1</v>
      </c>
      <c r="G109" s="40"/>
      <c r="H109" s="47"/>
    </row>
    <row r="110" spans="1:8" x14ac:dyDescent="0.2">
      <c r="A110" s="627" t="str">
        <f>A109&amp;"A"</f>
        <v>A</v>
      </c>
      <c r="B110" s="628"/>
      <c r="C110" s="77" t="s">
        <v>9363</v>
      </c>
      <c r="D110" s="77" t="s">
        <v>9363</v>
      </c>
      <c r="E110" s="74" t="str">
        <f>IF($A$109="","",IF(VLOOKUP($A109,Products!$A$59:$H$159,5,FALSE)="","",VLOOKUP($A109,Products!$A$59:$H$159,5,FALSE)))</f>
        <v/>
      </c>
      <c r="F110" s="46" t="str">
        <f>IF($A$109="","",IF(VLOOKUP($A109,Products!$A$59:$H$159,8,FALSE)="","",VLOOKUP($A109,Products!$A$59:$H$159,8,FALSE)))</f>
        <v/>
      </c>
      <c r="G110" s="46" t="str">
        <f>IF($F110="","",$F110*$G$109)</f>
        <v/>
      </c>
      <c r="H110" s="51" t="str">
        <f>IF($F110="","",$F110*$H$109)</f>
        <v/>
      </c>
    </row>
    <row r="111" spans="1:8" ht="14.25" customHeight="1" x14ac:dyDescent="0.2">
      <c r="A111" s="649" t="str">
        <f t="shared" ref="A111:A119" si="23">A110&amp;"A"</f>
        <v>AA</v>
      </c>
      <c r="B111" s="650"/>
      <c r="C111" s="77" t="s">
        <v>9363</v>
      </c>
      <c r="D111" s="77" t="s">
        <v>9363</v>
      </c>
      <c r="E111" s="74" t="str">
        <f>IF($A$109="","",IF(VLOOKUP($A110,Products!$A$59:$H$159,5,FALSE)="","",VLOOKUP($A110,Products!$A$59:$H$159,5,FALSE)))</f>
        <v/>
      </c>
      <c r="F111" s="46" t="str">
        <f>IF($A$109="","",IF(VLOOKUP($A110,Products!$A$59:$H$159,8,FALSE)="","",VLOOKUP($A110,Products!$A$59:$H$159,8,FALSE)))</f>
        <v/>
      </c>
      <c r="G111" s="46" t="str">
        <f t="shared" ref="G111:G119" si="24">IF($F111="","",$F111*$G$109)</f>
        <v/>
      </c>
      <c r="H111" s="51" t="str">
        <f t="shared" ref="H111:H119" si="25">IF($F111="","",$F111*$H$109)</f>
        <v/>
      </c>
    </row>
    <row r="112" spans="1:8" x14ac:dyDescent="0.2">
      <c r="A112" s="649" t="str">
        <f t="shared" si="23"/>
        <v>AAA</v>
      </c>
      <c r="B112" s="650"/>
      <c r="C112" s="77" t="s">
        <v>9363</v>
      </c>
      <c r="D112" s="77" t="s">
        <v>9363</v>
      </c>
      <c r="E112" s="74" t="str">
        <f>IF($A$109="","",IF(VLOOKUP($A111,Products!$A$59:$H$159,5,FALSE)="","",VLOOKUP($A111,Products!$A$59:$H$159,5,FALSE)))</f>
        <v/>
      </c>
      <c r="F112" s="46" t="str">
        <f>IF($A$109="","",IF(VLOOKUP($A111,Products!$A$59:$H$159,8,FALSE)="","",VLOOKUP($A111,Products!$A$59:$H$159,8,FALSE)))</f>
        <v/>
      </c>
      <c r="G112" s="46" t="str">
        <f t="shared" si="24"/>
        <v/>
      </c>
      <c r="H112" s="51" t="str">
        <f t="shared" si="25"/>
        <v/>
      </c>
    </row>
    <row r="113" spans="1:8" x14ac:dyDescent="0.2">
      <c r="A113" s="649" t="str">
        <f t="shared" si="23"/>
        <v>AAAA</v>
      </c>
      <c r="B113" s="650"/>
      <c r="C113" s="77" t="s">
        <v>9363</v>
      </c>
      <c r="D113" s="77" t="s">
        <v>9363</v>
      </c>
      <c r="E113" s="74" t="str">
        <f>IF($A$109="","",IF(VLOOKUP($A112,Products!$A$59:$H$159,5,FALSE)="","",VLOOKUP($A112,Products!$A$59:$H$159,5,FALSE)))</f>
        <v/>
      </c>
      <c r="F113" s="46" t="str">
        <f>IF($A$109="","",IF(VLOOKUP($A112,Products!$A$59:$H$159,8,FALSE)="","",VLOOKUP($A112,Products!$A$59:$H$159,8,FALSE)))</f>
        <v/>
      </c>
      <c r="G113" s="46" t="str">
        <f t="shared" si="24"/>
        <v/>
      </c>
      <c r="H113" s="51" t="str">
        <f t="shared" si="25"/>
        <v/>
      </c>
    </row>
    <row r="114" spans="1:8" x14ac:dyDescent="0.2">
      <c r="A114" s="649" t="str">
        <f t="shared" si="23"/>
        <v>AAAAA</v>
      </c>
      <c r="B114" s="650"/>
      <c r="C114" s="77" t="s">
        <v>9363</v>
      </c>
      <c r="D114" s="77" t="s">
        <v>9363</v>
      </c>
      <c r="E114" s="74" t="str">
        <f>IF($A$109="","",IF(VLOOKUP($A113,Products!$A$59:$H$159,5,FALSE)="","",VLOOKUP($A113,Products!$A$59:$H$159,5,FALSE)))</f>
        <v/>
      </c>
      <c r="F114" s="46" t="str">
        <f>IF($A$109="","",IF(VLOOKUP($A113,Products!$A$59:$H$159,8,FALSE)="","",VLOOKUP($A113,Products!$A$59:$H$159,8,FALSE)))</f>
        <v/>
      </c>
      <c r="G114" s="46" t="str">
        <f t="shared" si="24"/>
        <v/>
      </c>
      <c r="H114" s="51" t="str">
        <f t="shared" si="25"/>
        <v/>
      </c>
    </row>
    <row r="115" spans="1:8" x14ac:dyDescent="0.2">
      <c r="A115" s="649" t="str">
        <f t="shared" si="23"/>
        <v>AAAAAA</v>
      </c>
      <c r="B115" s="650"/>
      <c r="C115" s="77" t="s">
        <v>9363</v>
      </c>
      <c r="D115" s="77" t="s">
        <v>9363</v>
      </c>
      <c r="E115" s="74" t="str">
        <f>IF($A$109="","",IF(VLOOKUP($A114,Products!$A$59:$H$159,5,FALSE)="","",VLOOKUP($A114,Products!$A$59:$H$159,5,FALSE)))</f>
        <v/>
      </c>
      <c r="F115" s="46" t="str">
        <f>IF($A$109="","",IF(VLOOKUP($A114,Products!$A$59:$H$159,8,FALSE)="","",VLOOKUP($A114,Products!$A$59:$H$159,8,FALSE)))</f>
        <v/>
      </c>
      <c r="G115" s="46" t="str">
        <f t="shared" si="24"/>
        <v/>
      </c>
      <c r="H115" s="51" t="str">
        <f t="shared" si="25"/>
        <v/>
      </c>
    </row>
    <row r="116" spans="1:8" x14ac:dyDescent="0.2">
      <c r="A116" s="649" t="str">
        <f t="shared" si="23"/>
        <v>AAAAAAA</v>
      </c>
      <c r="B116" s="650"/>
      <c r="C116" s="77" t="s">
        <v>9363</v>
      </c>
      <c r="D116" s="77" t="s">
        <v>9363</v>
      </c>
      <c r="E116" s="74" t="str">
        <f>IF($A$109="","",IF(VLOOKUP($A115,Products!$A$59:$H$159,5,FALSE)="","",VLOOKUP($A115,Products!$A$59:$H$159,5,FALSE)))</f>
        <v/>
      </c>
      <c r="F116" s="46" t="str">
        <f>IF($A$109="","",IF(VLOOKUP($A115,Products!$A$59:$H$159,8,FALSE)="","",VLOOKUP($A115,Products!$A$59:$H$159,8,FALSE)))</f>
        <v/>
      </c>
      <c r="G116" s="46" t="str">
        <f t="shared" si="24"/>
        <v/>
      </c>
      <c r="H116" s="51" t="str">
        <f t="shared" si="25"/>
        <v/>
      </c>
    </row>
    <row r="117" spans="1:8" x14ac:dyDescent="0.2">
      <c r="A117" s="649" t="str">
        <f t="shared" si="23"/>
        <v>AAAAAAAA</v>
      </c>
      <c r="B117" s="650"/>
      <c r="C117" s="77" t="s">
        <v>9363</v>
      </c>
      <c r="D117" s="77" t="s">
        <v>9363</v>
      </c>
      <c r="E117" s="74" t="str">
        <f>IF($A$109="","",IF(VLOOKUP($A116,Products!$A$59:$H$159,5,FALSE)="","",VLOOKUP($A116,Products!$A$59:$H$159,5,FALSE)))</f>
        <v/>
      </c>
      <c r="F117" s="46" t="str">
        <f>IF($A$109="","",IF(VLOOKUP($A116,Products!$A$59:$H$159,8,FALSE)="","",VLOOKUP($A116,Products!$A$59:$H$159,8,FALSE)))</f>
        <v/>
      </c>
      <c r="G117" s="46" t="str">
        <f t="shared" si="24"/>
        <v/>
      </c>
      <c r="H117" s="51" t="str">
        <f t="shared" si="25"/>
        <v/>
      </c>
    </row>
    <row r="118" spans="1:8" x14ac:dyDescent="0.2">
      <c r="A118" s="649" t="str">
        <f t="shared" si="23"/>
        <v>AAAAAAAAA</v>
      </c>
      <c r="B118" s="650"/>
      <c r="C118" s="77" t="s">
        <v>9363</v>
      </c>
      <c r="D118" s="77" t="s">
        <v>9363</v>
      </c>
      <c r="E118" s="74" t="str">
        <f>IF($A$109="","",IF(VLOOKUP($A117,Products!$A$59:$H$159,5,FALSE)="","",VLOOKUP($A117,Products!$A$59:$H$159,5,FALSE)))</f>
        <v/>
      </c>
      <c r="F118" s="46" t="str">
        <f>IF($A$109="","",IF(VLOOKUP($A117,Products!$A$59:$H$159,8,FALSE)="","",VLOOKUP($A117,Products!$A$59:$H$159,8,FALSE)))</f>
        <v/>
      </c>
      <c r="G118" s="46" t="str">
        <f>IF($F118="","",$F118*$G$109)</f>
        <v/>
      </c>
      <c r="H118" s="51" t="str">
        <f>IF($F118="","",$F118*$H$109)</f>
        <v/>
      </c>
    </row>
    <row r="119" spans="1:8" x14ac:dyDescent="0.2">
      <c r="A119" s="649" t="str">
        <f t="shared" si="23"/>
        <v>AAAAAAAAAA</v>
      </c>
      <c r="B119" s="650"/>
      <c r="C119" s="77" t="s">
        <v>9363</v>
      </c>
      <c r="D119" s="77" t="s">
        <v>9363</v>
      </c>
      <c r="E119" s="74" t="str">
        <f>IF($A$109="","",IF(VLOOKUP($A118,Products!$A$59:$H$159,5,FALSE)="","",VLOOKUP($A118,Products!$A$59:$H$159,5,FALSE)))</f>
        <v/>
      </c>
      <c r="F119" s="46" t="str">
        <f>IF($A$109="","",IF(VLOOKUP($A118,Products!$A$59:$H$159,8,FALSE)="","",VLOOKUP($A118,Products!$A$59:$H$159,8,FALSE)))</f>
        <v/>
      </c>
      <c r="G119" s="46" t="str">
        <f t="shared" si="24"/>
        <v/>
      </c>
      <c r="H119" s="51" t="str">
        <f t="shared" si="25"/>
        <v/>
      </c>
    </row>
    <row r="120" spans="1:8" ht="14.25" customHeight="1" x14ac:dyDescent="0.2">
      <c r="A120" s="651"/>
      <c r="B120" s="615"/>
      <c r="C120" s="75"/>
      <c r="D120" s="76"/>
      <c r="E120" s="73" t="s">
        <v>291</v>
      </c>
      <c r="F120" s="46">
        <v>1</v>
      </c>
      <c r="G120" s="40"/>
      <c r="H120" s="47"/>
    </row>
    <row r="121" spans="1:8" x14ac:dyDescent="0.2">
      <c r="A121" s="627" t="str">
        <f>A120&amp;"A"</f>
        <v>A</v>
      </c>
      <c r="B121" s="628"/>
      <c r="C121" s="77" t="s">
        <v>9363</v>
      </c>
      <c r="D121" s="77" t="s">
        <v>9363</v>
      </c>
      <c r="E121" s="74" t="str">
        <f>IF($A$120="","",IF(VLOOKUP($A120,Products!$A$59:$H$159,5,FALSE)="","",VLOOKUP($A120,Products!$A$59:$H$159,5,FALSE)))</f>
        <v/>
      </c>
      <c r="F121" s="46" t="str">
        <f>IF($A$120="","",IF(VLOOKUP($A120,Products!$A$59:$H$159,8,FALSE)="","",VLOOKUP($A120,Products!$A$59:$H$159,8,FALSE)))</f>
        <v/>
      </c>
      <c r="G121" s="46" t="str">
        <f>IF($F121="","",$F121*$G$120)</f>
        <v/>
      </c>
      <c r="H121" s="51" t="str">
        <f>IF($F121="","",$F121*$H$120)</f>
        <v/>
      </c>
    </row>
    <row r="122" spans="1:8" x14ac:dyDescent="0.2">
      <c r="A122" s="649" t="str">
        <f t="shared" ref="A122:A130" si="26">A121&amp;"A"</f>
        <v>AA</v>
      </c>
      <c r="B122" s="650"/>
      <c r="C122" s="77" t="s">
        <v>9363</v>
      </c>
      <c r="D122" s="77" t="s">
        <v>9363</v>
      </c>
      <c r="E122" s="74" t="str">
        <f>IF($A$120="","",IF(VLOOKUP($A121,Products!$A$59:$H$159,5,FALSE)="","",VLOOKUP($A121,Products!$A$59:$H$159,5,FALSE)))</f>
        <v/>
      </c>
      <c r="F122" s="46" t="str">
        <f>IF($A$120="","",IF(VLOOKUP($A121,Products!$A$59:$H$159,8,FALSE)="","",VLOOKUP($A121,Products!$A$59:$H$159,8,FALSE)))</f>
        <v/>
      </c>
      <c r="G122" s="46" t="str">
        <f t="shared" ref="G122:G130" si="27">IF($F122="","",$F122*$G$120)</f>
        <v/>
      </c>
      <c r="H122" s="51" t="str">
        <f t="shared" ref="H122:H130" si="28">IF($F122="","",$F122*$H$120)</f>
        <v/>
      </c>
    </row>
    <row r="123" spans="1:8" x14ac:dyDescent="0.2">
      <c r="A123" s="649" t="str">
        <f t="shared" si="26"/>
        <v>AAA</v>
      </c>
      <c r="B123" s="650"/>
      <c r="C123" s="77" t="s">
        <v>9363</v>
      </c>
      <c r="D123" s="77" t="s">
        <v>9363</v>
      </c>
      <c r="E123" s="74" t="str">
        <f>IF($A$120="","",IF(VLOOKUP($A122,Products!$A$59:$H$159,5,FALSE)="","",VLOOKUP($A122,Products!$A$59:$H$159,5,FALSE)))</f>
        <v/>
      </c>
      <c r="F123" s="46" t="str">
        <f>IF($A$120="","",IF(VLOOKUP($A122,Products!$A$59:$H$159,8,FALSE)="","",VLOOKUP($A122,Products!$A$59:$H$159,8,FALSE)))</f>
        <v/>
      </c>
      <c r="G123" s="46" t="str">
        <f t="shared" si="27"/>
        <v/>
      </c>
      <c r="H123" s="51" t="str">
        <f t="shared" si="28"/>
        <v/>
      </c>
    </row>
    <row r="124" spans="1:8" x14ac:dyDescent="0.2">
      <c r="A124" s="649" t="str">
        <f t="shared" si="26"/>
        <v>AAAA</v>
      </c>
      <c r="B124" s="650"/>
      <c r="C124" s="77" t="s">
        <v>9363</v>
      </c>
      <c r="D124" s="77" t="s">
        <v>9363</v>
      </c>
      <c r="E124" s="74" t="str">
        <f>IF($A$120="","",IF(VLOOKUP($A123,Products!$A$59:$H$159,5,FALSE)="","",VLOOKUP($A123,Products!$A$59:$H$159,5,FALSE)))</f>
        <v/>
      </c>
      <c r="F124" s="46" t="str">
        <f>IF($A$120="","",IF(VLOOKUP($A123,Products!$A$59:$H$159,8,FALSE)="","",VLOOKUP($A123,Products!$A$59:$H$159,8,FALSE)))</f>
        <v/>
      </c>
      <c r="G124" s="46" t="str">
        <f t="shared" si="27"/>
        <v/>
      </c>
      <c r="H124" s="51" t="str">
        <f t="shared" si="28"/>
        <v/>
      </c>
    </row>
    <row r="125" spans="1:8" x14ac:dyDescent="0.2">
      <c r="A125" s="649" t="str">
        <f t="shared" si="26"/>
        <v>AAAAA</v>
      </c>
      <c r="B125" s="650"/>
      <c r="C125" s="77" t="s">
        <v>9363</v>
      </c>
      <c r="D125" s="77" t="s">
        <v>9363</v>
      </c>
      <c r="E125" s="74" t="str">
        <f>IF($A$120="","",IF(VLOOKUP($A124,Products!$A$59:$H$159,5,FALSE)="","",VLOOKUP($A124,Products!$A$59:$H$159,5,FALSE)))</f>
        <v/>
      </c>
      <c r="F125" s="46" t="str">
        <f>IF($A$120="","",IF(VLOOKUP($A124,Products!$A$59:$H$159,8,FALSE)="","",VLOOKUP($A124,Products!$A$59:$H$159,8,FALSE)))</f>
        <v/>
      </c>
      <c r="G125" s="46" t="str">
        <f t="shared" si="27"/>
        <v/>
      </c>
      <c r="H125" s="51" t="str">
        <f t="shared" si="28"/>
        <v/>
      </c>
    </row>
    <row r="126" spans="1:8" x14ac:dyDescent="0.2">
      <c r="A126" s="649" t="str">
        <f t="shared" si="26"/>
        <v>AAAAAA</v>
      </c>
      <c r="B126" s="650"/>
      <c r="C126" s="77" t="s">
        <v>9363</v>
      </c>
      <c r="D126" s="77" t="s">
        <v>9363</v>
      </c>
      <c r="E126" s="74" t="str">
        <f>IF($A$120="","",IF(VLOOKUP($A125,Products!$A$59:$H$159,5,FALSE)="","",VLOOKUP($A125,Products!$A$59:$H$159,5,FALSE)))</f>
        <v/>
      </c>
      <c r="F126" s="46" t="str">
        <f>IF($A$120="","",IF(VLOOKUP($A125,Products!$A$59:$H$159,8,FALSE)="","",VLOOKUP($A125,Products!$A$59:$H$159,8,FALSE)))</f>
        <v/>
      </c>
      <c r="G126" s="46" t="str">
        <f t="shared" si="27"/>
        <v/>
      </c>
      <c r="H126" s="51" t="str">
        <f t="shared" si="28"/>
        <v/>
      </c>
    </row>
    <row r="127" spans="1:8" x14ac:dyDescent="0.2">
      <c r="A127" s="649" t="str">
        <f t="shared" si="26"/>
        <v>AAAAAAA</v>
      </c>
      <c r="B127" s="650"/>
      <c r="C127" s="77" t="s">
        <v>9363</v>
      </c>
      <c r="D127" s="77" t="s">
        <v>9363</v>
      </c>
      <c r="E127" s="74" t="str">
        <f>IF($A$120="","",IF(VLOOKUP($A126,Products!$A$59:$H$159,5,FALSE)="","",VLOOKUP($A126,Products!$A$59:$H$159,5,FALSE)))</f>
        <v/>
      </c>
      <c r="F127" s="46" t="str">
        <f>IF($A$120="","",IF(VLOOKUP($A126,Products!$A$59:$H$159,8,FALSE)="","",VLOOKUP($A126,Products!$A$59:$H$159,8,FALSE)))</f>
        <v/>
      </c>
      <c r="G127" s="46" t="str">
        <f t="shared" si="27"/>
        <v/>
      </c>
      <c r="H127" s="51" t="str">
        <f t="shared" si="28"/>
        <v/>
      </c>
    </row>
    <row r="128" spans="1:8" x14ac:dyDescent="0.2">
      <c r="A128" s="649" t="str">
        <f t="shared" si="26"/>
        <v>AAAAAAAA</v>
      </c>
      <c r="B128" s="650"/>
      <c r="C128" s="77" t="s">
        <v>9363</v>
      </c>
      <c r="D128" s="77" t="s">
        <v>9363</v>
      </c>
      <c r="E128" s="74" t="str">
        <f>IF($A$120="","",IF(VLOOKUP($A127,Products!$A$59:$H$159,5,FALSE)="","",VLOOKUP($A127,Products!$A$59:$H$159,5,FALSE)))</f>
        <v/>
      </c>
      <c r="F128" s="46" t="str">
        <f>IF($A$120="","",IF(VLOOKUP($A127,Products!$A$59:$H$159,8,FALSE)="","",VLOOKUP($A127,Products!$A$59:$H$159,8,FALSE)))</f>
        <v/>
      </c>
      <c r="G128" s="46" t="str">
        <f t="shared" si="27"/>
        <v/>
      </c>
      <c r="H128" s="51" t="str">
        <f t="shared" si="28"/>
        <v/>
      </c>
    </row>
    <row r="129" spans="1:8" x14ac:dyDescent="0.2">
      <c r="A129" s="649" t="str">
        <f t="shared" si="26"/>
        <v>AAAAAAAAA</v>
      </c>
      <c r="B129" s="650"/>
      <c r="C129" s="77" t="s">
        <v>9363</v>
      </c>
      <c r="D129" s="77" t="s">
        <v>9363</v>
      </c>
      <c r="E129" s="74" t="str">
        <f>IF($A$120="","",IF(VLOOKUP($A128,Products!$A$59:$H$159,5,FALSE)="","",VLOOKUP($A128,Products!$A$59:$H$159,5,FALSE)))</f>
        <v/>
      </c>
      <c r="F129" s="46" t="str">
        <f>IF($A$120="","",IF(VLOOKUP($A128,Products!$A$59:$H$159,8,FALSE)="","",VLOOKUP($A128,Products!$A$59:$H$159,8,FALSE)))</f>
        <v/>
      </c>
      <c r="G129" s="46" t="str">
        <f t="shared" si="27"/>
        <v/>
      </c>
      <c r="H129" s="51" t="str">
        <f t="shared" si="28"/>
        <v/>
      </c>
    </row>
    <row r="130" spans="1:8" x14ac:dyDescent="0.2">
      <c r="A130" s="649" t="str">
        <f t="shared" si="26"/>
        <v>AAAAAAAAAA</v>
      </c>
      <c r="B130" s="650"/>
      <c r="C130" s="77" t="s">
        <v>9363</v>
      </c>
      <c r="D130" s="77" t="s">
        <v>9363</v>
      </c>
      <c r="E130" s="74" t="str">
        <f>IF($A$120="","",IF(VLOOKUP($A129,Products!$A$59:$H$159,5,FALSE)="","",VLOOKUP($A129,Products!$A$59:$H$159,5,FALSE)))</f>
        <v/>
      </c>
      <c r="F130" s="46" t="str">
        <f>IF($A$120="","",IF(VLOOKUP($A129,Products!$A$59:$H$159,8,FALSE)="","",VLOOKUP($A129,Products!$A$59:$H$159,8,FALSE)))</f>
        <v/>
      </c>
      <c r="G130" s="46" t="str">
        <f t="shared" si="27"/>
        <v/>
      </c>
      <c r="H130" s="51" t="str">
        <f t="shared" si="28"/>
        <v/>
      </c>
    </row>
    <row r="131" spans="1:8" ht="14.25" customHeight="1" x14ac:dyDescent="0.2">
      <c r="A131" s="651"/>
      <c r="B131" s="615"/>
      <c r="C131" s="75"/>
      <c r="D131" s="76"/>
      <c r="E131" s="73" t="s">
        <v>291</v>
      </c>
      <c r="F131" s="46">
        <v>1</v>
      </c>
      <c r="G131" s="40"/>
      <c r="H131" s="47"/>
    </row>
    <row r="132" spans="1:8" x14ac:dyDescent="0.2">
      <c r="A132" s="627" t="str">
        <f>A131&amp;"A"</f>
        <v>A</v>
      </c>
      <c r="B132" s="628"/>
      <c r="C132" s="77" t="s">
        <v>9363</v>
      </c>
      <c r="D132" s="77" t="s">
        <v>9363</v>
      </c>
      <c r="E132" s="74" t="str">
        <f>IF($A$131="","",IF(VLOOKUP($A131,Products!$A$59:$H$159,5,FALSE)="","",VLOOKUP($A131,Products!$A$59:$H$159,5,FALSE)))</f>
        <v/>
      </c>
      <c r="F132" s="46" t="str">
        <f>IF($A$131="","",IF(VLOOKUP($A131,Products!$A$59:$H$159,8,FALSE)="","",VLOOKUP($A131,Products!$A$59:$H$159,8,FALSE)))</f>
        <v/>
      </c>
      <c r="G132" s="46" t="str">
        <f>IF($F132="","",$F132*$G$131)</f>
        <v/>
      </c>
      <c r="H132" s="51" t="str">
        <f>IF($F132="","",$F132*$H$131)</f>
        <v/>
      </c>
    </row>
    <row r="133" spans="1:8" x14ac:dyDescent="0.2">
      <c r="A133" s="649" t="str">
        <f t="shared" ref="A133:A141" si="29">A132&amp;"A"</f>
        <v>AA</v>
      </c>
      <c r="B133" s="650"/>
      <c r="C133" s="77" t="s">
        <v>9363</v>
      </c>
      <c r="D133" s="77" t="s">
        <v>9363</v>
      </c>
      <c r="E133" s="74" t="str">
        <f>IF($A$131="","",IF(VLOOKUP($A132,Products!$A$59:$H$159,5,FALSE)="","",VLOOKUP($A132,Products!$A$59:$H$159,5,FALSE)))</f>
        <v/>
      </c>
      <c r="F133" s="46" t="str">
        <f>IF($A$131="","",IF(VLOOKUP($A132,Products!$A$59:$H$159,8,FALSE)="","",VLOOKUP($A132,Products!$A$59:$H$159,8,FALSE)))</f>
        <v/>
      </c>
      <c r="G133" s="46" t="str">
        <f t="shared" ref="G133:G140" si="30">IF($F133="","",$F133*$G$131)</f>
        <v/>
      </c>
      <c r="H133" s="51" t="str">
        <f t="shared" ref="H133:H140" si="31">IF($F133="","",$F133*$H$131)</f>
        <v/>
      </c>
    </row>
    <row r="134" spans="1:8" x14ac:dyDescent="0.2">
      <c r="A134" s="649" t="str">
        <f t="shared" si="29"/>
        <v>AAA</v>
      </c>
      <c r="B134" s="650"/>
      <c r="C134" s="77" t="s">
        <v>9363</v>
      </c>
      <c r="D134" s="77" t="s">
        <v>9363</v>
      </c>
      <c r="E134" s="74" t="str">
        <f>IF($A$131="","",IF(VLOOKUP($A133,Products!$A$59:$H$159,5,FALSE)="","",VLOOKUP($A133,Products!$A$59:$H$159,5,FALSE)))</f>
        <v/>
      </c>
      <c r="F134" s="46" t="str">
        <f>IF($A$131="","",IF(VLOOKUP($A133,Products!$A$59:$H$159,8,FALSE)="","",VLOOKUP($A133,Products!$A$59:$H$159,8,FALSE)))</f>
        <v/>
      </c>
      <c r="G134" s="46" t="str">
        <f t="shared" si="30"/>
        <v/>
      </c>
      <c r="H134" s="51" t="str">
        <f t="shared" si="31"/>
        <v/>
      </c>
    </row>
    <row r="135" spans="1:8" x14ac:dyDescent="0.2">
      <c r="A135" s="649" t="str">
        <f t="shared" si="29"/>
        <v>AAAA</v>
      </c>
      <c r="B135" s="650"/>
      <c r="C135" s="77" t="s">
        <v>9363</v>
      </c>
      <c r="D135" s="77" t="s">
        <v>9363</v>
      </c>
      <c r="E135" s="74" t="str">
        <f>IF($A$131="","",IF(VLOOKUP($A134,Products!$A$59:$H$159,5,FALSE)="","",VLOOKUP($A134,Products!$A$59:$H$159,5,FALSE)))</f>
        <v/>
      </c>
      <c r="F135" s="46" t="str">
        <f>IF($A$131="","",IF(VLOOKUP($A134,Products!$A$59:$H$159,8,FALSE)="","",VLOOKUP($A134,Products!$A$59:$H$159,8,FALSE)))</f>
        <v/>
      </c>
      <c r="G135" s="46" t="str">
        <f t="shared" si="30"/>
        <v/>
      </c>
      <c r="H135" s="51" t="str">
        <f t="shared" si="31"/>
        <v/>
      </c>
    </row>
    <row r="136" spans="1:8" x14ac:dyDescent="0.2">
      <c r="A136" s="649" t="str">
        <f t="shared" si="29"/>
        <v>AAAAA</v>
      </c>
      <c r="B136" s="650"/>
      <c r="C136" s="77" t="s">
        <v>9363</v>
      </c>
      <c r="D136" s="77" t="s">
        <v>9363</v>
      </c>
      <c r="E136" s="74" t="str">
        <f>IF($A$131="","",IF(VLOOKUP($A135,Products!$A$59:$H$159,5,FALSE)="","",VLOOKUP($A135,Products!$A$59:$H$159,5,FALSE)))</f>
        <v/>
      </c>
      <c r="F136" s="46" t="str">
        <f>IF($A$131="","",IF(VLOOKUP($A135,Products!$A$59:$H$159,8,FALSE)="","",VLOOKUP($A135,Products!$A$59:$H$159,8,FALSE)))</f>
        <v/>
      </c>
      <c r="G136" s="46" t="str">
        <f>IF($F136="","",$F136*$G$131)</f>
        <v/>
      </c>
      <c r="H136" s="51" t="str">
        <f>IF($F136="","",$F136*$H$131)</f>
        <v/>
      </c>
    </row>
    <row r="137" spans="1:8" x14ac:dyDescent="0.2">
      <c r="A137" s="649" t="str">
        <f t="shared" si="29"/>
        <v>AAAAAA</v>
      </c>
      <c r="B137" s="650"/>
      <c r="C137" s="77" t="s">
        <v>9363</v>
      </c>
      <c r="D137" s="77" t="s">
        <v>9363</v>
      </c>
      <c r="E137" s="74" t="str">
        <f>IF($A$131="","",IF(VLOOKUP($A136,Products!$A$59:$H$159,5,FALSE)="","",VLOOKUP($A136,Products!$A$59:$H$159,5,FALSE)))</f>
        <v/>
      </c>
      <c r="F137" s="46" t="str">
        <f>IF($A$131="","",IF(VLOOKUP($A136,Products!$A$59:$H$159,8,FALSE)="","",VLOOKUP($A136,Products!$A$59:$H$159,8,FALSE)))</f>
        <v/>
      </c>
      <c r="G137" s="46" t="str">
        <f t="shared" si="30"/>
        <v/>
      </c>
      <c r="H137" s="51" t="str">
        <f t="shared" si="31"/>
        <v/>
      </c>
    </row>
    <row r="138" spans="1:8" x14ac:dyDescent="0.2">
      <c r="A138" s="649" t="str">
        <f t="shared" si="29"/>
        <v>AAAAAAA</v>
      </c>
      <c r="B138" s="650"/>
      <c r="C138" s="77" t="s">
        <v>9363</v>
      </c>
      <c r="D138" s="77" t="s">
        <v>9363</v>
      </c>
      <c r="E138" s="74" t="str">
        <f>IF($A$131="","",IF(VLOOKUP($A137,Products!$A$59:$H$159,5,FALSE)="","",VLOOKUP($A137,Products!$A$59:$H$159,5,FALSE)))</f>
        <v/>
      </c>
      <c r="F138" s="46" t="str">
        <f>IF($A$131="","",IF(VLOOKUP($A137,Products!$A$59:$H$159,8,FALSE)="","",VLOOKUP($A137,Products!$A$59:$H$159,8,FALSE)))</f>
        <v/>
      </c>
      <c r="G138" s="46" t="str">
        <f t="shared" si="30"/>
        <v/>
      </c>
      <c r="H138" s="51" t="str">
        <f t="shared" si="31"/>
        <v/>
      </c>
    </row>
    <row r="139" spans="1:8" x14ac:dyDescent="0.2">
      <c r="A139" s="649" t="str">
        <f t="shared" si="29"/>
        <v>AAAAAAAA</v>
      </c>
      <c r="B139" s="650"/>
      <c r="C139" s="77" t="s">
        <v>9363</v>
      </c>
      <c r="D139" s="77" t="s">
        <v>9363</v>
      </c>
      <c r="E139" s="74" t="str">
        <f>IF($A$131="","",IF(VLOOKUP($A138,Products!$A$59:$H$159,5,FALSE)="","",VLOOKUP($A138,Products!$A$59:$H$159,5,FALSE)))</f>
        <v/>
      </c>
      <c r="F139" s="46" t="str">
        <f>IF($A$131="","",IF(VLOOKUP($A138,Products!$A$59:$H$159,8,FALSE)="","",VLOOKUP($A138,Products!$A$59:$H$159,8,FALSE)))</f>
        <v/>
      </c>
      <c r="G139" s="46" t="str">
        <f t="shared" si="30"/>
        <v/>
      </c>
      <c r="H139" s="51" t="str">
        <f t="shared" si="31"/>
        <v/>
      </c>
    </row>
    <row r="140" spans="1:8" x14ac:dyDescent="0.2">
      <c r="A140" s="649" t="str">
        <f t="shared" si="29"/>
        <v>AAAAAAAAA</v>
      </c>
      <c r="B140" s="650"/>
      <c r="C140" s="77" t="s">
        <v>9363</v>
      </c>
      <c r="D140" s="77" t="s">
        <v>9363</v>
      </c>
      <c r="E140" s="74" t="str">
        <f>IF($A$131="","",IF(VLOOKUP($A139,Products!$A$59:$H$159,5,FALSE)="","",VLOOKUP($A139,Products!$A$59:$H$159,5,FALSE)))</f>
        <v/>
      </c>
      <c r="F140" s="46" t="str">
        <f>IF($A$131="","",IF(VLOOKUP($A139,Products!$A$59:$H$159,8,FALSE)="","",VLOOKUP($A139,Products!$A$59:$H$159,8,FALSE)))</f>
        <v/>
      </c>
      <c r="G140" s="46" t="str">
        <f t="shared" si="30"/>
        <v/>
      </c>
      <c r="H140" s="51" t="str">
        <f t="shared" si="31"/>
        <v/>
      </c>
    </row>
    <row r="141" spans="1:8" ht="15" thickBot="1" x14ac:dyDescent="0.25">
      <c r="A141" s="652" t="str">
        <f t="shared" si="29"/>
        <v>AAAAAAAAAA</v>
      </c>
      <c r="B141" s="653"/>
      <c r="C141" s="78" t="s">
        <v>9363</v>
      </c>
      <c r="D141" s="78" t="s">
        <v>9363</v>
      </c>
      <c r="E141" s="105" t="str">
        <f>IF($A$131="","",IF(VLOOKUP($A140,Products!$A$59:$H$159,5,FALSE)="","",VLOOKUP($A140,Products!$A$59:$H$159,5,FALSE)))</f>
        <v/>
      </c>
      <c r="F141" s="106" t="str">
        <f>IF($A$131="","",IF(VLOOKUP($A140,Products!$A$59:$H$159,8,FALSE)="","",VLOOKUP($A140,Products!$A$59:$H$159,8,FALSE)))</f>
        <v/>
      </c>
      <c r="G141" s="106" t="str">
        <f>IF($F141="","",$F141*$G$131)</f>
        <v/>
      </c>
      <c r="H141" s="107" t="str">
        <f>IF($F141="","",$F141*$H$131)</f>
        <v/>
      </c>
    </row>
    <row r="142" spans="1:8" x14ac:dyDescent="0.2">
      <c r="A142" s="478" t="s">
        <v>130</v>
      </c>
      <c r="B142" s="478"/>
      <c r="C142" s="478"/>
      <c r="D142" s="478"/>
      <c r="E142" s="478"/>
      <c r="F142" s="478"/>
      <c r="G142" s="478"/>
      <c r="H142" s="478"/>
    </row>
  </sheetData>
  <sheetProtection algorithmName="SHA-512" hashValue="F7AvvHSgV2t4a12lmLy5H/JHd0BDSagUxZih0z/AV26FH1TPp+/kX8nANIqp14uSGO6H7L/vLV0zdld2XWznqA==" saltValue="2LJfT1oE+qSnpljiBMOcNw==" spinCount="100000" sheet="1" objects="1" scenarios="1" formatColumns="0" formatRows="0"/>
  <mergeCells count="176">
    <mergeCell ref="A7:C7"/>
    <mergeCell ref="D7:H7"/>
    <mergeCell ref="A8:C8"/>
    <mergeCell ref="D8:H8"/>
    <mergeCell ref="A9:C9"/>
    <mergeCell ref="D9:H9"/>
    <mergeCell ref="A1:H1"/>
    <mergeCell ref="A2:H2"/>
    <mergeCell ref="A3:H3"/>
    <mergeCell ref="A4:H4"/>
    <mergeCell ref="A5:H5"/>
    <mergeCell ref="A6:C6"/>
    <mergeCell ref="D6:H6"/>
    <mergeCell ref="A12:H12"/>
    <mergeCell ref="A13:H13"/>
    <mergeCell ref="A14:C14"/>
    <mergeCell ref="D14:E14"/>
    <mergeCell ref="F14:H14"/>
    <mergeCell ref="A22:C22"/>
    <mergeCell ref="D22:E22"/>
    <mergeCell ref="F22:H22"/>
    <mergeCell ref="A10:C10"/>
    <mergeCell ref="D10:H10"/>
    <mergeCell ref="A11:C11"/>
    <mergeCell ref="D11:H11"/>
    <mergeCell ref="A17:C17"/>
    <mergeCell ref="D17:E17"/>
    <mergeCell ref="F17:H17"/>
    <mergeCell ref="A18:C18"/>
    <mergeCell ref="D18:E18"/>
    <mergeCell ref="F18:H18"/>
    <mergeCell ref="A15:C15"/>
    <mergeCell ref="D15:E15"/>
    <mergeCell ref="F15:H15"/>
    <mergeCell ref="A16:C16"/>
    <mergeCell ref="D16:E16"/>
    <mergeCell ref="F16:H16"/>
    <mergeCell ref="A24:C24"/>
    <mergeCell ref="D24:E24"/>
    <mergeCell ref="F24:H24"/>
    <mergeCell ref="A25:C25"/>
    <mergeCell ref="D25:E25"/>
    <mergeCell ref="F25:H25"/>
    <mergeCell ref="A19:C19"/>
    <mergeCell ref="D19:E19"/>
    <mergeCell ref="F19:H19"/>
    <mergeCell ref="A23:C23"/>
    <mergeCell ref="D23:E23"/>
    <mergeCell ref="F23:H23"/>
    <mergeCell ref="A20:C20"/>
    <mergeCell ref="D20:E20"/>
    <mergeCell ref="F20:H20"/>
    <mergeCell ref="A21:C21"/>
    <mergeCell ref="D21:E21"/>
    <mergeCell ref="F21:H21"/>
    <mergeCell ref="A31:B31"/>
    <mergeCell ref="A32:B32"/>
    <mergeCell ref="A26:C26"/>
    <mergeCell ref="D26:E26"/>
    <mergeCell ref="F26:H26"/>
    <mergeCell ref="A27:H27"/>
    <mergeCell ref="A28:H28"/>
    <mergeCell ref="G29:H29"/>
    <mergeCell ref="G30:H30"/>
    <mergeCell ref="A29:F29"/>
    <mergeCell ref="A30:F30"/>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41:B141"/>
    <mergeCell ref="A142:H142"/>
    <mergeCell ref="A135:B135"/>
    <mergeCell ref="A136:B136"/>
    <mergeCell ref="A137:B137"/>
    <mergeCell ref="A138:B138"/>
    <mergeCell ref="A139:B139"/>
    <mergeCell ref="A140:B140"/>
    <mergeCell ref="A129:B129"/>
    <mergeCell ref="A130:B130"/>
    <mergeCell ref="A131:B131"/>
    <mergeCell ref="A132:B132"/>
    <mergeCell ref="A133:B133"/>
    <mergeCell ref="A134:B134"/>
  </mergeCells>
  <conditionalFormatting sqref="A20:C21">
    <cfRule type="expression" dxfId="258" priority="4">
      <formula>$D$6="affected"</formula>
    </cfRule>
  </conditionalFormatting>
  <conditionalFormatting sqref="A10:H141">
    <cfRule type="expression" dxfId="255" priority="8">
      <formula>$D$6="affected"</formula>
    </cfRule>
  </conditionalFormatting>
  <conditionalFormatting sqref="A23:H24">
    <cfRule type="expression" dxfId="254" priority="11">
      <formula>OR($D$18="vertical fixed roof",$D$18="horizontal fixed roof")</formula>
    </cfRule>
  </conditionalFormatting>
  <conditionalFormatting sqref="D20:E20">
    <cfRule type="expression" dxfId="253" priority="2">
      <formula>AND($D$20&gt;=11,COUNTIF($D$18,"*floating*")&gt;0)</formula>
    </cfRule>
  </conditionalFormatting>
  <conditionalFormatting sqref="D22:E22">
    <cfRule type="expression" dxfId="251" priority="1">
      <formula>COUNTIF($F$22,"*revise*")&gt;0</formula>
    </cfRule>
  </conditionalFormatting>
  <dataValidations count="23">
    <dataValidation type="list" allowBlank="1" showErrorMessage="1" prompt="select one" sqref="D6:H6" xr:uid="{D02F6E78-6538-42F6-A8E7-E63C8E1796A1}">
      <formula1>"Affected,Modified,New"</formula1>
    </dataValidation>
    <dataValidation allowBlank="1" showErrorMessage="1" prompt="enter northing coordinate in meters" sqref="D11:H11" xr:uid="{D109A342-5E0A-4231-ADF7-929C5F6E9111}"/>
    <dataValidation type="decimal" operator="greaterThanOrEqual" allowBlank="1" showErrorMessage="1" prompt="enter distance to property line in feet" sqref="D15:E15" xr:uid="{58FC096F-A7AE-4ABA-B149-B09867047C50}">
      <formula1>25</formula1>
    </dataValidation>
    <dataValidation allowBlank="1" showErrorMessage="1" prompt="enter FIN" sqref="D7:H7" xr:uid="{0B28A3D0-FFF3-46DF-BCD6-28F742FC03D6}"/>
    <dataValidation allowBlank="1" showErrorMessage="1" prompt="enter EPN" sqref="D8:H8" xr:uid="{8745E6B5-CFDB-411E-81CF-680C53AA640B}"/>
    <dataValidation allowBlank="1" showErrorMessage="1" prompt="enter source name" sqref="D9:H9" xr:uid="{7149A201-7F2F-4BE7-89E3-50BA3E38B989}"/>
    <dataValidation type="list" allowBlank="1" showErrorMessage="1" prompt="select a seal type" sqref="D23:E23" xr:uid="{B2342ACC-2C89-4420-A6ED-9F0D265F916E}">
      <formula1>IF(OR($D$18="vertical fixed roof",$D$18="horizontal fixed roof"),Pfixed,IF($D$18="internal floating roof",PIFR,PEFR))</formula1>
    </dataValidation>
    <dataValidation type="decimal" operator="lessThanOrEqual" allowBlank="1" showErrorMessage="1" prompt="True vapor pressure at maximum liquid surface temperature (psia)" sqref="D20:E20" xr:uid="{F4B9FE5D-2F12-4629-B527-D1440208204A}">
      <formula1>IF(COUNTIF($D$18,"*floating*")&gt;0,10.99999,IF(COUNTIF($D$18,"*fixed*"),10000,""))</formula1>
    </dataValidation>
    <dataValidation type="decimal" operator="lessThanOrEqual" allowBlank="1" showErrorMessage="1" error="The minimum can't exceed the maximum." prompt="True vapor pressure at minimum liquid surface temperature (psia)" sqref="D21:E21" xr:uid="{D0F859B2-7056-42F0-9ACB-57CB2DE38E55}">
      <formula1>D20</formula1>
    </dataValidation>
    <dataValidation allowBlank="1" showErrorMessage="1" prompt="enter the easting coordinate in meters" sqref="D10:H10" xr:uid="{41AC1947-F023-40F9-AB68-3E24F60C7C98}"/>
    <dataValidation type="decimal" operator="greaterThanOrEqual" allowBlank="1" showErrorMessage="1" prompt="enter the release height in feet" sqref="D16:E16" xr:uid="{5BE4517F-D701-40C3-8F83-318CBA5E4A97}">
      <formula1>3</formula1>
    </dataValidation>
    <dataValidation type="list" allowBlank="1" showErrorMessage="1" prompt="select one" sqref="D18:E18" xr:uid="{30D4E3A1-4A74-4C0E-A0CC-61E68965DD68}">
      <formula1>"vertical fixed roof,horizontal fixed roof,internal floating roof,external floating roof"</formula1>
    </dataValidation>
    <dataValidation type="list" allowBlank="1" showErrorMessage="1" prompt="select yes or no" sqref="D25:E26" xr:uid="{DE157C3F-5D6B-4E44-AEC6-8C1AD0A83645}">
      <formula1>"Yes,No"</formula1>
    </dataValidation>
    <dataValidation allowBlank="1" showErrorMessage="1" prompt="enter the capacity" sqref="D19:E19" xr:uid="{DBCA7221-2019-4EE4-A5ED-3AA29A82835C}"/>
    <dataValidation type="list" allowBlank="1" showInputMessage="1" showErrorMessage="1" prompt="select the tank type" sqref="D19:E19" xr:uid="{C7D2ED3B-35A8-4725-83E8-DC8F970C7F5A}">
      <formula1>"vertical fixed roof,horizontal fixed roof,internal floating roof,external floating roof"</formula1>
    </dataValidation>
    <dataValidation type="list" allowBlank="1" showErrorMessage="1" prompt="select a seal type" sqref="D24:E24" xr:uid="{69B06A58-4BB3-4721-BACB-3820BB14E61A}">
      <formula1>IF(OR($D$18="vertical fixed roof",$D$18="horizontal fixed roof"),Pfixed,IF($D$18="external floating roof",SEFR,IF(AND($D$18="internal floating roof",$D$23="vapor-mounted"),SIFRv,SIFRml)))</formula1>
    </dataValidation>
    <dataValidation type="list" allowBlank="1" showErrorMessage="1" prompt="select one" sqref="D22:E22" xr:uid="{B79E8236-62F7-4389-8921-30E67140644F}">
      <formula1>IF(COUNTIF($D$18,"*fixed*"),IF($D$20&gt;=11,TnkLoad_Ctrl_req,IF(OR($D$19&lt;25000,$D$20&lt;0.5),TnkLoad_Ctrl_notreq,TnkLoad_Ctrl_req)),TnkLoad_Ctrl_notreq)</formula1>
    </dataValidation>
    <dataValidation type="list" allowBlank="1" showErrorMessage="1" prompt="select one" sqref="G29:H30" xr:uid="{47CF833B-E021-4DCC-8FED-7EEA5ABAB54E}">
      <formula1>"I agree."</formula1>
    </dataValidation>
    <dataValidation type="list" allowBlank="1" showErrorMessage="1" prompt="select a product name" sqref="A32:B32 A43:B43 A54:B54 A65:B65 A76:B76 A87:B87 A98:B98 A109:B109 A120:B120 A131:B131" xr:uid="{AE9994D5-2861-40A9-BAAD-71C7C42C08CB}">
      <formula1>ProdList</formula1>
    </dataValidation>
    <dataValidation allowBlank="1" showErrorMessage="1" prompt="enter the Proposed hourly throughput increase (bbl/hr)" sqref="C32 C43 C54 C65 C76 C87 C98 C109 C120 C131" xr:uid="{A4CBC80F-EFFC-4CB0-855A-7AD4EA76707E}"/>
    <dataValidation allowBlank="1" showErrorMessage="1" prompt="enter the Proposed annual throughput increase (tpy)" sqref="D32 D43 D54 D65 D76 D87 D98 D109 D120 D131" xr:uid="{3F159CA0-2C31-4DC7-B143-C32DD8920D45}"/>
    <dataValidation allowBlank="1" showErrorMessage="1" prompt="enter the Proposed hourly emission increase (lb/hr)" sqref="G32 G43 G54 G65 G76 G87 G98 G109 G120 G131" xr:uid="{821E668D-F9F9-4EBE-B63A-0EDB2E958342}"/>
    <dataValidation allowBlank="1" showErrorMessage="1" prompt="enter the Proposed annual emission increase (tpy)" sqref="H32 H43 H54 H65 H76 H87 H98 H109 H120 H131" xr:uid="{02CEDBF2-2CEB-4C55-A3D7-2AEA28F4EBF7}"/>
  </dataValidations>
  <printOptions horizontalCentered="1"/>
  <pageMargins left="0.7" right="0.7" top="0.75" bottom="0.75" header="0.3" footer="0.3"/>
  <pageSetup scale="89" fitToHeight="0" orientation="landscape" r:id="rId1"/>
  <headerFooter>
    <oddHeader>&amp;C&amp;"Calibri,Regular"Marine Loading RAP Application</oddHeader>
    <oddFooter>&amp;L&amp;"Calibri,Regular"Version 1.0&amp;C&amp;"Calibri,Regular"Sheet: &amp;A&amp;R&amp;"Calibri,Regular"Page &amp;P</oddFooter>
  </headerFooter>
  <extLst>
    <ext xmlns:x14="http://schemas.microsoft.com/office/spreadsheetml/2009/9/main" uri="{78C0D931-6437-407d-A8EE-F0AAD7539E65}">
      <x14:conditionalFormattings>
        <x14:conditionalFormatting xmlns:xm="http://schemas.microsoft.com/office/excel/2006/main">
          <x14:cfRule type="expression" priority="5" id="{6D5858E0-9EA4-425D-9C75-01F1FFD38BD5}">
            <xm:f>AND('PI-1-MarineLoading'!$G$115&lt;&gt;"",'PI-1-MarineLoading'!$G$115&lt;&gt;1,'PI-1-MarineLoading'!$G$115&lt;&gt;2,'PI-1-MarineLoading'!$G$115&lt;&gt;3,'PI-1-MarineLoading'!$G$115&lt;&gt;4,'PI-1-MarineLoading'!$G$115&lt;&gt;5)</xm:f>
            <x14:dxf>
              <numFmt numFmtId="164" formatCode=";;;"/>
              <fill>
                <patternFill>
                  <bgColor theme="0" tint="-0.499984740745262"/>
                </patternFill>
              </fill>
            </x14:dxf>
          </x14:cfRule>
          <xm:sqref>A20:C21</xm:sqref>
        </x14:conditionalFormatting>
        <x14:conditionalFormatting xmlns:xm="http://schemas.microsoft.com/office/excel/2006/main">
          <x14:cfRule type="expression" priority="6" id="{9A21C69D-F347-4FDC-AA7F-F35559597B28}">
            <xm:f>AND('PI-1-MarineLoading'!$G$115&lt;5,'PI-1-MarineLoading'!$G$115&lt;&gt;"")</xm:f>
            <x14:dxf>
              <numFmt numFmtId="164" formatCode=";;;"/>
              <fill>
                <patternFill>
                  <bgColor theme="0" tint="-0.499984740745262"/>
                </patternFill>
              </fill>
            </x14:dxf>
          </x14:cfRule>
          <xm:sqref>A1:H141</xm:sqref>
        </x14:conditionalFormatting>
        <x14:conditionalFormatting xmlns:xm="http://schemas.microsoft.com/office/excel/2006/main">
          <x14:cfRule type="expression" priority="7" id="{96F46C55-56CD-4940-A6C6-901441E447DC}">
            <xm:f>$D$20&lt;MAX(IFERROR(VLOOKUP($A$32,Products!$A$59:$C$158,3,FALSE),0),IFERROR(VLOOKUP($A$43,Products!$A$59:$C$158,3,FALSE),0),IFERROR(VLOOKUP($A$54,Products!$A$59:$C$158,3,FALSE),0),IFERROR(VLOOKUP($A$65,Products!$A$59:$C$158,3,FALSE),0),IFERROR(VLOOKUP($A$76,Products!$A$59:$C$158,3,FALSE),0),IFERROR(VLOOKUP($A$87,Products!$A$59:$C$158,3,FALSE),0),IFERROR(VLOOKUP($A$98,Products!$A$59:$C$158,3,FALSE),0),IFERROR(VLOOKUP($A$109,Products!$A$59:$C$158,3,FALSE),0),IFERROR(VLOOKUP($A$120,Products!$A$59:$C$158,3,FALSE),0),IFERROR(VLOOKUP($A$131,Products!$A$59:$C$158,3,FALSE),0))</xm:f>
            <x14:dxf>
              <fill>
                <patternFill>
                  <bgColor rgb="FFEBB8B7"/>
                </patternFill>
              </fill>
            </x14:dxf>
          </x14:cfRule>
          <xm:sqref>D20:E20</xm:sqref>
        </x14:conditionalFormatting>
      </x14:conditionalFormatting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C0E481-B7C4-411D-85DB-24DCD39819B4}">
  <sheetPr codeName="Sheet10">
    <tabColor rgb="FFFFFFCC"/>
  </sheetPr>
  <dimension ref="A1:I95"/>
  <sheetViews>
    <sheetView showGridLines="0" zoomScaleNormal="100" workbookViewId="0">
      <selection sqref="A1:H1"/>
    </sheetView>
  </sheetViews>
  <sheetFormatPr defaultColWidth="0" defaultRowHeight="14.25" zeroHeight="1" x14ac:dyDescent="0.2"/>
  <cols>
    <col min="1" max="4" width="14.75" customWidth="1"/>
    <col min="5" max="5" width="25.125" customWidth="1"/>
    <col min="6" max="8" width="13.25" customWidth="1"/>
    <col min="9" max="9" width="2.625" customWidth="1"/>
    <col min="10" max="16384" width="9" hidden="1"/>
  </cols>
  <sheetData>
    <row r="1" spans="1:8" ht="8.25" customHeight="1" thickBot="1" x14ac:dyDescent="0.25">
      <c r="A1" s="478" t="s">
        <v>0</v>
      </c>
      <c r="B1" s="478"/>
      <c r="C1" s="478"/>
      <c r="D1" s="478"/>
      <c r="E1" s="478"/>
      <c r="F1" s="478"/>
      <c r="G1" s="478"/>
      <c r="H1" s="478"/>
    </row>
    <row r="2" spans="1:8" ht="18.75" thickBot="1" x14ac:dyDescent="0.25">
      <c r="A2" s="525" t="s">
        <v>9659</v>
      </c>
      <c r="B2" s="525"/>
      <c r="C2" s="525"/>
      <c r="D2" s="525"/>
      <c r="E2" s="525"/>
      <c r="F2" s="525"/>
      <c r="G2" s="525"/>
      <c r="H2" s="525"/>
    </row>
    <row r="3" spans="1:8" ht="190.5" customHeight="1" thickBot="1" x14ac:dyDescent="0.25">
      <c r="A3" s="634" t="s">
        <v>10622</v>
      </c>
      <c r="B3" s="635"/>
      <c r="C3" s="635"/>
      <c r="D3" s="635"/>
      <c r="E3" s="635"/>
      <c r="F3" s="635"/>
      <c r="G3" s="635"/>
      <c r="H3" s="636"/>
    </row>
    <row r="4" spans="1:8" ht="15" thickBot="1" x14ac:dyDescent="0.25">
      <c r="A4" s="478" t="s">
        <v>1</v>
      </c>
      <c r="B4" s="478"/>
      <c r="C4" s="478"/>
      <c r="D4" s="478"/>
      <c r="E4" s="478"/>
      <c r="F4" s="478"/>
      <c r="G4" s="478"/>
      <c r="H4" s="478"/>
    </row>
    <row r="5" spans="1:8" ht="15.75" thickBot="1" x14ac:dyDescent="0.25">
      <c r="A5" s="479" t="s">
        <v>9660</v>
      </c>
      <c r="B5" s="479"/>
      <c r="C5" s="479"/>
      <c r="D5" s="479"/>
      <c r="E5" s="479"/>
      <c r="F5" s="479"/>
      <c r="G5" s="479"/>
      <c r="H5" s="479"/>
    </row>
    <row r="6" spans="1:8" x14ac:dyDescent="0.2">
      <c r="A6" s="530" t="s">
        <v>10845</v>
      </c>
      <c r="B6" s="531"/>
      <c r="C6" s="531"/>
      <c r="D6" s="531"/>
      <c r="E6" s="531"/>
      <c r="F6" s="531"/>
      <c r="G6" s="678"/>
      <c r="H6" s="709"/>
    </row>
    <row r="7" spans="1:8" ht="45.75" customHeight="1" x14ac:dyDescent="0.2">
      <c r="A7" s="530" t="s">
        <v>9666</v>
      </c>
      <c r="B7" s="531"/>
      <c r="C7" s="531"/>
      <c r="D7" s="531"/>
      <c r="E7" s="531"/>
      <c r="F7" s="531"/>
      <c r="G7" s="678"/>
      <c r="H7" s="709"/>
    </row>
    <row r="8" spans="1:8" ht="29.25" customHeight="1" x14ac:dyDescent="0.2">
      <c r="A8" s="530" t="s">
        <v>9668</v>
      </c>
      <c r="B8" s="531"/>
      <c r="C8" s="531"/>
      <c r="D8" s="531"/>
      <c r="E8" s="531"/>
      <c r="F8" s="531"/>
      <c r="G8" s="678"/>
      <c r="H8" s="709"/>
    </row>
    <row r="9" spans="1:8" ht="45" customHeight="1" thickBot="1" x14ac:dyDescent="0.25">
      <c r="A9" s="587" t="s">
        <v>9667</v>
      </c>
      <c r="B9" s="588"/>
      <c r="C9" s="588"/>
      <c r="D9" s="588"/>
      <c r="E9" s="588"/>
      <c r="F9" s="589"/>
      <c r="G9" s="710"/>
      <c r="H9" s="711"/>
    </row>
    <row r="10" spans="1:8" ht="15" thickBot="1" x14ac:dyDescent="0.25">
      <c r="A10" s="478" t="s">
        <v>1</v>
      </c>
      <c r="B10" s="478"/>
      <c r="C10" s="478"/>
      <c r="D10" s="478"/>
      <c r="E10" s="478"/>
      <c r="F10" s="478"/>
      <c r="G10" s="478"/>
      <c r="H10" s="478"/>
    </row>
    <row r="11" spans="1:8" ht="15.75" thickBot="1" x14ac:dyDescent="0.25">
      <c r="A11" s="479" t="str">
        <f>"II. Tank 1 (EPN "&amp;Tank1!$D$8&amp;")"&amp;" Convenience Landing Emissions"</f>
        <v>II. Tank 1 (EPN ) Convenience Landing Emissions</v>
      </c>
      <c r="B11" s="479"/>
      <c r="C11" s="479"/>
      <c r="D11" s="479"/>
      <c r="E11" s="479"/>
      <c r="F11" s="479"/>
      <c r="G11" s="479"/>
      <c r="H11" s="479"/>
    </row>
    <row r="12" spans="1:8" ht="15" x14ac:dyDescent="0.2">
      <c r="A12" s="539" t="s">
        <v>9661</v>
      </c>
      <c r="B12" s="540"/>
      <c r="C12" s="540"/>
      <c r="D12" s="540"/>
      <c r="E12" s="540"/>
      <c r="F12" s="540"/>
      <c r="G12" s="540"/>
      <c r="H12" s="541"/>
    </row>
    <row r="13" spans="1:8" ht="33.75" customHeight="1" x14ac:dyDescent="0.2">
      <c r="A13" s="530" t="str">
        <f>IF(Tank1!$D$6="modified","How many additional convenience roof landings per year will be authorized for this tank? (events/yr)","How many convenience roof landings per year will be authorized for this tank? (events/yr)")</f>
        <v>How many convenience roof landings per year will be authorized for this tank? (events/yr)</v>
      </c>
      <c r="B13" s="531"/>
      <c r="C13" s="531"/>
      <c r="D13" s="615"/>
      <c r="E13" s="615"/>
      <c r="F13" s="615"/>
      <c r="G13" s="615"/>
      <c r="H13" s="616"/>
    </row>
    <row r="14" spans="1:8" ht="15" customHeight="1" thickBot="1" x14ac:dyDescent="0.25">
      <c r="A14" s="480" t="s">
        <v>9419</v>
      </c>
      <c r="B14" s="481"/>
      <c r="C14" s="481"/>
      <c r="D14" s="705"/>
      <c r="E14" s="705"/>
      <c r="F14" s="705"/>
      <c r="G14" s="705"/>
      <c r="H14" s="706"/>
    </row>
    <row r="15" spans="1:8" ht="15" customHeight="1" x14ac:dyDescent="0.2">
      <c r="A15" s="539" t="s">
        <v>9429</v>
      </c>
      <c r="B15" s="540"/>
      <c r="C15" s="540"/>
      <c r="D15" s="540"/>
      <c r="E15" s="540"/>
      <c r="F15" s="540"/>
      <c r="G15" s="540"/>
      <c r="H15" s="541"/>
    </row>
    <row r="16" spans="1:8" ht="50.25" customHeight="1" x14ac:dyDescent="0.2">
      <c r="A16" s="530" t="s">
        <v>10832</v>
      </c>
      <c r="B16" s="531"/>
      <c r="C16" s="531"/>
      <c r="D16" s="531"/>
      <c r="E16" s="531"/>
      <c r="F16" s="531"/>
      <c r="G16" s="531"/>
      <c r="H16" s="538"/>
    </row>
    <row r="17" spans="1:8" ht="60.75" customHeight="1" x14ac:dyDescent="0.2">
      <c r="A17" s="566" t="s">
        <v>9664</v>
      </c>
      <c r="B17" s="566"/>
      <c r="C17" s="566"/>
      <c r="D17" s="696"/>
      <c r="E17" s="161" t="s">
        <v>178</v>
      </c>
      <c r="F17" s="79" t="s">
        <v>9421</v>
      </c>
      <c r="G17" s="162" t="s">
        <v>9662</v>
      </c>
      <c r="H17" s="163" t="s">
        <v>9663</v>
      </c>
    </row>
    <row r="18" spans="1:8" ht="14.25" customHeight="1" x14ac:dyDescent="0.2">
      <c r="A18" s="465" t="s">
        <v>9665</v>
      </c>
      <c r="B18" s="466"/>
      <c r="C18" s="466"/>
      <c r="D18" s="695"/>
      <c r="E18" s="158" t="s">
        <v>229</v>
      </c>
      <c r="F18" s="165"/>
      <c r="G18" s="42"/>
      <c r="H18" s="29">
        <f>($G18/2000)*$D$13</f>
        <v>0</v>
      </c>
    </row>
    <row r="19" spans="1:8" ht="15" customHeight="1" x14ac:dyDescent="0.2">
      <c r="A19" s="699" t="s">
        <v>1</v>
      </c>
      <c r="B19" s="700"/>
      <c r="C19" s="700"/>
      <c r="D19" s="701"/>
      <c r="E19" s="164" t="s">
        <v>229</v>
      </c>
      <c r="F19" s="42"/>
      <c r="G19" s="42"/>
      <c r="H19" s="29">
        <f t="shared" ref="H19:H26" si="0">($G19/2000)*$D$13</f>
        <v>0</v>
      </c>
    </row>
    <row r="20" spans="1:8" ht="15" customHeight="1" x14ac:dyDescent="0.2">
      <c r="A20" s="702" t="s">
        <v>1</v>
      </c>
      <c r="B20" s="703"/>
      <c r="C20" s="703"/>
      <c r="D20" s="704"/>
      <c r="E20" s="158" t="s">
        <v>261</v>
      </c>
      <c r="F20" s="42"/>
      <c r="G20" s="42"/>
      <c r="H20" s="29">
        <f t="shared" si="0"/>
        <v>0</v>
      </c>
    </row>
    <row r="21" spans="1:8" ht="15" customHeight="1" x14ac:dyDescent="0.2">
      <c r="A21" s="702" t="s">
        <v>1</v>
      </c>
      <c r="B21" s="703"/>
      <c r="C21" s="703"/>
      <c r="D21" s="704"/>
      <c r="E21" s="158" t="s">
        <v>262</v>
      </c>
      <c r="F21" s="42"/>
      <c r="G21" s="42"/>
      <c r="H21" s="29">
        <f t="shared" si="0"/>
        <v>0</v>
      </c>
    </row>
    <row r="22" spans="1:8" ht="15" customHeight="1" x14ac:dyDescent="0.2">
      <c r="A22" s="465" t="str">
        <f t="shared" ref="A22" si="1">"Emissions from control device ("&amp;IF($D$14="","select control device above",$D$14)&amp;")"</f>
        <v>Emissions from control device (select control device above)</v>
      </c>
      <c r="B22" s="466"/>
      <c r="C22" s="466"/>
      <c r="D22" s="695"/>
      <c r="E22" s="158" t="s">
        <v>263</v>
      </c>
      <c r="F22" s="42"/>
      <c r="G22" s="42"/>
      <c r="H22" s="29">
        <f t="shared" si="0"/>
        <v>0</v>
      </c>
    </row>
    <row r="23" spans="1:8" ht="15" customHeight="1" x14ac:dyDescent="0.2">
      <c r="A23" s="702" t="s">
        <v>1</v>
      </c>
      <c r="B23" s="703"/>
      <c r="C23" s="703"/>
      <c r="D23" s="704"/>
      <c r="E23" s="158" t="s">
        <v>264</v>
      </c>
      <c r="F23" s="42"/>
      <c r="G23" s="42"/>
      <c r="H23" s="29">
        <f t="shared" si="0"/>
        <v>0</v>
      </c>
    </row>
    <row r="24" spans="1:8" ht="15" customHeight="1" x14ac:dyDescent="0.2">
      <c r="A24" s="702" t="s">
        <v>1</v>
      </c>
      <c r="B24" s="703"/>
      <c r="C24" s="703"/>
      <c r="D24" s="704"/>
      <c r="E24" s="158" t="s">
        <v>265</v>
      </c>
      <c r="F24" s="42"/>
      <c r="G24" s="42"/>
      <c r="H24" s="29">
        <f t="shared" si="0"/>
        <v>0</v>
      </c>
    </row>
    <row r="25" spans="1:8" ht="15" customHeight="1" x14ac:dyDescent="0.2">
      <c r="A25" s="702" t="s">
        <v>1</v>
      </c>
      <c r="B25" s="703"/>
      <c r="C25" s="703"/>
      <c r="D25" s="704"/>
      <c r="E25" s="158" t="s">
        <v>266</v>
      </c>
      <c r="F25" s="42"/>
      <c r="G25" s="42"/>
      <c r="H25" s="29">
        <f t="shared" si="0"/>
        <v>0</v>
      </c>
    </row>
    <row r="26" spans="1:8" ht="15" customHeight="1" thickBot="1" x14ac:dyDescent="0.25">
      <c r="A26" s="697" t="s">
        <v>1</v>
      </c>
      <c r="B26" s="639"/>
      <c r="C26" s="639"/>
      <c r="D26" s="698"/>
      <c r="E26" s="160" t="s">
        <v>267</v>
      </c>
      <c r="F26" s="159"/>
      <c r="G26" s="159"/>
      <c r="H26" s="113">
        <f t="shared" si="0"/>
        <v>0</v>
      </c>
    </row>
    <row r="27" spans="1:8" ht="15" thickBot="1" x14ac:dyDescent="0.25">
      <c r="A27" s="478" t="s">
        <v>1</v>
      </c>
      <c r="B27" s="478"/>
      <c r="C27" s="478"/>
      <c r="D27" s="478"/>
      <c r="E27" s="478"/>
      <c r="F27" s="478"/>
      <c r="G27" s="478"/>
      <c r="H27" s="478"/>
    </row>
    <row r="28" spans="1:8" ht="15.75" thickBot="1" x14ac:dyDescent="0.25">
      <c r="A28" s="479" t="str">
        <f>"III. Tank 2 (EPN "&amp;Tank2!$D$8&amp;")"&amp;" Convenience Landing Emissions"</f>
        <v>III. Tank 2 (EPN ) Convenience Landing Emissions</v>
      </c>
      <c r="B28" s="479"/>
      <c r="C28" s="479"/>
      <c r="D28" s="479"/>
      <c r="E28" s="479"/>
      <c r="F28" s="479"/>
      <c r="G28" s="479"/>
      <c r="H28" s="479"/>
    </row>
    <row r="29" spans="1:8" ht="15" x14ac:dyDescent="0.2">
      <c r="A29" s="539" t="s">
        <v>9661</v>
      </c>
      <c r="B29" s="540"/>
      <c r="C29" s="540"/>
      <c r="D29" s="540"/>
      <c r="E29" s="540"/>
      <c r="F29" s="540"/>
      <c r="G29" s="540"/>
      <c r="H29" s="541"/>
    </row>
    <row r="30" spans="1:8" ht="33.75" customHeight="1" x14ac:dyDescent="0.2">
      <c r="A30" s="530" t="str">
        <f>IF(Tank2!$D$6="modified","How many additional convenience roof landings per year will be authorized for this tank? (events/yr)","How many convenience roof landings per year will be authorized for this tank? (events/yr)")</f>
        <v>How many convenience roof landings per year will be authorized for this tank? (events/yr)</v>
      </c>
      <c r="B30" s="531"/>
      <c r="C30" s="531"/>
      <c r="D30" s="615"/>
      <c r="E30" s="615"/>
      <c r="F30" s="615"/>
      <c r="G30" s="615"/>
      <c r="H30" s="616"/>
    </row>
    <row r="31" spans="1:8" ht="15" customHeight="1" thickBot="1" x14ac:dyDescent="0.25">
      <c r="A31" s="480" t="s">
        <v>9419</v>
      </c>
      <c r="B31" s="481"/>
      <c r="C31" s="481"/>
      <c r="D31" s="705"/>
      <c r="E31" s="705"/>
      <c r="F31" s="705"/>
      <c r="G31" s="705"/>
      <c r="H31" s="706"/>
    </row>
    <row r="32" spans="1:8" ht="15" customHeight="1" x14ac:dyDescent="0.2">
      <c r="A32" s="539" t="s">
        <v>9429</v>
      </c>
      <c r="B32" s="540"/>
      <c r="C32" s="540"/>
      <c r="D32" s="540"/>
      <c r="E32" s="540"/>
      <c r="F32" s="540"/>
      <c r="G32" s="540"/>
      <c r="H32" s="541"/>
    </row>
    <row r="33" spans="1:8" ht="50.25" customHeight="1" x14ac:dyDescent="0.2">
      <c r="A33" s="530" t="s">
        <v>10623</v>
      </c>
      <c r="B33" s="531"/>
      <c r="C33" s="531"/>
      <c r="D33" s="531"/>
      <c r="E33" s="531"/>
      <c r="F33" s="531"/>
      <c r="G33" s="531"/>
      <c r="H33" s="538"/>
    </row>
    <row r="34" spans="1:8" ht="60.75" customHeight="1" x14ac:dyDescent="0.2">
      <c r="A34" s="566" t="s">
        <v>9664</v>
      </c>
      <c r="B34" s="566"/>
      <c r="C34" s="566"/>
      <c r="D34" s="696"/>
      <c r="E34" s="161" t="s">
        <v>178</v>
      </c>
      <c r="F34" s="79" t="s">
        <v>9421</v>
      </c>
      <c r="G34" s="162" t="s">
        <v>9662</v>
      </c>
      <c r="H34" s="163" t="s">
        <v>9663</v>
      </c>
    </row>
    <row r="35" spans="1:8" ht="14.25" customHeight="1" x14ac:dyDescent="0.2">
      <c r="A35" s="465" t="s">
        <v>9665</v>
      </c>
      <c r="B35" s="466"/>
      <c r="C35" s="466"/>
      <c r="D35" s="695"/>
      <c r="E35" s="158" t="s">
        <v>229</v>
      </c>
      <c r="F35" s="165"/>
      <c r="G35" s="42"/>
      <c r="H35" s="29">
        <f>($G35/2000)*$D$30</f>
        <v>0</v>
      </c>
    </row>
    <row r="36" spans="1:8" ht="15" customHeight="1" x14ac:dyDescent="0.2">
      <c r="A36" s="692"/>
      <c r="B36" s="693"/>
      <c r="C36" s="693"/>
      <c r="D36" s="694"/>
      <c r="E36" s="164" t="s">
        <v>229</v>
      </c>
      <c r="F36" s="42"/>
      <c r="G36" s="42"/>
      <c r="H36" s="29">
        <f t="shared" ref="H36:H43" si="2">($G36/2000)*$D$30</f>
        <v>0</v>
      </c>
    </row>
    <row r="37" spans="1:8" ht="15" customHeight="1" x14ac:dyDescent="0.2">
      <c r="A37" s="465"/>
      <c r="B37" s="466"/>
      <c r="C37" s="466"/>
      <c r="D37" s="695"/>
      <c r="E37" s="158" t="s">
        <v>261</v>
      </c>
      <c r="F37" s="42"/>
      <c r="G37" s="42"/>
      <c r="H37" s="29">
        <f t="shared" si="2"/>
        <v>0</v>
      </c>
    </row>
    <row r="38" spans="1:8" ht="15" customHeight="1" x14ac:dyDescent="0.2">
      <c r="A38" s="465"/>
      <c r="B38" s="466"/>
      <c r="C38" s="466"/>
      <c r="D38" s="695"/>
      <c r="E38" s="158" t="s">
        <v>262</v>
      </c>
      <c r="F38" s="42"/>
      <c r="G38" s="42"/>
      <c r="H38" s="29">
        <f t="shared" si="2"/>
        <v>0</v>
      </c>
    </row>
    <row r="39" spans="1:8" ht="15" customHeight="1" x14ac:dyDescent="0.2">
      <c r="A39" s="465" t="str">
        <f t="shared" ref="A39" si="3">"Emissions from control device ("&amp;IF($D$31="","select control device above",$D$31)&amp;")"</f>
        <v>Emissions from control device (select control device above)</v>
      </c>
      <c r="B39" s="466"/>
      <c r="C39" s="466"/>
      <c r="D39" s="695"/>
      <c r="E39" s="158" t="s">
        <v>263</v>
      </c>
      <c r="F39" s="42"/>
      <c r="G39" s="42"/>
      <c r="H39" s="29">
        <f t="shared" si="2"/>
        <v>0</v>
      </c>
    </row>
    <row r="40" spans="1:8" ht="15" customHeight="1" x14ac:dyDescent="0.2">
      <c r="A40" s="465"/>
      <c r="B40" s="466"/>
      <c r="C40" s="466"/>
      <c r="D40" s="695"/>
      <c r="E40" s="158" t="s">
        <v>264</v>
      </c>
      <c r="F40" s="42"/>
      <c r="G40" s="42"/>
      <c r="H40" s="29">
        <f t="shared" si="2"/>
        <v>0</v>
      </c>
    </row>
    <row r="41" spans="1:8" ht="15" customHeight="1" x14ac:dyDescent="0.2">
      <c r="A41" s="465"/>
      <c r="B41" s="466"/>
      <c r="C41" s="466"/>
      <c r="D41" s="695"/>
      <c r="E41" s="158" t="s">
        <v>265</v>
      </c>
      <c r="F41" s="42"/>
      <c r="G41" s="42"/>
      <c r="H41" s="29">
        <f t="shared" si="2"/>
        <v>0</v>
      </c>
    </row>
    <row r="42" spans="1:8" ht="15" customHeight="1" x14ac:dyDescent="0.2">
      <c r="A42" s="465"/>
      <c r="B42" s="466"/>
      <c r="C42" s="466"/>
      <c r="D42" s="695"/>
      <c r="E42" s="158" t="s">
        <v>266</v>
      </c>
      <c r="F42" s="42"/>
      <c r="G42" s="42"/>
      <c r="H42" s="29">
        <f t="shared" si="2"/>
        <v>0</v>
      </c>
    </row>
    <row r="43" spans="1:8" ht="15" customHeight="1" thickBot="1" x14ac:dyDescent="0.25">
      <c r="A43" s="707"/>
      <c r="B43" s="469"/>
      <c r="C43" s="469"/>
      <c r="D43" s="708"/>
      <c r="E43" s="160" t="s">
        <v>267</v>
      </c>
      <c r="F43" s="159"/>
      <c r="G43" s="159"/>
      <c r="H43" s="113">
        <f t="shared" si="2"/>
        <v>0</v>
      </c>
    </row>
    <row r="44" spans="1:8" ht="15" thickBot="1" x14ac:dyDescent="0.25">
      <c r="A44" s="478" t="s">
        <v>1</v>
      </c>
      <c r="B44" s="478"/>
      <c r="C44" s="478"/>
      <c r="D44" s="478"/>
      <c r="E44" s="478"/>
      <c r="F44" s="478"/>
      <c r="G44" s="478"/>
      <c r="H44" s="478"/>
    </row>
    <row r="45" spans="1:8" ht="15.75" thickBot="1" x14ac:dyDescent="0.25">
      <c r="A45" s="479" t="str">
        <f>"IV. Tank 3 (EPN "&amp;Tank3!$D$8&amp;")"&amp;" Convenience Landing Emissions"</f>
        <v>IV. Tank 3 (EPN ) Convenience Landing Emissions</v>
      </c>
      <c r="B45" s="479"/>
      <c r="C45" s="479"/>
      <c r="D45" s="479"/>
      <c r="E45" s="479"/>
      <c r="F45" s="479"/>
      <c r="G45" s="479"/>
      <c r="H45" s="479"/>
    </row>
    <row r="46" spans="1:8" ht="15" x14ac:dyDescent="0.2">
      <c r="A46" s="539" t="s">
        <v>9661</v>
      </c>
      <c r="B46" s="540"/>
      <c r="C46" s="540"/>
      <c r="D46" s="540"/>
      <c r="E46" s="540"/>
      <c r="F46" s="540"/>
      <c r="G46" s="540"/>
      <c r="H46" s="541"/>
    </row>
    <row r="47" spans="1:8" ht="32.25" customHeight="1" x14ac:dyDescent="0.2">
      <c r="A47" s="530" t="str">
        <f>IF(Tank3!$D$6="modified","How many additional convenience roof landings per year will be authorized for this tank? (events/yr)","How many convenience roof landings per year will be authorized for this tank? (events/yr)")</f>
        <v>How many convenience roof landings per year will be authorized for this tank? (events/yr)</v>
      </c>
      <c r="B47" s="531"/>
      <c r="C47" s="531"/>
      <c r="D47" s="615"/>
      <c r="E47" s="615"/>
      <c r="F47" s="615"/>
      <c r="G47" s="615"/>
      <c r="H47" s="616"/>
    </row>
    <row r="48" spans="1:8" ht="15" customHeight="1" thickBot="1" x14ac:dyDescent="0.25">
      <c r="A48" s="480" t="s">
        <v>9419</v>
      </c>
      <c r="B48" s="481"/>
      <c r="C48" s="481"/>
      <c r="D48" s="705"/>
      <c r="E48" s="705"/>
      <c r="F48" s="705"/>
      <c r="G48" s="705"/>
      <c r="H48" s="706"/>
    </row>
    <row r="49" spans="1:8" ht="15" customHeight="1" x14ac:dyDescent="0.2">
      <c r="A49" s="539" t="s">
        <v>9429</v>
      </c>
      <c r="B49" s="540"/>
      <c r="C49" s="540"/>
      <c r="D49" s="540"/>
      <c r="E49" s="540"/>
      <c r="F49" s="540"/>
      <c r="G49" s="540"/>
      <c r="H49" s="541"/>
    </row>
    <row r="50" spans="1:8" ht="50.25" customHeight="1" x14ac:dyDescent="0.2">
      <c r="A50" s="530" t="s">
        <v>10623</v>
      </c>
      <c r="B50" s="531"/>
      <c r="C50" s="531"/>
      <c r="D50" s="531"/>
      <c r="E50" s="531"/>
      <c r="F50" s="531"/>
      <c r="G50" s="531"/>
      <c r="H50" s="538"/>
    </row>
    <row r="51" spans="1:8" ht="60.75" customHeight="1" x14ac:dyDescent="0.2">
      <c r="A51" s="566" t="s">
        <v>9664</v>
      </c>
      <c r="B51" s="566"/>
      <c r="C51" s="566"/>
      <c r="D51" s="696"/>
      <c r="E51" s="161" t="s">
        <v>178</v>
      </c>
      <c r="F51" s="79" t="s">
        <v>9421</v>
      </c>
      <c r="G51" s="162" t="s">
        <v>9662</v>
      </c>
      <c r="H51" s="163" t="s">
        <v>9663</v>
      </c>
    </row>
    <row r="52" spans="1:8" ht="14.25" customHeight="1" x14ac:dyDescent="0.2">
      <c r="A52" s="465" t="s">
        <v>9665</v>
      </c>
      <c r="B52" s="466"/>
      <c r="C52" s="466"/>
      <c r="D52" s="695"/>
      <c r="E52" s="158" t="s">
        <v>229</v>
      </c>
      <c r="F52" s="165"/>
      <c r="G52" s="42"/>
      <c r="H52" s="29">
        <f>($G52/2000)*$D$47</f>
        <v>0</v>
      </c>
    </row>
    <row r="53" spans="1:8" ht="15" customHeight="1" x14ac:dyDescent="0.2">
      <c r="A53" s="699" t="s">
        <v>1</v>
      </c>
      <c r="B53" s="700"/>
      <c r="C53" s="700"/>
      <c r="D53" s="701"/>
      <c r="E53" s="164" t="s">
        <v>229</v>
      </c>
      <c r="F53" s="42"/>
      <c r="G53" s="42"/>
      <c r="H53" s="29">
        <f t="shared" ref="H53:H60" si="4">($G53/2000)*$D$47</f>
        <v>0</v>
      </c>
    </row>
    <row r="54" spans="1:8" ht="15" customHeight="1" x14ac:dyDescent="0.2">
      <c r="A54" s="702" t="s">
        <v>1</v>
      </c>
      <c r="B54" s="703"/>
      <c r="C54" s="703"/>
      <c r="D54" s="704"/>
      <c r="E54" s="158" t="s">
        <v>261</v>
      </c>
      <c r="F54" s="42"/>
      <c r="G54" s="42"/>
      <c r="H54" s="29">
        <f t="shared" si="4"/>
        <v>0</v>
      </c>
    </row>
    <row r="55" spans="1:8" ht="15" customHeight="1" x14ac:dyDescent="0.2">
      <c r="A55" s="702" t="s">
        <v>1</v>
      </c>
      <c r="B55" s="703"/>
      <c r="C55" s="703"/>
      <c r="D55" s="704"/>
      <c r="E55" s="158" t="s">
        <v>262</v>
      </c>
      <c r="F55" s="42"/>
      <c r="G55" s="42"/>
      <c r="H55" s="29">
        <f t="shared" si="4"/>
        <v>0</v>
      </c>
    </row>
    <row r="56" spans="1:8" ht="15" customHeight="1" x14ac:dyDescent="0.2">
      <c r="A56" s="465" t="str">
        <f t="shared" ref="A56" si="5">"Emissions from control device ("&amp;IF($D$48="","select control device above",$D$48)&amp;")"</f>
        <v>Emissions from control device (select control device above)</v>
      </c>
      <c r="B56" s="466"/>
      <c r="C56" s="466"/>
      <c r="D56" s="695"/>
      <c r="E56" s="158" t="s">
        <v>263</v>
      </c>
      <c r="F56" s="42"/>
      <c r="G56" s="42"/>
      <c r="H56" s="29">
        <f t="shared" si="4"/>
        <v>0</v>
      </c>
    </row>
    <row r="57" spans="1:8" ht="15" customHeight="1" x14ac:dyDescent="0.2">
      <c r="A57" s="702" t="s">
        <v>1</v>
      </c>
      <c r="B57" s="703"/>
      <c r="C57" s="703"/>
      <c r="D57" s="704"/>
      <c r="E57" s="158" t="s">
        <v>264</v>
      </c>
      <c r="F57" s="42"/>
      <c r="G57" s="42"/>
      <c r="H57" s="29">
        <f t="shared" si="4"/>
        <v>0</v>
      </c>
    </row>
    <row r="58" spans="1:8" ht="15" customHeight="1" x14ac:dyDescent="0.2">
      <c r="A58" s="702" t="s">
        <v>1</v>
      </c>
      <c r="B58" s="703"/>
      <c r="C58" s="703"/>
      <c r="D58" s="704"/>
      <c r="E58" s="158" t="s">
        <v>265</v>
      </c>
      <c r="F58" s="42"/>
      <c r="G58" s="42"/>
      <c r="H58" s="29">
        <f t="shared" si="4"/>
        <v>0</v>
      </c>
    </row>
    <row r="59" spans="1:8" ht="15" customHeight="1" x14ac:dyDescent="0.2">
      <c r="A59" s="702" t="s">
        <v>1</v>
      </c>
      <c r="B59" s="703"/>
      <c r="C59" s="703"/>
      <c r="D59" s="704"/>
      <c r="E59" s="158" t="s">
        <v>266</v>
      </c>
      <c r="F59" s="42"/>
      <c r="G59" s="42"/>
      <c r="H59" s="29">
        <f t="shared" si="4"/>
        <v>0</v>
      </c>
    </row>
    <row r="60" spans="1:8" ht="15" customHeight="1" thickBot="1" x14ac:dyDescent="0.25">
      <c r="A60" s="697" t="s">
        <v>1</v>
      </c>
      <c r="B60" s="639"/>
      <c r="C60" s="639"/>
      <c r="D60" s="698"/>
      <c r="E60" s="160" t="s">
        <v>267</v>
      </c>
      <c r="F60" s="159"/>
      <c r="G60" s="159"/>
      <c r="H60" s="113">
        <f t="shared" si="4"/>
        <v>0</v>
      </c>
    </row>
    <row r="61" spans="1:8" ht="15" thickBot="1" x14ac:dyDescent="0.25">
      <c r="A61" s="478" t="s">
        <v>1</v>
      </c>
      <c r="B61" s="478"/>
      <c r="C61" s="478"/>
      <c r="D61" s="478"/>
      <c r="E61" s="478"/>
      <c r="F61" s="478"/>
      <c r="G61" s="478"/>
      <c r="H61" s="478"/>
    </row>
    <row r="62" spans="1:8" ht="15.75" thickBot="1" x14ac:dyDescent="0.25">
      <c r="A62" s="479" t="str">
        <f>"V. Tank 4 (EPN "&amp;Tank4!$D$8&amp;")"&amp;" Convenience Landing Emissions"</f>
        <v>V. Tank 4 (EPN ) Convenience Landing Emissions</v>
      </c>
      <c r="B62" s="479"/>
      <c r="C62" s="479"/>
      <c r="D62" s="479"/>
      <c r="E62" s="479"/>
      <c r="F62" s="479"/>
      <c r="G62" s="479"/>
      <c r="H62" s="479"/>
    </row>
    <row r="63" spans="1:8" ht="15" x14ac:dyDescent="0.2">
      <c r="A63" s="539" t="s">
        <v>9661</v>
      </c>
      <c r="B63" s="540"/>
      <c r="C63" s="540"/>
      <c r="D63" s="540"/>
      <c r="E63" s="540"/>
      <c r="F63" s="540"/>
      <c r="G63" s="540"/>
      <c r="H63" s="541"/>
    </row>
    <row r="64" spans="1:8" ht="33" customHeight="1" x14ac:dyDescent="0.2">
      <c r="A64" s="530" t="str">
        <f>IF(Tank4!$D$6="modified","How many additional convenience roof landings per year will be authorized for this tank? (events/yr)","How many convenience roof landings per year will be authorized for this tank? (events/yr)")</f>
        <v>How many convenience roof landings per year will be authorized for this tank? (events/yr)</v>
      </c>
      <c r="B64" s="531"/>
      <c r="C64" s="531"/>
      <c r="D64" s="615"/>
      <c r="E64" s="615"/>
      <c r="F64" s="615"/>
      <c r="G64" s="615"/>
      <c r="H64" s="616"/>
    </row>
    <row r="65" spans="1:8" ht="15" customHeight="1" thickBot="1" x14ac:dyDescent="0.25">
      <c r="A65" s="480" t="s">
        <v>9419</v>
      </c>
      <c r="B65" s="481"/>
      <c r="C65" s="481"/>
      <c r="D65" s="705"/>
      <c r="E65" s="705"/>
      <c r="F65" s="705"/>
      <c r="G65" s="705"/>
      <c r="H65" s="706"/>
    </row>
    <row r="66" spans="1:8" ht="15" customHeight="1" x14ac:dyDescent="0.2">
      <c r="A66" s="539" t="s">
        <v>9429</v>
      </c>
      <c r="B66" s="540"/>
      <c r="C66" s="540"/>
      <c r="D66" s="540"/>
      <c r="E66" s="540"/>
      <c r="F66" s="540"/>
      <c r="G66" s="540"/>
      <c r="H66" s="541"/>
    </row>
    <row r="67" spans="1:8" ht="50.25" customHeight="1" x14ac:dyDescent="0.2">
      <c r="A67" s="530" t="s">
        <v>10623</v>
      </c>
      <c r="B67" s="531"/>
      <c r="C67" s="531"/>
      <c r="D67" s="531"/>
      <c r="E67" s="531"/>
      <c r="F67" s="531"/>
      <c r="G67" s="531"/>
      <c r="H67" s="538"/>
    </row>
    <row r="68" spans="1:8" ht="60.75" customHeight="1" x14ac:dyDescent="0.2">
      <c r="A68" s="566" t="s">
        <v>9664</v>
      </c>
      <c r="B68" s="566"/>
      <c r="C68" s="566"/>
      <c r="D68" s="696"/>
      <c r="E68" s="161" t="s">
        <v>178</v>
      </c>
      <c r="F68" s="79" t="s">
        <v>9421</v>
      </c>
      <c r="G68" s="162" t="s">
        <v>9662</v>
      </c>
      <c r="H68" s="163" t="s">
        <v>9663</v>
      </c>
    </row>
    <row r="69" spans="1:8" ht="14.25" customHeight="1" x14ac:dyDescent="0.2">
      <c r="A69" s="465" t="s">
        <v>9665</v>
      </c>
      <c r="B69" s="466"/>
      <c r="C69" s="466"/>
      <c r="D69" s="695"/>
      <c r="E69" s="158" t="s">
        <v>229</v>
      </c>
      <c r="F69" s="165"/>
      <c r="G69" s="42"/>
      <c r="H69" s="29">
        <f>($G69/2000)*$D$64</f>
        <v>0</v>
      </c>
    </row>
    <row r="70" spans="1:8" ht="15" customHeight="1" x14ac:dyDescent="0.2">
      <c r="A70" s="692"/>
      <c r="B70" s="693"/>
      <c r="C70" s="693"/>
      <c r="D70" s="694"/>
      <c r="E70" s="164" t="s">
        <v>229</v>
      </c>
      <c r="F70" s="42"/>
      <c r="G70" s="42"/>
      <c r="H70" s="29">
        <f t="shared" ref="H70:H77" si="6">($G70/2000)*$D$64</f>
        <v>0</v>
      </c>
    </row>
    <row r="71" spans="1:8" ht="15" customHeight="1" x14ac:dyDescent="0.2">
      <c r="A71" s="465"/>
      <c r="B71" s="466"/>
      <c r="C71" s="466"/>
      <c r="D71" s="695"/>
      <c r="E71" s="158" t="s">
        <v>261</v>
      </c>
      <c r="F71" s="42"/>
      <c r="G71" s="42"/>
      <c r="H71" s="29">
        <f t="shared" si="6"/>
        <v>0</v>
      </c>
    </row>
    <row r="72" spans="1:8" ht="15" customHeight="1" x14ac:dyDescent="0.2">
      <c r="A72" s="465"/>
      <c r="B72" s="466"/>
      <c r="C72" s="466"/>
      <c r="D72" s="695"/>
      <c r="E72" s="158" t="s">
        <v>262</v>
      </c>
      <c r="F72" s="42"/>
      <c r="G72" s="42"/>
      <c r="H72" s="29">
        <f t="shared" si="6"/>
        <v>0</v>
      </c>
    </row>
    <row r="73" spans="1:8" ht="15" customHeight="1" x14ac:dyDescent="0.2">
      <c r="A73" s="465" t="str">
        <f>"Emissions from control device ("&amp;IF($D$65="","select control device above",$D$65)&amp;")"</f>
        <v>Emissions from control device (select control device above)</v>
      </c>
      <c r="B73" s="466"/>
      <c r="C73" s="466"/>
      <c r="D73" s="695"/>
      <c r="E73" s="158" t="s">
        <v>263</v>
      </c>
      <c r="F73" s="42"/>
      <c r="G73" s="42"/>
      <c r="H73" s="29">
        <f t="shared" si="6"/>
        <v>0</v>
      </c>
    </row>
    <row r="74" spans="1:8" ht="15" customHeight="1" x14ac:dyDescent="0.2">
      <c r="A74" s="465"/>
      <c r="B74" s="466"/>
      <c r="C74" s="466"/>
      <c r="D74" s="695"/>
      <c r="E74" s="158" t="s">
        <v>264</v>
      </c>
      <c r="F74" s="42"/>
      <c r="G74" s="42"/>
      <c r="H74" s="29">
        <f t="shared" si="6"/>
        <v>0</v>
      </c>
    </row>
    <row r="75" spans="1:8" ht="15" customHeight="1" x14ac:dyDescent="0.2">
      <c r="A75" s="465"/>
      <c r="B75" s="466"/>
      <c r="C75" s="466"/>
      <c r="D75" s="695"/>
      <c r="E75" s="158" t="s">
        <v>265</v>
      </c>
      <c r="F75" s="42"/>
      <c r="G75" s="42"/>
      <c r="H75" s="29">
        <f t="shared" si="6"/>
        <v>0</v>
      </c>
    </row>
    <row r="76" spans="1:8" ht="15" customHeight="1" x14ac:dyDescent="0.2">
      <c r="A76" s="465"/>
      <c r="B76" s="466"/>
      <c r="C76" s="466"/>
      <c r="D76" s="695"/>
      <c r="E76" s="158" t="s">
        <v>266</v>
      </c>
      <c r="F76" s="42"/>
      <c r="G76" s="42"/>
      <c r="H76" s="29">
        <f t="shared" si="6"/>
        <v>0</v>
      </c>
    </row>
    <row r="77" spans="1:8" ht="15" customHeight="1" thickBot="1" x14ac:dyDescent="0.25">
      <c r="A77" s="707"/>
      <c r="B77" s="469"/>
      <c r="C77" s="469"/>
      <c r="D77" s="708"/>
      <c r="E77" s="160" t="s">
        <v>267</v>
      </c>
      <c r="F77" s="159"/>
      <c r="G77" s="159"/>
      <c r="H77" s="113">
        <f t="shared" si="6"/>
        <v>0</v>
      </c>
    </row>
    <row r="78" spans="1:8" ht="15" thickBot="1" x14ac:dyDescent="0.25">
      <c r="A78" s="478" t="s">
        <v>1</v>
      </c>
      <c r="B78" s="478"/>
      <c r="C78" s="478"/>
      <c r="D78" s="478"/>
      <c r="E78" s="478"/>
      <c r="F78" s="478"/>
      <c r="G78" s="478"/>
      <c r="H78" s="478"/>
    </row>
    <row r="79" spans="1:8" ht="15.75" thickBot="1" x14ac:dyDescent="0.25">
      <c r="A79" s="479" t="str">
        <f>"VI. Tank 5 (EPN "&amp;Tank5!$D$8&amp;")"&amp;" Convenience Landing Emissions"</f>
        <v>VI. Tank 5 (EPN ) Convenience Landing Emissions</v>
      </c>
      <c r="B79" s="479"/>
      <c r="C79" s="479"/>
      <c r="D79" s="479"/>
      <c r="E79" s="479"/>
      <c r="F79" s="479"/>
      <c r="G79" s="479"/>
      <c r="H79" s="479"/>
    </row>
    <row r="80" spans="1:8" ht="15" x14ac:dyDescent="0.2">
      <c r="A80" s="539" t="s">
        <v>9661</v>
      </c>
      <c r="B80" s="540"/>
      <c r="C80" s="540"/>
      <c r="D80" s="540"/>
      <c r="E80" s="540"/>
      <c r="F80" s="540"/>
      <c r="G80" s="540"/>
      <c r="H80" s="541"/>
    </row>
    <row r="81" spans="1:8" ht="31.5" customHeight="1" x14ac:dyDescent="0.2">
      <c r="A81" s="530" t="str">
        <f>IF(Tank5!$D$6="modified","How many additional convenience roof landings per year will be authorized for this tank? (events/yr)","How many convenience roof landings per year will be authorized for this tank? (events/yr)")</f>
        <v>How many convenience roof landings per year will be authorized for this tank? (events/yr)</v>
      </c>
      <c r="B81" s="531"/>
      <c r="C81" s="531"/>
      <c r="D81" s="615"/>
      <c r="E81" s="615"/>
      <c r="F81" s="615"/>
      <c r="G81" s="615"/>
      <c r="H81" s="616"/>
    </row>
    <row r="82" spans="1:8" ht="15" customHeight="1" thickBot="1" x14ac:dyDescent="0.25">
      <c r="A82" s="480" t="s">
        <v>9419</v>
      </c>
      <c r="B82" s="481"/>
      <c r="C82" s="481"/>
      <c r="D82" s="705"/>
      <c r="E82" s="705"/>
      <c r="F82" s="705"/>
      <c r="G82" s="705"/>
      <c r="H82" s="706"/>
    </row>
    <row r="83" spans="1:8" ht="15" customHeight="1" x14ac:dyDescent="0.2">
      <c r="A83" s="539" t="s">
        <v>9429</v>
      </c>
      <c r="B83" s="540"/>
      <c r="C83" s="540"/>
      <c r="D83" s="540"/>
      <c r="E83" s="540"/>
      <c r="F83" s="540"/>
      <c r="G83" s="540"/>
      <c r="H83" s="541"/>
    </row>
    <row r="84" spans="1:8" ht="50.25" customHeight="1" x14ac:dyDescent="0.2">
      <c r="A84" s="530" t="s">
        <v>10623</v>
      </c>
      <c r="B84" s="531"/>
      <c r="C84" s="531"/>
      <c r="D84" s="531"/>
      <c r="E84" s="531"/>
      <c r="F84" s="531"/>
      <c r="G84" s="531"/>
      <c r="H84" s="538"/>
    </row>
    <row r="85" spans="1:8" ht="60.75" customHeight="1" x14ac:dyDescent="0.2">
      <c r="A85" s="566" t="s">
        <v>9664</v>
      </c>
      <c r="B85" s="566"/>
      <c r="C85" s="566"/>
      <c r="D85" s="696"/>
      <c r="E85" s="161" t="s">
        <v>178</v>
      </c>
      <c r="F85" s="79" t="s">
        <v>9421</v>
      </c>
      <c r="G85" s="162" t="s">
        <v>9662</v>
      </c>
      <c r="H85" s="163" t="s">
        <v>9663</v>
      </c>
    </row>
    <row r="86" spans="1:8" ht="14.25" customHeight="1" x14ac:dyDescent="0.2">
      <c r="A86" s="465" t="s">
        <v>9665</v>
      </c>
      <c r="B86" s="466"/>
      <c r="C86" s="466"/>
      <c r="D86" s="695"/>
      <c r="E86" s="158" t="s">
        <v>229</v>
      </c>
      <c r="F86" s="165"/>
      <c r="G86" s="42"/>
      <c r="H86" s="29">
        <f>($G86/2000)*$D$81</f>
        <v>0</v>
      </c>
    </row>
    <row r="87" spans="1:8" ht="15" customHeight="1" x14ac:dyDescent="0.2">
      <c r="A87" s="692"/>
      <c r="B87" s="693"/>
      <c r="C87" s="693"/>
      <c r="D87" s="694"/>
      <c r="E87" s="164" t="s">
        <v>229</v>
      </c>
      <c r="F87" s="42"/>
      <c r="G87" s="42"/>
      <c r="H87" s="29">
        <f t="shared" ref="H87:H94" si="7">($G87/2000)*$D$81</f>
        <v>0</v>
      </c>
    </row>
    <row r="88" spans="1:8" ht="15" customHeight="1" x14ac:dyDescent="0.2">
      <c r="A88" s="465"/>
      <c r="B88" s="466"/>
      <c r="C88" s="466"/>
      <c r="D88" s="695"/>
      <c r="E88" s="158" t="s">
        <v>261</v>
      </c>
      <c r="F88" s="42"/>
      <c r="G88" s="42"/>
      <c r="H88" s="29">
        <f t="shared" si="7"/>
        <v>0</v>
      </c>
    </row>
    <row r="89" spans="1:8" ht="15" customHeight="1" x14ac:dyDescent="0.2">
      <c r="A89" s="465"/>
      <c r="B89" s="466"/>
      <c r="C89" s="466"/>
      <c r="D89" s="695"/>
      <c r="E89" s="158" t="s">
        <v>262</v>
      </c>
      <c r="F89" s="42"/>
      <c r="G89" s="42"/>
      <c r="H89" s="29">
        <f t="shared" si="7"/>
        <v>0</v>
      </c>
    </row>
    <row r="90" spans="1:8" ht="15" customHeight="1" x14ac:dyDescent="0.2">
      <c r="A90" s="465" t="str">
        <f t="shared" ref="A90" si="8">"Emissions from control device ("&amp;IF($D$82="","select control device above",$D$82)&amp;")"</f>
        <v>Emissions from control device (select control device above)</v>
      </c>
      <c r="B90" s="466"/>
      <c r="C90" s="466"/>
      <c r="D90" s="695"/>
      <c r="E90" s="158" t="s">
        <v>263</v>
      </c>
      <c r="F90" s="42"/>
      <c r="G90" s="42"/>
      <c r="H90" s="29">
        <f t="shared" si="7"/>
        <v>0</v>
      </c>
    </row>
    <row r="91" spans="1:8" ht="15" customHeight="1" x14ac:dyDescent="0.2">
      <c r="A91" s="466"/>
      <c r="B91" s="466"/>
      <c r="C91" s="466"/>
      <c r="D91" s="695"/>
      <c r="E91" s="158" t="s">
        <v>264</v>
      </c>
      <c r="F91" s="42"/>
      <c r="G91" s="42"/>
      <c r="H91" s="29">
        <f t="shared" si="7"/>
        <v>0</v>
      </c>
    </row>
    <row r="92" spans="1:8" ht="15" customHeight="1" x14ac:dyDescent="0.2">
      <c r="A92" s="465"/>
      <c r="B92" s="466"/>
      <c r="C92" s="466"/>
      <c r="D92" s="695"/>
      <c r="E92" s="158" t="s">
        <v>265</v>
      </c>
      <c r="F92" s="42"/>
      <c r="G92" s="42"/>
      <c r="H92" s="29">
        <f t="shared" si="7"/>
        <v>0</v>
      </c>
    </row>
    <row r="93" spans="1:8" ht="15" customHeight="1" x14ac:dyDescent="0.2">
      <c r="A93" s="465"/>
      <c r="B93" s="466"/>
      <c r="C93" s="466"/>
      <c r="D93" s="695"/>
      <c r="E93" s="158" t="s">
        <v>266</v>
      </c>
      <c r="F93" s="42"/>
      <c r="G93" s="42"/>
      <c r="H93" s="29">
        <f t="shared" si="7"/>
        <v>0</v>
      </c>
    </row>
    <row r="94" spans="1:8" ht="15" customHeight="1" thickBot="1" x14ac:dyDescent="0.25">
      <c r="A94" s="707"/>
      <c r="B94" s="469"/>
      <c r="C94" s="469"/>
      <c r="D94" s="708"/>
      <c r="E94" s="160" t="s">
        <v>267</v>
      </c>
      <c r="F94" s="159"/>
      <c r="G94" s="159"/>
      <c r="H94" s="113">
        <f t="shared" si="7"/>
        <v>0</v>
      </c>
    </row>
    <row r="95" spans="1:8" x14ac:dyDescent="0.2">
      <c r="A95" s="478" t="s">
        <v>130</v>
      </c>
      <c r="B95" s="478"/>
      <c r="C95" s="478"/>
      <c r="D95" s="478"/>
      <c r="E95" s="478"/>
      <c r="F95" s="478"/>
      <c r="G95" s="478"/>
      <c r="H95" s="478"/>
    </row>
  </sheetData>
  <sheetProtection algorithmName="SHA-512" hashValue="s0YoVCvh22klAVE7cKNB7+vsVjplO8gO7ZFLbosgjc46/T9J7kX3kf12l+t6dRznbitxahXjYmt6Em625jScfQ==" saltValue="z8vYayK4PVw9AISa6MnJuA==" spinCount="100000" sheet="1" objects="1" scenarios="1" formatColumns="0" formatRows="0"/>
  <mergeCells count="109">
    <mergeCell ref="A89:D89"/>
    <mergeCell ref="A19:D19"/>
    <mergeCell ref="A20:D20"/>
    <mergeCell ref="A46:H46"/>
    <mergeCell ref="A47:C47"/>
    <mergeCell ref="D47:H47"/>
    <mergeCell ref="A48:C48"/>
    <mergeCell ref="A38:D38"/>
    <mergeCell ref="A39:D39"/>
    <mergeCell ref="A29:H29"/>
    <mergeCell ref="A32:H32"/>
    <mergeCell ref="A33:H33"/>
    <mergeCell ref="A34:D34"/>
    <mergeCell ref="A35:D35"/>
    <mergeCell ref="A30:C30"/>
    <mergeCell ref="D30:H30"/>
    <mergeCell ref="A45:H45"/>
    <mergeCell ref="A40:D40"/>
    <mergeCell ref="A41:D41"/>
    <mergeCell ref="A42:D42"/>
    <mergeCell ref="A43:D43"/>
    <mergeCell ref="D31:H31"/>
    <mergeCell ref="D64:H64"/>
    <mergeCell ref="A31:C31"/>
    <mergeCell ref="A11:H11"/>
    <mergeCell ref="A13:C13"/>
    <mergeCell ref="D13:H13"/>
    <mergeCell ref="A12:H12"/>
    <mergeCell ref="A91:D91"/>
    <mergeCell ref="A67:H67"/>
    <mergeCell ref="A76:D76"/>
    <mergeCell ref="A66:H66"/>
    <mergeCell ref="A78:H78"/>
    <mergeCell ref="A79:H79"/>
    <mergeCell ref="A65:C65"/>
    <mergeCell ref="D65:H65"/>
    <mergeCell ref="A77:D77"/>
    <mergeCell ref="A68:D68"/>
    <mergeCell ref="A70:D70"/>
    <mergeCell ref="A71:D71"/>
    <mergeCell ref="A72:D72"/>
    <mergeCell ref="A73:D73"/>
    <mergeCell ref="A74:D74"/>
    <mergeCell ref="A75:D75"/>
    <mergeCell ref="A69:D69"/>
    <mergeCell ref="A90:D90"/>
    <mergeCell ref="A59:D59"/>
    <mergeCell ref="A88:D88"/>
    <mergeCell ref="A1:H1"/>
    <mergeCell ref="A2:H2"/>
    <mergeCell ref="A3:H3"/>
    <mergeCell ref="A4:H4"/>
    <mergeCell ref="A7:F7"/>
    <mergeCell ref="G7:H7"/>
    <mergeCell ref="A8:F8"/>
    <mergeCell ref="G8:H8"/>
    <mergeCell ref="A9:F9"/>
    <mergeCell ref="G9:H9"/>
    <mergeCell ref="A5:H5"/>
    <mergeCell ref="A6:F6"/>
    <mergeCell ref="G6:H6"/>
    <mergeCell ref="D14:H14"/>
    <mergeCell ref="A28:H28"/>
    <mergeCell ref="A21:D21"/>
    <mergeCell ref="A22:D22"/>
    <mergeCell ref="A23:D23"/>
    <mergeCell ref="A24:D24"/>
    <mergeCell ref="A25:D25"/>
    <mergeCell ref="A15:H15"/>
    <mergeCell ref="A26:D26"/>
    <mergeCell ref="A16:H16"/>
    <mergeCell ref="A17:D17"/>
    <mergeCell ref="A95:H95"/>
    <mergeCell ref="A10:H10"/>
    <mergeCell ref="A61:H61"/>
    <mergeCell ref="A62:H62"/>
    <mergeCell ref="A83:H83"/>
    <mergeCell ref="A80:H80"/>
    <mergeCell ref="A81:C81"/>
    <mergeCell ref="D81:H81"/>
    <mergeCell ref="A82:C82"/>
    <mergeCell ref="D82:H82"/>
    <mergeCell ref="A92:D92"/>
    <mergeCell ref="A93:D93"/>
    <mergeCell ref="A94:D94"/>
    <mergeCell ref="A84:H84"/>
    <mergeCell ref="A85:D85"/>
    <mergeCell ref="A86:D86"/>
    <mergeCell ref="A87:D87"/>
    <mergeCell ref="D48:H48"/>
    <mergeCell ref="A49:H49"/>
    <mergeCell ref="A50:H50"/>
    <mergeCell ref="A27:H27"/>
    <mergeCell ref="A64:C64"/>
    <mergeCell ref="A18:D18"/>
    <mergeCell ref="A14:C14"/>
    <mergeCell ref="A36:D36"/>
    <mergeCell ref="A37:D37"/>
    <mergeCell ref="A51:D51"/>
    <mergeCell ref="A60:D60"/>
    <mergeCell ref="A63:H63"/>
    <mergeCell ref="A44:H44"/>
    <mergeCell ref="A52:D52"/>
    <mergeCell ref="A53:D53"/>
    <mergeCell ref="A54:D54"/>
    <mergeCell ref="A55:D55"/>
    <mergeCell ref="A56:D56"/>
    <mergeCell ref="A57:D57"/>
    <mergeCell ref="A58:D58"/>
  </mergeCells>
  <conditionalFormatting sqref="A7:H94">
    <cfRule type="expression" dxfId="247" priority="1">
      <formula>$G$6="no"</formula>
    </cfRule>
  </conditionalFormatting>
  <conditionalFormatting sqref="A14:H26">
    <cfRule type="expression" dxfId="244" priority="12">
      <formula>$D$13=0</formula>
    </cfRule>
  </conditionalFormatting>
  <conditionalFormatting sqref="A31:H43">
    <cfRule type="expression" dxfId="241" priority="11">
      <formula>$D$30=0</formula>
    </cfRule>
  </conditionalFormatting>
  <conditionalFormatting sqref="A48:H60">
    <cfRule type="expression" dxfId="238" priority="10">
      <formula>$D$47=0</formula>
    </cfRule>
  </conditionalFormatting>
  <conditionalFormatting sqref="A65:H77">
    <cfRule type="expression" dxfId="235" priority="9">
      <formula>$D$64=0</formula>
    </cfRule>
  </conditionalFormatting>
  <conditionalFormatting sqref="A82:H94">
    <cfRule type="expression" dxfId="232" priority="8">
      <formula>$D$81=0</formula>
    </cfRule>
  </conditionalFormatting>
  <conditionalFormatting sqref="E22:H24">
    <cfRule type="expression" dxfId="231" priority="7">
      <formula>COUNTIF($D$14,"*flare*")&gt;0</formula>
    </cfRule>
  </conditionalFormatting>
  <conditionalFormatting sqref="E39:H41">
    <cfRule type="expression" dxfId="230" priority="6">
      <formula>COUNTIF($D$31,"*flare*")&gt;0</formula>
    </cfRule>
  </conditionalFormatting>
  <conditionalFormatting sqref="E56:H58">
    <cfRule type="expression" dxfId="229" priority="5">
      <formula>COUNTIF($D$48,"*flare*")&gt;0</formula>
    </cfRule>
  </conditionalFormatting>
  <conditionalFormatting sqref="E73:H75">
    <cfRule type="expression" dxfId="228" priority="4">
      <formula>COUNTIF($D$65,"*flare*")&gt;0</formula>
    </cfRule>
  </conditionalFormatting>
  <conditionalFormatting sqref="E90:H92">
    <cfRule type="expression" dxfId="227" priority="3">
      <formula>COUNTIF($D$82,"*flare*")&gt;0</formula>
    </cfRule>
  </conditionalFormatting>
  <dataValidations count="7">
    <dataValidation type="list" allowBlank="1" showInputMessage="1" showErrorMessage="1" prompt="select a control option" sqref="D49:H49 D66:H66 D15:H15 D32:H32 D83:H83" xr:uid="{3E255F2D-2023-4B00-99E5-593F7CF7D7B6}">
      <formula1>"permanent flare,permanent VCU,permanent vapor oxidizer,temporary VCU,temporary thermal oxidizer"</formula1>
    </dataValidation>
    <dataValidation type="whole" operator="greaterThanOrEqual" allowBlank="1" showErrorMessage="1" prompt="enter number of convenience roof landings (events/yr)" sqref="D30:H30 D47:H47 D64:H64 D13:H13 D81:H81" xr:uid="{9497DE2B-FF89-48C9-BBDD-C53AB03835AE}">
      <formula1>0</formula1>
    </dataValidation>
    <dataValidation type="list" allowBlank="1" showErrorMessage="1" prompt="select I agree" sqref="G7:H9" xr:uid="{64DD751D-1E91-4226-8655-FBFBCE58310A}">
      <formula1>"I agree."</formula1>
    </dataValidation>
    <dataValidation allowBlank="1" showErrorMessage="1" prompt="enter emission rate (lb/hr)" sqref="F86:F94 F18:F26 F35:F43 F52:F60 F69:F77" xr:uid="{B65221C0-C4C7-4720-AEBD-EF10F54FB29F}"/>
    <dataValidation allowBlank="1" showErrorMessage="1" prompt="enter emission rate (lb/event)" sqref="G86:G94 G18:G26 G35:G43 G52:G60 G69:G77" xr:uid="{21A8B489-2895-452A-B2DD-4BD3486C7478}"/>
    <dataValidation type="list" allowBlank="1" showErrorMessage="1" prompt="select a control option" sqref="D82:H82 D14:H14 D31:H31 D48:H48 D65:H65" xr:uid="{DFD6BED0-3E78-4FEA-A15E-854F904EC416}">
      <formula1>ConvLand_TankMSS_CtrlDevs</formula1>
    </dataValidation>
    <dataValidation type="list" allowBlank="1" showInputMessage="1" showErrorMessage="1" sqref="G6:H6" xr:uid="{F36A6BDB-0E2F-4B3D-B6D9-9E709FA99195}">
      <formula1>"Yes,No"</formula1>
    </dataValidation>
  </dataValidations>
  <printOptions horizontalCentered="1"/>
  <pageMargins left="0.7" right="0.7" top="0.75" bottom="0.75" header="0.3" footer="0.3"/>
  <pageSetup scale="89" orientation="landscape" r:id="rId1"/>
  <headerFooter>
    <oddHeader>&amp;C&amp;"Calibri,Regular"Marine Loading RAP Application</oddHeader>
    <oddFooter>&amp;L&amp;"Calibri,Regular"Version 1.0&amp;C&amp;"Calibri,Regular"Sheet: &amp;A&amp;R&amp;"Calibri,Regular"Page &amp;P</oddFooter>
  </headerFooter>
  <extLst>
    <ext xmlns:x14="http://schemas.microsoft.com/office/spreadsheetml/2009/9/main" uri="{78C0D931-6437-407d-A8EE-F0AAD7539E65}">
      <x14:conditionalFormattings>
        <x14:conditionalFormatting xmlns:xm="http://schemas.microsoft.com/office/excel/2006/main">
          <x14:cfRule type="expression" priority="2" id="{984008C9-30FB-482E-B9E5-16E60D905C8F}">
            <xm:f>(COUNTIF(Tank1!$D$18,"*fixed*")+COUNTIF(Tank2!$D$18,"*fixed*")+COUNTIF(Tank3!$D$18,"*fixed*")+COUNTIF(Tank4!$D$18,"*fixed*")+COUNTIF(Tank5!$D$18,"*fixed*"))='PI-1-MarineLoading'!$G$115</xm:f>
            <x14:dxf>
              <numFmt numFmtId="164" formatCode=";;;"/>
              <fill>
                <patternFill>
                  <bgColor theme="0" tint="-0.499984740745262"/>
                </patternFill>
              </fill>
            </x14:dxf>
          </x14:cfRule>
          <x14:cfRule type="expression" priority="19" id="{1D517636-1F51-4886-8CB4-B8C0DB9F4D5D}">
            <xm:f>'PI-1-MarineLoading'!$G$115=0</xm:f>
            <x14:dxf>
              <numFmt numFmtId="164" formatCode=";;;"/>
              <fill>
                <patternFill>
                  <bgColor theme="0" tint="-0.499984740745262"/>
                </patternFill>
              </fill>
            </x14:dxf>
          </x14:cfRule>
          <xm:sqref>A1:H95</xm:sqref>
        </x14:conditionalFormatting>
        <x14:conditionalFormatting xmlns:xm="http://schemas.microsoft.com/office/excel/2006/main">
          <x14:cfRule type="expression" priority="18" id="{AB384A32-1453-4AAE-9099-E4469B2561A0}">
            <xm:f>AND(Tank1!$D$6="affected",Tank2!$D$6="affected",Tank3!$D$6="affected",Tank4!$D$6="affected",Tank5!$D$6="affected")</xm:f>
            <x14:dxf>
              <numFmt numFmtId="164" formatCode=";;;"/>
              <fill>
                <patternFill>
                  <bgColor theme="0" tint="-0.499984740745262"/>
                </patternFill>
              </fill>
            </x14:dxf>
          </x14:cfRule>
          <xm:sqref>A2:H95</xm:sqref>
        </x14:conditionalFormatting>
        <x14:conditionalFormatting xmlns:xm="http://schemas.microsoft.com/office/excel/2006/main">
          <x14:cfRule type="expression" priority="1721" id="{95269D58-CB58-4746-8679-94EF648F9322}">
            <xm:f>Tank1!$D$6="affected"</xm:f>
            <x14:dxf>
              <numFmt numFmtId="164" formatCode=";;;"/>
              <fill>
                <patternFill>
                  <bgColor theme="0" tint="-0.499984740745262"/>
                </patternFill>
              </fill>
            </x14:dxf>
          </x14:cfRule>
          <x14:cfRule type="expression" priority="1722" id="{A255D77B-1F74-4626-B02E-032A5583FE79}">
            <xm:f>OR(Tank1!$D$18="vertical fixed roof",Tank1!$D$18="horizontal fixed roof")</xm:f>
            <x14:dxf>
              <numFmt numFmtId="164" formatCode=";;;"/>
              <fill>
                <patternFill>
                  <bgColor theme="0" tint="-0.499984740745262"/>
                </patternFill>
              </fill>
            </x14:dxf>
          </x14:cfRule>
          <xm:sqref>A11:H26</xm:sqref>
        </x14:conditionalFormatting>
        <x14:conditionalFormatting xmlns:xm="http://schemas.microsoft.com/office/excel/2006/main">
          <x14:cfRule type="expression" priority="16" id="{4C6DAB32-EB2A-48D1-A40E-C9350B9BFF25}">
            <xm:f>Tank2!$D$6="affected"</xm:f>
            <x14:dxf>
              <numFmt numFmtId="164" formatCode=";;;"/>
              <fill>
                <patternFill>
                  <bgColor theme="0" tint="-0.499984740745262"/>
                </patternFill>
              </fill>
            </x14:dxf>
          </x14:cfRule>
          <xm:sqref>A27:H43</xm:sqref>
        </x14:conditionalFormatting>
        <x14:conditionalFormatting xmlns:xm="http://schemas.microsoft.com/office/excel/2006/main">
          <x14:cfRule type="expression" priority="24" id="{ED6D4D89-F17F-4584-87CD-23FC1AEFC61E}">
            <xm:f>OR(Tank2!$D$18="vertical fixed roof",Tank2!$D$18="horizontal fixed roof")</xm:f>
            <x14:dxf>
              <numFmt numFmtId="164" formatCode=";;;"/>
              <fill>
                <patternFill>
                  <bgColor theme="0" tint="-0.499984740745262"/>
                </patternFill>
              </fill>
            </x14:dxf>
          </x14:cfRule>
          <xm:sqref>A28:H43</xm:sqref>
        </x14:conditionalFormatting>
        <x14:conditionalFormatting xmlns:xm="http://schemas.microsoft.com/office/excel/2006/main">
          <x14:cfRule type="expression" priority="15" id="{4836C6F3-44FD-400E-B7A2-BFBD2236BF6C}">
            <xm:f>Tank3!$D$6="affected"</xm:f>
            <x14:dxf>
              <numFmt numFmtId="164" formatCode=";;;"/>
              <fill>
                <patternFill>
                  <bgColor theme="0" tint="-0.499984740745262"/>
                </patternFill>
              </fill>
            </x14:dxf>
          </x14:cfRule>
          <xm:sqref>A44:H60</xm:sqref>
        </x14:conditionalFormatting>
        <x14:conditionalFormatting xmlns:xm="http://schemas.microsoft.com/office/excel/2006/main">
          <x14:cfRule type="expression" priority="23" id="{75ACCAA9-3827-4873-861B-A3737D8C39D1}">
            <xm:f>OR(Tank3!$D$18="vertical fixed roof",Tank3!$D$18="horizontal fixed roof")</xm:f>
            <x14:dxf>
              <numFmt numFmtId="164" formatCode=";;;"/>
              <fill>
                <patternFill>
                  <bgColor theme="0" tint="-0.499984740745262"/>
                </patternFill>
              </fill>
            </x14:dxf>
          </x14:cfRule>
          <xm:sqref>A45:H60</xm:sqref>
        </x14:conditionalFormatting>
        <x14:conditionalFormatting xmlns:xm="http://schemas.microsoft.com/office/excel/2006/main">
          <x14:cfRule type="expression" priority="14" id="{7185BA3F-F9BB-4E6A-8B51-DCF56E44E5CF}">
            <xm:f>Tank4!$D$6="affected"</xm:f>
            <x14:dxf>
              <numFmt numFmtId="164" formatCode=";;;"/>
              <fill>
                <patternFill>
                  <bgColor theme="0" tint="-0.499984740745262"/>
                </patternFill>
              </fill>
            </x14:dxf>
          </x14:cfRule>
          <xm:sqref>A61:H77</xm:sqref>
        </x14:conditionalFormatting>
        <x14:conditionalFormatting xmlns:xm="http://schemas.microsoft.com/office/excel/2006/main">
          <x14:cfRule type="expression" priority="22" id="{CF847ACC-4C3C-4F84-9137-33CDBB1A2ACF}">
            <xm:f>OR(Tank4!$D$18="vertical fixed roof",Tank4!$D$18="horizontal fixed roof")</xm:f>
            <x14:dxf>
              <numFmt numFmtId="164" formatCode=";;;"/>
              <fill>
                <patternFill>
                  <bgColor theme="0" tint="-0.499984740745262"/>
                </patternFill>
              </fill>
            </x14:dxf>
          </x14:cfRule>
          <xm:sqref>A62:H77</xm:sqref>
        </x14:conditionalFormatting>
        <x14:conditionalFormatting xmlns:xm="http://schemas.microsoft.com/office/excel/2006/main">
          <x14:cfRule type="expression" priority="13" id="{115AA84B-8FC8-4227-80F7-51B597524B4E}">
            <xm:f>Tank5!$D$6="affected"</xm:f>
            <x14:dxf>
              <numFmt numFmtId="164" formatCode=";;;"/>
              <fill>
                <patternFill>
                  <bgColor theme="0" tint="-0.499984740745262"/>
                </patternFill>
              </fill>
            </x14:dxf>
          </x14:cfRule>
          <xm:sqref>A78:H94</xm:sqref>
        </x14:conditionalFormatting>
        <x14:conditionalFormatting xmlns:xm="http://schemas.microsoft.com/office/excel/2006/main">
          <x14:cfRule type="expression" priority="21" id="{422FCE0E-B3BD-4420-ABA8-EDA0D5CFA7E8}">
            <xm:f>OR(Tank5!$D$18="vertical fixed roof",Tank5!$D$18="horizontal fixed roof")</xm:f>
            <x14:dxf>
              <numFmt numFmtId="164" formatCode=";;;"/>
              <fill>
                <patternFill>
                  <bgColor theme="0" tint="-0.499984740745262"/>
                </patternFill>
              </fill>
            </x14:dxf>
          </x14:cfRule>
          <xm:sqref>A79:H94</xm:sqref>
        </x14:conditionalFormatting>
      </x14:conditionalFormatting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60817-A32E-4711-9487-71447E5B9822}">
  <sheetPr codeName="Sheet11">
    <tabColor rgb="FFFFFFCC"/>
  </sheetPr>
  <dimension ref="A1:O137"/>
  <sheetViews>
    <sheetView showGridLines="0" zoomScaleNormal="100" workbookViewId="0">
      <selection sqref="A1:N1"/>
    </sheetView>
  </sheetViews>
  <sheetFormatPr defaultColWidth="0" defaultRowHeight="14.25" zeroHeight="1" x14ac:dyDescent="0.2"/>
  <cols>
    <col min="1" max="2" width="13" customWidth="1"/>
    <col min="3" max="4" width="10.625" customWidth="1"/>
    <col min="5" max="5" width="10.875" customWidth="1"/>
    <col min="6" max="6" width="20.75" customWidth="1"/>
    <col min="7" max="7" width="7.375" customWidth="1"/>
    <col min="8" max="8" width="9.375" customWidth="1"/>
    <col min="9" max="10" width="12.25" customWidth="1"/>
    <col min="11" max="12" width="11.375" customWidth="1"/>
    <col min="13" max="14" width="9.625" customWidth="1"/>
    <col min="15" max="15" width="2.625" customWidth="1"/>
    <col min="16" max="16384" width="9" hidden="1"/>
  </cols>
  <sheetData>
    <row r="1" spans="1:14" ht="8.25" customHeight="1" thickBot="1" x14ac:dyDescent="0.25">
      <c r="A1" s="478" t="s">
        <v>0</v>
      </c>
      <c r="B1" s="478"/>
      <c r="C1" s="478"/>
      <c r="D1" s="478"/>
      <c r="E1" s="478"/>
      <c r="F1" s="478"/>
      <c r="G1" s="478"/>
      <c r="H1" s="478"/>
      <c r="I1" s="478"/>
      <c r="J1" s="478"/>
      <c r="K1" s="478"/>
      <c r="L1" s="478"/>
      <c r="M1" s="478"/>
      <c r="N1" s="478"/>
    </row>
    <row r="2" spans="1:14" ht="18.75" thickBot="1" x14ac:dyDescent="0.25">
      <c r="A2" s="525" t="s">
        <v>327</v>
      </c>
      <c r="B2" s="525"/>
      <c r="C2" s="525"/>
      <c r="D2" s="525"/>
      <c r="E2" s="525"/>
      <c r="F2" s="525"/>
      <c r="G2" s="525"/>
      <c r="H2" s="525"/>
      <c r="I2" s="525"/>
      <c r="J2" s="525"/>
      <c r="K2" s="525"/>
      <c r="L2" s="525"/>
      <c r="M2" s="525"/>
      <c r="N2" s="525"/>
    </row>
    <row r="3" spans="1:14" ht="174.75" customHeight="1" thickBot="1" x14ac:dyDescent="0.25">
      <c r="A3" s="523" t="s">
        <v>9693</v>
      </c>
      <c r="B3" s="602"/>
      <c r="C3" s="602"/>
      <c r="D3" s="602"/>
      <c r="E3" s="602"/>
      <c r="F3" s="602"/>
      <c r="G3" s="602"/>
      <c r="H3" s="602"/>
      <c r="I3" s="602"/>
      <c r="J3" s="602"/>
      <c r="K3" s="602"/>
      <c r="L3" s="602"/>
      <c r="M3" s="602"/>
      <c r="N3" s="524"/>
    </row>
    <row r="4" spans="1:14" ht="15" thickBot="1" x14ac:dyDescent="0.25">
      <c r="A4" s="478" t="s">
        <v>1</v>
      </c>
      <c r="B4" s="478"/>
      <c r="C4" s="478"/>
      <c r="D4" s="478"/>
      <c r="E4" s="478"/>
      <c r="F4" s="478"/>
      <c r="G4" s="478"/>
      <c r="H4" s="478"/>
      <c r="I4" s="478"/>
      <c r="J4" s="478"/>
      <c r="K4" s="478"/>
      <c r="L4" s="478"/>
      <c r="M4" s="478"/>
      <c r="N4" s="478"/>
    </row>
    <row r="5" spans="1:14" ht="15.75" thickBot="1" x14ac:dyDescent="0.25">
      <c r="A5" s="474" t="s">
        <v>133</v>
      </c>
      <c r="B5" s="474"/>
      <c r="C5" s="474"/>
      <c r="D5" s="474"/>
      <c r="E5" s="474"/>
      <c r="F5" s="474"/>
      <c r="G5" s="474"/>
      <c r="H5" s="474"/>
      <c r="I5" s="474"/>
      <c r="J5" s="474"/>
      <c r="K5" s="474"/>
      <c r="L5" s="474"/>
      <c r="M5" s="474"/>
      <c r="N5" s="474"/>
    </row>
    <row r="6" spans="1:14" x14ac:dyDescent="0.2">
      <c r="A6" s="605" t="s">
        <v>166</v>
      </c>
      <c r="B6" s="606"/>
      <c r="C6" s="606"/>
      <c r="D6" s="606"/>
      <c r="E6" s="606"/>
      <c r="F6" s="719"/>
      <c r="G6" s="719"/>
      <c r="H6" s="719"/>
      <c r="I6" s="719"/>
      <c r="J6" s="719"/>
      <c r="K6" s="719"/>
      <c r="L6" s="719"/>
      <c r="M6" s="719"/>
      <c r="N6" s="720"/>
    </row>
    <row r="7" spans="1:14" x14ac:dyDescent="0.2">
      <c r="A7" s="528" t="s">
        <v>167</v>
      </c>
      <c r="B7" s="529"/>
      <c r="C7" s="529"/>
      <c r="D7" s="529"/>
      <c r="E7" s="529"/>
      <c r="F7" s="721"/>
      <c r="G7" s="721"/>
      <c r="H7" s="721"/>
      <c r="I7" s="721"/>
      <c r="J7" s="721"/>
      <c r="K7" s="721"/>
      <c r="L7" s="721"/>
      <c r="M7" s="721"/>
      <c r="N7" s="722"/>
    </row>
    <row r="8" spans="1:14" x14ac:dyDescent="0.2">
      <c r="A8" s="528" t="s">
        <v>168</v>
      </c>
      <c r="B8" s="529"/>
      <c r="C8" s="529"/>
      <c r="D8" s="529"/>
      <c r="E8" s="529"/>
      <c r="F8" s="721"/>
      <c r="G8" s="721"/>
      <c r="H8" s="721"/>
      <c r="I8" s="721"/>
      <c r="J8" s="721"/>
      <c r="K8" s="721"/>
      <c r="L8" s="721"/>
      <c r="M8" s="721"/>
      <c r="N8" s="722"/>
    </row>
    <row r="9" spans="1:14" x14ac:dyDescent="0.2">
      <c r="A9" s="528" t="s">
        <v>169</v>
      </c>
      <c r="B9" s="529"/>
      <c r="C9" s="529"/>
      <c r="D9" s="529"/>
      <c r="E9" s="529"/>
      <c r="F9" s="721"/>
      <c r="G9" s="721"/>
      <c r="H9" s="721"/>
      <c r="I9" s="721"/>
      <c r="J9" s="721"/>
      <c r="K9" s="721"/>
      <c r="L9" s="721"/>
      <c r="M9" s="721"/>
      <c r="N9" s="722"/>
    </row>
    <row r="10" spans="1:14" x14ac:dyDescent="0.2">
      <c r="A10" s="528" t="s">
        <v>170</v>
      </c>
      <c r="B10" s="529"/>
      <c r="C10" s="529"/>
      <c r="D10" s="529"/>
      <c r="E10" s="529"/>
      <c r="F10" s="721"/>
      <c r="G10" s="721"/>
      <c r="H10" s="721"/>
      <c r="I10" s="721"/>
      <c r="J10" s="721"/>
      <c r="K10" s="721"/>
      <c r="L10" s="721"/>
      <c r="M10" s="721"/>
      <c r="N10" s="722"/>
    </row>
    <row r="11" spans="1:14" ht="15" thickBot="1" x14ac:dyDescent="0.25">
      <c r="A11" s="548" t="s">
        <v>171</v>
      </c>
      <c r="B11" s="549"/>
      <c r="C11" s="549"/>
      <c r="D11" s="549"/>
      <c r="E11" s="549"/>
      <c r="F11" s="723"/>
      <c r="G11" s="723"/>
      <c r="H11" s="723"/>
      <c r="I11" s="723"/>
      <c r="J11" s="723"/>
      <c r="K11" s="723"/>
      <c r="L11" s="723"/>
      <c r="M11" s="723"/>
      <c r="N11" s="724"/>
    </row>
    <row r="12" spans="1:14" ht="15" thickBot="1" x14ac:dyDescent="0.25">
      <c r="A12" s="478" t="s">
        <v>1</v>
      </c>
      <c r="B12" s="478"/>
      <c r="C12" s="478"/>
      <c r="D12" s="478"/>
      <c r="E12" s="478"/>
      <c r="F12" s="478"/>
      <c r="G12" s="478"/>
      <c r="H12" s="478"/>
      <c r="I12" s="478"/>
      <c r="J12" s="478"/>
      <c r="K12" s="478"/>
      <c r="L12" s="478"/>
      <c r="M12" s="478"/>
      <c r="N12" s="478"/>
    </row>
    <row r="13" spans="1:14" ht="15.75" thickBot="1" x14ac:dyDescent="0.25">
      <c r="A13" s="474" t="s">
        <v>9166</v>
      </c>
      <c r="B13" s="474"/>
      <c r="C13" s="474"/>
      <c r="D13" s="474"/>
      <c r="E13" s="474"/>
      <c r="F13" s="474"/>
      <c r="G13" s="474"/>
      <c r="H13" s="474"/>
      <c r="I13" s="474"/>
      <c r="J13" s="474"/>
      <c r="K13" s="474"/>
      <c r="L13" s="474"/>
      <c r="M13" s="474"/>
      <c r="N13" s="474"/>
    </row>
    <row r="14" spans="1:14" ht="15" x14ac:dyDescent="0.2">
      <c r="A14" s="506" t="s">
        <v>9167</v>
      </c>
      <c r="B14" s="507"/>
      <c r="C14" s="507"/>
      <c r="D14" s="507"/>
      <c r="E14" s="507"/>
      <c r="F14" s="663" t="s">
        <v>172</v>
      </c>
      <c r="G14" s="663"/>
      <c r="H14" s="663"/>
      <c r="I14" s="663"/>
      <c r="J14" s="507" t="s">
        <v>8723</v>
      </c>
      <c r="K14" s="507"/>
      <c r="L14" s="507"/>
      <c r="M14" s="507"/>
      <c r="N14" s="508"/>
    </row>
    <row r="15" spans="1:14" x14ac:dyDescent="0.2">
      <c r="A15" s="528" t="s">
        <v>176</v>
      </c>
      <c r="B15" s="529"/>
      <c r="C15" s="529"/>
      <c r="D15" s="529"/>
      <c r="E15" s="529"/>
      <c r="F15" s="678"/>
      <c r="G15" s="678"/>
      <c r="H15" s="678"/>
      <c r="I15" s="678"/>
      <c r="J15" s="531" t="s">
        <v>9155</v>
      </c>
      <c r="K15" s="531"/>
      <c r="L15" s="531"/>
      <c r="M15" s="531"/>
      <c r="N15" s="538"/>
    </row>
    <row r="16" spans="1:14" x14ac:dyDescent="0.2">
      <c r="A16" s="528" t="s">
        <v>177</v>
      </c>
      <c r="B16" s="529"/>
      <c r="C16" s="529"/>
      <c r="D16" s="529"/>
      <c r="E16" s="529"/>
      <c r="F16" s="678"/>
      <c r="G16" s="678"/>
      <c r="H16" s="678"/>
      <c r="I16" s="678"/>
      <c r="J16" s="531" t="s">
        <v>9156</v>
      </c>
      <c r="K16" s="531"/>
      <c r="L16" s="531"/>
      <c r="M16" s="531"/>
      <c r="N16" s="538"/>
    </row>
    <row r="17" spans="1:14" ht="15" x14ac:dyDescent="0.2">
      <c r="A17" s="725" t="s">
        <v>9169</v>
      </c>
      <c r="B17" s="717"/>
      <c r="C17" s="717"/>
      <c r="D17" s="717"/>
      <c r="E17" s="717"/>
      <c r="F17" s="716" t="s">
        <v>172</v>
      </c>
      <c r="G17" s="716"/>
      <c r="H17" s="716"/>
      <c r="I17" s="716"/>
      <c r="J17" s="717" t="s">
        <v>8723</v>
      </c>
      <c r="K17" s="717"/>
      <c r="L17" s="717"/>
      <c r="M17" s="717"/>
      <c r="N17" s="718"/>
    </row>
    <row r="18" spans="1:14" ht="32.25" customHeight="1" x14ac:dyDescent="0.2">
      <c r="A18" s="530" t="s">
        <v>10630</v>
      </c>
      <c r="B18" s="531"/>
      <c r="C18" s="531"/>
      <c r="D18" s="531"/>
      <c r="E18" s="531"/>
      <c r="F18" s="579"/>
      <c r="G18" s="579"/>
      <c r="H18" s="579"/>
      <c r="I18" s="579"/>
      <c r="J18" s="689" t="s">
        <v>10631</v>
      </c>
      <c r="K18" s="690"/>
      <c r="L18" s="690"/>
      <c r="M18" s="690"/>
      <c r="N18" s="691"/>
    </row>
    <row r="19" spans="1:14" ht="33" customHeight="1" x14ac:dyDescent="0.2">
      <c r="A19" s="528" t="s">
        <v>230</v>
      </c>
      <c r="B19" s="529"/>
      <c r="C19" s="529"/>
      <c r="D19" s="529"/>
      <c r="E19" s="529"/>
      <c r="F19" s="579"/>
      <c r="G19" s="579"/>
      <c r="H19" s="579"/>
      <c r="I19" s="579"/>
      <c r="J19" s="531" t="s">
        <v>9257</v>
      </c>
      <c r="K19" s="531"/>
      <c r="L19" s="531"/>
      <c r="M19" s="531"/>
      <c r="N19" s="538"/>
    </row>
    <row r="20" spans="1:14" x14ac:dyDescent="0.2">
      <c r="A20" s="528" t="s">
        <v>231</v>
      </c>
      <c r="B20" s="529"/>
      <c r="C20" s="529"/>
      <c r="D20" s="529"/>
      <c r="E20" s="529"/>
      <c r="F20" s="715"/>
      <c r="G20" s="715"/>
      <c r="H20" s="715"/>
      <c r="I20" s="715"/>
      <c r="J20" s="529" t="s">
        <v>9365</v>
      </c>
      <c r="K20" s="529"/>
      <c r="L20" s="529"/>
      <c r="M20" s="529"/>
      <c r="N20" s="714"/>
    </row>
    <row r="21" spans="1:14" x14ac:dyDescent="0.2">
      <c r="A21" s="528" t="s">
        <v>232</v>
      </c>
      <c r="B21" s="529"/>
      <c r="C21" s="529"/>
      <c r="D21" s="529"/>
      <c r="E21" s="529"/>
      <c r="F21" s="579"/>
      <c r="G21" s="579"/>
      <c r="H21" s="579"/>
      <c r="I21" s="579"/>
      <c r="J21" s="466" t="s">
        <v>9394</v>
      </c>
      <c r="K21" s="466"/>
      <c r="L21" s="466"/>
      <c r="M21" s="466"/>
      <c r="N21" s="467"/>
    </row>
    <row r="22" spans="1:14" ht="15" x14ac:dyDescent="0.25">
      <c r="A22" s="712" t="s">
        <v>234</v>
      </c>
      <c r="B22" s="713"/>
      <c r="C22" s="713"/>
      <c r="D22" s="713"/>
      <c r="E22" s="713"/>
      <c r="F22" s="579"/>
      <c r="G22" s="579"/>
      <c r="H22" s="579"/>
      <c r="I22" s="579"/>
      <c r="J22" s="529" t="s">
        <v>9258</v>
      </c>
      <c r="K22" s="529"/>
      <c r="L22" s="529"/>
      <c r="M22" s="529"/>
      <c r="N22" s="714"/>
    </row>
    <row r="23" spans="1:14" ht="15" thickBot="1" x14ac:dyDescent="0.25">
      <c r="A23" s="548" t="s">
        <v>235</v>
      </c>
      <c r="B23" s="549"/>
      <c r="C23" s="549"/>
      <c r="D23" s="549"/>
      <c r="E23" s="549"/>
      <c r="F23" s="577"/>
      <c r="G23" s="577"/>
      <c r="H23" s="577"/>
      <c r="I23" s="577"/>
      <c r="J23" s="549" t="s">
        <v>9259</v>
      </c>
      <c r="K23" s="549"/>
      <c r="L23" s="549"/>
      <c r="M23" s="549"/>
      <c r="N23" s="550"/>
    </row>
    <row r="24" spans="1:14" ht="15" thickBot="1" x14ac:dyDescent="0.25">
      <c r="A24" s="478" t="s">
        <v>1</v>
      </c>
      <c r="B24" s="478"/>
      <c r="C24" s="478"/>
      <c r="D24" s="478"/>
      <c r="E24" s="478"/>
      <c r="F24" s="478"/>
      <c r="G24" s="478"/>
      <c r="H24" s="478"/>
      <c r="I24" s="478"/>
      <c r="J24" s="478"/>
      <c r="K24" s="478"/>
      <c r="L24" s="478"/>
      <c r="M24" s="478"/>
      <c r="N24" s="478"/>
    </row>
    <row r="25" spans="1:14" ht="15.75" thickBot="1" x14ac:dyDescent="0.25">
      <c r="A25" s="474" t="s">
        <v>279</v>
      </c>
      <c r="B25" s="474"/>
      <c r="C25" s="474"/>
      <c r="D25" s="474"/>
      <c r="E25" s="474"/>
      <c r="F25" s="474"/>
      <c r="G25" s="474"/>
      <c r="H25" s="474"/>
      <c r="I25" s="474"/>
      <c r="J25" s="474"/>
      <c r="K25" s="474"/>
      <c r="L25" s="474"/>
      <c r="M25" s="474"/>
      <c r="N25" s="474"/>
    </row>
    <row r="26" spans="1:14" ht="91.5" customHeight="1" x14ac:dyDescent="0.2">
      <c r="A26" s="539" t="s">
        <v>236</v>
      </c>
      <c r="B26" s="540"/>
      <c r="C26" s="49" t="str">
        <f>IF($F$6="modified","Proposed increase in hourly throughput (bbl/hr)","Proposed hourly throughput (bbl/hr)")</f>
        <v>Proposed hourly throughput (bbl/hr)</v>
      </c>
      <c r="D26" s="49" t="str">
        <f>IF($F$6="modified","Proposed increase in annual throughput (bbl/yr)","Proposed annual throughput (bbl/yr)")</f>
        <v>Proposed annual throughput (bbl/yr)</v>
      </c>
      <c r="E26" s="49" t="s">
        <v>9298</v>
      </c>
      <c r="F26" s="49" t="s">
        <v>8751</v>
      </c>
      <c r="G26" s="49" t="s">
        <v>9180</v>
      </c>
      <c r="H26" s="49" t="s">
        <v>8711</v>
      </c>
      <c r="I26" s="49" t="s">
        <v>237</v>
      </c>
      <c r="J26" s="49" t="s">
        <v>238</v>
      </c>
      <c r="K26" s="49" t="str">
        <f>IF($F$6="modified","Proposed increase in uncollected hourly emissions (lb/hr)","Proposed uncollected hourly emissions (lb/hr)")</f>
        <v>Proposed uncollected hourly emissions (lb/hr)</v>
      </c>
      <c r="L26" s="49" t="str">
        <f>IF($F$6="modified","Proposed increase in uncollected annual emissions (tpy)","Proposed uncollected annual emissions (tpy)")</f>
        <v>Proposed uncollected annual emissions (tpy)</v>
      </c>
      <c r="M26" s="49" t="s">
        <v>9282</v>
      </c>
      <c r="N26" s="117" t="s">
        <v>9283</v>
      </c>
    </row>
    <row r="27" spans="1:14" x14ac:dyDescent="0.2">
      <c r="A27" s="651"/>
      <c r="B27" s="615"/>
      <c r="C27" s="41"/>
      <c r="D27" s="41"/>
      <c r="E27" s="41"/>
      <c r="F27" s="16" t="s">
        <v>291</v>
      </c>
      <c r="G27" s="16">
        <v>1</v>
      </c>
      <c r="H27" s="16" t="str">
        <f>IF(A27="","",IF(VLOOKUP($A27,Products!$A$59:$H$159,2,FALSE)="","",VLOOKUP($A27,Products!$A$59:$H$159,2,FALSE)))</f>
        <v/>
      </c>
      <c r="I27" s="16" t="str">
        <f>IF(A27="","",IF(VLOOKUP($A27,Products!$A$59:$H$159,3,FALSE)="","",VLOOKUP($A27,Products!$A$59:$H$159,3,FALSE)))</f>
        <v/>
      </c>
      <c r="J27" s="16" t="str">
        <f>IF(A27="","",IF(VLOOKUP($A27,Products!$A$59:$H$159,4,FALSE)="","",VLOOKUP($A27,Products!$A$59:$H$159,4,FALSE)))</f>
        <v/>
      </c>
      <c r="K27" s="2" t="str">
        <f>IF(OR($A27="",C27="",$E27=""),"",((12.46*$F$21*$I27*$H27)/$F$22)*((C27*42)/1000)*(IF($E27="YES",(1-$F$20),1)))</f>
        <v/>
      </c>
      <c r="L27" s="2" t="str">
        <f>IF(OR($A27="",$D27="",$E27=""),"",((12.46*$F$21*$J27*$H27)/$F$23)*(($D27*42)/1000)*(1/2000)*(IF($E27="YES",(1-$F$20),1)))</f>
        <v/>
      </c>
      <c r="M27" s="2" t="str">
        <f>IF(OR($A27="",$C27="",$E27=""),"",((12.46*$F$21*$I27*$H27)/$F$22)*(($C27*42)/1000)*(IF($E27="YES",$F$20,0)))</f>
        <v/>
      </c>
      <c r="N27" s="12" t="str">
        <f>IF(OR($A27="",$D27="",$E27=""),"",((12.46*$F$21*$J27*$H27)/$F$23)*(($D27*42)/1000)*(1/2000)*(IF($E27="YES",$F$20,0)))</f>
        <v/>
      </c>
    </row>
    <row r="28" spans="1:14" x14ac:dyDescent="0.2">
      <c r="A28" s="627" t="str">
        <f>A27&amp;"A"</f>
        <v>A</v>
      </c>
      <c r="B28" s="628"/>
      <c r="C28" s="77" t="s">
        <v>9360</v>
      </c>
      <c r="D28" s="77" t="s">
        <v>9360</v>
      </c>
      <c r="E28" s="77">
        <f>E27</f>
        <v>0</v>
      </c>
      <c r="F28" s="16" t="str">
        <f>IF($A$27="","",IF(VLOOKUP($A27,Products!$A$59:$H$159,5,FALSE)="","",VLOOKUP($A27,Products!$A$59:$H$159,5,FALSE)))</f>
        <v/>
      </c>
      <c r="G28" s="16" t="str">
        <f>IF($A$27="","",IF(VLOOKUP($A27,Products!$A$59:$H$159,8,FALSE)="","",VLOOKUP($A27,Products!$A$59:$H$159,8,FALSE)))</f>
        <v/>
      </c>
      <c r="H28" s="77" t="s">
        <v>9360</v>
      </c>
      <c r="I28" s="77" t="s">
        <v>9360</v>
      </c>
      <c r="J28" s="77" t="s">
        <v>9360</v>
      </c>
      <c r="K28" s="2" t="str">
        <f>IF($K$27="","",IF($G28="","",K$27*$G28))</f>
        <v/>
      </c>
      <c r="L28" s="2" t="str">
        <f>IF($G28="","",L$27*$G28)</f>
        <v/>
      </c>
      <c r="M28" s="2" t="str">
        <f>IF($G28="","",M$27*$G28)</f>
        <v/>
      </c>
      <c r="N28" s="12" t="str">
        <f>IF($G28="","",N$27*$G28)</f>
        <v/>
      </c>
    </row>
    <row r="29" spans="1:14" x14ac:dyDescent="0.2">
      <c r="A29" s="627" t="str">
        <f t="shared" ref="A29:A37" si="0">A28&amp;"A"</f>
        <v>AA</v>
      </c>
      <c r="B29" s="628"/>
      <c r="C29" s="77" t="s">
        <v>9360</v>
      </c>
      <c r="D29" s="77" t="s">
        <v>9360</v>
      </c>
      <c r="E29" s="77">
        <f t="shared" ref="E29:E37" si="1">E28</f>
        <v>0</v>
      </c>
      <c r="F29" s="16" t="str">
        <f>IF($A$27="","",IF(VLOOKUP($A28,Products!$A$59:$H$159,5,FALSE)="","",VLOOKUP($A28,Products!$A$59:$H$159,5,FALSE)))</f>
        <v/>
      </c>
      <c r="G29" s="16" t="str">
        <f>IF($A$27="","",IF(VLOOKUP($A28,Products!$A$59:$H$159,8,FALSE)="","",VLOOKUP($A28,Products!$A$59:$H$159,8,FALSE)))</f>
        <v/>
      </c>
      <c r="H29" s="77" t="s">
        <v>9360</v>
      </c>
      <c r="I29" s="77" t="s">
        <v>9360</v>
      </c>
      <c r="J29" s="77" t="s">
        <v>9360</v>
      </c>
      <c r="K29" s="2" t="str">
        <f t="shared" ref="K29:K36" si="2">IF($K$27="","",IF($G29="","",K$27*$G29))</f>
        <v/>
      </c>
      <c r="L29" s="2" t="str">
        <f t="shared" ref="L29:N37" si="3">IF($G29="","",L$27*$G29)</f>
        <v/>
      </c>
      <c r="M29" s="2" t="str">
        <f t="shared" si="3"/>
        <v/>
      </c>
      <c r="N29" s="12" t="str">
        <f t="shared" si="3"/>
        <v/>
      </c>
    </row>
    <row r="30" spans="1:14" x14ac:dyDescent="0.2">
      <c r="A30" s="627" t="str">
        <f t="shared" si="0"/>
        <v>AAA</v>
      </c>
      <c r="B30" s="628"/>
      <c r="C30" s="77" t="s">
        <v>9360</v>
      </c>
      <c r="D30" s="77" t="s">
        <v>9360</v>
      </c>
      <c r="E30" s="77">
        <f t="shared" si="1"/>
        <v>0</v>
      </c>
      <c r="F30" s="16" t="str">
        <f>IF($A$27="","",IF(VLOOKUP($A29,Products!$A$59:$H$159,5,FALSE)="","",VLOOKUP($A29,Products!$A$59:$H$159,5,FALSE)))</f>
        <v/>
      </c>
      <c r="G30" s="16" t="str">
        <f>IF($A$27="","",IF(VLOOKUP($A29,Products!$A$59:$H$159,8,FALSE)="","",VLOOKUP($A29,Products!$A$59:$H$159,8,FALSE)))</f>
        <v/>
      </c>
      <c r="H30" s="77" t="s">
        <v>9360</v>
      </c>
      <c r="I30" s="77" t="s">
        <v>9360</v>
      </c>
      <c r="J30" s="77" t="s">
        <v>9360</v>
      </c>
      <c r="K30" s="2" t="str">
        <f t="shared" si="2"/>
        <v/>
      </c>
      <c r="L30" s="2" t="str">
        <f t="shared" si="3"/>
        <v/>
      </c>
      <c r="M30" s="2" t="str">
        <f t="shared" si="3"/>
        <v/>
      </c>
      <c r="N30" s="12" t="str">
        <f t="shared" si="3"/>
        <v/>
      </c>
    </row>
    <row r="31" spans="1:14" x14ac:dyDescent="0.2">
      <c r="A31" s="627" t="str">
        <f t="shared" si="0"/>
        <v>AAAA</v>
      </c>
      <c r="B31" s="628"/>
      <c r="C31" s="77" t="s">
        <v>9360</v>
      </c>
      <c r="D31" s="77" t="s">
        <v>9360</v>
      </c>
      <c r="E31" s="77">
        <f t="shared" si="1"/>
        <v>0</v>
      </c>
      <c r="F31" s="16" t="str">
        <f>IF($A$27="","",IF(VLOOKUP($A30,Products!$A$59:$H$159,5,FALSE)="","",VLOOKUP($A30,Products!$A$59:$H$159,5,FALSE)))</f>
        <v/>
      </c>
      <c r="G31" s="16" t="str">
        <f>IF($A$27="","",IF(VLOOKUP($A30,Products!$A$59:$H$159,8,FALSE)="","",VLOOKUP($A30,Products!$A$59:$H$159,8,FALSE)))</f>
        <v/>
      </c>
      <c r="H31" s="77" t="s">
        <v>9360</v>
      </c>
      <c r="I31" s="77" t="s">
        <v>9360</v>
      </c>
      <c r="J31" s="77" t="s">
        <v>9360</v>
      </c>
      <c r="K31" s="2" t="str">
        <f t="shared" si="2"/>
        <v/>
      </c>
      <c r="L31" s="2" t="str">
        <f t="shared" si="3"/>
        <v/>
      </c>
      <c r="M31" s="2" t="str">
        <f t="shared" si="3"/>
        <v/>
      </c>
      <c r="N31" s="12" t="str">
        <f>IF($G31="","",N$27*$G31)</f>
        <v/>
      </c>
    </row>
    <row r="32" spans="1:14" x14ac:dyDescent="0.2">
      <c r="A32" s="627" t="str">
        <f t="shared" si="0"/>
        <v>AAAAA</v>
      </c>
      <c r="B32" s="628"/>
      <c r="C32" s="77" t="s">
        <v>9360</v>
      </c>
      <c r="D32" s="77" t="s">
        <v>9360</v>
      </c>
      <c r="E32" s="77">
        <f t="shared" si="1"/>
        <v>0</v>
      </c>
      <c r="F32" s="16" t="str">
        <f>IF($A$27="","",IF(VLOOKUP($A31,Products!$A$59:$H$159,5,FALSE)="","",VLOOKUP($A31,Products!$A$59:$H$159,5,FALSE)))</f>
        <v/>
      </c>
      <c r="G32" s="16" t="str">
        <f>IF($A$27="","",IF(VLOOKUP($A31,Products!$A$59:$H$159,8,FALSE)="","",VLOOKUP($A31,Products!$A$59:$H$159,8,FALSE)))</f>
        <v/>
      </c>
      <c r="H32" s="77" t="s">
        <v>9360</v>
      </c>
      <c r="I32" s="77" t="s">
        <v>9360</v>
      </c>
      <c r="J32" s="77" t="s">
        <v>9360</v>
      </c>
      <c r="K32" s="2" t="str">
        <f t="shared" si="2"/>
        <v/>
      </c>
      <c r="L32" s="2" t="str">
        <f t="shared" si="3"/>
        <v/>
      </c>
      <c r="M32" s="2" t="str">
        <f t="shared" si="3"/>
        <v/>
      </c>
      <c r="N32" s="12" t="str">
        <f t="shared" si="3"/>
        <v/>
      </c>
    </row>
    <row r="33" spans="1:14" x14ac:dyDescent="0.2">
      <c r="A33" s="627" t="str">
        <f t="shared" si="0"/>
        <v>AAAAAA</v>
      </c>
      <c r="B33" s="628"/>
      <c r="C33" s="77" t="s">
        <v>9360</v>
      </c>
      <c r="D33" s="77" t="s">
        <v>9360</v>
      </c>
      <c r="E33" s="77">
        <f t="shared" si="1"/>
        <v>0</v>
      </c>
      <c r="F33" s="16" t="str">
        <f>IF($A$27="","",IF(VLOOKUP($A32,Products!$A$59:$H$159,5,FALSE)="","",VLOOKUP($A32,Products!$A$59:$H$159,5,FALSE)))</f>
        <v/>
      </c>
      <c r="G33" s="16" t="str">
        <f>IF($A$27="","",IF(VLOOKUP($A32,Products!$A$59:$H$159,8,FALSE)="","",VLOOKUP($A32,Products!$A$59:$H$159,8,FALSE)))</f>
        <v/>
      </c>
      <c r="H33" s="77" t="s">
        <v>9360</v>
      </c>
      <c r="I33" s="77" t="s">
        <v>9360</v>
      </c>
      <c r="J33" s="77" t="s">
        <v>9360</v>
      </c>
      <c r="K33" s="2" t="str">
        <f t="shared" si="2"/>
        <v/>
      </c>
      <c r="L33" s="2" t="str">
        <f t="shared" si="3"/>
        <v/>
      </c>
      <c r="M33" s="2" t="str">
        <f t="shared" si="3"/>
        <v/>
      </c>
      <c r="N33" s="12" t="str">
        <f t="shared" si="3"/>
        <v/>
      </c>
    </row>
    <row r="34" spans="1:14" x14ac:dyDescent="0.2">
      <c r="A34" s="627" t="str">
        <f t="shared" si="0"/>
        <v>AAAAAAA</v>
      </c>
      <c r="B34" s="628"/>
      <c r="C34" s="77" t="s">
        <v>9360</v>
      </c>
      <c r="D34" s="77" t="s">
        <v>9360</v>
      </c>
      <c r="E34" s="77">
        <f t="shared" si="1"/>
        <v>0</v>
      </c>
      <c r="F34" s="16" t="str">
        <f>IF($A$27="","",IF(VLOOKUP($A33,Products!$A$59:$H$159,5,FALSE)="","",VLOOKUP($A33,Products!$A$59:$H$159,5,FALSE)))</f>
        <v/>
      </c>
      <c r="G34" s="16" t="str">
        <f>IF($A$27="","",IF(VLOOKUP($A33,Products!$A$59:$H$159,8,FALSE)="","",VLOOKUP($A33,Products!$A$59:$H$159,8,FALSE)))</f>
        <v/>
      </c>
      <c r="H34" s="77" t="s">
        <v>9360</v>
      </c>
      <c r="I34" s="77" t="s">
        <v>9360</v>
      </c>
      <c r="J34" s="77" t="s">
        <v>9360</v>
      </c>
      <c r="K34" s="2" t="str">
        <f t="shared" si="2"/>
        <v/>
      </c>
      <c r="L34" s="2" t="str">
        <f t="shared" si="3"/>
        <v/>
      </c>
      <c r="M34" s="2" t="str">
        <f t="shared" si="3"/>
        <v/>
      </c>
      <c r="N34" s="12" t="str">
        <f t="shared" si="3"/>
        <v/>
      </c>
    </row>
    <row r="35" spans="1:14" x14ac:dyDescent="0.2">
      <c r="A35" s="627" t="str">
        <f t="shared" si="0"/>
        <v>AAAAAAAA</v>
      </c>
      <c r="B35" s="628"/>
      <c r="C35" s="77" t="s">
        <v>9360</v>
      </c>
      <c r="D35" s="77" t="s">
        <v>9360</v>
      </c>
      <c r="E35" s="77">
        <f t="shared" si="1"/>
        <v>0</v>
      </c>
      <c r="F35" s="16" t="str">
        <f>IF($A$27="","",IF(VLOOKUP($A34,Products!$A$59:$H$159,5,FALSE)="","",VLOOKUP($A34,Products!$A$59:$H$159,5,FALSE)))</f>
        <v/>
      </c>
      <c r="G35" s="16" t="str">
        <f>IF($A$27="","",IF(VLOOKUP($A34,Products!$A$59:$H$159,8,FALSE)="","",VLOOKUP($A34,Products!$A$59:$H$159,8,FALSE)))</f>
        <v/>
      </c>
      <c r="H35" s="77" t="s">
        <v>9360</v>
      </c>
      <c r="I35" s="77" t="s">
        <v>9360</v>
      </c>
      <c r="J35" s="77" t="s">
        <v>9360</v>
      </c>
      <c r="K35" s="2" t="str">
        <f>IF($K$27="","",IF($G35="","",K$27*$G35))</f>
        <v/>
      </c>
      <c r="L35" s="2" t="str">
        <f t="shared" si="3"/>
        <v/>
      </c>
      <c r="M35" s="2" t="str">
        <f t="shared" si="3"/>
        <v/>
      </c>
      <c r="N35" s="12" t="str">
        <f>IF($G35="","",N$27*$G35)</f>
        <v/>
      </c>
    </row>
    <row r="36" spans="1:14" x14ac:dyDescent="0.2">
      <c r="A36" s="627" t="str">
        <f t="shared" si="0"/>
        <v>AAAAAAAAA</v>
      </c>
      <c r="B36" s="628"/>
      <c r="C36" s="77" t="s">
        <v>9360</v>
      </c>
      <c r="D36" s="77" t="s">
        <v>9360</v>
      </c>
      <c r="E36" s="77">
        <f t="shared" si="1"/>
        <v>0</v>
      </c>
      <c r="F36" s="16" t="str">
        <f>IF($A$27="","",IF(VLOOKUP($A35,Products!$A$59:$H$159,5,FALSE)="","",VLOOKUP($A35,Products!$A$59:$H$159,5,FALSE)))</f>
        <v/>
      </c>
      <c r="G36" s="16" t="str">
        <f>IF($A$27="","",IF(VLOOKUP($A35,Products!$A$59:$H$159,8,FALSE)="","",VLOOKUP($A35,Products!$A$59:$H$159,8,FALSE)))</f>
        <v/>
      </c>
      <c r="H36" s="77" t="s">
        <v>9360</v>
      </c>
      <c r="I36" s="77" t="s">
        <v>9360</v>
      </c>
      <c r="J36" s="77" t="s">
        <v>9360</v>
      </c>
      <c r="K36" s="2" t="str">
        <f t="shared" si="2"/>
        <v/>
      </c>
      <c r="L36" s="2" t="str">
        <f>IF($G36="","",L$27*$G36)</f>
        <v/>
      </c>
      <c r="M36" s="2" t="str">
        <f t="shared" si="3"/>
        <v/>
      </c>
      <c r="N36" s="12" t="str">
        <f t="shared" si="3"/>
        <v/>
      </c>
    </row>
    <row r="37" spans="1:14" x14ac:dyDescent="0.2">
      <c r="A37" s="627" t="str">
        <f t="shared" si="0"/>
        <v>AAAAAAAAAA</v>
      </c>
      <c r="B37" s="628"/>
      <c r="C37" s="77" t="s">
        <v>9360</v>
      </c>
      <c r="D37" s="77" t="s">
        <v>9360</v>
      </c>
      <c r="E37" s="77">
        <f t="shared" si="1"/>
        <v>0</v>
      </c>
      <c r="F37" s="16" t="str">
        <f>IF($A$27="","",IF(VLOOKUP($A36,Products!$A$59:$H$159,5,FALSE)="","",VLOOKUP($A36,Products!$A$59:$H$159,5,FALSE)))</f>
        <v/>
      </c>
      <c r="G37" s="16" t="str">
        <f>IF($A$27="","",IF(VLOOKUP($A36,Products!$A$59:$H$159,8,FALSE)="","",VLOOKUP($A36,Products!$A$59:$H$159,8,FALSE)))</f>
        <v/>
      </c>
      <c r="H37" s="77" t="s">
        <v>9360</v>
      </c>
      <c r="I37" s="77" t="s">
        <v>9360</v>
      </c>
      <c r="J37" s="77" t="s">
        <v>9360</v>
      </c>
      <c r="K37" s="2" t="str">
        <f>IF($K$27="","",IF($G37="","",K$27*$G37))</f>
        <v/>
      </c>
      <c r="L37" s="2" t="str">
        <f t="shared" si="3"/>
        <v/>
      </c>
      <c r="M37" s="2" t="str">
        <f t="shared" si="3"/>
        <v/>
      </c>
      <c r="N37" s="12" t="str">
        <f t="shared" si="3"/>
        <v/>
      </c>
    </row>
    <row r="38" spans="1:14" x14ac:dyDescent="0.2">
      <c r="A38" s="651"/>
      <c r="B38" s="615"/>
      <c r="C38" s="41"/>
      <c r="D38" s="41"/>
      <c r="E38" s="41"/>
      <c r="F38" s="16" t="s">
        <v>291</v>
      </c>
      <c r="G38" s="16">
        <v>1</v>
      </c>
      <c r="H38" s="16" t="str">
        <f>IF(A38="","",IF(VLOOKUP($A38,Products!$A$59:$H$159,2,FALSE)="","",VLOOKUP($A38,Products!$A$59:$H$159,2,FALSE)))</f>
        <v/>
      </c>
      <c r="I38" s="16" t="str">
        <f>IF(A38="","",IF(VLOOKUP($A38,Products!$A$59:$H$159,3,FALSE)="","",VLOOKUP($A38,Products!$A$59:$H$159,3,FALSE)))</f>
        <v/>
      </c>
      <c r="J38" s="16" t="str">
        <f>IF(A38="","",IF(VLOOKUP($A38,Products!$A$59:$H$159,4,FALSE)="","",VLOOKUP($A38,Products!$A$59:$H$159,4,FALSE)))</f>
        <v/>
      </c>
      <c r="K38" s="2" t="str">
        <f>IF(OR($A38="",C38="",$E38=""),"",((12.46*$F$21*$I38*$H38)/$F$22)*((C38*42)/1000)*(IF($E38="YES",(1-$F$20),1)))</f>
        <v/>
      </c>
      <c r="L38" s="2" t="str">
        <f>IF(OR($A38="",$D38="",$E38=""),"",((12.46*$F$21*$J38*$H38)/$F$23)*(($D38*42)/1000)*(1/2000)*(IF($E38="YES",(1-$F$20),1)))</f>
        <v/>
      </c>
      <c r="M38" s="2" t="str">
        <f>IF(OR($A38="",$C38="",$E38=""),"",((12.46*$F$21*$I38*$H38)/$F$22)*(($C38*42)/1000)*(IF($E38="YES",$F$20,0)))</f>
        <v/>
      </c>
      <c r="N38" s="12" t="str">
        <f>IF(OR($A38="",$D38="",$E38=""),"",((12.46*$F$21*$J38*$H38)/$F$23)*(($D38*42)/1000)*(1/2000)*(IF($E38="YES",$F$20,0)))</f>
        <v/>
      </c>
    </row>
    <row r="39" spans="1:14" x14ac:dyDescent="0.2">
      <c r="A39" s="627" t="str">
        <f t="shared" ref="A39:A48" si="4">A38&amp;"A"</f>
        <v>A</v>
      </c>
      <c r="B39" s="628"/>
      <c r="C39" s="77" t="s">
        <v>9360</v>
      </c>
      <c r="D39" s="77" t="s">
        <v>9360</v>
      </c>
      <c r="E39" s="77">
        <f>E38</f>
        <v>0</v>
      </c>
      <c r="F39" s="16" t="str">
        <f>IF($A$38="","",IF(VLOOKUP($A38,Products!$A$59:$H$159,5,FALSE)="","",VLOOKUP($A38,Products!$A$59:$H$159,5,FALSE)))</f>
        <v/>
      </c>
      <c r="G39" s="16" t="str">
        <f>IF($A$38="","",IF(VLOOKUP($A38,Products!$A$59:$H$159,8,FALSE)="","",VLOOKUP($A38,Products!$A$59:$H$159,8,FALSE)))</f>
        <v/>
      </c>
      <c r="H39" s="77" t="s">
        <v>9360</v>
      </c>
      <c r="I39" s="77" t="s">
        <v>9360</v>
      </c>
      <c r="J39" s="77" t="s">
        <v>9360</v>
      </c>
      <c r="K39" s="2" t="str">
        <f>IF($G39="","",K$38*$G39)</f>
        <v/>
      </c>
      <c r="L39" s="2" t="str">
        <f t="shared" ref="L39:N48" si="5">IF($G39="","",L$38*$G39)</f>
        <v/>
      </c>
      <c r="M39" s="2" t="str">
        <f t="shared" si="5"/>
        <v/>
      </c>
      <c r="N39" s="12" t="str">
        <f t="shared" si="5"/>
        <v/>
      </c>
    </row>
    <row r="40" spans="1:14" x14ac:dyDescent="0.2">
      <c r="A40" s="627" t="str">
        <f t="shared" si="4"/>
        <v>AA</v>
      </c>
      <c r="B40" s="628"/>
      <c r="C40" s="77" t="s">
        <v>9360</v>
      </c>
      <c r="D40" s="77" t="s">
        <v>9360</v>
      </c>
      <c r="E40" s="77">
        <f t="shared" ref="E40:E48" si="6">E39</f>
        <v>0</v>
      </c>
      <c r="F40" s="16" t="str">
        <f>IF($A$38="","",IF(VLOOKUP($A39,Products!$A$59:$H$159,5,FALSE)="","",VLOOKUP($A39,Products!$A$59:$H$159,5,FALSE)))</f>
        <v/>
      </c>
      <c r="G40" s="16" t="str">
        <f>IF($A$38="","",IF(VLOOKUP($A39,Products!$A$59:$H$159,8,FALSE)="","",VLOOKUP($A39,Products!$A$59:$H$159,8,FALSE)))</f>
        <v/>
      </c>
      <c r="H40" s="77" t="s">
        <v>9360</v>
      </c>
      <c r="I40" s="77" t="s">
        <v>9360</v>
      </c>
      <c r="J40" s="77" t="s">
        <v>9360</v>
      </c>
      <c r="K40" s="2" t="str">
        <f t="shared" ref="K40:K48" si="7">IF($G40="","",K$38*$G40)</f>
        <v/>
      </c>
      <c r="L40" s="2" t="str">
        <f t="shared" si="5"/>
        <v/>
      </c>
      <c r="M40" s="2" t="str">
        <f t="shared" si="5"/>
        <v/>
      </c>
      <c r="N40" s="12" t="str">
        <f t="shared" si="5"/>
        <v/>
      </c>
    </row>
    <row r="41" spans="1:14" x14ac:dyDescent="0.2">
      <c r="A41" s="627" t="str">
        <f t="shared" si="4"/>
        <v>AAA</v>
      </c>
      <c r="B41" s="628"/>
      <c r="C41" s="77" t="s">
        <v>9360</v>
      </c>
      <c r="D41" s="77" t="s">
        <v>9360</v>
      </c>
      <c r="E41" s="77">
        <f t="shared" si="6"/>
        <v>0</v>
      </c>
      <c r="F41" s="16" t="str">
        <f>IF($A$38="","",IF(VLOOKUP($A40,Products!$A$59:$H$159,5,FALSE)="","",VLOOKUP($A40,Products!$A$59:$H$159,5,FALSE)))</f>
        <v/>
      </c>
      <c r="G41" s="16" t="str">
        <f>IF($A$38="","",IF(VLOOKUP($A40,Products!$A$59:$H$159,8,FALSE)="","",VLOOKUP($A40,Products!$A$59:$H$159,8,FALSE)))</f>
        <v/>
      </c>
      <c r="H41" s="77" t="s">
        <v>9360</v>
      </c>
      <c r="I41" s="77" t="s">
        <v>9360</v>
      </c>
      <c r="J41" s="77" t="s">
        <v>9360</v>
      </c>
      <c r="K41" s="2" t="str">
        <f t="shared" si="7"/>
        <v/>
      </c>
      <c r="L41" s="2" t="str">
        <f t="shared" si="5"/>
        <v/>
      </c>
      <c r="M41" s="2" t="str">
        <f t="shared" si="5"/>
        <v/>
      </c>
      <c r="N41" s="12" t="str">
        <f t="shared" si="5"/>
        <v/>
      </c>
    </row>
    <row r="42" spans="1:14" x14ac:dyDescent="0.2">
      <c r="A42" s="627" t="str">
        <f t="shared" si="4"/>
        <v>AAAA</v>
      </c>
      <c r="B42" s="628"/>
      <c r="C42" s="77" t="s">
        <v>9360</v>
      </c>
      <c r="D42" s="77" t="s">
        <v>9360</v>
      </c>
      <c r="E42" s="77">
        <f t="shared" si="6"/>
        <v>0</v>
      </c>
      <c r="F42" s="16" t="str">
        <f>IF($A$38="","",IF(VLOOKUP($A41,Products!$A$59:$H$159,5,FALSE)="","",VLOOKUP($A41,Products!$A$59:$H$159,5,FALSE)))</f>
        <v/>
      </c>
      <c r="G42" s="16" t="str">
        <f>IF($A$38="","",IF(VLOOKUP($A41,Products!$A$59:$H$159,8,FALSE)="","",VLOOKUP($A41,Products!$A$59:$H$159,8,FALSE)))</f>
        <v/>
      </c>
      <c r="H42" s="77" t="s">
        <v>9360</v>
      </c>
      <c r="I42" s="77" t="s">
        <v>9360</v>
      </c>
      <c r="J42" s="77" t="s">
        <v>9360</v>
      </c>
      <c r="K42" s="2" t="str">
        <f t="shared" si="7"/>
        <v/>
      </c>
      <c r="L42" s="2" t="str">
        <f t="shared" si="5"/>
        <v/>
      </c>
      <c r="M42" s="2" t="str">
        <f t="shared" si="5"/>
        <v/>
      </c>
      <c r="N42" s="12" t="str">
        <f t="shared" si="5"/>
        <v/>
      </c>
    </row>
    <row r="43" spans="1:14" x14ac:dyDescent="0.2">
      <c r="A43" s="627" t="str">
        <f t="shared" si="4"/>
        <v>AAAAA</v>
      </c>
      <c r="B43" s="628"/>
      <c r="C43" s="77" t="s">
        <v>9360</v>
      </c>
      <c r="D43" s="77" t="s">
        <v>9360</v>
      </c>
      <c r="E43" s="77">
        <f t="shared" si="6"/>
        <v>0</v>
      </c>
      <c r="F43" s="16" t="str">
        <f>IF($A$38="","",IF(VLOOKUP($A42,Products!$A$59:$H$159,5,FALSE)="","",VLOOKUP($A42,Products!$A$59:$H$159,5,FALSE)))</f>
        <v/>
      </c>
      <c r="G43" s="16" t="str">
        <f>IF($A$38="","",IF(VLOOKUP($A42,Products!$A$59:$H$159,8,FALSE)="","",VLOOKUP($A42,Products!$A$59:$H$159,8,FALSE)))</f>
        <v/>
      </c>
      <c r="H43" s="77" t="s">
        <v>9360</v>
      </c>
      <c r="I43" s="77" t="s">
        <v>9360</v>
      </c>
      <c r="J43" s="77" t="s">
        <v>9360</v>
      </c>
      <c r="K43" s="2" t="str">
        <f t="shared" si="7"/>
        <v/>
      </c>
      <c r="L43" s="2" t="str">
        <f t="shared" si="5"/>
        <v/>
      </c>
      <c r="M43" s="2" t="str">
        <f t="shared" si="5"/>
        <v/>
      </c>
      <c r="N43" s="12" t="str">
        <f t="shared" si="5"/>
        <v/>
      </c>
    </row>
    <row r="44" spans="1:14" x14ac:dyDescent="0.2">
      <c r="A44" s="627" t="str">
        <f t="shared" si="4"/>
        <v>AAAAAA</v>
      </c>
      <c r="B44" s="628"/>
      <c r="C44" s="77" t="s">
        <v>9360</v>
      </c>
      <c r="D44" s="77" t="s">
        <v>9360</v>
      </c>
      <c r="E44" s="77">
        <f t="shared" si="6"/>
        <v>0</v>
      </c>
      <c r="F44" s="16" t="str">
        <f>IF($A$38="","",IF(VLOOKUP($A43,Products!$A$59:$H$159,5,FALSE)="","",VLOOKUP($A43,Products!$A$59:$H$159,5,FALSE)))</f>
        <v/>
      </c>
      <c r="G44" s="16" t="str">
        <f>IF($A$38="","",IF(VLOOKUP($A43,Products!$A$59:$H$159,8,FALSE)="","",VLOOKUP($A43,Products!$A$59:$H$159,8,FALSE)))</f>
        <v/>
      </c>
      <c r="H44" s="77" t="s">
        <v>9360</v>
      </c>
      <c r="I44" s="77" t="s">
        <v>9360</v>
      </c>
      <c r="J44" s="77" t="s">
        <v>9360</v>
      </c>
      <c r="K44" s="2" t="str">
        <f t="shared" si="7"/>
        <v/>
      </c>
      <c r="L44" s="2" t="str">
        <f t="shared" si="5"/>
        <v/>
      </c>
      <c r="M44" s="2" t="str">
        <f t="shared" si="5"/>
        <v/>
      </c>
      <c r="N44" s="12" t="str">
        <f t="shared" si="5"/>
        <v/>
      </c>
    </row>
    <row r="45" spans="1:14" x14ac:dyDescent="0.2">
      <c r="A45" s="627" t="str">
        <f t="shared" si="4"/>
        <v>AAAAAAA</v>
      </c>
      <c r="B45" s="628"/>
      <c r="C45" s="77" t="s">
        <v>9360</v>
      </c>
      <c r="D45" s="77" t="s">
        <v>9360</v>
      </c>
      <c r="E45" s="77">
        <f t="shared" si="6"/>
        <v>0</v>
      </c>
      <c r="F45" s="16" t="str">
        <f>IF($A$38="","",IF(VLOOKUP($A44,Products!$A$59:$H$159,5,FALSE)="","",VLOOKUP($A44,Products!$A$59:$H$159,5,FALSE)))</f>
        <v/>
      </c>
      <c r="G45" s="16" t="str">
        <f>IF($A$38="","",IF(VLOOKUP($A44,Products!$A$59:$H$159,8,FALSE)="","",VLOOKUP($A44,Products!$A$59:$H$159,8,FALSE)))</f>
        <v/>
      </c>
      <c r="H45" s="77" t="s">
        <v>9360</v>
      </c>
      <c r="I45" s="77" t="s">
        <v>9360</v>
      </c>
      <c r="J45" s="77" t="s">
        <v>9360</v>
      </c>
      <c r="K45" s="2" t="str">
        <f t="shared" si="7"/>
        <v/>
      </c>
      <c r="L45" s="2" t="str">
        <f t="shared" si="5"/>
        <v/>
      </c>
      <c r="M45" s="2" t="str">
        <f t="shared" si="5"/>
        <v/>
      </c>
      <c r="N45" s="12" t="str">
        <f t="shared" si="5"/>
        <v/>
      </c>
    </row>
    <row r="46" spans="1:14" x14ac:dyDescent="0.2">
      <c r="A46" s="627" t="str">
        <f t="shared" si="4"/>
        <v>AAAAAAAA</v>
      </c>
      <c r="B46" s="628"/>
      <c r="C46" s="77" t="s">
        <v>9360</v>
      </c>
      <c r="D46" s="77" t="s">
        <v>9360</v>
      </c>
      <c r="E46" s="77">
        <f t="shared" si="6"/>
        <v>0</v>
      </c>
      <c r="F46" s="16" t="str">
        <f>IF($A$38="","",IF(VLOOKUP($A45,Products!$A$59:$H$159,5,FALSE)="","",VLOOKUP($A45,Products!$A$59:$H$159,5,FALSE)))</f>
        <v/>
      </c>
      <c r="G46" s="16" t="str">
        <f>IF($A$38="","",IF(VLOOKUP($A45,Products!$A$59:$H$159,8,FALSE)="","",VLOOKUP($A45,Products!$A$59:$H$159,8,FALSE)))</f>
        <v/>
      </c>
      <c r="H46" s="77" t="s">
        <v>9360</v>
      </c>
      <c r="I46" s="77" t="s">
        <v>9360</v>
      </c>
      <c r="J46" s="77" t="s">
        <v>9360</v>
      </c>
      <c r="K46" s="2" t="str">
        <f t="shared" si="7"/>
        <v/>
      </c>
      <c r="L46" s="2" t="str">
        <f t="shared" si="5"/>
        <v/>
      </c>
      <c r="M46" s="2" t="str">
        <f t="shared" si="5"/>
        <v/>
      </c>
      <c r="N46" s="12" t="str">
        <f t="shared" si="5"/>
        <v/>
      </c>
    </row>
    <row r="47" spans="1:14" x14ac:dyDescent="0.2">
      <c r="A47" s="627" t="str">
        <f t="shared" si="4"/>
        <v>AAAAAAAAA</v>
      </c>
      <c r="B47" s="628"/>
      <c r="C47" s="77" t="s">
        <v>9360</v>
      </c>
      <c r="D47" s="77" t="s">
        <v>9360</v>
      </c>
      <c r="E47" s="77">
        <f t="shared" si="6"/>
        <v>0</v>
      </c>
      <c r="F47" s="16" t="str">
        <f>IF($A$38="","",IF(VLOOKUP($A46,Products!$A$59:$H$159,5,FALSE)="","",VLOOKUP($A46,Products!$A$59:$H$159,5,FALSE)))</f>
        <v/>
      </c>
      <c r="G47" s="16" t="str">
        <f>IF($A$38="","",IF(VLOOKUP($A46,Products!$A$59:$H$159,8,FALSE)="","",VLOOKUP($A46,Products!$A$59:$H$159,8,FALSE)))</f>
        <v/>
      </c>
      <c r="H47" s="77" t="s">
        <v>9360</v>
      </c>
      <c r="I47" s="77" t="s">
        <v>9360</v>
      </c>
      <c r="J47" s="77" t="s">
        <v>9360</v>
      </c>
      <c r="K47" s="2" t="str">
        <f t="shared" si="7"/>
        <v/>
      </c>
      <c r="L47" s="2" t="str">
        <f t="shared" si="5"/>
        <v/>
      </c>
      <c r="M47" s="2" t="str">
        <f t="shared" si="5"/>
        <v/>
      </c>
      <c r="N47" s="12" t="str">
        <f t="shared" si="5"/>
        <v/>
      </c>
    </row>
    <row r="48" spans="1:14" x14ac:dyDescent="0.2">
      <c r="A48" s="627" t="str">
        <f t="shared" si="4"/>
        <v>AAAAAAAAAA</v>
      </c>
      <c r="B48" s="628"/>
      <c r="C48" s="77" t="s">
        <v>9360</v>
      </c>
      <c r="D48" s="77" t="s">
        <v>9360</v>
      </c>
      <c r="E48" s="77">
        <f t="shared" si="6"/>
        <v>0</v>
      </c>
      <c r="F48" s="16" t="str">
        <f>IF($A$38="","",IF(VLOOKUP($A47,Products!$A$59:$H$159,5,FALSE)="","",VLOOKUP($A47,Products!$A$59:$H$159,5,FALSE)))</f>
        <v/>
      </c>
      <c r="G48" s="16" t="str">
        <f>IF($A$38="","",IF(VLOOKUP($A47,Products!$A$59:$H$159,8,FALSE)="","",VLOOKUP($A47,Products!$A$59:$H$159,8,FALSE)))</f>
        <v/>
      </c>
      <c r="H48" s="77" t="s">
        <v>9360</v>
      </c>
      <c r="I48" s="77" t="s">
        <v>9360</v>
      </c>
      <c r="J48" s="77" t="s">
        <v>9360</v>
      </c>
      <c r="K48" s="2" t="str">
        <f t="shared" si="7"/>
        <v/>
      </c>
      <c r="L48" s="2" t="str">
        <f t="shared" si="5"/>
        <v/>
      </c>
      <c r="M48" s="2" t="str">
        <f t="shared" si="5"/>
        <v/>
      </c>
      <c r="N48" s="12" t="str">
        <f t="shared" si="5"/>
        <v/>
      </c>
    </row>
    <row r="49" spans="1:14" x14ac:dyDescent="0.2">
      <c r="A49" s="651"/>
      <c r="B49" s="615"/>
      <c r="C49" s="41"/>
      <c r="D49" s="41"/>
      <c r="E49" s="41"/>
      <c r="F49" s="16" t="s">
        <v>291</v>
      </c>
      <c r="G49" s="16">
        <v>1</v>
      </c>
      <c r="H49" s="16" t="str">
        <f>IF(A49="","",IF(VLOOKUP($A49,Products!$A$59:$H$159,2,FALSE)="","",VLOOKUP($A49,Products!$A$59:$H$159,2,FALSE)))</f>
        <v/>
      </c>
      <c r="I49" s="16" t="str">
        <f>IF(A49="","",IF(VLOOKUP($A49,Products!$A$59:$H$159,3,FALSE)="","",VLOOKUP($A49,Products!$A$59:$H$159,3,FALSE)))</f>
        <v/>
      </c>
      <c r="J49" s="16" t="str">
        <f>IF(A49="","",IF(VLOOKUP($A49,Products!$A$59:$H$159,4,FALSE)="","",VLOOKUP($A49,Products!$A$59:$H$159,4,FALSE)))</f>
        <v/>
      </c>
      <c r="K49" s="2" t="str">
        <f>IF(OR($A49="",C49="",$E49=""),"",((12.46*$F$21*$I49*$H49)/$F$22)*((C49*42)/1000)*(IF($E49="YES",(1-$F$20),1)))</f>
        <v/>
      </c>
      <c r="L49" s="2" t="str">
        <f>IF(OR($A49="",$D49="",$E49=""),"",((12.46*$F$21*$J49*$H49)/$F$23)*(($D49*42)/1000)*(1/2000)*(IF($E49="YES",(1-$F$20),1)))</f>
        <v/>
      </c>
      <c r="M49" s="2" t="str">
        <f>IF(OR($A49="",$C49="",$E49=""),"",((12.46*$F$21*$I49*$H49)/$F$22)*(($C49*42)/1000)*(IF($E49="YES",$F$20,0)))</f>
        <v/>
      </c>
      <c r="N49" s="12" t="str">
        <f>IF(OR($A49="",$D49="",$E49=""),"",((12.46*$F$21*$J49*$H49)/$F$23)*(($D49*42)/1000)*(1/2000)*(IF($E49="YES",$F$20,0)))</f>
        <v/>
      </c>
    </row>
    <row r="50" spans="1:14" x14ac:dyDescent="0.2">
      <c r="A50" s="627" t="str">
        <f t="shared" ref="A50:A59" si="8">A49&amp;"A"</f>
        <v>A</v>
      </c>
      <c r="B50" s="628"/>
      <c r="C50" s="77" t="s">
        <v>9360</v>
      </c>
      <c r="D50" s="77" t="s">
        <v>9360</v>
      </c>
      <c r="E50" s="77">
        <f>E49</f>
        <v>0</v>
      </c>
      <c r="F50" s="16" t="str">
        <f>IF($A$49="","",IF(VLOOKUP($A49,Products!$A$59:$H$159,5,FALSE)="","",VLOOKUP($A49,Products!$A$59:$H$159,5,FALSE)))</f>
        <v/>
      </c>
      <c r="G50" s="16" t="str">
        <f>IF($A$49="","",IF(VLOOKUP($A49,Products!$A$59:$H$159,8,FALSE)="","",VLOOKUP($A49,Products!$A$59:$H$159,8,FALSE)))</f>
        <v/>
      </c>
      <c r="H50" s="77" t="s">
        <v>9360</v>
      </c>
      <c r="I50" s="77" t="s">
        <v>9360</v>
      </c>
      <c r="J50" s="77" t="s">
        <v>9360</v>
      </c>
      <c r="K50" s="2" t="str">
        <f>IF($G50="","",K$49*$G50)</f>
        <v/>
      </c>
      <c r="L50" s="2" t="str">
        <f>IF($G50="","",L$49*$G50)</f>
        <v/>
      </c>
      <c r="M50" s="2" t="str">
        <f>IF($G50="","",M$49*$G50)</f>
        <v/>
      </c>
      <c r="N50" s="12" t="str">
        <f>IF($G50="","",N$49*$G50)</f>
        <v/>
      </c>
    </row>
    <row r="51" spans="1:14" x14ac:dyDescent="0.2">
      <c r="A51" s="627" t="str">
        <f t="shared" si="8"/>
        <v>AA</v>
      </c>
      <c r="B51" s="628"/>
      <c r="C51" s="77" t="s">
        <v>9360</v>
      </c>
      <c r="D51" s="77" t="s">
        <v>9360</v>
      </c>
      <c r="E51" s="77">
        <f t="shared" ref="E51:E59" si="9">E50</f>
        <v>0</v>
      </c>
      <c r="F51" s="16" t="str">
        <f>IF($A$49="","",IF(VLOOKUP($A50,Products!$A$59:$H$159,5,FALSE)="","",VLOOKUP($A50,Products!$A$59:$H$159,5,FALSE)))</f>
        <v/>
      </c>
      <c r="G51" s="16" t="str">
        <f>IF($A$49="","",IF(VLOOKUP($A50,Products!$A$59:$H$159,8,FALSE)="","",VLOOKUP($A50,Products!$A$59:$H$159,8,FALSE)))</f>
        <v/>
      </c>
      <c r="H51" s="77" t="s">
        <v>9360</v>
      </c>
      <c r="I51" s="77" t="s">
        <v>9360</v>
      </c>
      <c r="J51" s="77" t="s">
        <v>9360</v>
      </c>
      <c r="K51" s="2" t="str">
        <f t="shared" ref="K51:N59" si="10">IF($G51="","",K$49*$G51)</f>
        <v/>
      </c>
      <c r="L51" s="2" t="str">
        <f t="shared" si="10"/>
        <v/>
      </c>
      <c r="M51" s="2" t="str">
        <f t="shared" si="10"/>
        <v/>
      </c>
      <c r="N51" s="12" t="str">
        <f t="shared" si="10"/>
        <v/>
      </c>
    </row>
    <row r="52" spans="1:14" x14ac:dyDescent="0.2">
      <c r="A52" s="627" t="str">
        <f t="shared" si="8"/>
        <v>AAA</v>
      </c>
      <c r="B52" s="628"/>
      <c r="C52" s="77" t="s">
        <v>9360</v>
      </c>
      <c r="D52" s="77" t="s">
        <v>9360</v>
      </c>
      <c r="E52" s="77">
        <f t="shared" si="9"/>
        <v>0</v>
      </c>
      <c r="F52" s="16" t="str">
        <f>IF($A$49="","",IF(VLOOKUP($A51,Products!$A$59:$H$159,5,FALSE)="","",VLOOKUP($A51,Products!$A$59:$H$159,5,FALSE)))</f>
        <v/>
      </c>
      <c r="G52" s="16" t="str">
        <f>IF($A$49="","",IF(VLOOKUP($A51,Products!$A$59:$H$159,8,FALSE)="","",VLOOKUP($A51,Products!$A$59:$H$159,8,FALSE)))</f>
        <v/>
      </c>
      <c r="H52" s="77" t="s">
        <v>9360</v>
      </c>
      <c r="I52" s="77" t="s">
        <v>9360</v>
      </c>
      <c r="J52" s="77" t="s">
        <v>9360</v>
      </c>
      <c r="K52" s="2" t="str">
        <f t="shared" si="10"/>
        <v/>
      </c>
      <c r="L52" s="2" t="str">
        <f t="shared" si="10"/>
        <v/>
      </c>
      <c r="M52" s="2" t="str">
        <f t="shared" si="10"/>
        <v/>
      </c>
      <c r="N52" s="12" t="str">
        <f t="shared" si="10"/>
        <v/>
      </c>
    </row>
    <row r="53" spans="1:14" x14ac:dyDescent="0.2">
      <c r="A53" s="627" t="str">
        <f t="shared" si="8"/>
        <v>AAAA</v>
      </c>
      <c r="B53" s="628"/>
      <c r="C53" s="77" t="s">
        <v>9360</v>
      </c>
      <c r="D53" s="77" t="s">
        <v>9360</v>
      </c>
      <c r="E53" s="77">
        <f t="shared" si="9"/>
        <v>0</v>
      </c>
      <c r="F53" s="16" t="str">
        <f>IF($A$49="","",IF(VLOOKUP($A52,Products!$A$59:$H$159,5,FALSE)="","",VLOOKUP($A52,Products!$A$59:$H$159,5,FALSE)))</f>
        <v/>
      </c>
      <c r="G53" s="16" t="str">
        <f>IF($A$49="","",IF(VLOOKUP($A52,Products!$A$59:$H$159,8,FALSE)="","",VLOOKUP($A52,Products!$A$59:$H$159,8,FALSE)))</f>
        <v/>
      </c>
      <c r="H53" s="77" t="s">
        <v>9360</v>
      </c>
      <c r="I53" s="77" t="s">
        <v>9360</v>
      </c>
      <c r="J53" s="77" t="s">
        <v>9360</v>
      </c>
      <c r="K53" s="2" t="str">
        <f t="shared" si="10"/>
        <v/>
      </c>
      <c r="L53" s="2" t="str">
        <f t="shared" si="10"/>
        <v/>
      </c>
      <c r="M53" s="2" t="str">
        <f t="shared" si="10"/>
        <v/>
      </c>
      <c r="N53" s="12" t="str">
        <f t="shared" si="10"/>
        <v/>
      </c>
    </row>
    <row r="54" spans="1:14" x14ac:dyDescent="0.2">
      <c r="A54" s="627" t="str">
        <f t="shared" si="8"/>
        <v>AAAAA</v>
      </c>
      <c r="B54" s="628"/>
      <c r="C54" s="77" t="s">
        <v>9360</v>
      </c>
      <c r="D54" s="77" t="s">
        <v>9360</v>
      </c>
      <c r="E54" s="77">
        <f t="shared" si="9"/>
        <v>0</v>
      </c>
      <c r="F54" s="16" t="str">
        <f>IF($A$49="","",IF(VLOOKUP($A53,Products!$A$59:$H$159,5,FALSE)="","",VLOOKUP($A53,Products!$A$59:$H$159,5,FALSE)))</f>
        <v/>
      </c>
      <c r="G54" s="16" t="str">
        <f>IF($A$49="","",IF(VLOOKUP($A53,Products!$A$59:$H$159,8,FALSE)="","",VLOOKUP($A53,Products!$A$59:$H$159,8,FALSE)))</f>
        <v/>
      </c>
      <c r="H54" s="77" t="s">
        <v>9360</v>
      </c>
      <c r="I54" s="77" t="s">
        <v>9360</v>
      </c>
      <c r="J54" s="77" t="s">
        <v>9360</v>
      </c>
      <c r="K54" s="2" t="str">
        <f t="shared" si="10"/>
        <v/>
      </c>
      <c r="L54" s="2" t="str">
        <f t="shared" si="10"/>
        <v/>
      </c>
      <c r="M54" s="2" t="str">
        <f t="shared" si="10"/>
        <v/>
      </c>
      <c r="N54" s="12" t="str">
        <f t="shared" si="10"/>
        <v/>
      </c>
    </row>
    <row r="55" spans="1:14" x14ac:dyDescent="0.2">
      <c r="A55" s="627" t="str">
        <f t="shared" si="8"/>
        <v>AAAAAA</v>
      </c>
      <c r="B55" s="628"/>
      <c r="C55" s="77" t="s">
        <v>9360</v>
      </c>
      <c r="D55" s="77" t="s">
        <v>9360</v>
      </c>
      <c r="E55" s="77">
        <f t="shared" si="9"/>
        <v>0</v>
      </c>
      <c r="F55" s="16" t="str">
        <f>IF($A$49="","",IF(VLOOKUP($A54,Products!$A$59:$H$159,5,FALSE)="","",VLOOKUP($A54,Products!$A$59:$H$159,5,FALSE)))</f>
        <v/>
      </c>
      <c r="G55" s="16" t="str">
        <f>IF($A$49="","",IF(VLOOKUP($A54,Products!$A$59:$H$159,8,FALSE)="","",VLOOKUP($A54,Products!$A$59:$H$159,8,FALSE)))</f>
        <v/>
      </c>
      <c r="H55" s="77" t="s">
        <v>9360</v>
      </c>
      <c r="I55" s="77" t="s">
        <v>9360</v>
      </c>
      <c r="J55" s="77" t="s">
        <v>9360</v>
      </c>
      <c r="K55" s="2" t="str">
        <f t="shared" si="10"/>
        <v/>
      </c>
      <c r="L55" s="2" t="str">
        <f t="shared" si="10"/>
        <v/>
      </c>
      <c r="M55" s="2" t="str">
        <f t="shared" si="10"/>
        <v/>
      </c>
      <c r="N55" s="12" t="str">
        <f t="shared" si="10"/>
        <v/>
      </c>
    </row>
    <row r="56" spans="1:14" x14ac:dyDescent="0.2">
      <c r="A56" s="627" t="str">
        <f t="shared" si="8"/>
        <v>AAAAAAA</v>
      </c>
      <c r="B56" s="628"/>
      <c r="C56" s="77" t="s">
        <v>9360</v>
      </c>
      <c r="D56" s="77" t="s">
        <v>9360</v>
      </c>
      <c r="E56" s="77">
        <f t="shared" si="9"/>
        <v>0</v>
      </c>
      <c r="F56" s="16" t="str">
        <f>IF($A$49="","",IF(VLOOKUP($A55,Products!$A$59:$H$159,5,FALSE)="","",VLOOKUP($A55,Products!$A$59:$H$159,5,FALSE)))</f>
        <v/>
      </c>
      <c r="G56" s="16" t="str">
        <f>IF($A$49="","",IF(VLOOKUP($A55,Products!$A$59:$H$159,8,FALSE)="","",VLOOKUP($A55,Products!$A$59:$H$159,8,FALSE)))</f>
        <v/>
      </c>
      <c r="H56" s="77" t="s">
        <v>9360</v>
      </c>
      <c r="I56" s="77" t="s">
        <v>9360</v>
      </c>
      <c r="J56" s="77" t="s">
        <v>9360</v>
      </c>
      <c r="K56" s="2" t="str">
        <f t="shared" si="10"/>
        <v/>
      </c>
      <c r="L56" s="2" t="str">
        <f t="shared" si="10"/>
        <v/>
      </c>
      <c r="M56" s="2" t="str">
        <f t="shared" si="10"/>
        <v/>
      </c>
      <c r="N56" s="12" t="str">
        <f t="shared" si="10"/>
        <v/>
      </c>
    </row>
    <row r="57" spans="1:14" x14ac:dyDescent="0.2">
      <c r="A57" s="627" t="str">
        <f t="shared" si="8"/>
        <v>AAAAAAAA</v>
      </c>
      <c r="B57" s="628"/>
      <c r="C57" s="77" t="s">
        <v>9360</v>
      </c>
      <c r="D57" s="77" t="s">
        <v>9360</v>
      </c>
      <c r="E57" s="77">
        <f t="shared" si="9"/>
        <v>0</v>
      </c>
      <c r="F57" s="16" t="str">
        <f>IF($A$49="","",IF(VLOOKUP($A56,Products!$A$59:$H$159,5,FALSE)="","",VLOOKUP($A56,Products!$A$59:$H$159,5,FALSE)))</f>
        <v/>
      </c>
      <c r="G57" s="16" t="str">
        <f>IF($A$49="","",IF(VLOOKUP($A56,Products!$A$59:$H$159,8,FALSE)="","",VLOOKUP($A56,Products!$A$59:$H$159,8,FALSE)))</f>
        <v/>
      </c>
      <c r="H57" s="77" t="s">
        <v>9360</v>
      </c>
      <c r="I57" s="77" t="s">
        <v>9360</v>
      </c>
      <c r="J57" s="77" t="s">
        <v>9360</v>
      </c>
      <c r="K57" s="2" t="str">
        <f t="shared" si="10"/>
        <v/>
      </c>
      <c r="L57" s="2" t="str">
        <f t="shared" si="10"/>
        <v/>
      </c>
      <c r="M57" s="2" t="str">
        <f t="shared" si="10"/>
        <v/>
      </c>
      <c r="N57" s="12" t="str">
        <f t="shared" si="10"/>
        <v/>
      </c>
    </row>
    <row r="58" spans="1:14" x14ac:dyDescent="0.2">
      <c r="A58" s="627" t="str">
        <f t="shared" si="8"/>
        <v>AAAAAAAAA</v>
      </c>
      <c r="B58" s="628"/>
      <c r="C58" s="77" t="s">
        <v>9360</v>
      </c>
      <c r="D58" s="77" t="s">
        <v>9360</v>
      </c>
      <c r="E58" s="77">
        <f t="shared" si="9"/>
        <v>0</v>
      </c>
      <c r="F58" s="16" t="str">
        <f>IF($A$49="","",IF(VLOOKUP($A57,Products!$A$59:$H$159,5,FALSE)="","",VLOOKUP($A57,Products!$A$59:$H$159,5,FALSE)))</f>
        <v/>
      </c>
      <c r="G58" s="16" t="str">
        <f>IF($A$49="","",IF(VLOOKUP($A57,Products!$A$59:$H$159,8,FALSE)="","",VLOOKUP($A57,Products!$A$59:$H$159,8,FALSE)))</f>
        <v/>
      </c>
      <c r="H58" s="77" t="s">
        <v>9360</v>
      </c>
      <c r="I58" s="77" t="s">
        <v>9360</v>
      </c>
      <c r="J58" s="77" t="s">
        <v>9360</v>
      </c>
      <c r="K58" s="2" t="str">
        <f t="shared" si="10"/>
        <v/>
      </c>
      <c r="L58" s="2" t="str">
        <f t="shared" si="10"/>
        <v/>
      </c>
      <c r="M58" s="2" t="str">
        <f t="shared" si="10"/>
        <v/>
      </c>
      <c r="N58" s="12" t="str">
        <f t="shared" si="10"/>
        <v/>
      </c>
    </row>
    <row r="59" spans="1:14" x14ac:dyDescent="0.2">
      <c r="A59" s="627" t="str">
        <f t="shared" si="8"/>
        <v>AAAAAAAAAA</v>
      </c>
      <c r="B59" s="628"/>
      <c r="C59" s="77" t="s">
        <v>9360</v>
      </c>
      <c r="D59" s="77" t="s">
        <v>9360</v>
      </c>
      <c r="E59" s="77">
        <f t="shared" si="9"/>
        <v>0</v>
      </c>
      <c r="F59" s="16" t="str">
        <f>IF($A$49="","",IF(VLOOKUP($A58,Products!$A$59:$H$159,5,FALSE)="","",VLOOKUP($A58,Products!$A$59:$H$159,5,FALSE)))</f>
        <v/>
      </c>
      <c r="G59" s="16" t="str">
        <f>IF($A$49="","",IF(VLOOKUP($A58,Products!$A$59:$H$159,8,FALSE)="","",VLOOKUP($A58,Products!$A$59:$H$159,8,FALSE)))</f>
        <v/>
      </c>
      <c r="H59" s="77" t="s">
        <v>9360</v>
      </c>
      <c r="I59" s="77" t="s">
        <v>9360</v>
      </c>
      <c r="J59" s="77" t="s">
        <v>9360</v>
      </c>
      <c r="K59" s="2" t="str">
        <f t="shared" si="10"/>
        <v/>
      </c>
      <c r="L59" s="2" t="str">
        <f t="shared" si="10"/>
        <v/>
      </c>
      <c r="M59" s="2" t="str">
        <f t="shared" si="10"/>
        <v/>
      </c>
      <c r="N59" s="12" t="str">
        <f t="shared" si="10"/>
        <v/>
      </c>
    </row>
    <row r="60" spans="1:14" x14ac:dyDescent="0.2">
      <c r="A60" s="651"/>
      <c r="B60" s="615"/>
      <c r="C60" s="41"/>
      <c r="D60" s="41"/>
      <c r="E60" s="41"/>
      <c r="F60" s="16" t="s">
        <v>291</v>
      </c>
      <c r="G60" s="16">
        <v>1</v>
      </c>
      <c r="H60" s="16" t="str">
        <f>IF(A60="","",IF(VLOOKUP($A60,Products!$A$59:$H$159,2,FALSE)="","",VLOOKUP($A60,Products!$A$59:$H$159,2,FALSE)))</f>
        <v/>
      </c>
      <c r="I60" s="16" t="str">
        <f>IF(A60="","",IF(VLOOKUP($A60,Products!$A$59:$H$159,3,FALSE)="","",VLOOKUP($A60,Products!$A$59:$H$159,3,FALSE)))</f>
        <v/>
      </c>
      <c r="J60" s="16" t="str">
        <f>IF(A60="","",IF(VLOOKUP($A60,Products!$A$59:$H$159,4,FALSE)="","",VLOOKUP($A60,Products!$A$59:$H$159,4,FALSE)))</f>
        <v/>
      </c>
      <c r="K60" s="2" t="str">
        <f>IF(OR($A60="",C60="",$E60=""),"",((12.46*$F$21*$I60*$H60)/$F$22)*((C60*42)/1000)*(IF($E60="YES",(1-$F$20),1)))</f>
        <v/>
      </c>
      <c r="L60" s="2" t="str">
        <f>IF(OR($A60="",$D60="",$E60=""),"",((12.46*$F$21*$J60*$H60)/$F$23)*(($D60*42)/1000)*(1/2000)*(IF($E60="YES",(1-$F$20),1)))</f>
        <v/>
      </c>
      <c r="M60" s="2" t="str">
        <f>IF(OR($A60="",$C60="",$E60=""),"",((12.46*$F$21*$I60*$H60)/$F$22)*(($C60*42)/1000)*(IF($E60="YES",$F$20,0)))</f>
        <v/>
      </c>
      <c r="N60" s="12" t="str">
        <f>IF(OR($A60="",$D60="",$E60=""),"",((12.46*$F$21*$J60*$H60)/$F$23)*(($D60*42)/1000)*(1/2000)*(IF($E60="YES",$F$20,0)))</f>
        <v/>
      </c>
    </row>
    <row r="61" spans="1:14" x14ac:dyDescent="0.2">
      <c r="A61" s="627" t="str">
        <f t="shared" ref="A61:A70" si="11">A60&amp;"A"</f>
        <v>A</v>
      </c>
      <c r="B61" s="628"/>
      <c r="C61" s="77" t="s">
        <v>9360</v>
      </c>
      <c r="D61" s="77" t="s">
        <v>9360</v>
      </c>
      <c r="E61" s="77">
        <f>E60</f>
        <v>0</v>
      </c>
      <c r="F61" s="16" t="str">
        <f>IF($A$60="","",IF(VLOOKUP($A60,Products!$A$59:$H$159,5,FALSE)="","",VLOOKUP($A60,Products!$A$59:$H$159,5,FALSE)))</f>
        <v/>
      </c>
      <c r="G61" s="16" t="str">
        <f>IF($A$60="","",IF(VLOOKUP($A60,Products!$A$59:$H$159,8,FALSE)="","",VLOOKUP($A60,Products!$A$59:$H$159,8,FALSE)))</f>
        <v/>
      </c>
      <c r="H61" s="77" t="s">
        <v>9360</v>
      </c>
      <c r="I61" s="77" t="s">
        <v>9360</v>
      </c>
      <c r="J61" s="77" t="s">
        <v>9360</v>
      </c>
      <c r="K61" s="2" t="str">
        <f>IF($G61="","",K$60*$G61)</f>
        <v/>
      </c>
      <c r="L61" s="2" t="str">
        <f t="shared" ref="L61:N70" si="12">IF($G61="","",L$60*$G61)</f>
        <v/>
      </c>
      <c r="M61" s="2" t="str">
        <f>IF($G61="","",M$60*$G61)</f>
        <v/>
      </c>
      <c r="N61" s="12" t="str">
        <f>IF($G61="","",N$60*$G61)</f>
        <v/>
      </c>
    </row>
    <row r="62" spans="1:14" x14ac:dyDescent="0.2">
      <c r="A62" s="627" t="str">
        <f t="shared" si="11"/>
        <v>AA</v>
      </c>
      <c r="B62" s="628"/>
      <c r="C62" s="77" t="s">
        <v>9360</v>
      </c>
      <c r="D62" s="77" t="s">
        <v>9360</v>
      </c>
      <c r="E62" s="77">
        <f t="shared" ref="E62:E70" si="13">E61</f>
        <v>0</v>
      </c>
      <c r="F62" s="16" t="str">
        <f>IF($A$60="","",IF(VLOOKUP($A61,Products!$A$59:$H$159,5,FALSE)="","",VLOOKUP($A61,Products!$A$59:$H$159,5,FALSE)))</f>
        <v/>
      </c>
      <c r="G62" s="16" t="str">
        <f>IF($A$60="","",IF(VLOOKUP($A61,Products!$A$59:$H$159,8,FALSE)="","",VLOOKUP($A61,Products!$A$59:$H$159,8,FALSE)))</f>
        <v/>
      </c>
      <c r="H62" s="77" t="s">
        <v>9360</v>
      </c>
      <c r="I62" s="77" t="s">
        <v>9360</v>
      </c>
      <c r="J62" s="77" t="s">
        <v>9360</v>
      </c>
      <c r="K62" s="2" t="str">
        <f t="shared" ref="K62:K70" si="14">IF($G62="","",K$60*$G62)</f>
        <v/>
      </c>
      <c r="L62" s="2" t="str">
        <f t="shared" si="12"/>
        <v/>
      </c>
      <c r="M62" s="2" t="str">
        <f t="shared" si="12"/>
        <v/>
      </c>
      <c r="N62" s="12" t="str">
        <f t="shared" si="12"/>
        <v/>
      </c>
    </row>
    <row r="63" spans="1:14" x14ac:dyDescent="0.2">
      <c r="A63" s="627" t="str">
        <f t="shared" si="11"/>
        <v>AAA</v>
      </c>
      <c r="B63" s="628"/>
      <c r="C63" s="77" t="s">
        <v>9360</v>
      </c>
      <c r="D63" s="77" t="s">
        <v>9360</v>
      </c>
      <c r="E63" s="77">
        <f t="shared" si="13"/>
        <v>0</v>
      </c>
      <c r="F63" s="16" t="str">
        <f>IF($A$60="","",IF(VLOOKUP($A62,Products!$A$59:$H$159,5,FALSE)="","",VLOOKUP($A62,Products!$A$59:$H$159,5,FALSE)))</f>
        <v/>
      </c>
      <c r="G63" s="16" t="str">
        <f>IF($A$60="","",IF(VLOOKUP($A62,Products!$A$59:$H$159,8,FALSE)="","",VLOOKUP($A62,Products!$A$59:$H$159,8,FALSE)))</f>
        <v/>
      </c>
      <c r="H63" s="77" t="s">
        <v>9360</v>
      </c>
      <c r="I63" s="77" t="s">
        <v>9360</v>
      </c>
      <c r="J63" s="77" t="s">
        <v>9360</v>
      </c>
      <c r="K63" s="2" t="str">
        <f t="shared" si="14"/>
        <v/>
      </c>
      <c r="L63" s="2" t="str">
        <f t="shared" si="12"/>
        <v/>
      </c>
      <c r="M63" s="2" t="str">
        <f t="shared" si="12"/>
        <v/>
      </c>
      <c r="N63" s="12" t="str">
        <f t="shared" si="12"/>
        <v/>
      </c>
    </row>
    <row r="64" spans="1:14" x14ac:dyDescent="0.2">
      <c r="A64" s="627" t="str">
        <f t="shared" si="11"/>
        <v>AAAA</v>
      </c>
      <c r="B64" s="628"/>
      <c r="C64" s="77" t="s">
        <v>9360</v>
      </c>
      <c r="D64" s="77" t="s">
        <v>9360</v>
      </c>
      <c r="E64" s="77">
        <f t="shared" si="13"/>
        <v>0</v>
      </c>
      <c r="F64" s="16" t="str">
        <f>IF($A$60="","",IF(VLOOKUP($A63,Products!$A$59:$H$159,5,FALSE)="","",VLOOKUP($A63,Products!$A$59:$H$159,5,FALSE)))</f>
        <v/>
      </c>
      <c r="G64" s="16" t="str">
        <f>IF($A$60="","",IF(VLOOKUP($A63,Products!$A$59:$H$159,8,FALSE)="","",VLOOKUP($A63,Products!$A$59:$H$159,8,FALSE)))</f>
        <v/>
      </c>
      <c r="H64" s="77" t="s">
        <v>9360</v>
      </c>
      <c r="I64" s="77" t="s">
        <v>9360</v>
      </c>
      <c r="J64" s="77" t="s">
        <v>9360</v>
      </c>
      <c r="K64" s="2" t="str">
        <f t="shared" si="14"/>
        <v/>
      </c>
      <c r="L64" s="2" t="str">
        <f t="shared" si="12"/>
        <v/>
      </c>
      <c r="M64" s="2" t="str">
        <f t="shared" si="12"/>
        <v/>
      </c>
      <c r="N64" s="12" t="str">
        <f t="shared" si="12"/>
        <v/>
      </c>
    </row>
    <row r="65" spans="1:14" x14ac:dyDescent="0.2">
      <c r="A65" s="627" t="str">
        <f t="shared" si="11"/>
        <v>AAAAA</v>
      </c>
      <c r="B65" s="628"/>
      <c r="C65" s="77" t="s">
        <v>9360</v>
      </c>
      <c r="D65" s="77" t="s">
        <v>9360</v>
      </c>
      <c r="E65" s="77">
        <f t="shared" si="13"/>
        <v>0</v>
      </c>
      <c r="F65" s="16" t="str">
        <f>IF($A$60="","",IF(VLOOKUP($A64,Products!$A$59:$H$159,5,FALSE)="","",VLOOKUP($A64,Products!$A$59:$H$159,5,FALSE)))</f>
        <v/>
      </c>
      <c r="G65" s="16" t="str">
        <f>IF($A$60="","",IF(VLOOKUP($A64,Products!$A$59:$H$159,8,FALSE)="","",VLOOKUP($A64,Products!$A$59:$H$159,8,FALSE)))</f>
        <v/>
      </c>
      <c r="H65" s="77" t="s">
        <v>9360</v>
      </c>
      <c r="I65" s="77" t="s">
        <v>9360</v>
      </c>
      <c r="J65" s="77" t="s">
        <v>9360</v>
      </c>
      <c r="K65" s="2" t="str">
        <f t="shared" si="14"/>
        <v/>
      </c>
      <c r="L65" s="2" t="str">
        <f t="shared" si="12"/>
        <v/>
      </c>
      <c r="M65" s="2" t="str">
        <f t="shared" si="12"/>
        <v/>
      </c>
      <c r="N65" s="12" t="str">
        <f t="shared" si="12"/>
        <v/>
      </c>
    </row>
    <row r="66" spans="1:14" x14ac:dyDescent="0.2">
      <c r="A66" s="627" t="str">
        <f t="shared" si="11"/>
        <v>AAAAAA</v>
      </c>
      <c r="B66" s="628"/>
      <c r="C66" s="77" t="s">
        <v>9360</v>
      </c>
      <c r="D66" s="77" t="s">
        <v>9360</v>
      </c>
      <c r="E66" s="77">
        <f t="shared" si="13"/>
        <v>0</v>
      </c>
      <c r="F66" s="16" t="str">
        <f>IF($A$60="","",IF(VLOOKUP($A65,Products!$A$59:$H$159,5,FALSE)="","",VLOOKUP($A65,Products!$A$59:$H$159,5,FALSE)))</f>
        <v/>
      </c>
      <c r="G66" s="16" t="str">
        <f>IF($A$60="","",IF(VLOOKUP($A65,Products!$A$59:$H$159,8,FALSE)="","",VLOOKUP($A65,Products!$A$59:$H$159,8,FALSE)))</f>
        <v/>
      </c>
      <c r="H66" s="77" t="s">
        <v>9360</v>
      </c>
      <c r="I66" s="77" t="s">
        <v>9360</v>
      </c>
      <c r="J66" s="77" t="s">
        <v>9360</v>
      </c>
      <c r="K66" s="2" t="str">
        <f t="shared" si="14"/>
        <v/>
      </c>
      <c r="L66" s="2" t="str">
        <f t="shared" si="12"/>
        <v/>
      </c>
      <c r="M66" s="2" t="str">
        <f t="shared" si="12"/>
        <v/>
      </c>
      <c r="N66" s="12" t="str">
        <f t="shared" si="12"/>
        <v/>
      </c>
    </row>
    <row r="67" spans="1:14" x14ac:dyDescent="0.2">
      <c r="A67" s="627" t="str">
        <f t="shared" si="11"/>
        <v>AAAAAAA</v>
      </c>
      <c r="B67" s="628"/>
      <c r="C67" s="77" t="s">
        <v>9360</v>
      </c>
      <c r="D67" s="77" t="s">
        <v>9360</v>
      </c>
      <c r="E67" s="77">
        <f t="shared" si="13"/>
        <v>0</v>
      </c>
      <c r="F67" s="16" t="str">
        <f>IF($A$60="","",IF(VLOOKUP($A66,Products!$A$59:$H$159,5,FALSE)="","",VLOOKUP($A66,Products!$A$59:$H$159,5,FALSE)))</f>
        <v/>
      </c>
      <c r="G67" s="16" t="str">
        <f>IF($A$60="","",IF(VLOOKUP($A66,Products!$A$59:$H$159,8,FALSE)="","",VLOOKUP($A66,Products!$A$59:$H$159,8,FALSE)))</f>
        <v/>
      </c>
      <c r="H67" s="77" t="s">
        <v>9360</v>
      </c>
      <c r="I67" s="77" t="s">
        <v>9360</v>
      </c>
      <c r="J67" s="77" t="s">
        <v>9360</v>
      </c>
      <c r="K67" s="2" t="str">
        <f t="shared" si="14"/>
        <v/>
      </c>
      <c r="L67" s="2" t="str">
        <f t="shared" si="12"/>
        <v/>
      </c>
      <c r="M67" s="2" t="str">
        <f t="shared" si="12"/>
        <v/>
      </c>
      <c r="N67" s="12" t="str">
        <f t="shared" si="12"/>
        <v/>
      </c>
    </row>
    <row r="68" spans="1:14" x14ac:dyDescent="0.2">
      <c r="A68" s="627" t="str">
        <f t="shared" si="11"/>
        <v>AAAAAAAA</v>
      </c>
      <c r="B68" s="628"/>
      <c r="C68" s="77" t="s">
        <v>9360</v>
      </c>
      <c r="D68" s="77" t="s">
        <v>9360</v>
      </c>
      <c r="E68" s="77">
        <f t="shared" si="13"/>
        <v>0</v>
      </c>
      <c r="F68" s="16" t="str">
        <f>IF($A$60="","",IF(VLOOKUP($A67,Products!$A$59:$H$159,5,FALSE)="","",VLOOKUP($A67,Products!$A$59:$H$159,5,FALSE)))</f>
        <v/>
      </c>
      <c r="G68" s="16" t="str">
        <f>IF($A$60="","",IF(VLOOKUP($A67,Products!$A$59:$H$159,8,FALSE)="","",VLOOKUP($A67,Products!$A$59:$H$159,8,FALSE)))</f>
        <v/>
      </c>
      <c r="H68" s="77" t="s">
        <v>9360</v>
      </c>
      <c r="I68" s="77" t="s">
        <v>9360</v>
      </c>
      <c r="J68" s="77" t="s">
        <v>9360</v>
      </c>
      <c r="K68" s="2" t="str">
        <f t="shared" si="14"/>
        <v/>
      </c>
      <c r="L68" s="2" t="str">
        <f>IF($G68="","",L$60*$G68)</f>
        <v/>
      </c>
      <c r="M68" s="2" t="str">
        <f t="shared" si="12"/>
        <v/>
      </c>
      <c r="N68" s="12" t="str">
        <f t="shared" si="12"/>
        <v/>
      </c>
    </row>
    <row r="69" spans="1:14" x14ac:dyDescent="0.2">
      <c r="A69" s="627" t="str">
        <f t="shared" si="11"/>
        <v>AAAAAAAAA</v>
      </c>
      <c r="B69" s="628"/>
      <c r="C69" s="77" t="s">
        <v>9360</v>
      </c>
      <c r="D69" s="77" t="s">
        <v>9360</v>
      </c>
      <c r="E69" s="77">
        <f t="shared" si="13"/>
        <v>0</v>
      </c>
      <c r="F69" s="16" t="str">
        <f>IF($A$60="","",IF(VLOOKUP($A68,Products!$A$59:$H$159,5,FALSE)="","",VLOOKUP($A68,Products!$A$59:$H$159,5,FALSE)))</f>
        <v/>
      </c>
      <c r="G69" s="16" t="str">
        <f>IF($A$60="","",IF(VLOOKUP($A68,Products!$A$59:$H$159,8,FALSE)="","",VLOOKUP($A68,Products!$A$59:$H$159,8,FALSE)))</f>
        <v/>
      </c>
      <c r="H69" s="77" t="s">
        <v>9360</v>
      </c>
      <c r="I69" s="77" t="s">
        <v>9360</v>
      </c>
      <c r="J69" s="77" t="s">
        <v>9360</v>
      </c>
      <c r="K69" s="2" t="str">
        <f t="shared" si="14"/>
        <v/>
      </c>
      <c r="L69" s="2" t="str">
        <f t="shared" si="12"/>
        <v/>
      </c>
      <c r="M69" s="2" t="str">
        <f t="shared" si="12"/>
        <v/>
      </c>
      <c r="N69" s="12" t="str">
        <f t="shared" si="12"/>
        <v/>
      </c>
    </row>
    <row r="70" spans="1:14" x14ac:dyDescent="0.2">
      <c r="A70" s="627" t="str">
        <f t="shared" si="11"/>
        <v>AAAAAAAAAA</v>
      </c>
      <c r="B70" s="628"/>
      <c r="C70" s="77" t="s">
        <v>9360</v>
      </c>
      <c r="D70" s="77" t="s">
        <v>9360</v>
      </c>
      <c r="E70" s="77">
        <f t="shared" si="13"/>
        <v>0</v>
      </c>
      <c r="F70" s="16" t="str">
        <f>IF($A$60="","",IF(VLOOKUP($A69,Products!$A$59:$H$159,5,FALSE)="","",VLOOKUP($A69,Products!$A$59:$H$159,5,FALSE)))</f>
        <v/>
      </c>
      <c r="G70" s="16" t="str">
        <f>IF($A$60="","",IF(VLOOKUP($A69,Products!$A$59:$H$159,8,FALSE)="","",VLOOKUP($A69,Products!$A$59:$H$159,8,FALSE)))</f>
        <v/>
      </c>
      <c r="H70" s="77" t="s">
        <v>9360</v>
      </c>
      <c r="I70" s="77" t="s">
        <v>9360</v>
      </c>
      <c r="J70" s="77" t="s">
        <v>9360</v>
      </c>
      <c r="K70" s="2" t="str">
        <f t="shared" si="14"/>
        <v/>
      </c>
      <c r="L70" s="2" t="str">
        <f t="shared" si="12"/>
        <v/>
      </c>
      <c r="M70" s="2" t="str">
        <f t="shared" si="12"/>
        <v/>
      </c>
      <c r="N70" s="12" t="str">
        <f t="shared" si="12"/>
        <v/>
      </c>
    </row>
    <row r="71" spans="1:14" x14ac:dyDescent="0.2">
      <c r="A71" s="651"/>
      <c r="B71" s="615"/>
      <c r="C71" s="41"/>
      <c r="D71" s="41"/>
      <c r="E71" s="41"/>
      <c r="F71" s="16" t="s">
        <v>291</v>
      </c>
      <c r="G71" s="16">
        <v>1</v>
      </c>
      <c r="H71" s="16" t="str">
        <f>IF(A71="","",IF(VLOOKUP($A71,Products!$A$59:$H$159,2,FALSE)="","",VLOOKUP($A71,Products!$A$59:$H$159,2,FALSE)))</f>
        <v/>
      </c>
      <c r="I71" s="16" t="str">
        <f>IF(A71="","",IF(VLOOKUP($A71,Products!$A$59:$H$159,3,FALSE)="","",VLOOKUP($A71,Products!$A$59:$H$159,3,FALSE)))</f>
        <v/>
      </c>
      <c r="J71" s="16" t="str">
        <f>IF(A71="","",IF(VLOOKUP($A71,Products!$A$59:$H$159,4,FALSE)="","",VLOOKUP($A71,Products!$A$59:$H$159,4,FALSE)))</f>
        <v/>
      </c>
      <c r="K71" s="2" t="str">
        <f>IF(OR($A71="",C71="",$E71=""),"",((12.46*$F$21*$I71*$H71)/$F$22)*((C71*42)/1000)*(IF($E71="YES",(1-$F$20),1)))</f>
        <v/>
      </c>
      <c r="L71" s="2" t="str">
        <f>IF(OR($A71="",$D71="",$E71=""),"",((12.46*$F$21*$J71*$H71)/$F$23)*(($D71*42)/1000)*(1/2000)*(IF($E71="YES",(1-$F$20),1)))</f>
        <v/>
      </c>
      <c r="M71" s="2" t="str">
        <f>IF(OR($A71="",$C71="",$E71=""),"",((12.46*$F$21*$I71*$H71)/$F$22)*(($C71*42)/1000)*(IF($E71="YES",$F$20,0)))</f>
        <v/>
      </c>
      <c r="N71" s="12" t="str">
        <f>IF(OR($A71="",$D71="",$E71=""),"",((12.46*$F$21*$J71*$H71)/$F$23)*(($D71*42)/1000)*(1/2000)*(IF($E71="YES",$F$20,0)))</f>
        <v/>
      </c>
    </row>
    <row r="72" spans="1:14" x14ac:dyDescent="0.2">
      <c r="A72" s="627" t="str">
        <f t="shared" ref="A72:A81" si="15">A71&amp;"A"</f>
        <v>A</v>
      </c>
      <c r="B72" s="628"/>
      <c r="C72" s="77" t="s">
        <v>9360</v>
      </c>
      <c r="D72" s="77" t="s">
        <v>9360</v>
      </c>
      <c r="E72" s="77">
        <f>E71</f>
        <v>0</v>
      </c>
      <c r="F72" s="16" t="str">
        <f>IF($A$71="","",IF(VLOOKUP($A71,Products!$A$59:$H$159,5,FALSE)="","",VLOOKUP($A71,Products!$A$59:$H$159,5,FALSE)))</f>
        <v/>
      </c>
      <c r="G72" s="16" t="str">
        <f>IF($A$71="","",IF(VLOOKUP($A71,Products!$A$59:$H$159,8,FALSE)="","",VLOOKUP($A71,Products!$A$59:$H$159,8,FALSE)))</f>
        <v/>
      </c>
      <c r="H72" s="77" t="s">
        <v>9360</v>
      </c>
      <c r="I72" s="77" t="s">
        <v>9360</v>
      </c>
      <c r="J72" s="77" t="s">
        <v>9360</v>
      </c>
      <c r="K72" s="2" t="str">
        <f>IF($G72="","",K$71*$G72)</f>
        <v/>
      </c>
      <c r="L72" s="2" t="str">
        <f t="shared" ref="L72:N81" si="16">IF($G72="","",L$71*$G72)</f>
        <v/>
      </c>
      <c r="M72" s="2" t="str">
        <f t="shared" si="16"/>
        <v/>
      </c>
      <c r="N72" s="12" t="str">
        <f t="shared" si="16"/>
        <v/>
      </c>
    </row>
    <row r="73" spans="1:14" x14ac:dyDescent="0.2">
      <c r="A73" s="627" t="str">
        <f t="shared" si="15"/>
        <v>AA</v>
      </c>
      <c r="B73" s="628"/>
      <c r="C73" s="77" t="s">
        <v>9360</v>
      </c>
      <c r="D73" s="77" t="s">
        <v>9360</v>
      </c>
      <c r="E73" s="77">
        <f t="shared" ref="E73:E81" si="17">E72</f>
        <v>0</v>
      </c>
      <c r="F73" s="16" t="str">
        <f>IF($A$71="","",IF(VLOOKUP($A72,Products!$A$59:$H$159,5,FALSE)="","",VLOOKUP($A72,Products!$A$59:$H$159,5,FALSE)))</f>
        <v/>
      </c>
      <c r="G73" s="16" t="str">
        <f>IF($A$71="","",IF(VLOOKUP($A72,Products!$A$59:$H$159,8,FALSE)="","",VLOOKUP($A72,Products!$A$59:$H$159,8,FALSE)))</f>
        <v/>
      </c>
      <c r="H73" s="77" t="s">
        <v>9360</v>
      </c>
      <c r="I73" s="77" t="s">
        <v>9360</v>
      </c>
      <c r="J73" s="77" t="s">
        <v>9360</v>
      </c>
      <c r="K73" s="2" t="str">
        <f t="shared" ref="K73:K81" si="18">IF($G73="","",K$71*$G73)</f>
        <v/>
      </c>
      <c r="L73" s="2" t="str">
        <f t="shared" si="16"/>
        <v/>
      </c>
      <c r="M73" s="2" t="str">
        <f t="shared" si="16"/>
        <v/>
      </c>
      <c r="N73" s="12" t="str">
        <f t="shared" si="16"/>
        <v/>
      </c>
    </row>
    <row r="74" spans="1:14" x14ac:dyDescent="0.2">
      <c r="A74" s="627" t="str">
        <f t="shared" si="15"/>
        <v>AAA</v>
      </c>
      <c r="B74" s="628"/>
      <c r="C74" s="77" t="s">
        <v>9360</v>
      </c>
      <c r="D74" s="77" t="s">
        <v>9360</v>
      </c>
      <c r="E74" s="77">
        <f t="shared" si="17"/>
        <v>0</v>
      </c>
      <c r="F74" s="16" t="str">
        <f>IF($A$71="","",IF(VLOOKUP($A73,Products!$A$59:$H$159,5,FALSE)="","",VLOOKUP($A73,Products!$A$59:$H$159,5,FALSE)))</f>
        <v/>
      </c>
      <c r="G74" s="16" t="str">
        <f>IF($A$71="","",IF(VLOOKUP($A73,Products!$A$59:$H$159,8,FALSE)="","",VLOOKUP($A73,Products!$A$59:$H$159,8,FALSE)))</f>
        <v/>
      </c>
      <c r="H74" s="77" t="s">
        <v>9360</v>
      </c>
      <c r="I74" s="77" t="s">
        <v>9360</v>
      </c>
      <c r="J74" s="77" t="s">
        <v>9360</v>
      </c>
      <c r="K74" s="2" t="str">
        <f t="shared" si="18"/>
        <v/>
      </c>
      <c r="L74" s="2" t="str">
        <f t="shared" si="16"/>
        <v/>
      </c>
      <c r="M74" s="2" t="str">
        <f t="shared" si="16"/>
        <v/>
      </c>
      <c r="N74" s="12" t="str">
        <f t="shared" si="16"/>
        <v/>
      </c>
    </row>
    <row r="75" spans="1:14" x14ac:dyDescent="0.2">
      <c r="A75" s="627" t="str">
        <f t="shared" si="15"/>
        <v>AAAA</v>
      </c>
      <c r="B75" s="628"/>
      <c r="C75" s="77" t="s">
        <v>9360</v>
      </c>
      <c r="D75" s="77" t="s">
        <v>9360</v>
      </c>
      <c r="E75" s="77">
        <f t="shared" si="17"/>
        <v>0</v>
      </c>
      <c r="F75" s="16" t="str">
        <f>IF($A$71="","",IF(VLOOKUP($A74,Products!$A$59:$H$159,5,FALSE)="","",VLOOKUP($A74,Products!$A$59:$H$159,5,FALSE)))</f>
        <v/>
      </c>
      <c r="G75" s="16" t="str">
        <f>IF($A$71="","",IF(VLOOKUP($A74,Products!$A$59:$H$159,8,FALSE)="","",VLOOKUP($A74,Products!$A$59:$H$159,8,FALSE)))</f>
        <v/>
      </c>
      <c r="H75" s="77" t="s">
        <v>9360</v>
      </c>
      <c r="I75" s="77" t="s">
        <v>9360</v>
      </c>
      <c r="J75" s="77" t="s">
        <v>9360</v>
      </c>
      <c r="K75" s="2" t="str">
        <f t="shared" si="18"/>
        <v/>
      </c>
      <c r="L75" s="2" t="str">
        <f t="shared" si="16"/>
        <v/>
      </c>
      <c r="M75" s="2" t="str">
        <f t="shared" si="16"/>
        <v/>
      </c>
      <c r="N75" s="12" t="str">
        <f t="shared" si="16"/>
        <v/>
      </c>
    </row>
    <row r="76" spans="1:14" x14ac:dyDescent="0.2">
      <c r="A76" s="627" t="str">
        <f t="shared" si="15"/>
        <v>AAAAA</v>
      </c>
      <c r="B76" s="628"/>
      <c r="C76" s="77" t="s">
        <v>9360</v>
      </c>
      <c r="D76" s="77" t="s">
        <v>9360</v>
      </c>
      <c r="E76" s="77">
        <f t="shared" si="17"/>
        <v>0</v>
      </c>
      <c r="F76" s="16" t="str">
        <f>IF($A$71="","",IF(VLOOKUP($A75,Products!$A$59:$H$159,5,FALSE)="","",VLOOKUP($A75,Products!$A$59:$H$159,5,FALSE)))</f>
        <v/>
      </c>
      <c r="G76" s="16" t="str">
        <f>IF($A$71="","",IF(VLOOKUP($A75,Products!$A$59:$H$159,8,FALSE)="","",VLOOKUP($A75,Products!$A$59:$H$159,8,FALSE)))</f>
        <v/>
      </c>
      <c r="H76" s="77" t="s">
        <v>9360</v>
      </c>
      <c r="I76" s="77" t="s">
        <v>9360</v>
      </c>
      <c r="J76" s="77" t="s">
        <v>9360</v>
      </c>
      <c r="K76" s="2" t="str">
        <f t="shared" si="18"/>
        <v/>
      </c>
      <c r="L76" s="2" t="str">
        <f t="shared" si="16"/>
        <v/>
      </c>
      <c r="M76" s="2" t="str">
        <f t="shared" si="16"/>
        <v/>
      </c>
      <c r="N76" s="12" t="str">
        <f t="shared" si="16"/>
        <v/>
      </c>
    </row>
    <row r="77" spans="1:14" x14ac:dyDescent="0.2">
      <c r="A77" s="627" t="str">
        <f t="shared" si="15"/>
        <v>AAAAAA</v>
      </c>
      <c r="B77" s="628"/>
      <c r="C77" s="77" t="s">
        <v>9360</v>
      </c>
      <c r="D77" s="77" t="s">
        <v>9360</v>
      </c>
      <c r="E77" s="77">
        <f t="shared" si="17"/>
        <v>0</v>
      </c>
      <c r="F77" s="16" t="str">
        <f>IF($A$71="","",IF(VLOOKUP($A76,Products!$A$59:$H$159,5,FALSE)="","",VLOOKUP($A76,Products!$A$59:$H$159,5,FALSE)))</f>
        <v/>
      </c>
      <c r="G77" s="16" t="str">
        <f>IF($A$71="","",IF(VLOOKUP($A76,Products!$A$59:$H$159,8,FALSE)="","",VLOOKUP($A76,Products!$A$59:$H$159,8,FALSE)))</f>
        <v/>
      </c>
      <c r="H77" s="77" t="s">
        <v>9360</v>
      </c>
      <c r="I77" s="77" t="s">
        <v>9360</v>
      </c>
      <c r="J77" s="77" t="s">
        <v>9360</v>
      </c>
      <c r="K77" s="2" t="str">
        <f t="shared" si="18"/>
        <v/>
      </c>
      <c r="L77" s="2" t="str">
        <f t="shared" si="16"/>
        <v/>
      </c>
      <c r="M77" s="2" t="str">
        <f t="shared" si="16"/>
        <v/>
      </c>
      <c r="N77" s="12" t="str">
        <f t="shared" si="16"/>
        <v/>
      </c>
    </row>
    <row r="78" spans="1:14" x14ac:dyDescent="0.2">
      <c r="A78" s="627" t="str">
        <f t="shared" si="15"/>
        <v>AAAAAAA</v>
      </c>
      <c r="B78" s="628"/>
      <c r="C78" s="77" t="s">
        <v>9360</v>
      </c>
      <c r="D78" s="77" t="s">
        <v>9360</v>
      </c>
      <c r="E78" s="77">
        <f t="shared" si="17"/>
        <v>0</v>
      </c>
      <c r="F78" s="16" t="str">
        <f>IF($A$71="","",IF(VLOOKUP($A77,Products!$A$59:$H$159,5,FALSE)="","",VLOOKUP($A77,Products!$A$59:$H$159,5,FALSE)))</f>
        <v/>
      </c>
      <c r="G78" s="16" t="str">
        <f>IF($A$71="","",IF(VLOOKUP($A77,Products!$A$59:$H$159,8,FALSE)="","",VLOOKUP($A77,Products!$A$59:$H$159,8,FALSE)))</f>
        <v/>
      </c>
      <c r="H78" s="77" t="s">
        <v>9360</v>
      </c>
      <c r="I78" s="77" t="s">
        <v>9360</v>
      </c>
      <c r="J78" s="77" t="s">
        <v>9360</v>
      </c>
      <c r="K78" s="2" t="str">
        <f t="shared" si="18"/>
        <v/>
      </c>
      <c r="L78" s="2" t="str">
        <f t="shared" si="16"/>
        <v/>
      </c>
      <c r="M78" s="2" t="str">
        <f t="shared" si="16"/>
        <v/>
      </c>
      <c r="N78" s="12" t="str">
        <f t="shared" si="16"/>
        <v/>
      </c>
    </row>
    <row r="79" spans="1:14" x14ac:dyDescent="0.2">
      <c r="A79" s="627" t="str">
        <f t="shared" si="15"/>
        <v>AAAAAAAA</v>
      </c>
      <c r="B79" s="628"/>
      <c r="C79" s="77" t="s">
        <v>9360</v>
      </c>
      <c r="D79" s="77" t="s">
        <v>9360</v>
      </c>
      <c r="E79" s="77">
        <f t="shared" si="17"/>
        <v>0</v>
      </c>
      <c r="F79" s="16" t="str">
        <f>IF($A$71="","",IF(VLOOKUP($A78,Products!$A$59:$H$159,5,FALSE)="","",VLOOKUP($A78,Products!$A$59:$H$159,5,FALSE)))</f>
        <v/>
      </c>
      <c r="G79" s="16" t="str">
        <f>IF($A$71="","",IF(VLOOKUP($A78,Products!$A$59:$H$159,8,FALSE)="","",VLOOKUP($A78,Products!$A$59:$H$159,8,FALSE)))</f>
        <v/>
      </c>
      <c r="H79" s="77" t="s">
        <v>9360</v>
      </c>
      <c r="I79" s="77" t="s">
        <v>9360</v>
      </c>
      <c r="J79" s="77" t="s">
        <v>9360</v>
      </c>
      <c r="K79" s="2" t="str">
        <f t="shared" si="18"/>
        <v/>
      </c>
      <c r="L79" s="2" t="str">
        <f t="shared" si="16"/>
        <v/>
      </c>
      <c r="M79" s="2" t="str">
        <f t="shared" si="16"/>
        <v/>
      </c>
      <c r="N79" s="12" t="str">
        <f t="shared" si="16"/>
        <v/>
      </c>
    </row>
    <row r="80" spans="1:14" x14ac:dyDescent="0.2">
      <c r="A80" s="627" t="str">
        <f t="shared" si="15"/>
        <v>AAAAAAAAA</v>
      </c>
      <c r="B80" s="628"/>
      <c r="C80" s="77" t="s">
        <v>9360</v>
      </c>
      <c r="D80" s="77" t="s">
        <v>9360</v>
      </c>
      <c r="E80" s="77">
        <f t="shared" si="17"/>
        <v>0</v>
      </c>
      <c r="F80" s="16" t="str">
        <f>IF($A$71="","",IF(VLOOKUP($A79,Products!$A$59:$H$159,5,FALSE)="","",VLOOKUP($A79,Products!$A$59:$H$159,5,FALSE)))</f>
        <v/>
      </c>
      <c r="G80" s="16" t="str">
        <f>IF($A$71="","",IF(VLOOKUP($A79,Products!$A$59:$H$159,8,FALSE)="","",VLOOKUP($A79,Products!$A$59:$H$159,8,FALSE)))</f>
        <v/>
      </c>
      <c r="H80" s="77" t="s">
        <v>9360</v>
      </c>
      <c r="I80" s="77" t="s">
        <v>9360</v>
      </c>
      <c r="J80" s="77" t="s">
        <v>9360</v>
      </c>
      <c r="K80" s="2" t="str">
        <f t="shared" si="18"/>
        <v/>
      </c>
      <c r="L80" s="2" t="str">
        <f t="shared" si="16"/>
        <v/>
      </c>
      <c r="M80" s="2" t="str">
        <f t="shared" si="16"/>
        <v/>
      </c>
      <c r="N80" s="12" t="str">
        <f t="shared" si="16"/>
        <v/>
      </c>
    </row>
    <row r="81" spans="1:14" x14ac:dyDescent="0.2">
      <c r="A81" s="627" t="str">
        <f t="shared" si="15"/>
        <v>AAAAAAAAAA</v>
      </c>
      <c r="B81" s="628"/>
      <c r="C81" s="77" t="s">
        <v>9360</v>
      </c>
      <c r="D81" s="77" t="s">
        <v>9360</v>
      </c>
      <c r="E81" s="77">
        <f t="shared" si="17"/>
        <v>0</v>
      </c>
      <c r="F81" s="16" t="str">
        <f>IF($A$71="","",IF(VLOOKUP($A80,Products!$A$59:$H$159,5,FALSE)="","",VLOOKUP($A80,Products!$A$59:$H$159,5,FALSE)))</f>
        <v/>
      </c>
      <c r="G81" s="16" t="str">
        <f>IF($A$71="","",IF(VLOOKUP($A80,Products!$A$59:$H$159,8,FALSE)="","",VLOOKUP($A80,Products!$A$59:$H$159,8,FALSE)))</f>
        <v/>
      </c>
      <c r="H81" s="77" t="s">
        <v>9360</v>
      </c>
      <c r="I81" s="77" t="s">
        <v>9360</v>
      </c>
      <c r="J81" s="77" t="s">
        <v>9360</v>
      </c>
      <c r="K81" s="2" t="str">
        <f t="shared" si="18"/>
        <v/>
      </c>
      <c r="L81" s="2" t="str">
        <f t="shared" si="16"/>
        <v/>
      </c>
      <c r="M81" s="2" t="str">
        <f t="shared" si="16"/>
        <v/>
      </c>
      <c r="N81" s="12" t="str">
        <f t="shared" si="16"/>
        <v/>
      </c>
    </row>
    <row r="82" spans="1:14" x14ac:dyDescent="0.2">
      <c r="A82" s="651"/>
      <c r="B82" s="615"/>
      <c r="C82" s="41"/>
      <c r="D82" s="41"/>
      <c r="E82" s="41"/>
      <c r="F82" s="16" t="s">
        <v>291</v>
      </c>
      <c r="G82" s="16">
        <v>1</v>
      </c>
      <c r="H82" s="16" t="str">
        <f>IF(A82="","",IF(VLOOKUP($A82,Products!$A$59:$H$159,2,FALSE)="","",VLOOKUP($A82,Products!$A$59:$H$159,2,FALSE)))</f>
        <v/>
      </c>
      <c r="I82" s="16" t="str">
        <f>IF(A82="","",IF(VLOOKUP($A82,Products!$A$59:$H$159,3,FALSE)="","",VLOOKUP($A82,Products!$A$59:$H$159,3,FALSE)))</f>
        <v/>
      </c>
      <c r="J82" s="16" t="str">
        <f>IF(A82="","",IF(VLOOKUP($A82,Products!$A$59:$H$159,4,FALSE)="","",VLOOKUP($A82,Products!$A$59:$H$159,4,FALSE)))</f>
        <v/>
      </c>
      <c r="K82" s="2" t="str">
        <f>IF(OR($A82="",C82="",$E82=""),"",((12.46*$F$21*$I82*$H82)/$F$22)*((C82*42)/1000)*(IF($E82="YES",(1-$F$20),1)))</f>
        <v/>
      </c>
      <c r="L82" s="2" t="str">
        <f>IF(OR($A82="",$D82="",$E82=""),"",((12.46*$F$21*$J82*$H82)/$F$23)*(($D82*42)/1000)*(1/2000)*(IF($E82="YES",(1-$F$20),1)))</f>
        <v/>
      </c>
      <c r="M82" s="2" t="str">
        <f>IF(OR($A82="",$C82="",$E82=""),"",((12.46*$F$21*$I82*$H82)/$F$22)*(($C82*42)/1000)*(IF($E82="YES",$F$20,0)))</f>
        <v/>
      </c>
      <c r="N82" s="12" t="str">
        <f>IF(OR($A82="",$D82="",$E82=""),"",((12.46*$F$21*$J82*$H82)/$F$23)*(($D82*42)/1000)*(1/2000)*(IF($E82="YES",$F$20,0)))</f>
        <v/>
      </c>
    </row>
    <row r="83" spans="1:14" x14ac:dyDescent="0.2">
      <c r="A83" s="627" t="str">
        <f t="shared" ref="A83:A92" si="19">A82&amp;"A"</f>
        <v>A</v>
      </c>
      <c r="B83" s="628"/>
      <c r="C83" s="77" t="s">
        <v>9360</v>
      </c>
      <c r="D83" s="77" t="s">
        <v>9360</v>
      </c>
      <c r="E83" s="77">
        <f>E82</f>
        <v>0</v>
      </c>
      <c r="F83" s="16" t="str">
        <f>IF($A$82="","",IF(VLOOKUP($A82,Products!$A$59:$H$159,5,FALSE)="","",VLOOKUP($A82,Products!$A$59:$H$159,5,FALSE)))</f>
        <v/>
      </c>
      <c r="G83" s="16" t="str">
        <f>IF($A$82="","",IF(VLOOKUP($A82,Products!$A$59:$H$159,8,FALSE)="","",VLOOKUP($A82,Products!$A$59:$H$159,8,FALSE)))</f>
        <v/>
      </c>
      <c r="H83" s="77" t="s">
        <v>9360</v>
      </c>
      <c r="I83" s="77" t="s">
        <v>9360</v>
      </c>
      <c r="J83" s="77" t="s">
        <v>9360</v>
      </c>
      <c r="K83" s="2" t="str">
        <f>IF($G83="","",K$82*$G83)</f>
        <v/>
      </c>
      <c r="L83" s="2" t="str">
        <f t="shared" ref="L83:N92" si="20">IF($G83="","",L$82*$G83)</f>
        <v/>
      </c>
      <c r="M83" s="2" t="str">
        <f t="shared" si="20"/>
        <v/>
      </c>
      <c r="N83" s="12" t="str">
        <f t="shared" si="20"/>
        <v/>
      </c>
    </row>
    <row r="84" spans="1:14" x14ac:dyDescent="0.2">
      <c r="A84" s="627" t="str">
        <f t="shared" si="19"/>
        <v>AA</v>
      </c>
      <c r="B84" s="628"/>
      <c r="C84" s="77" t="s">
        <v>9360</v>
      </c>
      <c r="D84" s="77" t="s">
        <v>9360</v>
      </c>
      <c r="E84" s="77">
        <f t="shared" ref="E84:E92" si="21">E83</f>
        <v>0</v>
      </c>
      <c r="F84" s="16" t="str">
        <f>IF($A$82="","",IF(VLOOKUP($A83,Products!$A$59:$H$159,5,FALSE)="","",VLOOKUP($A83,Products!$A$59:$H$159,5,FALSE)))</f>
        <v/>
      </c>
      <c r="G84" s="16" t="str">
        <f>IF($A$82="","",IF(VLOOKUP($A83,Products!$A$59:$H$159,8,FALSE)="","",VLOOKUP($A83,Products!$A$59:$H$159,8,FALSE)))</f>
        <v/>
      </c>
      <c r="H84" s="77" t="s">
        <v>9360</v>
      </c>
      <c r="I84" s="77" t="s">
        <v>9360</v>
      </c>
      <c r="J84" s="77" t="s">
        <v>9360</v>
      </c>
      <c r="K84" s="2" t="str">
        <f>IF($G84="","",K$82*$G84)</f>
        <v/>
      </c>
      <c r="L84" s="2" t="str">
        <f t="shared" si="20"/>
        <v/>
      </c>
      <c r="M84" s="2" t="str">
        <f t="shared" si="20"/>
        <v/>
      </c>
      <c r="N84" s="12" t="str">
        <f t="shared" si="20"/>
        <v/>
      </c>
    </row>
    <row r="85" spans="1:14" x14ac:dyDescent="0.2">
      <c r="A85" s="627" t="str">
        <f t="shared" si="19"/>
        <v>AAA</v>
      </c>
      <c r="B85" s="628"/>
      <c r="C85" s="77" t="s">
        <v>9360</v>
      </c>
      <c r="D85" s="77" t="s">
        <v>9360</v>
      </c>
      <c r="E85" s="77">
        <f t="shared" si="21"/>
        <v>0</v>
      </c>
      <c r="F85" s="16" t="str">
        <f>IF($A$82="","",IF(VLOOKUP($A84,Products!$A$59:$H$159,5,FALSE)="","",VLOOKUP($A84,Products!$A$59:$H$159,5,FALSE)))</f>
        <v/>
      </c>
      <c r="G85" s="16" t="str">
        <f>IF($A$82="","",IF(VLOOKUP($A84,Products!$A$59:$H$159,8,FALSE)="","",VLOOKUP($A84,Products!$A$59:$H$159,8,FALSE)))</f>
        <v/>
      </c>
      <c r="H85" s="77" t="s">
        <v>9360</v>
      </c>
      <c r="I85" s="77" t="s">
        <v>9360</v>
      </c>
      <c r="J85" s="77" t="s">
        <v>9360</v>
      </c>
      <c r="K85" s="2" t="str">
        <f t="shared" ref="K85:K92" si="22">IF($G85="","",K$82*$G85)</f>
        <v/>
      </c>
      <c r="L85" s="2" t="str">
        <f t="shared" si="20"/>
        <v/>
      </c>
      <c r="M85" s="2" t="str">
        <f t="shared" si="20"/>
        <v/>
      </c>
      <c r="N85" s="12" t="str">
        <f t="shared" si="20"/>
        <v/>
      </c>
    </row>
    <row r="86" spans="1:14" x14ac:dyDescent="0.2">
      <c r="A86" s="627" t="str">
        <f t="shared" si="19"/>
        <v>AAAA</v>
      </c>
      <c r="B86" s="628"/>
      <c r="C86" s="77" t="s">
        <v>9360</v>
      </c>
      <c r="D86" s="77" t="s">
        <v>9360</v>
      </c>
      <c r="E86" s="77">
        <f t="shared" si="21"/>
        <v>0</v>
      </c>
      <c r="F86" s="16" t="str">
        <f>IF($A$82="","",IF(VLOOKUP($A85,Products!$A$59:$H$159,5,FALSE)="","",VLOOKUP($A85,Products!$A$59:$H$159,5,FALSE)))</f>
        <v/>
      </c>
      <c r="G86" s="16" t="str">
        <f>IF($A$82="","",IF(VLOOKUP($A85,Products!$A$59:$H$159,8,FALSE)="","",VLOOKUP($A85,Products!$A$59:$H$159,8,FALSE)))</f>
        <v/>
      </c>
      <c r="H86" s="77" t="s">
        <v>9360</v>
      </c>
      <c r="I86" s="77" t="s">
        <v>9360</v>
      </c>
      <c r="J86" s="77" t="s">
        <v>9360</v>
      </c>
      <c r="K86" s="2" t="str">
        <f t="shared" si="22"/>
        <v/>
      </c>
      <c r="L86" s="2" t="str">
        <f t="shared" si="20"/>
        <v/>
      </c>
      <c r="M86" s="2" t="str">
        <f t="shared" si="20"/>
        <v/>
      </c>
      <c r="N86" s="12" t="str">
        <f t="shared" si="20"/>
        <v/>
      </c>
    </row>
    <row r="87" spans="1:14" x14ac:dyDescent="0.2">
      <c r="A87" s="627" t="str">
        <f t="shared" si="19"/>
        <v>AAAAA</v>
      </c>
      <c r="B87" s="628"/>
      <c r="C87" s="77" t="s">
        <v>9360</v>
      </c>
      <c r="D87" s="77" t="s">
        <v>9360</v>
      </c>
      <c r="E87" s="77">
        <f t="shared" si="21"/>
        <v>0</v>
      </c>
      <c r="F87" s="16" t="str">
        <f>IF($A$82="","",IF(VLOOKUP($A86,Products!$A$59:$H$159,5,FALSE)="","",VLOOKUP($A86,Products!$A$59:$H$159,5,FALSE)))</f>
        <v/>
      </c>
      <c r="G87" s="16" t="str">
        <f>IF($A$82="","",IF(VLOOKUP($A86,Products!$A$59:$H$159,8,FALSE)="","",VLOOKUP($A86,Products!$A$59:$H$159,8,FALSE)))</f>
        <v/>
      </c>
      <c r="H87" s="77" t="s">
        <v>9360</v>
      </c>
      <c r="I87" s="77" t="s">
        <v>9360</v>
      </c>
      <c r="J87" s="77" t="s">
        <v>9360</v>
      </c>
      <c r="K87" s="2" t="str">
        <f t="shared" si="22"/>
        <v/>
      </c>
      <c r="L87" s="2" t="str">
        <f t="shared" si="20"/>
        <v/>
      </c>
      <c r="M87" s="2" t="str">
        <f>IF($G87="","",M$82*$G87)</f>
        <v/>
      </c>
      <c r="N87" s="12" t="str">
        <f t="shared" si="20"/>
        <v/>
      </c>
    </row>
    <row r="88" spans="1:14" x14ac:dyDescent="0.2">
      <c r="A88" s="627" t="str">
        <f t="shared" si="19"/>
        <v>AAAAAA</v>
      </c>
      <c r="B88" s="628"/>
      <c r="C88" s="77" t="s">
        <v>9360</v>
      </c>
      <c r="D88" s="77" t="s">
        <v>9360</v>
      </c>
      <c r="E88" s="77">
        <f t="shared" si="21"/>
        <v>0</v>
      </c>
      <c r="F88" s="16" t="str">
        <f>IF($A$82="","",IF(VLOOKUP($A87,Products!$A$59:$H$159,5,FALSE)="","",VLOOKUP($A87,Products!$A$59:$H$159,5,FALSE)))</f>
        <v/>
      </c>
      <c r="G88" s="16" t="str">
        <f>IF($A$82="","",IF(VLOOKUP($A87,Products!$A$59:$H$159,8,FALSE)="","",VLOOKUP($A87,Products!$A$59:$H$159,8,FALSE)))</f>
        <v/>
      </c>
      <c r="H88" s="77" t="s">
        <v>9360</v>
      </c>
      <c r="I88" s="77" t="s">
        <v>9360</v>
      </c>
      <c r="J88" s="77" t="s">
        <v>9360</v>
      </c>
      <c r="K88" s="2" t="str">
        <f t="shared" si="22"/>
        <v/>
      </c>
      <c r="L88" s="2" t="str">
        <f t="shared" si="20"/>
        <v/>
      </c>
      <c r="M88" s="2" t="str">
        <f t="shared" si="20"/>
        <v/>
      </c>
      <c r="N88" s="12" t="str">
        <f t="shared" si="20"/>
        <v/>
      </c>
    </row>
    <row r="89" spans="1:14" x14ac:dyDescent="0.2">
      <c r="A89" s="627" t="str">
        <f t="shared" si="19"/>
        <v>AAAAAAA</v>
      </c>
      <c r="B89" s="628"/>
      <c r="C89" s="77" t="s">
        <v>9360</v>
      </c>
      <c r="D89" s="77" t="s">
        <v>9360</v>
      </c>
      <c r="E89" s="77">
        <f t="shared" si="21"/>
        <v>0</v>
      </c>
      <c r="F89" s="16" t="str">
        <f>IF($A$82="","",IF(VLOOKUP($A88,Products!$A$59:$H$159,5,FALSE)="","",VLOOKUP($A88,Products!$A$59:$H$159,5,FALSE)))</f>
        <v/>
      </c>
      <c r="G89" s="16" t="str">
        <f>IF($A$82="","",IF(VLOOKUP($A88,Products!$A$59:$H$159,8,FALSE)="","",VLOOKUP($A88,Products!$A$59:$H$159,8,FALSE)))</f>
        <v/>
      </c>
      <c r="H89" s="77" t="s">
        <v>9360</v>
      </c>
      <c r="I89" s="77" t="s">
        <v>9360</v>
      </c>
      <c r="J89" s="77" t="s">
        <v>9360</v>
      </c>
      <c r="K89" s="2" t="str">
        <f t="shared" si="22"/>
        <v/>
      </c>
      <c r="L89" s="2" t="str">
        <f t="shared" si="20"/>
        <v/>
      </c>
      <c r="M89" s="2" t="str">
        <f>IF($G89="","",M$82*$G89)</f>
        <v/>
      </c>
      <c r="N89" s="12" t="str">
        <f t="shared" si="20"/>
        <v/>
      </c>
    </row>
    <row r="90" spans="1:14" x14ac:dyDescent="0.2">
      <c r="A90" s="627" t="str">
        <f t="shared" si="19"/>
        <v>AAAAAAAA</v>
      </c>
      <c r="B90" s="628"/>
      <c r="C90" s="77" t="s">
        <v>9360</v>
      </c>
      <c r="D90" s="77" t="s">
        <v>9360</v>
      </c>
      <c r="E90" s="77">
        <f t="shared" si="21"/>
        <v>0</v>
      </c>
      <c r="F90" s="16" t="str">
        <f>IF($A$82="","",IF(VLOOKUP($A89,Products!$A$59:$H$159,5,FALSE)="","",VLOOKUP($A89,Products!$A$59:$H$159,5,FALSE)))</f>
        <v/>
      </c>
      <c r="G90" s="16" t="str">
        <f>IF($A$82="","",IF(VLOOKUP($A89,Products!$A$59:$H$159,8,FALSE)="","",VLOOKUP($A89,Products!$A$59:$H$159,8,FALSE)))</f>
        <v/>
      </c>
      <c r="H90" s="77" t="s">
        <v>9360</v>
      </c>
      <c r="I90" s="77" t="s">
        <v>9360</v>
      </c>
      <c r="J90" s="77" t="s">
        <v>9360</v>
      </c>
      <c r="K90" s="2" t="str">
        <f t="shared" si="22"/>
        <v/>
      </c>
      <c r="L90" s="2" t="str">
        <f t="shared" si="20"/>
        <v/>
      </c>
      <c r="M90" s="2" t="str">
        <f t="shared" si="20"/>
        <v/>
      </c>
      <c r="N90" s="12" t="str">
        <f t="shared" si="20"/>
        <v/>
      </c>
    </row>
    <row r="91" spans="1:14" x14ac:dyDescent="0.2">
      <c r="A91" s="627" t="str">
        <f t="shared" si="19"/>
        <v>AAAAAAAAA</v>
      </c>
      <c r="B91" s="628"/>
      <c r="C91" s="77" t="s">
        <v>9360</v>
      </c>
      <c r="D91" s="77" t="s">
        <v>9360</v>
      </c>
      <c r="E91" s="77">
        <f t="shared" si="21"/>
        <v>0</v>
      </c>
      <c r="F91" s="16" t="str">
        <f>IF($A$82="","",IF(VLOOKUP($A90,Products!$A$59:$H$159,5,FALSE)="","",VLOOKUP($A90,Products!$A$59:$H$159,5,FALSE)))</f>
        <v/>
      </c>
      <c r="G91" s="16" t="str">
        <f>IF($A$82="","",IF(VLOOKUP($A90,Products!$A$59:$H$159,8,FALSE)="","",VLOOKUP($A90,Products!$A$59:$H$159,8,FALSE)))</f>
        <v/>
      </c>
      <c r="H91" s="77" t="s">
        <v>9360</v>
      </c>
      <c r="I91" s="77" t="s">
        <v>9360</v>
      </c>
      <c r="J91" s="77" t="s">
        <v>9360</v>
      </c>
      <c r="K91" s="2" t="str">
        <f t="shared" si="22"/>
        <v/>
      </c>
      <c r="L91" s="2" t="str">
        <f t="shared" si="20"/>
        <v/>
      </c>
      <c r="M91" s="2" t="str">
        <f t="shared" si="20"/>
        <v/>
      </c>
      <c r="N91" s="12" t="str">
        <f t="shared" si="20"/>
        <v/>
      </c>
    </row>
    <row r="92" spans="1:14" x14ac:dyDescent="0.2">
      <c r="A92" s="627" t="str">
        <f t="shared" si="19"/>
        <v>AAAAAAAAAA</v>
      </c>
      <c r="B92" s="628"/>
      <c r="C92" s="77" t="s">
        <v>9360</v>
      </c>
      <c r="D92" s="77" t="s">
        <v>9360</v>
      </c>
      <c r="E92" s="77">
        <f t="shared" si="21"/>
        <v>0</v>
      </c>
      <c r="F92" s="16" t="str">
        <f>IF($A$82="","",IF(VLOOKUP($A91,Products!$A$59:$H$159,5,FALSE)="","",VLOOKUP($A91,Products!$A$59:$H$159,5,FALSE)))</f>
        <v/>
      </c>
      <c r="G92" s="16" t="str">
        <f>IF($A$82="","",IF(VLOOKUP($A91,Products!$A$59:$H$159,8,FALSE)="","",VLOOKUP($A91,Products!$A$59:$H$159,8,FALSE)))</f>
        <v/>
      </c>
      <c r="H92" s="77" t="s">
        <v>9360</v>
      </c>
      <c r="I92" s="77" t="s">
        <v>9360</v>
      </c>
      <c r="J92" s="77" t="s">
        <v>9360</v>
      </c>
      <c r="K92" s="2" t="str">
        <f t="shared" si="22"/>
        <v/>
      </c>
      <c r="L92" s="2" t="str">
        <f t="shared" si="20"/>
        <v/>
      </c>
      <c r="M92" s="2" t="str">
        <f t="shared" si="20"/>
        <v/>
      </c>
      <c r="N92" s="12" t="str">
        <f t="shared" si="20"/>
        <v/>
      </c>
    </row>
    <row r="93" spans="1:14" x14ac:dyDescent="0.2">
      <c r="A93" s="651"/>
      <c r="B93" s="615"/>
      <c r="C93" s="41"/>
      <c r="D93" s="41"/>
      <c r="E93" s="41"/>
      <c r="F93" s="16" t="s">
        <v>291</v>
      </c>
      <c r="G93" s="16">
        <v>1</v>
      </c>
      <c r="H93" s="16" t="str">
        <f>IF(A93="","",IF(VLOOKUP($A93,Products!$A$59:$H$159,2,FALSE)="","",VLOOKUP($A93,Products!$A$59:$H$159,2,FALSE)))</f>
        <v/>
      </c>
      <c r="I93" s="16" t="str">
        <f>IF(A93="","",IF(VLOOKUP($A93,Products!$A$59:$H$159,3,FALSE)="","",VLOOKUP($A93,Products!$A$59:$H$159,3,FALSE)))</f>
        <v/>
      </c>
      <c r="J93" s="16" t="str">
        <f>IF(A93="","",IF(VLOOKUP($A93,Products!$A$59:$H$159,4,FALSE)="","",VLOOKUP($A93,Products!$A$59:$H$159,4,FALSE)))</f>
        <v/>
      </c>
      <c r="K93" s="2" t="str">
        <f>IF(OR($A93="",C93="",$E93=""),"",((12.46*$F$21*$I93*$H93)/$F$22)*((C93*42)/1000)*(IF($E93="YES",(1-$F$20),1)))</f>
        <v/>
      </c>
      <c r="L93" s="2" t="str">
        <f>IF(OR($A93="",$D93="",$E93=""),"",((12.46*$F$21*$J93*$H93)/$F$23)*(($D93*42)/1000)*(1/2000)*(IF($E93="YES",(1-$F$20),1)))</f>
        <v/>
      </c>
      <c r="M93" s="2" t="str">
        <f>IF(OR($A93="",$C93="",$E93=""),"",((12.46*$F$21*$I93*$H93)/$F$22)*(($C93*42)/1000)*(IF($E93="YES",$F$20,0)))</f>
        <v/>
      </c>
      <c r="N93" s="12" t="str">
        <f>IF(OR($A93="",$D93="",$E93=""),"",((12.46*$F$21*$J93*$H93)/$F$23)*(($D93*42)/1000)*(1/2000)*(IF($E93="YES",$F$20,0)))</f>
        <v/>
      </c>
    </row>
    <row r="94" spans="1:14" x14ac:dyDescent="0.2">
      <c r="A94" s="627" t="str">
        <f t="shared" ref="A94:A103" si="23">A93&amp;"A"</f>
        <v>A</v>
      </c>
      <c r="B94" s="628"/>
      <c r="C94" s="77" t="s">
        <v>9360</v>
      </c>
      <c r="D94" s="77" t="s">
        <v>9360</v>
      </c>
      <c r="E94" s="77">
        <f>E93</f>
        <v>0</v>
      </c>
      <c r="F94" s="16" t="str">
        <f>IF($A$93="","",IF(VLOOKUP($A93,Products!$A$59:$H$159,5,FALSE)="","",VLOOKUP($A93,Products!$A$59:$H$159,5,FALSE)))</f>
        <v/>
      </c>
      <c r="G94" s="16" t="str">
        <f>IF($A$93="","",IF(VLOOKUP($A93,Products!$A$59:$H$159,8,FALSE)="","",VLOOKUP($A93,Products!$A$59:$H$159,8,FALSE)))</f>
        <v/>
      </c>
      <c r="H94" s="77" t="s">
        <v>9360</v>
      </c>
      <c r="I94" s="77" t="s">
        <v>9360</v>
      </c>
      <c r="J94" s="77" t="s">
        <v>9360</v>
      </c>
      <c r="K94" s="2" t="str">
        <f>IF($G94="","",K$93*$G94)</f>
        <v/>
      </c>
      <c r="L94" s="2" t="str">
        <f t="shared" ref="L94:N103" si="24">IF($G94="","",L$93*$G94)</f>
        <v/>
      </c>
      <c r="M94" s="2" t="str">
        <f t="shared" si="24"/>
        <v/>
      </c>
      <c r="N94" s="12" t="str">
        <f t="shared" si="24"/>
        <v/>
      </c>
    </row>
    <row r="95" spans="1:14" x14ac:dyDescent="0.2">
      <c r="A95" s="627" t="str">
        <f t="shared" si="23"/>
        <v>AA</v>
      </c>
      <c r="B95" s="628"/>
      <c r="C95" s="77" t="s">
        <v>9360</v>
      </c>
      <c r="D95" s="77" t="s">
        <v>9360</v>
      </c>
      <c r="E95" s="77">
        <f t="shared" ref="E95:E103" si="25">E94</f>
        <v>0</v>
      </c>
      <c r="F95" s="16" t="str">
        <f>IF($A$93="","",IF(VLOOKUP($A94,Products!$A$59:$H$159,5,FALSE)="","",VLOOKUP($A94,Products!$A$59:$H$159,5,FALSE)))</f>
        <v/>
      </c>
      <c r="G95" s="16" t="str">
        <f>IF($A$93="","",IF(VLOOKUP($A94,Products!$A$59:$H$159,8,FALSE)="","",VLOOKUP($A94,Products!$A$59:$H$159,8,FALSE)))</f>
        <v/>
      </c>
      <c r="H95" s="77" t="s">
        <v>9360</v>
      </c>
      <c r="I95" s="77" t="s">
        <v>9360</v>
      </c>
      <c r="J95" s="77" t="s">
        <v>9360</v>
      </c>
      <c r="K95" s="2" t="str">
        <f t="shared" ref="K95:K103" si="26">IF($G95="","",K$93*$G95)</f>
        <v/>
      </c>
      <c r="L95" s="2" t="str">
        <f t="shared" si="24"/>
        <v/>
      </c>
      <c r="M95" s="2" t="str">
        <f t="shared" si="24"/>
        <v/>
      </c>
      <c r="N95" s="12" t="str">
        <f t="shared" si="24"/>
        <v/>
      </c>
    </row>
    <row r="96" spans="1:14" x14ac:dyDescent="0.2">
      <c r="A96" s="627" t="str">
        <f t="shared" si="23"/>
        <v>AAA</v>
      </c>
      <c r="B96" s="628"/>
      <c r="C96" s="77" t="s">
        <v>9360</v>
      </c>
      <c r="D96" s="77" t="s">
        <v>9360</v>
      </c>
      <c r="E96" s="77">
        <f t="shared" si="25"/>
        <v>0</v>
      </c>
      <c r="F96" s="16" t="str">
        <f>IF($A$93="","",IF(VLOOKUP($A95,Products!$A$59:$H$159,5,FALSE)="","",VLOOKUP($A95,Products!$A$59:$H$159,5,FALSE)))</f>
        <v/>
      </c>
      <c r="G96" s="16" t="str">
        <f>IF($A$93="","",IF(VLOOKUP($A95,Products!$A$59:$H$159,8,FALSE)="","",VLOOKUP($A95,Products!$A$59:$H$159,8,FALSE)))</f>
        <v/>
      </c>
      <c r="H96" s="77" t="s">
        <v>9360</v>
      </c>
      <c r="I96" s="77" t="s">
        <v>9360</v>
      </c>
      <c r="J96" s="77" t="s">
        <v>9360</v>
      </c>
      <c r="K96" s="2" t="str">
        <f t="shared" si="26"/>
        <v/>
      </c>
      <c r="L96" s="2" t="str">
        <f t="shared" si="24"/>
        <v/>
      </c>
      <c r="M96" s="2" t="str">
        <f t="shared" si="24"/>
        <v/>
      </c>
      <c r="N96" s="12" t="str">
        <f t="shared" si="24"/>
        <v/>
      </c>
    </row>
    <row r="97" spans="1:14" x14ac:dyDescent="0.2">
      <c r="A97" s="627" t="str">
        <f t="shared" si="23"/>
        <v>AAAA</v>
      </c>
      <c r="B97" s="628"/>
      <c r="C97" s="77" t="s">
        <v>9360</v>
      </c>
      <c r="D97" s="77" t="s">
        <v>9360</v>
      </c>
      <c r="E97" s="77">
        <f t="shared" si="25"/>
        <v>0</v>
      </c>
      <c r="F97" s="16" t="str">
        <f>IF($A$93="","",IF(VLOOKUP($A96,Products!$A$59:$H$159,5,FALSE)="","",VLOOKUP($A96,Products!$A$59:$H$159,5,FALSE)))</f>
        <v/>
      </c>
      <c r="G97" s="16" t="str">
        <f>IF($A$93="","",IF(VLOOKUP($A96,Products!$A$59:$H$159,8,FALSE)="","",VLOOKUP($A96,Products!$A$59:$H$159,8,FALSE)))</f>
        <v/>
      </c>
      <c r="H97" s="77" t="s">
        <v>9360</v>
      </c>
      <c r="I97" s="77" t="s">
        <v>9360</v>
      </c>
      <c r="J97" s="77" t="s">
        <v>9360</v>
      </c>
      <c r="K97" s="2" t="str">
        <f t="shared" si="26"/>
        <v/>
      </c>
      <c r="L97" s="2" t="str">
        <f t="shared" si="24"/>
        <v/>
      </c>
      <c r="M97" s="2" t="str">
        <f t="shared" si="24"/>
        <v/>
      </c>
      <c r="N97" s="12" t="str">
        <f t="shared" si="24"/>
        <v/>
      </c>
    </row>
    <row r="98" spans="1:14" x14ac:dyDescent="0.2">
      <c r="A98" s="627" t="str">
        <f t="shared" si="23"/>
        <v>AAAAA</v>
      </c>
      <c r="B98" s="628"/>
      <c r="C98" s="77" t="s">
        <v>9360</v>
      </c>
      <c r="D98" s="77" t="s">
        <v>9360</v>
      </c>
      <c r="E98" s="77">
        <f t="shared" si="25"/>
        <v>0</v>
      </c>
      <c r="F98" s="16" t="str">
        <f>IF($A$93="","",IF(VLOOKUP($A97,Products!$A$59:$H$159,5,FALSE)="","",VLOOKUP($A97,Products!$A$59:$H$159,5,FALSE)))</f>
        <v/>
      </c>
      <c r="G98" s="16" t="str">
        <f>IF($A$93="","",IF(VLOOKUP($A97,Products!$A$59:$H$159,8,FALSE)="","",VLOOKUP($A97,Products!$A$59:$H$159,8,FALSE)))</f>
        <v/>
      </c>
      <c r="H98" s="77" t="s">
        <v>9360</v>
      </c>
      <c r="I98" s="77" t="s">
        <v>9360</v>
      </c>
      <c r="J98" s="77" t="s">
        <v>9360</v>
      </c>
      <c r="K98" s="2" t="str">
        <f t="shared" si="26"/>
        <v/>
      </c>
      <c r="L98" s="2" t="str">
        <f t="shared" si="24"/>
        <v/>
      </c>
      <c r="M98" s="2" t="str">
        <f t="shared" si="24"/>
        <v/>
      </c>
      <c r="N98" s="12" t="str">
        <f t="shared" si="24"/>
        <v/>
      </c>
    </row>
    <row r="99" spans="1:14" x14ac:dyDescent="0.2">
      <c r="A99" s="627" t="str">
        <f t="shared" si="23"/>
        <v>AAAAAA</v>
      </c>
      <c r="B99" s="628"/>
      <c r="C99" s="77" t="s">
        <v>9360</v>
      </c>
      <c r="D99" s="77" t="s">
        <v>9360</v>
      </c>
      <c r="E99" s="77">
        <f t="shared" si="25"/>
        <v>0</v>
      </c>
      <c r="F99" s="16" t="str">
        <f>IF($A$93="","",IF(VLOOKUP($A98,Products!$A$59:$H$159,5,FALSE)="","",VLOOKUP($A98,Products!$A$59:$H$159,5,FALSE)))</f>
        <v/>
      </c>
      <c r="G99" s="16" t="str">
        <f>IF($A$93="","",IF(VLOOKUP($A98,Products!$A$59:$H$159,8,FALSE)="","",VLOOKUP($A98,Products!$A$59:$H$159,8,FALSE)))</f>
        <v/>
      </c>
      <c r="H99" s="77" t="s">
        <v>9360</v>
      </c>
      <c r="I99" s="77" t="s">
        <v>9360</v>
      </c>
      <c r="J99" s="77" t="s">
        <v>9360</v>
      </c>
      <c r="K99" s="2" t="str">
        <f t="shared" si="26"/>
        <v/>
      </c>
      <c r="L99" s="2" t="str">
        <f t="shared" si="24"/>
        <v/>
      </c>
      <c r="M99" s="2" t="str">
        <f t="shared" si="24"/>
        <v/>
      </c>
      <c r="N99" s="12" t="str">
        <f t="shared" si="24"/>
        <v/>
      </c>
    </row>
    <row r="100" spans="1:14" x14ac:dyDescent="0.2">
      <c r="A100" s="627" t="str">
        <f t="shared" si="23"/>
        <v>AAAAAAA</v>
      </c>
      <c r="B100" s="628"/>
      <c r="C100" s="77" t="s">
        <v>9360</v>
      </c>
      <c r="D100" s="77" t="s">
        <v>9360</v>
      </c>
      <c r="E100" s="77">
        <f t="shared" si="25"/>
        <v>0</v>
      </c>
      <c r="F100" s="16" t="str">
        <f>IF($A$93="","",IF(VLOOKUP($A99,Products!$A$59:$H$159,5,FALSE)="","",VLOOKUP($A99,Products!$A$59:$H$159,5,FALSE)))</f>
        <v/>
      </c>
      <c r="G100" s="16" t="str">
        <f>IF($A$93="","",IF(VLOOKUP($A99,Products!$A$59:$H$159,8,FALSE)="","",VLOOKUP($A99,Products!$A$59:$H$159,8,FALSE)))</f>
        <v/>
      </c>
      <c r="H100" s="77" t="s">
        <v>9360</v>
      </c>
      <c r="I100" s="77" t="s">
        <v>9360</v>
      </c>
      <c r="J100" s="77" t="s">
        <v>9360</v>
      </c>
      <c r="K100" s="2" t="str">
        <f t="shared" si="26"/>
        <v/>
      </c>
      <c r="L100" s="2" t="str">
        <f t="shared" si="24"/>
        <v/>
      </c>
      <c r="M100" s="2" t="str">
        <f t="shared" si="24"/>
        <v/>
      </c>
      <c r="N100" s="12" t="str">
        <f t="shared" si="24"/>
        <v/>
      </c>
    </row>
    <row r="101" spans="1:14" x14ac:dyDescent="0.2">
      <c r="A101" s="627" t="str">
        <f t="shared" si="23"/>
        <v>AAAAAAAA</v>
      </c>
      <c r="B101" s="628"/>
      <c r="C101" s="77" t="s">
        <v>9360</v>
      </c>
      <c r="D101" s="77" t="s">
        <v>9360</v>
      </c>
      <c r="E101" s="77">
        <f t="shared" si="25"/>
        <v>0</v>
      </c>
      <c r="F101" s="16" t="str">
        <f>IF($A$93="","",IF(VLOOKUP($A100,Products!$A$59:$H$159,5,FALSE)="","",VLOOKUP($A100,Products!$A$59:$H$159,5,FALSE)))</f>
        <v/>
      </c>
      <c r="G101" s="16" t="str">
        <f>IF($A$93="","",IF(VLOOKUP($A100,Products!$A$59:$H$159,8,FALSE)="","",VLOOKUP($A100,Products!$A$59:$H$159,8,FALSE)))</f>
        <v/>
      </c>
      <c r="H101" s="77" t="s">
        <v>9360</v>
      </c>
      <c r="I101" s="77" t="s">
        <v>9360</v>
      </c>
      <c r="J101" s="77" t="s">
        <v>9360</v>
      </c>
      <c r="K101" s="2" t="str">
        <f t="shared" si="26"/>
        <v/>
      </c>
      <c r="L101" s="2" t="str">
        <f t="shared" si="24"/>
        <v/>
      </c>
      <c r="M101" s="2" t="str">
        <f t="shared" si="24"/>
        <v/>
      </c>
      <c r="N101" s="12" t="str">
        <f t="shared" si="24"/>
        <v/>
      </c>
    </row>
    <row r="102" spans="1:14" x14ac:dyDescent="0.2">
      <c r="A102" s="627" t="str">
        <f t="shared" si="23"/>
        <v>AAAAAAAAA</v>
      </c>
      <c r="B102" s="628"/>
      <c r="C102" s="77" t="s">
        <v>9360</v>
      </c>
      <c r="D102" s="77" t="s">
        <v>9360</v>
      </c>
      <c r="E102" s="77">
        <f t="shared" si="25"/>
        <v>0</v>
      </c>
      <c r="F102" s="16" t="str">
        <f>IF($A$93="","",IF(VLOOKUP($A101,Products!$A$59:$H$159,5,FALSE)="","",VLOOKUP($A101,Products!$A$59:$H$159,5,FALSE)))</f>
        <v/>
      </c>
      <c r="G102" s="16" t="str">
        <f>IF($A$93="","",IF(VLOOKUP($A101,Products!$A$59:$H$159,8,FALSE)="","",VLOOKUP($A101,Products!$A$59:$H$159,8,FALSE)))</f>
        <v/>
      </c>
      <c r="H102" s="77" t="s">
        <v>9360</v>
      </c>
      <c r="I102" s="77" t="s">
        <v>9360</v>
      </c>
      <c r="J102" s="77" t="s">
        <v>9360</v>
      </c>
      <c r="K102" s="2" t="str">
        <f t="shared" si="26"/>
        <v/>
      </c>
      <c r="L102" s="2" t="str">
        <f t="shared" si="24"/>
        <v/>
      </c>
      <c r="M102" s="2" t="str">
        <f t="shared" si="24"/>
        <v/>
      </c>
      <c r="N102" s="12" t="str">
        <f t="shared" si="24"/>
        <v/>
      </c>
    </row>
    <row r="103" spans="1:14" x14ac:dyDescent="0.2">
      <c r="A103" s="627" t="str">
        <f t="shared" si="23"/>
        <v>AAAAAAAAAA</v>
      </c>
      <c r="B103" s="628"/>
      <c r="C103" s="77" t="s">
        <v>9360</v>
      </c>
      <c r="D103" s="77" t="s">
        <v>9360</v>
      </c>
      <c r="E103" s="77">
        <f t="shared" si="25"/>
        <v>0</v>
      </c>
      <c r="F103" s="16" t="str">
        <f>IF($A$93="","",IF(VLOOKUP($A102,Products!$A$59:$H$159,5,FALSE)="","",VLOOKUP($A102,Products!$A$59:$H$159,5,FALSE)))</f>
        <v/>
      </c>
      <c r="G103" s="16" t="str">
        <f>IF($A$93="","",IF(VLOOKUP($A102,Products!$A$59:$H$159,8,FALSE)="","",VLOOKUP($A102,Products!$A$59:$H$159,8,FALSE)))</f>
        <v/>
      </c>
      <c r="H103" s="77" t="s">
        <v>9360</v>
      </c>
      <c r="I103" s="77" t="s">
        <v>9360</v>
      </c>
      <c r="J103" s="77" t="s">
        <v>9360</v>
      </c>
      <c r="K103" s="2" t="str">
        <f t="shared" si="26"/>
        <v/>
      </c>
      <c r="L103" s="2" t="str">
        <f t="shared" si="24"/>
        <v/>
      </c>
      <c r="M103" s="2" t="str">
        <f t="shared" si="24"/>
        <v/>
      </c>
      <c r="N103" s="12" t="str">
        <f t="shared" si="24"/>
        <v/>
      </c>
    </row>
    <row r="104" spans="1:14" x14ac:dyDescent="0.2">
      <c r="A104" s="651"/>
      <c r="B104" s="615"/>
      <c r="C104" s="41"/>
      <c r="D104" s="41"/>
      <c r="E104" s="41"/>
      <c r="F104" s="16" t="s">
        <v>291</v>
      </c>
      <c r="G104" s="16">
        <v>1</v>
      </c>
      <c r="H104" s="16" t="str">
        <f>IF(A104="","",IF(VLOOKUP($A104,Products!$A$59:$H$159,2,FALSE)="","",VLOOKUP($A104,Products!$A$59:$H$159,2,FALSE)))</f>
        <v/>
      </c>
      <c r="I104" s="16" t="str">
        <f>IF(A104="","",IF(VLOOKUP($A104,Products!$A$59:$H$159,3,FALSE)="","",VLOOKUP($A104,Products!$A$59:$H$159,3,FALSE)))</f>
        <v/>
      </c>
      <c r="J104" s="16" t="str">
        <f>IF(A104="","",IF(VLOOKUP($A104,Products!$A$59:$H$159,4,FALSE)="","",VLOOKUP($A104,Products!$A$59:$H$159,4,FALSE)))</f>
        <v/>
      </c>
      <c r="K104" s="2" t="str">
        <f>IF(OR($A104="",C104="",$E104=""),"",((12.46*$F$21*$I104*$H104)/$F$22)*((C104*42)/1000)*(IF($E104="YES",(1-$F$20),1)))</f>
        <v/>
      </c>
      <c r="L104" s="2" t="str">
        <f>IF(OR($A104="",$D104="",$E104=""),"",((12.46*$F$21*$J104*$H104)/$F$23)*(($D104*42)/1000)*(1/2000)*(IF($E104="YES",(1-$F$20),1)))</f>
        <v/>
      </c>
      <c r="M104" s="2" t="str">
        <f>IF(OR($A104="",$C104="",$E104=""),"",((12.46*$F$21*$I104*$H104)/$F$22)*(($C104*42)/1000)*(IF($E104="YES",$F$20,0)))</f>
        <v/>
      </c>
      <c r="N104" s="12" t="str">
        <f>IF(OR($A104="",$D104="",$E104=""),"",((12.46*$F$21*$J104*$H104)/$F$23)*(($D104*42)/1000)*(1/2000)*(IF($E104="YES",$F$20,0)))</f>
        <v/>
      </c>
    </row>
    <row r="105" spans="1:14" x14ac:dyDescent="0.2">
      <c r="A105" s="627" t="str">
        <f t="shared" ref="A105:A114" si="27">A104&amp;"A"</f>
        <v>A</v>
      </c>
      <c r="B105" s="628"/>
      <c r="C105" s="77" t="s">
        <v>9360</v>
      </c>
      <c r="D105" s="77" t="s">
        <v>9360</v>
      </c>
      <c r="E105" s="77">
        <f>E104</f>
        <v>0</v>
      </c>
      <c r="F105" s="16" t="str">
        <f>IF($A$104="","",IF(VLOOKUP($A104,Products!$A$59:$H$159,5,FALSE)="","",VLOOKUP($A104,Products!$A$59:$H$159,5,FALSE)))</f>
        <v/>
      </c>
      <c r="G105" s="16" t="str">
        <f>IF($A$104="","",IF(VLOOKUP($A104,Products!$A$59:$H$159,8,FALSE)="","",VLOOKUP($A104,Products!$A$59:$H$159,8,FALSE)))</f>
        <v/>
      </c>
      <c r="H105" s="77" t="s">
        <v>9360</v>
      </c>
      <c r="I105" s="77" t="s">
        <v>9360</v>
      </c>
      <c r="J105" s="77" t="s">
        <v>9360</v>
      </c>
      <c r="K105" s="2" t="str">
        <f>IF($G105="","",K$104*$G105)</f>
        <v/>
      </c>
      <c r="L105" s="2" t="str">
        <f t="shared" ref="L105:N114" si="28">IF($G105="","",L$104*$G105)</f>
        <v/>
      </c>
      <c r="M105" s="2" t="str">
        <f t="shared" si="28"/>
        <v/>
      </c>
      <c r="N105" s="12" t="str">
        <f t="shared" si="28"/>
        <v/>
      </c>
    </row>
    <row r="106" spans="1:14" x14ac:dyDescent="0.2">
      <c r="A106" s="627" t="str">
        <f t="shared" si="27"/>
        <v>AA</v>
      </c>
      <c r="B106" s="628"/>
      <c r="C106" s="77" t="s">
        <v>9360</v>
      </c>
      <c r="D106" s="77" t="s">
        <v>9360</v>
      </c>
      <c r="E106" s="77">
        <f t="shared" ref="E106:E114" si="29">E105</f>
        <v>0</v>
      </c>
      <c r="F106" s="16" t="str">
        <f>IF($A$104="","",IF(VLOOKUP($A105,Products!$A$59:$H$159,5,FALSE)="","",VLOOKUP($A105,Products!$A$59:$H$159,5,FALSE)))</f>
        <v/>
      </c>
      <c r="G106" s="16" t="str">
        <f>IF($A$104="","",IF(VLOOKUP($A105,Products!$A$59:$H$159,8,FALSE)="","",VLOOKUP($A105,Products!$A$59:$H$159,8,FALSE)))</f>
        <v/>
      </c>
      <c r="H106" s="77" t="s">
        <v>9360</v>
      </c>
      <c r="I106" s="77" t="s">
        <v>9360</v>
      </c>
      <c r="J106" s="77" t="s">
        <v>9360</v>
      </c>
      <c r="K106" s="2" t="str">
        <f t="shared" ref="K106:K114" si="30">IF($G106="","",K$104*$G106)</f>
        <v/>
      </c>
      <c r="L106" s="2" t="str">
        <f t="shared" si="28"/>
        <v/>
      </c>
      <c r="M106" s="2" t="str">
        <f t="shared" si="28"/>
        <v/>
      </c>
      <c r="N106" s="12" t="str">
        <f t="shared" si="28"/>
        <v/>
      </c>
    </row>
    <row r="107" spans="1:14" x14ac:dyDescent="0.2">
      <c r="A107" s="627" t="str">
        <f t="shared" si="27"/>
        <v>AAA</v>
      </c>
      <c r="B107" s="628"/>
      <c r="C107" s="77" t="s">
        <v>9360</v>
      </c>
      <c r="D107" s="77" t="s">
        <v>9360</v>
      </c>
      <c r="E107" s="77">
        <f t="shared" si="29"/>
        <v>0</v>
      </c>
      <c r="F107" s="16" t="str">
        <f>IF($A$104="","",IF(VLOOKUP($A106,Products!$A$59:$H$159,5,FALSE)="","",VLOOKUP($A106,Products!$A$59:$H$159,5,FALSE)))</f>
        <v/>
      </c>
      <c r="G107" s="16" t="str">
        <f>IF($A$104="","",IF(VLOOKUP($A106,Products!$A$59:$H$159,8,FALSE)="","",VLOOKUP($A106,Products!$A$59:$H$159,8,FALSE)))</f>
        <v/>
      </c>
      <c r="H107" s="77" t="s">
        <v>9360</v>
      </c>
      <c r="I107" s="77" t="s">
        <v>9360</v>
      </c>
      <c r="J107" s="77" t="s">
        <v>9360</v>
      </c>
      <c r="K107" s="2" t="str">
        <f t="shared" si="30"/>
        <v/>
      </c>
      <c r="L107" s="2" t="str">
        <f t="shared" si="28"/>
        <v/>
      </c>
      <c r="M107" s="2" t="str">
        <f t="shared" si="28"/>
        <v/>
      </c>
      <c r="N107" s="12" t="str">
        <f t="shared" si="28"/>
        <v/>
      </c>
    </row>
    <row r="108" spans="1:14" x14ac:dyDescent="0.2">
      <c r="A108" s="627" t="str">
        <f t="shared" si="27"/>
        <v>AAAA</v>
      </c>
      <c r="B108" s="628"/>
      <c r="C108" s="77" t="s">
        <v>9360</v>
      </c>
      <c r="D108" s="77" t="s">
        <v>9360</v>
      </c>
      <c r="E108" s="77">
        <f t="shared" si="29"/>
        <v>0</v>
      </c>
      <c r="F108" s="16" t="str">
        <f>IF($A$104="","",IF(VLOOKUP($A107,Products!$A$59:$H$159,5,FALSE)="","",VLOOKUP($A107,Products!$A$59:$H$159,5,FALSE)))</f>
        <v/>
      </c>
      <c r="G108" s="16" t="str">
        <f>IF($A$104="","",IF(VLOOKUP($A107,Products!$A$59:$H$159,8,FALSE)="","",VLOOKUP($A107,Products!$A$59:$H$159,8,FALSE)))</f>
        <v/>
      </c>
      <c r="H108" s="77" t="s">
        <v>9360</v>
      </c>
      <c r="I108" s="77" t="s">
        <v>9360</v>
      </c>
      <c r="J108" s="77" t="s">
        <v>9360</v>
      </c>
      <c r="K108" s="2" t="str">
        <f t="shared" si="30"/>
        <v/>
      </c>
      <c r="L108" s="2" t="str">
        <f t="shared" si="28"/>
        <v/>
      </c>
      <c r="M108" s="2" t="str">
        <f t="shared" si="28"/>
        <v/>
      </c>
      <c r="N108" s="12" t="str">
        <f t="shared" si="28"/>
        <v/>
      </c>
    </row>
    <row r="109" spans="1:14" x14ac:dyDescent="0.2">
      <c r="A109" s="627" t="str">
        <f t="shared" si="27"/>
        <v>AAAAA</v>
      </c>
      <c r="B109" s="628"/>
      <c r="C109" s="77" t="s">
        <v>9360</v>
      </c>
      <c r="D109" s="77" t="s">
        <v>9360</v>
      </c>
      <c r="E109" s="77">
        <f t="shared" si="29"/>
        <v>0</v>
      </c>
      <c r="F109" s="16" t="str">
        <f>IF($A$104="","",IF(VLOOKUP($A108,Products!$A$59:$H$159,5,FALSE)="","",VLOOKUP($A108,Products!$A$59:$H$159,5,FALSE)))</f>
        <v/>
      </c>
      <c r="G109" s="16" t="str">
        <f>IF($A$104="","",IF(VLOOKUP($A108,Products!$A$59:$H$159,8,FALSE)="","",VLOOKUP($A108,Products!$A$59:$H$159,8,FALSE)))</f>
        <v/>
      </c>
      <c r="H109" s="77" t="s">
        <v>9360</v>
      </c>
      <c r="I109" s="77" t="s">
        <v>9360</v>
      </c>
      <c r="J109" s="77" t="s">
        <v>9360</v>
      </c>
      <c r="K109" s="2" t="str">
        <f t="shared" si="30"/>
        <v/>
      </c>
      <c r="L109" s="2" t="str">
        <f t="shared" si="28"/>
        <v/>
      </c>
      <c r="M109" s="2" t="str">
        <f t="shared" si="28"/>
        <v/>
      </c>
      <c r="N109" s="12" t="str">
        <f t="shared" si="28"/>
        <v/>
      </c>
    </row>
    <row r="110" spans="1:14" x14ac:dyDescent="0.2">
      <c r="A110" s="627" t="str">
        <f t="shared" si="27"/>
        <v>AAAAAA</v>
      </c>
      <c r="B110" s="628"/>
      <c r="C110" s="77" t="s">
        <v>9360</v>
      </c>
      <c r="D110" s="77" t="s">
        <v>9360</v>
      </c>
      <c r="E110" s="77">
        <f t="shared" si="29"/>
        <v>0</v>
      </c>
      <c r="F110" s="16" t="str">
        <f>IF($A$104="","",IF(VLOOKUP($A109,Products!$A$59:$H$159,5,FALSE)="","",VLOOKUP($A109,Products!$A$59:$H$159,5,FALSE)))</f>
        <v/>
      </c>
      <c r="G110" s="16" t="str">
        <f>IF($A$104="","",IF(VLOOKUP($A109,Products!$A$59:$H$159,8,FALSE)="","",VLOOKUP($A109,Products!$A$59:$H$159,8,FALSE)))</f>
        <v/>
      </c>
      <c r="H110" s="77" t="s">
        <v>9360</v>
      </c>
      <c r="I110" s="77" t="s">
        <v>9360</v>
      </c>
      <c r="J110" s="77" t="s">
        <v>9360</v>
      </c>
      <c r="K110" s="2" t="str">
        <f t="shared" si="30"/>
        <v/>
      </c>
      <c r="L110" s="2" t="str">
        <f t="shared" si="28"/>
        <v/>
      </c>
      <c r="M110" s="2" t="str">
        <f t="shared" si="28"/>
        <v/>
      </c>
      <c r="N110" s="12" t="str">
        <f t="shared" si="28"/>
        <v/>
      </c>
    </row>
    <row r="111" spans="1:14" x14ac:dyDescent="0.2">
      <c r="A111" s="627" t="str">
        <f t="shared" si="27"/>
        <v>AAAAAAA</v>
      </c>
      <c r="B111" s="628"/>
      <c r="C111" s="77" t="s">
        <v>9360</v>
      </c>
      <c r="D111" s="77" t="s">
        <v>9360</v>
      </c>
      <c r="E111" s="77">
        <f t="shared" si="29"/>
        <v>0</v>
      </c>
      <c r="F111" s="16" t="str">
        <f>IF($A$104="","",IF(VLOOKUP($A110,Products!$A$59:$H$159,5,FALSE)="","",VLOOKUP($A110,Products!$A$59:$H$159,5,FALSE)))</f>
        <v/>
      </c>
      <c r="G111" s="16" t="str">
        <f>IF($A$104="","",IF(VLOOKUP($A110,Products!$A$59:$H$159,8,FALSE)="","",VLOOKUP($A110,Products!$A$59:$H$159,8,FALSE)))</f>
        <v/>
      </c>
      <c r="H111" s="77" t="s">
        <v>9360</v>
      </c>
      <c r="I111" s="77" t="s">
        <v>9360</v>
      </c>
      <c r="J111" s="77" t="s">
        <v>9360</v>
      </c>
      <c r="K111" s="2" t="str">
        <f t="shared" si="30"/>
        <v/>
      </c>
      <c r="L111" s="2" t="str">
        <f t="shared" si="28"/>
        <v/>
      </c>
      <c r="M111" s="2" t="str">
        <f>IF($G111="","",M$104*$G111)</f>
        <v/>
      </c>
      <c r="N111" s="12" t="str">
        <f t="shared" si="28"/>
        <v/>
      </c>
    </row>
    <row r="112" spans="1:14" x14ac:dyDescent="0.2">
      <c r="A112" s="627" t="str">
        <f t="shared" si="27"/>
        <v>AAAAAAAA</v>
      </c>
      <c r="B112" s="628"/>
      <c r="C112" s="77" t="s">
        <v>9360</v>
      </c>
      <c r="D112" s="77" t="s">
        <v>9360</v>
      </c>
      <c r="E112" s="77">
        <f t="shared" si="29"/>
        <v>0</v>
      </c>
      <c r="F112" s="16" t="str">
        <f>IF($A$104="","",IF(VLOOKUP($A111,Products!$A$59:$H$159,5,FALSE)="","",VLOOKUP($A111,Products!$A$59:$H$159,5,FALSE)))</f>
        <v/>
      </c>
      <c r="G112" s="16" t="str">
        <f>IF($A$104="","",IF(VLOOKUP($A111,Products!$A$59:$H$159,8,FALSE)="","",VLOOKUP($A111,Products!$A$59:$H$159,8,FALSE)))</f>
        <v/>
      </c>
      <c r="H112" s="77" t="s">
        <v>9360</v>
      </c>
      <c r="I112" s="77" t="s">
        <v>9360</v>
      </c>
      <c r="J112" s="77" t="s">
        <v>9360</v>
      </c>
      <c r="K112" s="2" t="str">
        <f t="shared" si="30"/>
        <v/>
      </c>
      <c r="L112" s="2" t="str">
        <f t="shared" si="28"/>
        <v/>
      </c>
      <c r="M112" s="2" t="str">
        <f t="shared" si="28"/>
        <v/>
      </c>
      <c r="N112" s="12" t="str">
        <f t="shared" si="28"/>
        <v/>
      </c>
    </row>
    <row r="113" spans="1:14" x14ac:dyDescent="0.2">
      <c r="A113" s="627" t="str">
        <f t="shared" si="27"/>
        <v>AAAAAAAAA</v>
      </c>
      <c r="B113" s="628"/>
      <c r="C113" s="77" t="s">
        <v>9360</v>
      </c>
      <c r="D113" s="77" t="s">
        <v>9360</v>
      </c>
      <c r="E113" s="77">
        <f t="shared" si="29"/>
        <v>0</v>
      </c>
      <c r="F113" s="16" t="str">
        <f>IF($A$104="","",IF(VLOOKUP($A112,Products!$A$59:$H$159,5,FALSE)="","",VLOOKUP($A112,Products!$A$59:$H$159,5,FALSE)))</f>
        <v/>
      </c>
      <c r="G113" s="16" t="str">
        <f>IF($A$104="","",IF(VLOOKUP($A112,Products!$A$59:$H$159,8,FALSE)="","",VLOOKUP($A112,Products!$A$59:$H$159,8,FALSE)))</f>
        <v/>
      </c>
      <c r="H113" s="77" t="s">
        <v>9360</v>
      </c>
      <c r="I113" s="77" t="s">
        <v>9360</v>
      </c>
      <c r="J113" s="77" t="s">
        <v>9360</v>
      </c>
      <c r="K113" s="2" t="str">
        <f t="shared" si="30"/>
        <v/>
      </c>
      <c r="L113" s="2" t="str">
        <f t="shared" si="28"/>
        <v/>
      </c>
      <c r="M113" s="2" t="str">
        <f t="shared" si="28"/>
        <v/>
      </c>
      <c r="N113" s="12" t="str">
        <f t="shared" si="28"/>
        <v/>
      </c>
    </row>
    <row r="114" spans="1:14" x14ac:dyDescent="0.2">
      <c r="A114" s="627" t="str">
        <f t="shared" si="27"/>
        <v>AAAAAAAAAA</v>
      </c>
      <c r="B114" s="628"/>
      <c r="C114" s="77" t="s">
        <v>9360</v>
      </c>
      <c r="D114" s="77" t="s">
        <v>9360</v>
      </c>
      <c r="E114" s="77">
        <f t="shared" si="29"/>
        <v>0</v>
      </c>
      <c r="F114" s="16" t="str">
        <f>IF($A$104="","",IF(VLOOKUP($A113,Products!$A$59:$H$159,5,FALSE)="","",VLOOKUP($A113,Products!$A$59:$H$159,5,FALSE)))</f>
        <v/>
      </c>
      <c r="G114" s="16" t="str">
        <f>IF($A$104="","",IF(VLOOKUP($A113,Products!$A$59:$H$159,8,FALSE)="","",VLOOKUP($A113,Products!$A$59:$H$159,8,FALSE)))</f>
        <v/>
      </c>
      <c r="H114" s="77" t="s">
        <v>9360</v>
      </c>
      <c r="I114" s="77" t="s">
        <v>9360</v>
      </c>
      <c r="J114" s="77" t="s">
        <v>9360</v>
      </c>
      <c r="K114" s="2" t="str">
        <f t="shared" si="30"/>
        <v/>
      </c>
      <c r="L114" s="2" t="str">
        <f t="shared" si="28"/>
        <v/>
      </c>
      <c r="M114" s="2" t="str">
        <f t="shared" si="28"/>
        <v/>
      </c>
      <c r="N114" s="12" t="str">
        <f>IF($G114="","",N$104*$G114)</f>
        <v/>
      </c>
    </row>
    <row r="115" spans="1:14" x14ac:dyDescent="0.2">
      <c r="A115" s="651"/>
      <c r="B115" s="615"/>
      <c r="C115" s="41"/>
      <c r="D115" s="41"/>
      <c r="E115" s="41"/>
      <c r="F115" s="16" t="s">
        <v>291</v>
      </c>
      <c r="G115" s="16">
        <v>1</v>
      </c>
      <c r="H115" s="16" t="str">
        <f>IF(A115="","",IF(VLOOKUP($A115,Products!$A$59:$H$159,2,FALSE)="","",VLOOKUP($A115,Products!$A$59:$H$159,2,FALSE)))</f>
        <v/>
      </c>
      <c r="I115" s="16" t="str">
        <f>IF(A115="","",IF(VLOOKUP($A115,Products!$A$59:$H$159,3,FALSE)="","",VLOOKUP($A115,Products!$A$59:$H$159,3,FALSE)))</f>
        <v/>
      </c>
      <c r="J115" s="16" t="str">
        <f>IF(A115="","",IF(VLOOKUP($A115,Products!$A$59:$H$159,4,FALSE)="","",VLOOKUP($A115,Products!$A$59:$H$159,4,FALSE)))</f>
        <v/>
      </c>
      <c r="K115" s="2" t="str">
        <f>IF(OR($A115="",C115="",$E115=""),"",((12.46*$F$21*$I115*$H115)/$F$22)*((C115*42)/1000)*(IF($E115="YES",(1-$F$20),1)))</f>
        <v/>
      </c>
      <c r="L115" s="2" t="str">
        <f>IF(OR($A115="",$D115="",$E115=""),"",((12.46*$F$21*$J115*$H115)/$F$23)*(($D115*42)/1000)*(1/2000)*(IF($E115="YES",(1-$F$20),1)))</f>
        <v/>
      </c>
      <c r="M115" s="2" t="str">
        <f>IF(OR($A115="",$C115="",$E115=""),"",((12.46*$F$21*$I115*$H115)/$F$22)*(($C115*42)/1000)*(IF($E115="YES",$F$20,0)))</f>
        <v/>
      </c>
      <c r="N115" s="12" t="str">
        <f>IF(OR($A115="",$D115="",$E115=""),"",((12.46*$F$21*$J115*$H115)/$F$23)*(($D115*42)/1000)*(1/2000)*(IF($E115="YES",$F$20,0)))</f>
        <v/>
      </c>
    </row>
    <row r="116" spans="1:14" x14ac:dyDescent="0.2">
      <c r="A116" s="627" t="str">
        <f t="shared" ref="A116:A125" si="31">A115&amp;"A"</f>
        <v>A</v>
      </c>
      <c r="B116" s="628"/>
      <c r="C116" s="77" t="s">
        <v>9360</v>
      </c>
      <c r="D116" s="77" t="s">
        <v>9360</v>
      </c>
      <c r="E116" s="77">
        <f>E115</f>
        <v>0</v>
      </c>
      <c r="F116" s="16" t="str">
        <f>IF($A$115="","",IF(VLOOKUP($A115,Products!$A$59:$H$159,5,FALSE)="","",VLOOKUP($A115,Products!$A$59:$H$159,5,FALSE)))</f>
        <v/>
      </c>
      <c r="G116" s="16" t="str">
        <f>IF($A$115="","",IF(VLOOKUP($A115,Products!$A$59:$H$159,8,FALSE)="","",VLOOKUP($A115,Products!$A$59:$H$159,8,FALSE)))</f>
        <v/>
      </c>
      <c r="H116" s="77" t="s">
        <v>9360</v>
      </c>
      <c r="I116" s="77" t="s">
        <v>9360</v>
      </c>
      <c r="J116" s="77" t="s">
        <v>9360</v>
      </c>
      <c r="K116" s="2" t="str">
        <f>IF($G116="","",K$115*$G116)</f>
        <v/>
      </c>
      <c r="L116" s="2" t="str">
        <f t="shared" ref="L116:N125" si="32">IF($G116="","",L$115*$G116)</f>
        <v/>
      </c>
      <c r="M116" s="2" t="str">
        <f t="shared" si="32"/>
        <v/>
      </c>
      <c r="N116" s="12" t="str">
        <f t="shared" si="32"/>
        <v/>
      </c>
    </row>
    <row r="117" spans="1:14" x14ac:dyDescent="0.2">
      <c r="A117" s="627" t="str">
        <f t="shared" si="31"/>
        <v>AA</v>
      </c>
      <c r="B117" s="628"/>
      <c r="C117" s="77" t="s">
        <v>9360</v>
      </c>
      <c r="D117" s="77" t="s">
        <v>9360</v>
      </c>
      <c r="E117" s="77">
        <f t="shared" ref="E117:E125" si="33">E116</f>
        <v>0</v>
      </c>
      <c r="F117" s="16" t="str">
        <f>IF($A$115="","",IF(VLOOKUP($A116,Products!$A$59:$H$159,5,FALSE)="","",VLOOKUP($A116,Products!$A$59:$H$159,5,FALSE)))</f>
        <v/>
      </c>
      <c r="G117" s="16" t="str">
        <f>IF($A$115="","",IF(VLOOKUP($A116,Products!$A$59:$H$159,8,FALSE)="","",VLOOKUP($A116,Products!$A$59:$H$159,8,FALSE)))</f>
        <v/>
      </c>
      <c r="H117" s="77" t="s">
        <v>9360</v>
      </c>
      <c r="I117" s="77" t="s">
        <v>9360</v>
      </c>
      <c r="J117" s="77" t="s">
        <v>9360</v>
      </c>
      <c r="K117" s="2" t="str">
        <f t="shared" ref="K117:K125" si="34">IF($G117="","",K$115*$G117)</f>
        <v/>
      </c>
      <c r="L117" s="2" t="str">
        <f>IF($G117="","",L$115*$G117)</f>
        <v/>
      </c>
      <c r="M117" s="2" t="str">
        <f t="shared" si="32"/>
        <v/>
      </c>
      <c r="N117" s="12" t="str">
        <f>IF($G117="","",N$115*$G117)</f>
        <v/>
      </c>
    </row>
    <row r="118" spans="1:14" x14ac:dyDescent="0.2">
      <c r="A118" s="627" t="str">
        <f t="shared" si="31"/>
        <v>AAA</v>
      </c>
      <c r="B118" s="628"/>
      <c r="C118" s="77" t="s">
        <v>9360</v>
      </c>
      <c r="D118" s="77" t="s">
        <v>9360</v>
      </c>
      <c r="E118" s="77">
        <f t="shared" si="33"/>
        <v>0</v>
      </c>
      <c r="F118" s="16" t="str">
        <f>IF($A$115="","",IF(VLOOKUP($A117,Products!$A$59:$H$159,5,FALSE)="","",VLOOKUP($A117,Products!$A$59:$H$159,5,FALSE)))</f>
        <v/>
      </c>
      <c r="G118" s="16" t="str">
        <f>IF($A$115="","",IF(VLOOKUP($A117,Products!$A$59:$H$159,8,FALSE)="","",VLOOKUP($A117,Products!$A$59:$H$159,8,FALSE)))</f>
        <v/>
      </c>
      <c r="H118" s="77" t="s">
        <v>9360</v>
      </c>
      <c r="I118" s="77" t="s">
        <v>9360</v>
      </c>
      <c r="J118" s="77" t="s">
        <v>9360</v>
      </c>
      <c r="K118" s="2" t="str">
        <f t="shared" si="34"/>
        <v/>
      </c>
      <c r="L118" s="2" t="str">
        <f t="shared" si="32"/>
        <v/>
      </c>
      <c r="M118" s="2" t="str">
        <f t="shared" si="32"/>
        <v/>
      </c>
      <c r="N118" s="12" t="str">
        <f t="shared" si="32"/>
        <v/>
      </c>
    </row>
    <row r="119" spans="1:14" x14ac:dyDescent="0.2">
      <c r="A119" s="627" t="str">
        <f t="shared" si="31"/>
        <v>AAAA</v>
      </c>
      <c r="B119" s="628"/>
      <c r="C119" s="77" t="s">
        <v>9360</v>
      </c>
      <c r="D119" s="77" t="s">
        <v>9360</v>
      </c>
      <c r="E119" s="77">
        <f t="shared" si="33"/>
        <v>0</v>
      </c>
      <c r="F119" s="16" t="str">
        <f>IF($A$115="","",IF(VLOOKUP($A118,Products!$A$59:$H$159,5,FALSE)="","",VLOOKUP($A118,Products!$A$59:$H$159,5,FALSE)))</f>
        <v/>
      </c>
      <c r="G119" s="16" t="str">
        <f>IF($A$115="","",IF(VLOOKUP($A118,Products!$A$59:$H$159,8,FALSE)="","",VLOOKUP($A118,Products!$A$59:$H$159,8,FALSE)))</f>
        <v/>
      </c>
      <c r="H119" s="77" t="s">
        <v>9360</v>
      </c>
      <c r="I119" s="77" t="s">
        <v>9360</v>
      </c>
      <c r="J119" s="77" t="s">
        <v>9360</v>
      </c>
      <c r="K119" s="2" t="str">
        <f t="shared" si="34"/>
        <v/>
      </c>
      <c r="L119" s="2" t="str">
        <f t="shared" si="32"/>
        <v/>
      </c>
      <c r="M119" s="2" t="str">
        <f t="shared" si="32"/>
        <v/>
      </c>
      <c r="N119" s="12" t="str">
        <f t="shared" si="32"/>
        <v/>
      </c>
    </row>
    <row r="120" spans="1:14" x14ac:dyDescent="0.2">
      <c r="A120" s="627" t="str">
        <f t="shared" si="31"/>
        <v>AAAAA</v>
      </c>
      <c r="B120" s="628"/>
      <c r="C120" s="77" t="s">
        <v>9360</v>
      </c>
      <c r="D120" s="77" t="s">
        <v>9360</v>
      </c>
      <c r="E120" s="77">
        <f t="shared" si="33"/>
        <v>0</v>
      </c>
      <c r="F120" s="16" t="str">
        <f>IF($A$115="","",IF(VLOOKUP($A119,Products!$A$59:$H$159,5,FALSE)="","",VLOOKUP($A119,Products!$A$59:$H$159,5,FALSE)))</f>
        <v/>
      </c>
      <c r="G120" s="16" t="str">
        <f>IF($A$115="","",IF(VLOOKUP($A119,Products!$A$59:$H$159,8,FALSE)="","",VLOOKUP($A119,Products!$A$59:$H$159,8,FALSE)))</f>
        <v/>
      </c>
      <c r="H120" s="77" t="s">
        <v>9360</v>
      </c>
      <c r="I120" s="77" t="s">
        <v>9360</v>
      </c>
      <c r="J120" s="77" t="s">
        <v>9360</v>
      </c>
      <c r="K120" s="2" t="str">
        <f t="shared" si="34"/>
        <v/>
      </c>
      <c r="L120" s="2" t="str">
        <f t="shared" si="32"/>
        <v/>
      </c>
      <c r="M120" s="2" t="str">
        <f t="shared" si="32"/>
        <v/>
      </c>
      <c r="N120" s="12" t="str">
        <f t="shared" si="32"/>
        <v/>
      </c>
    </row>
    <row r="121" spans="1:14" x14ac:dyDescent="0.2">
      <c r="A121" s="627" t="str">
        <f t="shared" si="31"/>
        <v>AAAAAA</v>
      </c>
      <c r="B121" s="628"/>
      <c r="C121" s="77" t="s">
        <v>9360</v>
      </c>
      <c r="D121" s="77" t="s">
        <v>9360</v>
      </c>
      <c r="E121" s="77">
        <f t="shared" si="33"/>
        <v>0</v>
      </c>
      <c r="F121" s="16" t="str">
        <f>IF($A$115="","",IF(VLOOKUP($A120,Products!$A$59:$H$159,5,FALSE)="","",VLOOKUP($A120,Products!$A$59:$H$159,5,FALSE)))</f>
        <v/>
      </c>
      <c r="G121" s="16" t="str">
        <f>IF($A$115="","",IF(VLOOKUP($A120,Products!$A$59:$H$159,8,FALSE)="","",VLOOKUP($A120,Products!$A$59:$H$159,8,FALSE)))</f>
        <v/>
      </c>
      <c r="H121" s="77" t="s">
        <v>9360</v>
      </c>
      <c r="I121" s="77" t="s">
        <v>9360</v>
      </c>
      <c r="J121" s="77" t="s">
        <v>9360</v>
      </c>
      <c r="K121" s="2" t="str">
        <f t="shared" si="34"/>
        <v/>
      </c>
      <c r="L121" s="2" t="str">
        <f t="shared" si="32"/>
        <v/>
      </c>
      <c r="M121" s="2" t="str">
        <f t="shared" si="32"/>
        <v/>
      </c>
      <c r="N121" s="12" t="str">
        <f t="shared" si="32"/>
        <v/>
      </c>
    </row>
    <row r="122" spans="1:14" x14ac:dyDescent="0.2">
      <c r="A122" s="627" t="str">
        <f t="shared" si="31"/>
        <v>AAAAAAA</v>
      </c>
      <c r="B122" s="628"/>
      <c r="C122" s="77" t="s">
        <v>9360</v>
      </c>
      <c r="D122" s="77" t="s">
        <v>9360</v>
      </c>
      <c r="E122" s="77">
        <f t="shared" si="33"/>
        <v>0</v>
      </c>
      <c r="F122" s="16" t="str">
        <f>IF($A$115="","",IF(VLOOKUP($A121,Products!$A$59:$H$159,5,FALSE)="","",VLOOKUP($A121,Products!$A$59:$H$159,5,FALSE)))</f>
        <v/>
      </c>
      <c r="G122" s="16" t="str">
        <f>IF($A$115="","",IF(VLOOKUP($A121,Products!$A$59:$H$159,8,FALSE)="","",VLOOKUP($A121,Products!$A$59:$H$159,8,FALSE)))</f>
        <v/>
      </c>
      <c r="H122" s="77" t="s">
        <v>9360</v>
      </c>
      <c r="I122" s="77" t="s">
        <v>9360</v>
      </c>
      <c r="J122" s="77" t="s">
        <v>9360</v>
      </c>
      <c r="K122" s="2" t="str">
        <f t="shared" si="34"/>
        <v/>
      </c>
      <c r="L122" s="2" t="str">
        <f t="shared" si="32"/>
        <v/>
      </c>
      <c r="M122" s="2" t="str">
        <f t="shared" si="32"/>
        <v/>
      </c>
      <c r="N122" s="12" t="str">
        <f t="shared" si="32"/>
        <v/>
      </c>
    </row>
    <row r="123" spans="1:14" x14ac:dyDescent="0.2">
      <c r="A123" s="627" t="str">
        <f t="shared" si="31"/>
        <v>AAAAAAAA</v>
      </c>
      <c r="B123" s="628"/>
      <c r="C123" s="77" t="s">
        <v>9360</v>
      </c>
      <c r="D123" s="77" t="s">
        <v>9360</v>
      </c>
      <c r="E123" s="77">
        <f t="shared" si="33"/>
        <v>0</v>
      </c>
      <c r="F123" s="16" t="str">
        <f>IF($A$115="","",IF(VLOOKUP($A122,Products!$A$59:$H$159,5,FALSE)="","",VLOOKUP($A122,Products!$A$59:$H$159,5,FALSE)))</f>
        <v/>
      </c>
      <c r="G123" s="16" t="str">
        <f>IF($A$115="","",IF(VLOOKUP($A122,Products!$A$59:$H$159,8,FALSE)="","",VLOOKUP($A122,Products!$A$59:$H$159,8,FALSE)))</f>
        <v/>
      </c>
      <c r="H123" s="77" t="s">
        <v>9360</v>
      </c>
      <c r="I123" s="77" t="s">
        <v>9360</v>
      </c>
      <c r="J123" s="77" t="s">
        <v>9360</v>
      </c>
      <c r="K123" s="2" t="str">
        <f t="shared" si="34"/>
        <v/>
      </c>
      <c r="L123" s="2" t="str">
        <f t="shared" si="32"/>
        <v/>
      </c>
      <c r="M123" s="2" t="str">
        <f t="shared" si="32"/>
        <v/>
      </c>
      <c r="N123" s="12" t="str">
        <f t="shared" si="32"/>
        <v/>
      </c>
    </row>
    <row r="124" spans="1:14" x14ac:dyDescent="0.2">
      <c r="A124" s="627" t="str">
        <f t="shared" si="31"/>
        <v>AAAAAAAAA</v>
      </c>
      <c r="B124" s="628"/>
      <c r="C124" s="77" t="s">
        <v>9360</v>
      </c>
      <c r="D124" s="77" t="s">
        <v>9360</v>
      </c>
      <c r="E124" s="77">
        <f t="shared" si="33"/>
        <v>0</v>
      </c>
      <c r="F124" s="16" t="str">
        <f>IF($A$115="","",IF(VLOOKUP($A123,Products!$A$59:$H$159,5,FALSE)="","",VLOOKUP($A123,Products!$A$59:$H$159,5,FALSE)))</f>
        <v/>
      </c>
      <c r="G124" s="16" t="str">
        <f>IF($A$115="","",IF(VLOOKUP($A123,Products!$A$59:$H$159,8,FALSE)="","",VLOOKUP($A123,Products!$A$59:$H$159,8,FALSE)))</f>
        <v/>
      </c>
      <c r="H124" s="77" t="s">
        <v>9360</v>
      </c>
      <c r="I124" s="77" t="s">
        <v>9360</v>
      </c>
      <c r="J124" s="77" t="s">
        <v>9360</v>
      </c>
      <c r="K124" s="2" t="str">
        <f t="shared" si="34"/>
        <v/>
      </c>
      <c r="L124" s="2" t="str">
        <f t="shared" si="32"/>
        <v/>
      </c>
      <c r="M124" s="2" t="str">
        <f t="shared" si="32"/>
        <v/>
      </c>
      <c r="N124" s="12" t="str">
        <f t="shared" si="32"/>
        <v/>
      </c>
    </row>
    <row r="125" spans="1:14" x14ac:dyDescent="0.2">
      <c r="A125" s="627" t="str">
        <f t="shared" si="31"/>
        <v>AAAAAAAAAA</v>
      </c>
      <c r="B125" s="628"/>
      <c r="C125" s="77" t="s">
        <v>9360</v>
      </c>
      <c r="D125" s="77" t="s">
        <v>9360</v>
      </c>
      <c r="E125" s="77">
        <f t="shared" si="33"/>
        <v>0</v>
      </c>
      <c r="F125" s="16" t="str">
        <f>IF($A$115="","",IF(VLOOKUP($A124,Products!$A$59:$H$159,5,FALSE)="","",VLOOKUP($A124,Products!$A$59:$H$159,5,FALSE)))</f>
        <v/>
      </c>
      <c r="G125" s="16" t="str">
        <f>IF($A$115="","",IF(VLOOKUP($A124,Products!$A$59:$H$159,8,FALSE)="","",VLOOKUP($A124,Products!$A$59:$H$159,8,FALSE)))</f>
        <v/>
      </c>
      <c r="H125" s="77" t="s">
        <v>9360</v>
      </c>
      <c r="I125" s="77" t="s">
        <v>9360</v>
      </c>
      <c r="J125" s="77" t="s">
        <v>9360</v>
      </c>
      <c r="K125" s="2" t="str">
        <f t="shared" si="34"/>
        <v/>
      </c>
      <c r="L125" s="2" t="str">
        <f t="shared" si="32"/>
        <v/>
      </c>
      <c r="M125" s="2" t="str">
        <f t="shared" si="32"/>
        <v/>
      </c>
      <c r="N125" s="12" t="str">
        <f t="shared" si="32"/>
        <v/>
      </c>
    </row>
    <row r="126" spans="1:14" x14ac:dyDescent="0.2">
      <c r="A126" s="651"/>
      <c r="B126" s="615"/>
      <c r="C126" s="41"/>
      <c r="D126" s="41"/>
      <c r="E126" s="41"/>
      <c r="F126" s="16" t="s">
        <v>291</v>
      </c>
      <c r="G126" s="16">
        <v>1</v>
      </c>
      <c r="H126" s="16" t="str">
        <f>IF(A126="","",IF(VLOOKUP($A126,Products!$A$59:$H$159,2,FALSE)="","",VLOOKUP($A126,Products!$A$59:$H$159,2,FALSE)))</f>
        <v/>
      </c>
      <c r="I126" s="16" t="str">
        <f>IF(A126="","",IF(VLOOKUP($A126,Products!$A$59:$H$159,3,FALSE)="","",VLOOKUP($A126,Products!$A$59:$H$159,3,FALSE)))</f>
        <v/>
      </c>
      <c r="J126" s="16" t="str">
        <f>IF(A126="","",IF(VLOOKUP($A126,Products!$A$59:$H$159,4,FALSE)="","",VLOOKUP($A126,Products!$A$59:$H$159,4,FALSE)))</f>
        <v/>
      </c>
      <c r="K126" s="2" t="str">
        <f>IF(OR($A126="",C126="",$E126=""),"",((12.46*$F$21*$I126*$H126)/$F$22)*((C126*42)/1000)*(IF($E126="YES",(1-$F$20),1)))</f>
        <v/>
      </c>
      <c r="L126" s="2" t="str">
        <f>IF(OR($A126="",$D126="",$E126=""),"",((12.46*$F$21*$J126*$H126)/$F$23)*(($D126*42)/1000)*(1/2000)*(IF($E126="YES",(1-$F$20),1)))</f>
        <v/>
      </c>
      <c r="M126" s="2" t="str">
        <f>IF(OR($A126="",$C126="",$E126=""),"",((12.46*$F$21*$I126*$H126)/$F$22)*(($C126*42)/1000)*(IF($E126="YES",$F$20,0)))</f>
        <v/>
      </c>
      <c r="N126" s="12" t="str">
        <f>IF(OR($A126="",$D126="",$E126=""),"",((12.46*$F$21*$J126*$H126)/$F$23)*(($D126*42)/1000)*(1/2000)*(IF($E126="YES",$F$20,0)))</f>
        <v/>
      </c>
    </row>
    <row r="127" spans="1:14" x14ac:dyDescent="0.2">
      <c r="A127" s="627" t="str">
        <f t="shared" ref="A127:A136" si="35">A126&amp;"A"</f>
        <v>A</v>
      </c>
      <c r="B127" s="628"/>
      <c r="C127" s="77" t="s">
        <v>9360</v>
      </c>
      <c r="D127" s="77" t="s">
        <v>9360</v>
      </c>
      <c r="E127" s="77">
        <f>E126</f>
        <v>0</v>
      </c>
      <c r="F127" s="16" t="str">
        <f>IF($A$126="","",IF(VLOOKUP($A126,Products!$A$59:$H$159,5,FALSE)="","",VLOOKUP($A126,Products!$A$59:$H$159,5,FALSE)))</f>
        <v/>
      </c>
      <c r="G127" s="16" t="str">
        <f>IF($A$126="","",IF(VLOOKUP($A126,Products!$A$59:$H$159,8,FALSE)="","",VLOOKUP($A126,Products!$A$59:$H$159,8,FALSE)))</f>
        <v/>
      </c>
      <c r="H127" s="77" t="s">
        <v>9360</v>
      </c>
      <c r="I127" s="77" t="s">
        <v>9360</v>
      </c>
      <c r="J127" s="77" t="s">
        <v>9360</v>
      </c>
      <c r="K127" s="2" t="str">
        <f>IF($G127="","",K$126*$G127)</f>
        <v/>
      </c>
      <c r="L127" s="2" t="str">
        <f t="shared" ref="L127:N136" si="36">IF($G127="","",L$126*$G127)</f>
        <v/>
      </c>
      <c r="M127" s="2" t="str">
        <f t="shared" si="36"/>
        <v/>
      </c>
      <c r="N127" s="12" t="str">
        <f t="shared" si="36"/>
        <v/>
      </c>
    </row>
    <row r="128" spans="1:14" x14ac:dyDescent="0.2">
      <c r="A128" s="627" t="str">
        <f t="shared" si="35"/>
        <v>AA</v>
      </c>
      <c r="B128" s="628"/>
      <c r="C128" s="77" t="s">
        <v>9360</v>
      </c>
      <c r="D128" s="77" t="s">
        <v>9360</v>
      </c>
      <c r="E128" s="77">
        <f t="shared" ref="E128:E136" si="37">E127</f>
        <v>0</v>
      </c>
      <c r="F128" s="16" t="str">
        <f>IF($A$126="","",IF(VLOOKUP($A127,Products!$A$59:$H$159,5,FALSE)="","",VLOOKUP($A127,Products!$A$59:$H$159,5,FALSE)))</f>
        <v/>
      </c>
      <c r="G128" s="16" t="str">
        <f>IF($A$126="","",IF(VLOOKUP($A127,Products!$A$59:$H$159,8,FALSE)="","",VLOOKUP($A127,Products!$A$59:$H$159,8,FALSE)))</f>
        <v/>
      </c>
      <c r="H128" s="77" t="s">
        <v>9360</v>
      </c>
      <c r="I128" s="77" t="s">
        <v>9360</v>
      </c>
      <c r="J128" s="77" t="s">
        <v>9360</v>
      </c>
      <c r="K128" s="2" t="str">
        <f t="shared" ref="K128:K136" si="38">IF($G128="","",K$126*$G128)</f>
        <v/>
      </c>
      <c r="L128" s="2" t="str">
        <f t="shared" si="36"/>
        <v/>
      </c>
      <c r="M128" s="2" t="str">
        <f t="shared" si="36"/>
        <v/>
      </c>
      <c r="N128" s="12" t="str">
        <f t="shared" si="36"/>
        <v/>
      </c>
    </row>
    <row r="129" spans="1:14" x14ac:dyDescent="0.2">
      <c r="A129" s="627" t="str">
        <f t="shared" si="35"/>
        <v>AAA</v>
      </c>
      <c r="B129" s="628"/>
      <c r="C129" s="77" t="s">
        <v>9360</v>
      </c>
      <c r="D129" s="77" t="s">
        <v>9360</v>
      </c>
      <c r="E129" s="77">
        <f t="shared" si="37"/>
        <v>0</v>
      </c>
      <c r="F129" s="16" t="str">
        <f>IF($A$126="","",IF(VLOOKUP($A128,Products!$A$59:$H$159,5,FALSE)="","",VLOOKUP($A128,Products!$A$59:$H$159,5,FALSE)))</f>
        <v/>
      </c>
      <c r="G129" s="16" t="str">
        <f>IF($A$126="","",IF(VLOOKUP($A128,Products!$A$59:$H$159,8,FALSE)="","",VLOOKUP($A128,Products!$A$59:$H$159,8,FALSE)))</f>
        <v/>
      </c>
      <c r="H129" s="77" t="s">
        <v>9360</v>
      </c>
      <c r="I129" s="77" t="s">
        <v>9360</v>
      </c>
      <c r="J129" s="77" t="s">
        <v>9360</v>
      </c>
      <c r="K129" s="2" t="str">
        <f t="shared" si="38"/>
        <v/>
      </c>
      <c r="L129" s="2" t="str">
        <f t="shared" si="36"/>
        <v/>
      </c>
      <c r="M129" s="2" t="str">
        <f t="shared" si="36"/>
        <v/>
      </c>
      <c r="N129" s="12" t="str">
        <f t="shared" si="36"/>
        <v/>
      </c>
    </row>
    <row r="130" spans="1:14" x14ac:dyDescent="0.2">
      <c r="A130" s="627" t="str">
        <f t="shared" si="35"/>
        <v>AAAA</v>
      </c>
      <c r="B130" s="628"/>
      <c r="C130" s="77" t="s">
        <v>9360</v>
      </c>
      <c r="D130" s="77" t="s">
        <v>9360</v>
      </c>
      <c r="E130" s="77">
        <f t="shared" si="37"/>
        <v>0</v>
      </c>
      <c r="F130" s="16" t="str">
        <f>IF($A$126="","",IF(VLOOKUP($A129,Products!$A$59:$H$159,5,FALSE)="","",VLOOKUP($A129,Products!$A$59:$H$159,5,FALSE)))</f>
        <v/>
      </c>
      <c r="G130" s="16" t="str">
        <f>IF($A$126="","",IF(VLOOKUP($A129,Products!$A$59:$H$159,8,FALSE)="","",VLOOKUP($A129,Products!$A$59:$H$159,8,FALSE)))</f>
        <v/>
      </c>
      <c r="H130" s="77" t="s">
        <v>9360</v>
      </c>
      <c r="I130" s="77" t="s">
        <v>9360</v>
      </c>
      <c r="J130" s="77" t="s">
        <v>9360</v>
      </c>
      <c r="K130" s="2" t="str">
        <f t="shared" si="38"/>
        <v/>
      </c>
      <c r="L130" s="2" t="str">
        <f t="shared" si="36"/>
        <v/>
      </c>
      <c r="M130" s="2" t="str">
        <f t="shared" si="36"/>
        <v/>
      </c>
      <c r="N130" s="12" t="str">
        <f t="shared" si="36"/>
        <v/>
      </c>
    </row>
    <row r="131" spans="1:14" x14ac:dyDescent="0.2">
      <c r="A131" s="627" t="str">
        <f t="shared" si="35"/>
        <v>AAAAA</v>
      </c>
      <c r="B131" s="628"/>
      <c r="C131" s="77" t="s">
        <v>9360</v>
      </c>
      <c r="D131" s="77" t="s">
        <v>9360</v>
      </c>
      <c r="E131" s="77">
        <f t="shared" si="37"/>
        <v>0</v>
      </c>
      <c r="F131" s="16" t="str">
        <f>IF($A$126="","",IF(VLOOKUP($A130,Products!$A$59:$H$159,5,FALSE)="","",VLOOKUP($A130,Products!$A$59:$H$159,5,FALSE)))</f>
        <v/>
      </c>
      <c r="G131" s="16" t="str">
        <f>IF($A$126="","",IF(VLOOKUP($A130,Products!$A$59:$H$159,8,FALSE)="","",VLOOKUP($A130,Products!$A$59:$H$159,8,FALSE)))</f>
        <v/>
      </c>
      <c r="H131" s="77" t="s">
        <v>9360</v>
      </c>
      <c r="I131" s="77" t="s">
        <v>9360</v>
      </c>
      <c r="J131" s="77" t="s">
        <v>9360</v>
      </c>
      <c r="K131" s="2" t="str">
        <f t="shared" si="38"/>
        <v/>
      </c>
      <c r="L131" s="2" t="str">
        <f>IF($G131="","",L$126*$G131)</f>
        <v/>
      </c>
      <c r="M131" s="2" t="str">
        <f t="shared" si="36"/>
        <v/>
      </c>
      <c r="N131" s="12" t="str">
        <f t="shared" si="36"/>
        <v/>
      </c>
    </row>
    <row r="132" spans="1:14" x14ac:dyDescent="0.2">
      <c r="A132" s="627" t="str">
        <f t="shared" si="35"/>
        <v>AAAAAA</v>
      </c>
      <c r="B132" s="628"/>
      <c r="C132" s="77" t="s">
        <v>9360</v>
      </c>
      <c r="D132" s="77" t="s">
        <v>9360</v>
      </c>
      <c r="E132" s="77">
        <f t="shared" si="37"/>
        <v>0</v>
      </c>
      <c r="F132" s="16" t="str">
        <f>IF($A$126="","",IF(VLOOKUP($A131,Products!$A$59:$H$159,5,FALSE)="","",VLOOKUP($A131,Products!$A$59:$H$159,5,FALSE)))</f>
        <v/>
      </c>
      <c r="G132" s="16" t="str">
        <f>IF($A$126="","",IF(VLOOKUP($A131,Products!$A$59:$H$159,8,FALSE)="","",VLOOKUP($A131,Products!$A$59:$H$159,8,FALSE)))</f>
        <v/>
      </c>
      <c r="H132" s="77" t="s">
        <v>9360</v>
      </c>
      <c r="I132" s="77" t="s">
        <v>9360</v>
      </c>
      <c r="J132" s="77" t="s">
        <v>9360</v>
      </c>
      <c r="K132" s="2" t="str">
        <f t="shared" si="38"/>
        <v/>
      </c>
      <c r="L132" s="2" t="str">
        <f t="shared" si="36"/>
        <v/>
      </c>
      <c r="M132" s="2" t="str">
        <f t="shared" si="36"/>
        <v/>
      </c>
      <c r="N132" s="12" t="str">
        <f t="shared" si="36"/>
        <v/>
      </c>
    </row>
    <row r="133" spans="1:14" x14ac:dyDescent="0.2">
      <c r="A133" s="627" t="str">
        <f t="shared" si="35"/>
        <v>AAAAAAA</v>
      </c>
      <c r="B133" s="628"/>
      <c r="C133" s="77" t="s">
        <v>9360</v>
      </c>
      <c r="D133" s="77" t="s">
        <v>9360</v>
      </c>
      <c r="E133" s="77">
        <f t="shared" si="37"/>
        <v>0</v>
      </c>
      <c r="F133" s="16" t="str">
        <f>IF($A$126="","",IF(VLOOKUP($A132,Products!$A$59:$H$159,5,FALSE)="","",VLOOKUP($A132,Products!$A$59:$H$159,5,FALSE)))</f>
        <v/>
      </c>
      <c r="G133" s="16" t="str">
        <f>IF($A$126="","",IF(VLOOKUP($A132,Products!$A$59:$H$159,8,FALSE)="","",VLOOKUP($A132,Products!$A$59:$H$159,8,FALSE)))</f>
        <v/>
      </c>
      <c r="H133" s="77" t="s">
        <v>9360</v>
      </c>
      <c r="I133" s="77" t="s">
        <v>9360</v>
      </c>
      <c r="J133" s="77" t="s">
        <v>9360</v>
      </c>
      <c r="K133" s="2" t="str">
        <f t="shared" si="38"/>
        <v/>
      </c>
      <c r="L133" s="2" t="str">
        <f t="shared" si="36"/>
        <v/>
      </c>
      <c r="M133" s="2" t="str">
        <f t="shared" si="36"/>
        <v/>
      </c>
      <c r="N133" s="12" t="str">
        <f t="shared" si="36"/>
        <v/>
      </c>
    </row>
    <row r="134" spans="1:14" x14ac:dyDescent="0.2">
      <c r="A134" s="627" t="str">
        <f t="shared" si="35"/>
        <v>AAAAAAAA</v>
      </c>
      <c r="B134" s="628"/>
      <c r="C134" s="77" t="s">
        <v>9360</v>
      </c>
      <c r="D134" s="77" t="s">
        <v>9360</v>
      </c>
      <c r="E134" s="77">
        <f t="shared" si="37"/>
        <v>0</v>
      </c>
      <c r="F134" s="16" t="str">
        <f>IF($A$126="","",IF(VLOOKUP($A133,Products!$A$59:$H$159,5,FALSE)="","",VLOOKUP($A133,Products!$A$59:$H$159,5,FALSE)))</f>
        <v/>
      </c>
      <c r="G134" s="16" t="str">
        <f>IF($A$126="","",IF(VLOOKUP($A133,Products!$A$59:$H$159,8,FALSE)="","",VLOOKUP($A133,Products!$A$59:$H$159,8,FALSE)))</f>
        <v/>
      </c>
      <c r="H134" s="77" t="s">
        <v>9360</v>
      </c>
      <c r="I134" s="77" t="s">
        <v>9360</v>
      </c>
      <c r="J134" s="77" t="s">
        <v>9360</v>
      </c>
      <c r="K134" s="2" t="str">
        <f t="shared" si="38"/>
        <v/>
      </c>
      <c r="L134" s="2" t="str">
        <f t="shared" si="36"/>
        <v/>
      </c>
      <c r="M134" s="2" t="str">
        <f t="shared" si="36"/>
        <v/>
      </c>
      <c r="N134" s="12" t="str">
        <f t="shared" si="36"/>
        <v/>
      </c>
    </row>
    <row r="135" spans="1:14" x14ac:dyDescent="0.2">
      <c r="A135" s="627" t="str">
        <f t="shared" si="35"/>
        <v>AAAAAAAAA</v>
      </c>
      <c r="B135" s="628"/>
      <c r="C135" s="77" t="s">
        <v>9360</v>
      </c>
      <c r="D135" s="77" t="s">
        <v>9360</v>
      </c>
      <c r="E135" s="77">
        <f t="shared" si="37"/>
        <v>0</v>
      </c>
      <c r="F135" s="16" t="str">
        <f>IF($A$126="","",IF(VLOOKUP($A134,Products!$A$59:$H$159,5,FALSE)="","",VLOOKUP($A134,Products!$A$59:$H$159,5,FALSE)))</f>
        <v/>
      </c>
      <c r="G135" s="16" t="str">
        <f>IF($A$126="","",IF(VLOOKUP($A134,Products!$A$59:$H$159,8,FALSE)="","",VLOOKUP($A134,Products!$A$59:$H$159,8,FALSE)))</f>
        <v/>
      </c>
      <c r="H135" s="77" t="s">
        <v>9360</v>
      </c>
      <c r="I135" s="77" t="s">
        <v>9360</v>
      </c>
      <c r="J135" s="77" t="s">
        <v>9360</v>
      </c>
      <c r="K135" s="2" t="str">
        <f t="shared" si="38"/>
        <v/>
      </c>
      <c r="L135" s="2" t="str">
        <f t="shared" si="36"/>
        <v/>
      </c>
      <c r="M135" s="2" t="str">
        <f t="shared" si="36"/>
        <v/>
      </c>
      <c r="N135" s="12" t="str">
        <f t="shared" si="36"/>
        <v/>
      </c>
    </row>
    <row r="136" spans="1:14" ht="15" thickBot="1" x14ac:dyDescent="0.25">
      <c r="A136" s="629" t="str">
        <f t="shared" si="35"/>
        <v>AAAAAAAAAA</v>
      </c>
      <c r="B136" s="630"/>
      <c r="C136" s="78" t="s">
        <v>9360</v>
      </c>
      <c r="D136" s="78" t="s">
        <v>9360</v>
      </c>
      <c r="E136" s="78">
        <f t="shared" si="37"/>
        <v>0</v>
      </c>
      <c r="F136" s="28" t="str">
        <f>IF($A$126="","",IF(VLOOKUP($A135,Products!$A$59:$H$159,5,FALSE)="","",VLOOKUP($A135,Products!$A$59:$H$159,5,FALSE)))</f>
        <v/>
      </c>
      <c r="G136" s="28" t="str">
        <f>IF($A$126="","",IF(VLOOKUP($A135,Products!$A$59:$H$159,8,FALSE)="","",VLOOKUP($A135,Products!$A$59:$H$159,8,FALSE)))</f>
        <v/>
      </c>
      <c r="H136" s="78" t="s">
        <v>9360</v>
      </c>
      <c r="I136" s="78" t="s">
        <v>9360</v>
      </c>
      <c r="J136" s="78" t="s">
        <v>9360</v>
      </c>
      <c r="K136" s="13" t="str">
        <f t="shared" si="38"/>
        <v/>
      </c>
      <c r="L136" s="13" t="str">
        <f t="shared" si="36"/>
        <v/>
      </c>
      <c r="M136" s="13" t="str">
        <f t="shared" si="36"/>
        <v/>
      </c>
      <c r="N136" s="14" t="str">
        <f t="shared" si="36"/>
        <v/>
      </c>
    </row>
    <row r="137" spans="1:14" x14ac:dyDescent="0.2">
      <c r="A137" s="478" t="s">
        <v>130</v>
      </c>
      <c r="B137" s="478"/>
      <c r="C137" s="478"/>
      <c r="D137" s="478"/>
      <c r="E137" s="478"/>
      <c r="F137" s="478"/>
      <c r="G137" s="478"/>
      <c r="H137" s="478"/>
      <c r="I137" s="478"/>
      <c r="J137" s="478"/>
      <c r="K137" s="478"/>
      <c r="L137" s="478"/>
      <c r="M137" s="478"/>
      <c r="N137" s="478"/>
    </row>
  </sheetData>
  <sheetProtection algorithmName="SHA-512" hashValue="VAlcpf1x9wUWTMNgsrDUF4Uwdbw752N584i+7LgsBNTSKC6xawSLcx9vx5jAOlxpWJKI3NqPCJRbeGOfK1VISw==" saltValue="Ks0psmfVTj/ke2nlo9ErgA==" spinCount="100000" sheet="1" objects="1" scenarios="1" formatColumns="0" formatRows="0"/>
  <mergeCells count="163">
    <mergeCell ref="A18:E18"/>
    <mergeCell ref="F18:I18"/>
    <mergeCell ref="J18:N18"/>
    <mergeCell ref="A1:N1"/>
    <mergeCell ref="A2:N2"/>
    <mergeCell ref="A3:N3"/>
    <mergeCell ref="A4:N4"/>
    <mergeCell ref="A5:N5"/>
    <mergeCell ref="A6:E6"/>
    <mergeCell ref="F6:N6"/>
    <mergeCell ref="A10:E10"/>
    <mergeCell ref="F10:N10"/>
    <mergeCell ref="A11:E11"/>
    <mergeCell ref="F11:N11"/>
    <mergeCell ref="A7:E7"/>
    <mergeCell ref="F7:N7"/>
    <mergeCell ref="A8:E8"/>
    <mergeCell ref="F8:N8"/>
    <mergeCell ref="A9:E9"/>
    <mergeCell ref="F9:N9"/>
    <mergeCell ref="A16:E16"/>
    <mergeCell ref="F16:I16"/>
    <mergeCell ref="J16:N16"/>
    <mergeCell ref="A17:E17"/>
    <mergeCell ref="F17:I17"/>
    <mergeCell ref="J17:N17"/>
    <mergeCell ref="A12:N12"/>
    <mergeCell ref="A13:N13"/>
    <mergeCell ref="A14:E14"/>
    <mergeCell ref="F14:I14"/>
    <mergeCell ref="J14:N14"/>
    <mergeCell ref="A15:E15"/>
    <mergeCell ref="F15:I15"/>
    <mergeCell ref="J15:N15"/>
    <mergeCell ref="A21:E21"/>
    <mergeCell ref="F21:I21"/>
    <mergeCell ref="J21:N21"/>
    <mergeCell ref="A22:E22"/>
    <mergeCell ref="F22:I22"/>
    <mergeCell ref="J22:N22"/>
    <mergeCell ref="A19:E19"/>
    <mergeCell ref="F19:I19"/>
    <mergeCell ref="J19:N19"/>
    <mergeCell ref="A20:E20"/>
    <mergeCell ref="F20:I20"/>
    <mergeCell ref="J20:N20"/>
    <mergeCell ref="A27:B27"/>
    <mergeCell ref="A28:B28"/>
    <mergeCell ref="A29:B29"/>
    <mergeCell ref="A30:B30"/>
    <mergeCell ref="A31:B31"/>
    <mergeCell ref="A32:B32"/>
    <mergeCell ref="A23:E23"/>
    <mergeCell ref="F23:I23"/>
    <mergeCell ref="J23:N23"/>
    <mergeCell ref="A24:N24"/>
    <mergeCell ref="A25:N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N137"/>
    <mergeCell ref="A129:B129"/>
    <mergeCell ref="A130:B130"/>
    <mergeCell ref="A131:B131"/>
    <mergeCell ref="A132:B132"/>
    <mergeCell ref="A133:B133"/>
    <mergeCell ref="A134:B134"/>
  </mergeCells>
  <conditionalFormatting sqref="A10:N137">
    <cfRule type="expression" dxfId="225" priority="6">
      <formula>$F$6="affected"</formula>
    </cfRule>
  </conditionalFormatting>
  <conditionalFormatting sqref="F18:I18">
    <cfRule type="expression" dxfId="224" priority="5">
      <formula>$F$18&lt;MAX($I$27,$I$38,$I$49,$I$60,$I$71,$I$82,$I$93,$I$104,$I$115,$I$126)</formula>
    </cfRule>
  </conditionalFormatting>
  <conditionalFormatting sqref="F19:I19">
    <cfRule type="expression" dxfId="223" priority="1">
      <formula>AND(COUNTIF($E$27:$E$136,"YES")&gt;0,$F$19="NO CONTROL")</formula>
    </cfRule>
    <cfRule type="expression" dxfId="222" priority="3">
      <formula>AND($F$18&gt;=0.5,$F$19="no control")</formula>
    </cfRule>
    <cfRule type="expression" dxfId="221" priority="4">
      <formula>AND($F$19="no control",MAX($I$27,$I$38,$I$49,$I$60,$I$71,$I$82,$I$93,$I$104,$I$115,$I$126)&gt;=0.5)</formula>
    </cfRule>
  </conditionalFormatting>
  <dataValidations count="18">
    <dataValidation type="decimal" operator="greaterThanOrEqual" allowBlank="1" showErrorMessage="1" prompt="Enter maximum temperature of bulk liquid loaded in degrees R." sqref="F22:I22" xr:uid="{1BD34D5E-101B-492B-8388-83172740BAB1}">
      <formula1>554.67</formula1>
    </dataValidation>
    <dataValidation type="decimal" operator="greaterThanOrEqual" allowBlank="1" showErrorMessage="1" prompt="Enter average annual temperature of bulk liquid loaded in degrees R." sqref="F23:I23" xr:uid="{765EC1E4-4440-4648-A5FC-8C5A0EB74E54}">
      <formula1>524.67</formula1>
    </dataValidation>
    <dataValidation type="list" allowBlank="1" showErrorMessage="1" prompt="Choose a product." sqref="A27:B27 A38:B38 A49:B49 A60:B60 A71:B71 A82:B82 A93:B93 A104:B104 A115:B115 A126:B126" xr:uid="{9C1F5511-42A1-4328-A7E0-CCBA13BD9696}">
      <formula1>ProdList</formula1>
    </dataValidation>
    <dataValidation type="list" allowBlank="1" showErrorMessage="1" prompt="Select one" sqref="F6:N6" xr:uid="{DAD3DDAD-040F-4FF8-BCBB-6B0C8D0E1B5F}">
      <formula1>"Affected,Modified,New"</formula1>
    </dataValidation>
    <dataValidation allowBlank="1" showErrorMessage="1" prompt="Enter FIN" sqref="F7:N7" xr:uid="{1C958E02-69C4-4CC2-8E06-CF3337F2185C}"/>
    <dataValidation allowBlank="1" showErrorMessage="1" prompt="Enter EPN" sqref="F8:N8" xr:uid="{A7BA08C2-EE8E-4314-A014-CB96C8874058}"/>
    <dataValidation allowBlank="1" showErrorMessage="1" prompt="Enter source name" sqref="F9:N9" xr:uid="{0761A0F5-D5CA-47DD-A366-5EDD66DD2B8D}"/>
    <dataValidation allowBlank="1" showErrorMessage="1" prompt="Enter UTM easting in meters." sqref="F10:N10" xr:uid="{0DD69E74-2DD1-4A34-BFB6-576DDCB1C585}"/>
    <dataValidation allowBlank="1" showErrorMessage="1" prompt="Enter UTM northing in meters." sqref="F11:N11" xr:uid="{5B0E2314-C345-458E-8655-C6D229826B12}"/>
    <dataValidation type="decimal" operator="greaterThanOrEqual" allowBlank="1" showErrorMessage="1" prompt="Enter distance to property line in ft." sqref="F15:I15" xr:uid="{347C6276-99C3-460A-AC6A-939EC48D9D8C}">
      <formula1>25</formula1>
    </dataValidation>
    <dataValidation type="decimal" operator="greaterThanOrEqual" allowBlank="1" showErrorMessage="1" prompt="Enter release height in ft." sqref="F16:I16" xr:uid="{E371831B-B409-448E-8F37-60DFEB47F3C8}">
      <formula1>3</formula1>
    </dataValidation>
    <dataValidation type="list" allowBlank="1" showErrorMessage="1" prompt="Select the loading control device." sqref="F19:I19" xr:uid="{B8CAB75E-14AE-4A41-9098-53B696F23C14}">
      <formula1>IF($F$18&gt;=0.5,TnkLoad_Ctrl_req,TnkLoad_Ctrl_notreq)</formula1>
    </dataValidation>
    <dataValidation type="decimal" operator="greaterThanOrEqual" allowBlank="1" showErrorMessage="1" prompt="Enter the collection efficiency as a percentage." sqref="F20:I20" xr:uid="{A6DDFF3D-D829-4EA1-A7B8-A44F87629ACD}">
      <formula1>0.7</formula1>
    </dataValidation>
    <dataValidation type="decimal" operator="greaterThanOrEqual" allowBlank="1" showErrorMessage="1" sqref="F21:I21" xr:uid="{5AE9F52A-01BF-479F-9AA2-A82806DBFCA5}">
      <formula1>0.6</formula1>
    </dataValidation>
    <dataValidation allowBlank="1" showErrorMessage="1" prompt="Proposed annual throughput increase in bbl/yr." sqref="D27 D38 D49 D60 D71 D82 D93 D104 D115 D126" xr:uid="{E337DE94-010A-4298-8BDE-E0364ECDCC82}"/>
    <dataValidation type="decimal" operator="greaterThan" allowBlank="1" showErrorMessage="1" prompt="enter the highest true vapor pressure of all products to be loaded (psia at maximum temperature)" sqref="F18:I18" xr:uid="{0A614532-4299-4320-B394-95C75B8F4370}">
      <formula1>0</formula1>
    </dataValidation>
    <dataValidation allowBlank="1" showErrorMessage="1" prompt="Proposed hourly throughput increase in bbl/hr." sqref="C126 C115 C104 C93 C82 C71 C60 C49 C38 C27" xr:uid="{EA3496EC-BC36-4701-AF6F-01AED6E1C6C4}"/>
    <dataValidation type="list" allowBlank="1" showErrorMessage="1" prompt="Choose yes or no." sqref="E126 E115 E104 E93 E82 E71 E60 E49 E38 E27" xr:uid="{2568AECA-0C41-4E91-AAC2-9B7723ED8989}">
      <formula1>"Yes,No"</formula1>
    </dataValidation>
  </dataValidations>
  <printOptions horizontalCentered="1"/>
  <pageMargins left="0.7" right="0.7" top="0.75" bottom="0.75" header="0.3" footer="0.3"/>
  <pageSetup scale="68" orientation="landscape" r:id="rId1"/>
  <headerFooter>
    <oddHeader>&amp;C&amp;"Calibri,Regular"Marine Loading RAP Application</oddHeader>
    <oddFooter>&amp;L&amp;"Calibri,Regular"Version 1.0&amp;C&amp;"Calibri,Regular"Sheet: &amp;A&amp;R&amp;"Calibri,Regular"Page &amp;P</oddFooter>
  </headerFooter>
  <extLst>
    <ext xmlns:x14="http://schemas.microsoft.com/office/spreadsheetml/2009/9/main" uri="{78C0D931-6437-407d-A8EE-F0AAD7539E65}">
      <x14:conditionalFormattings>
        <x14:conditionalFormatting xmlns:xm="http://schemas.microsoft.com/office/excel/2006/main">
          <x14:cfRule type="expression" priority="7" id="{77751419-C8C7-409C-AFD1-CF01532D383B}">
            <xm:f>'PI-1-MarineLoading'!$G$116="no"</xm:f>
            <x14:dxf>
              <numFmt numFmtId="164" formatCode=";;;"/>
              <fill>
                <patternFill>
                  <bgColor theme="0" tint="-0.499984740745262"/>
                </patternFill>
              </fill>
            </x14:dxf>
          </x14:cfRule>
          <xm:sqref>A1:N137</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D567E-5FE0-456C-A892-F7432ACEDC18}">
  <sheetPr codeName="Sheet12">
    <tabColor rgb="FFFFFFCC"/>
  </sheetPr>
  <dimension ref="A1:O137"/>
  <sheetViews>
    <sheetView showGridLines="0" zoomScaleNormal="100" workbookViewId="0">
      <selection sqref="A1:N1"/>
    </sheetView>
  </sheetViews>
  <sheetFormatPr defaultColWidth="0" defaultRowHeight="14.25" zeroHeight="1" x14ac:dyDescent="0.2"/>
  <cols>
    <col min="1" max="2" width="13" customWidth="1"/>
    <col min="3" max="4" width="10.625" customWidth="1"/>
    <col min="5" max="5" width="11" customWidth="1"/>
    <col min="6" max="6" width="20.75" customWidth="1"/>
    <col min="7" max="7" width="8" customWidth="1"/>
    <col min="8" max="8" width="9.625" customWidth="1"/>
    <col min="9" max="10" width="12.125" customWidth="1"/>
    <col min="11" max="12" width="11.25" customWidth="1"/>
    <col min="13" max="14" width="9.625" customWidth="1"/>
    <col min="15" max="15" width="2.625" customWidth="1"/>
    <col min="16" max="16384" width="9" hidden="1"/>
  </cols>
  <sheetData>
    <row r="1" spans="1:14" ht="8.25" customHeight="1" thickBot="1" x14ac:dyDescent="0.25">
      <c r="A1" s="478" t="s">
        <v>0</v>
      </c>
      <c r="B1" s="478"/>
      <c r="C1" s="478"/>
      <c r="D1" s="478"/>
      <c r="E1" s="478"/>
      <c r="F1" s="478"/>
      <c r="G1" s="478"/>
      <c r="H1" s="478"/>
      <c r="I1" s="478"/>
      <c r="J1" s="478"/>
      <c r="K1" s="478"/>
      <c r="L1" s="478"/>
      <c r="M1" s="478"/>
      <c r="N1" s="478"/>
    </row>
    <row r="2" spans="1:14" ht="18.75" thickBot="1" x14ac:dyDescent="0.25">
      <c r="A2" s="525" t="s">
        <v>328</v>
      </c>
      <c r="B2" s="525"/>
      <c r="C2" s="525"/>
      <c r="D2" s="525"/>
      <c r="E2" s="525"/>
      <c r="F2" s="525"/>
      <c r="G2" s="525"/>
      <c r="H2" s="525"/>
      <c r="I2" s="525"/>
      <c r="J2" s="525"/>
      <c r="K2" s="525"/>
      <c r="L2" s="525"/>
      <c r="M2" s="525"/>
      <c r="N2" s="525"/>
    </row>
    <row r="3" spans="1:14" ht="174.75" customHeight="1" thickBot="1" x14ac:dyDescent="0.25">
      <c r="A3" s="523" t="s">
        <v>9694</v>
      </c>
      <c r="B3" s="602"/>
      <c r="C3" s="602"/>
      <c r="D3" s="602"/>
      <c r="E3" s="602"/>
      <c r="F3" s="602"/>
      <c r="G3" s="602"/>
      <c r="H3" s="602"/>
      <c r="I3" s="602"/>
      <c r="J3" s="602"/>
      <c r="K3" s="602"/>
      <c r="L3" s="602"/>
      <c r="M3" s="602"/>
      <c r="N3" s="524"/>
    </row>
    <row r="4" spans="1:14" ht="15" thickBot="1" x14ac:dyDescent="0.25">
      <c r="A4" s="478" t="s">
        <v>1</v>
      </c>
      <c r="B4" s="478"/>
      <c r="C4" s="478"/>
      <c r="D4" s="478"/>
      <c r="E4" s="478"/>
      <c r="F4" s="478"/>
      <c r="G4" s="478"/>
      <c r="H4" s="478"/>
      <c r="I4" s="478"/>
      <c r="J4" s="478"/>
      <c r="K4" s="478"/>
      <c r="L4" s="478"/>
      <c r="M4" s="478"/>
      <c r="N4" s="478"/>
    </row>
    <row r="5" spans="1:14" ht="15.75" thickBot="1" x14ac:dyDescent="0.25">
      <c r="A5" s="474" t="s">
        <v>133</v>
      </c>
      <c r="B5" s="474"/>
      <c r="C5" s="474"/>
      <c r="D5" s="474"/>
      <c r="E5" s="474"/>
      <c r="F5" s="474"/>
      <c r="G5" s="474"/>
      <c r="H5" s="474"/>
      <c r="I5" s="474"/>
      <c r="J5" s="474"/>
      <c r="K5" s="474"/>
      <c r="L5" s="474"/>
      <c r="M5" s="474"/>
      <c r="N5" s="474"/>
    </row>
    <row r="6" spans="1:14" x14ac:dyDescent="0.2">
      <c r="A6" s="605" t="s">
        <v>166</v>
      </c>
      <c r="B6" s="606"/>
      <c r="C6" s="606"/>
      <c r="D6" s="606"/>
      <c r="E6" s="606"/>
      <c r="F6" s="679"/>
      <c r="G6" s="679"/>
      <c r="H6" s="679"/>
      <c r="I6" s="679"/>
      <c r="J6" s="679"/>
      <c r="K6" s="679"/>
      <c r="L6" s="679"/>
      <c r="M6" s="679"/>
      <c r="N6" s="680"/>
    </row>
    <row r="7" spans="1:14" x14ac:dyDescent="0.2">
      <c r="A7" s="528" t="s">
        <v>167</v>
      </c>
      <c r="B7" s="529"/>
      <c r="C7" s="529"/>
      <c r="D7" s="529"/>
      <c r="E7" s="529"/>
      <c r="F7" s="579"/>
      <c r="G7" s="579"/>
      <c r="H7" s="579"/>
      <c r="I7" s="579"/>
      <c r="J7" s="579"/>
      <c r="K7" s="579"/>
      <c r="L7" s="579"/>
      <c r="M7" s="579"/>
      <c r="N7" s="580"/>
    </row>
    <row r="8" spans="1:14" x14ac:dyDescent="0.2">
      <c r="A8" s="528" t="s">
        <v>168</v>
      </c>
      <c r="B8" s="529"/>
      <c r="C8" s="529"/>
      <c r="D8" s="529"/>
      <c r="E8" s="529"/>
      <c r="F8" s="579"/>
      <c r="G8" s="579"/>
      <c r="H8" s="579"/>
      <c r="I8" s="579"/>
      <c r="J8" s="579"/>
      <c r="K8" s="579"/>
      <c r="L8" s="579"/>
      <c r="M8" s="579"/>
      <c r="N8" s="580"/>
    </row>
    <row r="9" spans="1:14" x14ac:dyDescent="0.2">
      <c r="A9" s="528" t="s">
        <v>169</v>
      </c>
      <c r="B9" s="529"/>
      <c r="C9" s="529"/>
      <c r="D9" s="529"/>
      <c r="E9" s="529"/>
      <c r="F9" s="579"/>
      <c r="G9" s="579"/>
      <c r="H9" s="579"/>
      <c r="I9" s="579"/>
      <c r="J9" s="579"/>
      <c r="K9" s="579"/>
      <c r="L9" s="579"/>
      <c r="M9" s="579"/>
      <c r="N9" s="580"/>
    </row>
    <row r="10" spans="1:14" x14ac:dyDescent="0.2">
      <c r="A10" s="528" t="s">
        <v>170</v>
      </c>
      <c r="B10" s="529"/>
      <c r="C10" s="529"/>
      <c r="D10" s="529"/>
      <c r="E10" s="529"/>
      <c r="F10" s="579"/>
      <c r="G10" s="579"/>
      <c r="H10" s="579"/>
      <c r="I10" s="579"/>
      <c r="J10" s="579"/>
      <c r="K10" s="579"/>
      <c r="L10" s="579"/>
      <c r="M10" s="579"/>
      <c r="N10" s="580"/>
    </row>
    <row r="11" spans="1:14" ht="15" thickBot="1" x14ac:dyDescent="0.25">
      <c r="A11" s="548" t="s">
        <v>171</v>
      </c>
      <c r="B11" s="549"/>
      <c r="C11" s="549"/>
      <c r="D11" s="549"/>
      <c r="E11" s="549"/>
      <c r="F11" s="577"/>
      <c r="G11" s="577"/>
      <c r="H11" s="577"/>
      <c r="I11" s="577"/>
      <c r="J11" s="577"/>
      <c r="K11" s="577"/>
      <c r="L11" s="577"/>
      <c r="M11" s="577"/>
      <c r="N11" s="578"/>
    </row>
    <row r="12" spans="1:14" ht="15" thickBot="1" x14ac:dyDescent="0.25">
      <c r="A12" s="478" t="s">
        <v>1</v>
      </c>
      <c r="B12" s="478"/>
      <c r="C12" s="478"/>
      <c r="D12" s="478"/>
      <c r="E12" s="478"/>
      <c r="F12" s="478"/>
      <c r="G12" s="478"/>
      <c r="H12" s="478"/>
      <c r="I12" s="478"/>
      <c r="J12" s="478"/>
      <c r="K12" s="478"/>
      <c r="L12" s="478"/>
      <c r="M12" s="478"/>
      <c r="N12" s="478"/>
    </row>
    <row r="13" spans="1:14" ht="15.75" thickBot="1" x14ac:dyDescent="0.25">
      <c r="A13" s="474" t="s">
        <v>9166</v>
      </c>
      <c r="B13" s="474"/>
      <c r="C13" s="474"/>
      <c r="D13" s="474"/>
      <c r="E13" s="474"/>
      <c r="F13" s="474"/>
      <c r="G13" s="474"/>
      <c r="H13" s="474"/>
      <c r="I13" s="474"/>
      <c r="J13" s="474"/>
      <c r="K13" s="474"/>
      <c r="L13" s="474"/>
      <c r="M13" s="474"/>
      <c r="N13" s="474"/>
    </row>
    <row r="14" spans="1:14" ht="15" x14ac:dyDescent="0.2">
      <c r="A14" s="506" t="s">
        <v>9167</v>
      </c>
      <c r="B14" s="507"/>
      <c r="C14" s="507"/>
      <c r="D14" s="507"/>
      <c r="E14" s="507"/>
      <c r="F14" s="663" t="s">
        <v>172</v>
      </c>
      <c r="G14" s="663"/>
      <c r="H14" s="663"/>
      <c r="I14" s="663"/>
      <c r="J14" s="507" t="s">
        <v>8723</v>
      </c>
      <c r="K14" s="507"/>
      <c r="L14" s="507"/>
      <c r="M14" s="507"/>
      <c r="N14" s="508"/>
    </row>
    <row r="15" spans="1:14" x14ac:dyDescent="0.2">
      <c r="A15" s="528" t="s">
        <v>176</v>
      </c>
      <c r="B15" s="529"/>
      <c r="C15" s="529"/>
      <c r="D15" s="529"/>
      <c r="E15" s="529"/>
      <c r="F15" s="579"/>
      <c r="G15" s="579"/>
      <c r="H15" s="579"/>
      <c r="I15" s="579"/>
      <c r="J15" s="727" t="s">
        <v>9155</v>
      </c>
      <c r="K15" s="727"/>
      <c r="L15" s="727"/>
      <c r="M15" s="727"/>
      <c r="N15" s="728"/>
    </row>
    <row r="16" spans="1:14" x14ac:dyDescent="0.2">
      <c r="A16" s="528" t="s">
        <v>177</v>
      </c>
      <c r="B16" s="529"/>
      <c r="C16" s="529"/>
      <c r="D16" s="529"/>
      <c r="E16" s="529"/>
      <c r="F16" s="579"/>
      <c r="G16" s="579"/>
      <c r="H16" s="579"/>
      <c r="I16" s="579"/>
      <c r="J16" s="529" t="s">
        <v>9234</v>
      </c>
      <c r="K16" s="529"/>
      <c r="L16" s="529"/>
      <c r="M16" s="529"/>
      <c r="N16" s="714"/>
    </row>
    <row r="17" spans="1:14" ht="15" x14ac:dyDescent="0.2">
      <c r="A17" s="725" t="s">
        <v>9169</v>
      </c>
      <c r="B17" s="717"/>
      <c r="C17" s="717"/>
      <c r="D17" s="717"/>
      <c r="E17" s="717"/>
      <c r="F17" s="716" t="s">
        <v>172</v>
      </c>
      <c r="G17" s="716"/>
      <c r="H17" s="716"/>
      <c r="I17" s="716"/>
      <c r="J17" s="717" t="s">
        <v>8723</v>
      </c>
      <c r="K17" s="717"/>
      <c r="L17" s="717"/>
      <c r="M17" s="717"/>
      <c r="N17" s="718"/>
    </row>
    <row r="18" spans="1:14" ht="32.25" customHeight="1" x14ac:dyDescent="0.2">
      <c r="A18" s="530" t="s">
        <v>10630</v>
      </c>
      <c r="B18" s="531"/>
      <c r="C18" s="531"/>
      <c r="D18" s="531"/>
      <c r="E18" s="531"/>
      <c r="F18" s="579"/>
      <c r="G18" s="579"/>
      <c r="H18" s="579"/>
      <c r="I18" s="579"/>
      <c r="J18" s="689" t="s">
        <v>10631</v>
      </c>
      <c r="K18" s="690"/>
      <c r="L18" s="690"/>
      <c r="M18" s="690"/>
      <c r="N18" s="691"/>
    </row>
    <row r="19" spans="1:14" ht="32.25" customHeight="1" x14ac:dyDescent="0.2">
      <c r="A19" s="528" t="s">
        <v>230</v>
      </c>
      <c r="B19" s="529"/>
      <c r="C19" s="529"/>
      <c r="D19" s="529"/>
      <c r="E19" s="529"/>
      <c r="F19" s="579"/>
      <c r="G19" s="579"/>
      <c r="H19" s="579"/>
      <c r="I19" s="579"/>
      <c r="J19" s="531" t="s">
        <v>9257</v>
      </c>
      <c r="K19" s="531"/>
      <c r="L19" s="531"/>
      <c r="M19" s="531"/>
      <c r="N19" s="538"/>
    </row>
    <row r="20" spans="1:14" x14ac:dyDescent="0.2">
      <c r="A20" s="528" t="s">
        <v>231</v>
      </c>
      <c r="B20" s="529"/>
      <c r="C20" s="529"/>
      <c r="D20" s="529"/>
      <c r="E20" s="529"/>
      <c r="F20" s="726"/>
      <c r="G20" s="726"/>
      <c r="H20" s="726"/>
      <c r="I20" s="726"/>
      <c r="J20" s="727" t="s">
        <v>9366</v>
      </c>
      <c r="K20" s="727"/>
      <c r="L20" s="727"/>
      <c r="M20" s="727"/>
      <c r="N20" s="728"/>
    </row>
    <row r="21" spans="1:14" x14ac:dyDescent="0.2">
      <c r="A21" s="528" t="s">
        <v>232</v>
      </c>
      <c r="B21" s="529"/>
      <c r="C21" s="529"/>
      <c r="D21" s="529"/>
      <c r="E21" s="529"/>
      <c r="F21" s="579"/>
      <c r="G21" s="579"/>
      <c r="H21" s="579"/>
      <c r="I21" s="579"/>
      <c r="J21" s="466" t="s">
        <v>10798</v>
      </c>
      <c r="K21" s="466"/>
      <c r="L21" s="466"/>
      <c r="M21" s="466"/>
      <c r="N21" s="466"/>
    </row>
    <row r="22" spans="1:14" ht="15" x14ac:dyDescent="0.25">
      <c r="A22" s="712" t="s">
        <v>234</v>
      </c>
      <c r="B22" s="713"/>
      <c r="C22" s="713"/>
      <c r="D22" s="713"/>
      <c r="E22" s="713"/>
      <c r="F22" s="579"/>
      <c r="G22" s="579"/>
      <c r="H22" s="579"/>
      <c r="I22" s="579"/>
      <c r="J22" s="529" t="s">
        <v>9258</v>
      </c>
      <c r="K22" s="529"/>
      <c r="L22" s="529"/>
      <c r="M22" s="529"/>
      <c r="N22" s="714"/>
    </row>
    <row r="23" spans="1:14" ht="15" thickBot="1" x14ac:dyDescent="0.25">
      <c r="A23" s="548" t="s">
        <v>235</v>
      </c>
      <c r="B23" s="549"/>
      <c r="C23" s="549"/>
      <c r="D23" s="549"/>
      <c r="E23" s="549"/>
      <c r="F23" s="577"/>
      <c r="G23" s="577"/>
      <c r="H23" s="577"/>
      <c r="I23" s="577"/>
      <c r="J23" s="549" t="s">
        <v>9259</v>
      </c>
      <c r="K23" s="549"/>
      <c r="L23" s="549"/>
      <c r="M23" s="549"/>
      <c r="N23" s="550"/>
    </row>
    <row r="24" spans="1:14" ht="15" thickBot="1" x14ac:dyDescent="0.25">
      <c r="A24" s="478" t="s">
        <v>1</v>
      </c>
      <c r="B24" s="478"/>
      <c r="C24" s="478"/>
      <c r="D24" s="478"/>
      <c r="E24" s="478"/>
      <c r="F24" s="478"/>
      <c r="G24" s="478"/>
      <c r="H24" s="478"/>
      <c r="I24" s="478"/>
      <c r="J24" s="478"/>
      <c r="K24" s="478"/>
      <c r="L24" s="478"/>
      <c r="M24" s="478"/>
      <c r="N24" s="478"/>
    </row>
    <row r="25" spans="1:14" ht="15.75" thickBot="1" x14ac:dyDescent="0.25">
      <c r="A25" s="474" t="s">
        <v>279</v>
      </c>
      <c r="B25" s="474"/>
      <c r="C25" s="474"/>
      <c r="D25" s="474"/>
      <c r="E25" s="474"/>
      <c r="F25" s="474"/>
      <c r="G25" s="474"/>
      <c r="H25" s="474"/>
      <c r="I25" s="474"/>
      <c r="J25" s="474"/>
      <c r="K25" s="474"/>
      <c r="L25" s="474"/>
      <c r="M25" s="474"/>
      <c r="N25" s="474"/>
    </row>
    <row r="26" spans="1:14" ht="91.5" customHeight="1" x14ac:dyDescent="0.2">
      <c r="A26" s="539" t="s">
        <v>236</v>
      </c>
      <c r="B26" s="540"/>
      <c r="C26" s="49" t="str">
        <f>IF($F$6="modified","Proposed increase in hourly throughput (bbl/hr)","Proposed hourly throughput (bbl/hr)")</f>
        <v>Proposed hourly throughput (bbl/hr)</v>
      </c>
      <c r="D26" s="49" t="str">
        <f>IF($F$6="modified","Proposed increase in annual throughput (bbl/yr)","Proposed annual throughput (bbl/yr)")</f>
        <v>Proposed annual throughput (bbl/yr)</v>
      </c>
      <c r="E26" s="49" t="s">
        <v>9298</v>
      </c>
      <c r="F26" s="49" t="s">
        <v>8751</v>
      </c>
      <c r="G26" s="49" t="s">
        <v>9180</v>
      </c>
      <c r="H26" s="49" t="s">
        <v>8711</v>
      </c>
      <c r="I26" s="49" t="s">
        <v>237</v>
      </c>
      <c r="J26" s="49" t="s">
        <v>238</v>
      </c>
      <c r="K26" s="49" t="str">
        <f>IF($F$6="modified","Proposed increase in uncollected hourly emissions (lb/hr)","Proposed uncollected hourly emissions (lb/hr)")</f>
        <v>Proposed uncollected hourly emissions (lb/hr)</v>
      </c>
      <c r="L26" s="49" t="str">
        <f>IF($F$6="modified","Proposed increase in uncollected annual emissions (tpy)","Proposed uncollected annual emissions (tpy)")</f>
        <v>Proposed uncollected annual emissions (tpy)</v>
      </c>
      <c r="M26" s="49" t="s">
        <v>9282</v>
      </c>
      <c r="N26" s="117" t="s">
        <v>9283</v>
      </c>
    </row>
    <row r="27" spans="1:14" x14ac:dyDescent="0.2">
      <c r="A27" s="651"/>
      <c r="B27" s="615"/>
      <c r="C27" s="41"/>
      <c r="D27" s="41"/>
      <c r="E27" s="41"/>
      <c r="F27" s="16" t="s">
        <v>291</v>
      </c>
      <c r="G27" s="16">
        <v>1</v>
      </c>
      <c r="H27" s="16" t="str">
        <f>IF(A27="","",IF(VLOOKUP($A27,Products!$A$59:$H$159,2,FALSE)="","",VLOOKUP($A27,Products!$A$59:$H$159,2,FALSE)))</f>
        <v/>
      </c>
      <c r="I27" s="16" t="str">
        <f>IF(A27="","",IF(VLOOKUP($A27,Products!$A$59:$H$159,3,FALSE)="","",VLOOKUP($A27,Products!$A$59:$H$159,3,FALSE)))</f>
        <v/>
      </c>
      <c r="J27" s="16" t="str">
        <f>IF(A27="","",IF(VLOOKUP($A27,Products!$A$59:$H$159,4,FALSE)="","",VLOOKUP($A27,Products!$A$59:$H$159,4,FALSE)))</f>
        <v/>
      </c>
      <c r="K27" s="2" t="str">
        <f>IF(OR($A27="",C27="",$E27=""),"",((12.46*$F$21*$I27*$H27)/$F$22)*((C27*42)/1000)*(IF($E27="YES",(1-$F$20),1)))</f>
        <v/>
      </c>
      <c r="L27" s="2" t="str">
        <f>IF(OR($A27="",$D27="",$E27=""),"",((12.46*$F$21*$J27*$H27)/$F$23)*(($D27*42)/1000)*(1/2000)*(IF($E27="YES",(1-$F$20),1)))</f>
        <v/>
      </c>
      <c r="M27" s="2" t="str">
        <f>IF(OR($A27="",$C27="",$E27=""),"",((12.46*$F$21*$I27*$H27)/$F$22)*(($C27*42)/1000)*(IF($E27="YES",$F$20,0)))</f>
        <v/>
      </c>
      <c r="N27" s="12" t="str">
        <f>IF(OR($A27="",$D27="",$E27=""),"",((12.46*$F$21*$J27*$H27)/$F$23)*(($D27*42)/1000)*(1/2000)*(IF($E27="YES",$F$20,0)))</f>
        <v/>
      </c>
    </row>
    <row r="28" spans="1:14" x14ac:dyDescent="0.2">
      <c r="A28" s="627" t="str">
        <f>A27&amp;"A"</f>
        <v>A</v>
      </c>
      <c r="B28" s="628"/>
      <c r="C28" s="77" t="s">
        <v>9360</v>
      </c>
      <c r="D28" s="77" t="s">
        <v>9360</v>
      </c>
      <c r="E28" s="77">
        <f>E27</f>
        <v>0</v>
      </c>
      <c r="F28" s="16" t="str">
        <f>IF($A$27="","",IF(VLOOKUP($A27,Products!$A$59:$H$159,5,FALSE)="","",VLOOKUP($A27,Products!$A$59:$H$159,5,FALSE)))</f>
        <v/>
      </c>
      <c r="G28" s="16" t="str">
        <f>IF($A$27="","",IF(VLOOKUP($A27,Products!$A$59:$H$159,8,FALSE)="","",VLOOKUP($A27,Products!$A$59:$H$159,8,FALSE)))</f>
        <v/>
      </c>
      <c r="H28" s="77" t="s">
        <v>9360</v>
      </c>
      <c r="I28" s="77" t="s">
        <v>9360</v>
      </c>
      <c r="J28" s="77" t="s">
        <v>9360</v>
      </c>
      <c r="K28" s="2" t="str">
        <f>IF($K$27="","",IF($G28="","",K$27*$G28))</f>
        <v/>
      </c>
      <c r="L28" s="2" t="str">
        <f>IF($G28="","",L$27*$G28)</f>
        <v/>
      </c>
      <c r="M28" s="2" t="str">
        <f>IF($G28="","",M$27*$G28)</f>
        <v/>
      </c>
      <c r="N28" s="12" t="str">
        <f>IF($G28="","",N$27*$G28)</f>
        <v/>
      </c>
    </row>
    <row r="29" spans="1:14" x14ac:dyDescent="0.2">
      <c r="A29" s="627" t="str">
        <f t="shared" ref="A29:A37" si="0">A28&amp;"A"</f>
        <v>AA</v>
      </c>
      <c r="B29" s="628"/>
      <c r="C29" s="77" t="s">
        <v>9360</v>
      </c>
      <c r="D29" s="77" t="s">
        <v>9360</v>
      </c>
      <c r="E29" s="77">
        <f t="shared" ref="E29:E37" si="1">E28</f>
        <v>0</v>
      </c>
      <c r="F29" s="16" t="str">
        <f>IF($A$27="","",IF(VLOOKUP($A28,Products!$A$59:$H$159,5,FALSE)="","",VLOOKUP($A28,Products!$A$59:$H$159,5,FALSE)))</f>
        <v/>
      </c>
      <c r="G29" s="16" t="str">
        <f>IF($A$27="","",IF(VLOOKUP($A28,Products!$A$59:$H$159,8,FALSE)="","",VLOOKUP($A28,Products!$A$59:$H$159,8,FALSE)))</f>
        <v/>
      </c>
      <c r="H29" s="77" t="s">
        <v>9360</v>
      </c>
      <c r="I29" s="77" t="s">
        <v>9360</v>
      </c>
      <c r="J29" s="77" t="s">
        <v>9360</v>
      </c>
      <c r="K29" s="2" t="str">
        <f t="shared" ref="K29:K36" si="2">IF($K$27="","",IF($G29="","",K$27*$G29))</f>
        <v/>
      </c>
      <c r="L29" s="2" t="str">
        <f t="shared" ref="L29:N37" si="3">IF($G29="","",L$27*$G29)</f>
        <v/>
      </c>
      <c r="M29" s="2" t="str">
        <f t="shared" si="3"/>
        <v/>
      </c>
      <c r="N29" s="12" t="str">
        <f t="shared" si="3"/>
        <v/>
      </c>
    </row>
    <row r="30" spans="1:14" x14ac:dyDescent="0.2">
      <c r="A30" s="627" t="str">
        <f t="shared" si="0"/>
        <v>AAA</v>
      </c>
      <c r="B30" s="628"/>
      <c r="C30" s="77" t="s">
        <v>9360</v>
      </c>
      <c r="D30" s="77" t="s">
        <v>9360</v>
      </c>
      <c r="E30" s="77">
        <f t="shared" si="1"/>
        <v>0</v>
      </c>
      <c r="F30" s="16" t="str">
        <f>IF($A$27="","",IF(VLOOKUP($A29,Products!$A$59:$H$159,5,FALSE)="","",VLOOKUP($A29,Products!$A$59:$H$159,5,FALSE)))</f>
        <v/>
      </c>
      <c r="G30" s="16" t="str">
        <f>IF($A$27="","",IF(VLOOKUP($A29,Products!$A$59:$H$159,8,FALSE)="","",VLOOKUP($A29,Products!$A$59:$H$159,8,FALSE)))</f>
        <v/>
      </c>
      <c r="H30" s="77" t="s">
        <v>9360</v>
      </c>
      <c r="I30" s="77" t="s">
        <v>9360</v>
      </c>
      <c r="J30" s="77" t="s">
        <v>9360</v>
      </c>
      <c r="K30" s="2" t="str">
        <f t="shared" si="2"/>
        <v/>
      </c>
      <c r="L30" s="2" t="str">
        <f t="shared" si="3"/>
        <v/>
      </c>
      <c r="M30" s="2" t="str">
        <f t="shared" si="3"/>
        <v/>
      </c>
      <c r="N30" s="12" t="str">
        <f t="shared" si="3"/>
        <v/>
      </c>
    </row>
    <row r="31" spans="1:14" x14ac:dyDescent="0.2">
      <c r="A31" s="627" t="str">
        <f t="shared" si="0"/>
        <v>AAAA</v>
      </c>
      <c r="B31" s="628"/>
      <c r="C31" s="77" t="s">
        <v>9360</v>
      </c>
      <c r="D31" s="77" t="s">
        <v>9360</v>
      </c>
      <c r="E31" s="77">
        <f t="shared" si="1"/>
        <v>0</v>
      </c>
      <c r="F31" s="16" t="str">
        <f>IF($A$27="","",IF(VLOOKUP($A30,Products!$A$59:$H$159,5,FALSE)="","",VLOOKUP($A30,Products!$A$59:$H$159,5,FALSE)))</f>
        <v/>
      </c>
      <c r="G31" s="16" t="str">
        <f>IF($A$27="","",IF(VLOOKUP($A30,Products!$A$59:$H$159,8,FALSE)="","",VLOOKUP($A30,Products!$A$59:$H$159,8,FALSE)))</f>
        <v/>
      </c>
      <c r="H31" s="77" t="s">
        <v>9360</v>
      </c>
      <c r="I31" s="77" t="s">
        <v>9360</v>
      </c>
      <c r="J31" s="77" t="s">
        <v>9360</v>
      </c>
      <c r="K31" s="2" t="str">
        <f t="shared" si="2"/>
        <v/>
      </c>
      <c r="L31" s="2" t="str">
        <f t="shared" si="3"/>
        <v/>
      </c>
      <c r="M31" s="2" t="str">
        <f t="shared" si="3"/>
        <v/>
      </c>
      <c r="N31" s="12" t="str">
        <f>IF($G31="","",N$27*$G31)</f>
        <v/>
      </c>
    </row>
    <row r="32" spans="1:14" x14ac:dyDescent="0.2">
      <c r="A32" s="627" t="str">
        <f t="shared" si="0"/>
        <v>AAAAA</v>
      </c>
      <c r="B32" s="628"/>
      <c r="C32" s="77" t="s">
        <v>9360</v>
      </c>
      <c r="D32" s="77" t="s">
        <v>9360</v>
      </c>
      <c r="E32" s="77">
        <f t="shared" si="1"/>
        <v>0</v>
      </c>
      <c r="F32" s="16" t="str">
        <f>IF($A$27="","",IF(VLOOKUP($A31,Products!$A$59:$H$159,5,FALSE)="","",VLOOKUP($A31,Products!$A$59:$H$159,5,FALSE)))</f>
        <v/>
      </c>
      <c r="G32" s="16" t="str">
        <f>IF($A$27="","",IF(VLOOKUP($A31,Products!$A$59:$H$159,8,FALSE)="","",VLOOKUP($A31,Products!$A$59:$H$159,8,FALSE)))</f>
        <v/>
      </c>
      <c r="H32" s="77" t="s">
        <v>9360</v>
      </c>
      <c r="I32" s="77" t="s">
        <v>9360</v>
      </c>
      <c r="J32" s="77" t="s">
        <v>9360</v>
      </c>
      <c r="K32" s="2" t="str">
        <f t="shared" si="2"/>
        <v/>
      </c>
      <c r="L32" s="2" t="str">
        <f t="shared" si="3"/>
        <v/>
      </c>
      <c r="M32" s="2" t="str">
        <f t="shared" si="3"/>
        <v/>
      </c>
      <c r="N32" s="12" t="str">
        <f t="shared" si="3"/>
        <v/>
      </c>
    </row>
    <row r="33" spans="1:14" x14ac:dyDescent="0.2">
      <c r="A33" s="627" t="str">
        <f t="shared" si="0"/>
        <v>AAAAAA</v>
      </c>
      <c r="B33" s="628"/>
      <c r="C33" s="77" t="s">
        <v>9360</v>
      </c>
      <c r="D33" s="77" t="s">
        <v>9360</v>
      </c>
      <c r="E33" s="77">
        <f t="shared" si="1"/>
        <v>0</v>
      </c>
      <c r="F33" s="16" t="str">
        <f>IF($A$27="","",IF(VLOOKUP($A32,Products!$A$59:$H$159,5,FALSE)="","",VLOOKUP($A32,Products!$A$59:$H$159,5,FALSE)))</f>
        <v/>
      </c>
      <c r="G33" s="16" t="str">
        <f>IF($A$27="","",IF(VLOOKUP($A32,Products!$A$59:$H$159,8,FALSE)="","",VLOOKUP($A32,Products!$A$59:$H$159,8,FALSE)))</f>
        <v/>
      </c>
      <c r="H33" s="77" t="s">
        <v>9360</v>
      </c>
      <c r="I33" s="77" t="s">
        <v>9360</v>
      </c>
      <c r="J33" s="77" t="s">
        <v>9360</v>
      </c>
      <c r="K33" s="2" t="str">
        <f t="shared" si="2"/>
        <v/>
      </c>
      <c r="L33" s="2" t="str">
        <f t="shared" si="3"/>
        <v/>
      </c>
      <c r="M33" s="2" t="str">
        <f t="shared" si="3"/>
        <v/>
      </c>
      <c r="N33" s="12" t="str">
        <f t="shared" si="3"/>
        <v/>
      </c>
    </row>
    <row r="34" spans="1:14" x14ac:dyDescent="0.2">
      <c r="A34" s="627" t="str">
        <f t="shared" si="0"/>
        <v>AAAAAAA</v>
      </c>
      <c r="B34" s="628"/>
      <c r="C34" s="77" t="s">
        <v>9360</v>
      </c>
      <c r="D34" s="77" t="s">
        <v>9360</v>
      </c>
      <c r="E34" s="77">
        <f t="shared" si="1"/>
        <v>0</v>
      </c>
      <c r="F34" s="16" t="str">
        <f>IF($A$27="","",IF(VLOOKUP($A33,Products!$A$59:$H$159,5,FALSE)="","",VLOOKUP($A33,Products!$A$59:$H$159,5,FALSE)))</f>
        <v/>
      </c>
      <c r="G34" s="16" t="str">
        <f>IF($A$27="","",IF(VLOOKUP($A33,Products!$A$59:$H$159,8,FALSE)="","",VLOOKUP($A33,Products!$A$59:$H$159,8,FALSE)))</f>
        <v/>
      </c>
      <c r="H34" s="77" t="s">
        <v>9360</v>
      </c>
      <c r="I34" s="77" t="s">
        <v>9360</v>
      </c>
      <c r="J34" s="77" t="s">
        <v>9360</v>
      </c>
      <c r="K34" s="2" t="str">
        <f t="shared" si="2"/>
        <v/>
      </c>
      <c r="L34" s="2" t="str">
        <f t="shared" si="3"/>
        <v/>
      </c>
      <c r="M34" s="2" t="str">
        <f t="shared" si="3"/>
        <v/>
      </c>
      <c r="N34" s="12" t="str">
        <f t="shared" si="3"/>
        <v/>
      </c>
    </row>
    <row r="35" spans="1:14" x14ac:dyDescent="0.2">
      <c r="A35" s="627" t="str">
        <f t="shared" si="0"/>
        <v>AAAAAAAA</v>
      </c>
      <c r="B35" s="628"/>
      <c r="C35" s="77" t="s">
        <v>9360</v>
      </c>
      <c r="D35" s="77" t="s">
        <v>9360</v>
      </c>
      <c r="E35" s="77">
        <f t="shared" si="1"/>
        <v>0</v>
      </c>
      <c r="F35" s="16" t="str">
        <f>IF($A$27="","",IF(VLOOKUP($A34,Products!$A$59:$H$159,5,FALSE)="","",VLOOKUP($A34,Products!$A$59:$H$159,5,FALSE)))</f>
        <v/>
      </c>
      <c r="G35" s="16" t="str">
        <f>IF($A$27="","",IF(VLOOKUP($A34,Products!$A$59:$H$159,8,FALSE)="","",VLOOKUP($A34,Products!$A$59:$H$159,8,FALSE)))</f>
        <v/>
      </c>
      <c r="H35" s="77" t="s">
        <v>9360</v>
      </c>
      <c r="I35" s="77" t="s">
        <v>9360</v>
      </c>
      <c r="J35" s="77" t="s">
        <v>9360</v>
      </c>
      <c r="K35" s="2" t="str">
        <f>IF($K$27="","",IF($G35="","",K$27*$G35))</f>
        <v/>
      </c>
      <c r="L35" s="2" t="str">
        <f t="shared" si="3"/>
        <v/>
      </c>
      <c r="M35" s="2" t="str">
        <f t="shared" si="3"/>
        <v/>
      </c>
      <c r="N35" s="12" t="str">
        <f>IF($G35="","",N$27*$G35)</f>
        <v/>
      </c>
    </row>
    <row r="36" spans="1:14" x14ac:dyDescent="0.2">
      <c r="A36" s="627" t="str">
        <f t="shared" si="0"/>
        <v>AAAAAAAAA</v>
      </c>
      <c r="B36" s="628"/>
      <c r="C36" s="77" t="s">
        <v>9360</v>
      </c>
      <c r="D36" s="77" t="s">
        <v>9360</v>
      </c>
      <c r="E36" s="77">
        <f t="shared" si="1"/>
        <v>0</v>
      </c>
      <c r="F36" s="16" t="str">
        <f>IF($A$27="","",IF(VLOOKUP($A35,Products!$A$59:$H$159,5,FALSE)="","",VLOOKUP($A35,Products!$A$59:$H$159,5,FALSE)))</f>
        <v/>
      </c>
      <c r="G36" s="16" t="str">
        <f>IF($A$27="","",IF(VLOOKUP($A35,Products!$A$59:$H$159,8,FALSE)="","",VLOOKUP($A35,Products!$A$59:$H$159,8,FALSE)))</f>
        <v/>
      </c>
      <c r="H36" s="77" t="s">
        <v>9360</v>
      </c>
      <c r="I36" s="77" t="s">
        <v>9360</v>
      </c>
      <c r="J36" s="77" t="s">
        <v>9360</v>
      </c>
      <c r="K36" s="2" t="str">
        <f t="shared" si="2"/>
        <v/>
      </c>
      <c r="L36" s="2" t="str">
        <f>IF($G36="","",L$27*$G36)</f>
        <v/>
      </c>
      <c r="M36" s="2" t="str">
        <f t="shared" si="3"/>
        <v/>
      </c>
      <c r="N36" s="12" t="str">
        <f t="shared" si="3"/>
        <v/>
      </c>
    </row>
    <row r="37" spans="1:14" x14ac:dyDescent="0.2">
      <c r="A37" s="627" t="str">
        <f t="shared" si="0"/>
        <v>AAAAAAAAAA</v>
      </c>
      <c r="B37" s="628"/>
      <c r="C37" s="77" t="s">
        <v>9360</v>
      </c>
      <c r="D37" s="77" t="s">
        <v>9360</v>
      </c>
      <c r="E37" s="77">
        <f t="shared" si="1"/>
        <v>0</v>
      </c>
      <c r="F37" s="16" t="str">
        <f>IF($A$27="","",IF(VLOOKUP($A36,Products!$A$59:$H$159,5,FALSE)="","",VLOOKUP($A36,Products!$A$59:$H$159,5,FALSE)))</f>
        <v/>
      </c>
      <c r="G37" s="16" t="str">
        <f>IF($A$27="","",IF(VLOOKUP($A36,Products!$A$59:$H$159,8,FALSE)="","",VLOOKUP($A36,Products!$A$59:$H$159,8,FALSE)))</f>
        <v/>
      </c>
      <c r="H37" s="77" t="s">
        <v>9360</v>
      </c>
      <c r="I37" s="77" t="s">
        <v>9360</v>
      </c>
      <c r="J37" s="77" t="s">
        <v>9360</v>
      </c>
      <c r="K37" s="2" t="str">
        <f>IF($K$27="","",IF($G37="","",K$27*$G37))</f>
        <v/>
      </c>
      <c r="L37" s="2" t="str">
        <f t="shared" si="3"/>
        <v/>
      </c>
      <c r="M37" s="2" t="str">
        <f t="shared" si="3"/>
        <v/>
      </c>
      <c r="N37" s="12" t="str">
        <f t="shared" si="3"/>
        <v/>
      </c>
    </row>
    <row r="38" spans="1:14" x14ac:dyDescent="0.2">
      <c r="A38" s="651"/>
      <c r="B38" s="615"/>
      <c r="C38" s="41"/>
      <c r="D38" s="41"/>
      <c r="E38" s="41"/>
      <c r="F38" s="16" t="s">
        <v>291</v>
      </c>
      <c r="G38" s="16">
        <v>1</v>
      </c>
      <c r="H38" s="16" t="str">
        <f>IF(A38="","",IF(VLOOKUP($A38,Products!$A$59:$H$159,2,FALSE)="","",VLOOKUP($A38,Products!$A$59:$H$159,2,FALSE)))</f>
        <v/>
      </c>
      <c r="I38" s="16" t="str">
        <f>IF(A38="","",IF(VLOOKUP($A38,Products!$A$59:$H$159,3,FALSE)="","",VLOOKUP($A38,Products!$A$59:$H$159,3,FALSE)))</f>
        <v/>
      </c>
      <c r="J38" s="16" t="str">
        <f>IF(A38="","",IF(VLOOKUP($A38,Products!$A$59:$H$159,4,FALSE)="","",VLOOKUP($A38,Products!$A$59:$H$159,4,FALSE)))</f>
        <v/>
      </c>
      <c r="K38" s="2" t="str">
        <f>IF(OR($A38="",C38="",$E38=""),"",((12.46*$F$21*$I38*$H38)/$F$22)*((C38*42)/1000)*(IF($E38="YES",(1-$F$20),1)))</f>
        <v/>
      </c>
      <c r="L38" s="2" t="str">
        <f>IF(OR($A38="",$D38="",$E38=""),"",((12.46*$F$21*$J38*$H38)/$F$23)*(($D38*42)/1000)*(1/2000)*(IF($E38="YES",(1-$F$20),1)))</f>
        <v/>
      </c>
      <c r="M38" s="2" t="str">
        <f>IF(OR($A38="",$C38="",$E38=""),"",((12.46*$F$21*$I38*$H38)/$F$22)*(($C38*42)/1000)*(IF($E38="YES",$F$20,0)))</f>
        <v/>
      </c>
      <c r="N38" s="12" t="str">
        <f>IF(OR($A38="",$D38="",$E38=""),"",((12.46*$F$21*$J38*$H38)/$F$23)*(($D38*42)/1000)*(1/2000)*(IF($E38="YES",$F$20,0)))</f>
        <v/>
      </c>
    </row>
    <row r="39" spans="1:14" x14ac:dyDescent="0.2">
      <c r="A39" s="627" t="str">
        <f t="shared" ref="A39:A48" si="4">A38&amp;"A"</f>
        <v>A</v>
      </c>
      <c r="B39" s="628"/>
      <c r="C39" s="77" t="s">
        <v>9360</v>
      </c>
      <c r="D39" s="77" t="s">
        <v>9360</v>
      </c>
      <c r="E39" s="77">
        <f>E38</f>
        <v>0</v>
      </c>
      <c r="F39" s="16" t="str">
        <f>IF($A$38="","",IF(VLOOKUP($A38,Products!$A$59:$H$159,5,FALSE)="","",VLOOKUP($A38,Products!$A$59:$H$159,5,FALSE)))</f>
        <v/>
      </c>
      <c r="G39" s="16" t="str">
        <f>IF($A$38="","",IF(VLOOKUP($A38,Products!$A$59:$H$159,8,FALSE)="","",VLOOKUP($A38,Products!$A$59:$H$159,8,FALSE)))</f>
        <v/>
      </c>
      <c r="H39" s="77" t="s">
        <v>9360</v>
      </c>
      <c r="I39" s="77" t="s">
        <v>9360</v>
      </c>
      <c r="J39" s="77" t="s">
        <v>9360</v>
      </c>
      <c r="K39" s="2" t="str">
        <f>IF($G39="","",K$38*$G39)</f>
        <v/>
      </c>
      <c r="L39" s="2" t="str">
        <f t="shared" ref="L39:N48" si="5">IF($G39="","",L$38*$G39)</f>
        <v/>
      </c>
      <c r="M39" s="2" t="str">
        <f t="shared" si="5"/>
        <v/>
      </c>
      <c r="N39" s="12" t="str">
        <f t="shared" si="5"/>
        <v/>
      </c>
    </row>
    <row r="40" spans="1:14" x14ac:dyDescent="0.2">
      <c r="A40" s="627" t="str">
        <f t="shared" si="4"/>
        <v>AA</v>
      </c>
      <c r="B40" s="628"/>
      <c r="C40" s="77" t="s">
        <v>9360</v>
      </c>
      <c r="D40" s="77" t="s">
        <v>9360</v>
      </c>
      <c r="E40" s="77">
        <f t="shared" ref="E40:E48" si="6">E39</f>
        <v>0</v>
      </c>
      <c r="F40" s="16" t="str">
        <f>IF($A$38="","",IF(VLOOKUP($A39,Products!$A$59:$H$159,5,FALSE)="","",VLOOKUP($A39,Products!$A$59:$H$159,5,FALSE)))</f>
        <v/>
      </c>
      <c r="G40" s="16" t="str">
        <f>IF($A$38="","",IF(VLOOKUP($A39,Products!$A$59:$H$159,8,FALSE)="","",VLOOKUP($A39,Products!$A$59:$H$159,8,FALSE)))</f>
        <v/>
      </c>
      <c r="H40" s="77" t="s">
        <v>9360</v>
      </c>
      <c r="I40" s="77" t="s">
        <v>9360</v>
      </c>
      <c r="J40" s="77" t="s">
        <v>9360</v>
      </c>
      <c r="K40" s="2" t="str">
        <f t="shared" ref="K40:K48" si="7">IF($G40="","",K$38*$G40)</f>
        <v/>
      </c>
      <c r="L40" s="2" t="str">
        <f t="shared" si="5"/>
        <v/>
      </c>
      <c r="M40" s="2" t="str">
        <f t="shared" si="5"/>
        <v/>
      </c>
      <c r="N40" s="12" t="str">
        <f t="shared" si="5"/>
        <v/>
      </c>
    </row>
    <row r="41" spans="1:14" x14ac:dyDescent="0.2">
      <c r="A41" s="627" t="str">
        <f t="shared" si="4"/>
        <v>AAA</v>
      </c>
      <c r="B41" s="628"/>
      <c r="C41" s="77" t="s">
        <v>9360</v>
      </c>
      <c r="D41" s="77" t="s">
        <v>9360</v>
      </c>
      <c r="E41" s="77">
        <f t="shared" si="6"/>
        <v>0</v>
      </c>
      <c r="F41" s="16" t="str">
        <f>IF($A$38="","",IF(VLOOKUP($A40,Products!$A$59:$H$159,5,FALSE)="","",VLOOKUP($A40,Products!$A$59:$H$159,5,FALSE)))</f>
        <v/>
      </c>
      <c r="G41" s="16" t="str">
        <f>IF($A$38="","",IF(VLOOKUP($A40,Products!$A$59:$H$159,8,FALSE)="","",VLOOKUP($A40,Products!$A$59:$H$159,8,FALSE)))</f>
        <v/>
      </c>
      <c r="H41" s="77" t="s">
        <v>9360</v>
      </c>
      <c r="I41" s="77" t="s">
        <v>9360</v>
      </c>
      <c r="J41" s="77" t="s">
        <v>9360</v>
      </c>
      <c r="K41" s="2" t="str">
        <f t="shared" si="7"/>
        <v/>
      </c>
      <c r="L41" s="2" t="str">
        <f t="shared" si="5"/>
        <v/>
      </c>
      <c r="M41" s="2" t="str">
        <f t="shared" si="5"/>
        <v/>
      </c>
      <c r="N41" s="12" t="str">
        <f t="shared" si="5"/>
        <v/>
      </c>
    </row>
    <row r="42" spans="1:14" x14ac:dyDescent="0.2">
      <c r="A42" s="627" t="str">
        <f t="shared" si="4"/>
        <v>AAAA</v>
      </c>
      <c r="B42" s="628"/>
      <c r="C42" s="77" t="s">
        <v>9360</v>
      </c>
      <c r="D42" s="77" t="s">
        <v>9360</v>
      </c>
      <c r="E42" s="77">
        <f t="shared" si="6"/>
        <v>0</v>
      </c>
      <c r="F42" s="16" t="str">
        <f>IF($A$38="","",IF(VLOOKUP($A41,Products!$A$59:$H$159,5,FALSE)="","",VLOOKUP($A41,Products!$A$59:$H$159,5,FALSE)))</f>
        <v/>
      </c>
      <c r="G42" s="16" t="str">
        <f>IF($A$38="","",IF(VLOOKUP($A41,Products!$A$59:$H$159,8,FALSE)="","",VLOOKUP($A41,Products!$A$59:$H$159,8,FALSE)))</f>
        <v/>
      </c>
      <c r="H42" s="77" t="s">
        <v>9360</v>
      </c>
      <c r="I42" s="77" t="s">
        <v>9360</v>
      </c>
      <c r="J42" s="77" t="s">
        <v>9360</v>
      </c>
      <c r="K42" s="2" t="str">
        <f t="shared" si="7"/>
        <v/>
      </c>
      <c r="L42" s="2" t="str">
        <f t="shared" si="5"/>
        <v/>
      </c>
      <c r="M42" s="2" t="str">
        <f t="shared" si="5"/>
        <v/>
      </c>
      <c r="N42" s="12" t="str">
        <f t="shared" si="5"/>
        <v/>
      </c>
    </row>
    <row r="43" spans="1:14" x14ac:dyDescent="0.2">
      <c r="A43" s="627" t="str">
        <f t="shared" si="4"/>
        <v>AAAAA</v>
      </c>
      <c r="B43" s="628"/>
      <c r="C43" s="77" t="s">
        <v>9360</v>
      </c>
      <c r="D43" s="77" t="s">
        <v>9360</v>
      </c>
      <c r="E43" s="77">
        <f t="shared" si="6"/>
        <v>0</v>
      </c>
      <c r="F43" s="16" t="str">
        <f>IF($A$38="","",IF(VLOOKUP($A42,Products!$A$59:$H$159,5,FALSE)="","",VLOOKUP($A42,Products!$A$59:$H$159,5,FALSE)))</f>
        <v/>
      </c>
      <c r="G43" s="16" t="str">
        <f>IF($A$38="","",IF(VLOOKUP($A42,Products!$A$59:$H$159,8,FALSE)="","",VLOOKUP($A42,Products!$A$59:$H$159,8,FALSE)))</f>
        <v/>
      </c>
      <c r="H43" s="77" t="s">
        <v>9360</v>
      </c>
      <c r="I43" s="77" t="s">
        <v>9360</v>
      </c>
      <c r="J43" s="77" t="s">
        <v>9360</v>
      </c>
      <c r="K43" s="2" t="str">
        <f t="shared" si="7"/>
        <v/>
      </c>
      <c r="L43" s="2" t="str">
        <f t="shared" si="5"/>
        <v/>
      </c>
      <c r="M43" s="2" t="str">
        <f t="shared" si="5"/>
        <v/>
      </c>
      <c r="N43" s="12" t="str">
        <f t="shared" si="5"/>
        <v/>
      </c>
    </row>
    <row r="44" spans="1:14" x14ac:dyDescent="0.2">
      <c r="A44" s="627" t="str">
        <f t="shared" si="4"/>
        <v>AAAAAA</v>
      </c>
      <c r="B44" s="628"/>
      <c r="C44" s="77" t="s">
        <v>9360</v>
      </c>
      <c r="D44" s="77" t="s">
        <v>9360</v>
      </c>
      <c r="E44" s="77">
        <f t="shared" si="6"/>
        <v>0</v>
      </c>
      <c r="F44" s="16" t="str">
        <f>IF($A$38="","",IF(VLOOKUP($A43,Products!$A$59:$H$159,5,FALSE)="","",VLOOKUP($A43,Products!$A$59:$H$159,5,FALSE)))</f>
        <v/>
      </c>
      <c r="G44" s="16" t="str">
        <f>IF($A$38="","",IF(VLOOKUP($A43,Products!$A$59:$H$159,8,FALSE)="","",VLOOKUP($A43,Products!$A$59:$H$159,8,FALSE)))</f>
        <v/>
      </c>
      <c r="H44" s="77" t="s">
        <v>9360</v>
      </c>
      <c r="I44" s="77" t="s">
        <v>9360</v>
      </c>
      <c r="J44" s="77" t="s">
        <v>9360</v>
      </c>
      <c r="K44" s="2" t="str">
        <f t="shared" si="7"/>
        <v/>
      </c>
      <c r="L44" s="2" t="str">
        <f t="shared" si="5"/>
        <v/>
      </c>
      <c r="M44" s="2" t="str">
        <f t="shared" si="5"/>
        <v/>
      </c>
      <c r="N44" s="12" t="str">
        <f t="shared" si="5"/>
        <v/>
      </c>
    </row>
    <row r="45" spans="1:14" x14ac:dyDescent="0.2">
      <c r="A45" s="627" t="str">
        <f t="shared" si="4"/>
        <v>AAAAAAA</v>
      </c>
      <c r="B45" s="628"/>
      <c r="C45" s="77" t="s">
        <v>9360</v>
      </c>
      <c r="D45" s="77" t="s">
        <v>9360</v>
      </c>
      <c r="E45" s="77">
        <f t="shared" si="6"/>
        <v>0</v>
      </c>
      <c r="F45" s="16" t="str">
        <f>IF($A$38="","",IF(VLOOKUP($A44,Products!$A$59:$H$159,5,FALSE)="","",VLOOKUP($A44,Products!$A$59:$H$159,5,FALSE)))</f>
        <v/>
      </c>
      <c r="G45" s="16" t="str">
        <f>IF($A$38="","",IF(VLOOKUP($A44,Products!$A$59:$H$159,8,FALSE)="","",VLOOKUP($A44,Products!$A$59:$H$159,8,FALSE)))</f>
        <v/>
      </c>
      <c r="H45" s="77" t="s">
        <v>9360</v>
      </c>
      <c r="I45" s="77" t="s">
        <v>9360</v>
      </c>
      <c r="J45" s="77" t="s">
        <v>9360</v>
      </c>
      <c r="K45" s="2" t="str">
        <f t="shared" si="7"/>
        <v/>
      </c>
      <c r="L45" s="2" t="str">
        <f t="shared" si="5"/>
        <v/>
      </c>
      <c r="M45" s="2" t="str">
        <f t="shared" si="5"/>
        <v/>
      </c>
      <c r="N45" s="12" t="str">
        <f t="shared" si="5"/>
        <v/>
      </c>
    </row>
    <row r="46" spans="1:14" x14ac:dyDescent="0.2">
      <c r="A46" s="627" t="str">
        <f t="shared" si="4"/>
        <v>AAAAAAAA</v>
      </c>
      <c r="B46" s="628"/>
      <c r="C46" s="77" t="s">
        <v>9360</v>
      </c>
      <c r="D46" s="77" t="s">
        <v>9360</v>
      </c>
      <c r="E46" s="77">
        <f t="shared" si="6"/>
        <v>0</v>
      </c>
      <c r="F46" s="16" t="str">
        <f>IF($A$38="","",IF(VLOOKUP($A45,Products!$A$59:$H$159,5,FALSE)="","",VLOOKUP($A45,Products!$A$59:$H$159,5,FALSE)))</f>
        <v/>
      </c>
      <c r="G46" s="16" t="str">
        <f>IF($A$38="","",IF(VLOOKUP($A45,Products!$A$59:$H$159,8,FALSE)="","",VLOOKUP($A45,Products!$A$59:$H$159,8,FALSE)))</f>
        <v/>
      </c>
      <c r="H46" s="77" t="s">
        <v>9360</v>
      </c>
      <c r="I46" s="77" t="s">
        <v>9360</v>
      </c>
      <c r="J46" s="77" t="s">
        <v>9360</v>
      </c>
      <c r="K46" s="2" t="str">
        <f t="shared" si="7"/>
        <v/>
      </c>
      <c r="L46" s="2" t="str">
        <f t="shared" si="5"/>
        <v/>
      </c>
      <c r="M46" s="2" t="str">
        <f t="shared" si="5"/>
        <v/>
      </c>
      <c r="N46" s="12" t="str">
        <f t="shared" si="5"/>
        <v/>
      </c>
    </row>
    <row r="47" spans="1:14" x14ac:dyDescent="0.2">
      <c r="A47" s="627" t="str">
        <f t="shared" si="4"/>
        <v>AAAAAAAAA</v>
      </c>
      <c r="B47" s="628"/>
      <c r="C47" s="77" t="s">
        <v>9360</v>
      </c>
      <c r="D47" s="77" t="s">
        <v>9360</v>
      </c>
      <c r="E47" s="77">
        <f t="shared" si="6"/>
        <v>0</v>
      </c>
      <c r="F47" s="16" t="str">
        <f>IF($A$38="","",IF(VLOOKUP($A46,Products!$A$59:$H$159,5,FALSE)="","",VLOOKUP($A46,Products!$A$59:$H$159,5,FALSE)))</f>
        <v/>
      </c>
      <c r="G47" s="16" t="str">
        <f>IF($A$38="","",IF(VLOOKUP($A46,Products!$A$59:$H$159,8,FALSE)="","",VLOOKUP($A46,Products!$A$59:$H$159,8,FALSE)))</f>
        <v/>
      </c>
      <c r="H47" s="77" t="s">
        <v>9360</v>
      </c>
      <c r="I47" s="77" t="s">
        <v>9360</v>
      </c>
      <c r="J47" s="77" t="s">
        <v>9360</v>
      </c>
      <c r="K47" s="2" t="str">
        <f t="shared" si="7"/>
        <v/>
      </c>
      <c r="L47" s="2" t="str">
        <f t="shared" si="5"/>
        <v/>
      </c>
      <c r="M47" s="2" t="str">
        <f t="shared" si="5"/>
        <v/>
      </c>
      <c r="N47" s="12" t="str">
        <f t="shared" si="5"/>
        <v/>
      </c>
    </row>
    <row r="48" spans="1:14" x14ac:dyDescent="0.2">
      <c r="A48" s="627" t="str">
        <f t="shared" si="4"/>
        <v>AAAAAAAAAA</v>
      </c>
      <c r="B48" s="628"/>
      <c r="C48" s="77" t="s">
        <v>9360</v>
      </c>
      <c r="D48" s="77" t="s">
        <v>9360</v>
      </c>
      <c r="E48" s="77">
        <f t="shared" si="6"/>
        <v>0</v>
      </c>
      <c r="F48" s="16" t="str">
        <f>IF($A$38="","",IF(VLOOKUP($A47,Products!$A$59:$H$159,5,FALSE)="","",VLOOKUP($A47,Products!$A$59:$H$159,5,FALSE)))</f>
        <v/>
      </c>
      <c r="G48" s="16" t="str">
        <f>IF($A$38="","",IF(VLOOKUP($A47,Products!$A$59:$H$159,8,FALSE)="","",VLOOKUP($A47,Products!$A$59:$H$159,8,FALSE)))</f>
        <v/>
      </c>
      <c r="H48" s="77" t="s">
        <v>9360</v>
      </c>
      <c r="I48" s="77" t="s">
        <v>9360</v>
      </c>
      <c r="J48" s="77" t="s">
        <v>9360</v>
      </c>
      <c r="K48" s="2" t="str">
        <f t="shared" si="7"/>
        <v/>
      </c>
      <c r="L48" s="2" t="str">
        <f t="shared" si="5"/>
        <v/>
      </c>
      <c r="M48" s="2" t="str">
        <f t="shared" si="5"/>
        <v/>
      </c>
      <c r="N48" s="12" t="str">
        <f t="shared" si="5"/>
        <v/>
      </c>
    </row>
    <row r="49" spans="1:14" x14ac:dyDescent="0.2">
      <c r="A49" s="651"/>
      <c r="B49" s="615"/>
      <c r="C49" s="41"/>
      <c r="D49" s="41"/>
      <c r="E49" s="41"/>
      <c r="F49" s="16" t="s">
        <v>291</v>
      </c>
      <c r="G49" s="16">
        <v>1</v>
      </c>
      <c r="H49" s="16" t="str">
        <f>IF(A49="","",IF(VLOOKUP($A49,Products!$A$59:$H$159,2,FALSE)="","",VLOOKUP($A49,Products!$A$59:$H$159,2,FALSE)))</f>
        <v/>
      </c>
      <c r="I49" s="16" t="str">
        <f>IF(A49="","",IF(VLOOKUP($A49,Products!$A$59:$H$159,3,FALSE)="","",VLOOKUP($A49,Products!$A$59:$H$159,3,FALSE)))</f>
        <v/>
      </c>
      <c r="J49" s="16" t="str">
        <f>IF(A49="","",IF(VLOOKUP($A49,Products!$A$59:$H$159,4,FALSE)="","",VLOOKUP($A49,Products!$A$59:$H$159,4,FALSE)))</f>
        <v/>
      </c>
      <c r="K49" s="2" t="str">
        <f>IF(OR($A49="",C49="",$E49=""),"",((12.46*$F$21*$I49*$H49)/$F$22)*((C49*42)/1000)*(IF($E49="YES",(1-$F$20),1)))</f>
        <v/>
      </c>
      <c r="L49" s="2" t="str">
        <f>IF(OR($A49="",$D49="",$E49=""),"",((12.46*$F$21*$J49*$H49)/$F$23)*(($D49*42)/1000)*(1/2000)*(IF($E49="YES",(1-$F$20),1)))</f>
        <v/>
      </c>
      <c r="M49" s="2" t="str">
        <f>IF(OR($A49="",$C49="",$E49=""),"",((12.46*$F$21*$I49*$H49)/$F$22)*(($C49*42)/1000)*(IF($E49="YES",$F$20,0)))</f>
        <v/>
      </c>
      <c r="N49" s="12" t="str">
        <f>IF(OR($A49="",$D49="",$E49=""),"",((12.46*$F$21*$J49*$H49)/$F$23)*(($D49*42)/1000)*(1/2000)*(IF($E49="YES",$F$20,0)))</f>
        <v/>
      </c>
    </row>
    <row r="50" spans="1:14" x14ac:dyDescent="0.2">
      <c r="A50" s="627" t="str">
        <f t="shared" ref="A50:A59" si="8">A49&amp;"A"</f>
        <v>A</v>
      </c>
      <c r="B50" s="628"/>
      <c r="C50" s="77" t="s">
        <v>9360</v>
      </c>
      <c r="D50" s="77" t="s">
        <v>9360</v>
      </c>
      <c r="E50" s="77">
        <f>E49</f>
        <v>0</v>
      </c>
      <c r="F50" s="16" t="str">
        <f>IF($A$49="","",IF(VLOOKUP($A49,Products!$A$59:$H$159,5,FALSE)="","",VLOOKUP($A49,Products!$A$59:$H$159,5,FALSE)))</f>
        <v/>
      </c>
      <c r="G50" s="16" t="str">
        <f>IF($A$49="","",IF(VLOOKUP($A49,Products!$A$59:$H$159,8,FALSE)="","",VLOOKUP($A49,Products!$A$59:$H$159,8,FALSE)))</f>
        <v/>
      </c>
      <c r="H50" s="77" t="s">
        <v>9360</v>
      </c>
      <c r="I50" s="77" t="s">
        <v>9360</v>
      </c>
      <c r="J50" s="77" t="s">
        <v>9360</v>
      </c>
      <c r="K50" s="2" t="str">
        <f>IF($G50="","",K$49*$G50)</f>
        <v/>
      </c>
      <c r="L50" s="2" t="str">
        <f>IF($G50="","",L$49*$G50)</f>
        <v/>
      </c>
      <c r="M50" s="2" t="str">
        <f>IF($G50="","",M$49*$G50)</f>
        <v/>
      </c>
      <c r="N50" s="12" t="str">
        <f>IF($G50="","",N$49*$G50)</f>
        <v/>
      </c>
    </row>
    <row r="51" spans="1:14" x14ac:dyDescent="0.2">
      <c r="A51" s="627" t="str">
        <f t="shared" si="8"/>
        <v>AA</v>
      </c>
      <c r="B51" s="628"/>
      <c r="C51" s="77" t="s">
        <v>9360</v>
      </c>
      <c r="D51" s="77" t="s">
        <v>9360</v>
      </c>
      <c r="E51" s="77">
        <f t="shared" ref="E51:E59" si="9">E50</f>
        <v>0</v>
      </c>
      <c r="F51" s="16" t="str">
        <f>IF($A$49="","",IF(VLOOKUP($A50,Products!$A$59:$H$159,5,FALSE)="","",VLOOKUP($A50,Products!$A$59:$H$159,5,FALSE)))</f>
        <v/>
      </c>
      <c r="G51" s="16" t="str">
        <f>IF($A$49="","",IF(VLOOKUP($A50,Products!$A$59:$H$159,8,FALSE)="","",VLOOKUP($A50,Products!$A$59:$H$159,8,FALSE)))</f>
        <v/>
      </c>
      <c r="H51" s="77" t="s">
        <v>9360</v>
      </c>
      <c r="I51" s="77" t="s">
        <v>9360</v>
      </c>
      <c r="J51" s="77" t="s">
        <v>9360</v>
      </c>
      <c r="K51" s="2" t="str">
        <f t="shared" ref="K51:N59" si="10">IF($G51="","",K$49*$G51)</f>
        <v/>
      </c>
      <c r="L51" s="2" t="str">
        <f t="shared" si="10"/>
        <v/>
      </c>
      <c r="M51" s="2" t="str">
        <f t="shared" si="10"/>
        <v/>
      </c>
      <c r="N51" s="12" t="str">
        <f t="shared" si="10"/>
        <v/>
      </c>
    </row>
    <row r="52" spans="1:14" x14ac:dyDescent="0.2">
      <c r="A52" s="627" t="str">
        <f t="shared" si="8"/>
        <v>AAA</v>
      </c>
      <c r="B52" s="628"/>
      <c r="C52" s="77" t="s">
        <v>9360</v>
      </c>
      <c r="D52" s="77" t="s">
        <v>9360</v>
      </c>
      <c r="E52" s="77">
        <f t="shared" si="9"/>
        <v>0</v>
      </c>
      <c r="F52" s="16" t="str">
        <f>IF($A$49="","",IF(VLOOKUP($A51,Products!$A$59:$H$159,5,FALSE)="","",VLOOKUP($A51,Products!$A$59:$H$159,5,FALSE)))</f>
        <v/>
      </c>
      <c r="G52" s="16" t="str">
        <f>IF($A$49="","",IF(VLOOKUP($A51,Products!$A$59:$H$159,8,FALSE)="","",VLOOKUP($A51,Products!$A$59:$H$159,8,FALSE)))</f>
        <v/>
      </c>
      <c r="H52" s="77" t="s">
        <v>9360</v>
      </c>
      <c r="I52" s="77" t="s">
        <v>9360</v>
      </c>
      <c r="J52" s="77" t="s">
        <v>9360</v>
      </c>
      <c r="K52" s="2" t="str">
        <f t="shared" si="10"/>
        <v/>
      </c>
      <c r="L52" s="2" t="str">
        <f t="shared" si="10"/>
        <v/>
      </c>
      <c r="M52" s="2" t="str">
        <f t="shared" si="10"/>
        <v/>
      </c>
      <c r="N52" s="12" t="str">
        <f t="shared" si="10"/>
        <v/>
      </c>
    </row>
    <row r="53" spans="1:14" x14ac:dyDescent="0.2">
      <c r="A53" s="627" t="str">
        <f t="shared" si="8"/>
        <v>AAAA</v>
      </c>
      <c r="B53" s="628"/>
      <c r="C53" s="77" t="s">
        <v>9360</v>
      </c>
      <c r="D53" s="77" t="s">
        <v>9360</v>
      </c>
      <c r="E53" s="77">
        <f t="shared" si="9"/>
        <v>0</v>
      </c>
      <c r="F53" s="16" t="str">
        <f>IF($A$49="","",IF(VLOOKUP($A52,Products!$A$59:$H$159,5,FALSE)="","",VLOOKUP($A52,Products!$A$59:$H$159,5,FALSE)))</f>
        <v/>
      </c>
      <c r="G53" s="16" t="str">
        <f>IF($A$49="","",IF(VLOOKUP($A52,Products!$A$59:$H$159,8,FALSE)="","",VLOOKUP($A52,Products!$A$59:$H$159,8,FALSE)))</f>
        <v/>
      </c>
      <c r="H53" s="77" t="s">
        <v>9360</v>
      </c>
      <c r="I53" s="77" t="s">
        <v>9360</v>
      </c>
      <c r="J53" s="77" t="s">
        <v>9360</v>
      </c>
      <c r="K53" s="2" t="str">
        <f t="shared" si="10"/>
        <v/>
      </c>
      <c r="L53" s="2" t="str">
        <f t="shared" si="10"/>
        <v/>
      </c>
      <c r="M53" s="2" t="str">
        <f t="shared" si="10"/>
        <v/>
      </c>
      <c r="N53" s="12" t="str">
        <f t="shared" si="10"/>
        <v/>
      </c>
    </row>
    <row r="54" spans="1:14" x14ac:dyDescent="0.2">
      <c r="A54" s="627" t="str">
        <f t="shared" si="8"/>
        <v>AAAAA</v>
      </c>
      <c r="B54" s="628"/>
      <c r="C54" s="77" t="s">
        <v>9360</v>
      </c>
      <c r="D54" s="77" t="s">
        <v>9360</v>
      </c>
      <c r="E54" s="77">
        <f t="shared" si="9"/>
        <v>0</v>
      </c>
      <c r="F54" s="16" t="str">
        <f>IF($A$49="","",IF(VLOOKUP($A53,Products!$A$59:$H$159,5,FALSE)="","",VLOOKUP($A53,Products!$A$59:$H$159,5,FALSE)))</f>
        <v/>
      </c>
      <c r="G54" s="16" t="str">
        <f>IF($A$49="","",IF(VLOOKUP($A53,Products!$A$59:$H$159,8,FALSE)="","",VLOOKUP($A53,Products!$A$59:$H$159,8,FALSE)))</f>
        <v/>
      </c>
      <c r="H54" s="77" t="s">
        <v>9360</v>
      </c>
      <c r="I54" s="77" t="s">
        <v>9360</v>
      </c>
      <c r="J54" s="77" t="s">
        <v>9360</v>
      </c>
      <c r="K54" s="2" t="str">
        <f t="shared" si="10"/>
        <v/>
      </c>
      <c r="L54" s="2" t="str">
        <f t="shared" si="10"/>
        <v/>
      </c>
      <c r="M54" s="2" t="str">
        <f t="shared" si="10"/>
        <v/>
      </c>
      <c r="N54" s="12" t="str">
        <f t="shared" si="10"/>
        <v/>
      </c>
    </row>
    <row r="55" spans="1:14" x14ac:dyDescent="0.2">
      <c r="A55" s="627" t="str">
        <f t="shared" si="8"/>
        <v>AAAAAA</v>
      </c>
      <c r="B55" s="628"/>
      <c r="C55" s="77" t="s">
        <v>9360</v>
      </c>
      <c r="D55" s="77" t="s">
        <v>9360</v>
      </c>
      <c r="E55" s="77">
        <f t="shared" si="9"/>
        <v>0</v>
      </c>
      <c r="F55" s="16" t="str">
        <f>IF($A$49="","",IF(VLOOKUP($A54,Products!$A$59:$H$159,5,FALSE)="","",VLOOKUP($A54,Products!$A$59:$H$159,5,FALSE)))</f>
        <v/>
      </c>
      <c r="G55" s="16" t="str">
        <f>IF($A$49="","",IF(VLOOKUP($A54,Products!$A$59:$H$159,8,FALSE)="","",VLOOKUP($A54,Products!$A$59:$H$159,8,FALSE)))</f>
        <v/>
      </c>
      <c r="H55" s="77" t="s">
        <v>9360</v>
      </c>
      <c r="I55" s="77" t="s">
        <v>9360</v>
      </c>
      <c r="J55" s="77" t="s">
        <v>9360</v>
      </c>
      <c r="K55" s="2" t="str">
        <f t="shared" si="10"/>
        <v/>
      </c>
      <c r="L55" s="2" t="str">
        <f t="shared" si="10"/>
        <v/>
      </c>
      <c r="M55" s="2" t="str">
        <f t="shared" si="10"/>
        <v/>
      </c>
      <c r="N55" s="12" t="str">
        <f t="shared" si="10"/>
        <v/>
      </c>
    </row>
    <row r="56" spans="1:14" x14ac:dyDescent="0.2">
      <c r="A56" s="627" t="str">
        <f t="shared" si="8"/>
        <v>AAAAAAA</v>
      </c>
      <c r="B56" s="628"/>
      <c r="C56" s="77" t="s">
        <v>9360</v>
      </c>
      <c r="D56" s="77" t="s">
        <v>9360</v>
      </c>
      <c r="E56" s="77">
        <f t="shared" si="9"/>
        <v>0</v>
      </c>
      <c r="F56" s="16" t="str">
        <f>IF($A$49="","",IF(VLOOKUP($A55,Products!$A$59:$H$159,5,FALSE)="","",VLOOKUP($A55,Products!$A$59:$H$159,5,FALSE)))</f>
        <v/>
      </c>
      <c r="G56" s="16" t="str">
        <f>IF($A$49="","",IF(VLOOKUP($A55,Products!$A$59:$H$159,8,FALSE)="","",VLOOKUP($A55,Products!$A$59:$H$159,8,FALSE)))</f>
        <v/>
      </c>
      <c r="H56" s="77" t="s">
        <v>9360</v>
      </c>
      <c r="I56" s="77" t="s">
        <v>9360</v>
      </c>
      <c r="J56" s="77" t="s">
        <v>9360</v>
      </c>
      <c r="K56" s="2" t="str">
        <f t="shared" si="10"/>
        <v/>
      </c>
      <c r="L56" s="2" t="str">
        <f t="shared" si="10"/>
        <v/>
      </c>
      <c r="M56" s="2" t="str">
        <f t="shared" si="10"/>
        <v/>
      </c>
      <c r="N56" s="12" t="str">
        <f t="shared" si="10"/>
        <v/>
      </c>
    </row>
    <row r="57" spans="1:14" x14ac:dyDescent="0.2">
      <c r="A57" s="627" t="str">
        <f t="shared" si="8"/>
        <v>AAAAAAAA</v>
      </c>
      <c r="B57" s="628"/>
      <c r="C57" s="77" t="s">
        <v>9360</v>
      </c>
      <c r="D57" s="77" t="s">
        <v>9360</v>
      </c>
      <c r="E57" s="77">
        <f t="shared" si="9"/>
        <v>0</v>
      </c>
      <c r="F57" s="16" t="str">
        <f>IF($A$49="","",IF(VLOOKUP($A56,Products!$A$59:$H$159,5,FALSE)="","",VLOOKUP($A56,Products!$A$59:$H$159,5,FALSE)))</f>
        <v/>
      </c>
      <c r="G57" s="16" t="str">
        <f>IF($A$49="","",IF(VLOOKUP($A56,Products!$A$59:$H$159,8,FALSE)="","",VLOOKUP($A56,Products!$A$59:$H$159,8,FALSE)))</f>
        <v/>
      </c>
      <c r="H57" s="77" t="s">
        <v>9360</v>
      </c>
      <c r="I57" s="77" t="s">
        <v>9360</v>
      </c>
      <c r="J57" s="77" t="s">
        <v>9360</v>
      </c>
      <c r="K57" s="2" t="str">
        <f t="shared" si="10"/>
        <v/>
      </c>
      <c r="L57" s="2" t="str">
        <f t="shared" si="10"/>
        <v/>
      </c>
      <c r="M57" s="2" t="str">
        <f t="shared" si="10"/>
        <v/>
      </c>
      <c r="N57" s="12" t="str">
        <f t="shared" si="10"/>
        <v/>
      </c>
    </row>
    <row r="58" spans="1:14" x14ac:dyDescent="0.2">
      <c r="A58" s="627" t="str">
        <f t="shared" si="8"/>
        <v>AAAAAAAAA</v>
      </c>
      <c r="B58" s="628"/>
      <c r="C58" s="77" t="s">
        <v>9360</v>
      </c>
      <c r="D58" s="77" t="s">
        <v>9360</v>
      </c>
      <c r="E58" s="77">
        <f t="shared" si="9"/>
        <v>0</v>
      </c>
      <c r="F58" s="16" t="str">
        <f>IF($A$49="","",IF(VLOOKUP($A57,Products!$A$59:$H$159,5,FALSE)="","",VLOOKUP($A57,Products!$A$59:$H$159,5,FALSE)))</f>
        <v/>
      </c>
      <c r="G58" s="16" t="str">
        <f>IF($A$49="","",IF(VLOOKUP($A57,Products!$A$59:$H$159,8,FALSE)="","",VLOOKUP($A57,Products!$A$59:$H$159,8,FALSE)))</f>
        <v/>
      </c>
      <c r="H58" s="77" t="s">
        <v>9360</v>
      </c>
      <c r="I58" s="77" t="s">
        <v>9360</v>
      </c>
      <c r="J58" s="77" t="s">
        <v>9360</v>
      </c>
      <c r="K58" s="2" t="str">
        <f t="shared" si="10"/>
        <v/>
      </c>
      <c r="L58" s="2" t="str">
        <f t="shared" si="10"/>
        <v/>
      </c>
      <c r="M58" s="2" t="str">
        <f t="shared" si="10"/>
        <v/>
      </c>
      <c r="N58" s="12" t="str">
        <f t="shared" si="10"/>
        <v/>
      </c>
    </row>
    <row r="59" spans="1:14" x14ac:dyDescent="0.2">
      <c r="A59" s="627" t="str">
        <f t="shared" si="8"/>
        <v>AAAAAAAAAA</v>
      </c>
      <c r="B59" s="628"/>
      <c r="C59" s="77" t="s">
        <v>9360</v>
      </c>
      <c r="D59" s="77" t="s">
        <v>9360</v>
      </c>
      <c r="E59" s="77">
        <f t="shared" si="9"/>
        <v>0</v>
      </c>
      <c r="F59" s="16" t="str">
        <f>IF($A$49="","",IF(VLOOKUP($A58,Products!$A$59:$H$159,5,FALSE)="","",VLOOKUP($A58,Products!$A$59:$H$159,5,FALSE)))</f>
        <v/>
      </c>
      <c r="G59" s="16" t="str">
        <f>IF($A$49="","",IF(VLOOKUP($A58,Products!$A$59:$H$159,8,FALSE)="","",VLOOKUP($A58,Products!$A$59:$H$159,8,FALSE)))</f>
        <v/>
      </c>
      <c r="H59" s="77" t="s">
        <v>9360</v>
      </c>
      <c r="I59" s="77" t="s">
        <v>9360</v>
      </c>
      <c r="J59" s="77" t="s">
        <v>9360</v>
      </c>
      <c r="K59" s="2" t="str">
        <f t="shared" si="10"/>
        <v/>
      </c>
      <c r="L59" s="2" t="str">
        <f t="shared" si="10"/>
        <v/>
      </c>
      <c r="M59" s="2" t="str">
        <f t="shared" si="10"/>
        <v/>
      </c>
      <c r="N59" s="12" t="str">
        <f t="shared" si="10"/>
        <v/>
      </c>
    </row>
    <row r="60" spans="1:14" x14ac:dyDescent="0.2">
      <c r="A60" s="651"/>
      <c r="B60" s="615"/>
      <c r="C60" s="41"/>
      <c r="D60" s="41"/>
      <c r="E60" s="41"/>
      <c r="F60" s="16" t="s">
        <v>291</v>
      </c>
      <c r="G60" s="16">
        <v>1</v>
      </c>
      <c r="H60" s="16" t="str">
        <f>IF(A60="","",IF(VLOOKUP($A60,Products!$A$59:$H$159,2,FALSE)="","",VLOOKUP($A60,Products!$A$59:$H$159,2,FALSE)))</f>
        <v/>
      </c>
      <c r="I60" s="16" t="str">
        <f>IF(A60="","",IF(VLOOKUP($A60,Products!$A$59:$H$159,3,FALSE)="","",VLOOKUP($A60,Products!$A$59:$H$159,3,FALSE)))</f>
        <v/>
      </c>
      <c r="J60" s="16" t="str">
        <f>IF(A60="","",IF(VLOOKUP($A60,Products!$A$59:$H$159,4,FALSE)="","",VLOOKUP($A60,Products!$A$59:$H$159,4,FALSE)))</f>
        <v/>
      </c>
      <c r="K60" s="2" t="str">
        <f>IF(OR($A60="",C60="",$E60=""),"",((12.46*$F$21*$I60*$H60)/$F$22)*((C60*42)/1000)*(IF($E60="YES",(1-$F$20),1)))</f>
        <v/>
      </c>
      <c r="L60" s="2" t="str">
        <f>IF(OR($A60="",$D60="",$E60=""),"",((12.46*$F$21*$J60*$H60)/$F$23)*(($D60*42)/1000)*(1/2000)*(IF($E60="YES",(1-$F$20),1)))</f>
        <v/>
      </c>
      <c r="M60" s="2" t="str">
        <f>IF(OR($A60="",$C60="",$E60=""),"",((12.46*$F$21*$I60*$H60)/$F$22)*(($C60*42)/1000)*(IF($E60="YES",$F$20,0)))</f>
        <v/>
      </c>
      <c r="N60" s="12" t="str">
        <f>IF(OR($A60="",$D60="",$E60=""),"",((12.46*$F$21*$J60*$H60)/$F$23)*(($D60*42)/1000)*(1/2000)*(IF($E60="YES",$F$20,0)))</f>
        <v/>
      </c>
    </row>
    <row r="61" spans="1:14" x14ac:dyDescent="0.2">
      <c r="A61" s="627" t="str">
        <f t="shared" ref="A61:A70" si="11">A60&amp;"A"</f>
        <v>A</v>
      </c>
      <c r="B61" s="628"/>
      <c r="C61" s="77" t="s">
        <v>9360</v>
      </c>
      <c r="D61" s="77" t="s">
        <v>9360</v>
      </c>
      <c r="E61" s="77">
        <f>E60</f>
        <v>0</v>
      </c>
      <c r="F61" s="16" t="str">
        <f>IF($A$60="","",IF(VLOOKUP($A60,Products!$A$59:$H$159,5,FALSE)="","",VLOOKUP($A60,Products!$A$59:$H$159,5,FALSE)))</f>
        <v/>
      </c>
      <c r="G61" s="16" t="str">
        <f>IF($A$60="","",IF(VLOOKUP($A60,Products!$A$59:$H$159,8,FALSE)="","",VLOOKUP($A60,Products!$A$59:$H$159,8,FALSE)))</f>
        <v/>
      </c>
      <c r="H61" s="77" t="s">
        <v>9360</v>
      </c>
      <c r="I61" s="77" t="s">
        <v>9360</v>
      </c>
      <c r="J61" s="77" t="s">
        <v>9360</v>
      </c>
      <c r="K61" s="2" t="str">
        <f>IF($G61="","",K$60*$G61)</f>
        <v/>
      </c>
      <c r="L61" s="2" t="str">
        <f t="shared" ref="L61:N70" si="12">IF($G61="","",L$60*$G61)</f>
        <v/>
      </c>
      <c r="M61" s="2" t="str">
        <f>IF($G61="","",M$60*$G61)</f>
        <v/>
      </c>
      <c r="N61" s="12" t="str">
        <f>IF($G61="","",N$60*$G61)</f>
        <v/>
      </c>
    </row>
    <row r="62" spans="1:14" x14ac:dyDescent="0.2">
      <c r="A62" s="627" t="str">
        <f t="shared" si="11"/>
        <v>AA</v>
      </c>
      <c r="B62" s="628"/>
      <c r="C62" s="77" t="s">
        <v>9360</v>
      </c>
      <c r="D62" s="77" t="s">
        <v>9360</v>
      </c>
      <c r="E62" s="77">
        <f t="shared" ref="E62:E70" si="13">E61</f>
        <v>0</v>
      </c>
      <c r="F62" s="16" t="str">
        <f>IF($A$60="","",IF(VLOOKUP($A61,Products!$A$59:$H$159,5,FALSE)="","",VLOOKUP($A61,Products!$A$59:$H$159,5,FALSE)))</f>
        <v/>
      </c>
      <c r="G62" s="16" t="str">
        <f>IF($A$60="","",IF(VLOOKUP($A61,Products!$A$59:$H$159,8,FALSE)="","",VLOOKUP($A61,Products!$A$59:$H$159,8,FALSE)))</f>
        <v/>
      </c>
      <c r="H62" s="77" t="s">
        <v>9360</v>
      </c>
      <c r="I62" s="77" t="s">
        <v>9360</v>
      </c>
      <c r="J62" s="77" t="s">
        <v>9360</v>
      </c>
      <c r="K62" s="2" t="str">
        <f t="shared" ref="K62:K70" si="14">IF($G62="","",K$60*$G62)</f>
        <v/>
      </c>
      <c r="L62" s="2" t="str">
        <f t="shared" si="12"/>
        <v/>
      </c>
      <c r="M62" s="2" t="str">
        <f t="shared" si="12"/>
        <v/>
      </c>
      <c r="N62" s="12" t="str">
        <f t="shared" si="12"/>
        <v/>
      </c>
    </row>
    <row r="63" spans="1:14" x14ac:dyDescent="0.2">
      <c r="A63" s="627" t="str">
        <f t="shared" si="11"/>
        <v>AAA</v>
      </c>
      <c r="B63" s="628"/>
      <c r="C63" s="77" t="s">
        <v>9360</v>
      </c>
      <c r="D63" s="77" t="s">
        <v>9360</v>
      </c>
      <c r="E63" s="77">
        <f t="shared" si="13"/>
        <v>0</v>
      </c>
      <c r="F63" s="16" t="str">
        <f>IF($A$60="","",IF(VLOOKUP($A62,Products!$A$59:$H$159,5,FALSE)="","",VLOOKUP($A62,Products!$A$59:$H$159,5,FALSE)))</f>
        <v/>
      </c>
      <c r="G63" s="16" t="str">
        <f>IF($A$60="","",IF(VLOOKUP($A62,Products!$A$59:$H$159,8,FALSE)="","",VLOOKUP($A62,Products!$A$59:$H$159,8,FALSE)))</f>
        <v/>
      </c>
      <c r="H63" s="77" t="s">
        <v>9360</v>
      </c>
      <c r="I63" s="77" t="s">
        <v>9360</v>
      </c>
      <c r="J63" s="77" t="s">
        <v>9360</v>
      </c>
      <c r="K63" s="2" t="str">
        <f t="shared" si="14"/>
        <v/>
      </c>
      <c r="L63" s="2" t="str">
        <f t="shared" si="12"/>
        <v/>
      </c>
      <c r="M63" s="2" t="str">
        <f t="shared" si="12"/>
        <v/>
      </c>
      <c r="N63" s="12" t="str">
        <f t="shared" si="12"/>
        <v/>
      </c>
    </row>
    <row r="64" spans="1:14" x14ac:dyDescent="0.2">
      <c r="A64" s="627" t="str">
        <f t="shared" si="11"/>
        <v>AAAA</v>
      </c>
      <c r="B64" s="628"/>
      <c r="C64" s="77" t="s">
        <v>9360</v>
      </c>
      <c r="D64" s="77" t="s">
        <v>9360</v>
      </c>
      <c r="E64" s="77">
        <f t="shared" si="13"/>
        <v>0</v>
      </c>
      <c r="F64" s="16" t="str">
        <f>IF($A$60="","",IF(VLOOKUP($A63,Products!$A$59:$H$159,5,FALSE)="","",VLOOKUP($A63,Products!$A$59:$H$159,5,FALSE)))</f>
        <v/>
      </c>
      <c r="G64" s="16" t="str">
        <f>IF($A$60="","",IF(VLOOKUP($A63,Products!$A$59:$H$159,8,FALSE)="","",VLOOKUP($A63,Products!$A$59:$H$159,8,FALSE)))</f>
        <v/>
      </c>
      <c r="H64" s="77" t="s">
        <v>9360</v>
      </c>
      <c r="I64" s="77" t="s">
        <v>9360</v>
      </c>
      <c r="J64" s="77" t="s">
        <v>9360</v>
      </c>
      <c r="K64" s="2" t="str">
        <f t="shared" si="14"/>
        <v/>
      </c>
      <c r="L64" s="2" t="str">
        <f t="shared" si="12"/>
        <v/>
      </c>
      <c r="M64" s="2" t="str">
        <f t="shared" si="12"/>
        <v/>
      </c>
      <c r="N64" s="12" t="str">
        <f t="shared" si="12"/>
        <v/>
      </c>
    </row>
    <row r="65" spans="1:14" x14ac:dyDescent="0.2">
      <c r="A65" s="627" t="str">
        <f t="shared" si="11"/>
        <v>AAAAA</v>
      </c>
      <c r="B65" s="628"/>
      <c r="C65" s="77" t="s">
        <v>9360</v>
      </c>
      <c r="D65" s="77" t="s">
        <v>9360</v>
      </c>
      <c r="E65" s="77">
        <f t="shared" si="13"/>
        <v>0</v>
      </c>
      <c r="F65" s="16" t="str">
        <f>IF($A$60="","",IF(VLOOKUP($A64,Products!$A$59:$H$159,5,FALSE)="","",VLOOKUP($A64,Products!$A$59:$H$159,5,FALSE)))</f>
        <v/>
      </c>
      <c r="G65" s="16" t="str">
        <f>IF($A$60="","",IF(VLOOKUP($A64,Products!$A$59:$H$159,8,FALSE)="","",VLOOKUP($A64,Products!$A$59:$H$159,8,FALSE)))</f>
        <v/>
      </c>
      <c r="H65" s="77" t="s">
        <v>9360</v>
      </c>
      <c r="I65" s="77" t="s">
        <v>9360</v>
      </c>
      <c r="J65" s="77" t="s">
        <v>9360</v>
      </c>
      <c r="K65" s="2" t="str">
        <f t="shared" si="14"/>
        <v/>
      </c>
      <c r="L65" s="2" t="str">
        <f t="shared" si="12"/>
        <v/>
      </c>
      <c r="M65" s="2" t="str">
        <f t="shared" si="12"/>
        <v/>
      </c>
      <c r="N65" s="12" t="str">
        <f t="shared" si="12"/>
        <v/>
      </c>
    </row>
    <row r="66" spans="1:14" x14ac:dyDescent="0.2">
      <c r="A66" s="627" t="str">
        <f t="shared" si="11"/>
        <v>AAAAAA</v>
      </c>
      <c r="B66" s="628"/>
      <c r="C66" s="77" t="s">
        <v>9360</v>
      </c>
      <c r="D66" s="77" t="s">
        <v>9360</v>
      </c>
      <c r="E66" s="77">
        <f t="shared" si="13"/>
        <v>0</v>
      </c>
      <c r="F66" s="16" t="str">
        <f>IF($A$60="","",IF(VLOOKUP($A65,Products!$A$59:$H$159,5,FALSE)="","",VLOOKUP($A65,Products!$A$59:$H$159,5,FALSE)))</f>
        <v/>
      </c>
      <c r="G66" s="16" t="str">
        <f>IF($A$60="","",IF(VLOOKUP($A65,Products!$A$59:$H$159,8,FALSE)="","",VLOOKUP($A65,Products!$A$59:$H$159,8,FALSE)))</f>
        <v/>
      </c>
      <c r="H66" s="77" t="s">
        <v>9360</v>
      </c>
      <c r="I66" s="77" t="s">
        <v>9360</v>
      </c>
      <c r="J66" s="77" t="s">
        <v>9360</v>
      </c>
      <c r="K66" s="2" t="str">
        <f t="shared" si="14"/>
        <v/>
      </c>
      <c r="L66" s="2" t="str">
        <f t="shared" si="12"/>
        <v/>
      </c>
      <c r="M66" s="2" t="str">
        <f t="shared" si="12"/>
        <v/>
      </c>
      <c r="N66" s="12" t="str">
        <f t="shared" si="12"/>
        <v/>
      </c>
    </row>
    <row r="67" spans="1:14" x14ac:dyDescent="0.2">
      <c r="A67" s="627" t="str">
        <f t="shared" si="11"/>
        <v>AAAAAAA</v>
      </c>
      <c r="B67" s="628"/>
      <c r="C67" s="77" t="s">
        <v>9360</v>
      </c>
      <c r="D67" s="77" t="s">
        <v>9360</v>
      </c>
      <c r="E67" s="77">
        <f t="shared" si="13"/>
        <v>0</v>
      </c>
      <c r="F67" s="16" t="str">
        <f>IF($A$60="","",IF(VLOOKUP($A66,Products!$A$59:$H$159,5,FALSE)="","",VLOOKUP($A66,Products!$A$59:$H$159,5,FALSE)))</f>
        <v/>
      </c>
      <c r="G67" s="16" t="str">
        <f>IF($A$60="","",IF(VLOOKUP($A66,Products!$A$59:$H$159,8,FALSE)="","",VLOOKUP($A66,Products!$A$59:$H$159,8,FALSE)))</f>
        <v/>
      </c>
      <c r="H67" s="77" t="s">
        <v>9360</v>
      </c>
      <c r="I67" s="77" t="s">
        <v>9360</v>
      </c>
      <c r="J67" s="77" t="s">
        <v>9360</v>
      </c>
      <c r="K67" s="2" t="str">
        <f t="shared" si="14"/>
        <v/>
      </c>
      <c r="L67" s="2" t="str">
        <f t="shared" si="12"/>
        <v/>
      </c>
      <c r="M67" s="2" t="str">
        <f t="shared" si="12"/>
        <v/>
      </c>
      <c r="N67" s="12" t="str">
        <f t="shared" si="12"/>
        <v/>
      </c>
    </row>
    <row r="68" spans="1:14" x14ac:dyDescent="0.2">
      <c r="A68" s="627" t="str">
        <f t="shared" si="11"/>
        <v>AAAAAAAA</v>
      </c>
      <c r="B68" s="628"/>
      <c r="C68" s="77" t="s">
        <v>9360</v>
      </c>
      <c r="D68" s="77" t="s">
        <v>9360</v>
      </c>
      <c r="E68" s="77">
        <f t="shared" si="13"/>
        <v>0</v>
      </c>
      <c r="F68" s="16" t="str">
        <f>IF($A$60="","",IF(VLOOKUP($A67,Products!$A$59:$H$159,5,FALSE)="","",VLOOKUP($A67,Products!$A$59:$H$159,5,FALSE)))</f>
        <v/>
      </c>
      <c r="G68" s="16" t="str">
        <f>IF($A$60="","",IF(VLOOKUP($A67,Products!$A$59:$H$159,8,FALSE)="","",VLOOKUP($A67,Products!$A$59:$H$159,8,FALSE)))</f>
        <v/>
      </c>
      <c r="H68" s="77" t="s">
        <v>9360</v>
      </c>
      <c r="I68" s="77" t="s">
        <v>9360</v>
      </c>
      <c r="J68" s="77" t="s">
        <v>9360</v>
      </c>
      <c r="K68" s="2" t="str">
        <f t="shared" si="14"/>
        <v/>
      </c>
      <c r="L68" s="2" t="str">
        <f>IF($G68="","",L$60*$G68)</f>
        <v/>
      </c>
      <c r="M68" s="2" t="str">
        <f t="shared" si="12"/>
        <v/>
      </c>
      <c r="N68" s="12" t="str">
        <f t="shared" si="12"/>
        <v/>
      </c>
    </row>
    <row r="69" spans="1:14" x14ac:dyDescent="0.2">
      <c r="A69" s="627" t="str">
        <f t="shared" si="11"/>
        <v>AAAAAAAAA</v>
      </c>
      <c r="B69" s="628"/>
      <c r="C69" s="77" t="s">
        <v>9360</v>
      </c>
      <c r="D69" s="77" t="s">
        <v>9360</v>
      </c>
      <c r="E69" s="77">
        <f t="shared" si="13"/>
        <v>0</v>
      </c>
      <c r="F69" s="16" t="str">
        <f>IF($A$60="","",IF(VLOOKUP($A68,Products!$A$59:$H$159,5,FALSE)="","",VLOOKUP($A68,Products!$A$59:$H$159,5,FALSE)))</f>
        <v/>
      </c>
      <c r="G69" s="16" t="str">
        <f>IF($A$60="","",IF(VLOOKUP($A68,Products!$A$59:$H$159,8,FALSE)="","",VLOOKUP($A68,Products!$A$59:$H$159,8,FALSE)))</f>
        <v/>
      </c>
      <c r="H69" s="77" t="s">
        <v>9360</v>
      </c>
      <c r="I69" s="77" t="s">
        <v>9360</v>
      </c>
      <c r="J69" s="77" t="s">
        <v>9360</v>
      </c>
      <c r="K69" s="2" t="str">
        <f t="shared" si="14"/>
        <v/>
      </c>
      <c r="L69" s="2" t="str">
        <f t="shared" si="12"/>
        <v/>
      </c>
      <c r="M69" s="2" t="str">
        <f t="shared" si="12"/>
        <v/>
      </c>
      <c r="N69" s="12" t="str">
        <f t="shared" si="12"/>
        <v/>
      </c>
    </row>
    <row r="70" spans="1:14" x14ac:dyDescent="0.2">
      <c r="A70" s="627" t="str">
        <f t="shared" si="11"/>
        <v>AAAAAAAAAA</v>
      </c>
      <c r="B70" s="628"/>
      <c r="C70" s="77" t="s">
        <v>9360</v>
      </c>
      <c r="D70" s="77" t="s">
        <v>9360</v>
      </c>
      <c r="E70" s="77">
        <f t="shared" si="13"/>
        <v>0</v>
      </c>
      <c r="F70" s="16" t="str">
        <f>IF($A$60="","",IF(VLOOKUP($A69,Products!$A$59:$H$159,5,FALSE)="","",VLOOKUP($A69,Products!$A$59:$H$159,5,FALSE)))</f>
        <v/>
      </c>
      <c r="G70" s="16" t="str">
        <f>IF($A$60="","",IF(VLOOKUP($A69,Products!$A$59:$H$159,8,FALSE)="","",VLOOKUP($A69,Products!$A$59:$H$159,8,FALSE)))</f>
        <v/>
      </c>
      <c r="H70" s="77" t="s">
        <v>9360</v>
      </c>
      <c r="I70" s="77" t="s">
        <v>9360</v>
      </c>
      <c r="J70" s="77" t="s">
        <v>9360</v>
      </c>
      <c r="K70" s="2" t="str">
        <f t="shared" si="14"/>
        <v/>
      </c>
      <c r="L70" s="2" t="str">
        <f t="shared" si="12"/>
        <v/>
      </c>
      <c r="M70" s="2" t="str">
        <f t="shared" si="12"/>
        <v/>
      </c>
      <c r="N70" s="12" t="str">
        <f t="shared" si="12"/>
        <v/>
      </c>
    </row>
    <row r="71" spans="1:14" x14ac:dyDescent="0.2">
      <c r="A71" s="651"/>
      <c r="B71" s="615"/>
      <c r="C71" s="41"/>
      <c r="D71" s="41"/>
      <c r="E71" s="41"/>
      <c r="F71" s="16" t="s">
        <v>291</v>
      </c>
      <c r="G71" s="16">
        <v>1</v>
      </c>
      <c r="H71" s="16" t="str">
        <f>IF(A71="","",IF(VLOOKUP($A71,Products!$A$59:$H$159,2,FALSE)="","",VLOOKUP($A71,Products!$A$59:$H$159,2,FALSE)))</f>
        <v/>
      </c>
      <c r="I71" s="16" t="str">
        <f>IF(A71="","",IF(VLOOKUP($A71,Products!$A$59:$H$159,3,FALSE)="","",VLOOKUP($A71,Products!$A$59:$H$159,3,FALSE)))</f>
        <v/>
      </c>
      <c r="J71" s="16" t="str">
        <f>IF(A71="","",IF(VLOOKUP($A71,Products!$A$59:$H$159,4,FALSE)="","",VLOOKUP($A71,Products!$A$59:$H$159,4,FALSE)))</f>
        <v/>
      </c>
      <c r="K71" s="2" t="str">
        <f>IF(OR($A71="",C71="",$E71=""),"",((12.46*$F$21*$I71*$H71)/$F$22)*((C71*42)/1000)*(IF($E71="YES",(1-$F$20),1)))</f>
        <v/>
      </c>
      <c r="L71" s="2" t="str">
        <f>IF(OR($A71="",$D71="",$E71=""),"",((12.46*$F$21*$J71*$H71)/$F$23)*(($D71*42)/1000)*(1/2000)*(IF($E71="YES",(1-$F$20),1)))</f>
        <v/>
      </c>
      <c r="M71" s="2" t="str">
        <f>IF(OR($A71="",$C71="",$E71=""),"",((12.46*$F$21*$I71*$H71)/$F$22)*(($C71*42)/1000)*(IF($E71="YES",$F$20,0)))</f>
        <v/>
      </c>
      <c r="N71" s="12" t="str">
        <f>IF(OR($A71="",$D71="",$E71=""),"",((12.46*$F$21*$J71*$H71)/$F$23)*(($D71*42)/1000)*(1/2000)*(IF($E71="YES",$F$20,0)))</f>
        <v/>
      </c>
    </row>
    <row r="72" spans="1:14" x14ac:dyDescent="0.2">
      <c r="A72" s="627" t="str">
        <f t="shared" ref="A72:A81" si="15">A71&amp;"A"</f>
        <v>A</v>
      </c>
      <c r="B72" s="628"/>
      <c r="C72" s="77" t="s">
        <v>9360</v>
      </c>
      <c r="D72" s="77" t="s">
        <v>9360</v>
      </c>
      <c r="E72" s="77">
        <f>E71</f>
        <v>0</v>
      </c>
      <c r="F72" s="16" t="str">
        <f>IF($A$71="","",IF(VLOOKUP($A71,Products!$A$59:$H$159,5,FALSE)="","",VLOOKUP($A71,Products!$A$59:$H$159,5,FALSE)))</f>
        <v/>
      </c>
      <c r="G72" s="16" t="str">
        <f>IF($A$71="","",IF(VLOOKUP($A71,Products!$A$59:$H$159,8,FALSE)="","",VLOOKUP($A71,Products!$A$59:$H$159,8,FALSE)))</f>
        <v/>
      </c>
      <c r="H72" s="77" t="s">
        <v>9360</v>
      </c>
      <c r="I72" s="77" t="s">
        <v>9360</v>
      </c>
      <c r="J72" s="77" t="s">
        <v>9360</v>
      </c>
      <c r="K72" s="2" t="str">
        <f>IF($G72="","",K$71*$G72)</f>
        <v/>
      </c>
      <c r="L72" s="2" t="str">
        <f t="shared" ref="L72:N81" si="16">IF($G72="","",L$71*$G72)</f>
        <v/>
      </c>
      <c r="M72" s="2" t="str">
        <f t="shared" si="16"/>
        <v/>
      </c>
      <c r="N72" s="12" t="str">
        <f t="shared" si="16"/>
        <v/>
      </c>
    </row>
    <row r="73" spans="1:14" x14ac:dyDescent="0.2">
      <c r="A73" s="627" t="str">
        <f t="shared" si="15"/>
        <v>AA</v>
      </c>
      <c r="B73" s="628"/>
      <c r="C73" s="77" t="s">
        <v>9360</v>
      </c>
      <c r="D73" s="77" t="s">
        <v>9360</v>
      </c>
      <c r="E73" s="77">
        <f t="shared" ref="E73:E81" si="17">E72</f>
        <v>0</v>
      </c>
      <c r="F73" s="16" t="str">
        <f>IF($A$71="","",IF(VLOOKUP($A72,Products!$A$59:$H$159,5,FALSE)="","",VLOOKUP($A72,Products!$A$59:$H$159,5,FALSE)))</f>
        <v/>
      </c>
      <c r="G73" s="16" t="str">
        <f>IF($A$71="","",IF(VLOOKUP($A72,Products!$A$59:$H$159,8,FALSE)="","",VLOOKUP($A72,Products!$A$59:$H$159,8,FALSE)))</f>
        <v/>
      </c>
      <c r="H73" s="77" t="s">
        <v>9360</v>
      </c>
      <c r="I73" s="77" t="s">
        <v>9360</v>
      </c>
      <c r="J73" s="77" t="s">
        <v>9360</v>
      </c>
      <c r="K73" s="2" t="str">
        <f t="shared" ref="K73:K81" si="18">IF($G73="","",K$71*$G73)</f>
        <v/>
      </c>
      <c r="L73" s="2" t="str">
        <f t="shared" si="16"/>
        <v/>
      </c>
      <c r="M73" s="2" t="str">
        <f t="shared" si="16"/>
        <v/>
      </c>
      <c r="N73" s="12" t="str">
        <f t="shared" si="16"/>
        <v/>
      </c>
    </row>
    <row r="74" spans="1:14" x14ac:dyDescent="0.2">
      <c r="A74" s="627" t="str">
        <f t="shared" si="15"/>
        <v>AAA</v>
      </c>
      <c r="B74" s="628"/>
      <c r="C74" s="77" t="s">
        <v>9360</v>
      </c>
      <c r="D74" s="77" t="s">
        <v>9360</v>
      </c>
      <c r="E74" s="77">
        <f t="shared" si="17"/>
        <v>0</v>
      </c>
      <c r="F74" s="16" t="str">
        <f>IF($A$71="","",IF(VLOOKUP($A73,Products!$A$59:$H$159,5,FALSE)="","",VLOOKUP($A73,Products!$A$59:$H$159,5,FALSE)))</f>
        <v/>
      </c>
      <c r="G74" s="16" t="str">
        <f>IF($A$71="","",IF(VLOOKUP($A73,Products!$A$59:$H$159,8,FALSE)="","",VLOOKUP($A73,Products!$A$59:$H$159,8,FALSE)))</f>
        <v/>
      </c>
      <c r="H74" s="77" t="s">
        <v>9360</v>
      </c>
      <c r="I74" s="77" t="s">
        <v>9360</v>
      </c>
      <c r="J74" s="77" t="s">
        <v>9360</v>
      </c>
      <c r="K74" s="2" t="str">
        <f t="shared" si="18"/>
        <v/>
      </c>
      <c r="L74" s="2" t="str">
        <f t="shared" si="16"/>
        <v/>
      </c>
      <c r="M74" s="2" t="str">
        <f t="shared" si="16"/>
        <v/>
      </c>
      <c r="N74" s="12" t="str">
        <f t="shared" si="16"/>
        <v/>
      </c>
    </row>
    <row r="75" spans="1:14" x14ac:dyDescent="0.2">
      <c r="A75" s="627" t="str">
        <f t="shared" si="15"/>
        <v>AAAA</v>
      </c>
      <c r="B75" s="628"/>
      <c r="C75" s="77" t="s">
        <v>9360</v>
      </c>
      <c r="D75" s="77" t="s">
        <v>9360</v>
      </c>
      <c r="E75" s="77">
        <f t="shared" si="17"/>
        <v>0</v>
      </c>
      <c r="F75" s="16" t="str">
        <f>IF($A$71="","",IF(VLOOKUP($A74,Products!$A$59:$H$159,5,FALSE)="","",VLOOKUP($A74,Products!$A$59:$H$159,5,FALSE)))</f>
        <v/>
      </c>
      <c r="G75" s="16" t="str">
        <f>IF($A$71="","",IF(VLOOKUP($A74,Products!$A$59:$H$159,8,FALSE)="","",VLOOKUP($A74,Products!$A$59:$H$159,8,FALSE)))</f>
        <v/>
      </c>
      <c r="H75" s="77" t="s">
        <v>9360</v>
      </c>
      <c r="I75" s="77" t="s">
        <v>9360</v>
      </c>
      <c r="J75" s="77" t="s">
        <v>9360</v>
      </c>
      <c r="K75" s="2" t="str">
        <f t="shared" si="18"/>
        <v/>
      </c>
      <c r="L75" s="2" t="str">
        <f t="shared" si="16"/>
        <v/>
      </c>
      <c r="M75" s="2" t="str">
        <f t="shared" si="16"/>
        <v/>
      </c>
      <c r="N75" s="12" t="str">
        <f t="shared" si="16"/>
        <v/>
      </c>
    </row>
    <row r="76" spans="1:14" x14ac:dyDescent="0.2">
      <c r="A76" s="627" t="str">
        <f t="shared" si="15"/>
        <v>AAAAA</v>
      </c>
      <c r="B76" s="628"/>
      <c r="C76" s="77" t="s">
        <v>9360</v>
      </c>
      <c r="D76" s="77" t="s">
        <v>9360</v>
      </c>
      <c r="E76" s="77">
        <f t="shared" si="17"/>
        <v>0</v>
      </c>
      <c r="F76" s="16" t="str">
        <f>IF($A$71="","",IF(VLOOKUP($A75,Products!$A$59:$H$159,5,FALSE)="","",VLOOKUP($A75,Products!$A$59:$H$159,5,FALSE)))</f>
        <v/>
      </c>
      <c r="G76" s="16" t="str">
        <f>IF($A$71="","",IF(VLOOKUP($A75,Products!$A$59:$H$159,8,FALSE)="","",VLOOKUP($A75,Products!$A$59:$H$159,8,FALSE)))</f>
        <v/>
      </c>
      <c r="H76" s="77" t="s">
        <v>9360</v>
      </c>
      <c r="I76" s="77" t="s">
        <v>9360</v>
      </c>
      <c r="J76" s="77" t="s">
        <v>9360</v>
      </c>
      <c r="K76" s="2" t="str">
        <f t="shared" si="18"/>
        <v/>
      </c>
      <c r="L76" s="2" t="str">
        <f t="shared" si="16"/>
        <v/>
      </c>
      <c r="M76" s="2" t="str">
        <f t="shared" si="16"/>
        <v/>
      </c>
      <c r="N76" s="12" t="str">
        <f t="shared" si="16"/>
        <v/>
      </c>
    </row>
    <row r="77" spans="1:14" x14ac:dyDescent="0.2">
      <c r="A77" s="627" t="str">
        <f t="shared" si="15"/>
        <v>AAAAAA</v>
      </c>
      <c r="B77" s="628"/>
      <c r="C77" s="77" t="s">
        <v>9360</v>
      </c>
      <c r="D77" s="77" t="s">
        <v>9360</v>
      </c>
      <c r="E77" s="77">
        <f t="shared" si="17"/>
        <v>0</v>
      </c>
      <c r="F77" s="16" t="str">
        <f>IF($A$71="","",IF(VLOOKUP($A76,Products!$A$59:$H$159,5,FALSE)="","",VLOOKUP($A76,Products!$A$59:$H$159,5,FALSE)))</f>
        <v/>
      </c>
      <c r="G77" s="16" t="str">
        <f>IF($A$71="","",IF(VLOOKUP($A76,Products!$A$59:$H$159,8,FALSE)="","",VLOOKUP($A76,Products!$A$59:$H$159,8,FALSE)))</f>
        <v/>
      </c>
      <c r="H77" s="77" t="s">
        <v>9360</v>
      </c>
      <c r="I77" s="77" t="s">
        <v>9360</v>
      </c>
      <c r="J77" s="77" t="s">
        <v>9360</v>
      </c>
      <c r="K77" s="2" t="str">
        <f t="shared" si="18"/>
        <v/>
      </c>
      <c r="L77" s="2" t="str">
        <f t="shared" si="16"/>
        <v/>
      </c>
      <c r="M77" s="2" t="str">
        <f t="shared" si="16"/>
        <v/>
      </c>
      <c r="N77" s="12" t="str">
        <f t="shared" si="16"/>
        <v/>
      </c>
    </row>
    <row r="78" spans="1:14" x14ac:dyDescent="0.2">
      <c r="A78" s="627" t="str">
        <f t="shared" si="15"/>
        <v>AAAAAAA</v>
      </c>
      <c r="B78" s="628"/>
      <c r="C78" s="77" t="s">
        <v>9360</v>
      </c>
      <c r="D78" s="77" t="s">
        <v>9360</v>
      </c>
      <c r="E78" s="77">
        <f t="shared" si="17"/>
        <v>0</v>
      </c>
      <c r="F78" s="16" t="str">
        <f>IF($A$71="","",IF(VLOOKUP($A77,Products!$A$59:$H$159,5,FALSE)="","",VLOOKUP($A77,Products!$A$59:$H$159,5,FALSE)))</f>
        <v/>
      </c>
      <c r="G78" s="16" t="str">
        <f>IF($A$71="","",IF(VLOOKUP($A77,Products!$A$59:$H$159,8,FALSE)="","",VLOOKUP($A77,Products!$A$59:$H$159,8,FALSE)))</f>
        <v/>
      </c>
      <c r="H78" s="77" t="s">
        <v>9360</v>
      </c>
      <c r="I78" s="77" t="s">
        <v>9360</v>
      </c>
      <c r="J78" s="77" t="s">
        <v>9360</v>
      </c>
      <c r="K78" s="2" t="str">
        <f t="shared" si="18"/>
        <v/>
      </c>
      <c r="L78" s="2" t="str">
        <f t="shared" si="16"/>
        <v/>
      </c>
      <c r="M78" s="2" t="str">
        <f t="shared" si="16"/>
        <v/>
      </c>
      <c r="N78" s="12" t="str">
        <f t="shared" si="16"/>
        <v/>
      </c>
    </row>
    <row r="79" spans="1:14" x14ac:dyDescent="0.2">
      <c r="A79" s="627" t="str">
        <f t="shared" si="15"/>
        <v>AAAAAAAA</v>
      </c>
      <c r="B79" s="628"/>
      <c r="C79" s="77" t="s">
        <v>9360</v>
      </c>
      <c r="D79" s="77" t="s">
        <v>9360</v>
      </c>
      <c r="E79" s="77">
        <f t="shared" si="17"/>
        <v>0</v>
      </c>
      <c r="F79" s="16" t="str">
        <f>IF($A$71="","",IF(VLOOKUP($A78,Products!$A$59:$H$159,5,FALSE)="","",VLOOKUP($A78,Products!$A$59:$H$159,5,FALSE)))</f>
        <v/>
      </c>
      <c r="G79" s="16" t="str">
        <f>IF($A$71="","",IF(VLOOKUP($A78,Products!$A$59:$H$159,8,FALSE)="","",VLOOKUP($A78,Products!$A$59:$H$159,8,FALSE)))</f>
        <v/>
      </c>
      <c r="H79" s="77" t="s">
        <v>9360</v>
      </c>
      <c r="I79" s="77" t="s">
        <v>9360</v>
      </c>
      <c r="J79" s="77" t="s">
        <v>9360</v>
      </c>
      <c r="K79" s="2" t="str">
        <f t="shared" si="18"/>
        <v/>
      </c>
      <c r="L79" s="2" t="str">
        <f t="shared" si="16"/>
        <v/>
      </c>
      <c r="M79" s="2" t="str">
        <f t="shared" si="16"/>
        <v/>
      </c>
      <c r="N79" s="12" t="str">
        <f t="shared" si="16"/>
        <v/>
      </c>
    </row>
    <row r="80" spans="1:14" x14ac:dyDescent="0.2">
      <c r="A80" s="627" t="str">
        <f t="shared" si="15"/>
        <v>AAAAAAAAA</v>
      </c>
      <c r="B80" s="628"/>
      <c r="C80" s="77" t="s">
        <v>9360</v>
      </c>
      <c r="D80" s="77" t="s">
        <v>9360</v>
      </c>
      <c r="E80" s="77">
        <f t="shared" si="17"/>
        <v>0</v>
      </c>
      <c r="F80" s="16" t="str">
        <f>IF($A$71="","",IF(VLOOKUP($A79,Products!$A$59:$H$159,5,FALSE)="","",VLOOKUP($A79,Products!$A$59:$H$159,5,FALSE)))</f>
        <v/>
      </c>
      <c r="G80" s="16" t="str">
        <f>IF($A$71="","",IF(VLOOKUP($A79,Products!$A$59:$H$159,8,FALSE)="","",VLOOKUP($A79,Products!$A$59:$H$159,8,FALSE)))</f>
        <v/>
      </c>
      <c r="H80" s="77" t="s">
        <v>9360</v>
      </c>
      <c r="I80" s="77" t="s">
        <v>9360</v>
      </c>
      <c r="J80" s="77" t="s">
        <v>9360</v>
      </c>
      <c r="K80" s="2" t="str">
        <f t="shared" si="18"/>
        <v/>
      </c>
      <c r="L80" s="2" t="str">
        <f t="shared" si="16"/>
        <v/>
      </c>
      <c r="M80" s="2" t="str">
        <f t="shared" si="16"/>
        <v/>
      </c>
      <c r="N80" s="12" t="str">
        <f t="shared" si="16"/>
        <v/>
      </c>
    </row>
    <row r="81" spans="1:14" x14ac:dyDescent="0.2">
      <c r="A81" s="627" t="str">
        <f t="shared" si="15"/>
        <v>AAAAAAAAAA</v>
      </c>
      <c r="B81" s="628"/>
      <c r="C81" s="77" t="s">
        <v>9360</v>
      </c>
      <c r="D81" s="77" t="s">
        <v>9360</v>
      </c>
      <c r="E81" s="77">
        <f t="shared" si="17"/>
        <v>0</v>
      </c>
      <c r="F81" s="16" t="str">
        <f>IF($A$71="","",IF(VLOOKUP($A80,Products!$A$59:$H$159,5,FALSE)="","",VLOOKUP($A80,Products!$A$59:$H$159,5,FALSE)))</f>
        <v/>
      </c>
      <c r="G81" s="16" t="str">
        <f>IF($A$71="","",IF(VLOOKUP($A80,Products!$A$59:$H$159,8,FALSE)="","",VLOOKUP($A80,Products!$A$59:$H$159,8,FALSE)))</f>
        <v/>
      </c>
      <c r="H81" s="77" t="s">
        <v>9360</v>
      </c>
      <c r="I81" s="77" t="s">
        <v>9360</v>
      </c>
      <c r="J81" s="77" t="s">
        <v>9360</v>
      </c>
      <c r="K81" s="2" t="str">
        <f t="shared" si="18"/>
        <v/>
      </c>
      <c r="L81" s="2" t="str">
        <f t="shared" si="16"/>
        <v/>
      </c>
      <c r="M81" s="2" t="str">
        <f t="shared" si="16"/>
        <v/>
      </c>
      <c r="N81" s="12" t="str">
        <f t="shared" si="16"/>
        <v/>
      </c>
    </row>
    <row r="82" spans="1:14" x14ac:dyDescent="0.2">
      <c r="A82" s="651"/>
      <c r="B82" s="615"/>
      <c r="C82" s="41"/>
      <c r="D82" s="41"/>
      <c r="E82" s="41"/>
      <c r="F82" s="16" t="s">
        <v>291</v>
      </c>
      <c r="G82" s="16">
        <v>1</v>
      </c>
      <c r="H82" s="16" t="str">
        <f>IF(A82="","",IF(VLOOKUP($A82,Products!$A$59:$H$159,2,FALSE)="","",VLOOKUP($A82,Products!$A$59:$H$159,2,FALSE)))</f>
        <v/>
      </c>
      <c r="I82" s="16" t="str">
        <f>IF(A82="","",IF(VLOOKUP($A82,Products!$A$59:$H$159,3,FALSE)="","",VLOOKUP($A82,Products!$A$59:$H$159,3,FALSE)))</f>
        <v/>
      </c>
      <c r="J82" s="16" t="str">
        <f>IF(A82="","",IF(VLOOKUP($A82,Products!$A$59:$H$159,4,FALSE)="","",VLOOKUP($A82,Products!$A$59:$H$159,4,FALSE)))</f>
        <v/>
      </c>
      <c r="K82" s="2" t="str">
        <f>IF(OR($A82="",C82="",$E82=""),"",((12.46*$F$21*$I82*$H82)/$F$22)*((C82*42)/1000)*(IF($E82="YES",(1-$F$20),1)))</f>
        <v/>
      </c>
      <c r="L82" s="2" t="str">
        <f>IF(OR($A82="",$D82="",$E82=""),"",((12.46*$F$21*$J82*$H82)/$F$23)*(($D82*42)/1000)*(1/2000)*(IF($E82="YES",(1-$F$20),1)))</f>
        <v/>
      </c>
      <c r="M82" s="2" t="str">
        <f>IF(OR($A82="",$C82="",$E82=""),"",((12.46*$F$21*$I82*$H82)/$F$22)*(($C82*42)/1000)*(IF($E82="YES",$F$20,0)))</f>
        <v/>
      </c>
      <c r="N82" s="12" t="str">
        <f>IF(OR($A82="",$D82="",$E82=""),"",((12.46*$F$21*$J82*$H82)/$F$23)*(($D82*42)/1000)*(1/2000)*(IF($E82="YES",$F$20,0)))</f>
        <v/>
      </c>
    </row>
    <row r="83" spans="1:14" x14ac:dyDescent="0.2">
      <c r="A83" s="627" t="str">
        <f t="shared" ref="A83:A92" si="19">A82&amp;"A"</f>
        <v>A</v>
      </c>
      <c r="B83" s="628"/>
      <c r="C83" s="77" t="s">
        <v>9360</v>
      </c>
      <c r="D83" s="77" t="s">
        <v>9360</v>
      </c>
      <c r="E83" s="77">
        <f>E82</f>
        <v>0</v>
      </c>
      <c r="F83" s="16" t="str">
        <f>IF($A$82="","",IF(VLOOKUP($A82,Products!$A$59:$H$159,5,FALSE)="","",VLOOKUP($A82,Products!$A$59:$H$159,5,FALSE)))</f>
        <v/>
      </c>
      <c r="G83" s="16" t="str">
        <f>IF($A$82="","",IF(VLOOKUP($A82,Products!$A$59:$H$159,8,FALSE)="","",VLOOKUP($A82,Products!$A$59:$H$159,8,FALSE)))</f>
        <v/>
      </c>
      <c r="H83" s="77" t="s">
        <v>9360</v>
      </c>
      <c r="I83" s="77" t="s">
        <v>9360</v>
      </c>
      <c r="J83" s="77" t="s">
        <v>9360</v>
      </c>
      <c r="K83" s="2" t="str">
        <f>IF($G83="","",K$82*$G83)</f>
        <v/>
      </c>
      <c r="L83" s="2" t="str">
        <f t="shared" ref="L83:N92" si="20">IF($G83="","",L$82*$G83)</f>
        <v/>
      </c>
      <c r="M83" s="2" t="str">
        <f t="shared" si="20"/>
        <v/>
      </c>
      <c r="N83" s="12" t="str">
        <f t="shared" si="20"/>
        <v/>
      </c>
    </row>
    <row r="84" spans="1:14" x14ac:dyDescent="0.2">
      <c r="A84" s="627" t="str">
        <f t="shared" si="19"/>
        <v>AA</v>
      </c>
      <c r="B84" s="628"/>
      <c r="C84" s="77" t="s">
        <v>9360</v>
      </c>
      <c r="D84" s="77" t="s">
        <v>9360</v>
      </c>
      <c r="E84" s="77">
        <f t="shared" ref="E84:E92" si="21">E83</f>
        <v>0</v>
      </c>
      <c r="F84" s="16" t="str">
        <f>IF($A$82="","",IF(VLOOKUP($A83,Products!$A$59:$H$159,5,FALSE)="","",VLOOKUP($A83,Products!$A$59:$H$159,5,FALSE)))</f>
        <v/>
      </c>
      <c r="G84" s="16" t="str">
        <f>IF($A$82="","",IF(VLOOKUP($A83,Products!$A$59:$H$159,8,FALSE)="","",VLOOKUP($A83,Products!$A$59:$H$159,8,FALSE)))</f>
        <v/>
      </c>
      <c r="H84" s="77" t="s">
        <v>9360</v>
      </c>
      <c r="I84" s="77" t="s">
        <v>9360</v>
      </c>
      <c r="J84" s="77" t="s">
        <v>9360</v>
      </c>
      <c r="K84" s="2" t="str">
        <f>IF($G84="","",K$82*$G84)</f>
        <v/>
      </c>
      <c r="L84" s="2" t="str">
        <f t="shared" si="20"/>
        <v/>
      </c>
      <c r="M84" s="2" t="str">
        <f t="shared" si="20"/>
        <v/>
      </c>
      <c r="N84" s="12" t="str">
        <f t="shared" si="20"/>
        <v/>
      </c>
    </row>
    <row r="85" spans="1:14" x14ac:dyDescent="0.2">
      <c r="A85" s="627" t="str">
        <f t="shared" si="19"/>
        <v>AAA</v>
      </c>
      <c r="B85" s="628"/>
      <c r="C85" s="77" t="s">
        <v>9360</v>
      </c>
      <c r="D85" s="77" t="s">
        <v>9360</v>
      </c>
      <c r="E85" s="77">
        <f t="shared" si="21"/>
        <v>0</v>
      </c>
      <c r="F85" s="16" t="str">
        <f>IF($A$82="","",IF(VLOOKUP($A84,Products!$A$59:$H$159,5,FALSE)="","",VLOOKUP($A84,Products!$A$59:$H$159,5,FALSE)))</f>
        <v/>
      </c>
      <c r="G85" s="16" t="str">
        <f>IF($A$82="","",IF(VLOOKUP($A84,Products!$A$59:$H$159,8,FALSE)="","",VLOOKUP($A84,Products!$A$59:$H$159,8,FALSE)))</f>
        <v/>
      </c>
      <c r="H85" s="77" t="s">
        <v>9360</v>
      </c>
      <c r="I85" s="77" t="s">
        <v>9360</v>
      </c>
      <c r="J85" s="77" t="s">
        <v>9360</v>
      </c>
      <c r="K85" s="2" t="str">
        <f t="shared" ref="K85:K92" si="22">IF($G85="","",K$82*$G85)</f>
        <v/>
      </c>
      <c r="L85" s="2" t="str">
        <f t="shared" si="20"/>
        <v/>
      </c>
      <c r="M85" s="2" t="str">
        <f t="shared" si="20"/>
        <v/>
      </c>
      <c r="N85" s="12" t="str">
        <f t="shared" si="20"/>
        <v/>
      </c>
    </row>
    <row r="86" spans="1:14" x14ac:dyDescent="0.2">
      <c r="A86" s="627" t="str">
        <f t="shared" si="19"/>
        <v>AAAA</v>
      </c>
      <c r="B86" s="628"/>
      <c r="C86" s="77" t="s">
        <v>9360</v>
      </c>
      <c r="D86" s="77" t="s">
        <v>9360</v>
      </c>
      <c r="E86" s="77">
        <f t="shared" si="21"/>
        <v>0</v>
      </c>
      <c r="F86" s="16" t="str">
        <f>IF($A$82="","",IF(VLOOKUP($A85,Products!$A$59:$H$159,5,FALSE)="","",VLOOKUP($A85,Products!$A$59:$H$159,5,FALSE)))</f>
        <v/>
      </c>
      <c r="G86" s="16" t="str">
        <f>IF($A$82="","",IF(VLOOKUP($A85,Products!$A$59:$H$159,8,FALSE)="","",VLOOKUP($A85,Products!$A$59:$H$159,8,FALSE)))</f>
        <v/>
      </c>
      <c r="H86" s="77" t="s">
        <v>9360</v>
      </c>
      <c r="I86" s="77" t="s">
        <v>9360</v>
      </c>
      <c r="J86" s="77" t="s">
        <v>9360</v>
      </c>
      <c r="K86" s="2" t="str">
        <f t="shared" si="22"/>
        <v/>
      </c>
      <c r="L86" s="2" t="str">
        <f t="shared" si="20"/>
        <v/>
      </c>
      <c r="M86" s="2" t="str">
        <f t="shared" si="20"/>
        <v/>
      </c>
      <c r="N86" s="12" t="str">
        <f t="shared" si="20"/>
        <v/>
      </c>
    </row>
    <row r="87" spans="1:14" x14ac:dyDescent="0.2">
      <c r="A87" s="627" t="str">
        <f t="shared" si="19"/>
        <v>AAAAA</v>
      </c>
      <c r="B87" s="628"/>
      <c r="C87" s="77" t="s">
        <v>9360</v>
      </c>
      <c r="D87" s="77" t="s">
        <v>9360</v>
      </c>
      <c r="E87" s="77">
        <f t="shared" si="21"/>
        <v>0</v>
      </c>
      <c r="F87" s="16" t="str">
        <f>IF($A$82="","",IF(VLOOKUP($A86,Products!$A$59:$H$159,5,FALSE)="","",VLOOKUP($A86,Products!$A$59:$H$159,5,FALSE)))</f>
        <v/>
      </c>
      <c r="G87" s="16" t="str">
        <f>IF($A$82="","",IF(VLOOKUP($A86,Products!$A$59:$H$159,8,FALSE)="","",VLOOKUP($A86,Products!$A$59:$H$159,8,FALSE)))</f>
        <v/>
      </c>
      <c r="H87" s="77" t="s">
        <v>9360</v>
      </c>
      <c r="I87" s="77" t="s">
        <v>9360</v>
      </c>
      <c r="J87" s="77" t="s">
        <v>9360</v>
      </c>
      <c r="K87" s="2" t="str">
        <f t="shared" si="22"/>
        <v/>
      </c>
      <c r="L87" s="2" t="str">
        <f t="shared" si="20"/>
        <v/>
      </c>
      <c r="M87" s="2" t="str">
        <f>IF($G87="","",M$82*$G87)</f>
        <v/>
      </c>
      <c r="N87" s="12" t="str">
        <f t="shared" si="20"/>
        <v/>
      </c>
    </row>
    <row r="88" spans="1:14" x14ac:dyDescent="0.2">
      <c r="A88" s="627" t="str">
        <f t="shared" si="19"/>
        <v>AAAAAA</v>
      </c>
      <c r="B88" s="628"/>
      <c r="C88" s="77" t="s">
        <v>9360</v>
      </c>
      <c r="D88" s="77" t="s">
        <v>9360</v>
      </c>
      <c r="E88" s="77">
        <f t="shared" si="21"/>
        <v>0</v>
      </c>
      <c r="F88" s="16" t="str">
        <f>IF($A$82="","",IF(VLOOKUP($A87,Products!$A$59:$H$159,5,FALSE)="","",VLOOKUP($A87,Products!$A$59:$H$159,5,FALSE)))</f>
        <v/>
      </c>
      <c r="G88" s="16" t="str">
        <f>IF($A$82="","",IF(VLOOKUP($A87,Products!$A$59:$H$159,8,FALSE)="","",VLOOKUP($A87,Products!$A$59:$H$159,8,FALSE)))</f>
        <v/>
      </c>
      <c r="H88" s="77" t="s">
        <v>9360</v>
      </c>
      <c r="I88" s="77" t="s">
        <v>9360</v>
      </c>
      <c r="J88" s="77" t="s">
        <v>9360</v>
      </c>
      <c r="K88" s="2" t="str">
        <f t="shared" si="22"/>
        <v/>
      </c>
      <c r="L88" s="2" t="str">
        <f t="shared" si="20"/>
        <v/>
      </c>
      <c r="M88" s="2" t="str">
        <f t="shared" si="20"/>
        <v/>
      </c>
      <c r="N88" s="12" t="str">
        <f t="shared" si="20"/>
        <v/>
      </c>
    </row>
    <row r="89" spans="1:14" x14ac:dyDescent="0.2">
      <c r="A89" s="627" t="str">
        <f t="shared" si="19"/>
        <v>AAAAAAA</v>
      </c>
      <c r="B89" s="628"/>
      <c r="C89" s="77" t="s">
        <v>9360</v>
      </c>
      <c r="D89" s="77" t="s">
        <v>9360</v>
      </c>
      <c r="E89" s="77">
        <f t="shared" si="21"/>
        <v>0</v>
      </c>
      <c r="F89" s="16" t="str">
        <f>IF($A$82="","",IF(VLOOKUP($A88,Products!$A$59:$H$159,5,FALSE)="","",VLOOKUP($A88,Products!$A$59:$H$159,5,FALSE)))</f>
        <v/>
      </c>
      <c r="G89" s="16" t="str">
        <f>IF($A$82="","",IF(VLOOKUP($A88,Products!$A$59:$H$159,8,FALSE)="","",VLOOKUP($A88,Products!$A$59:$H$159,8,FALSE)))</f>
        <v/>
      </c>
      <c r="H89" s="77" t="s">
        <v>9360</v>
      </c>
      <c r="I89" s="77" t="s">
        <v>9360</v>
      </c>
      <c r="J89" s="77" t="s">
        <v>9360</v>
      </c>
      <c r="K89" s="2" t="str">
        <f t="shared" si="22"/>
        <v/>
      </c>
      <c r="L89" s="2" t="str">
        <f t="shared" si="20"/>
        <v/>
      </c>
      <c r="M89" s="2" t="str">
        <f>IF($G89="","",M$82*$G89)</f>
        <v/>
      </c>
      <c r="N89" s="12" t="str">
        <f t="shared" si="20"/>
        <v/>
      </c>
    </row>
    <row r="90" spans="1:14" x14ac:dyDescent="0.2">
      <c r="A90" s="627" t="str">
        <f t="shared" si="19"/>
        <v>AAAAAAAA</v>
      </c>
      <c r="B90" s="628"/>
      <c r="C90" s="77" t="s">
        <v>9360</v>
      </c>
      <c r="D90" s="77" t="s">
        <v>9360</v>
      </c>
      <c r="E90" s="77">
        <f t="shared" si="21"/>
        <v>0</v>
      </c>
      <c r="F90" s="16" t="str">
        <f>IF($A$82="","",IF(VLOOKUP($A89,Products!$A$59:$H$159,5,FALSE)="","",VLOOKUP($A89,Products!$A$59:$H$159,5,FALSE)))</f>
        <v/>
      </c>
      <c r="G90" s="16" t="str">
        <f>IF($A$82="","",IF(VLOOKUP($A89,Products!$A$59:$H$159,8,FALSE)="","",VLOOKUP($A89,Products!$A$59:$H$159,8,FALSE)))</f>
        <v/>
      </c>
      <c r="H90" s="77" t="s">
        <v>9360</v>
      </c>
      <c r="I90" s="77" t="s">
        <v>9360</v>
      </c>
      <c r="J90" s="77" t="s">
        <v>9360</v>
      </c>
      <c r="K90" s="2" t="str">
        <f t="shared" si="22"/>
        <v/>
      </c>
      <c r="L90" s="2" t="str">
        <f t="shared" si="20"/>
        <v/>
      </c>
      <c r="M90" s="2" t="str">
        <f t="shared" si="20"/>
        <v/>
      </c>
      <c r="N90" s="12" t="str">
        <f t="shared" si="20"/>
        <v/>
      </c>
    </row>
    <row r="91" spans="1:14" x14ac:dyDescent="0.2">
      <c r="A91" s="627" t="str">
        <f t="shared" si="19"/>
        <v>AAAAAAAAA</v>
      </c>
      <c r="B91" s="628"/>
      <c r="C91" s="77" t="s">
        <v>9360</v>
      </c>
      <c r="D91" s="77" t="s">
        <v>9360</v>
      </c>
      <c r="E91" s="77">
        <f t="shared" si="21"/>
        <v>0</v>
      </c>
      <c r="F91" s="16" t="str">
        <f>IF($A$82="","",IF(VLOOKUP($A90,Products!$A$59:$H$159,5,FALSE)="","",VLOOKUP($A90,Products!$A$59:$H$159,5,FALSE)))</f>
        <v/>
      </c>
      <c r="G91" s="16" t="str">
        <f>IF($A$82="","",IF(VLOOKUP($A90,Products!$A$59:$H$159,8,FALSE)="","",VLOOKUP($A90,Products!$A$59:$H$159,8,FALSE)))</f>
        <v/>
      </c>
      <c r="H91" s="77" t="s">
        <v>9360</v>
      </c>
      <c r="I91" s="77" t="s">
        <v>9360</v>
      </c>
      <c r="J91" s="77" t="s">
        <v>9360</v>
      </c>
      <c r="K91" s="2" t="str">
        <f t="shared" si="22"/>
        <v/>
      </c>
      <c r="L91" s="2" t="str">
        <f t="shared" si="20"/>
        <v/>
      </c>
      <c r="M91" s="2" t="str">
        <f t="shared" si="20"/>
        <v/>
      </c>
      <c r="N91" s="12" t="str">
        <f t="shared" si="20"/>
        <v/>
      </c>
    </row>
    <row r="92" spans="1:14" x14ac:dyDescent="0.2">
      <c r="A92" s="627" t="str">
        <f t="shared" si="19"/>
        <v>AAAAAAAAAA</v>
      </c>
      <c r="B92" s="628"/>
      <c r="C92" s="77" t="s">
        <v>9360</v>
      </c>
      <c r="D92" s="77" t="s">
        <v>9360</v>
      </c>
      <c r="E92" s="77">
        <f t="shared" si="21"/>
        <v>0</v>
      </c>
      <c r="F92" s="16" t="str">
        <f>IF($A$82="","",IF(VLOOKUP($A91,Products!$A$59:$H$159,5,FALSE)="","",VLOOKUP($A91,Products!$A$59:$H$159,5,FALSE)))</f>
        <v/>
      </c>
      <c r="G92" s="16" t="str">
        <f>IF($A$82="","",IF(VLOOKUP($A91,Products!$A$59:$H$159,8,FALSE)="","",VLOOKUP($A91,Products!$A$59:$H$159,8,FALSE)))</f>
        <v/>
      </c>
      <c r="H92" s="77" t="s">
        <v>9360</v>
      </c>
      <c r="I92" s="77" t="s">
        <v>9360</v>
      </c>
      <c r="J92" s="77" t="s">
        <v>9360</v>
      </c>
      <c r="K92" s="2" t="str">
        <f t="shared" si="22"/>
        <v/>
      </c>
      <c r="L92" s="2" t="str">
        <f t="shared" si="20"/>
        <v/>
      </c>
      <c r="M92" s="2" t="str">
        <f t="shared" si="20"/>
        <v/>
      </c>
      <c r="N92" s="12" t="str">
        <f t="shared" si="20"/>
        <v/>
      </c>
    </row>
    <row r="93" spans="1:14" x14ac:dyDescent="0.2">
      <c r="A93" s="651"/>
      <c r="B93" s="615"/>
      <c r="C93" s="41"/>
      <c r="D93" s="41"/>
      <c r="E93" s="41"/>
      <c r="F93" s="16" t="s">
        <v>291</v>
      </c>
      <c r="G93" s="16">
        <v>1</v>
      </c>
      <c r="H93" s="16" t="str">
        <f>IF(A93="","",IF(VLOOKUP($A93,Products!$A$59:$H$159,2,FALSE)="","",VLOOKUP($A93,Products!$A$59:$H$159,2,FALSE)))</f>
        <v/>
      </c>
      <c r="I93" s="16" t="str">
        <f>IF(A93="","",IF(VLOOKUP($A93,Products!$A$59:$H$159,3,FALSE)="","",VLOOKUP($A93,Products!$A$59:$H$159,3,FALSE)))</f>
        <v/>
      </c>
      <c r="J93" s="16" t="str">
        <f>IF(A93="","",IF(VLOOKUP($A93,Products!$A$59:$H$159,4,FALSE)="","",VLOOKUP($A93,Products!$A$59:$H$159,4,FALSE)))</f>
        <v/>
      </c>
      <c r="K93" s="2" t="str">
        <f>IF(OR($A93="",C93="",$E93=""),"",((12.46*$F$21*$I93*$H93)/$F$22)*((C93*42)/1000)*(IF($E93="YES",(1-$F$20),1)))</f>
        <v/>
      </c>
      <c r="L93" s="2" t="str">
        <f>IF(OR($A93="",$D93="",$E93=""),"",((12.46*$F$21*$J93*$H93)/$F$23)*(($D93*42)/1000)*(1/2000)*(IF($E93="YES",(1-$F$20),1)))</f>
        <v/>
      </c>
      <c r="M93" s="2" t="str">
        <f>IF(OR($A93="",$C93="",$E93=""),"",((12.46*$F$21*$I93*$H93)/$F$22)*(($C93*42)/1000)*(IF($E93="YES",$F$20,0)))</f>
        <v/>
      </c>
      <c r="N93" s="12" t="str">
        <f>IF(OR($A93="",$D93="",$E93=""),"",((12.46*$F$21*$J93*$H93)/$F$23)*(($D93*42)/1000)*(1/2000)*(IF($E93="YES",$F$20,0)))</f>
        <v/>
      </c>
    </row>
    <row r="94" spans="1:14" x14ac:dyDescent="0.2">
      <c r="A94" s="627" t="str">
        <f t="shared" ref="A94:A103" si="23">A93&amp;"A"</f>
        <v>A</v>
      </c>
      <c r="B94" s="628"/>
      <c r="C94" s="77" t="s">
        <v>9360</v>
      </c>
      <c r="D94" s="77" t="s">
        <v>9360</v>
      </c>
      <c r="E94" s="77">
        <f>E93</f>
        <v>0</v>
      </c>
      <c r="F94" s="16" t="str">
        <f>IF($A$93="","",IF(VLOOKUP($A93,Products!$A$59:$H$159,5,FALSE)="","",VLOOKUP($A93,Products!$A$59:$H$159,5,FALSE)))</f>
        <v/>
      </c>
      <c r="G94" s="16" t="str">
        <f>IF($A$93="","",IF(VLOOKUP($A93,Products!$A$59:$H$159,8,FALSE)="","",VLOOKUP($A93,Products!$A$59:$H$159,8,FALSE)))</f>
        <v/>
      </c>
      <c r="H94" s="77" t="s">
        <v>9360</v>
      </c>
      <c r="I94" s="77" t="s">
        <v>9360</v>
      </c>
      <c r="J94" s="77" t="s">
        <v>9360</v>
      </c>
      <c r="K94" s="2" t="str">
        <f>IF($G94="","",K$93*$G94)</f>
        <v/>
      </c>
      <c r="L94" s="2" t="str">
        <f t="shared" ref="L94:N103" si="24">IF($G94="","",L$93*$G94)</f>
        <v/>
      </c>
      <c r="M94" s="2" t="str">
        <f t="shared" si="24"/>
        <v/>
      </c>
      <c r="N94" s="12" t="str">
        <f t="shared" si="24"/>
        <v/>
      </c>
    </row>
    <row r="95" spans="1:14" x14ac:dyDescent="0.2">
      <c r="A95" s="627" t="str">
        <f t="shared" si="23"/>
        <v>AA</v>
      </c>
      <c r="B95" s="628"/>
      <c r="C95" s="77" t="s">
        <v>9360</v>
      </c>
      <c r="D95" s="77" t="s">
        <v>9360</v>
      </c>
      <c r="E95" s="77">
        <f t="shared" ref="E95:E103" si="25">E94</f>
        <v>0</v>
      </c>
      <c r="F95" s="16" t="str">
        <f>IF($A$93="","",IF(VLOOKUP($A94,Products!$A$59:$H$159,5,FALSE)="","",VLOOKUP($A94,Products!$A$59:$H$159,5,FALSE)))</f>
        <v/>
      </c>
      <c r="G95" s="16" t="str">
        <f>IF($A$93="","",IF(VLOOKUP($A94,Products!$A$59:$H$159,8,FALSE)="","",VLOOKUP($A94,Products!$A$59:$H$159,8,FALSE)))</f>
        <v/>
      </c>
      <c r="H95" s="77" t="s">
        <v>9360</v>
      </c>
      <c r="I95" s="77" t="s">
        <v>9360</v>
      </c>
      <c r="J95" s="77" t="s">
        <v>9360</v>
      </c>
      <c r="K95" s="2" t="str">
        <f t="shared" ref="K95:K103" si="26">IF($G95="","",K$93*$G95)</f>
        <v/>
      </c>
      <c r="L95" s="2" t="str">
        <f t="shared" si="24"/>
        <v/>
      </c>
      <c r="M95" s="2" t="str">
        <f t="shared" si="24"/>
        <v/>
      </c>
      <c r="N95" s="12" t="str">
        <f t="shared" si="24"/>
        <v/>
      </c>
    </row>
    <row r="96" spans="1:14" x14ac:dyDescent="0.2">
      <c r="A96" s="627" t="str">
        <f t="shared" si="23"/>
        <v>AAA</v>
      </c>
      <c r="B96" s="628"/>
      <c r="C96" s="77" t="s">
        <v>9360</v>
      </c>
      <c r="D96" s="77" t="s">
        <v>9360</v>
      </c>
      <c r="E96" s="77">
        <f t="shared" si="25"/>
        <v>0</v>
      </c>
      <c r="F96" s="16" t="str">
        <f>IF($A$93="","",IF(VLOOKUP($A95,Products!$A$59:$H$159,5,FALSE)="","",VLOOKUP($A95,Products!$A$59:$H$159,5,FALSE)))</f>
        <v/>
      </c>
      <c r="G96" s="16" t="str">
        <f>IF($A$93="","",IF(VLOOKUP($A95,Products!$A$59:$H$159,8,FALSE)="","",VLOOKUP($A95,Products!$A$59:$H$159,8,FALSE)))</f>
        <v/>
      </c>
      <c r="H96" s="77" t="s">
        <v>9360</v>
      </c>
      <c r="I96" s="77" t="s">
        <v>9360</v>
      </c>
      <c r="J96" s="77" t="s">
        <v>9360</v>
      </c>
      <c r="K96" s="2" t="str">
        <f t="shared" si="26"/>
        <v/>
      </c>
      <c r="L96" s="2" t="str">
        <f t="shared" si="24"/>
        <v/>
      </c>
      <c r="M96" s="2" t="str">
        <f t="shared" si="24"/>
        <v/>
      </c>
      <c r="N96" s="12" t="str">
        <f t="shared" si="24"/>
        <v/>
      </c>
    </row>
    <row r="97" spans="1:14" x14ac:dyDescent="0.2">
      <c r="A97" s="627" t="str">
        <f t="shared" si="23"/>
        <v>AAAA</v>
      </c>
      <c r="B97" s="628"/>
      <c r="C97" s="77" t="s">
        <v>9360</v>
      </c>
      <c r="D97" s="77" t="s">
        <v>9360</v>
      </c>
      <c r="E97" s="77">
        <f t="shared" si="25"/>
        <v>0</v>
      </c>
      <c r="F97" s="16" t="str">
        <f>IF($A$93="","",IF(VLOOKUP($A96,Products!$A$59:$H$159,5,FALSE)="","",VLOOKUP($A96,Products!$A$59:$H$159,5,FALSE)))</f>
        <v/>
      </c>
      <c r="G97" s="16" t="str">
        <f>IF($A$93="","",IF(VLOOKUP($A96,Products!$A$59:$H$159,8,FALSE)="","",VLOOKUP($A96,Products!$A$59:$H$159,8,FALSE)))</f>
        <v/>
      </c>
      <c r="H97" s="77" t="s">
        <v>9360</v>
      </c>
      <c r="I97" s="77" t="s">
        <v>9360</v>
      </c>
      <c r="J97" s="77" t="s">
        <v>9360</v>
      </c>
      <c r="K97" s="2" t="str">
        <f t="shared" si="26"/>
        <v/>
      </c>
      <c r="L97" s="2" t="str">
        <f t="shared" si="24"/>
        <v/>
      </c>
      <c r="M97" s="2" t="str">
        <f t="shared" si="24"/>
        <v/>
      </c>
      <c r="N97" s="12" t="str">
        <f t="shared" si="24"/>
        <v/>
      </c>
    </row>
    <row r="98" spans="1:14" x14ac:dyDescent="0.2">
      <c r="A98" s="627" t="str">
        <f t="shared" si="23"/>
        <v>AAAAA</v>
      </c>
      <c r="B98" s="628"/>
      <c r="C98" s="77" t="s">
        <v>9360</v>
      </c>
      <c r="D98" s="77" t="s">
        <v>9360</v>
      </c>
      <c r="E98" s="77">
        <f t="shared" si="25"/>
        <v>0</v>
      </c>
      <c r="F98" s="16" t="str">
        <f>IF($A$93="","",IF(VLOOKUP($A97,Products!$A$59:$H$159,5,FALSE)="","",VLOOKUP($A97,Products!$A$59:$H$159,5,FALSE)))</f>
        <v/>
      </c>
      <c r="G98" s="16" t="str">
        <f>IF($A$93="","",IF(VLOOKUP($A97,Products!$A$59:$H$159,8,FALSE)="","",VLOOKUP($A97,Products!$A$59:$H$159,8,FALSE)))</f>
        <v/>
      </c>
      <c r="H98" s="77" t="s">
        <v>9360</v>
      </c>
      <c r="I98" s="77" t="s">
        <v>9360</v>
      </c>
      <c r="J98" s="77" t="s">
        <v>9360</v>
      </c>
      <c r="K98" s="2" t="str">
        <f t="shared" si="26"/>
        <v/>
      </c>
      <c r="L98" s="2" t="str">
        <f t="shared" si="24"/>
        <v/>
      </c>
      <c r="M98" s="2" t="str">
        <f t="shared" si="24"/>
        <v/>
      </c>
      <c r="N98" s="12" t="str">
        <f t="shared" si="24"/>
        <v/>
      </c>
    </row>
    <row r="99" spans="1:14" x14ac:dyDescent="0.2">
      <c r="A99" s="627" t="str">
        <f t="shared" si="23"/>
        <v>AAAAAA</v>
      </c>
      <c r="B99" s="628"/>
      <c r="C99" s="77" t="s">
        <v>9360</v>
      </c>
      <c r="D99" s="77" t="s">
        <v>9360</v>
      </c>
      <c r="E99" s="77">
        <f t="shared" si="25"/>
        <v>0</v>
      </c>
      <c r="F99" s="16" t="str">
        <f>IF($A$93="","",IF(VLOOKUP($A98,Products!$A$59:$H$159,5,FALSE)="","",VLOOKUP($A98,Products!$A$59:$H$159,5,FALSE)))</f>
        <v/>
      </c>
      <c r="G99" s="16" t="str">
        <f>IF($A$93="","",IF(VLOOKUP($A98,Products!$A$59:$H$159,8,FALSE)="","",VLOOKUP($A98,Products!$A$59:$H$159,8,FALSE)))</f>
        <v/>
      </c>
      <c r="H99" s="77" t="s">
        <v>9360</v>
      </c>
      <c r="I99" s="77" t="s">
        <v>9360</v>
      </c>
      <c r="J99" s="77" t="s">
        <v>9360</v>
      </c>
      <c r="K99" s="2" t="str">
        <f t="shared" si="26"/>
        <v/>
      </c>
      <c r="L99" s="2" t="str">
        <f t="shared" si="24"/>
        <v/>
      </c>
      <c r="M99" s="2" t="str">
        <f t="shared" si="24"/>
        <v/>
      </c>
      <c r="N99" s="12" t="str">
        <f t="shared" si="24"/>
        <v/>
      </c>
    </row>
    <row r="100" spans="1:14" x14ac:dyDescent="0.2">
      <c r="A100" s="627" t="str">
        <f t="shared" si="23"/>
        <v>AAAAAAA</v>
      </c>
      <c r="B100" s="628"/>
      <c r="C100" s="77" t="s">
        <v>9360</v>
      </c>
      <c r="D100" s="77" t="s">
        <v>9360</v>
      </c>
      <c r="E100" s="77">
        <f t="shared" si="25"/>
        <v>0</v>
      </c>
      <c r="F100" s="16" t="str">
        <f>IF($A$93="","",IF(VLOOKUP($A99,Products!$A$59:$H$159,5,FALSE)="","",VLOOKUP($A99,Products!$A$59:$H$159,5,FALSE)))</f>
        <v/>
      </c>
      <c r="G100" s="16" t="str">
        <f>IF($A$93="","",IF(VLOOKUP($A99,Products!$A$59:$H$159,8,FALSE)="","",VLOOKUP($A99,Products!$A$59:$H$159,8,FALSE)))</f>
        <v/>
      </c>
      <c r="H100" s="77" t="s">
        <v>9360</v>
      </c>
      <c r="I100" s="77" t="s">
        <v>9360</v>
      </c>
      <c r="J100" s="77" t="s">
        <v>9360</v>
      </c>
      <c r="K100" s="2" t="str">
        <f t="shared" si="26"/>
        <v/>
      </c>
      <c r="L100" s="2" t="str">
        <f t="shared" si="24"/>
        <v/>
      </c>
      <c r="M100" s="2" t="str">
        <f t="shared" si="24"/>
        <v/>
      </c>
      <c r="N100" s="12" t="str">
        <f t="shared" si="24"/>
        <v/>
      </c>
    </row>
    <row r="101" spans="1:14" x14ac:dyDescent="0.2">
      <c r="A101" s="627" t="str">
        <f t="shared" si="23"/>
        <v>AAAAAAAA</v>
      </c>
      <c r="B101" s="628"/>
      <c r="C101" s="77" t="s">
        <v>9360</v>
      </c>
      <c r="D101" s="77" t="s">
        <v>9360</v>
      </c>
      <c r="E101" s="77">
        <f t="shared" si="25"/>
        <v>0</v>
      </c>
      <c r="F101" s="16" t="str">
        <f>IF($A$93="","",IF(VLOOKUP($A100,Products!$A$59:$H$159,5,FALSE)="","",VLOOKUP($A100,Products!$A$59:$H$159,5,FALSE)))</f>
        <v/>
      </c>
      <c r="G101" s="16" t="str">
        <f>IF($A$93="","",IF(VLOOKUP($A100,Products!$A$59:$H$159,8,FALSE)="","",VLOOKUP($A100,Products!$A$59:$H$159,8,FALSE)))</f>
        <v/>
      </c>
      <c r="H101" s="77" t="s">
        <v>9360</v>
      </c>
      <c r="I101" s="77" t="s">
        <v>9360</v>
      </c>
      <c r="J101" s="77" t="s">
        <v>9360</v>
      </c>
      <c r="K101" s="2" t="str">
        <f t="shared" si="26"/>
        <v/>
      </c>
      <c r="L101" s="2" t="str">
        <f t="shared" si="24"/>
        <v/>
      </c>
      <c r="M101" s="2" t="str">
        <f t="shared" si="24"/>
        <v/>
      </c>
      <c r="N101" s="12" t="str">
        <f t="shared" si="24"/>
        <v/>
      </c>
    </row>
    <row r="102" spans="1:14" x14ac:dyDescent="0.2">
      <c r="A102" s="627" t="str">
        <f t="shared" si="23"/>
        <v>AAAAAAAAA</v>
      </c>
      <c r="B102" s="628"/>
      <c r="C102" s="77" t="s">
        <v>9360</v>
      </c>
      <c r="D102" s="77" t="s">
        <v>9360</v>
      </c>
      <c r="E102" s="77">
        <f t="shared" si="25"/>
        <v>0</v>
      </c>
      <c r="F102" s="16" t="str">
        <f>IF($A$93="","",IF(VLOOKUP($A101,Products!$A$59:$H$159,5,FALSE)="","",VLOOKUP($A101,Products!$A$59:$H$159,5,FALSE)))</f>
        <v/>
      </c>
      <c r="G102" s="16" t="str">
        <f>IF($A$93="","",IF(VLOOKUP($A101,Products!$A$59:$H$159,8,FALSE)="","",VLOOKUP($A101,Products!$A$59:$H$159,8,FALSE)))</f>
        <v/>
      </c>
      <c r="H102" s="77" t="s">
        <v>9360</v>
      </c>
      <c r="I102" s="77" t="s">
        <v>9360</v>
      </c>
      <c r="J102" s="77" t="s">
        <v>9360</v>
      </c>
      <c r="K102" s="2" t="str">
        <f t="shared" si="26"/>
        <v/>
      </c>
      <c r="L102" s="2" t="str">
        <f t="shared" si="24"/>
        <v/>
      </c>
      <c r="M102" s="2" t="str">
        <f t="shared" si="24"/>
        <v/>
      </c>
      <c r="N102" s="12" t="str">
        <f t="shared" si="24"/>
        <v/>
      </c>
    </row>
    <row r="103" spans="1:14" x14ac:dyDescent="0.2">
      <c r="A103" s="627" t="str">
        <f t="shared" si="23"/>
        <v>AAAAAAAAAA</v>
      </c>
      <c r="B103" s="628"/>
      <c r="C103" s="77" t="s">
        <v>9360</v>
      </c>
      <c r="D103" s="77" t="s">
        <v>9360</v>
      </c>
      <c r="E103" s="77">
        <f t="shared" si="25"/>
        <v>0</v>
      </c>
      <c r="F103" s="16" t="str">
        <f>IF($A$93="","",IF(VLOOKUP($A102,Products!$A$59:$H$159,5,FALSE)="","",VLOOKUP($A102,Products!$A$59:$H$159,5,FALSE)))</f>
        <v/>
      </c>
      <c r="G103" s="16" t="str">
        <f>IF($A$93="","",IF(VLOOKUP($A102,Products!$A$59:$H$159,8,FALSE)="","",VLOOKUP($A102,Products!$A$59:$H$159,8,FALSE)))</f>
        <v/>
      </c>
      <c r="H103" s="77" t="s">
        <v>9360</v>
      </c>
      <c r="I103" s="77" t="s">
        <v>9360</v>
      </c>
      <c r="J103" s="77" t="s">
        <v>9360</v>
      </c>
      <c r="K103" s="2" t="str">
        <f t="shared" si="26"/>
        <v/>
      </c>
      <c r="L103" s="2" t="str">
        <f t="shared" si="24"/>
        <v/>
      </c>
      <c r="M103" s="2" t="str">
        <f t="shared" si="24"/>
        <v/>
      </c>
      <c r="N103" s="12" t="str">
        <f t="shared" si="24"/>
        <v/>
      </c>
    </row>
    <row r="104" spans="1:14" x14ac:dyDescent="0.2">
      <c r="A104" s="651"/>
      <c r="B104" s="615"/>
      <c r="C104" s="41"/>
      <c r="D104" s="41"/>
      <c r="E104" s="41"/>
      <c r="F104" s="16" t="s">
        <v>291</v>
      </c>
      <c r="G104" s="16">
        <v>1</v>
      </c>
      <c r="H104" s="16" t="str">
        <f>IF(A104="","",IF(VLOOKUP($A104,Products!$A$59:$H$159,2,FALSE)="","",VLOOKUP($A104,Products!$A$59:$H$159,2,FALSE)))</f>
        <v/>
      </c>
      <c r="I104" s="16" t="str">
        <f>IF(A104="","",IF(VLOOKUP($A104,Products!$A$59:$H$159,3,FALSE)="","",VLOOKUP($A104,Products!$A$59:$H$159,3,FALSE)))</f>
        <v/>
      </c>
      <c r="J104" s="16" t="str">
        <f>IF(A104="","",IF(VLOOKUP($A104,Products!$A$59:$H$159,4,FALSE)="","",VLOOKUP($A104,Products!$A$59:$H$159,4,FALSE)))</f>
        <v/>
      </c>
      <c r="K104" s="2" t="str">
        <f>IF(OR($A104="",C104="",$E104=""),"",((12.46*$F$21*$I104*$H104)/$F$22)*((C104*42)/1000)*(IF($E104="YES",(1-$F$20),1)))</f>
        <v/>
      </c>
      <c r="L104" s="2" t="str">
        <f>IF(OR($A104="",$D104="",$E104=""),"",((12.46*$F$21*$J104*$H104)/$F$23)*(($D104*42)/1000)*(1/2000)*(IF($E104="YES",(1-$F$20),1)))</f>
        <v/>
      </c>
      <c r="M104" s="2" t="str">
        <f>IF(OR($A104="",$C104="",$E104=""),"",((12.46*$F$21*$I104*$H104)/$F$22)*(($C104*42)/1000)*(IF($E104="YES",$F$20,0)))</f>
        <v/>
      </c>
      <c r="N104" s="12" t="str">
        <f>IF(OR($A104="",$D104="",$E104=""),"",((12.46*$F$21*$J104*$H104)/$F$23)*(($D104*42)/1000)*(1/2000)*(IF($E104="YES",$F$20,0)))</f>
        <v/>
      </c>
    </row>
    <row r="105" spans="1:14" x14ac:dyDescent="0.2">
      <c r="A105" s="627" t="str">
        <f t="shared" ref="A105:A114" si="27">A104&amp;"A"</f>
        <v>A</v>
      </c>
      <c r="B105" s="628"/>
      <c r="C105" s="77" t="s">
        <v>9360</v>
      </c>
      <c r="D105" s="77" t="s">
        <v>9360</v>
      </c>
      <c r="E105" s="77">
        <f>E104</f>
        <v>0</v>
      </c>
      <c r="F105" s="16" t="str">
        <f>IF($A$104="","",IF(VLOOKUP($A104,Products!$A$59:$H$159,5,FALSE)="","",VLOOKUP($A104,Products!$A$59:$H$159,5,FALSE)))</f>
        <v/>
      </c>
      <c r="G105" s="16" t="str">
        <f>IF($A$104="","",IF(VLOOKUP($A104,Products!$A$59:$H$159,8,FALSE)="","",VLOOKUP($A104,Products!$A$59:$H$159,8,FALSE)))</f>
        <v/>
      </c>
      <c r="H105" s="77" t="s">
        <v>9360</v>
      </c>
      <c r="I105" s="77" t="s">
        <v>9360</v>
      </c>
      <c r="J105" s="77" t="s">
        <v>9360</v>
      </c>
      <c r="K105" s="2" t="str">
        <f>IF($G105="","",K$104*$G105)</f>
        <v/>
      </c>
      <c r="L105" s="2" t="str">
        <f t="shared" ref="L105:N114" si="28">IF($G105="","",L$104*$G105)</f>
        <v/>
      </c>
      <c r="M105" s="2" t="str">
        <f t="shared" si="28"/>
        <v/>
      </c>
      <c r="N105" s="12" t="str">
        <f t="shared" si="28"/>
        <v/>
      </c>
    </row>
    <row r="106" spans="1:14" x14ac:dyDescent="0.2">
      <c r="A106" s="627" t="str">
        <f t="shared" si="27"/>
        <v>AA</v>
      </c>
      <c r="B106" s="628"/>
      <c r="C106" s="77" t="s">
        <v>9360</v>
      </c>
      <c r="D106" s="77" t="s">
        <v>9360</v>
      </c>
      <c r="E106" s="77">
        <f t="shared" ref="E106:E114" si="29">E105</f>
        <v>0</v>
      </c>
      <c r="F106" s="16" t="str">
        <f>IF($A$104="","",IF(VLOOKUP($A105,Products!$A$59:$H$159,5,FALSE)="","",VLOOKUP($A105,Products!$A$59:$H$159,5,FALSE)))</f>
        <v/>
      </c>
      <c r="G106" s="16" t="str">
        <f>IF($A$104="","",IF(VLOOKUP($A105,Products!$A$59:$H$159,8,FALSE)="","",VLOOKUP($A105,Products!$A$59:$H$159,8,FALSE)))</f>
        <v/>
      </c>
      <c r="H106" s="77" t="s">
        <v>9360</v>
      </c>
      <c r="I106" s="77" t="s">
        <v>9360</v>
      </c>
      <c r="J106" s="77" t="s">
        <v>9360</v>
      </c>
      <c r="K106" s="2" t="str">
        <f t="shared" ref="K106:K114" si="30">IF($G106="","",K$104*$G106)</f>
        <v/>
      </c>
      <c r="L106" s="2" t="str">
        <f t="shared" si="28"/>
        <v/>
      </c>
      <c r="M106" s="2" t="str">
        <f t="shared" si="28"/>
        <v/>
      </c>
      <c r="N106" s="12" t="str">
        <f t="shared" si="28"/>
        <v/>
      </c>
    </row>
    <row r="107" spans="1:14" x14ac:dyDescent="0.2">
      <c r="A107" s="627" t="str">
        <f t="shared" si="27"/>
        <v>AAA</v>
      </c>
      <c r="B107" s="628"/>
      <c r="C107" s="77" t="s">
        <v>9360</v>
      </c>
      <c r="D107" s="77" t="s">
        <v>9360</v>
      </c>
      <c r="E107" s="77">
        <f t="shared" si="29"/>
        <v>0</v>
      </c>
      <c r="F107" s="16" t="str">
        <f>IF($A$104="","",IF(VLOOKUP($A106,Products!$A$59:$H$159,5,FALSE)="","",VLOOKUP($A106,Products!$A$59:$H$159,5,FALSE)))</f>
        <v/>
      </c>
      <c r="G107" s="16" t="str">
        <f>IF($A$104="","",IF(VLOOKUP($A106,Products!$A$59:$H$159,8,FALSE)="","",VLOOKUP($A106,Products!$A$59:$H$159,8,FALSE)))</f>
        <v/>
      </c>
      <c r="H107" s="77" t="s">
        <v>9360</v>
      </c>
      <c r="I107" s="77" t="s">
        <v>9360</v>
      </c>
      <c r="J107" s="77" t="s">
        <v>9360</v>
      </c>
      <c r="K107" s="2" t="str">
        <f t="shared" si="30"/>
        <v/>
      </c>
      <c r="L107" s="2" t="str">
        <f t="shared" si="28"/>
        <v/>
      </c>
      <c r="M107" s="2" t="str">
        <f t="shared" si="28"/>
        <v/>
      </c>
      <c r="N107" s="12" t="str">
        <f t="shared" si="28"/>
        <v/>
      </c>
    </row>
    <row r="108" spans="1:14" x14ac:dyDescent="0.2">
      <c r="A108" s="627" t="str">
        <f t="shared" si="27"/>
        <v>AAAA</v>
      </c>
      <c r="B108" s="628"/>
      <c r="C108" s="77" t="s">
        <v>9360</v>
      </c>
      <c r="D108" s="77" t="s">
        <v>9360</v>
      </c>
      <c r="E108" s="77">
        <f t="shared" si="29"/>
        <v>0</v>
      </c>
      <c r="F108" s="16" t="str">
        <f>IF($A$104="","",IF(VLOOKUP($A107,Products!$A$59:$H$159,5,FALSE)="","",VLOOKUP($A107,Products!$A$59:$H$159,5,FALSE)))</f>
        <v/>
      </c>
      <c r="G108" s="16" t="str">
        <f>IF($A$104="","",IF(VLOOKUP($A107,Products!$A$59:$H$159,8,FALSE)="","",VLOOKUP($A107,Products!$A$59:$H$159,8,FALSE)))</f>
        <v/>
      </c>
      <c r="H108" s="77" t="s">
        <v>9360</v>
      </c>
      <c r="I108" s="77" t="s">
        <v>9360</v>
      </c>
      <c r="J108" s="77" t="s">
        <v>9360</v>
      </c>
      <c r="K108" s="2" t="str">
        <f t="shared" si="30"/>
        <v/>
      </c>
      <c r="L108" s="2" t="str">
        <f t="shared" si="28"/>
        <v/>
      </c>
      <c r="M108" s="2" t="str">
        <f t="shared" si="28"/>
        <v/>
      </c>
      <c r="N108" s="12" t="str">
        <f t="shared" si="28"/>
        <v/>
      </c>
    </row>
    <row r="109" spans="1:14" x14ac:dyDescent="0.2">
      <c r="A109" s="627" t="str">
        <f t="shared" si="27"/>
        <v>AAAAA</v>
      </c>
      <c r="B109" s="628"/>
      <c r="C109" s="77" t="s">
        <v>9360</v>
      </c>
      <c r="D109" s="77" t="s">
        <v>9360</v>
      </c>
      <c r="E109" s="77">
        <f t="shared" si="29"/>
        <v>0</v>
      </c>
      <c r="F109" s="16" t="str">
        <f>IF($A$104="","",IF(VLOOKUP($A108,Products!$A$59:$H$159,5,FALSE)="","",VLOOKUP($A108,Products!$A$59:$H$159,5,FALSE)))</f>
        <v/>
      </c>
      <c r="G109" s="16" t="str">
        <f>IF($A$104="","",IF(VLOOKUP($A108,Products!$A$59:$H$159,8,FALSE)="","",VLOOKUP($A108,Products!$A$59:$H$159,8,FALSE)))</f>
        <v/>
      </c>
      <c r="H109" s="77" t="s">
        <v>9360</v>
      </c>
      <c r="I109" s="77" t="s">
        <v>9360</v>
      </c>
      <c r="J109" s="77" t="s">
        <v>9360</v>
      </c>
      <c r="K109" s="2" t="str">
        <f t="shared" si="30"/>
        <v/>
      </c>
      <c r="L109" s="2" t="str">
        <f t="shared" si="28"/>
        <v/>
      </c>
      <c r="M109" s="2" t="str">
        <f t="shared" si="28"/>
        <v/>
      </c>
      <c r="N109" s="12" t="str">
        <f t="shared" si="28"/>
        <v/>
      </c>
    </row>
    <row r="110" spans="1:14" x14ac:dyDescent="0.2">
      <c r="A110" s="627" t="str">
        <f t="shared" si="27"/>
        <v>AAAAAA</v>
      </c>
      <c r="B110" s="628"/>
      <c r="C110" s="77" t="s">
        <v>9360</v>
      </c>
      <c r="D110" s="77" t="s">
        <v>9360</v>
      </c>
      <c r="E110" s="77">
        <f t="shared" si="29"/>
        <v>0</v>
      </c>
      <c r="F110" s="16" t="str">
        <f>IF($A$104="","",IF(VLOOKUP($A109,Products!$A$59:$H$159,5,FALSE)="","",VLOOKUP($A109,Products!$A$59:$H$159,5,FALSE)))</f>
        <v/>
      </c>
      <c r="G110" s="16" t="str">
        <f>IF($A$104="","",IF(VLOOKUP($A109,Products!$A$59:$H$159,8,FALSE)="","",VLOOKUP($A109,Products!$A$59:$H$159,8,FALSE)))</f>
        <v/>
      </c>
      <c r="H110" s="77" t="s">
        <v>9360</v>
      </c>
      <c r="I110" s="77" t="s">
        <v>9360</v>
      </c>
      <c r="J110" s="77" t="s">
        <v>9360</v>
      </c>
      <c r="K110" s="2" t="str">
        <f t="shared" si="30"/>
        <v/>
      </c>
      <c r="L110" s="2" t="str">
        <f t="shared" si="28"/>
        <v/>
      </c>
      <c r="M110" s="2" t="str">
        <f t="shared" si="28"/>
        <v/>
      </c>
      <c r="N110" s="12" t="str">
        <f t="shared" si="28"/>
        <v/>
      </c>
    </row>
    <row r="111" spans="1:14" x14ac:dyDescent="0.2">
      <c r="A111" s="627" t="str">
        <f t="shared" si="27"/>
        <v>AAAAAAA</v>
      </c>
      <c r="B111" s="628"/>
      <c r="C111" s="77" t="s">
        <v>9360</v>
      </c>
      <c r="D111" s="77" t="s">
        <v>9360</v>
      </c>
      <c r="E111" s="77">
        <f t="shared" si="29"/>
        <v>0</v>
      </c>
      <c r="F111" s="16" t="str">
        <f>IF($A$104="","",IF(VLOOKUP($A110,Products!$A$59:$H$159,5,FALSE)="","",VLOOKUP($A110,Products!$A$59:$H$159,5,FALSE)))</f>
        <v/>
      </c>
      <c r="G111" s="16" t="str">
        <f>IF($A$104="","",IF(VLOOKUP($A110,Products!$A$59:$H$159,8,FALSE)="","",VLOOKUP($A110,Products!$A$59:$H$159,8,FALSE)))</f>
        <v/>
      </c>
      <c r="H111" s="77" t="s">
        <v>9360</v>
      </c>
      <c r="I111" s="77" t="s">
        <v>9360</v>
      </c>
      <c r="J111" s="77" t="s">
        <v>9360</v>
      </c>
      <c r="K111" s="2" t="str">
        <f t="shared" si="30"/>
        <v/>
      </c>
      <c r="L111" s="2" t="str">
        <f t="shared" si="28"/>
        <v/>
      </c>
      <c r="M111" s="2" t="str">
        <f>IF($G111="","",M$104*$G111)</f>
        <v/>
      </c>
      <c r="N111" s="12" t="str">
        <f t="shared" si="28"/>
        <v/>
      </c>
    </row>
    <row r="112" spans="1:14" x14ac:dyDescent="0.2">
      <c r="A112" s="627" t="str">
        <f t="shared" si="27"/>
        <v>AAAAAAAA</v>
      </c>
      <c r="B112" s="628"/>
      <c r="C112" s="77" t="s">
        <v>9360</v>
      </c>
      <c r="D112" s="77" t="s">
        <v>9360</v>
      </c>
      <c r="E112" s="77">
        <f t="shared" si="29"/>
        <v>0</v>
      </c>
      <c r="F112" s="16" t="str">
        <f>IF($A$104="","",IF(VLOOKUP($A111,Products!$A$59:$H$159,5,FALSE)="","",VLOOKUP($A111,Products!$A$59:$H$159,5,FALSE)))</f>
        <v/>
      </c>
      <c r="G112" s="16" t="str">
        <f>IF($A$104="","",IF(VLOOKUP($A111,Products!$A$59:$H$159,8,FALSE)="","",VLOOKUP($A111,Products!$A$59:$H$159,8,FALSE)))</f>
        <v/>
      </c>
      <c r="H112" s="77" t="s">
        <v>9360</v>
      </c>
      <c r="I112" s="77" t="s">
        <v>9360</v>
      </c>
      <c r="J112" s="77" t="s">
        <v>9360</v>
      </c>
      <c r="K112" s="2" t="str">
        <f t="shared" si="30"/>
        <v/>
      </c>
      <c r="L112" s="2" t="str">
        <f t="shared" si="28"/>
        <v/>
      </c>
      <c r="M112" s="2" t="str">
        <f t="shared" si="28"/>
        <v/>
      </c>
      <c r="N112" s="12" t="str">
        <f t="shared" si="28"/>
        <v/>
      </c>
    </row>
    <row r="113" spans="1:14" x14ac:dyDescent="0.2">
      <c r="A113" s="627" t="str">
        <f t="shared" si="27"/>
        <v>AAAAAAAAA</v>
      </c>
      <c r="B113" s="628"/>
      <c r="C113" s="77" t="s">
        <v>9360</v>
      </c>
      <c r="D113" s="77" t="s">
        <v>9360</v>
      </c>
      <c r="E113" s="77">
        <f t="shared" si="29"/>
        <v>0</v>
      </c>
      <c r="F113" s="16" t="str">
        <f>IF($A$104="","",IF(VLOOKUP($A112,Products!$A$59:$H$159,5,FALSE)="","",VLOOKUP($A112,Products!$A$59:$H$159,5,FALSE)))</f>
        <v/>
      </c>
      <c r="G113" s="16" t="str">
        <f>IF($A$104="","",IF(VLOOKUP($A112,Products!$A$59:$H$159,8,FALSE)="","",VLOOKUP($A112,Products!$A$59:$H$159,8,FALSE)))</f>
        <v/>
      </c>
      <c r="H113" s="77" t="s">
        <v>9360</v>
      </c>
      <c r="I113" s="77" t="s">
        <v>9360</v>
      </c>
      <c r="J113" s="77" t="s">
        <v>9360</v>
      </c>
      <c r="K113" s="2" t="str">
        <f t="shared" si="30"/>
        <v/>
      </c>
      <c r="L113" s="2" t="str">
        <f t="shared" si="28"/>
        <v/>
      </c>
      <c r="M113" s="2" t="str">
        <f t="shared" si="28"/>
        <v/>
      </c>
      <c r="N113" s="12" t="str">
        <f t="shared" si="28"/>
        <v/>
      </c>
    </row>
    <row r="114" spans="1:14" x14ac:dyDescent="0.2">
      <c r="A114" s="627" t="str">
        <f t="shared" si="27"/>
        <v>AAAAAAAAAA</v>
      </c>
      <c r="B114" s="628"/>
      <c r="C114" s="77" t="s">
        <v>9360</v>
      </c>
      <c r="D114" s="77" t="s">
        <v>9360</v>
      </c>
      <c r="E114" s="77">
        <f t="shared" si="29"/>
        <v>0</v>
      </c>
      <c r="F114" s="16" t="str">
        <f>IF($A$104="","",IF(VLOOKUP($A113,Products!$A$59:$H$159,5,FALSE)="","",VLOOKUP($A113,Products!$A$59:$H$159,5,FALSE)))</f>
        <v/>
      </c>
      <c r="G114" s="16" t="str">
        <f>IF($A$104="","",IF(VLOOKUP($A113,Products!$A$59:$H$159,8,FALSE)="","",VLOOKUP($A113,Products!$A$59:$H$159,8,FALSE)))</f>
        <v/>
      </c>
      <c r="H114" s="77" t="s">
        <v>9360</v>
      </c>
      <c r="I114" s="77" t="s">
        <v>9360</v>
      </c>
      <c r="J114" s="77" t="s">
        <v>9360</v>
      </c>
      <c r="K114" s="2" t="str">
        <f t="shared" si="30"/>
        <v/>
      </c>
      <c r="L114" s="2" t="str">
        <f t="shared" si="28"/>
        <v/>
      </c>
      <c r="M114" s="2" t="str">
        <f t="shared" si="28"/>
        <v/>
      </c>
      <c r="N114" s="12" t="str">
        <f>IF($G114="","",N$104*$G114)</f>
        <v/>
      </c>
    </row>
    <row r="115" spans="1:14" x14ac:dyDescent="0.2">
      <c r="A115" s="651"/>
      <c r="B115" s="615"/>
      <c r="C115" s="41"/>
      <c r="D115" s="41"/>
      <c r="E115" s="41"/>
      <c r="F115" s="16" t="s">
        <v>291</v>
      </c>
      <c r="G115" s="16">
        <v>1</v>
      </c>
      <c r="H115" s="16" t="str">
        <f>IF(A115="","",IF(VLOOKUP($A115,Products!$A$59:$H$159,2,FALSE)="","",VLOOKUP($A115,Products!$A$59:$H$159,2,FALSE)))</f>
        <v/>
      </c>
      <c r="I115" s="16" t="str">
        <f>IF(A115="","",IF(VLOOKUP($A115,Products!$A$59:$H$159,3,FALSE)="","",VLOOKUP($A115,Products!$A$59:$H$159,3,FALSE)))</f>
        <v/>
      </c>
      <c r="J115" s="16" t="str">
        <f>IF(A115="","",IF(VLOOKUP($A115,Products!$A$59:$H$159,4,FALSE)="","",VLOOKUP($A115,Products!$A$59:$H$159,4,FALSE)))</f>
        <v/>
      </c>
      <c r="K115" s="2" t="str">
        <f>IF(OR($A115="",C115="",$E115=""),"",((12.46*$F$21*$I115*$H115)/$F$22)*((C115*42)/1000)*(IF($E115="YES",(1-$F$20),1)))</f>
        <v/>
      </c>
      <c r="L115" s="2" t="str">
        <f>IF(OR($A115="",$D115="",$E115=""),"",((12.46*$F$21*$J115*$H115)/$F$23)*(($D115*42)/1000)*(1/2000)*(IF($E115="YES",(1-$F$20),1)))</f>
        <v/>
      </c>
      <c r="M115" s="2" t="str">
        <f>IF(OR($A115="",$C115="",$E115=""),"",((12.46*$F$21*$I115*$H115)/$F$22)*(($C115*42)/1000)*(IF($E115="YES",$F$20,0)))</f>
        <v/>
      </c>
      <c r="N115" s="12" t="str">
        <f>IF(OR($A115="",$D115="",$E115=""),"",((12.46*$F$21*$J115*$H115)/$F$23)*(($D115*42)/1000)*(1/2000)*(IF($E115="YES",$F$20,0)))</f>
        <v/>
      </c>
    </row>
    <row r="116" spans="1:14" x14ac:dyDescent="0.2">
      <c r="A116" s="627" t="str">
        <f t="shared" ref="A116:A125" si="31">A115&amp;"A"</f>
        <v>A</v>
      </c>
      <c r="B116" s="628"/>
      <c r="C116" s="77" t="s">
        <v>9360</v>
      </c>
      <c r="D116" s="77" t="s">
        <v>9360</v>
      </c>
      <c r="E116" s="77">
        <f>E115</f>
        <v>0</v>
      </c>
      <c r="F116" s="16" t="str">
        <f>IF($A$115="","",IF(VLOOKUP($A115,Products!$A$59:$H$159,5,FALSE)="","",VLOOKUP($A115,Products!$A$59:$H$159,5,FALSE)))</f>
        <v/>
      </c>
      <c r="G116" s="16" t="str">
        <f>IF($A$115="","",IF(VLOOKUP($A115,Products!$A$59:$H$159,8,FALSE)="","",VLOOKUP($A115,Products!$A$59:$H$159,8,FALSE)))</f>
        <v/>
      </c>
      <c r="H116" s="77" t="s">
        <v>9360</v>
      </c>
      <c r="I116" s="77" t="s">
        <v>9360</v>
      </c>
      <c r="J116" s="77" t="s">
        <v>9360</v>
      </c>
      <c r="K116" s="2" t="str">
        <f>IF($G116="","",K$115*$G116)</f>
        <v/>
      </c>
      <c r="L116" s="2" t="str">
        <f t="shared" ref="L116:N125" si="32">IF($G116="","",L$115*$G116)</f>
        <v/>
      </c>
      <c r="M116" s="2" t="str">
        <f t="shared" si="32"/>
        <v/>
      </c>
      <c r="N116" s="12" t="str">
        <f t="shared" si="32"/>
        <v/>
      </c>
    </row>
    <row r="117" spans="1:14" x14ac:dyDescent="0.2">
      <c r="A117" s="627" t="str">
        <f t="shared" si="31"/>
        <v>AA</v>
      </c>
      <c r="B117" s="628"/>
      <c r="C117" s="77" t="s">
        <v>9360</v>
      </c>
      <c r="D117" s="77" t="s">
        <v>9360</v>
      </c>
      <c r="E117" s="77">
        <f t="shared" ref="E117:E125" si="33">E116</f>
        <v>0</v>
      </c>
      <c r="F117" s="16" t="str">
        <f>IF($A$115="","",IF(VLOOKUP($A116,Products!$A$59:$H$159,5,FALSE)="","",VLOOKUP($A116,Products!$A$59:$H$159,5,FALSE)))</f>
        <v/>
      </c>
      <c r="G117" s="16" t="str">
        <f>IF($A$115="","",IF(VLOOKUP($A116,Products!$A$59:$H$159,8,FALSE)="","",VLOOKUP($A116,Products!$A$59:$H$159,8,FALSE)))</f>
        <v/>
      </c>
      <c r="H117" s="77" t="s">
        <v>9360</v>
      </c>
      <c r="I117" s="77" t="s">
        <v>9360</v>
      </c>
      <c r="J117" s="77" t="s">
        <v>9360</v>
      </c>
      <c r="K117" s="2" t="str">
        <f t="shared" ref="K117:K125" si="34">IF($G117="","",K$115*$G117)</f>
        <v/>
      </c>
      <c r="L117" s="2" t="str">
        <f>IF($G117="","",L$115*$G117)</f>
        <v/>
      </c>
      <c r="M117" s="2" t="str">
        <f t="shared" si="32"/>
        <v/>
      </c>
      <c r="N117" s="12" t="str">
        <f>IF($G117="","",N$115*$G117)</f>
        <v/>
      </c>
    </row>
    <row r="118" spans="1:14" x14ac:dyDescent="0.2">
      <c r="A118" s="627" t="str">
        <f t="shared" si="31"/>
        <v>AAA</v>
      </c>
      <c r="B118" s="628"/>
      <c r="C118" s="77" t="s">
        <v>9360</v>
      </c>
      <c r="D118" s="77" t="s">
        <v>9360</v>
      </c>
      <c r="E118" s="77">
        <f t="shared" si="33"/>
        <v>0</v>
      </c>
      <c r="F118" s="16" t="str">
        <f>IF($A$115="","",IF(VLOOKUP($A117,Products!$A$59:$H$159,5,FALSE)="","",VLOOKUP($A117,Products!$A$59:$H$159,5,FALSE)))</f>
        <v/>
      </c>
      <c r="G118" s="16" t="str">
        <f>IF($A$115="","",IF(VLOOKUP($A117,Products!$A$59:$H$159,8,FALSE)="","",VLOOKUP($A117,Products!$A$59:$H$159,8,FALSE)))</f>
        <v/>
      </c>
      <c r="H118" s="77" t="s">
        <v>9360</v>
      </c>
      <c r="I118" s="77" t="s">
        <v>9360</v>
      </c>
      <c r="J118" s="77" t="s">
        <v>9360</v>
      </c>
      <c r="K118" s="2" t="str">
        <f t="shared" si="34"/>
        <v/>
      </c>
      <c r="L118" s="2" t="str">
        <f t="shared" si="32"/>
        <v/>
      </c>
      <c r="M118" s="2" t="str">
        <f t="shared" si="32"/>
        <v/>
      </c>
      <c r="N118" s="12" t="str">
        <f t="shared" si="32"/>
        <v/>
      </c>
    </row>
    <row r="119" spans="1:14" x14ac:dyDescent="0.2">
      <c r="A119" s="627" t="str">
        <f t="shared" si="31"/>
        <v>AAAA</v>
      </c>
      <c r="B119" s="628"/>
      <c r="C119" s="77" t="s">
        <v>9360</v>
      </c>
      <c r="D119" s="77" t="s">
        <v>9360</v>
      </c>
      <c r="E119" s="77">
        <f t="shared" si="33"/>
        <v>0</v>
      </c>
      <c r="F119" s="16" t="str">
        <f>IF($A$115="","",IF(VLOOKUP($A118,Products!$A$59:$H$159,5,FALSE)="","",VLOOKUP($A118,Products!$A$59:$H$159,5,FALSE)))</f>
        <v/>
      </c>
      <c r="G119" s="16" t="str">
        <f>IF($A$115="","",IF(VLOOKUP($A118,Products!$A$59:$H$159,8,FALSE)="","",VLOOKUP($A118,Products!$A$59:$H$159,8,FALSE)))</f>
        <v/>
      </c>
      <c r="H119" s="77" t="s">
        <v>9360</v>
      </c>
      <c r="I119" s="77" t="s">
        <v>9360</v>
      </c>
      <c r="J119" s="77" t="s">
        <v>9360</v>
      </c>
      <c r="K119" s="2" t="str">
        <f t="shared" si="34"/>
        <v/>
      </c>
      <c r="L119" s="2" t="str">
        <f t="shared" si="32"/>
        <v/>
      </c>
      <c r="M119" s="2" t="str">
        <f t="shared" si="32"/>
        <v/>
      </c>
      <c r="N119" s="12" t="str">
        <f t="shared" si="32"/>
        <v/>
      </c>
    </row>
    <row r="120" spans="1:14" x14ac:dyDescent="0.2">
      <c r="A120" s="627" t="str">
        <f t="shared" si="31"/>
        <v>AAAAA</v>
      </c>
      <c r="B120" s="628"/>
      <c r="C120" s="77" t="s">
        <v>9360</v>
      </c>
      <c r="D120" s="77" t="s">
        <v>9360</v>
      </c>
      <c r="E120" s="77">
        <f t="shared" si="33"/>
        <v>0</v>
      </c>
      <c r="F120" s="16" t="str">
        <f>IF($A$115="","",IF(VLOOKUP($A119,Products!$A$59:$H$159,5,FALSE)="","",VLOOKUP($A119,Products!$A$59:$H$159,5,FALSE)))</f>
        <v/>
      </c>
      <c r="G120" s="16" t="str">
        <f>IF($A$115="","",IF(VLOOKUP($A119,Products!$A$59:$H$159,8,FALSE)="","",VLOOKUP($A119,Products!$A$59:$H$159,8,FALSE)))</f>
        <v/>
      </c>
      <c r="H120" s="77" t="s">
        <v>9360</v>
      </c>
      <c r="I120" s="77" t="s">
        <v>9360</v>
      </c>
      <c r="J120" s="77" t="s">
        <v>9360</v>
      </c>
      <c r="K120" s="2" t="str">
        <f t="shared" si="34"/>
        <v/>
      </c>
      <c r="L120" s="2" t="str">
        <f t="shared" si="32"/>
        <v/>
      </c>
      <c r="M120" s="2" t="str">
        <f t="shared" si="32"/>
        <v/>
      </c>
      <c r="N120" s="12" t="str">
        <f t="shared" si="32"/>
        <v/>
      </c>
    </row>
    <row r="121" spans="1:14" x14ac:dyDescent="0.2">
      <c r="A121" s="627" t="str">
        <f t="shared" si="31"/>
        <v>AAAAAA</v>
      </c>
      <c r="B121" s="628"/>
      <c r="C121" s="77" t="s">
        <v>9360</v>
      </c>
      <c r="D121" s="77" t="s">
        <v>9360</v>
      </c>
      <c r="E121" s="77">
        <f t="shared" si="33"/>
        <v>0</v>
      </c>
      <c r="F121" s="16" t="str">
        <f>IF($A$115="","",IF(VLOOKUP($A120,Products!$A$59:$H$159,5,FALSE)="","",VLOOKUP($A120,Products!$A$59:$H$159,5,FALSE)))</f>
        <v/>
      </c>
      <c r="G121" s="16" t="str">
        <f>IF($A$115="","",IF(VLOOKUP($A120,Products!$A$59:$H$159,8,FALSE)="","",VLOOKUP($A120,Products!$A$59:$H$159,8,FALSE)))</f>
        <v/>
      </c>
      <c r="H121" s="77" t="s">
        <v>9360</v>
      </c>
      <c r="I121" s="77" t="s">
        <v>9360</v>
      </c>
      <c r="J121" s="77" t="s">
        <v>9360</v>
      </c>
      <c r="K121" s="2" t="str">
        <f t="shared" si="34"/>
        <v/>
      </c>
      <c r="L121" s="2" t="str">
        <f t="shared" si="32"/>
        <v/>
      </c>
      <c r="M121" s="2" t="str">
        <f t="shared" si="32"/>
        <v/>
      </c>
      <c r="N121" s="12" t="str">
        <f t="shared" si="32"/>
        <v/>
      </c>
    </row>
    <row r="122" spans="1:14" x14ac:dyDescent="0.2">
      <c r="A122" s="627" t="str">
        <f t="shared" si="31"/>
        <v>AAAAAAA</v>
      </c>
      <c r="B122" s="628"/>
      <c r="C122" s="77" t="s">
        <v>9360</v>
      </c>
      <c r="D122" s="77" t="s">
        <v>9360</v>
      </c>
      <c r="E122" s="77">
        <f t="shared" si="33"/>
        <v>0</v>
      </c>
      <c r="F122" s="16" t="str">
        <f>IF($A$115="","",IF(VLOOKUP($A121,Products!$A$59:$H$159,5,FALSE)="","",VLOOKUP($A121,Products!$A$59:$H$159,5,FALSE)))</f>
        <v/>
      </c>
      <c r="G122" s="16" t="str">
        <f>IF($A$115="","",IF(VLOOKUP($A121,Products!$A$59:$H$159,8,FALSE)="","",VLOOKUP($A121,Products!$A$59:$H$159,8,FALSE)))</f>
        <v/>
      </c>
      <c r="H122" s="77" t="s">
        <v>9360</v>
      </c>
      <c r="I122" s="77" t="s">
        <v>9360</v>
      </c>
      <c r="J122" s="77" t="s">
        <v>9360</v>
      </c>
      <c r="K122" s="2" t="str">
        <f t="shared" si="34"/>
        <v/>
      </c>
      <c r="L122" s="2" t="str">
        <f t="shared" si="32"/>
        <v/>
      </c>
      <c r="M122" s="2" t="str">
        <f t="shared" si="32"/>
        <v/>
      </c>
      <c r="N122" s="12" t="str">
        <f t="shared" si="32"/>
        <v/>
      </c>
    </row>
    <row r="123" spans="1:14" x14ac:dyDescent="0.2">
      <c r="A123" s="627" t="str">
        <f t="shared" si="31"/>
        <v>AAAAAAAA</v>
      </c>
      <c r="B123" s="628"/>
      <c r="C123" s="77" t="s">
        <v>9360</v>
      </c>
      <c r="D123" s="77" t="s">
        <v>9360</v>
      </c>
      <c r="E123" s="77">
        <f t="shared" si="33"/>
        <v>0</v>
      </c>
      <c r="F123" s="16" t="str">
        <f>IF($A$115="","",IF(VLOOKUP($A122,Products!$A$59:$H$159,5,FALSE)="","",VLOOKUP($A122,Products!$A$59:$H$159,5,FALSE)))</f>
        <v/>
      </c>
      <c r="G123" s="16" t="str">
        <f>IF($A$115="","",IF(VLOOKUP($A122,Products!$A$59:$H$159,8,FALSE)="","",VLOOKUP($A122,Products!$A$59:$H$159,8,FALSE)))</f>
        <v/>
      </c>
      <c r="H123" s="77" t="s">
        <v>9360</v>
      </c>
      <c r="I123" s="77" t="s">
        <v>9360</v>
      </c>
      <c r="J123" s="77" t="s">
        <v>9360</v>
      </c>
      <c r="K123" s="2" t="str">
        <f t="shared" si="34"/>
        <v/>
      </c>
      <c r="L123" s="2" t="str">
        <f t="shared" si="32"/>
        <v/>
      </c>
      <c r="M123" s="2" t="str">
        <f t="shared" si="32"/>
        <v/>
      </c>
      <c r="N123" s="12" t="str">
        <f t="shared" si="32"/>
        <v/>
      </c>
    </row>
    <row r="124" spans="1:14" x14ac:dyDescent="0.2">
      <c r="A124" s="627" t="str">
        <f t="shared" si="31"/>
        <v>AAAAAAAAA</v>
      </c>
      <c r="B124" s="628"/>
      <c r="C124" s="77" t="s">
        <v>9360</v>
      </c>
      <c r="D124" s="77" t="s">
        <v>9360</v>
      </c>
      <c r="E124" s="77">
        <f t="shared" si="33"/>
        <v>0</v>
      </c>
      <c r="F124" s="16" t="str">
        <f>IF($A$115="","",IF(VLOOKUP($A123,Products!$A$59:$H$159,5,FALSE)="","",VLOOKUP($A123,Products!$A$59:$H$159,5,FALSE)))</f>
        <v/>
      </c>
      <c r="G124" s="16" t="str">
        <f>IF($A$115="","",IF(VLOOKUP($A123,Products!$A$59:$H$159,8,FALSE)="","",VLOOKUP($A123,Products!$A$59:$H$159,8,FALSE)))</f>
        <v/>
      </c>
      <c r="H124" s="77" t="s">
        <v>9360</v>
      </c>
      <c r="I124" s="77" t="s">
        <v>9360</v>
      </c>
      <c r="J124" s="77" t="s">
        <v>9360</v>
      </c>
      <c r="K124" s="2" t="str">
        <f t="shared" si="34"/>
        <v/>
      </c>
      <c r="L124" s="2" t="str">
        <f t="shared" si="32"/>
        <v/>
      </c>
      <c r="M124" s="2" t="str">
        <f t="shared" si="32"/>
        <v/>
      </c>
      <c r="N124" s="12" t="str">
        <f t="shared" si="32"/>
        <v/>
      </c>
    </row>
    <row r="125" spans="1:14" x14ac:dyDescent="0.2">
      <c r="A125" s="627" t="str">
        <f t="shared" si="31"/>
        <v>AAAAAAAAAA</v>
      </c>
      <c r="B125" s="628"/>
      <c r="C125" s="77" t="s">
        <v>9360</v>
      </c>
      <c r="D125" s="77" t="s">
        <v>9360</v>
      </c>
      <c r="E125" s="77">
        <f t="shared" si="33"/>
        <v>0</v>
      </c>
      <c r="F125" s="16" t="str">
        <f>IF($A$115="","",IF(VLOOKUP($A124,Products!$A$59:$H$159,5,FALSE)="","",VLOOKUP($A124,Products!$A$59:$H$159,5,FALSE)))</f>
        <v/>
      </c>
      <c r="G125" s="16" t="str">
        <f>IF($A$115="","",IF(VLOOKUP($A124,Products!$A$59:$H$159,8,FALSE)="","",VLOOKUP($A124,Products!$A$59:$H$159,8,FALSE)))</f>
        <v/>
      </c>
      <c r="H125" s="77" t="s">
        <v>9360</v>
      </c>
      <c r="I125" s="77" t="s">
        <v>9360</v>
      </c>
      <c r="J125" s="77" t="s">
        <v>9360</v>
      </c>
      <c r="K125" s="2" t="str">
        <f t="shared" si="34"/>
        <v/>
      </c>
      <c r="L125" s="2" t="str">
        <f t="shared" si="32"/>
        <v/>
      </c>
      <c r="M125" s="2" t="str">
        <f t="shared" si="32"/>
        <v/>
      </c>
      <c r="N125" s="12" t="str">
        <f t="shared" si="32"/>
        <v/>
      </c>
    </row>
    <row r="126" spans="1:14" x14ac:dyDescent="0.2">
      <c r="A126" s="651"/>
      <c r="B126" s="615"/>
      <c r="C126" s="41"/>
      <c r="D126" s="41"/>
      <c r="E126" s="41"/>
      <c r="F126" s="16" t="s">
        <v>291</v>
      </c>
      <c r="G126" s="16">
        <v>1</v>
      </c>
      <c r="H126" s="16" t="str">
        <f>IF(A126="","",IF(VLOOKUP($A126,Products!$A$59:$H$159,2,FALSE)="","",VLOOKUP($A126,Products!$A$59:$H$159,2,FALSE)))</f>
        <v/>
      </c>
      <c r="I126" s="16" t="str">
        <f>IF(A126="","",IF(VLOOKUP($A126,Products!$A$59:$H$159,3,FALSE)="","",VLOOKUP($A126,Products!$A$59:$H$159,3,FALSE)))</f>
        <v/>
      </c>
      <c r="J126" s="16" t="str">
        <f>IF(A126="","",IF(VLOOKUP($A126,Products!$A$59:$H$159,4,FALSE)="","",VLOOKUP($A126,Products!$A$59:$H$159,4,FALSE)))</f>
        <v/>
      </c>
      <c r="K126" s="2" t="str">
        <f>IF(OR($A126="",C126="",$E126=""),"",((12.46*$F$21*$I126*$H126)/$F$22)*((C126*42)/1000)*(IF($E126="YES",(1-$F$20),1)))</f>
        <v/>
      </c>
      <c r="L126" s="2" t="str">
        <f>IF(OR($A126="",$D126="",$E126=""),"",((12.46*$F$21*$J126*$H126)/$F$23)*(($D126*42)/1000)*(1/2000)*(IF($E126="YES",(1-$F$20),1)))</f>
        <v/>
      </c>
      <c r="M126" s="2" t="str">
        <f>IF(OR($A126="",$C126="",$E126=""),"",((12.46*$F$21*$I126*$H126)/$F$22)*(($C126*42)/1000)*(IF($E126="YES",$F$20,0)))</f>
        <v/>
      </c>
      <c r="N126" s="12" t="str">
        <f>IF(OR($A126="",$D126="",$E126=""),"",((12.46*$F$21*$J126*$H126)/$F$23)*(($D126*42)/1000)*(1/2000)*(IF($E126="YES",$F$20,0)))</f>
        <v/>
      </c>
    </row>
    <row r="127" spans="1:14" x14ac:dyDescent="0.2">
      <c r="A127" s="627" t="str">
        <f t="shared" ref="A127:A136" si="35">A126&amp;"A"</f>
        <v>A</v>
      </c>
      <c r="B127" s="628"/>
      <c r="C127" s="77" t="s">
        <v>9360</v>
      </c>
      <c r="D127" s="77" t="s">
        <v>9360</v>
      </c>
      <c r="E127" s="77">
        <f>E126</f>
        <v>0</v>
      </c>
      <c r="F127" s="16" t="str">
        <f>IF($A$126="","",IF(VLOOKUP($A126,Products!$A$59:$H$159,5,FALSE)="","",VLOOKUP($A126,Products!$A$59:$H$159,5,FALSE)))</f>
        <v/>
      </c>
      <c r="G127" s="16" t="str">
        <f>IF($A$126="","",IF(VLOOKUP($A126,Products!$A$59:$H$159,8,FALSE)="","",VLOOKUP($A126,Products!$A$59:$H$159,8,FALSE)))</f>
        <v/>
      </c>
      <c r="H127" s="77" t="s">
        <v>9360</v>
      </c>
      <c r="I127" s="77" t="s">
        <v>9360</v>
      </c>
      <c r="J127" s="77" t="s">
        <v>9360</v>
      </c>
      <c r="K127" s="2" t="str">
        <f>IF($G127="","",K$126*$G127)</f>
        <v/>
      </c>
      <c r="L127" s="2" t="str">
        <f t="shared" ref="L127:N136" si="36">IF($G127="","",L$126*$G127)</f>
        <v/>
      </c>
      <c r="M127" s="2" t="str">
        <f t="shared" si="36"/>
        <v/>
      </c>
      <c r="N127" s="12" t="str">
        <f t="shared" si="36"/>
        <v/>
      </c>
    </row>
    <row r="128" spans="1:14" x14ac:dyDescent="0.2">
      <c r="A128" s="627" t="str">
        <f t="shared" si="35"/>
        <v>AA</v>
      </c>
      <c r="B128" s="628"/>
      <c r="C128" s="77" t="s">
        <v>9360</v>
      </c>
      <c r="D128" s="77" t="s">
        <v>9360</v>
      </c>
      <c r="E128" s="77">
        <f t="shared" ref="E128:E136" si="37">E127</f>
        <v>0</v>
      </c>
      <c r="F128" s="16" t="str">
        <f>IF($A$126="","",IF(VLOOKUP($A127,Products!$A$59:$H$159,5,FALSE)="","",VLOOKUP($A127,Products!$A$59:$H$159,5,FALSE)))</f>
        <v/>
      </c>
      <c r="G128" s="16" t="str">
        <f>IF($A$126="","",IF(VLOOKUP($A127,Products!$A$59:$H$159,8,FALSE)="","",VLOOKUP($A127,Products!$A$59:$H$159,8,FALSE)))</f>
        <v/>
      </c>
      <c r="H128" s="77" t="s">
        <v>9360</v>
      </c>
      <c r="I128" s="77" t="s">
        <v>9360</v>
      </c>
      <c r="J128" s="77" t="s">
        <v>9360</v>
      </c>
      <c r="K128" s="2" t="str">
        <f t="shared" ref="K128:K136" si="38">IF($G128="","",K$126*$G128)</f>
        <v/>
      </c>
      <c r="L128" s="2" t="str">
        <f t="shared" si="36"/>
        <v/>
      </c>
      <c r="M128" s="2" t="str">
        <f t="shared" si="36"/>
        <v/>
      </c>
      <c r="N128" s="12" t="str">
        <f t="shared" si="36"/>
        <v/>
      </c>
    </row>
    <row r="129" spans="1:14" x14ac:dyDescent="0.2">
      <c r="A129" s="627" t="str">
        <f t="shared" si="35"/>
        <v>AAA</v>
      </c>
      <c r="B129" s="628"/>
      <c r="C129" s="77" t="s">
        <v>9360</v>
      </c>
      <c r="D129" s="77" t="s">
        <v>9360</v>
      </c>
      <c r="E129" s="77">
        <f t="shared" si="37"/>
        <v>0</v>
      </c>
      <c r="F129" s="16" t="str">
        <f>IF($A$126="","",IF(VLOOKUP($A128,Products!$A$59:$H$159,5,FALSE)="","",VLOOKUP($A128,Products!$A$59:$H$159,5,FALSE)))</f>
        <v/>
      </c>
      <c r="G129" s="16" t="str">
        <f>IF($A$126="","",IF(VLOOKUP($A128,Products!$A$59:$H$159,8,FALSE)="","",VLOOKUP($A128,Products!$A$59:$H$159,8,FALSE)))</f>
        <v/>
      </c>
      <c r="H129" s="77" t="s">
        <v>9360</v>
      </c>
      <c r="I129" s="77" t="s">
        <v>9360</v>
      </c>
      <c r="J129" s="77" t="s">
        <v>9360</v>
      </c>
      <c r="K129" s="2" t="str">
        <f t="shared" si="38"/>
        <v/>
      </c>
      <c r="L129" s="2" t="str">
        <f t="shared" si="36"/>
        <v/>
      </c>
      <c r="M129" s="2" t="str">
        <f t="shared" si="36"/>
        <v/>
      </c>
      <c r="N129" s="12" t="str">
        <f t="shared" si="36"/>
        <v/>
      </c>
    </row>
    <row r="130" spans="1:14" x14ac:dyDescent="0.2">
      <c r="A130" s="627" t="str">
        <f t="shared" si="35"/>
        <v>AAAA</v>
      </c>
      <c r="B130" s="628"/>
      <c r="C130" s="77" t="s">
        <v>9360</v>
      </c>
      <c r="D130" s="77" t="s">
        <v>9360</v>
      </c>
      <c r="E130" s="77">
        <f t="shared" si="37"/>
        <v>0</v>
      </c>
      <c r="F130" s="16" t="str">
        <f>IF($A$126="","",IF(VLOOKUP($A129,Products!$A$59:$H$159,5,FALSE)="","",VLOOKUP($A129,Products!$A$59:$H$159,5,FALSE)))</f>
        <v/>
      </c>
      <c r="G130" s="16" t="str">
        <f>IF($A$126="","",IF(VLOOKUP($A129,Products!$A$59:$H$159,8,FALSE)="","",VLOOKUP($A129,Products!$A$59:$H$159,8,FALSE)))</f>
        <v/>
      </c>
      <c r="H130" s="77" t="s">
        <v>9360</v>
      </c>
      <c r="I130" s="77" t="s">
        <v>9360</v>
      </c>
      <c r="J130" s="77" t="s">
        <v>9360</v>
      </c>
      <c r="K130" s="2" t="str">
        <f t="shared" si="38"/>
        <v/>
      </c>
      <c r="L130" s="2" t="str">
        <f t="shared" si="36"/>
        <v/>
      </c>
      <c r="M130" s="2" t="str">
        <f t="shared" si="36"/>
        <v/>
      </c>
      <c r="N130" s="12" t="str">
        <f t="shared" si="36"/>
        <v/>
      </c>
    </row>
    <row r="131" spans="1:14" x14ac:dyDescent="0.2">
      <c r="A131" s="627" t="str">
        <f t="shared" si="35"/>
        <v>AAAAA</v>
      </c>
      <c r="B131" s="628"/>
      <c r="C131" s="77" t="s">
        <v>9360</v>
      </c>
      <c r="D131" s="77" t="s">
        <v>9360</v>
      </c>
      <c r="E131" s="77">
        <f t="shared" si="37"/>
        <v>0</v>
      </c>
      <c r="F131" s="16" t="str">
        <f>IF($A$126="","",IF(VLOOKUP($A130,Products!$A$59:$H$159,5,FALSE)="","",VLOOKUP($A130,Products!$A$59:$H$159,5,FALSE)))</f>
        <v/>
      </c>
      <c r="G131" s="16" t="str">
        <f>IF($A$126="","",IF(VLOOKUP($A130,Products!$A$59:$H$159,8,FALSE)="","",VLOOKUP($A130,Products!$A$59:$H$159,8,FALSE)))</f>
        <v/>
      </c>
      <c r="H131" s="77" t="s">
        <v>9360</v>
      </c>
      <c r="I131" s="77" t="s">
        <v>9360</v>
      </c>
      <c r="J131" s="77" t="s">
        <v>9360</v>
      </c>
      <c r="K131" s="2" t="str">
        <f t="shared" si="38"/>
        <v/>
      </c>
      <c r="L131" s="2" t="str">
        <f>IF($G131="","",L$126*$G131)</f>
        <v/>
      </c>
      <c r="M131" s="2" t="str">
        <f t="shared" si="36"/>
        <v/>
      </c>
      <c r="N131" s="12" t="str">
        <f t="shared" si="36"/>
        <v/>
      </c>
    </row>
    <row r="132" spans="1:14" x14ac:dyDescent="0.2">
      <c r="A132" s="627" t="str">
        <f t="shared" si="35"/>
        <v>AAAAAA</v>
      </c>
      <c r="B132" s="628"/>
      <c r="C132" s="77" t="s">
        <v>9360</v>
      </c>
      <c r="D132" s="77" t="s">
        <v>9360</v>
      </c>
      <c r="E132" s="77">
        <f t="shared" si="37"/>
        <v>0</v>
      </c>
      <c r="F132" s="16" t="str">
        <f>IF($A$126="","",IF(VLOOKUP($A131,Products!$A$59:$H$159,5,FALSE)="","",VLOOKUP($A131,Products!$A$59:$H$159,5,FALSE)))</f>
        <v/>
      </c>
      <c r="G132" s="16" t="str">
        <f>IF($A$126="","",IF(VLOOKUP($A131,Products!$A$59:$H$159,8,FALSE)="","",VLOOKUP($A131,Products!$A$59:$H$159,8,FALSE)))</f>
        <v/>
      </c>
      <c r="H132" s="77" t="s">
        <v>9360</v>
      </c>
      <c r="I132" s="77" t="s">
        <v>9360</v>
      </c>
      <c r="J132" s="77" t="s">
        <v>9360</v>
      </c>
      <c r="K132" s="2" t="str">
        <f t="shared" si="38"/>
        <v/>
      </c>
      <c r="L132" s="2" t="str">
        <f t="shared" si="36"/>
        <v/>
      </c>
      <c r="M132" s="2" t="str">
        <f t="shared" si="36"/>
        <v/>
      </c>
      <c r="N132" s="12" t="str">
        <f t="shared" si="36"/>
        <v/>
      </c>
    </row>
    <row r="133" spans="1:14" x14ac:dyDescent="0.2">
      <c r="A133" s="627" t="str">
        <f t="shared" si="35"/>
        <v>AAAAAAA</v>
      </c>
      <c r="B133" s="628"/>
      <c r="C133" s="77" t="s">
        <v>9360</v>
      </c>
      <c r="D133" s="77" t="s">
        <v>9360</v>
      </c>
      <c r="E133" s="77">
        <f t="shared" si="37"/>
        <v>0</v>
      </c>
      <c r="F133" s="16" t="str">
        <f>IF($A$126="","",IF(VLOOKUP($A132,Products!$A$59:$H$159,5,FALSE)="","",VLOOKUP($A132,Products!$A$59:$H$159,5,FALSE)))</f>
        <v/>
      </c>
      <c r="G133" s="16" t="str">
        <f>IF($A$126="","",IF(VLOOKUP($A132,Products!$A$59:$H$159,8,FALSE)="","",VLOOKUP($A132,Products!$A$59:$H$159,8,FALSE)))</f>
        <v/>
      </c>
      <c r="H133" s="77" t="s">
        <v>9360</v>
      </c>
      <c r="I133" s="77" t="s">
        <v>9360</v>
      </c>
      <c r="J133" s="77" t="s">
        <v>9360</v>
      </c>
      <c r="K133" s="2" t="str">
        <f t="shared" si="38"/>
        <v/>
      </c>
      <c r="L133" s="2" t="str">
        <f t="shared" si="36"/>
        <v/>
      </c>
      <c r="M133" s="2" t="str">
        <f t="shared" si="36"/>
        <v/>
      </c>
      <c r="N133" s="12" t="str">
        <f t="shared" si="36"/>
        <v/>
      </c>
    </row>
    <row r="134" spans="1:14" x14ac:dyDescent="0.2">
      <c r="A134" s="627" t="str">
        <f t="shared" si="35"/>
        <v>AAAAAAAA</v>
      </c>
      <c r="B134" s="628"/>
      <c r="C134" s="77" t="s">
        <v>9360</v>
      </c>
      <c r="D134" s="77" t="s">
        <v>9360</v>
      </c>
      <c r="E134" s="77">
        <f t="shared" si="37"/>
        <v>0</v>
      </c>
      <c r="F134" s="16" t="str">
        <f>IF($A$126="","",IF(VLOOKUP($A133,Products!$A$59:$H$159,5,FALSE)="","",VLOOKUP($A133,Products!$A$59:$H$159,5,FALSE)))</f>
        <v/>
      </c>
      <c r="G134" s="16" t="str">
        <f>IF($A$126="","",IF(VLOOKUP($A133,Products!$A$59:$H$159,8,FALSE)="","",VLOOKUP($A133,Products!$A$59:$H$159,8,FALSE)))</f>
        <v/>
      </c>
      <c r="H134" s="77" t="s">
        <v>9360</v>
      </c>
      <c r="I134" s="77" t="s">
        <v>9360</v>
      </c>
      <c r="J134" s="77" t="s">
        <v>9360</v>
      </c>
      <c r="K134" s="2" t="str">
        <f t="shared" si="38"/>
        <v/>
      </c>
      <c r="L134" s="2" t="str">
        <f t="shared" si="36"/>
        <v/>
      </c>
      <c r="M134" s="2" t="str">
        <f t="shared" si="36"/>
        <v/>
      </c>
      <c r="N134" s="12" t="str">
        <f t="shared" si="36"/>
        <v/>
      </c>
    </row>
    <row r="135" spans="1:14" x14ac:dyDescent="0.2">
      <c r="A135" s="627" t="str">
        <f t="shared" si="35"/>
        <v>AAAAAAAAA</v>
      </c>
      <c r="B135" s="628"/>
      <c r="C135" s="77" t="s">
        <v>9360</v>
      </c>
      <c r="D135" s="77" t="s">
        <v>9360</v>
      </c>
      <c r="E135" s="77">
        <f t="shared" si="37"/>
        <v>0</v>
      </c>
      <c r="F135" s="16" t="str">
        <f>IF($A$126="","",IF(VLOOKUP($A134,Products!$A$59:$H$159,5,FALSE)="","",VLOOKUP($A134,Products!$A$59:$H$159,5,FALSE)))</f>
        <v/>
      </c>
      <c r="G135" s="16" t="str">
        <f>IF($A$126="","",IF(VLOOKUP($A134,Products!$A$59:$H$159,8,FALSE)="","",VLOOKUP($A134,Products!$A$59:$H$159,8,FALSE)))</f>
        <v/>
      </c>
      <c r="H135" s="77" t="s">
        <v>9360</v>
      </c>
      <c r="I135" s="77" t="s">
        <v>9360</v>
      </c>
      <c r="J135" s="77" t="s">
        <v>9360</v>
      </c>
      <c r="K135" s="2" t="str">
        <f t="shared" si="38"/>
        <v/>
      </c>
      <c r="L135" s="2" t="str">
        <f t="shared" si="36"/>
        <v/>
      </c>
      <c r="M135" s="2" t="str">
        <f t="shared" si="36"/>
        <v/>
      </c>
      <c r="N135" s="12" t="str">
        <f t="shared" si="36"/>
        <v/>
      </c>
    </row>
    <row r="136" spans="1:14" ht="15" thickBot="1" x14ac:dyDescent="0.25">
      <c r="A136" s="629" t="str">
        <f t="shared" si="35"/>
        <v>AAAAAAAAAA</v>
      </c>
      <c r="B136" s="630"/>
      <c r="C136" s="78" t="s">
        <v>9360</v>
      </c>
      <c r="D136" s="78" t="s">
        <v>9360</v>
      </c>
      <c r="E136" s="78">
        <f t="shared" si="37"/>
        <v>0</v>
      </c>
      <c r="F136" s="28" t="str">
        <f>IF($A$126="","",IF(VLOOKUP($A135,Products!$A$59:$H$159,5,FALSE)="","",VLOOKUP($A135,Products!$A$59:$H$159,5,FALSE)))</f>
        <v/>
      </c>
      <c r="G136" s="28" t="str">
        <f>IF($A$126="","",IF(VLOOKUP($A135,Products!$A$59:$H$159,8,FALSE)="","",VLOOKUP($A135,Products!$A$59:$H$159,8,FALSE)))</f>
        <v/>
      </c>
      <c r="H136" s="78" t="s">
        <v>9360</v>
      </c>
      <c r="I136" s="78" t="s">
        <v>9360</v>
      </c>
      <c r="J136" s="78" t="s">
        <v>9360</v>
      </c>
      <c r="K136" s="13" t="str">
        <f t="shared" si="38"/>
        <v/>
      </c>
      <c r="L136" s="13" t="str">
        <f t="shared" si="36"/>
        <v/>
      </c>
      <c r="M136" s="13" t="str">
        <f t="shared" si="36"/>
        <v/>
      </c>
      <c r="N136" s="14" t="str">
        <f t="shared" si="36"/>
        <v/>
      </c>
    </row>
    <row r="137" spans="1:14" x14ac:dyDescent="0.2">
      <c r="A137" s="478" t="s">
        <v>130</v>
      </c>
      <c r="B137" s="478"/>
      <c r="C137" s="478"/>
      <c r="D137" s="478"/>
      <c r="E137" s="478"/>
      <c r="F137" s="478"/>
      <c r="G137" s="478"/>
      <c r="H137" s="478"/>
      <c r="I137" s="478"/>
      <c r="J137" s="478"/>
      <c r="K137" s="478"/>
      <c r="L137" s="478"/>
      <c r="M137" s="478"/>
      <c r="N137" s="478"/>
    </row>
  </sheetData>
  <sheetProtection algorithmName="SHA-512" hashValue="HbzlOy+eHEnaJ+hP7IoARYhKNOdBMgdRKwEUPQrAZwlH6USg/ws8dR8tKmwiXvBgD4vttBi9CvYIQQN5h2yB3w==" saltValue="N91n7zKujMUHn6e3A0InZw==" spinCount="100000" sheet="1" objects="1" scenarios="1" formatColumns="0" formatRows="0"/>
  <mergeCells count="163">
    <mergeCell ref="A18:E18"/>
    <mergeCell ref="F18:I18"/>
    <mergeCell ref="J18:N18"/>
    <mergeCell ref="A1:N1"/>
    <mergeCell ref="A2:N2"/>
    <mergeCell ref="A3:N3"/>
    <mergeCell ref="A4:N4"/>
    <mergeCell ref="A5:N5"/>
    <mergeCell ref="A6:E6"/>
    <mergeCell ref="F6:N6"/>
    <mergeCell ref="A10:E10"/>
    <mergeCell ref="F10:N10"/>
    <mergeCell ref="A11:E11"/>
    <mergeCell ref="F11:N11"/>
    <mergeCell ref="A7:E7"/>
    <mergeCell ref="F7:N7"/>
    <mergeCell ref="A8:E8"/>
    <mergeCell ref="F8:N8"/>
    <mergeCell ref="A9:E9"/>
    <mergeCell ref="F9:N9"/>
    <mergeCell ref="A16:E16"/>
    <mergeCell ref="F16:I16"/>
    <mergeCell ref="J16:N16"/>
    <mergeCell ref="A17:E17"/>
    <mergeCell ref="F17:I17"/>
    <mergeCell ref="J17:N17"/>
    <mergeCell ref="A12:N12"/>
    <mergeCell ref="A13:N13"/>
    <mergeCell ref="A14:E14"/>
    <mergeCell ref="F14:I14"/>
    <mergeCell ref="J14:N14"/>
    <mergeCell ref="A15:E15"/>
    <mergeCell ref="F15:I15"/>
    <mergeCell ref="J15:N15"/>
    <mergeCell ref="A21:E21"/>
    <mergeCell ref="F21:I21"/>
    <mergeCell ref="J21:N21"/>
    <mergeCell ref="A22:E22"/>
    <mergeCell ref="F22:I22"/>
    <mergeCell ref="J22:N22"/>
    <mergeCell ref="A19:E19"/>
    <mergeCell ref="F19:I19"/>
    <mergeCell ref="J19:N19"/>
    <mergeCell ref="A20:E20"/>
    <mergeCell ref="F20:I20"/>
    <mergeCell ref="J20:N20"/>
    <mergeCell ref="A27:B27"/>
    <mergeCell ref="A28:B28"/>
    <mergeCell ref="A29:B29"/>
    <mergeCell ref="A30:B30"/>
    <mergeCell ref="A31:B31"/>
    <mergeCell ref="A32:B32"/>
    <mergeCell ref="A23:E23"/>
    <mergeCell ref="F23:I23"/>
    <mergeCell ref="J23:N23"/>
    <mergeCell ref="A24:N24"/>
    <mergeCell ref="A25:N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N137"/>
    <mergeCell ref="A129:B129"/>
    <mergeCell ref="A130:B130"/>
    <mergeCell ref="A131:B131"/>
    <mergeCell ref="A132:B132"/>
    <mergeCell ref="A133:B133"/>
    <mergeCell ref="A134:B134"/>
  </mergeCells>
  <conditionalFormatting sqref="A10:N137">
    <cfRule type="expression" dxfId="219" priority="11">
      <formula>$F$6="affected"</formula>
    </cfRule>
  </conditionalFormatting>
  <conditionalFormatting sqref="F18:I18">
    <cfRule type="expression" dxfId="218" priority="10">
      <formula>$F$18&lt;MAX($I$27,$I$38,$I$49,$I$60,$I$71,$I$82,$I$93,$I$104,$I$115,$I$126)</formula>
    </cfRule>
  </conditionalFormatting>
  <conditionalFormatting sqref="F19:I19">
    <cfRule type="expression" dxfId="217" priority="1">
      <formula>AND(COUNTIF($E$27:$E$136,"YES")&gt;0,$F$19="NO CONTROL")</formula>
    </cfRule>
    <cfRule type="expression" dxfId="216" priority="2">
      <formula>AND($F$18&gt;=0.5,$F$19="no control")</formula>
    </cfRule>
    <cfRule type="expression" dxfId="215" priority="3">
      <formula>AND($F$19="no control",MAX($I$27,$I$38,$I$49,$I$60,$I$71,$I$82,$I$93,$I$104,$I$115,$I$126)&gt;=0.5)</formula>
    </cfRule>
  </conditionalFormatting>
  <dataValidations count="18">
    <dataValidation type="list" allowBlank="1" showErrorMessage="1" prompt="Choose a product." sqref="A27:B27 A38:B38 A49:B49 A60:B60 A71:B71 A82:B82 A93:B93 A104:B104 A115:B115 A126:B126" xr:uid="{BC568B74-2779-47FB-BF38-037BEA2E19E9}">
      <formula1>ProdList</formula1>
    </dataValidation>
    <dataValidation type="decimal" operator="greaterThanOrEqual" allowBlank="1" showErrorMessage="1" prompt="Enter average annual temperature of bulk liquid loaded in degrees R." sqref="F23:I23" xr:uid="{D66F60BD-5C4E-4835-8565-2187D96F4D08}">
      <formula1>524.67</formula1>
    </dataValidation>
    <dataValidation type="decimal" operator="greaterThanOrEqual" allowBlank="1" showErrorMessage="1" prompt="Enter maximum temperature of bulk liquid loaded in degrees R." sqref="F22:I22" xr:uid="{30A77AF5-7DD1-4179-AE99-C5582264F170}">
      <formula1>554.67</formula1>
    </dataValidation>
    <dataValidation allowBlank="1" showErrorMessage="1" prompt="Enter UTM northing in meters." sqref="F11:N11" xr:uid="{7F180DC8-70B6-42FE-9F4D-7BECC32417BB}"/>
    <dataValidation allowBlank="1" showErrorMessage="1" prompt="Enter UTM easting in meters." sqref="F10:N10" xr:uid="{F0BB53C4-C8E8-44F2-AA59-365F508F7D92}"/>
    <dataValidation allowBlank="1" showErrorMessage="1" prompt="Enter source name" sqref="F9:N9" xr:uid="{05B99AD1-9C63-4404-832F-19678C99FEEC}"/>
    <dataValidation allowBlank="1" showErrorMessage="1" prompt="Enter EPN" sqref="F8:N8" xr:uid="{55494CE4-28CE-44EC-95D0-4C7B46733C4B}"/>
    <dataValidation allowBlank="1" showErrorMessage="1" prompt="Enter FIN" sqref="F7:N7" xr:uid="{FA5B90D6-DFBC-4551-9DC4-3606B02BB40B}"/>
    <dataValidation type="list" allowBlank="1" showErrorMessage="1" prompt="Select one" sqref="F6:N6" xr:uid="{C72721A2-F3C4-4ED1-B66F-D255F138FC13}">
      <formula1>"Affected,Modified,New"</formula1>
    </dataValidation>
    <dataValidation type="decimal" operator="greaterThanOrEqual" allowBlank="1" showErrorMessage="1" prompt="Enter distance to property line in ft." sqref="F15:I15" xr:uid="{7E648CED-2354-4906-B6FF-26C1008FA40D}">
      <formula1>25</formula1>
    </dataValidation>
    <dataValidation type="decimal" operator="greaterThanOrEqual" allowBlank="1" showErrorMessage="1" prompt="Enter release height in feet." sqref="F16:I16" xr:uid="{FDB11E52-3794-496D-9847-E1DA44BFF63F}">
      <formula1>8</formula1>
    </dataValidation>
    <dataValidation type="list" allowBlank="1" showErrorMessage="1" prompt="Select the loading control device." sqref="F19:I19" xr:uid="{3CD1C95D-B475-46D5-8CC3-2954D5FFEB82}">
      <formula1>IF($F$18&gt;=0.5,TnkLoad_Ctrl_req,TnkLoad_Ctrl_notreq)</formula1>
    </dataValidation>
    <dataValidation type="list" operator="greaterThanOrEqual" allowBlank="1" showErrorMessage="1" prompt="select a control efficiency" sqref="F20:I20" xr:uid="{CE9B947E-5D9D-4DFB-91DC-E0ADCF6D590D}">
      <formula1>"98.7%,99.2%,100%"</formula1>
    </dataValidation>
    <dataValidation type="decimal" allowBlank="1" showErrorMessage="1" prompt="Enter the saturation factor." sqref="F21:I21" xr:uid="{19C511E0-C404-4D6D-A36B-39CE39A8031B}">
      <formula1>0.5</formula1>
      <formula2>1</formula2>
    </dataValidation>
    <dataValidation allowBlank="1" showErrorMessage="1" prompt="Proposed annual throughput increase in bbl/yr." sqref="D27 D38 D49 D60 D71 D82 D93 D104 D115 D126" xr:uid="{B5DBEC6B-B9C4-4C5F-8D5D-F2913C54C4F5}"/>
    <dataValidation allowBlank="1" showErrorMessage="1" prompt="enter the highest true vapor pressure of all products to be loaded (psia at maximum temperature)" sqref="F18:I18" xr:uid="{FC088CEB-F991-4F79-9A0E-E79FA8AF3A41}"/>
    <dataValidation allowBlank="1" showErrorMessage="1" prompt="Proposed hourly throughput increase in bbl/hr." sqref="C126 C115 C104 C93 C82 C71 C60 C49 C38 C27" xr:uid="{69F335D2-771E-4B49-B779-05FAB2A1EF04}"/>
    <dataValidation type="list" allowBlank="1" showErrorMessage="1" prompt="Choose yes or no." sqref="E126 E115 E104 E93 E82 E71 E60 E49 E38 E27" xr:uid="{1B3C1FC2-89CA-473E-9997-A549ABEAC709}">
      <formula1>"Yes,No"</formula1>
    </dataValidation>
  </dataValidations>
  <printOptions horizontalCentered="1"/>
  <pageMargins left="0.7" right="0.7" top="0.75" bottom="0.75" header="0.3" footer="0.3"/>
  <pageSetup scale="68" orientation="landscape" r:id="rId1"/>
  <headerFooter>
    <oddHeader>&amp;C&amp;"Calibri,Regular"Marine Loading RAP Application</oddHeader>
    <oddFooter>&amp;L&amp;"Calibri,Regular"Version 1.0&amp;C&amp;"Calibri,Regular"Sheet: &amp;A&amp;R&amp;"Calibri,Regular"Page &amp;P</oddFooter>
  </headerFooter>
  <extLst>
    <ext xmlns:x14="http://schemas.microsoft.com/office/spreadsheetml/2009/9/main" uri="{78C0D931-6437-407d-A8EE-F0AAD7539E65}">
      <x14:conditionalFormattings>
        <x14:conditionalFormatting xmlns:xm="http://schemas.microsoft.com/office/excel/2006/main">
          <x14:cfRule type="expression" priority="12" id="{D32022D6-8114-46FC-A5BC-0B42ECC518C8}">
            <xm:f>'PI-1-MarineLoading'!$G$117="no"</xm:f>
            <x14:dxf>
              <numFmt numFmtId="164" formatCode=";;;"/>
              <fill>
                <patternFill>
                  <bgColor theme="0" tint="-0.499984740745262"/>
                </patternFill>
              </fill>
            </x14:dxf>
          </x14:cfRule>
          <xm:sqref>A2:N137</xm:sqref>
        </x14:conditionalFormatting>
      </x14:conditionalFormatting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8608B-01B3-4FEB-8C6F-4478A9853CEA}">
  <sheetPr codeName="Sheet13">
    <tabColor rgb="FFFFFFCC"/>
  </sheetPr>
  <dimension ref="A1:O137"/>
  <sheetViews>
    <sheetView showGridLines="0" zoomScaleNormal="100" workbookViewId="0">
      <selection sqref="A1:N1"/>
    </sheetView>
  </sheetViews>
  <sheetFormatPr defaultColWidth="0" defaultRowHeight="14.25" zeroHeight="1" x14ac:dyDescent="0.2"/>
  <cols>
    <col min="1" max="2" width="13" customWidth="1"/>
    <col min="3" max="4" width="10.75" customWidth="1"/>
    <col min="5" max="5" width="11.125" customWidth="1"/>
    <col min="6" max="6" width="20.75" customWidth="1"/>
    <col min="7" max="7" width="7.625" customWidth="1"/>
    <col min="8" max="8" width="9.625" customWidth="1"/>
    <col min="9" max="10" width="12.125" customWidth="1"/>
    <col min="11" max="12" width="11.375" customWidth="1"/>
    <col min="13" max="14" width="9.625" customWidth="1"/>
    <col min="15" max="15" width="2.625" customWidth="1"/>
    <col min="16" max="16384" width="9" hidden="1"/>
  </cols>
  <sheetData>
    <row r="1" spans="1:15" ht="8.25" customHeight="1" thickBot="1" x14ac:dyDescent="0.25">
      <c r="A1" s="478" t="s">
        <v>0</v>
      </c>
      <c r="B1" s="478"/>
      <c r="C1" s="478"/>
      <c r="D1" s="478"/>
      <c r="E1" s="478"/>
      <c r="F1" s="478"/>
      <c r="G1" s="478"/>
      <c r="H1" s="478"/>
      <c r="I1" s="478"/>
      <c r="J1" s="478"/>
      <c r="K1" s="478"/>
      <c r="L1" s="478"/>
      <c r="M1" s="478"/>
      <c r="N1" s="478"/>
    </row>
    <row r="2" spans="1:15" ht="18.75" thickBot="1" x14ac:dyDescent="0.25">
      <c r="A2" s="525" t="s">
        <v>9299</v>
      </c>
      <c r="B2" s="525"/>
      <c r="C2" s="525"/>
      <c r="D2" s="525"/>
      <c r="E2" s="525"/>
      <c r="F2" s="525"/>
      <c r="G2" s="525"/>
      <c r="H2" s="525"/>
      <c r="I2" s="525"/>
      <c r="J2" s="525"/>
      <c r="K2" s="525"/>
      <c r="L2" s="525"/>
      <c r="M2" s="525"/>
      <c r="N2" s="525"/>
    </row>
    <row r="3" spans="1:15" ht="174.75" customHeight="1" thickBot="1" x14ac:dyDescent="0.25">
      <c r="A3" s="523" t="s">
        <v>9695</v>
      </c>
      <c r="B3" s="602"/>
      <c r="C3" s="602"/>
      <c r="D3" s="602"/>
      <c r="E3" s="602"/>
      <c r="F3" s="602"/>
      <c r="G3" s="602"/>
      <c r="H3" s="602"/>
      <c r="I3" s="602"/>
      <c r="J3" s="602"/>
      <c r="K3" s="602"/>
      <c r="L3" s="602"/>
      <c r="M3" s="602"/>
      <c r="N3" s="524"/>
    </row>
    <row r="4" spans="1:15" ht="15" thickBot="1" x14ac:dyDescent="0.25">
      <c r="A4" s="478" t="s">
        <v>1</v>
      </c>
      <c r="B4" s="478"/>
      <c r="C4" s="478"/>
      <c r="D4" s="478"/>
      <c r="E4" s="478"/>
      <c r="F4" s="478"/>
      <c r="G4" s="478"/>
      <c r="H4" s="478"/>
      <c r="I4" s="478"/>
      <c r="J4" s="478"/>
      <c r="K4" s="478"/>
      <c r="L4" s="478"/>
      <c r="M4" s="478"/>
      <c r="N4" s="478"/>
    </row>
    <row r="5" spans="1:15" ht="15.75" thickBot="1" x14ac:dyDescent="0.25">
      <c r="A5" s="474" t="s">
        <v>133</v>
      </c>
      <c r="B5" s="474"/>
      <c r="C5" s="474"/>
      <c r="D5" s="474"/>
      <c r="E5" s="474"/>
      <c r="F5" s="474"/>
      <c r="G5" s="474"/>
      <c r="H5" s="474"/>
      <c r="I5" s="474"/>
      <c r="J5" s="474"/>
      <c r="K5" s="474"/>
      <c r="L5" s="474"/>
      <c r="M5" s="474"/>
      <c r="N5" s="474"/>
    </row>
    <row r="6" spans="1:15" x14ac:dyDescent="0.2">
      <c r="A6" s="605" t="s">
        <v>166</v>
      </c>
      <c r="B6" s="606"/>
      <c r="C6" s="606"/>
      <c r="D6" s="606"/>
      <c r="E6" s="606"/>
      <c r="F6" s="679"/>
      <c r="G6" s="679"/>
      <c r="H6" s="679"/>
      <c r="I6" s="679"/>
      <c r="J6" s="679"/>
      <c r="K6" s="679"/>
      <c r="L6" s="679"/>
      <c r="M6" s="679"/>
      <c r="N6" s="680"/>
    </row>
    <row r="7" spans="1:15" x14ac:dyDescent="0.2">
      <c r="A7" s="528" t="s">
        <v>167</v>
      </c>
      <c r="B7" s="529"/>
      <c r="C7" s="529"/>
      <c r="D7" s="529"/>
      <c r="E7" s="529"/>
      <c r="F7" s="579"/>
      <c r="G7" s="579"/>
      <c r="H7" s="579"/>
      <c r="I7" s="579"/>
      <c r="J7" s="579"/>
      <c r="K7" s="579"/>
      <c r="L7" s="579"/>
      <c r="M7" s="579"/>
      <c r="N7" s="580"/>
    </row>
    <row r="8" spans="1:15" x14ac:dyDescent="0.2">
      <c r="A8" s="528" t="s">
        <v>168</v>
      </c>
      <c r="B8" s="529"/>
      <c r="C8" s="529"/>
      <c r="D8" s="529"/>
      <c r="E8" s="529"/>
      <c r="F8" s="579"/>
      <c r="G8" s="579"/>
      <c r="H8" s="579"/>
      <c r="I8" s="579"/>
      <c r="J8" s="579"/>
      <c r="K8" s="579"/>
      <c r="L8" s="579"/>
      <c r="M8" s="579"/>
      <c r="N8" s="580"/>
    </row>
    <row r="9" spans="1:15" x14ac:dyDescent="0.2">
      <c r="A9" s="528" t="s">
        <v>169</v>
      </c>
      <c r="B9" s="529"/>
      <c r="C9" s="529"/>
      <c r="D9" s="529"/>
      <c r="E9" s="529"/>
      <c r="F9" s="579"/>
      <c r="G9" s="579"/>
      <c r="H9" s="579"/>
      <c r="I9" s="579"/>
      <c r="J9" s="579"/>
      <c r="K9" s="579"/>
      <c r="L9" s="579"/>
      <c r="M9" s="579"/>
      <c r="N9" s="580"/>
    </row>
    <row r="10" spans="1:15" x14ac:dyDescent="0.2">
      <c r="A10" s="528" t="s">
        <v>170</v>
      </c>
      <c r="B10" s="529"/>
      <c r="C10" s="529"/>
      <c r="D10" s="529"/>
      <c r="E10" s="529"/>
      <c r="F10" s="579"/>
      <c r="G10" s="579"/>
      <c r="H10" s="579"/>
      <c r="I10" s="579"/>
      <c r="J10" s="579"/>
      <c r="K10" s="579"/>
      <c r="L10" s="579"/>
      <c r="M10" s="579"/>
      <c r="N10" s="580"/>
    </row>
    <row r="11" spans="1:15" ht="15" thickBot="1" x14ac:dyDescent="0.25">
      <c r="A11" s="548" t="s">
        <v>171</v>
      </c>
      <c r="B11" s="549"/>
      <c r="C11" s="549"/>
      <c r="D11" s="549"/>
      <c r="E11" s="549"/>
      <c r="F11" s="577"/>
      <c r="G11" s="577"/>
      <c r="H11" s="577"/>
      <c r="I11" s="577"/>
      <c r="J11" s="577"/>
      <c r="K11" s="577"/>
      <c r="L11" s="577"/>
      <c r="M11" s="577"/>
      <c r="N11" s="578"/>
    </row>
    <row r="12" spans="1:15" ht="15" thickBot="1" x14ac:dyDescent="0.25">
      <c r="A12" s="478" t="s">
        <v>1</v>
      </c>
      <c r="B12" s="478"/>
      <c r="C12" s="478"/>
      <c r="D12" s="478"/>
      <c r="E12" s="478"/>
      <c r="F12" s="478"/>
      <c r="G12" s="478"/>
      <c r="H12" s="478"/>
      <c r="I12" s="478"/>
      <c r="J12" s="478"/>
      <c r="K12" s="478"/>
      <c r="L12" s="478"/>
      <c r="M12" s="478"/>
      <c r="N12" s="478"/>
    </row>
    <row r="13" spans="1:15" ht="15.75" thickBot="1" x14ac:dyDescent="0.25">
      <c r="A13" s="474" t="s">
        <v>9166</v>
      </c>
      <c r="B13" s="474"/>
      <c r="C13" s="474"/>
      <c r="D13" s="474"/>
      <c r="E13" s="474"/>
      <c r="F13" s="474"/>
      <c r="G13" s="474"/>
      <c r="H13" s="474"/>
      <c r="I13" s="474"/>
      <c r="J13" s="474"/>
      <c r="K13" s="474"/>
      <c r="L13" s="474"/>
      <c r="M13" s="474"/>
      <c r="N13" s="474"/>
    </row>
    <row r="14" spans="1:15" ht="15" x14ac:dyDescent="0.2">
      <c r="A14" s="506" t="s">
        <v>9167</v>
      </c>
      <c r="B14" s="507"/>
      <c r="C14" s="507"/>
      <c r="D14" s="507"/>
      <c r="E14" s="507"/>
      <c r="F14" s="663" t="s">
        <v>172</v>
      </c>
      <c r="G14" s="663"/>
      <c r="H14" s="663"/>
      <c r="I14" s="663"/>
      <c r="J14" s="507" t="s">
        <v>8723</v>
      </c>
      <c r="K14" s="507"/>
      <c r="L14" s="507"/>
      <c r="M14" s="507"/>
      <c r="N14" s="508"/>
    </row>
    <row r="15" spans="1:15" x14ac:dyDescent="0.2">
      <c r="A15" s="528" t="s">
        <v>176</v>
      </c>
      <c r="B15" s="529"/>
      <c r="C15" s="529"/>
      <c r="D15" s="529"/>
      <c r="E15" s="529"/>
      <c r="F15" s="678"/>
      <c r="G15" s="678"/>
      <c r="H15" s="678"/>
      <c r="I15" s="678"/>
      <c r="J15" s="466" t="s">
        <v>9155</v>
      </c>
      <c r="K15" s="466"/>
      <c r="L15" s="466"/>
      <c r="M15" s="466"/>
      <c r="N15" s="466"/>
      <c r="O15" s="89"/>
    </row>
    <row r="16" spans="1:15" x14ac:dyDescent="0.2">
      <c r="A16" s="528" t="s">
        <v>177</v>
      </c>
      <c r="B16" s="529"/>
      <c r="C16" s="529"/>
      <c r="D16" s="529"/>
      <c r="E16" s="529"/>
      <c r="F16" s="678"/>
      <c r="G16" s="678"/>
      <c r="H16" s="678"/>
      <c r="I16" s="678"/>
      <c r="J16" s="529" t="s">
        <v>9300</v>
      </c>
      <c r="K16" s="529"/>
      <c r="L16" s="529"/>
      <c r="M16" s="529"/>
      <c r="N16" s="714"/>
    </row>
    <row r="17" spans="1:14" ht="15" x14ac:dyDescent="0.2">
      <c r="A17" s="725" t="s">
        <v>9169</v>
      </c>
      <c r="B17" s="717"/>
      <c r="C17" s="717"/>
      <c r="D17" s="717"/>
      <c r="E17" s="717"/>
      <c r="F17" s="716" t="s">
        <v>172</v>
      </c>
      <c r="G17" s="716"/>
      <c r="H17" s="716"/>
      <c r="I17" s="716"/>
      <c r="J17" s="717" t="s">
        <v>8723</v>
      </c>
      <c r="K17" s="717"/>
      <c r="L17" s="717"/>
      <c r="M17" s="717"/>
      <c r="N17" s="718"/>
    </row>
    <row r="18" spans="1:14" ht="31.5" customHeight="1" x14ac:dyDescent="0.2">
      <c r="A18" s="530" t="s">
        <v>10630</v>
      </c>
      <c r="B18" s="531"/>
      <c r="C18" s="531"/>
      <c r="D18" s="531"/>
      <c r="E18" s="531"/>
      <c r="F18" s="579"/>
      <c r="G18" s="579"/>
      <c r="H18" s="579"/>
      <c r="I18" s="579"/>
      <c r="J18" s="689" t="s">
        <v>10631</v>
      </c>
      <c r="K18" s="690"/>
      <c r="L18" s="690"/>
      <c r="M18" s="690"/>
      <c r="N18" s="691"/>
    </row>
    <row r="19" spans="1:14" ht="31.5" customHeight="1" x14ac:dyDescent="0.2">
      <c r="A19" s="528" t="s">
        <v>230</v>
      </c>
      <c r="B19" s="529"/>
      <c r="C19" s="529"/>
      <c r="D19" s="529"/>
      <c r="E19" s="529"/>
      <c r="F19" s="579"/>
      <c r="G19" s="579"/>
      <c r="H19" s="579"/>
      <c r="I19" s="579"/>
      <c r="J19" s="531" t="s">
        <v>9257</v>
      </c>
      <c r="K19" s="531"/>
      <c r="L19" s="531"/>
      <c r="M19" s="531"/>
      <c r="N19" s="538"/>
    </row>
    <row r="20" spans="1:14" x14ac:dyDescent="0.2">
      <c r="A20" s="528" t="s">
        <v>231</v>
      </c>
      <c r="B20" s="529"/>
      <c r="C20" s="529"/>
      <c r="D20" s="529"/>
      <c r="E20" s="529"/>
      <c r="F20" s="729">
        <v>1</v>
      </c>
      <c r="G20" s="729"/>
      <c r="H20" s="729"/>
      <c r="I20" s="729"/>
      <c r="J20" s="730" t="s">
        <v>9361</v>
      </c>
      <c r="K20" s="730"/>
      <c r="L20" s="730"/>
      <c r="M20" s="730"/>
      <c r="N20" s="731"/>
    </row>
    <row r="21" spans="1:14" x14ac:dyDescent="0.2">
      <c r="A21" s="528" t="s">
        <v>232</v>
      </c>
      <c r="B21" s="529"/>
      <c r="C21" s="529"/>
      <c r="D21" s="529"/>
      <c r="E21" s="529"/>
      <c r="F21" s="579"/>
      <c r="G21" s="579"/>
      <c r="H21" s="579"/>
      <c r="I21" s="579"/>
      <c r="J21" s="466" t="s">
        <v>10798</v>
      </c>
      <c r="K21" s="466"/>
      <c r="L21" s="466"/>
      <c r="M21" s="466"/>
      <c r="N21" s="466"/>
    </row>
    <row r="22" spans="1:14" ht="15" x14ac:dyDescent="0.25">
      <c r="A22" s="712" t="s">
        <v>234</v>
      </c>
      <c r="B22" s="713"/>
      <c r="C22" s="713"/>
      <c r="D22" s="713"/>
      <c r="E22" s="713"/>
      <c r="F22" s="579"/>
      <c r="G22" s="579"/>
      <c r="H22" s="579"/>
      <c r="I22" s="579"/>
      <c r="J22" s="529" t="s">
        <v>9258</v>
      </c>
      <c r="K22" s="529"/>
      <c r="L22" s="529"/>
      <c r="M22" s="529"/>
      <c r="N22" s="714"/>
    </row>
    <row r="23" spans="1:14" ht="15" thickBot="1" x14ac:dyDescent="0.25">
      <c r="A23" s="548" t="s">
        <v>235</v>
      </c>
      <c r="B23" s="549"/>
      <c r="C23" s="549"/>
      <c r="D23" s="549"/>
      <c r="E23" s="549"/>
      <c r="F23" s="577"/>
      <c r="G23" s="577"/>
      <c r="H23" s="577"/>
      <c r="I23" s="577"/>
      <c r="J23" s="549" t="s">
        <v>9259</v>
      </c>
      <c r="K23" s="549"/>
      <c r="L23" s="549"/>
      <c r="M23" s="549"/>
      <c r="N23" s="550"/>
    </row>
    <row r="24" spans="1:14" ht="15" thickBot="1" x14ac:dyDescent="0.25">
      <c r="A24" s="478" t="s">
        <v>1</v>
      </c>
      <c r="B24" s="478"/>
      <c r="C24" s="478"/>
      <c r="D24" s="478"/>
      <c r="E24" s="478"/>
      <c r="F24" s="478"/>
      <c r="G24" s="478"/>
      <c r="H24" s="478"/>
      <c r="I24" s="478"/>
      <c r="J24" s="478"/>
      <c r="K24" s="478"/>
      <c r="L24" s="478"/>
      <c r="M24" s="478"/>
      <c r="N24" s="478"/>
    </row>
    <row r="25" spans="1:14" ht="15.75" thickBot="1" x14ac:dyDescent="0.25">
      <c r="A25" s="474" t="s">
        <v>279</v>
      </c>
      <c r="B25" s="474"/>
      <c r="C25" s="474"/>
      <c r="D25" s="474"/>
      <c r="E25" s="474"/>
      <c r="F25" s="474"/>
      <c r="G25" s="474"/>
      <c r="H25" s="474"/>
      <c r="I25" s="474"/>
      <c r="J25" s="474"/>
      <c r="K25" s="474"/>
      <c r="L25" s="474"/>
      <c r="M25" s="474"/>
      <c r="N25" s="474"/>
    </row>
    <row r="26" spans="1:14" ht="91.5" customHeight="1" x14ac:dyDescent="0.2">
      <c r="A26" s="539" t="s">
        <v>236</v>
      </c>
      <c r="B26" s="540"/>
      <c r="C26" s="49" t="str">
        <f>IF($F$6="modified","Proposed increase in hourly throughput (bbl/hr)","Proposed hourly throughput (bbl/hr)")</f>
        <v>Proposed hourly throughput (bbl/hr)</v>
      </c>
      <c r="D26" s="49" t="str">
        <f>IF($F$6="modified","Proposed increase in annual throughput (bbl/yr)","Proposed annual throughput (bbl/yr)")</f>
        <v>Proposed annual throughput (bbl/yr)</v>
      </c>
      <c r="E26" s="49" t="s">
        <v>9795</v>
      </c>
      <c r="F26" s="49" t="s">
        <v>8751</v>
      </c>
      <c r="G26" s="49" t="s">
        <v>9180</v>
      </c>
      <c r="H26" s="49" t="s">
        <v>8711</v>
      </c>
      <c r="I26" s="49" t="s">
        <v>237</v>
      </c>
      <c r="J26" s="49" t="s">
        <v>238</v>
      </c>
      <c r="K26" s="49" t="str">
        <f>IF($F$6="modified","Proposed increase in uncollected hourly emissions (lb/hr)","Proposed uncollected hourly emissions (lb/hr)")</f>
        <v>Proposed uncollected hourly emissions (lb/hr)</v>
      </c>
      <c r="L26" s="49" t="str">
        <f>IF($F$6="modified","Proposed increase in uncollected annual emissions (tpy)","Proposed uncollected annual emissions (tpy)")</f>
        <v>Proposed uncollected annual emissions (tpy)</v>
      </c>
      <c r="M26" s="49" t="s">
        <v>9282</v>
      </c>
      <c r="N26" s="117" t="s">
        <v>9283</v>
      </c>
    </row>
    <row r="27" spans="1:14" x14ac:dyDescent="0.2">
      <c r="A27" s="651"/>
      <c r="B27" s="615"/>
      <c r="C27" s="41"/>
      <c r="D27" s="41"/>
      <c r="E27" s="41"/>
      <c r="F27" s="16" t="s">
        <v>291</v>
      </c>
      <c r="G27" s="16">
        <v>1</v>
      </c>
      <c r="H27" s="16" t="str">
        <f>IF(A27="","",IF(VLOOKUP($A27,Products!$A$59:$H$159,2,FALSE)="","",VLOOKUP($A27,Products!$A$59:$H$159,2,FALSE)))</f>
        <v/>
      </c>
      <c r="I27" s="16" t="str">
        <f>IF(A27="","",IF(VLOOKUP($A27,Products!$A$59:$H$159,3,FALSE)="","",VLOOKUP($A27,Products!$A$59:$H$159,3,FALSE)))</f>
        <v/>
      </c>
      <c r="J27" s="16" t="str">
        <f>IF(A27="","",IF(VLOOKUP($A27,Products!$A$59:$H$159,4,FALSE)="","",VLOOKUP($A27,Products!$A$59:$H$159,4,FALSE)))</f>
        <v/>
      </c>
      <c r="K27" s="2" t="str">
        <f>IF(OR($A27="",C27="",$E27=""),"",((12.46*$F$21*$I27*$H27)/$F$22)*((C27*42)/1000)*(IF($E27="YES",(1-$F$20),1)))</f>
        <v/>
      </c>
      <c r="L27" s="2" t="str">
        <f>IF(OR($A27="",$D27="",$E27=""),"",((12.46*$F$21*$J27*$H27)/$F$23)*(($D27*42)/1000)*(1/2000)*(IF($E27="YES",(1-$F$20),1)))</f>
        <v/>
      </c>
      <c r="M27" s="2" t="str">
        <f>IF(OR($A27="",$C27="",$E27=""),"",((12.46*$F$21*$I27*$H27)/$F$22)*(($C27*42)/1000)*(IF($E27="YES",$F$20,0)))</f>
        <v/>
      </c>
      <c r="N27" s="12" t="str">
        <f>IF(OR($A27="",$D27="",$E27=""),"",((12.46*$F$21*$J27*$H27)/$F$23)*(($D27*42)/1000)*(1/2000)*(IF($E27="YES",$F$20,0)))</f>
        <v/>
      </c>
    </row>
    <row r="28" spans="1:14" x14ac:dyDescent="0.2">
      <c r="A28" s="627" t="str">
        <f>A27&amp;"A"</f>
        <v>A</v>
      </c>
      <c r="B28" s="628"/>
      <c r="C28" s="77" t="s">
        <v>9360</v>
      </c>
      <c r="D28" s="77" t="s">
        <v>9360</v>
      </c>
      <c r="E28" s="77">
        <f>E27</f>
        <v>0</v>
      </c>
      <c r="F28" s="16" t="str">
        <f>IF($A$27="","",IF(VLOOKUP($A27,Products!$A$59:$H$159,5,FALSE)="","",VLOOKUP($A27,Products!$A$59:$H$159,5,FALSE)))</f>
        <v/>
      </c>
      <c r="G28" s="16" t="str">
        <f>IF($A$27="","",IF(VLOOKUP($A27,Products!$A$59:$H$159,8,FALSE)="","",VLOOKUP($A27,Products!$A$59:$H$159,8,FALSE)))</f>
        <v/>
      </c>
      <c r="H28" s="77" t="s">
        <v>9360</v>
      </c>
      <c r="I28" s="77" t="s">
        <v>9360</v>
      </c>
      <c r="J28" s="77" t="s">
        <v>9360</v>
      </c>
      <c r="K28" s="2" t="str">
        <f>IF($K$27="","",IF($G28="","",K$27*$G28))</f>
        <v/>
      </c>
      <c r="L28" s="2" t="str">
        <f>IF($G28="","",L$27*$G28)</f>
        <v/>
      </c>
      <c r="M28" s="2" t="str">
        <f>IF($G28="","",M$27*$G28)</f>
        <v/>
      </c>
      <c r="N28" s="12" t="str">
        <f>IF($G28="","",N$27*$G28)</f>
        <v/>
      </c>
    </row>
    <row r="29" spans="1:14" x14ac:dyDescent="0.2">
      <c r="A29" s="627" t="str">
        <f t="shared" ref="A29:A37" si="0">A28&amp;"A"</f>
        <v>AA</v>
      </c>
      <c r="B29" s="628"/>
      <c r="C29" s="77" t="s">
        <v>9360</v>
      </c>
      <c r="D29" s="77" t="s">
        <v>9360</v>
      </c>
      <c r="E29" s="77">
        <f t="shared" ref="E29:E37" si="1">E28</f>
        <v>0</v>
      </c>
      <c r="F29" s="16" t="str">
        <f>IF($A$27="","",IF(VLOOKUP($A28,Products!$A$59:$H$159,5,FALSE)="","",VLOOKUP($A28,Products!$A$59:$H$159,5,FALSE)))</f>
        <v/>
      </c>
      <c r="G29" s="16" t="str">
        <f>IF($A$27="","",IF(VLOOKUP($A28,Products!$A$59:$H$159,8,FALSE)="","",VLOOKUP($A28,Products!$A$59:$H$159,8,FALSE)))</f>
        <v/>
      </c>
      <c r="H29" s="77" t="s">
        <v>9360</v>
      </c>
      <c r="I29" s="77" t="s">
        <v>9360</v>
      </c>
      <c r="J29" s="77" t="s">
        <v>9360</v>
      </c>
      <c r="K29" s="2" t="str">
        <f t="shared" ref="K29:K36" si="2">IF($K$27="","",IF($G29="","",K$27*$G29))</f>
        <v/>
      </c>
      <c r="L29" s="2" t="str">
        <f t="shared" ref="L29:N37" si="3">IF($G29="","",L$27*$G29)</f>
        <v/>
      </c>
      <c r="M29" s="2" t="str">
        <f t="shared" si="3"/>
        <v/>
      </c>
      <c r="N29" s="12" t="str">
        <f t="shared" si="3"/>
        <v/>
      </c>
    </row>
    <row r="30" spans="1:14" x14ac:dyDescent="0.2">
      <c r="A30" s="627" t="str">
        <f t="shared" si="0"/>
        <v>AAA</v>
      </c>
      <c r="B30" s="628"/>
      <c r="C30" s="77" t="s">
        <v>9360</v>
      </c>
      <c r="D30" s="77" t="s">
        <v>9360</v>
      </c>
      <c r="E30" s="77">
        <f t="shared" si="1"/>
        <v>0</v>
      </c>
      <c r="F30" s="16" t="str">
        <f>IF($A$27="","",IF(VLOOKUP($A29,Products!$A$59:$H$159,5,FALSE)="","",VLOOKUP($A29,Products!$A$59:$H$159,5,FALSE)))</f>
        <v/>
      </c>
      <c r="G30" s="16" t="str">
        <f>IF($A$27="","",IF(VLOOKUP($A29,Products!$A$59:$H$159,8,FALSE)="","",VLOOKUP($A29,Products!$A$59:$H$159,8,FALSE)))</f>
        <v/>
      </c>
      <c r="H30" s="77" t="s">
        <v>9360</v>
      </c>
      <c r="I30" s="77" t="s">
        <v>9360</v>
      </c>
      <c r="J30" s="77" t="s">
        <v>9360</v>
      </c>
      <c r="K30" s="2" t="str">
        <f t="shared" si="2"/>
        <v/>
      </c>
      <c r="L30" s="2" t="str">
        <f t="shared" si="3"/>
        <v/>
      </c>
      <c r="M30" s="2" t="str">
        <f t="shared" si="3"/>
        <v/>
      </c>
      <c r="N30" s="12" t="str">
        <f t="shared" si="3"/>
        <v/>
      </c>
    </row>
    <row r="31" spans="1:14" x14ac:dyDescent="0.2">
      <c r="A31" s="627" t="str">
        <f t="shared" si="0"/>
        <v>AAAA</v>
      </c>
      <c r="B31" s="628"/>
      <c r="C31" s="77" t="s">
        <v>9360</v>
      </c>
      <c r="D31" s="77" t="s">
        <v>9360</v>
      </c>
      <c r="E31" s="77">
        <f t="shared" si="1"/>
        <v>0</v>
      </c>
      <c r="F31" s="16" t="str">
        <f>IF($A$27="","",IF(VLOOKUP($A30,Products!$A$59:$H$159,5,FALSE)="","",VLOOKUP($A30,Products!$A$59:$H$159,5,FALSE)))</f>
        <v/>
      </c>
      <c r="G31" s="16" t="str">
        <f>IF($A$27="","",IF(VLOOKUP($A30,Products!$A$59:$H$159,8,FALSE)="","",VLOOKUP($A30,Products!$A$59:$H$159,8,FALSE)))</f>
        <v/>
      </c>
      <c r="H31" s="77" t="s">
        <v>9360</v>
      </c>
      <c r="I31" s="77" t="s">
        <v>9360</v>
      </c>
      <c r="J31" s="77" t="s">
        <v>9360</v>
      </c>
      <c r="K31" s="2" t="str">
        <f t="shared" si="2"/>
        <v/>
      </c>
      <c r="L31" s="2" t="str">
        <f t="shared" si="3"/>
        <v/>
      </c>
      <c r="M31" s="2" t="str">
        <f t="shared" si="3"/>
        <v/>
      </c>
      <c r="N31" s="12" t="str">
        <f>IF($G31="","",N$27*$G31)</f>
        <v/>
      </c>
    </row>
    <row r="32" spans="1:14" x14ac:dyDescent="0.2">
      <c r="A32" s="627" t="str">
        <f t="shared" si="0"/>
        <v>AAAAA</v>
      </c>
      <c r="B32" s="628"/>
      <c r="C32" s="77" t="s">
        <v>9360</v>
      </c>
      <c r="D32" s="77" t="s">
        <v>9360</v>
      </c>
      <c r="E32" s="77">
        <f t="shared" si="1"/>
        <v>0</v>
      </c>
      <c r="F32" s="16" t="str">
        <f>IF($A$27="","",IF(VLOOKUP($A31,Products!$A$59:$H$159,5,FALSE)="","",VLOOKUP($A31,Products!$A$59:$H$159,5,FALSE)))</f>
        <v/>
      </c>
      <c r="G32" s="16" t="str">
        <f>IF($A$27="","",IF(VLOOKUP($A31,Products!$A$59:$H$159,8,FALSE)="","",VLOOKUP($A31,Products!$A$59:$H$159,8,FALSE)))</f>
        <v/>
      </c>
      <c r="H32" s="77" t="s">
        <v>9360</v>
      </c>
      <c r="I32" s="77" t="s">
        <v>9360</v>
      </c>
      <c r="J32" s="77" t="s">
        <v>9360</v>
      </c>
      <c r="K32" s="2" t="str">
        <f t="shared" si="2"/>
        <v/>
      </c>
      <c r="L32" s="2" t="str">
        <f t="shared" si="3"/>
        <v/>
      </c>
      <c r="M32" s="2" t="str">
        <f t="shared" si="3"/>
        <v/>
      </c>
      <c r="N32" s="12" t="str">
        <f t="shared" si="3"/>
        <v/>
      </c>
    </row>
    <row r="33" spans="1:14" x14ac:dyDescent="0.2">
      <c r="A33" s="627" t="str">
        <f t="shared" si="0"/>
        <v>AAAAAA</v>
      </c>
      <c r="B33" s="628"/>
      <c r="C33" s="77" t="s">
        <v>9360</v>
      </c>
      <c r="D33" s="77" t="s">
        <v>9360</v>
      </c>
      <c r="E33" s="77">
        <f t="shared" si="1"/>
        <v>0</v>
      </c>
      <c r="F33" s="16" t="str">
        <f>IF($A$27="","",IF(VLOOKUP($A32,Products!$A$59:$H$159,5,FALSE)="","",VLOOKUP($A32,Products!$A$59:$H$159,5,FALSE)))</f>
        <v/>
      </c>
      <c r="G33" s="16" t="str">
        <f>IF($A$27="","",IF(VLOOKUP($A32,Products!$A$59:$H$159,8,FALSE)="","",VLOOKUP($A32,Products!$A$59:$H$159,8,FALSE)))</f>
        <v/>
      </c>
      <c r="H33" s="77" t="s">
        <v>9360</v>
      </c>
      <c r="I33" s="77" t="s">
        <v>9360</v>
      </c>
      <c r="J33" s="77" t="s">
        <v>9360</v>
      </c>
      <c r="K33" s="2" t="str">
        <f t="shared" si="2"/>
        <v/>
      </c>
      <c r="L33" s="2" t="str">
        <f t="shared" si="3"/>
        <v/>
      </c>
      <c r="M33" s="2" t="str">
        <f t="shared" si="3"/>
        <v/>
      </c>
      <c r="N33" s="12" t="str">
        <f t="shared" si="3"/>
        <v/>
      </c>
    </row>
    <row r="34" spans="1:14" x14ac:dyDescent="0.2">
      <c r="A34" s="627" t="str">
        <f t="shared" si="0"/>
        <v>AAAAAAA</v>
      </c>
      <c r="B34" s="628"/>
      <c r="C34" s="77" t="s">
        <v>9360</v>
      </c>
      <c r="D34" s="77" t="s">
        <v>9360</v>
      </c>
      <c r="E34" s="77">
        <f t="shared" si="1"/>
        <v>0</v>
      </c>
      <c r="F34" s="16" t="str">
        <f>IF($A$27="","",IF(VLOOKUP($A33,Products!$A$59:$H$159,5,FALSE)="","",VLOOKUP($A33,Products!$A$59:$H$159,5,FALSE)))</f>
        <v/>
      </c>
      <c r="G34" s="16" t="str">
        <f>IF($A$27="","",IF(VLOOKUP($A33,Products!$A$59:$H$159,8,FALSE)="","",VLOOKUP($A33,Products!$A$59:$H$159,8,FALSE)))</f>
        <v/>
      </c>
      <c r="H34" s="77" t="s">
        <v>9360</v>
      </c>
      <c r="I34" s="77" t="s">
        <v>9360</v>
      </c>
      <c r="J34" s="77" t="s">
        <v>9360</v>
      </c>
      <c r="K34" s="2" t="str">
        <f t="shared" si="2"/>
        <v/>
      </c>
      <c r="L34" s="2" t="str">
        <f t="shared" si="3"/>
        <v/>
      </c>
      <c r="M34" s="2" t="str">
        <f t="shared" si="3"/>
        <v/>
      </c>
      <c r="N34" s="12" t="str">
        <f t="shared" si="3"/>
        <v/>
      </c>
    </row>
    <row r="35" spans="1:14" x14ac:dyDescent="0.2">
      <c r="A35" s="627" t="str">
        <f t="shared" si="0"/>
        <v>AAAAAAAA</v>
      </c>
      <c r="B35" s="628"/>
      <c r="C35" s="77" t="s">
        <v>9360</v>
      </c>
      <c r="D35" s="77" t="s">
        <v>9360</v>
      </c>
      <c r="E35" s="77">
        <f t="shared" si="1"/>
        <v>0</v>
      </c>
      <c r="F35" s="16" t="str">
        <f>IF($A$27="","",IF(VLOOKUP($A34,Products!$A$59:$H$159,5,FALSE)="","",VLOOKUP($A34,Products!$A$59:$H$159,5,FALSE)))</f>
        <v/>
      </c>
      <c r="G35" s="16" t="str">
        <f>IF($A$27="","",IF(VLOOKUP($A34,Products!$A$59:$H$159,8,FALSE)="","",VLOOKUP($A34,Products!$A$59:$H$159,8,FALSE)))</f>
        <v/>
      </c>
      <c r="H35" s="77" t="s">
        <v>9360</v>
      </c>
      <c r="I35" s="77" t="s">
        <v>9360</v>
      </c>
      <c r="J35" s="77" t="s">
        <v>9360</v>
      </c>
      <c r="K35" s="2" t="str">
        <f>IF($K$27="","",IF($G35="","",K$27*$G35))</f>
        <v/>
      </c>
      <c r="L35" s="2" t="str">
        <f t="shared" si="3"/>
        <v/>
      </c>
      <c r="M35" s="2" t="str">
        <f t="shared" si="3"/>
        <v/>
      </c>
      <c r="N35" s="12" t="str">
        <f>IF($G35="","",N$27*$G35)</f>
        <v/>
      </c>
    </row>
    <row r="36" spans="1:14" x14ac:dyDescent="0.2">
      <c r="A36" s="627" t="str">
        <f t="shared" si="0"/>
        <v>AAAAAAAAA</v>
      </c>
      <c r="B36" s="628"/>
      <c r="C36" s="77" t="s">
        <v>9360</v>
      </c>
      <c r="D36" s="77" t="s">
        <v>9360</v>
      </c>
      <c r="E36" s="77">
        <f t="shared" si="1"/>
        <v>0</v>
      </c>
      <c r="F36" s="16" t="str">
        <f>IF($A$27="","",IF(VLOOKUP($A35,Products!$A$59:$H$159,5,FALSE)="","",VLOOKUP($A35,Products!$A$59:$H$159,5,FALSE)))</f>
        <v/>
      </c>
      <c r="G36" s="16" t="str">
        <f>IF($A$27="","",IF(VLOOKUP($A35,Products!$A$59:$H$159,8,FALSE)="","",VLOOKUP($A35,Products!$A$59:$H$159,8,FALSE)))</f>
        <v/>
      </c>
      <c r="H36" s="77" t="s">
        <v>9360</v>
      </c>
      <c r="I36" s="77" t="s">
        <v>9360</v>
      </c>
      <c r="J36" s="77" t="s">
        <v>9360</v>
      </c>
      <c r="K36" s="2" t="str">
        <f t="shared" si="2"/>
        <v/>
      </c>
      <c r="L36" s="2" t="str">
        <f>IF($G36="","",L$27*$G36)</f>
        <v/>
      </c>
      <c r="M36" s="2" t="str">
        <f t="shared" si="3"/>
        <v/>
      </c>
      <c r="N36" s="12" t="str">
        <f t="shared" si="3"/>
        <v/>
      </c>
    </row>
    <row r="37" spans="1:14" x14ac:dyDescent="0.2">
      <c r="A37" s="627" t="str">
        <f t="shared" si="0"/>
        <v>AAAAAAAAAA</v>
      </c>
      <c r="B37" s="628"/>
      <c r="C37" s="77" t="s">
        <v>9360</v>
      </c>
      <c r="D37" s="77" t="s">
        <v>9360</v>
      </c>
      <c r="E37" s="77">
        <f t="shared" si="1"/>
        <v>0</v>
      </c>
      <c r="F37" s="16" t="str">
        <f>IF($A$27="","",IF(VLOOKUP($A36,Products!$A$59:$H$159,5,FALSE)="","",VLOOKUP($A36,Products!$A$59:$H$159,5,FALSE)))</f>
        <v/>
      </c>
      <c r="G37" s="16" t="str">
        <f>IF($A$27="","",IF(VLOOKUP($A36,Products!$A$59:$H$159,8,FALSE)="","",VLOOKUP($A36,Products!$A$59:$H$159,8,FALSE)))</f>
        <v/>
      </c>
      <c r="H37" s="77" t="s">
        <v>9360</v>
      </c>
      <c r="I37" s="77" t="s">
        <v>9360</v>
      </c>
      <c r="J37" s="77" t="s">
        <v>9360</v>
      </c>
      <c r="K37" s="2" t="str">
        <f>IF($K$27="","",IF($G37="","",K$27*$G37))</f>
        <v/>
      </c>
      <c r="L37" s="2" t="str">
        <f t="shared" si="3"/>
        <v/>
      </c>
      <c r="M37" s="2" t="str">
        <f t="shared" si="3"/>
        <v/>
      </c>
      <c r="N37" s="12" t="str">
        <f t="shared" si="3"/>
        <v/>
      </c>
    </row>
    <row r="38" spans="1:14" x14ac:dyDescent="0.2">
      <c r="A38" s="651"/>
      <c r="B38" s="615"/>
      <c r="C38" s="41"/>
      <c r="D38" s="41"/>
      <c r="E38" s="41"/>
      <c r="F38" s="16" t="s">
        <v>291</v>
      </c>
      <c r="G38" s="16">
        <v>1</v>
      </c>
      <c r="H38" s="16" t="str">
        <f>IF(A38="","",IF(VLOOKUP($A38,Products!$A$59:$H$159,2,FALSE)="","",VLOOKUP($A38,Products!$A$59:$H$159,2,FALSE)))</f>
        <v/>
      </c>
      <c r="I38" s="16" t="str">
        <f>IF(A38="","",IF(VLOOKUP($A38,Products!$A$59:$H$159,3,FALSE)="","",VLOOKUP($A38,Products!$A$59:$H$159,3,FALSE)))</f>
        <v/>
      </c>
      <c r="J38" s="16" t="str">
        <f>IF(A38="","",IF(VLOOKUP($A38,Products!$A$59:$H$159,4,FALSE)="","",VLOOKUP($A38,Products!$A$59:$H$159,4,FALSE)))</f>
        <v/>
      </c>
      <c r="K38" s="2" t="str">
        <f>IF(OR($A38="",C38="",$E38=""),"",((12.46*$F$21*$I38*$H38)/$F$22)*((C38*42)/1000)*(IF($E38="YES",(1-$F$20),1)))</f>
        <v/>
      </c>
      <c r="L38" s="2" t="str">
        <f>IF(OR($A38="",$D38="",$E38=""),"",((12.46*$F$21*$J38*$H38)/$F$23)*(($D38*42)/1000)*(1/2000)*(IF($E38="YES",(1-$F$20),1)))</f>
        <v/>
      </c>
      <c r="M38" s="2" t="str">
        <f>IF(OR($A38="",$C38="",$E38=""),"",((12.46*$F$21*$I38*$H38)/$F$22)*(($C38*42)/1000)*(IF($E38="YES",$F$20,0)))</f>
        <v/>
      </c>
      <c r="N38" s="12" t="str">
        <f>IF(OR($A38="",$D38="",$E38=""),"",((12.46*$F$21*$J38*$H38)/$F$23)*(($D38*42)/1000)*(1/2000)*(IF($E38="YES",$F$20,0)))</f>
        <v/>
      </c>
    </row>
    <row r="39" spans="1:14" x14ac:dyDescent="0.2">
      <c r="A39" s="627" t="str">
        <f t="shared" ref="A39:A48" si="4">A38&amp;"A"</f>
        <v>A</v>
      </c>
      <c r="B39" s="628"/>
      <c r="C39" s="77" t="s">
        <v>9360</v>
      </c>
      <c r="D39" s="77" t="s">
        <v>9360</v>
      </c>
      <c r="E39" s="77">
        <f>E38</f>
        <v>0</v>
      </c>
      <c r="F39" s="16" t="str">
        <f>IF($A$38="","",IF(VLOOKUP($A38,Products!$A$59:$H$159,5,FALSE)="","",VLOOKUP($A38,Products!$A$59:$H$159,5,FALSE)))</f>
        <v/>
      </c>
      <c r="G39" s="16" t="str">
        <f>IF($A$38="","",IF(VLOOKUP($A38,Products!$A$59:$H$159,8,FALSE)="","",VLOOKUP($A38,Products!$A$59:$H$159,8,FALSE)))</f>
        <v/>
      </c>
      <c r="H39" s="77" t="s">
        <v>9360</v>
      </c>
      <c r="I39" s="77" t="s">
        <v>9360</v>
      </c>
      <c r="J39" s="77" t="s">
        <v>9360</v>
      </c>
      <c r="K39" s="2" t="str">
        <f>IF($G39="","",K$38*$G39)</f>
        <v/>
      </c>
      <c r="L39" s="2" t="str">
        <f t="shared" ref="L39:N48" si="5">IF($G39="","",L$38*$G39)</f>
        <v/>
      </c>
      <c r="M39" s="2" t="str">
        <f t="shared" si="5"/>
        <v/>
      </c>
      <c r="N39" s="12" t="str">
        <f t="shared" si="5"/>
        <v/>
      </c>
    </row>
    <row r="40" spans="1:14" x14ac:dyDescent="0.2">
      <c r="A40" s="627" t="str">
        <f t="shared" si="4"/>
        <v>AA</v>
      </c>
      <c r="B40" s="628"/>
      <c r="C40" s="77" t="s">
        <v>9360</v>
      </c>
      <c r="D40" s="77" t="s">
        <v>9360</v>
      </c>
      <c r="E40" s="77">
        <f t="shared" ref="E40:E48" si="6">E39</f>
        <v>0</v>
      </c>
      <c r="F40" s="16" t="str">
        <f>IF($A$38="","",IF(VLOOKUP($A39,Products!$A$59:$H$159,5,FALSE)="","",VLOOKUP($A39,Products!$A$59:$H$159,5,FALSE)))</f>
        <v/>
      </c>
      <c r="G40" s="16" t="str">
        <f>IF($A$38="","",IF(VLOOKUP($A39,Products!$A$59:$H$159,8,FALSE)="","",VLOOKUP($A39,Products!$A$59:$H$159,8,FALSE)))</f>
        <v/>
      </c>
      <c r="H40" s="77" t="s">
        <v>9360</v>
      </c>
      <c r="I40" s="77" t="s">
        <v>9360</v>
      </c>
      <c r="J40" s="77" t="s">
        <v>9360</v>
      </c>
      <c r="K40" s="2" t="str">
        <f t="shared" ref="K40:K48" si="7">IF($G40="","",K$38*$G40)</f>
        <v/>
      </c>
      <c r="L40" s="2" t="str">
        <f t="shared" si="5"/>
        <v/>
      </c>
      <c r="M40" s="2" t="str">
        <f t="shared" si="5"/>
        <v/>
      </c>
      <c r="N40" s="12" t="str">
        <f t="shared" si="5"/>
        <v/>
      </c>
    </row>
    <row r="41" spans="1:14" x14ac:dyDescent="0.2">
      <c r="A41" s="627" t="str">
        <f t="shared" si="4"/>
        <v>AAA</v>
      </c>
      <c r="B41" s="628"/>
      <c r="C41" s="77" t="s">
        <v>9360</v>
      </c>
      <c r="D41" s="77" t="s">
        <v>9360</v>
      </c>
      <c r="E41" s="77">
        <f t="shared" si="6"/>
        <v>0</v>
      </c>
      <c r="F41" s="16" t="str">
        <f>IF($A$38="","",IF(VLOOKUP($A40,Products!$A$59:$H$159,5,FALSE)="","",VLOOKUP($A40,Products!$A$59:$H$159,5,FALSE)))</f>
        <v/>
      </c>
      <c r="G41" s="16" t="str">
        <f>IF($A$38="","",IF(VLOOKUP($A40,Products!$A$59:$H$159,8,FALSE)="","",VLOOKUP($A40,Products!$A$59:$H$159,8,FALSE)))</f>
        <v/>
      </c>
      <c r="H41" s="77" t="s">
        <v>9360</v>
      </c>
      <c r="I41" s="77" t="s">
        <v>9360</v>
      </c>
      <c r="J41" s="77" t="s">
        <v>9360</v>
      </c>
      <c r="K41" s="2" t="str">
        <f t="shared" si="7"/>
        <v/>
      </c>
      <c r="L41" s="2" t="str">
        <f t="shared" si="5"/>
        <v/>
      </c>
      <c r="M41" s="2" t="str">
        <f t="shared" si="5"/>
        <v/>
      </c>
      <c r="N41" s="12" t="str">
        <f t="shared" si="5"/>
        <v/>
      </c>
    </row>
    <row r="42" spans="1:14" x14ac:dyDescent="0.2">
      <c r="A42" s="627" t="str">
        <f t="shared" si="4"/>
        <v>AAAA</v>
      </c>
      <c r="B42" s="628"/>
      <c r="C42" s="77" t="s">
        <v>9360</v>
      </c>
      <c r="D42" s="77" t="s">
        <v>9360</v>
      </c>
      <c r="E42" s="77">
        <f t="shared" si="6"/>
        <v>0</v>
      </c>
      <c r="F42" s="16" t="str">
        <f>IF($A$38="","",IF(VLOOKUP($A41,Products!$A$59:$H$159,5,FALSE)="","",VLOOKUP($A41,Products!$A$59:$H$159,5,FALSE)))</f>
        <v/>
      </c>
      <c r="G42" s="16" t="str">
        <f>IF($A$38="","",IF(VLOOKUP($A41,Products!$A$59:$H$159,8,FALSE)="","",VLOOKUP($A41,Products!$A$59:$H$159,8,FALSE)))</f>
        <v/>
      </c>
      <c r="H42" s="77" t="s">
        <v>9360</v>
      </c>
      <c r="I42" s="77" t="s">
        <v>9360</v>
      </c>
      <c r="J42" s="77" t="s">
        <v>9360</v>
      </c>
      <c r="K42" s="2" t="str">
        <f t="shared" si="7"/>
        <v/>
      </c>
      <c r="L42" s="2" t="str">
        <f t="shared" si="5"/>
        <v/>
      </c>
      <c r="M42" s="2" t="str">
        <f t="shared" si="5"/>
        <v/>
      </c>
      <c r="N42" s="12" t="str">
        <f t="shared" si="5"/>
        <v/>
      </c>
    </row>
    <row r="43" spans="1:14" x14ac:dyDescent="0.2">
      <c r="A43" s="627" t="str">
        <f t="shared" si="4"/>
        <v>AAAAA</v>
      </c>
      <c r="B43" s="628"/>
      <c r="C43" s="77" t="s">
        <v>9360</v>
      </c>
      <c r="D43" s="77" t="s">
        <v>9360</v>
      </c>
      <c r="E43" s="77">
        <f t="shared" si="6"/>
        <v>0</v>
      </c>
      <c r="F43" s="16" t="str">
        <f>IF($A$38="","",IF(VLOOKUP($A42,Products!$A$59:$H$159,5,FALSE)="","",VLOOKUP($A42,Products!$A$59:$H$159,5,FALSE)))</f>
        <v/>
      </c>
      <c r="G43" s="16" t="str">
        <f>IF($A$38="","",IF(VLOOKUP($A42,Products!$A$59:$H$159,8,FALSE)="","",VLOOKUP($A42,Products!$A$59:$H$159,8,FALSE)))</f>
        <v/>
      </c>
      <c r="H43" s="77" t="s">
        <v>9360</v>
      </c>
      <c r="I43" s="77" t="s">
        <v>9360</v>
      </c>
      <c r="J43" s="77" t="s">
        <v>9360</v>
      </c>
      <c r="K43" s="2" t="str">
        <f t="shared" si="7"/>
        <v/>
      </c>
      <c r="L43" s="2" t="str">
        <f t="shared" si="5"/>
        <v/>
      </c>
      <c r="M43" s="2" t="str">
        <f t="shared" si="5"/>
        <v/>
      </c>
      <c r="N43" s="12" t="str">
        <f t="shared" si="5"/>
        <v/>
      </c>
    </row>
    <row r="44" spans="1:14" x14ac:dyDescent="0.2">
      <c r="A44" s="627" t="str">
        <f t="shared" si="4"/>
        <v>AAAAAA</v>
      </c>
      <c r="B44" s="628"/>
      <c r="C44" s="77" t="s">
        <v>9360</v>
      </c>
      <c r="D44" s="77" t="s">
        <v>9360</v>
      </c>
      <c r="E44" s="77">
        <f t="shared" si="6"/>
        <v>0</v>
      </c>
      <c r="F44" s="16" t="str">
        <f>IF($A$38="","",IF(VLOOKUP($A43,Products!$A$59:$H$159,5,FALSE)="","",VLOOKUP($A43,Products!$A$59:$H$159,5,FALSE)))</f>
        <v/>
      </c>
      <c r="G44" s="16" t="str">
        <f>IF($A$38="","",IF(VLOOKUP($A43,Products!$A$59:$H$159,8,FALSE)="","",VLOOKUP($A43,Products!$A$59:$H$159,8,FALSE)))</f>
        <v/>
      </c>
      <c r="H44" s="77" t="s">
        <v>9360</v>
      </c>
      <c r="I44" s="77" t="s">
        <v>9360</v>
      </c>
      <c r="J44" s="77" t="s">
        <v>9360</v>
      </c>
      <c r="K44" s="2" t="str">
        <f t="shared" si="7"/>
        <v/>
      </c>
      <c r="L44" s="2" t="str">
        <f t="shared" si="5"/>
        <v/>
      </c>
      <c r="M44" s="2" t="str">
        <f t="shared" si="5"/>
        <v/>
      </c>
      <c r="N44" s="12" t="str">
        <f t="shared" si="5"/>
        <v/>
      </c>
    </row>
    <row r="45" spans="1:14" x14ac:dyDescent="0.2">
      <c r="A45" s="627" t="str">
        <f t="shared" si="4"/>
        <v>AAAAAAA</v>
      </c>
      <c r="B45" s="628"/>
      <c r="C45" s="77" t="s">
        <v>9360</v>
      </c>
      <c r="D45" s="77" t="s">
        <v>9360</v>
      </c>
      <c r="E45" s="77">
        <f t="shared" si="6"/>
        <v>0</v>
      </c>
      <c r="F45" s="16" t="str">
        <f>IF($A$38="","",IF(VLOOKUP($A44,Products!$A$59:$H$159,5,FALSE)="","",VLOOKUP($A44,Products!$A$59:$H$159,5,FALSE)))</f>
        <v/>
      </c>
      <c r="G45" s="16" t="str">
        <f>IF($A$38="","",IF(VLOOKUP($A44,Products!$A$59:$H$159,8,FALSE)="","",VLOOKUP($A44,Products!$A$59:$H$159,8,FALSE)))</f>
        <v/>
      </c>
      <c r="H45" s="77" t="s">
        <v>9360</v>
      </c>
      <c r="I45" s="77" t="s">
        <v>9360</v>
      </c>
      <c r="J45" s="77" t="s">
        <v>9360</v>
      </c>
      <c r="K45" s="2" t="str">
        <f t="shared" si="7"/>
        <v/>
      </c>
      <c r="L45" s="2" t="str">
        <f t="shared" si="5"/>
        <v/>
      </c>
      <c r="M45" s="2" t="str">
        <f t="shared" si="5"/>
        <v/>
      </c>
      <c r="N45" s="12" t="str">
        <f t="shared" si="5"/>
        <v/>
      </c>
    </row>
    <row r="46" spans="1:14" x14ac:dyDescent="0.2">
      <c r="A46" s="627" t="str">
        <f t="shared" si="4"/>
        <v>AAAAAAAA</v>
      </c>
      <c r="B46" s="628"/>
      <c r="C46" s="77" t="s">
        <v>9360</v>
      </c>
      <c r="D46" s="77" t="s">
        <v>9360</v>
      </c>
      <c r="E46" s="77">
        <f t="shared" si="6"/>
        <v>0</v>
      </c>
      <c r="F46" s="16" t="str">
        <f>IF($A$38="","",IF(VLOOKUP($A45,Products!$A$59:$H$159,5,FALSE)="","",VLOOKUP($A45,Products!$A$59:$H$159,5,FALSE)))</f>
        <v/>
      </c>
      <c r="G46" s="16" t="str">
        <f>IF($A$38="","",IF(VLOOKUP($A45,Products!$A$59:$H$159,8,FALSE)="","",VLOOKUP($A45,Products!$A$59:$H$159,8,FALSE)))</f>
        <v/>
      </c>
      <c r="H46" s="77" t="s">
        <v>9360</v>
      </c>
      <c r="I46" s="77" t="s">
        <v>9360</v>
      </c>
      <c r="J46" s="77" t="s">
        <v>9360</v>
      </c>
      <c r="K46" s="2" t="str">
        <f t="shared" si="7"/>
        <v/>
      </c>
      <c r="L46" s="2" t="str">
        <f t="shared" si="5"/>
        <v/>
      </c>
      <c r="M46" s="2" t="str">
        <f t="shared" si="5"/>
        <v/>
      </c>
      <c r="N46" s="12" t="str">
        <f t="shared" si="5"/>
        <v/>
      </c>
    </row>
    <row r="47" spans="1:14" x14ac:dyDescent="0.2">
      <c r="A47" s="627" t="str">
        <f t="shared" si="4"/>
        <v>AAAAAAAAA</v>
      </c>
      <c r="B47" s="628"/>
      <c r="C47" s="77" t="s">
        <v>9360</v>
      </c>
      <c r="D47" s="77" t="s">
        <v>9360</v>
      </c>
      <c r="E47" s="77">
        <f t="shared" si="6"/>
        <v>0</v>
      </c>
      <c r="F47" s="16" t="str">
        <f>IF($A$38="","",IF(VLOOKUP($A46,Products!$A$59:$H$159,5,FALSE)="","",VLOOKUP($A46,Products!$A$59:$H$159,5,FALSE)))</f>
        <v/>
      </c>
      <c r="G47" s="16" t="str">
        <f>IF($A$38="","",IF(VLOOKUP($A46,Products!$A$59:$H$159,8,FALSE)="","",VLOOKUP($A46,Products!$A$59:$H$159,8,FALSE)))</f>
        <v/>
      </c>
      <c r="H47" s="77" t="s">
        <v>9360</v>
      </c>
      <c r="I47" s="77" t="s">
        <v>9360</v>
      </c>
      <c r="J47" s="77" t="s">
        <v>9360</v>
      </c>
      <c r="K47" s="2" t="str">
        <f t="shared" si="7"/>
        <v/>
      </c>
      <c r="L47" s="2" t="str">
        <f t="shared" si="5"/>
        <v/>
      </c>
      <c r="M47" s="2" t="str">
        <f t="shared" si="5"/>
        <v/>
      </c>
      <c r="N47" s="12" t="str">
        <f t="shared" si="5"/>
        <v/>
      </c>
    </row>
    <row r="48" spans="1:14" x14ac:dyDescent="0.2">
      <c r="A48" s="627" t="str">
        <f t="shared" si="4"/>
        <v>AAAAAAAAAA</v>
      </c>
      <c r="B48" s="628"/>
      <c r="C48" s="77" t="s">
        <v>9360</v>
      </c>
      <c r="D48" s="77" t="s">
        <v>9360</v>
      </c>
      <c r="E48" s="77">
        <f t="shared" si="6"/>
        <v>0</v>
      </c>
      <c r="F48" s="16" t="str">
        <f>IF($A$38="","",IF(VLOOKUP($A47,Products!$A$59:$H$159,5,FALSE)="","",VLOOKUP($A47,Products!$A$59:$H$159,5,FALSE)))</f>
        <v/>
      </c>
      <c r="G48" s="16" t="str">
        <f>IF($A$38="","",IF(VLOOKUP($A47,Products!$A$59:$H$159,8,FALSE)="","",VLOOKUP($A47,Products!$A$59:$H$159,8,FALSE)))</f>
        <v/>
      </c>
      <c r="H48" s="77" t="s">
        <v>9360</v>
      </c>
      <c r="I48" s="77" t="s">
        <v>9360</v>
      </c>
      <c r="J48" s="77" t="s">
        <v>9360</v>
      </c>
      <c r="K48" s="2" t="str">
        <f t="shared" si="7"/>
        <v/>
      </c>
      <c r="L48" s="2" t="str">
        <f t="shared" si="5"/>
        <v/>
      </c>
      <c r="M48" s="2" t="str">
        <f t="shared" si="5"/>
        <v/>
      </c>
      <c r="N48" s="12" t="str">
        <f t="shared" si="5"/>
        <v/>
      </c>
    </row>
    <row r="49" spans="1:14" x14ac:dyDescent="0.2">
      <c r="A49" s="651"/>
      <c r="B49" s="615"/>
      <c r="C49" s="41"/>
      <c r="D49" s="41"/>
      <c r="E49" s="41"/>
      <c r="F49" s="16" t="s">
        <v>291</v>
      </c>
      <c r="G49" s="16">
        <v>1</v>
      </c>
      <c r="H49" s="16" t="str">
        <f>IF(A49="","",IF(VLOOKUP($A49,Products!$A$59:$H$159,2,FALSE)="","",VLOOKUP($A49,Products!$A$59:$H$159,2,FALSE)))</f>
        <v/>
      </c>
      <c r="I49" s="16" t="str">
        <f>IF(A49="","",IF(VLOOKUP($A49,Products!$A$59:$H$159,3,FALSE)="","",VLOOKUP($A49,Products!$A$59:$H$159,3,FALSE)))</f>
        <v/>
      </c>
      <c r="J49" s="16" t="str">
        <f>IF(A49="","",IF(VLOOKUP($A49,Products!$A$59:$H$159,4,FALSE)="","",VLOOKUP($A49,Products!$A$59:$H$159,4,FALSE)))</f>
        <v/>
      </c>
      <c r="K49" s="2" t="str">
        <f>IF(OR($A49="",C49="",$E49=""),"",((12.46*$F$21*$I49*$H49)/$F$22)*((C49*42)/1000)*(IF($E49="YES",(1-$F$20),1)))</f>
        <v/>
      </c>
      <c r="L49" s="2" t="str">
        <f>IF(OR($A49="",$D49="",$E49=""),"",((12.46*$F$21*$J49*$H49)/$F$23)*(($D49*42)/1000)*(1/2000)*(IF($E49="YES",(1-$F$20),1)))</f>
        <v/>
      </c>
      <c r="M49" s="2" t="str">
        <f>IF(OR($A49="",$C49="",$E49=""),"",((12.46*$F$21*$I49*$H49)/$F$22)*(($C49*42)/1000)*(IF($E49="YES",$F$20,0)))</f>
        <v/>
      </c>
      <c r="N49" s="12" t="str">
        <f>IF(OR($A49="",$D49="",$E49=""),"",((12.46*$F$21*$J49*$H49)/$F$23)*(($D49*42)/1000)*(1/2000)*(IF($E49="YES",$F$20,0)))</f>
        <v/>
      </c>
    </row>
    <row r="50" spans="1:14" x14ac:dyDescent="0.2">
      <c r="A50" s="627" t="str">
        <f t="shared" ref="A50:A59" si="8">A49&amp;"A"</f>
        <v>A</v>
      </c>
      <c r="B50" s="628"/>
      <c r="C50" s="77" t="s">
        <v>9360</v>
      </c>
      <c r="D50" s="77" t="s">
        <v>9360</v>
      </c>
      <c r="E50" s="77">
        <f>E49</f>
        <v>0</v>
      </c>
      <c r="F50" s="16" t="str">
        <f>IF($A$49="","",IF(VLOOKUP($A49,Products!$A$59:$H$159,5,FALSE)="","",VLOOKUP($A49,Products!$A$59:$H$159,5,FALSE)))</f>
        <v/>
      </c>
      <c r="G50" s="16" t="str">
        <f>IF($A$49="","",IF(VLOOKUP($A49,Products!$A$59:$H$159,8,FALSE)="","",VLOOKUP($A49,Products!$A$59:$H$159,8,FALSE)))</f>
        <v/>
      </c>
      <c r="H50" s="77" t="s">
        <v>9360</v>
      </c>
      <c r="I50" s="77" t="s">
        <v>9360</v>
      </c>
      <c r="J50" s="77" t="s">
        <v>9360</v>
      </c>
      <c r="K50" s="2" t="str">
        <f>IF($G50="","",K$49*$G50)</f>
        <v/>
      </c>
      <c r="L50" s="2" t="str">
        <f>IF($G50="","",L$49*$G50)</f>
        <v/>
      </c>
      <c r="M50" s="2" t="str">
        <f>IF($G50="","",M$49*$G50)</f>
        <v/>
      </c>
      <c r="N50" s="12" t="str">
        <f>IF($G50="","",N$49*$G50)</f>
        <v/>
      </c>
    </row>
    <row r="51" spans="1:14" x14ac:dyDescent="0.2">
      <c r="A51" s="627" t="str">
        <f t="shared" si="8"/>
        <v>AA</v>
      </c>
      <c r="B51" s="628"/>
      <c r="C51" s="77" t="s">
        <v>9360</v>
      </c>
      <c r="D51" s="77" t="s">
        <v>9360</v>
      </c>
      <c r="E51" s="77">
        <f t="shared" ref="E51:E59" si="9">E50</f>
        <v>0</v>
      </c>
      <c r="F51" s="16" t="str">
        <f>IF($A$49="","",IF(VLOOKUP($A50,Products!$A$59:$H$159,5,FALSE)="","",VLOOKUP($A50,Products!$A$59:$H$159,5,FALSE)))</f>
        <v/>
      </c>
      <c r="G51" s="16" t="str">
        <f>IF($A$49="","",IF(VLOOKUP($A50,Products!$A$59:$H$159,8,FALSE)="","",VLOOKUP($A50,Products!$A$59:$H$159,8,FALSE)))</f>
        <v/>
      </c>
      <c r="H51" s="77" t="s">
        <v>9360</v>
      </c>
      <c r="I51" s="77" t="s">
        <v>9360</v>
      </c>
      <c r="J51" s="77" t="s">
        <v>9360</v>
      </c>
      <c r="K51" s="2" t="str">
        <f t="shared" ref="K51:N59" si="10">IF($G51="","",K$49*$G51)</f>
        <v/>
      </c>
      <c r="L51" s="2" t="str">
        <f t="shared" si="10"/>
        <v/>
      </c>
      <c r="M51" s="2" t="str">
        <f t="shared" si="10"/>
        <v/>
      </c>
      <c r="N51" s="12" t="str">
        <f t="shared" si="10"/>
        <v/>
      </c>
    </row>
    <row r="52" spans="1:14" x14ac:dyDescent="0.2">
      <c r="A52" s="627" t="str">
        <f t="shared" si="8"/>
        <v>AAA</v>
      </c>
      <c r="B52" s="628"/>
      <c r="C52" s="77" t="s">
        <v>9360</v>
      </c>
      <c r="D52" s="77" t="s">
        <v>9360</v>
      </c>
      <c r="E52" s="77">
        <f t="shared" si="9"/>
        <v>0</v>
      </c>
      <c r="F52" s="16" t="str">
        <f>IF($A$49="","",IF(VLOOKUP($A51,Products!$A$59:$H$159,5,FALSE)="","",VLOOKUP($A51,Products!$A$59:$H$159,5,FALSE)))</f>
        <v/>
      </c>
      <c r="G52" s="16" t="str">
        <f>IF($A$49="","",IF(VLOOKUP($A51,Products!$A$59:$H$159,8,FALSE)="","",VLOOKUP($A51,Products!$A$59:$H$159,8,FALSE)))</f>
        <v/>
      </c>
      <c r="H52" s="77" t="s">
        <v>9360</v>
      </c>
      <c r="I52" s="77" t="s">
        <v>9360</v>
      </c>
      <c r="J52" s="77" t="s">
        <v>9360</v>
      </c>
      <c r="K52" s="2" t="str">
        <f t="shared" si="10"/>
        <v/>
      </c>
      <c r="L52" s="2" t="str">
        <f t="shared" si="10"/>
        <v/>
      </c>
      <c r="M52" s="2" t="str">
        <f t="shared" si="10"/>
        <v/>
      </c>
      <c r="N52" s="12" t="str">
        <f t="shared" si="10"/>
        <v/>
      </c>
    </row>
    <row r="53" spans="1:14" x14ac:dyDescent="0.2">
      <c r="A53" s="627" t="str">
        <f t="shared" si="8"/>
        <v>AAAA</v>
      </c>
      <c r="B53" s="628"/>
      <c r="C53" s="77" t="s">
        <v>9360</v>
      </c>
      <c r="D53" s="77" t="s">
        <v>9360</v>
      </c>
      <c r="E53" s="77">
        <f t="shared" si="9"/>
        <v>0</v>
      </c>
      <c r="F53" s="16" t="str">
        <f>IF($A$49="","",IF(VLOOKUP($A52,Products!$A$59:$H$159,5,FALSE)="","",VLOOKUP($A52,Products!$A$59:$H$159,5,FALSE)))</f>
        <v/>
      </c>
      <c r="G53" s="16" t="str">
        <f>IF($A$49="","",IF(VLOOKUP($A52,Products!$A$59:$H$159,8,FALSE)="","",VLOOKUP($A52,Products!$A$59:$H$159,8,FALSE)))</f>
        <v/>
      </c>
      <c r="H53" s="77" t="s">
        <v>9360</v>
      </c>
      <c r="I53" s="77" t="s">
        <v>9360</v>
      </c>
      <c r="J53" s="77" t="s">
        <v>9360</v>
      </c>
      <c r="K53" s="2" t="str">
        <f t="shared" si="10"/>
        <v/>
      </c>
      <c r="L53" s="2" t="str">
        <f t="shared" si="10"/>
        <v/>
      </c>
      <c r="M53" s="2" t="str">
        <f t="shared" si="10"/>
        <v/>
      </c>
      <c r="N53" s="12" t="str">
        <f t="shared" si="10"/>
        <v/>
      </c>
    </row>
    <row r="54" spans="1:14" x14ac:dyDescent="0.2">
      <c r="A54" s="627" t="str">
        <f t="shared" si="8"/>
        <v>AAAAA</v>
      </c>
      <c r="B54" s="628"/>
      <c r="C54" s="77" t="s">
        <v>9360</v>
      </c>
      <c r="D54" s="77" t="s">
        <v>9360</v>
      </c>
      <c r="E54" s="77">
        <f t="shared" si="9"/>
        <v>0</v>
      </c>
      <c r="F54" s="16" t="str">
        <f>IF($A$49="","",IF(VLOOKUP($A53,Products!$A$59:$H$159,5,FALSE)="","",VLOOKUP($A53,Products!$A$59:$H$159,5,FALSE)))</f>
        <v/>
      </c>
      <c r="G54" s="16" t="str">
        <f>IF($A$49="","",IF(VLOOKUP($A53,Products!$A$59:$H$159,8,FALSE)="","",VLOOKUP($A53,Products!$A$59:$H$159,8,FALSE)))</f>
        <v/>
      </c>
      <c r="H54" s="77" t="s">
        <v>9360</v>
      </c>
      <c r="I54" s="77" t="s">
        <v>9360</v>
      </c>
      <c r="J54" s="77" t="s">
        <v>9360</v>
      </c>
      <c r="K54" s="2" t="str">
        <f t="shared" si="10"/>
        <v/>
      </c>
      <c r="L54" s="2" t="str">
        <f t="shared" si="10"/>
        <v/>
      </c>
      <c r="M54" s="2" t="str">
        <f t="shared" si="10"/>
        <v/>
      </c>
      <c r="N54" s="12" t="str">
        <f t="shared" si="10"/>
        <v/>
      </c>
    </row>
    <row r="55" spans="1:14" x14ac:dyDescent="0.2">
      <c r="A55" s="627" t="str">
        <f t="shared" si="8"/>
        <v>AAAAAA</v>
      </c>
      <c r="B55" s="628"/>
      <c r="C55" s="77" t="s">
        <v>9360</v>
      </c>
      <c r="D55" s="77" t="s">
        <v>9360</v>
      </c>
      <c r="E55" s="77">
        <f t="shared" si="9"/>
        <v>0</v>
      </c>
      <c r="F55" s="16" t="str">
        <f>IF($A$49="","",IF(VLOOKUP($A54,Products!$A$59:$H$159,5,FALSE)="","",VLOOKUP($A54,Products!$A$59:$H$159,5,FALSE)))</f>
        <v/>
      </c>
      <c r="G55" s="16" t="str">
        <f>IF($A$49="","",IF(VLOOKUP($A54,Products!$A$59:$H$159,8,FALSE)="","",VLOOKUP($A54,Products!$A$59:$H$159,8,FALSE)))</f>
        <v/>
      </c>
      <c r="H55" s="77" t="s">
        <v>9360</v>
      </c>
      <c r="I55" s="77" t="s">
        <v>9360</v>
      </c>
      <c r="J55" s="77" t="s">
        <v>9360</v>
      </c>
      <c r="K55" s="2" t="str">
        <f t="shared" si="10"/>
        <v/>
      </c>
      <c r="L55" s="2" t="str">
        <f t="shared" si="10"/>
        <v/>
      </c>
      <c r="M55" s="2" t="str">
        <f t="shared" si="10"/>
        <v/>
      </c>
      <c r="N55" s="12" t="str">
        <f t="shared" si="10"/>
        <v/>
      </c>
    </row>
    <row r="56" spans="1:14" x14ac:dyDescent="0.2">
      <c r="A56" s="627" t="str">
        <f t="shared" si="8"/>
        <v>AAAAAAA</v>
      </c>
      <c r="B56" s="628"/>
      <c r="C56" s="77" t="s">
        <v>9360</v>
      </c>
      <c r="D56" s="77" t="s">
        <v>9360</v>
      </c>
      <c r="E56" s="77">
        <f t="shared" si="9"/>
        <v>0</v>
      </c>
      <c r="F56" s="16" t="str">
        <f>IF($A$49="","",IF(VLOOKUP($A55,Products!$A$59:$H$159,5,FALSE)="","",VLOOKUP($A55,Products!$A$59:$H$159,5,FALSE)))</f>
        <v/>
      </c>
      <c r="G56" s="16" t="str">
        <f>IF($A$49="","",IF(VLOOKUP($A55,Products!$A$59:$H$159,8,FALSE)="","",VLOOKUP($A55,Products!$A$59:$H$159,8,FALSE)))</f>
        <v/>
      </c>
      <c r="H56" s="77" t="s">
        <v>9360</v>
      </c>
      <c r="I56" s="77" t="s">
        <v>9360</v>
      </c>
      <c r="J56" s="77" t="s">
        <v>9360</v>
      </c>
      <c r="K56" s="2" t="str">
        <f t="shared" si="10"/>
        <v/>
      </c>
      <c r="L56" s="2" t="str">
        <f t="shared" si="10"/>
        <v/>
      </c>
      <c r="M56" s="2" t="str">
        <f t="shared" si="10"/>
        <v/>
      </c>
      <c r="N56" s="12" t="str">
        <f t="shared" si="10"/>
        <v/>
      </c>
    </row>
    <row r="57" spans="1:14" x14ac:dyDescent="0.2">
      <c r="A57" s="627" t="str">
        <f t="shared" si="8"/>
        <v>AAAAAAAA</v>
      </c>
      <c r="B57" s="628"/>
      <c r="C57" s="77" t="s">
        <v>9360</v>
      </c>
      <c r="D57" s="77" t="s">
        <v>9360</v>
      </c>
      <c r="E57" s="77">
        <f t="shared" si="9"/>
        <v>0</v>
      </c>
      <c r="F57" s="16" t="str">
        <f>IF($A$49="","",IF(VLOOKUP($A56,Products!$A$59:$H$159,5,FALSE)="","",VLOOKUP($A56,Products!$A$59:$H$159,5,FALSE)))</f>
        <v/>
      </c>
      <c r="G57" s="16" t="str">
        <f>IF($A$49="","",IF(VLOOKUP($A56,Products!$A$59:$H$159,8,FALSE)="","",VLOOKUP($A56,Products!$A$59:$H$159,8,FALSE)))</f>
        <v/>
      </c>
      <c r="H57" s="77" t="s">
        <v>9360</v>
      </c>
      <c r="I57" s="77" t="s">
        <v>9360</v>
      </c>
      <c r="J57" s="77" t="s">
        <v>9360</v>
      </c>
      <c r="K57" s="2" t="str">
        <f t="shared" si="10"/>
        <v/>
      </c>
      <c r="L57" s="2" t="str">
        <f t="shared" si="10"/>
        <v/>
      </c>
      <c r="M57" s="2" t="str">
        <f t="shared" si="10"/>
        <v/>
      </c>
      <c r="N57" s="12" t="str">
        <f t="shared" si="10"/>
        <v/>
      </c>
    </row>
    <row r="58" spans="1:14" x14ac:dyDescent="0.2">
      <c r="A58" s="627" t="str">
        <f t="shared" si="8"/>
        <v>AAAAAAAAA</v>
      </c>
      <c r="B58" s="628"/>
      <c r="C58" s="77" t="s">
        <v>9360</v>
      </c>
      <c r="D58" s="77" t="s">
        <v>9360</v>
      </c>
      <c r="E58" s="77">
        <f t="shared" si="9"/>
        <v>0</v>
      </c>
      <c r="F58" s="16" t="str">
        <f>IF($A$49="","",IF(VLOOKUP($A57,Products!$A$59:$H$159,5,FALSE)="","",VLOOKUP($A57,Products!$A$59:$H$159,5,FALSE)))</f>
        <v/>
      </c>
      <c r="G58" s="16" t="str">
        <f>IF($A$49="","",IF(VLOOKUP($A57,Products!$A$59:$H$159,8,FALSE)="","",VLOOKUP($A57,Products!$A$59:$H$159,8,FALSE)))</f>
        <v/>
      </c>
      <c r="H58" s="77" t="s">
        <v>9360</v>
      </c>
      <c r="I58" s="77" t="s">
        <v>9360</v>
      </c>
      <c r="J58" s="77" t="s">
        <v>9360</v>
      </c>
      <c r="K58" s="2" t="str">
        <f t="shared" si="10"/>
        <v/>
      </c>
      <c r="L58" s="2" t="str">
        <f t="shared" si="10"/>
        <v/>
      </c>
      <c r="M58" s="2" t="str">
        <f t="shared" si="10"/>
        <v/>
      </c>
      <c r="N58" s="12" t="str">
        <f t="shared" si="10"/>
        <v/>
      </c>
    </row>
    <row r="59" spans="1:14" x14ac:dyDescent="0.2">
      <c r="A59" s="627" t="str">
        <f t="shared" si="8"/>
        <v>AAAAAAAAAA</v>
      </c>
      <c r="B59" s="628"/>
      <c r="C59" s="77" t="s">
        <v>9360</v>
      </c>
      <c r="D59" s="77" t="s">
        <v>9360</v>
      </c>
      <c r="E59" s="77">
        <f t="shared" si="9"/>
        <v>0</v>
      </c>
      <c r="F59" s="16" t="str">
        <f>IF($A$49="","",IF(VLOOKUP($A58,Products!$A$59:$H$159,5,FALSE)="","",VLOOKUP($A58,Products!$A$59:$H$159,5,FALSE)))</f>
        <v/>
      </c>
      <c r="G59" s="16" t="str">
        <f>IF($A$49="","",IF(VLOOKUP($A58,Products!$A$59:$H$159,8,FALSE)="","",VLOOKUP($A58,Products!$A$59:$H$159,8,FALSE)))</f>
        <v/>
      </c>
      <c r="H59" s="77" t="s">
        <v>9360</v>
      </c>
      <c r="I59" s="77" t="s">
        <v>9360</v>
      </c>
      <c r="J59" s="77" t="s">
        <v>9360</v>
      </c>
      <c r="K59" s="2" t="str">
        <f t="shared" si="10"/>
        <v/>
      </c>
      <c r="L59" s="2" t="str">
        <f t="shared" si="10"/>
        <v/>
      </c>
      <c r="M59" s="2" t="str">
        <f t="shared" si="10"/>
        <v/>
      </c>
      <c r="N59" s="12" t="str">
        <f t="shared" si="10"/>
        <v/>
      </c>
    </row>
    <row r="60" spans="1:14" x14ac:dyDescent="0.2">
      <c r="A60" s="651"/>
      <c r="B60" s="615"/>
      <c r="C60" s="41"/>
      <c r="D60" s="41"/>
      <c r="E60" s="41"/>
      <c r="F60" s="16" t="s">
        <v>291</v>
      </c>
      <c r="G60" s="16">
        <v>1</v>
      </c>
      <c r="H60" s="16" t="str">
        <f>IF(A60="","",IF(VLOOKUP($A60,Products!$A$59:$H$159,2,FALSE)="","",VLOOKUP($A60,Products!$A$59:$H$159,2,FALSE)))</f>
        <v/>
      </c>
      <c r="I60" s="16" t="str">
        <f>IF(A60="","",IF(VLOOKUP($A60,Products!$A$59:$H$159,3,FALSE)="","",VLOOKUP($A60,Products!$A$59:$H$159,3,FALSE)))</f>
        <v/>
      </c>
      <c r="J60" s="16" t="str">
        <f>IF(A60="","",IF(VLOOKUP($A60,Products!$A$59:$H$159,4,FALSE)="","",VLOOKUP($A60,Products!$A$59:$H$159,4,FALSE)))</f>
        <v/>
      </c>
      <c r="K60" s="2" t="str">
        <f>IF(OR($A60="",C60="",$E60=""),"",((12.46*$F$21*$I60*$H60)/$F$22)*((C60*42)/1000)*(IF($E60="YES",(1-$F$20),1)))</f>
        <v/>
      </c>
      <c r="L60" s="2" t="str">
        <f>IF(OR($A60="",$D60="",$E60=""),"",((12.46*$F$21*$J60*$H60)/$F$23)*(($D60*42)/1000)*(1/2000)*(IF($E60="YES",(1-$F$20),1)))</f>
        <v/>
      </c>
      <c r="M60" s="2" t="str">
        <f>IF(OR($A60="",$C60="",$E60=""),"",((12.46*$F$21*$I60*$H60)/$F$22)*(($C60*42)/1000)*(IF($E60="YES",$F$20,0)))</f>
        <v/>
      </c>
      <c r="N60" s="12" t="str">
        <f>IF(OR($A60="",$D60="",$E60=""),"",((12.46*$F$21*$J60*$H60)/$F$23)*(($D60*42)/1000)*(1/2000)*(IF($E60="YES",$F$20,0)))</f>
        <v/>
      </c>
    </row>
    <row r="61" spans="1:14" x14ac:dyDescent="0.2">
      <c r="A61" s="627" t="str">
        <f t="shared" ref="A61:A70" si="11">A60&amp;"A"</f>
        <v>A</v>
      </c>
      <c r="B61" s="628"/>
      <c r="C61" s="77" t="s">
        <v>9360</v>
      </c>
      <c r="D61" s="77" t="s">
        <v>9360</v>
      </c>
      <c r="E61" s="77">
        <f>E60</f>
        <v>0</v>
      </c>
      <c r="F61" s="16" t="str">
        <f>IF($A$60="","",IF(VLOOKUP($A60,Products!$A$59:$H$159,5,FALSE)="","",VLOOKUP($A60,Products!$A$59:$H$159,5,FALSE)))</f>
        <v/>
      </c>
      <c r="G61" s="16" t="str">
        <f>IF($A$60="","",IF(VLOOKUP($A60,Products!$A$59:$H$159,8,FALSE)="","",VLOOKUP($A60,Products!$A$59:$H$159,8,FALSE)))</f>
        <v/>
      </c>
      <c r="H61" s="77" t="s">
        <v>9360</v>
      </c>
      <c r="I61" s="77" t="s">
        <v>9360</v>
      </c>
      <c r="J61" s="77" t="s">
        <v>9360</v>
      </c>
      <c r="K61" s="2" t="str">
        <f>IF($G61="","",K$60*$G61)</f>
        <v/>
      </c>
      <c r="L61" s="2" t="str">
        <f t="shared" ref="L61:N70" si="12">IF($G61="","",L$60*$G61)</f>
        <v/>
      </c>
      <c r="M61" s="2" t="str">
        <f>IF($G61="","",M$60*$G61)</f>
        <v/>
      </c>
      <c r="N61" s="12" t="str">
        <f>IF($G61="","",N$60*$G61)</f>
        <v/>
      </c>
    </row>
    <row r="62" spans="1:14" x14ac:dyDescent="0.2">
      <c r="A62" s="627" t="str">
        <f t="shared" si="11"/>
        <v>AA</v>
      </c>
      <c r="B62" s="628"/>
      <c r="C62" s="77" t="s">
        <v>9360</v>
      </c>
      <c r="D62" s="77" t="s">
        <v>9360</v>
      </c>
      <c r="E62" s="77">
        <f t="shared" ref="E62:E70" si="13">E61</f>
        <v>0</v>
      </c>
      <c r="F62" s="16" t="str">
        <f>IF($A$60="","",IF(VLOOKUP($A61,Products!$A$59:$H$159,5,FALSE)="","",VLOOKUP($A61,Products!$A$59:$H$159,5,FALSE)))</f>
        <v/>
      </c>
      <c r="G62" s="16" t="str">
        <f>IF($A$60="","",IF(VLOOKUP($A61,Products!$A$59:$H$159,8,FALSE)="","",VLOOKUP($A61,Products!$A$59:$H$159,8,FALSE)))</f>
        <v/>
      </c>
      <c r="H62" s="77" t="s">
        <v>9360</v>
      </c>
      <c r="I62" s="77" t="s">
        <v>9360</v>
      </c>
      <c r="J62" s="77" t="s">
        <v>9360</v>
      </c>
      <c r="K62" s="2" t="str">
        <f t="shared" ref="K62:K70" si="14">IF($G62="","",K$60*$G62)</f>
        <v/>
      </c>
      <c r="L62" s="2" t="str">
        <f t="shared" si="12"/>
        <v/>
      </c>
      <c r="M62" s="2" t="str">
        <f t="shared" si="12"/>
        <v/>
      </c>
      <c r="N62" s="12" t="str">
        <f t="shared" si="12"/>
        <v/>
      </c>
    </row>
    <row r="63" spans="1:14" x14ac:dyDescent="0.2">
      <c r="A63" s="627" t="str">
        <f t="shared" si="11"/>
        <v>AAA</v>
      </c>
      <c r="B63" s="628"/>
      <c r="C63" s="77" t="s">
        <v>9360</v>
      </c>
      <c r="D63" s="77" t="s">
        <v>9360</v>
      </c>
      <c r="E63" s="77">
        <f t="shared" si="13"/>
        <v>0</v>
      </c>
      <c r="F63" s="16" t="str">
        <f>IF($A$60="","",IF(VLOOKUP($A62,Products!$A$59:$H$159,5,FALSE)="","",VLOOKUP($A62,Products!$A$59:$H$159,5,FALSE)))</f>
        <v/>
      </c>
      <c r="G63" s="16" t="str">
        <f>IF($A$60="","",IF(VLOOKUP($A62,Products!$A$59:$H$159,8,FALSE)="","",VLOOKUP($A62,Products!$A$59:$H$159,8,FALSE)))</f>
        <v/>
      </c>
      <c r="H63" s="77" t="s">
        <v>9360</v>
      </c>
      <c r="I63" s="77" t="s">
        <v>9360</v>
      </c>
      <c r="J63" s="77" t="s">
        <v>9360</v>
      </c>
      <c r="K63" s="2" t="str">
        <f t="shared" si="14"/>
        <v/>
      </c>
      <c r="L63" s="2" t="str">
        <f t="shared" si="12"/>
        <v/>
      </c>
      <c r="M63" s="2" t="str">
        <f t="shared" si="12"/>
        <v/>
      </c>
      <c r="N63" s="12" t="str">
        <f t="shared" si="12"/>
        <v/>
      </c>
    </row>
    <row r="64" spans="1:14" x14ac:dyDescent="0.2">
      <c r="A64" s="627" t="str">
        <f t="shared" si="11"/>
        <v>AAAA</v>
      </c>
      <c r="B64" s="628"/>
      <c r="C64" s="77" t="s">
        <v>9360</v>
      </c>
      <c r="D64" s="77" t="s">
        <v>9360</v>
      </c>
      <c r="E64" s="77">
        <f t="shared" si="13"/>
        <v>0</v>
      </c>
      <c r="F64" s="16" t="str">
        <f>IF($A$60="","",IF(VLOOKUP($A63,Products!$A$59:$H$159,5,FALSE)="","",VLOOKUP($A63,Products!$A$59:$H$159,5,FALSE)))</f>
        <v/>
      </c>
      <c r="G64" s="16" t="str">
        <f>IF($A$60="","",IF(VLOOKUP($A63,Products!$A$59:$H$159,8,FALSE)="","",VLOOKUP($A63,Products!$A$59:$H$159,8,FALSE)))</f>
        <v/>
      </c>
      <c r="H64" s="77" t="s">
        <v>9360</v>
      </c>
      <c r="I64" s="77" t="s">
        <v>9360</v>
      </c>
      <c r="J64" s="77" t="s">
        <v>9360</v>
      </c>
      <c r="K64" s="2" t="str">
        <f t="shared" si="14"/>
        <v/>
      </c>
      <c r="L64" s="2" t="str">
        <f t="shared" si="12"/>
        <v/>
      </c>
      <c r="M64" s="2" t="str">
        <f t="shared" si="12"/>
        <v/>
      </c>
      <c r="N64" s="12" t="str">
        <f t="shared" si="12"/>
        <v/>
      </c>
    </row>
    <row r="65" spans="1:14" x14ac:dyDescent="0.2">
      <c r="A65" s="627" t="str">
        <f t="shared" si="11"/>
        <v>AAAAA</v>
      </c>
      <c r="B65" s="628"/>
      <c r="C65" s="77" t="s">
        <v>9360</v>
      </c>
      <c r="D65" s="77" t="s">
        <v>9360</v>
      </c>
      <c r="E65" s="77">
        <f t="shared" si="13"/>
        <v>0</v>
      </c>
      <c r="F65" s="16" t="str">
        <f>IF($A$60="","",IF(VLOOKUP($A64,Products!$A$59:$H$159,5,FALSE)="","",VLOOKUP($A64,Products!$A$59:$H$159,5,FALSE)))</f>
        <v/>
      </c>
      <c r="G65" s="16" t="str">
        <f>IF($A$60="","",IF(VLOOKUP($A64,Products!$A$59:$H$159,8,FALSE)="","",VLOOKUP($A64,Products!$A$59:$H$159,8,FALSE)))</f>
        <v/>
      </c>
      <c r="H65" s="77" t="s">
        <v>9360</v>
      </c>
      <c r="I65" s="77" t="s">
        <v>9360</v>
      </c>
      <c r="J65" s="77" t="s">
        <v>9360</v>
      </c>
      <c r="K65" s="2" t="str">
        <f t="shared" si="14"/>
        <v/>
      </c>
      <c r="L65" s="2" t="str">
        <f t="shared" si="12"/>
        <v/>
      </c>
      <c r="M65" s="2" t="str">
        <f t="shared" si="12"/>
        <v/>
      </c>
      <c r="N65" s="12" t="str">
        <f t="shared" si="12"/>
        <v/>
      </c>
    </row>
    <row r="66" spans="1:14" x14ac:dyDescent="0.2">
      <c r="A66" s="627" t="str">
        <f t="shared" si="11"/>
        <v>AAAAAA</v>
      </c>
      <c r="B66" s="628"/>
      <c r="C66" s="77" t="s">
        <v>9360</v>
      </c>
      <c r="D66" s="77" t="s">
        <v>9360</v>
      </c>
      <c r="E66" s="77">
        <f t="shared" si="13"/>
        <v>0</v>
      </c>
      <c r="F66" s="16" t="str">
        <f>IF($A$60="","",IF(VLOOKUP($A65,Products!$A$59:$H$159,5,FALSE)="","",VLOOKUP($A65,Products!$A$59:$H$159,5,FALSE)))</f>
        <v/>
      </c>
      <c r="G66" s="16" t="str">
        <f>IF($A$60="","",IF(VLOOKUP($A65,Products!$A$59:$H$159,8,FALSE)="","",VLOOKUP($A65,Products!$A$59:$H$159,8,FALSE)))</f>
        <v/>
      </c>
      <c r="H66" s="77" t="s">
        <v>9360</v>
      </c>
      <c r="I66" s="77" t="s">
        <v>9360</v>
      </c>
      <c r="J66" s="77" t="s">
        <v>9360</v>
      </c>
      <c r="K66" s="2" t="str">
        <f t="shared" si="14"/>
        <v/>
      </c>
      <c r="L66" s="2" t="str">
        <f t="shared" si="12"/>
        <v/>
      </c>
      <c r="M66" s="2" t="str">
        <f t="shared" si="12"/>
        <v/>
      </c>
      <c r="N66" s="12" t="str">
        <f t="shared" si="12"/>
        <v/>
      </c>
    </row>
    <row r="67" spans="1:14" x14ac:dyDescent="0.2">
      <c r="A67" s="627" t="str">
        <f t="shared" si="11"/>
        <v>AAAAAAA</v>
      </c>
      <c r="B67" s="628"/>
      <c r="C67" s="77" t="s">
        <v>9360</v>
      </c>
      <c r="D67" s="77" t="s">
        <v>9360</v>
      </c>
      <c r="E67" s="77">
        <f t="shared" si="13"/>
        <v>0</v>
      </c>
      <c r="F67" s="16" t="str">
        <f>IF($A$60="","",IF(VLOOKUP($A66,Products!$A$59:$H$159,5,FALSE)="","",VLOOKUP($A66,Products!$A$59:$H$159,5,FALSE)))</f>
        <v/>
      </c>
      <c r="G67" s="16" t="str">
        <f>IF($A$60="","",IF(VLOOKUP($A66,Products!$A$59:$H$159,8,FALSE)="","",VLOOKUP($A66,Products!$A$59:$H$159,8,FALSE)))</f>
        <v/>
      </c>
      <c r="H67" s="77" t="s">
        <v>9360</v>
      </c>
      <c r="I67" s="77" t="s">
        <v>9360</v>
      </c>
      <c r="J67" s="77" t="s">
        <v>9360</v>
      </c>
      <c r="K67" s="2" t="str">
        <f t="shared" si="14"/>
        <v/>
      </c>
      <c r="L67" s="2" t="str">
        <f t="shared" si="12"/>
        <v/>
      </c>
      <c r="M67" s="2" t="str">
        <f t="shared" si="12"/>
        <v/>
      </c>
      <c r="N67" s="12" t="str">
        <f t="shared" si="12"/>
        <v/>
      </c>
    </row>
    <row r="68" spans="1:14" x14ac:dyDescent="0.2">
      <c r="A68" s="627" t="str">
        <f t="shared" si="11"/>
        <v>AAAAAAAA</v>
      </c>
      <c r="B68" s="628"/>
      <c r="C68" s="77" t="s">
        <v>9360</v>
      </c>
      <c r="D68" s="77" t="s">
        <v>9360</v>
      </c>
      <c r="E68" s="77">
        <f t="shared" si="13"/>
        <v>0</v>
      </c>
      <c r="F68" s="16" t="str">
        <f>IF($A$60="","",IF(VLOOKUP($A67,Products!$A$59:$H$159,5,FALSE)="","",VLOOKUP($A67,Products!$A$59:$H$159,5,FALSE)))</f>
        <v/>
      </c>
      <c r="G68" s="16" t="str">
        <f>IF($A$60="","",IF(VLOOKUP($A67,Products!$A$59:$H$159,8,FALSE)="","",VLOOKUP($A67,Products!$A$59:$H$159,8,FALSE)))</f>
        <v/>
      </c>
      <c r="H68" s="77" t="s">
        <v>9360</v>
      </c>
      <c r="I68" s="77" t="s">
        <v>9360</v>
      </c>
      <c r="J68" s="77" t="s">
        <v>9360</v>
      </c>
      <c r="K68" s="2" t="str">
        <f t="shared" si="14"/>
        <v/>
      </c>
      <c r="L68" s="2" t="str">
        <f>IF($G68="","",L$60*$G68)</f>
        <v/>
      </c>
      <c r="M68" s="2" t="str">
        <f t="shared" si="12"/>
        <v/>
      </c>
      <c r="N68" s="12" t="str">
        <f t="shared" si="12"/>
        <v/>
      </c>
    </row>
    <row r="69" spans="1:14" x14ac:dyDescent="0.2">
      <c r="A69" s="627" t="str">
        <f t="shared" si="11"/>
        <v>AAAAAAAAA</v>
      </c>
      <c r="B69" s="628"/>
      <c r="C69" s="77" t="s">
        <v>9360</v>
      </c>
      <c r="D69" s="77" t="s">
        <v>9360</v>
      </c>
      <c r="E69" s="77">
        <f t="shared" si="13"/>
        <v>0</v>
      </c>
      <c r="F69" s="16" t="str">
        <f>IF($A$60="","",IF(VLOOKUP($A68,Products!$A$59:$H$159,5,FALSE)="","",VLOOKUP($A68,Products!$A$59:$H$159,5,FALSE)))</f>
        <v/>
      </c>
      <c r="G69" s="16" t="str">
        <f>IF($A$60="","",IF(VLOOKUP($A68,Products!$A$59:$H$159,8,FALSE)="","",VLOOKUP($A68,Products!$A$59:$H$159,8,FALSE)))</f>
        <v/>
      </c>
      <c r="H69" s="77" t="s">
        <v>9360</v>
      </c>
      <c r="I69" s="77" t="s">
        <v>9360</v>
      </c>
      <c r="J69" s="77" t="s">
        <v>9360</v>
      </c>
      <c r="K69" s="2" t="str">
        <f t="shared" si="14"/>
        <v/>
      </c>
      <c r="L69" s="2" t="str">
        <f t="shared" si="12"/>
        <v/>
      </c>
      <c r="M69" s="2" t="str">
        <f t="shared" si="12"/>
        <v/>
      </c>
      <c r="N69" s="12" t="str">
        <f t="shared" si="12"/>
        <v/>
      </c>
    </row>
    <row r="70" spans="1:14" x14ac:dyDescent="0.2">
      <c r="A70" s="627" t="str">
        <f t="shared" si="11"/>
        <v>AAAAAAAAAA</v>
      </c>
      <c r="B70" s="628"/>
      <c r="C70" s="77" t="s">
        <v>9360</v>
      </c>
      <c r="D70" s="77" t="s">
        <v>9360</v>
      </c>
      <c r="E70" s="77">
        <f t="shared" si="13"/>
        <v>0</v>
      </c>
      <c r="F70" s="16" t="str">
        <f>IF($A$60="","",IF(VLOOKUP($A69,Products!$A$59:$H$159,5,FALSE)="","",VLOOKUP($A69,Products!$A$59:$H$159,5,FALSE)))</f>
        <v/>
      </c>
      <c r="G70" s="16" t="str">
        <f>IF($A$60="","",IF(VLOOKUP($A69,Products!$A$59:$H$159,8,FALSE)="","",VLOOKUP($A69,Products!$A$59:$H$159,8,FALSE)))</f>
        <v/>
      </c>
      <c r="H70" s="77" t="s">
        <v>9360</v>
      </c>
      <c r="I70" s="77" t="s">
        <v>9360</v>
      </c>
      <c r="J70" s="77" t="s">
        <v>9360</v>
      </c>
      <c r="K70" s="2" t="str">
        <f t="shared" si="14"/>
        <v/>
      </c>
      <c r="L70" s="2" t="str">
        <f t="shared" si="12"/>
        <v/>
      </c>
      <c r="M70" s="2" t="str">
        <f t="shared" si="12"/>
        <v/>
      </c>
      <c r="N70" s="12" t="str">
        <f t="shared" si="12"/>
        <v/>
      </c>
    </row>
    <row r="71" spans="1:14" x14ac:dyDescent="0.2">
      <c r="A71" s="651"/>
      <c r="B71" s="615"/>
      <c r="C71" s="41"/>
      <c r="D71" s="41"/>
      <c r="E71" s="41"/>
      <c r="F71" s="16" t="s">
        <v>291</v>
      </c>
      <c r="G71" s="16">
        <v>1</v>
      </c>
      <c r="H71" s="16" t="str">
        <f>IF(A71="","",IF(VLOOKUP($A71,Products!$A$59:$H$159,2,FALSE)="","",VLOOKUP($A71,Products!$A$59:$H$159,2,FALSE)))</f>
        <v/>
      </c>
      <c r="I71" s="16" t="str">
        <f>IF(A71="","",IF(VLOOKUP($A71,Products!$A$59:$H$159,3,FALSE)="","",VLOOKUP($A71,Products!$A$59:$H$159,3,FALSE)))</f>
        <v/>
      </c>
      <c r="J71" s="16" t="str">
        <f>IF(A71="","",IF(VLOOKUP($A71,Products!$A$59:$H$159,4,FALSE)="","",VLOOKUP($A71,Products!$A$59:$H$159,4,FALSE)))</f>
        <v/>
      </c>
      <c r="K71" s="2" t="str">
        <f>IF(OR($A71="",C71="",$E71=""),"",((12.46*$F$21*$I71*$H71)/$F$22)*((C71*42)/1000)*(IF($E71="YES",(1-$F$20),1)))</f>
        <v/>
      </c>
      <c r="L71" s="2" t="str">
        <f>IF(OR($A71="",$D71="",$E71=""),"",((12.46*$F$21*$J71*$H71)/$F$23)*(($D71*42)/1000)*(1/2000)*(IF($E71="YES",(1-$F$20),1)))</f>
        <v/>
      </c>
      <c r="M71" s="2" t="str">
        <f>IF(OR($A71="",$C71="",$E71=""),"",((12.46*$F$21*$I71*$H71)/$F$22)*(($C71*42)/1000)*(IF($E71="YES",$F$20,0)))</f>
        <v/>
      </c>
      <c r="N71" s="12" t="str">
        <f>IF(OR($A71="",$D71="",$E71=""),"",((12.46*$F$21*$J71*$H71)/$F$23)*(($D71*42)/1000)*(1/2000)*(IF($E71="YES",$F$20,0)))</f>
        <v/>
      </c>
    </row>
    <row r="72" spans="1:14" x14ac:dyDescent="0.2">
      <c r="A72" s="627" t="str">
        <f t="shared" ref="A72:A81" si="15">A71&amp;"A"</f>
        <v>A</v>
      </c>
      <c r="B72" s="628"/>
      <c r="C72" s="77" t="s">
        <v>9360</v>
      </c>
      <c r="D72" s="77" t="s">
        <v>9360</v>
      </c>
      <c r="E72" s="77">
        <f>E71</f>
        <v>0</v>
      </c>
      <c r="F72" s="16" t="str">
        <f>IF($A$71="","",IF(VLOOKUP($A71,Products!$A$59:$H$159,5,FALSE)="","",VLOOKUP($A71,Products!$A$59:$H$159,5,FALSE)))</f>
        <v/>
      </c>
      <c r="G72" s="16" t="str">
        <f>IF($A$71="","",IF(VLOOKUP($A71,Products!$A$59:$H$159,8,FALSE)="","",VLOOKUP($A71,Products!$A$59:$H$159,8,FALSE)))</f>
        <v/>
      </c>
      <c r="H72" s="77" t="s">
        <v>9360</v>
      </c>
      <c r="I72" s="77" t="s">
        <v>9360</v>
      </c>
      <c r="J72" s="77" t="s">
        <v>9360</v>
      </c>
      <c r="K72" s="2" t="str">
        <f>IF($G72="","",K$71*$G72)</f>
        <v/>
      </c>
      <c r="L72" s="2" t="str">
        <f t="shared" ref="L72:N81" si="16">IF($G72="","",L$71*$G72)</f>
        <v/>
      </c>
      <c r="M72" s="2" t="str">
        <f t="shared" si="16"/>
        <v/>
      </c>
      <c r="N72" s="12" t="str">
        <f t="shared" si="16"/>
        <v/>
      </c>
    </row>
    <row r="73" spans="1:14" x14ac:dyDescent="0.2">
      <c r="A73" s="627" t="str">
        <f t="shared" si="15"/>
        <v>AA</v>
      </c>
      <c r="B73" s="628"/>
      <c r="C73" s="77" t="s">
        <v>9360</v>
      </c>
      <c r="D73" s="77" t="s">
        <v>9360</v>
      </c>
      <c r="E73" s="77">
        <f t="shared" ref="E73:E81" si="17">E72</f>
        <v>0</v>
      </c>
      <c r="F73" s="16" t="str">
        <f>IF($A$71="","",IF(VLOOKUP($A72,Products!$A$59:$H$159,5,FALSE)="","",VLOOKUP($A72,Products!$A$59:$H$159,5,FALSE)))</f>
        <v/>
      </c>
      <c r="G73" s="16" t="str">
        <f>IF($A$71="","",IF(VLOOKUP($A72,Products!$A$59:$H$159,8,FALSE)="","",VLOOKUP($A72,Products!$A$59:$H$159,8,FALSE)))</f>
        <v/>
      </c>
      <c r="H73" s="77" t="s">
        <v>9360</v>
      </c>
      <c r="I73" s="77" t="s">
        <v>9360</v>
      </c>
      <c r="J73" s="77" t="s">
        <v>9360</v>
      </c>
      <c r="K73" s="2" t="str">
        <f t="shared" ref="K73:K81" si="18">IF($G73="","",K$71*$G73)</f>
        <v/>
      </c>
      <c r="L73" s="2" t="str">
        <f t="shared" si="16"/>
        <v/>
      </c>
      <c r="M73" s="2" t="str">
        <f t="shared" si="16"/>
        <v/>
      </c>
      <c r="N73" s="12" t="str">
        <f t="shared" si="16"/>
        <v/>
      </c>
    </row>
    <row r="74" spans="1:14" x14ac:dyDescent="0.2">
      <c r="A74" s="627" t="str">
        <f t="shared" si="15"/>
        <v>AAA</v>
      </c>
      <c r="B74" s="628"/>
      <c r="C74" s="77" t="s">
        <v>9360</v>
      </c>
      <c r="D74" s="77" t="s">
        <v>9360</v>
      </c>
      <c r="E74" s="77">
        <f t="shared" si="17"/>
        <v>0</v>
      </c>
      <c r="F74" s="16" t="str">
        <f>IF($A$71="","",IF(VLOOKUP($A73,Products!$A$59:$H$159,5,FALSE)="","",VLOOKUP($A73,Products!$A$59:$H$159,5,FALSE)))</f>
        <v/>
      </c>
      <c r="G74" s="16" t="str">
        <f>IF($A$71="","",IF(VLOOKUP($A73,Products!$A$59:$H$159,8,FALSE)="","",VLOOKUP($A73,Products!$A$59:$H$159,8,FALSE)))</f>
        <v/>
      </c>
      <c r="H74" s="77" t="s">
        <v>9360</v>
      </c>
      <c r="I74" s="77" t="s">
        <v>9360</v>
      </c>
      <c r="J74" s="77" t="s">
        <v>9360</v>
      </c>
      <c r="K74" s="2" t="str">
        <f t="shared" si="18"/>
        <v/>
      </c>
      <c r="L74" s="2" t="str">
        <f t="shared" si="16"/>
        <v/>
      </c>
      <c r="M74" s="2" t="str">
        <f t="shared" si="16"/>
        <v/>
      </c>
      <c r="N74" s="12" t="str">
        <f t="shared" si="16"/>
        <v/>
      </c>
    </row>
    <row r="75" spans="1:14" x14ac:dyDescent="0.2">
      <c r="A75" s="627" t="str">
        <f t="shared" si="15"/>
        <v>AAAA</v>
      </c>
      <c r="B75" s="628"/>
      <c r="C75" s="77" t="s">
        <v>9360</v>
      </c>
      <c r="D75" s="77" t="s">
        <v>9360</v>
      </c>
      <c r="E75" s="77">
        <f t="shared" si="17"/>
        <v>0</v>
      </c>
      <c r="F75" s="16" t="str">
        <f>IF($A$71="","",IF(VLOOKUP($A74,Products!$A$59:$H$159,5,FALSE)="","",VLOOKUP($A74,Products!$A$59:$H$159,5,FALSE)))</f>
        <v/>
      </c>
      <c r="G75" s="16" t="str">
        <f>IF($A$71="","",IF(VLOOKUP($A74,Products!$A$59:$H$159,8,FALSE)="","",VLOOKUP($A74,Products!$A$59:$H$159,8,FALSE)))</f>
        <v/>
      </c>
      <c r="H75" s="77" t="s">
        <v>9360</v>
      </c>
      <c r="I75" s="77" t="s">
        <v>9360</v>
      </c>
      <c r="J75" s="77" t="s">
        <v>9360</v>
      </c>
      <c r="K75" s="2" t="str">
        <f t="shared" si="18"/>
        <v/>
      </c>
      <c r="L75" s="2" t="str">
        <f t="shared" si="16"/>
        <v/>
      </c>
      <c r="M75" s="2" t="str">
        <f t="shared" si="16"/>
        <v/>
      </c>
      <c r="N75" s="12" t="str">
        <f t="shared" si="16"/>
        <v/>
      </c>
    </row>
    <row r="76" spans="1:14" x14ac:dyDescent="0.2">
      <c r="A76" s="627" t="str">
        <f t="shared" si="15"/>
        <v>AAAAA</v>
      </c>
      <c r="B76" s="628"/>
      <c r="C76" s="77" t="s">
        <v>9360</v>
      </c>
      <c r="D76" s="77" t="s">
        <v>9360</v>
      </c>
      <c r="E76" s="77">
        <f t="shared" si="17"/>
        <v>0</v>
      </c>
      <c r="F76" s="16" t="str">
        <f>IF($A$71="","",IF(VLOOKUP($A75,Products!$A$59:$H$159,5,FALSE)="","",VLOOKUP($A75,Products!$A$59:$H$159,5,FALSE)))</f>
        <v/>
      </c>
      <c r="G76" s="16" t="str">
        <f>IF($A$71="","",IF(VLOOKUP($A75,Products!$A$59:$H$159,8,FALSE)="","",VLOOKUP($A75,Products!$A$59:$H$159,8,FALSE)))</f>
        <v/>
      </c>
      <c r="H76" s="77" t="s">
        <v>9360</v>
      </c>
      <c r="I76" s="77" t="s">
        <v>9360</v>
      </c>
      <c r="J76" s="77" t="s">
        <v>9360</v>
      </c>
      <c r="K76" s="2" t="str">
        <f t="shared" si="18"/>
        <v/>
      </c>
      <c r="L76" s="2" t="str">
        <f t="shared" si="16"/>
        <v/>
      </c>
      <c r="M76" s="2" t="str">
        <f t="shared" si="16"/>
        <v/>
      </c>
      <c r="N76" s="12" t="str">
        <f t="shared" si="16"/>
        <v/>
      </c>
    </row>
    <row r="77" spans="1:14" x14ac:dyDescent="0.2">
      <c r="A77" s="627" t="str">
        <f t="shared" si="15"/>
        <v>AAAAAA</v>
      </c>
      <c r="B77" s="628"/>
      <c r="C77" s="77" t="s">
        <v>9360</v>
      </c>
      <c r="D77" s="77" t="s">
        <v>9360</v>
      </c>
      <c r="E77" s="77">
        <f t="shared" si="17"/>
        <v>0</v>
      </c>
      <c r="F77" s="16" t="str">
        <f>IF($A$71="","",IF(VLOOKUP($A76,Products!$A$59:$H$159,5,FALSE)="","",VLOOKUP($A76,Products!$A$59:$H$159,5,FALSE)))</f>
        <v/>
      </c>
      <c r="G77" s="16" t="str">
        <f>IF($A$71="","",IF(VLOOKUP($A76,Products!$A$59:$H$159,8,FALSE)="","",VLOOKUP($A76,Products!$A$59:$H$159,8,FALSE)))</f>
        <v/>
      </c>
      <c r="H77" s="77" t="s">
        <v>9360</v>
      </c>
      <c r="I77" s="77" t="s">
        <v>9360</v>
      </c>
      <c r="J77" s="77" t="s">
        <v>9360</v>
      </c>
      <c r="K77" s="2" t="str">
        <f t="shared" si="18"/>
        <v/>
      </c>
      <c r="L77" s="2" t="str">
        <f t="shared" si="16"/>
        <v/>
      </c>
      <c r="M77" s="2" t="str">
        <f t="shared" si="16"/>
        <v/>
      </c>
      <c r="N77" s="12" t="str">
        <f t="shared" si="16"/>
        <v/>
      </c>
    </row>
    <row r="78" spans="1:14" x14ac:dyDescent="0.2">
      <c r="A78" s="627" t="str">
        <f t="shared" si="15"/>
        <v>AAAAAAA</v>
      </c>
      <c r="B78" s="628"/>
      <c r="C78" s="77" t="s">
        <v>9360</v>
      </c>
      <c r="D78" s="77" t="s">
        <v>9360</v>
      </c>
      <c r="E78" s="77">
        <f t="shared" si="17"/>
        <v>0</v>
      </c>
      <c r="F78" s="16" t="str">
        <f>IF($A$71="","",IF(VLOOKUP($A77,Products!$A$59:$H$159,5,FALSE)="","",VLOOKUP($A77,Products!$A$59:$H$159,5,FALSE)))</f>
        <v/>
      </c>
      <c r="G78" s="16" t="str">
        <f>IF($A$71="","",IF(VLOOKUP($A77,Products!$A$59:$H$159,8,FALSE)="","",VLOOKUP($A77,Products!$A$59:$H$159,8,FALSE)))</f>
        <v/>
      </c>
      <c r="H78" s="77" t="s">
        <v>9360</v>
      </c>
      <c r="I78" s="77" t="s">
        <v>9360</v>
      </c>
      <c r="J78" s="77" t="s">
        <v>9360</v>
      </c>
      <c r="K78" s="2" t="str">
        <f t="shared" si="18"/>
        <v/>
      </c>
      <c r="L78" s="2" t="str">
        <f t="shared" si="16"/>
        <v/>
      </c>
      <c r="M78" s="2" t="str">
        <f t="shared" si="16"/>
        <v/>
      </c>
      <c r="N78" s="12" t="str">
        <f t="shared" si="16"/>
        <v/>
      </c>
    </row>
    <row r="79" spans="1:14" x14ac:dyDescent="0.2">
      <c r="A79" s="627" t="str">
        <f t="shared" si="15"/>
        <v>AAAAAAAA</v>
      </c>
      <c r="B79" s="628"/>
      <c r="C79" s="77" t="s">
        <v>9360</v>
      </c>
      <c r="D79" s="77" t="s">
        <v>9360</v>
      </c>
      <c r="E79" s="77">
        <f t="shared" si="17"/>
        <v>0</v>
      </c>
      <c r="F79" s="16" t="str">
        <f>IF($A$71="","",IF(VLOOKUP($A78,Products!$A$59:$H$159,5,FALSE)="","",VLOOKUP($A78,Products!$A$59:$H$159,5,FALSE)))</f>
        <v/>
      </c>
      <c r="G79" s="16" t="str">
        <f>IF($A$71="","",IF(VLOOKUP($A78,Products!$A$59:$H$159,8,FALSE)="","",VLOOKUP($A78,Products!$A$59:$H$159,8,FALSE)))</f>
        <v/>
      </c>
      <c r="H79" s="77" t="s">
        <v>9360</v>
      </c>
      <c r="I79" s="77" t="s">
        <v>9360</v>
      </c>
      <c r="J79" s="77" t="s">
        <v>9360</v>
      </c>
      <c r="K79" s="2" t="str">
        <f t="shared" si="18"/>
        <v/>
      </c>
      <c r="L79" s="2" t="str">
        <f t="shared" si="16"/>
        <v/>
      </c>
      <c r="M79" s="2" t="str">
        <f t="shared" si="16"/>
        <v/>
      </c>
      <c r="N79" s="12" t="str">
        <f t="shared" si="16"/>
        <v/>
      </c>
    </row>
    <row r="80" spans="1:14" x14ac:dyDescent="0.2">
      <c r="A80" s="627" t="str">
        <f t="shared" si="15"/>
        <v>AAAAAAAAA</v>
      </c>
      <c r="B80" s="628"/>
      <c r="C80" s="77" t="s">
        <v>9360</v>
      </c>
      <c r="D80" s="77" t="s">
        <v>9360</v>
      </c>
      <c r="E80" s="77">
        <f t="shared" si="17"/>
        <v>0</v>
      </c>
      <c r="F80" s="16" t="str">
        <f>IF($A$71="","",IF(VLOOKUP($A79,Products!$A$59:$H$159,5,FALSE)="","",VLOOKUP($A79,Products!$A$59:$H$159,5,FALSE)))</f>
        <v/>
      </c>
      <c r="G80" s="16" t="str">
        <f>IF($A$71="","",IF(VLOOKUP($A79,Products!$A$59:$H$159,8,FALSE)="","",VLOOKUP($A79,Products!$A$59:$H$159,8,FALSE)))</f>
        <v/>
      </c>
      <c r="H80" s="77" t="s">
        <v>9360</v>
      </c>
      <c r="I80" s="77" t="s">
        <v>9360</v>
      </c>
      <c r="J80" s="77" t="s">
        <v>9360</v>
      </c>
      <c r="K80" s="2" t="str">
        <f t="shared" si="18"/>
        <v/>
      </c>
      <c r="L80" s="2" t="str">
        <f t="shared" si="16"/>
        <v/>
      </c>
      <c r="M80" s="2" t="str">
        <f t="shared" si="16"/>
        <v/>
      </c>
      <c r="N80" s="12" t="str">
        <f t="shared" si="16"/>
        <v/>
      </c>
    </row>
    <row r="81" spans="1:14" x14ac:dyDescent="0.2">
      <c r="A81" s="627" t="str">
        <f t="shared" si="15"/>
        <v>AAAAAAAAAA</v>
      </c>
      <c r="B81" s="628"/>
      <c r="C81" s="77" t="s">
        <v>9360</v>
      </c>
      <c r="D81" s="77" t="s">
        <v>9360</v>
      </c>
      <c r="E81" s="77">
        <f t="shared" si="17"/>
        <v>0</v>
      </c>
      <c r="F81" s="16" t="str">
        <f>IF($A$71="","",IF(VLOOKUP($A80,Products!$A$59:$H$159,5,FALSE)="","",VLOOKUP($A80,Products!$A$59:$H$159,5,FALSE)))</f>
        <v/>
      </c>
      <c r="G81" s="16" t="str">
        <f>IF($A$71="","",IF(VLOOKUP($A80,Products!$A$59:$H$159,8,FALSE)="","",VLOOKUP($A80,Products!$A$59:$H$159,8,FALSE)))</f>
        <v/>
      </c>
      <c r="H81" s="77" t="s">
        <v>9360</v>
      </c>
      <c r="I81" s="77" t="s">
        <v>9360</v>
      </c>
      <c r="J81" s="77" t="s">
        <v>9360</v>
      </c>
      <c r="K81" s="2" t="str">
        <f t="shared" si="18"/>
        <v/>
      </c>
      <c r="L81" s="2" t="str">
        <f t="shared" si="16"/>
        <v/>
      </c>
      <c r="M81" s="2" t="str">
        <f t="shared" si="16"/>
        <v/>
      </c>
      <c r="N81" s="12" t="str">
        <f t="shared" si="16"/>
        <v/>
      </c>
    </row>
    <row r="82" spans="1:14" x14ac:dyDescent="0.2">
      <c r="A82" s="651"/>
      <c r="B82" s="615"/>
      <c r="C82" s="41"/>
      <c r="D82" s="41"/>
      <c r="E82" s="41"/>
      <c r="F82" s="16" t="s">
        <v>291</v>
      </c>
      <c r="G82" s="16">
        <v>1</v>
      </c>
      <c r="H82" s="16" t="str">
        <f>IF(A82="","",IF(VLOOKUP($A82,Products!$A$59:$H$159,2,FALSE)="","",VLOOKUP($A82,Products!$A$59:$H$159,2,FALSE)))</f>
        <v/>
      </c>
      <c r="I82" s="16" t="str">
        <f>IF(A82="","",IF(VLOOKUP($A82,Products!$A$59:$H$159,3,FALSE)="","",VLOOKUP($A82,Products!$A$59:$H$159,3,FALSE)))</f>
        <v/>
      </c>
      <c r="J82" s="16" t="str">
        <f>IF(A82="","",IF(VLOOKUP($A82,Products!$A$59:$H$159,4,FALSE)="","",VLOOKUP($A82,Products!$A$59:$H$159,4,FALSE)))</f>
        <v/>
      </c>
      <c r="K82" s="2" t="str">
        <f>IF(OR($A82="",C82="",$E82=""),"",((12.46*$F$21*$I82*$H82)/$F$22)*((C82*42)/1000)*(IF($E82="YES",(1-$F$20),1)))</f>
        <v/>
      </c>
      <c r="L82" s="2" t="str">
        <f>IF(OR($A82="",$D82="",$E82=""),"",((12.46*$F$21*$J82*$H82)/$F$23)*(($D82*42)/1000)*(1/2000)*(IF($E82="YES",(1-$F$20),1)))</f>
        <v/>
      </c>
      <c r="M82" s="2" t="str">
        <f>IF(OR($A82="",$C82="",$E82=""),"",((12.46*$F$21*$I82*$H82)/$F$22)*(($C82*42)/1000)*(IF($E82="YES",$F$20,0)))</f>
        <v/>
      </c>
      <c r="N82" s="12" t="str">
        <f>IF(OR($A82="",$D82="",$E82=""),"",((12.46*$F$21*$J82*$H82)/$F$23)*(($D82*42)/1000)*(1/2000)*(IF($E82="YES",$F$20,0)))</f>
        <v/>
      </c>
    </row>
    <row r="83" spans="1:14" x14ac:dyDescent="0.2">
      <c r="A83" s="627" t="str">
        <f t="shared" ref="A83:A92" si="19">A82&amp;"A"</f>
        <v>A</v>
      </c>
      <c r="B83" s="628"/>
      <c r="C83" s="77" t="s">
        <v>9360</v>
      </c>
      <c r="D83" s="77" t="s">
        <v>9360</v>
      </c>
      <c r="E83" s="77">
        <f>E82</f>
        <v>0</v>
      </c>
      <c r="F83" s="16" t="str">
        <f>IF($A$82="","",IF(VLOOKUP($A82,Products!$A$59:$H$159,5,FALSE)="","",VLOOKUP($A82,Products!$A$59:$H$159,5,FALSE)))</f>
        <v/>
      </c>
      <c r="G83" s="16" t="str">
        <f>IF($A$82="","",IF(VLOOKUP($A82,Products!$A$59:$H$159,8,FALSE)="","",VLOOKUP($A82,Products!$A$59:$H$159,8,FALSE)))</f>
        <v/>
      </c>
      <c r="H83" s="77" t="s">
        <v>9360</v>
      </c>
      <c r="I83" s="77" t="s">
        <v>9360</v>
      </c>
      <c r="J83" s="77" t="s">
        <v>9360</v>
      </c>
      <c r="K83" s="2" t="str">
        <f>IF($G83="","",K$82*$G83)</f>
        <v/>
      </c>
      <c r="L83" s="2" t="str">
        <f t="shared" ref="L83:N92" si="20">IF($G83="","",L$82*$G83)</f>
        <v/>
      </c>
      <c r="M83" s="2" t="str">
        <f t="shared" si="20"/>
        <v/>
      </c>
      <c r="N83" s="12" t="str">
        <f t="shared" si="20"/>
        <v/>
      </c>
    </row>
    <row r="84" spans="1:14" x14ac:dyDescent="0.2">
      <c r="A84" s="627" t="str">
        <f t="shared" si="19"/>
        <v>AA</v>
      </c>
      <c r="B84" s="628"/>
      <c r="C84" s="77" t="s">
        <v>9360</v>
      </c>
      <c r="D84" s="77" t="s">
        <v>9360</v>
      </c>
      <c r="E84" s="77">
        <f t="shared" ref="E84:E92" si="21">E83</f>
        <v>0</v>
      </c>
      <c r="F84" s="16" t="str">
        <f>IF($A$82="","",IF(VLOOKUP($A83,Products!$A$59:$H$159,5,FALSE)="","",VLOOKUP($A83,Products!$A$59:$H$159,5,FALSE)))</f>
        <v/>
      </c>
      <c r="G84" s="16" t="str">
        <f>IF($A$82="","",IF(VLOOKUP($A83,Products!$A$59:$H$159,8,FALSE)="","",VLOOKUP($A83,Products!$A$59:$H$159,8,FALSE)))</f>
        <v/>
      </c>
      <c r="H84" s="77" t="s">
        <v>9360</v>
      </c>
      <c r="I84" s="77" t="s">
        <v>9360</v>
      </c>
      <c r="J84" s="77" t="s">
        <v>9360</v>
      </c>
      <c r="K84" s="2" t="str">
        <f>IF($G84="","",K$82*$G84)</f>
        <v/>
      </c>
      <c r="L84" s="2" t="str">
        <f t="shared" si="20"/>
        <v/>
      </c>
      <c r="M84" s="2" t="str">
        <f t="shared" si="20"/>
        <v/>
      </c>
      <c r="N84" s="12" t="str">
        <f t="shared" si="20"/>
        <v/>
      </c>
    </row>
    <row r="85" spans="1:14" x14ac:dyDescent="0.2">
      <c r="A85" s="627" t="str">
        <f t="shared" si="19"/>
        <v>AAA</v>
      </c>
      <c r="B85" s="628"/>
      <c r="C85" s="77" t="s">
        <v>9360</v>
      </c>
      <c r="D85" s="77" t="s">
        <v>9360</v>
      </c>
      <c r="E85" s="77">
        <f t="shared" si="21"/>
        <v>0</v>
      </c>
      <c r="F85" s="16" t="str">
        <f>IF($A$82="","",IF(VLOOKUP($A84,Products!$A$59:$H$159,5,FALSE)="","",VLOOKUP($A84,Products!$A$59:$H$159,5,FALSE)))</f>
        <v/>
      </c>
      <c r="G85" s="16" t="str">
        <f>IF($A$82="","",IF(VLOOKUP($A84,Products!$A$59:$H$159,8,FALSE)="","",VLOOKUP($A84,Products!$A$59:$H$159,8,FALSE)))</f>
        <v/>
      </c>
      <c r="H85" s="77" t="s">
        <v>9360</v>
      </c>
      <c r="I85" s="77" t="s">
        <v>9360</v>
      </c>
      <c r="J85" s="77" t="s">
        <v>9360</v>
      </c>
      <c r="K85" s="2" t="str">
        <f t="shared" ref="K85:K92" si="22">IF($G85="","",K$82*$G85)</f>
        <v/>
      </c>
      <c r="L85" s="2" t="str">
        <f t="shared" si="20"/>
        <v/>
      </c>
      <c r="M85" s="2" t="str">
        <f t="shared" si="20"/>
        <v/>
      </c>
      <c r="N85" s="12" t="str">
        <f t="shared" si="20"/>
        <v/>
      </c>
    </row>
    <row r="86" spans="1:14" x14ac:dyDescent="0.2">
      <c r="A86" s="627" t="str">
        <f t="shared" si="19"/>
        <v>AAAA</v>
      </c>
      <c r="B86" s="628"/>
      <c r="C86" s="77" t="s">
        <v>9360</v>
      </c>
      <c r="D86" s="77" t="s">
        <v>9360</v>
      </c>
      <c r="E86" s="77">
        <f t="shared" si="21"/>
        <v>0</v>
      </c>
      <c r="F86" s="16" t="str">
        <f>IF($A$82="","",IF(VLOOKUP($A85,Products!$A$59:$H$159,5,FALSE)="","",VLOOKUP($A85,Products!$A$59:$H$159,5,FALSE)))</f>
        <v/>
      </c>
      <c r="G86" s="16" t="str">
        <f>IF($A$82="","",IF(VLOOKUP($A85,Products!$A$59:$H$159,8,FALSE)="","",VLOOKUP($A85,Products!$A$59:$H$159,8,FALSE)))</f>
        <v/>
      </c>
      <c r="H86" s="77" t="s">
        <v>9360</v>
      </c>
      <c r="I86" s="77" t="s">
        <v>9360</v>
      </c>
      <c r="J86" s="77" t="s">
        <v>9360</v>
      </c>
      <c r="K86" s="2" t="str">
        <f t="shared" si="22"/>
        <v/>
      </c>
      <c r="L86" s="2" t="str">
        <f t="shared" si="20"/>
        <v/>
      </c>
      <c r="M86" s="2" t="str">
        <f t="shared" si="20"/>
        <v/>
      </c>
      <c r="N86" s="12" t="str">
        <f t="shared" si="20"/>
        <v/>
      </c>
    </row>
    <row r="87" spans="1:14" x14ac:dyDescent="0.2">
      <c r="A87" s="627" t="str">
        <f t="shared" si="19"/>
        <v>AAAAA</v>
      </c>
      <c r="B87" s="628"/>
      <c r="C87" s="77" t="s">
        <v>9360</v>
      </c>
      <c r="D87" s="77" t="s">
        <v>9360</v>
      </c>
      <c r="E87" s="77">
        <f t="shared" si="21"/>
        <v>0</v>
      </c>
      <c r="F87" s="16" t="str">
        <f>IF($A$82="","",IF(VLOOKUP($A86,Products!$A$59:$H$159,5,FALSE)="","",VLOOKUP($A86,Products!$A$59:$H$159,5,FALSE)))</f>
        <v/>
      </c>
      <c r="G87" s="16" t="str">
        <f>IF($A$82="","",IF(VLOOKUP($A86,Products!$A$59:$H$159,8,FALSE)="","",VLOOKUP($A86,Products!$A$59:$H$159,8,FALSE)))</f>
        <v/>
      </c>
      <c r="H87" s="77" t="s">
        <v>9360</v>
      </c>
      <c r="I87" s="77" t="s">
        <v>9360</v>
      </c>
      <c r="J87" s="77" t="s">
        <v>9360</v>
      </c>
      <c r="K87" s="2" t="str">
        <f t="shared" si="22"/>
        <v/>
      </c>
      <c r="L87" s="2" t="str">
        <f t="shared" si="20"/>
        <v/>
      </c>
      <c r="M87" s="2" t="str">
        <f>IF($G87="","",M$82*$G87)</f>
        <v/>
      </c>
      <c r="N87" s="12" t="str">
        <f t="shared" si="20"/>
        <v/>
      </c>
    </row>
    <row r="88" spans="1:14" x14ac:dyDescent="0.2">
      <c r="A88" s="627" t="str">
        <f t="shared" si="19"/>
        <v>AAAAAA</v>
      </c>
      <c r="B88" s="628"/>
      <c r="C88" s="77" t="s">
        <v>9360</v>
      </c>
      <c r="D88" s="77" t="s">
        <v>9360</v>
      </c>
      <c r="E88" s="77">
        <f t="shared" si="21"/>
        <v>0</v>
      </c>
      <c r="F88" s="16" t="str">
        <f>IF($A$82="","",IF(VLOOKUP($A87,Products!$A$59:$H$159,5,FALSE)="","",VLOOKUP($A87,Products!$A$59:$H$159,5,FALSE)))</f>
        <v/>
      </c>
      <c r="G88" s="16" t="str">
        <f>IF($A$82="","",IF(VLOOKUP($A87,Products!$A$59:$H$159,8,FALSE)="","",VLOOKUP($A87,Products!$A$59:$H$159,8,FALSE)))</f>
        <v/>
      </c>
      <c r="H88" s="77" t="s">
        <v>9360</v>
      </c>
      <c r="I88" s="77" t="s">
        <v>9360</v>
      </c>
      <c r="J88" s="77" t="s">
        <v>9360</v>
      </c>
      <c r="K88" s="2" t="str">
        <f t="shared" si="22"/>
        <v/>
      </c>
      <c r="L88" s="2" t="str">
        <f t="shared" si="20"/>
        <v/>
      </c>
      <c r="M88" s="2" t="str">
        <f t="shared" si="20"/>
        <v/>
      </c>
      <c r="N88" s="12" t="str">
        <f t="shared" si="20"/>
        <v/>
      </c>
    </row>
    <row r="89" spans="1:14" x14ac:dyDescent="0.2">
      <c r="A89" s="627" t="str">
        <f t="shared" si="19"/>
        <v>AAAAAAA</v>
      </c>
      <c r="B89" s="628"/>
      <c r="C89" s="77" t="s">
        <v>9360</v>
      </c>
      <c r="D89" s="77" t="s">
        <v>9360</v>
      </c>
      <c r="E89" s="77">
        <f t="shared" si="21"/>
        <v>0</v>
      </c>
      <c r="F89" s="16" t="str">
        <f>IF($A$82="","",IF(VLOOKUP($A88,Products!$A$59:$H$159,5,FALSE)="","",VLOOKUP($A88,Products!$A$59:$H$159,5,FALSE)))</f>
        <v/>
      </c>
      <c r="G89" s="16" t="str">
        <f>IF($A$82="","",IF(VLOOKUP($A88,Products!$A$59:$H$159,8,FALSE)="","",VLOOKUP($A88,Products!$A$59:$H$159,8,FALSE)))</f>
        <v/>
      </c>
      <c r="H89" s="77" t="s">
        <v>9360</v>
      </c>
      <c r="I89" s="77" t="s">
        <v>9360</v>
      </c>
      <c r="J89" s="77" t="s">
        <v>9360</v>
      </c>
      <c r="K89" s="2" t="str">
        <f t="shared" si="22"/>
        <v/>
      </c>
      <c r="L89" s="2" t="str">
        <f t="shared" si="20"/>
        <v/>
      </c>
      <c r="M89" s="2" t="str">
        <f>IF($G89="","",M$82*$G89)</f>
        <v/>
      </c>
      <c r="N89" s="12" t="str">
        <f t="shared" si="20"/>
        <v/>
      </c>
    </row>
    <row r="90" spans="1:14" x14ac:dyDescent="0.2">
      <c r="A90" s="627" t="str">
        <f t="shared" si="19"/>
        <v>AAAAAAAA</v>
      </c>
      <c r="B90" s="628"/>
      <c r="C90" s="77" t="s">
        <v>9360</v>
      </c>
      <c r="D90" s="77" t="s">
        <v>9360</v>
      </c>
      <c r="E90" s="77">
        <f t="shared" si="21"/>
        <v>0</v>
      </c>
      <c r="F90" s="16" t="str">
        <f>IF($A$82="","",IF(VLOOKUP($A89,Products!$A$59:$H$159,5,FALSE)="","",VLOOKUP($A89,Products!$A$59:$H$159,5,FALSE)))</f>
        <v/>
      </c>
      <c r="G90" s="16" t="str">
        <f>IF($A$82="","",IF(VLOOKUP($A89,Products!$A$59:$H$159,8,FALSE)="","",VLOOKUP($A89,Products!$A$59:$H$159,8,FALSE)))</f>
        <v/>
      </c>
      <c r="H90" s="77" t="s">
        <v>9360</v>
      </c>
      <c r="I90" s="77" t="s">
        <v>9360</v>
      </c>
      <c r="J90" s="77" t="s">
        <v>9360</v>
      </c>
      <c r="K90" s="2" t="str">
        <f t="shared" si="22"/>
        <v/>
      </c>
      <c r="L90" s="2" t="str">
        <f t="shared" si="20"/>
        <v/>
      </c>
      <c r="M90" s="2" t="str">
        <f t="shared" si="20"/>
        <v/>
      </c>
      <c r="N90" s="12" t="str">
        <f t="shared" si="20"/>
        <v/>
      </c>
    </row>
    <row r="91" spans="1:14" x14ac:dyDescent="0.2">
      <c r="A91" s="627" t="str">
        <f t="shared" si="19"/>
        <v>AAAAAAAAA</v>
      </c>
      <c r="B91" s="628"/>
      <c r="C91" s="77" t="s">
        <v>9360</v>
      </c>
      <c r="D91" s="77" t="s">
        <v>9360</v>
      </c>
      <c r="E91" s="77">
        <f t="shared" si="21"/>
        <v>0</v>
      </c>
      <c r="F91" s="16" t="str">
        <f>IF($A$82="","",IF(VLOOKUP($A90,Products!$A$59:$H$159,5,FALSE)="","",VLOOKUP($A90,Products!$A$59:$H$159,5,FALSE)))</f>
        <v/>
      </c>
      <c r="G91" s="16" t="str">
        <f>IF($A$82="","",IF(VLOOKUP($A90,Products!$A$59:$H$159,8,FALSE)="","",VLOOKUP($A90,Products!$A$59:$H$159,8,FALSE)))</f>
        <v/>
      </c>
      <c r="H91" s="77" t="s">
        <v>9360</v>
      </c>
      <c r="I91" s="77" t="s">
        <v>9360</v>
      </c>
      <c r="J91" s="77" t="s">
        <v>9360</v>
      </c>
      <c r="K91" s="2" t="str">
        <f t="shared" si="22"/>
        <v/>
      </c>
      <c r="L91" s="2" t="str">
        <f t="shared" si="20"/>
        <v/>
      </c>
      <c r="M91" s="2" t="str">
        <f t="shared" si="20"/>
        <v/>
      </c>
      <c r="N91" s="12" t="str">
        <f t="shared" si="20"/>
        <v/>
      </c>
    </row>
    <row r="92" spans="1:14" x14ac:dyDescent="0.2">
      <c r="A92" s="627" t="str">
        <f t="shared" si="19"/>
        <v>AAAAAAAAAA</v>
      </c>
      <c r="B92" s="628"/>
      <c r="C92" s="77" t="s">
        <v>9360</v>
      </c>
      <c r="D92" s="77" t="s">
        <v>9360</v>
      </c>
      <c r="E92" s="77">
        <f t="shared" si="21"/>
        <v>0</v>
      </c>
      <c r="F92" s="16" t="str">
        <f>IF($A$82="","",IF(VLOOKUP($A91,Products!$A$59:$H$159,5,FALSE)="","",VLOOKUP($A91,Products!$A$59:$H$159,5,FALSE)))</f>
        <v/>
      </c>
      <c r="G92" s="16" t="str">
        <f>IF($A$82="","",IF(VLOOKUP($A91,Products!$A$59:$H$159,8,FALSE)="","",VLOOKUP($A91,Products!$A$59:$H$159,8,FALSE)))</f>
        <v/>
      </c>
      <c r="H92" s="77" t="s">
        <v>9360</v>
      </c>
      <c r="I92" s="77" t="s">
        <v>9360</v>
      </c>
      <c r="J92" s="77" t="s">
        <v>9360</v>
      </c>
      <c r="K92" s="2" t="str">
        <f t="shared" si="22"/>
        <v/>
      </c>
      <c r="L92" s="2" t="str">
        <f t="shared" si="20"/>
        <v/>
      </c>
      <c r="M92" s="2" t="str">
        <f t="shared" si="20"/>
        <v/>
      </c>
      <c r="N92" s="12" t="str">
        <f t="shared" si="20"/>
        <v/>
      </c>
    </row>
    <row r="93" spans="1:14" x14ac:dyDescent="0.2">
      <c r="A93" s="651"/>
      <c r="B93" s="615"/>
      <c r="C93" s="41"/>
      <c r="D93" s="41"/>
      <c r="E93" s="41"/>
      <c r="F93" s="16" t="s">
        <v>291</v>
      </c>
      <c r="G93" s="16">
        <v>1</v>
      </c>
      <c r="H93" s="16" t="str">
        <f>IF(A93="","",IF(VLOOKUP($A93,Products!$A$59:$H$159,2,FALSE)="","",VLOOKUP($A93,Products!$A$59:$H$159,2,FALSE)))</f>
        <v/>
      </c>
      <c r="I93" s="16" t="str">
        <f>IF(A93="","",IF(VLOOKUP($A93,Products!$A$59:$H$159,3,FALSE)="","",VLOOKUP($A93,Products!$A$59:$H$159,3,FALSE)))</f>
        <v/>
      </c>
      <c r="J93" s="16" t="str">
        <f>IF(A93="","",IF(VLOOKUP($A93,Products!$A$59:$H$159,4,FALSE)="","",VLOOKUP($A93,Products!$A$59:$H$159,4,FALSE)))</f>
        <v/>
      </c>
      <c r="K93" s="2" t="str">
        <f>IF(OR($A93="",C93="",$E93=""),"",((12.46*$F$21*$I93*$H93)/$F$22)*((C93*42)/1000)*(IF($E93="YES",(1-$F$20),1)))</f>
        <v/>
      </c>
      <c r="L93" s="2" t="str">
        <f>IF(OR($A93="",$D93="",$E93=""),"",((12.46*$F$21*$J93*$H93)/$F$23)*(($D93*42)/1000)*(1/2000)*(IF($E93="YES",(1-$F$20),1)))</f>
        <v/>
      </c>
      <c r="M93" s="2" t="str">
        <f>IF(OR($A93="",$C93="",$E93=""),"",((12.46*$F$21*$I93*$H93)/$F$22)*(($C93*42)/1000)*(IF($E93="YES",$F$20,0)))</f>
        <v/>
      </c>
      <c r="N93" s="12" t="str">
        <f>IF(OR($A93="",$D93="",$E93=""),"",((12.46*$F$21*$J93*$H93)/$F$23)*(($D93*42)/1000)*(1/2000)*(IF($E93="YES",$F$20,0)))</f>
        <v/>
      </c>
    </row>
    <row r="94" spans="1:14" x14ac:dyDescent="0.2">
      <c r="A94" s="627" t="str">
        <f t="shared" ref="A94:A103" si="23">A93&amp;"A"</f>
        <v>A</v>
      </c>
      <c r="B94" s="628"/>
      <c r="C94" s="77" t="s">
        <v>9360</v>
      </c>
      <c r="D94" s="77" t="s">
        <v>9360</v>
      </c>
      <c r="E94" s="77">
        <f>E93</f>
        <v>0</v>
      </c>
      <c r="F94" s="16" t="str">
        <f>IF($A$93="","",IF(VLOOKUP($A93,Products!$A$59:$H$159,5,FALSE)="","",VLOOKUP($A93,Products!$A$59:$H$159,5,FALSE)))</f>
        <v/>
      </c>
      <c r="G94" s="16" t="str">
        <f>IF($A$93="","",IF(VLOOKUP($A93,Products!$A$59:$H$159,8,FALSE)="","",VLOOKUP($A93,Products!$A$59:$H$159,8,FALSE)))</f>
        <v/>
      </c>
      <c r="H94" s="77" t="s">
        <v>9360</v>
      </c>
      <c r="I94" s="77" t="s">
        <v>9360</v>
      </c>
      <c r="J94" s="77" t="s">
        <v>9360</v>
      </c>
      <c r="K94" s="2" t="str">
        <f>IF($G94="","",K$93*$G94)</f>
        <v/>
      </c>
      <c r="L94" s="2" t="str">
        <f t="shared" ref="L94:N103" si="24">IF($G94="","",L$93*$G94)</f>
        <v/>
      </c>
      <c r="M94" s="2" t="str">
        <f t="shared" si="24"/>
        <v/>
      </c>
      <c r="N94" s="12" t="str">
        <f t="shared" si="24"/>
        <v/>
      </c>
    </row>
    <row r="95" spans="1:14" x14ac:dyDescent="0.2">
      <c r="A95" s="627" t="str">
        <f t="shared" si="23"/>
        <v>AA</v>
      </c>
      <c r="B95" s="628"/>
      <c r="C95" s="77" t="s">
        <v>9360</v>
      </c>
      <c r="D95" s="77" t="s">
        <v>9360</v>
      </c>
      <c r="E95" s="77">
        <f t="shared" ref="E95:E103" si="25">E94</f>
        <v>0</v>
      </c>
      <c r="F95" s="16" t="str">
        <f>IF($A$93="","",IF(VLOOKUP($A94,Products!$A$59:$H$159,5,FALSE)="","",VLOOKUP($A94,Products!$A$59:$H$159,5,FALSE)))</f>
        <v/>
      </c>
      <c r="G95" s="16" t="str">
        <f>IF($A$93="","",IF(VLOOKUP($A94,Products!$A$59:$H$159,8,FALSE)="","",VLOOKUP($A94,Products!$A$59:$H$159,8,FALSE)))</f>
        <v/>
      </c>
      <c r="H95" s="77" t="s">
        <v>9360</v>
      </c>
      <c r="I95" s="77" t="s">
        <v>9360</v>
      </c>
      <c r="J95" s="77" t="s">
        <v>9360</v>
      </c>
      <c r="K95" s="2" t="str">
        <f t="shared" ref="K95:K103" si="26">IF($G95="","",K$93*$G95)</f>
        <v/>
      </c>
      <c r="L95" s="2" t="str">
        <f t="shared" si="24"/>
        <v/>
      </c>
      <c r="M95" s="2" t="str">
        <f t="shared" si="24"/>
        <v/>
      </c>
      <c r="N95" s="12" t="str">
        <f t="shared" si="24"/>
        <v/>
      </c>
    </row>
    <row r="96" spans="1:14" x14ac:dyDescent="0.2">
      <c r="A96" s="627" t="str">
        <f t="shared" si="23"/>
        <v>AAA</v>
      </c>
      <c r="B96" s="628"/>
      <c r="C96" s="77" t="s">
        <v>9360</v>
      </c>
      <c r="D96" s="77" t="s">
        <v>9360</v>
      </c>
      <c r="E96" s="77">
        <f t="shared" si="25"/>
        <v>0</v>
      </c>
      <c r="F96" s="16" t="str">
        <f>IF($A$93="","",IF(VLOOKUP($A95,Products!$A$59:$H$159,5,FALSE)="","",VLOOKUP($A95,Products!$A$59:$H$159,5,FALSE)))</f>
        <v/>
      </c>
      <c r="G96" s="16" t="str">
        <f>IF($A$93="","",IF(VLOOKUP($A95,Products!$A$59:$H$159,8,FALSE)="","",VLOOKUP($A95,Products!$A$59:$H$159,8,FALSE)))</f>
        <v/>
      </c>
      <c r="H96" s="77" t="s">
        <v>9360</v>
      </c>
      <c r="I96" s="77" t="s">
        <v>9360</v>
      </c>
      <c r="J96" s="77" t="s">
        <v>9360</v>
      </c>
      <c r="K96" s="2" t="str">
        <f t="shared" si="26"/>
        <v/>
      </c>
      <c r="L96" s="2" t="str">
        <f t="shared" si="24"/>
        <v/>
      </c>
      <c r="M96" s="2" t="str">
        <f t="shared" si="24"/>
        <v/>
      </c>
      <c r="N96" s="12" t="str">
        <f t="shared" si="24"/>
        <v/>
      </c>
    </row>
    <row r="97" spans="1:14" x14ac:dyDescent="0.2">
      <c r="A97" s="627" t="str">
        <f t="shared" si="23"/>
        <v>AAAA</v>
      </c>
      <c r="B97" s="628"/>
      <c r="C97" s="77" t="s">
        <v>9360</v>
      </c>
      <c r="D97" s="77" t="s">
        <v>9360</v>
      </c>
      <c r="E97" s="77">
        <f t="shared" si="25"/>
        <v>0</v>
      </c>
      <c r="F97" s="16" t="str">
        <f>IF($A$93="","",IF(VLOOKUP($A96,Products!$A$59:$H$159,5,FALSE)="","",VLOOKUP($A96,Products!$A$59:$H$159,5,FALSE)))</f>
        <v/>
      </c>
      <c r="G97" s="16" t="str">
        <f>IF($A$93="","",IF(VLOOKUP($A96,Products!$A$59:$H$159,8,FALSE)="","",VLOOKUP($A96,Products!$A$59:$H$159,8,FALSE)))</f>
        <v/>
      </c>
      <c r="H97" s="77" t="s">
        <v>9360</v>
      </c>
      <c r="I97" s="77" t="s">
        <v>9360</v>
      </c>
      <c r="J97" s="77" t="s">
        <v>9360</v>
      </c>
      <c r="K97" s="2" t="str">
        <f t="shared" si="26"/>
        <v/>
      </c>
      <c r="L97" s="2" t="str">
        <f t="shared" si="24"/>
        <v/>
      </c>
      <c r="M97" s="2" t="str">
        <f t="shared" si="24"/>
        <v/>
      </c>
      <c r="N97" s="12" t="str">
        <f t="shared" si="24"/>
        <v/>
      </c>
    </row>
    <row r="98" spans="1:14" x14ac:dyDescent="0.2">
      <c r="A98" s="627" t="str">
        <f t="shared" si="23"/>
        <v>AAAAA</v>
      </c>
      <c r="B98" s="628"/>
      <c r="C98" s="77" t="s">
        <v>9360</v>
      </c>
      <c r="D98" s="77" t="s">
        <v>9360</v>
      </c>
      <c r="E98" s="77">
        <f t="shared" si="25"/>
        <v>0</v>
      </c>
      <c r="F98" s="16" t="str">
        <f>IF($A$93="","",IF(VLOOKUP($A97,Products!$A$59:$H$159,5,FALSE)="","",VLOOKUP($A97,Products!$A$59:$H$159,5,FALSE)))</f>
        <v/>
      </c>
      <c r="G98" s="16" t="str">
        <f>IF($A$93="","",IF(VLOOKUP($A97,Products!$A$59:$H$159,8,FALSE)="","",VLOOKUP($A97,Products!$A$59:$H$159,8,FALSE)))</f>
        <v/>
      </c>
      <c r="H98" s="77" t="s">
        <v>9360</v>
      </c>
      <c r="I98" s="77" t="s">
        <v>9360</v>
      </c>
      <c r="J98" s="77" t="s">
        <v>9360</v>
      </c>
      <c r="K98" s="2" t="str">
        <f t="shared" si="26"/>
        <v/>
      </c>
      <c r="L98" s="2" t="str">
        <f t="shared" si="24"/>
        <v/>
      </c>
      <c r="M98" s="2" t="str">
        <f t="shared" si="24"/>
        <v/>
      </c>
      <c r="N98" s="12" t="str">
        <f t="shared" si="24"/>
        <v/>
      </c>
    </row>
    <row r="99" spans="1:14" x14ac:dyDescent="0.2">
      <c r="A99" s="627" t="str">
        <f t="shared" si="23"/>
        <v>AAAAAA</v>
      </c>
      <c r="B99" s="628"/>
      <c r="C99" s="77" t="s">
        <v>9360</v>
      </c>
      <c r="D99" s="77" t="s">
        <v>9360</v>
      </c>
      <c r="E99" s="77">
        <f t="shared" si="25"/>
        <v>0</v>
      </c>
      <c r="F99" s="16" t="str">
        <f>IF($A$93="","",IF(VLOOKUP($A98,Products!$A$59:$H$159,5,FALSE)="","",VLOOKUP($A98,Products!$A$59:$H$159,5,FALSE)))</f>
        <v/>
      </c>
      <c r="G99" s="16" t="str">
        <f>IF($A$93="","",IF(VLOOKUP($A98,Products!$A$59:$H$159,8,FALSE)="","",VLOOKUP($A98,Products!$A$59:$H$159,8,FALSE)))</f>
        <v/>
      </c>
      <c r="H99" s="77" t="s">
        <v>9360</v>
      </c>
      <c r="I99" s="77" t="s">
        <v>9360</v>
      </c>
      <c r="J99" s="77" t="s">
        <v>9360</v>
      </c>
      <c r="K99" s="2" t="str">
        <f t="shared" si="26"/>
        <v/>
      </c>
      <c r="L99" s="2" t="str">
        <f t="shared" si="24"/>
        <v/>
      </c>
      <c r="M99" s="2" t="str">
        <f t="shared" si="24"/>
        <v/>
      </c>
      <c r="N99" s="12" t="str">
        <f t="shared" si="24"/>
        <v/>
      </c>
    </row>
    <row r="100" spans="1:14" x14ac:dyDescent="0.2">
      <c r="A100" s="627" t="str">
        <f t="shared" si="23"/>
        <v>AAAAAAA</v>
      </c>
      <c r="B100" s="628"/>
      <c r="C100" s="77" t="s">
        <v>9360</v>
      </c>
      <c r="D100" s="77" t="s">
        <v>9360</v>
      </c>
      <c r="E100" s="77">
        <f t="shared" si="25"/>
        <v>0</v>
      </c>
      <c r="F100" s="16" t="str">
        <f>IF($A$93="","",IF(VLOOKUP($A99,Products!$A$59:$H$159,5,FALSE)="","",VLOOKUP($A99,Products!$A$59:$H$159,5,FALSE)))</f>
        <v/>
      </c>
      <c r="G100" s="16" t="str">
        <f>IF($A$93="","",IF(VLOOKUP($A99,Products!$A$59:$H$159,8,FALSE)="","",VLOOKUP($A99,Products!$A$59:$H$159,8,FALSE)))</f>
        <v/>
      </c>
      <c r="H100" s="77" t="s">
        <v>9360</v>
      </c>
      <c r="I100" s="77" t="s">
        <v>9360</v>
      </c>
      <c r="J100" s="77" t="s">
        <v>9360</v>
      </c>
      <c r="K100" s="2" t="str">
        <f t="shared" si="26"/>
        <v/>
      </c>
      <c r="L100" s="2" t="str">
        <f t="shared" si="24"/>
        <v/>
      </c>
      <c r="M100" s="2" t="str">
        <f t="shared" si="24"/>
        <v/>
      </c>
      <c r="N100" s="12" t="str">
        <f t="shared" si="24"/>
        <v/>
      </c>
    </row>
    <row r="101" spans="1:14" x14ac:dyDescent="0.2">
      <c r="A101" s="627" t="str">
        <f t="shared" si="23"/>
        <v>AAAAAAAA</v>
      </c>
      <c r="B101" s="628"/>
      <c r="C101" s="77" t="s">
        <v>9360</v>
      </c>
      <c r="D101" s="77" t="s">
        <v>9360</v>
      </c>
      <c r="E101" s="77">
        <f t="shared" si="25"/>
        <v>0</v>
      </c>
      <c r="F101" s="16" t="str">
        <f>IF($A$93="","",IF(VLOOKUP($A100,Products!$A$59:$H$159,5,FALSE)="","",VLOOKUP($A100,Products!$A$59:$H$159,5,FALSE)))</f>
        <v/>
      </c>
      <c r="G101" s="16" t="str">
        <f>IF($A$93="","",IF(VLOOKUP($A100,Products!$A$59:$H$159,8,FALSE)="","",VLOOKUP($A100,Products!$A$59:$H$159,8,FALSE)))</f>
        <v/>
      </c>
      <c r="H101" s="77" t="s">
        <v>9360</v>
      </c>
      <c r="I101" s="77" t="s">
        <v>9360</v>
      </c>
      <c r="J101" s="77" t="s">
        <v>9360</v>
      </c>
      <c r="K101" s="2" t="str">
        <f t="shared" si="26"/>
        <v/>
      </c>
      <c r="L101" s="2" t="str">
        <f t="shared" si="24"/>
        <v/>
      </c>
      <c r="M101" s="2" t="str">
        <f t="shared" si="24"/>
        <v/>
      </c>
      <c r="N101" s="12" t="str">
        <f t="shared" si="24"/>
        <v/>
      </c>
    </row>
    <row r="102" spans="1:14" x14ac:dyDescent="0.2">
      <c r="A102" s="627" t="str">
        <f t="shared" si="23"/>
        <v>AAAAAAAAA</v>
      </c>
      <c r="B102" s="628"/>
      <c r="C102" s="77" t="s">
        <v>9360</v>
      </c>
      <c r="D102" s="77" t="s">
        <v>9360</v>
      </c>
      <c r="E102" s="77">
        <f t="shared" si="25"/>
        <v>0</v>
      </c>
      <c r="F102" s="16" t="str">
        <f>IF($A$93="","",IF(VLOOKUP($A101,Products!$A$59:$H$159,5,FALSE)="","",VLOOKUP($A101,Products!$A$59:$H$159,5,FALSE)))</f>
        <v/>
      </c>
      <c r="G102" s="16" t="str">
        <f>IF($A$93="","",IF(VLOOKUP($A101,Products!$A$59:$H$159,8,FALSE)="","",VLOOKUP($A101,Products!$A$59:$H$159,8,FALSE)))</f>
        <v/>
      </c>
      <c r="H102" s="77" t="s">
        <v>9360</v>
      </c>
      <c r="I102" s="77" t="s">
        <v>9360</v>
      </c>
      <c r="J102" s="77" t="s">
        <v>9360</v>
      </c>
      <c r="K102" s="2" t="str">
        <f t="shared" si="26"/>
        <v/>
      </c>
      <c r="L102" s="2" t="str">
        <f t="shared" si="24"/>
        <v/>
      </c>
      <c r="M102" s="2" t="str">
        <f t="shared" si="24"/>
        <v/>
      </c>
      <c r="N102" s="12" t="str">
        <f t="shared" si="24"/>
        <v/>
      </c>
    </row>
    <row r="103" spans="1:14" x14ac:dyDescent="0.2">
      <c r="A103" s="627" t="str">
        <f t="shared" si="23"/>
        <v>AAAAAAAAAA</v>
      </c>
      <c r="B103" s="628"/>
      <c r="C103" s="77" t="s">
        <v>9360</v>
      </c>
      <c r="D103" s="77" t="s">
        <v>9360</v>
      </c>
      <c r="E103" s="77">
        <f t="shared" si="25"/>
        <v>0</v>
      </c>
      <c r="F103" s="16" t="str">
        <f>IF($A$93="","",IF(VLOOKUP($A102,Products!$A$59:$H$159,5,FALSE)="","",VLOOKUP($A102,Products!$A$59:$H$159,5,FALSE)))</f>
        <v/>
      </c>
      <c r="G103" s="16" t="str">
        <f>IF($A$93="","",IF(VLOOKUP($A102,Products!$A$59:$H$159,8,FALSE)="","",VLOOKUP($A102,Products!$A$59:$H$159,8,FALSE)))</f>
        <v/>
      </c>
      <c r="H103" s="77" t="s">
        <v>9360</v>
      </c>
      <c r="I103" s="77" t="s">
        <v>9360</v>
      </c>
      <c r="J103" s="77" t="s">
        <v>9360</v>
      </c>
      <c r="K103" s="2" t="str">
        <f t="shared" si="26"/>
        <v/>
      </c>
      <c r="L103" s="2" t="str">
        <f t="shared" si="24"/>
        <v/>
      </c>
      <c r="M103" s="2" t="str">
        <f t="shared" si="24"/>
        <v/>
      </c>
      <c r="N103" s="12" t="str">
        <f t="shared" si="24"/>
        <v/>
      </c>
    </row>
    <row r="104" spans="1:14" x14ac:dyDescent="0.2">
      <c r="A104" s="651"/>
      <c r="B104" s="615"/>
      <c r="C104" s="41"/>
      <c r="D104" s="41"/>
      <c r="E104" s="41"/>
      <c r="F104" s="16" t="s">
        <v>291</v>
      </c>
      <c r="G104" s="16">
        <v>1</v>
      </c>
      <c r="H104" s="16" t="str">
        <f>IF(A104="","",IF(VLOOKUP($A104,Products!$A$59:$H$159,2,FALSE)="","",VLOOKUP($A104,Products!$A$59:$H$159,2,FALSE)))</f>
        <v/>
      </c>
      <c r="I104" s="16" t="str">
        <f>IF(A104="","",IF(VLOOKUP($A104,Products!$A$59:$H$159,3,FALSE)="","",VLOOKUP($A104,Products!$A$59:$H$159,3,FALSE)))</f>
        <v/>
      </c>
      <c r="J104" s="16" t="str">
        <f>IF(A104="","",IF(VLOOKUP($A104,Products!$A$59:$H$159,4,FALSE)="","",VLOOKUP($A104,Products!$A$59:$H$159,4,FALSE)))</f>
        <v/>
      </c>
      <c r="K104" s="2" t="str">
        <f>IF(OR($A104="",C104="",$E104=""),"",((12.46*$F$21*$I104*$H104)/$F$22)*((C104*42)/1000)*(IF($E104="YES",(1-$F$20),1)))</f>
        <v/>
      </c>
      <c r="L104" s="2" t="str">
        <f>IF(OR($A104="",$D104="",$E104=""),"",((12.46*$F$21*$J104*$H104)/$F$23)*(($D104*42)/1000)*(1/2000)*(IF($E104="YES",(1-$F$20),1)))</f>
        <v/>
      </c>
      <c r="M104" s="2" t="str">
        <f>IF(OR($A104="",$C104="",$E104=""),"",((12.46*$F$21*$I104*$H104)/$F$22)*(($C104*42)/1000)*(IF($E104="YES",$F$20,0)))</f>
        <v/>
      </c>
      <c r="N104" s="12" t="str">
        <f>IF(OR($A104="",$D104="",$E104=""),"",((12.46*$F$21*$J104*$H104)/$F$23)*(($D104*42)/1000)*(1/2000)*(IF($E104="YES",$F$20,0)))</f>
        <v/>
      </c>
    </row>
    <row r="105" spans="1:14" x14ac:dyDescent="0.2">
      <c r="A105" s="627" t="str">
        <f t="shared" ref="A105:A114" si="27">A104&amp;"A"</f>
        <v>A</v>
      </c>
      <c r="B105" s="628"/>
      <c r="C105" s="77" t="s">
        <v>9360</v>
      </c>
      <c r="D105" s="77" t="s">
        <v>9360</v>
      </c>
      <c r="E105" s="77">
        <f>E104</f>
        <v>0</v>
      </c>
      <c r="F105" s="16" t="str">
        <f>IF($A$104="","",IF(VLOOKUP($A104,Products!$A$59:$H$159,5,FALSE)="","",VLOOKUP($A104,Products!$A$59:$H$159,5,FALSE)))</f>
        <v/>
      </c>
      <c r="G105" s="16" t="str">
        <f>IF($A$104="","",IF(VLOOKUP($A104,Products!$A$59:$H$159,8,FALSE)="","",VLOOKUP($A104,Products!$A$59:$H$159,8,FALSE)))</f>
        <v/>
      </c>
      <c r="H105" s="77" t="s">
        <v>9360</v>
      </c>
      <c r="I105" s="77" t="s">
        <v>9360</v>
      </c>
      <c r="J105" s="77" t="s">
        <v>9360</v>
      </c>
      <c r="K105" s="2" t="str">
        <f>IF($G105="","",K$104*$G105)</f>
        <v/>
      </c>
      <c r="L105" s="2" t="str">
        <f t="shared" ref="L105:N114" si="28">IF($G105="","",L$104*$G105)</f>
        <v/>
      </c>
      <c r="M105" s="2" t="str">
        <f t="shared" si="28"/>
        <v/>
      </c>
      <c r="N105" s="12" t="str">
        <f t="shared" si="28"/>
        <v/>
      </c>
    </row>
    <row r="106" spans="1:14" x14ac:dyDescent="0.2">
      <c r="A106" s="627" t="str">
        <f t="shared" si="27"/>
        <v>AA</v>
      </c>
      <c r="B106" s="628"/>
      <c r="C106" s="77" t="s">
        <v>9360</v>
      </c>
      <c r="D106" s="77" t="s">
        <v>9360</v>
      </c>
      <c r="E106" s="77">
        <f t="shared" ref="E106:E114" si="29">E105</f>
        <v>0</v>
      </c>
      <c r="F106" s="16" t="str">
        <f>IF($A$104="","",IF(VLOOKUP($A105,Products!$A$59:$H$159,5,FALSE)="","",VLOOKUP($A105,Products!$A$59:$H$159,5,FALSE)))</f>
        <v/>
      </c>
      <c r="G106" s="16" t="str">
        <f>IF($A$104="","",IF(VLOOKUP($A105,Products!$A$59:$H$159,8,FALSE)="","",VLOOKUP($A105,Products!$A$59:$H$159,8,FALSE)))</f>
        <v/>
      </c>
      <c r="H106" s="77" t="s">
        <v>9360</v>
      </c>
      <c r="I106" s="77" t="s">
        <v>9360</v>
      </c>
      <c r="J106" s="77" t="s">
        <v>9360</v>
      </c>
      <c r="K106" s="2" t="str">
        <f t="shared" ref="K106:K114" si="30">IF($G106="","",K$104*$G106)</f>
        <v/>
      </c>
      <c r="L106" s="2" t="str">
        <f t="shared" si="28"/>
        <v/>
      </c>
      <c r="M106" s="2" t="str">
        <f t="shared" si="28"/>
        <v/>
      </c>
      <c r="N106" s="12" t="str">
        <f t="shared" si="28"/>
        <v/>
      </c>
    </row>
    <row r="107" spans="1:14" x14ac:dyDescent="0.2">
      <c r="A107" s="627" t="str">
        <f t="shared" si="27"/>
        <v>AAA</v>
      </c>
      <c r="B107" s="628"/>
      <c r="C107" s="77" t="s">
        <v>9360</v>
      </c>
      <c r="D107" s="77" t="s">
        <v>9360</v>
      </c>
      <c r="E107" s="77">
        <f t="shared" si="29"/>
        <v>0</v>
      </c>
      <c r="F107" s="16" t="str">
        <f>IF($A$104="","",IF(VLOOKUP($A106,Products!$A$59:$H$159,5,FALSE)="","",VLOOKUP($A106,Products!$A$59:$H$159,5,FALSE)))</f>
        <v/>
      </c>
      <c r="G107" s="16" t="str">
        <f>IF($A$104="","",IF(VLOOKUP($A106,Products!$A$59:$H$159,8,FALSE)="","",VLOOKUP($A106,Products!$A$59:$H$159,8,FALSE)))</f>
        <v/>
      </c>
      <c r="H107" s="77" t="s">
        <v>9360</v>
      </c>
      <c r="I107" s="77" t="s">
        <v>9360</v>
      </c>
      <c r="J107" s="77" t="s">
        <v>9360</v>
      </c>
      <c r="K107" s="2" t="str">
        <f t="shared" si="30"/>
        <v/>
      </c>
      <c r="L107" s="2" t="str">
        <f t="shared" si="28"/>
        <v/>
      </c>
      <c r="M107" s="2" t="str">
        <f t="shared" si="28"/>
        <v/>
      </c>
      <c r="N107" s="12" t="str">
        <f t="shared" si="28"/>
        <v/>
      </c>
    </row>
    <row r="108" spans="1:14" x14ac:dyDescent="0.2">
      <c r="A108" s="627" t="str">
        <f t="shared" si="27"/>
        <v>AAAA</v>
      </c>
      <c r="B108" s="628"/>
      <c r="C108" s="77" t="s">
        <v>9360</v>
      </c>
      <c r="D108" s="77" t="s">
        <v>9360</v>
      </c>
      <c r="E108" s="77">
        <f t="shared" si="29"/>
        <v>0</v>
      </c>
      <c r="F108" s="16" t="str">
        <f>IF($A$104="","",IF(VLOOKUP($A107,Products!$A$59:$H$159,5,FALSE)="","",VLOOKUP($A107,Products!$A$59:$H$159,5,FALSE)))</f>
        <v/>
      </c>
      <c r="G108" s="16" t="str">
        <f>IF($A$104="","",IF(VLOOKUP($A107,Products!$A$59:$H$159,8,FALSE)="","",VLOOKUP($A107,Products!$A$59:$H$159,8,FALSE)))</f>
        <v/>
      </c>
      <c r="H108" s="77" t="s">
        <v>9360</v>
      </c>
      <c r="I108" s="77" t="s">
        <v>9360</v>
      </c>
      <c r="J108" s="77" t="s">
        <v>9360</v>
      </c>
      <c r="K108" s="2" t="str">
        <f t="shared" si="30"/>
        <v/>
      </c>
      <c r="L108" s="2" t="str">
        <f t="shared" si="28"/>
        <v/>
      </c>
      <c r="M108" s="2" t="str">
        <f t="shared" si="28"/>
        <v/>
      </c>
      <c r="N108" s="12" t="str">
        <f t="shared" si="28"/>
        <v/>
      </c>
    </row>
    <row r="109" spans="1:14" x14ac:dyDescent="0.2">
      <c r="A109" s="627" t="str">
        <f t="shared" si="27"/>
        <v>AAAAA</v>
      </c>
      <c r="B109" s="628"/>
      <c r="C109" s="77" t="s">
        <v>9360</v>
      </c>
      <c r="D109" s="77" t="s">
        <v>9360</v>
      </c>
      <c r="E109" s="77">
        <f t="shared" si="29"/>
        <v>0</v>
      </c>
      <c r="F109" s="16" t="str">
        <f>IF($A$104="","",IF(VLOOKUP($A108,Products!$A$59:$H$159,5,FALSE)="","",VLOOKUP($A108,Products!$A$59:$H$159,5,FALSE)))</f>
        <v/>
      </c>
      <c r="G109" s="16" t="str">
        <f>IF($A$104="","",IF(VLOOKUP($A108,Products!$A$59:$H$159,8,FALSE)="","",VLOOKUP($A108,Products!$A$59:$H$159,8,FALSE)))</f>
        <v/>
      </c>
      <c r="H109" s="77" t="s">
        <v>9360</v>
      </c>
      <c r="I109" s="77" t="s">
        <v>9360</v>
      </c>
      <c r="J109" s="77" t="s">
        <v>9360</v>
      </c>
      <c r="K109" s="2" t="str">
        <f t="shared" si="30"/>
        <v/>
      </c>
      <c r="L109" s="2" t="str">
        <f t="shared" si="28"/>
        <v/>
      </c>
      <c r="M109" s="2" t="str">
        <f t="shared" si="28"/>
        <v/>
      </c>
      <c r="N109" s="12" t="str">
        <f t="shared" si="28"/>
        <v/>
      </c>
    </row>
    <row r="110" spans="1:14" x14ac:dyDescent="0.2">
      <c r="A110" s="627" t="str">
        <f t="shared" si="27"/>
        <v>AAAAAA</v>
      </c>
      <c r="B110" s="628"/>
      <c r="C110" s="77" t="s">
        <v>9360</v>
      </c>
      <c r="D110" s="77" t="s">
        <v>9360</v>
      </c>
      <c r="E110" s="77">
        <f t="shared" si="29"/>
        <v>0</v>
      </c>
      <c r="F110" s="16" t="str">
        <f>IF($A$104="","",IF(VLOOKUP($A109,Products!$A$59:$H$159,5,FALSE)="","",VLOOKUP($A109,Products!$A$59:$H$159,5,FALSE)))</f>
        <v/>
      </c>
      <c r="G110" s="16" t="str">
        <f>IF($A$104="","",IF(VLOOKUP($A109,Products!$A$59:$H$159,8,FALSE)="","",VLOOKUP($A109,Products!$A$59:$H$159,8,FALSE)))</f>
        <v/>
      </c>
      <c r="H110" s="77" t="s">
        <v>9360</v>
      </c>
      <c r="I110" s="77" t="s">
        <v>9360</v>
      </c>
      <c r="J110" s="77" t="s">
        <v>9360</v>
      </c>
      <c r="K110" s="2" t="str">
        <f t="shared" si="30"/>
        <v/>
      </c>
      <c r="L110" s="2" t="str">
        <f t="shared" si="28"/>
        <v/>
      </c>
      <c r="M110" s="2" t="str">
        <f t="shared" si="28"/>
        <v/>
      </c>
      <c r="N110" s="12" t="str">
        <f t="shared" si="28"/>
        <v/>
      </c>
    </row>
    <row r="111" spans="1:14" x14ac:dyDescent="0.2">
      <c r="A111" s="627" t="str">
        <f t="shared" si="27"/>
        <v>AAAAAAA</v>
      </c>
      <c r="B111" s="628"/>
      <c r="C111" s="77" t="s">
        <v>9360</v>
      </c>
      <c r="D111" s="77" t="s">
        <v>9360</v>
      </c>
      <c r="E111" s="77">
        <f t="shared" si="29"/>
        <v>0</v>
      </c>
      <c r="F111" s="16" t="str">
        <f>IF($A$104="","",IF(VLOOKUP($A110,Products!$A$59:$H$159,5,FALSE)="","",VLOOKUP($A110,Products!$A$59:$H$159,5,FALSE)))</f>
        <v/>
      </c>
      <c r="G111" s="16" t="str">
        <f>IF($A$104="","",IF(VLOOKUP($A110,Products!$A$59:$H$159,8,FALSE)="","",VLOOKUP($A110,Products!$A$59:$H$159,8,FALSE)))</f>
        <v/>
      </c>
      <c r="H111" s="77" t="s">
        <v>9360</v>
      </c>
      <c r="I111" s="77" t="s">
        <v>9360</v>
      </c>
      <c r="J111" s="77" t="s">
        <v>9360</v>
      </c>
      <c r="K111" s="2" t="str">
        <f t="shared" si="30"/>
        <v/>
      </c>
      <c r="L111" s="2" t="str">
        <f t="shared" si="28"/>
        <v/>
      </c>
      <c r="M111" s="2" t="str">
        <f>IF($G111="","",M$104*$G111)</f>
        <v/>
      </c>
      <c r="N111" s="12" t="str">
        <f t="shared" si="28"/>
        <v/>
      </c>
    </row>
    <row r="112" spans="1:14" x14ac:dyDescent="0.2">
      <c r="A112" s="627" t="str">
        <f t="shared" si="27"/>
        <v>AAAAAAAA</v>
      </c>
      <c r="B112" s="628"/>
      <c r="C112" s="77" t="s">
        <v>9360</v>
      </c>
      <c r="D112" s="77" t="s">
        <v>9360</v>
      </c>
      <c r="E112" s="77">
        <f t="shared" si="29"/>
        <v>0</v>
      </c>
      <c r="F112" s="16" t="str">
        <f>IF($A$104="","",IF(VLOOKUP($A111,Products!$A$59:$H$159,5,FALSE)="","",VLOOKUP($A111,Products!$A$59:$H$159,5,FALSE)))</f>
        <v/>
      </c>
      <c r="G112" s="16" t="str">
        <f>IF($A$104="","",IF(VLOOKUP($A111,Products!$A$59:$H$159,8,FALSE)="","",VLOOKUP($A111,Products!$A$59:$H$159,8,FALSE)))</f>
        <v/>
      </c>
      <c r="H112" s="77" t="s">
        <v>9360</v>
      </c>
      <c r="I112" s="77" t="s">
        <v>9360</v>
      </c>
      <c r="J112" s="77" t="s">
        <v>9360</v>
      </c>
      <c r="K112" s="2" t="str">
        <f t="shared" si="30"/>
        <v/>
      </c>
      <c r="L112" s="2" t="str">
        <f t="shared" si="28"/>
        <v/>
      </c>
      <c r="M112" s="2" t="str">
        <f t="shared" si="28"/>
        <v/>
      </c>
      <c r="N112" s="12" t="str">
        <f t="shared" si="28"/>
        <v/>
      </c>
    </row>
    <row r="113" spans="1:14" x14ac:dyDescent="0.2">
      <c r="A113" s="627" t="str">
        <f t="shared" si="27"/>
        <v>AAAAAAAAA</v>
      </c>
      <c r="B113" s="628"/>
      <c r="C113" s="77" t="s">
        <v>9360</v>
      </c>
      <c r="D113" s="77" t="s">
        <v>9360</v>
      </c>
      <c r="E113" s="77">
        <f t="shared" si="29"/>
        <v>0</v>
      </c>
      <c r="F113" s="16" t="str">
        <f>IF($A$104="","",IF(VLOOKUP($A112,Products!$A$59:$H$159,5,FALSE)="","",VLOOKUP($A112,Products!$A$59:$H$159,5,FALSE)))</f>
        <v/>
      </c>
      <c r="G113" s="16" t="str">
        <f>IF($A$104="","",IF(VLOOKUP($A112,Products!$A$59:$H$159,8,FALSE)="","",VLOOKUP($A112,Products!$A$59:$H$159,8,FALSE)))</f>
        <v/>
      </c>
      <c r="H113" s="77" t="s">
        <v>9360</v>
      </c>
      <c r="I113" s="77" t="s">
        <v>9360</v>
      </c>
      <c r="J113" s="77" t="s">
        <v>9360</v>
      </c>
      <c r="K113" s="2" t="str">
        <f t="shared" si="30"/>
        <v/>
      </c>
      <c r="L113" s="2" t="str">
        <f t="shared" si="28"/>
        <v/>
      </c>
      <c r="M113" s="2" t="str">
        <f t="shared" si="28"/>
        <v/>
      </c>
      <c r="N113" s="12" t="str">
        <f t="shared" si="28"/>
        <v/>
      </c>
    </row>
    <row r="114" spans="1:14" x14ac:dyDescent="0.2">
      <c r="A114" s="627" t="str">
        <f t="shared" si="27"/>
        <v>AAAAAAAAAA</v>
      </c>
      <c r="B114" s="628"/>
      <c r="C114" s="77" t="s">
        <v>9360</v>
      </c>
      <c r="D114" s="77" t="s">
        <v>9360</v>
      </c>
      <c r="E114" s="77">
        <f t="shared" si="29"/>
        <v>0</v>
      </c>
      <c r="F114" s="16" t="str">
        <f>IF($A$104="","",IF(VLOOKUP($A113,Products!$A$59:$H$159,5,FALSE)="","",VLOOKUP($A113,Products!$A$59:$H$159,5,FALSE)))</f>
        <v/>
      </c>
      <c r="G114" s="16" t="str">
        <f>IF($A$104="","",IF(VLOOKUP($A113,Products!$A$59:$H$159,8,FALSE)="","",VLOOKUP($A113,Products!$A$59:$H$159,8,FALSE)))</f>
        <v/>
      </c>
      <c r="H114" s="77" t="s">
        <v>9360</v>
      </c>
      <c r="I114" s="77" t="s">
        <v>9360</v>
      </c>
      <c r="J114" s="77" t="s">
        <v>9360</v>
      </c>
      <c r="K114" s="2" t="str">
        <f t="shared" si="30"/>
        <v/>
      </c>
      <c r="L114" s="2" t="str">
        <f t="shared" si="28"/>
        <v/>
      </c>
      <c r="M114" s="2" t="str">
        <f t="shared" si="28"/>
        <v/>
      </c>
      <c r="N114" s="12" t="str">
        <f>IF($G114="","",N$104*$G114)</f>
        <v/>
      </c>
    </row>
    <row r="115" spans="1:14" x14ac:dyDescent="0.2">
      <c r="A115" s="651"/>
      <c r="B115" s="615"/>
      <c r="C115" s="41"/>
      <c r="D115" s="41"/>
      <c r="E115" s="41"/>
      <c r="F115" s="16" t="s">
        <v>291</v>
      </c>
      <c r="G115" s="16">
        <v>1</v>
      </c>
      <c r="H115" s="16" t="str">
        <f>IF(A115="","",IF(VLOOKUP($A115,Products!$A$59:$H$159,2,FALSE)="","",VLOOKUP($A115,Products!$A$59:$H$159,2,FALSE)))</f>
        <v/>
      </c>
      <c r="I115" s="16" t="str">
        <f>IF(A115="","",IF(VLOOKUP($A115,Products!$A$59:$H$159,3,FALSE)="","",VLOOKUP($A115,Products!$A$59:$H$159,3,FALSE)))</f>
        <v/>
      </c>
      <c r="J115" s="16" t="str">
        <f>IF(A115="","",IF(VLOOKUP($A115,Products!$A$59:$H$159,4,FALSE)="","",VLOOKUP($A115,Products!$A$59:$H$159,4,FALSE)))</f>
        <v/>
      </c>
      <c r="K115" s="2" t="str">
        <f>IF(OR($A115="",C115="",$E115=""),"",((12.46*$F$21*$I115*$H115)/$F$22)*((C115*42)/1000)*(IF($E115="YES",(1-$F$20),1)))</f>
        <v/>
      </c>
      <c r="L115" s="2" t="str">
        <f>IF(OR($A115="",$D115="",$E115=""),"",((12.46*$F$21*$J115*$H115)/$F$23)*(($D115*42)/1000)*(1/2000)*(IF($E115="YES",(1-$F$20),1)))</f>
        <v/>
      </c>
      <c r="M115" s="2" t="str">
        <f>IF(OR($A115="",$C115="",$E115=""),"",((12.46*$F$21*$I115*$H115)/$F$22)*(($C115*42)/1000)*(IF($E115="YES",$F$20,0)))</f>
        <v/>
      </c>
      <c r="N115" s="12" t="str">
        <f>IF(OR($A115="",$D115="",$E115=""),"",((12.46*$F$21*$J115*$H115)/$F$23)*(($D115*42)/1000)*(1/2000)*(IF($E115="YES",$F$20,0)))</f>
        <v/>
      </c>
    </row>
    <row r="116" spans="1:14" x14ac:dyDescent="0.2">
      <c r="A116" s="627" t="str">
        <f t="shared" ref="A116:A125" si="31">A115&amp;"A"</f>
        <v>A</v>
      </c>
      <c r="B116" s="628"/>
      <c r="C116" s="77" t="s">
        <v>9360</v>
      </c>
      <c r="D116" s="77" t="s">
        <v>9360</v>
      </c>
      <c r="E116" s="77">
        <f>E115</f>
        <v>0</v>
      </c>
      <c r="F116" s="16" t="str">
        <f>IF($A$115="","",IF(VLOOKUP($A115,Products!$A$59:$H$159,5,FALSE)="","",VLOOKUP($A115,Products!$A$59:$H$159,5,FALSE)))</f>
        <v/>
      </c>
      <c r="G116" s="16" t="str">
        <f>IF($A$115="","",IF(VLOOKUP($A115,Products!$A$59:$H$159,8,FALSE)="","",VLOOKUP($A115,Products!$A$59:$H$159,8,FALSE)))</f>
        <v/>
      </c>
      <c r="H116" s="77" t="s">
        <v>9360</v>
      </c>
      <c r="I116" s="77" t="s">
        <v>9360</v>
      </c>
      <c r="J116" s="77" t="s">
        <v>9360</v>
      </c>
      <c r="K116" s="2" t="str">
        <f>IF($G116="","",K$115*$G116)</f>
        <v/>
      </c>
      <c r="L116" s="2" t="str">
        <f t="shared" ref="L116:N125" si="32">IF($G116="","",L$115*$G116)</f>
        <v/>
      </c>
      <c r="M116" s="2" t="str">
        <f t="shared" si="32"/>
        <v/>
      </c>
      <c r="N116" s="12" t="str">
        <f t="shared" si="32"/>
        <v/>
      </c>
    </row>
    <row r="117" spans="1:14" x14ac:dyDescent="0.2">
      <c r="A117" s="627" t="str">
        <f t="shared" si="31"/>
        <v>AA</v>
      </c>
      <c r="B117" s="628"/>
      <c r="C117" s="77" t="s">
        <v>9360</v>
      </c>
      <c r="D117" s="77" t="s">
        <v>9360</v>
      </c>
      <c r="E117" s="77">
        <f t="shared" ref="E117:E125" si="33">E116</f>
        <v>0</v>
      </c>
      <c r="F117" s="16" t="str">
        <f>IF($A$115="","",IF(VLOOKUP($A116,Products!$A$59:$H$159,5,FALSE)="","",VLOOKUP($A116,Products!$A$59:$H$159,5,FALSE)))</f>
        <v/>
      </c>
      <c r="G117" s="16" t="str">
        <f>IF($A$115="","",IF(VLOOKUP($A116,Products!$A$59:$H$159,8,FALSE)="","",VLOOKUP($A116,Products!$A$59:$H$159,8,FALSE)))</f>
        <v/>
      </c>
      <c r="H117" s="77" t="s">
        <v>9360</v>
      </c>
      <c r="I117" s="77" t="s">
        <v>9360</v>
      </c>
      <c r="J117" s="77" t="s">
        <v>9360</v>
      </c>
      <c r="K117" s="2" t="str">
        <f t="shared" ref="K117:K125" si="34">IF($G117="","",K$115*$G117)</f>
        <v/>
      </c>
      <c r="L117" s="2" t="str">
        <f>IF($G117="","",L$115*$G117)</f>
        <v/>
      </c>
      <c r="M117" s="2" t="str">
        <f t="shared" si="32"/>
        <v/>
      </c>
      <c r="N117" s="12" t="str">
        <f>IF($G117="","",N$115*$G117)</f>
        <v/>
      </c>
    </row>
    <row r="118" spans="1:14" x14ac:dyDescent="0.2">
      <c r="A118" s="627" t="str">
        <f t="shared" si="31"/>
        <v>AAA</v>
      </c>
      <c r="B118" s="628"/>
      <c r="C118" s="77" t="s">
        <v>9360</v>
      </c>
      <c r="D118" s="77" t="s">
        <v>9360</v>
      </c>
      <c r="E118" s="77">
        <f t="shared" si="33"/>
        <v>0</v>
      </c>
      <c r="F118" s="16" t="str">
        <f>IF($A$115="","",IF(VLOOKUP($A117,Products!$A$59:$H$159,5,FALSE)="","",VLOOKUP($A117,Products!$A$59:$H$159,5,FALSE)))</f>
        <v/>
      </c>
      <c r="G118" s="16" t="str">
        <f>IF($A$115="","",IF(VLOOKUP($A117,Products!$A$59:$H$159,8,FALSE)="","",VLOOKUP($A117,Products!$A$59:$H$159,8,FALSE)))</f>
        <v/>
      </c>
      <c r="H118" s="77" t="s">
        <v>9360</v>
      </c>
      <c r="I118" s="77" t="s">
        <v>9360</v>
      </c>
      <c r="J118" s="77" t="s">
        <v>9360</v>
      </c>
      <c r="K118" s="2" t="str">
        <f t="shared" si="34"/>
        <v/>
      </c>
      <c r="L118" s="2" t="str">
        <f t="shared" si="32"/>
        <v/>
      </c>
      <c r="M118" s="2" t="str">
        <f t="shared" si="32"/>
        <v/>
      </c>
      <c r="N118" s="12" t="str">
        <f t="shared" si="32"/>
        <v/>
      </c>
    </row>
    <row r="119" spans="1:14" x14ac:dyDescent="0.2">
      <c r="A119" s="627" t="str">
        <f t="shared" si="31"/>
        <v>AAAA</v>
      </c>
      <c r="B119" s="628"/>
      <c r="C119" s="77" t="s">
        <v>9360</v>
      </c>
      <c r="D119" s="77" t="s">
        <v>9360</v>
      </c>
      <c r="E119" s="77">
        <f t="shared" si="33"/>
        <v>0</v>
      </c>
      <c r="F119" s="16" t="str">
        <f>IF($A$115="","",IF(VLOOKUP($A118,Products!$A$59:$H$159,5,FALSE)="","",VLOOKUP($A118,Products!$A$59:$H$159,5,FALSE)))</f>
        <v/>
      </c>
      <c r="G119" s="16" t="str">
        <f>IF($A$115="","",IF(VLOOKUP($A118,Products!$A$59:$H$159,8,FALSE)="","",VLOOKUP($A118,Products!$A$59:$H$159,8,FALSE)))</f>
        <v/>
      </c>
      <c r="H119" s="77" t="s">
        <v>9360</v>
      </c>
      <c r="I119" s="77" t="s">
        <v>9360</v>
      </c>
      <c r="J119" s="77" t="s">
        <v>9360</v>
      </c>
      <c r="K119" s="2" t="str">
        <f t="shared" si="34"/>
        <v/>
      </c>
      <c r="L119" s="2" t="str">
        <f t="shared" si="32"/>
        <v/>
      </c>
      <c r="M119" s="2" t="str">
        <f t="shared" si="32"/>
        <v/>
      </c>
      <c r="N119" s="12" t="str">
        <f t="shared" si="32"/>
        <v/>
      </c>
    </row>
    <row r="120" spans="1:14" x14ac:dyDescent="0.2">
      <c r="A120" s="627" t="str">
        <f t="shared" si="31"/>
        <v>AAAAA</v>
      </c>
      <c r="B120" s="628"/>
      <c r="C120" s="77" t="s">
        <v>9360</v>
      </c>
      <c r="D120" s="77" t="s">
        <v>9360</v>
      </c>
      <c r="E120" s="77">
        <f t="shared" si="33"/>
        <v>0</v>
      </c>
      <c r="F120" s="16" t="str">
        <f>IF($A$115="","",IF(VLOOKUP($A119,Products!$A$59:$H$159,5,FALSE)="","",VLOOKUP($A119,Products!$A$59:$H$159,5,FALSE)))</f>
        <v/>
      </c>
      <c r="G120" s="16" t="str">
        <f>IF($A$115="","",IF(VLOOKUP($A119,Products!$A$59:$H$159,8,FALSE)="","",VLOOKUP($A119,Products!$A$59:$H$159,8,FALSE)))</f>
        <v/>
      </c>
      <c r="H120" s="77" t="s">
        <v>9360</v>
      </c>
      <c r="I120" s="77" t="s">
        <v>9360</v>
      </c>
      <c r="J120" s="77" t="s">
        <v>9360</v>
      </c>
      <c r="K120" s="2" t="str">
        <f t="shared" si="34"/>
        <v/>
      </c>
      <c r="L120" s="2" t="str">
        <f t="shared" si="32"/>
        <v/>
      </c>
      <c r="M120" s="2" t="str">
        <f t="shared" si="32"/>
        <v/>
      </c>
      <c r="N120" s="12" t="str">
        <f t="shared" si="32"/>
        <v/>
      </c>
    </row>
    <row r="121" spans="1:14" x14ac:dyDescent="0.2">
      <c r="A121" s="627" t="str">
        <f t="shared" si="31"/>
        <v>AAAAAA</v>
      </c>
      <c r="B121" s="628"/>
      <c r="C121" s="77" t="s">
        <v>9360</v>
      </c>
      <c r="D121" s="77" t="s">
        <v>9360</v>
      </c>
      <c r="E121" s="77">
        <f t="shared" si="33"/>
        <v>0</v>
      </c>
      <c r="F121" s="16" t="str">
        <f>IF($A$115="","",IF(VLOOKUP($A120,Products!$A$59:$H$159,5,FALSE)="","",VLOOKUP($A120,Products!$A$59:$H$159,5,FALSE)))</f>
        <v/>
      </c>
      <c r="G121" s="16" t="str">
        <f>IF($A$115="","",IF(VLOOKUP($A120,Products!$A$59:$H$159,8,FALSE)="","",VLOOKUP($A120,Products!$A$59:$H$159,8,FALSE)))</f>
        <v/>
      </c>
      <c r="H121" s="77" t="s">
        <v>9360</v>
      </c>
      <c r="I121" s="77" t="s">
        <v>9360</v>
      </c>
      <c r="J121" s="77" t="s">
        <v>9360</v>
      </c>
      <c r="K121" s="2" t="str">
        <f t="shared" si="34"/>
        <v/>
      </c>
      <c r="L121" s="2" t="str">
        <f t="shared" si="32"/>
        <v/>
      </c>
      <c r="M121" s="2" t="str">
        <f t="shared" si="32"/>
        <v/>
      </c>
      <c r="N121" s="12" t="str">
        <f t="shared" si="32"/>
        <v/>
      </c>
    </row>
    <row r="122" spans="1:14" x14ac:dyDescent="0.2">
      <c r="A122" s="627" t="str">
        <f t="shared" si="31"/>
        <v>AAAAAAA</v>
      </c>
      <c r="B122" s="628"/>
      <c r="C122" s="77" t="s">
        <v>9360</v>
      </c>
      <c r="D122" s="77" t="s">
        <v>9360</v>
      </c>
      <c r="E122" s="77">
        <f t="shared" si="33"/>
        <v>0</v>
      </c>
      <c r="F122" s="16" t="str">
        <f>IF($A$115="","",IF(VLOOKUP($A121,Products!$A$59:$H$159,5,FALSE)="","",VLOOKUP($A121,Products!$A$59:$H$159,5,FALSE)))</f>
        <v/>
      </c>
      <c r="G122" s="16" t="str">
        <f>IF($A$115="","",IF(VLOOKUP($A121,Products!$A$59:$H$159,8,FALSE)="","",VLOOKUP($A121,Products!$A$59:$H$159,8,FALSE)))</f>
        <v/>
      </c>
      <c r="H122" s="77" t="s">
        <v>9360</v>
      </c>
      <c r="I122" s="77" t="s">
        <v>9360</v>
      </c>
      <c r="J122" s="77" t="s">
        <v>9360</v>
      </c>
      <c r="K122" s="2" t="str">
        <f t="shared" si="34"/>
        <v/>
      </c>
      <c r="L122" s="2" t="str">
        <f t="shared" si="32"/>
        <v/>
      </c>
      <c r="M122" s="2" t="str">
        <f t="shared" si="32"/>
        <v/>
      </c>
      <c r="N122" s="12" t="str">
        <f t="shared" si="32"/>
        <v/>
      </c>
    </row>
    <row r="123" spans="1:14" x14ac:dyDescent="0.2">
      <c r="A123" s="627" t="str">
        <f t="shared" si="31"/>
        <v>AAAAAAAA</v>
      </c>
      <c r="B123" s="628"/>
      <c r="C123" s="77" t="s">
        <v>9360</v>
      </c>
      <c r="D123" s="77" t="s">
        <v>9360</v>
      </c>
      <c r="E123" s="77">
        <f t="shared" si="33"/>
        <v>0</v>
      </c>
      <c r="F123" s="16" t="str">
        <f>IF($A$115="","",IF(VLOOKUP($A122,Products!$A$59:$H$159,5,FALSE)="","",VLOOKUP($A122,Products!$A$59:$H$159,5,FALSE)))</f>
        <v/>
      </c>
      <c r="G123" s="16" t="str">
        <f>IF($A$115="","",IF(VLOOKUP($A122,Products!$A$59:$H$159,8,FALSE)="","",VLOOKUP($A122,Products!$A$59:$H$159,8,FALSE)))</f>
        <v/>
      </c>
      <c r="H123" s="77" t="s">
        <v>9360</v>
      </c>
      <c r="I123" s="77" t="s">
        <v>9360</v>
      </c>
      <c r="J123" s="77" t="s">
        <v>9360</v>
      </c>
      <c r="K123" s="2" t="str">
        <f t="shared" si="34"/>
        <v/>
      </c>
      <c r="L123" s="2" t="str">
        <f t="shared" si="32"/>
        <v/>
      </c>
      <c r="M123" s="2" t="str">
        <f t="shared" si="32"/>
        <v/>
      </c>
      <c r="N123" s="12" t="str">
        <f t="shared" si="32"/>
        <v/>
      </c>
    </row>
    <row r="124" spans="1:14" x14ac:dyDescent="0.2">
      <c r="A124" s="627" t="str">
        <f t="shared" si="31"/>
        <v>AAAAAAAAA</v>
      </c>
      <c r="B124" s="628"/>
      <c r="C124" s="77" t="s">
        <v>9360</v>
      </c>
      <c r="D124" s="77" t="s">
        <v>9360</v>
      </c>
      <c r="E124" s="77">
        <f t="shared" si="33"/>
        <v>0</v>
      </c>
      <c r="F124" s="16" t="str">
        <f>IF($A$115="","",IF(VLOOKUP($A123,Products!$A$59:$H$159,5,FALSE)="","",VLOOKUP($A123,Products!$A$59:$H$159,5,FALSE)))</f>
        <v/>
      </c>
      <c r="G124" s="16" t="str">
        <f>IF($A$115="","",IF(VLOOKUP($A123,Products!$A$59:$H$159,8,FALSE)="","",VLOOKUP($A123,Products!$A$59:$H$159,8,FALSE)))</f>
        <v/>
      </c>
      <c r="H124" s="77" t="s">
        <v>9360</v>
      </c>
      <c r="I124" s="77" t="s">
        <v>9360</v>
      </c>
      <c r="J124" s="77" t="s">
        <v>9360</v>
      </c>
      <c r="K124" s="2" t="str">
        <f t="shared" si="34"/>
        <v/>
      </c>
      <c r="L124" s="2" t="str">
        <f t="shared" si="32"/>
        <v/>
      </c>
      <c r="M124" s="2" t="str">
        <f t="shared" si="32"/>
        <v/>
      </c>
      <c r="N124" s="12" t="str">
        <f t="shared" si="32"/>
        <v/>
      </c>
    </row>
    <row r="125" spans="1:14" x14ac:dyDescent="0.2">
      <c r="A125" s="627" t="str">
        <f t="shared" si="31"/>
        <v>AAAAAAAAAA</v>
      </c>
      <c r="B125" s="628"/>
      <c r="C125" s="77" t="s">
        <v>9360</v>
      </c>
      <c r="D125" s="77" t="s">
        <v>9360</v>
      </c>
      <c r="E125" s="77">
        <f t="shared" si="33"/>
        <v>0</v>
      </c>
      <c r="F125" s="16" t="str">
        <f>IF($A$115="","",IF(VLOOKUP($A124,Products!$A$59:$H$159,5,FALSE)="","",VLOOKUP($A124,Products!$A$59:$H$159,5,FALSE)))</f>
        <v/>
      </c>
      <c r="G125" s="16" t="str">
        <f>IF($A$115="","",IF(VLOOKUP($A124,Products!$A$59:$H$159,8,FALSE)="","",VLOOKUP($A124,Products!$A$59:$H$159,8,FALSE)))</f>
        <v/>
      </c>
      <c r="H125" s="77" t="s">
        <v>9360</v>
      </c>
      <c r="I125" s="77" t="s">
        <v>9360</v>
      </c>
      <c r="J125" s="77" t="s">
        <v>9360</v>
      </c>
      <c r="K125" s="2" t="str">
        <f t="shared" si="34"/>
        <v/>
      </c>
      <c r="L125" s="2" t="str">
        <f t="shared" si="32"/>
        <v/>
      </c>
      <c r="M125" s="2" t="str">
        <f t="shared" si="32"/>
        <v/>
      </c>
      <c r="N125" s="12" t="str">
        <f t="shared" si="32"/>
        <v/>
      </c>
    </row>
    <row r="126" spans="1:14" x14ac:dyDescent="0.2">
      <c r="A126" s="651"/>
      <c r="B126" s="615"/>
      <c r="C126" s="41"/>
      <c r="D126" s="41"/>
      <c r="E126" s="41"/>
      <c r="F126" s="16" t="s">
        <v>291</v>
      </c>
      <c r="G126" s="16">
        <v>1</v>
      </c>
      <c r="H126" s="16" t="str">
        <f>IF(A126="","",IF(VLOOKUP($A126,Products!$A$59:$H$159,2,FALSE)="","",VLOOKUP($A126,Products!$A$59:$H$159,2,FALSE)))</f>
        <v/>
      </c>
      <c r="I126" s="16" t="str">
        <f>IF(A126="","",IF(VLOOKUP($A126,Products!$A$59:$H$159,3,FALSE)="","",VLOOKUP($A126,Products!$A$59:$H$159,3,FALSE)))</f>
        <v/>
      </c>
      <c r="J126" s="16" t="str">
        <f>IF(A126="","",IF(VLOOKUP($A126,Products!$A$59:$H$159,4,FALSE)="","",VLOOKUP($A126,Products!$A$59:$H$159,4,FALSE)))</f>
        <v/>
      </c>
      <c r="K126" s="2" t="str">
        <f>IF(OR($A126="",C126="",$E126=""),"",((12.46*$F$21*$I126*$H126)/$F$22)*((C126*42)/1000)*(IF($E126="YES",(1-$F$20),1)))</f>
        <v/>
      </c>
      <c r="L126" s="2" t="str">
        <f>IF(OR($A126="",$D126="",$E126=""),"",((12.46*$F$21*$J126*$H126)/$F$23)*(($D126*42)/1000)*(1/2000)*(IF($E126="YES",(1-$F$20),1)))</f>
        <v/>
      </c>
      <c r="M126" s="2" t="str">
        <f>IF(OR($A126="",$C126="",$E126=""),"",((12.46*$F$21*$I126*$H126)/$F$22)*(($C126*42)/1000)*(IF($E126="YES",$F$20,0)))</f>
        <v/>
      </c>
      <c r="N126" s="12" t="str">
        <f>IF(OR($A126="",$D126="",$E126=""),"",((12.46*$F$21*$J126*$H126)/$F$23)*(($D126*42)/1000)*(1/2000)*(IF($E126="YES",$F$20,0)))</f>
        <v/>
      </c>
    </row>
    <row r="127" spans="1:14" x14ac:dyDescent="0.2">
      <c r="A127" s="627" t="str">
        <f t="shared" ref="A127:A136" si="35">A126&amp;"A"</f>
        <v>A</v>
      </c>
      <c r="B127" s="628"/>
      <c r="C127" s="77" t="s">
        <v>9360</v>
      </c>
      <c r="D127" s="77" t="s">
        <v>9360</v>
      </c>
      <c r="E127" s="77">
        <f>E126</f>
        <v>0</v>
      </c>
      <c r="F127" s="16" t="str">
        <f>IF($A$126="","",IF(VLOOKUP($A126,Products!$A$59:$H$159,5,FALSE)="","",VLOOKUP($A126,Products!$A$59:$H$159,5,FALSE)))</f>
        <v/>
      </c>
      <c r="G127" s="16" t="str">
        <f>IF($A$126="","",IF(VLOOKUP($A126,Products!$A$59:$H$159,8,FALSE)="","",VLOOKUP($A126,Products!$A$59:$H$159,8,FALSE)))</f>
        <v/>
      </c>
      <c r="H127" s="77" t="s">
        <v>9360</v>
      </c>
      <c r="I127" s="77" t="s">
        <v>9360</v>
      </c>
      <c r="J127" s="77" t="s">
        <v>9360</v>
      </c>
      <c r="K127" s="2" t="str">
        <f>IF($G127="","",K$126*$G127)</f>
        <v/>
      </c>
      <c r="L127" s="2" t="str">
        <f t="shared" ref="L127:N136" si="36">IF($G127="","",L$126*$G127)</f>
        <v/>
      </c>
      <c r="M127" s="2" t="str">
        <f t="shared" si="36"/>
        <v/>
      </c>
      <c r="N127" s="12" t="str">
        <f t="shared" si="36"/>
        <v/>
      </c>
    </row>
    <row r="128" spans="1:14" x14ac:dyDescent="0.2">
      <c r="A128" s="627" t="str">
        <f t="shared" si="35"/>
        <v>AA</v>
      </c>
      <c r="B128" s="628"/>
      <c r="C128" s="77" t="s">
        <v>9360</v>
      </c>
      <c r="D128" s="77" t="s">
        <v>9360</v>
      </c>
      <c r="E128" s="77">
        <f t="shared" ref="E128:E136" si="37">E127</f>
        <v>0</v>
      </c>
      <c r="F128" s="16" t="str">
        <f>IF($A$126="","",IF(VLOOKUP($A127,Products!$A$59:$H$159,5,FALSE)="","",VLOOKUP($A127,Products!$A$59:$H$159,5,FALSE)))</f>
        <v/>
      </c>
      <c r="G128" s="16" t="str">
        <f>IF($A$126="","",IF(VLOOKUP($A127,Products!$A$59:$H$159,8,FALSE)="","",VLOOKUP($A127,Products!$A$59:$H$159,8,FALSE)))</f>
        <v/>
      </c>
      <c r="H128" s="77" t="s">
        <v>9360</v>
      </c>
      <c r="I128" s="77" t="s">
        <v>9360</v>
      </c>
      <c r="J128" s="77" t="s">
        <v>9360</v>
      </c>
      <c r="K128" s="2" t="str">
        <f t="shared" ref="K128:K136" si="38">IF($G128="","",K$126*$G128)</f>
        <v/>
      </c>
      <c r="L128" s="2" t="str">
        <f t="shared" si="36"/>
        <v/>
      </c>
      <c r="M128" s="2" t="str">
        <f t="shared" si="36"/>
        <v/>
      </c>
      <c r="N128" s="12" t="str">
        <f t="shared" si="36"/>
        <v/>
      </c>
    </row>
    <row r="129" spans="1:14" x14ac:dyDescent="0.2">
      <c r="A129" s="627" t="str">
        <f t="shared" si="35"/>
        <v>AAA</v>
      </c>
      <c r="B129" s="628"/>
      <c r="C129" s="77" t="s">
        <v>9360</v>
      </c>
      <c r="D129" s="77" t="s">
        <v>9360</v>
      </c>
      <c r="E129" s="77">
        <f t="shared" si="37"/>
        <v>0</v>
      </c>
      <c r="F129" s="16" t="str">
        <f>IF($A$126="","",IF(VLOOKUP($A128,Products!$A$59:$H$159,5,FALSE)="","",VLOOKUP($A128,Products!$A$59:$H$159,5,FALSE)))</f>
        <v/>
      </c>
      <c r="G129" s="16" t="str">
        <f>IF($A$126="","",IF(VLOOKUP($A128,Products!$A$59:$H$159,8,FALSE)="","",VLOOKUP($A128,Products!$A$59:$H$159,8,FALSE)))</f>
        <v/>
      </c>
      <c r="H129" s="77" t="s">
        <v>9360</v>
      </c>
      <c r="I129" s="77" t="s">
        <v>9360</v>
      </c>
      <c r="J129" s="77" t="s">
        <v>9360</v>
      </c>
      <c r="K129" s="2" t="str">
        <f t="shared" si="38"/>
        <v/>
      </c>
      <c r="L129" s="2" t="str">
        <f t="shared" si="36"/>
        <v/>
      </c>
      <c r="M129" s="2" t="str">
        <f t="shared" si="36"/>
        <v/>
      </c>
      <c r="N129" s="12" t="str">
        <f t="shared" si="36"/>
        <v/>
      </c>
    </row>
    <row r="130" spans="1:14" x14ac:dyDescent="0.2">
      <c r="A130" s="627" t="str">
        <f t="shared" si="35"/>
        <v>AAAA</v>
      </c>
      <c r="B130" s="628"/>
      <c r="C130" s="77" t="s">
        <v>9360</v>
      </c>
      <c r="D130" s="77" t="s">
        <v>9360</v>
      </c>
      <c r="E130" s="77">
        <f t="shared" si="37"/>
        <v>0</v>
      </c>
      <c r="F130" s="16" t="str">
        <f>IF($A$126="","",IF(VLOOKUP($A129,Products!$A$59:$H$159,5,FALSE)="","",VLOOKUP($A129,Products!$A$59:$H$159,5,FALSE)))</f>
        <v/>
      </c>
      <c r="G130" s="16" t="str">
        <f>IF($A$126="","",IF(VLOOKUP($A129,Products!$A$59:$H$159,8,FALSE)="","",VLOOKUP($A129,Products!$A$59:$H$159,8,FALSE)))</f>
        <v/>
      </c>
      <c r="H130" s="77" t="s">
        <v>9360</v>
      </c>
      <c r="I130" s="77" t="s">
        <v>9360</v>
      </c>
      <c r="J130" s="77" t="s">
        <v>9360</v>
      </c>
      <c r="K130" s="2" t="str">
        <f t="shared" si="38"/>
        <v/>
      </c>
      <c r="L130" s="2" t="str">
        <f t="shared" si="36"/>
        <v/>
      </c>
      <c r="M130" s="2" t="str">
        <f t="shared" si="36"/>
        <v/>
      </c>
      <c r="N130" s="12" t="str">
        <f t="shared" si="36"/>
        <v/>
      </c>
    </row>
    <row r="131" spans="1:14" x14ac:dyDescent="0.2">
      <c r="A131" s="627" t="str">
        <f t="shared" si="35"/>
        <v>AAAAA</v>
      </c>
      <c r="B131" s="628"/>
      <c r="C131" s="77" t="s">
        <v>9360</v>
      </c>
      <c r="D131" s="77" t="s">
        <v>9360</v>
      </c>
      <c r="E131" s="77">
        <f t="shared" si="37"/>
        <v>0</v>
      </c>
      <c r="F131" s="16" t="str">
        <f>IF($A$126="","",IF(VLOOKUP($A130,Products!$A$59:$H$159,5,FALSE)="","",VLOOKUP($A130,Products!$A$59:$H$159,5,FALSE)))</f>
        <v/>
      </c>
      <c r="G131" s="16" t="str">
        <f>IF($A$126="","",IF(VLOOKUP($A130,Products!$A$59:$H$159,8,FALSE)="","",VLOOKUP($A130,Products!$A$59:$H$159,8,FALSE)))</f>
        <v/>
      </c>
      <c r="H131" s="77" t="s">
        <v>9360</v>
      </c>
      <c r="I131" s="77" t="s">
        <v>9360</v>
      </c>
      <c r="J131" s="77" t="s">
        <v>9360</v>
      </c>
      <c r="K131" s="2" t="str">
        <f t="shared" si="38"/>
        <v/>
      </c>
      <c r="L131" s="2" t="str">
        <f>IF($G131="","",L$126*$G131)</f>
        <v/>
      </c>
      <c r="M131" s="2" t="str">
        <f t="shared" si="36"/>
        <v/>
      </c>
      <c r="N131" s="12" t="str">
        <f t="shared" si="36"/>
        <v/>
      </c>
    </row>
    <row r="132" spans="1:14" x14ac:dyDescent="0.2">
      <c r="A132" s="627" t="str">
        <f t="shared" si="35"/>
        <v>AAAAAA</v>
      </c>
      <c r="B132" s="628"/>
      <c r="C132" s="77" t="s">
        <v>9360</v>
      </c>
      <c r="D132" s="77" t="s">
        <v>9360</v>
      </c>
      <c r="E132" s="77">
        <f t="shared" si="37"/>
        <v>0</v>
      </c>
      <c r="F132" s="16" t="str">
        <f>IF($A$126="","",IF(VLOOKUP($A131,Products!$A$59:$H$159,5,FALSE)="","",VLOOKUP($A131,Products!$A$59:$H$159,5,FALSE)))</f>
        <v/>
      </c>
      <c r="G132" s="16" t="str">
        <f>IF($A$126="","",IF(VLOOKUP($A131,Products!$A$59:$H$159,8,FALSE)="","",VLOOKUP($A131,Products!$A$59:$H$159,8,FALSE)))</f>
        <v/>
      </c>
      <c r="H132" s="77" t="s">
        <v>9360</v>
      </c>
      <c r="I132" s="77" t="s">
        <v>9360</v>
      </c>
      <c r="J132" s="77" t="s">
        <v>9360</v>
      </c>
      <c r="K132" s="2" t="str">
        <f t="shared" si="38"/>
        <v/>
      </c>
      <c r="L132" s="2" t="str">
        <f t="shared" si="36"/>
        <v/>
      </c>
      <c r="M132" s="2" t="str">
        <f t="shared" si="36"/>
        <v/>
      </c>
      <c r="N132" s="12" t="str">
        <f t="shared" si="36"/>
        <v/>
      </c>
    </row>
    <row r="133" spans="1:14" x14ac:dyDescent="0.2">
      <c r="A133" s="627" t="str">
        <f t="shared" si="35"/>
        <v>AAAAAAA</v>
      </c>
      <c r="B133" s="628"/>
      <c r="C133" s="77" t="s">
        <v>9360</v>
      </c>
      <c r="D133" s="77" t="s">
        <v>9360</v>
      </c>
      <c r="E133" s="77">
        <f t="shared" si="37"/>
        <v>0</v>
      </c>
      <c r="F133" s="16" t="str">
        <f>IF($A$126="","",IF(VLOOKUP($A132,Products!$A$59:$H$159,5,FALSE)="","",VLOOKUP($A132,Products!$A$59:$H$159,5,FALSE)))</f>
        <v/>
      </c>
      <c r="G133" s="16" t="str">
        <f>IF($A$126="","",IF(VLOOKUP($A132,Products!$A$59:$H$159,8,FALSE)="","",VLOOKUP($A132,Products!$A$59:$H$159,8,FALSE)))</f>
        <v/>
      </c>
      <c r="H133" s="77" t="s">
        <v>9360</v>
      </c>
      <c r="I133" s="77" t="s">
        <v>9360</v>
      </c>
      <c r="J133" s="77" t="s">
        <v>9360</v>
      </c>
      <c r="K133" s="2" t="str">
        <f t="shared" si="38"/>
        <v/>
      </c>
      <c r="L133" s="2" t="str">
        <f t="shared" si="36"/>
        <v/>
      </c>
      <c r="M133" s="2" t="str">
        <f t="shared" si="36"/>
        <v/>
      </c>
      <c r="N133" s="12" t="str">
        <f t="shared" si="36"/>
        <v/>
      </c>
    </row>
    <row r="134" spans="1:14" x14ac:dyDescent="0.2">
      <c r="A134" s="627" t="str">
        <f t="shared" si="35"/>
        <v>AAAAAAAA</v>
      </c>
      <c r="B134" s="628"/>
      <c r="C134" s="77" t="s">
        <v>9360</v>
      </c>
      <c r="D134" s="77" t="s">
        <v>9360</v>
      </c>
      <c r="E134" s="77">
        <f t="shared" si="37"/>
        <v>0</v>
      </c>
      <c r="F134" s="16" t="str">
        <f>IF($A$126="","",IF(VLOOKUP($A133,Products!$A$59:$H$159,5,FALSE)="","",VLOOKUP($A133,Products!$A$59:$H$159,5,FALSE)))</f>
        <v/>
      </c>
      <c r="G134" s="16" t="str">
        <f>IF($A$126="","",IF(VLOOKUP($A133,Products!$A$59:$H$159,8,FALSE)="","",VLOOKUP($A133,Products!$A$59:$H$159,8,FALSE)))</f>
        <v/>
      </c>
      <c r="H134" s="77" t="s">
        <v>9360</v>
      </c>
      <c r="I134" s="77" t="s">
        <v>9360</v>
      </c>
      <c r="J134" s="77" t="s">
        <v>9360</v>
      </c>
      <c r="K134" s="2" t="str">
        <f t="shared" si="38"/>
        <v/>
      </c>
      <c r="L134" s="2" t="str">
        <f t="shared" si="36"/>
        <v/>
      </c>
      <c r="M134" s="2" t="str">
        <f t="shared" si="36"/>
        <v/>
      </c>
      <c r="N134" s="12" t="str">
        <f t="shared" si="36"/>
        <v/>
      </c>
    </row>
    <row r="135" spans="1:14" x14ac:dyDescent="0.2">
      <c r="A135" s="627" t="str">
        <f t="shared" si="35"/>
        <v>AAAAAAAAA</v>
      </c>
      <c r="B135" s="628"/>
      <c r="C135" s="77" t="s">
        <v>9360</v>
      </c>
      <c r="D135" s="77" t="s">
        <v>9360</v>
      </c>
      <c r="E135" s="77">
        <f t="shared" si="37"/>
        <v>0</v>
      </c>
      <c r="F135" s="16" t="str">
        <f>IF($A$126="","",IF(VLOOKUP($A134,Products!$A$59:$H$159,5,FALSE)="","",VLOOKUP($A134,Products!$A$59:$H$159,5,FALSE)))</f>
        <v/>
      </c>
      <c r="G135" s="16" t="str">
        <f>IF($A$126="","",IF(VLOOKUP($A134,Products!$A$59:$H$159,8,FALSE)="","",VLOOKUP($A134,Products!$A$59:$H$159,8,FALSE)))</f>
        <v/>
      </c>
      <c r="H135" s="77" t="s">
        <v>9360</v>
      </c>
      <c r="I135" s="77" t="s">
        <v>9360</v>
      </c>
      <c r="J135" s="77" t="s">
        <v>9360</v>
      </c>
      <c r="K135" s="2" t="str">
        <f t="shared" si="38"/>
        <v/>
      </c>
      <c r="L135" s="2" t="str">
        <f t="shared" si="36"/>
        <v/>
      </c>
      <c r="M135" s="2" t="str">
        <f t="shared" si="36"/>
        <v/>
      </c>
      <c r="N135" s="12" t="str">
        <f t="shared" si="36"/>
        <v/>
      </c>
    </row>
    <row r="136" spans="1:14" ht="15" thickBot="1" x14ac:dyDescent="0.25">
      <c r="A136" s="629" t="str">
        <f t="shared" si="35"/>
        <v>AAAAAAAAAA</v>
      </c>
      <c r="B136" s="630"/>
      <c r="C136" s="78" t="s">
        <v>9360</v>
      </c>
      <c r="D136" s="78" t="s">
        <v>9360</v>
      </c>
      <c r="E136" s="78">
        <f t="shared" si="37"/>
        <v>0</v>
      </c>
      <c r="F136" s="28" t="str">
        <f>IF($A$126="","",IF(VLOOKUP($A135,Products!$A$59:$H$159,5,FALSE)="","",VLOOKUP($A135,Products!$A$59:$H$159,5,FALSE)))</f>
        <v/>
      </c>
      <c r="G136" s="28" t="str">
        <f>IF($A$126="","",IF(VLOOKUP($A135,Products!$A$59:$H$159,8,FALSE)="","",VLOOKUP($A135,Products!$A$59:$H$159,8,FALSE)))</f>
        <v/>
      </c>
      <c r="H136" s="78" t="s">
        <v>9360</v>
      </c>
      <c r="I136" s="78" t="s">
        <v>9360</v>
      </c>
      <c r="J136" s="78" t="s">
        <v>9360</v>
      </c>
      <c r="K136" s="13" t="str">
        <f t="shared" si="38"/>
        <v/>
      </c>
      <c r="L136" s="13" t="str">
        <f t="shared" si="36"/>
        <v/>
      </c>
      <c r="M136" s="13" t="str">
        <f t="shared" si="36"/>
        <v/>
      </c>
      <c r="N136" s="14" t="str">
        <f t="shared" si="36"/>
        <v/>
      </c>
    </row>
    <row r="137" spans="1:14" x14ac:dyDescent="0.2">
      <c r="A137" s="478" t="s">
        <v>130</v>
      </c>
      <c r="B137" s="478"/>
      <c r="C137" s="478"/>
      <c r="D137" s="478"/>
      <c r="E137" s="478"/>
      <c r="F137" s="478"/>
      <c r="G137" s="478"/>
      <c r="H137" s="478"/>
      <c r="I137" s="478"/>
      <c r="J137" s="478"/>
      <c r="K137" s="478"/>
      <c r="L137" s="478"/>
      <c r="M137" s="478"/>
      <c r="N137" s="478"/>
    </row>
  </sheetData>
  <sheetProtection algorithmName="SHA-512" hashValue="v8oKLoy9gpNYdXL67CMe23qi5vYQaWvInBC6sfHPNr9sBrJX2CVpfw4C9g0y04M8azBamHBfcxrPmmkB93ZrjA==" saltValue="vDhd7/2V9VxakY3Sk71wgA==" spinCount="100000" sheet="1" objects="1" scenarios="1" formatColumns="0" formatRows="0"/>
  <mergeCells count="163">
    <mergeCell ref="A18:E18"/>
    <mergeCell ref="F18:I18"/>
    <mergeCell ref="J18:N18"/>
    <mergeCell ref="A1:N1"/>
    <mergeCell ref="A2:N2"/>
    <mergeCell ref="A3:N3"/>
    <mergeCell ref="A4:N4"/>
    <mergeCell ref="A5:N5"/>
    <mergeCell ref="A6:E6"/>
    <mergeCell ref="F6:N6"/>
    <mergeCell ref="A10:E10"/>
    <mergeCell ref="F10:N10"/>
    <mergeCell ref="A11:E11"/>
    <mergeCell ref="F11:N11"/>
    <mergeCell ref="A7:E7"/>
    <mergeCell ref="F7:N7"/>
    <mergeCell ref="A8:E8"/>
    <mergeCell ref="F8:N8"/>
    <mergeCell ref="A9:E9"/>
    <mergeCell ref="F9:N9"/>
    <mergeCell ref="A16:E16"/>
    <mergeCell ref="F16:I16"/>
    <mergeCell ref="J16:N16"/>
    <mergeCell ref="A17:E17"/>
    <mergeCell ref="F17:I17"/>
    <mergeCell ref="J17:N17"/>
    <mergeCell ref="A12:N12"/>
    <mergeCell ref="A13:N13"/>
    <mergeCell ref="A14:E14"/>
    <mergeCell ref="F14:I14"/>
    <mergeCell ref="J14:N14"/>
    <mergeCell ref="A15:E15"/>
    <mergeCell ref="F15:I15"/>
    <mergeCell ref="J15:N15"/>
    <mergeCell ref="A21:E21"/>
    <mergeCell ref="F21:I21"/>
    <mergeCell ref="J21:N21"/>
    <mergeCell ref="A22:E22"/>
    <mergeCell ref="F22:I22"/>
    <mergeCell ref="J22:N22"/>
    <mergeCell ref="A19:E19"/>
    <mergeCell ref="F19:I19"/>
    <mergeCell ref="J19:N19"/>
    <mergeCell ref="A20:E20"/>
    <mergeCell ref="F20:I20"/>
    <mergeCell ref="J20:N20"/>
    <mergeCell ref="A27:B27"/>
    <mergeCell ref="A28:B28"/>
    <mergeCell ref="A29:B29"/>
    <mergeCell ref="A30:B30"/>
    <mergeCell ref="A31:B31"/>
    <mergeCell ref="A32:B32"/>
    <mergeCell ref="A23:E23"/>
    <mergeCell ref="F23:I23"/>
    <mergeCell ref="J23:N23"/>
    <mergeCell ref="A24:N24"/>
    <mergeCell ref="A25:N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N137"/>
    <mergeCell ref="A129:B129"/>
    <mergeCell ref="A130:B130"/>
    <mergeCell ref="A131:B131"/>
    <mergeCell ref="A132:B132"/>
    <mergeCell ref="A133:B133"/>
    <mergeCell ref="A134:B134"/>
  </mergeCells>
  <conditionalFormatting sqref="A10:N137">
    <cfRule type="expression" dxfId="213" priority="8">
      <formula>$F$6="affected"</formula>
    </cfRule>
  </conditionalFormatting>
  <conditionalFormatting sqref="F18:I18">
    <cfRule type="expression" dxfId="212" priority="7">
      <formula>$F$18&lt;MAX($I$27,$I$38,$I$49,$I$60,$I$71,$I$82,$I$93,$I$104,$I$115,$I$126)</formula>
    </cfRule>
  </conditionalFormatting>
  <conditionalFormatting sqref="F19:I19">
    <cfRule type="expression" dxfId="211" priority="1">
      <formula>AND(COUNTIF($E$27:$E$136,"YES")&gt;0,$F$19="NO CONTROL")</formula>
    </cfRule>
    <cfRule type="expression" dxfId="210" priority="2">
      <formula>AND($F$18&gt;=0.5,$F$19="no control")</formula>
    </cfRule>
    <cfRule type="expression" dxfId="209" priority="4">
      <formula>AND($F$19="no control",MAX($I$27,$I$38,$I$49,$I$60,$I$71,$I$82,$I$93,$I$104,$I$115,$I$126)&gt;=0.5)</formula>
    </cfRule>
  </conditionalFormatting>
  <dataValidations count="18">
    <dataValidation type="list" allowBlank="1" showErrorMessage="1" prompt="Choose yes or no." sqref="E27 E38 E49 E60 E71 E82 E93 E104 E115 E126" xr:uid="{1FEFCF96-A78D-4836-AA12-D42CCF231CA7}">
      <formula1>"Yes,No"</formula1>
    </dataValidation>
    <dataValidation type="list" allowBlank="1" showErrorMessage="1" prompt="Choose a product." sqref="A27:B27 A38:B38 A49:B49 A60:B60 A71:B71 A82:B82 A93:B93 A104:B104 A115:B115 A126:B126" xr:uid="{76DD7DBB-9958-4C98-9E19-47CEDF291851}">
      <formula1>ProdList</formula1>
    </dataValidation>
    <dataValidation type="decimal" operator="greaterThanOrEqual" allowBlank="1" showErrorMessage="1" prompt="Enter average annual temperature of bulk liquid loaded in degrees R." sqref="F23:I23" xr:uid="{15198900-8A9F-41BE-A866-B4C1E27E148F}">
      <formula1>524.67</formula1>
    </dataValidation>
    <dataValidation type="decimal" operator="greaterThanOrEqual" allowBlank="1" showErrorMessage="1" prompt="Enter maximum temperature of bulk liquid loaded in degrees R." sqref="F22:I22" xr:uid="{249F4C0C-6BC3-4487-BD98-2BAE50632A22}">
      <formula1>554.67</formula1>
    </dataValidation>
    <dataValidation type="list" allowBlank="1" showErrorMessage="1" prompt="Select one" sqref="F6:N6" xr:uid="{37E25F32-27B3-4A35-A67D-DDB4FD3E8C90}">
      <formula1>"Affected,Modified,New"</formula1>
    </dataValidation>
    <dataValidation allowBlank="1" showErrorMessage="1" prompt="Enter FIN" sqref="F7:N7" xr:uid="{754D2BF0-B289-4128-889B-AA48E67D97A8}"/>
    <dataValidation allowBlank="1" showErrorMessage="1" prompt="Enter EPN" sqref="F8:N8" xr:uid="{9E728301-4225-4865-A397-E98DA09FFA16}"/>
    <dataValidation allowBlank="1" showErrorMessage="1" prompt="Enter source name" sqref="F9:N9" xr:uid="{64630965-9941-463B-BAFB-89CD3D08D726}"/>
    <dataValidation allowBlank="1" showErrorMessage="1" prompt="Enter UTM easting in meters." sqref="F10:N10" xr:uid="{2EAF903B-3C34-4FBB-827C-704699951A91}"/>
    <dataValidation allowBlank="1" showErrorMessage="1" prompt="Enter UTM northing in meters." sqref="F11:N11" xr:uid="{E79F9E1B-6ED9-4E49-8571-C21F840B5092}"/>
    <dataValidation type="list" allowBlank="1" showErrorMessage="1" prompt="Select the loading control device." sqref="F19:I19" xr:uid="{23E1AE4E-9305-4ED8-9B61-2FAACD38AE13}">
      <formula1>IF($F$18&gt;=0.5,TnkLoad_Ctrl_req,TnkLoad_Ctrl_notreq)</formula1>
    </dataValidation>
    <dataValidation allowBlank="1" showInputMessage="1" showErrorMessage="1" prompt="Enter the collection efficiency as a percentage." sqref="F20:I20" xr:uid="{7E19CAC4-6F3B-4BFA-9065-C9DE97C4441A}"/>
    <dataValidation type="decimal" allowBlank="1" showErrorMessage="1" prompt="Enter the saturation factor." sqref="F21:I21" xr:uid="{FB3C5D15-F97D-4A89-A279-F22FEE40E1E3}">
      <formula1>0.5</formula1>
      <formula2>1</formula2>
    </dataValidation>
    <dataValidation type="decimal" operator="greaterThanOrEqual" allowBlank="1" showErrorMessage="1" prompt="Enter distance to property line in ft." sqref="F15:I15" xr:uid="{218CBCDE-E77D-4403-9F65-89C8CD35A725}">
      <formula1>25</formula1>
    </dataValidation>
    <dataValidation type="decimal" operator="greaterThanOrEqual" allowBlank="1" showErrorMessage="1" prompt="Enter release height in ft." sqref="F16:I16" xr:uid="{31BF65FF-8897-45D4-9B7F-273FF1728DA0}">
      <formula1>10</formula1>
    </dataValidation>
    <dataValidation allowBlank="1" showErrorMessage="1" prompt="enter the highest true vapor pressure of all products to be loaded (psia at maximum temperature)" sqref="F18:I18" xr:uid="{302283EF-B0FD-43D6-A634-0899199687E1}"/>
    <dataValidation allowBlank="1" showErrorMessage="1" prompt="Proposed hourly throughput increase in bbl/hr." sqref="C126 C115 C104 C93 C82 C71 C60 C49 C38 C27" xr:uid="{3D0ECB36-A9B0-4F13-993B-0541E08ECBD6}"/>
    <dataValidation allowBlank="1" showErrorMessage="1" prompt="Proposed annual throughput increase in bbll/yr." sqref="D27 D38 D49 D60 D71 D82 D93 D104 D115 D126" xr:uid="{C8B13D30-FF34-41F0-8653-A6B0E1CFDEEE}"/>
  </dataValidations>
  <printOptions horizontalCentered="1"/>
  <pageMargins left="0.7" right="0.7" top="0.75" bottom="0.75" header="0.3" footer="0.3"/>
  <pageSetup scale="67" orientation="landscape" r:id="rId1"/>
  <headerFooter>
    <oddHeader>&amp;C&amp;"Calibri,Regular"Marine Loading RAP Application</oddHeader>
    <oddFooter>&amp;L&amp;"Calibri,Regular"Verion 1.0&amp;C&amp;"Calibri,Regular"Sheet: &amp;A&amp;R&amp;"Calibri,Regular"Page &amp;P</oddFooter>
  </headerFooter>
  <extLst>
    <ext xmlns:x14="http://schemas.microsoft.com/office/spreadsheetml/2009/9/main" uri="{78C0D931-6437-407d-A8EE-F0AAD7539E65}">
      <x14:conditionalFormattings>
        <x14:conditionalFormatting xmlns:xm="http://schemas.microsoft.com/office/excel/2006/main">
          <x14:cfRule type="expression" priority="3" id="{AAEF5CB4-B68A-4A8F-8766-C9C20A563F15}">
            <xm:f>'PI-1-MarineLoading'!$G$118-"NO"</xm:f>
            <x14:dxf>
              <numFmt numFmtId="164" formatCode=";;;"/>
              <fill>
                <patternFill>
                  <bgColor theme="0" tint="-0.499984740745262"/>
                </patternFill>
              </fill>
            </x14:dxf>
          </x14:cfRule>
          <xm:sqref>A2:N137</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EE82B-B3AA-4C70-BD46-8C81D1D1EAC6}">
  <sheetPr codeName="Sheet14">
    <tabColor rgb="FFFFFFCC"/>
  </sheetPr>
  <dimension ref="A1:O137"/>
  <sheetViews>
    <sheetView showGridLines="0" zoomScaleNormal="100" workbookViewId="0">
      <selection sqref="A1:N1"/>
    </sheetView>
  </sheetViews>
  <sheetFormatPr defaultColWidth="0" defaultRowHeight="14.25" zeroHeight="1" x14ac:dyDescent="0.2"/>
  <cols>
    <col min="1" max="2" width="13" customWidth="1"/>
    <col min="3" max="4" width="10.75" customWidth="1"/>
    <col min="5" max="5" width="11" customWidth="1"/>
    <col min="6" max="6" width="20.75" customWidth="1"/>
    <col min="7" max="7" width="7.375" customWidth="1"/>
    <col min="8" max="8" width="9.875" customWidth="1"/>
    <col min="9" max="10" width="12.125" customWidth="1"/>
    <col min="11" max="12" width="11.375" customWidth="1"/>
    <col min="13" max="14" width="9.625" customWidth="1"/>
    <col min="15" max="15" width="2.625" customWidth="1"/>
    <col min="16" max="16384" width="9" hidden="1"/>
  </cols>
  <sheetData>
    <row r="1" spans="1:14" ht="8.25" customHeight="1" thickBot="1" x14ac:dyDescent="0.25">
      <c r="A1" s="478" t="s">
        <v>0</v>
      </c>
      <c r="B1" s="478"/>
      <c r="C1" s="478"/>
      <c r="D1" s="478"/>
      <c r="E1" s="478"/>
      <c r="F1" s="478"/>
      <c r="G1" s="478"/>
      <c r="H1" s="478"/>
      <c r="I1" s="478"/>
      <c r="J1" s="478"/>
      <c r="K1" s="478"/>
      <c r="L1" s="478"/>
      <c r="M1" s="478"/>
      <c r="N1" s="478"/>
    </row>
    <row r="2" spans="1:14" ht="18.75" thickBot="1" x14ac:dyDescent="0.25">
      <c r="A2" s="525" t="s">
        <v>9181</v>
      </c>
      <c r="B2" s="525"/>
      <c r="C2" s="525"/>
      <c r="D2" s="525"/>
      <c r="E2" s="525"/>
      <c r="F2" s="525"/>
      <c r="G2" s="525"/>
      <c r="H2" s="525"/>
      <c r="I2" s="525"/>
      <c r="J2" s="525"/>
      <c r="K2" s="525"/>
      <c r="L2" s="525"/>
      <c r="M2" s="525"/>
      <c r="N2" s="525"/>
    </row>
    <row r="3" spans="1:14" ht="174.75" customHeight="1" thickBot="1" x14ac:dyDescent="0.25">
      <c r="A3" s="523" t="s">
        <v>9696</v>
      </c>
      <c r="B3" s="602"/>
      <c r="C3" s="602"/>
      <c r="D3" s="602"/>
      <c r="E3" s="602"/>
      <c r="F3" s="602"/>
      <c r="G3" s="602"/>
      <c r="H3" s="602"/>
      <c r="I3" s="602"/>
      <c r="J3" s="602"/>
      <c r="K3" s="602"/>
      <c r="L3" s="602"/>
      <c r="M3" s="602"/>
      <c r="N3" s="524"/>
    </row>
    <row r="4" spans="1:14" ht="15" thickBot="1" x14ac:dyDescent="0.25">
      <c r="A4" s="478" t="s">
        <v>1</v>
      </c>
      <c r="B4" s="478"/>
      <c r="C4" s="478"/>
      <c r="D4" s="478"/>
      <c r="E4" s="478"/>
      <c r="F4" s="478"/>
      <c r="G4" s="478"/>
      <c r="H4" s="478"/>
      <c r="I4" s="478"/>
      <c r="J4" s="478"/>
      <c r="K4" s="478"/>
      <c r="L4" s="478"/>
      <c r="M4" s="478"/>
      <c r="N4" s="478"/>
    </row>
    <row r="5" spans="1:14" ht="15.75" thickBot="1" x14ac:dyDescent="0.25">
      <c r="A5" s="474" t="s">
        <v>133</v>
      </c>
      <c r="B5" s="474"/>
      <c r="C5" s="474"/>
      <c r="D5" s="474"/>
      <c r="E5" s="474"/>
      <c r="F5" s="474"/>
      <c r="G5" s="474"/>
      <c r="H5" s="474"/>
      <c r="I5" s="474"/>
      <c r="J5" s="474"/>
      <c r="K5" s="474"/>
      <c r="L5" s="474"/>
      <c r="M5" s="474"/>
      <c r="N5" s="474"/>
    </row>
    <row r="6" spans="1:14" x14ac:dyDescent="0.2">
      <c r="A6" s="605" t="s">
        <v>166</v>
      </c>
      <c r="B6" s="606"/>
      <c r="C6" s="606"/>
      <c r="D6" s="606"/>
      <c r="E6" s="606"/>
      <c r="F6" s="679"/>
      <c r="G6" s="679"/>
      <c r="H6" s="679"/>
      <c r="I6" s="679"/>
      <c r="J6" s="679"/>
      <c r="K6" s="679"/>
      <c r="L6" s="679"/>
      <c r="M6" s="679"/>
      <c r="N6" s="680"/>
    </row>
    <row r="7" spans="1:14" x14ac:dyDescent="0.2">
      <c r="A7" s="528" t="s">
        <v>167</v>
      </c>
      <c r="B7" s="529"/>
      <c r="C7" s="529"/>
      <c r="D7" s="529"/>
      <c r="E7" s="529"/>
      <c r="F7" s="579"/>
      <c r="G7" s="579"/>
      <c r="H7" s="579"/>
      <c r="I7" s="579"/>
      <c r="J7" s="579"/>
      <c r="K7" s="579"/>
      <c r="L7" s="579"/>
      <c r="M7" s="579"/>
      <c r="N7" s="580"/>
    </row>
    <row r="8" spans="1:14" x14ac:dyDescent="0.2">
      <c r="A8" s="528" t="s">
        <v>168</v>
      </c>
      <c r="B8" s="529"/>
      <c r="C8" s="529"/>
      <c r="D8" s="529"/>
      <c r="E8" s="529"/>
      <c r="F8" s="579"/>
      <c r="G8" s="579"/>
      <c r="H8" s="579"/>
      <c r="I8" s="579"/>
      <c r="J8" s="579"/>
      <c r="K8" s="579"/>
      <c r="L8" s="579"/>
      <c r="M8" s="579"/>
      <c r="N8" s="580"/>
    </row>
    <row r="9" spans="1:14" x14ac:dyDescent="0.2">
      <c r="A9" s="528" t="s">
        <v>169</v>
      </c>
      <c r="B9" s="529"/>
      <c r="C9" s="529"/>
      <c r="D9" s="529"/>
      <c r="E9" s="529"/>
      <c r="F9" s="579"/>
      <c r="G9" s="579"/>
      <c r="H9" s="579"/>
      <c r="I9" s="579"/>
      <c r="J9" s="579"/>
      <c r="K9" s="579"/>
      <c r="L9" s="579"/>
      <c r="M9" s="579"/>
      <c r="N9" s="580"/>
    </row>
    <row r="10" spans="1:14" x14ac:dyDescent="0.2">
      <c r="A10" s="528" t="s">
        <v>170</v>
      </c>
      <c r="B10" s="529"/>
      <c r="C10" s="529"/>
      <c r="D10" s="529"/>
      <c r="E10" s="529"/>
      <c r="F10" s="579"/>
      <c r="G10" s="579"/>
      <c r="H10" s="579"/>
      <c r="I10" s="579"/>
      <c r="J10" s="579"/>
      <c r="K10" s="579"/>
      <c r="L10" s="579"/>
      <c r="M10" s="579"/>
      <c r="N10" s="580"/>
    </row>
    <row r="11" spans="1:14" ht="15" thickBot="1" x14ac:dyDescent="0.25">
      <c r="A11" s="548" t="s">
        <v>171</v>
      </c>
      <c r="B11" s="549"/>
      <c r="C11" s="549"/>
      <c r="D11" s="549"/>
      <c r="E11" s="549"/>
      <c r="F11" s="577"/>
      <c r="G11" s="577"/>
      <c r="H11" s="577"/>
      <c r="I11" s="577"/>
      <c r="J11" s="577"/>
      <c r="K11" s="577"/>
      <c r="L11" s="577"/>
      <c r="M11" s="577"/>
      <c r="N11" s="578"/>
    </row>
    <row r="12" spans="1:14" ht="15" thickBot="1" x14ac:dyDescent="0.25">
      <c r="A12" s="478" t="s">
        <v>1</v>
      </c>
      <c r="B12" s="478"/>
      <c r="C12" s="478"/>
      <c r="D12" s="478"/>
      <c r="E12" s="478"/>
      <c r="F12" s="478"/>
      <c r="G12" s="478"/>
      <c r="H12" s="478"/>
      <c r="I12" s="478"/>
      <c r="J12" s="478"/>
      <c r="K12" s="478"/>
      <c r="L12" s="478"/>
      <c r="M12" s="478"/>
      <c r="N12" s="478"/>
    </row>
    <row r="13" spans="1:14" ht="15.75" thickBot="1" x14ac:dyDescent="0.25">
      <c r="A13" s="474" t="s">
        <v>9166</v>
      </c>
      <c r="B13" s="474"/>
      <c r="C13" s="474"/>
      <c r="D13" s="474"/>
      <c r="E13" s="474"/>
      <c r="F13" s="474"/>
      <c r="G13" s="474"/>
      <c r="H13" s="474"/>
      <c r="I13" s="474"/>
      <c r="J13" s="474"/>
      <c r="K13" s="474"/>
      <c r="L13" s="474"/>
      <c r="M13" s="474"/>
      <c r="N13" s="474"/>
    </row>
    <row r="14" spans="1:14" ht="15" x14ac:dyDescent="0.2">
      <c r="A14" s="506" t="s">
        <v>9167</v>
      </c>
      <c r="B14" s="507"/>
      <c r="C14" s="507"/>
      <c r="D14" s="507"/>
      <c r="E14" s="507"/>
      <c r="F14" s="663" t="s">
        <v>172</v>
      </c>
      <c r="G14" s="663"/>
      <c r="H14" s="663"/>
      <c r="I14" s="663"/>
      <c r="J14" s="507" t="s">
        <v>8723</v>
      </c>
      <c r="K14" s="507"/>
      <c r="L14" s="507"/>
      <c r="M14" s="507"/>
      <c r="N14" s="508"/>
    </row>
    <row r="15" spans="1:14" x14ac:dyDescent="0.2">
      <c r="A15" s="528" t="s">
        <v>176</v>
      </c>
      <c r="B15" s="529"/>
      <c r="C15" s="529"/>
      <c r="D15" s="529"/>
      <c r="E15" s="529"/>
      <c r="F15" s="579"/>
      <c r="G15" s="579"/>
      <c r="H15" s="579"/>
      <c r="I15" s="579"/>
      <c r="J15" s="689" t="s">
        <v>10899</v>
      </c>
      <c r="K15" s="690"/>
      <c r="L15" s="690"/>
      <c r="M15" s="690"/>
      <c r="N15" s="691"/>
    </row>
    <row r="16" spans="1:14" x14ac:dyDescent="0.2">
      <c r="A16" s="528" t="s">
        <v>177</v>
      </c>
      <c r="B16" s="529"/>
      <c r="C16" s="529"/>
      <c r="D16" s="529"/>
      <c r="E16" s="529"/>
      <c r="F16" s="579"/>
      <c r="G16" s="579"/>
      <c r="H16" s="579"/>
      <c r="I16" s="579"/>
      <c r="J16" s="529" t="s">
        <v>9300</v>
      </c>
      <c r="K16" s="529"/>
      <c r="L16" s="529"/>
      <c r="M16" s="529"/>
      <c r="N16" s="714"/>
    </row>
    <row r="17" spans="1:14" ht="15" x14ac:dyDescent="0.2">
      <c r="A17" s="725" t="s">
        <v>9169</v>
      </c>
      <c r="B17" s="717"/>
      <c r="C17" s="717"/>
      <c r="D17" s="717"/>
      <c r="E17" s="717"/>
      <c r="F17" s="716" t="s">
        <v>172</v>
      </c>
      <c r="G17" s="716"/>
      <c r="H17" s="716"/>
      <c r="I17" s="716"/>
      <c r="J17" s="717" t="s">
        <v>8723</v>
      </c>
      <c r="K17" s="717"/>
      <c r="L17" s="717"/>
      <c r="M17" s="717"/>
      <c r="N17" s="718"/>
    </row>
    <row r="18" spans="1:14" ht="33" customHeight="1" x14ac:dyDescent="0.2">
      <c r="A18" s="530" t="s">
        <v>10630</v>
      </c>
      <c r="B18" s="531"/>
      <c r="C18" s="531"/>
      <c r="D18" s="531"/>
      <c r="E18" s="531"/>
      <c r="F18" s="579"/>
      <c r="G18" s="579"/>
      <c r="H18" s="579"/>
      <c r="I18" s="579"/>
      <c r="J18" s="689" t="s">
        <v>10631</v>
      </c>
      <c r="K18" s="690"/>
      <c r="L18" s="690"/>
      <c r="M18" s="690"/>
      <c r="N18" s="691"/>
    </row>
    <row r="19" spans="1:14" ht="33" customHeight="1" x14ac:dyDescent="0.2">
      <c r="A19" s="528" t="s">
        <v>230</v>
      </c>
      <c r="B19" s="529"/>
      <c r="C19" s="529"/>
      <c r="D19" s="529"/>
      <c r="E19" s="529"/>
      <c r="F19" s="579"/>
      <c r="G19" s="579"/>
      <c r="H19" s="579"/>
      <c r="I19" s="579"/>
      <c r="J19" s="531" t="s">
        <v>9257</v>
      </c>
      <c r="K19" s="531"/>
      <c r="L19" s="531"/>
      <c r="M19" s="531"/>
      <c r="N19" s="538"/>
    </row>
    <row r="20" spans="1:14" x14ac:dyDescent="0.2">
      <c r="A20" s="528" t="s">
        <v>231</v>
      </c>
      <c r="B20" s="529"/>
      <c r="C20" s="529"/>
      <c r="D20" s="529"/>
      <c r="E20" s="529"/>
      <c r="F20" s="729">
        <v>1</v>
      </c>
      <c r="G20" s="729"/>
      <c r="H20" s="729"/>
      <c r="I20" s="729"/>
      <c r="J20" s="730" t="s">
        <v>9361</v>
      </c>
      <c r="K20" s="730"/>
      <c r="L20" s="730"/>
      <c r="M20" s="730"/>
      <c r="N20" s="731"/>
    </row>
    <row r="21" spans="1:14" x14ac:dyDescent="0.2">
      <c r="A21" s="528" t="s">
        <v>232</v>
      </c>
      <c r="B21" s="529"/>
      <c r="C21" s="529"/>
      <c r="D21" s="529"/>
      <c r="E21" s="529"/>
      <c r="F21" s="529">
        <v>0.5</v>
      </c>
      <c r="G21" s="529"/>
      <c r="H21" s="529"/>
      <c r="I21" s="529"/>
      <c r="J21" s="732" t="s">
        <v>9361</v>
      </c>
      <c r="K21" s="732"/>
      <c r="L21" s="732"/>
      <c r="M21" s="732"/>
      <c r="N21" s="733"/>
    </row>
    <row r="22" spans="1:14" ht="15" x14ac:dyDescent="0.25">
      <c r="A22" s="712" t="s">
        <v>234</v>
      </c>
      <c r="B22" s="713"/>
      <c r="C22" s="713"/>
      <c r="D22" s="713"/>
      <c r="E22" s="713"/>
      <c r="F22" s="579"/>
      <c r="G22" s="579"/>
      <c r="H22" s="579"/>
      <c r="I22" s="579"/>
      <c r="J22" s="529" t="s">
        <v>9258</v>
      </c>
      <c r="K22" s="529"/>
      <c r="L22" s="529"/>
      <c r="M22" s="529"/>
      <c r="N22" s="714"/>
    </row>
    <row r="23" spans="1:14" ht="15" thickBot="1" x14ac:dyDescent="0.25">
      <c r="A23" s="548" t="s">
        <v>235</v>
      </c>
      <c r="B23" s="549"/>
      <c r="C23" s="549"/>
      <c r="D23" s="549"/>
      <c r="E23" s="549"/>
      <c r="F23" s="577"/>
      <c r="G23" s="577"/>
      <c r="H23" s="577"/>
      <c r="I23" s="577"/>
      <c r="J23" s="549" t="s">
        <v>9259</v>
      </c>
      <c r="K23" s="549"/>
      <c r="L23" s="549"/>
      <c r="M23" s="549"/>
      <c r="N23" s="550"/>
    </row>
    <row r="24" spans="1:14" ht="15" thickBot="1" x14ac:dyDescent="0.25">
      <c r="A24" s="478" t="s">
        <v>1</v>
      </c>
      <c r="B24" s="478"/>
      <c r="C24" s="478"/>
      <c r="D24" s="478"/>
      <c r="E24" s="478"/>
      <c r="F24" s="478"/>
      <c r="G24" s="478"/>
      <c r="H24" s="478"/>
      <c r="I24" s="478"/>
      <c r="J24" s="478"/>
      <c r="K24" s="478"/>
      <c r="L24" s="478"/>
      <c r="M24" s="478"/>
      <c r="N24" s="478"/>
    </row>
    <row r="25" spans="1:14" ht="15.75" thickBot="1" x14ac:dyDescent="0.25">
      <c r="A25" s="474" t="s">
        <v>279</v>
      </c>
      <c r="B25" s="474"/>
      <c r="C25" s="474"/>
      <c r="D25" s="474"/>
      <c r="E25" s="474"/>
      <c r="F25" s="474"/>
      <c r="G25" s="474"/>
      <c r="H25" s="474"/>
      <c r="I25" s="474"/>
      <c r="J25" s="474"/>
      <c r="K25" s="474"/>
      <c r="L25" s="474"/>
      <c r="M25" s="474"/>
      <c r="N25" s="474"/>
    </row>
    <row r="26" spans="1:14" ht="91.5" customHeight="1" x14ac:dyDescent="0.2">
      <c r="A26" s="539" t="s">
        <v>236</v>
      </c>
      <c r="B26" s="540"/>
      <c r="C26" s="49" t="str">
        <f>IF($F$6="modified","Proposed increase in hourly throughput (bbl/hr)","Proposed hourly throughput (bbl/hr)")</f>
        <v>Proposed hourly throughput (bbl/hr)</v>
      </c>
      <c r="D26" s="49" t="str">
        <f>IF($F$6="modified","Proposed increase in annual throughput (bbl/yr)","Proposed annual throughput (bbl/yr)")</f>
        <v>Proposed annual throughput (bbl/yr)</v>
      </c>
      <c r="E26" s="49" t="s">
        <v>9298</v>
      </c>
      <c r="F26" s="49" t="s">
        <v>8751</v>
      </c>
      <c r="G26" s="49" t="s">
        <v>9180</v>
      </c>
      <c r="H26" s="49" t="s">
        <v>8711</v>
      </c>
      <c r="I26" s="49" t="s">
        <v>237</v>
      </c>
      <c r="J26" s="49" t="s">
        <v>238</v>
      </c>
      <c r="K26" s="49" t="str">
        <f>IF($F$6="modified","Proposed increase in uncollected hourly emissions (lb/hr)","Proposed uncollected hourly emissions (lb/hr)")</f>
        <v>Proposed uncollected hourly emissions (lb/hr)</v>
      </c>
      <c r="L26" s="49" t="str">
        <f>IF($F$6="modified","Proposed increase in uncollected annual emissions (tpy)","Proposed uncollected annual emissions (tpy)")</f>
        <v>Proposed uncollected annual emissions (tpy)</v>
      </c>
      <c r="M26" s="49" t="s">
        <v>9282</v>
      </c>
      <c r="N26" s="117" t="s">
        <v>9283</v>
      </c>
    </row>
    <row r="27" spans="1:14" x14ac:dyDescent="0.2">
      <c r="A27" s="651"/>
      <c r="B27" s="615"/>
      <c r="C27" s="41"/>
      <c r="D27" s="41"/>
      <c r="E27" s="41"/>
      <c r="F27" s="16" t="s">
        <v>291</v>
      </c>
      <c r="G27" s="16">
        <v>1</v>
      </c>
      <c r="H27" s="16" t="str">
        <f>IF(A27="","",IF(VLOOKUP($A27,Products!$A$59:$H$159,2,FALSE)="","",VLOOKUP($A27,Products!$A$59:$H$159,2,FALSE)))</f>
        <v/>
      </c>
      <c r="I27" s="16" t="str">
        <f>IF(A27="","",IF(VLOOKUP($A27,Products!$A$59:$H$159,3,FALSE)="","",VLOOKUP($A27,Products!$A$59:$H$159,3,FALSE)))</f>
        <v/>
      </c>
      <c r="J27" s="16" t="str">
        <f>IF(A27="","",IF(VLOOKUP($A27,Products!$A$59:$H$159,4,FALSE)="","",VLOOKUP($A27,Products!$A$59:$H$159,4,FALSE)))</f>
        <v/>
      </c>
      <c r="K27" s="2" t="str">
        <f>IF(OR($A27="",C27="",$E27=""),"",((12.46*$F$21*$I27*$H27)/$F$22)*((C27*42)/1000)*(IF($E27="YES",(1-$F$20),1)))</f>
        <v/>
      </c>
      <c r="L27" s="2" t="str">
        <f>IF(OR($A27="",$D27="",$E27=""),"",((12.46*$F$21*$J27*$H27)/$F$23)*(($D27*42)/1000)*(1/2000)*(IF($E27="YES",(1-$F$20),1)))</f>
        <v/>
      </c>
      <c r="M27" s="2" t="str">
        <f>IF(OR($A27="",$C27="",$E27=""),"",((12.46*$F$21*$I27*$H27)/$F$22)*(($C27*42)/1000)*(IF($E27="YES",$F$20,0)))</f>
        <v/>
      </c>
      <c r="N27" s="12" t="str">
        <f>IF(OR($A27="",$D27="",$E27=""),"",((12.46*$F$21*$J27*$H27)/$F$23)*(($D27*42)/1000)*(1/2000)*(IF($E27="YES",$F$20,0)))</f>
        <v/>
      </c>
    </row>
    <row r="28" spans="1:14" x14ac:dyDescent="0.2">
      <c r="A28" s="627" t="str">
        <f>A27&amp;"A"</f>
        <v>A</v>
      </c>
      <c r="B28" s="628"/>
      <c r="C28" s="77" t="s">
        <v>9360</v>
      </c>
      <c r="D28" s="77" t="s">
        <v>9360</v>
      </c>
      <c r="E28" s="77">
        <f>E27</f>
        <v>0</v>
      </c>
      <c r="F28" s="16" t="str">
        <f>IF($A$27="","",IF(VLOOKUP($A27,Products!$A$59:$H$159,5,FALSE)="","",VLOOKUP($A27,Products!$A$59:$H$159,5,FALSE)))</f>
        <v/>
      </c>
      <c r="G28" s="16" t="str">
        <f>IF($A$27="","",IF(VLOOKUP($A27,Products!$A$59:$H$159,8,FALSE)="","",VLOOKUP($A27,Products!$A$59:$H$159,8,FALSE)))</f>
        <v/>
      </c>
      <c r="H28" s="77" t="s">
        <v>9360</v>
      </c>
      <c r="I28" s="77" t="s">
        <v>9360</v>
      </c>
      <c r="J28" s="77" t="s">
        <v>9360</v>
      </c>
      <c r="K28" s="2" t="str">
        <f>IF($K$27="","",IF($G28="","",K$27*$G28))</f>
        <v/>
      </c>
      <c r="L28" s="2" t="str">
        <f>IF($G28="","",L$27*$G28)</f>
        <v/>
      </c>
      <c r="M28" s="2" t="str">
        <f>IF($G28="","",M$27*$G28)</f>
        <v/>
      </c>
      <c r="N28" s="12" t="str">
        <f>IF($G28="","",N$27*$G28)</f>
        <v/>
      </c>
    </row>
    <row r="29" spans="1:14" x14ac:dyDescent="0.2">
      <c r="A29" s="627" t="str">
        <f t="shared" ref="A29:A37" si="0">A28&amp;"A"</f>
        <v>AA</v>
      </c>
      <c r="B29" s="628"/>
      <c r="C29" s="77" t="s">
        <v>9360</v>
      </c>
      <c r="D29" s="77" t="s">
        <v>9360</v>
      </c>
      <c r="E29" s="77">
        <f t="shared" ref="E29:E37" si="1">E28</f>
        <v>0</v>
      </c>
      <c r="F29" s="16" t="str">
        <f>IF($A$27="","",IF(VLOOKUP($A28,Products!$A$59:$H$159,5,FALSE)="","",VLOOKUP($A28,Products!$A$59:$H$159,5,FALSE)))</f>
        <v/>
      </c>
      <c r="G29" s="16" t="str">
        <f>IF($A$27="","",IF(VLOOKUP($A28,Products!$A$59:$H$159,8,FALSE)="","",VLOOKUP($A28,Products!$A$59:$H$159,8,FALSE)))</f>
        <v/>
      </c>
      <c r="H29" s="77" t="s">
        <v>9360</v>
      </c>
      <c r="I29" s="77" t="s">
        <v>9360</v>
      </c>
      <c r="J29" s="77" t="s">
        <v>9360</v>
      </c>
      <c r="K29" s="2" t="str">
        <f t="shared" ref="K29:K36" si="2">IF($K$27="","",IF($G29="","",K$27*$G29))</f>
        <v/>
      </c>
      <c r="L29" s="2" t="str">
        <f t="shared" ref="L29:N37" si="3">IF($G29="","",L$27*$G29)</f>
        <v/>
      </c>
      <c r="M29" s="2" t="str">
        <f t="shared" si="3"/>
        <v/>
      </c>
      <c r="N29" s="12" t="str">
        <f t="shared" si="3"/>
        <v/>
      </c>
    </row>
    <row r="30" spans="1:14" x14ac:dyDescent="0.2">
      <c r="A30" s="627" t="str">
        <f t="shared" si="0"/>
        <v>AAA</v>
      </c>
      <c r="B30" s="628"/>
      <c r="C30" s="77" t="s">
        <v>9360</v>
      </c>
      <c r="D30" s="77" t="s">
        <v>9360</v>
      </c>
      <c r="E30" s="77">
        <f t="shared" si="1"/>
        <v>0</v>
      </c>
      <c r="F30" s="16" t="str">
        <f>IF($A$27="","",IF(VLOOKUP($A29,Products!$A$59:$H$159,5,FALSE)="","",VLOOKUP($A29,Products!$A$59:$H$159,5,FALSE)))</f>
        <v/>
      </c>
      <c r="G30" s="16" t="str">
        <f>IF($A$27="","",IF(VLOOKUP($A29,Products!$A$59:$H$159,8,FALSE)="","",VLOOKUP($A29,Products!$A$59:$H$159,8,FALSE)))</f>
        <v/>
      </c>
      <c r="H30" s="77" t="s">
        <v>9360</v>
      </c>
      <c r="I30" s="77" t="s">
        <v>9360</v>
      </c>
      <c r="J30" s="77" t="s">
        <v>9360</v>
      </c>
      <c r="K30" s="2" t="str">
        <f t="shared" si="2"/>
        <v/>
      </c>
      <c r="L30" s="2" t="str">
        <f t="shared" si="3"/>
        <v/>
      </c>
      <c r="M30" s="2" t="str">
        <f t="shared" si="3"/>
        <v/>
      </c>
      <c r="N30" s="12" t="str">
        <f t="shared" si="3"/>
        <v/>
      </c>
    </row>
    <row r="31" spans="1:14" x14ac:dyDescent="0.2">
      <c r="A31" s="627" t="str">
        <f t="shared" si="0"/>
        <v>AAAA</v>
      </c>
      <c r="B31" s="628"/>
      <c r="C31" s="77" t="s">
        <v>9360</v>
      </c>
      <c r="D31" s="77" t="s">
        <v>9360</v>
      </c>
      <c r="E31" s="77">
        <f t="shared" si="1"/>
        <v>0</v>
      </c>
      <c r="F31" s="16" t="str">
        <f>IF($A$27="","",IF(VLOOKUP($A30,Products!$A$59:$H$159,5,FALSE)="","",VLOOKUP($A30,Products!$A$59:$H$159,5,FALSE)))</f>
        <v/>
      </c>
      <c r="G31" s="16" t="str">
        <f>IF($A$27="","",IF(VLOOKUP($A30,Products!$A$59:$H$159,8,FALSE)="","",VLOOKUP($A30,Products!$A$59:$H$159,8,FALSE)))</f>
        <v/>
      </c>
      <c r="H31" s="77" t="s">
        <v>9360</v>
      </c>
      <c r="I31" s="77" t="s">
        <v>9360</v>
      </c>
      <c r="J31" s="77" t="s">
        <v>9360</v>
      </c>
      <c r="K31" s="2" t="str">
        <f t="shared" si="2"/>
        <v/>
      </c>
      <c r="L31" s="2" t="str">
        <f t="shared" si="3"/>
        <v/>
      </c>
      <c r="M31" s="2" t="str">
        <f t="shared" si="3"/>
        <v/>
      </c>
      <c r="N31" s="12" t="str">
        <f>IF($G31="","",N$27*$G31)</f>
        <v/>
      </c>
    </row>
    <row r="32" spans="1:14" x14ac:dyDescent="0.2">
      <c r="A32" s="627" t="str">
        <f t="shared" si="0"/>
        <v>AAAAA</v>
      </c>
      <c r="B32" s="628"/>
      <c r="C32" s="77" t="s">
        <v>9360</v>
      </c>
      <c r="D32" s="77" t="s">
        <v>9360</v>
      </c>
      <c r="E32" s="77">
        <f t="shared" si="1"/>
        <v>0</v>
      </c>
      <c r="F32" s="16" t="str">
        <f>IF($A$27="","",IF(VLOOKUP($A31,Products!$A$59:$H$159,5,FALSE)="","",VLOOKUP($A31,Products!$A$59:$H$159,5,FALSE)))</f>
        <v/>
      </c>
      <c r="G32" s="16" t="str">
        <f>IF($A$27="","",IF(VLOOKUP($A31,Products!$A$59:$H$159,8,FALSE)="","",VLOOKUP($A31,Products!$A$59:$H$159,8,FALSE)))</f>
        <v/>
      </c>
      <c r="H32" s="77" t="s">
        <v>9360</v>
      </c>
      <c r="I32" s="77" t="s">
        <v>9360</v>
      </c>
      <c r="J32" s="77" t="s">
        <v>9360</v>
      </c>
      <c r="K32" s="2" t="str">
        <f t="shared" si="2"/>
        <v/>
      </c>
      <c r="L32" s="2" t="str">
        <f t="shared" si="3"/>
        <v/>
      </c>
      <c r="M32" s="2" t="str">
        <f t="shared" si="3"/>
        <v/>
      </c>
      <c r="N32" s="12" t="str">
        <f t="shared" si="3"/>
        <v/>
      </c>
    </row>
    <row r="33" spans="1:14" x14ac:dyDescent="0.2">
      <c r="A33" s="627" t="str">
        <f t="shared" si="0"/>
        <v>AAAAAA</v>
      </c>
      <c r="B33" s="628"/>
      <c r="C33" s="77" t="s">
        <v>9360</v>
      </c>
      <c r="D33" s="77" t="s">
        <v>9360</v>
      </c>
      <c r="E33" s="77">
        <f t="shared" si="1"/>
        <v>0</v>
      </c>
      <c r="F33" s="16" t="str">
        <f>IF($A$27="","",IF(VLOOKUP($A32,Products!$A$59:$H$159,5,FALSE)="","",VLOOKUP($A32,Products!$A$59:$H$159,5,FALSE)))</f>
        <v/>
      </c>
      <c r="G33" s="16" t="str">
        <f>IF($A$27="","",IF(VLOOKUP($A32,Products!$A$59:$H$159,8,FALSE)="","",VLOOKUP($A32,Products!$A$59:$H$159,8,FALSE)))</f>
        <v/>
      </c>
      <c r="H33" s="77" t="s">
        <v>9360</v>
      </c>
      <c r="I33" s="77" t="s">
        <v>9360</v>
      </c>
      <c r="J33" s="77" t="s">
        <v>9360</v>
      </c>
      <c r="K33" s="2" t="str">
        <f t="shared" si="2"/>
        <v/>
      </c>
      <c r="L33" s="2" t="str">
        <f t="shared" si="3"/>
        <v/>
      </c>
      <c r="M33" s="2" t="str">
        <f t="shared" si="3"/>
        <v/>
      </c>
      <c r="N33" s="12" t="str">
        <f t="shared" si="3"/>
        <v/>
      </c>
    </row>
    <row r="34" spans="1:14" x14ac:dyDescent="0.2">
      <c r="A34" s="627" t="str">
        <f t="shared" si="0"/>
        <v>AAAAAAA</v>
      </c>
      <c r="B34" s="628"/>
      <c r="C34" s="77" t="s">
        <v>9360</v>
      </c>
      <c r="D34" s="77" t="s">
        <v>9360</v>
      </c>
      <c r="E34" s="77">
        <f t="shared" si="1"/>
        <v>0</v>
      </c>
      <c r="F34" s="16" t="str">
        <f>IF($A$27="","",IF(VLOOKUP($A33,Products!$A$59:$H$159,5,FALSE)="","",VLOOKUP($A33,Products!$A$59:$H$159,5,FALSE)))</f>
        <v/>
      </c>
      <c r="G34" s="16" t="str">
        <f>IF($A$27="","",IF(VLOOKUP($A33,Products!$A$59:$H$159,8,FALSE)="","",VLOOKUP($A33,Products!$A$59:$H$159,8,FALSE)))</f>
        <v/>
      </c>
      <c r="H34" s="77" t="s">
        <v>9360</v>
      </c>
      <c r="I34" s="77" t="s">
        <v>9360</v>
      </c>
      <c r="J34" s="77" t="s">
        <v>9360</v>
      </c>
      <c r="K34" s="2" t="str">
        <f t="shared" si="2"/>
        <v/>
      </c>
      <c r="L34" s="2" t="str">
        <f t="shared" si="3"/>
        <v/>
      </c>
      <c r="M34" s="2" t="str">
        <f t="shared" si="3"/>
        <v/>
      </c>
      <c r="N34" s="12" t="str">
        <f t="shared" si="3"/>
        <v/>
      </c>
    </row>
    <row r="35" spans="1:14" x14ac:dyDescent="0.2">
      <c r="A35" s="627" t="str">
        <f t="shared" si="0"/>
        <v>AAAAAAAA</v>
      </c>
      <c r="B35" s="628"/>
      <c r="C35" s="77" t="s">
        <v>9360</v>
      </c>
      <c r="D35" s="77" t="s">
        <v>9360</v>
      </c>
      <c r="E35" s="77">
        <f t="shared" si="1"/>
        <v>0</v>
      </c>
      <c r="F35" s="16" t="str">
        <f>IF($A$27="","",IF(VLOOKUP($A34,Products!$A$59:$H$159,5,FALSE)="","",VLOOKUP($A34,Products!$A$59:$H$159,5,FALSE)))</f>
        <v/>
      </c>
      <c r="G35" s="16" t="str">
        <f>IF($A$27="","",IF(VLOOKUP($A34,Products!$A$59:$H$159,8,FALSE)="","",VLOOKUP($A34,Products!$A$59:$H$159,8,FALSE)))</f>
        <v/>
      </c>
      <c r="H35" s="77" t="s">
        <v>9360</v>
      </c>
      <c r="I35" s="77" t="s">
        <v>9360</v>
      </c>
      <c r="J35" s="77" t="s">
        <v>9360</v>
      </c>
      <c r="K35" s="2" t="str">
        <f>IF($K$27="","",IF($G35="","",K$27*$G35))</f>
        <v/>
      </c>
      <c r="L35" s="2" t="str">
        <f t="shared" si="3"/>
        <v/>
      </c>
      <c r="M35" s="2" t="str">
        <f t="shared" si="3"/>
        <v/>
      </c>
      <c r="N35" s="12" t="str">
        <f>IF($G35="","",N$27*$G35)</f>
        <v/>
      </c>
    </row>
    <row r="36" spans="1:14" x14ac:dyDescent="0.2">
      <c r="A36" s="627" t="str">
        <f t="shared" si="0"/>
        <v>AAAAAAAAA</v>
      </c>
      <c r="B36" s="628"/>
      <c r="C36" s="77" t="s">
        <v>9360</v>
      </c>
      <c r="D36" s="77" t="s">
        <v>9360</v>
      </c>
      <c r="E36" s="77">
        <f t="shared" si="1"/>
        <v>0</v>
      </c>
      <c r="F36" s="16" t="str">
        <f>IF($A$27="","",IF(VLOOKUP($A35,Products!$A$59:$H$159,5,FALSE)="","",VLOOKUP($A35,Products!$A$59:$H$159,5,FALSE)))</f>
        <v/>
      </c>
      <c r="G36" s="16" t="str">
        <f>IF($A$27="","",IF(VLOOKUP($A35,Products!$A$59:$H$159,8,FALSE)="","",VLOOKUP($A35,Products!$A$59:$H$159,8,FALSE)))</f>
        <v/>
      </c>
      <c r="H36" s="77" t="s">
        <v>9360</v>
      </c>
      <c r="I36" s="77" t="s">
        <v>9360</v>
      </c>
      <c r="J36" s="77" t="s">
        <v>9360</v>
      </c>
      <c r="K36" s="2" t="str">
        <f t="shared" si="2"/>
        <v/>
      </c>
      <c r="L36" s="2" t="str">
        <f>IF($G36="","",L$27*$G36)</f>
        <v/>
      </c>
      <c r="M36" s="2" t="str">
        <f t="shared" si="3"/>
        <v/>
      </c>
      <c r="N36" s="12" t="str">
        <f t="shared" si="3"/>
        <v/>
      </c>
    </row>
    <row r="37" spans="1:14" x14ac:dyDescent="0.2">
      <c r="A37" s="627" t="str">
        <f t="shared" si="0"/>
        <v>AAAAAAAAAA</v>
      </c>
      <c r="B37" s="628"/>
      <c r="C37" s="77" t="s">
        <v>9360</v>
      </c>
      <c r="D37" s="77" t="s">
        <v>9360</v>
      </c>
      <c r="E37" s="77">
        <f t="shared" si="1"/>
        <v>0</v>
      </c>
      <c r="F37" s="16" t="str">
        <f>IF($A$27="","",IF(VLOOKUP($A36,Products!$A$59:$H$159,5,FALSE)="","",VLOOKUP($A36,Products!$A$59:$H$159,5,FALSE)))</f>
        <v/>
      </c>
      <c r="G37" s="16" t="str">
        <f>IF($A$27="","",IF(VLOOKUP($A36,Products!$A$59:$H$159,8,FALSE)="","",VLOOKUP($A36,Products!$A$59:$H$159,8,FALSE)))</f>
        <v/>
      </c>
      <c r="H37" s="77" t="s">
        <v>9360</v>
      </c>
      <c r="I37" s="77" t="s">
        <v>9360</v>
      </c>
      <c r="J37" s="77" t="s">
        <v>9360</v>
      </c>
      <c r="K37" s="2" t="str">
        <f>IF($K$27="","",IF($G37="","",K$27*$G37))</f>
        <v/>
      </c>
      <c r="L37" s="2" t="str">
        <f t="shared" si="3"/>
        <v/>
      </c>
      <c r="M37" s="2" t="str">
        <f t="shared" si="3"/>
        <v/>
      </c>
      <c r="N37" s="12" t="str">
        <f t="shared" si="3"/>
        <v/>
      </c>
    </row>
    <row r="38" spans="1:14" x14ac:dyDescent="0.2">
      <c r="A38" s="651"/>
      <c r="B38" s="615"/>
      <c r="C38" s="41"/>
      <c r="D38" s="41"/>
      <c r="E38" s="41"/>
      <c r="F38" s="16" t="s">
        <v>291</v>
      </c>
      <c r="G38" s="16">
        <v>1</v>
      </c>
      <c r="H38" s="16" t="str">
        <f>IF(A38="","",IF(VLOOKUP($A38,Products!$A$59:$H$159,2,FALSE)="","",VLOOKUP($A38,Products!$A$59:$H$159,2,FALSE)))</f>
        <v/>
      </c>
      <c r="I38" s="16" t="str">
        <f>IF(A38="","",IF(VLOOKUP($A38,Products!$A$59:$H$159,3,FALSE)="","",VLOOKUP($A38,Products!$A$59:$H$159,3,FALSE)))</f>
        <v/>
      </c>
      <c r="J38" s="16" t="str">
        <f>IF(A38="","",IF(VLOOKUP($A38,Products!$A$59:$H$159,4,FALSE)="","",VLOOKUP($A38,Products!$A$59:$H$159,4,FALSE)))</f>
        <v/>
      </c>
      <c r="K38" s="2" t="str">
        <f>IF(OR($A38="",C38="",$E38=""),"",((12.46*$F$21*$I38*$H38)/$F$22)*((C38*42)/1000)*(IF($E38="YES",(1-$F$20),1)))</f>
        <v/>
      </c>
      <c r="L38" s="2" t="str">
        <f>IF(OR($A38="",$D38="",$E38=""),"",((12.46*$F$21*$J38*$H38)/$F$23)*(($D38*42)/1000)*(1/2000)*(IF($E38="YES",(1-$F$20),1)))</f>
        <v/>
      </c>
      <c r="M38" s="2" t="str">
        <f>IF(OR($A38="",$C38="",$E38=""),"",((12.46*$F$21*$I38*$H38)/$F$22)*(($C38*42)/1000)*(IF($E38="YES",$F$20,0)))</f>
        <v/>
      </c>
      <c r="N38" s="12" t="str">
        <f>IF(OR($A38="",$D38="",$E38=""),"",((12.46*$F$21*$J38*$H38)/$F$23)*(($D38*42)/1000)*(1/2000)*(IF($E38="YES",$F$20,0)))</f>
        <v/>
      </c>
    </row>
    <row r="39" spans="1:14" x14ac:dyDescent="0.2">
      <c r="A39" s="627" t="str">
        <f t="shared" ref="A39:A48" si="4">A38&amp;"A"</f>
        <v>A</v>
      </c>
      <c r="B39" s="628"/>
      <c r="C39" s="77" t="s">
        <v>9360</v>
      </c>
      <c r="D39" s="77" t="s">
        <v>9360</v>
      </c>
      <c r="E39" s="77">
        <f>E38</f>
        <v>0</v>
      </c>
      <c r="F39" s="16" t="str">
        <f>IF($A$38="","",IF(VLOOKUP($A38,Products!$A$59:$H$159,5,FALSE)="","",VLOOKUP($A38,Products!$A$59:$H$159,5,FALSE)))</f>
        <v/>
      </c>
      <c r="G39" s="16" t="str">
        <f>IF($A$38="","",IF(VLOOKUP($A38,Products!$A$59:$H$159,8,FALSE)="","",VLOOKUP($A38,Products!$A$59:$H$159,8,FALSE)))</f>
        <v/>
      </c>
      <c r="H39" s="77" t="s">
        <v>9360</v>
      </c>
      <c r="I39" s="77" t="s">
        <v>9360</v>
      </c>
      <c r="J39" s="77" t="s">
        <v>9360</v>
      </c>
      <c r="K39" s="2" t="str">
        <f>IF($G39="","",K$38*$G39)</f>
        <v/>
      </c>
      <c r="L39" s="2" t="str">
        <f t="shared" ref="L39:N48" si="5">IF($G39="","",L$38*$G39)</f>
        <v/>
      </c>
      <c r="M39" s="2" t="str">
        <f t="shared" si="5"/>
        <v/>
      </c>
      <c r="N39" s="12" t="str">
        <f t="shared" si="5"/>
        <v/>
      </c>
    </row>
    <row r="40" spans="1:14" x14ac:dyDescent="0.2">
      <c r="A40" s="627" t="str">
        <f t="shared" si="4"/>
        <v>AA</v>
      </c>
      <c r="B40" s="628"/>
      <c r="C40" s="77" t="s">
        <v>9360</v>
      </c>
      <c r="D40" s="77" t="s">
        <v>9360</v>
      </c>
      <c r="E40" s="77">
        <f t="shared" ref="E40:E48" si="6">E39</f>
        <v>0</v>
      </c>
      <c r="F40" s="16" t="str">
        <f>IF($A$38="","",IF(VLOOKUP($A39,Products!$A$59:$H$159,5,FALSE)="","",VLOOKUP($A39,Products!$A$59:$H$159,5,FALSE)))</f>
        <v/>
      </c>
      <c r="G40" s="16" t="str">
        <f>IF($A$38="","",IF(VLOOKUP($A39,Products!$A$59:$H$159,8,FALSE)="","",VLOOKUP($A39,Products!$A$59:$H$159,8,FALSE)))</f>
        <v/>
      </c>
      <c r="H40" s="77" t="s">
        <v>9360</v>
      </c>
      <c r="I40" s="77" t="s">
        <v>9360</v>
      </c>
      <c r="J40" s="77" t="s">
        <v>9360</v>
      </c>
      <c r="K40" s="2" t="str">
        <f t="shared" ref="K40:K48" si="7">IF($G40="","",K$38*$G40)</f>
        <v/>
      </c>
      <c r="L40" s="2" t="str">
        <f t="shared" si="5"/>
        <v/>
      </c>
      <c r="M40" s="2" t="str">
        <f t="shared" si="5"/>
        <v/>
      </c>
      <c r="N40" s="12" t="str">
        <f t="shared" si="5"/>
        <v/>
      </c>
    </row>
    <row r="41" spans="1:14" x14ac:dyDescent="0.2">
      <c r="A41" s="627" t="str">
        <f t="shared" si="4"/>
        <v>AAA</v>
      </c>
      <c r="B41" s="628"/>
      <c r="C41" s="77" t="s">
        <v>9360</v>
      </c>
      <c r="D41" s="77" t="s">
        <v>9360</v>
      </c>
      <c r="E41" s="77">
        <f t="shared" si="6"/>
        <v>0</v>
      </c>
      <c r="F41" s="16" t="str">
        <f>IF($A$38="","",IF(VLOOKUP($A40,Products!$A$59:$H$159,5,FALSE)="","",VLOOKUP($A40,Products!$A$59:$H$159,5,FALSE)))</f>
        <v/>
      </c>
      <c r="G41" s="16" t="str">
        <f>IF($A$38="","",IF(VLOOKUP($A40,Products!$A$59:$H$159,8,FALSE)="","",VLOOKUP($A40,Products!$A$59:$H$159,8,FALSE)))</f>
        <v/>
      </c>
      <c r="H41" s="77" t="s">
        <v>9360</v>
      </c>
      <c r="I41" s="77" t="s">
        <v>9360</v>
      </c>
      <c r="J41" s="77" t="s">
        <v>9360</v>
      </c>
      <c r="K41" s="2" t="str">
        <f t="shared" si="7"/>
        <v/>
      </c>
      <c r="L41" s="2" t="str">
        <f t="shared" si="5"/>
        <v/>
      </c>
      <c r="M41" s="2" t="str">
        <f t="shared" si="5"/>
        <v/>
      </c>
      <c r="N41" s="12" t="str">
        <f t="shared" si="5"/>
        <v/>
      </c>
    </row>
    <row r="42" spans="1:14" x14ac:dyDescent="0.2">
      <c r="A42" s="627" t="str">
        <f t="shared" si="4"/>
        <v>AAAA</v>
      </c>
      <c r="B42" s="628"/>
      <c r="C42" s="77" t="s">
        <v>9360</v>
      </c>
      <c r="D42" s="77" t="s">
        <v>9360</v>
      </c>
      <c r="E42" s="77">
        <f t="shared" si="6"/>
        <v>0</v>
      </c>
      <c r="F42" s="16" t="str">
        <f>IF($A$38="","",IF(VLOOKUP($A41,Products!$A$59:$H$159,5,FALSE)="","",VLOOKUP($A41,Products!$A$59:$H$159,5,FALSE)))</f>
        <v/>
      </c>
      <c r="G42" s="16" t="str">
        <f>IF($A$38="","",IF(VLOOKUP($A41,Products!$A$59:$H$159,8,FALSE)="","",VLOOKUP($A41,Products!$A$59:$H$159,8,FALSE)))</f>
        <v/>
      </c>
      <c r="H42" s="77" t="s">
        <v>9360</v>
      </c>
      <c r="I42" s="77" t="s">
        <v>9360</v>
      </c>
      <c r="J42" s="77" t="s">
        <v>9360</v>
      </c>
      <c r="K42" s="2" t="str">
        <f t="shared" si="7"/>
        <v/>
      </c>
      <c r="L42" s="2" t="str">
        <f t="shared" si="5"/>
        <v/>
      </c>
      <c r="M42" s="2" t="str">
        <f t="shared" si="5"/>
        <v/>
      </c>
      <c r="N42" s="12" t="str">
        <f t="shared" si="5"/>
        <v/>
      </c>
    </row>
    <row r="43" spans="1:14" x14ac:dyDescent="0.2">
      <c r="A43" s="627" t="str">
        <f t="shared" si="4"/>
        <v>AAAAA</v>
      </c>
      <c r="B43" s="628"/>
      <c r="C43" s="77" t="s">
        <v>9360</v>
      </c>
      <c r="D43" s="77" t="s">
        <v>9360</v>
      </c>
      <c r="E43" s="77">
        <f t="shared" si="6"/>
        <v>0</v>
      </c>
      <c r="F43" s="16" t="str">
        <f>IF($A$38="","",IF(VLOOKUP($A42,Products!$A$59:$H$159,5,FALSE)="","",VLOOKUP($A42,Products!$A$59:$H$159,5,FALSE)))</f>
        <v/>
      </c>
      <c r="G43" s="16" t="str">
        <f>IF($A$38="","",IF(VLOOKUP($A42,Products!$A$59:$H$159,8,FALSE)="","",VLOOKUP($A42,Products!$A$59:$H$159,8,FALSE)))</f>
        <v/>
      </c>
      <c r="H43" s="77" t="s">
        <v>9360</v>
      </c>
      <c r="I43" s="77" t="s">
        <v>9360</v>
      </c>
      <c r="J43" s="77" t="s">
        <v>9360</v>
      </c>
      <c r="K43" s="2" t="str">
        <f t="shared" si="7"/>
        <v/>
      </c>
      <c r="L43" s="2" t="str">
        <f t="shared" si="5"/>
        <v/>
      </c>
      <c r="M43" s="2" t="str">
        <f t="shared" si="5"/>
        <v/>
      </c>
      <c r="N43" s="12" t="str">
        <f t="shared" si="5"/>
        <v/>
      </c>
    </row>
    <row r="44" spans="1:14" x14ac:dyDescent="0.2">
      <c r="A44" s="627" t="str">
        <f t="shared" si="4"/>
        <v>AAAAAA</v>
      </c>
      <c r="B44" s="628"/>
      <c r="C44" s="77" t="s">
        <v>9360</v>
      </c>
      <c r="D44" s="77" t="s">
        <v>9360</v>
      </c>
      <c r="E44" s="77">
        <f t="shared" si="6"/>
        <v>0</v>
      </c>
      <c r="F44" s="16" t="str">
        <f>IF($A$38="","",IF(VLOOKUP($A43,Products!$A$59:$H$159,5,FALSE)="","",VLOOKUP($A43,Products!$A$59:$H$159,5,FALSE)))</f>
        <v/>
      </c>
      <c r="G44" s="16" t="str">
        <f>IF($A$38="","",IF(VLOOKUP($A43,Products!$A$59:$H$159,8,FALSE)="","",VLOOKUP($A43,Products!$A$59:$H$159,8,FALSE)))</f>
        <v/>
      </c>
      <c r="H44" s="77" t="s">
        <v>9360</v>
      </c>
      <c r="I44" s="77" t="s">
        <v>9360</v>
      </c>
      <c r="J44" s="77" t="s">
        <v>9360</v>
      </c>
      <c r="K44" s="2" t="str">
        <f t="shared" si="7"/>
        <v/>
      </c>
      <c r="L44" s="2" t="str">
        <f t="shared" si="5"/>
        <v/>
      </c>
      <c r="M44" s="2" t="str">
        <f t="shared" si="5"/>
        <v/>
      </c>
      <c r="N44" s="12" t="str">
        <f t="shared" si="5"/>
        <v/>
      </c>
    </row>
    <row r="45" spans="1:14" x14ac:dyDescent="0.2">
      <c r="A45" s="627" t="str">
        <f t="shared" si="4"/>
        <v>AAAAAAA</v>
      </c>
      <c r="B45" s="628"/>
      <c r="C45" s="77" t="s">
        <v>9360</v>
      </c>
      <c r="D45" s="77" t="s">
        <v>9360</v>
      </c>
      <c r="E45" s="77">
        <f t="shared" si="6"/>
        <v>0</v>
      </c>
      <c r="F45" s="16" t="str">
        <f>IF($A$38="","",IF(VLOOKUP($A44,Products!$A$59:$H$159,5,FALSE)="","",VLOOKUP($A44,Products!$A$59:$H$159,5,FALSE)))</f>
        <v/>
      </c>
      <c r="G45" s="16" t="str">
        <f>IF($A$38="","",IF(VLOOKUP($A44,Products!$A$59:$H$159,8,FALSE)="","",VLOOKUP($A44,Products!$A$59:$H$159,8,FALSE)))</f>
        <v/>
      </c>
      <c r="H45" s="77" t="s">
        <v>9360</v>
      </c>
      <c r="I45" s="77" t="s">
        <v>9360</v>
      </c>
      <c r="J45" s="77" t="s">
        <v>9360</v>
      </c>
      <c r="K45" s="2" t="str">
        <f t="shared" si="7"/>
        <v/>
      </c>
      <c r="L45" s="2" t="str">
        <f t="shared" si="5"/>
        <v/>
      </c>
      <c r="M45" s="2" t="str">
        <f t="shared" si="5"/>
        <v/>
      </c>
      <c r="N45" s="12" t="str">
        <f t="shared" si="5"/>
        <v/>
      </c>
    </row>
    <row r="46" spans="1:14" x14ac:dyDescent="0.2">
      <c r="A46" s="627" t="str">
        <f t="shared" si="4"/>
        <v>AAAAAAAA</v>
      </c>
      <c r="B46" s="628"/>
      <c r="C46" s="77" t="s">
        <v>9360</v>
      </c>
      <c r="D46" s="77" t="s">
        <v>9360</v>
      </c>
      <c r="E46" s="77">
        <f t="shared" si="6"/>
        <v>0</v>
      </c>
      <c r="F46" s="16" t="str">
        <f>IF($A$38="","",IF(VLOOKUP($A45,Products!$A$59:$H$159,5,FALSE)="","",VLOOKUP($A45,Products!$A$59:$H$159,5,FALSE)))</f>
        <v/>
      </c>
      <c r="G46" s="16" t="str">
        <f>IF($A$38="","",IF(VLOOKUP($A45,Products!$A$59:$H$159,8,FALSE)="","",VLOOKUP($A45,Products!$A$59:$H$159,8,FALSE)))</f>
        <v/>
      </c>
      <c r="H46" s="77" t="s">
        <v>9360</v>
      </c>
      <c r="I46" s="77" t="s">
        <v>9360</v>
      </c>
      <c r="J46" s="77" t="s">
        <v>9360</v>
      </c>
      <c r="K46" s="2" t="str">
        <f t="shared" si="7"/>
        <v/>
      </c>
      <c r="L46" s="2" t="str">
        <f t="shared" si="5"/>
        <v/>
      </c>
      <c r="M46" s="2" t="str">
        <f t="shared" si="5"/>
        <v/>
      </c>
      <c r="N46" s="12" t="str">
        <f t="shared" si="5"/>
        <v/>
      </c>
    </row>
    <row r="47" spans="1:14" x14ac:dyDescent="0.2">
      <c r="A47" s="627" t="str">
        <f t="shared" si="4"/>
        <v>AAAAAAAAA</v>
      </c>
      <c r="B47" s="628"/>
      <c r="C47" s="77" t="s">
        <v>9360</v>
      </c>
      <c r="D47" s="77" t="s">
        <v>9360</v>
      </c>
      <c r="E47" s="77">
        <f t="shared" si="6"/>
        <v>0</v>
      </c>
      <c r="F47" s="16" t="str">
        <f>IF($A$38="","",IF(VLOOKUP($A46,Products!$A$59:$H$159,5,FALSE)="","",VLOOKUP($A46,Products!$A$59:$H$159,5,FALSE)))</f>
        <v/>
      </c>
      <c r="G47" s="16" t="str">
        <f>IF($A$38="","",IF(VLOOKUP($A46,Products!$A$59:$H$159,8,FALSE)="","",VLOOKUP($A46,Products!$A$59:$H$159,8,FALSE)))</f>
        <v/>
      </c>
      <c r="H47" s="77" t="s">
        <v>9360</v>
      </c>
      <c r="I47" s="77" t="s">
        <v>9360</v>
      </c>
      <c r="J47" s="77" t="s">
        <v>9360</v>
      </c>
      <c r="K47" s="2" t="str">
        <f t="shared" si="7"/>
        <v/>
      </c>
      <c r="L47" s="2" t="str">
        <f t="shared" si="5"/>
        <v/>
      </c>
      <c r="M47" s="2" t="str">
        <f t="shared" si="5"/>
        <v/>
      </c>
      <c r="N47" s="12" t="str">
        <f t="shared" si="5"/>
        <v/>
      </c>
    </row>
    <row r="48" spans="1:14" x14ac:dyDescent="0.2">
      <c r="A48" s="627" t="str">
        <f t="shared" si="4"/>
        <v>AAAAAAAAAA</v>
      </c>
      <c r="B48" s="628"/>
      <c r="C48" s="77" t="s">
        <v>9360</v>
      </c>
      <c r="D48" s="77" t="s">
        <v>9360</v>
      </c>
      <c r="E48" s="77">
        <f t="shared" si="6"/>
        <v>0</v>
      </c>
      <c r="F48" s="16" t="str">
        <f>IF($A$38="","",IF(VLOOKUP($A47,Products!$A$59:$H$159,5,FALSE)="","",VLOOKUP($A47,Products!$A$59:$H$159,5,FALSE)))</f>
        <v/>
      </c>
      <c r="G48" s="16" t="str">
        <f>IF($A$38="","",IF(VLOOKUP($A47,Products!$A$59:$H$159,8,FALSE)="","",VLOOKUP($A47,Products!$A$59:$H$159,8,FALSE)))</f>
        <v/>
      </c>
      <c r="H48" s="77" t="s">
        <v>9360</v>
      </c>
      <c r="I48" s="77" t="s">
        <v>9360</v>
      </c>
      <c r="J48" s="77" t="s">
        <v>9360</v>
      </c>
      <c r="K48" s="2" t="str">
        <f t="shared" si="7"/>
        <v/>
      </c>
      <c r="L48" s="2" t="str">
        <f t="shared" si="5"/>
        <v/>
      </c>
      <c r="M48" s="2" t="str">
        <f t="shared" si="5"/>
        <v/>
      </c>
      <c r="N48" s="12" t="str">
        <f t="shared" si="5"/>
        <v/>
      </c>
    </row>
    <row r="49" spans="1:14" x14ac:dyDescent="0.2">
      <c r="A49" s="651"/>
      <c r="B49" s="615"/>
      <c r="C49" s="41"/>
      <c r="D49" s="41"/>
      <c r="E49" s="41"/>
      <c r="F49" s="16" t="s">
        <v>291</v>
      </c>
      <c r="G49" s="16">
        <v>1</v>
      </c>
      <c r="H49" s="16" t="str">
        <f>IF(A49="","",IF(VLOOKUP($A49,Products!$A$59:$H$159,2,FALSE)="","",VLOOKUP($A49,Products!$A$59:$H$159,2,FALSE)))</f>
        <v/>
      </c>
      <c r="I49" s="16" t="str">
        <f>IF(A49="","",IF(VLOOKUP($A49,Products!$A$59:$H$159,3,FALSE)="","",VLOOKUP($A49,Products!$A$59:$H$159,3,FALSE)))</f>
        <v/>
      </c>
      <c r="J49" s="16" t="str">
        <f>IF(A49="","",IF(VLOOKUP($A49,Products!$A$59:$H$159,4,FALSE)="","",VLOOKUP($A49,Products!$A$59:$H$159,4,FALSE)))</f>
        <v/>
      </c>
      <c r="K49" s="2" t="str">
        <f>IF(OR($A49="",C49="",$E49=""),"",((12.46*$F$21*$I49*$H49)/$F$22)*((C49*42)/1000)*(IF($E49="YES",(1-$F$20),1)))</f>
        <v/>
      </c>
      <c r="L49" s="2" t="str">
        <f>IF(OR($A49="",$D49="",$E49=""),"",((12.46*$F$21*$J49*$H49)/$F$23)*(($D49*42)/1000)*(1/2000)*(IF($E49="YES",(1-$F$20),1)))</f>
        <v/>
      </c>
      <c r="M49" s="2" t="str">
        <f>IF(OR($A49="",$C49="",$E49=""),"",((12.46*$F$21*$I49*$H49)/$F$22)*(($C49*42)/1000)*(IF($E49="YES",$F$20,0)))</f>
        <v/>
      </c>
      <c r="N49" s="12" t="str">
        <f>IF(OR($A49="",$D49="",$E49=""),"",((12.46*$F$21*$J49*$H49)/$F$23)*(($D49*42)/1000)*(1/2000)*(IF($E49="YES",$F$20,0)))</f>
        <v/>
      </c>
    </row>
    <row r="50" spans="1:14" x14ac:dyDescent="0.2">
      <c r="A50" s="627" t="str">
        <f t="shared" ref="A50:A59" si="8">A49&amp;"A"</f>
        <v>A</v>
      </c>
      <c r="B50" s="628"/>
      <c r="C50" s="77" t="s">
        <v>9360</v>
      </c>
      <c r="D50" s="77" t="s">
        <v>9360</v>
      </c>
      <c r="E50" s="77">
        <f>E49</f>
        <v>0</v>
      </c>
      <c r="F50" s="16" t="str">
        <f>IF($A$49="","",IF(VLOOKUP($A49,Products!$A$59:$H$159,5,FALSE)="","",VLOOKUP($A49,Products!$A$59:$H$159,5,FALSE)))</f>
        <v/>
      </c>
      <c r="G50" s="16" t="str">
        <f>IF($A$49="","",IF(VLOOKUP($A49,Products!$A$59:$H$159,8,FALSE)="","",VLOOKUP($A49,Products!$A$59:$H$159,8,FALSE)))</f>
        <v/>
      </c>
      <c r="H50" s="77" t="s">
        <v>9360</v>
      </c>
      <c r="I50" s="77" t="s">
        <v>9360</v>
      </c>
      <c r="J50" s="77" t="s">
        <v>9360</v>
      </c>
      <c r="K50" s="2" t="str">
        <f>IF($G50="","",K$49*$G50)</f>
        <v/>
      </c>
      <c r="L50" s="2" t="str">
        <f>IF($G50="","",L$49*$G50)</f>
        <v/>
      </c>
      <c r="M50" s="2" t="str">
        <f>IF($G50="","",M$49*$G50)</f>
        <v/>
      </c>
      <c r="N50" s="12" t="str">
        <f>IF($G50="","",N$49*$G50)</f>
        <v/>
      </c>
    </row>
    <row r="51" spans="1:14" x14ac:dyDescent="0.2">
      <c r="A51" s="627" t="str">
        <f t="shared" si="8"/>
        <v>AA</v>
      </c>
      <c r="B51" s="628"/>
      <c r="C51" s="77" t="s">
        <v>9360</v>
      </c>
      <c r="D51" s="77" t="s">
        <v>9360</v>
      </c>
      <c r="E51" s="77">
        <f t="shared" ref="E51:E59" si="9">E50</f>
        <v>0</v>
      </c>
      <c r="F51" s="16" t="str">
        <f>IF($A$49="","",IF(VLOOKUP($A50,Products!$A$59:$H$159,5,FALSE)="","",VLOOKUP($A50,Products!$A$59:$H$159,5,FALSE)))</f>
        <v/>
      </c>
      <c r="G51" s="16" t="str">
        <f>IF($A$49="","",IF(VLOOKUP($A50,Products!$A$59:$H$159,8,FALSE)="","",VLOOKUP($A50,Products!$A$59:$H$159,8,FALSE)))</f>
        <v/>
      </c>
      <c r="H51" s="77" t="s">
        <v>9360</v>
      </c>
      <c r="I51" s="77" t="s">
        <v>9360</v>
      </c>
      <c r="J51" s="77" t="s">
        <v>9360</v>
      </c>
      <c r="K51" s="2" t="str">
        <f t="shared" ref="K51:N59" si="10">IF($G51="","",K$49*$G51)</f>
        <v/>
      </c>
      <c r="L51" s="2" t="str">
        <f t="shared" si="10"/>
        <v/>
      </c>
      <c r="M51" s="2" t="str">
        <f t="shared" si="10"/>
        <v/>
      </c>
      <c r="N51" s="12" t="str">
        <f t="shared" si="10"/>
        <v/>
      </c>
    </row>
    <row r="52" spans="1:14" x14ac:dyDescent="0.2">
      <c r="A52" s="627" t="str">
        <f t="shared" si="8"/>
        <v>AAA</v>
      </c>
      <c r="B52" s="628"/>
      <c r="C52" s="77" t="s">
        <v>9360</v>
      </c>
      <c r="D52" s="77" t="s">
        <v>9360</v>
      </c>
      <c r="E52" s="77">
        <f t="shared" si="9"/>
        <v>0</v>
      </c>
      <c r="F52" s="16" t="str">
        <f>IF($A$49="","",IF(VLOOKUP($A51,Products!$A$59:$H$159,5,FALSE)="","",VLOOKUP($A51,Products!$A$59:$H$159,5,FALSE)))</f>
        <v/>
      </c>
      <c r="G52" s="16" t="str">
        <f>IF($A$49="","",IF(VLOOKUP($A51,Products!$A$59:$H$159,8,FALSE)="","",VLOOKUP($A51,Products!$A$59:$H$159,8,FALSE)))</f>
        <v/>
      </c>
      <c r="H52" s="77" t="s">
        <v>9360</v>
      </c>
      <c r="I52" s="77" t="s">
        <v>9360</v>
      </c>
      <c r="J52" s="77" t="s">
        <v>9360</v>
      </c>
      <c r="K52" s="2" t="str">
        <f t="shared" si="10"/>
        <v/>
      </c>
      <c r="L52" s="2" t="str">
        <f t="shared" si="10"/>
        <v/>
      </c>
      <c r="M52" s="2" t="str">
        <f t="shared" si="10"/>
        <v/>
      </c>
      <c r="N52" s="12" t="str">
        <f t="shared" si="10"/>
        <v/>
      </c>
    </row>
    <row r="53" spans="1:14" x14ac:dyDescent="0.2">
      <c r="A53" s="627" t="str">
        <f t="shared" si="8"/>
        <v>AAAA</v>
      </c>
      <c r="B53" s="628"/>
      <c r="C53" s="77" t="s">
        <v>9360</v>
      </c>
      <c r="D53" s="77" t="s">
        <v>9360</v>
      </c>
      <c r="E53" s="77">
        <f t="shared" si="9"/>
        <v>0</v>
      </c>
      <c r="F53" s="16" t="str">
        <f>IF($A$49="","",IF(VLOOKUP($A52,Products!$A$59:$H$159,5,FALSE)="","",VLOOKUP($A52,Products!$A$59:$H$159,5,FALSE)))</f>
        <v/>
      </c>
      <c r="G53" s="16" t="str">
        <f>IF($A$49="","",IF(VLOOKUP($A52,Products!$A$59:$H$159,8,FALSE)="","",VLOOKUP($A52,Products!$A$59:$H$159,8,FALSE)))</f>
        <v/>
      </c>
      <c r="H53" s="77" t="s">
        <v>9360</v>
      </c>
      <c r="I53" s="77" t="s">
        <v>9360</v>
      </c>
      <c r="J53" s="77" t="s">
        <v>9360</v>
      </c>
      <c r="K53" s="2" t="str">
        <f t="shared" si="10"/>
        <v/>
      </c>
      <c r="L53" s="2" t="str">
        <f t="shared" si="10"/>
        <v/>
      </c>
      <c r="M53" s="2" t="str">
        <f t="shared" si="10"/>
        <v/>
      </c>
      <c r="N53" s="12" t="str">
        <f t="shared" si="10"/>
        <v/>
      </c>
    </row>
    <row r="54" spans="1:14" x14ac:dyDescent="0.2">
      <c r="A54" s="627" t="str">
        <f t="shared" si="8"/>
        <v>AAAAA</v>
      </c>
      <c r="B54" s="628"/>
      <c r="C54" s="77" t="s">
        <v>9360</v>
      </c>
      <c r="D54" s="77" t="s">
        <v>9360</v>
      </c>
      <c r="E54" s="77">
        <f t="shared" si="9"/>
        <v>0</v>
      </c>
      <c r="F54" s="16" t="str">
        <f>IF($A$49="","",IF(VLOOKUP($A53,Products!$A$59:$H$159,5,FALSE)="","",VLOOKUP($A53,Products!$A$59:$H$159,5,FALSE)))</f>
        <v/>
      </c>
      <c r="G54" s="16" t="str">
        <f>IF($A$49="","",IF(VLOOKUP($A53,Products!$A$59:$H$159,8,FALSE)="","",VLOOKUP($A53,Products!$A$59:$H$159,8,FALSE)))</f>
        <v/>
      </c>
      <c r="H54" s="77" t="s">
        <v>9360</v>
      </c>
      <c r="I54" s="77" t="s">
        <v>9360</v>
      </c>
      <c r="J54" s="77" t="s">
        <v>9360</v>
      </c>
      <c r="K54" s="2" t="str">
        <f t="shared" si="10"/>
        <v/>
      </c>
      <c r="L54" s="2" t="str">
        <f t="shared" si="10"/>
        <v/>
      </c>
      <c r="M54" s="2" t="str">
        <f t="shared" si="10"/>
        <v/>
      </c>
      <c r="N54" s="12" t="str">
        <f t="shared" si="10"/>
        <v/>
      </c>
    </row>
    <row r="55" spans="1:14" x14ac:dyDescent="0.2">
      <c r="A55" s="627" t="str">
        <f t="shared" si="8"/>
        <v>AAAAAA</v>
      </c>
      <c r="B55" s="628"/>
      <c r="C55" s="77" t="s">
        <v>9360</v>
      </c>
      <c r="D55" s="77" t="s">
        <v>9360</v>
      </c>
      <c r="E55" s="77">
        <f t="shared" si="9"/>
        <v>0</v>
      </c>
      <c r="F55" s="16" t="str">
        <f>IF($A$49="","",IF(VLOOKUP($A54,Products!$A$59:$H$159,5,FALSE)="","",VLOOKUP($A54,Products!$A$59:$H$159,5,FALSE)))</f>
        <v/>
      </c>
      <c r="G55" s="16" t="str">
        <f>IF($A$49="","",IF(VLOOKUP($A54,Products!$A$59:$H$159,8,FALSE)="","",VLOOKUP($A54,Products!$A$59:$H$159,8,FALSE)))</f>
        <v/>
      </c>
      <c r="H55" s="77" t="s">
        <v>9360</v>
      </c>
      <c r="I55" s="77" t="s">
        <v>9360</v>
      </c>
      <c r="J55" s="77" t="s">
        <v>9360</v>
      </c>
      <c r="K55" s="2" t="str">
        <f t="shared" si="10"/>
        <v/>
      </c>
      <c r="L55" s="2" t="str">
        <f t="shared" si="10"/>
        <v/>
      </c>
      <c r="M55" s="2" t="str">
        <f t="shared" si="10"/>
        <v/>
      </c>
      <c r="N55" s="12" t="str">
        <f t="shared" si="10"/>
        <v/>
      </c>
    </row>
    <row r="56" spans="1:14" x14ac:dyDescent="0.2">
      <c r="A56" s="627" t="str">
        <f t="shared" si="8"/>
        <v>AAAAAAA</v>
      </c>
      <c r="B56" s="628"/>
      <c r="C56" s="77" t="s">
        <v>9360</v>
      </c>
      <c r="D56" s="77" t="s">
        <v>9360</v>
      </c>
      <c r="E56" s="77">
        <f t="shared" si="9"/>
        <v>0</v>
      </c>
      <c r="F56" s="16" t="str">
        <f>IF($A$49="","",IF(VLOOKUP($A55,Products!$A$59:$H$159,5,FALSE)="","",VLOOKUP($A55,Products!$A$59:$H$159,5,FALSE)))</f>
        <v/>
      </c>
      <c r="G56" s="16" t="str">
        <f>IF($A$49="","",IF(VLOOKUP($A55,Products!$A$59:$H$159,8,FALSE)="","",VLOOKUP($A55,Products!$A$59:$H$159,8,FALSE)))</f>
        <v/>
      </c>
      <c r="H56" s="77" t="s">
        <v>9360</v>
      </c>
      <c r="I56" s="77" t="s">
        <v>9360</v>
      </c>
      <c r="J56" s="77" t="s">
        <v>9360</v>
      </c>
      <c r="K56" s="2" t="str">
        <f t="shared" si="10"/>
        <v/>
      </c>
      <c r="L56" s="2" t="str">
        <f t="shared" si="10"/>
        <v/>
      </c>
      <c r="M56" s="2" t="str">
        <f t="shared" si="10"/>
        <v/>
      </c>
      <c r="N56" s="12" t="str">
        <f t="shared" si="10"/>
        <v/>
      </c>
    </row>
    <row r="57" spans="1:14" x14ac:dyDescent="0.2">
      <c r="A57" s="627" t="str">
        <f t="shared" si="8"/>
        <v>AAAAAAAA</v>
      </c>
      <c r="B57" s="628"/>
      <c r="C57" s="77" t="s">
        <v>9360</v>
      </c>
      <c r="D57" s="77" t="s">
        <v>9360</v>
      </c>
      <c r="E57" s="77">
        <f t="shared" si="9"/>
        <v>0</v>
      </c>
      <c r="F57" s="16" t="str">
        <f>IF($A$49="","",IF(VLOOKUP($A56,Products!$A$59:$H$159,5,FALSE)="","",VLOOKUP($A56,Products!$A$59:$H$159,5,FALSE)))</f>
        <v/>
      </c>
      <c r="G57" s="16" t="str">
        <f>IF($A$49="","",IF(VLOOKUP($A56,Products!$A$59:$H$159,8,FALSE)="","",VLOOKUP($A56,Products!$A$59:$H$159,8,FALSE)))</f>
        <v/>
      </c>
      <c r="H57" s="77" t="s">
        <v>9360</v>
      </c>
      <c r="I57" s="77" t="s">
        <v>9360</v>
      </c>
      <c r="J57" s="77" t="s">
        <v>9360</v>
      </c>
      <c r="K57" s="2" t="str">
        <f t="shared" si="10"/>
        <v/>
      </c>
      <c r="L57" s="2" t="str">
        <f t="shared" si="10"/>
        <v/>
      </c>
      <c r="M57" s="2" t="str">
        <f t="shared" si="10"/>
        <v/>
      </c>
      <c r="N57" s="12" t="str">
        <f t="shared" si="10"/>
        <v/>
      </c>
    </row>
    <row r="58" spans="1:14" x14ac:dyDescent="0.2">
      <c r="A58" s="627" t="str">
        <f t="shared" si="8"/>
        <v>AAAAAAAAA</v>
      </c>
      <c r="B58" s="628"/>
      <c r="C58" s="77" t="s">
        <v>9360</v>
      </c>
      <c r="D58" s="77" t="s">
        <v>9360</v>
      </c>
      <c r="E58" s="77">
        <f t="shared" si="9"/>
        <v>0</v>
      </c>
      <c r="F58" s="16" t="str">
        <f>IF($A$49="","",IF(VLOOKUP($A57,Products!$A$59:$H$159,5,FALSE)="","",VLOOKUP($A57,Products!$A$59:$H$159,5,FALSE)))</f>
        <v/>
      </c>
      <c r="G58" s="16" t="str">
        <f>IF($A$49="","",IF(VLOOKUP($A57,Products!$A$59:$H$159,8,FALSE)="","",VLOOKUP($A57,Products!$A$59:$H$159,8,FALSE)))</f>
        <v/>
      </c>
      <c r="H58" s="77" t="s">
        <v>9360</v>
      </c>
      <c r="I58" s="77" t="s">
        <v>9360</v>
      </c>
      <c r="J58" s="77" t="s">
        <v>9360</v>
      </c>
      <c r="K58" s="2" t="str">
        <f t="shared" si="10"/>
        <v/>
      </c>
      <c r="L58" s="2" t="str">
        <f t="shared" si="10"/>
        <v/>
      </c>
      <c r="M58" s="2" t="str">
        <f t="shared" si="10"/>
        <v/>
      </c>
      <c r="N58" s="12" t="str">
        <f t="shared" si="10"/>
        <v/>
      </c>
    </row>
    <row r="59" spans="1:14" x14ac:dyDescent="0.2">
      <c r="A59" s="627" t="str">
        <f t="shared" si="8"/>
        <v>AAAAAAAAAA</v>
      </c>
      <c r="B59" s="628"/>
      <c r="C59" s="77" t="s">
        <v>9360</v>
      </c>
      <c r="D59" s="77" t="s">
        <v>9360</v>
      </c>
      <c r="E59" s="77">
        <f t="shared" si="9"/>
        <v>0</v>
      </c>
      <c r="F59" s="16" t="str">
        <f>IF($A$49="","",IF(VLOOKUP($A58,Products!$A$59:$H$159,5,FALSE)="","",VLOOKUP($A58,Products!$A$59:$H$159,5,FALSE)))</f>
        <v/>
      </c>
      <c r="G59" s="16" t="str">
        <f>IF($A$49="","",IF(VLOOKUP($A58,Products!$A$59:$H$159,8,FALSE)="","",VLOOKUP($A58,Products!$A$59:$H$159,8,FALSE)))</f>
        <v/>
      </c>
      <c r="H59" s="77" t="s">
        <v>9360</v>
      </c>
      <c r="I59" s="77" t="s">
        <v>9360</v>
      </c>
      <c r="J59" s="77" t="s">
        <v>9360</v>
      </c>
      <c r="K59" s="2" t="str">
        <f t="shared" si="10"/>
        <v/>
      </c>
      <c r="L59" s="2" t="str">
        <f t="shared" si="10"/>
        <v/>
      </c>
      <c r="M59" s="2" t="str">
        <f t="shared" si="10"/>
        <v/>
      </c>
      <c r="N59" s="12" t="str">
        <f t="shared" si="10"/>
        <v/>
      </c>
    </row>
    <row r="60" spans="1:14" x14ac:dyDescent="0.2">
      <c r="A60" s="651"/>
      <c r="B60" s="615"/>
      <c r="C60" s="41"/>
      <c r="D60" s="41"/>
      <c r="E60" s="41"/>
      <c r="F60" s="16" t="s">
        <v>291</v>
      </c>
      <c r="G60" s="16">
        <v>1</v>
      </c>
      <c r="H60" s="16" t="str">
        <f>IF(A60="","",IF(VLOOKUP($A60,Products!$A$59:$H$159,2,FALSE)="","",VLOOKUP($A60,Products!$A$59:$H$159,2,FALSE)))</f>
        <v/>
      </c>
      <c r="I60" s="16" t="str">
        <f>IF(A60="","",IF(VLOOKUP($A60,Products!$A$59:$H$159,3,FALSE)="","",VLOOKUP($A60,Products!$A$59:$H$159,3,FALSE)))</f>
        <v/>
      </c>
      <c r="J60" s="16" t="str">
        <f>IF(A60="","",IF(VLOOKUP($A60,Products!$A$59:$H$159,4,FALSE)="","",VLOOKUP($A60,Products!$A$59:$H$159,4,FALSE)))</f>
        <v/>
      </c>
      <c r="K60" s="2" t="str">
        <f>IF(OR($A60="",C60="",$E60=""),"",((12.46*$F$21*$I60*$H60)/$F$22)*((C60*42)/1000)*(IF($E60="YES",(1-$F$20),1)))</f>
        <v/>
      </c>
      <c r="L60" s="2" t="str">
        <f>IF(OR($A60="",$D60="",$E60=""),"",((12.46*$F$21*$J60*$H60)/$F$23)*(($D60*42)/1000)*(1/2000)*(IF($E60="YES",(1-$F$20),1)))</f>
        <v/>
      </c>
      <c r="M60" s="2" t="str">
        <f>IF(OR($A60="",$C60="",$E60=""),"",((12.46*$F$21*$I60*$H60)/$F$22)*(($C60*42)/1000)*(IF($E60="YES",$F$20,0)))</f>
        <v/>
      </c>
      <c r="N60" s="12" t="str">
        <f>IF(OR($A60="",$D60="",$E60=""),"",((12.46*$F$21*$J60*$H60)/$F$23)*(($D60*42)/1000)*(1/2000)*(IF($E60="YES",$F$20,0)))</f>
        <v/>
      </c>
    </row>
    <row r="61" spans="1:14" x14ac:dyDescent="0.2">
      <c r="A61" s="627" t="str">
        <f t="shared" ref="A61:A70" si="11">A60&amp;"A"</f>
        <v>A</v>
      </c>
      <c r="B61" s="628"/>
      <c r="C61" s="77" t="s">
        <v>9360</v>
      </c>
      <c r="D61" s="77" t="s">
        <v>9360</v>
      </c>
      <c r="E61" s="77">
        <f>E60</f>
        <v>0</v>
      </c>
      <c r="F61" s="16" t="str">
        <f>IF($A$60="","",IF(VLOOKUP($A60,Products!$A$59:$H$159,5,FALSE)="","",VLOOKUP($A60,Products!$A$59:$H$159,5,FALSE)))</f>
        <v/>
      </c>
      <c r="G61" s="16" t="str">
        <f>IF($A$60="","",IF(VLOOKUP($A60,Products!$A$59:$H$159,8,FALSE)="","",VLOOKUP($A60,Products!$A$59:$H$159,8,FALSE)))</f>
        <v/>
      </c>
      <c r="H61" s="77" t="s">
        <v>9360</v>
      </c>
      <c r="I61" s="77" t="s">
        <v>9360</v>
      </c>
      <c r="J61" s="77" t="s">
        <v>9360</v>
      </c>
      <c r="K61" s="2" t="str">
        <f>IF($G61="","",K$60*$G61)</f>
        <v/>
      </c>
      <c r="L61" s="2" t="str">
        <f t="shared" ref="L61:N70" si="12">IF($G61="","",L$60*$G61)</f>
        <v/>
      </c>
      <c r="M61" s="2" t="str">
        <f>IF($G61="","",M$60*$G61)</f>
        <v/>
      </c>
      <c r="N61" s="12" t="str">
        <f>IF($G61="","",N$60*$G61)</f>
        <v/>
      </c>
    </row>
    <row r="62" spans="1:14" x14ac:dyDescent="0.2">
      <c r="A62" s="627" t="str">
        <f t="shared" si="11"/>
        <v>AA</v>
      </c>
      <c r="B62" s="628"/>
      <c r="C62" s="77" t="s">
        <v>9360</v>
      </c>
      <c r="D62" s="77" t="s">
        <v>9360</v>
      </c>
      <c r="E62" s="77">
        <f t="shared" ref="E62:E70" si="13">E61</f>
        <v>0</v>
      </c>
      <c r="F62" s="16" t="str">
        <f>IF($A$60="","",IF(VLOOKUP($A61,Products!$A$59:$H$159,5,FALSE)="","",VLOOKUP($A61,Products!$A$59:$H$159,5,FALSE)))</f>
        <v/>
      </c>
      <c r="G62" s="16" t="str">
        <f>IF($A$60="","",IF(VLOOKUP($A61,Products!$A$59:$H$159,8,FALSE)="","",VLOOKUP($A61,Products!$A$59:$H$159,8,FALSE)))</f>
        <v/>
      </c>
      <c r="H62" s="77" t="s">
        <v>9360</v>
      </c>
      <c r="I62" s="77" t="s">
        <v>9360</v>
      </c>
      <c r="J62" s="77" t="s">
        <v>9360</v>
      </c>
      <c r="K62" s="2" t="str">
        <f t="shared" ref="K62:K70" si="14">IF($G62="","",K$60*$G62)</f>
        <v/>
      </c>
      <c r="L62" s="2" t="str">
        <f t="shared" si="12"/>
        <v/>
      </c>
      <c r="M62" s="2" t="str">
        <f t="shared" si="12"/>
        <v/>
      </c>
      <c r="N62" s="12" t="str">
        <f t="shared" si="12"/>
        <v/>
      </c>
    </row>
    <row r="63" spans="1:14" x14ac:dyDescent="0.2">
      <c r="A63" s="627" t="str">
        <f t="shared" si="11"/>
        <v>AAA</v>
      </c>
      <c r="B63" s="628"/>
      <c r="C63" s="77" t="s">
        <v>9360</v>
      </c>
      <c r="D63" s="77" t="s">
        <v>9360</v>
      </c>
      <c r="E63" s="77">
        <f t="shared" si="13"/>
        <v>0</v>
      </c>
      <c r="F63" s="16" t="str">
        <f>IF($A$60="","",IF(VLOOKUP($A62,Products!$A$59:$H$159,5,FALSE)="","",VLOOKUP($A62,Products!$A$59:$H$159,5,FALSE)))</f>
        <v/>
      </c>
      <c r="G63" s="16" t="str">
        <f>IF($A$60="","",IF(VLOOKUP($A62,Products!$A$59:$H$159,8,FALSE)="","",VLOOKUP($A62,Products!$A$59:$H$159,8,FALSE)))</f>
        <v/>
      </c>
      <c r="H63" s="77" t="s">
        <v>9360</v>
      </c>
      <c r="I63" s="77" t="s">
        <v>9360</v>
      </c>
      <c r="J63" s="77" t="s">
        <v>9360</v>
      </c>
      <c r="K63" s="2" t="str">
        <f t="shared" si="14"/>
        <v/>
      </c>
      <c r="L63" s="2" t="str">
        <f t="shared" si="12"/>
        <v/>
      </c>
      <c r="M63" s="2" t="str">
        <f t="shared" si="12"/>
        <v/>
      </c>
      <c r="N63" s="12" t="str">
        <f t="shared" si="12"/>
        <v/>
      </c>
    </row>
    <row r="64" spans="1:14" x14ac:dyDescent="0.2">
      <c r="A64" s="627" t="str">
        <f t="shared" si="11"/>
        <v>AAAA</v>
      </c>
      <c r="B64" s="628"/>
      <c r="C64" s="77" t="s">
        <v>9360</v>
      </c>
      <c r="D64" s="77" t="s">
        <v>9360</v>
      </c>
      <c r="E64" s="77">
        <f t="shared" si="13"/>
        <v>0</v>
      </c>
      <c r="F64" s="16" t="str">
        <f>IF($A$60="","",IF(VLOOKUP($A63,Products!$A$59:$H$159,5,FALSE)="","",VLOOKUP($A63,Products!$A$59:$H$159,5,FALSE)))</f>
        <v/>
      </c>
      <c r="G64" s="16" t="str">
        <f>IF($A$60="","",IF(VLOOKUP($A63,Products!$A$59:$H$159,8,FALSE)="","",VLOOKUP($A63,Products!$A$59:$H$159,8,FALSE)))</f>
        <v/>
      </c>
      <c r="H64" s="77" t="s">
        <v>9360</v>
      </c>
      <c r="I64" s="77" t="s">
        <v>9360</v>
      </c>
      <c r="J64" s="77" t="s">
        <v>9360</v>
      </c>
      <c r="K64" s="2" t="str">
        <f t="shared" si="14"/>
        <v/>
      </c>
      <c r="L64" s="2" t="str">
        <f t="shared" si="12"/>
        <v/>
      </c>
      <c r="M64" s="2" t="str">
        <f t="shared" si="12"/>
        <v/>
      </c>
      <c r="N64" s="12" t="str">
        <f t="shared" si="12"/>
        <v/>
      </c>
    </row>
    <row r="65" spans="1:14" x14ac:dyDescent="0.2">
      <c r="A65" s="627" t="str">
        <f t="shared" si="11"/>
        <v>AAAAA</v>
      </c>
      <c r="B65" s="628"/>
      <c r="C65" s="77" t="s">
        <v>9360</v>
      </c>
      <c r="D65" s="77" t="s">
        <v>9360</v>
      </c>
      <c r="E65" s="77">
        <f t="shared" si="13"/>
        <v>0</v>
      </c>
      <c r="F65" s="16" t="str">
        <f>IF($A$60="","",IF(VLOOKUP($A64,Products!$A$59:$H$159,5,FALSE)="","",VLOOKUP($A64,Products!$A$59:$H$159,5,FALSE)))</f>
        <v/>
      </c>
      <c r="G65" s="16" t="str">
        <f>IF($A$60="","",IF(VLOOKUP($A64,Products!$A$59:$H$159,8,FALSE)="","",VLOOKUP($A64,Products!$A$59:$H$159,8,FALSE)))</f>
        <v/>
      </c>
      <c r="H65" s="77" t="s">
        <v>9360</v>
      </c>
      <c r="I65" s="77" t="s">
        <v>9360</v>
      </c>
      <c r="J65" s="77" t="s">
        <v>9360</v>
      </c>
      <c r="K65" s="2" t="str">
        <f t="shared" si="14"/>
        <v/>
      </c>
      <c r="L65" s="2" t="str">
        <f t="shared" si="12"/>
        <v/>
      </c>
      <c r="M65" s="2" t="str">
        <f t="shared" si="12"/>
        <v/>
      </c>
      <c r="N65" s="12" t="str">
        <f t="shared" si="12"/>
        <v/>
      </c>
    </row>
    <row r="66" spans="1:14" x14ac:dyDescent="0.2">
      <c r="A66" s="627" t="str">
        <f t="shared" si="11"/>
        <v>AAAAAA</v>
      </c>
      <c r="B66" s="628"/>
      <c r="C66" s="77" t="s">
        <v>9360</v>
      </c>
      <c r="D66" s="77" t="s">
        <v>9360</v>
      </c>
      <c r="E66" s="77">
        <f t="shared" si="13"/>
        <v>0</v>
      </c>
      <c r="F66" s="16" t="str">
        <f>IF($A$60="","",IF(VLOOKUP($A65,Products!$A$59:$H$159,5,FALSE)="","",VLOOKUP($A65,Products!$A$59:$H$159,5,FALSE)))</f>
        <v/>
      </c>
      <c r="G66" s="16" t="str">
        <f>IF($A$60="","",IF(VLOOKUP($A65,Products!$A$59:$H$159,8,FALSE)="","",VLOOKUP($A65,Products!$A$59:$H$159,8,FALSE)))</f>
        <v/>
      </c>
      <c r="H66" s="77" t="s">
        <v>9360</v>
      </c>
      <c r="I66" s="77" t="s">
        <v>9360</v>
      </c>
      <c r="J66" s="77" t="s">
        <v>9360</v>
      </c>
      <c r="K66" s="2" t="str">
        <f t="shared" si="14"/>
        <v/>
      </c>
      <c r="L66" s="2" t="str">
        <f t="shared" si="12"/>
        <v/>
      </c>
      <c r="M66" s="2" t="str">
        <f t="shared" si="12"/>
        <v/>
      </c>
      <c r="N66" s="12" t="str">
        <f t="shared" si="12"/>
        <v/>
      </c>
    </row>
    <row r="67" spans="1:14" x14ac:dyDescent="0.2">
      <c r="A67" s="627" t="str">
        <f t="shared" si="11"/>
        <v>AAAAAAA</v>
      </c>
      <c r="B67" s="628"/>
      <c r="C67" s="77" t="s">
        <v>9360</v>
      </c>
      <c r="D67" s="77" t="s">
        <v>9360</v>
      </c>
      <c r="E67" s="77">
        <f t="shared" si="13"/>
        <v>0</v>
      </c>
      <c r="F67" s="16" t="str">
        <f>IF($A$60="","",IF(VLOOKUP($A66,Products!$A$59:$H$159,5,FALSE)="","",VLOOKUP($A66,Products!$A$59:$H$159,5,FALSE)))</f>
        <v/>
      </c>
      <c r="G67" s="16" t="str">
        <f>IF($A$60="","",IF(VLOOKUP($A66,Products!$A$59:$H$159,8,FALSE)="","",VLOOKUP($A66,Products!$A$59:$H$159,8,FALSE)))</f>
        <v/>
      </c>
      <c r="H67" s="77" t="s">
        <v>9360</v>
      </c>
      <c r="I67" s="77" t="s">
        <v>9360</v>
      </c>
      <c r="J67" s="77" t="s">
        <v>9360</v>
      </c>
      <c r="K67" s="2" t="str">
        <f t="shared" si="14"/>
        <v/>
      </c>
      <c r="L67" s="2" t="str">
        <f t="shared" si="12"/>
        <v/>
      </c>
      <c r="M67" s="2" t="str">
        <f t="shared" si="12"/>
        <v/>
      </c>
      <c r="N67" s="12" t="str">
        <f t="shared" si="12"/>
        <v/>
      </c>
    </row>
    <row r="68" spans="1:14" x14ac:dyDescent="0.2">
      <c r="A68" s="627" t="str">
        <f t="shared" si="11"/>
        <v>AAAAAAAA</v>
      </c>
      <c r="B68" s="628"/>
      <c r="C68" s="77" t="s">
        <v>9360</v>
      </c>
      <c r="D68" s="77" t="s">
        <v>9360</v>
      </c>
      <c r="E68" s="77">
        <f t="shared" si="13"/>
        <v>0</v>
      </c>
      <c r="F68" s="16" t="str">
        <f>IF($A$60="","",IF(VLOOKUP($A67,Products!$A$59:$H$159,5,FALSE)="","",VLOOKUP($A67,Products!$A$59:$H$159,5,FALSE)))</f>
        <v/>
      </c>
      <c r="G68" s="16" t="str">
        <f>IF($A$60="","",IF(VLOOKUP($A67,Products!$A$59:$H$159,8,FALSE)="","",VLOOKUP($A67,Products!$A$59:$H$159,8,FALSE)))</f>
        <v/>
      </c>
      <c r="H68" s="77" t="s">
        <v>9360</v>
      </c>
      <c r="I68" s="77" t="s">
        <v>9360</v>
      </c>
      <c r="J68" s="77" t="s">
        <v>9360</v>
      </c>
      <c r="K68" s="2" t="str">
        <f t="shared" si="14"/>
        <v/>
      </c>
      <c r="L68" s="2" t="str">
        <f>IF($G68="","",L$60*$G68)</f>
        <v/>
      </c>
      <c r="M68" s="2" t="str">
        <f t="shared" si="12"/>
        <v/>
      </c>
      <c r="N68" s="12" t="str">
        <f t="shared" si="12"/>
        <v/>
      </c>
    </row>
    <row r="69" spans="1:14" x14ac:dyDescent="0.2">
      <c r="A69" s="627" t="str">
        <f t="shared" si="11"/>
        <v>AAAAAAAAA</v>
      </c>
      <c r="B69" s="628"/>
      <c r="C69" s="77" t="s">
        <v>9360</v>
      </c>
      <c r="D69" s="77" t="s">
        <v>9360</v>
      </c>
      <c r="E69" s="77">
        <f t="shared" si="13"/>
        <v>0</v>
      </c>
      <c r="F69" s="16" t="str">
        <f>IF($A$60="","",IF(VLOOKUP($A68,Products!$A$59:$H$159,5,FALSE)="","",VLOOKUP($A68,Products!$A$59:$H$159,5,FALSE)))</f>
        <v/>
      </c>
      <c r="G69" s="16" t="str">
        <f>IF($A$60="","",IF(VLOOKUP($A68,Products!$A$59:$H$159,8,FALSE)="","",VLOOKUP($A68,Products!$A$59:$H$159,8,FALSE)))</f>
        <v/>
      </c>
      <c r="H69" s="77" t="s">
        <v>9360</v>
      </c>
      <c r="I69" s="77" t="s">
        <v>9360</v>
      </c>
      <c r="J69" s="77" t="s">
        <v>9360</v>
      </c>
      <c r="K69" s="2" t="str">
        <f t="shared" si="14"/>
        <v/>
      </c>
      <c r="L69" s="2" t="str">
        <f t="shared" si="12"/>
        <v/>
      </c>
      <c r="M69" s="2" t="str">
        <f t="shared" si="12"/>
        <v/>
      </c>
      <c r="N69" s="12" t="str">
        <f t="shared" si="12"/>
        <v/>
      </c>
    </row>
    <row r="70" spans="1:14" x14ac:dyDescent="0.2">
      <c r="A70" s="627" t="str">
        <f t="shared" si="11"/>
        <v>AAAAAAAAAA</v>
      </c>
      <c r="B70" s="628"/>
      <c r="C70" s="77" t="s">
        <v>9360</v>
      </c>
      <c r="D70" s="77" t="s">
        <v>9360</v>
      </c>
      <c r="E70" s="77">
        <f t="shared" si="13"/>
        <v>0</v>
      </c>
      <c r="F70" s="16" t="str">
        <f>IF($A$60="","",IF(VLOOKUP($A69,Products!$A$59:$H$159,5,FALSE)="","",VLOOKUP($A69,Products!$A$59:$H$159,5,FALSE)))</f>
        <v/>
      </c>
      <c r="G70" s="16" t="str">
        <f>IF($A$60="","",IF(VLOOKUP($A69,Products!$A$59:$H$159,8,FALSE)="","",VLOOKUP($A69,Products!$A$59:$H$159,8,FALSE)))</f>
        <v/>
      </c>
      <c r="H70" s="77" t="s">
        <v>9360</v>
      </c>
      <c r="I70" s="77" t="s">
        <v>9360</v>
      </c>
      <c r="J70" s="77" t="s">
        <v>9360</v>
      </c>
      <c r="K70" s="2" t="str">
        <f t="shared" si="14"/>
        <v/>
      </c>
      <c r="L70" s="2" t="str">
        <f t="shared" si="12"/>
        <v/>
      </c>
      <c r="M70" s="2" t="str">
        <f t="shared" si="12"/>
        <v/>
      </c>
      <c r="N70" s="12" t="str">
        <f t="shared" si="12"/>
        <v/>
      </c>
    </row>
    <row r="71" spans="1:14" x14ac:dyDescent="0.2">
      <c r="A71" s="651"/>
      <c r="B71" s="615"/>
      <c r="C71" s="41"/>
      <c r="D71" s="41"/>
      <c r="E71" s="41"/>
      <c r="F71" s="16" t="s">
        <v>291</v>
      </c>
      <c r="G71" s="16">
        <v>1</v>
      </c>
      <c r="H71" s="16" t="str">
        <f>IF(A71="","",IF(VLOOKUP($A71,Products!$A$59:$H$159,2,FALSE)="","",VLOOKUP($A71,Products!$A$59:$H$159,2,FALSE)))</f>
        <v/>
      </c>
      <c r="I71" s="16" t="str">
        <f>IF(A71="","",IF(VLOOKUP($A71,Products!$A$59:$H$159,3,FALSE)="","",VLOOKUP($A71,Products!$A$59:$H$159,3,FALSE)))</f>
        <v/>
      </c>
      <c r="J71" s="16" t="str">
        <f>IF(A71="","",IF(VLOOKUP($A71,Products!$A$59:$H$159,4,FALSE)="","",VLOOKUP($A71,Products!$A$59:$H$159,4,FALSE)))</f>
        <v/>
      </c>
      <c r="K71" s="2" t="str">
        <f>IF(OR($A71="",C71="",$E71=""),"",((12.46*$F$21*$I71*$H71)/$F$22)*((C71*42)/1000)*(IF($E71="YES",(1-$F$20),1)))</f>
        <v/>
      </c>
      <c r="L71" s="2" t="str">
        <f>IF(OR($A71="",$D71="",$E71=""),"",((12.46*$F$21*$J71*$H71)/$F$23)*(($D71*42)/1000)*(1/2000)*(IF($E71="YES",(1-$F$20),1)))</f>
        <v/>
      </c>
      <c r="M71" s="2" t="str">
        <f>IF(OR($A71="",$C71="",$E71=""),"",((12.46*$F$21*$I71*$H71)/$F$22)*(($C71*42)/1000)*(IF($E71="YES",$F$20,0)))</f>
        <v/>
      </c>
      <c r="N71" s="12" t="str">
        <f>IF(OR($A71="",$D71="",$E71=""),"",((12.46*$F$21*$J71*$H71)/$F$23)*(($D71*42)/1000)*(1/2000)*(IF($E71="YES",$F$20,0)))</f>
        <v/>
      </c>
    </row>
    <row r="72" spans="1:14" x14ac:dyDescent="0.2">
      <c r="A72" s="627" t="str">
        <f t="shared" ref="A72:A81" si="15">A71&amp;"A"</f>
        <v>A</v>
      </c>
      <c r="B72" s="628"/>
      <c r="C72" s="77" t="s">
        <v>9360</v>
      </c>
      <c r="D72" s="77" t="s">
        <v>9360</v>
      </c>
      <c r="E72" s="77">
        <f>E71</f>
        <v>0</v>
      </c>
      <c r="F72" s="16" t="str">
        <f>IF($A$71="","",IF(VLOOKUP($A71,Products!$A$59:$H$159,5,FALSE)="","",VLOOKUP($A71,Products!$A$59:$H$159,5,FALSE)))</f>
        <v/>
      </c>
      <c r="G72" s="16" t="str">
        <f>IF($A$71="","",IF(VLOOKUP($A71,Products!$A$59:$H$159,8,FALSE)="","",VLOOKUP($A71,Products!$A$59:$H$159,8,FALSE)))</f>
        <v/>
      </c>
      <c r="H72" s="77" t="s">
        <v>9360</v>
      </c>
      <c r="I72" s="77" t="s">
        <v>9360</v>
      </c>
      <c r="J72" s="77" t="s">
        <v>9360</v>
      </c>
      <c r="K72" s="2" t="str">
        <f>IF($G72="","",K$71*$G72)</f>
        <v/>
      </c>
      <c r="L72" s="2" t="str">
        <f t="shared" ref="L72:N81" si="16">IF($G72="","",L$71*$G72)</f>
        <v/>
      </c>
      <c r="M72" s="2" t="str">
        <f t="shared" si="16"/>
        <v/>
      </c>
      <c r="N72" s="12" t="str">
        <f t="shared" si="16"/>
        <v/>
      </c>
    </row>
    <row r="73" spans="1:14" x14ac:dyDescent="0.2">
      <c r="A73" s="627" t="str">
        <f t="shared" si="15"/>
        <v>AA</v>
      </c>
      <c r="B73" s="628"/>
      <c r="C73" s="77" t="s">
        <v>9360</v>
      </c>
      <c r="D73" s="77" t="s">
        <v>9360</v>
      </c>
      <c r="E73" s="77">
        <f t="shared" ref="E73:E81" si="17">E72</f>
        <v>0</v>
      </c>
      <c r="F73" s="16" t="str">
        <f>IF($A$71="","",IF(VLOOKUP($A72,Products!$A$59:$H$159,5,FALSE)="","",VLOOKUP($A72,Products!$A$59:$H$159,5,FALSE)))</f>
        <v/>
      </c>
      <c r="G73" s="16" t="str">
        <f>IF($A$71="","",IF(VLOOKUP($A72,Products!$A$59:$H$159,8,FALSE)="","",VLOOKUP($A72,Products!$A$59:$H$159,8,FALSE)))</f>
        <v/>
      </c>
      <c r="H73" s="77" t="s">
        <v>9360</v>
      </c>
      <c r="I73" s="77" t="s">
        <v>9360</v>
      </c>
      <c r="J73" s="77" t="s">
        <v>9360</v>
      </c>
      <c r="K73" s="2" t="str">
        <f t="shared" ref="K73:K81" si="18">IF($G73="","",K$71*$G73)</f>
        <v/>
      </c>
      <c r="L73" s="2" t="str">
        <f t="shared" si="16"/>
        <v/>
      </c>
      <c r="M73" s="2" t="str">
        <f t="shared" si="16"/>
        <v/>
      </c>
      <c r="N73" s="12" t="str">
        <f t="shared" si="16"/>
        <v/>
      </c>
    </row>
    <row r="74" spans="1:14" x14ac:dyDescent="0.2">
      <c r="A74" s="627" t="str">
        <f t="shared" si="15"/>
        <v>AAA</v>
      </c>
      <c r="B74" s="628"/>
      <c r="C74" s="77" t="s">
        <v>9360</v>
      </c>
      <c r="D74" s="77" t="s">
        <v>9360</v>
      </c>
      <c r="E74" s="77">
        <f t="shared" si="17"/>
        <v>0</v>
      </c>
      <c r="F74" s="16" t="str">
        <f>IF($A$71="","",IF(VLOOKUP($A73,Products!$A$59:$H$159,5,FALSE)="","",VLOOKUP($A73,Products!$A$59:$H$159,5,FALSE)))</f>
        <v/>
      </c>
      <c r="G74" s="16" t="str">
        <f>IF($A$71="","",IF(VLOOKUP($A73,Products!$A$59:$H$159,8,FALSE)="","",VLOOKUP($A73,Products!$A$59:$H$159,8,FALSE)))</f>
        <v/>
      </c>
      <c r="H74" s="77" t="s">
        <v>9360</v>
      </c>
      <c r="I74" s="77" t="s">
        <v>9360</v>
      </c>
      <c r="J74" s="77" t="s">
        <v>9360</v>
      </c>
      <c r="K74" s="2" t="str">
        <f t="shared" si="18"/>
        <v/>
      </c>
      <c r="L74" s="2" t="str">
        <f t="shared" si="16"/>
        <v/>
      </c>
      <c r="M74" s="2" t="str">
        <f t="shared" si="16"/>
        <v/>
      </c>
      <c r="N74" s="12" t="str">
        <f t="shared" si="16"/>
        <v/>
      </c>
    </row>
    <row r="75" spans="1:14" x14ac:dyDescent="0.2">
      <c r="A75" s="627" t="str">
        <f t="shared" si="15"/>
        <v>AAAA</v>
      </c>
      <c r="B75" s="628"/>
      <c r="C75" s="77" t="s">
        <v>9360</v>
      </c>
      <c r="D75" s="77" t="s">
        <v>9360</v>
      </c>
      <c r="E75" s="77">
        <f t="shared" si="17"/>
        <v>0</v>
      </c>
      <c r="F75" s="16" t="str">
        <f>IF($A$71="","",IF(VLOOKUP($A74,Products!$A$59:$H$159,5,FALSE)="","",VLOOKUP($A74,Products!$A$59:$H$159,5,FALSE)))</f>
        <v/>
      </c>
      <c r="G75" s="16" t="str">
        <f>IF($A$71="","",IF(VLOOKUP($A74,Products!$A$59:$H$159,8,FALSE)="","",VLOOKUP($A74,Products!$A$59:$H$159,8,FALSE)))</f>
        <v/>
      </c>
      <c r="H75" s="77" t="s">
        <v>9360</v>
      </c>
      <c r="I75" s="77" t="s">
        <v>9360</v>
      </c>
      <c r="J75" s="77" t="s">
        <v>9360</v>
      </c>
      <c r="K75" s="2" t="str">
        <f t="shared" si="18"/>
        <v/>
      </c>
      <c r="L75" s="2" t="str">
        <f t="shared" si="16"/>
        <v/>
      </c>
      <c r="M75" s="2" t="str">
        <f t="shared" si="16"/>
        <v/>
      </c>
      <c r="N75" s="12" t="str">
        <f t="shared" si="16"/>
        <v/>
      </c>
    </row>
    <row r="76" spans="1:14" x14ac:dyDescent="0.2">
      <c r="A76" s="627" t="str">
        <f t="shared" si="15"/>
        <v>AAAAA</v>
      </c>
      <c r="B76" s="628"/>
      <c r="C76" s="77" t="s">
        <v>9360</v>
      </c>
      <c r="D76" s="77" t="s">
        <v>9360</v>
      </c>
      <c r="E76" s="77">
        <f t="shared" si="17"/>
        <v>0</v>
      </c>
      <c r="F76" s="16" t="str">
        <f>IF($A$71="","",IF(VLOOKUP($A75,Products!$A$59:$H$159,5,FALSE)="","",VLOOKUP($A75,Products!$A$59:$H$159,5,FALSE)))</f>
        <v/>
      </c>
      <c r="G76" s="16" t="str">
        <f>IF($A$71="","",IF(VLOOKUP($A75,Products!$A$59:$H$159,8,FALSE)="","",VLOOKUP($A75,Products!$A$59:$H$159,8,FALSE)))</f>
        <v/>
      </c>
      <c r="H76" s="77" t="s">
        <v>9360</v>
      </c>
      <c r="I76" s="77" t="s">
        <v>9360</v>
      </c>
      <c r="J76" s="77" t="s">
        <v>9360</v>
      </c>
      <c r="K76" s="2" t="str">
        <f t="shared" si="18"/>
        <v/>
      </c>
      <c r="L76" s="2" t="str">
        <f t="shared" si="16"/>
        <v/>
      </c>
      <c r="M76" s="2" t="str">
        <f t="shared" si="16"/>
        <v/>
      </c>
      <c r="N76" s="12" t="str">
        <f t="shared" si="16"/>
        <v/>
      </c>
    </row>
    <row r="77" spans="1:14" x14ac:dyDescent="0.2">
      <c r="A77" s="627" t="str">
        <f t="shared" si="15"/>
        <v>AAAAAA</v>
      </c>
      <c r="B77" s="628"/>
      <c r="C77" s="77" t="s">
        <v>9360</v>
      </c>
      <c r="D77" s="77" t="s">
        <v>9360</v>
      </c>
      <c r="E77" s="77">
        <f t="shared" si="17"/>
        <v>0</v>
      </c>
      <c r="F77" s="16" t="str">
        <f>IF($A$71="","",IF(VLOOKUP($A76,Products!$A$59:$H$159,5,FALSE)="","",VLOOKUP($A76,Products!$A$59:$H$159,5,FALSE)))</f>
        <v/>
      </c>
      <c r="G77" s="16" t="str">
        <f>IF($A$71="","",IF(VLOOKUP($A76,Products!$A$59:$H$159,8,FALSE)="","",VLOOKUP($A76,Products!$A$59:$H$159,8,FALSE)))</f>
        <v/>
      </c>
      <c r="H77" s="77" t="s">
        <v>9360</v>
      </c>
      <c r="I77" s="77" t="s">
        <v>9360</v>
      </c>
      <c r="J77" s="77" t="s">
        <v>9360</v>
      </c>
      <c r="K77" s="2" t="str">
        <f t="shared" si="18"/>
        <v/>
      </c>
      <c r="L77" s="2" t="str">
        <f t="shared" si="16"/>
        <v/>
      </c>
      <c r="M77" s="2" t="str">
        <f t="shared" si="16"/>
        <v/>
      </c>
      <c r="N77" s="12" t="str">
        <f t="shared" si="16"/>
        <v/>
      </c>
    </row>
    <row r="78" spans="1:14" x14ac:dyDescent="0.2">
      <c r="A78" s="627" t="str">
        <f t="shared" si="15"/>
        <v>AAAAAAA</v>
      </c>
      <c r="B78" s="628"/>
      <c r="C78" s="77" t="s">
        <v>9360</v>
      </c>
      <c r="D78" s="77" t="s">
        <v>9360</v>
      </c>
      <c r="E78" s="77">
        <f t="shared" si="17"/>
        <v>0</v>
      </c>
      <c r="F78" s="16" t="str">
        <f>IF($A$71="","",IF(VLOOKUP($A77,Products!$A$59:$H$159,5,FALSE)="","",VLOOKUP($A77,Products!$A$59:$H$159,5,FALSE)))</f>
        <v/>
      </c>
      <c r="G78" s="16" t="str">
        <f>IF($A$71="","",IF(VLOOKUP($A77,Products!$A$59:$H$159,8,FALSE)="","",VLOOKUP($A77,Products!$A$59:$H$159,8,FALSE)))</f>
        <v/>
      </c>
      <c r="H78" s="77" t="s">
        <v>9360</v>
      </c>
      <c r="I78" s="77" t="s">
        <v>9360</v>
      </c>
      <c r="J78" s="77" t="s">
        <v>9360</v>
      </c>
      <c r="K78" s="2" t="str">
        <f t="shared" si="18"/>
        <v/>
      </c>
      <c r="L78" s="2" t="str">
        <f t="shared" si="16"/>
        <v/>
      </c>
      <c r="M78" s="2" t="str">
        <f t="shared" si="16"/>
        <v/>
      </c>
      <c r="N78" s="12" t="str">
        <f t="shared" si="16"/>
        <v/>
      </c>
    </row>
    <row r="79" spans="1:14" x14ac:dyDescent="0.2">
      <c r="A79" s="627" t="str">
        <f t="shared" si="15"/>
        <v>AAAAAAAA</v>
      </c>
      <c r="B79" s="628"/>
      <c r="C79" s="77" t="s">
        <v>9360</v>
      </c>
      <c r="D79" s="77" t="s">
        <v>9360</v>
      </c>
      <c r="E79" s="77">
        <f t="shared" si="17"/>
        <v>0</v>
      </c>
      <c r="F79" s="16" t="str">
        <f>IF($A$71="","",IF(VLOOKUP($A78,Products!$A$59:$H$159,5,FALSE)="","",VLOOKUP($A78,Products!$A$59:$H$159,5,FALSE)))</f>
        <v/>
      </c>
      <c r="G79" s="16" t="str">
        <f>IF($A$71="","",IF(VLOOKUP($A78,Products!$A$59:$H$159,8,FALSE)="","",VLOOKUP($A78,Products!$A$59:$H$159,8,FALSE)))</f>
        <v/>
      </c>
      <c r="H79" s="77" t="s">
        <v>9360</v>
      </c>
      <c r="I79" s="77" t="s">
        <v>9360</v>
      </c>
      <c r="J79" s="77" t="s">
        <v>9360</v>
      </c>
      <c r="K79" s="2" t="str">
        <f t="shared" si="18"/>
        <v/>
      </c>
      <c r="L79" s="2" t="str">
        <f t="shared" si="16"/>
        <v/>
      </c>
      <c r="M79" s="2" t="str">
        <f t="shared" si="16"/>
        <v/>
      </c>
      <c r="N79" s="12" t="str">
        <f t="shared" si="16"/>
        <v/>
      </c>
    </row>
    <row r="80" spans="1:14" x14ac:dyDescent="0.2">
      <c r="A80" s="627" t="str">
        <f t="shared" si="15"/>
        <v>AAAAAAAAA</v>
      </c>
      <c r="B80" s="628"/>
      <c r="C80" s="77" t="s">
        <v>9360</v>
      </c>
      <c r="D80" s="77" t="s">
        <v>9360</v>
      </c>
      <c r="E80" s="77">
        <f t="shared" si="17"/>
        <v>0</v>
      </c>
      <c r="F80" s="16" t="str">
        <f>IF($A$71="","",IF(VLOOKUP($A79,Products!$A$59:$H$159,5,FALSE)="","",VLOOKUP($A79,Products!$A$59:$H$159,5,FALSE)))</f>
        <v/>
      </c>
      <c r="G80" s="16" t="str">
        <f>IF($A$71="","",IF(VLOOKUP($A79,Products!$A$59:$H$159,8,FALSE)="","",VLOOKUP($A79,Products!$A$59:$H$159,8,FALSE)))</f>
        <v/>
      </c>
      <c r="H80" s="77" t="s">
        <v>9360</v>
      </c>
      <c r="I80" s="77" t="s">
        <v>9360</v>
      </c>
      <c r="J80" s="77" t="s">
        <v>9360</v>
      </c>
      <c r="K80" s="2" t="str">
        <f t="shared" si="18"/>
        <v/>
      </c>
      <c r="L80" s="2" t="str">
        <f t="shared" si="16"/>
        <v/>
      </c>
      <c r="M80" s="2" t="str">
        <f t="shared" si="16"/>
        <v/>
      </c>
      <c r="N80" s="12" t="str">
        <f t="shared" si="16"/>
        <v/>
      </c>
    </row>
    <row r="81" spans="1:14" x14ac:dyDescent="0.2">
      <c r="A81" s="627" t="str">
        <f t="shared" si="15"/>
        <v>AAAAAAAAAA</v>
      </c>
      <c r="B81" s="628"/>
      <c r="C81" s="77" t="s">
        <v>9360</v>
      </c>
      <c r="D81" s="77" t="s">
        <v>9360</v>
      </c>
      <c r="E81" s="77">
        <f t="shared" si="17"/>
        <v>0</v>
      </c>
      <c r="F81" s="16" t="str">
        <f>IF($A$71="","",IF(VLOOKUP($A80,Products!$A$59:$H$159,5,FALSE)="","",VLOOKUP($A80,Products!$A$59:$H$159,5,FALSE)))</f>
        <v/>
      </c>
      <c r="G81" s="16" t="str">
        <f>IF($A$71="","",IF(VLOOKUP($A80,Products!$A$59:$H$159,8,FALSE)="","",VLOOKUP($A80,Products!$A$59:$H$159,8,FALSE)))</f>
        <v/>
      </c>
      <c r="H81" s="77" t="s">
        <v>9360</v>
      </c>
      <c r="I81" s="77" t="s">
        <v>9360</v>
      </c>
      <c r="J81" s="77" t="s">
        <v>9360</v>
      </c>
      <c r="K81" s="2" t="str">
        <f t="shared" si="18"/>
        <v/>
      </c>
      <c r="L81" s="2" t="str">
        <f t="shared" si="16"/>
        <v/>
      </c>
      <c r="M81" s="2" t="str">
        <f t="shared" si="16"/>
        <v/>
      </c>
      <c r="N81" s="12" t="str">
        <f t="shared" si="16"/>
        <v/>
      </c>
    </row>
    <row r="82" spans="1:14" x14ac:dyDescent="0.2">
      <c r="A82" s="651"/>
      <c r="B82" s="615"/>
      <c r="C82" s="41"/>
      <c r="D82" s="41"/>
      <c r="E82" s="41"/>
      <c r="F82" s="16" t="s">
        <v>291</v>
      </c>
      <c r="G82" s="16">
        <v>1</v>
      </c>
      <c r="H82" s="16" t="str">
        <f>IF(A82="","",IF(VLOOKUP($A82,Products!$A$59:$H$159,2,FALSE)="","",VLOOKUP($A82,Products!$A$59:$H$159,2,FALSE)))</f>
        <v/>
      </c>
      <c r="I82" s="16" t="str">
        <f>IF(A82="","",IF(VLOOKUP($A82,Products!$A$59:$H$159,3,FALSE)="","",VLOOKUP($A82,Products!$A$59:$H$159,3,FALSE)))</f>
        <v/>
      </c>
      <c r="J82" s="16" t="str">
        <f>IF(A82="","",IF(VLOOKUP($A82,Products!$A$59:$H$159,4,FALSE)="","",VLOOKUP($A82,Products!$A$59:$H$159,4,FALSE)))</f>
        <v/>
      </c>
      <c r="K82" s="2" t="str">
        <f>IF(OR($A82="",C82="",$E82=""),"",((12.46*$F$21*$I82*$H82)/$F$22)*((C82*42)/1000)*(IF($E82="YES",(1-$F$20),1)))</f>
        <v/>
      </c>
      <c r="L82" s="2" t="str">
        <f>IF(OR($A82="",$D82="",$E82=""),"",((12.46*$F$21*$J82*$H82)/$F$23)*(($D82*42)/1000)*(1/2000)*(IF($E82="YES",(1-$F$20),1)))</f>
        <v/>
      </c>
      <c r="M82" s="2" t="str">
        <f>IF(OR($A82="",$C82="",$E82=""),"",((12.46*$F$21*$I82*$H82)/$F$22)*(($C82*42)/1000)*(IF($E82="YES",$F$20,0)))</f>
        <v/>
      </c>
      <c r="N82" s="12" t="str">
        <f>IF(OR($A82="",$D82="",$E82=""),"",((12.46*$F$21*$J82*$H82)/$F$23)*(($D82*42)/1000)*(1/2000)*(IF($E82="YES",$F$20,0)))</f>
        <v/>
      </c>
    </row>
    <row r="83" spans="1:14" x14ac:dyDescent="0.2">
      <c r="A83" s="627" t="str">
        <f t="shared" ref="A83:A92" si="19">A82&amp;"A"</f>
        <v>A</v>
      </c>
      <c r="B83" s="628"/>
      <c r="C83" s="77" t="s">
        <v>9360</v>
      </c>
      <c r="D83" s="77" t="s">
        <v>9360</v>
      </c>
      <c r="E83" s="77">
        <f>E82</f>
        <v>0</v>
      </c>
      <c r="F83" s="16" t="str">
        <f>IF($A$82="","",IF(VLOOKUP($A82,Products!$A$59:$H$159,5,FALSE)="","",VLOOKUP($A82,Products!$A$59:$H$159,5,FALSE)))</f>
        <v/>
      </c>
      <c r="G83" s="16" t="str">
        <f>IF($A$82="","",IF(VLOOKUP($A82,Products!$A$59:$H$159,8,FALSE)="","",VLOOKUP($A82,Products!$A$59:$H$159,8,FALSE)))</f>
        <v/>
      </c>
      <c r="H83" s="77" t="s">
        <v>9360</v>
      </c>
      <c r="I83" s="77" t="s">
        <v>9360</v>
      </c>
      <c r="J83" s="77" t="s">
        <v>9360</v>
      </c>
      <c r="K83" s="2" t="str">
        <f>IF($G83="","",K$82*$G83)</f>
        <v/>
      </c>
      <c r="L83" s="2" t="str">
        <f t="shared" ref="L83:N92" si="20">IF($G83="","",L$82*$G83)</f>
        <v/>
      </c>
      <c r="M83" s="2" t="str">
        <f t="shared" si="20"/>
        <v/>
      </c>
      <c r="N83" s="12" t="str">
        <f t="shared" si="20"/>
        <v/>
      </c>
    </row>
    <row r="84" spans="1:14" x14ac:dyDescent="0.2">
      <c r="A84" s="627" t="str">
        <f t="shared" si="19"/>
        <v>AA</v>
      </c>
      <c r="B84" s="628"/>
      <c r="C84" s="77" t="s">
        <v>9360</v>
      </c>
      <c r="D84" s="77" t="s">
        <v>9360</v>
      </c>
      <c r="E84" s="77">
        <f t="shared" ref="E84:E92" si="21">E83</f>
        <v>0</v>
      </c>
      <c r="F84" s="16" t="str">
        <f>IF($A$82="","",IF(VLOOKUP($A83,Products!$A$59:$H$159,5,FALSE)="","",VLOOKUP($A83,Products!$A$59:$H$159,5,FALSE)))</f>
        <v/>
      </c>
      <c r="G84" s="16" t="str">
        <f>IF($A$82="","",IF(VLOOKUP($A83,Products!$A$59:$H$159,8,FALSE)="","",VLOOKUP($A83,Products!$A$59:$H$159,8,FALSE)))</f>
        <v/>
      </c>
      <c r="H84" s="77" t="s">
        <v>9360</v>
      </c>
      <c r="I84" s="77" t="s">
        <v>9360</v>
      </c>
      <c r="J84" s="77" t="s">
        <v>9360</v>
      </c>
      <c r="K84" s="2" t="str">
        <f>IF($G84="","",K$82*$G84)</f>
        <v/>
      </c>
      <c r="L84" s="2" t="str">
        <f t="shared" si="20"/>
        <v/>
      </c>
      <c r="M84" s="2" t="str">
        <f t="shared" si="20"/>
        <v/>
      </c>
      <c r="N84" s="12" t="str">
        <f t="shared" si="20"/>
        <v/>
      </c>
    </row>
    <row r="85" spans="1:14" x14ac:dyDescent="0.2">
      <c r="A85" s="627" t="str">
        <f t="shared" si="19"/>
        <v>AAA</v>
      </c>
      <c r="B85" s="628"/>
      <c r="C85" s="77" t="s">
        <v>9360</v>
      </c>
      <c r="D85" s="77" t="s">
        <v>9360</v>
      </c>
      <c r="E85" s="77">
        <f t="shared" si="21"/>
        <v>0</v>
      </c>
      <c r="F85" s="16" t="str">
        <f>IF($A$82="","",IF(VLOOKUP($A84,Products!$A$59:$H$159,5,FALSE)="","",VLOOKUP($A84,Products!$A$59:$H$159,5,FALSE)))</f>
        <v/>
      </c>
      <c r="G85" s="16" t="str">
        <f>IF($A$82="","",IF(VLOOKUP($A84,Products!$A$59:$H$159,8,FALSE)="","",VLOOKUP($A84,Products!$A$59:$H$159,8,FALSE)))</f>
        <v/>
      </c>
      <c r="H85" s="77" t="s">
        <v>9360</v>
      </c>
      <c r="I85" s="77" t="s">
        <v>9360</v>
      </c>
      <c r="J85" s="77" t="s">
        <v>9360</v>
      </c>
      <c r="K85" s="2" t="str">
        <f t="shared" ref="K85:K92" si="22">IF($G85="","",K$82*$G85)</f>
        <v/>
      </c>
      <c r="L85" s="2" t="str">
        <f t="shared" si="20"/>
        <v/>
      </c>
      <c r="M85" s="2" t="str">
        <f t="shared" si="20"/>
        <v/>
      </c>
      <c r="N85" s="12" t="str">
        <f t="shared" si="20"/>
        <v/>
      </c>
    </row>
    <row r="86" spans="1:14" x14ac:dyDescent="0.2">
      <c r="A86" s="627" t="str">
        <f t="shared" si="19"/>
        <v>AAAA</v>
      </c>
      <c r="B86" s="628"/>
      <c r="C86" s="77" t="s">
        <v>9360</v>
      </c>
      <c r="D86" s="77" t="s">
        <v>9360</v>
      </c>
      <c r="E86" s="77">
        <f t="shared" si="21"/>
        <v>0</v>
      </c>
      <c r="F86" s="16" t="str">
        <f>IF($A$82="","",IF(VLOOKUP($A85,Products!$A$59:$H$159,5,FALSE)="","",VLOOKUP($A85,Products!$A$59:$H$159,5,FALSE)))</f>
        <v/>
      </c>
      <c r="G86" s="16" t="str">
        <f>IF($A$82="","",IF(VLOOKUP($A85,Products!$A$59:$H$159,8,FALSE)="","",VLOOKUP($A85,Products!$A$59:$H$159,8,FALSE)))</f>
        <v/>
      </c>
      <c r="H86" s="77" t="s">
        <v>9360</v>
      </c>
      <c r="I86" s="77" t="s">
        <v>9360</v>
      </c>
      <c r="J86" s="77" t="s">
        <v>9360</v>
      </c>
      <c r="K86" s="2" t="str">
        <f t="shared" si="22"/>
        <v/>
      </c>
      <c r="L86" s="2" t="str">
        <f t="shared" si="20"/>
        <v/>
      </c>
      <c r="M86" s="2" t="str">
        <f t="shared" si="20"/>
        <v/>
      </c>
      <c r="N86" s="12" t="str">
        <f t="shared" si="20"/>
        <v/>
      </c>
    </row>
    <row r="87" spans="1:14" x14ac:dyDescent="0.2">
      <c r="A87" s="627" t="str">
        <f t="shared" si="19"/>
        <v>AAAAA</v>
      </c>
      <c r="B87" s="628"/>
      <c r="C87" s="77" t="s">
        <v>9360</v>
      </c>
      <c r="D87" s="77" t="s">
        <v>9360</v>
      </c>
      <c r="E87" s="77">
        <f t="shared" si="21"/>
        <v>0</v>
      </c>
      <c r="F87" s="16" t="str">
        <f>IF($A$82="","",IF(VLOOKUP($A86,Products!$A$59:$H$159,5,FALSE)="","",VLOOKUP($A86,Products!$A$59:$H$159,5,FALSE)))</f>
        <v/>
      </c>
      <c r="G87" s="16" t="str">
        <f>IF($A$82="","",IF(VLOOKUP($A86,Products!$A$59:$H$159,8,FALSE)="","",VLOOKUP($A86,Products!$A$59:$H$159,8,FALSE)))</f>
        <v/>
      </c>
      <c r="H87" s="77" t="s">
        <v>9360</v>
      </c>
      <c r="I87" s="77" t="s">
        <v>9360</v>
      </c>
      <c r="J87" s="77" t="s">
        <v>9360</v>
      </c>
      <c r="K87" s="2" t="str">
        <f t="shared" si="22"/>
        <v/>
      </c>
      <c r="L87" s="2" t="str">
        <f t="shared" si="20"/>
        <v/>
      </c>
      <c r="M87" s="2" t="str">
        <f>IF($G87="","",M$82*$G87)</f>
        <v/>
      </c>
      <c r="N87" s="12" t="str">
        <f t="shared" si="20"/>
        <v/>
      </c>
    </row>
    <row r="88" spans="1:14" x14ac:dyDescent="0.2">
      <c r="A88" s="627" t="str">
        <f t="shared" si="19"/>
        <v>AAAAAA</v>
      </c>
      <c r="B88" s="628"/>
      <c r="C88" s="77" t="s">
        <v>9360</v>
      </c>
      <c r="D88" s="77" t="s">
        <v>9360</v>
      </c>
      <c r="E88" s="77">
        <f t="shared" si="21"/>
        <v>0</v>
      </c>
      <c r="F88" s="16" t="str">
        <f>IF($A$82="","",IF(VLOOKUP($A87,Products!$A$59:$H$159,5,FALSE)="","",VLOOKUP($A87,Products!$A$59:$H$159,5,FALSE)))</f>
        <v/>
      </c>
      <c r="G88" s="16" t="str">
        <f>IF($A$82="","",IF(VLOOKUP($A87,Products!$A$59:$H$159,8,FALSE)="","",VLOOKUP($A87,Products!$A$59:$H$159,8,FALSE)))</f>
        <v/>
      </c>
      <c r="H88" s="77" t="s">
        <v>9360</v>
      </c>
      <c r="I88" s="77" t="s">
        <v>9360</v>
      </c>
      <c r="J88" s="77" t="s">
        <v>9360</v>
      </c>
      <c r="K88" s="2" t="str">
        <f t="shared" si="22"/>
        <v/>
      </c>
      <c r="L88" s="2" t="str">
        <f t="shared" si="20"/>
        <v/>
      </c>
      <c r="M88" s="2" t="str">
        <f t="shared" si="20"/>
        <v/>
      </c>
      <c r="N88" s="12" t="str">
        <f t="shared" si="20"/>
        <v/>
      </c>
    </row>
    <row r="89" spans="1:14" x14ac:dyDescent="0.2">
      <c r="A89" s="627" t="str">
        <f t="shared" si="19"/>
        <v>AAAAAAA</v>
      </c>
      <c r="B89" s="628"/>
      <c r="C89" s="77" t="s">
        <v>9360</v>
      </c>
      <c r="D89" s="77" t="s">
        <v>9360</v>
      </c>
      <c r="E89" s="77">
        <f t="shared" si="21"/>
        <v>0</v>
      </c>
      <c r="F89" s="16" t="str">
        <f>IF($A$82="","",IF(VLOOKUP($A88,Products!$A$59:$H$159,5,FALSE)="","",VLOOKUP($A88,Products!$A$59:$H$159,5,FALSE)))</f>
        <v/>
      </c>
      <c r="G89" s="16" t="str">
        <f>IF($A$82="","",IF(VLOOKUP($A88,Products!$A$59:$H$159,8,FALSE)="","",VLOOKUP($A88,Products!$A$59:$H$159,8,FALSE)))</f>
        <v/>
      </c>
      <c r="H89" s="77" t="s">
        <v>9360</v>
      </c>
      <c r="I89" s="77" t="s">
        <v>9360</v>
      </c>
      <c r="J89" s="77" t="s">
        <v>9360</v>
      </c>
      <c r="K89" s="2" t="str">
        <f t="shared" si="22"/>
        <v/>
      </c>
      <c r="L89" s="2" t="str">
        <f t="shared" si="20"/>
        <v/>
      </c>
      <c r="M89" s="2" t="str">
        <f>IF($G89="","",M$82*$G89)</f>
        <v/>
      </c>
      <c r="N89" s="12" t="str">
        <f t="shared" si="20"/>
        <v/>
      </c>
    </row>
    <row r="90" spans="1:14" x14ac:dyDescent="0.2">
      <c r="A90" s="627" t="str">
        <f t="shared" si="19"/>
        <v>AAAAAAAA</v>
      </c>
      <c r="B90" s="628"/>
      <c r="C90" s="77" t="s">
        <v>9360</v>
      </c>
      <c r="D90" s="77" t="s">
        <v>9360</v>
      </c>
      <c r="E90" s="77">
        <f t="shared" si="21"/>
        <v>0</v>
      </c>
      <c r="F90" s="16" t="str">
        <f>IF($A$82="","",IF(VLOOKUP($A89,Products!$A$59:$H$159,5,FALSE)="","",VLOOKUP($A89,Products!$A$59:$H$159,5,FALSE)))</f>
        <v/>
      </c>
      <c r="G90" s="16" t="str">
        <f>IF($A$82="","",IF(VLOOKUP($A89,Products!$A$59:$H$159,8,FALSE)="","",VLOOKUP($A89,Products!$A$59:$H$159,8,FALSE)))</f>
        <v/>
      </c>
      <c r="H90" s="77" t="s">
        <v>9360</v>
      </c>
      <c r="I90" s="77" t="s">
        <v>9360</v>
      </c>
      <c r="J90" s="77" t="s">
        <v>9360</v>
      </c>
      <c r="K90" s="2" t="str">
        <f t="shared" si="22"/>
        <v/>
      </c>
      <c r="L90" s="2" t="str">
        <f t="shared" si="20"/>
        <v/>
      </c>
      <c r="M90" s="2" t="str">
        <f t="shared" si="20"/>
        <v/>
      </c>
      <c r="N90" s="12" t="str">
        <f t="shared" si="20"/>
        <v/>
      </c>
    </row>
    <row r="91" spans="1:14" x14ac:dyDescent="0.2">
      <c r="A91" s="627" t="str">
        <f t="shared" si="19"/>
        <v>AAAAAAAAA</v>
      </c>
      <c r="B91" s="628"/>
      <c r="C91" s="77" t="s">
        <v>9360</v>
      </c>
      <c r="D91" s="77" t="s">
        <v>9360</v>
      </c>
      <c r="E91" s="77">
        <f t="shared" si="21"/>
        <v>0</v>
      </c>
      <c r="F91" s="16" t="str">
        <f>IF($A$82="","",IF(VLOOKUP($A90,Products!$A$59:$H$159,5,FALSE)="","",VLOOKUP($A90,Products!$A$59:$H$159,5,FALSE)))</f>
        <v/>
      </c>
      <c r="G91" s="16" t="str">
        <f>IF($A$82="","",IF(VLOOKUP($A90,Products!$A$59:$H$159,8,FALSE)="","",VLOOKUP($A90,Products!$A$59:$H$159,8,FALSE)))</f>
        <v/>
      </c>
      <c r="H91" s="77" t="s">
        <v>9360</v>
      </c>
      <c r="I91" s="77" t="s">
        <v>9360</v>
      </c>
      <c r="J91" s="77" t="s">
        <v>9360</v>
      </c>
      <c r="K91" s="2" t="str">
        <f t="shared" si="22"/>
        <v/>
      </c>
      <c r="L91" s="2" t="str">
        <f t="shared" si="20"/>
        <v/>
      </c>
      <c r="M91" s="2" t="str">
        <f t="shared" si="20"/>
        <v/>
      </c>
      <c r="N91" s="12" t="str">
        <f t="shared" si="20"/>
        <v/>
      </c>
    </row>
    <row r="92" spans="1:14" x14ac:dyDescent="0.2">
      <c r="A92" s="627" t="str">
        <f t="shared" si="19"/>
        <v>AAAAAAAAAA</v>
      </c>
      <c r="B92" s="628"/>
      <c r="C92" s="77" t="s">
        <v>9360</v>
      </c>
      <c r="D92" s="77" t="s">
        <v>9360</v>
      </c>
      <c r="E92" s="77">
        <f t="shared" si="21"/>
        <v>0</v>
      </c>
      <c r="F92" s="16" t="str">
        <f>IF($A$82="","",IF(VLOOKUP($A91,Products!$A$59:$H$159,5,FALSE)="","",VLOOKUP($A91,Products!$A$59:$H$159,5,FALSE)))</f>
        <v/>
      </c>
      <c r="G92" s="16" t="str">
        <f>IF($A$82="","",IF(VLOOKUP($A91,Products!$A$59:$H$159,8,FALSE)="","",VLOOKUP($A91,Products!$A$59:$H$159,8,FALSE)))</f>
        <v/>
      </c>
      <c r="H92" s="77" t="s">
        <v>9360</v>
      </c>
      <c r="I92" s="77" t="s">
        <v>9360</v>
      </c>
      <c r="J92" s="77" t="s">
        <v>9360</v>
      </c>
      <c r="K92" s="2" t="str">
        <f t="shared" si="22"/>
        <v/>
      </c>
      <c r="L92" s="2" t="str">
        <f t="shared" si="20"/>
        <v/>
      </c>
      <c r="M92" s="2" t="str">
        <f t="shared" si="20"/>
        <v/>
      </c>
      <c r="N92" s="12" t="str">
        <f t="shared" si="20"/>
        <v/>
      </c>
    </row>
    <row r="93" spans="1:14" x14ac:dyDescent="0.2">
      <c r="A93" s="651"/>
      <c r="B93" s="615"/>
      <c r="C93" s="41"/>
      <c r="D93" s="41"/>
      <c r="E93" s="41"/>
      <c r="F93" s="16" t="s">
        <v>291</v>
      </c>
      <c r="G93" s="16">
        <v>1</v>
      </c>
      <c r="H93" s="16" t="str">
        <f>IF(A93="","",IF(VLOOKUP($A93,Products!$A$59:$H$159,2,FALSE)="","",VLOOKUP($A93,Products!$A$59:$H$159,2,FALSE)))</f>
        <v/>
      </c>
      <c r="I93" s="16" t="str">
        <f>IF(A93="","",IF(VLOOKUP($A93,Products!$A$59:$H$159,3,FALSE)="","",VLOOKUP($A93,Products!$A$59:$H$159,3,FALSE)))</f>
        <v/>
      </c>
      <c r="J93" s="16" t="str">
        <f>IF(A93="","",IF(VLOOKUP($A93,Products!$A$59:$H$159,4,FALSE)="","",VLOOKUP($A93,Products!$A$59:$H$159,4,FALSE)))</f>
        <v/>
      </c>
      <c r="K93" s="2" t="str">
        <f>IF(OR($A93="",C93="",$E93=""),"",((12.46*$F$21*$I93*$H93)/$F$22)*((C93*42)/1000)*(IF($E93="YES",(1-$F$20),1)))</f>
        <v/>
      </c>
      <c r="L93" s="2" t="str">
        <f>IF(OR($A93="",$D93="",$E93=""),"",((12.46*$F$21*$J93*$H93)/$F$23)*(($D93*42)/1000)*(1/2000)*(IF($E93="YES",(1-$F$20),1)))</f>
        <v/>
      </c>
      <c r="M93" s="2" t="str">
        <f>IF(OR($A93="",$C93="",$E93=""),"",((12.46*$F$21*$I93*$H93)/$F$22)*(($C93*42)/1000)*(IF($E93="YES",$F$20,0)))</f>
        <v/>
      </c>
      <c r="N93" s="12" t="str">
        <f>IF(OR($A93="",$D93="",$E93=""),"",((12.46*$F$21*$J93*$H93)/$F$23)*(($D93*42)/1000)*(1/2000)*(IF($E93="YES",$F$20,0)))</f>
        <v/>
      </c>
    </row>
    <row r="94" spans="1:14" x14ac:dyDescent="0.2">
      <c r="A94" s="627" t="str">
        <f t="shared" ref="A94:A103" si="23">A93&amp;"A"</f>
        <v>A</v>
      </c>
      <c r="B94" s="628"/>
      <c r="C94" s="77" t="s">
        <v>9360</v>
      </c>
      <c r="D94" s="77" t="s">
        <v>9360</v>
      </c>
      <c r="E94" s="77">
        <f>E93</f>
        <v>0</v>
      </c>
      <c r="F94" s="16" t="str">
        <f>IF($A$93="","",IF(VLOOKUP($A93,Products!$A$59:$H$159,5,FALSE)="","",VLOOKUP($A93,Products!$A$59:$H$159,5,FALSE)))</f>
        <v/>
      </c>
      <c r="G94" s="16" t="str">
        <f>IF($A$93="","",IF(VLOOKUP($A93,Products!$A$59:$H$159,8,FALSE)="","",VLOOKUP($A93,Products!$A$59:$H$159,8,FALSE)))</f>
        <v/>
      </c>
      <c r="H94" s="77" t="s">
        <v>9360</v>
      </c>
      <c r="I94" s="77" t="s">
        <v>9360</v>
      </c>
      <c r="J94" s="77" t="s">
        <v>9360</v>
      </c>
      <c r="K94" s="2" t="str">
        <f>IF($G94="","",K$93*$G94)</f>
        <v/>
      </c>
      <c r="L94" s="2" t="str">
        <f t="shared" ref="L94:N103" si="24">IF($G94="","",L$93*$G94)</f>
        <v/>
      </c>
      <c r="M94" s="2" t="str">
        <f t="shared" si="24"/>
        <v/>
      </c>
      <c r="N94" s="12" t="str">
        <f t="shared" si="24"/>
        <v/>
      </c>
    </row>
    <row r="95" spans="1:14" x14ac:dyDescent="0.2">
      <c r="A95" s="627" t="str">
        <f t="shared" si="23"/>
        <v>AA</v>
      </c>
      <c r="B95" s="628"/>
      <c r="C95" s="77" t="s">
        <v>9360</v>
      </c>
      <c r="D95" s="77" t="s">
        <v>9360</v>
      </c>
      <c r="E95" s="77">
        <f t="shared" ref="E95:E103" si="25">E94</f>
        <v>0</v>
      </c>
      <c r="F95" s="16" t="str">
        <f>IF($A$93="","",IF(VLOOKUP($A94,Products!$A$59:$H$159,5,FALSE)="","",VLOOKUP($A94,Products!$A$59:$H$159,5,FALSE)))</f>
        <v/>
      </c>
      <c r="G95" s="16" t="str">
        <f>IF($A$93="","",IF(VLOOKUP($A94,Products!$A$59:$H$159,8,FALSE)="","",VLOOKUP($A94,Products!$A$59:$H$159,8,FALSE)))</f>
        <v/>
      </c>
      <c r="H95" s="77" t="s">
        <v>9360</v>
      </c>
      <c r="I95" s="77" t="s">
        <v>9360</v>
      </c>
      <c r="J95" s="77" t="s">
        <v>9360</v>
      </c>
      <c r="K95" s="2" t="str">
        <f t="shared" ref="K95:K103" si="26">IF($G95="","",K$93*$G95)</f>
        <v/>
      </c>
      <c r="L95" s="2" t="str">
        <f t="shared" si="24"/>
        <v/>
      </c>
      <c r="M95" s="2" t="str">
        <f t="shared" si="24"/>
        <v/>
      </c>
      <c r="N95" s="12" t="str">
        <f t="shared" si="24"/>
        <v/>
      </c>
    </row>
    <row r="96" spans="1:14" x14ac:dyDescent="0.2">
      <c r="A96" s="627" t="str">
        <f t="shared" si="23"/>
        <v>AAA</v>
      </c>
      <c r="B96" s="628"/>
      <c r="C96" s="77" t="s">
        <v>9360</v>
      </c>
      <c r="D96" s="77" t="s">
        <v>9360</v>
      </c>
      <c r="E96" s="77">
        <f t="shared" si="25"/>
        <v>0</v>
      </c>
      <c r="F96" s="16" t="str">
        <f>IF($A$93="","",IF(VLOOKUP($A95,Products!$A$59:$H$159,5,FALSE)="","",VLOOKUP($A95,Products!$A$59:$H$159,5,FALSE)))</f>
        <v/>
      </c>
      <c r="G96" s="16" t="str">
        <f>IF($A$93="","",IF(VLOOKUP($A95,Products!$A$59:$H$159,8,FALSE)="","",VLOOKUP($A95,Products!$A$59:$H$159,8,FALSE)))</f>
        <v/>
      </c>
      <c r="H96" s="77" t="s">
        <v>9360</v>
      </c>
      <c r="I96" s="77" t="s">
        <v>9360</v>
      </c>
      <c r="J96" s="77" t="s">
        <v>9360</v>
      </c>
      <c r="K96" s="2" t="str">
        <f t="shared" si="26"/>
        <v/>
      </c>
      <c r="L96" s="2" t="str">
        <f t="shared" si="24"/>
        <v/>
      </c>
      <c r="M96" s="2" t="str">
        <f t="shared" si="24"/>
        <v/>
      </c>
      <c r="N96" s="12" t="str">
        <f t="shared" si="24"/>
        <v/>
      </c>
    </row>
    <row r="97" spans="1:14" x14ac:dyDescent="0.2">
      <c r="A97" s="627" t="str">
        <f t="shared" si="23"/>
        <v>AAAA</v>
      </c>
      <c r="B97" s="628"/>
      <c r="C97" s="77" t="s">
        <v>9360</v>
      </c>
      <c r="D97" s="77" t="s">
        <v>9360</v>
      </c>
      <c r="E97" s="77">
        <f t="shared" si="25"/>
        <v>0</v>
      </c>
      <c r="F97" s="16" t="str">
        <f>IF($A$93="","",IF(VLOOKUP($A96,Products!$A$59:$H$159,5,FALSE)="","",VLOOKUP($A96,Products!$A$59:$H$159,5,FALSE)))</f>
        <v/>
      </c>
      <c r="G97" s="16" t="str">
        <f>IF($A$93="","",IF(VLOOKUP($A96,Products!$A$59:$H$159,8,FALSE)="","",VLOOKUP($A96,Products!$A$59:$H$159,8,FALSE)))</f>
        <v/>
      </c>
      <c r="H97" s="77" t="s">
        <v>9360</v>
      </c>
      <c r="I97" s="77" t="s">
        <v>9360</v>
      </c>
      <c r="J97" s="77" t="s">
        <v>9360</v>
      </c>
      <c r="K97" s="2" t="str">
        <f t="shared" si="26"/>
        <v/>
      </c>
      <c r="L97" s="2" t="str">
        <f t="shared" si="24"/>
        <v/>
      </c>
      <c r="M97" s="2" t="str">
        <f t="shared" si="24"/>
        <v/>
      </c>
      <c r="N97" s="12" t="str">
        <f t="shared" si="24"/>
        <v/>
      </c>
    </row>
    <row r="98" spans="1:14" x14ac:dyDescent="0.2">
      <c r="A98" s="627" t="str">
        <f t="shared" si="23"/>
        <v>AAAAA</v>
      </c>
      <c r="B98" s="628"/>
      <c r="C98" s="77" t="s">
        <v>9360</v>
      </c>
      <c r="D98" s="77" t="s">
        <v>9360</v>
      </c>
      <c r="E98" s="77">
        <f t="shared" si="25"/>
        <v>0</v>
      </c>
      <c r="F98" s="16" t="str">
        <f>IF($A$93="","",IF(VLOOKUP($A97,Products!$A$59:$H$159,5,FALSE)="","",VLOOKUP($A97,Products!$A$59:$H$159,5,FALSE)))</f>
        <v/>
      </c>
      <c r="G98" s="16" t="str">
        <f>IF($A$93="","",IF(VLOOKUP($A97,Products!$A$59:$H$159,8,FALSE)="","",VLOOKUP($A97,Products!$A$59:$H$159,8,FALSE)))</f>
        <v/>
      </c>
      <c r="H98" s="77" t="s">
        <v>9360</v>
      </c>
      <c r="I98" s="77" t="s">
        <v>9360</v>
      </c>
      <c r="J98" s="77" t="s">
        <v>9360</v>
      </c>
      <c r="K98" s="2" t="str">
        <f t="shared" si="26"/>
        <v/>
      </c>
      <c r="L98" s="2" t="str">
        <f t="shared" si="24"/>
        <v/>
      </c>
      <c r="M98" s="2" t="str">
        <f t="shared" si="24"/>
        <v/>
      </c>
      <c r="N98" s="12" t="str">
        <f t="shared" si="24"/>
        <v/>
      </c>
    </row>
    <row r="99" spans="1:14" x14ac:dyDescent="0.2">
      <c r="A99" s="627" t="str">
        <f t="shared" si="23"/>
        <v>AAAAAA</v>
      </c>
      <c r="B99" s="628"/>
      <c r="C99" s="77" t="s">
        <v>9360</v>
      </c>
      <c r="D99" s="77" t="s">
        <v>9360</v>
      </c>
      <c r="E99" s="77">
        <f t="shared" si="25"/>
        <v>0</v>
      </c>
      <c r="F99" s="16" t="str">
        <f>IF($A$93="","",IF(VLOOKUP($A98,Products!$A$59:$H$159,5,FALSE)="","",VLOOKUP($A98,Products!$A$59:$H$159,5,FALSE)))</f>
        <v/>
      </c>
      <c r="G99" s="16" t="str">
        <f>IF($A$93="","",IF(VLOOKUP($A98,Products!$A$59:$H$159,8,FALSE)="","",VLOOKUP($A98,Products!$A$59:$H$159,8,FALSE)))</f>
        <v/>
      </c>
      <c r="H99" s="77" t="s">
        <v>9360</v>
      </c>
      <c r="I99" s="77" t="s">
        <v>9360</v>
      </c>
      <c r="J99" s="77" t="s">
        <v>9360</v>
      </c>
      <c r="K99" s="2" t="str">
        <f t="shared" si="26"/>
        <v/>
      </c>
      <c r="L99" s="2" t="str">
        <f t="shared" si="24"/>
        <v/>
      </c>
      <c r="M99" s="2" t="str">
        <f t="shared" si="24"/>
        <v/>
      </c>
      <c r="N99" s="12" t="str">
        <f t="shared" si="24"/>
        <v/>
      </c>
    </row>
    <row r="100" spans="1:14" x14ac:dyDescent="0.2">
      <c r="A100" s="627" t="str">
        <f t="shared" si="23"/>
        <v>AAAAAAA</v>
      </c>
      <c r="B100" s="628"/>
      <c r="C100" s="77" t="s">
        <v>9360</v>
      </c>
      <c r="D100" s="77" t="s">
        <v>9360</v>
      </c>
      <c r="E100" s="77">
        <f t="shared" si="25"/>
        <v>0</v>
      </c>
      <c r="F100" s="16" t="str">
        <f>IF($A$93="","",IF(VLOOKUP($A99,Products!$A$59:$H$159,5,FALSE)="","",VLOOKUP($A99,Products!$A$59:$H$159,5,FALSE)))</f>
        <v/>
      </c>
      <c r="G100" s="16" t="str">
        <f>IF($A$93="","",IF(VLOOKUP($A99,Products!$A$59:$H$159,8,FALSE)="","",VLOOKUP($A99,Products!$A$59:$H$159,8,FALSE)))</f>
        <v/>
      </c>
      <c r="H100" s="77" t="s">
        <v>9360</v>
      </c>
      <c r="I100" s="77" t="s">
        <v>9360</v>
      </c>
      <c r="J100" s="77" t="s">
        <v>9360</v>
      </c>
      <c r="K100" s="2" t="str">
        <f t="shared" si="26"/>
        <v/>
      </c>
      <c r="L100" s="2" t="str">
        <f t="shared" si="24"/>
        <v/>
      </c>
      <c r="M100" s="2" t="str">
        <f t="shared" si="24"/>
        <v/>
      </c>
      <c r="N100" s="12" t="str">
        <f t="shared" si="24"/>
        <v/>
      </c>
    </row>
    <row r="101" spans="1:14" x14ac:dyDescent="0.2">
      <c r="A101" s="627" t="str">
        <f t="shared" si="23"/>
        <v>AAAAAAAA</v>
      </c>
      <c r="B101" s="628"/>
      <c r="C101" s="77" t="s">
        <v>9360</v>
      </c>
      <c r="D101" s="77" t="s">
        <v>9360</v>
      </c>
      <c r="E101" s="77">
        <f t="shared" si="25"/>
        <v>0</v>
      </c>
      <c r="F101" s="16" t="str">
        <f>IF($A$93="","",IF(VLOOKUP($A100,Products!$A$59:$H$159,5,FALSE)="","",VLOOKUP($A100,Products!$A$59:$H$159,5,FALSE)))</f>
        <v/>
      </c>
      <c r="G101" s="16" t="str">
        <f>IF($A$93="","",IF(VLOOKUP($A100,Products!$A$59:$H$159,8,FALSE)="","",VLOOKUP($A100,Products!$A$59:$H$159,8,FALSE)))</f>
        <v/>
      </c>
      <c r="H101" s="77" t="s">
        <v>9360</v>
      </c>
      <c r="I101" s="77" t="s">
        <v>9360</v>
      </c>
      <c r="J101" s="77" t="s">
        <v>9360</v>
      </c>
      <c r="K101" s="2" t="str">
        <f t="shared" si="26"/>
        <v/>
      </c>
      <c r="L101" s="2" t="str">
        <f t="shared" si="24"/>
        <v/>
      </c>
      <c r="M101" s="2" t="str">
        <f t="shared" si="24"/>
        <v/>
      </c>
      <c r="N101" s="12" t="str">
        <f t="shared" si="24"/>
        <v/>
      </c>
    </row>
    <row r="102" spans="1:14" x14ac:dyDescent="0.2">
      <c r="A102" s="627" t="str">
        <f t="shared" si="23"/>
        <v>AAAAAAAAA</v>
      </c>
      <c r="B102" s="628"/>
      <c r="C102" s="77" t="s">
        <v>9360</v>
      </c>
      <c r="D102" s="77" t="s">
        <v>9360</v>
      </c>
      <c r="E102" s="77">
        <f t="shared" si="25"/>
        <v>0</v>
      </c>
      <c r="F102" s="16" t="str">
        <f>IF($A$93="","",IF(VLOOKUP($A101,Products!$A$59:$H$159,5,FALSE)="","",VLOOKUP($A101,Products!$A$59:$H$159,5,FALSE)))</f>
        <v/>
      </c>
      <c r="G102" s="16" t="str">
        <f>IF($A$93="","",IF(VLOOKUP($A101,Products!$A$59:$H$159,8,FALSE)="","",VLOOKUP($A101,Products!$A$59:$H$159,8,FALSE)))</f>
        <v/>
      </c>
      <c r="H102" s="77" t="s">
        <v>9360</v>
      </c>
      <c r="I102" s="77" t="s">
        <v>9360</v>
      </c>
      <c r="J102" s="77" t="s">
        <v>9360</v>
      </c>
      <c r="K102" s="2" t="str">
        <f t="shared" si="26"/>
        <v/>
      </c>
      <c r="L102" s="2" t="str">
        <f t="shared" si="24"/>
        <v/>
      </c>
      <c r="M102" s="2" t="str">
        <f t="shared" si="24"/>
        <v/>
      </c>
      <c r="N102" s="12" t="str">
        <f t="shared" si="24"/>
        <v/>
      </c>
    </row>
    <row r="103" spans="1:14" x14ac:dyDescent="0.2">
      <c r="A103" s="627" t="str">
        <f t="shared" si="23"/>
        <v>AAAAAAAAAA</v>
      </c>
      <c r="B103" s="628"/>
      <c r="C103" s="77" t="s">
        <v>9360</v>
      </c>
      <c r="D103" s="77" t="s">
        <v>9360</v>
      </c>
      <c r="E103" s="77">
        <f t="shared" si="25"/>
        <v>0</v>
      </c>
      <c r="F103" s="16" t="str">
        <f>IF($A$93="","",IF(VLOOKUP($A102,Products!$A$59:$H$159,5,FALSE)="","",VLOOKUP($A102,Products!$A$59:$H$159,5,FALSE)))</f>
        <v/>
      </c>
      <c r="G103" s="16" t="str">
        <f>IF($A$93="","",IF(VLOOKUP($A102,Products!$A$59:$H$159,8,FALSE)="","",VLOOKUP($A102,Products!$A$59:$H$159,8,FALSE)))</f>
        <v/>
      </c>
      <c r="H103" s="77" t="s">
        <v>9360</v>
      </c>
      <c r="I103" s="77" t="s">
        <v>9360</v>
      </c>
      <c r="J103" s="77" t="s">
        <v>9360</v>
      </c>
      <c r="K103" s="2" t="str">
        <f t="shared" si="26"/>
        <v/>
      </c>
      <c r="L103" s="2" t="str">
        <f t="shared" si="24"/>
        <v/>
      </c>
      <c r="M103" s="2" t="str">
        <f t="shared" si="24"/>
        <v/>
      </c>
      <c r="N103" s="12" t="str">
        <f t="shared" si="24"/>
        <v/>
      </c>
    </row>
    <row r="104" spans="1:14" x14ac:dyDescent="0.2">
      <c r="A104" s="651"/>
      <c r="B104" s="615"/>
      <c r="C104" s="41"/>
      <c r="D104" s="41"/>
      <c r="E104" s="41"/>
      <c r="F104" s="16" t="s">
        <v>291</v>
      </c>
      <c r="G104" s="16">
        <v>1</v>
      </c>
      <c r="H104" s="16" t="str">
        <f>IF(A104="","",IF(VLOOKUP($A104,Products!$A$59:$H$159,2,FALSE)="","",VLOOKUP($A104,Products!$A$59:$H$159,2,FALSE)))</f>
        <v/>
      </c>
      <c r="I104" s="16" t="str">
        <f>IF(A104="","",IF(VLOOKUP($A104,Products!$A$59:$H$159,3,FALSE)="","",VLOOKUP($A104,Products!$A$59:$H$159,3,FALSE)))</f>
        <v/>
      </c>
      <c r="J104" s="16" t="str">
        <f>IF(A104="","",IF(VLOOKUP($A104,Products!$A$59:$H$159,4,FALSE)="","",VLOOKUP($A104,Products!$A$59:$H$159,4,FALSE)))</f>
        <v/>
      </c>
      <c r="K104" s="2" t="str">
        <f>IF(OR($A104="",C104="",$E104=""),"",((12.46*$F$21*$I104*$H104)/$F$22)*((C104*42)/1000)*(IF($E104="YES",(1-$F$20),1)))</f>
        <v/>
      </c>
      <c r="L104" s="2" t="str">
        <f>IF(OR($A104="",$D104="",$E104=""),"",((12.46*$F$21*$J104*$H104)/$F$23)*(($D104*42)/1000)*(1/2000)*(IF($E104="YES",(1-$F$20),1)))</f>
        <v/>
      </c>
      <c r="M104" s="2" t="str">
        <f>IF(OR($A104="",$C104="",$E104=""),"",((12.46*$F$21*$I104*$H104)/$F$22)*(($C104*42)/1000)*(IF($E104="YES",$F$20,0)))</f>
        <v/>
      </c>
      <c r="N104" s="12" t="str">
        <f>IF(OR($A104="",$D104="",$E104=""),"",((12.46*$F$21*$J104*$H104)/$F$23)*(($D104*42)/1000)*(1/2000)*(IF($E104="YES",$F$20,0)))</f>
        <v/>
      </c>
    </row>
    <row r="105" spans="1:14" x14ac:dyDescent="0.2">
      <c r="A105" s="627" t="str">
        <f t="shared" ref="A105:A114" si="27">A104&amp;"A"</f>
        <v>A</v>
      </c>
      <c r="B105" s="628"/>
      <c r="C105" s="77" t="s">
        <v>9360</v>
      </c>
      <c r="D105" s="77" t="s">
        <v>9360</v>
      </c>
      <c r="E105" s="77">
        <f>E104</f>
        <v>0</v>
      </c>
      <c r="F105" s="16" t="str">
        <f>IF($A$104="","",IF(VLOOKUP($A104,Products!$A$59:$H$159,5,FALSE)="","",VLOOKUP($A104,Products!$A$59:$H$159,5,FALSE)))</f>
        <v/>
      </c>
      <c r="G105" s="16" t="str">
        <f>IF($A$104="","",IF(VLOOKUP($A104,Products!$A$59:$H$159,8,FALSE)="","",VLOOKUP($A104,Products!$A$59:$H$159,8,FALSE)))</f>
        <v/>
      </c>
      <c r="H105" s="77" t="s">
        <v>9360</v>
      </c>
      <c r="I105" s="77" t="s">
        <v>9360</v>
      </c>
      <c r="J105" s="77" t="s">
        <v>9360</v>
      </c>
      <c r="K105" s="2" t="str">
        <f>IF($G105="","",K$104*$G105)</f>
        <v/>
      </c>
      <c r="L105" s="2" t="str">
        <f t="shared" ref="L105:N114" si="28">IF($G105="","",L$104*$G105)</f>
        <v/>
      </c>
      <c r="M105" s="2" t="str">
        <f t="shared" si="28"/>
        <v/>
      </c>
      <c r="N105" s="12" t="str">
        <f t="shared" si="28"/>
        <v/>
      </c>
    </row>
    <row r="106" spans="1:14" x14ac:dyDescent="0.2">
      <c r="A106" s="627" t="str">
        <f t="shared" si="27"/>
        <v>AA</v>
      </c>
      <c r="B106" s="628"/>
      <c r="C106" s="77" t="s">
        <v>9360</v>
      </c>
      <c r="D106" s="77" t="s">
        <v>9360</v>
      </c>
      <c r="E106" s="77">
        <f t="shared" ref="E106:E114" si="29">E105</f>
        <v>0</v>
      </c>
      <c r="F106" s="16" t="str">
        <f>IF($A$104="","",IF(VLOOKUP($A105,Products!$A$59:$H$159,5,FALSE)="","",VLOOKUP($A105,Products!$A$59:$H$159,5,FALSE)))</f>
        <v/>
      </c>
      <c r="G106" s="16" t="str">
        <f>IF($A$104="","",IF(VLOOKUP($A105,Products!$A$59:$H$159,8,FALSE)="","",VLOOKUP($A105,Products!$A$59:$H$159,8,FALSE)))</f>
        <v/>
      </c>
      <c r="H106" s="77" t="s">
        <v>9360</v>
      </c>
      <c r="I106" s="77" t="s">
        <v>9360</v>
      </c>
      <c r="J106" s="77" t="s">
        <v>9360</v>
      </c>
      <c r="K106" s="2" t="str">
        <f t="shared" ref="K106:K114" si="30">IF($G106="","",K$104*$G106)</f>
        <v/>
      </c>
      <c r="L106" s="2" t="str">
        <f t="shared" si="28"/>
        <v/>
      </c>
      <c r="M106" s="2" t="str">
        <f t="shared" si="28"/>
        <v/>
      </c>
      <c r="N106" s="12" t="str">
        <f t="shared" si="28"/>
        <v/>
      </c>
    </row>
    <row r="107" spans="1:14" x14ac:dyDescent="0.2">
      <c r="A107" s="627" t="str">
        <f t="shared" si="27"/>
        <v>AAA</v>
      </c>
      <c r="B107" s="628"/>
      <c r="C107" s="77" t="s">
        <v>9360</v>
      </c>
      <c r="D107" s="77" t="s">
        <v>9360</v>
      </c>
      <c r="E107" s="77">
        <f t="shared" si="29"/>
        <v>0</v>
      </c>
      <c r="F107" s="16" t="str">
        <f>IF($A$104="","",IF(VLOOKUP($A106,Products!$A$59:$H$159,5,FALSE)="","",VLOOKUP($A106,Products!$A$59:$H$159,5,FALSE)))</f>
        <v/>
      </c>
      <c r="G107" s="16" t="str">
        <f>IF($A$104="","",IF(VLOOKUP($A106,Products!$A$59:$H$159,8,FALSE)="","",VLOOKUP($A106,Products!$A$59:$H$159,8,FALSE)))</f>
        <v/>
      </c>
      <c r="H107" s="77" t="s">
        <v>9360</v>
      </c>
      <c r="I107" s="77" t="s">
        <v>9360</v>
      </c>
      <c r="J107" s="77" t="s">
        <v>9360</v>
      </c>
      <c r="K107" s="2" t="str">
        <f t="shared" si="30"/>
        <v/>
      </c>
      <c r="L107" s="2" t="str">
        <f t="shared" si="28"/>
        <v/>
      </c>
      <c r="M107" s="2" t="str">
        <f t="shared" si="28"/>
        <v/>
      </c>
      <c r="N107" s="12" t="str">
        <f t="shared" si="28"/>
        <v/>
      </c>
    </row>
    <row r="108" spans="1:14" x14ac:dyDescent="0.2">
      <c r="A108" s="627" t="str">
        <f t="shared" si="27"/>
        <v>AAAA</v>
      </c>
      <c r="B108" s="628"/>
      <c r="C108" s="77" t="s">
        <v>9360</v>
      </c>
      <c r="D108" s="77" t="s">
        <v>9360</v>
      </c>
      <c r="E108" s="77">
        <f t="shared" si="29"/>
        <v>0</v>
      </c>
      <c r="F108" s="16" t="str">
        <f>IF($A$104="","",IF(VLOOKUP($A107,Products!$A$59:$H$159,5,FALSE)="","",VLOOKUP($A107,Products!$A$59:$H$159,5,FALSE)))</f>
        <v/>
      </c>
      <c r="G108" s="16" t="str">
        <f>IF($A$104="","",IF(VLOOKUP($A107,Products!$A$59:$H$159,8,FALSE)="","",VLOOKUP($A107,Products!$A$59:$H$159,8,FALSE)))</f>
        <v/>
      </c>
      <c r="H108" s="77" t="s">
        <v>9360</v>
      </c>
      <c r="I108" s="77" t="s">
        <v>9360</v>
      </c>
      <c r="J108" s="77" t="s">
        <v>9360</v>
      </c>
      <c r="K108" s="2" t="str">
        <f t="shared" si="30"/>
        <v/>
      </c>
      <c r="L108" s="2" t="str">
        <f t="shared" si="28"/>
        <v/>
      </c>
      <c r="M108" s="2" t="str">
        <f t="shared" si="28"/>
        <v/>
      </c>
      <c r="N108" s="12" t="str">
        <f t="shared" si="28"/>
        <v/>
      </c>
    </row>
    <row r="109" spans="1:14" x14ac:dyDescent="0.2">
      <c r="A109" s="627" t="str">
        <f t="shared" si="27"/>
        <v>AAAAA</v>
      </c>
      <c r="B109" s="628"/>
      <c r="C109" s="77" t="s">
        <v>9360</v>
      </c>
      <c r="D109" s="77" t="s">
        <v>9360</v>
      </c>
      <c r="E109" s="77">
        <f t="shared" si="29"/>
        <v>0</v>
      </c>
      <c r="F109" s="16" t="str">
        <f>IF($A$104="","",IF(VLOOKUP($A108,Products!$A$59:$H$159,5,FALSE)="","",VLOOKUP($A108,Products!$A$59:$H$159,5,FALSE)))</f>
        <v/>
      </c>
      <c r="G109" s="16" t="str">
        <f>IF($A$104="","",IF(VLOOKUP($A108,Products!$A$59:$H$159,8,FALSE)="","",VLOOKUP($A108,Products!$A$59:$H$159,8,FALSE)))</f>
        <v/>
      </c>
      <c r="H109" s="77" t="s">
        <v>9360</v>
      </c>
      <c r="I109" s="77" t="s">
        <v>9360</v>
      </c>
      <c r="J109" s="77" t="s">
        <v>9360</v>
      </c>
      <c r="K109" s="2" t="str">
        <f t="shared" si="30"/>
        <v/>
      </c>
      <c r="L109" s="2" t="str">
        <f t="shared" si="28"/>
        <v/>
      </c>
      <c r="M109" s="2" t="str">
        <f t="shared" si="28"/>
        <v/>
      </c>
      <c r="N109" s="12" t="str">
        <f t="shared" si="28"/>
        <v/>
      </c>
    </row>
    <row r="110" spans="1:14" x14ac:dyDescent="0.2">
      <c r="A110" s="627" t="str">
        <f t="shared" si="27"/>
        <v>AAAAAA</v>
      </c>
      <c r="B110" s="628"/>
      <c r="C110" s="77" t="s">
        <v>9360</v>
      </c>
      <c r="D110" s="77" t="s">
        <v>9360</v>
      </c>
      <c r="E110" s="77">
        <f t="shared" si="29"/>
        <v>0</v>
      </c>
      <c r="F110" s="16" t="str">
        <f>IF($A$104="","",IF(VLOOKUP($A109,Products!$A$59:$H$159,5,FALSE)="","",VLOOKUP($A109,Products!$A$59:$H$159,5,FALSE)))</f>
        <v/>
      </c>
      <c r="G110" s="16" t="str">
        <f>IF($A$104="","",IF(VLOOKUP($A109,Products!$A$59:$H$159,8,FALSE)="","",VLOOKUP($A109,Products!$A$59:$H$159,8,FALSE)))</f>
        <v/>
      </c>
      <c r="H110" s="77" t="s">
        <v>9360</v>
      </c>
      <c r="I110" s="77" t="s">
        <v>9360</v>
      </c>
      <c r="J110" s="77" t="s">
        <v>9360</v>
      </c>
      <c r="K110" s="2" t="str">
        <f t="shared" si="30"/>
        <v/>
      </c>
      <c r="L110" s="2" t="str">
        <f t="shared" si="28"/>
        <v/>
      </c>
      <c r="M110" s="2" t="str">
        <f t="shared" si="28"/>
        <v/>
      </c>
      <c r="N110" s="12" t="str">
        <f t="shared" si="28"/>
        <v/>
      </c>
    </row>
    <row r="111" spans="1:14" x14ac:dyDescent="0.2">
      <c r="A111" s="627" t="str">
        <f t="shared" si="27"/>
        <v>AAAAAAA</v>
      </c>
      <c r="B111" s="628"/>
      <c r="C111" s="77" t="s">
        <v>9360</v>
      </c>
      <c r="D111" s="77" t="s">
        <v>9360</v>
      </c>
      <c r="E111" s="77">
        <f t="shared" si="29"/>
        <v>0</v>
      </c>
      <c r="F111" s="16" t="str">
        <f>IF($A$104="","",IF(VLOOKUP($A110,Products!$A$59:$H$159,5,FALSE)="","",VLOOKUP($A110,Products!$A$59:$H$159,5,FALSE)))</f>
        <v/>
      </c>
      <c r="G111" s="16" t="str">
        <f>IF($A$104="","",IF(VLOOKUP($A110,Products!$A$59:$H$159,8,FALSE)="","",VLOOKUP($A110,Products!$A$59:$H$159,8,FALSE)))</f>
        <v/>
      </c>
      <c r="H111" s="77" t="s">
        <v>9360</v>
      </c>
      <c r="I111" s="77" t="s">
        <v>9360</v>
      </c>
      <c r="J111" s="77" t="s">
        <v>9360</v>
      </c>
      <c r="K111" s="2" t="str">
        <f t="shared" si="30"/>
        <v/>
      </c>
      <c r="L111" s="2" t="str">
        <f t="shared" si="28"/>
        <v/>
      </c>
      <c r="M111" s="2" t="str">
        <f>IF($G111="","",M$104*$G111)</f>
        <v/>
      </c>
      <c r="N111" s="12" t="str">
        <f t="shared" si="28"/>
        <v/>
      </c>
    </row>
    <row r="112" spans="1:14" x14ac:dyDescent="0.2">
      <c r="A112" s="627" t="str">
        <f t="shared" si="27"/>
        <v>AAAAAAAA</v>
      </c>
      <c r="B112" s="628"/>
      <c r="C112" s="77" t="s">
        <v>9360</v>
      </c>
      <c r="D112" s="77" t="s">
        <v>9360</v>
      </c>
      <c r="E112" s="77">
        <f t="shared" si="29"/>
        <v>0</v>
      </c>
      <c r="F112" s="16" t="str">
        <f>IF($A$104="","",IF(VLOOKUP($A111,Products!$A$59:$H$159,5,FALSE)="","",VLOOKUP($A111,Products!$A$59:$H$159,5,FALSE)))</f>
        <v/>
      </c>
      <c r="G112" s="16" t="str">
        <f>IF($A$104="","",IF(VLOOKUP($A111,Products!$A$59:$H$159,8,FALSE)="","",VLOOKUP($A111,Products!$A$59:$H$159,8,FALSE)))</f>
        <v/>
      </c>
      <c r="H112" s="77" t="s">
        <v>9360</v>
      </c>
      <c r="I112" s="77" t="s">
        <v>9360</v>
      </c>
      <c r="J112" s="77" t="s">
        <v>9360</v>
      </c>
      <c r="K112" s="2" t="str">
        <f t="shared" si="30"/>
        <v/>
      </c>
      <c r="L112" s="2" t="str">
        <f t="shared" si="28"/>
        <v/>
      </c>
      <c r="M112" s="2" t="str">
        <f t="shared" si="28"/>
        <v/>
      </c>
      <c r="N112" s="12" t="str">
        <f t="shared" si="28"/>
        <v/>
      </c>
    </row>
    <row r="113" spans="1:14" x14ac:dyDescent="0.2">
      <c r="A113" s="627" t="str">
        <f t="shared" si="27"/>
        <v>AAAAAAAAA</v>
      </c>
      <c r="B113" s="628"/>
      <c r="C113" s="77" t="s">
        <v>9360</v>
      </c>
      <c r="D113" s="77" t="s">
        <v>9360</v>
      </c>
      <c r="E113" s="77">
        <f t="shared" si="29"/>
        <v>0</v>
      </c>
      <c r="F113" s="16" t="str">
        <f>IF($A$104="","",IF(VLOOKUP($A112,Products!$A$59:$H$159,5,FALSE)="","",VLOOKUP($A112,Products!$A$59:$H$159,5,FALSE)))</f>
        <v/>
      </c>
      <c r="G113" s="16" t="str">
        <f>IF($A$104="","",IF(VLOOKUP($A112,Products!$A$59:$H$159,8,FALSE)="","",VLOOKUP($A112,Products!$A$59:$H$159,8,FALSE)))</f>
        <v/>
      </c>
      <c r="H113" s="77" t="s">
        <v>9360</v>
      </c>
      <c r="I113" s="77" t="s">
        <v>9360</v>
      </c>
      <c r="J113" s="77" t="s">
        <v>9360</v>
      </c>
      <c r="K113" s="2" t="str">
        <f t="shared" si="30"/>
        <v/>
      </c>
      <c r="L113" s="2" t="str">
        <f t="shared" si="28"/>
        <v/>
      </c>
      <c r="M113" s="2" t="str">
        <f t="shared" si="28"/>
        <v/>
      </c>
      <c r="N113" s="12" t="str">
        <f t="shared" si="28"/>
        <v/>
      </c>
    </row>
    <row r="114" spans="1:14" x14ac:dyDescent="0.2">
      <c r="A114" s="627" t="str">
        <f t="shared" si="27"/>
        <v>AAAAAAAAAA</v>
      </c>
      <c r="B114" s="628"/>
      <c r="C114" s="77" t="s">
        <v>9360</v>
      </c>
      <c r="D114" s="77" t="s">
        <v>9360</v>
      </c>
      <c r="E114" s="77">
        <f t="shared" si="29"/>
        <v>0</v>
      </c>
      <c r="F114" s="16" t="str">
        <f>IF($A$104="","",IF(VLOOKUP($A113,Products!$A$59:$H$159,5,FALSE)="","",VLOOKUP($A113,Products!$A$59:$H$159,5,FALSE)))</f>
        <v/>
      </c>
      <c r="G114" s="16" t="str">
        <f>IF($A$104="","",IF(VLOOKUP($A113,Products!$A$59:$H$159,8,FALSE)="","",VLOOKUP($A113,Products!$A$59:$H$159,8,FALSE)))</f>
        <v/>
      </c>
      <c r="H114" s="77" t="s">
        <v>9360</v>
      </c>
      <c r="I114" s="77" t="s">
        <v>9360</v>
      </c>
      <c r="J114" s="77" t="s">
        <v>9360</v>
      </c>
      <c r="K114" s="2" t="str">
        <f t="shared" si="30"/>
        <v/>
      </c>
      <c r="L114" s="2" t="str">
        <f t="shared" si="28"/>
        <v/>
      </c>
      <c r="M114" s="2" t="str">
        <f t="shared" si="28"/>
        <v/>
      </c>
      <c r="N114" s="12" t="str">
        <f>IF($G114="","",N$104*$G114)</f>
        <v/>
      </c>
    </row>
    <row r="115" spans="1:14" x14ac:dyDescent="0.2">
      <c r="A115" s="651"/>
      <c r="B115" s="615"/>
      <c r="C115" s="41"/>
      <c r="D115" s="41"/>
      <c r="E115" s="41"/>
      <c r="F115" s="16" t="s">
        <v>291</v>
      </c>
      <c r="G115" s="16">
        <v>1</v>
      </c>
      <c r="H115" s="16" t="str">
        <f>IF(A115="","",IF(VLOOKUP($A115,Products!$A$59:$H$159,2,FALSE)="","",VLOOKUP($A115,Products!$A$59:$H$159,2,FALSE)))</f>
        <v/>
      </c>
      <c r="I115" s="16" t="str">
        <f>IF(A115="","",IF(VLOOKUP($A115,Products!$A$59:$H$159,3,FALSE)="","",VLOOKUP($A115,Products!$A$59:$H$159,3,FALSE)))</f>
        <v/>
      </c>
      <c r="J115" s="16" t="str">
        <f>IF(A115="","",IF(VLOOKUP($A115,Products!$A$59:$H$159,4,FALSE)="","",VLOOKUP($A115,Products!$A$59:$H$159,4,FALSE)))</f>
        <v/>
      </c>
      <c r="K115" s="2" t="str">
        <f>IF(OR($A115="",C115="",$E115=""),"",((12.46*$F$21*$I115*$H115)/$F$22)*((C115*42)/1000)*(IF($E115="YES",(1-$F$20),1)))</f>
        <v/>
      </c>
      <c r="L115" s="2" t="str">
        <f>IF(OR($A115="",$D115="",$E115=""),"",((12.46*$F$21*$J115*$H115)/$F$23)*(($D115*42)/1000)*(1/2000)*(IF($E115="YES",(1-$F$20),1)))</f>
        <v/>
      </c>
      <c r="M115" s="2" t="str">
        <f>IF(OR($A115="",$C115="",$E115=""),"",((12.46*$F$21*$I115*$H115)/$F$22)*(($C115*42)/1000)*(IF($E115="YES",$F$20,0)))</f>
        <v/>
      </c>
      <c r="N115" s="12" t="str">
        <f>IF(OR($A115="",$D115="",$E115=""),"",((12.46*$F$21*$J115*$H115)/$F$23)*(($D115*42)/1000)*(1/2000)*(IF($E115="YES",$F$20,0)))</f>
        <v/>
      </c>
    </row>
    <row r="116" spans="1:14" x14ac:dyDescent="0.2">
      <c r="A116" s="627" t="str">
        <f t="shared" ref="A116:A125" si="31">A115&amp;"A"</f>
        <v>A</v>
      </c>
      <c r="B116" s="628"/>
      <c r="C116" s="77" t="s">
        <v>9360</v>
      </c>
      <c r="D116" s="77" t="s">
        <v>9360</v>
      </c>
      <c r="E116" s="77">
        <f>E115</f>
        <v>0</v>
      </c>
      <c r="F116" s="16" t="str">
        <f>IF($A$115="","",IF(VLOOKUP($A115,Products!$A$59:$H$159,5,FALSE)="","",VLOOKUP($A115,Products!$A$59:$H$159,5,FALSE)))</f>
        <v/>
      </c>
      <c r="G116" s="16" t="str">
        <f>IF($A$115="","",IF(VLOOKUP($A115,Products!$A$59:$H$159,8,FALSE)="","",VLOOKUP($A115,Products!$A$59:$H$159,8,FALSE)))</f>
        <v/>
      </c>
      <c r="H116" s="77" t="s">
        <v>9360</v>
      </c>
      <c r="I116" s="77" t="s">
        <v>9360</v>
      </c>
      <c r="J116" s="77" t="s">
        <v>9360</v>
      </c>
      <c r="K116" s="2" t="str">
        <f>IF($G116="","",K$115*$G116)</f>
        <v/>
      </c>
      <c r="L116" s="2" t="str">
        <f t="shared" ref="L116:N125" si="32">IF($G116="","",L$115*$G116)</f>
        <v/>
      </c>
      <c r="M116" s="2" t="str">
        <f t="shared" si="32"/>
        <v/>
      </c>
      <c r="N116" s="12" t="str">
        <f t="shared" si="32"/>
        <v/>
      </c>
    </row>
    <row r="117" spans="1:14" x14ac:dyDescent="0.2">
      <c r="A117" s="627" t="str">
        <f t="shared" si="31"/>
        <v>AA</v>
      </c>
      <c r="B117" s="628"/>
      <c r="C117" s="77" t="s">
        <v>9360</v>
      </c>
      <c r="D117" s="77" t="s">
        <v>9360</v>
      </c>
      <c r="E117" s="77">
        <f t="shared" ref="E117:E125" si="33">E116</f>
        <v>0</v>
      </c>
      <c r="F117" s="16" t="str">
        <f>IF($A$115="","",IF(VLOOKUP($A116,Products!$A$59:$H$159,5,FALSE)="","",VLOOKUP($A116,Products!$A$59:$H$159,5,FALSE)))</f>
        <v/>
      </c>
      <c r="G117" s="16" t="str">
        <f>IF($A$115="","",IF(VLOOKUP($A116,Products!$A$59:$H$159,8,FALSE)="","",VLOOKUP($A116,Products!$A$59:$H$159,8,FALSE)))</f>
        <v/>
      </c>
      <c r="H117" s="77" t="s">
        <v>9360</v>
      </c>
      <c r="I117" s="77" t="s">
        <v>9360</v>
      </c>
      <c r="J117" s="77" t="s">
        <v>9360</v>
      </c>
      <c r="K117" s="2" t="str">
        <f t="shared" ref="K117:K125" si="34">IF($G117="","",K$115*$G117)</f>
        <v/>
      </c>
      <c r="L117" s="2" t="str">
        <f>IF($G117="","",L$115*$G117)</f>
        <v/>
      </c>
      <c r="M117" s="2" t="str">
        <f t="shared" si="32"/>
        <v/>
      </c>
      <c r="N117" s="12" t="str">
        <f>IF($G117="","",N$115*$G117)</f>
        <v/>
      </c>
    </row>
    <row r="118" spans="1:14" x14ac:dyDescent="0.2">
      <c r="A118" s="627" t="str">
        <f t="shared" si="31"/>
        <v>AAA</v>
      </c>
      <c r="B118" s="628"/>
      <c r="C118" s="77" t="s">
        <v>9360</v>
      </c>
      <c r="D118" s="77" t="s">
        <v>9360</v>
      </c>
      <c r="E118" s="77">
        <f t="shared" si="33"/>
        <v>0</v>
      </c>
      <c r="F118" s="16" t="str">
        <f>IF($A$115="","",IF(VLOOKUP($A117,Products!$A$59:$H$159,5,FALSE)="","",VLOOKUP($A117,Products!$A$59:$H$159,5,FALSE)))</f>
        <v/>
      </c>
      <c r="G118" s="16" t="str">
        <f>IF($A$115="","",IF(VLOOKUP($A117,Products!$A$59:$H$159,8,FALSE)="","",VLOOKUP($A117,Products!$A$59:$H$159,8,FALSE)))</f>
        <v/>
      </c>
      <c r="H118" s="77" t="s">
        <v>9360</v>
      </c>
      <c r="I118" s="77" t="s">
        <v>9360</v>
      </c>
      <c r="J118" s="77" t="s">
        <v>9360</v>
      </c>
      <c r="K118" s="2" t="str">
        <f t="shared" si="34"/>
        <v/>
      </c>
      <c r="L118" s="2" t="str">
        <f t="shared" si="32"/>
        <v/>
      </c>
      <c r="M118" s="2" t="str">
        <f t="shared" si="32"/>
        <v/>
      </c>
      <c r="N118" s="12" t="str">
        <f t="shared" si="32"/>
        <v/>
      </c>
    </row>
    <row r="119" spans="1:14" x14ac:dyDescent="0.2">
      <c r="A119" s="627" t="str">
        <f t="shared" si="31"/>
        <v>AAAA</v>
      </c>
      <c r="B119" s="628"/>
      <c r="C119" s="77" t="s">
        <v>9360</v>
      </c>
      <c r="D119" s="77" t="s">
        <v>9360</v>
      </c>
      <c r="E119" s="77">
        <f t="shared" si="33"/>
        <v>0</v>
      </c>
      <c r="F119" s="16" t="str">
        <f>IF($A$115="","",IF(VLOOKUP($A118,Products!$A$59:$H$159,5,FALSE)="","",VLOOKUP($A118,Products!$A$59:$H$159,5,FALSE)))</f>
        <v/>
      </c>
      <c r="G119" s="16" t="str">
        <f>IF($A$115="","",IF(VLOOKUP($A118,Products!$A$59:$H$159,8,FALSE)="","",VLOOKUP($A118,Products!$A$59:$H$159,8,FALSE)))</f>
        <v/>
      </c>
      <c r="H119" s="77" t="s">
        <v>9360</v>
      </c>
      <c r="I119" s="77" t="s">
        <v>9360</v>
      </c>
      <c r="J119" s="77" t="s">
        <v>9360</v>
      </c>
      <c r="K119" s="2" t="str">
        <f t="shared" si="34"/>
        <v/>
      </c>
      <c r="L119" s="2" t="str">
        <f t="shared" si="32"/>
        <v/>
      </c>
      <c r="M119" s="2" t="str">
        <f t="shared" si="32"/>
        <v/>
      </c>
      <c r="N119" s="12" t="str">
        <f t="shared" si="32"/>
        <v/>
      </c>
    </row>
    <row r="120" spans="1:14" x14ac:dyDescent="0.2">
      <c r="A120" s="627" t="str">
        <f t="shared" si="31"/>
        <v>AAAAA</v>
      </c>
      <c r="B120" s="628"/>
      <c r="C120" s="77" t="s">
        <v>9360</v>
      </c>
      <c r="D120" s="77" t="s">
        <v>9360</v>
      </c>
      <c r="E120" s="77">
        <f t="shared" si="33"/>
        <v>0</v>
      </c>
      <c r="F120" s="16" t="str">
        <f>IF($A$115="","",IF(VLOOKUP($A119,Products!$A$59:$H$159,5,FALSE)="","",VLOOKUP($A119,Products!$A$59:$H$159,5,FALSE)))</f>
        <v/>
      </c>
      <c r="G120" s="16" t="str">
        <f>IF($A$115="","",IF(VLOOKUP($A119,Products!$A$59:$H$159,8,FALSE)="","",VLOOKUP($A119,Products!$A$59:$H$159,8,FALSE)))</f>
        <v/>
      </c>
      <c r="H120" s="77" t="s">
        <v>9360</v>
      </c>
      <c r="I120" s="77" t="s">
        <v>9360</v>
      </c>
      <c r="J120" s="77" t="s">
        <v>9360</v>
      </c>
      <c r="K120" s="2" t="str">
        <f t="shared" si="34"/>
        <v/>
      </c>
      <c r="L120" s="2" t="str">
        <f t="shared" si="32"/>
        <v/>
      </c>
      <c r="M120" s="2" t="str">
        <f t="shared" si="32"/>
        <v/>
      </c>
      <c r="N120" s="12" t="str">
        <f t="shared" si="32"/>
        <v/>
      </c>
    </row>
    <row r="121" spans="1:14" x14ac:dyDescent="0.2">
      <c r="A121" s="627" t="str">
        <f t="shared" si="31"/>
        <v>AAAAAA</v>
      </c>
      <c r="B121" s="628"/>
      <c r="C121" s="77" t="s">
        <v>9360</v>
      </c>
      <c r="D121" s="77" t="s">
        <v>9360</v>
      </c>
      <c r="E121" s="77">
        <f t="shared" si="33"/>
        <v>0</v>
      </c>
      <c r="F121" s="16" t="str">
        <f>IF($A$115="","",IF(VLOOKUP($A120,Products!$A$59:$H$159,5,FALSE)="","",VLOOKUP($A120,Products!$A$59:$H$159,5,FALSE)))</f>
        <v/>
      </c>
      <c r="G121" s="16" t="str">
        <f>IF($A$115="","",IF(VLOOKUP($A120,Products!$A$59:$H$159,8,FALSE)="","",VLOOKUP($A120,Products!$A$59:$H$159,8,FALSE)))</f>
        <v/>
      </c>
      <c r="H121" s="77" t="s">
        <v>9360</v>
      </c>
      <c r="I121" s="77" t="s">
        <v>9360</v>
      </c>
      <c r="J121" s="77" t="s">
        <v>9360</v>
      </c>
      <c r="K121" s="2" t="str">
        <f t="shared" si="34"/>
        <v/>
      </c>
      <c r="L121" s="2" t="str">
        <f t="shared" si="32"/>
        <v/>
      </c>
      <c r="M121" s="2" t="str">
        <f t="shared" si="32"/>
        <v/>
      </c>
      <c r="N121" s="12" t="str">
        <f t="shared" si="32"/>
        <v/>
      </c>
    </row>
    <row r="122" spans="1:14" x14ac:dyDescent="0.2">
      <c r="A122" s="627" t="str">
        <f t="shared" si="31"/>
        <v>AAAAAAA</v>
      </c>
      <c r="B122" s="628"/>
      <c r="C122" s="77" t="s">
        <v>9360</v>
      </c>
      <c r="D122" s="77" t="s">
        <v>9360</v>
      </c>
      <c r="E122" s="77">
        <f t="shared" si="33"/>
        <v>0</v>
      </c>
      <c r="F122" s="16" t="str">
        <f>IF($A$115="","",IF(VLOOKUP($A121,Products!$A$59:$H$159,5,FALSE)="","",VLOOKUP($A121,Products!$A$59:$H$159,5,FALSE)))</f>
        <v/>
      </c>
      <c r="G122" s="16" t="str">
        <f>IF($A$115="","",IF(VLOOKUP($A121,Products!$A$59:$H$159,8,FALSE)="","",VLOOKUP($A121,Products!$A$59:$H$159,8,FALSE)))</f>
        <v/>
      </c>
      <c r="H122" s="77" t="s">
        <v>9360</v>
      </c>
      <c r="I122" s="77" t="s">
        <v>9360</v>
      </c>
      <c r="J122" s="77" t="s">
        <v>9360</v>
      </c>
      <c r="K122" s="2" t="str">
        <f t="shared" si="34"/>
        <v/>
      </c>
      <c r="L122" s="2" t="str">
        <f t="shared" si="32"/>
        <v/>
      </c>
      <c r="M122" s="2" t="str">
        <f t="shared" si="32"/>
        <v/>
      </c>
      <c r="N122" s="12" t="str">
        <f t="shared" si="32"/>
        <v/>
      </c>
    </row>
    <row r="123" spans="1:14" x14ac:dyDescent="0.2">
      <c r="A123" s="627" t="str">
        <f t="shared" si="31"/>
        <v>AAAAAAAA</v>
      </c>
      <c r="B123" s="628"/>
      <c r="C123" s="77" t="s">
        <v>9360</v>
      </c>
      <c r="D123" s="77" t="s">
        <v>9360</v>
      </c>
      <c r="E123" s="77">
        <f t="shared" si="33"/>
        <v>0</v>
      </c>
      <c r="F123" s="16" t="str">
        <f>IF($A$115="","",IF(VLOOKUP($A122,Products!$A$59:$H$159,5,FALSE)="","",VLOOKUP($A122,Products!$A$59:$H$159,5,FALSE)))</f>
        <v/>
      </c>
      <c r="G123" s="16" t="str">
        <f>IF($A$115="","",IF(VLOOKUP($A122,Products!$A$59:$H$159,8,FALSE)="","",VLOOKUP($A122,Products!$A$59:$H$159,8,FALSE)))</f>
        <v/>
      </c>
      <c r="H123" s="77" t="s">
        <v>9360</v>
      </c>
      <c r="I123" s="77" t="s">
        <v>9360</v>
      </c>
      <c r="J123" s="77" t="s">
        <v>9360</v>
      </c>
      <c r="K123" s="2" t="str">
        <f t="shared" si="34"/>
        <v/>
      </c>
      <c r="L123" s="2" t="str">
        <f t="shared" si="32"/>
        <v/>
      </c>
      <c r="M123" s="2" t="str">
        <f t="shared" si="32"/>
        <v/>
      </c>
      <c r="N123" s="12" t="str">
        <f t="shared" si="32"/>
        <v/>
      </c>
    </row>
    <row r="124" spans="1:14" x14ac:dyDescent="0.2">
      <c r="A124" s="627" t="str">
        <f t="shared" si="31"/>
        <v>AAAAAAAAA</v>
      </c>
      <c r="B124" s="628"/>
      <c r="C124" s="77" t="s">
        <v>9360</v>
      </c>
      <c r="D124" s="77" t="s">
        <v>9360</v>
      </c>
      <c r="E124" s="77">
        <f t="shared" si="33"/>
        <v>0</v>
      </c>
      <c r="F124" s="16" t="str">
        <f>IF($A$115="","",IF(VLOOKUP($A123,Products!$A$59:$H$159,5,FALSE)="","",VLOOKUP($A123,Products!$A$59:$H$159,5,FALSE)))</f>
        <v/>
      </c>
      <c r="G124" s="16" t="str">
        <f>IF($A$115="","",IF(VLOOKUP($A123,Products!$A$59:$H$159,8,FALSE)="","",VLOOKUP($A123,Products!$A$59:$H$159,8,FALSE)))</f>
        <v/>
      </c>
      <c r="H124" s="77" t="s">
        <v>9360</v>
      </c>
      <c r="I124" s="77" t="s">
        <v>9360</v>
      </c>
      <c r="J124" s="77" t="s">
        <v>9360</v>
      </c>
      <c r="K124" s="2" t="str">
        <f t="shared" si="34"/>
        <v/>
      </c>
      <c r="L124" s="2" t="str">
        <f t="shared" si="32"/>
        <v/>
      </c>
      <c r="M124" s="2" t="str">
        <f t="shared" si="32"/>
        <v/>
      </c>
      <c r="N124" s="12" t="str">
        <f t="shared" si="32"/>
        <v/>
      </c>
    </row>
    <row r="125" spans="1:14" x14ac:dyDescent="0.2">
      <c r="A125" s="627" t="str">
        <f t="shared" si="31"/>
        <v>AAAAAAAAAA</v>
      </c>
      <c r="B125" s="628"/>
      <c r="C125" s="77" t="s">
        <v>9360</v>
      </c>
      <c r="D125" s="77" t="s">
        <v>9360</v>
      </c>
      <c r="E125" s="77">
        <f t="shared" si="33"/>
        <v>0</v>
      </c>
      <c r="F125" s="16" t="str">
        <f>IF(A124="","",IF(VLOOKUP($A124,Products!$A$59:$H$159,5,FALSE)="","",VLOOKUP($A124,Products!$A$59:$H$159,5,FALSE)))</f>
        <v/>
      </c>
      <c r="G125" s="16" t="str">
        <f>IF($A$115="","",IF(VLOOKUP($A124,Products!$A$59:$H$159,8,FALSE)="","",VLOOKUP($A124,Products!$A$59:$H$159,8,FALSE)))</f>
        <v/>
      </c>
      <c r="H125" s="77" t="s">
        <v>9360</v>
      </c>
      <c r="I125" s="77" t="s">
        <v>9360</v>
      </c>
      <c r="J125" s="77" t="s">
        <v>9360</v>
      </c>
      <c r="K125" s="2" t="str">
        <f t="shared" si="34"/>
        <v/>
      </c>
      <c r="L125" s="2" t="str">
        <f t="shared" si="32"/>
        <v/>
      </c>
      <c r="M125" s="2" t="str">
        <f t="shared" si="32"/>
        <v/>
      </c>
      <c r="N125" s="12" t="str">
        <f t="shared" si="32"/>
        <v/>
      </c>
    </row>
    <row r="126" spans="1:14" x14ac:dyDescent="0.2">
      <c r="A126" s="651"/>
      <c r="B126" s="615"/>
      <c r="C126" s="41"/>
      <c r="D126" s="41"/>
      <c r="E126" s="41"/>
      <c r="F126" s="16" t="s">
        <v>291</v>
      </c>
      <c r="G126" s="16">
        <v>1</v>
      </c>
      <c r="H126" s="16" t="str">
        <f>IF(A126="","",IF(VLOOKUP($A126,Products!$A$59:$H$159,2,FALSE)="","",VLOOKUP($A126,Products!$A$59:$H$159,2,FALSE)))</f>
        <v/>
      </c>
      <c r="I126" s="16" t="str">
        <f>IF(A126="","",IF(VLOOKUP($A126,Products!$A$59:$H$159,3,FALSE)="","",VLOOKUP($A126,Products!$A$59:$H$159,3,FALSE)))</f>
        <v/>
      </c>
      <c r="J126" s="16" t="str">
        <f>IF(A126="","",IF(VLOOKUP($A126,Products!$A$59:$H$159,4,FALSE)="","",VLOOKUP($A126,Products!$A$59:$H$159,4,FALSE)))</f>
        <v/>
      </c>
      <c r="K126" s="2" t="str">
        <f>IF(OR($A126="",C126="",$E126=""),"",((12.46*$F$21*$I126*$H126)/$F$22)*((C126*42)/1000)*(IF($E126="YES",(1-$F$20),1)))</f>
        <v/>
      </c>
      <c r="L126" s="2" t="str">
        <f>IF(OR($A126="",$D126="",$E126=""),"",((12.46*$F$21*$J126*$H126)/$F$23)*(($D126*42)/1000)*(1/2000)*(IF($E126="YES",(1-$F$20),1)))</f>
        <v/>
      </c>
      <c r="M126" s="2" t="str">
        <f>IF(OR($A126="",$C126="",$E126=""),"",((12.46*$F$21*$I126*$H126)/$F$22)*(($C126*42)/1000)*(IF($E126="YES",$F$20,0)))</f>
        <v/>
      </c>
      <c r="N126" s="12" t="str">
        <f>IF(OR($A126="",$D126="",$E126=""),"",((12.46*$F$21*$J126*$H126)/$F$23)*(($D126*42)/1000)*(1/2000)*(IF($E126="YES",$F$20,0)))</f>
        <v/>
      </c>
    </row>
    <row r="127" spans="1:14" x14ac:dyDescent="0.2">
      <c r="A127" s="627" t="str">
        <f t="shared" ref="A127:A136" si="35">A126&amp;"A"</f>
        <v>A</v>
      </c>
      <c r="B127" s="628"/>
      <c r="C127" s="77" t="s">
        <v>9360</v>
      </c>
      <c r="D127" s="77" t="s">
        <v>9360</v>
      </c>
      <c r="E127" s="77">
        <f>E126</f>
        <v>0</v>
      </c>
      <c r="F127" s="16" t="str">
        <f>IF($A$126="","",IF(VLOOKUP($A126,Products!$A$59:$H$159,5,FALSE)="","",VLOOKUP($A126,Products!$A$59:$H$159,5,FALSE)))</f>
        <v/>
      </c>
      <c r="G127" s="16" t="str">
        <f>IF($A$126="","",IF(VLOOKUP($A126,Products!$A$59:$H$159,8,FALSE)="","",VLOOKUP($A126,Products!$A$59:$H$159,8,FALSE)))</f>
        <v/>
      </c>
      <c r="H127" s="77" t="s">
        <v>9360</v>
      </c>
      <c r="I127" s="77" t="s">
        <v>9360</v>
      </c>
      <c r="J127" s="77" t="s">
        <v>9360</v>
      </c>
      <c r="K127" s="2" t="str">
        <f>IF($G127="","",K$126*$G127)</f>
        <v/>
      </c>
      <c r="L127" s="2" t="str">
        <f t="shared" ref="L127:N136" si="36">IF($G127="","",L$126*$G127)</f>
        <v/>
      </c>
      <c r="M127" s="2" t="str">
        <f t="shared" si="36"/>
        <v/>
      </c>
      <c r="N127" s="12" t="str">
        <f t="shared" si="36"/>
        <v/>
      </c>
    </row>
    <row r="128" spans="1:14" x14ac:dyDescent="0.2">
      <c r="A128" s="627" t="str">
        <f t="shared" si="35"/>
        <v>AA</v>
      </c>
      <c r="B128" s="628"/>
      <c r="C128" s="77" t="s">
        <v>9360</v>
      </c>
      <c r="D128" s="77" t="s">
        <v>9360</v>
      </c>
      <c r="E128" s="77">
        <f t="shared" ref="E128:E136" si="37">E127</f>
        <v>0</v>
      </c>
      <c r="F128" s="16" t="str">
        <f>IF($A$126="","",IF(VLOOKUP($A127,Products!$A$59:$H$159,5,FALSE)="","",VLOOKUP($A127,Products!$A$59:$H$159,5,FALSE)))</f>
        <v/>
      </c>
      <c r="G128" s="16" t="str">
        <f>IF($A$126="","",IF(VLOOKUP($A127,Products!$A$59:$H$159,8,FALSE)="","",VLOOKUP($A127,Products!$A$59:$H$159,8,FALSE)))</f>
        <v/>
      </c>
      <c r="H128" s="77" t="s">
        <v>9360</v>
      </c>
      <c r="I128" s="77" t="s">
        <v>9360</v>
      </c>
      <c r="J128" s="77" t="s">
        <v>9360</v>
      </c>
      <c r="K128" s="2" t="str">
        <f t="shared" ref="K128:K136" si="38">IF($G128="","",K$126*$G128)</f>
        <v/>
      </c>
      <c r="L128" s="2" t="str">
        <f t="shared" si="36"/>
        <v/>
      </c>
      <c r="M128" s="2" t="str">
        <f t="shared" si="36"/>
        <v/>
      </c>
      <c r="N128" s="12" t="str">
        <f t="shared" si="36"/>
        <v/>
      </c>
    </row>
    <row r="129" spans="1:14" x14ac:dyDescent="0.2">
      <c r="A129" s="627" t="str">
        <f t="shared" si="35"/>
        <v>AAA</v>
      </c>
      <c r="B129" s="628"/>
      <c r="C129" s="77" t="s">
        <v>9360</v>
      </c>
      <c r="D129" s="77" t="s">
        <v>9360</v>
      </c>
      <c r="E129" s="77">
        <f t="shared" si="37"/>
        <v>0</v>
      </c>
      <c r="F129" s="16" t="str">
        <f>IF($A$126="","",IF(VLOOKUP($A128,Products!$A$59:$H$159,5,FALSE)="","",VLOOKUP($A128,Products!$A$59:$H$159,5,FALSE)))</f>
        <v/>
      </c>
      <c r="G129" s="16" t="str">
        <f>IF($A$126="","",IF(VLOOKUP($A128,Products!$A$59:$H$159,8,FALSE)="","",VLOOKUP($A128,Products!$A$59:$H$159,8,FALSE)))</f>
        <v/>
      </c>
      <c r="H129" s="77" t="s">
        <v>9360</v>
      </c>
      <c r="I129" s="77" t="s">
        <v>9360</v>
      </c>
      <c r="J129" s="77" t="s">
        <v>9360</v>
      </c>
      <c r="K129" s="2" t="str">
        <f t="shared" si="38"/>
        <v/>
      </c>
      <c r="L129" s="2" t="str">
        <f t="shared" si="36"/>
        <v/>
      </c>
      <c r="M129" s="2" t="str">
        <f t="shared" si="36"/>
        <v/>
      </c>
      <c r="N129" s="12" t="str">
        <f t="shared" si="36"/>
        <v/>
      </c>
    </row>
    <row r="130" spans="1:14" x14ac:dyDescent="0.2">
      <c r="A130" s="627" t="str">
        <f t="shared" si="35"/>
        <v>AAAA</v>
      </c>
      <c r="B130" s="628"/>
      <c r="C130" s="77" t="s">
        <v>9360</v>
      </c>
      <c r="D130" s="77" t="s">
        <v>9360</v>
      </c>
      <c r="E130" s="77">
        <f t="shared" si="37"/>
        <v>0</v>
      </c>
      <c r="F130" s="16" t="str">
        <f>IF($A$126="","",IF(VLOOKUP($A129,Products!$A$59:$H$159,5,FALSE)="","",VLOOKUP($A129,Products!$A$59:$H$159,5,FALSE)))</f>
        <v/>
      </c>
      <c r="G130" s="16" t="str">
        <f>IF($A$126="","",IF(VLOOKUP($A129,Products!$A$59:$H$159,8,FALSE)="","",VLOOKUP($A129,Products!$A$59:$H$159,8,FALSE)))</f>
        <v/>
      </c>
      <c r="H130" s="77" t="s">
        <v>9360</v>
      </c>
      <c r="I130" s="77" t="s">
        <v>9360</v>
      </c>
      <c r="J130" s="77" t="s">
        <v>9360</v>
      </c>
      <c r="K130" s="2" t="str">
        <f t="shared" si="38"/>
        <v/>
      </c>
      <c r="L130" s="2" t="str">
        <f t="shared" si="36"/>
        <v/>
      </c>
      <c r="M130" s="2" t="str">
        <f t="shared" si="36"/>
        <v/>
      </c>
      <c r="N130" s="12" t="str">
        <f t="shared" si="36"/>
        <v/>
      </c>
    </row>
    <row r="131" spans="1:14" x14ac:dyDescent="0.2">
      <c r="A131" s="627" t="str">
        <f t="shared" si="35"/>
        <v>AAAAA</v>
      </c>
      <c r="B131" s="628"/>
      <c r="C131" s="77" t="s">
        <v>9360</v>
      </c>
      <c r="D131" s="77" t="s">
        <v>9360</v>
      </c>
      <c r="E131" s="77">
        <f t="shared" si="37"/>
        <v>0</v>
      </c>
      <c r="F131" s="16" t="str">
        <f>IF($A$126="","",IF(VLOOKUP($A130,Products!$A$59:$H$159,5,FALSE)="","",VLOOKUP($A130,Products!$A$59:$H$159,5,FALSE)))</f>
        <v/>
      </c>
      <c r="G131" s="16" t="str">
        <f>IF($A$126="","",IF(VLOOKUP($A130,Products!$A$59:$H$159,8,FALSE)="","",VLOOKUP($A130,Products!$A$59:$H$159,8,FALSE)))</f>
        <v/>
      </c>
      <c r="H131" s="77" t="s">
        <v>9360</v>
      </c>
      <c r="I131" s="77" t="s">
        <v>9360</v>
      </c>
      <c r="J131" s="77" t="s">
        <v>9360</v>
      </c>
      <c r="K131" s="2" t="str">
        <f t="shared" si="38"/>
        <v/>
      </c>
      <c r="L131" s="2" t="str">
        <f>IF($G131="","",L$126*$G131)</f>
        <v/>
      </c>
      <c r="M131" s="2" t="str">
        <f t="shared" si="36"/>
        <v/>
      </c>
      <c r="N131" s="12" t="str">
        <f t="shared" si="36"/>
        <v/>
      </c>
    </row>
    <row r="132" spans="1:14" x14ac:dyDescent="0.2">
      <c r="A132" s="627" t="str">
        <f t="shared" si="35"/>
        <v>AAAAAA</v>
      </c>
      <c r="B132" s="628"/>
      <c r="C132" s="77" t="s">
        <v>9360</v>
      </c>
      <c r="D132" s="77" t="s">
        <v>9360</v>
      </c>
      <c r="E132" s="77">
        <f t="shared" si="37"/>
        <v>0</v>
      </c>
      <c r="F132" s="16" t="str">
        <f>IF($A$126="","",IF(VLOOKUP($A131,Products!$A$59:$H$159,5,FALSE)="","",VLOOKUP($A131,Products!$A$59:$H$159,5,FALSE)))</f>
        <v/>
      </c>
      <c r="G132" s="16" t="str">
        <f>IF($A$126="","",IF(VLOOKUP($A131,Products!$A$59:$H$159,8,FALSE)="","",VLOOKUP($A131,Products!$A$59:$H$159,8,FALSE)))</f>
        <v/>
      </c>
      <c r="H132" s="77" t="s">
        <v>9360</v>
      </c>
      <c r="I132" s="77" t="s">
        <v>9360</v>
      </c>
      <c r="J132" s="77" t="s">
        <v>9360</v>
      </c>
      <c r="K132" s="2" t="str">
        <f t="shared" si="38"/>
        <v/>
      </c>
      <c r="L132" s="2" t="str">
        <f t="shared" si="36"/>
        <v/>
      </c>
      <c r="M132" s="2" t="str">
        <f t="shared" si="36"/>
        <v/>
      </c>
      <c r="N132" s="12" t="str">
        <f t="shared" si="36"/>
        <v/>
      </c>
    </row>
    <row r="133" spans="1:14" x14ac:dyDescent="0.2">
      <c r="A133" s="627" t="str">
        <f t="shared" si="35"/>
        <v>AAAAAAA</v>
      </c>
      <c r="B133" s="628"/>
      <c r="C133" s="77" t="s">
        <v>9360</v>
      </c>
      <c r="D133" s="77" t="s">
        <v>9360</v>
      </c>
      <c r="E133" s="77">
        <f t="shared" si="37"/>
        <v>0</v>
      </c>
      <c r="F133" s="16" t="str">
        <f>IF($A$126="","",IF(VLOOKUP($A132,Products!$A$59:$H$159,5,FALSE)="","",VLOOKUP($A132,Products!$A$59:$H$159,5,FALSE)))</f>
        <v/>
      </c>
      <c r="G133" s="16" t="str">
        <f>IF($A$126="","",IF(VLOOKUP($A132,Products!$A$59:$H$159,8,FALSE)="","",VLOOKUP($A132,Products!$A$59:$H$159,8,FALSE)))</f>
        <v/>
      </c>
      <c r="H133" s="77" t="s">
        <v>9360</v>
      </c>
      <c r="I133" s="77" t="s">
        <v>9360</v>
      </c>
      <c r="J133" s="77" t="s">
        <v>9360</v>
      </c>
      <c r="K133" s="2" t="str">
        <f t="shared" si="38"/>
        <v/>
      </c>
      <c r="L133" s="2" t="str">
        <f t="shared" si="36"/>
        <v/>
      </c>
      <c r="M133" s="2" t="str">
        <f t="shared" si="36"/>
        <v/>
      </c>
      <c r="N133" s="12" t="str">
        <f t="shared" si="36"/>
        <v/>
      </c>
    </row>
    <row r="134" spans="1:14" x14ac:dyDescent="0.2">
      <c r="A134" s="627" t="str">
        <f t="shared" si="35"/>
        <v>AAAAAAAA</v>
      </c>
      <c r="B134" s="628"/>
      <c r="C134" s="77" t="s">
        <v>9360</v>
      </c>
      <c r="D134" s="77" t="s">
        <v>9360</v>
      </c>
      <c r="E134" s="77">
        <f t="shared" si="37"/>
        <v>0</v>
      </c>
      <c r="F134" s="16" t="str">
        <f>IF($A$126="","",IF(VLOOKUP($A133,Products!$A$59:$H$159,5,FALSE)="","",VLOOKUP($A133,Products!$A$59:$H$159,5,FALSE)))</f>
        <v/>
      </c>
      <c r="G134" s="16" t="str">
        <f>IF($A$126="","",IF(VLOOKUP($A133,Products!$A$59:$H$159,8,FALSE)="","",VLOOKUP($A133,Products!$A$59:$H$159,8,FALSE)))</f>
        <v/>
      </c>
      <c r="H134" s="77" t="s">
        <v>9360</v>
      </c>
      <c r="I134" s="77" t="s">
        <v>9360</v>
      </c>
      <c r="J134" s="77" t="s">
        <v>9360</v>
      </c>
      <c r="K134" s="2" t="str">
        <f t="shared" si="38"/>
        <v/>
      </c>
      <c r="L134" s="2" t="str">
        <f t="shared" si="36"/>
        <v/>
      </c>
      <c r="M134" s="2" t="str">
        <f t="shared" si="36"/>
        <v/>
      </c>
      <c r="N134" s="12" t="str">
        <f t="shared" si="36"/>
        <v/>
      </c>
    </row>
    <row r="135" spans="1:14" x14ac:dyDescent="0.2">
      <c r="A135" s="627" t="str">
        <f t="shared" si="35"/>
        <v>AAAAAAAAA</v>
      </c>
      <c r="B135" s="628"/>
      <c r="C135" s="77" t="s">
        <v>9360</v>
      </c>
      <c r="D135" s="77" t="s">
        <v>9360</v>
      </c>
      <c r="E135" s="77">
        <f t="shared" si="37"/>
        <v>0</v>
      </c>
      <c r="F135" s="16" t="str">
        <f>IF($A$126="","",IF(VLOOKUP($A134,Products!$A$59:$H$159,5,FALSE)="","",VLOOKUP($A134,Products!$A$59:$H$159,5,FALSE)))</f>
        <v/>
      </c>
      <c r="G135" s="16" t="str">
        <f>IF($A$126="","",IF(VLOOKUP($A134,Products!$A$59:$H$159,8,FALSE)="","",VLOOKUP($A134,Products!$A$59:$H$159,8,FALSE)))</f>
        <v/>
      </c>
      <c r="H135" s="77" t="s">
        <v>9360</v>
      </c>
      <c r="I135" s="77" t="s">
        <v>9360</v>
      </c>
      <c r="J135" s="77" t="s">
        <v>9360</v>
      </c>
      <c r="K135" s="2" t="str">
        <f t="shared" si="38"/>
        <v/>
      </c>
      <c r="L135" s="2" t="str">
        <f t="shared" si="36"/>
        <v/>
      </c>
      <c r="M135" s="2" t="str">
        <f t="shared" si="36"/>
        <v/>
      </c>
      <c r="N135" s="12" t="str">
        <f t="shared" si="36"/>
        <v/>
      </c>
    </row>
    <row r="136" spans="1:14" ht="15" thickBot="1" x14ac:dyDescent="0.25">
      <c r="A136" s="629" t="str">
        <f t="shared" si="35"/>
        <v>AAAAAAAAAA</v>
      </c>
      <c r="B136" s="630"/>
      <c r="C136" s="78" t="s">
        <v>9360</v>
      </c>
      <c r="D136" s="78" t="s">
        <v>9360</v>
      </c>
      <c r="E136" s="78">
        <f t="shared" si="37"/>
        <v>0</v>
      </c>
      <c r="F136" s="28" t="str">
        <f>IF($A$126="","",IF(VLOOKUP($A135,Products!$A$59:$H$159,5,FALSE)="","",VLOOKUP($A135,Products!$A$59:$H$159,5,FALSE)))</f>
        <v/>
      </c>
      <c r="G136" s="28" t="str">
        <f>IF($A$126="","",IF(VLOOKUP($A135,Products!$A$59:$H$159,8,FALSE)="","",VLOOKUP($A135,Products!$A$59:$H$159,8,FALSE)))</f>
        <v/>
      </c>
      <c r="H136" s="78" t="s">
        <v>9360</v>
      </c>
      <c r="I136" s="78" t="s">
        <v>9360</v>
      </c>
      <c r="J136" s="78" t="s">
        <v>9360</v>
      </c>
      <c r="K136" s="13" t="str">
        <f t="shared" si="38"/>
        <v/>
      </c>
      <c r="L136" s="13" t="str">
        <f t="shared" si="36"/>
        <v/>
      </c>
      <c r="M136" s="13" t="str">
        <f t="shared" si="36"/>
        <v/>
      </c>
      <c r="N136" s="14" t="str">
        <f t="shared" si="36"/>
        <v/>
      </c>
    </row>
    <row r="137" spans="1:14" x14ac:dyDescent="0.2">
      <c r="A137" s="478" t="s">
        <v>130</v>
      </c>
      <c r="B137" s="478"/>
      <c r="C137" s="478"/>
      <c r="D137" s="478"/>
      <c r="E137" s="478"/>
      <c r="F137" s="478"/>
      <c r="G137" s="478"/>
      <c r="H137" s="478"/>
      <c r="I137" s="478"/>
      <c r="J137" s="478"/>
      <c r="K137" s="478"/>
      <c r="L137" s="478"/>
      <c r="M137" s="478"/>
      <c r="N137" s="478"/>
    </row>
  </sheetData>
  <sheetProtection algorithmName="SHA-512" hashValue="MHg8ihoZP9PV380J9iNf9GMfFvEwOIMFiuX0LcIuZ3vRBUr41hnVd5DiH34wSXjvWSl4MrwCsaoMJsLO6i4+NQ==" saltValue="v5v2wbSu5+omsNIj6w1GBA==" spinCount="100000" sheet="1" objects="1" scenarios="1" formatColumns="0" formatRows="0"/>
  <mergeCells count="163">
    <mergeCell ref="A18:E18"/>
    <mergeCell ref="F18:I18"/>
    <mergeCell ref="J18:N18"/>
    <mergeCell ref="A1:N1"/>
    <mergeCell ref="A2:N2"/>
    <mergeCell ref="A3:N3"/>
    <mergeCell ref="A4:N4"/>
    <mergeCell ref="A5:N5"/>
    <mergeCell ref="A6:E6"/>
    <mergeCell ref="F6:N6"/>
    <mergeCell ref="A10:E10"/>
    <mergeCell ref="F10:N10"/>
    <mergeCell ref="A11:E11"/>
    <mergeCell ref="F11:N11"/>
    <mergeCell ref="A7:E7"/>
    <mergeCell ref="F7:N7"/>
    <mergeCell ref="A8:E8"/>
    <mergeCell ref="F8:N8"/>
    <mergeCell ref="A9:E9"/>
    <mergeCell ref="F9:N9"/>
    <mergeCell ref="A16:E16"/>
    <mergeCell ref="F16:I16"/>
    <mergeCell ref="J16:N16"/>
    <mergeCell ref="A17:E17"/>
    <mergeCell ref="F17:I17"/>
    <mergeCell ref="J17:N17"/>
    <mergeCell ref="A12:N12"/>
    <mergeCell ref="A13:N13"/>
    <mergeCell ref="A14:E14"/>
    <mergeCell ref="F14:I14"/>
    <mergeCell ref="J14:N14"/>
    <mergeCell ref="A15:E15"/>
    <mergeCell ref="F15:I15"/>
    <mergeCell ref="J15:N15"/>
    <mergeCell ref="A21:E21"/>
    <mergeCell ref="F21:I21"/>
    <mergeCell ref="J21:N21"/>
    <mergeCell ref="A22:E22"/>
    <mergeCell ref="F22:I22"/>
    <mergeCell ref="J22:N22"/>
    <mergeCell ref="A19:E19"/>
    <mergeCell ref="F19:I19"/>
    <mergeCell ref="J19:N19"/>
    <mergeCell ref="A20:E20"/>
    <mergeCell ref="F20:I20"/>
    <mergeCell ref="J20:N20"/>
    <mergeCell ref="A27:B27"/>
    <mergeCell ref="A28:B28"/>
    <mergeCell ref="A29:B29"/>
    <mergeCell ref="A30:B30"/>
    <mergeCell ref="A31:B31"/>
    <mergeCell ref="A32:B32"/>
    <mergeCell ref="A23:E23"/>
    <mergeCell ref="F23:I23"/>
    <mergeCell ref="J23:N23"/>
    <mergeCell ref="A24:N24"/>
    <mergeCell ref="A25:N25"/>
    <mergeCell ref="A26:B26"/>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35:B135"/>
    <mergeCell ref="A136:B136"/>
    <mergeCell ref="A137:N137"/>
    <mergeCell ref="A129:B129"/>
    <mergeCell ref="A130:B130"/>
    <mergeCell ref="A131:B131"/>
    <mergeCell ref="A132:B132"/>
    <mergeCell ref="A133:B133"/>
    <mergeCell ref="A134:B134"/>
  </mergeCells>
  <conditionalFormatting sqref="A10:N137">
    <cfRule type="expression" dxfId="207" priority="7">
      <formula>$F$6="affected"</formula>
    </cfRule>
  </conditionalFormatting>
  <conditionalFormatting sqref="F18:I18">
    <cfRule type="expression" dxfId="206" priority="6">
      <formula>$F$18&lt;MAX($I$27,$I$38,$I$49,$I$60,$I$71,$I$82,$I$93,$I$104,$I$115,$I$126)</formula>
    </cfRule>
  </conditionalFormatting>
  <conditionalFormatting sqref="F19:I19">
    <cfRule type="expression" dxfId="205" priority="1">
      <formula>AND(COUNTIF($E$27:$E$136,"YES")&gt;0,$F$19="NO CONTROL")</formula>
    </cfRule>
    <cfRule type="expression" dxfId="204" priority="2">
      <formula>AND($F$18&gt;=0.5,$F$19="no control")</formula>
    </cfRule>
    <cfRule type="expression" dxfId="203" priority="3">
      <formula>AND($F$19="no control",MAX($I$27,$I$38,$I$49,$I$60,$I$71,$I$82,$I$93,$I$104,$I$115,$I$126)&gt;=0.5)</formula>
    </cfRule>
  </conditionalFormatting>
  <conditionalFormatting sqref="J18:N18">
    <cfRule type="expression" dxfId="202" priority="4">
      <formula>$F$6="affected"</formula>
    </cfRule>
  </conditionalFormatting>
  <dataValidations count="18">
    <dataValidation type="list" allowBlank="1" showErrorMessage="1" prompt="Choose a product." sqref="A27:B27 A38:B38 A49:B49 A60:B60 A71:B71 A82:B82 A93:B93 A104:B104 A115:B115 A126:B126" xr:uid="{7CC2CEFB-CA1D-4146-AD05-9EECD5B66B44}">
      <formula1>ProdList</formula1>
    </dataValidation>
    <dataValidation type="decimal" operator="greaterThanOrEqual" allowBlank="1" showErrorMessage="1" prompt="Enter maximum temperature of bulk liquid loaded in degrees R." sqref="F22:I22" xr:uid="{DC35198F-68F5-4D7C-89F1-0733C12F9F38}">
      <formula1>554.67</formula1>
    </dataValidation>
    <dataValidation allowBlank="1" showErrorMessage="1" prompt="Enter UTM northing in meters." sqref="F11:N11" xr:uid="{D8C4E3AF-5A76-4336-9E92-DB7E4744380E}"/>
    <dataValidation allowBlank="1" showErrorMessage="1" prompt="Enter UTM easting in meters." sqref="F10:N10" xr:uid="{39BADA0D-F119-49EB-B778-000392A1A388}"/>
    <dataValidation allowBlank="1" showErrorMessage="1" prompt="Enter source name" sqref="F9:N9" xr:uid="{39D3A2D3-EF34-4554-8A35-4EC24AD7355B}"/>
    <dataValidation allowBlank="1" showErrorMessage="1" prompt="Enter EPN" sqref="F8:N8" xr:uid="{98DD087A-D77D-4895-B661-BACFCA9D1025}"/>
    <dataValidation allowBlank="1" showErrorMessage="1" prompt="Enter FIN" sqref="F7:N7" xr:uid="{199730FA-D456-4537-BA95-E3AFE286BD0F}"/>
    <dataValidation type="list" allowBlank="1" showErrorMessage="1" prompt="Select one" sqref="F6:N6" xr:uid="{CD77B13D-206F-4B97-92D4-56E259E89929}">
      <formula1>"Affected,Modified,New"</formula1>
    </dataValidation>
    <dataValidation type="decimal" operator="greaterThanOrEqual" allowBlank="1" showErrorMessage="1" prompt="Enter distance to property line in ft." sqref="F15:I15" xr:uid="{6C16E58C-F53E-4901-B882-047A63467D1C}">
      <formula1>82</formula1>
    </dataValidation>
    <dataValidation type="decimal" operator="greaterThanOrEqual" allowBlank="1" showErrorMessage="1" prompt="Enter the release height in ft." sqref="F16:I16" xr:uid="{1C9EC71D-627C-444F-8F35-4BCA5AB024B8}">
      <formula1>10</formula1>
    </dataValidation>
    <dataValidation type="list" allowBlank="1" showErrorMessage="1" prompt="Select the loading control device." sqref="F19:I19" xr:uid="{DD5F3519-0F42-468A-8969-000C0EA3F967}">
      <formula1>IF($F$18&gt;=0.5,TnkLoad_Ctrl_req,TnkLoad_Ctrl_notreq)</formula1>
    </dataValidation>
    <dataValidation allowBlank="1" showInputMessage="1" showErrorMessage="1" prompt="Enter the collection efficiency as a percentage." sqref="F20:I20" xr:uid="{1C79712C-7C58-4900-8513-565BEE262BE8}"/>
    <dataValidation allowBlank="1" showInputMessage="1" showErrorMessage="1" prompt="Enter the saturation factor." sqref="F21:I21" xr:uid="{DDF4DB70-1D4E-4869-A9EC-FC448DFCC058}"/>
    <dataValidation allowBlank="1" showErrorMessage="1" prompt="enter the highest true vapor pressure of all products to be loaded (psia at maximum temperature)" sqref="F18:I18" xr:uid="{1B2E9A9F-C2ED-45AC-974A-A4BB9A520891}"/>
    <dataValidation type="decimal" operator="greaterThanOrEqual" allowBlank="1" showErrorMessage="1" prompt="Enter average annual temperature of bulk liquid loaded in degrees R." sqref="F23:I23" xr:uid="{737E86E8-1447-4828-A4D5-668CA65DA1E8}">
      <formula1>524.67</formula1>
    </dataValidation>
    <dataValidation allowBlank="1" showErrorMessage="1" prompt="Proposed hourly throughput increase in bbl/hr." sqref="C126 C115 C104 C93 C82 C71 C60 C49 C38 C27" xr:uid="{E4A281CC-4A18-4170-9389-C7DF74B8EF43}"/>
    <dataValidation allowBlank="1" showErrorMessage="1" prompt="Proposed annual throughput increase in bbl/yr." sqref="D27 D38 D49 D60 D71 D82 D93 D104 D115 D126" xr:uid="{302550E6-E6D9-4F0D-AB84-162FF5A697DC}"/>
    <dataValidation type="list" allowBlank="1" showErrorMessage="1" prompt="Choose yes or no." sqref="E126 E115 E104 E93 E82 E71 E60 E38 E49 E27" xr:uid="{46F521FE-B1C3-4CDC-B59F-D2FE3442DD83}">
      <formula1>"Yes,No"</formula1>
    </dataValidation>
  </dataValidations>
  <printOptions horizontalCentered="1"/>
  <pageMargins left="0.7" right="0.7" top="0.75" bottom="0.75" header="0.3" footer="0.3"/>
  <pageSetup scale="67" orientation="landscape" r:id="rId1"/>
  <headerFooter>
    <oddHeader>&amp;C&amp;"Calibri,Regular"Marine Loading RAP Application</oddHeader>
    <oddFooter>&amp;L&amp;"Calibri,Regular"Version 1.0&amp;C&amp;"Calibri,Regular"Sheet: &amp;A&amp;R&amp;"Calibri,Regular"Page &amp;P</oddFooter>
  </headerFooter>
  <extLst>
    <ext xmlns:x14="http://schemas.microsoft.com/office/spreadsheetml/2009/9/main" uri="{78C0D931-6437-407d-A8EE-F0AAD7539E65}">
      <x14:conditionalFormattings>
        <x14:conditionalFormatting xmlns:xm="http://schemas.microsoft.com/office/excel/2006/main">
          <x14:cfRule type="expression" priority="8" id="{02F9457E-B8C5-4C2C-A557-33C6EEEC9FF4}">
            <xm:f>'PI-1-MarineLoading'!$G$119="no"</xm:f>
            <x14:dxf>
              <numFmt numFmtId="164" formatCode=";;;"/>
              <fill>
                <patternFill>
                  <bgColor theme="0" tint="-0.499984740745262"/>
                </patternFill>
              </fill>
            </x14:dxf>
          </x14:cfRule>
          <xm:sqref>A2:N137</xm:sqref>
        </x14:conditionalFormatting>
        <x14:conditionalFormatting xmlns:xm="http://schemas.microsoft.com/office/excel/2006/main">
          <x14:cfRule type="expression" priority="5" id="{0928E26E-5C37-429B-80CE-14E5AE81975A}">
            <xm:f>'PI-1-MarineLoading'!$G$116="no"</xm:f>
            <x14:dxf>
              <numFmt numFmtId="164" formatCode=";;;"/>
              <fill>
                <patternFill>
                  <bgColor theme="0" tint="-0.499984740745262"/>
                </patternFill>
              </fill>
            </x14:dxf>
          </x14:cfRule>
          <xm:sqref>J18:N18</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D6BAD-E6B1-4B5D-9FC8-2F0B267F3FE0}">
  <sheetPr codeName="Sheet15">
    <tabColor rgb="FFFFFFCC"/>
  </sheetPr>
  <dimension ref="A1:O137"/>
  <sheetViews>
    <sheetView showGridLines="0" zoomScaleNormal="100" workbookViewId="0">
      <selection sqref="A1:N1"/>
    </sheetView>
  </sheetViews>
  <sheetFormatPr defaultColWidth="0" defaultRowHeight="14.25" zeroHeight="1" x14ac:dyDescent="0.2"/>
  <cols>
    <col min="1" max="2" width="13" customWidth="1"/>
    <col min="3" max="4" width="10.5" customWidth="1"/>
    <col min="5" max="5" width="10.875" customWidth="1"/>
    <col min="6" max="6" width="20.75" customWidth="1"/>
    <col min="7" max="7" width="7.5" customWidth="1"/>
    <col min="8" max="8" width="9.375" customWidth="1"/>
    <col min="9" max="10" width="12.125" customWidth="1"/>
    <col min="11" max="12" width="11.25" customWidth="1"/>
    <col min="13" max="14" width="9.5" customWidth="1"/>
    <col min="15" max="15" width="2.625" customWidth="1"/>
    <col min="16" max="16384" width="9" hidden="1"/>
  </cols>
  <sheetData>
    <row r="1" spans="1:14" ht="8.25" customHeight="1" thickBot="1" x14ac:dyDescent="0.25">
      <c r="A1" s="478" t="s">
        <v>0</v>
      </c>
      <c r="B1" s="478"/>
      <c r="C1" s="478"/>
      <c r="D1" s="478"/>
      <c r="E1" s="478"/>
      <c r="F1" s="478"/>
      <c r="G1" s="478"/>
      <c r="H1" s="478"/>
      <c r="I1" s="478"/>
      <c r="J1" s="478"/>
      <c r="K1" s="478"/>
      <c r="L1" s="478"/>
      <c r="M1" s="478"/>
      <c r="N1" s="478"/>
    </row>
    <row r="2" spans="1:14" ht="18.75" thickBot="1" x14ac:dyDescent="0.25">
      <c r="A2" s="525" t="s">
        <v>9182</v>
      </c>
      <c r="B2" s="525"/>
      <c r="C2" s="525"/>
      <c r="D2" s="525"/>
      <c r="E2" s="525"/>
      <c r="F2" s="525"/>
      <c r="G2" s="525"/>
      <c r="H2" s="525"/>
      <c r="I2" s="525"/>
      <c r="J2" s="525"/>
      <c r="K2" s="525"/>
      <c r="L2" s="525"/>
      <c r="M2" s="525"/>
      <c r="N2" s="525"/>
    </row>
    <row r="3" spans="1:14" ht="174.75" customHeight="1" thickBot="1" x14ac:dyDescent="0.25">
      <c r="A3" s="523" t="s">
        <v>9697</v>
      </c>
      <c r="B3" s="602"/>
      <c r="C3" s="602"/>
      <c r="D3" s="602"/>
      <c r="E3" s="602"/>
      <c r="F3" s="602"/>
      <c r="G3" s="602"/>
      <c r="H3" s="602"/>
      <c r="I3" s="602"/>
      <c r="J3" s="602"/>
      <c r="K3" s="602"/>
      <c r="L3" s="602"/>
      <c r="M3" s="602"/>
      <c r="N3" s="524"/>
    </row>
    <row r="4" spans="1:14" ht="15" thickBot="1" x14ac:dyDescent="0.25">
      <c r="A4" s="478" t="s">
        <v>1</v>
      </c>
      <c r="B4" s="478"/>
      <c r="C4" s="478"/>
      <c r="D4" s="478"/>
      <c r="E4" s="478"/>
      <c r="F4" s="478"/>
      <c r="G4" s="478"/>
      <c r="H4" s="478"/>
      <c r="I4" s="478"/>
      <c r="J4" s="478"/>
      <c r="K4" s="478"/>
      <c r="L4" s="478"/>
      <c r="M4" s="478"/>
      <c r="N4" s="478"/>
    </row>
    <row r="5" spans="1:14" ht="15.75" thickBot="1" x14ac:dyDescent="0.25">
      <c r="A5" s="474" t="s">
        <v>133</v>
      </c>
      <c r="B5" s="474"/>
      <c r="C5" s="474"/>
      <c r="D5" s="474"/>
      <c r="E5" s="474"/>
      <c r="F5" s="474"/>
      <c r="G5" s="474"/>
      <c r="H5" s="474"/>
      <c r="I5" s="474"/>
      <c r="J5" s="474"/>
      <c r="K5" s="474"/>
      <c r="L5" s="474"/>
      <c r="M5" s="474"/>
      <c r="N5" s="474"/>
    </row>
    <row r="6" spans="1:14" x14ac:dyDescent="0.2">
      <c r="A6" s="605" t="s">
        <v>166</v>
      </c>
      <c r="B6" s="606"/>
      <c r="C6" s="606"/>
      <c r="D6" s="606"/>
      <c r="E6" s="606"/>
      <c r="F6" s="679"/>
      <c r="G6" s="679"/>
      <c r="H6" s="679"/>
      <c r="I6" s="679"/>
      <c r="J6" s="679"/>
      <c r="K6" s="679"/>
      <c r="L6" s="679"/>
      <c r="M6" s="679"/>
      <c r="N6" s="680"/>
    </row>
    <row r="7" spans="1:14" x14ac:dyDescent="0.2">
      <c r="A7" s="528" t="s">
        <v>167</v>
      </c>
      <c r="B7" s="529"/>
      <c r="C7" s="529"/>
      <c r="D7" s="529"/>
      <c r="E7" s="529"/>
      <c r="F7" s="579"/>
      <c r="G7" s="579"/>
      <c r="H7" s="579"/>
      <c r="I7" s="579"/>
      <c r="J7" s="579"/>
      <c r="K7" s="579"/>
      <c r="L7" s="579"/>
      <c r="M7" s="579"/>
      <c r="N7" s="580"/>
    </row>
    <row r="8" spans="1:14" x14ac:dyDescent="0.2">
      <c r="A8" s="528" t="s">
        <v>168</v>
      </c>
      <c r="B8" s="529"/>
      <c r="C8" s="529"/>
      <c r="D8" s="529"/>
      <c r="E8" s="529"/>
      <c r="F8" s="579"/>
      <c r="G8" s="579"/>
      <c r="H8" s="579"/>
      <c r="I8" s="579"/>
      <c r="J8" s="579"/>
      <c r="K8" s="579"/>
      <c r="L8" s="579"/>
      <c r="M8" s="579"/>
      <c r="N8" s="580"/>
    </row>
    <row r="9" spans="1:14" x14ac:dyDescent="0.2">
      <c r="A9" s="528" t="s">
        <v>169</v>
      </c>
      <c r="B9" s="529"/>
      <c r="C9" s="529"/>
      <c r="D9" s="529"/>
      <c r="E9" s="529"/>
      <c r="F9" s="579"/>
      <c r="G9" s="579"/>
      <c r="H9" s="579"/>
      <c r="I9" s="579"/>
      <c r="J9" s="579"/>
      <c r="K9" s="579"/>
      <c r="L9" s="579"/>
      <c r="M9" s="579"/>
      <c r="N9" s="580"/>
    </row>
    <row r="10" spans="1:14" x14ac:dyDescent="0.2">
      <c r="A10" s="528" t="s">
        <v>170</v>
      </c>
      <c r="B10" s="529"/>
      <c r="C10" s="529"/>
      <c r="D10" s="529"/>
      <c r="E10" s="529"/>
      <c r="F10" s="579"/>
      <c r="G10" s="579"/>
      <c r="H10" s="579"/>
      <c r="I10" s="579"/>
      <c r="J10" s="579"/>
      <c r="K10" s="579"/>
      <c r="L10" s="579"/>
      <c r="M10" s="579"/>
      <c r="N10" s="580"/>
    </row>
    <row r="11" spans="1:14" ht="15" thickBot="1" x14ac:dyDescent="0.25">
      <c r="A11" s="548" t="s">
        <v>171</v>
      </c>
      <c r="B11" s="549"/>
      <c r="C11" s="549"/>
      <c r="D11" s="549"/>
      <c r="E11" s="549"/>
      <c r="F11" s="577"/>
      <c r="G11" s="577"/>
      <c r="H11" s="577"/>
      <c r="I11" s="577"/>
      <c r="J11" s="577"/>
      <c r="K11" s="577"/>
      <c r="L11" s="577"/>
      <c r="M11" s="577"/>
      <c r="N11" s="578"/>
    </row>
    <row r="12" spans="1:14" ht="15" thickBot="1" x14ac:dyDescent="0.25">
      <c r="A12" s="478" t="s">
        <v>1</v>
      </c>
      <c r="B12" s="478"/>
      <c r="C12" s="478"/>
      <c r="D12" s="478"/>
      <c r="E12" s="478"/>
      <c r="F12" s="478"/>
      <c r="G12" s="478"/>
      <c r="H12" s="478"/>
      <c r="I12" s="478"/>
      <c r="J12" s="478"/>
      <c r="K12" s="478"/>
      <c r="L12" s="478"/>
      <c r="M12" s="478"/>
      <c r="N12" s="478"/>
    </row>
    <row r="13" spans="1:14" ht="15.75" thickBot="1" x14ac:dyDescent="0.25">
      <c r="A13" s="474" t="s">
        <v>9166</v>
      </c>
      <c r="B13" s="474"/>
      <c r="C13" s="474"/>
      <c r="D13" s="474"/>
      <c r="E13" s="474"/>
      <c r="F13" s="474"/>
      <c r="G13" s="474"/>
      <c r="H13" s="474"/>
      <c r="I13" s="474"/>
      <c r="J13" s="474"/>
      <c r="K13" s="474"/>
      <c r="L13" s="474"/>
      <c r="M13" s="474"/>
      <c r="N13" s="474"/>
    </row>
    <row r="14" spans="1:14" ht="15" x14ac:dyDescent="0.2">
      <c r="A14" s="506" t="s">
        <v>9167</v>
      </c>
      <c r="B14" s="507"/>
      <c r="C14" s="507"/>
      <c r="D14" s="507"/>
      <c r="E14" s="507"/>
      <c r="F14" s="663" t="s">
        <v>172</v>
      </c>
      <c r="G14" s="663"/>
      <c r="H14" s="663"/>
      <c r="I14" s="663"/>
      <c r="J14" s="507" t="s">
        <v>8723</v>
      </c>
      <c r="K14" s="507"/>
      <c r="L14" s="507"/>
      <c r="M14" s="507"/>
      <c r="N14" s="508"/>
    </row>
    <row r="15" spans="1:14" x14ac:dyDescent="0.2">
      <c r="A15" s="528" t="s">
        <v>176</v>
      </c>
      <c r="B15" s="529"/>
      <c r="C15" s="529"/>
      <c r="D15" s="529"/>
      <c r="E15" s="529"/>
      <c r="F15" s="579"/>
      <c r="G15" s="579"/>
      <c r="H15" s="579"/>
      <c r="I15" s="579"/>
      <c r="J15" s="734" t="s">
        <v>10899</v>
      </c>
      <c r="K15" s="693"/>
      <c r="L15" s="693"/>
      <c r="M15" s="693"/>
      <c r="N15" s="735"/>
    </row>
    <row r="16" spans="1:14" x14ac:dyDescent="0.2">
      <c r="A16" s="528" t="s">
        <v>177</v>
      </c>
      <c r="B16" s="529"/>
      <c r="C16" s="529"/>
      <c r="D16" s="529"/>
      <c r="E16" s="529"/>
      <c r="F16" s="579"/>
      <c r="G16" s="579"/>
      <c r="H16" s="579"/>
      <c r="I16" s="579"/>
      <c r="J16" s="529" t="s">
        <v>9261</v>
      </c>
      <c r="K16" s="529"/>
      <c r="L16" s="529"/>
      <c r="M16" s="529"/>
      <c r="N16" s="714"/>
    </row>
    <row r="17" spans="1:14" ht="15" x14ac:dyDescent="0.2">
      <c r="A17" s="725" t="s">
        <v>9169</v>
      </c>
      <c r="B17" s="717"/>
      <c r="C17" s="717"/>
      <c r="D17" s="717"/>
      <c r="E17" s="717"/>
      <c r="F17" s="716" t="s">
        <v>172</v>
      </c>
      <c r="G17" s="716"/>
      <c r="H17" s="716"/>
      <c r="I17" s="716"/>
      <c r="J17" s="717" t="s">
        <v>8723</v>
      </c>
      <c r="K17" s="717"/>
      <c r="L17" s="717"/>
      <c r="M17" s="717"/>
      <c r="N17" s="718"/>
    </row>
    <row r="18" spans="1:14" ht="32.25" customHeight="1" x14ac:dyDescent="0.2">
      <c r="A18" s="530" t="s">
        <v>10630</v>
      </c>
      <c r="B18" s="531"/>
      <c r="C18" s="531"/>
      <c r="D18" s="531"/>
      <c r="E18" s="531"/>
      <c r="F18" s="579"/>
      <c r="G18" s="579"/>
      <c r="H18" s="579"/>
      <c r="I18" s="579"/>
      <c r="J18" s="689" t="s">
        <v>10631</v>
      </c>
      <c r="K18" s="690"/>
      <c r="L18" s="690"/>
      <c r="M18" s="690"/>
      <c r="N18" s="691"/>
    </row>
    <row r="19" spans="1:14" ht="32.25" customHeight="1" x14ac:dyDescent="0.2">
      <c r="A19" s="528" t="s">
        <v>230</v>
      </c>
      <c r="B19" s="529"/>
      <c r="C19" s="529"/>
      <c r="D19" s="529"/>
      <c r="E19" s="529"/>
      <c r="F19" s="579"/>
      <c r="G19" s="579"/>
      <c r="H19" s="579"/>
      <c r="I19" s="579"/>
      <c r="J19" s="531" t="s">
        <v>9257</v>
      </c>
      <c r="K19" s="531"/>
      <c r="L19" s="531"/>
      <c r="M19" s="531"/>
      <c r="N19" s="538"/>
    </row>
    <row r="20" spans="1:14" x14ac:dyDescent="0.2">
      <c r="A20" s="528" t="s">
        <v>231</v>
      </c>
      <c r="B20" s="529"/>
      <c r="C20" s="529"/>
      <c r="D20" s="529"/>
      <c r="E20" s="529"/>
      <c r="F20" s="715"/>
      <c r="G20" s="715"/>
      <c r="H20" s="715"/>
      <c r="I20" s="715"/>
      <c r="J20" s="727" t="s">
        <v>10903</v>
      </c>
      <c r="K20" s="727"/>
      <c r="L20" s="727"/>
      <c r="M20" s="727"/>
      <c r="N20" s="728"/>
    </row>
    <row r="21" spans="1:14" x14ac:dyDescent="0.2">
      <c r="A21" s="528" t="s">
        <v>232</v>
      </c>
      <c r="B21" s="529"/>
      <c r="C21" s="529"/>
      <c r="D21" s="529"/>
      <c r="E21" s="529"/>
      <c r="F21" s="529">
        <v>0.2</v>
      </c>
      <c r="G21" s="529"/>
      <c r="H21" s="529"/>
      <c r="I21" s="529"/>
      <c r="J21" s="732" t="s">
        <v>9361</v>
      </c>
      <c r="K21" s="732"/>
      <c r="L21" s="732"/>
      <c r="M21" s="732"/>
      <c r="N21" s="733"/>
    </row>
    <row r="22" spans="1:14" ht="15" x14ac:dyDescent="0.25">
      <c r="A22" s="712" t="s">
        <v>234</v>
      </c>
      <c r="B22" s="713"/>
      <c r="C22" s="713"/>
      <c r="D22" s="713"/>
      <c r="E22" s="713"/>
      <c r="F22" s="579"/>
      <c r="G22" s="579"/>
      <c r="H22" s="579"/>
      <c r="I22" s="579"/>
      <c r="J22" s="529" t="s">
        <v>9258</v>
      </c>
      <c r="K22" s="529"/>
      <c r="L22" s="529"/>
      <c r="M22" s="529"/>
      <c r="N22" s="714"/>
    </row>
    <row r="23" spans="1:14" ht="15" thickBot="1" x14ac:dyDescent="0.25">
      <c r="A23" s="548" t="s">
        <v>235</v>
      </c>
      <c r="B23" s="549"/>
      <c r="C23" s="549"/>
      <c r="D23" s="549"/>
      <c r="E23" s="549"/>
      <c r="F23" s="577"/>
      <c r="G23" s="577"/>
      <c r="H23" s="577"/>
      <c r="I23" s="577"/>
      <c r="J23" s="549" t="s">
        <v>9259</v>
      </c>
      <c r="K23" s="549"/>
      <c r="L23" s="549"/>
      <c r="M23" s="549"/>
      <c r="N23" s="550"/>
    </row>
    <row r="24" spans="1:14" ht="15" thickBot="1" x14ac:dyDescent="0.25">
      <c r="A24" s="478" t="s">
        <v>1</v>
      </c>
      <c r="B24" s="478"/>
      <c r="C24" s="478"/>
      <c r="D24" s="478"/>
      <c r="E24" s="478"/>
      <c r="F24" s="478"/>
      <c r="G24" s="478"/>
      <c r="H24" s="478"/>
      <c r="I24" s="478"/>
      <c r="J24" s="478"/>
      <c r="K24" s="478"/>
      <c r="L24" s="478"/>
      <c r="M24" s="478"/>
      <c r="N24" s="478"/>
    </row>
    <row r="25" spans="1:14" ht="15.75" thickBot="1" x14ac:dyDescent="0.25">
      <c r="A25" s="474" t="s">
        <v>279</v>
      </c>
      <c r="B25" s="474"/>
      <c r="C25" s="474"/>
      <c r="D25" s="474"/>
      <c r="E25" s="474"/>
      <c r="F25" s="474"/>
      <c r="G25" s="474"/>
      <c r="H25" s="474"/>
      <c r="I25" s="474"/>
      <c r="J25" s="474"/>
      <c r="K25" s="474"/>
      <c r="L25" s="474"/>
      <c r="M25" s="474"/>
      <c r="N25" s="474"/>
    </row>
    <row r="26" spans="1:14" ht="91.5" customHeight="1" x14ac:dyDescent="0.2">
      <c r="A26" s="539" t="s">
        <v>236</v>
      </c>
      <c r="B26" s="540"/>
      <c r="C26" s="49" t="str">
        <f>IF($F$6="modified","Proposed increase in hourly throughput (bbl/hr)","Proposed hourly throughput (bbl/hr)")</f>
        <v>Proposed hourly throughput (bbl/hr)</v>
      </c>
      <c r="D26" s="49" t="str">
        <f>IF($F$6="modified","Proposed increase in annual throughput (bbl/yr)","Proposed annual throughput (bbl/yr)")</f>
        <v>Proposed annual throughput (bbl/yr)</v>
      </c>
      <c r="E26" s="49" t="s">
        <v>9795</v>
      </c>
      <c r="F26" s="49" t="s">
        <v>8751</v>
      </c>
      <c r="G26" s="49" t="s">
        <v>9180</v>
      </c>
      <c r="H26" s="49" t="s">
        <v>8711</v>
      </c>
      <c r="I26" s="49" t="s">
        <v>237</v>
      </c>
      <c r="J26" s="49" t="s">
        <v>238</v>
      </c>
      <c r="K26" s="49" t="str">
        <f>IF($F$6="modified","Proposed increase in uncollected hourly emissions (lb/hr)","Proposed uncollected hourly emissions (lb/hr)")</f>
        <v>Proposed uncollected hourly emissions (lb/hr)</v>
      </c>
      <c r="L26" s="49" t="str">
        <f>IF($F$6="modified","Proposed increase in uncollected annual emissions (tpy)","Proposed uncollected annual emissions (tpy)")</f>
        <v>Proposed uncollected annual emissions (tpy)</v>
      </c>
      <c r="M26" s="49" t="s">
        <v>9282</v>
      </c>
      <c r="N26" s="117" t="s">
        <v>9283</v>
      </c>
    </row>
    <row r="27" spans="1:14" x14ac:dyDescent="0.2">
      <c r="A27" s="651"/>
      <c r="B27" s="615"/>
      <c r="C27" s="41"/>
      <c r="D27" s="41"/>
      <c r="E27" s="41"/>
      <c r="F27" s="16" t="s">
        <v>291</v>
      </c>
      <c r="G27" s="16">
        <v>1</v>
      </c>
      <c r="H27" s="16" t="str">
        <f>IF(A27="","",IF(VLOOKUP($A27,Products!$A$59:$H$159,2,FALSE)="","",VLOOKUP($A27,Products!$A$59:$H$159,2,FALSE)))</f>
        <v/>
      </c>
      <c r="I27" s="16" t="str">
        <f>IF(A27="","",IF(VLOOKUP($A27,Products!$A$59:$H$159,3,FALSE)="","",VLOOKUP($A27,Products!$A$59:$H$159,3,FALSE)))</f>
        <v/>
      </c>
      <c r="J27" s="16" t="str">
        <f>IF(A27="","",IF(VLOOKUP($A27,Products!$A$59:$H$159,4,FALSE)="","",VLOOKUP($A27,Products!$A$59:$H$159,4,FALSE)))</f>
        <v/>
      </c>
      <c r="K27" s="2" t="str">
        <f>IF(OR($A27="",C27="",$E27=""),"",((12.46*$F$21*$I27*$H27)/$F$22)*((C27*42)/1000)*(IF($E27="YES",(1-$F$20),1)))</f>
        <v/>
      </c>
      <c r="L27" s="2" t="str">
        <f>IF(OR($A27="",$D27="",$E27=""),"",((12.46*$F$21*$J27*$H27)/$F$23)*(($D27*42)/1000)*(1/2000)*(IF($E27="YES",(1-$F$20),1)))</f>
        <v/>
      </c>
      <c r="M27" s="2" t="str">
        <f>IF(OR($A27="",$C27="",$E27=""),"",((12.46*$F$21*$I27*$H27)/$F$22)*(($C27*42)/1000)*(IF($E27="YES",$F$20,0)))</f>
        <v/>
      </c>
      <c r="N27" s="12" t="str">
        <f>IF(OR($A27="",$D27="",$E27=""),"",((12.46*$F$21*$J27*$H27)/$F$23)*(($D27*42)/1000)*(1/2000)*(IF($E27="YES",$F$20,0)))</f>
        <v/>
      </c>
    </row>
    <row r="28" spans="1:14" x14ac:dyDescent="0.2">
      <c r="A28" s="627" t="str">
        <f>A27&amp;"A"</f>
        <v>A</v>
      </c>
      <c r="B28" s="628"/>
      <c r="C28" s="77" t="s">
        <v>9363</v>
      </c>
      <c r="D28" s="77" t="s">
        <v>9363</v>
      </c>
      <c r="E28" s="77">
        <f>E27</f>
        <v>0</v>
      </c>
      <c r="F28" s="16" t="str">
        <f>IF($A$27="","",IF(VLOOKUP($A27,Products!$A$59:$H$159,5,FALSE)="","",VLOOKUP($A27,Products!$A$59:$H$159,5,FALSE)))</f>
        <v/>
      </c>
      <c r="G28" s="16" t="str">
        <f>IF($A$27="","",IF(VLOOKUP($A27,Products!$A$59:$H$159,8,FALSE)="","",VLOOKUP($A27,Products!$A$59:$H$159,8,FALSE)))</f>
        <v/>
      </c>
      <c r="H28" s="77" t="s">
        <v>9363</v>
      </c>
      <c r="I28" s="77" t="s">
        <v>9363</v>
      </c>
      <c r="J28" s="77" t="s">
        <v>9363</v>
      </c>
      <c r="K28" s="2" t="str">
        <f>IF($K$27="","",IF($G28="","",K$27*$G28))</f>
        <v/>
      </c>
      <c r="L28" s="2" t="str">
        <f>IF($G28="","",L$27*$G28)</f>
        <v/>
      </c>
      <c r="M28" s="2" t="str">
        <f>IF($G28="","",M$27*$G28)</f>
        <v/>
      </c>
      <c r="N28" s="12" t="str">
        <f>IF($G28="","",N$27*$G28)</f>
        <v/>
      </c>
    </row>
    <row r="29" spans="1:14" x14ac:dyDescent="0.2">
      <c r="A29" s="627" t="str">
        <f t="shared" ref="A29:A37" si="0">A28&amp;"A"</f>
        <v>AA</v>
      </c>
      <c r="B29" s="628"/>
      <c r="C29" s="77" t="s">
        <v>9363</v>
      </c>
      <c r="D29" s="77" t="s">
        <v>9363</v>
      </c>
      <c r="E29" s="77">
        <f t="shared" ref="E29:E37" si="1">E28</f>
        <v>0</v>
      </c>
      <c r="F29" s="16" t="str">
        <f>IF($A$27="","",IF(VLOOKUP($A28,Products!$A$59:$H$159,5,FALSE)="","",VLOOKUP($A28,Products!$A$59:$H$159,5,FALSE)))</f>
        <v/>
      </c>
      <c r="G29" s="16" t="str">
        <f>IF($A$27="","",IF(VLOOKUP($A28,Products!$A$59:$H$159,8,FALSE)="","",VLOOKUP($A28,Products!$A$59:$H$159,8,FALSE)))</f>
        <v/>
      </c>
      <c r="H29" s="77" t="s">
        <v>9363</v>
      </c>
      <c r="I29" s="77" t="s">
        <v>9363</v>
      </c>
      <c r="J29" s="77" t="s">
        <v>9363</v>
      </c>
      <c r="K29" s="2" t="str">
        <f t="shared" ref="K29:K36" si="2">IF($K$27="","",IF($G29="","",K$27*$G29))</f>
        <v/>
      </c>
      <c r="L29" s="2" t="str">
        <f t="shared" ref="L29:N37" si="3">IF($G29="","",L$27*$G29)</f>
        <v/>
      </c>
      <c r="M29" s="2" t="str">
        <f t="shared" si="3"/>
        <v/>
      </c>
      <c r="N29" s="12" t="str">
        <f t="shared" si="3"/>
        <v/>
      </c>
    </row>
    <row r="30" spans="1:14" x14ac:dyDescent="0.2">
      <c r="A30" s="627" t="str">
        <f t="shared" si="0"/>
        <v>AAA</v>
      </c>
      <c r="B30" s="628"/>
      <c r="C30" s="77" t="s">
        <v>9363</v>
      </c>
      <c r="D30" s="77" t="s">
        <v>9363</v>
      </c>
      <c r="E30" s="77">
        <f t="shared" si="1"/>
        <v>0</v>
      </c>
      <c r="F30" s="16" t="str">
        <f>IF($A$27="","",IF(VLOOKUP($A29,Products!$A$59:$H$159,5,FALSE)="","",VLOOKUP($A29,Products!$A$59:$H$159,5,FALSE)))</f>
        <v/>
      </c>
      <c r="G30" s="16" t="str">
        <f>IF($A$27="","",IF(VLOOKUP($A29,Products!$A$59:$H$159,8,FALSE)="","",VLOOKUP($A29,Products!$A$59:$H$159,8,FALSE)))</f>
        <v/>
      </c>
      <c r="H30" s="77" t="s">
        <v>9363</v>
      </c>
      <c r="I30" s="77" t="s">
        <v>9363</v>
      </c>
      <c r="J30" s="77" t="s">
        <v>9363</v>
      </c>
      <c r="K30" s="2" t="str">
        <f t="shared" si="2"/>
        <v/>
      </c>
      <c r="L30" s="2" t="str">
        <f t="shared" si="3"/>
        <v/>
      </c>
      <c r="M30" s="2" t="str">
        <f t="shared" si="3"/>
        <v/>
      </c>
      <c r="N30" s="12" t="str">
        <f t="shared" si="3"/>
        <v/>
      </c>
    </row>
    <row r="31" spans="1:14" x14ac:dyDescent="0.2">
      <c r="A31" s="627" t="str">
        <f t="shared" si="0"/>
        <v>AAAA</v>
      </c>
      <c r="B31" s="628"/>
      <c r="C31" s="77" t="s">
        <v>9363</v>
      </c>
      <c r="D31" s="77" t="s">
        <v>9363</v>
      </c>
      <c r="E31" s="77">
        <f t="shared" si="1"/>
        <v>0</v>
      </c>
      <c r="F31" s="16" t="str">
        <f>IF($A$27="","",IF(VLOOKUP($A30,Products!$A$59:$H$159,5,FALSE)="","",VLOOKUP($A30,Products!$A$59:$H$159,5,FALSE)))</f>
        <v/>
      </c>
      <c r="G31" s="16" t="str">
        <f>IF($A$27="","",IF(VLOOKUP($A30,Products!$A$59:$H$159,8,FALSE)="","",VLOOKUP($A30,Products!$A$59:$H$159,8,FALSE)))</f>
        <v/>
      </c>
      <c r="H31" s="77" t="s">
        <v>9363</v>
      </c>
      <c r="I31" s="77" t="s">
        <v>9363</v>
      </c>
      <c r="J31" s="77" t="s">
        <v>9363</v>
      </c>
      <c r="K31" s="2" t="str">
        <f t="shared" si="2"/>
        <v/>
      </c>
      <c r="L31" s="2" t="str">
        <f t="shared" si="3"/>
        <v/>
      </c>
      <c r="M31" s="2" t="str">
        <f t="shared" si="3"/>
        <v/>
      </c>
      <c r="N31" s="12" t="str">
        <f>IF($G31="","",N$27*$G31)</f>
        <v/>
      </c>
    </row>
    <row r="32" spans="1:14" x14ac:dyDescent="0.2">
      <c r="A32" s="627" t="str">
        <f t="shared" si="0"/>
        <v>AAAAA</v>
      </c>
      <c r="B32" s="628"/>
      <c r="C32" s="77" t="s">
        <v>9363</v>
      </c>
      <c r="D32" s="77" t="s">
        <v>9363</v>
      </c>
      <c r="E32" s="77">
        <f t="shared" si="1"/>
        <v>0</v>
      </c>
      <c r="F32" s="16" t="str">
        <f>IF($A$27="","",IF(VLOOKUP($A31,Products!$A$59:$H$159,5,FALSE)="","",VLOOKUP($A31,Products!$A$59:$H$159,5,FALSE)))</f>
        <v/>
      </c>
      <c r="G32" s="16" t="str">
        <f>IF($A$27="","",IF(VLOOKUP($A31,Products!$A$59:$H$159,8,FALSE)="","",VLOOKUP($A31,Products!$A$59:$H$159,8,FALSE)))</f>
        <v/>
      </c>
      <c r="H32" s="77" t="s">
        <v>9363</v>
      </c>
      <c r="I32" s="77" t="s">
        <v>9363</v>
      </c>
      <c r="J32" s="77" t="s">
        <v>9363</v>
      </c>
      <c r="K32" s="2" t="str">
        <f t="shared" si="2"/>
        <v/>
      </c>
      <c r="L32" s="2" t="str">
        <f t="shared" si="3"/>
        <v/>
      </c>
      <c r="M32" s="2" t="str">
        <f t="shared" si="3"/>
        <v/>
      </c>
      <c r="N32" s="12" t="str">
        <f t="shared" si="3"/>
        <v/>
      </c>
    </row>
    <row r="33" spans="1:14" x14ac:dyDescent="0.2">
      <c r="A33" s="627" t="str">
        <f t="shared" si="0"/>
        <v>AAAAAA</v>
      </c>
      <c r="B33" s="628"/>
      <c r="C33" s="77" t="s">
        <v>9363</v>
      </c>
      <c r="D33" s="77" t="s">
        <v>9363</v>
      </c>
      <c r="E33" s="77">
        <f t="shared" si="1"/>
        <v>0</v>
      </c>
      <c r="F33" s="16" t="str">
        <f>IF($A$27="","",IF(VLOOKUP($A32,Products!$A$59:$H$159,5,FALSE)="","",VLOOKUP($A32,Products!$A$59:$H$159,5,FALSE)))</f>
        <v/>
      </c>
      <c r="G33" s="16" t="str">
        <f>IF($A$27="","",IF(VLOOKUP($A32,Products!$A$59:$H$159,8,FALSE)="","",VLOOKUP($A32,Products!$A$59:$H$159,8,FALSE)))</f>
        <v/>
      </c>
      <c r="H33" s="77" t="s">
        <v>9363</v>
      </c>
      <c r="I33" s="77" t="s">
        <v>9363</v>
      </c>
      <c r="J33" s="77" t="s">
        <v>9363</v>
      </c>
      <c r="K33" s="2" t="str">
        <f t="shared" si="2"/>
        <v/>
      </c>
      <c r="L33" s="2" t="str">
        <f t="shared" si="3"/>
        <v/>
      </c>
      <c r="M33" s="2" t="str">
        <f t="shared" si="3"/>
        <v/>
      </c>
      <c r="N33" s="12" t="str">
        <f t="shared" si="3"/>
        <v/>
      </c>
    </row>
    <row r="34" spans="1:14" x14ac:dyDescent="0.2">
      <c r="A34" s="627" t="str">
        <f t="shared" si="0"/>
        <v>AAAAAAA</v>
      </c>
      <c r="B34" s="628"/>
      <c r="C34" s="77" t="s">
        <v>9363</v>
      </c>
      <c r="D34" s="77" t="s">
        <v>9363</v>
      </c>
      <c r="E34" s="77">
        <f t="shared" si="1"/>
        <v>0</v>
      </c>
      <c r="F34" s="16" t="str">
        <f>IF($A$27="","",IF(VLOOKUP($A33,Products!$A$59:$H$159,5,FALSE)="","",VLOOKUP($A33,Products!$A$59:$H$159,5,FALSE)))</f>
        <v/>
      </c>
      <c r="G34" s="16" t="str">
        <f>IF($A$27="","",IF(VLOOKUP($A33,Products!$A$59:$H$159,8,FALSE)="","",VLOOKUP($A33,Products!$A$59:$H$159,8,FALSE)))</f>
        <v/>
      </c>
      <c r="H34" s="77" t="s">
        <v>9363</v>
      </c>
      <c r="I34" s="77" t="s">
        <v>9363</v>
      </c>
      <c r="J34" s="77" t="s">
        <v>9363</v>
      </c>
      <c r="K34" s="2" t="str">
        <f t="shared" si="2"/>
        <v/>
      </c>
      <c r="L34" s="2" t="str">
        <f t="shared" si="3"/>
        <v/>
      </c>
      <c r="M34" s="2" t="str">
        <f t="shared" si="3"/>
        <v/>
      </c>
      <c r="N34" s="12" t="str">
        <f t="shared" si="3"/>
        <v/>
      </c>
    </row>
    <row r="35" spans="1:14" x14ac:dyDescent="0.2">
      <c r="A35" s="627" t="str">
        <f t="shared" si="0"/>
        <v>AAAAAAAA</v>
      </c>
      <c r="B35" s="628"/>
      <c r="C35" s="77" t="s">
        <v>9363</v>
      </c>
      <c r="D35" s="77" t="s">
        <v>9363</v>
      </c>
      <c r="E35" s="77">
        <f t="shared" si="1"/>
        <v>0</v>
      </c>
      <c r="F35" s="16" t="str">
        <f>IF($A$27="","",IF(VLOOKUP($A34,Products!$A$59:$H$159,5,FALSE)="","",VLOOKUP($A34,Products!$A$59:$H$159,5,FALSE)))</f>
        <v/>
      </c>
      <c r="G35" s="16" t="str">
        <f>IF($A$27="","",IF(VLOOKUP($A34,Products!$A$59:$H$159,8,FALSE)="","",VLOOKUP($A34,Products!$A$59:$H$159,8,FALSE)))</f>
        <v/>
      </c>
      <c r="H35" s="77" t="s">
        <v>9363</v>
      </c>
      <c r="I35" s="77" t="s">
        <v>9363</v>
      </c>
      <c r="J35" s="77" t="s">
        <v>9363</v>
      </c>
      <c r="K35" s="2" t="str">
        <f>IF($K$27="","",IF($G35="","",K$27*$G35))</f>
        <v/>
      </c>
      <c r="L35" s="2" t="str">
        <f t="shared" si="3"/>
        <v/>
      </c>
      <c r="M35" s="2" t="str">
        <f t="shared" si="3"/>
        <v/>
      </c>
      <c r="N35" s="12" t="str">
        <f>IF($G35="","",N$27*$G35)</f>
        <v/>
      </c>
    </row>
    <row r="36" spans="1:14" x14ac:dyDescent="0.2">
      <c r="A36" s="627" t="str">
        <f t="shared" si="0"/>
        <v>AAAAAAAAA</v>
      </c>
      <c r="B36" s="628"/>
      <c r="C36" s="77" t="s">
        <v>9363</v>
      </c>
      <c r="D36" s="77" t="s">
        <v>9363</v>
      </c>
      <c r="E36" s="77">
        <f t="shared" si="1"/>
        <v>0</v>
      </c>
      <c r="F36" s="16" t="str">
        <f>IF($A$27="","",IF(VLOOKUP($A35,Products!$A$59:$H$159,5,FALSE)="","",VLOOKUP($A35,Products!$A$59:$H$159,5,FALSE)))</f>
        <v/>
      </c>
      <c r="G36" s="16" t="str">
        <f>IF($A$27="","",IF(VLOOKUP($A35,Products!$A$59:$H$159,8,FALSE)="","",VLOOKUP($A35,Products!$A$59:$H$159,8,FALSE)))</f>
        <v/>
      </c>
      <c r="H36" s="77" t="s">
        <v>9363</v>
      </c>
      <c r="I36" s="77" t="s">
        <v>9363</v>
      </c>
      <c r="J36" s="77" t="s">
        <v>9363</v>
      </c>
      <c r="K36" s="2" t="str">
        <f t="shared" si="2"/>
        <v/>
      </c>
      <c r="L36" s="2" t="str">
        <f>IF($G36="","",L$27*$G36)</f>
        <v/>
      </c>
      <c r="M36" s="2" t="str">
        <f t="shared" si="3"/>
        <v/>
      </c>
      <c r="N36" s="12" t="str">
        <f t="shared" si="3"/>
        <v/>
      </c>
    </row>
    <row r="37" spans="1:14" x14ac:dyDescent="0.2">
      <c r="A37" s="627" t="str">
        <f t="shared" si="0"/>
        <v>AAAAAAAAAA</v>
      </c>
      <c r="B37" s="628"/>
      <c r="C37" s="77" t="s">
        <v>9363</v>
      </c>
      <c r="D37" s="77" t="s">
        <v>9363</v>
      </c>
      <c r="E37" s="77">
        <f t="shared" si="1"/>
        <v>0</v>
      </c>
      <c r="F37" s="16" t="str">
        <f>IF($A$27="","",IF(VLOOKUP($A36,Products!$A$59:$H$159,5,FALSE)="","",VLOOKUP($A36,Products!$A$59:$H$159,5,FALSE)))</f>
        <v/>
      </c>
      <c r="G37" s="16" t="str">
        <f>IF($A$27="","",IF(VLOOKUP($A36,Products!$A$59:$H$159,8,FALSE)="","",VLOOKUP($A36,Products!$A$59:$H$159,8,FALSE)))</f>
        <v/>
      </c>
      <c r="H37" s="77" t="s">
        <v>9363</v>
      </c>
      <c r="I37" s="77" t="s">
        <v>9363</v>
      </c>
      <c r="J37" s="77" t="s">
        <v>9363</v>
      </c>
      <c r="K37" s="2" t="str">
        <f>IF($K$27="","",IF($G37="","",K$27*$G37))</f>
        <v/>
      </c>
      <c r="L37" s="2" t="str">
        <f t="shared" si="3"/>
        <v/>
      </c>
      <c r="M37" s="2" t="str">
        <f t="shared" si="3"/>
        <v/>
      </c>
      <c r="N37" s="12" t="str">
        <f t="shared" si="3"/>
        <v/>
      </c>
    </row>
    <row r="38" spans="1:14" x14ac:dyDescent="0.2">
      <c r="A38" s="651"/>
      <c r="B38" s="615"/>
      <c r="C38" s="41"/>
      <c r="D38" s="41"/>
      <c r="E38" s="41"/>
      <c r="F38" s="16" t="s">
        <v>291</v>
      </c>
      <c r="G38" s="16">
        <v>1</v>
      </c>
      <c r="H38" s="16" t="str">
        <f>IF(A38="","",IF(VLOOKUP($A38,Products!$A$59:$H$159,2,FALSE)="","",VLOOKUP($A38,Products!$A$59:$H$159,2,FALSE)))</f>
        <v/>
      </c>
      <c r="I38" s="16" t="str">
        <f>IF(A38="","",IF(VLOOKUP($A38,Products!$A$59:$H$159,3,FALSE)="","",VLOOKUP($A38,Products!$A$59:$H$159,3,FALSE)))</f>
        <v/>
      </c>
      <c r="J38" s="16" t="str">
        <f>IF(A38="","",IF(VLOOKUP($A38,Products!$A$59:$H$159,4,FALSE)="","",VLOOKUP($A38,Products!$A$59:$H$159,4,FALSE)))</f>
        <v/>
      </c>
      <c r="K38" s="2" t="str">
        <f>IF(OR($A38="",C38="",$E38=""),"",((12.46*$F$21*$I38*$H38)/$F$22)*((C38*42)/1000)*(IF($E38="YES",(1-$F$20),1)))</f>
        <v/>
      </c>
      <c r="L38" s="2" t="str">
        <f>IF(OR($A38="",$D38="",$E38=""),"",((12.46*$F$21*$J38*$H38)/$F$23)*(($D38*42)/1000)*(1/2000)*(IF($E38="YES",(1-$F$20),1)))</f>
        <v/>
      </c>
      <c r="M38" s="2" t="str">
        <f>IF(OR($A38="",$C38="",$E38=""),"",((12.46*$F$21*$I38*$H38)/$F$22)*(($C38*42)/1000)*(IF($E38="YES",$F$20,0)))</f>
        <v/>
      </c>
      <c r="N38" s="12" t="str">
        <f>IF(OR($A38="",$D38="",$E38=""),"",((12.46*$F$21*$J38*$H38)/$F$23)*(($D38*42)/1000)*(1/2000)*(IF($E38="YES",$F$20,0)))</f>
        <v/>
      </c>
    </row>
    <row r="39" spans="1:14" x14ac:dyDescent="0.2">
      <c r="A39" s="627" t="str">
        <f t="shared" ref="A39:A48" si="4">A38&amp;"A"</f>
        <v>A</v>
      </c>
      <c r="B39" s="628"/>
      <c r="C39" s="77" t="s">
        <v>9363</v>
      </c>
      <c r="D39" s="77" t="s">
        <v>9363</v>
      </c>
      <c r="E39" s="77">
        <f>E38</f>
        <v>0</v>
      </c>
      <c r="F39" s="16" t="str">
        <f>IF($A$38="","",IF(VLOOKUP($A38,Products!$A$59:$H$159,5,FALSE)="","",VLOOKUP($A38,Products!$A$59:$H$159,5,FALSE)))</f>
        <v/>
      </c>
      <c r="G39" s="16" t="str">
        <f>IF($A$38="","",IF(VLOOKUP($A38,Products!$A$59:$H$159,8,FALSE)="","",VLOOKUP($A38,Products!$A$59:$H$159,8,FALSE)))</f>
        <v/>
      </c>
      <c r="H39" s="77" t="s">
        <v>9363</v>
      </c>
      <c r="I39" s="77" t="s">
        <v>9363</v>
      </c>
      <c r="J39" s="77" t="s">
        <v>9363</v>
      </c>
      <c r="K39" s="2" t="str">
        <f>IF($G39="","",K$38*$G39)</f>
        <v/>
      </c>
      <c r="L39" s="2" t="str">
        <f t="shared" ref="L39:N48" si="5">IF($G39="","",L$38*$G39)</f>
        <v/>
      </c>
      <c r="M39" s="2" t="str">
        <f t="shared" si="5"/>
        <v/>
      </c>
      <c r="N39" s="12" t="str">
        <f t="shared" si="5"/>
        <v/>
      </c>
    </row>
    <row r="40" spans="1:14" x14ac:dyDescent="0.2">
      <c r="A40" s="627" t="str">
        <f t="shared" si="4"/>
        <v>AA</v>
      </c>
      <c r="B40" s="628"/>
      <c r="C40" s="77" t="s">
        <v>9363</v>
      </c>
      <c r="D40" s="77" t="s">
        <v>9363</v>
      </c>
      <c r="E40" s="77">
        <f t="shared" ref="E40:E48" si="6">E39</f>
        <v>0</v>
      </c>
      <c r="F40" s="16" t="str">
        <f>IF($A$38="","",IF(VLOOKUP($A39,Products!$A$59:$H$159,5,FALSE)="","",VLOOKUP($A39,Products!$A$59:$H$159,5,FALSE)))</f>
        <v/>
      </c>
      <c r="G40" s="16" t="str">
        <f>IF($A$38="","",IF(VLOOKUP($A39,Products!$A$59:$H$159,8,FALSE)="","",VLOOKUP($A39,Products!$A$59:$H$159,8,FALSE)))</f>
        <v/>
      </c>
      <c r="H40" s="77" t="s">
        <v>9363</v>
      </c>
      <c r="I40" s="77" t="s">
        <v>9363</v>
      </c>
      <c r="J40" s="77" t="s">
        <v>9363</v>
      </c>
      <c r="K40" s="2" t="str">
        <f t="shared" ref="K40:K48" si="7">IF($G40="","",K$38*$G40)</f>
        <v/>
      </c>
      <c r="L40" s="2" t="str">
        <f t="shared" si="5"/>
        <v/>
      </c>
      <c r="M40" s="2" t="str">
        <f t="shared" si="5"/>
        <v/>
      </c>
      <c r="N40" s="12" t="str">
        <f t="shared" si="5"/>
        <v/>
      </c>
    </row>
    <row r="41" spans="1:14" x14ac:dyDescent="0.2">
      <c r="A41" s="627" t="str">
        <f t="shared" si="4"/>
        <v>AAA</v>
      </c>
      <c r="B41" s="628"/>
      <c r="C41" s="77" t="s">
        <v>9363</v>
      </c>
      <c r="D41" s="77" t="s">
        <v>9363</v>
      </c>
      <c r="E41" s="77">
        <f t="shared" si="6"/>
        <v>0</v>
      </c>
      <c r="F41" s="16" t="str">
        <f>IF($A$38="","",IF(VLOOKUP($A40,Products!$A$59:$H$159,5,FALSE)="","",VLOOKUP($A40,Products!$A$59:$H$159,5,FALSE)))</f>
        <v/>
      </c>
      <c r="G41" s="16" t="str">
        <f>IF($A$38="","",IF(VLOOKUP($A40,Products!$A$59:$H$159,8,FALSE)="","",VLOOKUP($A40,Products!$A$59:$H$159,8,FALSE)))</f>
        <v/>
      </c>
      <c r="H41" s="77" t="s">
        <v>9363</v>
      </c>
      <c r="I41" s="77" t="s">
        <v>9363</v>
      </c>
      <c r="J41" s="77" t="s">
        <v>9363</v>
      </c>
      <c r="K41" s="2" t="str">
        <f t="shared" si="7"/>
        <v/>
      </c>
      <c r="L41" s="2" t="str">
        <f t="shared" si="5"/>
        <v/>
      </c>
      <c r="M41" s="2" t="str">
        <f t="shared" si="5"/>
        <v/>
      </c>
      <c r="N41" s="12" t="str">
        <f t="shared" si="5"/>
        <v/>
      </c>
    </row>
    <row r="42" spans="1:14" x14ac:dyDescent="0.2">
      <c r="A42" s="627" t="str">
        <f t="shared" si="4"/>
        <v>AAAA</v>
      </c>
      <c r="B42" s="628"/>
      <c r="C42" s="77" t="s">
        <v>9363</v>
      </c>
      <c r="D42" s="77" t="s">
        <v>9363</v>
      </c>
      <c r="E42" s="77">
        <f t="shared" si="6"/>
        <v>0</v>
      </c>
      <c r="F42" s="16" t="str">
        <f>IF($A$38="","",IF(VLOOKUP($A41,Products!$A$59:$H$159,5,FALSE)="","",VLOOKUP($A41,Products!$A$59:$H$159,5,FALSE)))</f>
        <v/>
      </c>
      <c r="G42" s="16" t="str">
        <f>IF($A$38="","",IF(VLOOKUP($A41,Products!$A$59:$H$159,8,FALSE)="","",VLOOKUP($A41,Products!$A$59:$H$159,8,FALSE)))</f>
        <v/>
      </c>
      <c r="H42" s="77" t="s">
        <v>9363</v>
      </c>
      <c r="I42" s="77" t="s">
        <v>9363</v>
      </c>
      <c r="J42" s="77" t="s">
        <v>9363</v>
      </c>
      <c r="K42" s="2" t="str">
        <f t="shared" si="7"/>
        <v/>
      </c>
      <c r="L42" s="2" t="str">
        <f t="shared" si="5"/>
        <v/>
      </c>
      <c r="M42" s="2" t="str">
        <f t="shared" si="5"/>
        <v/>
      </c>
      <c r="N42" s="12" t="str">
        <f t="shared" si="5"/>
        <v/>
      </c>
    </row>
    <row r="43" spans="1:14" x14ac:dyDescent="0.2">
      <c r="A43" s="627" t="str">
        <f t="shared" si="4"/>
        <v>AAAAA</v>
      </c>
      <c r="B43" s="628"/>
      <c r="C43" s="77" t="s">
        <v>9363</v>
      </c>
      <c r="D43" s="77" t="s">
        <v>9363</v>
      </c>
      <c r="E43" s="77">
        <f t="shared" si="6"/>
        <v>0</v>
      </c>
      <c r="F43" s="16" t="str">
        <f>IF($A$38="","",IF(VLOOKUP($A42,Products!$A$59:$H$159,5,FALSE)="","",VLOOKUP($A42,Products!$A$59:$H$159,5,FALSE)))</f>
        <v/>
      </c>
      <c r="G43" s="16" t="str">
        <f>IF($A$38="","",IF(VLOOKUP($A42,Products!$A$59:$H$159,8,FALSE)="","",VLOOKUP($A42,Products!$A$59:$H$159,8,FALSE)))</f>
        <v/>
      </c>
      <c r="H43" s="77" t="s">
        <v>9363</v>
      </c>
      <c r="I43" s="77" t="s">
        <v>9363</v>
      </c>
      <c r="J43" s="77" t="s">
        <v>9363</v>
      </c>
      <c r="K43" s="2" t="str">
        <f t="shared" si="7"/>
        <v/>
      </c>
      <c r="L43" s="2" t="str">
        <f t="shared" si="5"/>
        <v/>
      </c>
      <c r="M43" s="2" t="str">
        <f t="shared" si="5"/>
        <v/>
      </c>
      <c r="N43" s="12" t="str">
        <f t="shared" si="5"/>
        <v/>
      </c>
    </row>
    <row r="44" spans="1:14" x14ac:dyDescent="0.2">
      <c r="A44" s="627" t="str">
        <f t="shared" si="4"/>
        <v>AAAAAA</v>
      </c>
      <c r="B44" s="628"/>
      <c r="C44" s="77" t="s">
        <v>9363</v>
      </c>
      <c r="D44" s="77" t="s">
        <v>9363</v>
      </c>
      <c r="E44" s="77">
        <f t="shared" si="6"/>
        <v>0</v>
      </c>
      <c r="F44" s="16" t="str">
        <f>IF($A$38="","",IF(VLOOKUP($A43,Products!$A$59:$H$159,5,FALSE)="","",VLOOKUP($A43,Products!$A$59:$H$159,5,FALSE)))</f>
        <v/>
      </c>
      <c r="G44" s="16" t="str">
        <f>IF($A$38="","",IF(VLOOKUP($A43,Products!$A$59:$H$159,8,FALSE)="","",VLOOKUP($A43,Products!$A$59:$H$159,8,FALSE)))</f>
        <v/>
      </c>
      <c r="H44" s="77" t="s">
        <v>9363</v>
      </c>
      <c r="I44" s="77" t="s">
        <v>9363</v>
      </c>
      <c r="J44" s="77" t="s">
        <v>9363</v>
      </c>
      <c r="K44" s="2" t="str">
        <f t="shared" si="7"/>
        <v/>
      </c>
      <c r="L44" s="2" t="str">
        <f t="shared" si="5"/>
        <v/>
      </c>
      <c r="M44" s="2" t="str">
        <f t="shared" si="5"/>
        <v/>
      </c>
      <c r="N44" s="12" t="str">
        <f t="shared" si="5"/>
        <v/>
      </c>
    </row>
    <row r="45" spans="1:14" x14ac:dyDescent="0.2">
      <c r="A45" s="627" t="str">
        <f t="shared" si="4"/>
        <v>AAAAAAA</v>
      </c>
      <c r="B45" s="628"/>
      <c r="C45" s="77" t="s">
        <v>9363</v>
      </c>
      <c r="D45" s="77" t="s">
        <v>9363</v>
      </c>
      <c r="E45" s="77">
        <f t="shared" si="6"/>
        <v>0</v>
      </c>
      <c r="F45" s="16" t="str">
        <f>IF($A$38="","",IF(VLOOKUP($A44,Products!$A$59:$H$159,5,FALSE)="","",VLOOKUP($A44,Products!$A$59:$H$159,5,FALSE)))</f>
        <v/>
      </c>
      <c r="G45" s="16" t="str">
        <f>IF($A$38="","",IF(VLOOKUP($A44,Products!$A$59:$H$159,8,FALSE)="","",VLOOKUP($A44,Products!$A$59:$H$159,8,FALSE)))</f>
        <v/>
      </c>
      <c r="H45" s="77" t="s">
        <v>9363</v>
      </c>
      <c r="I45" s="77" t="s">
        <v>9363</v>
      </c>
      <c r="J45" s="77" t="s">
        <v>9363</v>
      </c>
      <c r="K45" s="2" t="str">
        <f t="shared" si="7"/>
        <v/>
      </c>
      <c r="L45" s="2" t="str">
        <f t="shared" si="5"/>
        <v/>
      </c>
      <c r="M45" s="2" t="str">
        <f t="shared" si="5"/>
        <v/>
      </c>
      <c r="N45" s="12" t="str">
        <f t="shared" si="5"/>
        <v/>
      </c>
    </row>
    <row r="46" spans="1:14" x14ac:dyDescent="0.2">
      <c r="A46" s="627" t="str">
        <f t="shared" si="4"/>
        <v>AAAAAAAA</v>
      </c>
      <c r="B46" s="628"/>
      <c r="C46" s="77" t="s">
        <v>9363</v>
      </c>
      <c r="D46" s="77" t="s">
        <v>9363</v>
      </c>
      <c r="E46" s="77">
        <f t="shared" si="6"/>
        <v>0</v>
      </c>
      <c r="F46" s="16" t="str">
        <f>IF($A$38="","",IF(VLOOKUP($A45,Products!$A$59:$H$159,5,FALSE)="","",VLOOKUP($A45,Products!$A$59:$H$159,5,FALSE)))</f>
        <v/>
      </c>
      <c r="G46" s="16" t="str">
        <f>IF($A$38="","",IF(VLOOKUP($A45,Products!$A$59:$H$159,8,FALSE)="","",VLOOKUP($A45,Products!$A$59:$H$159,8,FALSE)))</f>
        <v/>
      </c>
      <c r="H46" s="77" t="s">
        <v>9363</v>
      </c>
      <c r="I46" s="77" t="s">
        <v>9363</v>
      </c>
      <c r="J46" s="77" t="s">
        <v>9363</v>
      </c>
      <c r="K46" s="2" t="str">
        <f t="shared" si="7"/>
        <v/>
      </c>
      <c r="L46" s="2" t="str">
        <f t="shared" si="5"/>
        <v/>
      </c>
      <c r="M46" s="2" t="str">
        <f t="shared" si="5"/>
        <v/>
      </c>
      <c r="N46" s="12" t="str">
        <f t="shared" si="5"/>
        <v/>
      </c>
    </row>
    <row r="47" spans="1:14" x14ac:dyDescent="0.2">
      <c r="A47" s="627" t="str">
        <f t="shared" si="4"/>
        <v>AAAAAAAAA</v>
      </c>
      <c r="B47" s="628"/>
      <c r="C47" s="77" t="s">
        <v>9363</v>
      </c>
      <c r="D47" s="77" t="s">
        <v>9363</v>
      </c>
      <c r="E47" s="77">
        <f t="shared" si="6"/>
        <v>0</v>
      </c>
      <c r="F47" s="16" t="str">
        <f>IF($A$38="","",IF(VLOOKUP($A46,Products!$A$59:$H$159,5,FALSE)="","",VLOOKUP($A46,Products!$A$59:$H$159,5,FALSE)))</f>
        <v/>
      </c>
      <c r="G47" s="16" t="str">
        <f>IF($A$38="","",IF(VLOOKUP($A46,Products!$A$59:$H$159,8,FALSE)="","",VLOOKUP($A46,Products!$A$59:$H$159,8,FALSE)))</f>
        <v/>
      </c>
      <c r="H47" s="77" t="s">
        <v>9363</v>
      </c>
      <c r="I47" s="77" t="s">
        <v>9363</v>
      </c>
      <c r="J47" s="77" t="s">
        <v>9363</v>
      </c>
      <c r="K47" s="2" t="str">
        <f t="shared" si="7"/>
        <v/>
      </c>
      <c r="L47" s="2" t="str">
        <f t="shared" si="5"/>
        <v/>
      </c>
      <c r="M47" s="2" t="str">
        <f t="shared" si="5"/>
        <v/>
      </c>
      <c r="N47" s="12" t="str">
        <f t="shared" si="5"/>
        <v/>
      </c>
    </row>
    <row r="48" spans="1:14" x14ac:dyDescent="0.2">
      <c r="A48" s="627" t="str">
        <f t="shared" si="4"/>
        <v>AAAAAAAAAA</v>
      </c>
      <c r="B48" s="628"/>
      <c r="C48" s="77" t="s">
        <v>9363</v>
      </c>
      <c r="D48" s="77" t="s">
        <v>9363</v>
      </c>
      <c r="E48" s="77">
        <f t="shared" si="6"/>
        <v>0</v>
      </c>
      <c r="F48" s="16" t="str">
        <f>IF($A$38="","",IF(VLOOKUP($A47,Products!$A$59:$H$159,5,FALSE)="","",VLOOKUP($A47,Products!$A$59:$H$159,5,FALSE)))</f>
        <v/>
      </c>
      <c r="G48" s="16" t="str">
        <f>IF($A$38="","",IF(VLOOKUP($A47,Products!$A$59:$H$159,8,FALSE)="","",VLOOKUP($A47,Products!$A$59:$H$159,8,FALSE)))</f>
        <v/>
      </c>
      <c r="H48" s="77" t="s">
        <v>9363</v>
      </c>
      <c r="I48" s="77" t="s">
        <v>9363</v>
      </c>
      <c r="J48" s="77" t="s">
        <v>9363</v>
      </c>
      <c r="K48" s="2" t="str">
        <f t="shared" si="7"/>
        <v/>
      </c>
      <c r="L48" s="2" t="str">
        <f t="shared" si="5"/>
        <v/>
      </c>
      <c r="M48" s="2" t="str">
        <f t="shared" si="5"/>
        <v/>
      </c>
      <c r="N48" s="12" t="str">
        <f t="shared" si="5"/>
        <v/>
      </c>
    </row>
    <row r="49" spans="1:14" x14ac:dyDescent="0.2">
      <c r="A49" s="651"/>
      <c r="B49" s="615"/>
      <c r="C49" s="41"/>
      <c r="D49" s="41"/>
      <c r="E49" s="41"/>
      <c r="F49" s="16" t="s">
        <v>291</v>
      </c>
      <c r="G49" s="16">
        <v>1</v>
      </c>
      <c r="H49" s="16" t="str">
        <f>IF(A49="","",IF(VLOOKUP($A49,Products!$A$59:$H$159,2,FALSE)="","",VLOOKUP($A49,Products!$A$59:$H$159,2,FALSE)))</f>
        <v/>
      </c>
      <c r="I49" s="16" t="str">
        <f>IF(A49="","",IF(VLOOKUP($A49,Products!$A$59:$H$159,3,FALSE)="","",VLOOKUP($A49,Products!$A$59:$H$159,3,FALSE)))</f>
        <v/>
      </c>
      <c r="J49" s="16" t="str">
        <f>IF(A49="","",IF(VLOOKUP($A49,Products!$A$59:$H$159,4,FALSE)="","",VLOOKUP($A49,Products!$A$59:$H$159,4,FALSE)))</f>
        <v/>
      </c>
      <c r="K49" s="2" t="str">
        <f>IF(OR($A49="",C49="",$E49=""),"",((12.46*$F$21*$I49*$H49)/$F$22)*((C49*42)/1000)*(IF($E49="YES",(1-$F$20),1)))</f>
        <v/>
      </c>
      <c r="L49" s="2" t="str">
        <f>IF(OR($A49="",$D49="",$E49=""),"",((12.46*$F$21*$J49*$H49)/$F$23)*(($D49*42)/1000)*(1/2000)*(IF($E49="YES",(1-$F$20),1)))</f>
        <v/>
      </c>
      <c r="M49" s="2" t="str">
        <f>IF(OR($A49="",$C49="",$E49=""),"",((12.46*$F$21*$I49*$H49)/$F$22)*(($C49*42)/1000)*(IF($E49="YES",$F$20,0)))</f>
        <v/>
      </c>
      <c r="N49" s="12" t="str">
        <f>IF(OR($A49="",$D49="",$E49=""),"",((12.46*$F$21*$J49*$H49)/$F$23)*(($D49*42)/1000)*(1/2000)*(IF($E49="YES",$F$20,0)))</f>
        <v/>
      </c>
    </row>
    <row r="50" spans="1:14" x14ac:dyDescent="0.2">
      <c r="A50" s="627" t="str">
        <f t="shared" ref="A50:A59" si="8">A49&amp;"A"</f>
        <v>A</v>
      </c>
      <c r="B50" s="628"/>
      <c r="C50" s="77" t="s">
        <v>9363</v>
      </c>
      <c r="D50" s="77" t="s">
        <v>9363</v>
      </c>
      <c r="E50" s="77">
        <f>E49</f>
        <v>0</v>
      </c>
      <c r="F50" s="16" t="str">
        <f>IF($A$49="","",IF(VLOOKUP($A49,Products!$A$59:$H$159,5,FALSE)="","",VLOOKUP($A49,Products!$A$59:$H$159,5,FALSE)))</f>
        <v/>
      </c>
      <c r="G50" s="16" t="str">
        <f>IF($A$49="","",IF(VLOOKUP($A49,Products!$A$59:$H$159,8,FALSE)="","",VLOOKUP($A49,Products!$A$59:$H$159,8,FALSE)))</f>
        <v/>
      </c>
      <c r="H50" s="77" t="s">
        <v>9363</v>
      </c>
      <c r="I50" s="77" t="s">
        <v>9363</v>
      </c>
      <c r="J50" s="77" t="s">
        <v>9363</v>
      </c>
      <c r="K50" s="2" t="str">
        <f>IF($G50="","",K$49*$G50)</f>
        <v/>
      </c>
      <c r="L50" s="2" t="str">
        <f>IF($G50="","",L$49*$G50)</f>
        <v/>
      </c>
      <c r="M50" s="2" t="str">
        <f>IF($G50="","",M$49*$G50)</f>
        <v/>
      </c>
      <c r="N50" s="12" t="str">
        <f>IF($G50="","",N$49*$G50)</f>
        <v/>
      </c>
    </row>
    <row r="51" spans="1:14" x14ac:dyDescent="0.2">
      <c r="A51" s="627" t="str">
        <f t="shared" si="8"/>
        <v>AA</v>
      </c>
      <c r="B51" s="628"/>
      <c r="C51" s="77" t="s">
        <v>9363</v>
      </c>
      <c r="D51" s="77" t="s">
        <v>9363</v>
      </c>
      <c r="E51" s="77">
        <f t="shared" ref="E51:E59" si="9">E50</f>
        <v>0</v>
      </c>
      <c r="F51" s="16" t="str">
        <f>IF($A$49="","",IF(VLOOKUP($A50,Products!$A$59:$H$159,5,FALSE)="","",VLOOKUP($A50,Products!$A$59:$H$159,5,FALSE)))</f>
        <v/>
      </c>
      <c r="G51" s="16" t="str">
        <f>IF($A$49="","",IF(VLOOKUP($A50,Products!$A$59:$H$159,8,FALSE)="","",VLOOKUP($A50,Products!$A$59:$H$159,8,FALSE)))</f>
        <v/>
      </c>
      <c r="H51" s="77" t="s">
        <v>9363</v>
      </c>
      <c r="I51" s="77" t="s">
        <v>9363</v>
      </c>
      <c r="J51" s="77" t="s">
        <v>9363</v>
      </c>
      <c r="K51" s="2" t="str">
        <f t="shared" ref="K51:N59" si="10">IF($G51="","",K$49*$G51)</f>
        <v/>
      </c>
      <c r="L51" s="2" t="str">
        <f t="shared" si="10"/>
        <v/>
      </c>
      <c r="M51" s="2" t="str">
        <f t="shared" si="10"/>
        <v/>
      </c>
      <c r="N51" s="12" t="str">
        <f t="shared" si="10"/>
        <v/>
      </c>
    </row>
    <row r="52" spans="1:14" x14ac:dyDescent="0.2">
      <c r="A52" s="627" t="str">
        <f t="shared" si="8"/>
        <v>AAA</v>
      </c>
      <c r="B52" s="628"/>
      <c r="C52" s="77" t="s">
        <v>9363</v>
      </c>
      <c r="D52" s="77" t="s">
        <v>9363</v>
      </c>
      <c r="E52" s="77">
        <f t="shared" si="9"/>
        <v>0</v>
      </c>
      <c r="F52" s="16" t="str">
        <f>IF($A$49="","",IF(VLOOKUP($A51,Products!$A$59:$H$159,5,FALSE)="","",VLOOKUP($A51,Products!$A$59:$H$159,5,FALSE)))</f>
        <v/>
      </c>
      <c r="G52" s="16" t="str">
        <f>IF($A$49="","",IF(VLOOKUP($A51,Products!$A$59:$H$159,8,FALSE)="","",VLOOKUP($A51,Products!$A$59:$H$159,8,FALSE)))</f>
        <v/>
      </c>
      <c r="H52" s="77" t="s">
        <v>9363</v>
      </c>
      <c r="I52" s="77" t="s">
        <v>9363</v>
      </c>
      <c r="J52" s="77" t="s">
        <v>9363</v>
      </c>
      <c r="K52" s="2" t="str">
        <f t="shared" si="10"/>
        <v/>
      </c>
      <c r="L52" s="2" t="str">
        <f t="shared" si="10"/>
        <v/>
      </c>
      <c r="M52" s="2" t="str">
        <f t="shared" si="10"/>
        <v/>
      </c>
      <c r="N52" s="12" t="str">
        <f t="shared" si="10"/>
        <v/>
      </c>
    </row>
    <row r="53" spans="1:14" x14ac:dyDescent="0.2">
      <c r="A53" s="627" t="str">
        <f t="shared" si="8"/>
        <v>AAAA</v>
      </c>
      <c r="B53" s="628"/>
      <c r="C53" s="77" t="s">
        <v>9363</v>
      </c>
      <c r="D53" s="77" t="s">
        <v>9363</v>
      </c>
      <c r="E53" s="77">
        <f t="shared" si="9"/>
        <v>0</v>
      </c>
      <c r="F53" s="16" t="str">
        <f>IF($A$49="","",IF(VLOOKUP($A52,Products!$A$59:$H$159,5,FALSE)="","",VLOOKUP($A52,Products!$A$59:$H$159,5,FALSE)))</f>
        <v/>
      </c>
      <c r="G53" s="16" t="str">
        <f>IF($A$49="","",IF(VLOOKUP($A52,Products!$A$59:$H$159,8,FALSE)="","",VLOOKUP($A52,Products!$A$59:$H$159,8,FALSE)))</f>
        <v/>
      </c>
      <c r="H53" s="77" t="s">
        <v>9363</v>
      </c>
      <c r="I53" s="77" t="s">
        <v>9363</v>
      </c>
      <c r="J53" s="77" t="s">
        <v>9363</v>
      </c>
      <c r="K53" s="2" t="str">
        <f t="shared" si="10"/>
        <v/>
      </c>
      <c r="L53" s="2" t="str">
        <f t="shared" si="10"/>
        <v/>
      </c>
      <c r="M53" s="2" t="str">
        <f t="shared" si="10"/>
        <v/>
      </c>
      <c r="N53" s="12" t="str">
        <f t="shared" si="10"/>
        <v/>
      </c>
    </row>
    <row r="54" spans="1:14" x14ac:dyDescent="0.2">
      <c r="A54" s="627" t="str">
        <f t="shared" si="8"/>
        <v>AAAAA</v>
      </c>
      <c r="B54" s="628"/>
      <c r="C54" s="77" t="s">
        <v>9363</v>
      </c>
      <c r="D54" s="77" t="s">
        <v>9363</v>
      </c>
      <c r="E54" s="77">
        <f t="shared" si="9"/>
        <v>0</v>
      </c>
      <c r="F54" s="16" t="str">
        <f>IF($A$49="","",IF(VLOOKUP($A53,Products!$A$59:$H$159,5,FALSE)="","",VLOOKUP($A53,Products!$A$59:$H$159,5,FALSE)))</f>
        <v/>
      </c>
      <c r="G54" s="16" t="str">
        <f>IF($A$49="","",IF(VLOOKUP($A53,Products!$A$59:$H$159,8,FALSE)="","",VLOOKUP($A53,Products!$A$59:$H$159,8,FALSE)))</f>
        <v/>
      </c>
      <c r="H54" s="77" t="s">
        <v>9363</v>
      </c>
      <c r="I54" s="77" t="s">
        <v>9363</v>
      </c>
      <c r="J54" s="77" t="s">
        <v>9363</v>
      </c>
      <c r="K54" s="2" t="str">
        <f t="shared" si="10"/>
        <v/>
      </c>
      <c r="L54" s="2" t="str">
        <f t="shared" si="10"/>
        <v/>
      </c>
      <c r="M54" s="2" t="str">
        <f t="shared" si="10"/>
        <v/>
      </c>
      <c r="N54" s="12" t="str">
        <f t="shared" si="10"/>
        <v/>
      </c>
    </row>
    <row r="55" spans="1:14" x14ac:dyDescent="0.2">
      <c r="A55" s="627" t="str">
        <f t="shared" si="8"/>
        <v>AAAAAA</v>
      </c>
      <c r="B55" s="628"/>
      <c r="C55" s="77" t="s">
        <v>9363</v>
      </c>
      <c r="D55" s="77" t="s">
        <v>9363</v>
      </c>
      <c r="E55" s="77">
        <f t="shared" si="9"/>
        <v>0</v>
      </c>
      <c r="F55" s="16" t="str">
        <f>IF($A$49="","",IF(VLOOKUP($A54,Products!$A$59:$H$159,5,FALSE)="","",VLOOKUP($A54,Products!$A$59:$H$159,5,FALSE)))</f>
        <v/>
      </c>
      <c r="G55" s="16" t="str">
        <f>IF($A$49="","",IF(VLOOKUP($A54,Products!$A$59:$H$159,8,FALSE)="","",VLOOKUP($A54,Products!$A$59:$H$159,8,FALSE)))</f>
        <v/>
      </c>
      <c r="H55" s="77" t="s">
        <v>9363</v>
      </c>
      <c r="I55" s="77" t="s">
        <v>9363</v>
      </c>
      <c r="J55" s="77" t="s">
        <v>9363</v>
      </c>
      <c r="K55" s="2" t="str">
        <f t="shared" si="10"/>
        <v/>
      </c>
      <c r="L55" s="2" t="str">
        <f t="shared" si="10"/>
        <v/>
      </c>
      <c r="M55" s="2" t="str">
        <f t="shared" si="10"/>
        <v/>
      </c>
      <c r="N55" s="12" t="str">
        <f t="shared" si="10"/>
        <v/>
      </c>
    </row>
    <row r="56" spans="1:14" x14ac:dyDescent="0.2">
      <c r="A56" s="627" t="str">
        <f t="shared" si="8"/>
        <v>AAAAAAA</v>
      </c>
      <c r="B56" s="628"/>
      <c r="C56" s="77" t="s">
        <v>9363</v>
      </c>
      <c r="D56" s="77" t="s">
        <v>9363</v>
      </c>
      <c r="E56" s="77">
        <f t="shared" si="9"/>
        <v>0</v>
      </c>
      <c r="F56" s="16" t="str">
        <f>IF($A$49="","",IF(VLOOKUP($A55,Products!$A$59:$H$159,5,FALSE)="","",VLOOKUP($A55,Products!$A$59:$H$159,5,FALSE)))</f>
        <v/>
      </c>
      <c r="G56" s="16" t="str">
        <f>IF($A$49="","",IF(VLOOKUP($A55,Products!$A$59:$H$159,8,FALSE)="","",VLOOKUP($A55,Products!$A$59:$H$159,8,FALSE)))</f>
        <v/>
      </c>
      <c r="H56" s="77" t="s">
        <v>9363</v>
      </c>
      <c r="I56" s="77" t="s">
        <v>9363</v>
      </c>
      <c r="J56" s="77" t="s">
        <v>9363</v>
      </c>
      <c r="K56" s="2" t="str">
        <f t="shared" si="10"/>
        <v/>
      </c>
      <c r="L56" s="2" t="str">
        <f t="shared" si="10"/>
        <v/>
      </c>
      <c r="M56" s="2" t="str">
        <f t="shared" si="10"/>
        <v/>
      </c>
      <c r="N56" s="12" t="str">
        <f t="shared" si="10"/>
        <v/>
      </c>
    </row>
    <row r="57" spans="1:14" x14ac:dyDescent="0.2">
      <c r="A57" s="627" t="str">
        <f t="shared" si="8"/>
        <v>AAAAAAAA</v>
      </c>
      <c r="B57" s="628"/>
      <c r="C57" s="77" t="s">
        <v>9363</v>
      </c>
      <c r="D57" s="77" t="s">
        <v>9363</v>
      </c>
      <c r="E57" s="77">
        <f t="shared" si="9"/>
        <v>0</v>
      </c>
      <c r="F57" s="16" t="str">
        <f>IF($A$49="","",IF(VLOOKUP($A56,Products!$A$59:$H$159,5,FALSE)="","",VLOOKUP($A56,Products!$A$59:$H$159,5,FALSE)))</f>
        <v/>
      </c>
      <c r="G57" s="16" t="str">
        <f>IF($A$49="","",IF(VLOOKUP($A56,Products!$A$59:$H$159,8,FALSE)="","",VLOOKUP($A56,Products!$A$59:$H$159,8,FALSE)))</f>
        <v/>
      </c>
      <c r="H57" s="77" t="s">
        <v>9363</v>
      </c>
      <c r="I57" s="77" t="s">
        <v>9363</v>
      </c>
      <c r="J57" s="77" t="s">
        <v>9363</v>
      </c>
      <c r="K57" s="2" t="str">
        <f t="shared" si="10"/>
        <v/>
      </c>
      <c r="L57" s="2" t="str">
        <f t="shared" si="10"/>
        <v/>
      </c>
      <c r="M57" s="2" t="str">
        <f t="shared" si="10"/>
        <v/>
      </c>
      <c r="N57" s="12" t="str">
        <f t="shared" si="10"/>
        <v/>
      </c>
    </row>
    <row r="58" spans="1:14" x14ac:dyDescent="0.2">
      <c r="A58" s="627" t="str">
        <f t="shared" si="8"/>
        <v>AAAAAAAAA</v>
      </c>
      <c r="B58" s="628"/>
      <c r="C58" s="77" t="s">
        <v>9363</v>
      </c>
      <c r="D58" s="77" t="s">
        <v>9363</v>
      </c>
      <c r="E58" s="77">
        <f t="shared" si="9"/>
        <v>0</v>
      </c>
      <c r="F58" s="16" t="str">
        <f>IF($A$49="","",IF(VLOOKUP($A57,Products!$A$59:$H$159,5,FALSE)="","",VLOOKUP($A57,Products!$A$59:$H$159,5,FALSE)))</f>
        <v/>
      </c>
      <c r="G58" s="16" t="str">
        <f>IF($A$49="","",IF(VLOOKUP($A57,Products!$A$59:$H$159,8,FALSE)="","",VLOOKUP($A57,Products!$A$59:$H$159,8,FALSE)))</f>
        <v/>
      </c>
      <c r="H58" s="77" t="s">
        <v>9363</v>
      </c>
      <c r="I58" s="77" t="s">
        <v>9363</v>
      </c>
      <c r="J58" s="77" t="s">
        <v>9363</v>
      </c>
      <c r="K58" s="2" t="str">
        <f t="shared" si="10"/>
        <v/>
      </c>
      <c r="L58" s="2" t="str">
        <f t="shared" si="10"/>
        <v/>
      </c>
      <c r="M58" s="2" t="str">
        <f t="shared" si="10"/>
        <v/>
      </c>
      <c r="N58" s="12" t="str">
        <f t="shared" si="10"/>
        <v/>
      </c>
    </row>
    <row r="59" spans="1:14" x14ac:dyDescent="0.2">
      <c r="A59" s="627" t="str">
        <f t="shared" si="8"/>
        <v>AAAAAAAAAA</v>
      </c>
      <c r="B59" s="628"/>
      <c r="C59" s="77" t="s">
        <v>9363</v>
      </c>
      <c r="D59" s="77" t="s">
        <v>9363</v>
      </c>
      <c r="E59" s="77">
        <f t="shared" si="9"/>
        <v>0</v>
      </c>
      <c r="F59" s="16" t="str">
        <f>IF($A$49="","",IF(VLOOKUP($A58,Products!$A$59:$H$159,5,FALSE)="","",VLOOKUP($A58,Products!$A$59:$H$159,5,FALSE)))</f>
        <v/>
      </c>
      <c r="G59" s="16" t="str">
        <f>IF($A$49="","",IF(VLOOKUP($A58,Products!$A$59:$H$159,8,FALSE)="","",VLOOKUP($A58,Products!$A$59:$H$159,8,FALSE)))</f>
        <v/>
      </c>
      <c r="H59" s="77" t="s">
        <v>9363</v>
      </c>
      <c r="I59" s="77" t="s">
        <v>9363</v>
      </c>
      <c r="J59" s="77" t="s">
        <v>9363</v>
      </c>
      <c r="K59" s="2" t="str">
        <f t="shared" si="10"/>
        <v/>
      </c>
      <c r="L59" s="2" t="str">
        <f t="shared" si="10"/>
        <v/>
      </c>
      <c r="M59" s="2" t="str">
        <f t="shared" si="10"/>
        <v/>
      </c>
      <c r="N59" s="12" t="str">
        <f t="shared" si="10"/>
        <v/>
      </c>
    </row>
    <row r="60" spans="1:14" x14ac:dyDescent="0.2">
      <c r="A60" s="651"/>
      <c r="B60" s="615"/>
      <c r="C60" s="41"/>
      <c r="D60" s="41"/>
      <c r="E60" s="41"/>
      <c r="F60" s="16" t="s">
        <v>291</v>
      </c>
      <c r="G60" s="16">
        <v>1</v>
      </c>
      <c r="H60" s="16" t="str">
        <f>IF(A60="","",IF(VLOOKUP($A60,Products!$A$59:$H$159,2,FALSE)="","",VLOOKUP($A60,Products!$A$59:$H$159,2,FALSE)))</f>
        <v/>
      </c>
      <c r="I60" s="16" t="str">
        <f>IF(A60="","",IF(VLOOKUP($A60,Products!$A$59:$H$159,3,FALSE)="","",VLOOKUP($A60,Products!$A$59:$H$159,3,FALSE)))</f>
        <v/>
      </c>
      <c r="J60" s="16" t="str">
        <f>IF(A60="","",IF(VLOOKUP($A60,Products!$A$59:$H$159,4,FALSE)="","",VLOOKUP($A60,Products!$A$59:$H$159,4,FALSE)))</f>
        <v/>
      </c>
      <c r="K60" s="2" t="str">
        <f>IF(OR($A60="",C60="",$E60=""),"",((12.46*$F$21*$I60*$H60)/$F$22)*((C60*42)/1000)*(IF($E60="YES",(1-$F$20),1)))</f>
        <v/>
      </c>
      <c r="L60" s="2" t="str">
        <f>IF(OR($A60="",$D60="",$E60=""),"",((12.46*$F$21*$J60*$H60)/$F$23)*(($D60*42)/1000)*(1/2000)*(IF($E60="YES",(1-$F$20),1)))</f>
        <v/>
      </c>
      <c r="M60" s="2" t="str">
        <f>IF(OR($A60="",$C60="",$E60=""),"",((12.46*$F$21*$I60*$H60)/$F$22)*(($C60*42)/1000)*(IF($E60="YES",$F$20,0)))</f>
        <v/>
      </c>
      <c r="N60" s="12" t="str">
        <f>IF(OR($A60="",$D60="",$E60=""),"",((12.46*$F$21*$J60*$H60)/$F$23)*(($D60*42)/1000)*(1/2000)*(IF($E60="YES",$F$20,0)))</f>
        <v/>
      </c>
    </row>
    <row r="61" spans="1:14" x14ac:dyDescent="0.2">
      <c r="A61" s="627" t="str">
        <f t="shared" ref="A61:A70" si="11">A60&amp;"A"</f>
        <v>A</v>
      </c>
      <c r="B61" s="628"/>
      <c r="C61" s="77" t="s">
        <v>9363</v>
      </c>
      <c r="D61" s="77" t="s">
        <v>9363</v>
      </c>
      <c r="E61" s="77">
        <f>E60</f>
        <v>0</v>
      </c>
      <c r="F61" s="16" t="str">
        <f>IF($A$60="","",IF(VLOOKUP($A60,Products!$A$59:$H$159,5,FALSE)="","",VLOOKUP($A60,Products!$A$59:$H$159,5,FALSE)))</f>
        <v/>
      </c>
      <c r="G61" s="16" t="str">
        <f>IF($A$60="","",IF(VLOOKUP($A60,Products!$A$59:$H$159,8,FALSE)="","",VLOOKUP($A60,Products!$A$59:$H$159,8,FALSE)))</f>
        <v/>
      </c>
      <c r="H61" s="77" t="s">
        <v>9363</v>
      </c>
      <c r="I61" s="77" t="s">
        <v>9363</v>
      </c>
      <c r="J61" s="77" t="s">
        <v>9363</v>
      </c>
      <c r="K61" s="2" t="str">
        <f>IF($G61="","",K$60*$G61)</f>
        <v/>
      </c>
      <c r="L61" s="2" t="str">
        <f t="shared" ref="L61:N70" si="12">IF($G61="","",L$60*$G61)</f>
        <v/>
      </c>
      <c r="M61" s="2" t="str">
        <f>IF($G61="","",M$60*$G61)</f>
        <v/>
      </c>
      <c r="N61" s="12" t="str">
        <f>IF($G61="","",N$60*$G61)</f>
        <v/>
      </c>
    </row>
    <row r="62" spans="1:14" x14ac:dyDescent="0.2">
      <c r="A62" s="627" t="str">
        <f t="shared" si="11"/>
        <v>AA</v>
      </c>
      <c r="B62" s="628"/>
      <c r="C62" s="77" t="s">
        <v>9363</v>
      </c>
      <c r="D62" s="77" t="s">
        <v>9363</v>
      </c>
      <c r="E62" s="77">
        <f t="shared" ref="E62:E70" si="13">E61</f>
        <v>0</v>
      </c>
      <c r="F62" s="16" t="str">
        <f>IF($A$60="","",IF(VLOOKUP($A61,Products!$A$59:$H$159,5,FALSE)="","",VLOOKUP($A61,Products!$A$59:$H$159,5,FALSE)))</f>
        <v/>
      </c>
      <c r="G62" s="16" t="str">
        <f>IF($A$60="","",IF(VLOOKUP($A61,Products!$A$59:$H$159,8,FALSE)="","",VLOOKUP($A61,Products!$A$59:$H$159,8,FALSE)))</f>
        <v/>
      </c>
      <c r="H62" s="77" t="s">
        <v>9363</v>
      </c>
      <c r="I62" s="77" t="s">
        <v>9363</v>
      </c>
      <c r="J62" s="77" t="s">
        <v>9363</v>
      </c>
      <c r="K62" s="2" t="str">
        <f t="shared" ref="K62:K70" si="14">IF($G62="","",K$60*$G62)</f>
        <v/>
      </c>
      <c r="L62" s="2" t="str">
        <f t="shared" si="12"/>
        <v/>
      </c>
      <c r="M62" s="2" t="str">
        <f t="shared" si="12"/>
        <v/>
      </c>
      <c r="N62" s="12" t="str">
        <f t="shared" si="12"/>
        <v/>
      </c>
    </row>
    <row r="63" spans="1:14" x14ac:dyDescent="0.2">
      <c r="A63" s="627" t="str">
        <f t="shared" si="11"/>
        <v>AAA</v>
      </c>
      <c r="B63" s="628"/>
      <c r="C63" s="77" t="s">
        <v>9363</v>
      </c>
      <c r="D63" s="77" t="s">
        <v>9363</v>
      </c>
      <c r="E63" s="77">
        <f t="shared" si="13"/>
        <v>0</v>
      </c>
      <c r="F63" s="16" t="str">
        <f>IF($A$60="","",IF(VLOOKUP($A62,Products!$A$59:$H$159,5,FALSE)="","",VLOOKUP($A62,Products!$A$59:$H$159,5,FALSE)))</f>
        <v/>
      </c>
      <c r="G63" s="16" t="str">
        <f>IF($A$60="","",IF(VLOOKUP($A62,Products!$A$59:$H$159,8,FALSE)="","",VLOOKUP($A62,Products!$A$59:$H$159,8,FALSE)))</f>
        <v/>
      </c>
      <c r="H63" s="77" t="s">
        <v>9363</v>
      </c>
      <c r="I63" s="77" t="s">
        <v>9363</v>
      </c>
      <c r="J63" s="77" t="s">
        <v>9363</v>
      </c>
      <c r="K63" s="2" t="str">
        <f t="shared" si="14"/>
        <v/>
      </c>
      <c r="L63" s="2" t="str">
        <f t="shared" si="12"/>
        <v/>
      </c>
      <c r="M63" s="2" t="str">
        <f t="shared" si="12"/>
        <v/>
      </c>
      <c r="N63" s="12" t="str">
        <f t="shared" si="12"/>
        <v/>
      </c>
    </row>
    <row r="64" spans="1:14" x14ac:dyDescent="0.2">
      <c r="A64" s="627" t="str">
        <f t="shared" si="11"/>
        <v>AAAA</v>
      </c>
      <c r="B64" s="628"/>
      <c r="C64" s="77" t="s">
        <v>9363</v>
      </c>
      <c r="D64" s="77" t="s">
        <v>9363</v>
      </c>
      <c r="E64" s="77">
        <f t="shared" si="13"/>
        <v>0</v>
      </c>
      <c r="F64" s="16" t="str">
        <f>IF($A$60="","",IF(VLOOKUP($A63,Products!$A$59:$H$159,5,FALSE)="","",VLOOKUP($A63,Products!$A$59:$H$159,5,FALSE)))</f>
        <v/>
      </c>
      <c r="G64" s="16" t="str">
        <f>IF($A$60="","",IF(VLOOKUP($A63,Products!$A$59:$H$159,8,FALSE)="","",VLOOKUP($A63,Products!$A$59:$H$159,8,FALSE)))</f>
        <v/>
      </c>
      <c r="H64" s="77" t="s">
        <v>9363</v>
      </c>
      <c r="I64" s="77" t="s">
        <v>9363</v>
      </c>
      <c r="J64" s="77" t="s">
        <v>9363</v>
      </c>
      <c r="K64" s="2" t="str">
        <f t="shared" si="14"/>
        <v/>
      </c>
      <c r="L64" s="2" t="str">
        <f t="shared" si="12"/>
        <v/>
      </c>
      <c r="M64" s="2" t="str">
        <f t="shared" si="12"/>
        <v/>
      </c>
      <c r="N64" s="12" t="str">
        <f t="shared" si="12"/>
        <v/>
      </c>
    </row>
    <row r="65" spans="1:14" x14ac:dyDescent="0.2">
      <c r="A65" s="627" t="str">
        <f t="shared" si="11"/>
        <v>AAAAA</v>
      </c>
      <c r="B65" s="628"/>
      <c r="C65" s="77" t="s">
        <v>9363</v>
      </c>
      <c r="D65" s="77" t="s">
        <v>9363</v>
      </c>
      <c r="E65" s="77">
        <f t="shared" si="13"/>
        <v>0</v>
      </c>
      <c r="F65" s="16" t="str">
        <f>IF($A$60="","",IF(VLOOKUP($A64,Products!$A$59:$H$159,5,FALSE)="","",VLOOKUP($A64,Products!$A$59:$H$159,5,FALSE)))</f>
        <v/>
      </c>
      <c r="G65" s="16" t="str">
        <f>IF($A$60="","",IF(VLOOKUP($A64,Products!$A$59:$H$159,8,FALSE)="","",VLOOKUP($A64,Products!$A$59:$H$159,8,FALSE)))</f>
        <v/>
      </c>
      <c r="H65" s="77" t="s">
        <v>9363</v>
      </c>
      <c r="I65" s="77" t="s">
        <v>9363</v>
      </c>
      <c r="J65" s="77" t="s">
        <v>9363</v>
      </c>
      <c r="K65" s="2" t="str">
        <f t="shared" si="14"/>
        <v/>
      </c>
      <c r="L65" s="2" t="str">
        <f t="shared" si="12"/>
        <v/>
      </c>
      <c r="M65" s="2" t="str">
        <f t="shared" si="12"/>
        <v/>
      </c>
      <c r="N65" s="12" t="str">
        <f t="shared" si="12"/>
        <v/>
      </c>
    </row>
    <row r="66" spans="1:14" x14ac:dyDescent="0.2">
      <c r="A66" s="627" t="str">
        <f t="shared" si="11"/>
        <v>AAAAAA</v>
      </c>
      <c r="B66" s="628"/>
      <c r="C66" s="77" t="s">
        <v>9363</v>
      </c>
      <c r="D66" s="77" t="s">
        <v>9363</v>
      </c>
      <c r="E66" s="77">
        <f t="shared" si="13"/>
        <v>0</v>
      </c>
      <c r="F66" s="16" t="str">
        <f>IF($A$60="","",IF(VLOOKUP($A65,Products!$A$59:$H$159,5,FALSE)="","",VLOOKUP($A65,Products!$A$59:$H$159,5,FALSE)))</f>
        <v/>
      </c>
      <c r="G66" s="16" t="str">
        <f>IF($A$60="","",IF(VLOOKUP($A65,Products!$A$59:$H$159,8,FALSE)="","",VLOOKUP($A65,Products!$A$59:$H$159,8,FALSE)))</f>
        <v/>
      </c>
      <c r="H66" s="77" t="s">
        <v>9363</v>
      </c>
      <c r="I66" s="77" t="s">
        <v>9363</v>
      </c>
      <c r="J66" s="77" t="s">
        <v>9363</v>
      </c>
      <c r="K66" s="2" t="str">
        <f t="shared" si="14"/>
        <v/>
      </c>
      <c r="L66" s="2" t="str">
        <f t="shared" si="12"/>
        <v/>
      </c>
      <c r="M66" s="2" t="str">
        <f t="shared" si="12"/>
        <v/>
      </c>
      <c r="N66" s="12" t="str">
        <f t="shared" si="12"/>
        <v/>
      </c>
    </row>
    <row r="67" spans="1:14" x14ac:dyDescent="0.2">
      <c r="A67" s="627" t="str">
        <f t="shared" si="11"/>
        <v>AAAAAAA</v>
      </c>
      <c r="B67" s="628"/>
      <c r="C67" s="77" t="s">
        <v>9363</v>
      </c>
      <c r="D67" s="77" t="s">
        <v>9363</v>
      </c>
      <c r="E67" s="77">
        <f t="shared" si="13"/>
        <v>0</v>
      </c>
      <c r="F67" s="16" t="str">
        <f>IF($A$60="","",IF(VLOOKUP($A66,Products!$A$59:$H$159,5,FALSE)="","",VLOOKUP($A66,Products!$A$59:$H$159,5,FALSE)))</f>
        <v/>
      </c>
      <c r="G67" s="16" t="str">
        <f>IF($A$60="","",IF(VLOOKUP($A66,Products!$A$59:$H$159,8,FALSE)="","",VLOOKUP($A66,Products!$A$59:$H$159,8,FALSE)))</f>
        <v/>
      </c>
      <c r="H67" s="77" t="s">
        <v>9363</v>
      </c>
      <c r="I67" s="77" t="s">
        <v>9363</v>
      </c>
      <c r="J67" s="77" t="s">
        <v>9363</v>
      </c>
      <c r="K67" s="2" t="str">
        <f t="shared" si="14"/>
        <v/>
      </c>
      <c r="L67" s="2" t="str">
        <f t="shared" si="12"/>
        <v/>
      </c>
      <c r="M67" s="2" t="str">
        <f t="shared" si="12"/>
        <v/>
      </c>
      <c r="N67" s="12" t="str">
        <f t="shared" si="12"/>
        <v/>
      </c>
    </row>
    <row r="68" spans="1:14" x14ac:dyDescent="0.2">
      <c r="A68" s="627" t="str">
        <f t="shared" si="11"/>
        <v>AAAAAAAA</v>
      </c>
      <c r="B68" s="628"/>
      <c r="C68" s="77" t="s">
        <v>9363</v>
      </c>
      <c r="D68" s="77" t="s">
        <v>9363</v>
      </c>
      <c r="E68" s="77">
        <f t="shared" si="13"/>
        <v>0</v>
      </c>
      <c r="F68" s="16" t="str">
        <f>IF($A$60="","",IF(VLOOKUP($A67,Products!$A$59:$H$159,5,FALSE)="","",VLOOKUP($A67,Products!$A$59:$H$159,5,FALSE)))</f>
        <v/>
      </c>
      <c r="G68" s="16" t="str">
        <f>IF($A$60="","",IF(VLOOKUP($A67,Products!$A$59:$H$159,8,FALSE)="","",VLOOKUP($A67,Products!$A$59:$H$159,8,FALSE)))</f>
        <v/>
      </c>
      <c r="H68" s="77" t="s">
        <v>9363</v>
      </c>
      <c r="I68" s="77" t="s">
        <v>9363</v>
      </c>
      <c r="J68" s="77" t="s">
        <v>9363</v>
      </c>
      <c r="K68" s="2" t="str">
        <f t="shared" si="14"/>
        <v/>
      </c>
      <c r="L68" s="2" t="str">
        <f>IF($G68="","",L$60*$G68)</f>
        <v/>
      </c>
      <c r="M68" s="2" t="str">
        <f t="shared" si="12"/>
        <v/>
      </c>
      <c r="N68" s="12" t="str">
        <f t="shared" si="12"/>
        <v/>
      </c>
    </row>
    <row r="69" spans="1:14" x14ac:dyDescent="0.2">
      <c r="A69" s="627" t="str">
        <f t="shared" si="11"/>
        <v>AAAAAAAAA</v>
      </c>
      <c r="B69" s="628"/>
      <c r="C69" s="77" t="s">
        <v>9363</v>
      </c>
      <c r="D69" s="77" t="s">
        <v>9363</v>
      </c>
      <c r="E69" s="77">
        <f t="shared" si="13"/>
        <v>0</v>
      </c>
      <c r="F69" s="16" t="str">
        <f>IF($A$60="","",IF(VLOOKUP($A68,Products!$A$59:$H$159,5,FALSE)="","",VLOOKUP($A68,Products!$A$59:$H$159,5,FALSE)))</f>
        <v/>
      </c>
      <c r="G69" s="16" t="str">
        <f>IF($A$60="","",IF(VLOOKUP($A68,Products!$A$59:$H$159,8,FALSE)="","",VLOOKUP($A68,Products!$A$59:$H$159,8,FALSE)))</f>
        <v/>
      </c>
      <c r="H69" s="77" t="s">
        <v>9363</v>
      </c>
      <c r="I69" s="77" t="s">
        <v>9363</v>
      </c>
      <c r="J69" s="77" t="s">
        <v>9363</v>
      </c>
      <c r="K69" s="2" t="str">
        <f t="shared" si="14"/>
        <v/>
      </c>
      <c r="L69" s="2" t="str">
        <f t="shared" si="12"/>
        <v/>
      </c>
      <c r="M69" s="2" t="str">
        <f t="shared" si="12"/>
        <v/>
      </c>
      <c r="N69" s="12" t="str">
        <f t="shared" si="12"/>
        <v/>
      </c>
    </row>
    <row r="70" spans="1:14" x14ac:dyDescent="0.2">
      <c r="A70" s="627" t="str">
        <f t="shared" si="11"/>
        <v>AAAAAAAAAA</v>
      </c>
      <c r="B70" s="628"/>
      <c r="C70" s="77" t="s">
        <v>9363</v>
      </c>
      <c r="D70" s="77" t="s">
        <v>9363</v>
      </c>
      <c r="E70" s="77">
        <f t="shared" si="13"/>
        <v>0</v>
      </c>
      <c r="F70" s="16" t="str">
        <f>IF($A$60="","",IF(VLOOKUP($A69,Products!$A$59:$H$159,5,FALSE)="","",VLOOKUP($A69,Products!$A$59:$H$159,5,FALSE)))</f>
        <v/>
      </c>
      <c r="G70" s="16" t="str">
        <f>IF($A$60="","",IF(VLOOKUP($A69,Products!$A$59:$H$159,8,FALSE)="","",VLOOKUP($A69,Products!$A$59:$H$159,8,FALSE)))</f>
        <v/>
      </c>
      <c r="H70" s="77" t="s">
        <v>9363</v>
      </c>
      <c r="I70" s="77" t="s">
        <v>9363</v>
      </c>
      <c r="J70" s="77" t="s">
        <v>9363</v>
      </c>
      <c r="K70" s="2" t="str">
        <f t="shared" si="14"/>
        <v/>
      </c>
      <c r="L70" s="2" t="str">
        <f t="shared" si="12"/>
        <v/>
      </c>
      <c r="M70" s="2" t="str">
        <f t="shared" si="12"/>
        <v/>
      </c>
      <c r="N70" s="12" t="str">
        <f t="shared" si="12"/>
        <v/>
      </c>
    </row>
    <row r="71" spans="1:14" x14ac:dyDescent="0.2">
      <c r="A71" s="651"/>
      <c r="B71" s="615"/>
      <c r="C71" s="41"/>
      <c r="D71" s="41"/>
      <c r="E71" s="41"/>
      <c r="F71" s="16" t="s">
        <v>291</v>
      </c>
      <c r="G71" s="16">
        <v>1</v>
      </c>
      <c r="H71" s="16" t="str">
        <f>IF(A71="","",IF(VLOOKUP($A71,Products!$A$59:$H$159,2,FALSE)="","",VLOOKUP($A71,Products!$A$59:$H$159,2,FALSE)))</f>
        <v/>
      </c>
      <c r="I71" s="16" t="str">
        <f>IF(A71="","",IF(VLOOKUP($A71,Products!$A$59:$H$159,3,FALSE)="","",VLOOKUP($A71,Products!$A$59:$H$159,3,FALSE)))</f>
        <v/>
      </c>
      <c r="J71" s="16" t="str">
        <f>IF(A71="","",IF(VLOOKUP($A71,Products!$A$59:$H$159,4,FALSE)="","",VLOOKUP($A71,Products!$A$59:$H$159,4,FALSE)))</f>
        <v/>
      </c>
      <c r="K71" s="2" t="str">
        <f>IF(OR($A71="",C71="",$E71=""),"",((12.46*$F$21*$I71*$H71)/$F$22)*((C71*42)/1000)*(IF($E71="YES",(1-$F$20),1)))</f>
        <v/>
      </c>
      <c r="L71" s="2" t="str">
        <f>IF(OR($A71="",$D71="",$E71=""),"",((12.46*$F$21*$J71*$H71)/$F$23)*(($D71*42)/1000)*(1/2000)*(IF($E71="YES",(1-$F$20),1)))</f>
        <v/>
      </c>
      <c r="M71" s="2" t="str">
        <f>IF(OR($A71="",$C71="",$E71=""),"",((12.46*$F$21*$I71*$H71)/$F$22)*(($C71*42)/1000)*(IF($E71="YES",$F$20,0)))</f>
        <v/>
      </c>
      <c r="N71" s="12" t="str">
        <f>IF(OR($A71="",$D71="",$E71=""),"",((12.46*$F$21*$J71*$H71)/$F$23)*(($D71*42)/1000)*(1/2000)*(IF($E71="YES",$F$20,0)))</f>
        <v/>
      </c>
    </row>
    <row r="72" spans="1:14" x14ac:dyDescent="0.2">
      <c r="A72" s="627" t="str">
        <f t="shared" ref="A72:A81" si="15">A71&amp;"A"</f>
        <v>A</v>
      </c>
      <c r="B72" s="628"/>
      <c r="C72" s="77" t="s">
        <v>9363</v>
      </c>
      <c r="D72" s="77" t="s">
        <v>9363</v>
      </c>
      <c r="E72" s="77">
        <f>E71</f>
        <v>0</v>
      </c>
      <c r="F72" s="16" t="str">
        <f>IF($A$71="","",IF(VLOOKUP($A71,Products!$A$59:$H$159,5,FALSE)="","",VLOOKUP($A71,Products!$A$59:$H$159,5,FALSE)))</f>
        <v/>
      </c>
      <c r="G72" s="16" t="str">
        <f>IF($A$71="","",IF(VLOOKUP($A71,Products!$A$59:$H$159,8,FALSE)="","",VLOOKUP($A71,Products!$A$59:$H$159,8,FALSE)))</f>
        <v/>
      </c>
      <c r="H72" s="77" t="s">
        <v>9363</v>
      </c>
      <c r="I72" s="77" t="s">
        <v>9363</v>
      </c>
      <c r="J72" s="77" t="s">
        <v>9363</v>
      </c>
      <c r="K72" s="2" t="str">
        <f>IF($G72="","",K$71*$G72)</f>
        <v/>
      </c>
      <c r="L72" s="2" t="str">
        <f t="shared" ref="L72:N81" si="16">IF($G72="","",L$71*$G72)</f>
        <v/>
      </c>
      <c r="M72" s="2" t="str">
        <f t="shared" si="16"/>
        <v/>
      </c>
      <c r="N72" s="12" t="str">
        <f t="shared" si="16"/>
        <v/>
      </c>
    </row>
    <row r="73" spans="1:14" x14ac:dyDescent="0.2">
      <c r="A73" s="627" t="str">
        <f t="shared" si="15"/>
        <v>AA</v>
      </c>
      <c r="B73" s="628"/>
      <c r="C73" s="77" t="s">
        <v>9363</v>
      </c>
      <c r="D73" s="77" t="s">
        <v>9363</v>
      </c>
      <c r="E73" s="77">
        <f t="shared" ref="E73:E81" si="17">E72</f>
        <v>0</v>
      </c>
      <c r="F73" s="16" t="str">
        <f>IF($A$71="","",IF(VLOOKUP($A72,Products!$A$59:$H$159,5,FALSE)="","",VLOOKUP($A72,Products!$A$59:$H$159,5,FALSE)))</f>
        <v/>
      </c>
      <c r="G73" s="16" t="str">
        <f>IF($A$71="","",IF(VLOOKUP($A72,Products!$A$59:$H$159,8,FALSE)="","",VLOOKUP($A72,Products!$A$59:$H$159,8,FALSE)))</f>
        <v/>
      </c>
      <c r="H73" s="77" t="s">
        <v>9363</v>
      </c>
      <c r="I73" s="77" t="s">
        <v>9363</v>
      </c>
      <c r="J73" s="77" t="s">
        <v>9363</v>
      </c>
      <c r="K73" s="2" t="str">
        <f t="shared" ref="K73:K81" si="18">IF($G73="","",K$71*$G73)</f>
        <v/>
      </c>
      <c r="L73" s="2" t="str">
        <f t="shared" si="16"/>
        <v/>
      </c>
      <c r="M73" s="2" t="str">
        <f t="shared" si="16"/>
        <v/>
      </c>
      <c r="N73" s="12" t="str">
        <f t="shared" si="16"/>
        <v/>
      </c>
    </row>
    <row r="74" spans="1:14" x14ac:dyDescent="0.2">
      <c r="A74" s="627" t="str">
        <f t="shared" si="15"/>
        <v>AAA</v>
      </c>
      <c r="B74" s="628"/>
      <c r="C74" s="77" t="s">
        <v>9363</v>
      </c>
      <c r="D74" s="77" t="s">
        <v>9363</v>
      </c>
      <c r="E74" s="77">
        <f t="shared" si="17"/>
        <v>0</v>
      </c>
      <c r="F74" s="16" t="str">
        <f>IF($A$71="","",IF(VLOOKUP($A73,Products!$A$59:$H$159,5,FALSE)="","",VLOOKUP($A73,Products!$A$59:$H$159,5,FALSE)))</f>
        <v/>
      </c>
      <c r="G74" s="16" t="str">
        <f>IF($A$71="","",IF(VLOOKUP($A73,Products!$A$59:$H$159,8,FALSE)="","",VLOOKUP($A73,Products!$A$59:$H$159,8,FALSE)))</f>
        <v/>
      </c>
      <c r="H74" s="77" t="s">
        <v>9363</v>
      </c>
      <c r="I74" s="77" t="s">
        <v>9363</v>
      </c>
      <c r="J74" s="77" t="s">
        <v>9363</v>
      </c>
      <c r="K74" s="2" t="str">
        <f t="shared" si="18"/>
        <v/>
      </c>
      <c r="L74" s="2" t="str">
        <f t="shared" si="16"/>
        <v/>
      </c>
      <c r="M74" s="2" t="str">
        <f t="shared" si="16"/>
        <v/>
      </c>
      <c r="N74" s="12" t="str">
        <f t="shared" si="16"/>
        <v/>
      </c>
    </row>
    <row r="75" spans="1:14" x14ac:dyDescent="0.2">
      <c r="A75" s="627" t="str">
        <f t="shared" si="15"/>
        <v>AAAA</v>
      </c>
      <c r="B75" s="628"/>
      <c r="C75" s="77" t="s">
        <v>9363</v>
      </c>
      <c r="D75" s="77" t="s">
        <v>9363</v>
      </c>
      <c r="E75" s="77">
        <f t="shared" si="17"/>
        <v>0</v>
      </c>
      <c r="F75" s="16" t="str">
        <f>IF($A$71="","",IF(VLOOKUP($A74,Products!$A$59:$H$159,5,FALSE)="","",VLOOKUP($A74,Products!$A$59:$H$159,5,FALSE)))</f>
        <v/>
      </c>
      <c r="G75" s="16" t="str">
        <f>IF($A$71="","",IF(VLOOKUP($A74,Products!$A$59:$H$159,8,FALSE)="","",VLOOKUP($A74,Products!$A$59:$H$159,8,FALSE)))</f>
        <v/>
      </c>
      <c r="H75" s="77" t="s">
        <v>9363</v>
      </c>
      <c r="I75" s="77" t="s">
        <v>9363</v>
      </c>
      <c r="J75" s="77" t="s">
        <v>9363</v>
      </c>
      <c r="K75" s="2" t="str">
        <f t="shared" si="18"/>
        <v/>
      </c>
      <c r="L75" s="2" t="str">
        <f t="shared" si="16"/>
        <v/>
      </c>
      <c r="M75" s="2" t="str">
        <f t="shared" si="16"/>
        <v/>
      </c>
      <c r="N75" s="12" t="str">
        <f t="shared" si="16"/>
        <v/>
      </c>
    </row>
    <row r="76" spans="1:14" x14ac:dyDescent="0.2">
      <c r="A76" s="627" t="str">
        <f t="shared" si="15"/>
        <v>AAAAA</v>
      </c>
      <c r="B76" s="628"/>
      <c r="C76" s="77" t="s">
        <v>9363</v>
      </c>
      <c r="D76" s="77" t="s">
        <v>9363</v>
      </c>
      <c r="E76" s="77">
        <f t="shared" si="17"/>
        <v>0</v>
      </c>
      <c r="F76" s="16" t="str">
        <f>IF($A$71="","",IF(VLOOKUP($A75,Products!$A$59:$H$159,5,FALSE)="","",VLOOKUP($A75,Products!$A$59:$H$159,5,FALSE)))</f>
        <v/>
      </c>
      <c r="G76" s="16" t="str">
        <f>IF($A$71="","",IF(VLOOKUP($A75,Products!$A$59:$H$159,8,FALSE)="","",VLOOKUP($A75,Products!$A$59:$H$159,8,FALSE)))</f>
        <v/>
      </c>
      <c r="H76" s="77" t="s">
        <v>9363</v>
      </c>
      <c r="I76" s="77" t="s">
        <v>9363</v>
      </c>
      <c r="J76" s="77" t="s">
        <v>9363</v>
      </c>
      <c r="K76" s="2" t="str">
        <f t="shared" si="18"/>
        <v/>
      </c>
      <c r="L76" s="2" t="str">
        <f t="shared" si="16"/>
        <v/>
      </c>
      <c r="M76" s="2" t="str">
        <f t="shared" si="16"/>
        <v/>
      </c>
      <c r="N76" s="12" t="str">
        <f t="shared" si="16"/>
        <v/>
      </c>
    </row>
    <row r="77" spans="1:14" x14ac:dyDescent="0.2">
      <c r="A77" s="627" t="str">
        <f t="shared" si="15"/>
        <v>AAAAAA</v>
      </c>
      <c r="B77" s="628"/>
      <c r="C77" s="77" t="s">
        <v>9363</v>
      </c>
      <c r="D77" s="77" t="s">
        <v>9363</v>
      </c>
      <c r="E77" s="77">
        <f t="shared" si="17"/>
        <v>0</v>
      </c>
      <c r="F77" s="16" t="str">
        <f>IF($A$71="","",IF(VLOOKUP($A76,Products!$A$59:$H$159,5,FALSE)="","",VLOOKUP($A76,Products!$A$59:$H$159,5,FALSE)))</f>
        <v/>
      </c>
      <c r="G77" s="16" t="str">
        <f>IF($A$71="","",IF(VLOOKUP($A76,Products!$A$59:$H$159,8,FALSE)="","",VLOOKUP($A76,Products!$A$59:$H$159,8,FALSE)))</f>
        <v/>
      </c>
      <c r="H77" s="77" t="s">
        <v>9363</v>
      </c>
      <c r="I77" s="77" t="s">
        <v>9363</v>
      </c>
      <c r="J77" s="77" t="s">
        <v>9363</v>
      </c>
      <c r="K77" s="2" t="str">
        <f t="shared" si="18"/>
        <v/>
      </c>
      <c r="L77" s="2" t="str">
        <f t="shared" si="16"/>
        <v/>
      </c>
      <c r="M77" s="2" t="str">
        <f t="shared" si="16"/>
        <v/>
      </c>
      <c r="N77" s="12" t="str">
        <f t="shared" si="16"/>
        <v/>
      </c>
    </row>
    <row r="78" spans="1:14" x14ac:dyDescent="0.2">
      <c r="A78" s="627" t="str">
        <f t="shared" si="15"/>
        <v>AAAAAAA</v>
      </c>
      <c r="B78" s="628"/>
      <c r="C78" s="77" t="s">
        <v>9363</v>
      </c>
      <c r="D78" s="77" t="s">
        <v>9363</v>
      </c>
      <c r="E78" s="77">
        <f t="shared" si="17"/>
        <v>0</v>
      </c>
      <c r="F78" s="16" t="str">
        <f>IF($A$71="","",IF(VLOOKUP($A77,Products!$A$59:$H$159,5,FALSE)="","",VLOOKUP($A77,Products!$A$59:$H$159,5,FALSE)))</f>
        <v/>
      </c>
      <c r="G78" s="16" t="str">
        <f>IF($A$71="","",IF(VLOOKUP($A77,Products!$A$59:$H$159,8,FALSE)="","",VLOOKUP($A77,Products!$A$59:$H$159,8,FALSE)))</f>
        <v/>
      </c>
      <c r="H78" s="77" t="s">
        <v>9363</v>
      </c>
      <c r="I78" s="77" t="s">
        <v>9363</v>
      </c>
      <c r="J78" s="77" t="s">
        <v>9363</v>
      </c>
      <c r="K78" s="2" t="str">
        <f t="shared" si="18"/>
        <v/>
      </c>
      <c r="L78" s="2" t="str">
        <f t="shared" si="16"/>
        <v/>
      </c>
      <c r="M78" s="2" t="str">
        <f t="shared" si="16"/>
        <v/>
      </c>
      <c r="N78" s="12" t="str">
        <f t="shared" si="16"/>
        <v/>
      </c>
    </row>
    <row r="79" spans="1:14" x14ac:dyDescent="0.2">
      <c r="A79" s="627" t="str">
        <f t="shared" si="15"/>
        <v>AAAAAAAA</v>
      </c>
      <c r="B79" s="628"/>
      <c r="C79" s="77" t="s">
        <v>9363</v>
      </c>
      <c r="D79" s="77" t="s">
        <v>9363</v>
      </c>
      <c r="E79" s="77">
        <f t="shared" si="17"/>
        <v>0</v>
      </c>
      <c r="F79" s="16" t="str">
        <f>IF($A$71="","",IF(VLOOKUP($A78,Products!$A$59:$H$159,5,FALSE)="","",VLOOKUP($A78,Products!$A$59:$H$159,5,FALSE)))</f>
        <v/>
      </c>
      <c r="G79" s="16" t="str">
        <f>IF($A$71="","",IF(VLOOKUP($A78,Products!$A$59:$H$159,8,FALSE)="","",VLOOKUP($A78,Products!$A$59:$H$159,8,FALSE)))</f>
        <v/>
      </c>
      <c r="H79" s="77" t="s">
        <v>9363</v>
      </c>
      <c r="I79" s="77" t="s">
        <v>9363</v>
      </c>
      <c r="J79" s="77" t="s">
        <v>9363</v>
      </c>
      <c r="K79" s="2" t="str">
        <f t="shared" si="18"/>
        <v/>
      </c>
      <c r="L79" s="2" t="str">
        <f t="shared" si="16"/>
        <v/>
      </c>
      <c r="M79" s="2" t="str">
        <f t="shared" si="16"/>
        <v/>
      </c>
      <c r="N79" s="12" t="str">
        <f t="shared" si="16"/>
        <v/>
      </c>
    </row>
    <row r="80" spans="1:14" x14ac:dyDescent="0.2">
      <c r="A80" s="627" t="str">
        <f t="shared" si="15"/>
        <v>AAAAAAAAA</v>
      </c>
      <c r="B80" s="628"/>
      <c r="C80" s="77" t="s">
        <v>9363</v>
      </c>
      <c r="D80" s="77" t="s">
        <v>9363</v>
      </c>
      <c r="E80" s="77">
        <f t="shared" si="17"/>
        <v>0</v>
      </c>
      <c r="F80" s="16" t="str">
        <f>IF($A$71="","",IF(VLOOKUP($A79,Products!$A$59:$H$159,5,FALSE)="","",VLOOKUP($A79,Products!$A$59:$H$159,5,FALSE)))</f>
        <v/>
      </c>
      <c r="G80" s="16" t="str">
        <f>IF($A$71="","",IF(VLOOKUP($A79,Products!$A$59:$H$159,8,FALSE)="","",VLOOKUP($A79,Products!$A$59:$H$159,8,FALSE)))</f>
        <v/>
      </c>
      <c r="H80" s="77" t="s">
        <v>9363</v>
      </c>
      <c r="I80" s="77" t="s">
        <v>9363</v>
      </c>
      <c r="J80" s="77" t="s">
        <v>9363</v>
      </c>
      <c r="K80" s="2" t="str">
        <f t="shared" si="18"/>
        <v/>
      </c>
      <c r="L80" s="2" t="str">
        <f t="shared" si="16"/>
        <v/>
      </c>
      <c r="M80" s="2" t="str">
        <f t="shared" si="16"/>
        <v/>
      </c>
      <c r="N80" s="12" t="str">
        <f t="shared" si="16"/>
        <v/>
      </c>
    </row>
    <row r="81" spans="1:14" x14ac:dyDescent="0.2">
      <c r="A81" s="627" t="str">
        <f t="shared" si="15"/>
        <v>AAAAAAAAAA</v>
      </c>
      <c r="B81" s="628"/>
      <c r="C81" s="77" t="s">
        <v>9363</v>
      </c>
      <c r="D81" s="77" t="s">
        <v>9363</v>
      </c>
      <c r="E81" s="77">
        <f t="shared" si="17"/>
        <v>0</v>
      </c>
      <c r="F81" s="16" t="str">
        <f>IF($A$71="","",IF(VLOOKUP($A80,Products!$A$59:$H$159,5,FALSE)="","",VLOOKUP($A80,Products!$A$59:$H$159,5,FALSE)))</f>
        <v/>
      </c>
      <c r="G81" s="16" t="str">
        <f>IF($A$71="","",IF(VLOOKUP($A80,Products!$A$59:$H$159,8,FALSE)="","",VLOOKUP($A80,Products!$A$59:$H$159,8,FALSE)))</f>
        <v/>
      </c>
      <c r="H81" s="77" t="s">
        <v>9363</v>
      </c>
      <c r="I81" s="77" t="s">
        <v>9363</v>
      </c>
      <c r="J81" s="77" t="s">
        <v>9363</v>
      </c>
      <c r="K81" s="2" t="str">
        <f t="shared" si="18"/>
        <v/>
      </c>
      <c r="L81" s="2" t="str">
        <f t="shared" si="16"/>
        <v/>
      </c>
      <c r="M81" s="2" t="str">
        <f t="shared" si="16"/>
        <v/>
      </c>
      <c r="N81" s="12" t="str">
        <f t="shared" si="16"/>
        <v/>
      </c>
    </row>
    <row r="82" spans="1:14" x14ac:dyDescent="0.2">
      <c r="A82" s="651"/>
      <c r="B82" s="615"/>
      <c r="C82" s="41"/>
      <c r="D82" s="41"/>
      <c r="E82" s="41"/>
      <c r="F82" s="16" t="s">
        <v>291</v>
      </c>
      <c r="G82" s="16">
        <v>1</v>
      </c>
      <c r="H82" s="16" t="str">
        <f>IF(A82="","",IF(VLOOKUP($A82,Products!$A$59:$H$159,2,FALSE)="","",VLOOKUP($A82,Products!$A$59:$H$159,2,FALSE)))</f>
        <v/>
      </c>
      <c r="I82" s="16" t="str">
        <f>IF(A82="","",IF(VLOOKUP($A82,Products!$A$59:$H$159,3,FALSE)="","",VLOOKUP($A82,Products!$A$59:$H$159,3,FALSE)))</f>
        <v/>
      </c>
      <c r="J82" s="16" t="str">
        <f>IF(A82="","",IF(VLOOKUP($A82,Products!$A$59:$H$159,4,FALSE)="","",VLOOKUP($A82,Products!$A$59:$H$159,4,FALSE)))</f>
        <v/>
      </c>
      <c r="K82" s="2" t="str">
        <f>IF(OR($A82="",C82="",$E82=""),"",((12.46*$F$21*$I82*$H82)/$F$22)*((C82*42)/1000)*(IF($E82="YES",(1-$F$20),1)))</f>
        <v/>
      </c>
      <c r="L82" s="2" t="str">
        <f>IF(OR($A82="",$D82="",$E82=""),"",((12.46*$F$21*$J82*$H82)/$F$23)*(($D82*42)/1000)*(1/2000)*(IF($E82="YES",(1-$F$20),1)))</f>
        <v/>
      </c>
      <c r="M82" s="2" t="str">
        <f>IF(OR($A82="",$C82="",$E82=""),"",((12.46*$F$21*$I82*$H82)/$F$22)*(($C82*42)/1000)*(IF($E82="YES",$F$20,0)))</f>
        <v/>
      </c>
      <c r="N82" s="12" t="str">
        <f>IF(OR($A82="",$D82="",$E82=""),"",((12.46*$F$21*$J82*$H82)/$F$23)*(($D82*42)/1000)*(1/2000)*(IF($E82="YES",$F$20,0)))</f>
        <v/>
      </c>
    </row>
    <row r="83" spans="1:14" x14ac:dyDescent="0.2">
      <c r="A83" s="627" t="str">
        <f t="shared" ref="A83:A92" si="19">A82&amp;"A"</f>
        <v>A</v>
      </c>
      <c r="B83" s="628"/>
      <c r="C83" s="77" t="s">
        <v>9363</v>
      </c>
      <c r="D83" s="77" t="s">
        <v>9363</v>
      </c>
      <c r="E83" s="77">
        <f>E82</f>
        <v>0</v>
      </c>
      <c r="F83" s="16" t="str">
        <f>IF($A$82="","",IF(VLOOKUP($A82,Products!$A$59:$H$159,5,FALSE)="","",VLOOKUP($A82,Products!$A$59:$H$159,5,FALSE)))</f>
        <v/>
      </c>
      <c r="G83" s="16" t="str">
        <f>IF($A$82="","",IF(VLOOKUP($A82,Products!$A$59:$H$159,8,FALSE)="","",VLOOKUP($A82,Products!$A$59:$H$159,8,FALSE)))</f>
        <v/>
      </c>
      <c r="H83" s="77" t="s">
        <v>9363</v>
      </c>
      <c r="I83" s="77" t="s">
        <v>9363</v>
      </c>
      <c r="J83" s="77" t="s">
        <v>9363</v>
      </c>
      <c r="K83" s="2" t="str">
        <f>IF($G83="","",K$82*$G83)</f>
        <v/>
      </c>
      <c r="L83" s="2" t="str">
        <f t="shared" ref="L83:N92" si="20">IF($G83="","",L$82*$G83)</f>
        <v/>
      </c>
      <c r="M83" s="2" t="str">
        <f t="shared" si="20"/>
        <v/>
      </c>
      <c r="N83" s="12" t="str">
        <f t="shared" si="20"/>
        <v/>
      </c>
    </row>
    <row r="84" spans="1:14" x14ac:dyDescent="0.2">
      <c r="A84" s="627" t="str">
        <f t="shared" si="19"/>
        <v>AA</v>
      </c>
      <c r="B84" s="628"/>
      <c r="C84" s="77" t="s">
        <v>9363</v>
      </c>
      <c r="D84" s="77" t="s">
        <v>9363</v>
      </c>
      <c r="E84" s="77">
        <f t="shared" ref="E84:E92" si="21">E83</f>
        <v>0</v>
      </c>
      <c r="F84" s="16" t="str">
        <f>IF($A$82="","",IF(VLOOKUP($A83,Products!$A$59:$H$159,5,FALSE)="","",VLOOKUP($A83,Products!$A$59:$H$159,5,FALSE)))</f>
        <v/>
      </c>
      <c r="G84" s="16" t="str">
        <f>IF($A$82="","",IF(VLOOKUP($A83,Products!$A$59:$H$159,8,FALSE)="","",VLOOKUP($A83,Products!$A$59:$H$159,8,FALSE)))</f>
        <v/>
      </c>
      <c r="H84" s="77" t="s">
        <v>9363</v>
      </c>
      <c r="I84" s="77" t="s">
        <v>9363</v>
      </c>
      <c r="J84" s="77" t="s">
        <v>9363</v>
      </c>
      <c r="K84" s="2" t="str">
        <f>IF($G84="","",K$82*$G84)</f>
        <v/>
      </c>
      <c r="L84" s="2" t="str">
        <f t="shared" si="20"/>
        <v/>
      </c>
      <c r="M84" s="2" t="str">
        <f t="shared" si="20"/>
        <v/>
      </c>
      <c r="N84" s="12" t="str">
        <f t="shared" si="20"/>
        <v/>
      </c>
    </row>
    <row r="85" spans="1:14" x14ac:dyDescent="0.2">
      <c r="A85" s="627" t="str">
        <f t="shared" si="19"/>
        <v>AAA</v>
      </c>
      <c r="B85" s="628"/>
      <c r="C85" s="77" t="s">
        <v>9363</v>
      </c>
      <c r="D85" s="77" t="s">
        <v>9363</v>
      </c>
      <c r="E85" s="77">
        <f t="shared" si="21"/>
        <v>0</v>
      </c>
      <c r="F85" s="16" t="str">
        <f>IF($A$82="","",IF(VLOOKUP($A84,Products!$A$59:$H$159,5,FALSE)="","",VLOOKUP($A84,Products!$A$59:$H$159,5,FALSE)))</f>
        <v/>
      </c>
      <c r="G85" s="16" t="str">
        <f>IF($A$82="","",IF(VLOOKUP($A84,Products!$A$59:$H$159,8,FALSE)="","",VLOOKUP($A84,Products!$A$59:$H$159,8,FALSE)))</f>
        <v/>
      </c>
      <c r="H85" s="77" t="s">
        <v>9363</v>
      </c>
      <c r="I85" s="77" t="s">
        <v>9363</v>
      </c>
      <c r="J85" s="77" t="s">
        <v>9363</v>
      </c>
      <c r="K85" s="2" t="str">
        <f t="shared" ref="K85:K92" si="22">IF($G85="","",K$82*$G85)</f>
        <v/>
      </c>
      <c r="L85" s="2" t="str">
        <f t="shared" si="20"/>
        <v/>
      </c>
      <c r="M85" s="2" t="str">
        <f t="shared" si="20"/>
        <v/>
      </c>
      <c r="N85" s="12" t="str">
        <f t="shared" si="20"/>
        <v/>
      </c>
    </row>
    <row r="86" spans="1:14" x14ac:dyDescent="0.2">
      <c r="A86" s="627" t="str">
        <f t="shared" si="19"/>
        <v>AAAA</v>
      </c>
      <c r="B86" s="628"/>
      <c r="C86" s="77" t="s">
        <v>9363</v>
      </c>
      <c r="D86" s="77" t="s">
        <v>9363</v>
      </c>
      <c r="E86" s="77">
        <f t="shared" si="21"/>
        <v>0</v>
      </c>
      <c r="F86" s="16" t="str">
        <f>IF($A$82="","",IF(VLOOKUP($A85,Products!$A$59:$H$159,5,FALSE)="","",VLOOKUP($A85,Products!$A$59:$H$159,5,FALSE)))</f>
        <v/>
      </c>
      <c r="G86" s="16" t="str">
        <f>IF($A$82="","",IF(VLOOKUP($A85,Products!$A$59:$H$159,8,FALSE)="","",VLOOKUP($A85,Products!$A$59:$H$159,8,FALSE)))</f>
        <v/>
      </c>
      <c r="H86" s="77" t="s">
        <v>9363</v>
      </c>
      <c r="I86" s="77" t="s">
        <v>9363</v>
      </c>
      <c r="J86" s="77" t="s">
        <v>9363</v>
      </c>
      <c r="K86" s="2" t="str">
        <f t="shared" si="22"/>
        <v/>
      </c>
      <c r="L86" s="2" t="str">
        <f t="shared" si="20"/>
        <v/>
      </c>
      <c r="M86" s="2" t="str">
        <f t="shared" si="20"/>
        <v/>
      </c>
      <c r="N86" s="12" t="str">
        <f t="shared" si="20"/>
        <v/>
      </c>
    </row>
    <row r="87" spans="1:14" x14ac:dyDescent="0.2">
      <c r="A87" s="627" t="str">
        <f t="shared" si="19"/>
        <v>AAAAA</v>
      </c>
      <c r="B87" s="628"/>
      <c r="C87" s="77" t="s">
        <v>9363</v>
      </c>
      <c r="D87" s="77" t="s">
        <v>9363</v>
      </c>
      <c r="E87" s="77">
        <f t="shared" si="21"/>
        <v>0</v>
      </c>
      <c r="F87" s="16" t="str">
        <f>IF($A$82="","",IF(VLOOKUP($A86,Products!$A$59:$H$159,5,FALSE)="","",VLOOKUP($A86,Products!$A$59:$H$159,5,FALSE)))</f>
        <v/>
      </c>
      <c r="G87" s="16" t="str">
        <f>IF($A$82="","",IF(VLOOKUP($A86,Products!$A$59:$H$159,8,FALSE)="","",VLOOKUP($A86,Products!$A$59:$H$159,8,FALSE)))</f>
        <v/>
      </c>
      <c r="H87" s="77" t="s">
        <v>9363</v>
      </c>
      <c r="I87" s="77" t="s">
        <v>9363</v>
      </c>
      <c r="J87" s="77" t="s">
        <v>9363</v>
      </c>
      <c r="K87" s="2" t="str">
        <f t="shared" si="22"/>
        <v/>
      </c>
      <c r="L87" s="2" t="str">
        <f t="shared" si="20"/>
        <v/>
      </c>
      <c r="M87" s="2" t="str">
        <f>IF($G87="","",M$82*$G87)</f>
        <v/>
      </c>
      <c r="N87" s="12" t="str">
        <f t="shared" si="20"/>
        <v/>
      </c>
    </row>
    <row r="88" spans="1:14" x14ac:dyDescent="0.2">
      <c r="A88" s="627" t="str">
        <f t="shared" si="19"/>
        <v>AAAAAA</v>
      </c>
      <c r="B88" s="628"/>
      <c r="C88" s="77" t="s">
        <v>9363</v>
      </c>
      <c r="D88" s="77" t="s">
        <v>9363</v>
      </c>
      <c r="E88" s="77">
        <f t="shared" si="21"/>
        <v>0</v>
      </c>
      <c r="F88" s="16" t="str">
        <f>IF($A$82="","",IF(VLOOKUP($A87,Products!$A$59:$H$159,5,FALSE)="","",VLOOKUP($A87,Products!$A$59:$H$159,5,FALSE)))</f>
        <v/>
      </c>
      <c r="G88" s="16" t="str">
        <f>IF($A$82="","",IF(VLOOKUP($A87,Products!$A$59:$H$159,8,FALSE)="","",VLOOKUP($A87,Products!$A$59:$H$159,8,FALSE)))</f>
        <v/>
      </c>
      <c r="H88" s="77" t="s">
        <v>9363</v>
      </c>
      <c r="I88" s="77" t="s">
        <v>9363</v>
      </c>
      <c r="J88" s="77" t="s">
        <v>9363</v>
      </c>
      <c r="K88" s="2" t="str">
        <f t="shared" si="22"/>
        <v/>
      </c>
      <c r="L88" s="2" t="str">
        <f t="shared" si="20"/>
        <v/>
      </c>
      <c r="M88" s="2" t="str">
        <f t="shared" si="20"/>
        <v/>
      </c>
      <c r="N88" s="12" t="str">
        <f t="shared" si="20"/>
        <v/>
      </c>
    </row>
    <row r="89" spans="1:14" x14ac:dyDescent="0.2">
      <c r="A89" s="627" t="str">
        <f t="shared" si="19"/>
        <v>AAAAAAA</v>
      </c>
      <c r="B89" s="628"/>
      <c r="C89" s="77" t="s">
        <v>9363</v>
      </c>
      <c r="D89" s="77" t="s">
        <v>9363</v>
      </c>
      <c r="E89" s="77">
        <f t="shared" si="21"/>
        <v>0</v>
      </c>
      <c r="F89" s="16" t="str">
        <f>IF($A$82="","",IF(VLOOKUP($A88,Products!$A$59:$H$159,5,FALSE)="","",VLOOKUP($A88,Products!$A$59:$H$159,5,FALSE)))</f>
        <v/>
      </c>
      <c r="G89" s="16" t="str">
        <f>IF($A$82="","",IF(VLOOKUP($A88,Products!$A$59:$H$159,8,FALSE)="","",VLOOKUP($A88,Products!$A$59:$H$159,8,FALSE)))</f>
        <v/>
      </c>
      <c r="H89" s="77" t="s">
        <v>9363</v>
      </c>
      <c r="I89" s="77" t="s">
        <v>9363</v>
      </c>
      <c r="J89" s="77" t="s">
        <v>9363</v>
      </c>
      <c r="K89" s="2" t="str">
        <f t="shared" si="22"/>
        <v/>
      </c>
      <c r="L89" s="2" t="str">
        <f t="shared" si="20"/>
        <v/>
      </c>
      <c r="M89" s="2" t="str">
        <f>IF($G89="","",M$82*$G89)</f>
        <v/>
      </c>
      <c r="N89" s="12" t="str">
        <f t="shared" si="20"/>
        <v/>
      </c>
    </row>
    <row r="90" spans="1:14" x14ac:dyDescent="0.2">
      <c r="A90" s="627" t="str">
        <f t="shared" si="19"/>
        <v>AAAAAAAA</v>
      </c>
      <c r="B90" s="628"/>
      <c r="C90" s="77" t="s">
        <v>9363</v>
      </c>
      <c r="D90" s="77" t="s">
        <v>9363</v>
      </c>
      <c r="E90" s="77">
        <f t="shared" si="21"/>
        <v>0</v>
      </c>
      <c r="F90" s="16" t="str">
        <f>IF($A$82="","",IF(VLOOKUP($A89,Products!$A$59:$H$159,5,FALSE)="","",VLOOKUP($A89,Products!$A$59:$H$159,5,FALSE)))</f>
        <v/>
      </c>
      <c r="G90" s="16" t="str">
        <f>IF($A$82="","",IF(VLOOKUP($A89,Products!$A$59:$H$159,8,FALSE)="","",VLOOKUP($A89,Products!$A$59:$H$159,8,FALSE)))</f>
        <v/>
      </c>
      <c r="H90" s="77" t="s">
        <v>9363</v>
      </c>
      <c r="I90" s="77" t="s">
        <v>9363</v>
      </c>
      <c r="J90" s="77" t="s">
        <v>9363</v>
      </c>
      <c r="K90" s="2" t="str">
        <f t="shared" si="22"/>
        <v/>
      </c>
      <c r="L90" s="2" t="str">
        <f t="shared" si="20"/>
        <v/>
      </c>
      <c r="M90" s="2" t="str">
        <f t="shared" si="20"/>
        <v/>
      </c>
      <c r="N90" s="12" t="str">
        <f t="shared" si="20"/>
        <v/>
      </c>
    </row>
    <row r="91" spans="1:14" x14ac:dyDescent="0.2">
      <c r="A91" s="627" t="str">
        <f t="shared" si="19"/>
        <v>AAAAAAAAA</v>
      </c>
      <c r="B91" s="628"/>
      <c r="C91" s="77" t="s">
        <v>9363</v>
      </c>
      <c r="D91" s="77" t="s">
        <v>9363</v>
      </c>
      <c r="E91" s="77">
        <f t="shared" si="21"/>
        <v>0</v>
      </c>
      <c r="F91" s="16" t="str">
        <f>IF($A$82="","",IF(VLOOKUP($A90,Products!$A$59:$H$159,5,FALSE)="","",VLOOKUP($A90,Products!$A$59:$H$159,5,FALSE)))</f>
        <v/>
      </c>
      <c r="G91" s="16" t="str">
        <f>IF($A$82="","",IF(VLOOKUP($A90,Products!$A$59:$H$159,8,FALSE)="","",VLOOKUP($A90,Products!$A$59:$H$159,8,FALSE)))</f>
        <v/>
      </c>
      <c r="H91" s="77" t="s">
        <v>9363</v>
      </c>
      <c r="I91" s="77" t="s">
        <v>9363</v>
      </c>
      <c r="J91" s="77" t="s">
        <v>9363</v>
      </c>
      <c r="K91" s="2" t="str">
        <f t="shared" si="22"/>
        <v/>
      </c>
      <c r="L91" s="2" t="str">
        <f t="shared" si="20"/>
        <v/>
      </c>
      <c r="M91" s="2" t="str">
        <f t="shared" si="20"/>
        <v/>
      </c>
      <c r="N91" s="12" t="str">
        <f t="shared" si="20"/>
        <v/>
      </c>
    </row>
    <row r="92" spans="1:14" x14ac:dyDescent="0.2">
      <c r="A92" s="627" t="str">
        <f t="shared" si="19"/>
        <v>AAAAAAAAAA</v>
      </c>
      <c r="B92" s="628"/>
      <c r="C92" s="77" t="s">
        <v>9363</v>
      </c>
      <c r="D92" s="77" t="s">
        <v>9363</v>
      </c>
      <c r="E92" s="77">
        <f t="shared" si="21"/>
        <v>0</v>
      </c>
      <c r="F92" s="16" t="str">
        <f>IF($A$82="","",IF(VLOOKUP($A91,Products!$A$59:$H$159,5,FALSE)="","",VLOOKUP($A91,Products!$A$59:$H$159,5,FALSE)))</f>
        <v/>
      </c>
      <c r="G92" s="16" t="str">
        <f>IF($A$82="","",IF(VLOOKUP($A91,Products!$A$59:$H$159,8,FALSE)="","",VLOOKUP($A91,Products!$A$59:$H$159,8,FALSE)))</f>
        <v/>
      </c>
      <c r="H92" s="77" t="s">
        <v>9363</v>
      </c>
      <c r="I92" s="77" t="s">
        <v>9363</v>
      </c>
      <c r="J92" s="77" t="s">
        <v>9363</v>
      </c>
      <c r="K92" s="2" t="str">
        <f t="shared" si="22"/>
        <v/>
      </c>
      <c r="L92" s="2" t="str">
        <f t="shared" si="20"/>
        <v/>
      </c>
      <c r="M92" s="2" t="str">
        <f t="shared" si="20"/>
        <v/>
      </c>
      <c r="N92" s="12" t="str">
        <f t="shared" si="20"/>
        <v/>
      </c>
    </row>
    <row r="93" spans="1:14" x14ac:dyDescent="0.2">
      <c r="A93" s="651"/>
      <c r="B93" s="615"/>
      <c r="C93" s="41"/>
      <c r="D93" s="41"/>
      <c r="E93" s="41"/>
      <c r="F93" s="16" t="s">
        <v>291</v>
      </c>
      <c r="G93" s="16">
        <v>1</v>
      </c>
      <c r="H93" s="16" t="str">
        <f>IF(A93="","",IF(VLOOKUP($A93,Products!$A$59:$H$159,2,FALSE)="","",VLOOKUP($A93,Products!$A$59:$H$159,2,FALSE)))</f>
        <v/>
      </c>
      <c r="I93" s="16" t="str">
        <f>IF(A93="","",IF(VLOOKUP($A93,Products!$A$59:$H$159,3,FALSE)="","",VLOOKUP($A93,Products!$A$59:$H$159,3,FALSE)))</f>
        <v/>
      </c>
      <c r="J93" s="16" t="str">
        <f>IF(A93="","",IF(VLOOKUP($A93,Products!$A$59:$H$159,4,FALSE)="","",VLOOKUP($A93,Products!$A$59:$H$159,4,FALSE)))</f>
        <v/>
      </c>
      <c r="K93" s="2" t="str">
        <f>IF(OR($A93="",C93="",$E93=""),"",((12.46*$F$21*$I93*$H93)/$F$22)*((C93*42)/1000)*(IF($E93="YES",(1-$F$20),1)))</f>
        <v/>
      </c>
      <c r="L93" s="2" t="str">
        <f>IF(OR($A93="",$D93="",$E93=""),"",((12.46*$F$21*$J93*$H93)/$F$23)*(($D93*42)/1000)*(1/2000)*(IF($E93="YES",(1-$F$20),1)))</f>
        <v/>
      </c>
      <c r="M93" s="2" t="str">
        <f>IF(OR($A93="",$C93="",$E93=""),"",((12.46*$F$21*$I93*$H93)/$F$22)*(($C93*42)/1000)*(IF($E93="YES",$F$20,0)))</f>
        <v/>
      </c>
      <c r="N93" s="12" t="str">
        <f>IF(OR($A93="",$D93="",$E93=""),"",((12.46*$F$21*$J93*$H93)/$F$23)*(($D93*42)/1000)*(1/2000)*(IF($E93="YES",$F$20,0)))</f>
        <v/>
      </c>
    </row>
    <row r="94" spans="1:14" x14ac:dyDescent="0.2">
      <c r="A94" s="627" t="str">
        <f t="shared" ref="A94:A103" si="23">A93&amp;"A"</f>
        <v>A</v>
      </c>
      <c r="B94" s="628"/>
      <c r="C94" s="77" t="s">
        <v>9363</v>
      </c>
      <c r="D94" s="77" t="s">
        <v>9363</v>
      </c>
      <c r="E94" s="77">
        <f>E93</f>
        <v>0</v>
      </c>
      <c r="F94" s="16" t="str">
        <f>IF($A$93="","",IF(VLOOKUP($A93,Products!$A$59:$H$159,5,FALSE)="","",VLOOKUP($A93,Products!$A$59:$H$159,5,FALSE)))</f>
        <v/>
      </c>
      <c r="G94" s="16" t="str">
        <f>IF($A$93="","",IF(VLOOKUP($A93,Products!$A$59:$H$159,8,FALSE)="","",VLOOKUP($A93,Products!$A$59:$H$159,8,FALSE)))</f>
        <v/>
      </c>
      <c r="H94" s="77" t="s">
        <v>9363</v>
      </c>
      <c r="I94" s="77" t="s">
        <v>9363</v>
      </c>
      <c r="J94" s="77" t="s">
        <v>9363</v>
      </c>
      <c r="K94" s="2" t="str">
        <f>IF($G94="","",K$93*$G94)</f>
        <v/>
      </c>
      <c r="L94" s="2" t="str">
        <f t="shared" ref="L94:N103" si="24">IF($G94="","",L$93*$G94)</f>
        <v/>
      </c>
      <c r="M94" s="2" t="str">
        <f t="shared" si="24"/>
        <v/>
      </c>
      <c r="N94" s="12" t="str">
        <f t="shared" si="24"/>
        <v/>
      </c>
    </row>
    <row r="95" spans="1:14" x14ac:dyDescent="0.2">
      <c r="A95" s="627" t="str">
        <f t="shared" si="23"/>
        <v>AA</v>
      </c>
      <c r="B95" s="628"/>
      <c r="C95" s="77" t="s">
        <v>9363</v>
      </c>
      <c r="D95" s="77" t="s">
        <v>9363</v>
      </c>
      <c r="E95" s="77">
        <f t="shared" ref="E95:E103" si="25">E94</f>
        <v>0</v>
      </c>
      <c r="F95" s="16" t="str">
        <f>IF($A$93="","",IF(VLOOKUP($A94,Products!$A$59:$H$159,5,FALSE)="","",VLOOKUP($A94,Products!$A$59:$H$159,5,FALSE)))</f>
        <v/>
      </c>
      <c r="G95" s="16" t="str">
        <f>IF($A$93="","",IF(VLOOKUP($A94,Products!$A$59:$H$159,8,FALSE)="","",VLOOKUP($A94,Products!$A$59:$H$159,8,FALSE)))</f>
        <v/>
      </c>
      <c r="H95" s="77" t="s">
        <v>9363</v>
      </c>
      <c r="I95" s="77" t="s">
        <v>9363</v>
      </c>
      <c r="J95" s="77" t="s">
        <v>9363</v>
      </c>
      <c r="K95" s="2" t="str">
        <f t="shared" ref="K95:K103" si="26">IF($G95="","",K$93*$G95)</f>
        <v/>
      </c>
      <c r="L95" s="2" t="str">
        <f t="shared" si="24"/>
        <v/>
      </c>
      <c r="M95" s="2" t="str">
        <f t="shared" si="24"/>
        <v/>
      </c>
      <c r="N95" s="12" t="str">
        <f t="shared" si="24"/>
        <v/>
      </c>
    </row>
    <row r="96" spans="1:14" x14ac:dyDescent="0.2">
      <c r="A96" s="627" t="str">
        <f t="shared" si="23"/>
        <v>AAA</v>
      </c>
      <c r="B96" s="628"/>
      <c r="C96" s="77" t="s">
        <v>9363</v>
      </c>
      <c r="D96" s="77" t="s">
        <v>9363</v>
      </c>
      <c r="E96" s="77">
        <f t="shared" si="25"/>
        <v>0</v>
      </c>
      <c r="F96" s="16" t="str">
        <f>IF($A$93="","",IF(VLOOKUP($A95,Products!$A$59:$H$159,5,FALSE)="","",VLOOKUP($A95,Products!$A$59:$H$159,5,FALSE)))</f>
        <v/>
      </c>
      <c r="G96" s="16" t="str">
        <f>IF($A$93="","",IF(VLOOKUP($A95,Products!$A$59:$H$159,8,FALSE)="","",VLOOKUP($A95,Products!$A$59:$H$159,8,FALSE)))</f>
        <v/>
      </c>
      <c r="H96" s="77" t="s">
        <v>9363</v>
      </c>
      <c r="I96" s="77" t="s">
        <v>9363</v>
      </c>
      <c r="J96" s="77" t="s">
        <v>9363</v>
      </c>
      <c r="K96" s="2" t="str">
        <f t="shared" si="26"/>
        <v/>
      </c>
      <c r="L96" s="2" t="str">
        <f t="shared" si="24"/>
        <v/>
      </c>
      <c r="M96" s="2" t="str">
        <f t="shared" si="24"/>
        <v/>
      </c>
      <c r="N96" s="12" t="str">
        <f t="shared" si="24"/>
        <v/>
      </c>
    </row>
    <row r="97" spans="1:14" x14ac:dyDescent="0.2">
      <c r="A97" s="627" t="str">
        <f t="shared" si="23"/>
        <v>AAAA</v>
      </c>
      <c r="B97" s="628"/>
      <c r="C97" s="77" t="s">
        <v>9363</v>
      </c>
      <c r="D97" s="77" t="s">
        <v>9363</v>
      </c>
      <c r="E97" s="77">
        <f t="shared" si="25"/>
        <v>0</v>
      </c>
      <c r="F97" s="16" t="str">
        <f>IF($A$93="","",IF(VLOOKUP($A96,Products!$A$59:$H$159,5,FALSE)="","",VLOOKUP($A96,Products!$A$59:$H$159,5,FALSE)))</f>
        <v/>
      </c>
      <c r="G97" s="16" t="str">
        <f>IF($A$93="","",IF(VLOOKUP($A96,Products!$A$59:$H$159,8,FALSE)="","",VLOOKUP($A96,Products!$A$59:$H$159,8,FALSE)))</f>
        <v/>
      </c>
      <c r="H97" s="77" t="s">
        <v>9363</v>
      </c>
      <c r="I97" s="77" t="s">
        <v>9363</v>
      </c>
      <c r="J97" s="77" t="s">
        <v>9363</v>
      </c>
      <c r="K97" s="2" t="str">
        <f t="shared" si="26"/>
        <v/>
      </c>
      <c r="L97" s="2" t="str">
        <f t="shared" si="24"/>
        <v/>
      </c>
      <c r="M97" s="2" t="str">
        <f t="shared" si="24"/>
        <v/>
      </c>
      <c r="N97" s="12" t="str">
        <f t="shared" si="24"/>
        <v/>
      </c>
    </row>
    <row r="98" spans="1:14" x14ac:dyDescent="0.2">
      <c r="A98" s="627" t="str">
        <f t="shared" si="23"/>
        <v>AAAAA</v>
      </c>
      <c r="B98" s="628"/>
      <c r="C98" s="77" t="s">
        <v>9363</v>
      </c>
      <c r="D98" s="77" t="s">
        <v>9363</v>
      </c>
      <c r="E98" s="77">
        <f t="shared" si="25"/>
        <v>0</v>
      </c>
      <c r="F98" s="16" t="str">
        <f>IF($A$93="","",IF(VLOOKUP($A97,Products!$A$59:$H$159,5,FALSE)="","",VLOOKUP($A97,Products!$A$59:$H$159,5,FALSE)))</f>
        <v/>
      </c>
      <c r="G98" s="16" t="str">
        <f>IF($A$93="","",IF(VLOOKUP($A97,Products!$A$59:$H$159,8,FALSE)="","",VLOOKUP($A97,Products!$A$59:$H$159,8,FALSE)))</f>
        <v/>
      </c>
      <c r="H98" s="77" t="s">
        <v>9363</v>
      </c>
      <c r="I98" s="77" t="s">
        <v>9363</v>
      </c>
      <c r="J98" s="77" t="s">
        <v>9363</v>
      </c>
      <c r="K98" s="2" t="str">
        <f t="shared" si="26"/>
        <v/>
      </c>
      <c r="L98" s="2" t="str">
        <f t="shared" si="24"/>
        <v/>
      </c>
      <c r="M98" s="2" t="str">
        <f t="shared" si="24"/>
        <v/>
      </c>
      <c r="N98" s="12" t="str">
        <f t="shared" si="24"/>
        <v/>
      </c>
    </row>
    <row r="99" spans="1:14" x14ac:dyDescent="0.2">
      <c r="A99" s="627" t="str">
        <f t="shared" si="23"/>
        <v>AAAAAA</v>
      </c>
      <c r="B99" s="628"/>
      <c r="C99" s="77" t="s">
        <v>9363</v>
      </c>
      <c r="D99" s="77" t="s">
        <v>9363</v>
      </c>
      <c r="E99" s="77">
        <f t="shared" si="25"/>
        <v>0</v>
      </c>
      <c r="F99" s="16" t="str">
        <f>IF($A$93="","",IF(VLOOKUP($A98,Products!$A$59:$H$159,5,FALSE)="","",VLOOKUP($A98,Products!$A$59:$H$159,5,FALSE)))</f>
        <v/>
      </c>
      <c r="G99" s="16" t="str">
        <f>IF($A$93="","",IF(VLOOKUP($A98,Products!$A$59:$H$159,8,FALSE)="","",VLOOKUP($A98,Products!$A$59:$H$159,8,FALSE)))</f>
        <v/>
      </c>
      <c r="H99" s="77" t="s">
        <v>9363</v>
      </c>
      <c r="I99" s="77" t="s">
        <v>9363</v>
      </c>
      <c r="J99" s="77" t="s">
        <v>9363</v>
      </c>
      <c r="K99" s="2" t="str">
        <f t="shared" si="26"/>
        <v/>
      </c>
      <c r="L99" s="2" t="str">
        <f t="shared" si="24"/>
        <v/>
      </c>
      <c r="M99" s="2" t="str">
        <f t="shared" si="24"/>
        <v/>
      </c>
      <c r="N99" s="12" t="str">
        <f t="shared" si="24"/>
        <v/>
      </c>
    </row>
    <row r="100" spans="1:14" x14ac:dyDescent="0.2">
      <c r="A100" s="627" t="str">
        <f t="shared" si="23"/>
        <v>AAAAAAA</v>
      </c>
      <c r="B100" s="628"/>
      <c r="C100" s="77" t="s">
        <v>9363</v>
      </c>
      <c r="D100" s="77" t="s">
        <v>9363</v>
      </c>
      <c r="E100" s="77">
        <f t="shared" si="25"/>
        <v>0</v>
      </c>
      <c r="F100" s="16" t="str">
        <f>IF($A$93="","",IF(VLOOKUP($A99,Products!$A$59:$H$159,5,FALSE)="","",VLOOKUP($A99,Products!$A$59:$H$159,5,FALSE)))</f>
        <v/>
      </c>
      <c r="G100" s="16" t="str">
        <f>IF($A$93="","",IF(VLOOKUP($A99,Products!$A$59:$H$159,8,FALSE)="","",VLOOKUP($A99,Products!$A$59:$H$159,8,FALSE)))</f>
        <v/>
      </c>
      <c r="H100" s="77" t="s">
        <v>9363</v>
      </c>
      <c r="I100" s="77" t="s">
        <v>9363</v>
      </c>
      <c r="J100" s="77" t="s">
        <v>9363</v>
      </c>
      <c r="K100" s="2" t="str">
        <f t="shared" si="26"/>
        <v/>
      </c>
      <c r="L100" s="2" t="str">
        <f t="shared" si="24"/>
        <v/>
      </c>
      <c r="M100" s="2" t="str">
        <f t="shared" si="24"/>
        <v/>
      </c>
      <c r="N100" s="12" t="str">
        <f t="shared" si="24"/>
        <v/>
      </c>
    </row>
    <row r="101" spans="1:14" x14ac:dyDescent="0.2">
      <c r="A101" s="627" t="str">
        <f t="shared" si="23"/>
        <v>AAAAAAAA</v>
      </c>
      <c r="B101" s="628"/>
      <c r="C101" s="77" t="s">
        <v>9363</v>
      </c>
      <c r="D101" s="77" t="s">
        <v>9363</v>
      </c>
      <c r="E101" s="77">
        <f t="shared" si="25"/>
        <v>0</v>
      </c>
      <c r="F101" s="16" t="str">
        <f>IF($A$93="","",IF(VLOOKUP($A100,Products!$A$59:$H$159,5,FALSE)="","",VLOOKUP($A100,Products!$A$59:$H$159,5,FALSE)))</f>
        <v/>
      </c>
      <c r="G101" s="16" t="str">
        <f>IF($A$93="","",IF(VLOOKUP($A100,Products!$A$59:$H$159,8,FALSE)="","",VLOOKUP($A100,Products!$A$59:$H$159,8,FALSE)))</f>
        <v/>
      </c>
      <c r="H101" s="77" t="s">
        <v>9363</v>
      </c>
      <c r="I101" s="77" t="s">
        <v>9363</v>
      </c>
      <c r="J101" s="77" t="s">
        <v>9363</v>
      </c>
      <c r="K101" s="2" t="str">
        <f t="shared" si="26"/>
        <v/>
      </c>
      <c r="L101" s="2" t="str">
        <f t="shared" si="24"/>
        <v/>
      </c>
      <c r="M101" s="2" t="str">
        <f t="shared" si="24"/>
        <v/>
      </c>
      <c r="N101" s="12" t="str">
        <f t="shared" si="24"/>
        <v/>
      </c>
    </row>
    <row r="102" spans="1:14" x14ac:dyDescent="0.2">
      <c r="A102" s="627" t="str">
        <f t="shared" si="23"/>
        <v>AAAAAAAAA</v>
      </c>
      <c r="B102" s="628"/>
      <c r="C102" s="77" t="s">
        <v>9363</v>
      </c>
      <c r="D102" s="77" t="s">
        <v>9363</v>
      </c>
      <c r="E102" s="77">
        <f t="shared" si="25"/>
        <v>0</v>
      </c>
      <c r="F102" s="16" t="str">
        <f>IF($A$93="","",IF(VLOOKUP($A101,Products!$A$59:$H$159,5,FALSE)="","",VLOOKUP($A101,Products!$A$59:$H$159,5,FALSE)))</f>
        <v/>
      </c>
      <c r="G102" s="16" t="str">
        <f>IF($A$93="","",IF(VLOOKUP($A101,Products!$A$59:$H$159,8,FALSE)="","",VLOOKUP($A101,Products!$A$59:$H$159,8,FALSE)))</f>
        <v/>
      </c>
      <c r="H102" s="77" t="s">
        <v>9363</v>
      </c>
      <c r="I102" s="77" t="s">
        <v>9363</v>
      </c>
      <c r="J102" s="77" t="s">
        <v>9363</v>
      </c>
      <c r="K102" s="2" t="str">
        <f t="shared" si="26"/>
        <v/>
      </c>
      <c r="L102" s="2" t="str">
        <f t="shared" si="24"/>
        <v/>
      </c>
      <c r="M102" s="2" t="str">
        <f t="shared" si="24"/>
        <v/>
      </c>
      <c r="N102" s="12" t="str">
        <f t="shared" si="24"/>
        <v/>
      </c>
    </row>
    <row r="103" spans="1:14" x14ac:dyDescent="0.2">
      <c r="A103" s="627" t="str">
        <f t="shared" si="23"/>
        <v>AAAAAAAAAA</v>
      </c>
      <c r="B103" s="628"/>
      <c r="C103" s="77" t="s">
        <v>9363</v>
      </c>
      <c r="D103" s="77" t="s">
        <v>9363</v>
      </c>
      <c r="E103" s="77">
        <f t="shared" si="25"/>
        <v>0</v>
      </c>
      <c r="F103" s="16" t="str">
        <f>IF($A$93="","",IF(VLOOKUP($A102,Products!$A$59:$H$159,5,FALSE)="","",VLOOKUP($A102,Products!$A$59:$H$159,5,FALSE)))</f>
        <v/>
      </c>
      <c r="G103" s="16" t="str">
        <f>IF($A$93="","",IF(VLOOKUP($A102,Products!$A$59:$H$159,8,FALSE)="","",VLOOKUP($A102,Products!$A$59:$H$159,8,FALSE)))</f>
        <v/>
      </c>
      <c r="H103" s="77" t="s">
        <v>9363</v>
      </c>
      <c r="I103" s="77" t="s">
        <v>9363</v>
      </c>
      <c r="J103" s="77" t="s">
        <v>9363</v>
      </c>
      <c r="K103" s="2" t="str">
        <f t="shared" si="26"/>
        <v/>
      </c>
      <c r="L103" s="2" t="str">
        <f t="shared" si="24"/>
        <v/>
      </c>
      <c r="M103" s="2" t="str">
        <f t="shared" si="24"/>
        <v/>
      </c>
      <c r="N103" s="12" t="str">
        <f t="shared" si="24"/>
        <v/>
      </c>
    </row>
    <row r="104" spans="1:14" x14ac:dyDescent="0.2">
      <c r="A104" s="651"/>
      <c r="B104" s="615"/>
      <c r="C104" s="41"/>
      <c r="D104" s="41"/>
      <c r="E104" s="41"/>
      <c r="F104" s="16" t="s">
        <v>291</v>
      </c>
      <c r="G104" s="16">
        <v>1</v>
      </c>
      <c r="H104" s="16" t="str">
        <f>IF(A104="","",IF(VLOOKUP($A104,Products!$A$59:$H$159,2,FALSE)="","",VLOOKUP($A104,Products!$A$59:$H$159,2,FALSE)))</f>
        <v/>
      </c>
      <c r="I104" s="16" t="str">
        <f>IF(A104="","",IF(VLOOKUP($A104,Products!$A$59:$H$159,3,FALSE)="","",VLOOKUP($A104,Products!$A$59:$H$159,3,FALSE)))</f>
        <v/>
      </c>
      <c r="J104" s="16" t="str">
        <f>IF(A104="","",IF(VLOOKUP($A104,Products!$A$59:$H$159,4,FALSE)="","",VLOOKUP($A104,Products!$A$59:$H$159,4,FALSE)))</f>
        <v/>
      </c>
      <c r="K104" s="2" t="str">
        <f>IF(OR($A104="",C104="",$E104=""),"",((12.46*$F$21*$I104*$H104)/$F$22)*((C104*42)/1000)*(IF($E104="YES",(1-$F$20),1)))</f>
        <v/>
      </c>
      <c r="L104" s="2" t="str">
        <f>IF(OR($A104="",$D104="",$E104=""),"",((12.46*$F$21*$J104*$H104)/$F$23)*(($D104*42)/1000)*(1/2000)*(IF($E104="YES",(1-$F$20),1)))</f>
        <v/>
      </c>
      <c r="M104" s="2" t="str">
        <f>IF(OR($A104="",$C104="",$E104=""),"",((12.46*$F$21*$I104*$H104)/$F$22)*(($C104*42)/1000)*(IF($E104="YES",$F$20,0)))</f>
        <v/>
      </c>
      <c r="N104" s="12" t="str">
        <f>IF(OR($A104="",$D104="",$E104=""),"",((12.46*$F$21*$J104*$H104)/$F$23)*(($D104*42)/1000)*(1/2000)*(IF($E104="YES",$F$20,0)))</f>
        <v/>
      </c>
    </row>
    <row r="105" spans="1:14" x14ac:dyDescent="0.2">
      <c r="A105" s="627" t="str">
        <f t="shared" ref="A105:A114" si="27">A104&amp;"A"</f>
        <v>A</v>
      </c>
      <c r="B105" s="628"/>
      <c r="C105" s="77" t="s">
        <v>9363</v>
      </c>
      <c r="D105" s="77" t="s">
        <v>9363</v>
      </c>
      <c r="E105" s="77">
        <f>E104</f>
        <v>0</v>
      </c>
      <c r="F105" s="16" t="str">
        <f>IF($A$104="","",IF(VLOOKUP($A104,Products!$A$59:$H$159,5,FALSE)="","",VLOOKUP($A104,Products!$A$59:$H$159,5,FALSE)))</f>
        <v/>
      </c>
      <c r="G105" s="16" t="str">
        <f>IF($A$104="","",IF(VLOOKUP($A104,Products!$A$59:$H$159,8,FALSE)="","",VLOOKUP($A104,Products!$A$59:$H$159,8,FALSE)))</f>
        <v/>
      </c>
      <c r="H105" s="77" t="s">
        <v>9363</v>
      </c>
      <c r="I105" s="77" t="s">
        <v>9363</v>
      </c>
      <c r="J105" s="77" t="s">
        <v>9363</v>
      </c>
      <c r="K105" s="2" t="str">
        <f>IF($G105="","",K$104*$G105)</f>
        <v/>
      </c>
      <c r="L105" s="2" t="str">
        <f t="shared" ref="L105:N114" si="28">IF($G105="","",L$104*$G105)</f>
        <v/>
      </c>
      <c r="M105" s="2" t="str">
        <f t="shared" si="28"/>
        <v/>
      </c>
      <c r="N105" s="12" t="str">
        <f t="shared" si="28"/>
        <v/>
      </c>
    </row>
    <row r="106" spans="1:14" x14ac:dyDescent="0.2">
      <c r="A106" s="627" t="str">
        <f t="shared" si="27"/>
        <v>AA</v>
      </c>
      <c r="B106" s="628"/>
      <c r="C106" s="77" t="s">
        <v>9363</v>
      </c>
      <c r="D106" s="77" t="s">
        <v>9363</v>
      </c>
      <c r="E106" s="77">
        <f t="shared" ref="E106:E114" si="29">E105</f>
        <v>0</v>
      </c>
      <c r="F106" s="16" t="str">
        <f>IF($A$104="","",IF(VLOOKUP($A105,Products!$A$59:$H$159,5,FALSE)="","",VLOOKUP($A105,Products!$A$59:$H$159,5,FALSE)))</f>
        <v/>
      </c>
      <c r="G106" s="16" t="str">
        <f>IF($A$104="","",IF(VLOOKUP($A105,Products!$A$59:$H$159,8,FALSE)="","",VLOOKUP($A105,Products!$A$59:$H$159,8,FALSE)))</f>
        <v/>
      </c>
      <c r="H106" s="77" t="s">
        <v>9363</v>
      </c>
      <c r="I106" s="77" t="s">
        <v>9363</v>
      </c>
      <c r="J106" s="77" t="s">
        <v>9363</v>
      </c>
      <c r="K106" s="2" t="str">
        <f t="shared" ref="K106:K114" si="30">IF($G106="","",K$104*$G106)</f>
        <v/>
      </c>
      <c r="L106" s="2" t="str">
        <f t="shared" si="28"/>
        <v/>
      </c>
      <c r="M106" s="2" t="str">
        <f t="shared" si="28"/>
        <v/>
      </c>
      <c r="N106" s="12" t="str">
        <f t="shared" si="28"/>
        <v/>
      </c>
    </row>
    <row r="107" spans="1:14" x14ac:dyDescent="0.2">
      <c r="A107" s="627" t="str">
        <f t="shared" si="27"/>
        <v>AAA</v>
      </c>
      <c r="B107" s="628"/>
      <c r="C107" s="77" t="s">
        <v>9363</v>
      </c>
      <c r="D107" s="77" t="s">
        <v>9363</v>
      </c>
      <c r="E107" s="77">
        <f t="shared" si="29"/>
        <v>0</v>
      </c>
      <c r="F107" s="16" t="str">
        <f>IF($A$104="","",IF(VLOOKUP($A106,Products!$A$59:$H$159,5,FALSE)="","",VLOOKUP($A106,Products!$A$59:$H$159,5,FALSE)))</f>
        <v/>
      </c>
      <c r="G107" s="16" t="str">
        <f>IF($A$104="","",IF(VLOOKUP($A106,Products!$A$59:$H$159,8,FALSE)="","",VLOOKUP($A106,Products!$A$59:$H$159,8,FALSE)))</f>
        <v/>
      </c>
      <c r="H107" s="77" t="s">
        <v>9363</v>
      </c>
      <c r="I107" s="77" t="s">
        <v>9363</v>
      </c>
      <c r="J107" s="77" t="s">
        <v>9363</v>
      </c>
      <c r="K107" s="2" t="str">
        <f t="shared" si="30"/>
        <v/>
      </c>
      <c r="L107" s="2" t="str">
        <f t="shared" si="28"/>
        <v/>
      </c>
      <c r="M107" s="2" t="str">
        <f t="shared" si="28"/>
        <v/>
      </c>
      <c r="N107" s="12" t="str">
        <f t="shared" si="28"/>
        <v/>
      </c>
    </row>
    <row r="108" spans="1:14" x14ac:dyDescent="0.2">
      <c r="A108" s="627" t="str">
        <f t="shared" si="27"/>
        <v>AAAA</v>
      </c>
      <c r="B108" s="628"/>
      <c r="C108" s="77" t="s">
        <v>9363</v>
      </c>
      <c r="D108" s="77" t="s">
        <v>9363</v>
      </c>
      <c r="E108" s="77">
        <f t="shared" si="29"/>
        <v>0</v>
      </c>
      <c r="F108" s="16" t="str">
        <f>IF($A$104="","",IF(VLOOKUP($A107,Products!$A$59:$H$159,5,FALSE)="","",VLOOKUP($A107,Products!$A$59:$H$159,5,FALSE)))</f>
        <v/>
      </c>
      <c r="G108" s="16" t="str">
        <f>IF($A$104="","",IF(VLOOKUP($A107,Products!$A$59:$H$159,8,FALSE)="","",VLOOKUP($A107,Products!$A$59:$H$159,8,FALSE)))</f>
        <v/>
      </c>
      <c r="H108" s="77" t="s">
        <v>9363</v>
      </c>
      <c r="I108" s="77" t="s">
        <v>9363</v>
      </c>
      <c r="J108" s="77" t="s">
        <v>9363</v>
      </c>
      <c r="K108" s="2" t="str">
        <f t="shared" si="30"/>
        <v/>
      </c>
      <c r="L108" s="2" t="str">
        <f t="shared" si="28"/>
        <v/>
      </c>
      <c r="M108" s="2" t="str">
        <f t="shared" si="28"/>
        <v/>
      </c>
      <c r="N108" s="12" t="str">
        <f t="shared" si="28"/>
        <v/>
      </c>
    </row>
    <row r="109" spans="1:14" x14ac:dyDescent="0.2">
      <c r="A109" s="627" t="str">
        <f t="shared" si="27"/>
        <v>AAAAA</v>
      </c>
      <c r="B109" s="628"/>
      <c r="C109" s="77" t="s">
        <v>9363</v>
      </c>
      <c r="D109" s="77" t="s">
        <v>9363</v>
      </c>
      <c r="E109" s="77">
        <f t="shared" si="29"/>
        <v>0</v>
      </c>
      <c r="F109" s="16" t="str">
        <f>IF($A$104="","",IF(VLOOKUP($A108,Products!$A$59:$H$159,5,FALSE)="","",VLOOKUP($A108,Products!$A$59:$H$159,5,FALSE)))</f>
        <v/>
      </c>
      <c r="G109" s="16" t="str">
        <f>IF($A$104="","",IF(VLOOKUP($A108,Products!$A$59:$H$159,8,FALSE)="","",VLOOKUP($A108,Products!$A$59:$H$159,8,FALSE)))</f>
        <v/>
      </c>
      <c r="H109" s="77" t="s">
        <v>9363</v>
      </c>
      <c r="I109" s="77" t="s">
        <v>9363</v>
      </c>
      <c r="J109" s="77" t="s">
        <v>9363</v>
      </c>
      <c r="K109" s="2" t="str">
        <f t="shared" si="30"/>
        <v/>
      </c>
      <c r="L109" s="2" t="str">
        <f t="shared" si="28"/>
        <v/>
      </c>
      <c r="M109" s="2" t="str">
        <f t="shared" si="28"/>
        <v/>
      </c>
      <c r="N109" s="12" t="str">
        <f t="shared" si="28"/>
        <v/>
      </c>
    </row>
    <row r="110" spans="1:14" x14ac:dyDescent="0.2">
      <c r="A110" s="627" t="str">
        <f t="shared" si="27"/>
        <v>AAAAAA</v>
      </c>
      <c r="B110" s="628"/>
      <c r="C110" s="77" t="s">
        <v>9363</v>
      </c>
      <c r="D110" s="77" t="s">
        <v>9363</v>
      </c>
      <c r="E110" s="77">
        <f t="shared" si="29"/>
        <v>0</v>
      </c>
      <c r="F110" s="16" t="str">
        <f>IF($A$104="","",IF(VLOOKUP($A109,Products!$A$59:$H$159,5,FALSE)="","",VLOOKUP($A109,Products!$A$59:$H$159,5,FALSE)))</f>
        <v/>
      </c>
      <c r="G110" s="16" t="str">
        <f>IF($A$104="","",IF(VLOOKUP($A109,Products!$A$59:$H$159,8,FALSE)="","",VLOOKUP($A109,Products!$A$59:$H$159,8,FALSE)))</f>
        <v/>
      </c>
      <c r="H110" s="77" t="s">
        <v>9363</v>
      </c>
      <c r="I110" s="77" t="s">
        <v>9363</v>
      </c>
      <c r="J110" s="77" t="s">
        <v>9363</v>
      </c>
      <c r="K110" s="2" t="str">
        <f t="shared" si="30"/>
        <v/>
      </c>
      <c r="L110" s="2" t="str">
        <f t="shared" si="28"/>
        <v/>
      </c>
      <c r="M110" s="2" t="str">
        <f t="shared" si="28"/>
        <v/>
      </c>
      <c r="N110" s="12" t="str">
        <f t="shared" si="28"/>
        <v/>
      </c>
    </row>
    <row r="111" spans="1:14" x14ac:dyDescent="0.2">
      <c r="A111" s="627" t="str">
        <f t="shared" si="27"/>
        <v>AAAAAAA</v>
      </c>
      <c r="B111" s="628"/>
      <c r="C111" s="77" t="s">
        <v>9363</v>
      </c>
      <c r="D111" s="77" t="s">
        <v>9363</v>
      </c>
      <c r="E111" s="77">
        <f t="shared" si="29"/>
        <v>0</v>
      </c>
      <c r="F111" s="16" t="str">
        <f>IF($A$104="","",IF(VLOOKUP($A110,Products!$A$59:$H$159,5,FALSE)="","",VLOOKUP($A110,Products!$A$59:$H$159,5,FALSE)))</f>
        <v/>
      </c>
      <c r="G111" s="16" t="str">
        <f>IF($A$104="","",IF(VLOOKUP($A110,Products!$A$59:$H$159,8,FALSE)="","",VLOOKUP($A110,Products!$A$59:$H$159,8,FALSE)))</f>
        <v/>
      </c>
      <c r="H111" s="77" t="s">
        <v>9363</v>
      </c>
      <c r="I111" s="77" t="s">
        <v>9363</v>
      </c>
      <c r="J111" s="77" t="s">
        <v>9363</v>
      </c>
      <c r="K111" s="2" t="str">
        <f t="shared" si="30"/>
        <v/>
      </c>
      <c r="L111" s="2" t="str">
        <f t="shared" si="28"/>
        <v/>
      </c>
      <c r="M111" s="2" t="str">
        <f>IF($G111="","",M$104*$G111)</f>
        <v/>
      </c>
      <c r="N111" s="12" t="str">
        <f t="shared" si="28"/>
        <v/>
      </c>
    </row>
    <row r="112" spans="1:14" x14ac:dyDescent="0.2">
      <c r="A112" s="627" t="str">
        <f t="shared" si="27"/>
        <v>AAAAAAAA</v>
      </c>
      <c r="B112" s="628"/>
      <c r="C112" s="77" t="s">
        <v>9363</v>
      </c>
      <c r="D112" s="77" t="s">
        <v>9363</v>
      </c>
      <c r="E112" s="77">
        <f t="shared" si="29"/>
        <v>0</v>
      </c>
      <c r="F112" s="16" t="str">
        <f>IF($A$104="","",IF(VLOOKUP($A111,Products!$A$59:$H$159,5,FALSE)="","",VLOOKUP($A111,Products!$A$59:$H$159,5,FALSE)))</f>
        <v/>
      </c>
      <c r="G112" s="16" t="str">
        <f>IF($A$104="","",IF(VLOOKUP($A111,Products!$A$59:$H$159,8,FALSE)="","",VLOOKUP($A111,Products!$A$59:$H$159,8,FALSE)))</f>
        <v/>
      </c>
      <c r="H112" s="77" t="s">
        <v>9363</v>
      </c>
      <c r="I112" s="77" t="s">
        <v>9363</v>
      </c>
      <c r="J112" s="77" t="s">
        <v>9363</v>
      </c>
      <c r="K112" s="2" t="str">
        <f t="shared" si="30"/>
        <v/>
      </c>
      <c r="L112" s="2" t="str">
        <f t="shared" si="28"/>
        <v/>
      </c>
      <c r="M112" s="2" t="str">
        <f t="shared" si="28"/>
        <v/>
      </c>
      <c r="N112" s="12" t="str">
        <f t="shared" si="28"/>
        <v/>
      </c>
    </row>
    <row r="113" spans="1:14" x14ac:dyDescent="0.2">
      <c r="A113" s="627" t="str">
        <f t="shared" si="27"/>
        <v>AAAAAAAAA</v>
      </c>
      <c r="B113" s="628"/>
      <c r="C113" s="77" t="s">
        <v>9363</v>
      </c>
      <c r="D113" s="77" t="s">
        <v>9363</v>
      </c>
      <c r="E113" s="77">
        <f t="shared" si="29"/>
        <v>0</v>
      </c>
      <c r="F113" s="16" t="str">
        <f>IF($A$104="","",IF(VLOOKUP($A112,Products!$A$59:$H$159,5,FALSE)="","",VLOOKUP($A112,Products!$A$59:$H$159,5,FALSE)))</f>
        <v/>
      </c>
      <c r="G113" s="16" t="str">
        <f>IF($A$104="","",IF(VLOOKUP($A112,Products!$A$59:$H$159,8,FALSE)="","",VLOOKUP($A112,Products!$A$59:$H$159,8,FALSE)))</f>
        <v/>
      </c>
      <c r="H113" s="77" t="s">
        <v>9363</v>
      </c>
      <c r="I113" s="77" t="s">
        <v>9363</v>
      </c>
      <c r="J113" s="77" t="s">
        <v>9363</v>
      </c>
      <c r="K113" s="2" t="str">
        <f t="shared" si="30"/>
        <v/>
      </c>
      <c r="L113" s="2" t="str">
        <f t="shared" si="28"/>
        <v/>
      </c>
      <c r="M113" s="2" t="str">
        <f t="shared" si="28"/>
        <v/>
      </c>
      <c r="N113" s="12" t="str">
        <f t="shared" si="28"/>
        <v/>
      </c>
    </row>
    <row r="114" spans="1:14" x14ac:dyDescent="0.2">
      <c r="A114" s="627" t="str">
        <f t="shared" si="27"/>
        <v>AAAAAAAAAA</v>
      </c>
      <c r="B114" s="628"/>
      <c r="C114" s="77" t="s">
        <v>9363</v>
      </c>
      <c r="D114" s="77" t="s">
        <v>9363</v>
      </c>
      <c r="E114" s="77">
        <f t="shared" si="29"/>
        <v>0</v>
      </c>
      <c r="F114" s="16" t="str">
        <f>IF($A$104="","",IF(VLOOKUP($A113,Products!$A$59:$H$159,5,FALSE)="","",VLOOKUP($A113,Products!$A$59:$H$159,5,FALSE)))</f>
        <v/>
      </c>
      <c r="G114" s="16" t="str">
        <f>IF($A$104="","",IF(VLOOKUP($A113,Products!$A$59:$H$159,8,FALSE)="","",VLOOKUP($A113,Products!$A$59:$H$159,8,FALSE)))</f>
        <v/>
      </c>
      <c r="H114" s="77" t="s">
        <v>9363</v>
      </c>
      <c r="I114" s="77" t="s">
        <v>9363</v>
      </c>
      <c r="J114" s="77" t="s">
        <v>9363</v>
      </c>
      <c r="K114" s="2" t="str">
        <f t="shared" si="30"/>
        <v/>
      </c>
      <c r="L114" s="2" t="str">
        <f t="shared" si="28"/>
        <v/>
      </c>
      <c r="M114" s="2" t="str">
        <f t="shared" si="28"/>
        <v/>
      </c>
      <c r="N114" s="12" t="str">
        <f>IF($G114="","",N$104*$G114)</f>
        <v/>
      </c>
    </row>
    <row r="115" spans="1:14" x14ac:dyDescent="0.2">
      <c r="A115" s="651"/>
      <c r="B115" s="615"/>
      <c r="C115" s="41"/>
      <c r="D115" s="41"/>
      <c r="E115" s="41"/>
      <c r="F115" s="16" t="s">
        <v>291</v>
      </c>
      <c r="G115" s="16">
        <v>1</v>
      </c>
      <c r="H115" s="16" t="str">
        <f>IF(A115="","",IF(VLOOKUP($A115,Products!$A$59:$H$159,2,FALSE)="","",VLOOKUP($A115,Products!$A$59:$H$159,2,FALSE)))</f>
        <v/>
      </c>
      <c r="I115" s="16" t="str">
        <f>IF(A115="","",IF(VLOOKUP($A115,Products!$A$59:$H$159,3,FALSE)="","",VLOOKUP($A115,Products!$A$59:$H$159,3,FALSE)))</f>
        <v/>
      </c>
      <c r="J115" s="16" t="str">
        <f>IF(A115="","",IF(VLOOKUP($A115,Products!$A$59:$H$159,4,FALSE)="","",VLOOKUP($A115,Products!$A$59:$H$159,4,FALSE)))</f>
        <v/>
      </c>
      <c r="K115" s="2" t="str">
        <f>IF(OR($A115="",C115="",$E115=""),"",((12.46*$F$21*$I115*$H115)/$F$22)*((C115*42)/1000)*(IF($E115="YES",(1-$F$20),1)))</f>
        <v/>
      </c>
      <c r="L115" s="2" t="str">
        <f>IF(OR($A115="",$D115="",$E115=""),"",((12.46*$F$21*$J115*$H115)/$F$23)*(($D115*42)/1000)*(1/2000)*(IF($E115="YES",(1-$F$20),1)))</f>
        <v/>
      </c>
      <c r="M115" s="2" t="str">
        <f>IF(OR($A115="",$C115="",$E115=""),"",((12.46*$F$21*$I115*$H115)/$F$22)*(($C115*42)/1000)*(IF($E115="YES",$F$20,0)))</f>
        <v/>
      </c>
      <c r="N115" s="12" t="str">
        <f>IF(OR($A115="",$D115="",$E115=""),"",((12.46*$F$21*$J115*$H115)/$F$23)*(($D115*42)/1000)*(1/2000)*(IF($E115="YES",$F$20,0)))</f>
        <v/>
      </c>
    </row>
    <row r="116" spans="1:14" x14ac:dyDescent="0.2">
      <c r="A116" s="627" t="str">
        <f t="shared" ref="A116:A125" si="31">A115&amp;"A"</f>
        <v>A</v>
      </c>
      <c r="B116" s="628"/>
      <c r="C116" s="77" t="s">
        <v>9363</v>
      </c>
      <c r="D116" s="77" t="s">
        <v>9363</v>
      </c>
      <c r="E116" s="77">
        <f>E115</f>
        <v>0</v>
      </c>
      <c r="F116" s="16" t="str">
        <f>IF($A$115="","",IF(VLOOKUP($A115,Products!$A$59:$H$159,5,FALSE)="","",VLOOKUP($A115,Products!$A$59:$H$159,5,FALSE)))</f>
        <v/>
      </c>
      <c r="G116" s="16" t="str">
        <f>IF($A$115="","",IF(VLOOKUP($A115,Products!$A$59:$H$159,8,FALSE)="","",VLOOKUP($A115,Products!$A$59:$H$159,8,FALSE)))</f>
        <v/>
      </c>
      <c r="H116" s="77" t="s">
        <v>9363</v>
      </c>
      <c r="I116" s="77" t="s">
        <v>9363</v>
      </c>
      <c r="J116" s="77" t="s">
        <v>9363</v>
      </c>
      <c r="K116" s="2" t="str">
        <f>IF($G116="","",K$115*$G116)</f>
        <v/>
      </c>
      <c r="L116" s="2" t="str">
        <f t="shared" ref="L116:N125" si="32">IF($G116="","",L$115*$G116)</f>
        <v/>
      </c>
      <c r="M116" s="2" t="str">
        <f t="shared" si="32"/>
        <v/>
      </c>
      <c r="N116" s="12" t="str">
        <f t="shared" si="32"/>
        <v/>
      </c>
    </row>
    <row r="117" spans="1:14" x14ac:dyDescent="0.2">
      <c r="A117" s="627" t="str">
        <f t="shared" si="31"/>
        <v>AA</v>
      </c>
      <c r="B117" s="628"/>
      <c r="C117" s="77" t="s">
        <v>9363</v>
      </c>
      <c r="D117" s="77" t="s">
        <v>9363</v>
      </c>
      <c r="E117" s="77">
        <f t="shared" ref="E117:E125" si="33">E116</f>
        <v>0</v>
      </c>
      <c r="F117" s="16" t="str">
        <f>IF($A$115="","",IF(VLOOKUP($A116,Products!$A$59:$H$159,5,FALSE)="","",VLOOKUP($A116,Products!$A$59:$H$159,5,FALSE)))</f>
        <v/>
      </c>
      <c r="G117" s="16" t="str">
        <f>IF($A$115="","",IF(VLOOKUP($A116,Products!$A$59:$H$159,8,FALSE)="","",VLOOKUP($A116,Products!$A$59:$H$159,8,FALSE)))</f>
        <v/>
      </c>
      <c r="H117" s="77" t="s">
        <v>9363</v>
      </c>
      <c r="I117" s="77" t="s">
        <v>9363</v>
      </c>
      <c r="J117" s="77" t="s">
        <v>9363</v>
      </c>
      <c r="K117" s="2" t="str">
        <f t="shared" ref="K117:K125" si="34">IF($G117="","",K$115*$G117)</f>
        <v/>
      </c>
      <c r="L117" s="2" t="str">
        <f>IF($G117="","",L$115*$G117)</f>
        <v/>
      </c>
      <c r="M117" s="2" t="str">
        <f t="shared" si="32"/>
        <v/>
      </c>
      <c r="N117" s="12" t="str">
        <f>IF($G117="","",N$115*$G117)</f>
        <v/>
      </c>
    </row>
    <row r="118" spans="1:14" x14ac:dyDescent="0.2">
      <c r="A118" s="627" t="str">
        <f t="shared" si="31"/>
        <v>AAA</v>
      </c>
      <c r="B118" s="628"/>
      <c r="C118" s="77" t="s">
        <v>9363</v>
      </c>
      <c r="D118" s="77" t="s">
        <v>9363</v>
      </c>
      <c r="E118" s="77">
        <f t="shared" si="33"/>
        <v>0</v>
      </c>
      <c r="F118" s="16" t="str">
        <f>IF($A$115="","",IF(VLOOKUP($A117,Products!$A$59:$H$159,5,FALSE)="","",VLOOKUP($A117,Products!$A$59:$H$159,5,FALSE)))</f>
        <v/>
      </c>
      <c r="G118" s="16" t="str">
        <f>IF($A$115="","",IF(VLOOKUP($A117,Products!$A$59:$H$159,8,FALSE)="","",VLOOKUP($A117,Products!$A$59:$H$159,8,FALSE)))</f>
        <v/>
      </c>
      <c r="H118" s="77" t="s">
        <v>9363</v>
      </c>
      <c r="I118" s="77" t="s">
        <v>9363</v>
      </c>
      <c r="J118" s="77" t="s">
        <v>9363</v>
      </c>
      <c r="K118" s="2" t="str">
        <f t="shared" si="34"/>
        <v/>
      </c>
      <c r="L118" s="2" t="str">
        <f t="shared" si="32"/>
        <v/>
      </c>
      <c r="M118" s="2" t="str">
        <f t="shared" si="32"/>
        <v/>
      </c>
      <c r="N118" s="12" t="str">
        <f t="shared" si="32"/>
        <v/>
      </c>
    </row>
    <row r="119" spans="1:14" x14ac:dyDescent="0.2">
      <c r="A119" s="627" t="str">
        <f t="shared" si="31"/>
        <v>AAAA</v>
      </c>
      <c r="B119" s="628"/>
      <c r="C119" s="77" t="s">
        <v>9363</v>
      </c>
      <c r="D119" s="77" t="s">
        <v>9363</v>
      </c>
      <c r="E119" s="77">
        <f t="shared" si="33"/>
        <v>0</v>
      </c>
      <c r="F119" s="16" t="str">
        <f>IF($A$115="","",IF(VLOOKUP($A118,Products!$A$59:$H$159,5,FALSE)="","",VLOOKUP($A118,Products!$A$59:$H$159,5,FALSE)))</f>
        <v/>
      </c>
      <c r="G119" s="16" t="str">
        <f>IF($A$115="","",IF(VLOOKUP($A118,Products!$A$59:$H$159,8,FALSE)="","",VLOOKUP($A118,Products!$A$59:$H$159,8,FALSE)))</f>
        <v/>
      </c>
      <c r="H119" s="77" t="s">
        <v>9363</v>
      </c>
      <c r="I119" s="77" t="s">
        <v>9363</v>
      </c>
      <c r="J119" s="77" t="s">
        <v>9363</v>
      </c>
      <c r="K119" s="2" t="str">
        <f t="shared" si="34"/>
        <v/>
      </c>
      <c r="L119" s="2" t="str">
        <f t="shared" si="32"/>
        <v/>
      </c>
      <c r="M119" s="2" t="str">
        <f t="shared" si="32"/>
        <v/>
      </c>
      <c r="N119" s="12" t="str">
        <f t="shared" si="32"/>
        <v/>
      </c>
    </row>
    <row r="120" spans="1:14" x14ac:dyDescent="0.2">
      <c r="A120" s="627" t="str">
        <f t="shared" si="31"/>
        <v>AAAAA</v>
      </c>
      <c r="B120" s="628"/>
      <c r="C120" s="77" t="s">
        <v>9363</v>
      </c>
      <c r="D120" s="77" t="s">
        <v>9363</v>
      </c>
      <c r="E120" s="77">
        <f t="shared" si="33"/>
        <v>0</v>
      </c>
      <c r="F120" s="16" t="str">
        <f>IF($A$115="","",IF(VLOOKUP($A119,Products!$A$59:$H$159,5,FALSE)="","",VLOOKUP($A119,Products!$A$59:$H$159,5,FALSE)))</f>
        <v/>
      </c>
      <c r="G120" s="16" t="str">
        <f>IF($A$115="","",IF(VLOOKUP($A119,Products!$A$59:$H$159,8,FALSE)="","",VLOOKUP($A119,Products!$A$59:$H$159,8,FALSE)))</f>
        <v/>
      </c>
      <c r="H120" s="77" t="s">
        <v>9363</v>
      </c>
      <c r="I120" s="77" t="s">
        <v>9363</v>
      </c>
      <c r="J120" s="77" t="s">
        <v>9363</v>
      </c>
      <c r="K120" s="2" t="str">
        <f t="shared" si="34"/>
        <v/>
      </c>
      <c r="L120" s="2" t="str">
        <f t="shared" si="32"/>
        <v/>
      </c>
      <c r="M120" s="2" t="str">
        <f t="shared" si="32"/>
        <v/>
      </c>
      <c r="N120" s="12" t="str">
        <f t="shared" si="32"/>
        <v/>
      </c>
    </row>
    <row r="121" spans="1:14" x14ac:dyDescent="0.2">
      <c r="A121" s="627" t="str">
        <f t="shared" si="31"/>
        <v>AAAAAA</v>
      </c>
      <c r="B121" s="628"/>
      <c r="C121" s="77" t="s">
        <v>9363</v>
      </c>
      <c r="D121" s="77" t="s">
        <v>9363</v>
      </c>
      <c r="E121" s="77">
        <f t="shared" si="33"/>
        <v>0</v>
      </c>
      <c r="F121" s="16" t="str">
        <f>IF($A$115="","",IF(VLOOKUP($A120,Products!$A$59:$H$159,5,FALSE)="","",VLOOKUP($A120,Products!$A$59:$H$159,5,FALSE)))</f>
        <v/>
      </c>
      <c r="G121" s="16" t="str">
        <f>IF($A$115="","",IF(VLOOKUP($A120,Products!$A$59:$H$159,8,FALSE)="","",VLOOKUP($A120,Products!$A$59:$H$159,8,FALSE)))</f>
        <v/>
      </c>
      <c r="H121" s="77" t="s">
        <v>9363</v>
      </c>
      <c r="I121" s="77" t="s">
        <v>9363</v>
      </c>
      <c r="J121" s="77" t="s">
        <v>9363</v>
      </c>
      <c r="K121" s="2" t="str">
        <f t="shared" si="34"/>
        <v/>
      </c>
      <c r="L121" s="2" t="str">
        <f t="shared" si="32"/>
        <v/>
      </c>
      <c r="M121" s="2" t="str">
        <f t="shared" si="32"/>
        <v/>
      </c>
      <c r="N121" s="12" t="str">
        <f t="shared" si="32"/>
        <v/>
      </c>
    </row>
    <row r="122" spans="1:14" x14ac:dyDescent="0.2">
      <c r="A122" s="627" t="str">
        <f t="shared" si="31"/>
        <v>AAAAAAA</v>
      </c>
      <c r="B122" s="628"/>
      <c r="C122" s="77" t="s">
        <v>9363</v>
      </c>
      <c r="D122" s="77" t="s">
        <v>9363</v>
      </c>
      <c r="E122" s="77">
        <f t="shared" si="33"/>
        <v>0</v>
      </c>
      <c r="F122" s="16" t="str">
        <f>IF($A$115="","",IF(VLOOKUP($A121,Products!$A$59:$H$159,5,FALSE)="","",VLOOKUP($A121,Products!$A$59:$H$159,5,FALSE)))</f>
        <v/>
      </c>
      <c r="G122" s="16" t="str">
        <f>IF($A$115="","",IF(VLOOKUP($A121,Products!$A$59:$H$159,8,FALSE)="","",VLOOKUP($A121,Products!$A$59:$H$159,8,FALSE)))</f>
        <v/>
      </c>
      <c r="H122" s="77" t="s">
        <v>9363</v>
      </c>
      <c r="I122" s="77" t="s">
        <v>9363</v>
      </c>
      <c r="J122" s="77" t="s">
        <v>9363</v>
      </c>
      <c r="K122" s="2" t="str">
        <f t="shared" si="34"/>
        <v/>
      </c>
      <c r="L122" s="2" t="str">
        <f t="shared" si="32"/>
        <v/>
      </c>
      <c r="M122" s="2" t="str">
        <f t="shared" si="32"/>
        <v/>
      </c>
      <c r="N122" s="12" t="str">
        <f t="shared" si="32"/>
        <v/>
      </c>
    </row>
    <row r="123" spans="1:14" x14ac:dyDescent="0.2">
      <c r="A123" s="627" t="str">
        <f t="shared" si="31"/>
        <v>AAAAAAAA</v>
      </c>
      <c r="B123" s="628"/>
      <c r="C123" s="77" t="s">
        <v>9363</v>
      </c>
      <c r="D123" s="77" t="s">
        <v>9363</v>
      </c>
      <c r="E123" s="77">
        <f t="shared" si="33"/>
        <v>0</v>
      </c>
      <c r="F123" s="16" t="str">
        <f>IF($A$115="","",IF(VLOOKUP($A122,Products!$A$59:$H$159,5,FALSE)="","",VLOOKUP($A122,Products!$A$59:$H$159,5,FALSE)))</f>
        <v/>
      </c>
      <c r="G123" s="16" t="str">
        <f>IF($A$115="","",IF(VLOOKUP($A122,Products!$A$59:$H$159,8,FALSE)="","",VLOOKUP($A122,Products!$A$59:$H$159,8,FALSE)))</f>
        <v/>
      </c>
      <c r="H123" s="77" t="s">
        <v>9363</v>
      </c>
      <c r="I123" s="77" t="s">
        <v>9363</v>
      </c>
      <c r="J123" s="77" t="s">
        <v>9363</v>
      </c>
      <c r="K123" s="2" t="str">
        <f t="shared" si="34"/>
        <v/>
      </c>
      <c r="L123" s="2" t="str">
        <f t="shared" si="32"/>
        <v/>
      </c>
      <c r="M123" s="2" t="str">
        <f t="shared" si="32"/>
        <v/>
      </c>
      <c r="N123" s="12" t="str">
        <f t="shared" si="32"/>
        <v/>
      </c>
    </row>
    <row r="124" spans="1:14" x14ac:dyDescent="0.2">
      <c r="A124" s="627" t="str">
        <f t="shared" si="31"/>
        <v>AAAAAAAAA</v>
      </c>
      <c r="B124" s="628"/>
      <c r="C124" s="77" t="s">
        <v>9363</v>
      </c>
      <c r="D124" s="77" t="s">
        <v>9363</v>
      </c>
      <c r="E124" s="77">
        <f t="shared" si="33"/>
        <v>0</v>
      </c>
      <c r="F124" s="16" t="str">
        <f>IF($A$115="","",IF(VLOOKUP($A123,Products!$A$59:$H$159,5,FALSE)="","",VLOOKUP($A123,Products!$A$59:$H$159,5,FALSE)))</f>
        <v/>
      </c>
      <c r="G124" s="16" t="str">
        <f>IF($A$115="","",IF(VLOOKUP($A123,Products!$A$59:$H$159,8,FALSE)="","",VLOOKUP($A123,Products!$A$59:$H$159,8,FALSE)))</f>
        <v/>
      </c>
      <c r="H124" s="77" t="s">
        <v>9363</v>
      </c>
      <c r="I124" s="77" t="s">
        <v>9363</v>
      </c>
      <c r="J124" s="77" t="s">
        <v>9363</v>
      </c>
      <c r="K124" s="2" t="str">
        <f t="shared" si="34"/>
        <v/>
      </c>
      <c r="L124" s="2" t="str">
        <f t="shared" si="32"/>
        <v/>
      </c>
      <c r="M124" s="2" t="str">
        <f t="shared" si="32"/>
        <v/>
      </c>
      <c r="N124" s="12" t="str">
        <f t="shared" si="32"/>
        <v/>
      </c>
    </row>
    <row r="125" spans="1:14" x14ac:dyDescent="0.2">
      <c r="A125" s="627" t="str">
        <f t="shared" si="31"/>
        <v>AAAAAAAAAA</v>
      </c>
      <c r="B125" s="628"/>
      <c r="C125" s="77" t="s">
        <v>9363</v>
      </c>
      <c r="D125" s="77" t="s">
        <v>9363</v>
      </c>
      <c r="E125" s="77">
        <f t="shared" si="33"/>
        <v>0</v>
      </c>
      <c r="F125" s="16" t="str">
        <f>IF($A$115="","",IF(VLOOKUP($A124,Products!$A$59:$H$159,5,FALSE)="","",VLOOKUP($A124,Products!$A$59:$H$159,5,FALSE)))</f>
        <v/>
      </c>
      <c r="G125" s="16" t="str">
        <f>IF($A$115="","",IF(VLOOKUP($A124,Products!$A$59:$H$159,8,FALSE)="","",VLOOKUP($A124,Products!$A$59:$H$159,8,FALSE)))</f>
        <v/>
      </c>
      <c r="H125" s="77" t="s">
        <v>9363</v>
      </c>
      <c r="I125" s="77" t="s">
        <v>9363</v>
      </c>
      <c r="J125" s="77" t="s">
        <v>9363</v>
      </c>
      <c r="K125" s="2" t="str">
        <f t="shared" si="34"/>
        <v/>
      </c>
      <c r="L125" s="2" t="str">
        <f t="shared" si="32"/>
        <v/>
      </c>
      <c r="M125" s="2" t="str">
        <f t="shared" si="32"/>
        <v/>
      </c>
      <c r="N125" s="12" t="str">
        <f t="shared" si="32"/>
        <v/>
      </c>
    </row>
    <row r="126" spans="1:14" x14ac:dyDescent="0.2">
      <c r="A126" s="651"/>
      <c r="B126" s="615"/>
      <c r="C126" s="41"/>
      <c r="D126" s="41"/>
      <c r="E126" s="41"/>
      <c r="F126" s="16" t="s">
        <v>291</v>
      </c>
      <c r="G126" s="16">
        <v>1</v>
      </c>
      <c r="H126" s="16" t="str">
        <f>IF(A126="","",IF(VLOOKUP($A126,Products!$A$59:$H$159,2,FALSE)="","",VLOOKUP($A126,Products!$A$59:$H$159,2,FALSE)))</f>
        <v/>
      </c>
      <c r="I126" s="16" t="str">
        <f>IF(A126="","",IF(VLOOKUP($A126,Products!$A$59:$H$159,3,FALSE)="","",VLOOKUP($A126,Products!$A$59:$H$159,3,FALSE)))</f>
        <v/>
      </c>
      <c r="J126" s="16" t="str">
        <f>IF(A126="","",IF(VLOOKUP($A126,Products!$A$59:$H$159,4,FALSE)="","",VLOOKUP($A126,Products!$A$59:$H$159,4,FALSE)))</f>
        <v/>
      </c>
      <c r="K126" s="2" t="str">
        <f>IF(OR($A126="",C126="",$E126=""),"",((12.46*$F$21*$I126*$H126)/$F$22)*((C126*42)/1000)*(IF($E126="YES",(1-$F$20),1)))</f>
        <v/>
      </c>
      <c r="L126" s="2" t="str">
        <f>IF(OR($A126="",$D126="",$E126=""),"",((12.46*$F$21*$J126*$H126)/$F$23)*(($D126*42)/1000)*(1/2000)*(IF($E126="YES",(1-$F$20),1)))</f>
        <v/>
      </c>
      <c r="M126" s="2" t="str">
        <f>IF(OR($A126="",$C126="",$E126=""),"",((12.46*$F$21*$I126*$H126)/$F$22)*(($C126*42)/1000)*(IF($E126="YES",$F$20,0)))</f>
        <v/>
      </c>
      <c r="N126" s="12" t="str">
        <f>IF(OR($A126="",$D126="",$E126=""),"",((12.46*$F$21*$J126*$H126)/$F$23)*(($D126*42)/1000)*(1/2000)*(IF($E126="YES",$F$20,0)))</f>
        <v/>
      </c>
    </row>
    <row r="127" spans="1:14" x14ac:dyDescent="0.2">
      <c r="A127" s="627" t="str">
        <f t="shared" ref="A127:A136" si="35">A126&amp;"A"</f>
        <v>A</v>
      </c>
      <c r="B127" s="628"/>
      <c r="C127" s="77" t="s">
        <v>9363</v>
      </c>
      <c r="D127" s="77" t="s">
        <v>9363</v>
      </c>
      <c r="E127" s="77">
        <f>E126</f>
        <v>0</v>
      </c>
      <c r="F127" s="16" t="str">
        <f>IF($A$126="","",IF(VLOOKUP($A126,Products!$A$59:$H$159,5,FALSE)="","",VLOOKUP($A126,Products!$A$59:$H$159,5,FALSE)))</f>
        <v/>
      </c>
      <c r="G127" s="16" t="str">
        <f>IF($A$126="","",IF(VLOOKUP($A126,Products!$A$59:$H$159,8,FALSE)="","",VLOOKUP($A126,Products!$A$59:$H$159,8,FALSE)))</f>
        <v/>
      </c>
      <c r="H127" s="77" t="s">
        <v>9363</v>
      </c>
      <c r="I127" s="77" t="s">
        <v>9363</v>
      </c>
      <c r="J127" s="77" t="s">
        <v>9363</v>
      </c>
      <c r="K127" s="2" t="str">
        <f>IF($G127="","",K$126*$G127)</f>
        <v/>
      </c>
      <c r="L127" s="2" t="str">
        <f t="shared" ref="L127:N136" si="36">IF($G127="","",L$126*$G127)</f>
        <v/>
      </c>
      <c r="M127" s="2" t="str">
        <f t="shared" si="36"/>
        <v/>
      </c>
      <c r="N127" s="12" t="str">
        <f t="shared" si="36"/>
        <v/>
      </c>
    </row>
    <row r="128" spans="1:14" x14ac:dyDescent="0.2">
      <c r="A128" s="627" t="str">
        <f t="shared" si="35"/>
        <v>AA</v>
      </c>
      <c r="B128" s="628"/>
      <c r="C128" s="77" t="s">
        <v>9363</v>
      </c>
      <c r="D128" s="77" t="s">
        <v>9363</v>
      </c>
      <c r="E128" s="77">
        <f t="shared" ref="E128:E136" si="37">E127</f>
        <v>0</v>
      </c>
      <c r="F128" s="16" t="str">
        <f>IF($A$126="","",IF(VLOOKUP($A127,Products!$A$59:$H$159,5,FALSE)="","",VLOOKUP($A127,Products!$A$59:$H$159,5,FALSE)))</f>
        <v/>
      </c>
      <c r="G128" s="16" t="str">
        <f>IF($A$126="","",IF(VLOOKUP($A127,Products!$A$59:$H$159,8,FALSE)="","",VLOOKUP($A127,Products!$A$59:$H$159,8,FALSE)))</f>
        <v/>
      </c>
      <c r="H128" s="77" t="s">
        <v>9363</v>
      </c>
      <c r="I128" s="77" t="s">
        <v>9363</v>
      </c>
      <c r="J128" s="77" t="s">
        <v>9363</v>
      </c>
      <c r="K128" s="2" t="str">
        <f t="shared" ref="K128:K136" si="38">IF($G128="","",K$126*$G128)</f>
        <v/>
      </c>
      <c r="L128" s="2" t="str">
        <f t="shared" si="36"/>
        <v/>
      </c>
      <c r="M128" s="2" t="str">
        <f t="shared" si="36"/>
        <v/>
      </c>
      <c r="N128" s="12" t="str">
        <f t="shared" si="36"/>
        <v/>
      </c>
    </row>
    <row r="129" spans="1:14" x14ac:dyDescent="0.2">
      <c r="A129" s="627" t="str">
        <f t="shared" si="35"/>
        <v>AAA</v>
      </c>
      <c r="B129" s="628"/>
      <c r="C129" s="77" t="s">
        <v>9363</v>
      </c>
      <c r="D129" s="77" t="s">
        <v>9363</v>
      </c>
      <c r="E129" s="77">
        <f t="shared" si="37"/>
        <v>0</v>
      </c>
      <c r="F129" s="16" t="str">
        <f>IF($A$126="","",IF(VLOOKUP($A128,Products!$A$59:$H$159,5,FALSE)="","",VLOOKUP($A128,Products!$A$59:$H$159,5,FALSE)))</f>
        <v/>
      </c>
      <c r="G129" s="16" t="str">
        <f>IF($A$126="","",IF(VLOOKUP($A128,Products!$A$59:$H$159,8,FALSE)="","",VLOOKUP($A128,Products!$A$59:$H$159,8,FALSE)))</f>
        <v/>
      </c>
      <c r="H129" s="77" t="s">
        <v>9363</v>
      </c>
      <c r="I129" s="77" t="s">
        <v>9363</v>
      </c>
      <c r="J129" s="77" t="s">
        <v>9363</v>
      </c>
      <c r="K129" s="2" t="str">
        <f t="shared" si="38"/>
        <v/>
      </c>
      <c r="L129" s="2" t="str">
        <f t="shared" si="36"/>
        <v/>
      </c>
      <c r="M129" s="2" t="str">
        <f t="shared" si="36"/>
        <v/>
      </c>
      <c r="N129" s="12" t="str">
        <f t="shared" si="36"/>
        <v/>
      </c>
    </row>
    <row r="130" spans="1:14" x14ac:dyDescent="0.2">
      <c r="A130" s="627" t="str">
        <f t="shared" si="35"/>
        <v>AAAA</v>
      </c>
      <c r="B130" s="628"/>
      <c r="C130" s="77" t="s">
        <v>9363</v>
      </c>
      <c r="D130" s="77" t="s">
        <v>9363</v>
      </c>
      <c r="E130" s="77">
        <f t="shared" si="37"/>
        <v>0</v>
      </c>
      <c r="F130" s="16" t="str">
        <f>IF($A$126="","",IF(VLOOKUP($A129,Products!$A$59:$H$159,5,FALSE)="","",VLOOKUP($A129,Products!$A$59:$H$159,5,FALSE)))</f>
        <v/>
      </c>
      <c r="G130" s="16" t="str">
        <f>IF($A$126="","",IF(VLOOKUP($A129,Products!$A$59:$H$159,8,FALSE)="","",VLOOKUP($A129,Products!$A$59:$H$159,8,FALSE)))</f>
        <v/>
      </c>
      <c r="H130" s="77" t="s">
        <v>9363</v>
      </c>
      <c r="I130" s="77" t="s">
        <v>9363</v>
      </c>
      <c r="J130" s="77" t="s">
        <v>9363</v>
      </c>
      <c r="K130" s="2" t="str">
        <f t="shared" si="38"/>
        <v/>
      </c>
      <c r="L130" s="2" t="str">
        <f t="shared" si="36"/>
        <v/>
      </c>
      <c r="M130" s="2" t="str">
        <f t="shared" si="36"/>
        <v/>
      </c>
      <c r="N130" s="12" t="str">
        <f t="shared" si="36"/>
        <v/>
      </c>
    </row>
    <row r="131" spans="1:14" x14ac:dyDescent="0.2">
      <c r="A131" s="627" t="str">
        <f t="shared" si="35"/>
        <v>AAAAA</v>
      </c>
      <c r="B131" s="628"/>
      <c r="C131" s="77" t="s">
        <v>9363</v>
      </c>
      <c r="D131" s="77" t="s">
        <v>9363</v>
      </c>
      <c r="E131" s="77">
        <f t="shared" si="37"/>
        <v>0</v>
      </c>
      <c r="F131" s="16" t="str">
        <f>IF($A$126="","",IF(VLOOKUP($A130,Products!$A$59:$H$159,5,FALSE)="","",VLOOKUP($A130,Products!$A$59:$H$159,5,FALSE)))</f>
        <v/>
      </c>
      <c r="G131" s="16" t="str">
        <f>IF($A$126="","",IF(VLOOKUP($A130,Products!$A$59:$H$159,8,FALSE)="","",VLOOKUP($A130,Products!$A$59:$H$159,8,FALSE)))</f>
        <v/>
      </c>
      <c r="H131" s="77" t="s">
        <v>9363</v>
      </c>
      <c r="I131" s="77" t="s">
        <v>9363</v>
      </c>
      <c r="J131" s="77" t="s">
        <v>9363</v>
      </c>
      <c r="K131" s="2" t="str">
        <f t="shared" si="38"/>
        <v/>
      </c>
      <c r="L131" s="2" t="str">
        <f>IF($G131="","",L$126*$G131)</f>
        <v/>
      </c>
      <c r="M131" s="2" t="str">
        <f t="shared" si="36"/>
        <v/>
      </c>
      <c r="N131" s="12" t="str">
        <f t="shared" si="36"/>
        <v/>
      </c>
    </row>
    <row r="132" spans="1:14" x14ac:dyDescent="0.2">
      <c r="A132" s="627" t="str">
        <f t="shared" si="35"/>
        <v>AAAAAA</v>
      </c>
      <c r="B132" s="628"/>
      <c r="C132" s="77" t="s">
        <v>9363</v>
      </c>
      <c r="D132" s="77" t="s">
        <v>9363</v>
      </c>
      <c r="E132" s="77">
        <f t="shared" si="37"/>
        <v>0</v>
      </c>
      <c r="F132" s="16" t="str">
        <f>IF($A$126="","",IF(VLOOKUP($A131,Products!$A$59:$H$159,5,FALSE)="","",VLOOKUP($A131,Products!$A$59:$H$159,5,FALSE)))</f>
        <v/>
      </c>
      <c r="G132" s="16" t="str">
        <f>IF($A$126="","",IF(VLOOKUP($A131,Products!$A$59:$H$159,8,FALSE)="","",VLOOKUP($A131,Products!$A$59:$H$159,8,FALSE)))</f>
        <v/>
      </c>
      <c r="H132" s="77" t="s">
        <v>9363</v>
      </c>
      <c r="I132" s="77" t="s">
        <v>9363</v>
      </c>
      <c r="J132" s="77" t="s">
        <v>9363</v>
      </c>
      <c r="K132" s="2" t="str">
        <f t="shared" si="38"/>
        <v/>
      </c>
      <c r="L132" s="2" t="str">
        <f t="shared" si="36"/>
        <v/>
      </c>
      <c r="M132" s="2" t="str">
        <f t="shared" si="36"/>
        <v/>
      </c>
      <c r="N132" s="12" t="str">
        <f t="shared" si="36"/>
        <v/>
      </c>
    </row>
    <row r="133" spans="1:14" x14ac:dyDescent="0.2">
      <c r="A133" s="627" t="str">
        <f t="shared" si="35"/>
        <v>AAAAAAA</v>
      </c>
      <c r="B133" s="628"/>
      <c r="C133" s="77" t="s">
        <v>9363</v>
      </c>
      <c r="D133" s="77" t="s">
        <v>9363</v>
      </c>
      <c r="E133" s="77">
        <f t="shared" si="37"/>
        <v>0</v>
      </c>
      <c r="F133" s="16" t="str">
        <f>IF($A$126="","",IF(VLOOKUP($A132,Products!$A$59:$H$159,5,FALSE)="","",VLOOKUP($A132,Products!$A$59:$H$159,5,FALSE)))</f>
        <v/>
      </c>
      <c r="G133" s="16" t="str">
        <f>IF($A$126="","",IF(VLOOKUP($A132,Products!$A$59:$H$159,8,FALSE)="","",VLOOKUP($A132,Products!$A$59:$H$159,8,FALSE)))</f>
        <v/>
      </c>
      <c r="H133" s="77" t="s">
        <v>9363</v>
      </c>
      <c r="I133" s="77" t="s">
        <v>9363</v>
      </c>
      <c r="J133" s="77" t="s">
        <v>9363</v>
      </c>
      <c r="K133" s="2" t="str">
        <f t="shared" si="38"/>
        <v/>
      </c>
      <c r="L133" s="2" t="str">
        <f t="shared" si="36"/>
        <v/>
      </c>
      <c r="M133" s="2" t="str">
        <f t="shared" si="36"/>
        <v/>
      </c>
      <c r="N133" s="12" t="str">
        <f t="shared" si="36"/>
        <v/>
      </c>
    </row>
    <row r="134" spans="1:14" x14ac:dyDescent="0.2">
      <c r="A134" s="627" t="str">
        <f t="shared" si="35"/>
        <v>AAAAAAAA</v>
      </c>
      <c r="B134" s="628"/>
      <c r="C134" s="77" t="s">
        <v>9363</v>
      </c>
      <c r="D134" s="77" t="s">
        <v>9363</v>
      </c>
      <c r="E134" s="77">
        <f t="shared" si="37"/>
        <v>0</v>
      </c>
      <c r="F134" s="16" t="str">
        <f>IF($A$126="","",IF(VLOOKUP($A133,Products!$A$59:$H$159,5,FALSE)="","",VLOOKUP($A133,Products!$A$59:$H$159,5,FALSE)))</f>
        <v/>
      </c>
      <c r="G134" s="16" t="str">
        <f>IF($A$126="","",IF(VLOOKUP($A133,Products!$A$59:$H$159,8,FALSE)="","",VLOOKUP($A133,Products!$A$59:$H$159,8,FALSE)))</f>
        <v/>
      </c>
      <c r="H134" s="77" t="s">
        <v>9363</v>
      </c>
      <c r="I134" s="77" t="s">
        <v>9363</v>
      </c>
      <c r="J134" s="77" t="s">
        <v>9363</v>
      </c>
      <c r="K134" s="2" t="str">
        <f t="shared" si="38"/>
        <v/>
      </c>
      <c r="L134" s="2" t="str">
        <f t="shared" si="36"/>
        <v/>
      </c>
      <c r="M134" s="2" t="str">
        <f t="shared" si="36"/>
        <v/>
      </c>
      <c r="N134" s="12" t="str">
        <f t="shared" si="36"/>
        <v/>
      </c>
    </row>
    <row r="135" spans="1:14" x14ac:dyDescent="0.2">
      <c r="A135" s="627" t="str">
        <f t="shared" si="35"/>
        <v>AAAAAAAAA</v>
      </c>
      <c r="B135" s="628"/>
      <c r="C135" s="77" t="s">
        <v>9363</v>
      </c>
      <c r="D135" s="77" t="s">
        <v>9363</v>
      </c>
      <c r="E135" s="77">
        <f t="shared" si="37"/>
        <v>0</v>
      </c>
      <c r="F135" s="16" t="str">
        <f>IF($A$126="","",IF(VLOOKUP($A134,Products!$A$59:$H$159,5,FALSE)="","",VLOOKUP($A134,Products!$A$59:$H$159,5,FALSE)))</f>
        <v/>
      </c>
      <c r="G135" s="16" t="str">
        <f>IF($A$126="","",IF(VLOOKUP($A134,Products!$A$59:$H$159,8,FALSE)="","",VLOOKUP($A134,Products!$A$59:$H$159,8,FALSE)))</f>
        <v/>
      </c>
      <c r="H135" s="77" t="s">
        <v>9363</v>
      </c>
      <c r="I135" s="77" t="s">
        <v>9363</v>
      </c>
      <c r="J135" s="77" t="s">
        <v>9363</v>
      </c>
      <c r="K135" s="2" t="str">
        <f t="shared" si="38"/>
        <v/>
      </c>
      <c r="L135" s="2" t="str">
        <f t="shared" si="36"/>
        <v/>
      </c>
      <c r="M135" s="2" t="str">
        <f t="shared" si="36"/>
        <v/>
      </c>
      <c r="N135" s="12" t="str">
        <f t="shared" si="36"/>
        <v/>
      </c>
    </row>
    <row r="136" spans="1:14" ht="15" thickBot="1" x14ac:dyDescent="0.25">
      <c r="A136" s="629" t="str">
        <f t="shared" si="35"/>
        <v>AAAAAAAAAA</v>
      </c>
      <c r="B136" s="630"/>
      <c r="C136" s="78" t="s">
        <v>9363</v>
      </c>
      <c r="D136" s="78" t="s">
        <v>9363</v>
      </c>
      <c r="E136" s="78">
        <f t="shared" si="37"/>
        <v>0</v>
      </c>
      <c r="F136" s="28" t="str">
        <f>IF($A$126="","",IF(VLOOKUP($A135,Products!$A$59:$H$159,5,FALSE)="","",VLOOKUP($A135,Products!$A$59:$H$159,5,FALSE)))</f>
        <v/>
      </c>
      <c r="G136" s="28" t="str">
        <f>IF($A$126="","",IF(VLOOKUP($A135,Products!$A$59:$H$159,8,FALSE)="","",VLOOKUP($A135,Products!$A$59:$H$159,8,FALSE)))</f>
        <v/>
      </c>
      <c r="H136" s="78" t="s">
        <v>9363</v>
      </c>
      <c r="I136" s="78" t="s">
        <v>9363</v>
      </c>
      <c r="J136" s="78" t="s">
        <v>9363</v>
      </c>
      <c r="K136" s="13" t="str">
        <f t="shared" si="38"/>
        <v/>
      </c>
      <c r="L136" s="13" t="str">
        <f t="shared" si="36"/>
        <v/>
      </c>
      <c r="M136" s="13" t="str">
        <f t="shared" si="36"/>
        <v/>
      </c>
      <c r="N136" s="14" t="str">
        <f t="shared" si="36"/>
        <v/>
      </c>
    </row>
    <row r="137" spans="1:14" x14ac:dyDescent="0.2">
      <c r="A137" s="478" t="s">
        <v>130</v>
      </c>
      <c r="B137" s="478"/>
      <c r="C137" s="478"/>
      <c r="D137" s="478"/>
      <c r="E137" s="478"/>
      <c r="F137" s="478"/>
      <c r="G137" s="478"/>
      <c r="H137" s="478"/>
      <c r="I137" s="478"/>
      <c r="J137" s="478"/>
      <c r="K137" s="478"/>
      <c r="L137" s="478"/>
      <c r="M137" s="478"/>
      <c r="N137" s="478"/>
    </row>
  </sheetData>
  <sheetProtection algorithmName="SHA-512" hashValue="Ov7UD+05C+sLPSnShi1wmkumA2SvJZMyIqLEMjgswIvb0ij5vuMJcPZtf655Pb2CDTlRNiQXxZT7Jlrho8V3yg==" saltValue="Q495LFfmAhUnmiL07u0RUg==" spinCount="100000" sheet="1" objects="1" scenarios="1" formatColumns="0" formatRows="0"/>
  <mergeCells count="163">
    <mergeCell ref="A18:E18"/>
    <mergeCell ref="F18:I18"/>
    <mergeCell ref="J18:N18"/>
    <mergeCell ref="J19:N19"/>
    <mergeCell ref="J20:N20"/>
    <mergeCell ref="J21:N21"/>
    <mergeCell ref="J22:N22"/>
    <mergeCell ref="J23:N23"/>
    <mergeCell ref="A1:N1"/>
    <mergeCell ref="A2:N2"/>
    <mergeCell ref="A3:N3"/>
    <mergeCell ref="A4:N4"/>
    <mergeCell ref="A5:N5"/>
    <mergeCell ref="A6:E6"/>
    <mergeCell ref="A7:E7"/>
    <mergeCell ref="A8:E8"/>
    <mergeCell ref="A9:E9"/>
    <mergeCell ref="F6:N6"/>
    <mergeCell ref="F7:N7"/>
    <mergeCell ref="F8:N8"/>
    <mergeCell ref="F9:N9"/>
    <mergeCell ref="A10:E10"/>
    <mergeCell ref="A11:E11"/>
    <mergeCell ref="F10:N10"/>
    <mergeCell ref="F11:N11"/>
    <mergeCell ref="A12:N12"/>
    <mergeCell ref="A13:N13"/>
    <mergeCell ref="A14:E14"/>
    <mergeCell ref="A15:E15"/>
    <mergeCell ref="A16:E16"/>
    <mergeCell ref="A17:E17"/>
    <mergeCell ref="F15:I15"/>
    <mergeCell ref="F16:I16"/>
    <mergeCell ref="F17:I17"/>
    <mergeCell ref="F14:I14"/>
    <mergeCell ref="J14:N14"/>
    <mergeCell ref="J15:N15"/>
    <mergeCell ref="J16:N16"/>
    <mergeCell ref="J17:N17"/>
    <mergeCell ref="A19:E19"/>
    <mergeCell ref="A20:E20"/>
    <mergeCell ref="A21:E21"/>
    <mergeCell ref="A22:E22"/>
    <mergeCell ref="F19:I19"/>
    <mergeCell ref="F20:I20"/>
    <mergeCell ref="F21:I21"/>
    <mergeCell ref="F22:I22"/>
    <mergeCell ref="A27:B27"/>
    <mergeCell ref="A28:B28"/>
    <mergeCell ref="A29:B29"/>
    <mergeCell ref="A30:B30"/>
    <mergeCell ref="A31:B31"/>
    <mergeCell ref="A32:B32"/>
    <mergeCell ref="A24:N24"/>
    <mergeCell ref="A25:N25"/>
    <mergeCell ref="A26:B26"/>
    <mergeCell ref="A23:E23"/>
    <mergeCell ref="F23:I23"/>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6:B86"/>
    <mergeCell ref="A87:B87"/>
    <mergeCell ref="A88:B88"/>
    <mergeCell ref="A89:B89"/>
    <mergeCell ref="A90:B90"/>
    <mergeCell ref="A91:B91"/>
    <mergeCell ref="A81:B81"/>
    <mergeCell ref="A82:B82"/>
    <mergeCell ref="A83:B83"/>
    <mergeCell ref="A84:B84"/>
    <mergeCell ref="A85:B85"/>
    <mergeCell ref="A98:B98"/>
    <mergeCell ref="A99:B99"/>
    <mergeCell ref="A100:B100"/>
    <mergeCell ref="A101:B101"/>
    <mergeCell ref="A102:B102"/>
    <mergeCell ref="A103:B103"/>
    <mergeCell ref="A92:B92"/>
    <mergeCell ref="A93:B93"/>
    <mergeCell ref="A94:B94"/>
    <mergeCell ref="A95:B95"/>
    <mergeCell ref="A96:B96"/>
    <mergeCell ref="A97:B97"/>
    <mergeCell ref="A110:B110"/>
    <mergeCell ref="A111:B111"/>
    <mergeCell ref="A112:B112"/>
    <mergeCell ref="A113:B113"/>
    <mergeCell ref="A114:B114"/>
    <mergeCell ref="A115:B115"/>
    <mergeCell ref="A104:B104"/>
    <mergeCell ref="A105:B105"/>
    <mergeCell ref="A106:B106"/>
    <mergeCell ref="A107:B107"/>
    <mergeCell ref="A108:B108"/>
    <mergeCell ref="A109:B109"/>
    <mergeCell ref="A122:B122"/>
    <mergeCell ref="A123:B123"/>
    <mergeCell ref="A124:B124"/>
    <mergeCell ref="A125:B125"/>
    <mergeCell ref="A126:B126"/>
    <mergeCell ref="A127:B127"/>
    <mergeCell ref="A116:B116"/>
    <mergeCell ref="A117:B117"/>
    <mergeCell ref="A118:B118"/>
    <mergeCell ref="A119:B119"/>
    <mergeCell ref="A120:B120"/>
    <mergeCell ref="A121:B121"/>
    <mergeCell ref="A134:B134"/>
    <mergeCell ref="A135:B135"/>
    <mergeCell ref="A136:B136"/>
    <mergeCell ref="A137:N137"/>
    <mergeCell ref="A128:B128"/>
    <mergeCell ref="A129:B129"/>
    <mergeCell ref="A130:B130"/>
    <mergeCell ref="A131:B131"/>
    <mergeCell ref="A132:B132"/>
    <mergeCell ref="A133:B133"/>
  </mergeCells>
  <conditionalFormatting sqref="A10:N137">
    <cfRule type="expression" dxfId="199" priority="9">
      <formula>$F$6="affected"</formula>
    </cfRule>
  </conditionalFormatting>
  <conditionalFormatting sqref="F18:I18">
    <cfRule type="expression" dxfId="198" priority="8">
      <formula>$F$18&lt;MAX($I$27,$I$38,$I$49,$I$60,$I$71,$I$82,$I$93,$I$104,$I$115,$I$126)</formula>
    </cfRule>
  </conditionalFormatting>
  <conditionalFormatting sqref="F19:I19">
    <cfRule type="expression" dxfId="197" priority="1">
      <formula>AND(COUNTIF($E$27:$E$136,"YES")&gt;0,$F$19="NO CONTROL")</formula>
    </cfRule>
    <cfRule type="expression" dxfId="196" priority="2">
      <formula>AND($F$18&gt;=0.5,$F$19="no control")</formula>
    </cfRule>
    <cfRule type="expression" dxfId="195" priority="5">
      <formula>AND($F$19="no control",MAX($I$27,$I$38,$I$49,$I$60,$I$71,$I$82,$I$93,$I$104,$I$115,$I$126)&gt;=0.5)</formula>
    </cfRule>
  </conditionalFormatting>
  <conditionalFormatting sqref="J18:N18">
    <cfRule type="expression" dxfId="194" priority="6">
      <formula>$F$6="affected"</formula>
    </cfRule>
  </conditionalFormatting>
  <dataValidations count="18">
    <dataValidation type="list" allowBlank="1" showErrorMessage="1" prompt="Choose a product." sqref="A27:B27 A38:B38 A49:B49 A60:B60 A71:B71 A82:B82 A93:B93 A104:B104 A115:B115 A126:B126" xr:uid="{014465E8-BB10-4013-BF20-6D17D2FB7A5D}">
      <formula1>ProdList</formula1>
    </dataValidation>
    <dataValidation type="list" allowBlank="1" showErrorMessage="1" prompt="Select one" sqref="F6:N6" xr:uid="{734DC989-BFBC-4177-93AE-16F3526CB9EC}">
      <formula1>"Affected,Modified,New"</formula1>
    </dataValidation>
    <dataValidation allowBlank="1" showErrorMessage="1" prompt="Enter FIN" sqref="F7:N7" xr:uid="{7E70F915-72D6-4641-841B-67CFDBABDFE0}"/>
    <dataValidation allowBlank="1" showErrorMessage="1" prompt="Enter EPN" sqref="F8:N8" xr:uid="{2CE74988-7CDB-4ADE-B0CA-CB9B72F73C71}"/>
    <dataValidation allowBlank="1" showErrorMessage="1" prompt="Enter source name" sqref="F9:N9" xr:uid="{0E929AC2-AF81-4369-A2C1-18C351E57C8B}"/>
    <dataValidation allowBlank="1" showErrorMessage="1" prompt="Enter UTM easting in meters." sqref="F10:N10" xr:uid="{9B500E65-612C-4F3E-B111-4163365C1B7E}"/>
    <dataValidation allowBlank="1" showErrorMessage="1" prompt="Enter UTM northing in meters." sqref="F11:N11" xr:uid="{D1FACEAF-1325-4D9E-BB0B-BF95041BEB49}"/>
    <dataValidation type="decimal" operator="greaterThanOrEqual" allowBlank="1" showErrorMessage="1" prompt="Enter distance to property line in ft." sqref="F15:I15" xr:uid="{8752D8AA-0883-4675-8997-4FDDDE3840B3}">
      <formula1>82</formula1>
    </dataValidation>
    <dataValidation type="decimal" operator="greaterThanOrEqual" allowBlank="1" showErrorMessage="1" prompt="Enter release height in ft." sqref="F16:I16" xr:uid="{DF3354F5-1812-4C05-B894-4F79FBC78ED4}">
      <formula1>30</formula1>
    </dataValidation>
    <dataValidation type="list" allowBlank="1" showErrorMessage="1" prompt="Select the loading control device." sqref="F19:I19" xr:uid="{86168D29-D811-4DAF-9723-4D10DD36B781}">
      <formula1>IF($F$18&gt;=0.5,TnkLoad_Ctrl_req,TnkLoad_Ctrl_notreq)</formula1>
    </dataValidation>
    <dataValidation type="custom" operator="greaterThanOrEqual" allowBlank="1" showErrorMessage="1" prompt="Enter the collection efficiency as a percentage." sqref="F20:I20" xr:uid="{9E1C12B5-3BC4-4CDD-89A0-E44068A33A00}">
      <formula1>AND(F20&gt;=0.99,F20&lt;=0.999)</formula1>
    </dataValidation>
    <dataValidation allowBlank="1" showErrorMessage="1" sqref="F21:I21" xr:uid="{9C7C7829-4B7C-4B81-BB44-55038B997B59}"/>
    <dataValidation allowBlank="1" showErrorMessage="1" prompt="enter the highest true vapor pressure of all products to be loaded (psia at maximum temperature)" sqref="F18:I18" xr:uid="{ECFEFE3E-F8C9-43C8-9D0E-846A9E6CAD9B}"/>
    <dataValidation type="decimal" operator="greaterThanOrEqual" allowBlank="1" showErrorMessage="1" prompt="Enter maximum temperature of bulk liquid loaded in degrees R." sqref="F22:I22" xr:uid="{F58F2A06-71CA-4A90-851C-202A4C339AAC}">
      <formula1>554.67</formula1>
    </dataValidation>
    <dataValidation type="decimal" operator="greaterThanOrEqual" allowBlank="1" showErrorMessage="1" prompt="Enter average annual temperature of bulk liquid loaded in degrees R." sqref="F23:I23" xr:uid="{400749CF-58AB-48A2-BA0E-390D7CECA984}">
      <formula1>524.67</formula1>
    </dataValidation>
    <dataValidation allowBlank="1" showErrorMessage="1" prompt="proposed hourly throughput increase in bbl/hr" sqref="C126 C115 C104 C93 C82 C71 C60 C49 C38 C27" xr:uid="{4BA15FBD-3D0E-498D-B10E-6C5462CDE8F0}"/>
    <dataValidation allowBlank="1" showErrorMessage="1" prompt="Proposed annual throughput increase in bbl/yr." sqref="D27 D38 D49 D60 D71 D82 D93 D104 D115 D126" xr:uid="{BD59F0E1-5E5D-414E-BFEA-A6A652FBDA42}"/>
    <dataValidation type="list" allowBlank="1" showErrorMessage="1" prompt="Choose yes or no." sqref="E126 E115 E104 E93 E82 E71 E60 E49 E38 E27" xr:uid="{1DC93C37-80F0-4CD6-A08F-6C40F07FE0F4}">
      <formula1>"Yes,No"</formula1>
    </dataValidation>
  </dataValidations>
  <printOptions horizontalCentered="1"/>
  <pageMargins left="0.7" right="0.7" top="0.75" bottom="0.75" header="0.3" footer="0.3"/>
  <pageSetup scale="68" orientation="landscape" r:id="rId1"/>
  <headerFooter>
    <oddHeader>&amp;C&amp;"Calibri,Regular"Marine Loading RAP Application</oddHeader>
    <oddFooter>&amp;L&amp;"Calibri,Regular"Version 1.0&amp;C&amp;"Calibri,Regular"Sheet: &amp;A&amp;R&amp;"Calibri,Regular"Page &amp;P</oddFooter>
  </headerFooter>
  <extLst>
    <ext xmlns:x14="http://schemas.microsoft.com/office/spreadsheetml/2009/9/main" uri="{78C0D931-6437-407d-A8EE-F0AAD7539E65}">
      <x14:conditionalFormattings>
        <x14:conditionalFormatting xmlns:xm="http://schemas.microsoft.com/office/excel/2006/main">
          <x14:cfRule type="expression" priority="10" id="{09915292-1762-41E2-BCDA-FC4FF51F298F}">
            <xm:f>'PI-1-MarineLoading'!$G$120="no"</xm:f>
            <x14:dxf>
              <numFmt numFmtId="164" formatCode=";;;"/>
              <fill>
                <patternFill>
                  <bgColor theme="0" tint="-0.499984740745262"/>
                </patternFill>
              </fill>
            </x14:dxf>
          </x14:cfRule>
          <xm:sqref>A2:N137</xm:sqref>
        </x14:conditionalFormatting>
        <x14:conditionalFormatting xmlns:xm="http://schemas.microsoft.com/office/excel/2006/main">
          <x14:cfRule type="expression" priority="7" id="{0B5F25C6-A1E6-4766-B74E-C6487904B438}">
            <xm:f>'PI-1-MarineLoading'!$G$116="no"</xm:f>
            <x14:dxf>
              <numFmt numFmtId="164" formatCode=";;;"/>
              <fill>
                <patternFill>
                  <bgColor theme="0" tint="-0.499984740745262"/>
                </patternFill>
              </fill>
            </x14:dxf>
          </x14:cfRule>
          <xm:sqref>J18:N18</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32C08-3182-40CA-8FA9-3CAAB209351B}">
  <sheetPr codeName="Sheet16">
    <tabColor rgb="FFFFFFCC"/>
  </sheetPr>
  <dimension ref="A1:H217"/>
  <sheetViews>
    <sheetView showGridLines="0" zoomScaleNormal="100" workbookViewId="0">
      <selection sqref="A1:G1"/>
    </sheetView>
  </sheetViews>
  <sheetFormatPr defaultColWidth="0" defaultRowHeight="14.25" zeroHeight="1" x14ac:dyDescent="0.2"/>
  <cols>
    <col min="1" max="3" width="14.75" customWidth="1"/>
    <col min="4" max="7" width="17.625" customWidth="1"/>
    <col min="8" max="8" width="2.625" customWidth="1"/>
    <col min="9" max="16384" width="9" hidden="1"/>
  </cols>
  <sheetData>
    <row r="1" spans="1:7" ht="8.25" customHeight="1" thickBot="1" x14ac:dyDescent="0.25">
      <c r="A1" s="478" t="s">
        <v>0</v>
      </c>
      <c r="B1" s="478"/>
      <c r="C1" s="478"/>
      <c r="D1" s="478"/>
      <c r="E1" s="478"/>
      <c r="F1" s="478"/>
      <c r="G1" s="478"/>
    </row>
    <row r="2" spans="1:7" ht="18.75" thickBot="1" x14ac:dyDescent="0.25">
      <c r="A2" s="525" t="s">
        <v>10034</v>
      </c>
      <c r="B2" s="525"/>
      <c r="C2" s="525"/>
      <c r="D2" s="525"/>
      <c r="E2" s="525"/>
      <c r="F2" s="525"/>
      <c r="G2" s="525"/>
    </row>
    <row r="3" spans="1:7" ht="191.25" customHeight="1" thickBot="1" x14ac:dyDescent="0.25">
      <c r="A3" s="523" t="s">
        <v>10869</v>
      </c>
      <c r="B3" s="602"/>
      <c r="C3" s="602"/>
      <c r="D3" s="602"/>
      <c r="E3" s="602"/>
      <c r="F3" s="602"/>
      <c r="G3" s="524"/>
    </row>
    <row r="4" spans="1:7" ht="15" thickBot="1" x14ac:dyDescent="0.25">
      <c r="A4" s="560" t="s">
        <v>8850</v>
      </c>
      <c r="B4" s="560"/>
      <c r="C4" s="560"/>
      <c r="D4" s="560"/>
      <c r="E4" s="560"/>
      <c r="F4" s="560"/>
      <c r="G4" s="560"/>
    </row>
    <row r="5" spans="1:7" ht="15.75" thickBot="1" x14ac:dyDescent="0.25">
      <c r="A5" s="479" t="s">
        <v>133</v>
      </c>
      <c r="B5" s="479"/>
      <c r="C5" s="479"/>
      <c r="D5" s="479"/>
      <c r="E5" s="479"/>
      <c r="F5" s="479"/>
      <c r="G5" s="479"/>
    </row>
    <row r="6" spans="1:7" x14ac:dyDescent="0.2">
      <c r="A6" s="666" t="s">
        <v>166</v>
      </c>
      <c r="B6" s="667"/>
      <c r="C6" s="668"/>
      <c r="D6" s="551"/>
      <c r="E6" s="552"/>
      <c r="F6" s="552"/>
      <c r="G6" s="553"/>
    </row>
    <row r="7" spans="1:7" x14ac:dyDescent="0.2">
      <c r="A7" s="666" t="s">
        <v>167</v>
      </c>
      <c r="B7" s="667"/>
      <c r="C7" s="668"/>
      <c r="D7" s="551"/>
      <c r="E7" s="552"/>
      <c r="F7" s="552"/>
      <c r="G7" s="553"/>
    </row>
    <row r="8" spans="1:7" x14ac:dyDescent="0.2">
      <c r="A8" s="666" t="s">
        <v>168</v>
      </c>
      <c r="B8" s="667"/>
      <c r="C8" s="668"/>
      <c r="D8" s="551"/>
      <c r="E8" s="552"/>
      <c r="F8" s="552"/>
      <c r="G8" s="553"/>
    </row>
    <row r="9" spans="1:7" x14ac:dyDescent="0.2">
      <c r="A9" s="666" t="s">
        <v>169</v>
      </c>
      <c r="B9" s="667"/>
      <c r="C9" s="668"/>
      <c r="D9" s="551"/>
      <c r="E9" s="552"/>
      <c r="F9" s="552"/>
      <c r="G9" s="553"/>
    </row>
    <row r="10" spans="1:7" x14ac:dyDescent="0.2">
      <c r="A10" s="666" t="s">
        <v>170</v>
      </c>
      <c r="B10" s="667"/>
      <c r="C10" s="668"/>
      <c r="D10" s="551"/>
      <c r="E10" s="552"/>
      <c r="F10" s="552"/>
      <c r="G10" s="553"/>
    </row>
    <row r="11" spans="1:7" ht="15" thickBot="1" x14ac:dyDescent="0.25">
      <c r="A11" s="669" t="s">
        <v>171</v>
      </c>
      <c r="B11" s="670"/>
      <c r="C11" s="671"/>
      <c r="D11" s="557"/>
      <c r="E11" s="558"/>
      <c r="F11" s="558"/>
      <c r="G11" s="559"/>
    </row>
    <row r="12" spans="1:7" ht="15" thickBot="1" x14ac:dyDescent="0.25">
      <c r="A12" s="777" t="s">
        <v>1</v>
      </c>
      <c r="B12" s="560"/>
      <c r="C12" s="560"/>
      <c r="D12" s="560"/>
      <c r="E12" s="560"/>
      <c r="F12" s="560"/>
      <c r="G12" s="778"/>
    </row>
    <row r="13" spans="1:7" ht="15.75" thickBot="1" x14ac:dyDescent="0.25">
      <c r="A13" s="479" t="s">
        <v>9166</v>
      </c>
      <c r="B13" s="479"/>
      <c r="C13" s="479"/>
      <c r="D13" s="479"/>
      <c r="E13" s="479"/>
      <c r="F13" s="479"/>
      <c r="G13" s="479"/>
    </row>
    <row r="14" spans="1:7" ht="15" x14ac:dyDescent="0.25">
      <c r="A14" s="766" t="s">
        <v>9167</v>
      </c>
      <c r="B14" s="767"/>
      <c r="C14" s="767"/>
      <c r="D14" s="540" t="s">
        <v>172</v>
      </c>
      <c r="E14" s="540"/>
      <c r="F14" s="540" t="s">
        <v>8723</v>
      </c>
      <c r="G14" s="541"/>
    </row>
    <row r="15" spans="1:7" x14ac:dyDescent="0.2">
      <c r="A15" s="666" t="s">
        <v>176</v>
      </c>
      <c r="B15" s="667"/>
      <c r="C15" s="668"/>
      <c r="D15" s="551"/>
      <c r="E15" s="759"/>
      <c r="F15" s="757" t="s">
        <v>9155</v>
      </c>
      <c r="G15" s="768"/>
    </row>
    <row r="16" spans="1:7" ht="15" thickBot="1" x14ac:dyDescent="0.25">
      <c r="A16" s="669" t="s">
        <v>177</v>
      </c>
      <c r="B16" s="670"/>
      <c r="C16" s="671"/>
      <c r="D16" s="557"/>
      <c r="E16" s="765"/>
      <c r="F16" s="764" t="s">
        <v>9261</v>
      </c>
      <c r="G16" s="779"/>
    </row>
    <row r="17" spans="1:7" ht="15" x14ac:dyDescent="0.2">
      <c r="A17" s="760" t="s">
        <v>9170</v>
      </c>
      <c r="B17" s="761"/>
      <c r="C17" s="763"/>
      <c r="D17" s="540" t="s">
        <v>172</v>
      </c>
      <c r="E17" s="540"/>
      <c r="F17" s="540" t="s">
        <v>8723</v>
      </c>
      <c r="G17" s="541"/>
    </row>
    <row r="18" spans="1:7" x14ac:dyDescent="0.2">
      <c r="A18" s="666" t="s">
        <v>8719</v>
      </c>
      <c r="B18" s="667"/>
      <c r="C18" s="668"/>
      <c r="D18" s="769"/>
      <c r="E18" s="769"/>
      <c r="F18" s="770" t="s">
        <v>9260</v>
      </c>
      <c r="G18" s="771"/>
    </row>
    <row r="19" spans="1:7" x14ac:dyDescent="0.2">
      <c r="A19" s="666" t="s">
        <v>10062</v>
      </c>
      <c r="B19" s="667"/>
      <c r="C19" s="668"/>
      <c r="D19" s="769"/>
      <c r="E19" s="769"/>
      <c r="F19" s="770" t="s">
        <v>9260</v>
      </c>
      <c r="G19" s="771"/>
    </row>
    <row r="20" spans="1:7" x14ac:dyDescent="0.2">
      <c r="A20" s="744" t="s">
        <v>8696</v>
      </c>
      <c r="B20" s="690"/>
      <c r="C20" s="758"/>
      <c r="D20" s="551"/>
      <c r="E20" s="759"/>
      <c r="F20" s="738" t="s">
        <v>9361</v>
      </c>
      <c r="G20" s="739"/>
    </row>
    <row r="21" spans="1:7" ht="45.75" customHeight="1" x14ac:dyDescent="0.2">
      <c r="A21" s="744" t="s">
        <v>8717</v>
      </c>
      <c r="B21" s="690"/>
      <c r="C21" s="758"/>
      <c r="D21" s="551"/>
      <c r="E21" s="759"/>
      <c r="F21" s="738" t="s">
        <v>9361</v>
      </c>
      <c r="G21" s="739"/>
    </row>
    <row r="22" spans="1:7" ht="30.75" customHeight="1" thickBot="1" x14ac:dyDescent="0.25">
      <c r="A22" s="587" t="s">
        <v>10069</v>
      </c>
      <c r="B22" s="588"/>
      <c r="C22" s="589"/>
      <c r="D22" s="557"/>
      <c r="E22" s="765"/>
      <c r="F22" s="742" t="s">
        <v>9361</v>
      </c>
      <c r="G22" s="743"/>
    </row>
    <row r="23" spans="1:7" ht="15" x14ac:dyDescent="0.2">
      <c r="A23" s="760" t="s">
        <v>8693</v>
      </c>
      <c r="B23" s="761"/>
      <c r="C23" s="763"/>
      <c r="D23" s="540" t="s">
        <v>172</v>
      </c>
      <c r="E23" s="540"/>
      <c r="F23" s="747" t="s">
        <v>8723</v>
      </c>
      <c r="G23" s="748"/>
    </row>
    <row r="24" spans="1:7" x14ac:dyDescent="0.2">
      <c r="A24" s="666" t="s">
        <v>8694</v>
      </c>
      <c r="B24" s="667"/>
      <c r="C24" s="668"/>
      <c r="D24" s="551"/>
      <c r="E24" s="759"/>
      <c r="F24" s="738" t="s">
        <v>9361</v>
      </c>
      <c r="G24" s="739"/>
    </row>
    <row r="25" spans="1:7" x14ac:dyDescent="0.2">
      <c r="A25" s="666" t="s">
        <v>8716</v>
      </c>
      <c r="B25" s="667"/>
      <c r="C25" s="668"/>
      <c r="D25" s="551"/>
      <c r="E25" s="759"/>
      <c r="F25" s="736" t="s">
        <v>9186</v>
      </c>
      <c r="G25" s="737"/>
    </row>
    <row r="26" spans="1:7" ht="31.5" customHeight="1" x14ac:dyDescent="0.2">
      <c r="A26" s="744" t="str">
        <f t="shared" ref="A26" si="0">IF($D$6="modified","Proposed increase in pilot fuel flow rate (scf/hr per pilot light)","Pilot fuel flow rate (scf/hr per pilot light)")</f>
        <v>Pilot fuel flow rate (scf/hr per pilot light)</v>
      </c>
      <c r="B26" s="690"/>
      <c r="C26" s="758"/>
      <c r="D26" s="551"/>
      <c r="E26" s="759"/>
      <c r="F26" s="738" t="s">
        <v>9361</v>
      </c>
      <c r="G26" s="739"/>
    </row>
    <row r="27" spans="1:7" ht="25.5" customHeight="1" x14ac:dyDescent="0.2">
      <c r="A27" s="528" t="s">
        <v>9263</v>
      </c>
      <c r="B27" s="529"/>
      <c r="C27" s="529"/>
      <c r="D27" s="579"/>
      <c r="E27" s="579"/>
      <c r="F27" s="736" t="str">
        <f>IF($D$24="NATURAL GAS","5 gr/100dscf maximum",IF($D$24="FUEL GAS","10 gr/100dscf maximum",""))</f>
        <v/>
      </c>
      <c r="G27" s="737"/>
    </row>
    <row r="28" spans="1:7" x14ac:dyDescent="0.2">
      <c r="A28" s="666" t="s">
        <v>8695</v>
      </c>
      <c r="B28" s="667"/>
      <c r="C28" s="668"/>
      <c r="D28" s="757" t="str">
        <f>IF($D$24="","",IF($D$24="natural gas","AP-42 Ch. 1.4",IF($D$24="fuel gas","Site-specific fuel gas analysis","Choose valid pilot fuel type.")))</f>
        <v/>
      </c>
      <c r="E28" s="668"/>
      <c r="F28" s="738" t="s">
        <v>9361</v>
      </c>
      <c r="G28" s="739"/>
    </row>
    <row r="29" spans="1:7" x14ac:dyDescent="0.2">
      <c r="A29" s="528" t="s">
        <v>8699</v>
      </c>
      <c r="B29" s="529"/>
      <c r="C29" s="529"/>
      <c r="D29" s="579"/>
      <c r="E29" s="579"/>
      <c r="F29" s="738" t="s">
        <v>9361</v>
      </c>
      <c r="G29" s="739"/>
    </row>
    <row r="30" spans="1:7" x14ac:dyDescent="0.2">
      <c r="A30" s="528" t="s">
        <v>8700</v>
      </c>
      <c r="B30" s="529"/>
      <c r="C30" s="529"/>
      <c r="D30" s="579"/>
      <c r="E30" s="579"/>
      <c r="F30" s="738" t="s">
        <v>9361</v>
      </c>
      <c r="G30" s="739"/>
    </row>
    <row r="31" spans="1:7" x14ac:dyDescent="0.2">
      <c r="A31" s="528" t="s">
        <v>8701</v>
      </c>
      <c r="B31" s="529"/>
      <c r="C31" s="529"/>
      <c r="D31" s="579"/>
      <c r="E31" s="579"/>
      <c r="F31" s="738" t="s">
        <v>9361</v>
      </c>
      <c r="G31" s="739"/>
    </row>
    <row r="32" spans="1:7" x14ac:dyDescent="0.2">
      <c r="A32" s="528" t="s">
        <v>271</v>
      </c>
      <c r="B32" s="529"/>
      <c r="C32" s="529"/>
      <c r="D32" s="579"/>
      <c r="E32" s="579"/>
      <c r="F32" s="738" t="s">
        <v>9361</v>
      </c>
      <c r="G32" s="739"/>
    </row>
    <row r="33" spans="1:7" x14ac:dyDescent="0.2">
      <c r="A33" s="528" t="s">
        <v>8699</v>
      </c>
      <c r="B33" s="529"/>
      <c r="C33" s="529"/>
      <c r="D33" s="529" t="str">
        <f>IF($D$24="","",IF($D$24="natural gas",5.5,""))</f>
        <v/>
      </c>
      <c r="E33" s="529"/>
      <c r="F33" s="738" t="s">
        <v>9361</v>
      </c>
      <c r="G33" s="739"/>
    </row>
    <row r="34" spans="1:7" x14ac:dyDescent="0.2">
      <c r="A34" s="666" t="s">
        <v>8700</v>
      </c>
      <c r="B34" s="667"/>
      <c r="C34" s="668"/>
      <c r="D34" s="757" t="str">
        <f>IF($D$24="","",IF($D$24="natural gas",100,""))</f>
        <v/>
      </c>
      <c r="E34" s="668"/>
      <c r="F34" s="738" t="s">
        <v>9361</v>
      </c>
      <c r="G34" s="739"/>
    </row>
    <row r="35" spans="1:7" x14ac:dyDescent="0.2">
      <c r="A35" s="666" t="s">
        <v>8701</v>
      </c>
      <c r="B35" s="667"/>
      <c r="C35" s="668"/>
      <c r="D35" s="757" t="str">
        <f>IF($D$24="","",IF($D$24="natural gas",84,""))</f>
        <v/>
      </c>
      <c r="E35" s="668"/>
      <c r="F35" s="738" t="s">
        <v>9361</v>
      </c>
      <c r="G35" s="739"/>
    </row>
    <row r="36" spans="1:7" ht="15" thickBot="1" x14ac:dyDescent="0.25">
      <c r="A36" s="669" t="s">
        <v>271</v>
      </c>
      <c r="B36" s="670"/>
      <c r="C36" s="671"/>
      <c r="D36" s="764" t="str">
        <f>IF(OR($D$24="",$D$27=""),"",IF($D$24="natural gas",0.6*5*$D$27,""))</f>
        <v/>
      </c>
      <c r="E36" s="671"/>
      <c r="F36" s="742" t="s">
        <v>9361</v>
      </c>
      <c r="G36" s="743"/>
    </row>
    <row r="37" spans="1:7" ht="15" x14ac:dyDescent="0.2">
      <c r="A37" s="760" t="s">
        <v>8690</v>
      </c>
      <c r="B37" s="761"/>
      <c r="C37" s="763"/>
      <c r="D37" s="540"/>
      <c r="E37" s="540"/>
      <c r="F37" s="747" t="s">
        <v>8723</v>
      </c>
      <c r="G37" s="748"/>
    </row>
    <row r="38" spans="1:7" x14ac:dyDescent="0.2">
      <c r="A38" s="744" t="s">
        <v>269</v>
      </c>
      <c r="B38" s="690"/>
      <c r="C38" s="758"/>
      <c r="D38" s="551"/>
      <c r="E38" s="759"/>
      <c r="F38" s="738" t="s">
        <v>9361</v>
      </c>
      <c r="G38" s="739"/>
    </row>
    <row r="39" spans="1:7" ht="30" customHeight="1" x14ac:dyDescent="0.2">
      <c r="A39" s="744" t="str">
        <f t="shared" ref="A39" si="1">IF($D$6="modified","Proposed increase in supplemental fuel hourly flow rate (scf/hr)","Supplemental fuel hourly flow rate (scf/hr)")</f>
        <v>Supplemental fuel hourly flow rate (scf/hr)</v>
      </c>
      <c r="B39" s="690"/>
      <c r="C39" s="758"/>
      <c r="D39" s="551"/>
      <c r="E39" s="759"/>
      <c r="F39" s="738" t="s">
        <v>9361</v>
      </c>
      <c r="G39" s="739"/>
    </row>
    <row r="40" spans="1:7" ht="30" customHeight="1" x14ac:dyDescent="0.2">
      <c r="A40" s="744" t="str">
        <f t="shared" ref="A40" si="2">IF($D$6="modified","Proposed increase in supplemental fuel annual flow rate (scf/yr)","Supplemental fuel annual flow rate (scf/yr)")</f>
        <v>Supplemental fuel annual flow rate (scf/yr)</v>
      </c>
      <c r="B40" s="690"/>
      <c r="C40" s="758"/>
      <c r="D40" s="551"/>
      <c r="E40" s="759"/>
      <c r="F40" s="738" t="s">
        <v>9361</v>
      </c>
      <c r="G40" s="739"/>
    </row>
    <row r="41" spans="1:7" ht="14.25" customHeight="1" x14ac:dyDescent="0.2">
      <c r="A41" s="666" t="s">
        <v>8718</v>
      </c>
      <c r="B41" s="667"/>
      <c r="C41" s="668"/>
      <c r="D41" s="551"/>
      <c r="E41" s="759"/>
      <c r="F41" s="736" t="str">
        <f>IF($D$38="natural gas","5 gr/100dscf maximum",IF($D$38="fuel gas","10 gr/100 dscf maximum",""))</f>
        <v/>
      </c>
      <c r="G41" s="737"/>
    </row>
    <row r="42" spans="1:7" x14ac:dyDescent="0.2">
      <c r="A42" s="666" t="s">
        <v>8695</v>
      </c>
      <c r="B42" s="667"/>
      <c r="C42" s="668"/>
      <c r="D42" s="757" t="str">
        <f>IF($D$38="","",IF($D$38="natural gas","AP-42 Ch. 1.4",IF($D$38="fuel gas","Site-specific fuel gas analysis","")))</f>
        <v/>
      </c>
      <c r="E42" s="668"/>
      <c r="F42" s="738" t="s">
        <v>9361</v>
      </c>
      <c r="G42" s="739"/>
    </row>
    <row r="43" spans="1:7" ht="14.25" customHeight="1" x14ac:dyDescent="0.2">
      <c r="A43" s="666" t="s">
        <v>8699</v>
      </c>
      <c r="B43" s="667"/>
      <c r="C43" s="668"/>
      <c r="D43" s="551"/>
      <c r="E43" s="759"/>
      <c r="F43" s="738" t="s">
        <v>9361</v>
      </c>
      <c r="G43" s="739"/>
    </row>
    <row r="44" spans="1:7" ht="14.25" customHeight="1" x14ac:dyDescent="0.2">
      <c r="A44" s="666" t="s">
        <v>8700</v>
      </c>
      <c r="B44" s="667"/>
      <c r="C44" s="668"/>
      <c r="D44" s="551"/>
      <c r="E44" s="759"/>
      <c r="F44" s="738" t="s">
        <v>9361</v>
      </c>
      <c r="G44" s="739"/>
    </row>
    <row r="45" spans="1:7" ht="14.25" customHeight="1" x14ac:dyDescent="0.2">
      <c r="A45" s="666" t="s">
        <v>8701</v>
      </c>
      <c r="B45" s="667"/>
      <c r="C45" s="668"/>
      <c r="D45" s="551"/>
      <c r="E45" s="759"/>
      <c r="F45" s="738" t="s">
        <v>9361</v>
      </c>
      <c r="G45" s="739"/>
    </row>
    <row r="46" spans="1:7" ht="14.25" customHeight="1" x14ac:dyDescent="0.2">
      <c r="A46" s="666" t="s">
        <v>271</v>
      </c>
      <c r="B46" s="667"/>
      <c r="C46" s="668"/>
      <c r="D46" s="551"/>
      <c r="E46" s="759"/>
      <c r="F46" s="738" t="s">
        <v>9361</v>
      </c>
      <c r="G46" s="739"/>
    </row>
    <row r="47" spans="1:7" ht="14.25" customHeight="1" x14ac:dyDescent="0.2">
      <c r="A47" s="666" t="s">
        <v>8699</v>
      </c>
      <c r="B47" s="667"/>
      <c r="C47" s="668"/>
      <c r="D47" s="757" t="str">
        <f>IF(D38="","",IF(D38="natural gas",5.5,""))</f>
        <v/>
      </c>
      <c r="E47" s="668"/>
      <c r="F47" s="738" t="s">
        <v>9361</v>
      </c>
      <c r="G47" s="739"/>
    </row>
    <row r="48" spans="1:7" ht="14.25" customHeight="1" x14ac:dyDescent="0.2">
      <c r="A48" s="666" t="s">
        <v>8700</v>
      </c>
      <c r="B48" s="667"/>
      <c r="C48" s="668"/>
      <c r="D48" s="757" t="str">
        <f>IF(D38="","",IF(D38="natural gas",100,""))</f>
        <v/>
      </c>
      <c r="E48" s="668"/>
      <c r="F48" s="738" t="s">
        <v>9361</v>
      </c>
      <c r="G48" s="739"/>
    </row>
    <row r="49" spans="1:7" ht="14.25" customHeight="1" x14ac:dyDescent="0.2">
      <c r="A49" s="666" t="s">
        <v>8701</v>
      </c>
      <c r="B49" s="667"/>
      <c r="C49" s="668"/>
      <c r="D49" s="757" t="str">
        <f>IF(D38="","",IF(D38="natural gas",84,""))</f>
        <v/>
      </c>
      <c r="E49" s="668"/>
      <c r="F49" s="738" t="s">
        <v>9361</v>
      </c>
      <c r="G49" s="739"/>
    </row>
    <row r="50" spans="1:7" ht="14.25" customHeight="1" thickBot="1" x14ac:dyDescent="0.25">
      <c r="A50" s="666" t="s">
        <v>271</v>
      </c>
      <c r="B50" s="667"/>
      <c r="C50" s="668"/>
      <c r="D50" s="757" t="str">
        <f>IF(OR($D$38="",$D$41=""),"",IF($D$38="natural gas",0.6*5*$D$41,""))</f>
        <v/>
      </c>
      <c r="E50" s="668"/>
      <c r="F50" s="742" t="s">
        <v>9361</v>
      </c>
      <c r="G50" s="743"/>
    </row>
    <row r="51" spans="1:7" ht="15" x14ac:dyDescent="0.2">
      <c r="A51" s="760" t="s">
        <v>8691</v>
      </c>
      <c r="B51" s="761"/>
      <c r="C51" s="763"/>
      <c r="D51" s="540"/>
      <c r="E51" s="540"/>
      <c r="F51" s="540" t="s">
        <v>8723</v>
      </c>
      <c r="G51" s="541"/>
    </row>
    <row r="52" spans="1:7" ht="44.25" customHeight="1" x14ac:dyDescent="0.2">
      <c r="A52" s="744" t="s">
        <v>10864</v>
      </c>
      <c r="B52" s="667"/>
      <c r="C52" s="668"/>
      <c r="D52" s="745"/>
      <c r="E52" s="746"/>
      <c r="F52" s="531" t="s">
        <v>10865</v>
      </c>
      <c r="G52" s="538"/>
    </row>
    <row r="53" spans="1:7" ht="33" customHeight="1" x14ac:dyDescent="0.2">
      <c r="A53" s="744" t="s">
        <v>8715</v>
      </c>
      <c r="B53" s="690"/>
      <c r="C53" s="758"/>
      <c r="D53" s="745"/>
      <c r="E53" s="746"/>
      <c r="F53" s="531" t="s">
        <v>10866</v>
      </c>
      <c r="G53" s="538"/>
    </row>
    <row r="54" spans="1:7" ht="60" customHeight="1" x14ac:dyDescent="0.2">
      <c r="A54" s="744" t="str">
        <f>IF($D$6="modified","Proposed increase in maximum hourly flow rate (scf/hr)","Maximum hourly flow rate (scf/hr)")</f>
        <v>Maximum hourly flow rate (scf/hr)</v>
      </c>
      <c r="B54" s="690"/>
      <c r="C54" s="758"/>
      <c r="D54" s="745"/>
      <c r="E54" s="746"/>
      <c r="F54" s="531" t="str">
        <f t="shared" ref="F54" si="3">IF($D$6="modified","Excluding tank roof landings and MSS, consider all proposed increases of waste stream flow to the the flare and calculate the resulting hourly flow rate increase.","Excluding tank roof landings and MSS, consider all waste streams that will be routed to the flare at a given point in time and calculate the resulting hourly flow rate.")</f>
        <v>Excluding tank roof landings and MSS, consider all waste streams that will be routed to the flare at a given point in time and calculate the resulting hourly flow rate.</v>
      </c>
      <c r="G54" s="538"/>
    </row>
    <row r="55" spans="1:7" ht="72.75" customHeight="1" x14ac:dyDescent="0.2">
      <c r="A55" s="744" t="str">
        <f>IF($D$6="modified","Proposed increase in annual flow rate (scf/yr)","Annual flow rate (scf/yr)")</f>
        <v>Annual flow rate (scf/yr)</v>
      </c>
      <c r="B55" s="690"/>
      <c r="C55" s="758"/>
      <c r="D55" s="745"/>
      <c r="E55" s="746"/>
      <c r="F55" s="531" t="str">
        <f t="shared" ref="F55" si="4">IF($D$6="modified","Excluding tank roof landings and MSS, consider all proposed increases of waste stream flow to the flare during one year and calculate the resulting annual flow rate increase.","Excluding tank roof landings and MSS, consider all waste streams that will be routed to the flare during one year and calculate the resulting annual flow rate.")</f>
        <v>Excluding tank roof landings and MSS, consider all waste streams that will be routed to the flare during one year and calculate the resulting annual flow rate.</v>
      </c>
      <c r="G55" s="538"/>
    </row>
    <row r="56" spans="1:7" x14ac:dyDescent="0.2">
      <c r="A56" s="666" t="s">
        <v>8695</v>
      </c>
      <c r="B56" s="667"/>
      <c r="C56" s="668"/>
      <c r="D56" s="740" t="s">
        <v>9297</v>
      </c>
      <c r="E56" s="741"/>
      <c r="F56" s="738" t="s">
        <v>9361</v>
      </c>
      <c r="G56" s="739"/>
    </row>
    <row r="57" spans="1:7" x14ac:dyDescent="0.2">
      <c r="A57" s="666" t="s">
        <v>275</v>
      </c>
      <c r="B57" s="667"/>
      <c r="C57" s="668"/>
      <c r="D57" s="757">
        <f>IF($D$20="",0,IF(AND(OR($D$20="NONE",$D$20="AIR-ASSISTED"),$D$52&lt;=1000),0.0641,IF(AND(OR($D$20="NONE",$D$20="AIR-ASSISTED"),$D$52&gt;1000),0.138,IF(AND($D$20="STEAM-ASSISTED",$D$52&lt;=1000),0.068,IF(AND($D$20="STEAM-ASSISTED",$D$52&gt;1000),0.0485,"Please choose a valid option in cell B15.")))))</f>
        <v>0</v>
      </c>
      <c r="E57" s="668"/>
      <c r="F57" s="738" t="s">
        <v>9361</v>
      </c>
      <c r="G57" s="739"/>
    </row>
    <row r="58" spans="1:7" ht="15" thickBot="1" x14ac:dyDescent="0.25">
      <c r="A58" s="666" t="s">
        <v>276</v>
      </c>
      <c r="B58" s="667"/>
      <c r="C58" s="668"/>
      <c r="D58" s="757">
        <f>IF($D$20="",0,IF(AND(OR($D$20="NONE",$D$20="AIR-ASSISTED"),$D$52&lt;=1000),0.5496,IF(AND(OR($D$20="NONE",$D$20="AIR-ASSISTED"),$D$52&gt;1000),0.2755,IF(AND($D$20="STEAM-ASSISTED",$D$52&lt;=1000),0.3465,IF(AND($D$20="STEAM-ASSISTED",$D$52&gt;1000),0.3503,"Please choose a valid option in cell B15.")))))</f>
        <v>0</v>
      </c>
      <c r="E58" s="668"/>
      <c r="F58" s="738" t="s">
        <v>9361</v>
      </c>
      <c r="G58" s="739"/>
    </row>
    <row r="59" spans="1:7" ht="15" x14ac:dyDescent="0.2">
      <c r="A59" s="760" t="s">
        <v>8692</v>
      </c>
      <c r="B59" s="761"/>
      <c r="C59" s="761"/>
      <c r="D59" s="761"/>
      <c r="E59" s="761"/>
      <c r="F59" s="761"/>
      <c r="G59" s="762"/>
    </row>
    <row r="60" spans="1:7" x14ac:dyDescent="0.2">
      <c r="A60" s="666" t="s">
        <v>8713</v>
      </c>
      <c r="B60" s="667"/>
      <c r="C60" s="668"/>
      <c r="D60" s="551"/>
      <c r="E60" s="552"/>
      <c r="F60" s="552"/>
      <c r="G60" s="553"/>
    </row>
    <row r="61" spans="1:7" ht="43.5" customHeight="1" x14ac:dyDescent="0.2">
      <c r="A61" s="744" t="s">
        <v>9403</v>
      </c>
      <c r="B61" s="690"/>
      <c r="C61" s="758"/>
      <c r="D61" s="551"/>
      <c r="E61" s="552"/>
      <c r="F61" s="552"/>
      <c r="G61" s="553"/>
    </row>
    <row r="62" spans="1:7" ht="15" thickBot="1" x14ac:dyDescent="0.25">
      <c r="A62" s="669" t="s">
        <v>285</v>
      </c>
      <c r="B62" s="670"/>
      <c r="C62" s="671"/>
      <c r="D62" s="557"/>
      <c r="E62" s="558"/>
      <c r="F62" s="558"/>
      <c r="G62" s="559"/>
    </row>
    <row r="63" spans="1:7" ht="15" thickBot="1" x14ac:dyDescent="0.25">
      <c r="A63" s="560" t="s">
        <v>1</v>
      </c>
      <c r="B63" s="560"/>
      <c r="C63" s="560"/>
      <c r="D63" s="560"/>
      <c r="E63" s="560"/>
      <c r="F63" s="560"/>
      <c r="G63" s="560"/>
    </row>
    <row r="64" spans="1:7" ht="15.75" thickBot="1" x14ac:dyDescent="0.25">
      <c r="A64" s="479" t="s">
        <v>9395</v>
      </c>
      <c r="B64" s="479"/>
      <c r="C64" s="479"/>
      <c r="D64" s="479"/>
      <c r="E64" s="479"/>
      <c r="F64" s="479"/>
      <c r="G64" s="479"/>
    </row>
    <row r="65" spans="1:7" ht="15" x14ac:dyDescent="0.2">
      <c r="A65" s="506" t="s">
        <v>8703</v>
      </c>
      <c r="B65" s="507"/>
      <c r="C65" s="507"/>
      <c r="D65" s="507"/>
      <c r="E65" s="507"/>
      <c r="F65" s="507"/>
      <c r="G65" s="508"/>
    </row>
    <row r="66" spans="1:7" ht="31.5" customHeight="1" x14ac:dyDescent="0.2">
      <c r="A66" s="545" t="s">
        <v>178</v>
      </c>
      <c r="B66" s="546"/>
      <c r="C66" s="546"/>
      <c r="D66" s="546" t="str">
        <f>IF($D$6="modified","Proposed increase in hourly emissions (lb/hr)","Proposed hourly emissions (lb/hr)")</f>
        <v>Proposed hourly emissions (lb/hr)</v>
      </c>
      <c r="E66" s="546"/>
      <c r="F66" s="546" t="str">
        <f t="shared" ref="F66" si="5">IF($D$6="modified","Proposed increase in annual emissions (tpy)","Proposed annual emissions tpy)")</f>
        <v>Proposed annual emissions tpy)</v>
      </c>
      <c r="G66" s="547"/>
    </row>
    <row r="67" spans="1:7" x14ac:dyDescent="0.2">
      <c r="A67" s="528" t="s">
        <v>229</v>
      </c>
      <c r="B67" s="529"/>
      <c r="C67" s="529"/>
      <c r="D67" s="753">
        <f>IF($D$24="",0,IF($D$24="NATURAL GAS",$D33*$D$26*$D$25*(10^-6),IF($D$24="FUEL GAS",$D29*$D$26*$D$25*(10^-6))))</f>
        <v>0</v>
      </c>
      <c r="E67" s="753"/>
      <c r="F67" s="753">
        <f>IF($D67="","",$D67*(8760/2000))</f>
        <v>0</v>
      </c>
      <c r="G67" s="754"/>
    </row>
    <row r="68" spans="1:7" x14ac:dyDescent="0.2">
      <c r="A68" s="528" t="s">
        <v>261</v>
      </c>
      <c r="B68" s="529"/>
      <c r="C68" s="529"/>
      <c r="D68" s="753">
        <f>IF($D$24="",0,IF($D$24="NATURAL GAS",$D34*$D$26*$D$25*(10^-6),IF($D$24="FUEL GAS",$D30*$D$26*$D$25*(10^-6))))</f>
        <v>0</v>
      </c>
      <c r="E68" s="753"/>
      <c r="F68" s="753">
        <f>IF($D68="","",$D68*(8760/2000))</f>
        <v>0</v>
      </c>
      <c r="G68" s="754"/>
    </row>
    <row r="69" spans="1:7" x14ac:dyDescent="0.2">
      <c r="A69" s="528" t="s">
        <v>262</v>
      </c>
      <c r="B69" s="529"/>
      <c r="C69" s="529"/>
      <c r="D69" s="753">
        <f>IF($D$24="",0,IF($D$24="NATURAL GAS",$D35*$D$26*$D$25*(10^-6),IF($D$24="FUEL GAS",$D31*$D$26*$D$25*(10^-6))))</f>
        <v>0</v>
      </c>
      <c r="E69" s="753"/>
      <c r="F69" s="753">
        <f>IF($D69="","",$D69*(8760/2000))</f>
        <v>0</v>
      </c>
      <c r="G69" s="754"/>
    </row>
    <row r="70" spans="1:7" x14ac:dyDescent="0.2">
      <c r="A70" s="528" t="s">
        <v>266</v>
      </c>
      <c r="B70" s="529"/>
      <c r="C70" s="529"/>
      <c r="D70" s="753">
        <f>IF($D$24="",0,IF($D$24="NATURAL GAS",$D36*$D$26*$D$25*(10^-6),IF($D$24="FUEL GAS",$D32*$D$26*$D$25*(10^-6))))</f>
        <v>0</v>
      </c>
      <c r="E70" s="753"/>
      <c r="F70" s="753">
        <f>IF($D70="","",$D70*(8760/2000))</f>
        <v>0</v>
      </c>
      <c r="G70" s="754"/>
    </row>
    <row r="71" spans="1:7" ht="15" thickBot="1" x14ac:dyDescent="0.25">
      <c r="A71" s="548" t="s">
        <v>267</v>
      </c>
      <c r="B71" s="549"/>
      <c r="C71" s="549"/>
      <c r="D71" s="755">
        <f>$D$70*(34.08/64.06)</f>
        <v>0</v>
      </c>
      <c r="E71" s="755"/>
      <c r="F71" s="775">
        <f>IF($D71="","",$D71*(8760/2000))</f>
        <v>0</v>
      </c>
      <c r="G71" s="776"/>
    </row>
    <row r="72" spans="1:7" ht="15" x14ac:dyDescent="0.2">
      <c r="A72" s="506" t="s">
        <v>8704</v>
      </c>
      <c r="B72" s="507"/>
      <c r="C72" s="507"/>
      <c r="D72" s="507"/>
      <c r="E72" s="507"/>
      <c r="F72" s="507"/>
      <c r="G72" s="508"/>
    </row>
    <row r="73" spans="1:7" ht="33" customHeight="1" x14ac:dyDescent="0.2">
      <c r="A73" s="512" t="s">
        <v>178</v>
      </c>
      <c r="B73" s="513"/>
      <c r="C73" s="513"/>
      <c r="D73" s="546" t="str">
        <f>IF($D$6="modified","Proposed increase in hourly emissions (lb/hr)","Proposed hourly emissions (lb/hr)")</f>
        <v>Proposed hourly emissions (lb/hr)</v>
      </c>
      <c r="E73" s="546"/>
      <c r="F73" s="546" t="str">
        <f t="shared" ref="F73" si="6">IF($D$6="modified","Proposed increase in annual emissions (tpy)","Proposed annual emissions tpy)")</f>
        <v>Proposed annual emissions tpy)</v>
      </c>
      <c r="G73" s="547"/>
    </row>
    <row r="74" spans="1:7" ht="14.25" customHeight="1" x14ac:dyDescent="0.2">
      <c r="A74" s="528" t="s">
        <v>229</v>
      </c>
      <c r="B74" s="529"/>
      <c r="C74" s="529"/>
      <c r="D74" s="753">
        <f>IF(OR($D$38="",$D$38="NONE"),0,IF($D$38="NATURAL GAS",$D47*$D$39*(10^-6),IF($D$38="FUEL GAS",$D43*$D$39*(10^-6))))</f>
        <v>0</v>
      </c>
      <c r="E74" s="753"/>
      <c r="F74" s="753">
        <f>IF(OR($D$38="",$D$38="NONE"),0,IF($D$38="NATURAL GAS",$D47*$D$40*(2000^-1)*(10^-6),IF($D$38="FUEL GAS",$D43*$D$40*(2000^-1)*(10^-6))))</f>
        <v>0</v>
      </c>
      <c r="G74" s="754"/>
    </row>
    <row r="75" spans="1:7" ht="14.25" customHeight="1" x14ac:dyDescent="0.2">
      <c r="A75" s="528" t="s">
        <v>261</v>
      </c>
      <c r="B75" s="529"/>
      <c r="C75" s="529"/>
      <c r="D75" s="753">
        <f>IF(OR($D$38="",$D$38="NONE"),0,IF($D$38="NATURAL GAS",$D48*$D$39*(10^-6),IF($D$38="FUEL GAS",$D44*$D$39*(10^-6))))</f>
        <v>0</v>
      </c>
      <c r="E75" s="753"/>
      <c r="F75" s="753">
        <f>IF(OR($D$38="",$D$38="NONE"),0,IF($D$38="NATURAL GAS",$D48*$D$40*(2000^-1)*(10^-6),IF($D$38="FUEL GAS",$D44*$D$40*(2000^-1)*(10^-6))))</f>
        <v>0</v>
      </c>
      <c r="G75" s="754"/>
    </row>
    <row r="76" spans="1:7" ht="14.25" customHeight="1" x14ac:dyDescent="0.2">
      <c r="A76" s="528" t="s">
        <v>262</v>
      </c>
      <c r="B76" s="529"/>
      <c r="C76" s="529"/>
      <c r="D76" s="753">
        <f>IF(OR($D$38="",$D$38="NONE"),0,IF($D$38="NATURAL GAS",$D49*$D$39*(10^-6),IF($D$38="FUEL GAS",$D45*$D$39*(10^-6))))</f>
        <v>0</v>
      </c>
      <c r="E76" s="753"/>
      <c r="F76" s="753">
        <f>IF(OR($D$38="",$D$38="NONE"),0,IF($D$38="NATURAL GAS",$D49*$D$40*(2000^-1)*(10^-6),IF($D$38="FUEL GAS",$D45*$D$40*(2000^-1)*(10^-6))))</f>
        <v>0</v>
      </c>
      <c r="G76" s="754"/>
    </row>
    <row r="77" spans="1:7" ht="14.25" customHeight="1" x14ac:dyDescent="0.2">
      <c r="A77" s="528" t="s">
        <v>266</v>
      </c>
      <c r="B77" s="529"/>
      <c r="C77" s="529"/>
      <c r="D77" s="753">
        <f>IF(OR($D$38="",$D$38="NONE"),0,IF($D$38="NATURAL GAS",$D50*$D$39*(10^-6),IF($D$38="FUEL GAS",$D46*$D$39*(10^-6))))</f>
        <v>0</v>
      </c>
      <c r="E77" s="753"/>
      <c r="F77" s="753">
        <f>IF(OR($D$38="",$D$38="NONE"),0,IF($D$38="NATURAL GAS",$D50*$D$40*(2000^-1)*(10^-6),IF($D$38="FUEL GAS",$D46*$D$40*(2000^-1)*(10^-6))))</f>
        <v>0</v>
      </c>
      <c r="G77" s="754"/>
    </row>
    <row r="78" spans="1:7" ht="14.25" customHeight="1" thickBot="1" x14ac:dyDescent="0.25">
      <c r="A78" s="548" t="s">
        <v>267</v>
      </c>
      <c r="B78" s="549"/>
      <c r="C78" s="549"/>
      <c r="D78" s="755">
        <f>$D$77*(34.08/64.06)</f>
        <v>0</v>
      </c>
      <c r="E78" s="755"/>
      <c r="F78" s="755">
        <f>$F$77*(34.08/64.06)</f>
        <v>0</v>
      </c>
      <c r="G78" s="756"/>
    </row>
    <row r="79" spans="1:7" ht="15" x14ac:dyDescent="0.2">
      <c r="A79" s="506" t="s">
        <v>272</v>
      </c>
      <c r="B79" s="507"/>
      <c r="C79" s="507"/>
      <c r="D79" s="507"/>
      <c r="E79" s="507"/>
      <c r="F79" s="507"/>
      <c r="G79" s="508"/>
    </row>
    <row r="80" spans="1:7" ht="45" x14ac:dyDescent="0.2">
      <c r="A80" s="512" t="s">
        <v>178</v>
      </c>
      <c r="B80" s="513"/>
      <c r="C80" s="513"/>
      <c r="D80" s="392" t="str">
        <f>IF($D$6="modified","Proposed increase in collected emissions (lb/hr)","Collected emissions (lb/hr)")</f>
        <v>Collected emissions (lb/hr)</v>
      </c>
      <c r="E80" s="392" t="str">
        <f>IF($D$6="modified","Proposed increase in collected emissions (tpy)","Collected emissions (tpy)")</f>
        <v>Collected emissions (tpy)</v>
      </c>
      <c r="F80" s="392" t="s">
        <v>9392</v>
      </c>
      <c r="G80" s="393" t="s">
        <v>10870</v>
      </c>
    </row>
    <row r="81" spans="1:7" ht="14.25" customHeight="1" x14ac:dyDescent="0.2">
      <c r="A81" s="528" t="s">
        <v>229</v>
      </c>
      <c r="B81" s="529"/>
      <c r="C81" s="529"/>
      <c r="D81" s="124">
        <f>IF(Tank1!$D$22="flare",MAX(Tank1!$G$32,Tank1!$G$43,Tank1!$G$54,Tank1!$G$65,Tank1!$G$76,Tank1!$G$87,Tank1!$G$98,Tank1!$G$109,Tank1!$G$120,Tank1!$G$131),0)+IF(Tank2!$D$22="flare",MAX(Tank2!$G$32,Tank2!$G$43,Tank2!$G$54,Tank2!$G$65,Tank2!$G$76,Tank2!$G$87,Tank2!$G$98,Tank2!$G$109,Tank2!$G$120,Tank2!$G$131),0)+IF(Tank3!$D$22="flare",MAX(Tank3!$G$32,Tank3!$G$43,Tank3!$G$54,Tank3!$G$65,Tank3!$G$76,Tank3!$G$87,Tank3!$G$98,Tank3!$G$109,Tank3!$G$120,Tank3!$G$131),0)+IF(Tank4!$D$22="flare",MAX(Tank4!$G$32,Tank4!$G$43,Tank4!$G$54,Tank4!$G$65,Tank4!$G$76,Tank4!$G$87,Tank4!$G$98,Tank4!$G$109,Tank4!$G$120,Tank4!$G$131),0)+IF(Tank5!$D$22="flare",MAX(Tank5!$G$32,Tank5!$G$43,Tank5!$G$54,Tank5!$G$65,Tank5!$G$76,Tank5!$G$87,Tank5!$G$98,Tank5!$G$109,Tank5!$G$120,Tank5!$G$131),0)+IF('Load-DrumTote'!$F$19="Flare",MAX('Load-DrumTote'!$M$27,'Load-DrumTote'!$M$38,'Load-DrumTote'!$M$49,'Load-DrumTote'!$M$60,'Load-DrumTote'!$M$71,'Load-DrumTote'!$M$82,'Load-DrumTote'!$M$93,'Load-DrumTote'!$M$104,'Load-DrumTote'!$M$115,'Load-DrumTote'!$M$126),0)+IF('Load-Truck'!$F$19="Flare",MAX('Load-Truck'!$M$27,'Load-Truck'!$M$38,'Load-Truck'!$M$49,'Load-Truck'!$M$60,'Load-Truck'!$M$71,'Load-Truck'!$M$82,'Load-Truck'!$M$93,'Load-Truck'!$M$104,'Load-Truck'!$M$115,'Load-Truck'!$M$126),0)+IF('Load-Rail'!$F$19="Flare",MAX('Load-Rail'!$M$27,'Load-Rail'!$M$38,'Load-Rail'!$M$49,'Load-Rail'!$M$60,'Load-Rail'!$M$71,'Load-Rail'!$M$82,'Load-Rail'!$M$93,'Load-Rail'!$M$104,'Load-Rail'!$M$115,'Load-Rail'!$M$126),0)+IF('Load-MarineBarge'!$F$19="Flare",MAX('Load-MarineBarge'!$M$27,'Load-MarineBarge'!$M$38,'Load-MarineBarge'!$M$49,'Load-MarineBarge'!$M$60,'Load-MarineBarge'!$M$71,'Load-MarineBarge'!$M$82,'Load-MarineBarge'!$M$93,'Load-MarineBarge'!$M$104,'Load-MarineBarge'!$M$115,'Load-MarineBarge'!$M$126),0)+IF('Load-MarineShip'!$F$19="Flare",MAX('Load-MarineShip'!$M$27,'Load-MarineShip'!$M$38,'Load-MarineShip'!$M$49,'Load-MarineShip'!$M$60,'Load-MarineShip'!$M$71,'Load-MarineShip'!$M$82,'Load-MarineShip'!$M$93,'Load-MarineShip'!$M$104,'Load-MarineShip'!$M$115,'Load-MarineShip'!$M$126),0)</f>
        <v>0</v>
      </c>
      <c r="E81" s="124">
        <f>IF(Tank1!$D$22="flare",SUM(Tank1!$H$32,Tank1!$H$43,Tank1!$H$54,Tank1!$H$65,Tank1!$H$76,Tank1!$H$87,Tank1!$H$98,Tank1!$H$109,Tank1!$H$120,Tank1!$H$131),0)+IF(Tank2!$D$22="flare",SUM(Tank2!$H$32,Tank2!$H$43,Tank2!$H$54,Tank2!$H$65,Tank2!$H$76,Tank2!$H$87,Tank2!$H$98,Tank2!$H$109,Tank2!$H$120,Tank2!$H$131),0)+IF(Tank3!$D$22="flare",SUM(Tank3!$H$32,Tank3!$H$43,Tank3!$H$54,Tank3!$H$65,Tank3!$H$76,Tank3!$H$87,Tank3!$H$98,Tank3!$H$109,Tank3!$H$120,Tank3!$H$131),0)+IF(Tank4!$D$22="flare",SUM(Tank4!$H$32,Tank4!$H$43,Tank4!$H$54,Tank4!$H$65,Tank4!$H$76,Tank4!$H$87,Tank4!$H$98,Tank4!$H$109,Tank4!$H$120,Tank4!$H$131),0)+IF(Tank5!$D$22="flare",SUM(Tank5!$H$32,Tank5!$H$43,Tank5!$H$54,Tank5!$H$65,Tank5!$H$76,Tank5!$H$87,Tank5!$H$98,Tank5!$H$109,Tank5!$H$120,Tank5!$H$131),0)+IF('Load-DrumTote'!$F$19="Flare",SUM('Load-DrumTote'!$N$27,'Load-DrumTote'!$N$38,'Load-DrumTote'!$N$49,'Load-DrumTote'!$N$60,'Load-DrumTote'!$N$71,'Load-DrumTote'!$N$82,'Load-DrumTote'!$N$93,'Load-DrumTote'!$N$104,'Load-DrumTote'!$N$115,'Load-DrumTote'!$N$126),0)+IF('Load-Truck'!$F$19="Flare",SUM('Load-Truck'!$N$27,'Load-Truck'!$N$38,'Load-Truck'!$N$49,'Load-Truck'!$N$60,'Load-Truck'!$N$71,'Load-Truck'!$N$82,'Load-Truck'!$N$93,'Load-Truck'!$N$104,'Load-Truck'!$N$115,'Load-Truck'!$N$126),0)+IF('Load-Rail'!$F$19="Flare",SUM('Load-Rail'!$N$27,'Load-Rail'!$N$38,'Load-Rail'!$N$49,'Load-Rail'!$N$60,'Load-Rail'!$N$71,'Load-Rail'!$N$82,'Load-Rail'!$N$93,'Load-Rail'!$N$104,'Load-Rail'!$N$115,'Load-Rail'!$N$126),0)+IF('Load-MarineBarge'!$F$19="Flare",SUM('Load-MarineBarge'!$N$27,'Load-MarineBarge'!$N$38,'Load-MarineBarge'!$N$49,'Load-MarineBarge'!$N$60,'Load-MarineBarge'!$N$71,'Load-MarineBarge'!$N$82,'Load-MarineBarge'!$N$93,'Load-MarineBarge'!$N$104,'Load-MarineBarge'!$N$115,'Load-MarineBarge'!$N$126),0)+IF('Load-MarineShip'!$F$19="Flare",SUM('Load-MarineShip'!$N$27,'Load-MarineShip'!$N$38,'Load-MarineShip'!$N$49,'Load-MarineShip'!$N$60,'Load-MarineShip'!$N$71,'Load-MarineShip'!$N$82,'Load-MarineShip'!$N$93,'Load-MarineShip'!$N$104,'Load-MarineShip'!$N$115,'Load-MarineShip'!$N$126),0)</f>
        <v>0</v>
      </c>
      <c r="F81" s="124">
        <f>D$81*(1-$D$18)</f>
        <v>0</v>
      </c>
      <c r="G81" s="125">
        <f>E$81*(1-$D$18)</f>
        <v>0</v>
      </c>
    </row>
    <row r="82" spans="1:7" ht="14.25" customHeight="1" x14ac:dyDescent="0.2">
      <c r="A82" s="528" t="s">
        <v>261</v>
      </c>
      <c r="B82" s="529"/>
      <c r="C82" s="529"/>
      <c r="D82" s="77" t="s">
        <v>9363</v>
      </c>
      <c r="E82" s="77" t="s">
        <v>9363</v>
      </c>
      <c r="F82" s="124">
        <f>$D57*$D$52*$D$54*(10^-6)</f>
        <v>0</v>
      </c>
      <c r="G82" s="125">
        <f>$D57*$D$53*$D$55*(10^-6)*(2000^-1)</f>
        <v>0</v>
      </c>
    </row>
    <row r="83" spans="1:7" ht="14.25" customHeight="1" x14ac:dyDescent="0.2">
      <c r="A83" s="528" t="s">
        <v>262</v>
      </c>
      <c r="B83" s="529"/>
      <c r="C83" s="529"/>
      <c r="D83" s="77" t="s">
        <v>9363</v>
      </c>
      <c r="E83" s="77" t="s">
        <v>9363</v>
      </c>
      <c r="F83" s="124">
        <f>$D58*$D$52*$D$54*(10^-6)</f>
        <v>0</v>
      </c>
      <c r="G83" s="125">
        <f>$D58*$D$53*$D$55*(10^-6)*(2000^-1)</f>
        <v>0</v>
      </c>
    </row>
    <row r="84" spans="1:7" ht="14.25" customHeight="1" x14ac:dyDescent="0.2">
      <c r="A84" s="528" t="s">
        <v>266</v>
      </c>
      <c r="B84" s="529"/>
      <c r="C84" s="529"/>
      <c r="D84" s="77" t="s">
        <v>9363</v>
      </c>
      <c r="E84" s="77" t="s">
        <v>9363</v>
      </c>
      <c r="F84" s="124">
        <f>$F$85*(64.06/34.08)</f>
        <v>0</v>
      </c>
      <c r="G84" s="125">
        <f>$G$85*(64.06/34.08)</f>
        <v>0</v>
      </c>
    </row>
    <row r="85" spans="1:7" ht="14.25" customHeight="1" thickBot="1" x14ac:dyDescent="0.25">
      <c r="A85" s="548" t="s">
        <v>267</v>
      </c>
      <c r="B85" s="549"/>
      <c r="C85" s="549"/>
      <c r="D85" s="78"/>
      <c r="E85" s="78"/>
      <c r="F85" s="126">
        <f>(_xlfn.MAXIFS($F$107:$F$216,E107:E216,"7783-06-4")/(1-$D$18))*(1-$D$19)</f>
        <v>0</v>
      </c>
      <c r="G85" s="127">
        <f>(SUMIF($E$107:$E$216,"7783-06-4",$G$107:$G$216)/(1-$D$18))*(1-$D$19)</f>
        <v>0</v>
      </c>
    </row>
    <row r="86" spans="1:7" ht="15" x14ac:dyDescent="0.2">
      <c r="A86" s="506" t="str">
        <f t="shared" ref="A86" si="7">"D. "&amp;IF($D$6="modified","Total Increase in Flare Emissions (excludes tank roof landing and MSS emissions)","Total Flare Emissions (excludes tank roof landing and MSS emissions)")</f>
        <v>D. Total Flare Emissions (excludes tank roof landing and MSS emissions)</v>
      </c>
      <c r="B86" s="507"/>
      <c r="C86" s="507"/>
      <c r="D86" s="507"/>
      <c r="E86" s="507"/>
      <c r="F86" s="507"/>
      <c r="G86" s="508"/>
    </row>
    <row r="87" spans="1:7" ht="31.5" customHeight="1" x14ac:dyDescent="0.2">
      <c r="A87" s="512" t="s">
        <v>178</v>
      </c>
      <c r="B87" s="513"/>
      <c r="C87" s="513"/>
      <c r="D87" s="546" t="str">
        <f>IF($D$6="modified","Proposed increase in hourly flare emissions (lb/hr)","Proposed hourly flare emissions (lb/hr)")</f>
        <v>Proposed hourly flare emissions (lb/hr)</v>
      </c>
      <c r="E87" s="546"/>
      <c r="F87" s="546" t="str">
        <f t="shared" ref="F87" si="8">IF($D$6="modified","Proposed increase in annual flare emissions (tpy)","Proposed annual flare emissions (tpy)")</f>
        <v>Proposed annual flare emissions (tpy)</v>
      </c>
      <c r="G87" s="547"/>
    </row>
    <row r="88" spans="1:7" ht="14.25" customHeight="1" x14ac:dyDescent="0.2">
      <c r="A88" s="528" t="s">
        <v>229</v>
      </c>
      <c r="B88" s="529"/>
      <c r="C88" s="529"/>
      <c r="D88" s="749">
        <f>$D67+$D74+$F81</f>
        <v>0</v>
      </c>
      <c r="E88" s="749"/>
      <c r="F88" s="749">
        <f>$F67+$F74+$G81</f>
        <v>0</v>
      </c>
      <c r="G88" s="750"/>
    </row>
    <row r="89" spans="1:7" ht="14.25" customHeight="1" x14ac:dyDescent="0.2">
      <c r="A89" s="528" t="s">
        <v>261</v>
      </c>
      <c r="B89" s="529"/>
      <c r="C89" s="529"/>
      <c r="D89" s="749">
        <f>$D68+$D75+$F82</f>
        <v>0</v>
      </c>
      <c r="E89" s="749"/>
      <c r="F89" s="749">
        <f>$F68+$F75+$G82</f>
        <v>0</v>
      </c>
      <c r="G89" s="750"/>
    </row>
    <row r="90" spans="1:7" ht="14.25" customHeight="1" x14ac:dyDescent="0.2">
      <c r="A90" s="528" t="s">
        <v>262</v>
      </c>
      <c r="B90" s="529"/>
      <c r="C90" s="529"/>
      <c r="D90" s="749">
        <f>$D69+$D76+$F83</f>
        <v>0</v>
      </c>
      <c r="E90" s="749"/>
      <c r="F90" s="749">
        <f>$F69+$F76+$G83</f>
        <v>0</v>
      </c>
      <c r="G90" s="750"/>
    </row>
    <row r="91" spans="1:7" ht="14.25" customHeight="1" x14ac:dyDescent="0.2">
      <c r="A91" s="528" t="s">
        <v>266</v>
      </c>
      <c r="B91" s="529"/>
      <c r="C91" s="529"/>
      <c r="D91" s="749">
        <f>$D70+$D77+$F84</f>
        <v>0</v>
      </c>
      <c r="E91" s="749"/>
      <c r="F91" s="749">
        <f>$F70+$F77+$G84</f>
        <v>0</v>
      </c>
      <c r="G91" s="750"/>
    </row>
    <row r="92" spans="1:7" ht="15" customHeight="1" thickBot="1" x14ac:dyDescent="0.25">
      <c r="A92" s="548" t="s">
        <v>267</v>
      </c>
      <c r="B92" s="549"/>
      <c r="C92" s="549"/>
      <c r="D92" s="751">
        <f>$D71+$D78+$F85</f>
        <v>0</v>
      </c>
      <c r="E92" s="751"/>
      <c r="F92" s="751">
        <f>$F71+$F78+$G85</f>
        <v>0</v>
      </c>
      <c r="G92" s="752"/>
    </row>
    <row r="93" spans="1:7" ht="15" thickBot="1" x14ac:dyDescent="0.25">
      <c r="A93" s="478" t="s">
        <v>1</v>
      </c>
      <c r="B93" s="478"/>
      <c r="C93" s="478"/>
      <c r="D93" s="478"/>
      <c r="E93" s="478"/>
      <c r="F93" s="478"/>
      <c r="G93" s="478"/>
    </row>
    <row r="94" spans="1:7" ht="15" x14ac:dyDescent="0.2">
      <c r="A94" s="772" t="s">
        <v>9381</v>
      </c>
      <c r="B94" s="773"/>
      <c r="C94" s="773"/>
      <c r="D94" s="773"/>
      <c r="E94" s="773"/>
      <c r="F94" s="773"/>
      <c r="G94" s="774"/>
    </row>
    <row r="95" spans="1:7" ht="45.75" thickBot="1" x14ac:dyDescent="0.25">
      <c r="A95" s="783" t="s">
        <v>9179</v>
      </c>
      <c r="B95" s="784"/>
      <c r="C95" s="784"/>
      <c r="D95" s="784"/>
      <c r="E95" s="162" t="s">
        <v>8751</v>
      </c>
      <c r="F95" s="161" t="str">
        <f>IF($D$6="modified","Proposed increase in flare hourly emissions (lb/hr)","Proposed flare hourly emissions (lb/hr)")</f>
        <v>Proposed flare hourly emissions (lb/hr)</v>
      </c>
      <c r="G95" s="298" t="str">
        <f>IF($D$6="modified","Proposed increase in flare annual emissions (tpy)","Proposed flare annual emissions (tpy)")</f>
        <v>Proposed flare annual emissions (tpy)</v>
      </c>
    </row>
    <row r="96" spans="1:7" x14ac:dyDescent="0.2">
      <c r="A96" s="681" t="s">
        <v>9393</v>
      </c>
      <c r="B96" s="682"/>
      <c r="C96" s="682"/>
      <c r="D96" s="682"/>
      <c r="E96" s="111" t="s">
        <v>291</v>
      </c>
      <c r="F96" s="319">
        <f>IF($D$24&lt;&gt;"FUEL GAS",0,$D$67)+IF($D$38&lt;&gt;"FUEL GAS",0,$D$74)</f>
        <v>0</v>
      </c>
      <c r="G96" s="321">
        <f>IF($D$24&lt;&gt;"FUEL GAS",0,$F$67)+IF($D$38&lt;&gt;"FUEL GAS",0,$F$74)</f>
        <v>0</v>
      </c>
    </row>
    <row r="97" spans="1:7" x14ac:dyDescent="0.2">
      <c r="A97" s="627" t="s">
        <v>1</v>
      </c>
      <c r="B97" s="628"/>
      <c r="C97" s="628"/>
      <c r="D97" s="628"/>
      <c r="E97" s="16" t="str">
        <f>IF(Products!$E8="","",Products!$E8)</f>
        <v/>
      </c>
      <c r="F97" s="158" t="str">
        <f>IF($E97="","",IF(VLOOKUP($E97,Products!$E$8:$H$17,4,FALSE)="","",VLOOKUP($E97,Products!$E$8:$H$17,4,FALSE))*$F$96)</f>
        <v/>
      </c>
      <c r="G97" s="115" t="str">
        <f>IF($E97="","",IF(VLOOKUP($E97,Products!$E$8:$H$17,4,FALSE)="","",VLOOKUP($E97,Products!$E$8:$H$17,4,FALSE))*$G$96)</f>
        <v/>
      </c>
    </row>
    <row r="98" spans="1:7" x14ac:dyDescent="0.2">
      <c r="A98" s="627" t="s">
        <v>1</v>
      </c>
      <c r="B98" s="628"/>
      <c r="C98" s="628"/>
      <c r="D98" s="628"/>
      <c r="E98" s="16" t="str">
        <f>IF(Products!$E9="","",Products!$E9)</f>
        <v/>
      </c>
      <c r="F98" s="158" t="str">
        <f>IF($E98="","",IF(VLOOKUP($E98,Products!$E$8:$H$17,4,FALSE)="","",VLOOKUP($E98,Products!$E$8:$H$17,4,FALSE))*$F$96)</f>
        <v/>
      </c>
      <c r="G98" s="115" t="str">
        <f>IF($E98="","",IF(VLOOKUP($E98,Products!$E$8:$H$17,4,FALSE)="","",VLOOKUP($E98,Products!$E$8:$H$17,4,FALSE))*$G$96)</f>
        <v/>
      </c>
    </row>
    <row r="99" spans="1:7" x14ac:dyDescent="0.2">
      <c r="A99" s="627" t="s">
        <v>1</v>
      </c>
      <c r="B99" s="628"/>
      <c r="C99" s="628"/>
      <c r="D99" s="628"/>
      <c r="E99" s="16" t="str">
        <f>IF(Products!$E10="","",Products!$E10)</f>
        <v/>
      </c>
      <c r="F99" s="158" t="str">
        <f>IF($E99="","",IF(VLOOKUP($E99,Products!$E$8:$H$17,4,FALSE)="","",VLOOKUP($E99,Products!$E$8:$H$17,4,FALSE))*$F$96)</f>
        <v/>
      </c>
      <c r="G99" s="115" t="str">
        <f>IF($E99="","",IF(VLOOKUP($E99,Products!$E$8:$H$17,4,FALSE)="","",VLOOKUP($E99,Products!$E$8:$H$17,4,FALSE))*$G$96)</f>
        <v/>
      </c>
    </row>
    <row r="100" spans="1:7" x14ac:dyDescent="0.2">
      <c r="A100" s="627" t="s">
        <v>1</v>
      </c>
      <c r="B100" s="628"/>
      <c r="C100" s="628"/>
      <c r="D100" s="628"/>
      <c r="E100" s="16" t="str">
        <f>IF(Products!$E11="","",Products!$E11)</f>
        <v/>
      </c>
      <c r="F100" s="158" t="str">
        <f>IF($E100="","",IF(VLOOKUP($E100,Products!$E$8:$H$17,4,FALSE)="","",VLOOKUP($E100,Products!$E$8:$H$17,4,FALSE))*$F$96)</f>
        <v/>
      </c>
      <c r="G100" s="115" t="str">
        <f>IF($E100="","",IF(VLOOKUP($E100,Products!$E$8:$H$17,4,FALSE)="","",VLOOKUP($E100,Products!$E$8:$H$17,4,FALSE))*$G$96)</f>
        <v/>
      </c>
    </row>
    <row r="101" spans="1:7" x14ac:dyDescent="0.2">
      <c r="A101" s="627" t="s">
        <v>1</v>
      </c>
      <c r="B101" s="628"/>
      <c r="C101" s="628"/>
      <c r="D101" s="628"/>
      <c r="E101" s="16" t="str">
        <f>IF(Products!$E12="","",Products!$E12)</f>
        <v/>
      </c>
      <c r="F101" s="158" t="str">
        <f>IF($E101="","",IF(VLOOKUP($E101,Products!$E$8:$H$17,4,FALSE)="","",VLOOKUP($E101,Products!$E$8:$H$17,4,FALSE))*$F$96)</f>
        <v/>
      </c>
      <c r="G101" s="115" t="str">
        <f>IF($E101="","",IF(VLOOKUP($E101,Products!$E$8:$H$17,4,FALSE)="","",VLOOKUP($E101,Products!$E$8:$H$17,4,FALSE))*$G$96)</f>
        <v/>
      </c>
    </row>
    <row r="102" spans="1:7" x14ac:dyDescent="0.2">
      <c r="A102" s="627" t="s">
        <v>1</v>
      </c>
      <c r="B102" s="628"/>
      <c r="C102" s="628"/>
      <c r="D102" s="628"/>
      <c r="E102" s="16" t="str">
        <f>IF(Products!$E13="","",Products!$E13)</f>
        <v/>
      </c>
      <c r="F102" s="158" t="str">
        <f>IF($E102="","",IF(VLOOKUP($E102,Products!$E$8:$H$17,4,FALSE)="","",VLOOKUP($E102,Products!$E$8:$H$17,4,FALSE))*$F$96)</f>
        <v/>
      </c>
      <c r="G102" s="115" t="str">
        <f>IF($E102="","",IF(VLOOKUP($E102,Products!$E$8:$H$17,4,FALSE)="","",VLOOKUP($E102,Products!$E$8:$H$17,4,FALSE))*$G$96)</f>
        <v/>
      </c>
    </row>
    <row r="103" spans="1:7" x14ac:dyDescent="0.2">
      <c r="A103" s="627" t="s">
        <v>1</v>
      </c>
      <c r="B103" s="628"/>
      <c r="C103" s="628"/>
      <c r="D103" s="628"/>
      <c r="E103" s="16" t="str">
        <f>IF(Products!$E14="","",Products!$E14)</f>
        <v/>
      </c>
      <c r="F103" s="158" t="str">
        <f>IF($E103="","",IF(VLOOKUP($E103,Products!$E$8:$H$17,4,FALSE)="","",VLOOKUP($E103,Products!$E$8:$H$17,4,FALSE))*$F$96)</f>
        <v/>
      </c>
      <c r="G103" s="115" t="str">
        <f>IF($E103="","",IF(VLOOKUP($E103,Products!$E$8:$H$17,4,FALSE)="","",VLOOKUP($E103,Products!$E$8:$H$17,4,FALSE))*$G$96)</f>
        <v/>
      </c>
    </row>
    <row r="104" spans="1:7" x14ac:dyDescent="0.2">
      <c r="A104" s="627" t="s">
        <v>1</v>
      </c>
      <c r="B104" s="628"/>
      <c r="C104" s="628"/>
      <c r="D104" s="628"/>
      <c r="E104" s="16" t="str">
        <f>IF(Products!$E15="","",Products!$E15)</f>
        <v/>
      </c>
      <c r="F104" s="158" t="str">
        <f>IF($E104="","",IF(VLOOKUP($E104,Products!$E$8:$H$17,4,FALSE)="","",VLOOKUP($E104,Products!$E$8:$H$17,4,FALSE))*$F$96)</f>
        <v/>
      </c>
      <c r="G104" s="115" t="str">
        <f>IF($E104="","",IF(VLOOKUP($E104,Products!$E$8:$H$17,4,FALSE)="","",VLOOKUP($E104,Products!$E$8:$H$17,4,FALSE))*$G$96)</f>
        <v/>
      </c>
    </row>
    <row r="105" spans="1:7" x14ac:dyDescent="0.2">
      <c r="A105" s="627" t="s">
        <v>1</v>
      </c>
      <c r="B105" s="628"/>
      <c r="C105" s="628"/>
      <c r="D105" s="628"/>
      <c r="E105" s="16" t="str">
        <f>IF(Products!$E16="","",Products!$E16)</f>
        <v/>
      </c>
      <c r="F105" s="158" t="str">
        <f>IF($E105="","",IF(VLOOKUP($E105,Products!$E$8:$H$17,4,FALSE)="","",VLOOKUP($E105,Products!$E$8:$H$17,4,FALSE))*$F$96)</f>
        <v/>
      </c>
      <c r="G105" s="115" t="str">
        <f>IF($E105="","",IF(VLOOKUP($E105,Products!$E$8:$H$17,4,FALSE)="","",VLOOKUP($E105,Products!$E$8:$H$17,4,FALSE))*$G$96)</f>
        <v/>
      </c>
    </row>
    <row r="106" spans="1:7" ht="15" thickBot="1" x14ac:dyDescent="0.25">
      <c r="A106" s="629" t="s">
        <v>1</v>
      </c>
      <c r="B106" s="630"/>
      <c r="C106" s="630"/>
      <c r="D106" s="630"/>
      <c r="E106" s="28" t="str">
        <f>IF(Products!$E17="","",Products!$E17)</f>
        <v/>
      </c>
      <c r="F106" s="160" t="str">
        <f>IF($E106="","",IF(VLOOKUP($E106,Products!$E$8:$H$17,4,FALSE)="","",VLOOKUP($E106,Products!$E$8:$H$17,4,FALSE))*$F$96)</f>
        <v/>
      </c>
      <c r="G106" s="201" t="str">
        <f>IF($E106="","",IF(VLOOKUP($E106,Products!$E$8:$H$17,4,FALSE)="","",VLOOKUP($E106,Products!$E$8:$H$17,4,FALSE))*$G$96)</f>
        <v/>
      </c>
    </row>
    <row r="107" spans="1:7" x14ac:dyDescent="0.2">
      <c r="A107" s="781" t="str">
        <f>Hidden!$DQ2</f>
        <v/>
      </c>
      <c r="B107" s="782"/>
      <c r="C107" s="782"/>
      <c r="D107" s="782"/>
      <c r="E107" s="320" t="str">
        <f>IF($A107="","","Total VOC")</f>
        <v/>
      </c>
      <c r="F107" s="299">
        <f>VLOOKUP($A107,Hidden!$DQ$2:$DS$11,2,FALSE)*(1-$D$18)</f>
        <v>0</v>
      </c>
      <c r="G107" s="300">
        <f>VLOOKUP($A107,Hidden!$DQ$2:$DS$11,3,FALSE)*(1-$D$18)</f>
        <v>0</v>
      </c>
    </row>
    <row r="108" spans="1:7" x14ac:dyDescent="0.2">
      <c r="A108" s="627" t="str">
        <f t="shared" ref="A108" si="9">A107&amp;"A"</f>
        <v>A</v>
      </c>
      <c r="B108" s="628"/>
      <c r="C108" s="628"/>
      <c r="D108" s="628"/>
      <c r="E108" s="16" t="str">
        <f>IF(A107="","",IF(VLOOKUP(A107,Products!$A$59:$E$158,5,FALSE)="","",VLOOKUP(A107,Products!$A$59:$E$158,5,FALSE)))</f>
        <v/>
      </c>
      <c r="F108" s="124" t="str">
        <f>IF($E108="","",F$107*VLOOKUP($A107,Products!$A$59:$H$158,8,FALSE))</f>
        <v/>
      </c>
      <c r="G108" s="125" t="str">
        <f>IF($E108="","",G$107*VLOOKUP($A107,Products!$A$59:$H$158,8,FALSE))</f>
        <v/>
      </c>
    </row>
    <row r="109" spans="1:7" x14ac:dyDescent="0.2">
      <c r="A109" s="627" t="str">
        <f t="shared" ref="A109:A117" si="10">A108&amp;"A"</f>
        <v>AA</v>
      </c>
      <c r="B109" s="628"/>
      <c r="C109" s="628"/>
      <c r="D109" s="628"/>
      <c r="E109" s="16" t="str">
        <f>IF(A108="","",IF(VLOOKUP(A108,Products!$A$59:$E$158,5,FALSE)="","",VLOOKUP(A108,Products!$A$59:$E$158,5,FALSE)))</f>
        <v/>
      </c>
      <c r="F109" s="124" t="str">
        <f>IF($E109="","",F$107*VLOOKUP($A108,Products!$A$59:$H$158,8,FALSE))</f>
        <v/>
      </c>
      <c r="G109" s="125" t="str">
        <f>IF($E109="","",G$107*VLOOKUP($A108,Products!$A$59:$H$158,8,FALSE))</f>
        <v/>
      </c>
    </row>
    <row r="110" spans="1:7" x14ac:dyDescent="0.2">
      <c r="A110" s="627" t="str">
        <f t="shared" si="10"/>
        <v>AAA</v>
      </c>
      <c r="B110" s="628"/>
      <c r="C110" s="628"/>
      <c r="D110" s="628"/>
      <c r="E110" s="16" t="str">
        <f>IF(A109="","",IF(VLOOKUP(A109,Products!$A$59:$E$158,5,FALSE)="","",VLOOKUP(A109,Products!$A$59:$E$158,5,FALSE)))</f>
        <v/>
      </c>
      <c r="F110" s="124" t="str">
        <f>IF($E110="","",F$107*VLOOKUP($A109,Products!$A$59:$H$158,8,FALSE))</f>
        <v/>
      </c>
      <c r="G110" s="125" t="str">
        <f>IF($E110="","",G$107*VLOOKUP($A109,Products!$A$59:$H$158,8,FALSE))</f>
        <v/>
      </c>
    </row>
    <row r="111" spans="1:7" x14ac:dyDescent="0.2">
      <c r="A111" s="627" t="str">
        <f t="shared" si="10"/>
        <v>AAAA</v>
      </c>
      <c r="B111" s="628"/>
      <c r="C111" s="628"/>
      <c r="D111" s="628"/>
      <c r="E111" s="16" t="str">
        <f>IF(A110="","",IF(VLOOKUP(A110,Products!$A$59:$E$158,5,FALSE)="","",VLOOKUP(A110,Products!$A$59:$E$158,5,FALSE)))</f>
        <v/>
      </c>
      <c r="F111" s="124" t="str">
        <f>IF($E111="","",F$107*VLOOKUP($A110,Products!$A$59:$H$158,8,FALSE))</f>
        <v/>
      </c>
      <c r="G111" s="125" t="str">
        <f>IF($E111="","",G$107*VLOOKUP($A110,Products!$A$59:$H$158,8,FALSE))</f>
        <v/>
      </c>
    </row>
    <row r="112" spans="1:7" x14ac:dyDescent="0.2">
      <c r="A112" s="627" t="str">
        <f t="shared" si="10"/>
        <v>AAAAA</v>
      </c>
      <c r="B112" s="628"/>
      <c r="C112" s="628"/>
      <c r="D112" s="628"/>
      <c r="E112" s="16" t="str">
        <f>IF(A111="","",IF(VLOOKUP(A111,Products!$A$59:$E$158,5,FALSE)="","",VLOOKUP(A111,Products!$A$59:$E$158,5,FALSE)))</f>
        <v/>
      </c>
      <c r="F112" s="124" t="str">
        <f>IF($E112="","",F$107*VLOOKUP($A111,Products!$A$59:$H$158,8,FALSE))</f>
        <v/>
      </c>
      <c r="G112" s="125" t="str">
        <f>IF($E112="","",G$107*VLOOKUP($A111,Products!$A$59:$H$158,8,FALSE))</f>
        <v/>
      </c>
    </row>
    <row r="113" spans="1:7" x14ac:dyDescent="0.2">
      <c r="A113" s="627" t="str">
        <f t="shared" si="10"/>
        <v>AAAAAA</v>
      </c>
      <c r="B113" s="628"/>
      <c r="C113" s="628"/>
      <c r="D113" s="628"/>
      <c r="E113" s="16" t="str">
        <f>IF(A112="","",IF(VLOOKUP(A112,Products!$A$59:$E$158,5,FALSE)="","",VLOOKUP(A112,Products!$A$59:$E$158,5,FALSE)))</f>
        <v/>
      </c>
      <c r="F113" s="124" t="str">
        <f>IF($E113="","",F$107*VLOOKUP($A112,Products!$A$59:$H$158,8,FALSE))</f>
        <v/>
      </c>
      <c r="G113" s="125" t="str">
        <f>IF($E113="","",G$107*VLOOKUP($A112,Products!$A$59:$H$158,8,FALSE))</f>
        <v/>
      </c>
    </row>
    <row r="114" spans="1:7" x14ac:dyDescent="0.2">
      <c r="A114" s="627" t="str">
        <f t="shared" si="10"/>
        <v>AAAAAAA</v>
      </c>
      <c r="B114" s="628"/>
      <c r="C114" s="628"/>
      <c r="D114" s="628"/>
      <c r="E114" s="16" t="str">
        <f>IF(A113="","",IF(VLOOKUP(A113,Products!$A$59:$E$158,5,FALSE)="","",VLOOKUP(A113,Products!$A$59:$E$158,5,FALSE)))</f>
        <v/>
      </c>
      <c r="F114" s="124" t="str">
        <f>IF($E114="","",F$107*VLOOKUP($A113,Products!$A$59:$H$158,8,FALSE))</f>
        <v/>
      </c>
      <c r="G114" s="125" t="str">
        <f>IF($E114="","",G$107*VLOOKUP($A113,Products!$A$59:$H$158,8,FALSE))</f>
        <v/>
      </c>
    </row>
    <row r="115" spans="1:7" x14ac:dyDescent="0.2">
      <c r="A115" s="627" t="str">
        <f t="shared" si="10"/>
        <v>AAAAAAAA</v>
      </c>
      <c r="B115" s="628"/>
      <c r="C115" s="628"/>
      <c r="D115" s="628"/>
      <c r="E115" s="16" t="str">
        <f>IF(A114="","",IF(VLOOKUP(A114,Products!$A$59:$E$158,5,FALSE)="","",VLOOKUP(A114,Products!$A$59:$E$158,5,FALSE)))</f>
        <v/>
      </c>
      <c r="F115" s="124" t="str">
        <f>IF($E115="","",F$107*VLOOKUP($A114,Products!$A$59:$H$158,8,FALSE))</f>
        <v/>
      </c>
      <c r="G115" s="125" t="str">
        <f>IF($E115="","",G$107*VLOOKUP($A114,Products!$A$59:$H$158,8,FALSE))</f>
        <v/>
      </c>
    </row>
    <row r="116" spans="1:7" x14ac:dyDescent="0.2">
      <c r="A116" s="627" t="str">
        <f t="shared" si="10"/>
        <v>AAAAAAAAA</v>
      </c>
      <c r="B116" s="628"/>
      <c r="C116" s="628"/>
      <c r="D116" s="628"/>
      <c r="E116" s="16" t="str">
        <f>IF(A115="","",IF(VLOOKUP(A115,Products!$A$59:$E$158,5,FALSE)="","",VLOOKUP(A115,Products!$A$59:$E$158,5,FALSE)))</f>
        <v/>
      </c>
      <c r="F116" s="124" t="str">
        <f>IF($E116="","",F$107*VLOOKUP($A115,Products!$A$59:$H$158,8,FALSE))</f>
        <v/>
      </c>
      <c r="G116" s="125" t="str">
        <f>IF($E116="","",G$107*VLOOKUP($A115,Products!$A$59:$H$158,8,FALSE))</f>
        <v/>
      </c>
    </row>
    <row r="117" spans="1:7" x14ac:dyDescent="0.2">
      <c r="A117" s="627" t="str">
        <f t="shared" si="10"/>
        <v>AAAAAAAAAA</v>
      </c>
      <c r="B117" s="628"/>
      <c r="C117" s="628"/>
      <c r="D117" s="628"/>
      <c r="E117" s="16" t="str">
        <f>IF(A116="","",IF(VLOOKUP(A116,Products!$A$59:$E$158,5,FALSE)="","",VLOOKUP(A116,Products!$A$59:$E$158,5,FALSE)))</f>
        <v/>
      </c>
      <c r="F117" s="124" t="str">
        <f>IF($E117="","",F$107*VLOOKUP($A116,Products!$A$59:$H$158,8,FALSE))</f>
        <v/>
      </c>
      <c r="G117" s="125" t="str">
        <f>IF($E117="","",G$107*VLOOKUP($A116,Products!$A$59:$H$158,8,FALSE))</f>
        <v/>
      </c>
    </row>
    <row r="118" spans="1:7" x14ac:dyDescent="0.2">
      <c r="A118" s="780" t="str">
        <f>Hidden!$DQ3</f>
        <v/>
      </c>
      <c r="B118" s="656"/>
      <c r="C118" s="656"/>
      <c r="D118" s="656"/>
      <c r="E118" s="16" t="str">
        <f>IF($A118="","","Total VOC")</f>
        <v/>
      </c>
      <c r="F118" s="124">
        <f>VLOOKUP($A118,Hidden!$DQ$2:$DS$11,2,FALSE)*(1-$D$18)</f>
        <v>0</v>
      </c>
      <c r="G118" s="125">
        <f>VLOOKUP($A118,Hidden!$DQ$2:$DS$11,3,FALSE)*(1-$D$18)</f>
        <v>0</v>
      </c>
    </row>
    <row r="119" spans="1:7" x14ac:dyDescent="0.2">
      <c r="A119" s="627" t="str">
        <f t="shared" ref="A119" si="11">A118&amp;"A"</f>
        <v>A</v>
      </c>
      <c r="B119" s="628"/>
      <c r="C119" s="628"/>
      <c r="D119" s="628"/>
      <c r="E119" s="16" t="str">
        <f>IF(A118="","",IF(VLOOKUP(A118,Products!$A$59:$E$158,5,FALSE)="","",VLOOKUP(A118,Products!$A$59:$E$158,5,FALSE)))</f>
        <v/>
      </c>
      <c r="F119" s="124" t="str">
        <f>IF($E119="","",F$118*VLOOKUP($A118,Products!$A$59:$H$158,8,FALSE))</f>
        <v/>
      </c>
      <c r="G119" s="125" t="str">
        <f>IF($E119="","",G$118*VLOOKUP($A118,Products!$A$59:$H$158,8,FALSE))</f>
        <v/>
      </c>
    </row>
    <row r="120" spans="1:7" x14ac:dyDescent="0.2">
      <c r="A120" s="627" t="str">
        <f t="shared" ref="A120:A128" si="12">A119&amp;"A"</f>
        <v>AA</v>
      </c>
      <c r="B120" s="628"/>
      <c r="C120" s="628"/>
      <c r="D120" s="628"/>
      <c r="E120" s="16" t="str">
        <f>IF(A119="","",IF(VLOOKUP(A119,Products!$A$59:$E$158,5,FALSE)="","",VLOOKUP(A119,Products!$A$59:$E$158,5,FALSE)))</f>
        <v/>
      </c>
      <c r="F120" s="124" t="str">
        <f>IF($E120="","",F$118*VLOOKUP($A119,Products!$A$59:$H$158,8,FALSE))</f>
        <v/>
      </c>
      <c r="G120" s="125" t="str">
        <f>IF($E120="","",G$118*VLOOKUP($A119,Products!$A$59:$H$158,8,FALSE))</f>
        <v/>
      </c>
    </row>
    <row r="121" spans="1:7" x14ac:dyDescent="0.2">
      <c r="A121" s="627" t="str">
        <f t="shared" si="12"/>
        <v>AAA</v>
      </c>
      <c r="B121" s="628"/>
      <c r="C121" s="628"/>
      <c r="D121" s="628"/>
      <c r="E121" s="16" t="str">
        <f>IF(A120="","",IF(VLOOKUP(A120,Products!$A$59:$E$158,5,FALSE)="","",VLOOKUP(A120,Products!$A$59:$E$158,5,FALSE)))</f>
        <v/>
      </c>
      <c r="F121" s="124" t="str">
        <f>IF($E121="","",F$118*VLOOKUP($A120,Products!$A$59:$H$158,8,FALSE))</f>
        <v/>
      </c>
      <c r="G121" s="125" t="str">
        <f>IF($E121="","",G$118*VLOOKUP($A120,Products!$A$59:$H$158,8,FALSE))</f>
        <v/>
      </c>
    </row>
    <row r="122" spans="1:7" x14ac:dyDescent="0.2">
      <c r="A122" s="627" t="str">
        <f t="shared" si="12"/>
        <v>AAAA</v>
      </c>
      <c r="B122" s="628"/>
      <c r="C122" s="628"/>
      <c r="D122" s="628"/>
      <c r="E122" s="16" t="str">
        <f>IF(A121="","",IF(VLOOKUP(A121,Products!$A$59:$E$158,5,FALSE)="","",VLOOKUP(A121,Products!$A$59:$E$158,5,FALSE)))</f>
        <v/>
      </c>
      <c r="F122" s="124" t="str">
        <f>IF($E122="","",F$118*VLOOKUP($A121,Products!$A$59:$H$158,8,FALSE))</f>
        <v/>
      </c>
      <c r="G122" s="125" t="str">
        <f>IF($E122="","",G$118*VLOOKUP($A121,Products!$A$59:$H$158,8,FALSE))</f>
        <v/>
      </c>
    </row>
    <row r="123" spans="1:7" x14ac:dyDescent="0.2">
      <c r="A123" s="627" t="str">
        <f t="shared" si="12"/>
        <v>AAAAA</v>
      </c>
      <c r="B123" s="628"/>
      <c r="C123" s="628"/>
      <c r="D123" s="628"/>
      <c r="E123" s="16" t="str">
        <f>IF(A122="","",IF(VLOOKUP(A122,Products!$A$59:$E$158,5,FALSE)="","",VLOOKUP(A122,Products!$A$59:$E$158,5,FALSE)))</f>
        <v/>
      </c>
      <c r="F123" s="124" t="str">
        <f>IF($E123="","",F$118*VLOOKUP($A122,Products!$A$59:$H$158,8,FALSE))</f>
        <v/>
      </c>
      <c r="G123" s="125" t="str">
        <f>IF($E123="","",G$118*VLOOKUP($A122,Products!$A$59:$H$158,8,FALSE))</f>
        <v/>
      </c>
    </row>
    <row r="124" spans="1:7" x14ac:dyDescent="0.2">
      <c r="A124" s="627" t="str">
        <f t="shared" si="12"/>
        <v>AAAAAA</v>
      </c>
      <c r="B124" s="628"/>
      <c r="C124" s="628"/>
      <c r="D124" s="628"/>
      <c r="E124" s="16" t="str">
        <f>IF(A123="","",IF(VLOOKUP(A123,Products!$A$59:$E$158,5,FALSE)="","",VLOOKUP(A123,Products!$A$59:$E$158,5,FALSE)))</f>
        <v/>
      </c>
      <c r="F124" s="124" t="str">
        <f>IF($E124="","",F$118*VLOOKUP($A123,Products!$A$59:$H$158,8,FALSE))</f>
        <v/>
      </c>
      <c r="G124" s="125" t="str">
        <f>IF($E124="","",G$118*VLOOKUP($A123,Products!$A$59:$H$158,8,FALSE))</f>
        <v/>
      </c>
    </row>
    <row r="125" spans="1:7" x14ac:dyDescent="0.2">
      <c r="A125" s="627" t="str">
        <f t="shared" si="12"/>
        <v>AAAAAAA</v>
      </c>
      <c r="B125" s="628"/>
      <c r="C125" s="628"/>
      <c r="D125" s="628"/>
      <c r="E125" s="16" t="str">
        <f>IF(A124="","",IF(VLOOKUP(A124,Products!$A$59:$E$158,5,FALSE)="","",VLOOKUP(A124,Products!$A$59:$E$158,5,FALSE)))</f>
        <v/>
      </c>
      <c r="F125" s="124" t="str">
        <f>IF($E125="","",F$118*VLOOKUP($A124,Products!$A$59:$H$158,8,FALSE))</f>
        <v/>
      </c>
      <c r="G125" s="125" t="str">
        <f>IF($E125="","",G$118*VLOOKUP($A124,Products!$A$59:$H$158,8,FALSE))</f>
        <v/>
      </c>
    </row>
    <row r="126" spans="1:7" x14ac:dyDescent="0.2">
      <c r="A126" s="627" t="str">
        <f t="shared" si="12"/>
        <v>AAAAAAAA</v>
      </c>
      <c r="B126" s="628"/>
      <c r="C126" s="628"/>
      <c r="D126" s="628"/>
      <c r="E126" s="16" t="str">
        <f>IF(A125="","",IF(VLOOKUP(A125,Products!$A$59:$E$158,5,FALSE)="","",VLOOKUP(A125,Products!$A$59:$E$158,5,FALSE)))</f>
        <v/>
      </c>
      <c r="F126" s="124" t="str">
        <f>IF($E126="","",F$118*VLOOKUP($A125,Products!$A$59:$H$158,8,FALSE))</f>
        <v/>
      </c>
      <c r="G126" s="125" t="str">
        <f>IF($E126="","",G$118*VLOOKUP($A125,Products!$A$59:$H$158,8,FALSE))</f>
        <v/>
      </c>
    </row>
    <row r="127" spans="1:7" x14ac:dyDescent="0.2">
      <c r="A127" s="627" t="str">
        <f t="shared" si="12"/>
        <v>AAAAAAAAA</v>
      </c>
      <c r="B127" s="628"/>
      <c r="C127" s="628"/>
      <c r="D127" s="628"/>
      <c r="E127" s="16" t="str">
        <f>IF(A126="","",IF(VLOOKUP(A126,Products!$A$59:$E$158,5,FALSE)="","",VLOOKUP(A126,Products!$A$59:$E$158,5,FALSE)))</f>
        <v/>
      </c>
      <c r="F127" s="124" t="str">
        <f>IF($E127="","",F$118*VLOOKUP($A126,Products!$A$59:$H$158,8,FALSE))</f>
        <v/>
      </c>
      <c r="G127" s="125" t="str">
        <f>IF($E127="","",G$118*VLOOKUP($A126,Products!$A$59:$H$158,8,FALSE))</f>
        <v/>
      </c>
    </row>
    <row r="128" spans="1:7" x14ac:dyDescent="0.2">
      <c r="A128" s="627" t="str">
        <f t="shared" si="12"/>
        <v>AAAAAAAAAA</v>
      </c>
      <c r="B128" s="628"/>
      <c r="C128" s="628"/>
      <c r="D128" s="628"/>
      <c r="E128" s="16" t="str">
        <f>IF(A127="","",IF(VLOOKUP(A127,Products!$A$59:$E$158,5,FALSE)="","",VLOOKUP(A127,Products!$A$59:$E$158,5,FALSE)))</f>
        <v/>
      </c>
      <c r="F128" s="124" t="str">
        <f>IF($E128="","",F$118*VLOOKUP($A127,Products!$A$59:$H$158,8,FALSE))</f>
        <v/>
      </c>
      <c r="G128" s="125" t="str">
        <f>IF($E128="","",G$118*VLOOKUP($A127,Products!$A$59:$H$158,8,FALSE))</f>
        <v/>
      </c>
    </row>
    <row r="129" spans="1:7" x14ac:dyDescent="0.2">
      <c r="A129" s="780" t="str">
        <f>Hidden!$DQ4</f>
        <v/>
      </c>
      <c r="B129" s="656"/>
      <c r="C129" s="656"/>
      <c r="D129" s="656"/>
      <c r="E129" s="16" t="str">
        <f>IF($A129="","","Total VOC")</f>
        <v/>
      </c>
      <c r="F129" s="124">
        <f>VLOOKUP($A129,Hidden!$DQ$2:$DS$11,2,FALSE)*(1-$D$18)</f>
        <v>0</v>
      </c>
      <c r="G129" s="125">
        <f>VLOOKUP($A129,Hidden!$DQ$2:$DS$11,3,FALSE)*(1-$D$18)</f>
        <v>0</v>
      </c>
    </row>
    <row r="130" spans="1:7" x14ac:dyDescent="0.2">
      <c r="A130" s="627" t="str">
        <f t="shared" ref="A130" si="13">A129&amp;"A"</f>
        <v>A</v>
      </c>
      <c r="B130" s="628"/>
      <c r="C130" s="628"/>
      <c r="D130" s="628"/>
      <c r="E130" s="16" t="str">
        <f>IF(A129="","",IF(VLOOKUP(A129,Products!$A$59:$E$158,5,FALSE)="","",VLOOKUP(A129,Products!$A$59:$E$158,5,FALSE)))</f>
        <v/>
      </c>
      <c r="F130" s="124" t="str">
        <f>IF($E130="","",F$129*VLOOKUP($A129,Products!$A$59:$H$158,8,FALSE))</f>
        <v/>
      </c>
      <c r="G130" s="125" t="str">
        <f>IF($E130="","",G$129*VLOOKUP($A129,Products!$A$59:$H$158,8,FALSE))</f>
        <v/>
      </c>
    </row>
    <row r="131" spans="1:7" x14ac:dyDescent="0.2">
      <c r="A131" s="627" t="str">
        <f t="shared" ref="A131:A139" si="14">A130&amp;"A"</f>
        <v>AA</v>
      </c>
      <c r="B131" s="628"/>
      <c r="C131" s="628"/>
      <c r="D131" s="628"/>
      <c r="E131" s="16" t="str">
        <f>IF(A130="","",IF(VLOOKUP(A130,Products!$A$59:$E$158,5,FALSE)="","",VLOOKUP(A130,Products!$A$59:$E$158,5,FALSE)))</f>
        <v/>
      </c>
      <c r="F131" s="124" t="str">
        <f>IF($E131="","",F$129*VLOOKUP($A130,Products!$A$59:$H$158,8,FALSE))</f>
        <v/>
      </c>
      <c r="G131" s="125" t="str">
        <f>IF($E131="","",G$129*VLOOKUP($A130,Products!$A$59:$H$158,8,FALSE))</f>
        <v/>
      </c>
    </row>
    <row r="132" spans="1:7" x14ac:dyDescent="0.2">
      <c r="A132" s="627" t="str">
        <f t="shared" si="14"/>
        <v>AAA</v>
      </c>
      <c r="B132" s="628"/>
      <c r="C132" s="628"/>
      <c r="D132" s="628"/>
      <c r="E132" s="16" t="str">
        <f>IF(A131="","",IF(VLOOKUP(A131,Products!$A$59:$E$158,5,FALSE)="","",VLOOKUP(A131,Products!$A$59:$E$158,5,FALSE)))</f>
        <v/>
      </c>
      <c r="F132" s="124" t="str">
        <f>IF($E132="","",F$129*VLOOKUP($A131,Products!$A$59:$H$158,8,FALSE))</f>
        <v/>
      </c>
      <c r="G132" s="125" t="str">
        <f>IF($E132="","",G$129*VLOOKUP($A131,Products!$A$59:$H$158,8,FALSE))</f>
        <v/>
      </c>
    </row>
    <row r="133" spans="1:7" x14ac:dyDescent="0.2">
      <c r="A133" s="627" t="str">
        <f t="shared" si="14"/>
        <v>AAAA</v>
      </c>
      <c r="B133" s="628"/>
      <c r="C133" s="628"/>
      <c r="D133" s="628"/>
      <c r="E133" s="16" t="str">
        <f>IF(A132="","",IF(VLOOKUP(A132,Products!$A$59:$E$158,5,FALSE)="","",VLOOKUP(A132,Products!$A$59:$E$158,5,FALSE)))</f>
        <v/>
      </c>
      <c r="F133" s="124" t="str">
        <f>IF($E133="","",F$129*VLOOKUP($A132,Products!$A$59:$H$158,8,FALSE))</f>
        <v/>
      </c>
      <c r="G133" s="125" t="str">
        <f>IF($E133="","",G$129*VLOOKUP($A132,Products!$A$59:$H$158,8,FALSE))</f>
        <v/>
      </c>
    </row>
    <row r="134" spans="1:7" x14ac:dyDescent="0.2">
      <c r="A134" s="627" t="str">
        <f t="shared" si="14"/>
        <v>AAAAA</v>
      </c>
      <c r="B134" s="628"/>
      <c r="C134" s="628"/>
      <c r="D134" s="628"/>
      <c r="E134" s="16" t="str">
        <f>IF(A133="","",IF(VLOOKUP(A133,Products!$A$59:$E$158,5,FALSE)="","",VLOOKUP(A133,Products!$A$59:$E$158,5,FALSE)))</f>
        <v/>
      </c>
      <c r="F134" s="124" t="str">
        <f>IF($E134="","",F$129*VLOOKUP($A133,Products!$A$59:$H$158,8,FALSE))</f>
        <v/>
      </c>
      <c r="G134" s="125" t="str">
        <f>IF($E134="","",G$129*VLOOKUP($A133,Products!$A$59:$H$158,8,FALSE))</f>
        <v/>
      </c>
    </row>
    <row r="135" spans="1:7" x14ac:dyDescent="0.2">
      <c r="A135" s="627" t="str">
        <f t="shared" si="14"/>
        <v>AAAAAA</v>
      </c>
      <c r="B135" s="628"/>
      <c r="C135" s="628"/>
      <c r="D135" s="628"/>
      <c r="E135" s="16" t="str">
        <f>IF(A134="","",IF(VLOOKUP(A134,Products!$A$59:$E$158,5,FALSE)="","",VLOOKUP(A134,Products!$A$59:$E$158,5,FALSE)))</f>
        <v/>
      </c>
      <c r="F135" s="124" t="str">
        <f>IF($E135="","",F$129*VLOOKUP($A134,Products!$A$59:$H$158,8,FALSE))</f>
        <v/>
      </c>
      <c r="G135" s="125" t="str">
        <f>IF($E135="","",G$129*VLOOKUP($A134,Products!$A$59:$H$158,8,FALSE))</f>
        <v/>
      </c>
    </row>
    <row r="136" spans="1:7" x14ac:dyDescent="0.2">
      <c r="A136" s="627" t="str">
        <f t="shared" si="14"/>
        <v>AAAAAAA</v>
      </c>
      <c r="B136" s="628"/>
      <c r="C136" s="628"/>
      <c r="D136" s="628"/>
      <c r="E136" s="16" t="str">
        <f>IF(A135="","",IF(VLOOKUP(A135,Products!$A$59:$E$158,5,FALSE)="","",VLOOKUP(A135,Products!$A$59:$E$158,5,FALSE)))</f>
        <v/>
      </c>
      <c r="F136" s="124" t="str">
        <f>IF($E136="","",F$129*VLOOKUP($A135,Products!$A$59:$H$158,8,FALSE))</f>
        <v/>
      </c>
      <c r="G136" s="125" t="str">
        <f>IF($E136="","",G$129*VLOOKUP($A135,Products!$A$59:$H$158,8,FALSE))</f>
        <v/>
      </c>
    </row>
    <row r="137" spans="1:7" x14ac:dyDescent="0.2">
      <c r="A137" s="627" t="str">
        <f t="shared" si="14"/>
        <v>AAAAAAAA</v>
      </c>
      <c r="B137" s="628"/>
      <c r="C137" s="628"/>
      <c r="D137" s="628"/>
      <c r="E137" s="16" t="str">
        <f>IF(A136="","",IF(VLOOKUP(A136,Products!$A$59:$E$158,5,FALSE)="","",VLOOKUP(A136,Products!$A$59:$E$158,5,FALSE)))</f>
        <v/>
      </c>
      <c r="F137" s="124" t="str">
        <f>IF($E137="","",F$129*VLOOKUP($A136,Products!$A$59:$H$158,8,FALSE))</f>
        <v/>
      </c>
      <c r="G137" s="125" t="str">
        <f>IF($E137="","",G$129*VLOOKUP($A136,Products!$A$59:$H$158,8,FALSE))</f>
        <v/>
      </c>
    </row>
    <row r="138" spans="1:7" x14ac:dyDescent="0.2">
      <c r="A138" s="627" t="str">
        <f t="shared" si="14"/>
        <v>AAAAAAAAA</v>
      </c>
      <c r="B138" s="628"/>
      <c r="C138" s="628"/>
      <c r="D138" s="628"/>
      <c r="E138" s="16" t="str">
        <f>IF(A137="","",IF(VLOOKUP(A137,Products!$A$59:$E$158,5,FALSE)="","",VLOOKUP(A137,Products!$A$59:$E$158,5,FALSE)))</f>
        <v/>
      </c>
      <c r="F138" s="124" t="str">
        <f>IF($E138="","",F$129*VLOOKUP($A137,Products!$A$59:$H$158,8,FALSE))</f>
        <v/>
      </c>
      <c r="G138" s="125" t="str">
        <f>IF($E138="","",G$129*VLOOKUP($A137,Products!$A$59:$H$158,8,FALSE))</f>
        <v/>
      </c>
    </row>
    <row r="139" spans="1:7" x14ac:dyDescent="0.2">
      <c r="A139" s="627" t="str">
        <f t="shared" si="14"/>
        <v>AAAAAAAAAA</v>
      </c>
      <c r="B139" s="628"/>
      <c r="C139" s="628"/>
      <c r="D139" s="628"/>
      <c r="E139" s="16" t="str">
        <f>IF(A138="","",IF(VLOOKUP(A138,Products!$A$59:$E$158,5,FALSE)="","",VLOOKUP(A138,Products!$A$59:$E$158,5,FALSE)))</f>
        <v/>
      </c>
      <c r="F139" s="124" t="str">
        <f>IF($E139="","",F$129*VLOOKUP($A138,Products!$A$59:$H$158,8,FALSE))</f>
        <v/>
      </c>
      <c r="G139" s="125" t="str">
        <f>IF($E139="","",G$129*VLOOKUP($A138,Products!$A$59:$H$158,8,FALSE))</f>
        <v/>
      </c>
    </row>
    <row r="140" spans="1:7" x14ac:dyDescent="0.2">
      <c r="A140" s="780" t="str">
        <f>Hidden!$DQ5</f>
        <v/>
      </c>
      <c r="B140" s="656"/>
      <c r="C140" s="656"/>
      <c r="D140" s="656"/>
      <c r="E140" s="16" t="str">
        <f>IF($A140="","","Total VOC")</f>
        <v/>
      </c>
      <c r="F140" s="124">
        <f>VLOOKUP($A140,Hidden!$DQ$2:$DS$11,2,FALSE)*(1-$D$18)</f>
        <v>0</v>
      </c>
      <c r="G140" s="125">
        <f>VLOOKUP($A140,Hidden!$DQ$2:$DS$11,3,FALSE)*(1-$D$18)</f>
        <v>0</v>
      </c>
    </row>
    <row r="141" spans="1:7" x14ac:dyDescent="0.2">
      <c r="A141" s="627" t="str">
        <f t="shared" ref="A141" si="15">A140&amp;"A"</f>
        <v>A</v>
      </c>
      <c r="B141" s="628"/>
      <c r="C141" s="628"/>
      <c r="D141" s="628"/>
      <c r="E141" s="16" t="str">
        <f>IF(A140="","",IF(VLOOKUP(A140,Products!$A$59:$E$158,5,FALSE)="","",VLOOKUP(A140,Products!$A$59:$E$158,5,FALSE)))</f>
        <v/>
      </c>
      <c r="F141" s="124" t="str">
        <f>IF($E141="","",F$140*VLOOKUP($A140,Products!$A$59:$H$158,8,FALSE))</f>
        <v/>
      </c>
      <c r="G141" s="125" t="str">
        <f>IF($E141="","",G$140*VLOOKUP($A140,Products!$A$59:$H$158,8,FALSE))</f>
        <v/>
      </c>
    </row>
    <row r="142" spans="1:7" x14ac:dyDescent="0.2">
      <c r="A142" s="627" t="str">
        <f t="shared" ref="A142:A150" si="16">A141&amp;"A"</f>
        <v>AA</v>
      </c>
      <c r="B142" s="628"/>
      <c r="C142" s="628"/>
      <c r="D142" s="628"/>
      <c r="E142" s="16" t="str">
        <f>IF(A141="","",IF(VLOOKUP(A141,Products!$A$59:$E$158,5,FALSE)="","",VLOOKUP(A141,Products!$A$59:$E$158,5,FALSE)))</f>
        <v/>
      </c>
      <c r="F142" s="124" t="str">
        <f>IF($E142="","",F$140*VLOOKUP($A141,Products!$A$59:$H$158,8,FALSE))</f>
        <v/>
      </c>
      <c r="G142" s="125" t="str">
        <f>IF($E142="","",G$140*VLOOKUP($A141,Products!$A$59:$H$158,8,FALSE))</f>
        <v/>
      </c>
    </row>
    <row r="143" spans="1:7" x14ac:dyDescent="0.2">
      <c r="A143" s="627" t="str">
        <f t="shared" si="16"/>
        <v>AAA</v>
      </c>
      <c r="B143" s="628"/>
      <c r="C143" s="628"/>
      <c r="D143" s="628"/>
      <c r="E143" s="16" t="str">
        <f>IF(A142="","",IF(VLOOKUP(A142,Products!$A$59:$E$158,5,FALSE)="","",VLOOKUP(A142,Products!$A$59:$E$158,5,FALSE)))</f>
        <v/>
      </c>
      <c r="F143" s="124" t="str">
        <f>IF($E143="","",F$140*VLOOKUP($A142,Products!$A$59:$H$158,8,FALSE))</f>
        <v/>
      </c>
      <c r="G143" s="125" t="str">
        <f>IF($E143="","",G$140*VLOOKUP($A142,Products!$A$59:$H$158,8,FALSE))</f>
        <v/>
      </c>
    </row>
    <row r="144" spans="1:7" x14ac:dyDescent="0.2">
      <c r="A144" s="627" t="str">
        <f t="shared" si="16"/>
        <v>AAAA</v>
      </c>
      <c r="B144" s="628"/>
      <c r="C144" s="628"/>
      <c r="D144" s="628"/>
      <c r="E144" s="16" t="str">
        <f>IF(A143="","",IF(VLOOKUP(A143,Products!$A$59:$E$158,5,FALSE)="","",VLOOKUP(A143,Products!$A$59:$E$158,5,FALSE)))</f>
        <v/>
      </c>
      <c r="F144" s="124" t="str">
        <f>IF($E144="","",F$140*VLOOKUP($A143,Products!$A$59:$H$158,8,FALSE))</f>
        <v/>
      </c>
      <c r="G144" s="125" t="str">
        <f>IF($E144="","",G$140*VLOOKUP($A143,Products!$A$59:$H$158,8,FALSE))</f>
        <v/>
      </c>
    </row>
    <row r="145" spans="1:7" x14ac:dyDescent="0.2">
      <c r="A145" s="627" t="str">
        <f t="shared" si="16"/>
        <v>AAAAA</v>
      </c>
      <c r="B145" s="628"/>
      <c r="C145" s="628"/>
      <c r="D145" s="628"/>
      <c r="E145" s="16" t="str">
        <f>IF(A144="","",IF(VLOOKUP(A144,Products!$A$59:$E$158,5,FALSE)="","",VLOOKUP(A144,Products!$A$59:$E$158,5,FALSE)))</f>
        <v/>
      </c>
      <c r="F145" s="124" t="str">
        <f>IF($E145="","",F$140*VLOOKUP($A144,Products!$A$59:$H$158,8,FALSE))</f>
        <v/>
      </c>
      <c r="G145" s="125" t="str">
        <f>IF($E145="","",G$140*VLOOKUP($A144,Products!$A$59:$H$158,8,FALSE))</f>
        <v/>
      </c>
    </row>
    <row r="146" spans="1:7" x14ac:dyDescent="0.2">
      <c r="A146" s="627" t="str">
        <f t="shared" si="16"/>
        <v>AAAAAA</v>
      </c>
      <c r="B146" s="628"/>
      <c r="C146" s="628"/>
      <c r="D146" s="628"/>
      <c r="E146" s="16" t="str">
        <f>IF(A145="","",IF(VLOOKUP(A145,Products!$A$59:$E$158,5,FALSE)="","",VLOOKUP(A145,Products!$A$59:$E$158,5,FALSE)))</f>
        <v/>
      </c>
      <c r="F146" s="124" t="str">
        <f>IF($E146="","",F$140*VLOOKUP($A145,Products!$A$59:$H$158,8,FALSE))</f>
        <v/>
      </c>
      <c r="G146" s="125" t="str">
        <f>IF($E146="","",G$140*VLOOKUP($A145,Products!$A$59:$H$158,8,FALSE))</f>
        <v/>
      </c>
    </row>
    <row r="147" spans="1:7" x14ac:dyDescent="0.2">
      <c r="A147" s="627" t="str">
        <f t="shared" si="16"/>
        <v>AAAAAAA</v>
      </c>
      <c r="B147" s="628"/>
      <c r="C147" s="628"/>
      <c r="D147" s="628"/>
      <c r="E147" s="16" t="str">
        <f>IF(A146="","",IF(VLOOKUP(A146,Products!$A$59:$E$158,5,FALSE)="","",VLOOKUP(A146,Products!$A$59:$E$158,5,FALSE)))</f>
        <v/>
      </c>
      <c r="F147" s="124" t="str">
        <f>IF($E147="","",F$140*VLOOKUP($A146,Products!$A$59:$H$158,8,FALSE))</f>
        <v/>
      </c>
      <c r="G147" s="125" t="str">
        <f>IF($E147="","",G$140*VLOOKUP($A146,Products!$A$59:$H$158,8,FALSE))</f>
        <v/>
      </c>
    </row>
    <row r="148" spans="1:7" x14ac:dyDescent="0.2">
      <c r="A148" s="627" t="str">
        <f t="shared" si="16"/>
        <v>AAAAAAAA</v>
      </c>
      <c r="B148" s="628"/>
      <c r="C148" s="628"/>
      <c r="D148" s="628"/>
      <c r="E148" s="16" t="str">
        <f>IF(A147="","",IF(VLOOKUP(A147,Products!$A$59:$E$158,5,FALSE)="","",VLOOKUP(A147,Products!$A$59:$E$158,5,FALSE)))</f>
        <v/>
      </c>
      <c r="F148" s="124" t="str">
        <f>IF($E148="","",F$140*VLOOKUP($A147,Products!$A$59:$H$158,8,FALSE))</f>
        <v/>
      </c>
      <c r="G148" s="125" t="str">
        <f>IF($E148="","",G$140*VLOOKUP($A147,Products!$A$59:$H$158,8,FALSE))</f>
        <v/>
      </c>
    </row>
    <row r="149" spans="1:7" x14ac:dyDescent="0.2">
      <c r="A149" s="627" t="str">
        <f t="shared" si="16"/>
        <v>AAAAAAAAA</v>
      </c>
      <c r="B149" s="628"/>
      <c r="C149" s="628"/>
      <c r="D149" s="628"/>
      <c r="E149" s="16" t="str">
        <f>IF(A148="","",IF(VLOOKUP(A148,Products!$A$59:$E$158,5,FALSE)="","",VLOOKUP(A148,Products!$A$59:$E$158,5,FALSE)))</f>
        <v/>
      </c>
      <c r="F149" s="124" t="str">
        <f>IF($E149="","",F$140*VLOOKUP($A148,Products!$A$59:$H$158,8,FALSE))</f>
        <v/>
      </c>
      <c r="G149" s="125" t="str">
        <f>IF($E149="","",G$140*VLOOKUP($A148,Products!$A$59:$H$158,8,FALSE))</f>
        <v/>
      </c>
    </row>
    <row r="150" spans="1:7" x14ac:dyDescent="0.2">
      <c r="A150" s="627" t="str">
        <f t="shared" si="16"/>
        <v>AAAAAAAAAA</v>
      </c>
      <c r="B150" s="628"/>
      <c r="C150" s="628"/>
      <c r="D150" s="628"/>
      <c r="E150" s="16" t="str">
        <f>IF(A149="","",IF(VLOOKUP(A149,Products!$A$59:$E$158,5,FALSE)="","",VLOOKUP(A149,Products!$A$59:$E$158,5,FALSE)))</f>
        <v/>
      </c>
      <c r="F150" s="124" t="str">
        <f>IF($E150="","",F$140*VLOOKUP($A149,Products!$A$59:$H$158,8,FALSE))</f>
        <v/>
      </c>
      <c r="G150" s="125" t="str">
        <f>IF($E150="","",G$140*VLOOKUP($A149,Products!$A$59:$H$158,8,FALSE))</f>
        <v/>
      </c>
    </row>
    <row r="151" spans="1:7" x14ac:dyDescent="0.2">
      <c r="A151" s="780" t="str">
        <f>Hidden!$DQ6</f>
        <v/>
      </c>
      <c r="B151" s="656"/>
      <c r="C151" s="656"/>
      <c r="D151" s="656"/>
      <c r="E151" s="16" t="str">
        <f>IF($A151="","","Total VOC")</f>
        <v/>
      </c>
      <c r="F151" s="124">
        <f>VLOOKUP($A151,Hidden!$DQ$2:$DS$11,2,FALSE)*(1-$D$18)</f>
        <v>0</v>
      </c>
      <c r="G151" s="125">
        <f>VLOOKUP($A151,Hidden!$DQ$2:$DS$11,3,FALSE)*(1-$D$18)</f>
        <v>0</v>
      </c>
    </row>
    <row r="152" spans="1:7" x14ac:dyDescent="0.2">
      <c r="A152" s="627" t="str">
        <f t="shared" ref="A152:A161" si="17">A151&amp;"A"</f>
        <v>A</v>
      </c>
      <c r="B152" s="628"/>
      <c r="C152" s="628"/>
      <c r="D152" s="628"/>
      <c r="E152" s="16" t="str">
        <f>IF(A151="","",IF(VLOOKUP(A151,Products!$A$59:$E$158,5,FALSE)="","",VLOOKUP(A151,Products!$A$59:$E$158,5,FALSE)))</f>
        <v/>
      </c>
      <c r="F152" s="124" t="str">
        <f>IF($E152="","",F$151*VLOOKUP($A151,Products!$A$59:$H$158,8,FALSE))</f>
        <v/>
      </c>
      <c r="G152" s="125" t="str">
        <f>IF($E152="","",G$151*VLOOKUP($A151,Products!$A$59:$H$158,8,FALSE))</f>
        <v/>
      </c>
    </row>
    <row r="153" spans="1:7" x14ac:dyDescent="0.2">
      <c r="A153" s="627" t="str">
        <f t="shared" si="17"/>
        <v>AA</v>
      </c>
      <c r="B153" s="628"/>
      <c r="C153" s="628"/>
      <c r="D153" s="628"/>
      <c r="E153" s="16" t="str">
        <f>IF(A152="","",IF(VLOOKUP(A152,Products!$A$59:$E$158,5,FALSE)="","",VLOOKUP(A152,Products!$A$59:$E$158,5,FALSE)))</f>
        <v/>
      </c>
      <c r="F153" s="124" t="str">
        <f>IF($E153="","",F$151*VLOOKUP($A152,Products!$A$59:$H$158,8,FALSE))</f>
        <v/>
      </c>
      <c r="G153" s="125" t="str">
        <f>IF($E153="","",G$151*VLOOKUP($A152,Products!$A$59:$H$158,8,FALSE))</f>
        <v/>
      </c>
    </row>
    <row r="154" spans="1:7" x14ac:dyDescent="0.2">
      <c r="A154" s="627" t="str">
        <f t="shared" si="17"/>
        <v>AAA</v>
      </c>
      <c r="B154" s="628"/>
      <c r="C154" s="628"/>
      <c r="D154" s="628"/>
      <c r="E154" s="16" t="str">
        <f>IF(A153="","",IF(VLOOKUP(A153,Products!$A$59:$E$158,5,FALSE)="","",VLOOKUP(A153,Products!$A$59:$E$158,5,FALSE)))</f>
        <v/>
      </c>
      <c r="F154" s="124" t="str">
        <f>IF($E154="","",F$151*VLOOKUP($A153,Products!$A$59:$H$158,8,FALSE))</f>
        <v/>
      </c>
      <c r="G154" s="125" t="str">
        <f>IF($E154="","",G$151*VLOOKUP($A153,Products!$A$59:$H$158,8,FALSE))</f>
        <v/>
      </c>
    </row>
    <row r="155" spans="1:7" x14ac:dyDescent="0.2">
      <c r="A155" s="627" t="str">
        <f t="shared" si="17"/>
        <v>AAAA</v>
      </c>
      <c r="B155" s="628"/>
      <c r="C155" s="628"/>
      <c r="D155" s="628"/>
      <c r="E155" s="16" t="str">
        <f>IF(A154="","",IF(VLOOKUP(A154,Products!$A$59:$E$158,5,FALSE)="","",VLOOKUP(A154,Products!$A$59:$E$158,5,FALSE)))</f>
        <v/>
      </c>
      <c r="F155" s="124" t="str">
        <f>IF($E155="","",F$151*VLOOKUP($A154,Products!$A$59:$H$158,8,FALSE))</f>
        <v/>
      </c>
      <c r="G155" s="125" t="str">
        <f>IF($E155="","",G$151*VLOOKUP($A154,Products!$A$59:$H$158,8,FALSE))</f>
        <v/>
      </c>
    </row>
    <row r="156" spans="1:7" x14ac:dyDescent="0.2">
      <c r="A156" s="627" t="str">
        <f t="shared" si="17"/>
        <v>AAAAA</v>
      </c>
      <c r="B156" s="628"/>
      <c r="C156" s="628"/>
      <c r="D156" s="628"/>
      <c r="E156" s="16" t="str">
        <f>IF(A155="","",IF(VLOOKUP(A155,Products!$A$59:$E$158,5,FALSE)="","",VLOOKUP(A155,Products!$A$59:$E$158,5,FALSE)))</f>
        <v/>
      </c>
      <c r="F156" s="124" t="str">
        <f>IF($E156="","",F$151*VLOOKUP($A155,Products!$A$59:$H$158,8,FALSE))</f>
        <v/>
      </c>
      <c r="G156" s="125" t="str">
        <f>IF($E156="","",G$151*VLOOKUP($A155,Products!$A$59:$H$158,8,FALSE))</f>
        <v/>
      </c>
    </row>
    <row r="157" spans="1:7" x14ac:dyDescent="0.2">
      <c r="A157" s="627" t="str">
        <f t="shared" si="17"/>
        <v>AAAAAA</v>
      </c>
      <c r="B157" s="628"/>
      <c r="C157" s="628"/>
      <c r="D157" s="628"/>
      <c r="E157" s="16" t="str">
        <f>IF(A156="","",IF(VLOOKUP(A156,Products!$A$59:$E$158,5,FALSE)="","",VLOOKUP(A156,Products!$A$59:$E$158,5,FALSE)))</f>
        <v/>
      </c>
      <c r="F157" s="124" t="str">
        <f>IF($E157="","",F$151*VLOOKUP($A156,Products!$A$59:$H$158,8,FALSE))</f>
        <v/>
      </c>
      <c r="G157" s="125" t="str">
        <f>IF($E157="","",G$151*VLOOKUP($A156,Products!$A$59:$H$158,8,FALSE))</f>
        <v/>
      </c>
    </row>
    <row r="158" spans="1:7" x14ac:dyDescent="0.2">
      <c r="A158" s="627" t="str">
        <f t="shared" si="17"/>
        <v>AAAAAAA</v>
      </c>
      <c r="B158" s="628"/>
      <c r="C158" s="628"/>
      <c r="D158" s="628"/>
      <c r="E158" s="16" t="str">
        <f>IF(A157="","",IF(VLOOKUP(A157,Products!$A$59:$E$158,5,FALSE)="","",VLOOKUP(A157,Products!$A$59:$E$158,5,FALSE)))</f>
        <v/>
      </c>
      <c r="F158" s="124" t="str">
        <f>IF($E158="","",F$151*VLOOKUP($A157,Products!$A$59:$H$158,8,FALSE))</f>
        <v/>
      </c>
      <c r="G158" s="125" t="str">
        <f>IF($E158="","",G$151*VLOOKUP($A157,Products!$A$59:$H$158,8,FALSE))</f>
        <v/>
      </c>
    </row>
    <row r="159" spans="1:7" x14ac:dyDescent="0.2">
      <c r="A159" s="627" t="str">
        <f t="shared" si="17"/>
        <v>AAAAAAAA</v>
      </c>
      <c r="B159" s="628"/>
      <c r="C159" s="628"/>
      <c r="D159" s="628"/>
      <c r="E159" s="16" t="str">
        <f>IF(A158="","",IF(VLOOKUP(A158,Products!$A$59:$E$158,5,FALSE)="","",VLOOKUP(A158,Products!$A$59:$E$158,5,FALSE)))</f>
        <v/>
      </c>
      <c r="F159" s="124" t="str">
        <f>IF($E159="","",F$151*VLOOKUP($A158,Products!$A$59:$H$158,8,FALSE))</f>
        <v/>
      </c>
      <c r="G159" s="125" t="str">
        <f>IF($E159="","",G$151*VLOOKUP($A158,Products!$A$59:$H$158,8,FALSE))</f>
        <v/>
      </c>
    </row>
    <row r="160" spans="1:7" x14ac:dyDescent="0.2">
      <c r="A160" s="627" t="str">
        <f t="shared" si="17"/>
        <v>AAAAAAAAA</v>
      </c>
      <c r="B160" s="628"/>
      <c r="C160" s="628"/>
      <c r="D160" s="628"/>
      <c r="E160" s="16" t="str">
        <f>IF(A159="","",IF(VLOOKUP(A159,Products!$A$59:$E$158,5,FALSE)="","",VLOOKUP(A159,Products!$A$59:$E$158,5,FALSE)))</f>
        <v/>
      </c>
      <c r="F160" s="124" t="str">
        <f>IF($E160="","",F$151*VLOOKUP($A159,Products!$A$59:$H$158,8,FALSE))</f>
        <v/>
      </c>
      <c r="G160" s="125" t="str">
        <f>IF($E160="","",G$151*VLOOKUP($A159,Products!$A$59:$H$158,8,FALSE))</f>
        <v/>
      </c>
    </row>
    <row r="161" spans="1:7" x14ac:dyDescent="0.2">
      <c r="A161" s="627" t="str">
        <f t="shared" si="17"/>
        <v>AAAAAAAAAA</v>
      </c>
      <c r="B161" s="628"/>
      <c r="C161" s="628"/>
      <c r="D161" s="628"/>
      <c r="E161" s="16" t="str">
        <f>IF(A160="","",IF(VLOOKUP(A160,Products!$A$59:$E$158,5,FALSE)="","",VLOOKUP(A160,Products!$A$59:$E$158,5,FALSE)))</f>
        <v/>
      </c>
      <c r="F161" s="124" t="str">
        <f>IF($E161="","",F$151*VLOOKUP($A160,Products!$A$59:$H$158,8,FALSE))</f>
        <v/>
      </c>
      <c r="G161" s="125" t="str">
        <f>IF($E161="","",G$151*VLOOKUP($A160,Products!$A$59:$H$158,8,FALSE))</f>
        <v/>
      </c>
    </row>
    <row r="162" spans="1:7" x14ac:dyDescent="0.2">
      <c r="A162" s="780" t="str">
        <f>Hidden!$DQ7</f>
        <v/>
      </c>
      <c r="B162" s="656"/>
      <c r="C162" s="656"/>
      <c r="D162" s="656"/>
      <c r="E162" s="16" t="str">
        <f>IF($A162="","","Total VOC")</f>
        <v/>
      </c>
      <c r="F162" s="124">
        <f>VLOOKUP($A162,Hidden!$DQ$2:$DS$11,2,FALSE)*(1-$D$18)</f>
        <v>0</v>
      </c>
      <c r="G162" s="125">
        <f>VLOOKUP($A162,Hidden!$DQ$2:$DS$11,3,FALSE)*(1-$D$18)</f>
        <v>0</v>
      </c>
    </row>
    <row r="163" spans="1:7" x14ac:dyDescent="0.2">
      <c r="A163" s="627" t="str">
        <f t="shared" ref="A163:A172" si="18">A162&amp;"A"</f>
        <v>A</v>
      </c>
      <c r="B163" s="628"/>
      <c r="C163" s="628"/>
      <c r="D163" s="628"/>
      <c r="E163" s="16" t="str">
        <f>IF(A162="","",IF(VLOOKUP(A162,Products!$A$59:$E$158,5,FALSE)="","",VLOOKUP(A162,Products!$A$59:$E$158,5,FALSE)))</f>
        <v/>
      </c>
      <c r="F163" s="124" t="str">
        <f>IF($E163="","",F$162*VLOOKUP($A162,Products!$A$59:$H$158,8,FALSE))</f>
        <v/>
      </c>
      <c r="G163" s="125" t="str">
        <f>IF($E163="","",G$162*VLOOKUP($A162,Products!$A$59:$H$158,8,FALSE))</f>
        <v/>
      </c>
    </row>
    <row r="164" spans="1:7" x14ac:dyDescent="0.2">
      <c r="A164" s="627" t="str">
        <f t="shared" si="18"/>
        <v>AA</v>
      </c>
      <c r="B164" s="628"/>
      <c r="C164" s="628"/>
      <c r="D164" s="628"/>
      <c r="E164" s="16" t="str">
        <f>IF(A163="","",IF(VLOOKUP(A163,Products!$A$59:$E$158,5,FALSE)="","",VLOOKUP(A163,Products!$A$59:$E$158,5,FALSE)))</f>
        <v/>
      </c>
      <c r="F164" s="124" t="str">
        <f>IF($E164="","",F$162*VLOOKUP($A163,Products!$A$59:$H$158,8,FALSE))</f>
        <v/>
      </c>
      <c r="G164" s="125" t="str">
        <f>IF($E164="","",G$162*VLOOKUP($A163,Products!$A$59:$H$158,8,FALSE))</f>
        <v/>
      </c>
    </row>
    <row r="165" spans="1:7" x14ac:dyDescent="0.2">
      <c r="A165" s="627" t="str">
        <f t="shared" si="18"/>
        <v>AAA</v>
      </c>
      <c r="B165" s="628"/>
      <c r="C165" s="628"/>
      <c r="D165" s="628"/>
      <c r="E165" s="16" t="str">
        <f>IF(A164="","",IF(VLOOKUP(A164,Products!$A$59:$E$158,5,FALSE)="","",VLOOKUP(A164,Products!$A$59:$E$158,5,FALSE)))</f>
        <v/>
      </c>
      <c r="F165" s="124" t="str">
        <f>IF($E165="","",F$162*VLOOKUP($A164,Products!$A$59:$H$158,8,FALSE))</f>
        <v/>
      </c>
      <c r="G165" s="125" t="str">
        <f>IF($E165="","",G$162*VLOOKUP($A164,Products!$A$59:$H$158,8,FALSE))</f>
        <v/>
      </c>
    </row>
    <row r="166" spans="1:7" x14ac:dyDescent="0.2">
      <c r="A166" s="627" t="str">
        <f t="shared" si="18"/>
        <v>AAAA</v>
      </c>
      <c r="B166" s="628"/>
      <c r="C166" s="628"/>
      <c r="D166" s="628"/>
      <c r="E166" s="16" t="str">
        <f>IF(A165="","",IF(VLOOKUP(A165,Products!$A$59:$E$158,5,FALSE)="","",VLOOKUP(A165,Products!$A$59:$E$158,5,FALSE)))</f>
        <v/>
      </c>
      <c r="F166" s="124" t="str">
        <f>IF($E166="","",F$162*VLOOKUP($A165,Products!$A$59:$H$158,8,FALSE))</f>
        <v/>
      </c>
      <c r="G166" s="125" t="str">
        <f>IF($E166="","",G$162*VLOOKUP($A165,Products!$A$59:$H$158,8,FALSE))</f>
        <v/>
      </c>
    </row>
    <row r="167" spans="1:7" x14ac:dyDescent="0.2">
      <c r="A167" s="627" t="str">
        <f t="shared" si="18"/>
        <v>AAAAA</v>
      </c>
      <c r="B167" s="628"/>
      <c r="C167" s="628"/>
      <c r="D167" s="628"/>
      <c r="E167" s="16" t="str">
        <f>IF(A166="","",IF(VLOOKUP(A166,Products!$A$59:$E$158,5,FALSE)="","",VLOOKUP(A166,Products!$A$59:$E$158,5,FALSE)))</f>
        <v/>
      </c>
      <c r="F167" s="124" t="str">
        <f>IF($E167="","",F$162*VLOOKUP($A166,Products!$A$59:$H$158,8,FALSE))</f>
        <v/>
      </c>
      <c r="G167" s="125" t="str">
        <f>IF($E167="","",G$162*VLOOKUP($A166,Products!$A$59:$H$158,8,FALSE))</f>
        <v/>
      </c>
    </row>
    <row r="168" spans="1:7" x14ac:dyDescent="0.2">
      <c r="A168" s="627" t="str">
        <f t="shared" si="18"/>
        <v>AAAAAA</v>
      </c>
      <c r="B168" s="628"/>
      <c r="C168" s="628"/>
      <c r="D168" s="628"/>
      <c r="E168" s="16" t="str">
        <f>IF(A167="","",IF(VLOOKUP(A167,Products!$A$59:$E$158,5,FALSE)="","",VLOOKUP(A167,Products!$A$59:$E$158,5,FALSE)))</f>
        <v/>
      </c>
      <c r="F168" s="124" t="str">
        <f>IF($E168="","",F$162*VLOOKUP($A167,Products!$A$59:$H$158,8,FALSE))</f>
        <v/>
      </c>
      <c r="G168" s="125" t="str">
        <f>IF($E168="","",G$162*VLOOKUP($A167,Products!$A$59:$H$158,8,FALSE))</f>
        <v/>
      </c>
    </row>
    <row r="169" spans="1:7" x14ac:dyDescent="0.2">
      <c r="A169" s="627" t="str">
        <f t="shared" si="18"/>
        <v>AAAAAAA</v>
      </c>
      <c r="B169" s="628"/>
      <c r="C169" s="628"/>
      <c r="D169" s="628"/>
      <c r="E169" s="16" t="str">
        <f>IF(A168="","",IF(VLOOKUP(A168,Products!$A$59:$E$158,5,FALSE)="","",VLOOKUP(A168,Products!$A$59:$E$158,5,FALSE)))</f>
        <v/>
      </c>
      <c r="F169" s="124" t="str">
        <f>IF($E169="","",F$162*VLOOKUP($A168,Products!$A$59:$H$158,8,FALSE))</f>
        <v/>
      </c>
      <c r="G169" s="125" t="str">
        <f>IF($E169="","",G$162*VLOOKUP($A168,Products!$A$59:$H$158,8,FALSE))</f>
        <v/>
      </c>
    </row>
    <row r="170" spans="1:7" x14ac:dyDescent="0.2">
      <c r="A170" s="627" t="str">
        <f t="shared" si="18"/>
        <v>AAAAAAAA</v>
      </c>
      <c r="B170" s="628"/>
      <c r="C170" s="628"/>
      <c r="D170" s="628"/>
      <c r="E170" s="16" t="str">
        <f>IF(A169="","",IF(VLOOKUP(A169,Products!$A$59:$E$158,5,FALSE)="","",VLOOKUP(A169,Products!$A$59:$E$158,5,FALSE)))</f>
        <v/>
      </c>
      <c r="F170" s="124" t="str">
        <f>IF($E170="","",F$162*VLOOKUP($A169,Products!$A$59:$H$158,8,FALSE))</f>
        <v/>
      </c>
      <c r="G170" s="125" t="str">
        <f>IF($E170="","",G$162*VLOOKUP($A169,Products!$A$59:$H$158,8,FALSE))</f>
        <v/>
      </c>
    </row>
    <row r="171" spans="1:7" x14ac:dyDescent="0.2">
      <c r="A171" s="627" t="str">
        <f t="shared" si="18"/>
        <v>AAAAAAAAA</v>
      </c>
      <c r="B171" s="628"/>
      <c r="C171" s="628"/>
      <c r="D171" s="628"/>
      <c r="E171" s="16" t="str">
        <f>IF(A170="","",IF(VLOOKUP(A170,Products!$A$59:$E$158,5,FALSE)="","",VLOOKUP(A170,Products!$A$59:$E$158,5,FALSE)))</f>
        <v/>
      </c>
      <c r="F171" s="124" t="str">
        <f>IF($E171="","",F$162*VLOOKUP($A170,Products!$A$59:$H$158,8,FALSE))</f>
        <v/>
      </c>
      <c r="G171" s="125" t="str">
        <f>IF($E171="","",G$162*VLOOKUP($A170,Products!$A$59:$H$158,8,FALSE))</f>
        <v/>
      </c>
    </row>
    <row r="172" spans="1:7" x14ac:dyDescent="0.2">
      <c r="A172" s="627" t="str">
        <f t="shared" si="18"/>
        <v>AAAAAAAAAA</v>
      </c>
      <c r="B172" s="628"/>
      <c r="C172" s="628"/>
      <c r="D172" s="628"/>
      <c r="E172" s="16" t="str">
        <f>IF(A171="","",IF(VLOOKUP(A171,Products!$A$59:$E$158,5,FALSE)="","",VLOOKUP(A171,Products!$A$59:$E$158,5,FALSE)))</f>
        <v/>
      </c>
      <c r="F172" s="124" t="str">
        <f>IF($E172="","",F$162*VLOOKUP($A171,Products!$A$59:$H$158,8,FALSE))</f>
        <v/>
      </c>
      <c r="G172" s="125" t="str">
        <f>IF($E172="","",G$162*VLOOKUP($A171,Products!$A$59:$H$158,8,FALSE))</f>
        <v/>
      </c>
    </row>
    <row r="173" spans="1:7" x14ac:dyDescent="0.2">
      <c r="A173" s="780" t="str">
        <f>Hidden!$DQ8</f>
        <v/>
      </c>
      <c r="B173" s="656"/>
      <c r="C173" s="656"/>
      <c r="D173" s="656"/>
      <c r="E173" s="16" t="str">
        <f>IF($A173="","","Total VOC")</f>
        <v/>
      </c>
      <c r="F173" s="124">
        <f>VLOOKUP($A173,Hidden!$DQ$2:$DS$11,2,FALSE)*(1-$D$18)</f>
        <v>0</v>
      </c>
      <c r="G173" s="125">
        <f>VLOOKUP($A173,Hidden!$DQ$2:$DS$11,3,FALSE)*(1-$D$18)</f>
        <v>0</v>
      </c>
    </row>
    <row r="174" spans="1:7" x14ac:dyDescent="0.2">
      <c r="A174" s="627" t="str">
        <f t="shared" ref="A174:A183" si="19">A173&amp;"A"</f>
        <v>A</v>
      </c>
      <c r="B174" s="628"/>
      <c r="C174" s="628"/>
      <c r="D174" s="628"/>
      <c r="E174" s="16" t="str">
        <f>IF(A173="","",IF(VLOOKUP(A173,Products!$A$59:$E$158,5,FALSE)="","",VLOOKUP(A173,Products!$A$59:$E$158,5,FALSE)))</f>
        <v/>
      </c>
      <c r="F174" s="124" t="str">
        <f>IF($E174="","",F$173*VLOOKUP($A173,Products!$A$59:$H$158,8,FALSE))</f>
        <v/>
      </c>
      <c r="G174" s="125" t="str">
        <f>IF($E174="","",G$173*VLOOKUP($A173,Products!$A$59:$H$158,8,FALSE))</f>
        <v/>
      </c>
    </row>
    <row r="175" spans="1:7" x14ac:dyDescent="0.2">
      <c r="A175" s="627" t="str">
        <f t="shared" si="19"/>
        <v>AA</v>
      </c>
      <c r="B175" s="628"/>
      <c r="C175" s="628"/>
      <c r="D175" s="628"/>
      <c r="E175" s="16" t="str">
        <f>IF(A174="","",IF(VLOOKUP(A174,Products!$A$59:$E$158,5,FALSE)="","",VLOOKUP(A174,Products!$A$59:$E$158,5,FALSE)))</f>
        <v/>
      </c>
      <c r="F175" s="124" t="str">
        <f>IF($E175="","",F$173*VLOOKUP($A174,Products!$A$59:$H$158,8,FALSE))</f>
        <v/>
      </c>
      <c r="G175" s="125" t="str">
        <f>IF($E175="","",G$173*VLOOKUP($A174,Products!$A$59:$H$158,8,FALSE))</f>
        <v/>
      </c>
    </row>
    <row r="176" spans="1:7" x14ac:dyDescent="0.2">
      <c r="A176" s="627" t="str">
        <f t="shared" si="19"/>
        <v>AAA</v>
      </c>
      <c r="B176" s="628"/>
      <c r="C176" s="628"/>
      <c r="D176" s="628"/>
      <c r="E176" s="16" t="str">
        <f>IF(A175="","",IF(VLOOKUP(A175,Products!$A$59:$E$158,5,FALSE)="","",VLOOKUP(A175,Products!$A$59:$E$158,5,FALSE)))</f>
        <v/>
      </c>
      <c r="F176" s="124" t="str">
        <f>IF($E176="","",F$173*VLOOKUP($A175,Products!$A$59:$H$158,8,FALSE))</f>
        <v/>
      </c>
      <c r="G176" s="125" t="str">
        <f>IF($E176="","",G$173*VLOOKUP($A175,Products!$A$59:$H$158,8,FALSE))</f>
        <v/>
      </c>
    </row>
    <row r="177" spans="1:7" x14ac:dyDescent="0.2">
      <c r="A177" s="627" t="str">
        <f t="shared" si="19"/>
        <v>AAAA</v>
      </c>
      <c r="B177" s="628"/>
      <c r="C177" s="628"/>
      <c r="D177" s="628"/>
      <c r="E177" s="16" t="str">
        <f>IF(A176="","",IF(VLOOKUP(A176,Products!$A$59:$E$158,5,FALSE)="","",VLOOKUP(A176,Products!$A$59:$E$158,5,FALSE)))</f>
        <v/>
      </c>
      <c r="F177" s="124" t="str">
        <f>IF($E177="","",F$173*VLOOKUP($A176,Products!$A$59:$H$158,8,FALSE))</f>
        <v/>
      </c>
      <c r="G177" s="125" t="str">
        <f>IF($E177="","",G$173*VLOOKUP($A176,Products!$A$59:$H$158,8,FALSE))</f>
        <v/>
      </c>
    </row>
    <row r="178" spans="1:7" x14ac:dyDescent="0.2">
      <c r="A178" s="627" t="str">
        <f t="shared" si="19"/>
        <v>AAAAA</v>
      </c>
      <c r="B178" s="628"/>
      <c r="C178" s="628"/>
      <c r="D178" s="628"/>
      <c r="E178" s="16" t="str">
        <f>IF(A177="","",IF(VLOOKUP(A177,Products!$A$59:$E$158,5,FALSE)="","",VLOOKUP(A177,Products!$A$59:$E$158,5,FALSE)))</f>
        <v/>
      </c>
      <c r="F178" s="124" t="str">
        <f>IF($E178="","",F$173*VLOOKUP($A177,Products!$A$59:$H$158,8,FALSE))</f>
        <v/>
      </c>
      <c r="G178" s="125" t="str">
        <f>IF($E178="","",G$173*VLOOKUP($A177,Products!$A$59:$H$158,8,FALSE))</f>
        <v/>
      </c>
    </row>
    <row r="179" spans="1:7" x14ac:dyDescent="0.2">
      <c r="A179" s="627" t="str">
        <f t="shared" si="19"/>
        <v>AAAAAA</v>
      </c>
      <c r="B179" s="628"/>
      <c r="C179" s="628"/>
      <c r="D179" s="628"/>
      <c r="E179" s="16" t="str">
        <f>IF(A178="","",IF(VLOOKUP(A178,Products!$A$59:$E$158,5,FALSE)="","",VLOOKUP(A178,Products!$A$59:$E$158,5,FALSE)))</f>
        <v/>
      </c>
      <c r="F179" s="124" t="str">
        <f>IF($E179="","",F$173*VLOOKUP($A178,Products!$A$59:$H$158,8,FALSE))</f>
        <v/>
      </c>
      <c r="G179" s="125" t="str">
        <f>IF($E179="","",G$173*VLOOKUP($A178,Products!$A$59:$H$158,8,FALSE))</f>
        <v/>
      </c>
    </row>
    <row r="180" spans="1:7" x14ac:dyDescent="0.2">
      <c r="A180" s="627" t="str">
        <f t="shared" si="19"/>
        <v>AAAAAAA</v>
      </c>
      <c r="B180" s="628"/>
      <c r="C180" s="628"/>
      <c r="D180" s="628"/>
      <c r="E180" s="16" t="str">
        <f>IF(A179="","",IF(VLOOKUP(A179,Products!$A$59:$E$158,5,FALSE)="","",VLOOKUP(A179,Products!$A$59:$E$158,5,FALSE)))</f>
        <v/>
      </c>
      <c r="F180" s="124" t="str">
        <f>IF($E180="","",F$173*VLOOKUP($A179,Products!$A$59:$H$158,8,FALSE))</f>
        <v/>
      </c>
      <c r="G180" s="125" t="str">
        <f>IF($E180="","",G$173*VLOOKUP($A179,Products!$A$59:$H$158,8,FALSE))</f>
        <v/>
      </c>
    </row>
    <row r="181" spans="1:7" x14ac:dyDescent="0.2">
      <c r="A181" s="627" t="str">
        <f t="shared" si="19"/>
        <v>AAAAAAAA</v>
      </c>
      <c r="B181" s="628"/>
      <c r="C181" s="628"/>
      <c r="D181" s="628"/>
      <c r="E181" s="16" t="str">
        <f>IF(A180="","",IF(VLOOKUP(A180,Products!$A$59:$E$158,5,FALSE)="","",VLOOKUP(A180,Products!$A$59:$E$158,5,FALSE)))</f>
        <v/>
      </c>
      <c r="F181" s="124" t="str">
        <f>IF($E181="","",F$173*VLOOKUP($A180,Products!$A$59:$H$158,8,FALSE))</f>
        <v/>
      </c>
      <c r="G181" s="125" t="str">
        <f>IF($E181="","",G$173*VLOOKUP($A180,Products!$A$59:$H$158,8,FALSE))</f>
        <v/>
      </c>
    </row>
    <row r="182" spans="1:7" x14ac:dyDescent="0.2">
      <c r="A182" s="627" t="str">
        <f t="shared" si="19"/>
        <v>AAAAAAAAA</v>
      </c>
      <c r="B182" s="628"/>
      <c r="C182" s="628"/>
      <c r="D182" s="628"/>
      <c r="E182" s="16" t="str">
        <f>IF(A181="","",IF(VLOOKUP(A181,Products!$A$59:$E$158,5,FALSE)="","",VLOOKUP(A181,Products!$A$59:$E$158,5,FALSE)))</f>
        <v/>
      </c>
      <c r="F182" s="124" t="str">
        <f>IF($E182="","",F$173*VLOOKUP($A181,Products!$A$59:$H$158,8,FALSE))</f>
        <v/>
      </c>
      <c r="G182" s="125" t="str">
        <f>IF($E182="","",G$173*VLOOKUP($A181,Products!$A$59:$H$158,8,FALSE))</f>
        <v/>
      </c>
    </row>
    <row r="183" spans="1:7" x14ac:dyDescent="0.2">
      <c r="A183" s="627" t="str">
        <f t="shared" si="19"/>
        <v>AAAAAAAAAA</v>
      </c>
      <c r="B183" s="628"/>
      <c r="C183" s="628"/>
      <c r="D183" s="628"/>
      <c r="E183" s="16" t="str">
        <f>IF(A182="","",IF(VLOOKUP(A182,Products!$A$59:$E$158,5,FALSE)="","",VLOOKUP(A182,Products!$A$59:$E$158,5,FALSE)))</f>
        <v/>
      </c>
      <c r="F183" s="124" t="str">
        <f>IF($E183="","",F$173*VLOOKUP($A182,Products!$A$59:$H$158,8,FALSE))</f>
        <v/>
      </c>
      <c r="G183" s="125" t="str">
        <f>IF($E183="","",G$173*VLOOKUP($A182,Products!$A$59:$H$158,8,FALSE))</f>
        <v/>
      </c>
    </row>
    <row r="184" spans="1:7" x14ac:dyDescent="0.2">
      <c r="A184" s="780" t="str">
        <f>Hidden!$DQ9</f>
        <v/>
      </c>
      <c r="B184" s="656"/>
      <c r="C184" s="656"/>
      <c r="D184" s="656"/>
      <c r="E184" s="16" t="str">
        <f>IF($A184="","","Total VOC")</f>
        <v/>
      </c>
      <c r="F184" s="124">
        <f>VLOOKUP($A184,Hidden!$DQ$2:$DS$11,2,FALSE)*(1-$D$18)</f>
        <v>0</v>
      </c>
      <c r="G184" s="125">
        <f>VLOOKUP($A184,Hidden!$DQ$2:$DS$11,3,FALSE)*(1-$D$18)</f>
        <v>0</v>
      </c>
    </row>
    <row r="185" spans="1:7" x14ac:dyDescent="0.2">
      <c r="A185" s="627" t="str">
        <f t="shared" ref="A185:A194" si="20">A184&amp;"A"</f>
        <v>A</v>
      </c>
      <c r="B185" s="628"/>
      <c r="C185" s="628"/>
      <c r="D185" s="628"/>
      <c r="E185" s="16" t="str">
        <f>IF(A184="","",IF(VLOOKUP(A184,Products!$A$59:$E$158,5,FALSE)="","",VLOOKUP(A184,Products!$A$59:$E$158,5,FALSE)))</f>
        <v/>
      </c>
      <c r="F185" s="124" t="str">
        <f>IF($E185="","",F$184*VLOOKUP($A184,Products!$A$59:$H$158,8,FALSE))</f>
        <v/>
      </c>
      <c r="G185" s="125" t="str">
        <f>IF($E185="","",G$184*VLOOKUP($A184,Products!$A$59:$H$158,8,FALSE))</f>
        <v/>
      </c>
    </row>
    <row r="186" spans="1:7" x14ac:dyDescent="0.2">
      <c r="A186" s="627" t="str">
        <f t="shared" si="20"/>
        <v>AA</v>
      </c>
      <c r="B186" s="628"/>
      <c r="C186" s="628"/>
      <c r="D186" s="628"/>
      <c r="E186" s="16" t="str">
        <f>IF(A185="","",IF(VLOOKUP(A185,Products!$A$59:$E$158,5,FALSE)="","",VLOOKUP(A185,Products!$A$59:$E$158,5,FALSE)))</f>
        <v/>
      </c>
      <c r="F186" s="124" t="str">
        <f>IF($E186="","",F$184*VLOOKUP($A185,Products!$A$59:$H$158,8,FALSE))</f>
        <v/>
      </c>
      <c r="G186" s="125" t="str">
        <f>IF($E186="","",G$184*VLOOKUP($A185,Products!$A$59:$H$158,8,FALSE))</f>
        <v/>
      </c>
    </row>
    <row r="187" spans="1:7" x14ac:dyDescent="0.2">
      <c r="A187" s="627" t="str">
        <f t="shared" si="20"/>
        <v>AAA</v>
      </c>
      <c r="B187" s="628"/>
      <c r="C187" s="628"/>
      <c r="D187" s="628"/>
      <c r="E187" s="16" t="str">
        <f>IF(A186="","",IF(VLOOKUP(A186,Products!$A$59:$E$158,5,FALSE)="","",VLOOKUP(A186,Products!$A$59:$E$158,5,FALSE)))</f>
        <v/>
      </c>
      <c r="F187" s="124" t="str">
        <f>IF($E187="","",F$184*VLOOKUP($A186,Products!$A$59:$H$158,8,FALSE))</f>
        <v/>
      </c>
      <c r="G187" s="125" t="str">
        <f>IF($E187="","",G$184*VLOOKUP($A186,Products!$A$59:$H$158,8,FALSE))</f>
        <v/>
      </c>
    </row>
    <row r="188" spans="1:7" x14ac:dyDescent="0.2">
      <c r="A188" s="627" t="str">
        <f t="shared" si="20"/>
        <v>AAAA</v>
      </c>
      <c r="B188" s="628"/>
      <c r="C188" s="628"/>
      <c r="D188" s="628"/>
      <c r="E188" s="16" t="str">
        <f>IF(A187="","",IF(VLOOKUP(A187,Products!$A$59:$E$158,5,FALSE)="","",VLOOKUP(A187,Products!$A$59:$E$158,5,FALSE)))</f>
        <v/>
      </c>
      <c r="F188" s="124" t="str">
        <f>IF($E188="","",F$184*VLOOKUP($A187,Products!$A$59:$H$158,8,FALSE))</f>
        <v/>
      </c>
      <c r="G188" s="125" t="str">
        <f>IF($E188="","",G$184*VLOOKUP($A187,Products!$A$59:$H$158,8,FALSE))</f>
        <v/>
      </c>
    </row>
    <row r="189" spans="1:7" x14ac:dyDescent="0.2">
      <c r="A189" s="627" t="str">
        <f t="shared" si="20"/>
        <v>AAAAA</v>
      </c>
      <c r="B189" s="628"/>
      <c r="C189" s="628"/>
      <c r="D189" s="628"/>
      <c r="E189" s="16" t="str">
        <f>IF(A188="","",IF(VLOOKUP(A188,Products!$A$59:$E$158,5,FALSE)="","",VLOOKUP(A188,Products!$A$59:$E$158,5,FALSE)))</f>
        <v/>
      </c>
      <c r="F189" s="124" t="str">
        <f>IF($E189="","",F$184*VLOOKUP($A188,Products!$A$59:$H$158,8,FALSE))</f>
        <v/>
      </c>
      <c r="G189" s="125" t="str">
        <f>IF($E189="","",G$184*VLOOKUP($A188,Products!$A$59:$H$158,8,FALSE))</f>
        <v/>
      </c>
    </row>
    <row r="190" spans="1:7" x14ac:dyDescent="0.2">
      <c r="A190" s="627" t="str">
        <f t="shared" si="20"/>
        <v>AAAAAA</v>
      </c>
      <c r="B190" s="628"/>
      <c r="C190" s="628"/>
      <c r="D190" s="628"/>
      <c r="E190" s="16" t="str">
        <f>IF(A189="","",IF(VLOOKUP(A189,Products!$A$59:$E$158,5,FALSE)="","",VLOOKUP(A189,Products!$A$59:$E$158,5,FALSE)))</f>
        <v/>
      </c>
      <c r="F190" s="124" t="str">
        <f>IF($E190="","",F$184*VLOOKUP($A189,Products!$A$59:$H$158,8,FALSE))</f>
        <v/>
      </c>
      <c r="G190" s="125" t="str">
        <f>IF($E190="","",G$184*VLOOKUP($A189,Products!$A$59:$H$158,8,FALSE))</f>
        <v/>
      </c>
    </row>
    <row r="191" spans="1:7" x14ac:dyDescent="0.2">
      <c r="A191" s="627" t="str">
        <f t="shared" si="20"/>
        <v>AAAAAAA</v>
      </c>
      <c r="B191" s="628"/>
      <c r="C191" s="628"/>
      <c r="D191" s="628"/>
      <c r="E191" s="16" t="str">
        <f>IF(A190="","",IF(VLOOKUP(A190,Products!$A$59:$E$158,5,FALSE)="","",VLOOKUP(A190,Products!$A$59:$E$158,5,FALSE)))</f>
        <v/>
      </c>
      <c r="F191" s="124" t="str">
        <f>IF($E191="","",F$184*VLOOKUP($A190,Products!$A$59:$H$158,8,FALSE))</f>
        <v/>
      </c>
      <c r="G191" s="125" t="str">
        <f>IF($E191="","",G$184*VLOOKUP($A190,Products!$A$59:$H$158,8,FALSE))</f>
        <v/>
      </c>
    </row>
    <row r="192" spans="1:7" x14ac:dyDescent="0.2">
      <c r="A192" s="627" t="str">
        <f t="shared" si="20"/>
        <v>AAAAAAAA</v>
      </c>
      <c r="B192" s="628"/>
      <c r="C192" s="628"/>
      <c r="D192" s="628"/>
      <c r="E192" s="16" t="str">
        <f>IF(A191="","",IF(VLOOKUP(A191,Products!$A$59:$E$158,5,FALSE)="","",VLOOKUP(A191,Products!$A$59:$E$158,5,FALSE)))</f>
        <v/>
      </c>
      <c r="F192" s="124" t="str">
        <f>IF($E192="","",F$184*VLOOKUP($A191,Products!$A$59:$H$158,8,FALSE))</f>
        <v/>
      </c>
      <c r="G192" s="125" t="str">
        <f>IF($E192="","",G$184*VLOOKUP($A191,Products!$A$59:$H$158,8,FALSE))</f>
        <v/>
      </c>
    </row>
    <row r="193" spans="1:7" x14ac:dyDescent="0.2">
      <c r="A193" s="627" t="str">
        <f t="shared" si="20"/>
        <v>AAAAAAAAA</v>
      </c>
      <c r="B193" s="628"/>
      <c r="C193" s="628"/>
      <c r="D193" s="628"/>
      <c r="E193" s="16" t="str">
        <f>IF(A192="","",IF(VLOOKUP(A192,Products!$A$59:$E$158,5,FALSE)="","",VLOOKUP(A192,Products!$A$59:$E$158,5,FALSE)))</f>
        <v/>
      </c>
      <c r="F193" s="124" t="str">
        <f>IF($E193="","",F$184*VLOOKUP($A192,Products!$A$59:$H$158,8,FALSE))</f>
        <v/>
      </c>
      <c r="G193" s="125" t="str">
        <f>IF($E193="","",G$184*VLOOKUP($A192,Products!$A$59:$H$158,8,FALSE))</f>
        <v/>
      </c>
    </row>
    <row r="194" spans="1:7" x14ac:dyDescent="0.2">
      <c r="A194" s="627" t="str">
        <f t="shared" si="20"/>
        <v>AAAAAAAAAA</v>
      </c>
      <c r="B194" s="628"/>
      <c r="C194" s="628"/>
      <c r="D194" s="628"/>
      <c r="E194" s="16" t="str">
        <f>IF(A193="","",IF(VLOOKUP(A193,Products!$A$59:$E$158,5,FALSE)="","",VLOOKUP(A193,Products!$A$59:$E$158,5,FALSE)))</f>
        <v/>
      </c>
      <c r="F194" s="124" t="str">
        <f>IF($E194="","",F$184*VLOOKUP($A193,Products!$A$59:$H$158,8,FALSE))</f>
        <v/>
      </c>
      <c r="G194" s="125" t="str">
        <f>IF($E194="","",G$184*VLOOKUP($A193,Products!$A$59:$H$158,8,FALSE))</f>
        <v/>
      </c>
    </row>
    <row r="195" spans="1:7" x14ac:dyDescent="0.2">
      <c r="A195" s="780" t="str">
        <f>Hidden!$DQ10</f>
        <v/>
      </c>
      <c r="B195" s="656"/>
      <c r="C195" s="656"/>
      <c r="D195" s="656"/>
      <c r="E195" s="16" t="str">
        <f>IF($A195="","","Total VOC")</f>
        <v/>
      </c>
      <c r="F195" s="124">
        <f>VLOOKUP($A195,Hidden!$DQ$2:$DS$11,2,FALSE)*(1-$D$18)</f>
        <v>0</v>
      </c>
      <c r="G195" s="125">
        <f>VLOOKUP($A195,Hidden!$DQ$2:$DS$11,3,FALSE)*(1-$D$18)</f>
        <v>0</v>
      </c>
    </row>
    <row r="196" spans="1:7" x14ac:dyDescent="0.2">
      <c r="A196" s="627" t="str">
        <f t="shared" ref="A196:A205" si="21">A195&amp;"A"</f>
        <v>A</v>
      </c>
      <c r="B196" s="628"/>
      <c r="C196" s="628"/>
      <c r="D196" s="628"/>
      <c r="E196" s="16" t="str">
        <f>IF(A195="","",IF(VLOOKUP(A195,Products!$A$59:$E$158,5,FALSE)="","",VLOOKUP(A195,Products!$A$59:$E$158,5,FALSE)))</f>
        <v/>
      </c>
      <c r="F196" s="124" t="str">
        <f>IF($E196="","",F$195*VLOOKUP($A195,Products!$A$59:$H$158,8,FALSE))</f>
        <v/>
      </c>
      <c r="G196" s="125" t="str">
        <f>IF($E196="","",G$195*VLOOKUP($A195,Products!$A$59:$H$158,8,FALSE))</f>
        <v/>
      </c>
    </row>
    <row r="197" spans="1:7" x14ac:dyDescent="0.2">
      <c r="A197" s="627" t="str">
        <f t="shared" si="21"/>
        <v>AA</v>
      </c>
      <c r="B197" s="628"/>
      <c r="C197" s="628"/>
      <c r="D197" s="628"/>
      <c r="E197" s="16" t="str">
        <f>IF(A196="","",IF(VLOOKUP(A196,Products!$A$59:$E$158,5,FALSE)="","",VLOOKUP(A196,Products!$A$59:$E$158,5,FALSE)))</f>
        <v/>
      </c>
      <c r="F197" s="124" t="str">
        <f>IF($E197="","",F$195*VLOOKUP($A196,Products!$A$59:$H$158,8,FALSE))</f>
        <v/>
      </c>
      <c r="G197" s="125" t="str">
        <f>IF($E197="","",G$195*VLOOKUP($A196,Products!$A$59:$H$158,8,FALSE))</f>
        <v/>
      </c>
    </row>
    <row r="198" spans="1:7" x14ac:dyDescent="0.2">
      <c r="A198" s="627" t="str">
        <f t="shared" si="21"/>
        <v>AAA</v>
      </c>
      <c r="B198" s="628"/>
      <c r="C198" s="628"/>
      <c r="D198" s="628"/>
      <c r="E198" s="16" t="str">
        <f>IF(A197="","",IF(VLOOKUP(A197,Products!$A$59:$E$158,5,FALSE)="","",VLOOKUP(A197,Products!$A$59:$E$158,5,FALSE)))</f>
        <v/>
      </c>
      <c r="F198" s="124" t="str">
        <f>IF($E198="","",F$195*VLOOKUP($A197,Products!$A$59:$H$158,8,FALSE))</f>
        <v/>
      </c>
      <c r="G198" s="125" t="str">
        <f>IF($E198="","",G$195*VLOOKUP($A197,Products!$A$59:$H$158,8,FALSE))</f>
        <v/>
      </c>
    </row>
    <row r="199" spans="1:7" x14ac:dyDescent="0.2">
      <c r="A199" s="627" t="str">
        <f t="shared" si="21"/>
        <v>AAAA</v>
      </c>
      <c r="B199" s="628"/>
      <c r="C199" s="628"/>
      <c r="D199" s="628"/>
      <c r="E199" s="16" t="str">
        <f>IF(A198="","",IF(VLOOKUP(A198,Products!$A$59:$E$158,5,FALSE)="","",VLOOKUP(A198,Products!$A$59:$E$158,5,FALSE)))</f>
        <v/>
      </c>
      <c r="F199" s="124" t="str">
        <f>IF($E199="","",F$195*VLOOKUP($A198,Products!$A$59:$H$158,8,FALSE))</f>
        <v/>
      </c>
      <c r="G199" s="125" t="str">
        <f>IF($E199="","",G$195*VLOOKUP($A198,Products!$A$59:$H$158,8,FALSE))</f>
        <v/>
      </c>
    </row>
    <row r="200" spans="1:7" x14ac:dyDescent="0.2">
      <c r="A200" s="627" t="str">
        <f t="shared" si="21"/>
        <v>AAAAA</v>
      </c>
      <c r="B200" s="628"/>
      <c r="C200" s="628"/>
      <c r="D200" s="628"/>
      <c r="E200" s="16" t="str">
        <f>IF(A199="","",IF(VLOOKUP(A199,Products!$A$59:$E$158,5,FALSE)="","",VLOOKUP(A199,Products!$A$59:$E$158,5,FALSE)))</f>
        <v/>
      </c>
      <c r="F200" s="124" t="str">
        <f>IF($E200="","",F$195*VLOOKUP($A199,Products!$A$59:$H$158,8,FALSE))</f>
        <v/>
      </c>
      <c r="G200" s="125" t="str">
        <f>IF($E200="","",G$195*VLOOKUP($A199,Products!$A$59:$H$158,8,FALSE))</f>
        <v/>
      </c>
    </row>
    <row r="201" spans="1:7" x14ac:dyDescent="0.2">
      <c r="A201" s="627" t="str">
        <f t="shared" si="21"/>
        <v>AAAAAA</v>
      </c>
      <c r="B201" s="628"/>
      <c r="C201" s="628"/>
      <c r="D201" s="628"/>
      <c r="E201" s="16" t="str">
        <f>IF(A200="","",IF(VLOOKUP(A200,Products!$A$59:$E$158,5,FALSE)="","",VLOOKUP(A200,Products!$A$59:$E$158,5,FALSE)))</f>
        <v/>
      </c>
      <c r="F201" s="124" t="str">
        <f>IF($E201="","",F$195*VLOOKUP($A200,Products!$A$59:$H$158,8,FALSE))</f>
        <v/>
      </c>
      <c r="G201" s="125" t="str">
        <f>IF($E201="","",G$195*VLOOKUP($A200,Products!$A$59:$H$158,8,FALSE))</f>
        <v/>
      </c>
    </row>
    <row r="202" spans="1:7" x14ac:dyDescent="0.2">
      <c r="A202" s="627" t="str">
        <f t="shared" si="21"/>
        <v>AAAAAAA</v>
      </c>
      <c r="B202" s="628"/>
      <c r="C202" s="628"/>
      <c r="D202" s="628"/>
      <c r="E202" s="16" t="str">
        <f>IF(A201="","",IF(VLOOKUP(A201,Products!$A$59:$E$158,5,FALSE)="","",VLOOKUP(A201,Products!$A$59:$E$158,5,FALSE)))</f>
        <v/>
      </c>
      <c r="F202" s="124" t="str">
        <f>IF($E202="","",F$195*VLOOKUP($A201,Products!$A$59:$H$158,8,FALSE))</f>
        <v/>
      </c>
      <c r="G202" s="125" t="str">
        <f>IF($E202="","",G$195*VLOOKUP($A201,Products!$A$59:$H$158,8,FALSE))</f>
        <v/>
      </c>
    </row>
    <row r="203" spans="1:7" x14ac:dyDescent="0.2">
      <c r="A203" s="627" t="str">
        <f t="shared" si="21"/>
        <v>AAAAAAAA</v>
      </c>
      <c r="B203" s="628"/>
      <c r="C203" s="628"/>
      <c r="D203" s="628"/>
      <c r="E203" s="16" t="str">
        <f>IF(A202="","",IF(VLOOKUP(A202,Products!$A$59:$E$158,5,FALSE)="","",VLOOKUP(A202,Products!$A$59:$E$158,5,FALSE)))</f>
        <v/>
      </c>
      <c r="F203" s="124" t="str">
        <f>IF($E203="","",F$195*VLOOKUP($A202,Products!$A$59:$H$158,8,FALSE))</f>
        <v/>
      </c>
      <c r="G203" s="125" t="str">
        <f>IF($E203="","",G$195*VLOOKUP($A202,Products!$A$59:$H$158,8,FALSE))</f>
        <v/>
      </c>
    </row>
    <row r="204" spans="1:7" x14ac:dyDescent="0.2">
      <c r="A204" s="627" t="str">
        <f t="shared" si="21"/>
        <v>AAAAAAAAA</v>
      </c>
      <c r="B204" s="628"/>
      <c r="C204" s="628"/>
      <c r="D204" s="628"/>
      <c r="E204" s="16" t="str">
        <f>IF(A203="","",IF(VLOOKUP(A203,Products!$A$59:$E$158,5,FALSE)="","",VLOOKUP(A203,Products!$A$59:$E$158,5,FALSE)))</f>
        <v/>
      </c>
      <c r="F204" s="124" t="str">
        <f>IF($E204="","",F$195*VLOOKUP($A203,Products!$A$59:$H$158,8,FALSE))</f>
        <v/>
      </c>
      <c r="G204" s="125" t="str">
        <f>IF($E204="","",G$195*VLOOKUP($A203,Products!$A$59:$H$158,8,FALSE))</f>
        <v/>
      </c>
    </row>
    <row r="205" spans="1:7" x14ac:dyDescent="0.2">
      <c r="A205" s="627" t="str">
        <f t="shared" si="21"/>
        <v>AAAAAAAAAA</v>
      </c>
      <c r="B205" s="628"/>
      <c r="C205" s="628"/>
      <c r="D205" s="628"/>
      <c r="E205" s="16" t="str">
        <f>IF(A204="","",IF(VLOOKUP(A204,Products!$A$59:$E$158,5,FALSE)="","",VLOOKUP(A204,Products!$A$59:$E$158,5,FALSE)))</f>
        <v/>
      </c>
      <c r="F205" s="124" t="str">
        <f>IF($E205="","",F$195*VLOOKUP($A204,Products!$A$59:$H$158,8,FALSE))</f>
        <v/>
      </c>
      <c r="G205" s="125" t="str">
        <f>IF($E205="","",G$195*VLOOKUP($A204,Products!$A$59:$H$158,8,FALSE))</f>
        <v/>
      </c>
    </row>
    <row r="206" spans="1:7" x14ac:dyDescent="0.2">
      <c r="A206" s="780" t="str">
        <f>Hidden!$DQ11</f>
        <v/>
      </c>
      <c r="B206" s="656"/>
      <c r="C206" s="656"/>
      <c r="D206" s="656"/>
      <c r="E206" s="16" t="str">
        <f>IF($A206="","","Total VOC")</f>
        <v/>
      </c>
      <c r="F206" s="124">
        <f>VLOOKUP($A206,Hidden!$DQ$2:$DS$11,2,FALSE)*(1-$D$18)</f>
        <v>0</v>
      </c>
      <c r="G206" s="125">
        <f>VLOOKUP($A206,Hidden!$DQ$2:$DS$11,3,FALSE)*(1-$D$18)</f>
        <v>0</v>
      </c>
    </row>
    <row r="207" spans="1:7" x14ac:dyDescent="0.2">
      <c r="A207" s="627" t="str">
        <f t="shared" ref="A207:A216" si="22">A206&amp;"A"</f>
        <v>A</v>
      </c>
      <c r="B207" s="628"/>
      <c r="C207" s="628"/>
      <c r="D207" s="628"/>
      <c r="E207" s="16" t="str">
        <f>IF(A206="","",IF(VLOOKUP(A206,Products!$A$59:$E$158,5,FALSE)="","",VLOOKUP(A206,Products!$A$59:$E$158,5,FALSE)))</f>
        <v/>
      </c>
      <c r="F207" s="124" t="str">
        <f>IF($E207="","",F$206*VLOOKUP($A206,Products!$A$59:$H$158,8,FALSE))</f>
        <v/>
      </c>
      <c r="G207" s="125" t="str">
        <f>IF($E207="","",G$206*VLOOKUP($A206,Products!$A$59:$H$158,8,FALSE))</f>
        <v/>
      </c>
    </row>
    <row r="208" spans="1:7" x14ac:dyDescent="0.2">
      <c r="A208" s="627" t="str">
        <f t="shared" si="22"/>
        <v>AA</v>
      </c>
      <c r="B208" s="628"/>
      <c r="C208" s="628"/>
      <c r="D208" s="628"/>
      <c r="E208" s="16" t="str">
        <f>IF(A207="","",IF(VLOOKUP(A207,Products!$A$59:$E$158,5,FALSE)="","",VLOOKUP(A207,Products!$A$59:$E$158,5,FALSE)))</f>
        <v/>
      </c>
      <c r="F208" s="124" t="str">
        <f>IF($E208="","",F$206*VLOOKUP($A207,Products!$A$59:$H$158,8,FALSE))</f>
        <v/>
      </c>
      <c r="G208" s="125" t="str">
        <f>IF($E208="","",G$206*VLOOKUP($A207,Products!$A$59:$H$158,8,FALSE))</f>
        <v/>
      </c>
    </row>
    <row r="209" spans="1:7" x14ac:dyDescent="0.2">
      <c r="A209" s="627" t="str">
        <f t="shared" si="22"/>
        <v>AAA</v>
      </c>
      <c r="B209" s="628"/>
      <c r="C209" s="628"/>
      <c r="D209" s="628"/>
      <c r="E209" s="16" t="str">
        <f>IF(A208="","",IF(VLOOKUP(A208,Products!$A$59:$E$158,5,FALSE)="","",VLOOKUP(A208,Products!$A$59:$E$158,5,FALSE)))</f>
        <v/>
      </c>
      <c r="F209" s="124" t="str">
        <f>IF($E209="","",F$206*VLOOKUP($A208,Products!$A$59:$H$158,8,FALSE))</f>
        <v/>
      </c>
      <c r="G209" s="125" t="str">
        <f>IF($E209="","",G$206*VLOOKUP($A208,Products!$A$59:$H$158,8,FALSE))</f>
        <v/>
      </c>
    </row>
    <row r="210" spans="1:7" x14ac:dyDescent="0.2">
      <c r="A210" s="627" t="str">
        <f t="shared" si="22"/>
        <v>AAAA</v>
      </c>
      <c r="B210" s="628"/>
      <c r="C210" s="628"/>
      <c r="D210" s="628"/>
      <c r="E210" s="16" t="str">
        <f>IF(A209="","",IF(VLOOKUP(A209,Products!$A$59:$E$158,5,FALSE)="","",VLOOKUP(A209,Products!$A$59:$E$158,5,FALSE)))</f>
        <v/>
      </c>
      <c r="F210" s="124" t="str">
        <f>IF($E210="","",F$206*VLOOKUP($A209,Products!$A$59:$H$158,8,FALSE))</f>
        <v/>
      </c>
      <c r="G210" s="125" t="str">
        <f>IF($E210="","",G$206*VLOOKUP($A209,Products!$A$59:$H$158,8,FALSE))</f>
        <v/>
      </c>
    </row>
    <row r="211" spans="1:7" x14ac:dyDescent="0.2">
      <c r="A211" s="627" t="str">
        <f t="shared" si="22"/>
        <v>AAAAA</v>
      </c>
      <c r="B211" s="628"/>
      <c r="C211" s="628"/>
      <c r="D211" s="628"/>
      <c r="E211" s="16" t="str">
        <f>IF(A210="","",IF(VLOOKUP(A210,Products!$A$59:$E$158,5,FALSE)="","",VLOOKUP(A210,Products!$A$59:$E$158,5,FALSE)))</f>
        <v/>
      </c>
      <c r="F211" s="124" t="str">
        <f>IF($E211="","",F$206*VLOOKUP($A210,Products!$A$59:$H$158,8,FALSE))</f>
        <v/>
      </c>
      <c r="G211" s="125" t="str">
        <f>IF($E211="","",G$206*VLOOKUP($A210,Products!$A$59:$H$158,8,FALSE))</f>
        <v/>
      </c>
    </row>
    <row r="212" spans="1:7" x14ac:dyDescent="0.2">
      <c r="A212" s="627" t="str">
        <f t="shared" si="22"/>
        <v>AAAAAA</v>
      </c>
      <c r="B212" s="628"/>
      <c r="C212" s="628"/>
      <c r="D212" s="628"/>
      <c r="E212" s="16" t="str">
        <f>IF(A211="","",IF(VLOOKUP(A211,Products!$A$59:$E$158,5,FALSE)="","",VLOOKUP(A211,Products!$A$59:$E$158,5,FALSE)))</f>
        <v/>
      </c>
      <c r="F212" s="124" t="str">
        <f>IF($E212="","",F$206*VLOOKUP($A211,Products!$A$59:$H$158,8,FALSE))</f>
        <v/>
      </c>
      <c r="G212" s="125" t="str">
        <f>IF($E212="","",G$206*VLOOKUP($A211,Products!$A$59:$H$158,8,FALSE))</f>
        <v/>
      </c>
    </row>
    <row r="213" spans="1:7" x14ac:dyDescent="0.2">
      <c r="A213" s="627" t="str">
        <f t="shared" si="22"/>
        <v>AAAAAAA</v>
      </c>
      <c r="B213" s="628"/>
      <c r="C213" s="628"/>
      <c r="D213" s="628"/>
      <c r="E213" s="16" t="str">
        <f>IF(A212="","",IF(VLOOKUP(A212,Products!$A$59:$E$158,5,FALSE)="","",VLOOKUP(A212,Products!$A$59:$E$158,5,FALSE)))</f>
        <v/>
      </c>
      <c r="F213" s="124" t="str">
        <f>IF($E213="","",F$206*VLOOKUP($A212,Products!$A$59:$H$158,8,FALSE))</f>
        <v/>
      </c>
      <c r="G213" s="125" t="str">
        <f>IF($E213="","",G$206*VLOOKUP($A212,Products!$A$59:$H$158,8,FALSE))</f>
        <v/>
      </c>
    </row>
    <row r="214" spans="1:7" x14ac:dyDescent="0.2">
      <c r="A214" s="627" t="str">
        <f t="shared" si="22"/>
        <v>AAAAAAAA</v>
      </c>
      <c r="B214" s="628"/>
      <c r="C214" s="628"/>
      <c r="D214" s="628"/>
      <c r="E214" s="16" t="str">
        <f>IF(A213="","",IF(VLOOKUP(A213,Products!$A$59:$E$158,5,FALSE)="","",VLOOKUP(A213,Products!$A$59:$E$158,5,FALSE)))</f>
        <v/>
      </c>
      <c r="F214" s="124" t="str">
        <f>IF($E214="","",F$206*VLOOKUP($A213,Products!$A$59:$H$158,8,FALSE))</f>
        <v/>
      </c>
      <c r="G214" s="125" t="str">
        <f>IF($E214="","",G$206*VLOOKUP($A213,Products!$A$59:$H$158,8,FALSE))</f>
        <v/>
      </c>
    </row>
    <row r="215" spans="1:7" x14ac:dyDescent="0.2">
      <c r="A215" s="627" t="str">
        <f t="shared" si="22"/>
        <v>AAAAAAAAA</v>
      </c>
      <c r="B215" s="628"/>
      <c r="C215" s="628"/>
      <c r="D215" s="628"/>
      <c r="E215" s="16" t="str">
        <f>IF(A214="","",IF(VLOOKUP(A214,Products!$A$59:$E$158,5,FALSE)="","",VLOOKUP(A214,Products!$A$59:$E$158,5,FALSE)))</f>
        <v/>
      </c>
      <c r="F215" s="124" t="str">
        <f>IF($E215="","",F$206*VLOOKUP($A214,Products!$A$59:$H$158,8,FALSE))</f>
        <v/>
      </c>
      <c r="G215" s="125" t="str">
        <f>IF($E215="","",G$206*VLOOKUP($A214,Products!$A$59:$H$158,8,FALSE))</f>
        <v/>
      </c>
    </row>
    <row r="216" spans="1:7" ht="15" thickBot="1" x14ac:dyDescent="0.25">
      <c r="A216" s="629" t="str">
        <f t="shared" si="22"/>
        <v>AAAAAAAAAA</v>
      </c>
      <c r="B216" s="630"/>
      <c r="C216" s="630"/>
      <c r="D216" s="630"/>
      <c r="E216" s="28" t="str">
        <f>IF(A215="","",IF(VLOOKUP(A215,Products!$A$59:$E$158,5,FALSE)="","",VLOOKUP(A215,Products!$A$59:$E$158,5,FALSE)))</f>
        <v/>
      </c>
      <c r="F216" s="126" t="str">
        <f>IF($E216="","",F$206*VLOOKUP($A215,Products!$A$59:$H$158,8,FALSE))</f>
        <v/>
      </c>
      <c r="G216" s="127" t="str">
        <f>IF($E216="","",G$206*VLOOKUP($A215,Products!$A$59:$H$158,8,FALSE))</f>
        <v/>
      </c>
    </row>
    <row r="217" spans="1:7" x14ac:dyDescent="0.2">
      <c r="A217" s="478" t="s">
        <v>130</v>
      </c>
      <c r="B217" s="478"/>
      <c r="C217" s="478"/>
      <c r="D217" s="478"/>
      <c r="E217" s="478"/>
      <c r="F217" s="478"/>
      <c r="G217" s="478"/>
    </row>
  </sheetData>
  <sheetProtection algorithmName="SHA-512" hashValue="YtOIBU+WkDgNl9FPhdc6XVmMbhidNpZkzw89AAsNa1e21DbjrX+yJ6X/R0TcWPZA/2ZtexyPx7MQig+Zp0GOaQ==" saltValue="p7G9U8bXc8jxmH2DPFq9kw==" spinCount="100000" sheet="1" objects="1" scenarios="1" formatColumns="0" formatRows="0"/>
  <mergeCells count="352">
    <mergeCell ref="A7:C7"/>
    <mergeCell ref="D7:G7"/>
    <mergeCell ref="D71:E71"/>
    <mergeCell ref="A71:C71"/>
    <mergeCell ref="A200:D200"/>
    <mergeCell ref="A201:D201"/>
    <mergeCell ref="A202:D202"/>
    <mergeCell ref="A203:D203"/>
    <mergeCell ref="A143:D143"/>
    <mergeCell ref="A144:D144"/>
    <mergeCell ref="A145:D145"/>
    <mergeCell ref="A146:D146"/>
    <mergeCell ref="A147:D147"/>
    <mergeCell ref="A148:D148"/>
    <mergeCell ref="A157:D157"/>
    <mergeCell ref="A158:D158"/>
    <mergeCell ref="A159:D159"/>
    <mergeCell ref="A179:D179"/>
    <mergeCell ref="A180:D180"/>
    <mergeCell ref="A181:D181"/>
    <mergeCell ref="A182:D182"/>
    <mergeCell ref="A149:D149"/>
    <mergeCell ref="A150:D150"/>
    <mergeCell ref="A151:D151"/>
    <mergeCell ref="A156:D156"/>
    <mergeCell ref="A170:D170"/>
    <mergeCell ref="A171:D171"/>
    <mergeCell ref="A172:D172"/>
    <mergeCell ref="A119:D119"/>
    <mergeCell ref="A120:D120"/>
    <mergeCell ref="A121:D121"/>
    <mergeCell ref="A122:D122"/>
    <mergeCell ref="A123:D123"/>
    <mergeCell ref="A124:D124"/>
    <mergeCell ref="A140:D140"/>
    <mergeCell ref="A141:D141"/>
    <mergeCell ref="A142:D142"/>
    <mergeCell ref="A111:D111"/>
    <mergeCell ref="A112:D112"/>
    <mergeCell ref="A113:D113"/>
    <mergeCell ref="A114:D114"/>
    <mergeCell ref="A115:D115"/>
    <mergeCell ref="A116:D116"/>
    <mergeCell ref="A117:D117"/>
    <mergeCell ref="A118:D118"/>
    <mergeCell ref="A95:D95"/>
    <mergeCell ref="A96:D96"/>
    <mergeCell ref="A97:D97"/>
    <mergeCell ref="A98:D98"/>
    <mergeCell ref="A99:D99"/>
    <mergeCell ref="A100:D100"/>
    <mergeCell ref="A101:D101"/>
    <mergeCell ref="A102:D102"/>
    <mergeCell ref="A103:D103"/>
    <mergeCell ref="A189:D189"/>
    <mergeCell ref="A190:D190"/>
    <mergeCell ref="A191:D191"/>
    <mergeCell ref="A195:D195"/>
    <mergeCell ref="A196:D196"/>
    <mergeCell ref="A197:D197"/>
    <mergeCell ref="A198:D198"/>
    <mergeCell ref="A199:D199"/>
    <mergeCell ref="A104:D104"/>
    <mergeCell ref="A105:D105"/>
    <mergeCell ref="A106:D106"/>
    <mergeCell ref="A152:D152"/>
    <mergeCell ref="A153:D153"/>
    <mergeCell ref="A154:D154"/>
    <mergeCell ref="A155:D155"/>
    <mergeCell ref="A166:D166"/>
    <mergeCell ref="A167:D167"/>
    <mergeCell ref="A125:D125"/>
    <mergeCell ref="A126:D126"/>
    <mergeCell ref="A127:D127"/>
    <mergeCell ref="A107:D107"/>
    <mergeCell ref="A108:D108"/>
    <mergeCell ref="A109:D109"/>
    <mergeCell ref="A110:D110"/>
    <mergeCell ref="A178:D178"/>
    <mergeCell ref="A160:D160"/>
    <mergeCell ref="A161:D161"/>
    <mergeCell ref="A162:D162"/>
    <mergeCell ref="A163:D163"/>
    <mergeCell ref="A164:D164"/>
    <mergeCell ref="A165:D165"/>
    <mergeCell ref="A211:D211"/>
    <mergeCell ref="A206:D206"/>
    <mergeCell ref="A168:D168"/>
    <mergeCell ref="A169:D169"/>
    <mergeCell ref="A174:D174"/>
    <mergeCell ref="A175:D175"/>
    <mergeCell ref="A176:D176"/>
    <mergeCell ref="A177:D177"/>
    <mergeCell ref="A192:D192"/>
    <mergeCell ref="A193:D193"/>
    <mergeCell ref="A194:D194"/>
    <mergeCell ref="A183:D183"/>
    <mergeCell ref="A184:D184"/>
    <mergeCell ref="A185:D185"/>
    <mergeCell ref="A186:D186"/>
    <mergeCell ref="A187:D187"/>
    <mergeCell ref="A188:D188"/>
    <mergeCell ref="A212:D212"/>
    <mergeCell ref="A213:D213"/>
    <mergeCell ref="A214:D214"/>
    <mergeCell ref="A215:D215"/>
    <mergeCell ref="A216:D216"/>
    <mergeCell ref="A128:D128"/>
    <mergeCell ref="A129:D129"/>
    <mergeCell ref="A130:D130"/>
    <mergeCell ref="A131:D131"/>
    <mergeCell ref="A132:D132"/>
    <mergeCell ref="A133:D133"/>
    <mergeCell ref="A134:D134"/>
    <mergeCell ref="A135:D135"/>
    <mergeCell ref="A136:D136"/>
    <mergeCell ref="A137:D137"/>
    <mergeCell ref="A138:D138"/>
    <mergeCell ref="A139:D139"/>
    <mergeCell ref="A204:D204"/>
    <mergeCell ref="A205:D205"/>
    <mergeCell ref="A207:D207"/>
    <mergeCell ref="A208:D208"/>
    <mergeCell ref="A209:D209"/>
    <mergeCell ref="A210:D210"/>
    <mergeCell ref="A173:D173"/>
    <mergeCell ref="A94:G94"/>
    <mergeCell ref="F71:G71"/>
    <mergeCell ref="A1:G1"/>
    <mergeCell ref="A2:G2"/>
    <mergeCell ref="A3:G3"/>
    <mergeCell ref="A4:G4"/>
    <mergeCell ref="A5:G5"/>
    <mergeCell ref="A6:C6"/>
    <mergeCell ref="D6:G6"/>
    <mergeCell ref="A10:C10"/>
    <mergeCell ref="D10:G10"/>
    <mergeCell ref="A11:C11"/>
    <mergeCell ref="D11:G11"/>
    <mergeCell ref="A12:G12"/>
    <mergeCell ref="A13:G13"/>
    <mergeCell ref="A8:C8"/>
    <mergeCell ref="D8:G8"/>
    <mergeCell ref="A9:C9"/>
    <mergeCell ref="D9:G9"/>
    <mergeCell ref="A16:C16"/>
    <mergeCell ref="D16:E16"/>
    <mergeCell ref="F16:G16"/>
    <mergeCell ref="A17:C17"/>
    <mergeCell ref="D17:E17"/>
    <mergeCell ref="F17:G17"/>
    <mergeCell ref="A14:C14"/>
    <mergeCell ref="D14:E14"/>
    <mergeCell ref="F14:G14"/>
    <mergeCell ref="A15:C15"/>
    <mergeCell ref="D15:E15"/>
    <mergeCell ref="F15:G15"/>
    <mergeCell ref="A21:C21"/>
    <mergeCell ref="D21:E21"/>
    <mergeCell ref="F21:G21"/>
    <mergeCell ref="A18:C18"/>
    <mergeCell ref="D18:E18"/>
    <mergeCell ref="F18:G18"/>
    <mergeCell ref="A20:C20"/>
    <mergeCell ref="D20:E20"/>
    <mergeCell ref="F20:G20"/>
    <mergeCell ref="A19:C19"/>
    <mergeCell ref="D19:E19"/>
    <mergeCell ref="F19:G19"/>
    <mergeCell ref="A24:C24"/>
    <mergeCell ref="D24:E24"/>
    <mergeCell ref="A26:C26"/>
    <mergeCell ref="D26:E26"/>
    <mergeCell ref="A22:C22"/>
    <mergeCell ref="D22:E22"/>
    <mergeCell ref="F22:G22"/>
    <mergeCell ref="A23:C23"/>
    <mergeCell ref="D23:E23"/>
    <mergeCell ref="D25:E25"/>
    <mergeCell ref="A25:C25"/>
    <mergeCell ref="F23:G23"/>
    <mergeCell ref="F24:G24"/>
    <mergeCell ref="F25:G25"/>
    <mergeCell ref="F26:G26"/>
    <mergeCell ref="D27:E27"/>
    <mergeCell ref="A29:C29"/>
    <mergeCell ref="D29:E29"/>
    <mergeCell ref="A30:C30"/>
    <mergeCell ref="D30:E30"/>
    <mergeCell ref="A31:C31"/>
    <mergeCell ref="D31:E31"/>
    <mergeCell ref="A32:C32"/>
    <mergeCell ref="D32:E32"/>
    <mergeCell ref="A28:C28"/>
    <mergeCell ref="D28:E28"/>
    <mergeCell ref="A37:C37"/>
    <mergeCell ref="D37:E37"/>
    <mergeCell ref="D33:E33"/>
    <mergeCell ref="D34:E34"/>
    <mergeCell ref="D35:E35"/>
    <mergeCell ref="D36:E36"/>
    <mergeCell ref="A46:C46"/>
    <mergeCell ref="D46:E46"/>
    <mergeCell ref="A43:C43"/>
    <mergeCell ref="D43:E43"/>
    <mergeCell ref="A44:C44"/>
    <mergeCell ref="D44:E44"/>
    <mergeCell ref="A40:C40"/>
    <mergeCell ref="D40:E40"/>
    <mergeCell ref="A39:C39"/>
    <mergeCell ref="D39:E39"/>
    <mergeCell ref="A38:C38"/>
    <mergeCell ref="D38:E38"/>
    <mergeCell ref="D41:E41"/>
    <mergeCell ref="A42:C42"/>
    <mergeCell ref="D42:E42"/>
    <mergeCell ref="A41:C41"/>
    <mergeCell ref="A217:G217"/>
    <mergeCell ref="A33:C33"/>
    <mergeCell ref="A34:C34"/>
    <mergeCell ref="A35:C35"/>
    <mergeCell ref="A36:C36"/>
    <mergeCell ref="A27:C27"/>
    <mergeCell ref="A63:G63"/>
    <mergeCell ref="A64:G64"/>
    <mergeCell ref="A59:G59"/>
    <mergeCell ref="A60:C60"/>
    <mergeCell ref="D60:G60"/>
    <mergeCell ref="A61:C61"/>
    <mergeCell ref="D61:G61"/>
    <mergeCell ref="A62:C62"/>
    <mergeCell ref="D62:G62"/>
    <mergeCell ref="A55:C55"/>
    <mergeCell ref="D55:E55"/>
    <mergeCell ref="F55:G55"/>
    <mergeCell ref="A54:C54"/>
    <mergeCell ref="D54:E54"/>
    <mergeCell ref="F54:G54"/>
    <mergeCell ref="A51:C51"/>
    <mergeCell ref="D51:E51"/>
    <mergeCell ref="F51:G51"/>
    <mergeCell ref="A53:C53"/>
    <mergeCell ref="F58:G58"/>
    <mergeCell ref="D53:E53"/>
    <mergeCell ref="F53:G53"/>
    <mergeCell ref="A45:C45"/>
    <mergeCell ref="D45:E45"/>
    <mergeCell ref="D50:E50"/>
    <mergeCell ref="D48:E48"/>
    <mergeCell ref="D49:E49"/>
    <mergeCell ref="A50:C50"/>
    <mergeCell ref="A49:C49"/>
    <mergeCell ref="D47:E47"/>
    <mergeCell ref="A47:C47"/>
    <mergeCell ref="A48:C48"/>
    <mergeCell ref="F46:G46"/>
    <mergeCell ref="F47:G47"/>
    <mergeCell ref="A57:C57"/>
    <mergeCell ref="D67:E67"/>
    <mergeCell ref="D68:E68"/>
    <mergeCell ref="D69:E69"/>
    <mergeCell ref="D70:E70"/>
    <mergeCell ref="D57:E57"/>
    <mergeCell ref="F57:G57"/>
    <mergeCell ref="A58:C58"/>
    <mergeCell ref="D58:E58"/>
    <mergeCell ref="A66:C66"/>
    <mergeCell ref="F66:G66"/>
    <mergeCell ref="F70:G70"/>
    <mergeCell ref="A67:C67"/>
    <mergeCell ref="A68:C68"/>
    <mergeCell ref="A65:G65"/>
    <mergeCell ref="A70:C70"/>
    <mergeCell ref="A69:C69"/>
    <mergeCell ref="A88:C88"/>
    <mergeCell ref="A87:C87"/>
    <mergeCell ref="D77:E77"/>
    <mergeCell ref="A82:C82"/>
    <mergeCell ref="A83:C83"/>
    <mergeCell ref="A84:C84"/>
    <mergeCell ref="A85:C85"/>
    <mergeCell ref="A74:C74"/>
    <mergeCell ref="A75:C75"/>
    <mergeCell ref="A76:C76"/>
    <mergeCell ref="A77:C77"/>
    <mergeCell ref="A78:C78"/>
    <mergeCell ref="A86:G86"/>
    <mergeCell ref="A79:G79"/>
    <mergeCell ref="F88:G88"/>
    <mergeCell ref="D88:E88"/>
    <mergeCell ref="A72:G72"/>
    <mergeCell ref="A81:C81"/>
    <mergeCell ref="A73:C73"/>
    <mergeCell ref="D73:E73"/>
    <mergeCell ref="F73:G73"/>
    <mergeCell ref="A80:C80"/>
    <mergeCell ref="F77:G77"/>
    <mergeCell ref="F87:G87"/>
    <mergeCell ref="D87:E87"/>
    <mergeCell ref="F74:G74"/>
    <mergeCell ref="D75:E75"/>
    <mergeCell ref="F75:G75"/>
    <mergeCell ref="D76:E76"/>
    <mergeCell ref="F76:G76"/>
    <mergeCell ref="D89:E89"/>
    <mergeCell ref="F89:G89"/>
    <mergeCell ref="D90:E90"/>
    <mergeCell ref="F90:G90"/>
    <mergeCell ref="D91:E91"/>
    <mergeCell ref="F91:G91"/>
    <mergeCell ref="A93:G93"/>
    <mergeCell ref="F38:G38"/>
    <mergeCell ref="F39:G39"/>
    <mergeCell ref="F40:G40"/>
    <mergeCell ref="F41:G41"/>
    <mergeCell ref="A89:C89"/>
    <mergeCell ref="A90:C90"/>
    <mergeCell ref="A91:C91"/>
    <mergeCell ref="D92:E92"/>
    <mergeCell ref="F92:G92"/>
    <mergeCell ref="A92:C92"/>
    <mergeCell ref="D66:E66"/>
    <mergeCell ref="F67:G67"/>
    <mergeCell ref="F68:G68"/>
    <mergeCell ref="F69:G69"/>
    <mergeCell ref="D78:E78"/>
    <mergeCell ref="F78:G78"/>
    <mergeCell ref="D74:E74"/>
    <mergeCell ref="F27:G27"/>
    <mergeCell ref="F28:G28"/>
    <mergeCell ref="F29:G29"/>
    <mergeCell ref="F30:G30"/>
    <mergeCell ref="F31:G31"/>
    <mergeCell ref="F42:G42"/>
    <mergeCell ref="A56:C56"/>
    <mergeCell ref="D56:E56"/>
    <mergeCell ref="F56:G56"/>
    <mergeCell ref="F48:G48"/>
    <mergeCell ref="F49:G49"/>
    <mergeCell ref="F50:G50"/>
    <mergeCell ref="F43:G43"/>
    <mergeCell ref="F44:G44"/>
    <mergeCell ref="F45:G45"/>
    <mergeCell ref="A52:C52"/>
    <mergeCell ref="D52:E52"/>
    <mergeCell ref="F52:G52"/>
    <mergeCell ref="F32:G32"/>
    <mergeCell ref="F33:G33"/>
    <mergeCell ref="F34:G34"/>
    <mergeCell ref="F35:G35"/>
    <mergeCell ref="F36:G36"/>
    <mergeCell ref="F37:G37"/>
  </mergeCells>
  <conditionalFormatting sqref="A10:G217">
    <cfRule type="expression" dxfId="190" priority="1">
      <formula>$D$6="affected"</formula>
    </cfRule>
  </conditionalFormatting>
  <conditionalFormatting sqref="A29:G32">
    <cfRule type="expression" dxfId="189" priority="10">
      <formula>$D$24&lt;&gt;"fuel gas"</formula>
    </cfRule>
  </conditionalFormatting>
  <conditionalFormatting sqref="A33:G36">
    <cfRule type="expression" dxfId="188" priority="11">
      <formula>$D$24="fuel gas"</formula>
    </cfRule>
  </conditionalFormatting>
  <conditionalFormatting sqref="A39:G50">
    <cfRule type="expression" dxfId="187" priority="14">
      <formula>$D$38="none"</formula>
    </cfRule>
  </conditionalFormatting>
  <conditionalFormatting sqref="A43:G46">
    <cfRule type="expression" dxfId="186" priority="13">
      <formula>$D$38&lt;&gt;"fuel gas"</formula>
    </cfRule>
  </conditionalFormatting>
  <conditionalFormatting sqref="A47:G50">
    <cfRule type="expression" dxfId="185" priority="12">
      <formula>$D$38="fuel gas"</formula>
    </cfRule>
  </conditionalFormatting>
  <conditionalFormatting sqref="A61:G62">
    <cfRule type="expression" dxfId="184" priority="6">
      <formula>$D$60="no"</formula>
    </cfRule>
  </conditionalFormatting>
  <conditionalFormatting sqref="A96:G106">
    <cfRule type="expression" dxfId="183" priority="7">
      <formula>AND($D$24&lt;&gt;"FUEL GAS",$D$38&lt;&gt;"FUEL GAS")</formula>
    </cfRule>
  </conditionalFormatting>
  <dataValidations count="31">
    <dataValidation type="list" allowBlank="1" showErrorMessage="1" prompt="Is this an affected, modified, or new source?" sqref="D6:G6" xr:uid="{3822BBE8-890F-4F7D-BCC6-F7CCD011EA59}">
      <formula1>"Affected,Modified,New"</formula1>
    </dataValidation>
    <dataValidation type="list" allowBlank="1" showErrorMessage="1" prompt="Choose Btu calorimeter or gas analyzer." sqref="D21:E21" xr:uid="{6CA47CA3-DA9C-4C26-AE4C-E86E4FEE2762}">
      <formula1>"Btu calorimeter,gas analyzer"</formula1>
    </dataValidation>
    <dataValidation type="list" allowBlank="1" showErrorMessage="1" prompt="Choose steam-assisted, air-assisted, or none." sqref="D20:E20" xr:uid="{8E6137FC-DF68-41B1-B679-67963E5341BF}">
      <formula1>"steam-assisted,air-assisted,none"</formula1>
    </dataValidation>
    <dataValidation type="list" allowBlank="1" showErrorMessage="1" prompt="Select yes or no." sqref="D62:G62 D60:G60" xr:uid="{4F3A762A-288D-4AD9-BCE3-6412B1BDA876}">
      <formula1>"Yes,No"</formula1>
    </dataValidation>
    <dataValidation type="whole" allowBlank="1" showErrorMessage="1" prompt="Enter the number of pilots that will be lit simultaneously." sqref="D25:E25" xr:uid="{D60DD193-1E89-463F-BB1A-6722FCB8A091}">
      <formula1>1</formula1>
      <formula2>100</formula2>
    </dataValidation>
    <dataValidation type="list" allowBlank="1" showErrorMessage="1" prompt="Choose natural gas or fuel gas." sqref="D24:E24" xr:uid="{C866A02E-0685-4769-B3E7-3D42D4FD787F}">
      <formula1>"natural gas,fuel gas"</formula1>
    </dataValidation>
    <dataValidation allowBlank="1" showErrorMessage="1" prompt="Enter the pilot fuel flow rate in scf/hr per pilot light." sqref="D26:E26" xr:uid="{53D40422-79ED-4944-B830-17A5F37F00D3}"/>
    <dataValidation allowBlank="1" showErrorMessage="1" prompt="Enter the EPN." sqref="D8:G8" xr:uid="{1755BDC5-5D6D-46FE-9925-08099E0023D4}"/>
    <dataValidation allowBlank="1" showErrorMessage="1" prompt="Enter the source name." sqref="D9:G9" xr:uid="{25B30896-DD83-4785-898A-89A9EE2974D9}"/>
    <dataValidation allowBlank="1" showErrorMessage="1" prompt="Enter the UTM easting." sqref="D10:G10" xr:uid="{17C3642B-2105-4EE2-AB40-D2C73909533B}"/>
    <dataValidation allowBlank="1" showErrorMessage="1" prompt="Enter the UTM northing." sqref="D11:G11" xr:uid="{238D663A-87A2-4BF3-AE85-B635DB1325AC}"/>
    <dataValidation type="decimal" operator="greaterThanOrEqual" allowBlank="1" showErrorMessage="1" prompt="Enter distance to property line in ft." sqref="D15:E15" xr:uid="{3BF1D966-93DA-404E-A76E-C231B1256FE7}">
      <formula1>25</formula1>
    </dataValidation>
    <dataValidation type="decimal" operator="greaterThanOrEqual" allowBlank="1" showErrorMessage="1" prompt="Enter release height in ft." sqref="D16:E16" xr:uid="{68E2CC00-6A7C-44C2-AE01-637DCA33993F}">
      <formula1>30</formula1>
    </dataValidation>
    <dataValidation type="list" allowBlank="1" showErrorMessage="1" prompt="Choose yes." sqref="D22:E22" xr:uid="{C7E44E53-BF78-4BED-A1EE-8B5CB5FBF54D}">
      <formula1>"Yes"</formula1>
    </dataValidation>
    <dataValidation allowBlank="1" showErrorMessage="1" prompt="Enter supplemental fuel hourly flow rate in scf/hr." sqref="D39:E39" xr:uid="{5360B03B-77EF-4BDD-A98C-550FCE7E6DD0}"/>
    <dataValidation allowBlank="1" showErrorMessage="1" prompt="Enter supplemental fuel annual flow rate in scf/yr." sqref="D40:E40" xr:uid="{1A09C0D6-FFCB-4CDB-9FCE-1AF9911A8AF9}"/>
    <dataValidation allowBlank="1" showErrorMessage="1" prompt="Enter maximum heating value of waste stream in Btu/scf." sqref="D52:E52" xr:uid="{0481CEF1-8E9A-4B40-BB6E-884D243508AB}"/>
    <dataValidation allowBlank="1" showErrorMessage="1" prompt="Enter annual average heating value of waste stream in Btu/scf." sqref="D53:E53" xr:uid="{CA16D5EB-F45E-4063-A90B-F88C168F79C0}"/>
    <dataValidation allowBlank="1" showErrorMessage="1" prompt="Enter maximum flow rate in scf/hr." sqref="D54:E54" xr:uid="{A46D750B-7D98-491E-A675-2E53C09A88CE}"/>
    <dataValidation allowBlank="1" showErrorMessage="1" prompt="Enter annual flow rate in scf/yr." sqref="D55:E55" xr:uid="{9EBA5236-EF64-4A1A-83A0-CBCFF07E2191}"/>
    <dataValidation allowBlank="1" showErrorMessage="1" prompt="If fuel gas is used, enter VOC emission factor in lb/MMscf." sqref="D43:E43 D29:E29" xr:uid="{206DB988-DB17-4EDF-9330-D4EBE0DD4B38}"/>
    <dataValidation allowBlank="1" showErrorMessage="1" prompt="If fuel gas is used, enter NOx emission factor in lb/MMscf." sqref="D44:E44 D30:E30" xr:uid="{2674724E-DDF0-49F5-BB15-1274342CB969}"/>
    <dataValidation allowBlank="1" showErrorMessage="1" prompt="If fuel gas is used, enter CO emission factor in lb/MMscf." sqref="D45:E45 D31:E31" xr:uid="{28B6BA9C-7139-48EE-9FF8-7552B893956E}"/>
    <dataValidation allowBlank="1" showErrorMessage="1" prompt="If fuel gas is used, enter SO2 emission factor in lb/MMscf." sqref="D46:E46 D32:E32" xr:uid="{6129164D-142D-48BC-AFB0-1C5F1EAE3869}"/>
    <dataValidation allowBlank="1" showErrorMessage="1" prompt="If yes, list the emission units in this project subject to CAM. Please use the sheet name identifiers, for example Tank1, Tank2, Loading-drum,tote, etc." sqref="D61:G61" xr:uid="{EF09350B-C5C3-4713-A870-CD440111BBC8}"/>
    <dataValidation type="list" allowBlank="1" showErrorMessage="1" prompt="Choose natural gas, fuel gas, or none." sqref="D38:E38" xr:uid="{4C630E34-FC54-4F99-853B-0513A5F3DC63}">
      <formula1>"natural gas,fuel gas,none"</formula1>
    </dataValidation>
    <dataValidation type="decimal" operator="lessThanOrEqual" allowBlank="1" showErrorMessage="1" prompt="enter sulfur content of pilot fuel in grains per 100 dscf" sqref="D27:E27" xr:uid="{6C461A47-B486-4226-AAB3-4A3B833DEFA1}">
      <formula1>IF(D24="natural gas",5,IF(D24="fuel gas",10,""))</formula1>
    </dataValidation>
    <dataValidation allowBlank="1" showErrorMessage="1" prompt="enter the FIN" sqref="D7:G7" xr:uid="{8F545BDD-8034-4DB7-8CB0-9B9D6026592A}"/>
    <dataValidation type="decimal" operator="lessThanOrEqual" allowBlank="1" showErrorMessage="1" sqref="D41:E41" xr:uid="{35A708A2-EED8-4354-87BF-2C1EC3DB1B97}">
      <formula1>IF(D38="natural gas",5,IF(D38="fuel gas",10,""))</formula1>
    </dataValidation>
    <dataValidation type="decimal" allowBlank="1" showErrorMessage="1" prompt="enter the VOC control efficiency (%)" sqref="D18:E18" xr:uid="{4AD497E4-01B5-4FFF-9CAA-4C5F22123A58}">
      <formula1>0.98</formula1>
      <formula2>1</formula2>
    </dataValidation>
    <dataValidation type="decimal" allowBlank="1" showErrorMessage="1" prompt="enter the H2S control efficiency (%)" sqref="D19:E19" xr:uid="{15FB940B-A824-4037-98B6-CDF805BD74C4}">
      <formula1>0.98</formula1>
      <formula2>1</formula2>
    </dataValidation>
  </dataValidations>
  <printOptions horizontalCentered="1"/>
  <pageMargins left="0.7" right="0.7" top="0.75" bottom="0.75" header="0.3" footer="0.3"/>
  <pageSetup scale="96" orientation="landscape" r:id="rId1"/>
  <headerFooter>
    <oddHeader>&amp;C&amp;"Calibri,Regular"Marine Loading RAP Application</oddHeader>
    <oddFooter>&amp;L&amp;"Calibri,Regular"Version 1.0&amp;C&amp;"Calibri,Regular"Sheet: &amp;A&amp;R&amp;"Calibri,Regular"Page &amp;P</oddFooter>
  </headerFooter>
  <extLst>
    <ext xmlns:x14="http://schemas.microsoft.com/office/spreadsheetml/2009/9/main" uri="{78C0D931-6437-407d-A8EE-F0AAD7539E65}">
      <x14:conditionalFormattings>
        <x14:conditionalFormatting xmlns:xm="http://schemas.microsoft.com/office/excel/2006/main">
          <x14:cfRule type="expression" priority="2231" id="{7F09CDC5-4BD6-40A4-9441-DDC9F7F0B394}">
            <xm:f>'PI-1-MarineLoading'!$G$121="no"</xm:f>
            <x14:dxf>
              <numFmt numFmtId="164" formatCode=";;;"/>
              <fill>
                <patternFill>
                  <bgColor theme="0" tint="-0.499984740745262"/>
                </patternFill>
              </fill>
            </x14:dxf>
          </x14:cfRule>
          <x14:cfRule type="expression" priority="2232" id="{D2C5BD08-C72D-49F7-A70C-FA50DA657E21}">
            <xm:f>'PI-1-MarineLoading'!$G$17="not applicable"</xm:f>
            <x14:dxf>
              <numFmt numFmtId="164" formatCode=";;;"/>
              <fill>
                <patternFill>
                  <bgColor theme="0" tint="-0.499984740745262"/>
                </patternFill>
              </fill>
            </x14:dxf>
          </x14:cfRule>
          <xm:sqref>A1:G217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C6A96F-6C1B-4DB7-9B26-48DCF4BAE2C0}">
  <sheetPr codeName="Sheet17">
    <tabColor rgb="FFFFFFCC"/>
  </sheetPr>
  <dimension ref="A1:H240"/>
  <sheetViews>
    <sheetView showGridLines="0" zoomScaleNormal="100" workbookViewId="0">
      <selection sqref="A1:G1"/>
    </sheetView>
  </sheetViews>
  <sheetFormatPr defaultColWidth="0" defaultRowHeight="14.25" zeroHeight="1" x14ac:dyDescent="0.2"/>
  <cols>
    <col min="1" max="3" width="14.75" customWidth="1"/>
    <col min="4" max="7" width="17.625" customWidth="1"/>
    <col min="8" max="8" width="2.625" customWidth="1"/>
    <col min="9" max="16384" width="9" hidden="1"/>
  </cols>
  <sheetData>
    <row r="1" spans="1:7" ht="8.25" customHeight="1" thickBot="1" x14ac:dyDescent="0.25">
      <c r="A1" s="478" t="s">
        <v>0</v>
      </c>
      <c r="B1" s="478"/>
      <c r="C1" s="478"/>
      <c r="D1" s="478"/>
      <c r="E1" s="478"/>
      <c r="F1" s="478"/>
      <c r="G1" s="478"/>
    </row>
    <row r="2" spans="1:7" ht="18.75" thickBot="1" x14ac:dyDescent="0.25">
      <c r="A2" s="525" t="s">
        <v>281</v>
      </c>
      <c r="B2" s="525"/>
      <c r="C2" s="525"/>
      <c r="D2" s="525"/>
      <c r="E2" s="525"/>
      <c r="F2" s="525"/>
      <c r="G2" s="525"/>
    </row>
    <row r="3" spans="1:7" ht="162" customHeight="1" thickBot="1" x14ac:dyDescent="0.25">
      <c r="A3" s="523" t="s">
        <v>10867</v>
      </c>
      <c r="B3" s="602"/>
      <c r="C3" s="602"/>
      <c r="D3" s="602"/>
      <c r="E3" s="602"/>
      <c r="F3" s="602"/>
      <c r="G3" s="524"/>
    </row>
    <row r="4" spans="1:7" ht="15" thickBot="1" x14ac:dyDescent="0.25">
      <c r="A4" s="560" t="s">
        <v>1</v>
      </c>
      <c r="B4" s="560"/>
      <c r="C4" s="560"/>
      <c r="D4" s="560"/>
      <c r="E4" s="560"/>
      <c r="F4" s="560"/>
      <c r="G4" s="560"/>
    </row>
    <row r="5" spans="1:7" ht="15.75" thickBot="1" x14ac:dyDescent="0.25">
      <c r="A5" s="479" t="s">
        <v>133</v>
      </c>
      <c r="B5" s="479"/>
      <c r="C5" s="479"/>
      <c r="D5" s="479"/>
      <c r="E5" s="479"/>
      <c r="F5" s="479"/>
      <c r="G5" s="479"/>
    </row>
    <row r="6" spans="1:7" x14ac:dyDescent="0.2">
      <c r="A6" s="666" t="s">
        <v>166</v>
      </c>
      <c r="B6" s="667"/>
      <c r="C6" s="668"/>
      <c r="D6" s="551"/>
      <c r="E6" s="552"/>
      <c r="F6" s="552"/>
      <c r="G6" s="553"/>
    </row>
    <row r="7" spans="1:7" x14ac:dyDescent="0.2">
      <c r="A7" s="666" t="s">
        <v>167</v>
      </c>
      <c r="B7" s="667"/>
      <c r="C7" s="668"/>
      <c r="D7" s="551"/>
      <c r="E7" s="552"/>
      <c r="F7" s="552"/>
      <c r="G7" s="553"/>
    </row>
    <row r="8" spans="1:7" x14ac:dyDescent="0.2">
      <c r="A8" s="666" t="s">
        <v>168</v>
      </c>
      <c r="B8" s="667"/>
      <c r="C8" s="668"/>
      <c r="D8" s="551"/>
      <c r="E8" s="552"/>
      <c r="F8" s="552"/>
      <c r="G8" s="553"/>
    </row>
    <row r="9" spans="1:7" x14ac:dyDescent="0.2">
      <c r="A9" s="666" t="s">
        <v>169</v>
      </c>
      <c r="B9" s="667"/>
      <c r="C9" s="668"/>
      <c r="D9" s="551"/>
      <c r="E9" s="552"/>
      <c r="F9" s="552"/>
      <c r="G9" s="553"/>
    </row>
    <row r="10" spans="1:7" x14ac:dyDescent="0.2">
      <c r="A10" s="666" t="s">
        <v>170</v>
      </c>
      <c r="B10" s="667"/>
      <c r="C10" s="668"/>
      <c r="D10" s="551"/>
      <c r="E10" s="552"/>
      <c r="F10" s="552"/>
      <c r="G10" s="553"/>
    </row>
    <row r="11" spans="1:7" ht="15" thickBot="1" x14ac:dyDescent="0.25">
      <c r="A11" s="669" t="s">
        <v>171</v>
      </c>
      <c r="B11" s="670"/>
      <c r="C11" s="671"/>
      <c r="D11" s="557"/>
      <c r="E11" s="558"/>
      <c r="F11" s="558"/>
      <c r="G11" s="559"/>
    </row>
    <row r="12" spans="1:7" ht="15" thickBot="1" x14ac:dyDescent="0.25">
      <c r="A12" s="777" t="s">
        <v>1</v>
      </c>
      <c r="B12" s="560"/>
      <c r="C12" s="560"/>
      <c r="D12" s="560"/>
      <c r="E12" s="560"/>
      <c r="F12" s="560"/>
      <c r="G12" s="778"/>
    </row>
    <row r="13" spans="1:7" ht="15.75" thickBot="1" x14ac:dyDescent="0.25">
      <c r="A13" s="479" t="s">
        <v>9166</v>
      </c>
      <c r="B13" s="479"/>
      <c r="C13" s="479"/>
      <c r="D13" s="479"/>
      <c r="E13" s="479"/>
      <c r="F13" s="479"/>
      <c r="G13" s="479"/>
    </row>
    <row r="14" spans="1:7" ht="15" x14ac:dyDescent="0.25">
      <c r="A14" s="766" t="s">
        <v>9167</v>
      </c>
      <c r="B14" s="767"/>
      <c r="C14" s="791"/>
      <c r="D14" s="792" t="s">
        <v>172</v>
      </c>
      <c r="E14" s="793"/>
      <c r="F14" s="792" t="s">
        <v>8723</v>
      </c>
      <c r="G14" s="794"/>
    </row>
    <row r="15" spans="1:7" x14ac:dyDescent="0.2">
      <c r="A15" s="666" t="s">
        <v>176</v>
      </c>
      <c r="B15" s="667"/>
      <c r="C15" s="668"/>
      <c r="D15" s="551"/>
      <c r="E15" s="759"/>
      <c r="F15" s="757" t="s">
        <v>9155</v>
      </c>
      <c r="G15" s="768"/>
    </row>
    <row r="16" spans="1:7" x14ac:dyDescent="0.2">
      <c r="A16" s="594" t="s">
        <v>177</v>
      </c>
      <c r="B16" s="595"/>
      <c r="C16" s="787"/>
      <c r="D16" s="788"/>
      <c r="E16" s="789"/>
      <c r="F16" s="790" t="s">
        <v>9244</v>
      </c>
      <c r="G16" s="596"/>
    </row>
    <row r="17" spans="1:8" x14ac:dyDescent="0.2">
      <c r="A17" s="594" t="s">
        <v>9239</v>
      </c>
      <c r="B17" s="595"/>
      <c r="C17" s="787"/>
      <c r="D17" s="788"/>
      <c r="E17" s="789"/>
      <c r="F17" s="790" t="s">
        <v>9245</v>
      </c>
      <c r="G17" s="596"/>
    </row>
    <row r="18" spans="1:8" ht="15" x14ac:dyDescent="0.2">
      <c r="A18" s="594" t="s">
        <v>9240</v>
      </c>
      <c r="B18" s="595"/>
      <c r="C18" s="787"/>
      <c r="D18" s="788"/>
      <c r="E18" s="789"/>
      <c r="F18" s="790" t="s">
        <v>9262</v>
      </c>
      <c r="G18" s="596"/>
    </row>
    <row r="19" spans="1:8" ht="15" thickBot="1" x14ac:dyDescent="0.25">
      <c r="A19" s="594" t="s">
        <v>9241</v>
      </c>
      <c r="B19" s="595"/>
      <c r="C19" s="787"/>
      <c r="D19" s="788"/>
      <c r="E19" s="789"/>
      <c r="F19" s="790" t="s">
        <v>9246</v>
      </c>
      <c r="G19" s="596"/>
    </row>
    <row r="20" spans="1:8" ht="15" x14ac:dyDescent="0.2">
      <c r="A20" s="760" t="s">
        <v>9171</v>
      </c>
      <c r="B20" s="761"/>
      <c r="C20" s="763"/>
      <c r="D20" s="540" t="s">
        <v>172</v>
      </c>
      <c r="E20" s="540"/>
      <c r="F20" s="540" t="s">
        <v>8723</v>
      </c>
      <c r="G20" s="541"/>
    </row>
    <row r="21" spans="1:8" x14ac:dyDescent="0.2">
      <c r="A21" s="666" t="s">
        <v>273</v>
      </c>
      <c r="B21" s="667"/>
      <c r="C21" s="668"/>
      <c r="D21" s="795"/>
      <c r="E21" s="795"/>
      <c r="F21" s="796" t="s">
        <v>8685</v>
      </c>
      <c r="G21" s="797"/>
    </row>
    <row r="22" spans="1:8" ht="32.25" customHeight="1" x14ac:dyDescent="0.2">
      <c r="A22" s="744" t="s">
        <v>10901</v>
      </c>
      <c r="B22" s="690"/>
      <c r="C22" s="758"/>
      <c r="D22" s="795"/>
      <c r="E22" s="795"/>
      <c r="F22" s="803" t="s">
        <v>9247</v>
      </c>
      <c r="G22" s="804"/>
    </row>
    <row r="23" spans="1:8" x14ac:dyDescent="0.2">
      <c r="A23" s="744" t="s">
        <v>8719</v>
      </c>
      <c r="B23" s="690"/>
      <c r="C23" s="758"/>
      <c r="D23" s="798"/>
      <c r="E23" s="799"/>
      <c r="F23" s="757" t="s">
        <v>9183</v>
      </c>
      <c r="G23" s="768"/>
    </row>
    <row r="24" spans="1:8" ht="15" thickBot="1" x14ac:dyDescent="0.25">
      <c r="A24" s="744" t="s">
        <v>10062</v>
      </c>
      <c r="B24" s="690"/>
      <c r="C24" s="758"/>
      <c r="D24" s="715"/>
      <c r="E24" s="715"/>
      <c r="F24" s="802" t="s">
        <v>9260</v>
      </c>
      <c r="G24" s="588"/>
      <c r="H24" s="89"/>
    </row>
    <row r="25" spans="1:8" ht="15" x14ac:dyDescent="0.2">
      <c r="A25" s="760" t="s">
        <v>8693</v>
      </c>
      <c r="B25" s="761"/>
      <c r="C25" s="763"/>
      <c r="D25" s="540" t="s">
        <v>172</v>
      </c>
      <c r="E25" s="540"/>
      <c r="F25" s="800" t="s">
        <v>8723</v>
      </c>
      <c r="G25" s="801"/>
    </row>
    <row r="26" spans="1:8" x14ac:dyDescent="0.2">
      <c r="A26" s="666" t="s">
        <v>8694</v>
      </c>
      <c r="B26" s="667"/>
      <c r="C26" s="668"/>
      <c r="D26" s="551"/>
      <c r="E26" s="759"/>
      <c r="F26" s="738" t="s">
        <v>8685</v>
      </c>
      <c r="G26" s="739"/>
    </row>
    <row r="27" spans="1:8" x14ac:dyDescent="0.2">
      <c r="A27" s="666" t="s">
        <v>8716</v>
      </c>
      <c r="B27" s="667"/>
      <c r="C27" s="668"/>
      <c r="D27" s="551"/>
      <c r="E27" s="759"/>
      <c r="F27" s="736" t="s">
        <v>9186</v>
      </c>
      <c r="G27" s="737"/>
    </row>
    <row r="28" spans="1:8" ht="30" customHeight="1" x14ac:dyDescent="0.2">
      <c r="A28" s="744" t="str">
        <f t="shared" ref="A28" si="0">IF($D$6="modified","Proposed increase in pilot fuel flow rate (scf/hr per pilot light)","Pilot fuel flow rate (scf/hr per pilot light)")</f>
        <v>Pilot fuel flow rate (scf/hr per pilot light)</v>
      </c>
      <c r="B28" s="690"/>
      <c r="C28" s="758"/>
      <c r="D28" s="551"/>
      <c r="E28" s="759"/>
      <c r="F28" s="738" t="s">
        <v>8685</v>
      </c>
      <c r="G28" s="739"/>
    </row>
    <row r="29" spans="1:8" x14ac:dyDescent="0.2">
      <c r="A29" s="528" t="s">
        <v>9263</v>
      </c>
      <c r="B29" s="529"/>
      <c r="C29" s="529"/>
      <c r="D29" s="579"/>
      <c r="E29" s="579"/>
      <c r="F29" s="736" t="str">
        <f>IF($D$26="NATURAL GAS","5 gr/100 dscf maximum",IF($D$26="FUEL GAS","10 gr/100 dscf maximum",""))</f>
        <v/>
      </c>
      <c r="G29" s="737"/>
    </row>
    <row r="30" spans="1:8" x14ac:dyDescent="0.2">
      <c r="A30" s="666" t="s">
        <v>8695</v>
      </c>
      <c r="B30" s="667"/>
      <c r="C30" s="668"/>
      <c r="D30" s="757" t="str">
        <f>IF($D$26="","",IF($D$26="natural gas","AP-42 Ch. 1.4",IF($D$26="fuel gas","Site-specific fuel gas analysis","")))</f>
        <v/>
      </c>
      <c r="E30" s="668"/>
      <c r="F30" s="738" t="s">
        <v>8685</v>
      </c>
      <c r="G30" s="739"/>
    </row>
    <row r="31" spans="1:8" x14ac:dyDescent="0.2">
      <c r="A31" s="528" t="s">
        <v>8699</v>
      </c>
      <c r="B31" s="529"/>
      <c r="C31" s="529"/>
      <c r="D31" s="579"/>
      <c r="E31" s="579"/>
      <c r="F31" s="738" t="s">
        <v>8685</v>
      </c>
      <c r="G31" s="739"/>
    </row>
    <row r="32" spans="1:8" x14ac:dyDescent="0.2">
      <c r="A32" s="528" t="s">
        <v>8700</v>
      </c>
      <c r="B32" s="529"/>
      <c r="C32" s="529"/>
      <c r="D32" s="579"/>
      <c r="E32" s="579"/>
      <c r="F32" s="738" t="s">
        <v>8685</v>
      </c>
      <c r="G32" s="739"/>
    </row>
    <row r="33" spans="1:7" x14ac:dyDescent="0.2">
      <c r="A33" s="528" t="s">
        <v>8701</v>
      </c>
      <c r="B33" s="529"/>
      <c r="C33" s="529"/>
      <c r="D33" s="579"/>
      <c r="E33" s="579"/>
      <c r="F33" s="738" t="s">
        <v>8685</v>
      </c>
      <c r="G33" s="739"/>
    </row>
    <row r="34" spans="1:7" x14ac:dyDescent="0.2">
      <c r="A34" s="528" t="s">
        <v>9296</v>
      </c>
      <c r="B34" s="529"/>
      <c r="C34" s="529"/>
      <c r="D34" s="579"/>
      <c r="E34" s="579"/>
      <c r="F34" s="738" t="s">
        <v>8685</v>
      </c>
      <c r="G34" s="739"/>
    </row>
    <row r="35" spans="1:7" x14ac:dyDescent="0.2">
      <c r="A35" s="528" t="s">
        <v>271</v>
      </c>
      <c r="B35" s="529"/>
      <c r="C35" s="529"/>
      <c r="D35" s="579"/>
      <c r="E35" s="579"/>
      <c r="F35" s="738" t="s">
        <v>8685</v>
      </c>
      <c r="G35" s="739"/>
    </row>
    <row r="36" spans="1:7" x14ac:dyDescent="0.2">
      <c r="A36" s="528" t="s">
        <v>8699</v>
      </c>
      <c r="B36" s="529"/>
      <c r="C36" s="529"/>
      <c r="D36" s="529" t="str">
        <f>IF(D26="","",IF(D26="natural gas",5.5,""))</f>
        <v/>
      </c>
      <c r="E36" s="529"/>
      <c r="F36" s="738" t="s">
        <v>8685</v>
      </c>
      <c r="G36" s="739"/>
    </row>
    <row r="37" spans="1:7" x14ac:dyDescent="0.2">
      <c r="A37" s="666" t="s">
        <v>8700</v>
      </c>
      <c r="B37" s="667"/>
      <c r="C37" s="668"/>
      <c r="D37" s="757" t="str">
        <f>IF(D26="","",IF(D26="natural gas",100,""))</f>
        <v/>
      </c>
      <c r="E37" s="668"/>
      <c r="F37" s="738" t="s">
        <v>8685</v>
      </c>
      <c r="G37" s="739"/>
    </row>
    <row r="38" spans="1:7" x14ac:dyDescent="0.2">
      <c r="A38" s="666" t="s">
        <v>8701</v>
      </c>
      <c r="B38" s="667"/>
      <c r="C38" s="668"/>
      <c r="D38" s="757" t="str">
        <f>IF(D26="","",IF(D26="natural gas",84,""))</f>
        <v/>
      </c>
      <c r="E38" s="668"/>
      <c r="F38" s="738" t="s">
        <v>8685</v>
      </c>
      <c r="G38" s="739"/>
    </row>
    <row r="39" spans="1:7" x14ac:dyDescent="0.2">
      <c r="A39" s="666" t="s">
        <v>9296</v>
      </c>
      <c r="B39" s="667"/>
      <c r="C39" s="668"/>
      <c r="D39" s="757" t="str">
        <f>IF(D26="","",IF(D26="natural gas",7.6,""))</f>
        <v/>
      </c>
      <c r="E39" s="668"/>
      <c r="F39" s="738" t="s">
        <v>8685</v>
      </c>
      <c r="G39" s="739"/>
    </row>
    <row r="40" spans="1:7" ht="15" thickBot="1" x14ac:dyDescent="0.25">
      <c r="A40" s="669" t="s">
        <v>271</v>
      </c>
      <c r="B40" s="670"/>
      <c r="C40" s="671"/>
      <c r="D40" s="764" t="str">
        <f>IF(OR($D$26="",$D$29=""),"",IF($D$26="natural gas",0.6*5*$D$29,""))</f>
        <v/>
      </c>
      <c r="E40" s="671"/>
      <c r="F40" s="742" t="s">
        <v>8685</v>
      </c>
      <c r="G40" s="743"/>
    </row>
    <row r="41" spans="1:7" ht="15" x14ac:dyDescent="0.2">
      <c r="A41" s="760" t="s">
        <v>8690</v>
      </c>
      <c r="B41" s="761"/>
      <c r="C41" s="763"/>
      <c r="D41" s="540" t="s">
        <v>172</v>
      </c>
      <c r="E41" s="540"/>
      <c r="F41" s="747" t="s">
        <v>8723</v>
      </c>
      <c r="G41" s="748"/>
    </row>
    <row r="42" spans="1:7" x14ac:dyDescent="0.2">
      <c r="A42" s="744" t="s">
        <v>269</v>
      </c>
      <c r="B42" s="690"/>
      <c r="C42" s="758"/>
      <c r="D42" s="551"/>
      <c r="E42" s="759"/>
      <c r="F42" s="738" t="s">
        <v>8685</v>
      </c>
      <c r="G42" s="739"/>
    </row>
    <row r="43" spans="1:7" ht="30.75" customHeight="1" x14ac:dyDescent="0.2">
      <c r="A43" s="744" t="str">
        <f t="shared" ref="A43" si="1">IF($D$6="modified","Proposed increase in supplemental fuel hourly flow rate (scf/hr)","Supplemental fuel hourly flow rate (scf/hr)")</f>
        <v>Supplemental fuel hourly flow rate (scf/hr)</v>
      </c>
      <c r="B43" s="690"/>
      <c r="C43" s="758"/>
      <c r="D43" s="551"/>
      <c r="E43" s="759"/>
      <c r="F43" s="738" t="s">
        <v>8685</v>
      </c>
      <c r="G43" s="739"/>
    </row>
    <row r="44" spans="1:7" ht="30.75" customHeight="1" x14ac:dyDescent="0.2">
      <c r="A44" s="744" t="str">
        <f t="shared" ref="A44" si="2">IF($D$6="modified","Proposed increase in supplemental fuel annual flow rate (scf/yr)","Supplemental fuel annual flow rate (scf/yr)")</f>
        <v>Supplemental fuel annual flow rate (scf/yr)</v>
      </c>
      <c r="B44" s="690"/>
      <c r="C44" s="758"/>
      <c r="D44" s="551"/>
      <c r="E44" s="759"/>
      <c r="F44" s="738" t="s">
        <v>8685</v>
      </c>
      <c r="G44" s="739"/>
    </row>
    <row r="45" spans="1:7" ht="14.25" customHeight="1" x14ac:dyDescent="0.2">
      <c r="A45" s="666" t="s">
        <v>8718</v>
      </c>
      <c r="B45" s="667"/>
      <c r="C45" s="668"/>
      <c r="D45" s="551"/>
      <c r="E45" s="759"/>
      <c r="F45" s="736" t="str">
        <f>IF($D$42="NATURAL GAS","5 gr/100 dscf maximum",IF($D$42="FUEL GAS","10 gr/100 dscf maximum",""))</f>
        <v/>
      </c>
      <c r="G45" s="737"/>
    </row>
    <row r="46" spans="1:7" x14ac:dyDescent="0.2">
      <c r="A46" s="666" t="s">
        <v>8695</v>
      </c>
      <c r="B46" s="667"/>
      <c r="C46" s="668"/>
      <c r="D46" s="757" t="str">
        <f>IF($D$42="","",IF($D$42="natural gas","AP-42 Ch. 1.4",IF($D$42="fuel gas","Site-specific fuel gas analysis","")))</f>
        <v/>
      </c>
      <c r="E46" s="668"/>
      <c r="F46" s="738" t="s">
        <v>8685</v>
      </c>
      <c r="G46" s="739"/>
    </row>
    <row r="47" spans="1:7" ht="14.25" customHeight="1" x14ac:dyDescent="0.2">
      <c r="A47" s="666" t="s">
        <v>8699</v>
      </c>
      <c r="B47" s="667"/>
      <c r="C47" s="668"/>
      <c r="D47" s="551"/>
      <c r="E47" s="759"/>
      <c r="F47" s="738" t="s">
        <v>8685</v>
      </c>
      <c r="G47" s="739"/>
    </row>
    <row r="48" spans="1:7" ht="14.25" customHeight="1" x14ac:dyDescent="0.2">
      <c r="A48" s="666" t="s">
        <v>8700</v>
      </c>
      <c r="B48" s="667"/>
      <c r="C48" s="668"/>
      <c r="D48" s="551"/>
      <c r="E48" s="759"/>
      <c r="F48" s="738" t="s">
        <v>8685</v>
      </c>
      <c r="G48" s="739"/>
    </row>
    <row r="49" spans="1:7" ht="14.25" customHeight="1" x14ac:dyDescent="0.2">
      <c r="A49" s="666" t="s">
        <v>8701</v>
      </c>
      <c r="B49" s="667"/>
      <c r="C49" s="668"/>
      <c r="D49" s="551"/>
      <c r="E49" s="759"/>
      <c r="F49" s="738" t="s">
        <v>8685</v>
      </c>
      <c r="G49" s="739"/>
    </row>
    <row r="50" spans="1:7" ht="14.25" customHeight="1" x14ac:dyDescent="0.2">
      <c r="A50" s="666" t="s">
        <v>9296</v>
      </c>
      <c r="B50" s="667"/>
      <c r="C50" s="668"/>
      <c r="D50" s="551"/>
      <c r="E50" s="759"/>
      <c r="F50" s="738" t="s">
        <v>8685</v>
      </c>
      <c r="G50" s="739"/>
    </row>
    <row r="51" spans="1:7" ht="14.25" customHeight="1" x14ac:dyDescent="0.2">
      <c r="A51" s="666" t="s">
        <v>271</v>
      </c>
      <c r="B51" s="667"/>
      <c r="C51" s="668"/>
      <c r="D51" s="551"/>
      <c r="E51" s="759"/>
      <c r="F51" s="738" t="s">
        <v>8685</v>
      </c>
      <c r="G51" s="739"/>
    </row>
    <row r="52" spans="1:7" ht="14.25" customHeight="1" x14ac:dyDescent="0.2">
      <c r="A52" s="666" t="s">
        <v>8699</v>
      </c>
      <c r="B52" s="667"/>
      <c r="C52" s="668"/>
      <c r="D52" s="757" t="str">
        <f>IF(D42="","",IF(D42="natural gas",5.5,""))</f>
        <v/>
      </c>
      <c r="E52" s="668"/>
      <c r="F52" s="738" t="s">
        <v>8685</v>
      </c>
      <c r="G52" s="739"/>
    </row>
    <row r="53" spans="1:7" ht="14.25" customHeight="1" x14ac:dyDescent="0.2">
      <c r="A53" s="666" t="s">
        <v>8700</v>
      </c>
      <c r="B53" s="667"/>
      <c r="C53" s="668"/>
      <c r="D53" s="757" t="str">
        <f>IF(D42="","",IF(D42="natural gas",100,""))</f>
        <v/>
      </c>
      <c r="E53" s="668"/>
      <c r="F53" s="738" t="s">
        <v>8685</v>
      </c>
      <c r="G53" s="739"/>
    </row>
    <row r="54" spans="1:7" ht="14.25" customHeight="1" x14ac:dyDescent="0.2">
      <c r="A54" s="666" t="s">
        <v>8701</v>
      </c>
      <c r="B54" s="667"/>
      <c r="C54" s="668"/>
      <c r="D54" s="757" t="str">
        <f>IF(D42="","",IF(D42="natural gas",84,""))</f>
        <v/>
      </c>
      <c r="E54" s="668"/>
      <c r="F54" s="738" t="s">
        <v>8685</v>
      </c>
      <c r="G54" s="739"/>
    </row>
    <row r="55" spans="1:7" ht="14.25" customHeight="1" x14ac:dyDescent="0.2">
      <c r="A55" s="666" t="s">
        <v>9296</v>
      </c>
      <c r="B55" s="667"/>
      <c r="C55" s="668"/>
      <c r="D55" s="757" t="str">
        <f>IF(D42="","",IF(D42="natural gas",7.6,""))</f>
        <v/>
      </c>
      <c r="E55" s="668"/>
      <c r="F55" s="738" t="s">
        <v>8685</v>
      </c>
      <c r="G55" s="739"/>
    </row>
    <row r="56" spans="1:7" ht="14.25" customHeight="1" thickBot="1" x14ac:dyDescent="0.25">
      <c r="A56" s="666" t="s">
        <v>271</v>
      </c>
      <c r="B56" s="667"/>
      <c r="C56" s="668"/>
      <c r="D56" s="757" t="str">
        <f>IF(OR($D$42="",$D$45=""),"",IF($D$42="natural gas",0.6*5*$D$45,""))</f>
        <v/>
      </c>
      <c r="E56" s="668"/>
      <c r="F56" s="742" t="s">
        <v>8685</v>
      </c>
      <c r="G56" s="743"/>
    </row>
    <row r="57" spans="1:7" ht="15" x14ac:dyDescent="0.2">
      <c r="A57" s="760" t="s">
        <v>8691</v>
      </c>
      <c r="B57" s="761"/>
      <c r="C57" s="763"/>
      <c r="D57" s="540" t="s">
        <v>172</v>
      </c>
      <c r="E57" s="540"/>
      <c r="F57" s="747" t="s">
        <v>8723</v>
      </c>
      <c r="G57" s="748"/>
    </row>
    <row r="58" spans="1:7" ht="46.5" customHeight="1" x14ac:dyDescent="0.2">
      <c r="A58" s="744" t="s">
        <v>10864</v>
      </c>
      <c r="B58" s="690"/>
      <c r="C58" s="758"/>
      <c r="D58" s="745"/>
      <c r="E58" s="746"/>
      <c r="F58" s="466" t="s">
        <v>10865</v>
      </c>
      <c r="G58" s="467"/>
    </row>
    <row r="59" spans="1:7" ht="33" customHeight="1" x14ac:dyDescent="0.2">
      <c r="A59" s="744" t="s">
        <v>8715</v>
      </c>
      <c r="B59" s="690"/>
      <c r="C59" s="758"/>
      <c r="D59" s="745"/>
      <c r="E59" s="746"/>
      <c r="F59" s="734" t="s">
        <v>10866</v>
      </c>
      <c r="G59" s="735"/>
    </row>
    <row r="60" spans="1:7" ht="60" customHeight="1" x14ac:dyDescent="0.2">
      <c r="A60" s="744" t="str">
        <f>IF($D$6="modified","Proposed increase in maximum hourly flow rate (scf/hr)","Maximum hourly flow rate (scf/hr)")</f>
        <v>Maximum hourly flow rate (scf/hr)</v>
      </c>
      <c r="B60" s="690"/>
      <c r="C60" s="758"/>
      <c r="D60" s="745"/>
      <c r="E60" s="746"/>
      <c r="F60" s="689" t="str">
        <f t="shared" ref="F60" si="3">IF($D$6="modified","Excluding tank roof landings and MSS, consider all proposed increases of waste stream flow to the the VCU and calculate the resulting hourly flow rate increase.","Excluding tank roof landings and MSS, consider all waste streams that will be routed to the VCU at a given point in time and calculate the resulting hourly flow rate.")</f>
        <v>Excluding tank roof landings and MSS, consider all waste streams that will be routed to the VCU at a given point in time and calculate the resulting hourly flow rate.</v>
      </c>
      <c r="G60" s="691"/>
    </row>
    <row r="61" spans="1:7" ht="60" customHeight="1" x14ac:dyDescent="0.2">
      <c r="A61" s="744" t="str">
        <f>IF($D$6="modified","Proposed increase in annual flow rate (scf/yr)","Annual flow rate (scf/yr)")</f>
        <v>Annual flow rate (scf/yr)</v>
      </c>
      <c r="B61" s="690"/>
      <c r="C61" s="758"/>
      <c r="D61" s="745"/>
      <c r="E61" s="746"/>
      <c r="F61" s="466" t="str">
        <f t="shared" ref="F61" si="4">IF($D$6="modified","Excluding tank roof landings and MSS, consider all proposed increases of waste stream flow to the VCU during one year and calculate the resulting annual flow rate increase.","Excluding tank roof landings and MSS, consider all waste streams that will be routed to the VCU during one year and calculate the resulting annual flow rate.")</f>
        <v>Excluding tank roof landings and MSS, consider all waste streams that will be routed to the VCU during one year and calculate the resulting annual flow rate.</v>
      </c>
      <c r="G61" s="467"/>
    </row>
    <row r="62" spans="1:7" x14ac:dyDescent="0.2">
      <c r="A62" s="666" t="s">
        <v>8727</v>
      </c>
      <c r="B62" s="667"/>
      <c r="C62" s="668"/>
      <c r="D62" s="745"/>
      <c r="E62" s="746"/>
      <c r="F62" s="738" t="s">
        <v>8685</v>
      </c>
      <c r="G62" s="739"/>
    </row>
    <row r="63" spans="1:7" x14ac:dyDescent="0.2">
      <c r="A63" s="666" t="s">
        <v>275</v>
      </c>
      <c r="B63" s="667"/>
      <c r="C63" s="668"/>
      <c r="D63" s="551"/>
      <c r="E63" s="759"/>
      <c r="F63" s="466" t="s">
        <v>9926</v>
      </c>
      <c r="G63" s="467"/>
    </row>
    <row r="64" spans="1:7" x14ac:dyDescent="0.2">
      <c r="A64" s="666" t="s">
        <v>8728</v>
      </c>
      <c r="B64" s="667"/>
      <c r="C64" s="668"/>
      <c r="D64" s="745"/>
      <c r="E64" s="746"/>
      <c r="F64" s="738" t="s">
        <v>8685</v>
      </c>
      <c r="G64" s="739"/>
    </row>
    <row r="65" spans="1:7" x14ac:dyDescent="0.2">
      <c r="A65" s="666" t="s">
        <v>276</v>
      </c>
      <c r="B65" s="667"/>
      <c r="C65" s="668"/>
      <c r="D65" s="551"/>
      <c r="E65" s="759"/>
      <c r="F65" s="785" t="s">
        <v>9927</v>
      </c>
      <c r="G65" s="786"/>
    </row>
    <row r="66" spans="1:7" x14ac:dyDescent="0.2">
      <c r="A66" s="666" t="s">
        <v>8725</v>
      </c>
      <c r="B66" s="667"/>
      <c r="C66" s="668"/>
      <c r="D66" s="745"/>
      <c r="E66" s="746"/>
      <c r="F66" s="738" t="s">
        <v>8685</v>
      </c>
      <c r="G66" s="739"/>
    </row>
    <row r="67" spans="1:7" x14ac:dyDescent="0.2">
      <c r="A67" s="666" t="s">
        <v>8720</v>
      </c>
      <c r="B67" s="667"/>
      <c r="C67" s="668"/>
      <c r="D67" s="551"/>
      <c r="E67" s="759"/>
      <c r="F67" s="738" t="s">
        <v>8685</v>
      </c>
      <c r="G67" s="739"/>
    </row>
    <row r="68" spans="1:7" x14ac:dyDescent="0.2">
      <c r="A68" s="666" t="s">
        <v>8726</v>
      </c>
      <c r="B68" s="667"/>
      <c r="C68" s="668"/>
      <c r="D68" s="745"/>
      <c r="E68" s="746"/>
      <c r="F68" s="738" t="s">
        <v>8685</v>
      </c>
      <c r="G68" s="739"/>
    </row>
    <row r="69" spans="1:7" ht="31.5" customHeight="1" thickBot="1" x14ac:dyDescent="0.25">
      <c r="A69" s="587" t="s">
        <v>8722</v>
      </c>
      <c r="B69" s="588"/>
      <c r="C69" s="589"/>
      <c r="D69" s="557"/>
      <c r="E69" s="765"/>
      <c r="F69" s="742" t="s">
        <v>8685</v>
      </c>
      <c r="G69" s="743"/>
    </row>
    <row r="70" spans="1:7" ht="15" x14ac:dyDescent="0.2">
      <c r="A70" s="760" t="s">
        <v>8692</v>
      </c>
      <c r="B70" s="761"/>
      <c r="C70" s="761"/>
      <c r="D70" s="761"/>
      <c r="E70" s="761"/>
      <c r="F70" s="761"/>
      <c r="G70" s="762"/>
    </row>
    <row r="71" spans="1:7" x14ac:dyDescent="0.2">
      <c r="A71" s="666" t="s">
        <v>8713</v>
      </c>
      <c r="B71" s="667"/>
      <c r="C71" s="668"/>
      <c r="D71" s="551"/>
      <c r="E71" s="552"/>
      <c r="F71" s="552"/>
      <c r="G71" s="553"/>
    </row>
    <row r="72" spans="1:7" ht="43.5" customHeight="1" x14ac:dyDescent="0.2">
      <c r="A72" s="744" t="s">
        <v>9403</v>
      </c>
      <c r="B72" s="690"/>
      <c r="C72" s="758"/>
      <c r="D72" s="551"/>
      <c r="E72" s="552"/>
      <c r="F72" s="552"/>
      <c r="G72" s="553"/>
    </row>
    <row r="73" spans="1:7" ht="15" thickBot="1" x14ac:dyDescent="0.25">
      <c r="A73" s="669" t="s">
        <v>285</v>
      </c>
      <c r="B73" s="670"/>
      <c r="C73" s="671"/>
      <c r="D73" s="557"/>
      <c r="E73" s="558"/>
      <c r="F73" s="558"/>
      <c r="G73" s="559"/>
    </row>
    <row r="74" spans="1:7" ht="15" thickBot="1" x14ac:dyDescent="0.25">
      <c r="A74" s="560" t="s">
        <v>1</v>
      </c>
      <c r="B74" s="560"/>
      <c r="C74" s="560"/>
      <c r="D74" s="560"/>
      <c r="E74" s="560"/>
      <c r="F74" s="560"/>
      <c r="G74" s="560"/>
    </row>
    <row r="75" spans="1:7" ht="15.75" thickBot="1" x14ac:dyDescent="0.25">
      <c r="A75" s="805" t="s">
        <v>9397</v>
      </c>
      <c r="B75" s="806"/>
      <c r="C75" s="806"/>
      <c r="D75" s="806"/>
      <c r="E75" s="806"/>
      <c r="F75" s="806"/>
      <c r="G75" s="807"/>
    </row>
    <row r="76" spans="1:7" ht="15" x14ac:dyDescent="0.2">
      <c r="A76" s="506" t="s">
        <v>8703</v>
      </c>
      <c r="B76" s="507"/>
      <c r="C76" s="507"/>
      <c r="D76" s="507"/>
      <c r="E76" s="507"/>
      <c r="F76" s="507"/>
      <c r="G76" s="508"/>
    </row>
    <row r="77" spans="1:7" ht="15" x14ac:dyDescent="0.2">
      <c r="A77" s="512" t="s">
        <v>178</v>
      </c>
      <c r="B77" s="513"/>
      <c r="C77" s="513"/>
      <c r="D77" s="513" t="str">
        <f>IF($D$6="modified","Proposed increase in hourly emissions (lb/hr)","Proposed hourly emissions (lb/hr)")</f>
        <v>Proposed hourly emissions (lb/hr)</v>
      </c>
      <c r="E77" s="513"/>
      <c r="F77" s="513" t="str">
        <f t="shared" ref="F77" si="5">IF($D$6="modified","Proposed increase in annual emissions (tpy)","Proposed annual emissions tpy)")</f>
        <v>Proposed annual emissions tpy)</v>
      </c>
      <c r="G77" s="514"/>
    </row>
    <row r="78" spans="1:7" x14ac:dyDescent="0.2">
      <c r="A78" s="528" t="s">
        <v>229</v>
      </c>
      <c r="B78" s="529"/>
      <c r="C78" s="529"/>
      <c r="D78" s="753">
        <f>IF($D$26="",0,IF($D$26="NATURAL GAS",$D36*$D$28*$D$27*(10^-6),IF($D$26="FUEL GAS",$D31*$D$28*$D$27*(10^-6))))</f>
        <v>0</v>
      </c>
      <c r="E78" s="753"/>
      <c r="F78" s="753">
        <f t="shared" ref="F78:F85" si="6">IF($D78="",0,$D78*(8760/2000))</f>
        <v>0</v>
      </c>
      <c r="G78" s="754"/>
    </row>
    <row r="79" spans="1:7" x14ac:dyDescent="0.2">
      <c r="A79" s="528" t="s">
        <v>261</v>
      </c>
      <c r="B79" s="529"/>
      <c r="C79" s="529"/>
      <c r="D79" s="753">
        <f>IF($D$26="",0,IF($D$26="NATURAL GAS",$D37*$D$28*$D$27*(10^-6),IF($D$26="FUEL GAS",$D32*$D$28*$D$27*(10^-6))))</f>
        <v>0</v>
      </c>
      <c r="E79" s="753"/>
      <c r="F79" s="753">
        <f t="shared" si="6"/>
        <v>0</v>
      </c>
      <c r="G79" s="754"/>
    </row>
    <row r="80" spans="1:7" x14ac:dyDescent="0.2">
      <c r="A80" s="528" t="s">
        <v>262</v>
      </c>
      <c r="B80" s="529"/>
      <c r="C80" s="529"/>
      <c r="D80" s="753">
        <f>IF($D$26="",0,IF($D$26="NATURAL GAS",$D38*$D$28*$D$27*(10^-6),IF($D$26="FUEL GAS",$D33*$D$28*$D$27*(10^-6))))</f>
        <v>0</v>
      </c>
      <c r="E80" s="753"/>
      <c r="F80" s="753">
        <f t="shared" si="6"/>
        <v>0</v>
      </c>
      <c r="G80" s="754"/>
    </row>
    <row r="81" spans="1:7" x14ac:dyDescent="0.2">
      <c r="A81" s="528" t="s">
        <v>263</v>
      </c>
      <c r="B81" s="529"/>
      <c r="C81" s="529"/>
      <c r="D81" s="753">
        <f>IF($D$26="",0,IF($D$26="NATURAL GAS",$D39*$D$28*$D$27*(10^-6),IF($D$26="FUEL GAS",$D34*$D$28*$D$27*(10^-6))))</f>
        <v>0</v>
      </c>
      <c r="E81" s="753"/>
      <c r="F81" s="753">
        <f t="shared" si="6"/>
        <v>0</v>
      </c>
      <c r="G81" s="754"/>
    </row>
    <row r="82" spans="1:7" x14ac:dyDescent="0.2">
      <c r="A82" s="528" t="s">
        <v>264</v>
      </c>
      <c r="B82" s="529"/>
      <c r="C82" s="529"/>
      <c r="D82" s="753">
        <f>IF($D$26="",0,IF($D$26="NATURAL GAS",$D39*$D$28*$D$27*(10^-6),IF($D$26="FUEL GAS",$D34*$D$28*$D$27*(10^-6))))</f>
        <v>0</v>
      </c>
      <c r="E82" s="753"/>
      <c r="F82" s="753">
        <f t="shared" si="6"/>
        <v>0</v>
      </c>
      <c r="G82" s="754"/>
    </row>
    <row r="83" spans="1:7" x14ac:dyDescent="0.2">
      <c r="A83" s="528" t="s">
        <v>265</v>
      </c>
      <c r="B83" s="529"/>
      <c r="C83" s="529"/>
      <c r="D83" s="753">
        <f>IF($D$26="",0,IF($D$26="NATURAL GAS",$D39*$D$28*$D$27*(10^-6),IF($D$26="FUEL GAS",$D34*$D$28*$D$27*(10^-6))))</f>
        <v>0</v>
      </c>
      <c r="E83" s="753"/>
      <c r="F83" s="753">
        <f t="shared" si="6"/>
        <v>0</v>
      </c>
      <c r="G83" s="754"/>
    </row>
    <row r="84" spans="1:7" x14ac:dyDescent="0.2">
      <c r="A84" s="528" t="s">
        <v>266</v>
      </c>
      <c r="B84" s="529"/>
      <c r="C84" s="529"/>
      <c r="D84" s="753">
        <f>IF($D$26="",0,IF($D$26="NATURAL GAS",$D40*$D$28*$D$27*(10^-6),IF($D$26="FUEL GAS",$D35*$D$28*$D$27*(10^-6))))</f>
        <v>0</v>
      </c>
      <c r="E84" s="753"/>
      <c r="F84" s="753">
        <f t="shared" si="6"/>
        <v>0</v>
      </c>
      <c r="G84" s="754"/>
    </row>
    <row r="85" spans="1:7" ht="15" thickBot="1" x14ac:dyDescent="0.25">
      <c r="A85" s="548" t="s">
        <v>267</v>
      </c>
      <c r="B85" s="549"/>
      <c r="C85" s="549"/>
      <c r="D85" s="755">
        <f t="shared" ref="D85" si="7">D$84*(34.08/64.06)</f>
        <v>0</v>
      </c>
      <c r="E85" s="755"/>
      <c r="F85" s="775">
        <f t="shared" si="6"/>
        <v>0</v>
      </c>
      <c r="G85" s="776"/>
    </row>
    <row r="86" spans="1:7" ht="15" x14ac:dyDescent="0.2">
      <c r="A86" s="506" t="s">
        <v>8704</v>
      </c>
      <c r="B86" s="507"/>
      <c r="C86" s="507"/>
      <c r="D86" s="507"/>
      <c r="E86" s="507"/>
      <c r="F86" s="507"/>
      <c r="G86" s="508"/>
    </row>
    <row r="87" spans="1:7" ht="15" x14ac:dyDescent="0.2">
      <c r="A87" s="512" t="s">
        <v>178</v>
      </c>
      <c r="B87" s="513"/>
      <c r="C87" s="513"/>
      <c r="D87" s="513" t="str">
        <f>IF($D$6="modified","Proposed increase in hourly emissions (lb/hr)","Proposed hourly emissions (lb/hr)")</f>
        <v>Proposed hourly emissions (lb/hr)</v>
      </c>
      <c r="E87" s="513"/>
      <c r="F87" s="513" t="str">
        <f t="shared" ref="F87" si="8">IF($D$6="modified","Proposed increase in annual emissions (tpy)","Proposed annual emissions tpy)")</f>
        <v>Proposed annual emissions tpy)</v>
      </c>
      <c r="G87" s="514"/>
    </row>
    <row r="88" spans="1:7" x14ac:dyDescent="0.2">
      <c r="A88" s="528" t="s">
        <v>229</v>
      </c>
      <c r="B88" s="529"/>
      <c r="C88" s="529"/>
      <c r="D88" s="753">
        <f>IF(OR($D$42="",$D$42="NONE"),0,IF($D$42="NATURAL GAS",$D52*$D$43*(10^-6),IF($D$42="FUEL GAS",$D47*$D$43*(10^-6))))</f>
        <v>0</v>
      </c>
      <c r="E88" s="753"/>
      <c r="F88" s="753">
        <f>IF(OR($D$42="",$D$42="NONE"),0,IF($D$42="NATURAL GAS",$D52*$D$44*(2000^-1)*(10^-6),IF($D$42="FUEL GAS",$D47*$D$44*(2000^-1)*(10^-6))))</f>
        <v>0</v>
      </c>
      <c r="G88" s="754"/>
    </row>
    <row r="89" spans="1:7" x14ac:dyDescent="0.2">
      <c r="A89" s="528" t="s">
        <v>261</v>
      </c>
      <c r="B89" s="529"/>
      <c r="C89" s="529"/>
      <c r="D89" s="753">
        <f t="shared" ref="D89" si="9">IF(OR($D$42="",$D$42="NONE"),0,IF($D$42="NATURAL GAS",$D53*$D$43*(10^-6),IF($D$42="FUEL GAS",$D48*$D$43*(10^-6))))</f>
        <v>0</v>
      </c>
      <c r="E89" s="753"/>
      <c r="F89" s="753">
        <f>IF(OR($D$42="",$D$42="NONE"),0,IF($D$42="NATURAL GAS",$D53*$D$44*(2000^-1)*(10^-6),IF($D$42="FUEL GAS",$D48*$D$44*(2000^-1)*(10^-6))))</f>
        <v>0</v>
      </c>
      <c r="G89" s="754"/>
    </row>
    <row r="90" spans="1:7" x14ac:dyDescent="0.2">
      <c r="A90" s="528" t="s">
        <v>262</v>
      </c>
      <c r="B90" s="529"/>
      <c r="C90" s="529"/>
      <c r="D90" s="753">
        <f t="shared" ref="D90" si="10">IF(OR($D$42="",$D$42="NONE"),0,IF($D$42="NATURAL GAS",$D54*$D$43*(10^-6),IF($D$42="FUEL GAS",$D49*$D$43*(10^-6))))</f>
        <v>0</v>
      </c>
      <c r="E90" s="753"/>
      <c r="F90" s="753">
        <f>IF(OR($D$42="",$D$42="NONE"),0,IF($D$42="NATURAL GAS",$D54*$D$44*(2000^-1)*(10^-6),IF($D$42="FUEL GAS",$D49*$D$44*(2000^-1)*(10^-6))))</f>
        <v>0</v>
      </c>
      <c r="G90" s="754"/>
    </row>
    <row r="91" spans="1:7" x14ac:dyDescent="0.2">
      <c r="A91" s="528" t="s">
        <v>263</v>
      </c>
      <c r="B91" s="529"/>
      <c r="C91" s="529"/>
      <c r="D91" s="753">
        <f>IF(OR($D$42="",$D$42="NONE"),0,IF($D$42="NATURAL GAS",$D55*$D$43*(10^-6),IF($D$42="FUEL GAS",$D50*$D$43*(10^-6))))</f>
        <v>0</v>
      </c>
      <c r="E91" s="753"/>
      <c r="F91" s="753">
        <f>IF(OR($D$42="",$D$42="NONE"),0,IF($D$42="NATURAL GAS",$D55*$D$44*(2000^-1)*(10^-6),IF($D$42="FUEL GAS",$D50*$D$44*(2000^-1)*(10^-6))))</f>
        <v>0</v>
      </c>
      <c r="G91" s="754"/>
    </row>
    <row r="92" spans="1:7" x14ac:dyDescent="0.2">
      <c r="A92" s="528" t="s">
        <v>264</v>
      </c>
      <c r="B92" s="529"/>
      <c r="C92" s="529"/>
      <c r="D92" s="753">
        <f>IF(OR($D$42="",$D$42="NONE"),0,IF($D$42="NATURAL GAS",$D55*$D$43*(10^-6),IF($D$42="FUEL GAS",$D50*$D$43*(10^-6))))</f>
        <v>0</v>
      </c>
      <c r="E92" s="753"/>
      <c r="F92" s="753">
        <f>IF(OR($D$42="",$D$42="NONE"),0,IF($D$42="NATURAL GAS",$D55*$D$44*(2000^-1)*(10^-6),IF($D$42="FUEL GAS",$D50*$D$44*(2000^-1)*(10^-6))))</f>
        <v>0</v>
      </c>
      <c r="G92" s="754"/>
    </row>
    <row r="93" spans="1:7" x14ac:dyDescent="0.2">
      <c r="A93" s="528" t="s">
        <v>265</v>
      </c>
      <c r="B93" s="529"/>
      <c r="C93" s="529"/>
      <c r="D93" s="753">
        <f>IF(OR($D$42="",$D$42="NONE"),0,IF($D$42="NATURAL GAS",$D55*$D$43*(10^-6),IF($D$42="FUEL GAS",$D50*$D$43*(10^-6))))</f>
        <v>0</v>
      </c>
      <c r="E93" s="753"/>
      <c r="F93" s="753">
        <f>IF(OR($D$42="",$D$42="NONE"),0,IF($D$42="NATURAL GAS",$D55*$D$44*(2000^-1)*(10^-6),IF($D$42="FUEL GAS",$D50*$D$44*(2000^-1)*(10^-6))))</f>
        <v>0</v>
      </c>
      <c r="G93" s="754"/>
    </row>
    <row r="94" spans="1:7" x14ac:dyDescent="0.2">
      <c r="A94" s="528" t="s">
        <v>266</v>
      </c>
      <c r="B94" s="529"/>
      <c r="C94" s="529"/>
      <c r="D94" s="753">
        <f t="shared" ref="D94" si="11">IF(OR($D$42="",$D$42="NONE"),0,IF($D$42="NATURAL GAS",$D56*$D$43*(10^-6),IF($D$42="FUEL GAS",$D51*$D$43*(10^-6))))</f>
        <v>0</v>
      </c>
      <c r="E94" s="753"/>
      <c r="F94" s="753">
        <f t="shared" ref="F94" si="12">IF(OR($D$42="",$D$42="NONE"),0,IF($D$42="NATURAL GAS",$D56*$D$44*(2000^-1)*(10^-6),IF($D$42="FUEL GAS",$D51*$D$44*(2000^-1)*(10^-6))))</f>
        <v>0</v>
      </c>
      <c r="G94" s="754"/>
    </row>
    <row r="95" spans="1:7" ht="15" thickBot="1" x14ac:dyDescent="0.25">
      <c r="A95" s="548" t="s">
        <v>267</v>
      </c>
      <c r="B95" s="549"/>
      <c r="C95" s="549"/>
      <c r="D95" s="755">
        <f t="shared" ref="D95:F95" si="13">D$94*(34.08/64.06)</f>
        <v>0</v>
      </c>
      <c r="E95" s="755"/>
      <c r="F95" s="755">
        <f t="shared" si="13"/>
        <v>0</v>
      </c>
      <c r="G95" s="756"/>
    </row>
    <row r="96" spans="1:7" ht="15" x14ac:dyDescent="0.2">
      <c r="A96" s="506" t="s">
        <v>272</v>
      </c>
      <c r="B96" s="507"/>
      <c r="C96" s="507"/>
      <c r="D96" s="507"/>
      <c r="E96" s="507"/>
      <c r="F96" s="507"/>
      <c r="G96" s="508"/>
    </row>
    <row r="97" spans="1:7" ht="45" x14ac:dyDescent="0.2">
      <c r="A97" s="512" t="s">
        <v>178</v>
      </c>
      <c r="B97" s="513"/>
      <c r="C97" s="513"/>
      <c r="D97" s="392" t="str">
        <f>IF($D$6="modified","Proposed increase in collected emissions (lb/hr)","Collected emissions (lb/hr)")</f>
        <v>Collected emissions (lb/hr)</v>
      </c>
      <c r="E97" s="392" t="str">
        <f>IF($D$6="modified","Proposed increase in collected emissions (tpy)","Collected emissions (tpy)")</f>
        <v>Collected emissions (tpy)</v>
      </c>
      <c r="F97" s="392" t="s">
        <v>9392</v>
      </c>
      <c r="G97" s="393" t="s">
        <v>10870</v>
      </c>
    </row>
    <row r="98" spans="1:7" x14ac:dyDescent="0.2">
      <c r="A98" s="528" t="s">
        <v>229</v>
      </c>
      <c r="B98" s="529"/>
      <c r="C98" s="529"/>
      <c r="D98" s="124">
        <f>IF(Tank1!$D$22="VCU",MAX(Tank1!$G$32,Tank1!$G$43,Tank1!$G$54,Tank1!$G$65,Tank1!$G$76,Tank1!$G$87,Tank1!$G$98,Tank1!$G$109,Tank1!$G$120,Tank1!$G$131),0)+IF(Tank2!$D$22="VCU",MAX(Tank2!$G$32,Tank2!$G$43,Tank2!$G$54,Tank2!$G$65,Tank2!$G$76,Tank2!$G$87,Tank2!$G$98,Tank2!$G$109,Tank2!$G$120,Tank2!$G$131),0)+IF(Tank3!$D$22="VCU",MAX(Tank3!$G$32,Tank3!$G$43,Tank3!$G$54,Tank3!$G$65,Tank3!$G$76,Tank3!$G$87,Tank3!$G$98,Tank3!$G$109,Tank3!$G$120,Tank3!$G$131),0)+IF(Tank4!$D$22="VCU",MAX(Tank4!$G$32,Tank4!$G$43,Tank4!$G$54,Tank4!$G$65,Tank4!$G$76,Tank4!$G$87,Tank4!$G$98,Tank4!$G$109,Tank4!$G$120,Tank4!$G$131),0)+IF(Tank5!$D$22="VCU",MAX(Tank5!$G$32,Tank5!$G$43,Tank5!$G$54,Tank5!$G$65,Tank5!$G$76,Tank5!$G$87,Tank5!$G$98,Tank5!$G$109,Tank5!$G$120,Tank5!$G$131),0)+IF('Load-DrumTote'!$F$19="VCU",MAX('Load-DrumTote'!$M$27,'Load-DrumTote'!$M$38,'Load-DrumTote'!$M$49,'Load-DrumTote'!$M$60,'Load-DrumTote'!$M$71,'Load-DrumTote'!$M$82,'Load-DrumTote'!$M$93,'Load-DrumTote'!$M$104,'Load-DrumTote'!$M$115,'Load-DrumTote'!$M$126),0)+IF('Load-Truck'!$F$19="VCU",MAX('Load-Truck'!$M$27,'Load-Truck'!$M$38,'Load-Truck'!$M$49,'Load-Truck'!$M$60,'Load-Truck'!$M$71,'Load-Truck'!$M$82,'Load-Truck'!$M$93,'Load-Truck'!$M$104,'Load-Truck'!$M$115,'Load-Truck'!$M$126),0)+IF('Load-Rail'!$F$19="VCU",MAX('Load-Rail'!$M$27,'Load-Rail'!$M$38,'Load-Rail'!$M$49,'Load-Rail'!$M$60,'Load-Rail'!$M$71,'Load-Rail'!$M$82,'Load-Rail'!$M$93,'Load-Rail'!$M$104,'Load-Rail'!$M$115,'Load-Rail'!$M$126),0)+IF('Load-MarineBarge'!$F$19="VCU",MAX('Load-MarineBarge'!$M$27,'Load-MarineBarge'!$M$38,'Load-MarineBarge'!$M$49,'Load-MarineBarge'!$M$60,'Load-MarineBarge'!$M$71,'Load-MarineBarge'!$M$82,'Load-MarineBarge'!$M$93,'Load-MarineBarge'!$M$104,'Load-MarineBarge'!$M$115,'Load-MarineBarge'!$M$126),0)+IF('Load-MarineShip'!$F$19="VCU",MAX('Load-MarineShip'!$M$27,'Load-MarineShip'!$M$38,'Load-MarineShip'!$M$49,'Load-MarineShip'!$M$60,'Load-MarineShip'!$M$71,'Load-MarineShip'!$M$82,'Load-MarineShip'!$M$93,'Load-MarineShip'!$M$104,'Load-MarineShip'!$M$115,'Load-MarineShip'!$M$126),0)</f>
        <v>0</v>
      </c>
      <c r="E98" s="124">
        <f>IF(Tank1!$D$22="VCU",MAX(Tank1!$H$32,Tank1!$H$43,Tank1!$H$54,Tank1!$H$65,Tank1!$H$76,Tank1!$H$87,Tank1!$H$98,Tank1!$H$109,Tank1!$H$120,Tank1!$H$131),0)+IF(Tank2!$D$22="VCU",MAX(Tank2!$H$32,Tank2!$H$43,Tank2!$H$54,Tank2!$H$65,Tank2!$H$76,Tank2!$H$87,Tank2!$H$98,Tank2!$H$109,Tank2!$H$120,Tank2!$H$131),0)+IF(Tank3!$D$22="VCU",MAX(Tank3!$H$32,Tank3!$H$43,Tank3!$H$54,Tank3!$H$65,Tank3!$H$76,Tank3!$H$87,Tank3!$H$98,Tank3!$H$109,Tank3!$H$120,Tank3!$H$131),0)+IF(Tank4!$D$22="VCU",MAX(Tank4!$H$32,Tank4!$H$43,Tank4!$H$54,Tank4!$H$65,Tank4!$H$76,Tank4!$H$87,Tank4!$H$98,Tank4!$H$109,Tank4!$H$120,Tank4!$H$131),0)+IF(Tank5!$D$22="VCU",MAX(Tank5!$H$32,Tank5!$H$43,Tank5!$H$54,Tank5!$H$65,Tank5!$H$76,Tank5!$H$87,Tank5!$H$98,Tank5!$H$109,Tank5!$H$120,Tank5!$H$131),0)+IF('Load-DrumTote'!$F$19="VCU",MAX('Load-DrumTote'!$N$27,'Load-DrumTote'!$N$38,'Load-DrumTote'!$N$49,'Load-DrumTote'!$N$60,'Load-DrumTote'!$N$71,'Load-DrumTote'!$N$82,'Load-DrumTote'!$N$93,'Load-DrumTote'!$N$104,'Load-DrumTote'!$N$115,'Load-DrumTote'!$N$126),0)+IF('Load-Truck'!$F$19="VCU",MAX('Load-Truck'!$N$27,'Load-Truck'!$N$38,'Load-Truck'!$N$49,'Load-Truck'!$N$60,'Load-Truck'!$N$71,'Load-Truck'!$N$82,'Load-Truck'!$N$93,'Load-Truck'!$N$104,'Load-Truck'!$N$115,'Load-Truck'!$N$126),0)+IF('Load-Rail'!$F$19="VCU",MAX('Load-Rail'!$N$27,'Load-Rail'!$N$38,'Load-Rail'!$N$49,'Load-Rail'!$N$60,'Load-Rail'!$N$71,'Load-Rail'!$N$82,'Load-Rail'!$N$93,'Load-Rail'!$N$104,'Load-Rail'!$N$115,'Load-Rail'!$N$126),0)+IF('Load-MarineBarge'!$F$19="VCU",MAX('Load-MarineBarge'!$N$27,'Load-MarineBarge'!$N$38,'Load-MarineBarge'!$N$49,'Load-MarineBarge'!$N$60,'Load-MarineBarge'!$N$71,'Load-MarineBarge'!$N$82,'Load-MarineBarge'!$N$93,'Load-MarineBarge'!$N$104,'Load-MarineBarge'!$N$115,'Load-MarineBarge'!$N$126),0)+IF('Load-MarineShip'!$F$19="VCU",MAX('Load-MarineShip'!$N$27,'Load-MarineShip'!$N$38,'Load-MarineShip'!$N$49,'Load-MarineShip'!$N$60,'Load-MarineShip'!$N$71,'Load-MarineShip'!$N$82,'Load-MarineShip'!$N$93,'Load-MarineShip'!$N$104,'Load-MarineShip'!$N$115,'Load-MarineShip'!$N$126),0)</f>
        <v>0</v>
      </c>
      <c r="F98" s="124">
        <f>D$98*(1-$D$23)</f>
        <v>0</v>
      </c>
      <c r="G98" s="125">
        <f>E$98*(1-$D$23)</f>
        <v>0</v>
      </c>
    </row>
    <row r="99" spans="1:7" x14ac:dyDescent="0.2">
      <c r="A99" s="528" t="s">
        <v>261</v>
      </c>
      <c r="B99" s="529"/>
      <c r="C99" s="529"/>
      <c r="D99" s="77"/>
      <c r="E99" s="77"/>
      <c r="F99" s="124">
        <f>$D$63*$D$21</f>
        <v>0</v>
      </c>
      <c r="G99" s="125">
        <f>$D$63*$D$61*$D$59*(10^-6)*(2000^-1)</f>
        <v>0</v>
      </c>
    </row>
    <row r="100" spans="1:7" x14ac:dyDescent="0.2">
      <c r="A100" s="528" t="s">
        <v>262</v>
      </c>
      <c r="B100" s="529"/>
      <c r="C100" s="529"/>
      <c r="D100" s="77"/>
      <c r="E100" s="77"/>
      <c r="F100" s="124">
        <f>$D$65*$D$21</f>
        <v>0</v>
      </c>
      <c r="G100" s="125">
        <f>$D$65*$D$61*$D$59*(10^-6)*(2000^-1)</f>
        <v>0</v>
      </c>
    </row>
    <row r="101" spans="1:7" x14ac:dyDescent="0.2">
      <c r="A101" s="528" t="s">
        <v>263</v>
      </c>
      <c r="B101" s="529"/>
      <c r="C101" s="529"/>
      <c r="D101" s="77"/>
      <c r="E101" s="77"/>
      <c r="F101" s="124">
        <f>$D$67*$D$21</f>
        <v>0</v>
      </c>
      <c r="G101" s="125">
        <f>$D$67*$D$61*$D$59*(10^-6)*(2000^-1)</f>
        <v>0</v>
      </c>
    </row>
    <row r="102" spans="1:7" x14ac:dyDescent="0.2">
      <c r="A102" s="528" t="s">
        <v>264</v>
      </c>
      <c r="B102" s="529"/>
      <c r="C102" s="529"/>
      <c r="D102" s="77"/>
      <c r="E102" s="77"/>
      <c r="F102" s="124">
        <f>$D$67*$D$21</f>
        <v>0</v>
      </c>
      <c r="G102" s="125">
        <f>$D$67*$D$61*$D$59*(10^-6)*(2000^-1)</f>
        <v>0</v>
      </c>
    </row>
    <row r="103" spans="1:7" x14ac:dyDescent="0.2">
      <c r="A103" s="528" t="s">
        <v>265</v>
      </c>
      <c r="B103" s="529"/>
      <c r="C103" s="529"/>
      <c r="D103" s="77"/>
      <c r="E103" s="77"/>
      <c r="F103" s="124">
        <f>$D$67*$D$21</f>
        <v>0</v>
      </c>
      <c r="G103" s="125">
        <f>$D$67*$D$61*$D$59*(10^-6)*(2000^-1)</f>
        <v>0</v>
      </c>
    </row>
    <row r="104" spans="1:7" x14ac:dyDescent="0.2">
      <c r="A104" s="528" t="s">
        <v>266</v>
      </c>
      <c r="B104" s="529"/>
      <c r="C104" s="529"/>
      <c r="D104" s="77"/>
      <c r="E104" s="77"/>
      <c r="F104" s="124">
        <f>F$105*(64.06/34.08)</f>
        <v>0</v>
      </c>
      <c r="G104" s="125">
        <f>G$105*(64.06/34.08)</f>
        <v>0</v>
      </c>
    </row>
    <row r="105" spans="1:7" ht="15" thickBot="1" x14ac:dyDescent="0.25">
      <c r="A105" s="548" t="s">
        <v>267</v>
      </c>
      <c r="B105" s="549"/>
      <c r="C105" s="549"/>
      <c r="D105" s="77"/>
      <c r="E105" s="77"/>
      <c r="F105" s="126">
        <f>(_xlfn.MAXIFS($F$130:$F$239,$E$130:$E$239,"7783-06-4")/(1-$D$23))*(1-$D$24)</f>
        <v>0</v>
      </c>
      <c r="G105" s="127">
        <f>(SUMIF($E$130:$E$239,"7783-06-4",$F$131:$G$240)/(1-$D$23))*(1-$D$24)</f>
        <v>0</v>
      </c>
    </row>
    <row r="106" spans="1:7" ht="15" x14ac:dyDescent="0.2">
      <c r="A106" s="506" t="str">
        <f t="shared" ref="A106" si="14">"D. "&amp;IF($D$6="modified","Total Increase in VCU Emissions (excludes tank roof landing and MSS emissions)","Total VCU Emissions (excludes tank roof landing and MSS emissions)")</f>
        <v>D. Total VCU Emissions (excludes tank roof landing and MSS emissions)</v>
      </c>
      <c r="B106" s="507"/>
      <c r="C106" s="507"/>
      <c r="D106" s="507"/>
      <c r="E106" s="507"/>
      <c r="F106" s="507"/>
      <c r="G106" s="508"/>
    </row>
    <row r="107" spans="1:7" ht="30" customHeight="1" x14ac:dyDescent="0.2">
      <c r="A107" s="512" t="s">
        <v>178</v>
      </c>
      <c r="B107" s="513"/>
      <c r="C107" s="513"/>
      <c r="D107" s="546" t="str">
        <f>IF($D$6="modified","Proposed increase in hourly VCU emissions (lb/hr)","Proposed hourly VCU emissions (lb/hr)")</f>
        <v>Proposed hourly VCU emissions (lb/hr)</v>
      </c>
      <c r="E107" s="546"/>
      <c r="F107" s="546" t="str">
        <f t="shared" ref="F107" si="15">IF($D$6="modified","Proposed increase in annual VCU emissions (tpy)","Proposed annual VCU emissions (tpy)")</f>
        <v>Proposed annual VCU emissions (tpy)</v>
      </c>
      <c r="G107" s="547"/>
    </row>
    <row r="108" spans="1:7" x14ac:dyDescent="0.2">
      <c r="A108" s="528" t="s">
        <v>229</v>
      </c>
      <c r="B108" s="529"/>
      <c r="C108" s="529"/>
      <c r="D108" s="749">
        <f t="shared" ref="D108" si="16">$D78+$D88+$F98</f>
        <v>0</v>
      </c>
      <c r="E108" s="749"/>
      <c r="F108" s="749">
        <f>F78+F88+G98</f>
        <v>0</v>
      </c>
      <c r="G108" s="750"/>
    </row>
    <row r="109" spans="1:7" x14ac:dyDescent="0.2">
      <c r="A109" s="528" t="s">
        <v>261</v>
      </c>
      <c r="B109" s="529"/>
      <c r="C109" s="529"/>
      <c r="D109" s="749">
        <f>$D79+$D89+$F99</f>
        <v>0</v>
      </c>
      <c r="E109" s="749"/>
      <c r="F109" s="749">
        <f t="shared" ref="F109:F115" si="17">F79+F89+G99</f>
        <v>0</v>
      </c>
      <c r="G109" s="750"/>
    </row>
    <row r="110" spans="1:7" x14ac:dyDescent="0.2">
      <c r="A110" s="528" t="s">
        <v>262</v>
      </c>
      <c r="B110" s="529"/>
      <c r="C110" s="529"/>
      <c r="D110" s="749">
        <f t="shared" ref="D110" si="18">$D80+$D90+$F100</f>
        <v>0</v>
      </c>
      <c r="E110" s="749"/>
      <c r="F110" s="749">
        <f t="shared" si="17"/>
        <v>0</v>
      </c>
      <c r="G110" s="750"/>
    </row>
    <row r="111" spans="1:7" x14ac:dyDescent="0.2">
      <c r="A111" s="528" t="s">
        <v>263</v>
      </c>
      <c r="B111" s="529"/>
      <c r="C111" s="529"/>
      <c r="D111" s="749">
        <f t="shared" ref="D111" si="19">$D81+$D91+$F101</f>
        <v>0</v>
      </c>
      <c r="E111" s="749"/>
      <c r="F111" s="749">
        <f t="shared" si="17"/>
        <v>0</v>
      </c>
      <c r="G111" s="750"/>
    </row>
    <row r="112" spans="1:7" x14ac:dyDescent="0.2">
      <c r="A112" s="528" t="s">
        <v>264</v>
      </c>
      <c r="B112" s="529"/>
      <c r="C112" s="529"/>
      <c r="D112" s="749">
        <f t="shared" ref="D112" si="20">$D82+$D92+$F102</f>
        <v>0</v>
      </c>
      <c r="E112" s="749"/>
      <c r="F112" s="749">
        <f t="shared" si="17"/>
        <v>0</v>
      </c>
      <c r="G112" s="750"/>
    </row>
    <row r="113" spans="1:7" x14ac:dyDescent="0.2">
      <c r="A113" s="528" t="s">
        <v>265</v>
      </c>
      <c r="B113" s="529"/>
      <c r="C113" s="529"/>
      <c r="D113" s="749">
        <f t="shared" ref="D113" si="21">$D83+$D93+$F103</f>
        <v>0</v>
      </c>
      <c r="E113" s="749"/>
      <c r="F113" s="749">
        <f t="shared" si="17"/>
        <v>0</v>
      </c>
      <c r="G113" s="750"/>
    </row>
    <row r="114" spans="1:7" x14ac:dyDescent="0.2">
      <c r="A114" s="528" t="s">
        <v>266</v>
      </c>
      <c r="B114" s="529"/>
      <c r="C114" s="529"/>
      <c r="D114" s="749">
        <f>$D84+$D94+$F104</f>
        <v>0</v>
      </c>
      <c r="E114" s="749"/>
      <c r="F114" s="749">
        <f t="shared" si="17"/>
        <v>0</v>
      </c>
      <c r="G114" s="750"/>
    </row>
    <row r="115" spans="1:7" ht="15" thickBot="1" x14ac:dyDescent="0.25">
      <c r="A115" s="548" t="s">
        <v>267</v>
      </c>
      <c r="B115" s="549"/>
      <c r="C115" s="549"/>
      <c r="D115" s="751">
        <f>$D85+$D95+$F105</f>
        <v>0</v>
      </c>
      <c r="E115" s="751"/>
      <c r="F115" s="751">
        <f t="shared" si="17"/>
        <v>0</v>
      </c>
      <c r="G115" s="752"/>
    </row>
    <row r="116" spans="1:7" ht="15" thickBot="1" x14ac:dyDescent="0.25">
      <c r="A116" s="478" t="s">
        <v>1</v>
      </c>
      <c r="B116" s="478"/>
      <c r="C116" s="478"/>
      <c r="D116" s="478"/>
      <c r="E116" s="478"/>
      <c r="F116" s="478"/>
      <c r="G116" s="478"/>
    </row>
    <row r="117" spans="1:7" ht="15.75" thickBot="1" x14ac:dyDescent="0.25">
      <c r="A117" s="474" t="s">
        <v>9381</v>
      </c>
      <c r="B117" s="474"/>
      <c r="C117" s="474"/>
      <c r="D117" s="474"/>
      <c r="E117" s="474"/>
      <c r="F117" s="474"/>
      <c r="G117" s="474"/>
    </row>
    <row r="118" spans="1:7" ht="64.5" customHeight="1" thickBot="1" x14ac:dyDescent="0.25">
      <c r="A118" s="808" t="s">
        <v>236</v>
      </c>
      <c r="B118" s="809"/>
      <c r="C118" s="809"/>
      <c r="D118" s="809"/>
      <c r="E118" s="294" t="s">
        <v>8751</v>
      </c>
      <c r="F118" s="295" t="str">
        <f>IF($D$6="modified","Proposed increase in VCU hourly emissions (lb/hr)","Proposed VCU hourly emissions (lb/hr)")</f>
        <v>Proposed VCU hourly emissions (lb/hr)</v>
      </c>
      <c r="G118" s="296" t="str">
        <f t="shared" ref="G118" si="22">IF($D$6="modified","Proposed increase in VCU annual emissions (tpy)","Proposed VCU annual emissions (tpy)")</f>
        <v>Proposed VCU annual emissions (tpy)</v>
      </c>
    </row>
    <row r="119" spans="1:7" x14ac:dyDescent="0.2">
      <c r="A119" s="812" t="s">
        <v>9287</v>
      </c>
      <c r="B119" s="813"/>
      <c r="C119" s="813"/>
      <c r="D119" s="813"/>
      <c r="E119" s="288" t="s">
        <v>291</v>
      </c>
      <c r="F119" s="290">
        <f>IF($D$26="FUEL GAS",D$78,0)+IF($D$42="FUEL GAS",$D$88,0)</f>
        <v>0</v>
      </c>
      <c r="G119" s="297">
        <f>IF($D$26="FUEL GAS",F$78,0)+IF($D$42="FUEL GAS",$F$88,0)</f>
        <v>0</v>
      </c>
    </row>
    <row r="120" spans="1:7" x14ac:dyDescent="0.2">
      <c r="A120" s="810" t="s">
        <v>1</v>
      </c>
      <c r="B120" s="658"/>
      <c r="C120" s="658"/>
      <c r="D120" s="658"/>
      <c r="E120" s="52" t="str">
        <f>IF(Products!$E8="","",Products!$E8)</f>
        <v/>
      </c>
      <c r="F120" s="289" t="str">
        <f>IF($E120="","",IF(VLOOKUP($E120,Products!$E$8:$H$17,4,FALSE)="","",VLOOKUP($E120,Products!$E$8:$H$17,4,FALSE))*$F$119)</f>
        <v/>
      </c>
      <c r="G120" s="291" t="str">
        <f>IF($E120="","",IF(VLOOKUP($E120,Products!$E$8:$H$17,4,FALSE)="","",VLOOKUP($E120,Products!$E$8:$H$17,4,FALSE))*$G$119)</f>
        <v/>
      </c>
    </row>
    <row r="121" spans="1:7" x14ac:dyDescent="0.2">
      <c r="A121" s="810" t="s">
        <v>1</v>
      </c>
      <c r="B121" s="658"/>
      <c r="C121" s="658"/>
      <c r="D121" s="658"/>
      <c r="E121" s="52" t="str">
        <f>IF(Products!$E9="","",Products!$E9)</f>
        <v/>
      </c>
      <c r="F121" s="289" t="str">
        <f>IF($E121="","",IF(VLOOKUP($E121,Products!$E$8:$H$17,4,FALSE)="","",VLOOKUP($E121,Products!$E$8:$H$17,4,FALSE))*$F$119)</f>
        <v/>
      </c>
      <c r="G121" s="291" t="str">
        <f>IF($E121="","",IF(VLOOKUP($E121,Products!$E$8:$H$17,4,FALSE)="","",VLOOKUP($E121,Products!$E$8:$H$17,4,FALSE))*$G$119)</f>
        <v/>
      </c>
    </row>
    <row r="122" spans="1:7" x14ac:dyDescent="0.2">
      <c r="A122" s="810" t="s">
        <v>1</v>
      </c>
      <c r="B122" s="658"/>
      <c r="C122" s="658"/>
      <c r="D122" s="658"/>
      <c r="E122" s="52" t="str">
        <f>IF(Products!$E10="","",Products!$E10)</f>
        <v/>
      </c>
      <c r="F122" s="289" t="str">
        <f>IF($E122="","",IF(VLOOKUP($E122,Products!$E$8:$H$17,4,FALSE)="","",VLOOKUP($E122,Products!$E$8:$H$17,4,FALSE))*$F$119)</f>
        <v/>
      </c>
      <c r="G122" s="291" t="str">
        <f>IF($E122="","",IF(VLOOKUP($E122,Products!$E$8:$H$17,4,FALSE)="","",VLOOKUP($E122,Products!$E$8:$H$17,4,FALSE))*$G$119)</f>
        <v/>
      </c>
    </row>
    <row r="123" spans="1:7" x14ac:dyDescent="0.2">
      <c r="A123" s="810" t="s">
        <v>1</v>
      </c>
      <c r="B123" s="658"/>
      <c r="C123" s="658"/>
      <c r="D123" s="658"/>
      <c r="E123" s="52" t="str">
        <f>IF(Products!$E11="","",Products!$E11)</f>
        <v/>
      </c>
      <c r="F123" s="289" t="str">
        <f>IF($E123="","",IF(VLOOKUP($E123,Products!$E$8:$H$17,4,FALSE)="","",VLOOKUP($E123,Products!$E$8:$H$17,4,FALSE))*$F$119)</f>
        <v/>
      </c>
      <c r="G123" s="291" t="str">
        <f>IF($E123="","",IF(VLOOKUP($E123,Products!$E$8:$H$17,4,FALSE)="","",VLOOKUP($E123,Products!$E$8:$H$17,4,FALSE))*$G$119)</f>
        <v/>
      </c>
    </row>
    <row r="124" spans="1:7" x14ac:dyDescent="0.2">
      <c r="A124" s="810" t="s">
        <v>1</v>
      </c>
      <c r="B124" s="658"/>
      <c r="C124" s="658"/>
      <c r="D124" s="658"/>
      <c r="E124" s="52" t="str">
        <f>IF(Products!$E12="","",Products!$E12)</f>
        <v/>
      </c>
      <c r="F124" s="289" t="str">
        <f>IF($E124="","",IF(VLOOKUP($E124,Products!$E$8:$H$17,4,FALSE)="","",VLOOKUP($E124,Products!$E$8:$H$17,4,FALSE))*$F$119)</f>
        <v/>
      </c>
      <c r="G124" s="291" t="str">
        <f>IF($E124="","",IF(VLOOKUP($E124,Products!$E$8:$H$17,4,FALSE)="","",VLOOKUP($E124,Products!$E$8:$H$17,4,FALSE))*$G$119)</f>
        <v/>
      </c>
    </row>
    <row r="125" spans="1:7" x14ac:dyDescent="0.2">
      <c r="A125" s="810" t="s">
        <v>1</v>
      </c>
      <c r="B125" s="658"/>
      <c r="C125" s="658"/>
      <c r="D125" s="658"/>
      <c r="E125" s="52" t="str">
        <f>IF(Products!$E13="","",Products!$E13)</f>
        <v/>
      </c>
      <c r="F125" s="289" t="str">
        <f>IF($E125="","",IF(VLOOKUP($E125,Products!$E$8:$H$17,4,FALSE)="","",VLOOKUP($E125,Products!$E$8:$H$17,4,FALSE))*$F$119)</f>
        <v/>
      </c>
      <c r="G125" s="291" t="str">
        <f>IF($E125="","",IF(VLOOKUP($E125,Products!$E$8:$H$17,4,FALSE)="","",VLOOKUP($E125,Products!$E$8:$H$17,4,FALSE))*$G$119)</f>
        <v/>
      </c>
    </row>
    <row r="126" spans="1:7" x14ac:dyDescent="0.2">
      <c r="A126" s="810" t="s">
        <v>1</v>
      </c>
      <c r="B126" s="658"/>
      <c r="C126" s="658"/>
      <c r="D126" s="658"/>
      <c r="E126" s="52" t="str">
        <f>IF(Products!$E14="","",Products!$E14)</f>
        <v/>
      </c>
      <c r="F126" s="289" t="str">
        <f>IF($E126="","",IF(VLOOKUP($E126,Products!$E$8:$H$17,4,FALSE)="","",VLOOKUP($E126,Products!$E$8:$H$17,4,FALSE))*$F$119)</f>
        <v/>
      </c>
      <c r="G126" s="291" t="str">
        <f>IF($E126="","",IF(VLOOKUP($E126,Products!$E$8:$H$17,4,FALSE)="","",VLOOKUP($E126,Products!$E$8:$H$17,4,FALSE))*$G$119)</f>
        <v/>
      </c>
    </row>
    <row r="127" spans="1:7" x14ac:dyDescent="0.2">
      <c r="A127" s="810" t="s">
        <v>1</v>
      </c>
      <c r="B127" s="658"/>
      <c r="C127" s="658"/>
      <c r="D127" s="658"/>
      <c r="E127" s="52" t="str">
        <f>IF(Products!$E15="","",Products!$E15)</f>
        <v/>
      </c>
      <c r="F127" s="289" t="str">
        <f>IF($E127="","",IF(VLOOKUP($E127,Products!$E$8:$H$17,4,FALSE)="","",VLOOKUP($E127,Products!$E$8:$H$17,4,FALSE))*$F$119)</f>
        <v/>
      </c>
      <c r="G127" s="291" t="str">
        <f>IF($E127="","",IF(VLOOKUP($E127,Products!$E$8:$H$17,4,FALSE)="","",VLOOKUP($E127,Products!$E$8:$H$17,4,FALSE))*$G$119)</f>
        <v/>
      </c>
    </row>
    <row r="128" spans="1:7" x14ac:dyDescent="0.2">
      <c r="A128" s="810" t="s">
        <v>1</v>
      </c>
      <c r="B128" s="658"/>
      <c r="C128" s="658"/>
      <c r="D128" s="658"/>
      <c r="E128" s="52" t="str">
        <f>IF(Products!$E16="","",Products!$E16)</f>
        <v/>
      </c>
      <c r="F128" s="289" t="str">
        <f>IF($E128="","",IF(VLOOKUP($E128,Products!$E$8:$H$17,4,FALSE)="","",VLOOKUP($E128,Products!$E$8:$H$17,4,FALSE))*$F$119)</f>
        <v/>
      </c>
      <c r="G128" s="291" t="str">
        <f>IF($E128="","",IF(VLOOKUP($E128,Products!$E$8:$H$17,4,FALSE)="","",VLOOKUP($E128,Products!$E$8:$H$17,4,FALSE))*$G$119)</f>
        <v/>
      </c>
    </row>
    <row r="129" spans="1:7" ht="15" thickBot="1" x14ac:dyDescent="0.25">
      <c r="A129" s="811" t="s">
        <v>1</v>
      </c>
      <c r="B129" s="660"/>
      <c r="C129" s="660"/>
      <c r="D129" s="660"/>
      <c r="E129" s="167" t="str">
        <f>IF(Products!$E17="","",Products!$E17)</f>
        <v/>
      </c>
      <c r="F129" s="292" t="str">
        <f>IF($E129="","",IF(VLOOKUP($E129,Products!$E$8:$H$17,4,FALSE)="","",VLOOKUP($E129,Products!$E$8:$H$17,4,FALSE))*$F$119)</f>
        <v/>
      </c>
      <c r="G129" s="293" t="str">
        <f>IF($E129="","",IF(VLOOKUP($E129,Products!$E$8:$H$17,4,FALSE)="","",VLOOKUP($E129,Products!$E$8:$H$17,4,FALSE))*$G$119)</f>
        <v/>
      </c>
    </row>
    <row r="130" spans="1:7" x14ac:dyDescent="0.2">
      <c r="A130" s="681" t="str">
        <f>Hidden!DY2</f>
        <v/>
      </c>
      <c r="B130" s="682"/>
      <c r="C130" s="682"/>
      <c r="D130" s="682"/>
      <c r="E130" s="111" t="str">
        <f>IF($A130="","","Total VOC")</f>
        <v/>
      </c>
      <c r="F130" s="301">
        <f>VLOOKUP($A130,Hidden!$DY$2:$EA$11,2,FALSE)*(1-$D$23)</f>
        <v>0</v>
      </c>
      <c r="G130" s="302">
        <f>VLOOKUP($A130,Hidden!$DY$2:$EA$11,3,FALSE)*(1-$D$23)</f>
        <v>0</v>
      </c>
    </row>
    <row r="131" spans="1:7" x14ac:dyDescent="0.2">
      <c r="A131" s="627" t="str">
        <f>A130&amp;"A"</f>
        <v>A</v>
      </c>
      <c r="B131" s="628"/>
      <c r="C131" s="628"/>
      <c r="D131" s="628"/>
      <c r="E131" s="16" t="str">
        <f>IF(A130="","",IF(VLOOKUP(A130,Products!$A$59:$E$158,5,FALSE)="","",VLOOKUP(A130,Products!$A$59:$E$158,5,FALSE)))</f>
        <v/>
      </c>
      <c r="F131" s="128" t="str">
        <f>IF($E131="","",F$130*VLOOKUP($A130,Products!$A$59:$H$158,8,FALSE))</f>
        <v/>
      </c>
      <c r="G131" s="129" t="str">
        <f>IF($E131="","",G$130*VLOOKUP($A130,Products!$A$59:$H$158,8,FALSE))</f>
        <v/>
      </c>
    </row>
    <row r="132" spans="1:7" x14ac:dyDescent="0.2">
      <c r="A132" s="627" t="str">
        <f t="shared" ref="A132:A140" si="23">A131&amp;"A"</f>
        <v>AA</v>
      </c>
      <c r="B132" s="628"/>
      <c r="C132" s="628"/>
      <c r="D132" s="628"/>
      <c r="E132" s="16" t="str">
        <f>IF(A131="","",IF(VLOOKUP(A131,Products!$A$59:$E$158,5,FALSE)="","",VLOOKUP(A131,Products!$A$59:$E$158,5,FALSE)))</f>
        <v/>
      </c>
      <c r="F132" s="128" t="str">
        <f>IF($E132="","",F$130*VLOOKUP($A131,Products!$A$59:$H$158,8,FALSE))</f>
        <v/>
      </c>
      <c r="G132" s="129" t="str">
        <f>IF($E132="","",G$130*VLOOKUP($A131,Products!$A$59:$H$158,8,FALSE))</f>
        <v/>
      </c>
    </row>
    <row r="133" spans="1:7" x14ac:dyDescent="0.2">
      <c r="A133" s="627" t="str">
        <f t="shared" si="23"/>
        <v>AAA</v>
      </c>
      <c r="B133" s="628"/>
      <c r="C133" s="628"/>
      <c r="D133" s="628"/>
      <c r="E133" s="16" t="str">
        <f>IF(A132="","",IF(VLOOKUP(A132,Products!$A$59:$E$158,5,FALSE)="","",VLOOKUP(A132,Products!$A$59:$E$158,5,FALSE)))</f>
        <v/>
      </c>
      <c r="F133" s="128" t="str">
        <f>IF($E133="","",F$130*VLOOKUP($A132,Products!$A$59:$H$158,8,FALSE))</f>
        <v/>
      </c>
      <c r="G133" s="129" t="str">
        <f>IF($E133="","",G$130*VLOOKUP($A132,Products!$A$59:$H$158,8,FALSE))</f>
        <v/>
      </c>
    </row>
    <row r="134" spans="1:7" x14ac:dyDescent="0.2">
      <c r="A134" s="627" t="str">
        <f t="shared" si="23"/>
        <v>AAAA</v>
      </c>
      <c r="B134" s="628"/>
      <c r="C134" s="628"/>
      <c r="D134" s="628"/>
      <c r="E134" s="16" t="str">
        <f>IF(A133="","",IF(VLOOKUP(A133,Products!$A$59:$E$158,5,FALSE)="","",VLOOKUP(A133,Products!$A$59:$E$158,5,FALSE)))</f>
        <v/>
      </c>
      <c r="F134" s="128" t="str">
        <f>IF($E134="","",F$130*VLOOKUP($A133,Products!$A$59:$H$158,8,FALSE))</f>
        <v/>
      </c>
      <c r="G134" s="129" t="str">
        <f>IF($E134="","",G$130*VLOOKUP($A133,Products!$A$59:$H$158,8,FALSE))</f>
        <v/>
      </c>
    </row>
    <row r="135" spans="1:7" x14ac:dyDescent="0.2">
      <c r="A135" s="627" t="str">
        <f t="shared" si="23"/>
        <v>AAAAA</v>
      </c>
      <c r="B135" s="628"/>
      <c r="C135" s="628"/>
      <c r="D135" s="628"/>
      <c r="E135" s="16" t="str">
        <f>IF(A134="","",IF(VLOOKUP(A134,Products!$A$59:$E$158,5,FALSE)="","",VLOOKUP(A134,Products!$A$59:$E$158,5,FALSE)))</f>
        <v/>
      </c>
      <c r="F135" s="128" t="str">
        <f>IF($E135="","",F$130*VLOOKUP($A134,Products!$A$59:$H$158,8,FALSE))</f>
        <v/>
      </c>
      <c r="G135" s="129" t="str">
        <f>IF($E135="","",G$130*VLOOKUP($A134,Products!$A$59:$H$158,8,FALSE))</f>
        <v/>
      </c>
    </row>
    <row r="136" spans="1:7" x14ac:dyDescent="0.2">
      <c r="A136" s="627" t="str">
        <f t="shared" si="23"/>
        <v>AAAAAA</v>
      </c>
      <c r="B136" s="628"/>
      <c r="C136" s="628"/>
      <c r="D136" s="628"/>
      <c r="E136" s="16" t="str">
        <f>IF(A135="","",IF(VLOOKUP(A135,Products!$A$59:$E$158,5,FALSE)="","",VLOOKUP(A135,Products!$A$59:$E$158,5,FALSE)))</f>
        <v/>
      </c>
      <c r="F136" s="128" t="str">
        <f>IF($E136="","",F$130*VLOOKUP($A135,Products!$A$59:$H$158,8,FALSE))</f>
        <v/>
      </c>
      <c r="G136" s="129" t="str">
        <f>IF($E136="","",G$130*VLOOKUP($A135,Products!$A$59:$H$158,8,FALSE))</f>
        <v/>
      </c>
    </row>
    <row r="137" spans="1:7" x14ac:dyDescent="0.2">
      <c r="A137" s="627" t="str">
        <f t="shared" si="23"/>
        <v>AAAAAAA</v>
      </c>
      <c r="B137" s="628"/>
      <c r="C137" s="628"/>
      <c r="D137" s="628"/>
      <c r="E137" s="16" t="str">
        <f>IF(A136="","",IF(VLOOKUP(A136,Products!$A$59:$E$158,5,FALSE)="","",VLOOKUP(A136,Products!$A$59:$E$158,5,FALSE)))</f>
        <v/>
      </c>
      <c r="F137" s="128" t="str">
        <f>IF($E137="","",F$130*VLOOKUP($A136,Products!$A$59:$H$158,8,FALSE))</f>
        <v/>
      </c>
      <c r="G137" s="129" t="str">
        <f>IF($E137="","",G$130*VLOOKUP($A136,Products!$A$59:$H$158,8,FALSE))</f>
        <v/>
      </c>
    </row>
    <row r="138" spans="1:7" x14ac:dyDescent="0.2">
      <c r="A138" s="627" t="str">
        <f t="shared" si="23"/>
        <v>AAAAAAAA</v>
      </c>
      <c r="B138" s="628"/>
      <c r="C138" s="628"/>
      <c r="D138" s="628"/>
      <c r="E138" s="16" t="str">
        <f>IF(A137="","",IF(VLOOKUP(A137,Products!$A$59:$E$158,5,FALSE)="","",VLOOKUP(A137,Products!$A$59:$E$158,5,FALSE)))</f>
        <v/>
      </c>
      <c r="F138" s="128" t="str">
        <f>IF($E138="","",F$130*VLOOKUP($A137,Products!$A$59:$H$158,8,FALSE))</f>
        <v/>
      </c>
      <c r="G138" s="129" t="str">
        <f>IF($E138="","",G$130*VLOOKUP($A137,Products!$A$59:$H$158,8,FALSE))</f>
        <v/>
      </c>
    </row>
    <row r="139" spans="1:7" x14ac:dyDescent="0.2">
      <c r="A139" s="627" t="str">
        <f t="shared" si="23"/>
        <v>AAAAAAAAA</v>
      </c>
      <c r="B139" s="628"/>
      <c r="C139" s="628"/>
      <c r="D139" s="628"/>
      <c r="E139" s="16" t="str">
        <f>IF(A138="","",IF(VLOOKUP(A138,Products!$A$59:$E$158,5,FALSE)="","",VLOOKUP(A138,Products!$A$59:$E$158,5,FALSE)))</f>
        <v/>
      </c>
      <c r="F139" s="128" t="str">
        <f>IF($E139="","",F$130*VLOOKUP($A138,Products!$A$59:$H$158,8,FALSE))</f>
        <v/>
      </c>
      <c r="G139" s="129" t="str">
        <f>IF($E139="","",G$130*VLOOKUP($A138,Products!$A$59:$H$158,8,FALSE))</f>
        <v/>
      </c>
    </row>
    <row r="140" spans="1:7" x14ac:dyDescent="0.2">
      <c r="A140" s="627" t="str">
        <f t="shared" si="23"/>
        <v>AAAAAAAAAA</v>
      </c>
      <c r="B140" s="628"/>
      <c r="C140" s="628"/>
      <c r="D140" s="628"/>
      <c r="E140" s="16" t="str">
        <f>IF(A139="","",IF(VLOOKUP(A139,Products!$A$59:$E$158,5,FALSE)="","",VLOOKUP(A139,Products!$A$59:$E$158,5,FALSE)))</f>
        <v/>
      </c>
      <c r="F140" s="128" t="str">
        <f>IF($E140="","",F$130*VLOOKUP($A139,Products!$A$59:$H$158,8,FALSE))</f>
        <v/>
      </c>
      <c r="G140" s="129" t="str">
        <f>IF($E140="","",G$130*VLOOKUP($A139,Products!$A$59:$H$158,8,FALSE))</f>
        <v/>
      </c>
    </row>
    <row r="141" spans="1:7" x14ac:dyDescent="0.2">
      <c r="A141" s="780" t="str">
        <f>Hidden!DY3</f>
        <v/>
      </c>
      <c r="B141" s="656"/>
      <c r="C141" s="656"/>
      <c r="D141" s="656"/>
      <c r="E141" s="16" t="str">
        <f>IF($A141="","","Total VOC")</f>
        <v/>
      </c>
      <c r="F141" s="128">
        <f>VLOOKUP($A141,Hidden!$DY$2:$EA$11,2,FALSE)*(1-$D$23)</f>
        <v>0</v>
      </c>
      <c r="G141" s="129">
        <f>VLOOKUP($A141,Hidden!$DY$2:$EA$11,3,FALSE)*(1-$D$23)</f>
        <v>0</v>
      </c>
    </row>
    <row r="142" spans="1:7" x14ac:dyDescent="0.2">
      <c r="A142" s="627" t="str">
        <f>A141&amp;"A"</f>
        <v>A</v>
      </c>
      <c r="B142" s="628"/>
      <c r="C142" s="628"/>
      <c r="D142" s="628"/>
      <c r="E142" s="16" t="str">
        <f>IF($A141="","",IF(VLOOKUP($A141,Products!$A$59:$E$158,5,FALSE)="","",VLOOKUP($A141,Products!$A$59:$E$158,5,FALSE)))</f>
        <v/>
      </c>
      <c r="F142" s="128" t="str">
        <f>IF($E142="","",F$141*VLOOKUP($A141,Products!$A$59:$H$158,8,FALSE))</f>
        <v/>
      </c>
      <c r="G142" s="129" t="str">
        <f>IF($E142="","",G$141*VLOOKUP($A141,Products!$A$59:$H$158,8,FALSE))</f>
        <v/>
      </c>
    </row>
    <row r="143" spans="1:7" x14ac:dyDescent="0.2">
      <c r="A143" s="627" t="str">
        <f t="shared" ref="A143:A151" si="24">A142&amp;"A"</f>
        <v>AA</v>
      </c>
      <c r="B143" s="628"/>
      <c r="C143" s="628"/>
      <c r="D143" s="628"/>
      <c r="E143" s="16" t="str">
        <f>IF($A142="","",IF(VLOOKUP($A142,Products!$A$59:$E$158,5,FALSE)="","",VLOOKUP($A142,Products!$A$59:$E$158,5,FALSE)))</f>
        <v/>
      </c>
      <c r="F143" s="128" t="str">
        <f>IF($E143="","",F$141*VLOOKUP($A142,Products!$A$59:$H$158,8,FALSE))</f>
        <v/>
      </c>
      <c r="G143" s="129" t="str">
        <f>IF($E143="","",G$141*VLOOKUP($A142,Products!$A$59:$H$158,8,FALSE))</f>
        <v/>
      </c>
    </row>
    <row r="144" spans="1:7" x14ac:dyDescent="0.2">
      <c r="A144" s="627" t="str">
        <f t="shared" si="24"/>
        <v>AAA</v>
      </c>
      <c r="B144" s="628"/>
      <c r="C144" s="628"/>
      <c r="D144" s="628"/>
      <c r="E144" s="16" t="str">
        <f>IF($A143="","",IF(VLOOKUP($A143,Products!$A$59:$E$158,5,FALSE)="","",VLOOKUP($A143,Products!$A$59:$E$158,5,FALSE)))</f>
        <v/>
      </c>
      <c r="F144" s="128" t="str">
        <f>IF($E144="","",F$141*VLOOKUP($A143,Products!$A$59:$H$158,8,FALSE))</f>
        <v/>
      </c>
      <c r="G144" s="129" t="str">
        <f>IF($E144="","",G$141*VLOOKUP($A143,Products!$A$59:$H$158,8,FALSE))</f>
        <v/>
      </c>
    </row>
    <row r="145" spans="1:7" x14ac:dyDescent="0.2">
      <c r="A145" s="627" t="str">
        <f t="shared" si="24"/>
        <v>AAAA</v>
      </c>
      <c r="B145" s="628"/>
      <c r="C145" s="628"/>
      <c r="D145" s="628"/>
      <c r="E145" s="16" t="str">
        <f>IF($A144="","",IF(VLOOKUP($A144,Products!$A$59:$E$158,5,FALSE)="","",VLOOKUP($A144,Products!$A$59:$E$158,5,FALSE)))</f>
        <v/>
      </c>
      <c r="F145" s="128" t="str">
        <f>IF($E145="","",F$141*VLOOKUP($A144,Products!$A$59:$H$158,8,FALSE))</f>
        <v/>
      </c>
      <c r="G145" s="129" t="str">
        <f>IF($E145="","",G$141*VLOOKUP($A144,Products!$A$59:$H$158,8,FALSE))</f>
        <v/>
      </c>
    </row>
    <row r="146" spans="1:7" x14ac:dyDescent="0.2">
      <c r="A146" s="627" t="str">
        <f t="shared" si="24"/>
        <v>AAAAA</v>
      </c>
      <c r="B146" s="628"/>
      <c r="C146" s="628"/>
      <c r="D146" s="628"/>
      <c r="E146" s="16" t="str">
        <f>IF($A145="","",IF(VLOOKUP($A145,Products!$A$59:$E$158,5,FALSE)="","",VLOOKUP($A145,Products!$A$59:$E$158,5,FALSE)))</f>
        <v/>
      </c>
      <c r="F146" s="128" t="str">
        <f>IF($E146="","",F$141*VLOOKUP($A145,Products!$A$59:$H$158,8,FALSE))</f>
        <v/>
      </c>
      <c r="G146" s="129" t="str">
        <f>IF($E146="","",G$141*VLOOKUP($A145,Products!$A$59:$H$158,8,FALSE))</f>
        <v/>
      </c>
    </row>
    <row r="147" spans="1:7" x14ac:dyDescent="0.2">
      <c r="A147" s="627" t="str">
        <f t="shared" si="24"/>
        <v>AAAAAA</v>
      </c>
      <c r="B147" s="628"/>
      <c r="C147" s="628"/>
      <c r="D147" s="628"/>
      <c r="E147" s="16" t="str">
        <f>IF($A146="","",IF(VLOOKUP($A146,Products!$A$59:$E$158,5,FALSE)="","",VLOOKUP($A146,Products!$A$59:$E$158,5,FALSE)))</f>
        <v/>
      </c>
      <c r="F147" s="128" t="str">
        <f>IF($E147="","",F$141*VLOOKUP($A146,Products!$A$59:$H$158,8,FALSE))</f>
        <v/>
      </c>
      <c r="G147" s="129" t="str">
        <f>IF($E147="","",G$141*VLOOKUP($A146,Products!$A$59:$H$158,8,FALSE))</f>
        <v/>
      </c>
    </row>
    <row r="148" spans="1:7" x14ac:dyDescent="0.2">
      <c r="A148" s="627" t="str">
        <f t="shared" si="24"/>
        <v>AAAAAAA</v>
      </c>
      <c r="B148" s="628"/>
      <c r="C148" s="628"/>
      <c r="D148" s="628"/>
      <c r="E148" s="16" t="str">
        <f>IF($A147="","",IF(VLOOKUP($A147,Products!$A$59:$E$158,5,FALSE)="","",VLOOKUP($A147,Products!$A$59:$E$158,5,FALSE)))</f>
        <v/>
      </c>
      <c r="F148" s="128" t="str">
        <f>IF($E148="","",F$141*VLOOKUP($A147,Products!$A$59:$H$158,8,FALSE))</f>
        <v/>
      </c>
      <c r="G148" s="129" t="str">
        <f>IF($E148="","",G$141*VLOOKUP($A147,Products!$A$59:$H$158,8,FALSE))</f>
        <v/>
      </c>
    </row>
    <row r="149" spans="1:7" x14ac:dyDescent="0.2">
      <c r="A149" s="627" t="str">
        <f t="shared" si="24"/>
        <v>AAAAAAAA</v>
      </c>
      <c r="B149" s="628"/>
      <c r="C149" s="628"/>
      <c r="D149" s="628"/>
      <c r="E149" s="16" t="str">
        <f>IF($A148="","",IF(VLOOKUP($A148,Products!$A$59:$E$158,5,FALSE)="","",VLOOKUP($A148,Products!$A$59:$E$158,5,FALSE)))</f>
        <v/>
      </c>
      <c r="F149" s="128" t="str">
        <f>IF($E149="","",F$141*VLOOKUP($A148,Products!$A$59:$H$158,8,FALSE))</f>
        <v/>
      </c>
      <c r="G149" s="129" t="str">
        <f>IF($E149="","",G$141*VLOOKUP($A148,Products!$A$59:$H$158,8,FALSE))</f>
        <v/>
      </c>
    </row>
    <row r="150" spans="1:7" x14ac:dyDescent="0.2">
      <c r="A150" s="627" t="str">
        <f t="shared" si="24"/>
        <v>AAAAAAAAA</v>
      </c>
      <c r="B150" s="628"/>
      <c r="C150" s="628"/>
      <c r="D150" s="628"/>
      <c r="E150" s="16" t="str">
        <f>IF($A149="","",IF(VLOOKUP($A149,Products!$A$59:$E$158,5,FALSE)="","",VLOOKUP($A149,Products!$A$59:$E$158,5,FALSE)))</f>
        <v/>
      </c>
      <c r="F150" s="128" t="str">
        <f>IF($E150="","",F$141*VLOOKUP($A149,Products!$A$59:$H$158,8,FALSE))</f>
        <v/>
      </c>
      <c r="G150" s="129" t="str">
        <f>IF($E150="","",G$141*VLOOKUP($A149,Products!$A$59:$H$158,8,FALSE))</f>
        <v/>
      </c>
    </row>
    <row r="151" spans="1:7" x14ac:dyDescent="0.2">
      <c r="A151" s="627" t="str">
        <f t="shared" si="24"/>
        <v>AAAAAAAAAA</v>
      </c>
      <c r="B151" s="628"/>
      <c r="C151" s="628"/>
      <c r="D151" s="628"/>
      <c r="E151" s="16" t="str">
        <f>IF($A150="","",IF(VLOOKUP($A150,Products!$A$59:$E$158,5,FALSE)="","",VLOOKUP($A150,Products!$A$59:$E$158,5,FALSE)))</f>
        <v/>
      </c>
      <c r="F151" s="128" t="str">
        <f>IF($E151="","",F$141*VLOOKUP($A150,Products!$A$59:$H$158,8,FALSE))</f>
        <v/>
      </c>
      <c r="G151" s="129" t="str">
        <f>IF($E151="","",G$141*VLOOKUP($A150,Products!$A$59:$H$158,8,FALSE))</f>
        <v/>
      </c>
    </row>
    <row r="152" spans="1:7" x14ac:dyDescent="0.2">
      <c r="A152" s="780" t="str">
        <f>Hidden!DY4</f>
        <v/>
      </c>
      <c r="B152" s="656"/>
      <c r="C152" s="656"/>
      <c r="D152" s="656"/>
      <c r="E152" s="16" t="str">
        <f>IF($A152="","","Total VOC")</f>
        <v/>
      </c>
      <c r="F152" s="128">
        <f>VLOOKUP($A152,Hidden!$DY$2:$EA$11,2,FALSE)*(1-$D$23)</f>
        <v>0</v>
      </c>
      <c r="G152" s="129">
        <f>VLOOKUP($A152,Hidden!$DY$2:$EA$11,3,FALSE)*(1-$D$23)</f>
        <v>0</v>
      </c>
    </row>
    <row r="153" spans="1:7" x14ac:dyDescent="0.2">
      <c r="A153" s="627" t="str">
        <f>A152&amp;"A"</f>
        <v>A</v>
      </c>
      <c r="B153" s="628"/>
      <c r="C153" s="628"/>
      <c r="D153" s="628"/>
      <c r="E153" s="16" t="str">
        <f>IF($A152="","",IF(VLOOKUP($A152,Products!$A$59:$E$158,5,FALSE)="","",VLOOKUP($A152,Products!$A$59:$E$158,5,FALSE)))</f>
        <v/>
      </c>
      <c r="F153" s="128" t="str">
        <f>IF($E153="","",F$152*VLOOKUP($A152,Products!$A$59:$H$158,8,FALSE))</f>
        <v/>
      </c>
      <c r="G153" s="129" t="str">
        <f>IF($E153="","",G$152*VLOOKUP($A152,Products!$A$59:$H$158,8,FALSE))</f>
        <v/>
      </c>
    </row>
    <row r="154" spans="1:7" x14ac:dyDescent="0.2">
      <c r="A154" s="627" t="str">
        <f t="shared" ref="A154:A162" si="25">A153&amp;"A"</f>
        <v>AA</v>
      </c>
      <c r="B154" s="628"/>
      <c r="C154" s="628"/>
      <c r="D154" s="628"/>
      <c r="E154" s="16" t="str">
        <f>IF($A153="","",IF(VLOOKUP($A153,Products!$A$59:$E$158,5,FALSE)="","",VLOOKUP($A153,Products!$A$59:$E$158,5,FALSE)))</f>
        <v/>
      </c>
      <c r="F154" s="128" t="str">
        <f>IF($E154="","",F$152*VLOOKUP($A153,Products!$A$59:$H$158,8,FALSE))</f>
        <v/>
      </c>
      <c r="G154" s="129" t="str">
        <f>IF($E154="","",G$152*VLOOKUP($A153,Products!$A$59:$H$158,8,FALSE))</f>
        <v/>
      </c>
    </row>
    <row r="155" spans="1:7" x14ac:dyDescent="0.2">
      <c r="A155" s="627" t="str">
        <f t="shared" si="25"/>
        <v>AAA</v>
      </c>
      <c r="B155" s="628"/>
      <c r="C155" s="628"/>
      <c r="D155" s="628"/>
      <c r="E155" s="16" t="str">
        <f>IF($A154="","",IF(VLOOKUP($A154,Products!$A$59:$E$158,5,FALSE)="","",VLOOKUP($A154,Products!$A$59:$E$158,5,FALSE)))</f>
        <v/>
      </c>
      <c r="F155" s="128" t="str">
        <f>IF($E155="","",F$152*VLOOKUP($A154,Products!$A$59:$H$158,8,FALSE))</f>
        <v/>
      </c>
      <c r="G155" s="129" t="str">
        <f>IF($E155="","",G$152*VLOOKUP($A154,Products!$A$59:$H$158,8,FALSE))</f>
        <v/>
      </c>
    </row>
    <row r="156" spans="1:7" x14ac:dyDescent="0.2">
      <c r="A156" s="627" t="str">
        <f t="shared" si="25"/>
        <v>AAAA</v>
      </c>
      <c r="B156" s="628"/>
      <c r="C156" s="628"/>
      <c r="D156" s="628"/>
      <c r="E156" s="16" t="str">
        <f>IF($A155="","",IF(VLOOKUP($A155,Products!$A$59:$E$158,5,FALSE)="","",VLOOKUP($A155,Products!$A$59:$E$158,5,FALSE)))</f>
        <v/>
      </c>
      <c r="F156" s="128" t="str">
        <f>IF($E156="","",F$152*VLOOKUP($A155,Products!$A$59:$H$158,8,FALSE))</f>
        <v/>
      </c>
      <c r="G156" s="129" t="str">
        <f>IF($E156="","",G$152*VLOOKUP($A155,Products!$A$59:$H$158,8,FALSE))</f>
        <v/>
      </c>
    </row>
    <row r="157" spans="1:7" x14ac:dyDescent="0.2">
      <c r="A157" s="627" t="str">
        <f t="shared" si="25"/>
        <v>AAAAA</v>
      </c>
      <c r="B157" s="628"/>
      <c r="C157" s="628"/>
      <c r="D157" s="628"/>
      <c r="E157" s="16" t="str">
        <f>IF($A156="","",IF(VLOOKUP($A156,Products!$A$59:$E$158,5,FALSE)="","",VLOOKUP($A156,Products!$A$59:$E$158,5,FALSE)))</f>
        <v/>
      </c>
      <c r="F157" s="128" t="str">
        <f>IF($E157="","",F$152*VLOOKUP($A156,Products!$A$59:$H$158,8,FALSE))</f>
        <v/>
      </c>
      <c r="G157" s="129" t="str">
        <f>IF($E157="","",G$152*VLOOKUP($A156,Products!$A$59:$H$158,8,FALSE))</f>
        <v/>
      </c>
    </row>
    <row r="158" spans="1:7" x14ac:dyDescent="0.2">
      <c r="A158" s="627" t="str">
        <f t="shared" si="25"/>
        <v>AAAAAA</v>
      </c>
      <c r="B158" s="628"/>
      <c r="C158" s="628"/>
      <c r="D158" s="628"/>
      <c r="E158" s="16" t="str">
        <f>IF($A157="","",IF(VLOOKUP($A157,Products!$A$59:$E$158,5,FALSE)="","",VLOOKUP($A157,Products!$A$59:$E$158,5,FALSE)))</f>
        <v/>
      </c>
      <c r="F158" s="128" t="str">
        <f>IF($E158="","",F$152*VLOOKUP($A157,Products!$A$59:$H$158,8,FALSE))</f>
        <v/>
      </c>
      <c r="G158" s="129" t="str">
        <f>IF($E158="","",G$152*VLOOKUP($A157,Products!$A$59:$H$158,8,FALSE))</f>
        <v/>
      </c>
    </row>
    <row r="159" spans="1:7" x14ac:dyDescent="0.2">
      <c r="A159" s="627" t="str">
        <f t="shared" si="25"/>
        <v>AAAAAAA</v>
      </c>
      <c r="B159" s="628"/>
      <c r="C159" s="628"/>
      <c r="D159" s="628"/>
      <c r="E159" s="16" t="str">
        <f>IF($A158="","",IF(VLOOKUP($A158,Products!$A$59:$E$158,5,FALSE)="","",VLOOKUP($A158,Products!$A$59:$E$158,5,FALSE)))</f>
        <v/>
      </c>
      <c r="F159" s="128" t="str">
        <f>IF($E159="","",F$152*VLOOKUP($A158,Products!$A$59:$H$158,8,FALSE))</f>
        <v/>
      </c>
      <c r="G159" s="129" t="str">
        <f>IF($E159="","",G$152*VLOOKUP($A158,Products!$A$59:$H$158,8,FALSE))</f>
        <v/>
      </c>
    </row>
    <row r="160" spans="1:7" x14ac:dyDescent="0.2">
      <c r="A160" s="627" t="str">
        <f t="shared" si="25"/>
        <v>AAAAAAAA</v>
      </c>
      <c r="B160" s="628"/>
      <c r="C160" s="628"/>
      <c r="D160" s="628"/>
      <c r="E160" s="16" t="str">
        <f>IF($A159="","",IF(VLOOKUP($A159,Products!$A$59:$E$158,5,FALSE)="","",VLOOKUP($A159,Products!$A$59:$E$158,5,FALSE)))</f>
        <v/>
      </c>
      <c r="F160" s="128" t="str">
        <f>IF($E160="","",F$152*VLOOKUP($A159,Products!$A$59:$H$158,8,FALSE))</f>
        <v/>
      </c>
      <c r="G160" s="129" t="str">
        <f>IF($E160="","",G$152*VLOOKUP($A159,Products!$A$59:$H$158,8,FALSE))</f>
        <v/>
      </c>
    </row>
    <row r="161" spans="1:7" x14ac:dyDescent="0.2">
      <c r="A161" s="627" t="str">
        <f t="shared" si="25"/>
        <v>AAAAAAAAA</v>
      </c>
      <c r="B161" s="628"/>
      <c r="C161" s="628"/>
      <c r="D161" s="628"/>
      <c r="E161" s="16" t="str">
        <f>IF($A160="","",IF(VLOOKUP($A160,Products!$A$59:$E$158,5,FALSE)="","",VLOOKUP($A160,Products!$A$59:$E$158,5,FALSE)))</f>
        <v/>
      </c>
      <c r="F161" s="128" t="str">
        <f>IF($E161="","",F$152*VLOOKUP($A160,Products!$A$59:$H$158,8,FALSE))</f>
        <v/>
      </c>
      <c r="G161" s="129" t="str">
        <f>IF($E161="","",G$152*VLOOKUP($A160,Products!$A$59:$H$158,8,FALSE))</f>
        <v/>
      </c>
    </row>
    <row r="162" spans="1:7" x14ac:dyDescent="0.2">
      <c r="A162" s="627" t="str">
        <f t="shared" si="25"/>
        <v>AAAAAAAAAA</v>
      </c>
      <c r="B162" s="628"/>
      <c r="C162" s="628"/>
      <c r="D162" s="628"/>
      <c r="E162" s="16" t="str">
        <f>IF($A161="","",IF(VLOOKUP($A161,Products!$A$59:$E$158,5,FALSE)="","",VLOOKUP($A161,Products!$A$59:$E$158,5,FALSE)))</f>
        <v/>
      </c>
      <c r="F162" s="128" t="str">
        <f>IF($E162="","",F$152*VLOOKUP($A161,Products!$A$59:$H$158,8,FALSE))</f>
        <v/>
      </c>
      <c r="G162" s="129" t="str">
        <f>IF($E162="","",G$152*VLOOKUP($A161,Products!$A$59:$H$158,8,FALSE))</f>
        <v/>
      </c>
    </row>
    <row r="163" spans="1:7" x14ac:dyDescent="0.2">
      <c r="A163" s="780" t="str">
        <f>Hidden!DY5</f>
        <v/>
      </c>
      <c r="B163" s="656"/>
      <c r="C163" s="656"/>
      <c r="D163" s="656"/>
      <c r="E163" s="16" t="str">
        <f>IF($A163="","","Total VOC")</f>
        <v/>
      </c>
      <c r="F163" s="128">
        <f>VLOOKUP($A163,Hidden!$DY$2:$EA$11,2,FALSE)*(1-$D$23)</f>
        <v>0</v>
      </c>
      <c r="G163" s="129">
        <f>VLOOKUP($A163,Hidden!$DY$2:$EA$11,3,FALSE)*(1-$D$23)</f>
        <v>0</v>
      </c>
    </row>
    <row r="164" spans="1:7" x14ac:dyDescent="0.2">
      <c r="A164" s="627" t="str">
        <f>A163&amp;"A"</f>
        <v>A</v>
      </c>
      <c r="B164" s="628"/>
      <c r="C164" s="628"/>
      <c r="D164" s="628"/>
      <c r="E164" s="16" t="str">
        <f>IF($A163="","",IF(VLOOKUP($A163,Products!$A$59:$E$158,5,FALSE)="","",VLOOKUP($A163,Products!$A$59:$E$158,5,FALSE)))</f>
        <v/>
      </c>
      <c r="F164" s="128" t="str">
        <f>IF($E164="","",F$163*VLOOKUP($A163,Products!$A$59:$H$158,8,FALSE))</f>
        <v/>
      </c>
      <c r="G164" s="129" t="str">
        <f>IF($E164="","",G$163*VLOOKUP($A163,Products!$A$59:$H$158,8,FALSE))</f>
        <v/>
      </c>
    </row>
    <row r="165" spans="1:7" x14ac:dyDescent="0.2">
      <c r="A165" s="627" t="str">
        <f t="shared" ref="A165:A173" si="26">A164&amp;"A"</f>
        <v>AA</v>
      </c>
      <c r="B165" s="628"/>
      <c r="C165" s="628"/>
      <c r="D165" s="628"/>
      <c r="E165" s="16" t="str">
        <f>IF($A164="","",IF(VLOOKUP($A164,Products!$A$59:$E$158,5,FALSE)="","",VLOOKUP($A164,Products!$A$59:$E$158,5,FALSE)))</f>
        <v/>
      </c>
      <c r="F165" s="128" t="str">
        <f>IF($E165="","",F$163*VLOOKUP($A164,Products!$A$59:$H$158,8,FALSE))</f>
        <v/>
      </c>
      <c r="G165" s="129" t="str">
        <f>IF($E165="","",G$163*VLOOKUP($A164,Products!$A$59:$H$158,8,FALSE))</f>
        <v/>
      </c>
    </row>
    <row r="166" spans="1:7" x14ac:dyDescent="0.2">
      <c r="A166" s="627" t="str">
        <f t="shared" si="26"/>
        <v>AAA</v>
      </c>
      <c r="B166" s="628"/>
      <c r="C166" s="628"/>
      <c r="D166" s="628"/>
      <c r="E166" s="16" t="str">
        <f>IF($A165="","",IF(VLOOKUP($A165,Products!$A$59:$E$158,5,FALSE)="","",VLOOKUP($A165,Products!$A$59:$E$158,5,FALSE)))</f>
        <v/>
      </c>
      <c r="F166" s="128" t="str">
        <f>IF($E166="","",F$163*VLOOKUP($A165,Products!$A$59:$H$158,8,FALSE))</f>
        <v/>
      </c>
      <c r="G166" s="129" t="str">
        <f>IF($E166="","",G$163*VLOOKUP($A165,Products!$A$59:$H$158,8,FALSE))</f>
        <v/>
      </c>
    </row>
    <row r="167" spans="1:7" x14ac:dyDescent="0.2">
      <c r="A167" s="627" t="str">
        <f t="shared" si="26"/>
        <v>AAAA</v>
      </c>
      <c r="B167" s="628"/>
      <c r="C167" s="628"/>
      <c r="D167" s="628"/>
      <c r="E167" s="16" t="str">
        <f>IF($A166="","",IF(VLOOKUP($A166,Products!$A$59:$E$158,5,FALSE)="","",VLOOKUP($A166,Products!$A$59:$E$158,5,FALSE)))</f>
        <v/>
      </c>
      <c r="F167" s="128" t="str">
        <f>IF($E167="","",F$163*VLOOKUP($A166,Products!$A$59:$H$158,8,FALSE))</f>
        <v/>
      </c>
      <c r="G167" s="129" t="str">
        <f>IF($E167="","",G$163*VLOOKUP($A166,Products!$A$59:$H$158,8,FALSE))</f>
        <v/>
      </c>
    </row>
    <row r="168" spans="1:7" x14ac:dyDescent="0.2">
      <c r="A168" s="627" t="str">
        <f t="shared" si="26"/>
        <v>AAAAA</v>
      </c>
      <c r="B168" s="628"/>
      <c r="C168" s="628"/>
      <c r="D168" s="628"/>
      <c r="E168" s="16" t="str">
        <f>IF($A167="","",IF(VLOOKUP($A167,Products!$A$59:$E$158,5,FALSE)="","",VLOOKUP($A167,Products!$A$59:$E$158,5,FALSE)))</f>
        <v/>
      </c>
      <c r="F168" s="128" t="str">
        <f>IF($E168="","",F$163*VLOOKUP($A167,Products!$A$59:$H$158,8,FALSE))</f>
        <v/>
      </c>
      <c r="G168" s="129" t="str">
        <f>IF($E168="","",G$163*VLOOKUP($A167,Products!$A$59:$H$158,8,FALSE))</f>
        <v/>
      </c>
    </row>
    <row r="169" spans="1:7" x14ac:dyDescent="0.2">
      <c r="A169" s="627" t="str">
        <f t="shared" si="26"/>
        <v>AAAAAA</v>
      </c>
      <c r="B169" s="628"/>
      <c r="C169" s="628"/>
      <c r="D169" s="628"/>
      <c r="E169" s="16" t="str">
        <f>IF($A168="","",IF(VLOOKUP($A168,Products!$A$59:$E$158,5,FALSE)="","",VLOOKUP($A168,Products!$A$59:$E$158,5,FALSE)))</f>
        <v/>
      </c>
      <c r="F169" s="128" t="str">
        <f>IF($E169="","",F$163*VLOOKUP($A168,Products!$A$59:$H$158,8,FALSE))</f>
        <v/>
      </c>
      <c r="G169" s="129" t="str">
        <f>IF($E169="","",G$163*VLOOKUP($A168,Products!$A$59:$H$158,8,FALSE))</f>
        <v/>
      </c>
    </row>
    <row r="170" spans="1:7" x14ac:dyDescent="0.2">
      <c r="A170" s="627" t="str">
        <f t="shared" si="26"/>
        <v>AAAAAAA</v>
      </c>
      <c r="B170" s="628"/>
      <c r="C170" s="628"/>
      <c r="D170" s="628"/>
      <c r="E170" s="16" t="str">
        <f>IF($A169="","",IF(VLOOKUP($A169,Products!$A$59:$E$158,5,FALSE)="","",VLOOKUP($A169,Products!$A$59:$E$158,5,FALSE)))</f>
        <v/>
      </c>
      <c r="F170" s="128" t="str">
        <f>IF($E170="","",F$163*VLOOKUP($A169,Products!$A$59:$H$158,8,FALSE))</f>
        <v/>
      </c>
      <c r="G170" s="129" t="str">
        <f>IF($E170="","",G$163*VLOOKUP($A169,Products!$A$59:$H$158,8,FALSE))</f>
        <v/>
      </c>
    </row>
    <row r="171" spans="1:7" x14ac:dyDescent="0.2">
      <c r="A171" s="627" t="str">
        <f t="shared" si="26"/>
        <v>AAAAAAAA</v>
      </c>
      <c r="B171" s="628"/>
      <c r="C171" s="628"/>
      <c r="D171" s="628"/>
      <c r="E171" s="16" t="str">
        <f>IF($A170="","",IF(VLOOKUP($A170,Products!$A$59:$E$158,5,FALSE)="","",VLOOKUP($A170,Products!$A$59:$E$158,5,FALSE)))</f>
        <v/>
      </c>
      <c r="F171" s="128" t="str">
        <f>IF($E171="","",F$163*VLOOKUP($A170,Products!$A$59:$H$158,8,FALSE))</f>
        <v/>
      </c>
      <c r="G171" s="129" t="str">
        <f>IF($E171="","",G$163*VLOOKUP($A170,Products!$A$59:$H$158,8,FALSE))</f>
        <v/>
      </c>
    </row>
    <row r="172" spans="1:7" x14ac:dyDescent="0.2">
      <c r="A172" s="627" t="str">
        <f t="shared" si="26"/>
        <v>AAAAAAAAA</v>
      </c>
      <c r="B172" s="628"/>
      <c r="C172" s="628"/>
      <c r="D172" s="628"/>
      <c r="E172" s="16" t="str">
        <f>IF($A171="","",IF(VLOOKUP($A171,Products!$A$59:$E$158,5,FALSE)="","",VLOOKUP($A171,Products!$A$59:$E$158,5,FALSE)))</f>
        <v/>
      </c>
      <c r="F172" s="128" t="str">
        <f>IF($E172="","",F$163*VLOOKUP($A171,Products!$A$59:$H$158,8,FALSE))</f>
        <v/>
      </c>
      <c r="G172" s="129" t="str">
        <f>IF($E172="","",G$163*VLOOKUP($A171,Products!$A$59:$H$158,8,FALSE))</f>
        <v/>
      </c>
    </row>
    <row r="173" spans="1:7" x14ac:dyDescent="0.2">
      <c r="A173" s="627" t="str">
        <f t="shared" si="26"/>
        <v>AAAAAAAAAA</v>
      </c>
      <c r="B173" s="628"/>
      <c r="C173" s="628"/>
      <c r="D173" s="628"/>
      <c r="E173" s="16" t="str">
        <f>IF($A172="","",IF(VLOOKUP($A172,Products!$A$59:$E$158,5,FALSE)="","",VLOOKUP($A172,Products!$A$59:$E$158,5,FALSE)))</f>
        <v/>
      </c>
      <c r="F173" s="128" t="str">
        <f>IF($E173="","",F$163*VLOOKUP($A172,Products!$A$59:$H$158,8,FALSE))</f>
        <v/>
      </c>
      <c r="G173" s="129" t="str">
        <f>IF($E173="","",G$163*VLOOKUP($A172,Products!$A$59:$H$158,8,FALSE))</f>
        <v/>
      </c>
    </row>
    <row r="174" spans="1:7" x14ac:dyDescent="0.2">
      <c r="A174" s="780" t="str">
        <f>Hidden!DY6</f>
        <v/>
      </c>
      <c r="B174" s="656"/>
      <c r="C174" s="656"/>
      <c r="D174" s="656"/>
      <c r="E174" s="16" t="str">
        <f>IF($A174="","","Total VOC")</f>
        <v/>
      </c>
      <c r="F174" s="128">
        <f>VLOOKUP($A174,Hidden!$DY$2:$EA$11,2,FALSE)*(1-$D$23)</f>
        <v>0</v>
      </c>
      <c r="G174" s="129">
        <f>VLOOKUP($A174,Hidden!$DY$2:$EA$11,3,FALSE)*(1-$D$23)</f>
        <v>0</v>
      </c>
    </row>
    <row r="175" spans="1:7" x14ac:dyDescent="0.2">
      <c r="A175" s="627" t="str">
        <f>A174&amp;"A"</f>
        <v>A</v>
      </c>
      <c r="B175" s="628"/>
      <c r="C175" s="628"/>
      <c r="D175" s="628"/>
      <c r="E175" s="16" t="str">
        <f>IF($A174="","",IF(VLOOKUP($A174,Products!$A$59:$E$158,5,FALSE)="","",VLOOKUP($A174,Products!$A$59:$E$158,5,FALSE)))</f>
        <v/>
      </c>
      <c r="F175" s="128" t="str">
        <f>IF($E175="","",F$174*VLOOKUP($A174,Products!$A$59:$H$158,8,FALSE))</f>
        <v/>
      </c>
      <c r="G175" s="129" t="str">
        <f>IF($E175="","",G$174*VLOOKUP($A174,Products!$A$59:$H$158,8,FALSE))</f>
        <v/>
      </c>
    </row>
    <row r="176" spans="1:7" x14ac:dyDescent="0.2">
      <c r="A176" s="627" t="str">
        <f t="shared" ref="A176:A184" si="27">A175&amp;"A"</f>
        <v>AA</v>
      </c>
      <c r="B176" s="628"/>
      <c r="C176" s="628"/>
      <c r="D176" s="628"/>
      <c r="E176" s="16" t="str">
        <f>IF($A175="","",IF(VLOOKUP($A175,Products!$A$59:$E$158,5,FALSE)="","",VLOOKUP($A175,Products!$A$59:$E$158,5,FALSE)))</f>
        <v/>
      </c>
      <c r="F176" s="128" t="str">
        <f>IF($E176="","",F$174*VLOOKUP($A175,Products!$A$59:$H$158,8,FALSE))</f>
        <v/>
      </c>
      <c r="G176" s="129" t="str">
        <f>IF($E176="","",G$174*VLOOKUP($A175,Products!$A$59:$H$158,8,FALSE))</f>
        <v/>
      </c>
    </row>
    <row r="177" spans="1:7" x14ac:dyDescent="0.2">
      <c r="A177" s="627" t="str">
        <f t="shared" si="27"/>
        <v>AAA</v>
      </c>
      <c r="B177" s="628"/>
      <c r="C177" s="628"/>
      <c r="D177" s="628"/>
      <c r="E177" s="16" t="str">
        <f>IF($A176="","",IF(VLOOKUP($A176,Products!$A$59:$E$158,5,FALSE)="","",VLOOKUP($A176,Products!$A$59:$E$158,5,FALSE)))</f>
        <v/>
      </c>
      <c r="F177" s="128" t="str">
        <f>IF($E177="","",F$174*VLOOKUP($A176,Products!$A$59:$H$158,8,FALSE))</f>
        <v/>
      </c>
      <c r="G177" s="129" t="str">
        <f>IF($E177="","",G$174*VLOOKUP($A176,Products!$A$59:$H$158,8,FALSE))</f>
        <v/>
      </c>
    </row>
    <row r="178" spans="1:7" x14ac:dyDescent="0.2">
      <c r="A178" s="627" t="str">
        <f t="shared" si="27"/>
        <v>AAAA</v>
      </c>
      <c r="B178" s="628"/>
      <c r="C178" s="628"/>
      <c r="D178" s="628"/>
      <c r="E178" s="16" t="str">
        <f>IF($A177="","",IF(VLOOKUP($A177,Products!$A$59:$E$158,5,FALSE)="","",VLOOKUP($A177,Products!$A$59:$E$158,5,FALSE)))</f>
        <v/>
      </c>
      <c r="F178" s="128" t="str">
        <f>IF($E178="","",F$174*VLOOKUP($A177,Products!$A$59:$H$158,8,FALSE))</f>
        <v/>
      </c>
      <c r="G178" s="129" t="str">
        <f>IF($E178="","",G$174*VLOOKUP($A177,Products!$A$59:$H$158,8,FALSE))</f>
        <v/>
      </c>
    </row>
    <row r="179" spans="1:7" x14ac:dyDescent="0.2">
      <c r="A179" s="627" t="str">
        <f t="shared" si="27"/>
        <v>AAAAA</v>
      </c>
      <c r="B179" s="628"/>
      <c r="C179" s="628"/>
      <c r="D179" s="628"/>
      <c r="E179" s="16" t="str">
        <f>IF($A178="","",IF(VLOOKUP($A178,Products!$A$59:$E$158,5,FALSE)="","",VLOOKUP($A178,Products!$A$59:$E$158,5,FALSE)))</f>
        <v/>
      </c>
      <c r="F179" s="128" t="str">
        <f>IF($E179="","",F$174*VLOOKUP($A178,Products!$A$59:$H$158,8,FALSE))</f>
        <v/>
      </c>
      <c r="G179" s="129" t="str">
        <f>IF($E179="","",G$174*VLOOKUP($A178,Products!$A$59:$H$158,8,FALSE))</f>
        <v/>
      </c>
    </row>
    <row r="180" spans="1:7" x14ac:dyDescent="0.2">
      <c r="A180" s="627" t="str">
        <f t="shared" si="27"/>
        <v>AAAAAA</v>
      </c>
      <c r="B180" s="628"/>
      <c r="C180" s="628"/>
      <c r="D180" s="628"/>
      <c r="E180" s="16" t="str">
        <f>IF($A179="","",IF(VLOOKUP($A179,Products!$A$59:$E$158,5,FALSE)="","",VLOOKUP($A179,Products!$A$59:$E$158,5,FALSE)))</f>
        <v/>
      </c>
      <c r="F180" s="128" t="str">
        <f>IF($E180="","",F$174*VLOOKUP($A179,Products!$A$59:$H$158,8,FALSE))</f>
        <v/>
      </c>
      <c r="G180" s="129" t="str">
        <f>IF($E180="","",G$174*VLOOKUP($A179,Products!$A$59:$H$158,8,FALSE))</f>
        <v/>
      </c>
    </row>
    <row r="181" spans="1:7" x14ac:dyDescent="0.2">
      <c r="A181" s="627" t="str">
        <f t="shared" si="27"/>
        <v>AAAAAAA</v>
      </c>
      <c r="B181" s="628"/>
      <c r="C181" s="628"/>
      <c r="D181" s="628"/>
      <c r="E181" s="16" t="str">
        <f>IF($A180="","",IF(VLOOKUP($A180,Products!$A$59:$E$158,5,FALSE)="","",VLOOKUP($A180,Products!$A$59:$E$158,5,FALSE)))</f>
        <v/>
      </c>
      <c r="F181" s="128" t="str">
        <f>IF($E181="","",F$174*VLOOKUP($A180,Products!$A$59:$H$158,8,FALSE))</f>
        <v/>
      </c>
      <c r="G181" s="129" t="str">
        <f>IF($E181="","",G$174*VLOOKUP($A180,Products!$A$59:$H$158,8,FALSE))</f>
        <v/>
      </c>
    </row>
    <row r="182" spans="1:7" x14ac:dyDescent="0.2">
      <c r="A182" s="627" t="str">
        <f t="shared" si="27"/>
        <v>AAAAAAAA</v>
      </c>
      <c r="B182" s="628"/>
      <c r="C182" s="628"/>
      <c r="D182" s="628"/>
      <c r="E182" s="16" t="str">
        <f>IF($A181="","",IF(VLOOKUP($A181,Products!$A$59:$E$158,5,FALSE)="","",VLOOKUP($A181,Products!$A$59:$E$158,5,FALSE)))</f>
        <v/>
      </c>
      <c r="F182" s="128" t="str">
        <f>IF($E182="","",F$174*VLOOKUP($A181,Products!$A$59:$H$158,8,FALSE))</f>
        <v/>
      </c>
      <c r="G182" s="129" t="str">
        <f>IF($E182="","",G$174*VLOOKUP($A181,Products!$A$59:$H$158,8,FALSE))</f>
        <v/>
      </c>
    </row>
    <row r="183" spans="1:7" x14ac:dyDescent="0.2">
      <c r="A183" s="627" t="str">
        <f t="shared" si="27"/>
        <v>AAAAAAAAA</v>
      </c>
      <c r="B183" s="628"/>
      <c r="C183" s="628"/>
      <c r="D183" s="628"/>
      <c r="E183" s="16" t="str">
        <f>IF($A182="","",IF(VLOOKUP($A182,Products!$A$59:$E$158,5,FALSE)="","",VLOOKUP($A182,Products!$A$59:$E$158,5,FALSE)))</f>
        <v/>
      </c>
      <c r="F183" s="128" t="str">
        <f>IF($E183="","",F$174*VLOOKUP($A182,Products!$A$59:$H$158,8,FALSE))</f>
        <v/>
      </c>
      <c r="G183" s="129" t="str">
        <f>IF($E183="","",G$174*VLOOKUP($A182,Products!$A$59:$H$158,8,FALSE))</f>
        <v/>
      </c>
    </row>
    <row r="184" spans="1:7" x14ac:dyDescent="0.2">
      <c r="A184" s="627" t="str">
        <f t="shared" si="27"/>
        <v>AAAAAAAAAA</v>
      </c>
      <c r="B184" s="628"/>
      <c r="C184" s="628"/>
      <c r="D184" s="628"/>
      <c r="E184" s="16" t="str">
        <f>IF($A183="","",IF(VLOOKUP($A183,Products!$A$59:$E$158,5,FALSE)="","",VLOOKUP($A183,Products!$A$59:$E$158,5,FALSE)))</f>
        <v/>
      </c>
      <c r="F184" s="128" t="str">
        <f>IF(OR($A$174="",$E184=""),"",$F$174*VLOOKUP($E184,Products!$E$59:$H$158,4,FALSE))</f>
        <v/>
      </c>
      <c r="G184" s="129" t="str">
        <f>IF(OR($A$174="",$E184=""),"",$G$174*VLOOKUP($E184,Products!$E$59:$H$158,4,FALSE))</f>
        <v/>
      </c>
    </row>
    <row r="185" spans="1:7" x14ac:dyDescent="0.2">
      <c r="A185" s="780" t="str">
        <f>Hidden!DY7</f>
        <v/>
      </c>
      <c r="B185" s="656"/>
      <c r="C185" s="656"/>
      <c r="D185" s="656"/>
      <c r="E185" s="16" t="str">
        <f>IF($A185="","","Total VOC")</f>
        <v/>
      </c>
      <c r="F185" s="128">
        <f>VLOOKUP($A185,Hidden!$DY$2:$EA$11,2,FALSE)*(1-$D$23)</f>
        <v>0</v>
      </c>
      <c r="G185" s="129">
        <f>VLOOKUP($A185,Hidden!$DY$2:$EA$11,3,FALSE)*(1-$D$23)</f>
        <v>0</v>
      </c>
    </row>
    <row r="186" spans="1:7" x14ac:dyDescent="0.2">
      <c r="A186" s="627" t="str">
        <f>A185&amp;"A"</f>
        <v>A</v>
      </c>
      <c r="B186" s="628"/>
      <c r="C186" s="628"/>
      <c r="D186" s="628"/>
      <c r="E186" s="16" t="str">
        <f>IF($A185="","",IF(VLOOKUP($A185,Products!$A$59:$E$158,5,FALSE)="","",VLOOKUP($A185,Products!$A$59:$E$158,5,FALSE)))</f>
        <v/>
      </c>
      <c r="F186" s="128" t="str">
        <f>IF($E186="","",F$185*VLOOKUP($A185,Products!$A$59:$H$158,8,FALSE))</f>
        <v/>
      </c>
      <c r="G186" s="129" t="str">
        <f>IF($E186="","",G$185*VLOOKUP($A185,Products!$A$59:$H$158,8,FALSE))</f>
        <v/>
      </c>
    </row>
    <row r="187" spans="1:7" x14ac:dyDescent="0.2">
      <c r="A187" s="627" t="str">
        <f t="shared" ref="A187:A195" si="28">A186&amp;"A"</f>
        <v>AA</v>
      </c>
      <c r="B187" s="628"/>
      <c r="C187" s="628"/>
      <c r="D187" s="628"/>
      <c r="E187" s="16" t="str">
        <f>IF($A186="","",IF(VLOOKUP($A186,Products!$A$59:$E$158,5,FALSE)="","",VLOOKUP($A186,Products!$A$59:$E$158,5,FALSE)))</f>
        <v/>
      </c>
      <c r="F187" s="128" t="str">
        <f>IF($E187="","",F$185*VLOOKUP($A186,Products!$A$59:$H$158,8,FALSE))</f>
        <v/>
      </c>
      <c r="G187" s="129" t="str">
        <f>IF($E187="","",G$185*VLOOKUP($A186,Products!$A$59:$H$158,8,FALSE))</f>
        <v/>
      </c>
    </row>
    <row r="188" spans="1:7" x14ac:dyDescent="0.2">
      <c r="A188" s="627" t="str">
        <f t="shared" si="28"/>
        <v>AAA</v>
      </c>
      <c r="B188" s="628"/>
      <c r="C188" s="628"/>
      <c r="D188" s="628"/>
      <c r="E188" s="16" t="str">
        <f>IF($A187="","",IF(VLOOKUP($A187,Products!$A$59:$E$158,5,FALSE)="","",VLOOKUP($A187,Products!$A$59:$E$158,5,FALSE)))</f>
        <v/>
      </c>
      <c r="F188" s="128" t="str">
        <f>IF($E188="","",F$185*VLOOKUP($A187,Products!$A$59:$H$158,8,FALSE))</f>
        <v/>
      </c>
      <c r="G188" s="129" t="str">
        <f>IF($E188="","",G$185*VLOOKUP($A187,Products!$A$59:$H$158,8,FALSE))</f>
        <v/>
      </c>
    </row>
    <row r="189" spans="1:7" x14ac:dyDescent="0.2">
      <c r="A189" s="627" t="str">
        <f t="shared" si="28"/>
        <v>AAAA</v>
      </c>
      <c r="B189" s="628"/>
      <c r="C189" s="628"/>
      <c r="D189" s="628"/>
      <c r="E189" s="16" t="str">
        <f>IF($A188="","",IF(VLOOKUP($A188,Products!$A$59:$E$158,5,FALSE)="","",VLOOKUP($A188,Products!$A$59:$E$158,5,FALSE)))</f>
        <v/>
      </c>
      <c r="F189" s="128" t="str">
        <f>IF($E189="","",F$185*VLOOKUP($A188,Products!$A$59:$H$158,8,FALSE))</f>
        <v/>
      </c>
      <c r="G189" s="129" t="str">
        <f>IF($E189="","",G$185*VLOOKUP($A188,Products!$A$59:$H$158,8,FALSE))</f>
        <v/>
      </c>
    </row>
    <row r="190" spans="1:7" x14ac:dyDescent="0.2">
      <c r="A190" s="627" t="str">
        <f t="shared" si="28"/>
        <v>AAAAA</v>
      </c>
      <c r="B190" s="628"/>
      <c r="C190" s="628"/>
      <c r="D190" s="628"/>
      <c r="E190" s="16" t="str">
        <f>IF($A189="","",IF(VLOOKUP($A189,Products!$A$59:$E$158,5,FALSE)="","",VLOOKUP($A189,Products!$A$59:$E$158,5,FALSE)))</f>
        <v/>
      </c>
      <c r="F190" s="128" t="str">
        <f>IF($E190="","",F$185*VLOOKUP($A189,Products!$A$59:$H$158,8,FALSE))</f>
        <v/>
      </c>
      <c r="G190" s="129" t="str">
        <f>IF($E190="","",G$185*VLOOKUP($A189,Products!$A$59:$H$158,8,FALSE))</f>
        <v/>
      </c>
    </row>
    <row r="191" spans="1:7" x14ac:dyDescent="0.2">
      <c r="A191" s="627" t="str">
        <f t="shared" si="28"/>
        <v>AAAAAA</v>
      </c>
      <c r="B191" s="628"/>
      <c r="C191" s="628"/>
      <c r="D191" s="628"/>
      <c r="E191" s="16" t="str">
        <f>IF($A190="","",IF(VLOOKUP($A190,Products!$A$59:$E$158,5,FALSE)="","",VLOOKUP($A190,Products!$A$59:$E$158,5,FALSE)))</f>
        <v/>
      </c>
      <c r="F191" s="128" t="str">
        <f>IF($E191="","",F$185*VLOOKUP($A190,Products!$A$59:$H$158,8,FALSE))</f>
        <v/>
      </c>
      <c r="G191" s="129" t="str">
        <f>IF($E191="","",G$185*VLOOKUP($A190,Products!$A$59:$H$158,8,FALSE))</f>
        <v/>
      </c>
    </row>
    <row r="192" spans="1:7" x14ac:dyDescent="0.2">
      <c r="A192" s="627" t="str">
        <f t="shared" si="28"/>
        <v>AAAAAAA</v>
      </c>
      <c r="B192" s="628"/>
      <c r="C192" s="628"/>
      <c r="D192" s="628"/>
      <c r="E192" s="16" t="str">
        <f>IF($A191="","",IF(VLOOKUP($A191,Products!$A$59:$E$158,5,FALSE)="","",VLOOKUP($A191,Products!$A$59:$E$158,5,FALSE)))</f>
        <v/>
      </c>
      <c r="F192" s="128" t="str">
        <f>IF($E192="","",F$185*VLOOKUP($A191,Products!$A$59:$H$158,8,FALSE))</f>
        <v/>
      </c>
      <c r="G192" s="129" t="str">
        <f>IF($E192="","",G$185*VLOOKUP($A191,Products!$A$59:$H$158,8,FALSE))</f>
        <v/>
      </c>
    </row>
    <row r="193" spans="1:7" x14ac:dyDescent="0.2">
      <c r="A193" s="627" t="str">
        <f t="shared" si="28"/>
        <v>AAAAAAAA</v>
      </c>
      <c r="B193" s="628"/>
      <c r="C193" s="628"/>
      <c r="D193" s="628"/>
      <c r="E193" s="16" t="str">
        <f>IF($A192="","",IF(VLOOKUP($A192,Products!$A$59:$E$158,5,FALSE)="","",VLOOKUP($A192,Products!$A$59:$E$158,5,FALSE)))</f>
        <v/>
      </c>
      <c r="F193" s="128" t="str">
        <f>IF($E193="","",F$185*VLOOKUP($A192,Products!$A$59:$H$158,8,FALSE))</f>
        <v/>
      </c>
      <c r="G193" s="129" t="str">
        <f>IF($E193="","",G$185*VLOOKUP($A192,Products!$A$59:$H$158,8,FALSE))</f>
        <v/>
      </c>
    </row>
    <row r="194" spans="1:7" x14ac:dyDescent="0.2">
      <c r="A194" s="627" t="str">
        <f t="shared" si="28"/>
        <v>AAAAAAAAA</v>
      </c>
      <c r="B194" s="628"/>
      <c r="C194" s="628"/>
      <c r="D194" s="628"/>
      <c r="E194" s="16" t="str">
        <f>IF($A193="","",IF(VLOOKUP($A193,Products!$A$59:$E$158,5,FALSE)="","",VLOOKUP($A193,Products!$A$59:$E$158,5,FALSE)))</f>
        <v/>
      </c>
      <c r="F194" s="128" t="str">
        <f>IF($E194="","",F$185*VLOOKUP($A193,Products!$A$59:$H$158,8,FALSE))</f>
        <v/>
      </c>
      <c r="G194" s="129" t="str">
        <f>IF($E194="","",G$185*VLOOKUP($A193,Products!$A$59:$H$158,8,FALSE))</f>
        <v/>
      </c>
    </row>
    <row r="195" spans="1:7" x14ac:dyDescent="0.2">
      <c r="A195" s="627" t="str">
        <f t="shared" si="28"/>
        <v>AAAAAAAAAA</v>
      </c>
      <c r="B195" s="628"/>
      <c r="C195" s="628"/>
      <c r="D195" s="628"/>
      <c r="E195" s="16" t="str">
        <f>IF($A194="","",IF(VLOOKUP($A194,Products!$A$59:$E$158,5,FALSE)="","",VLOOKUP($A194,Products!$A$59:$E$158,5,FALSE)))</f>
        <v/>
      </c>
      <c r="F195" s="128" t="str">
        <f>IF($E195="","",F$185*VLOOKUP($A194,Products!$A$59:$H$158,8,FALSE))</f>
        <v/>
      </c>
      <c r="G195" s="129" t="str">
        <f>IF($E195="","",G$185*VLOOKUP($A194,Products!$A$59:$H$158,8,FALSE))</f>
        <v/>
      </c>
    </row>
    <row r="196" spans="1:7" x14ac:dyDescent="0.2">
      <c r="A196" s="780" t="str">
        <f>Hidden!DY8</f>
        <v/>
      </c>
      <c r="B196" s="656"/>
      <c r="C196" s="656"/>
      <c r="D196" s="656"/>
      <c r="E196" s="16" t="str">
        <f>IF($A196="","","Total VOC")</f>
        <v/>
      </c>
      <c r="F196" s="128">
        <f>VLOOKUP($A196,Hidden!$DY$2:$EA$11,2,FALSE)*(1-$D$23)</f>
        <v>0</v>
      </c>
      <c r="G196" s="129">
        <f>VLOOKUP($A196,Hidden!$DY$2:$EA$11,3,FALSE)*(1-$D$23)</f>
        <v>0</v>
      </c>
    </row>
    <row r="197" spans="1:7" x14ac:dyDescent="0.2">
      <c r="A197" s="627" t="str">
        <f>A196&amp;"A"</f>
        <v>A</v>
      </c>
      <c r="B197" s="628"/>
      <c r="C197" s="628"/>
      <c r="D197" s="628"/>
      <c r="E197" s="16" t="str">
        <f>IF($A196="","",IF(VLOOKUP($A196,Products!$A$59:$E$158,5,FALSE)="","",VLOOKUP($A196,Products!$A$59:$E$158,5,FALSE)))</f>
        <v/>
      </c>
      <c r="F197" s="128" t="str">
        <f>IF($E197="","",F$196*VLOOKUP($A196,Products!$A$59:$H$158,8,FALSE))</f>
        <v/>
      </c>
      <c r="G197" s="129" t="str">
        <f>IF($E197="","",G$196*VLOOKUP($A196,Products!$A$59:$H$158,8,FALSE))</f>
        <v/>
      </c>
    </row>
    <row r="198" spans="1:7" x14ac:dyDescent="0.2">
      <c r="A198" s="627" t="str">
        <f t="shared" ref="A198:A206" si="29">A197&amp;"A"</f>
        <v>AA</v>
      </c>
      <c r="B198" s="628"/>
      <c r="C198" s="628"/>
      <c r="D198" s="628"/>
      <c r="E198" s="16" t="str">
        <f>IF($A197="","",IF(VLOOKUP($A197,Products!$A$59:$E$158,5,FALSE)="","",VLOOKUP($A197,Products!$A$59:$E$158,5,FALSE)))</f>
        <v/>
      </c>
      <c r="F198" s="128" t="str">
        <f>IF($E198="","",F$196*VLOOKUP($A197,Products!$A$59:$H$158,8,FALSE))</f>
        <v/>
      </c>
      <c r="G198" s="129" t="str">
        <f>IF($E198="","",G$196*VLOOKUP($A197,Products!$A$59:$H$158,8,FALSE))</f>
        <v/>
      </c>
    </row>
    <row r="199" spans="1:7" x14ac:dyDescent="0.2">
      <c r="A199" s="627" t="str">
        <f t="shared" si="29"/>
        <v>AAA</v>
      </c>
      <c r="B199" s="628"/>
      <c r="C199" s="628"/>
      <c r="D199" s="628"/>
      <c r="E199" s="16" t="str">
        <f>IF($A198="","",IF(VLOOKUP($A198,Products!$A$59:$E$158,5,FALSE)="","",VLOOKUP($A198,Products!$A$59:$E$158,5,FALSE)))</f>
        <v/>
      </c>
      <c r="F199" s="128" t="str">
        <f>IF($E199="","",F$196*VLOOKUP($A198,Products!$A$59:$H$158,8,FALSE))</f>
        <v/>
      </c>
      <c r="G199" s="129" t="str">
        <f>IF($E199="","",G$196*VLOOKUP($A198,Products!$A$59:$H$158,8,FALSE))</f>
        <v/>
      </c>
    </row>
    <row r="200" spans="1:7" x14ac:dyDescent="0.2">
      <c r="A200" s="627" t="str">
        <f t="shared" si="29"/>
        <v>AAAA</v>
      </c>
      <c r="B200" s="628"/>
      <c r="C200" s="628"/>
      <c r="D200" s="628"/>
      <c r="E200" s="16" t="str">
        <f>IF($A199="","",IF(VLOOKUP($A199,Products!$A$59:$E$158,5,FALSE)="","",VLOOKUP($A199,Products!$A$59:$E$158,5,FALSE)))</f>
        <v/>
      </c>
      <c r="F200" s="128" t="str">
        <f>IF($E200="","",F$196*VLOOKUP($A199,Products!$A$59:$H$158,8,FALSE))</f>
        <v/>
      </c>
      <c r="G200" s="129" t="str">
        <f>IF($E200="","",G$196*VLOOKUP($A199,Products!$A$59:$H$158,8,FALSE))</f>
        <v/>
      </c>
    </row>
    <row r="201" spans="1:7" x14ac:dyDescent="0.2">
      <c r="A201" s="627" t="str">
        <f t="shared" si="29"/>
        <v>AAAAA</v>
      </c>
      <c r="B201" s="628"/>
      <c r="C201" s="628"/>
      <c r="D201" s="628"/>
      <c r="E201" s="16" t="str">
        <f>IF($A200="","",IF(VLOOKUP($A200,Products!$A$59:$E$158,5,FALSE)="","",VLOOKUP($A200,Products!$A$59:$E$158,5,FALSE)))</f>
        <v/>
      </c>
      <c r="F201" s="128" t="str">
        <f>IF($E201="","",F$196*VLOOKUP($A200,Products!$A$59:$H$158,8,FALSE))</f>
        <v/>
      </c>
      <c r="G201" s="129" t="str">
        <f>IF($E201="","",G$196*VLOOKUP($A200,Products!$A$59:$H$158,8,FALSE))</f>
        <v/>
      </c>
    </row>
    <row r="202" spans="1:7" x14ac:dyDescent="0.2">
      <c r="A202" s="627" t="str">
        <f t="shared" si="29"/>
        <v>AAAAAA</v>
      </c>
      <c r="B202" s="628"/>
      <c r="C202" s="628"/>
      <c r="D202" s="628"/>
      <c r="E202" s="16" t="str">
        <f>IF($A201="","",IF(VLOOKUP($A201,Products!$A$59:$E$158,5,FALSE)="","",VLOOKUP($A201,Products!$A$59:$E$158,5,FALSE)))</f>
        <v/>
      </c>
      <c r="F202" s="128" t="str">
        <f>IF($E202="","",F$196*VLOOKUP($A201,Products!$A$59:$H$158,8,FALSE))</f>
        <v/>
      </c>
      <c r="G202" s="129" t="str">
        <f>IF($E202="","",G$196*VLOOKUP($A201,Products!$A$59:$H$158,8,FALSE))</f>
        <v/>
      </c>
    </row>
    <row r="203" spans="1:7" x14ac:dyDescent="0.2">
      <c r="A203" s="627" t="str">
        <f t="shared" si="29"/>
        <v>AAAAAAA</v>
      </c>
      <c r="B203" s="628"/>
      <c r="C203" s="628"/>
      <c r="D203" s="628"/>
      <c r="E203" s="16" t="str">
        <f>IF($A202="","",IF(VLOOKUP($A202,Products!$A$59:$E$158,5,FALSE)="","",VLOOKUP($A202,Products!$A$59:$E$158,5,FALSE)))</f>
        <v/>
      </c>
      <c r="F203" s="128" t="str">
        <f>IF($E203="","",F$196*VLOOKUP($A202,Products!$A$59:$H$158,8,FALSE))</f>
        <v/>
      </c>
      <c r="G203" s="129" t="str">
        <f>IF($E203="","",G$196*VLOOKUP($A202,Products!$A$59:$H$158,8,FALSE))</f>
        <v/>
      </c>
    </row>
    <row r="204" spans="1:7" x14ac:dyDescent="0.2">
      <c r="A204" s="627" t="str">
        <f t="shared" si="29"/>
        <v>AAAAAAAA</v>
      </c>
      <c r="B204" s="628"/>
      <c r="C204" s="628"/>
      <c r="D204" s="628"/>
      <c r="E204" s="16" t="str">
        <f>IF($A203="","",IF(VLOOKUP($A203,Products!$A$59:$E$158,5,FALSE)="","",VLOOKUP($A203,Products!$A$59:$E$158,5,FALSE)))</f>
        <v/>
      </c>
      <c r="F204" s="128" t="str">
        <f>IF($E204="","",F$196*VLOOKUP($A203,Products!$A$59:$H$158,8,FALSE))</f>
        <v/>
      </c>
      <c r="G204" s="129" t="str">
        <f>IF($E204="","",G$196*VLOOKUP($A203,Products!$A$59:$H$158,8,FALSE))</f>
        <v/>
      </c>
    </row>
    <row r="205" spans="1:7" x14ac:dyDescent="0.2">
      <c r="A205" s="627" t="str">
        <f t="shared" si="29"/>
        <v>AAAAAAAAA</v>
      </c>
      <c r="B205" s="628"/>
      <c r="C205" s="628"/>
      <c r="D205" s="628"/>
      <c r="E205" s="16" t="str">
        <f>IF($A204="","",IF(VLOOKUP($A204,Products!$A$59:$E$158,5,FALSE)="","",VLOOKUP($A204,Products!$A$59:$E$158,5,FALSE)))</f>
        <v/>
      </c>
      <c r="F205" s="128" t="str">
        <f>IF($E205="","",F$196*VLOOKUP($A204,Products!$A$59:$H$158,8,FALSE))</f>
        <v/>
      </c>
      <c r="G205" s="129" t="str">
        <f>IF($E205="","",G$196*VLOOKUP($A204,Products!$A$59:$H$158,8,FALSE))</f>
        <v/>
      </c>
    </row>
    <row r="206" spans="1:7" x14ac:dyDescent="0.2">
      <c r="A206" s="627" t="str">
        <f t="shared" si="29"/>
        <v>AAAAAAAAAA</v>
      </c>
      <c r="B206" s="628"/>
      <c r="C206" s="628"/>
      <c r="D206" s="628"/>
      <c r="E206" s="16" t="str">
        <f>IF($A205="","",IF(VLOOKUP($A205,Products!$A$59:$E$158,5,FALSE)="","",VLOOKUP($A205,Products!$A$59:$E$158,5,FALSE)))</f>
        <v/>
      </c>
      <c r="F206" s="128" t="str">
        <f>IF($E206="","",F$196*VLOOKUP($A205,Products!$A$59:$H$158,8,FALSE))</f>
        <v/>
      </c>
      <c r="G206" s="129" t="str">
        <f>IF($E206="","",G$196*VLOOKUP($A205,Products!$A$59:$H$158,8,FALSE))</f>
        <v/>
      </c>
    </row>
    <row r="207" spans="1:7" x14ac:dyDescent="0.2">
      <c r="A207" s="780" t="str">
        <f>Hidden!DY9</f>
        <v/>
      </c>
      <c r="B207" s="656"/>
      <c r="C207" s="656"/>
      <c r="D207" s="656"/>
      <c r="E207" s="16" t="str">
        <f>IF($A207="","","Total VOC")</f>
        <v/>
      </c>
      <c r="F207" s="128">
        <f>VLOOKUP($A207,Hidden!$DY$2:$EA$11,2,FALSE)*(1-$D$23)</f>
        <v>0</v>
      </c>
      <c r="G207" s="129">
        <f>VLOOKUP($A207,Hidden!$DY$2:$EA$11,3,FALSE)*(1-$D$23)</f>
        <v>0</v>
      </c>
    </row>
    <row r="208" spans="1:7" x14ac:dyDescent="0.2">
      <c r="A208" s="627" t="str">
        <f>A207&amp;"A"</f>
        <v>A</v>
      </c>
      <c r="B208" s="628"/>
      <c r="C208" s="628"/>
      <c r="D208" s="628"/>
      <c r="E208" s="16" t="str">
        <f>IF($A207="","",IF(VLOOKUP($A207,Products!$A$59:$E$158,5,FALSE)="","",VLOOKUP($A207,Products!$A$59:$E$158,5,FALSE)))</f>
        <v/>
      </c>
      <c r="F208" s="128" t="str">
        <f>IF($E208="","",F$207*VLOOKUP($A207,Products!$A$59:$H$158,8,FALSE))</f>
        <v/>
      </c>
      <c r="G208" s="129" t="str">
        <f>IF($E208="","",G$207*VLOOKUP($A207,Products!$A$59:$H$158,8,FALSE))</f>
        <v/>
      </c>
    </row>
    <row r="209" spans="1:7" x14ac:dyDescent="0.2">
      <c r="A209" s="627" t="str">
        <f t="shared" ref="A209:A217" si="30">A208&amp;"A"</f>
        <v>AA</v>
      </c>
      <c r="B209" s="628"/>
      <c r="C209" s="628"/>
      <c r="D209" s="628"/>
      <c r="E209" s="16" t="str">
        <f>IF($A208="","",IF(VLOOKUP($A208,Products!$A$59:$E$158,5,FALSE)="","",VLOOKUP($A208,Products!$A$59:$E$158,5,FALSE)))</f>
        <v/>
      </c>
      <c r="F209" s="128" t="str">
        <f>IF($E209="","",F$207*VLOOKUP($A208,Products!$A$59:$H$158,8,FALSE))</f>
        <v/>
      </c>
      <c r="G209" s="129" t="str">
        <f>IF($E209="","",G$207*VLOOKUP($A208,Products!$A$59:$H$158,8,FALSE))</f>
        <v/>
      </c>
    </row>
    <row r="210" spans="1:7" x14ac:dyDescent="0.2">
      <c r="A210" s="627" t="str">
        <f t="shared" si="30"/>
        <v>AAA</v>
      </c>
      <c r="B210" s="628"/>
      <c r="C210" s="628"/>
      <c r="D210" s="628"/>
      <c r="E210" s="16" t="str">
        <f>IF($A209="","",IF(VLOOKUP($A209,Products!$A$59:$E$158,5,FALSE)="","",VLOOKUP($A209,Products!$A$59:$E$158,5,FALSE)))</f>
        <v/>
      </c>
      <c r="F210" s="128" t="str">
        <f>IF($E210="","",F$207*VLOOKUP($A209,Products!$A$59:$H$158,8,FALSE))</f>
        <v/>
      </c>
      <c r="G210" s="129" t="str">
        <f>IF($E210="","",G$207*VLOOKUP($A209,Products!$A$59:$H$158,8,FALSE))</f>
        <v/>
      </c>
    </row>
    <row r="211" spans="1:7" x14ac:dyDescent="0.2">
      <c r="A211" s="627" t="str">
        <f t="shared" si="30"/>
        <v>AAAA</v>
      </c>
      <c r="B211" s="628"/>
      <c r="C211" s="628"/>
      <c r="D211" s="628"/>
      <c r="E211" s="16" t="str">
        <f>IF($A210="","",IF(VLOOKUP($A210,Products!$A$59:$E$158,5,FALSE)="","",VLOOKUP($A210,Products!$A$59:$E$158,5,FALSE)))</f>
        <v/>
      </c>
      <c r="F211" s="128" t="str">
        <f>IF($E211="","",F$207*VLOOKUP($A210,Products!$A$59:$H$158,8,FALSE))</f>
        <v/>
      </c>
      <c r="G211" s="129" t="str">
        <f>IF($E211="","",G$207*VLOOKUP($A210,Products!$A$59:$H$158,8,FALSE))</f>
        <v/>
      </c>
    </row>
    <row r="212" spans="1:7" x14ac:dyDescent="0.2">
      <c r="A212" s="627" t="str">
        <f t="shared" si="30"/>
        <v>AAAAA</v>
      </c>
      <c r="B212" s="628"/>
      <c r="C212" s="628"/>
      <c r="D212" s="628"/>
      <c r="E212" s="16" t="str">
        <f>IF($A211="","",IF(VLOOKUP($A211,Products!$A$59:$E$158,5,FALSE)="","",VLOOKUP($A211,Products!$A$59:$E$158,5,FALSE)))</f>
        <v/>
      </c>
      <c r="F212" s="128" t="str">
        <f>IF($E212="","",F$207*VLOOKUP($A211,Products!$A$59:$H$158,8,FALSE))</f>
        <v/>
      </c>
      <c r="G212" s="129" t="str">
        <f>IF($E212="","",G$207*VLOOKUP($A211,Products!$A$59:$H$158,8,FALSE))</f>
        <v/>
      </c>
    </row>
    <row r="213" spans="1:7" x14ac:dyDescent="0.2">
      <c r="A213" s="627" t="str">
        <f t="shared" si="30"/>
        <v>AAAAAA</v>
      </c>
      <c r="B213" s="628"/>
      <c r="C213" s="628"/>
      <c r="D213" s="628"/>
      <c r="E213" s="16" t="str">
        <f>IF($A212="","",IF(VLOOKUP($A212,Products!$A$59:$E$158,5,FALSE)="","",VLOOKUP($A212,Products!$A$59:$E$158,5,FALSE)))</f>
        <v/>
      </c>
      <c r="F213" s="128" t="str">
        <f>IF($E213="","",F$207*VLOOKUP($A212,Products!$A$59:$H$158,8,FALSE))</f>
        <v/>
      </c>
      <c r="G213" s="129" t="str">
        <f>IF($E213="","",G$207*VLOOKUP($A212,Products!$A$59:$H$158,8,FALSE))</f>
        <v/>
      </c>
    </row>
    <row r="214" spans="1:7" x14ac:dyDescent="0.2">
      <c r="A214" s="627" t="str">
        <f t="shared" si="30"/>
        <v>AAAAAAA</v>
      </c>
      <c r="B214" s="628"/>
      <c r="C214" s="628"/>
      <c r="D214" s="628"/>
      <c r="E214" s="16" t="str">
        <f>IF($A213="","",IF(VLOOKUP($A213,Products!$A$59:$E$158,5,FALSE)="","",VLOOKUP($A213,Products!$A$59:$E$158,5,FALSE)))</f>
        <v/>
      </c>
      <c r="F214" s="128" t="str">
        <f>IF($E214="","",F$207*VLOOKUP($A213,Products!$A$59:$H$158,8,FALSE))</f>
        <v/>
      </c>
      <c r="G214" s="129" t="str">
        <f>IF($E214="","",G$207*VLOOKUP($A213,Products!$A$59:$H$158,8,FALSE))</f>
        <v/>
      </c>
    </row>
    <row r="215" spans="1:7" x14ac:dyDescent="0.2">
      <c r="A215" s="627" t="str">
        <f t="shared" si="30"/>
        <v>AAAAAAAA</v>
      </c>
      <c r="B215" s="628"/>
      <c r="C215" s="628"/>
      <c r="D215" s="628"/>
      <c r="E215" s="16" t="str">
        <f>IF($A214="","",IF(VLOOKUP($A214,Products!$A$59:$E$158,5,FALSE)="","",VLOOKUP($A214,Products!$A$59:$E$158,5,FALSE)))</f>
        <v/>
      </c>
      <c r="F215" s="128" t="str">
        <f>IF($E215="","",F$207*VLOOKUP($A214,Products!$A$59:$H$158,8,FALSE))</f>
        <v/>
      </c>
      <c r="G215" s="129" t="str">
        <f>IF($E215="","",G$207*VLOOKUP($A214,Products!$A$59:$H$158,8,FALSE))</f>
        <v/>
      </c>
    </row>
    <row r="216" spans="1:7" x14ac:dyDescent="0.2">
      <c r="A216" s="627" t="str">
        <f t="shared" si="30"/>
        <v>AAAAAAAAA</v>
      </c>
      <c r="B216" s="628"/>
      <c r="C216" s="628"/>
      <c r="D216" s="628"/>
      <c r="E216" s="16" t="str">
        <f>IF($A215="","",IF(VLOOKUP($A215,Products!$A$59:$E$158,5,FALSE)="","",VLOOKUP($A215,Products!$A$59:$E$158,5,FALSE)))</f>
        <v/>
      </c>
      <c r="F216" s="128" t="str">
        <f>IF($E216="","",F$207*VLOOKUP($A215,Products!$A$59:$H$158,8,FALSE))</f>
        <v/>
      </c>
      <c r="G216" s="129" t="str">
        <f>IF($E216="","",G$207*VLOOKUP($A215,Products!$A$59:$H$158,8,FALSE))</f>
        <v/>
      </c>
    </row>
    <row r="217" spans="1:7" x14ac:dyDescent="0.2">
      <c r="A217" s="627" t="str">
        <f t="shared" si="30"/>
        <v>AAAAAAAAAA</v>
      </c>
      <c r="B217" s="628"/>
      <c r="C217" s="628"/>
      <c r="D217" s="628"/>
      <c r="E217" s="16" t="str">
        <f>IF($A216="","",IF(VLOOKUP($A216,Products!$A$59:$E$158,5,FALSE)="","",VLOOKUP($A216,Products!$A$59:$E$158,5,FALSE)))</f>
        <v/>
      </c>
      <c r="F217" s="128" t="str">
        <f>IF($E217="","",F$207*VLOOKUP($A216,Products!$A$59:$H$158,8,FALSE))</f>
        <v/>
      </c>
      <c r="G217" s="129" t="str">
        <f>IF($E217="","",G$207*VLOOKUP($A216,Products!$A$59:$H$158,8,FALSE))</f>
        <v/>
      </c>
    </row>
    <row r="218" spans="1:7" x14ac:dyDescent="0.2">
      <c r="A218" s="780" t="str">
        <f>Hidden!DY10</f>
        <v/>
      </c>
      <c r="B218" s="656"/>
      <c r="C218" s="656"/>
      <c r="D218" s="656"/>
      <c r="E218" s="16" t="str">
        <f>IF($A218="","","Total VOC")</f>
        <v/>
      </c>
      <c r="F218" s="128">
        <f>VLOOKUP($A218,Hidden!$DY$2:$EA$11,2,FALSE)*(1-$D$23)</f>
        <v>0</v>
      </c>
      <c r="G218" s="129">
        <f>VLOOKUP($A218,Hidden!$DY$2:$EA$11,3,FALSE)*(1-$D$23)</f>
        <v>0</v>
      </c>
    </row>
    <row r="219" spans="1:7" x14ac:dyDescent="0.2">
      <c r="A219" s="627" t="str">
        <f>A218&amp;"A"</f>
        <v>A</v>
      </c>
      <c r="B219" s="628"/>
      <c r="C219" s="628"/>
      <c r="D219" s="628"/>
      <c r="E219" s="16" t="str">
        <f>IF($A218="","",IF(VLOOKUP($A218,Products!$A$59:$E$158,5,FALSE)="","",VLOOKUP($A218,Products!$A$59:$E$158,5,FALSE)))</f>
        <v/>
      </c>
      <c r="F219" s="128" t="str">
        <f>IF($E219="","",F$218*VLOOKUP($A218,Products!$A$59:$H$158,8,FALSE))</f>
        <v/>
      </c>
      <c r="G219" s="129" t="str">
        <f>IF($E219="","",G$218*VLOOKUP($A218,Products!$A$59:$H$158,8,FALSE))</f>
        <v/>
      </c>
    </row>
    <row r="220" spans="1:7" x14ac:dyDescent="0.2">
      <c r="A220" s="627" t="str">
        <f t="shared" ref="A220:A228" si="31">A219&amp;"A"</f>
        <v>AA</v>
      </c>
      <c r="B220" s="628"/>
      <c r="C220" s="628"/>
      <c r="D220" s="628"/>
      <c r="E220" s="16" t="str">
        <f>IF($A219="","",IF(VLOOKUP($A219,Products!$A$59:$E$158,5,FALSE)="","",VLOOKUP($A219,Products!$A$59:$E$158,5,FALSE)))</f>
        <v/>
      </c>
      <c r="F220" s="128" t="str">
        <f>IF($E220="","",F$218*VLOOKUP($A219,Products!$A$59:$H$158,8,FALSE))</f>
        <v/>
      </c>
      <c r="G220" s="129" t="str">
        <f>IF($E220="","",G$218*VLOOKUP($A219,Products!$A$59:$H$158,8,FALSE))</f>
        <v/>
      </c>
    </row>
    <row r="221" spans="1:7" x14ac:dyDescent="0.2">
      <c r="A221" s="627" t="str">
        <f t="shared" si="31"/>
        <v>AAA</v>
      </c>
      <c r="B221" s="628"/>
      <c r="C221" s="628"/>
      <c r="D221" s="628"/>
      <c r="E221" s="16" t="str">
        <f>IF($A220="","",IF(VLOOKUP($A220,Products!$A$59:$E$158,5,FALSE)="","",VLOOKUP($A220,Products!$A$59:$E$158,5,FALSE)))</f>
        <v/>
      </c>
      <c r="F221" s="128" t="str">
        <f>IF($E221="","",F$218*VLOOKUP($A220,Products!$A$59:$H$158,8,FALSE))</f>
        <v/>
      </c>
      <c r="G221" s="129" t="str">
        <f>IF($E221="","",G$218*VLOOKUP($A220,Products!$A$59:$H$158,8,FALSE))</f>
        <v/>
      </c>
    </row>
    <row r="222" spans="1:7" x14ac:dyDescent="0.2">
      <c r="A222" s="627" t="str">
        <f t="shared" si="31"/>
        <v>AAAA</v>
      </c>
      <c r="B222" s="628"/>
      <c r="C222" s="628"/>
      <c r="D222" s="628"/>
      <c r="E222" s="16" t="str">
        <f>IF($A221="","",IF(VLOOKUP($A221,Products!$A$59:$E$158,5,FALSE)="","",VLOOKUP($A221,Products!$A$59:$E$158,5,FALSE)))</f>
        <v/>
      </c>
      <c r="F222" s="128" t="str">
        <f>IF($E222="","",F$218*VLOOKUP($A221,Products!$A$59:$H$158,8,FALSE))</f>
        <v/>
      </c>
      <c r="G222" s="129" t="str">
        <f>IF($E222="","",G$218*VLOOKUP($A221,Products!$A$59:$H$158,8,FALSE))</f>
        <v/>
      </c>
    </row>
    <row r="223" spans="1:7" x14ac:dyDescent="0.2">
      <c r="A223" s="627" t="str">
        <f t="shared" si="31"/>
        <v>AAAAA</v>
      </c>
      <c r="B223" s="628"/>
      <c r="C223" s="628"/>
      <c r="D223" s="628"/>
      <c r="E223" s="16" t="str">
        <f>IF($A222="","",IF(VLOOKUP($A222,Products!$A$59:$E$158,5,FALSE)="","",VLOOKUP($A222,Products!$A$59:$E$158,5,FALSE)))</f>
        <v/>
      </c>
      <c r="F223" s="128" t="str">
        <f>IF($E223="","",F$218*VLOOKUP($A222,Products!$A$59:$H$158,8,FALSE))</f>
        <v/>
      </c>
      <c r="G223" s="129" t="str">
        <f>IF($E223="","",G$218*VLOOKUP($A222,Products!$A$59:$H$158,8,FALSE))</f>
        <v/>
      </c>
    </row>
    <row r="224" spans="1:7" x14ac:dyDescent="0.2">
      <c r="A224" s="627" t="str">
        <f t="shared" si="31"/>
        <v>AAAAAA</v>
      </c>
      <c r="B224" s="628"/>
      <c r="C224" s="628"/>
      <c r="D224" s="628"/>
      <c r="E224" s="16" t="str">
        <f>IF($A223="","",IF(VLOOKUP($A223,Products!$A$59:$E$158,5,FALSE)="","",VLOOKUP($A223,Products!$A$59:$E$158,5,FALSE)))</f>
        <v/>
      </c>
      <c r="F224" s="128" t="str">
        <f>IF($E224="","",F$218*VLOOKUP($A223,Products!$A$59:$H$158,8,FALSE))</f>
        <v/>
      </c>
      <c r="G224" s="129" t="str">
        <f>IF($E224="","",G$218*VLOOKUP($A223,Products!$A$59:$H$158,8,FALSE))</f>
        <v/>
      </c>
    </row>
    <row r="225" spans="1:7" x14ac:dyDescent="0.2">
      <c r="A225" s="627" t="str">
        <f t="shared" si="31"/>
        <v>AAAAAAA</v>
      </c>
      <c r="B225" s="628"/>
      <c r="C225" s="628"/>
      <c r="D225" s="628"/>
      <c r="E225" s="16" t="str">
        <f>IF($A224="","",IF(VLOOKUP($A224,Products!$A$59:$E$158,5,FALSE)="","",VLOOKUP($A224,Products!$A$59:$E$158,5,FALSE)))</f>
        <v/>
      </c>
      <c r="F225" s="128" t="str">
        <f>IF($E225="","",F$218*VLOOKUP($A224,Products!$A$59:$H$158,8,FALSE))</f>
        <v/>
      </c>
      <c r="G225" s="129" t="str">
        <f>IF($E225="","",G$218*VLOOKUP($A224,Products!$A$59:$H$158,8,FALSE))</f>
        <v/>
      </c>
    </row>
    <row r="226" spans="1:7" x14ac:dyDescent="0.2">
      <c r="A226" s="627" t="str">
        <f t="shared" si="31"/>
        <v>AAAAAAAA</v>
      </c>
      <c r="B226" s="628"/>
      <c r="C226" s="628"/>
      <c r="D226" s="628"/>
      <c r="E226" s="16" t="str">
        <f>IF($A225="","",IF(VLOOKUP($A225,Products!$A$59:$E$158,5,FALSE)="","",VLOOKUP($A225,Products!$A$59:$E$158,5,FALSE)))</f>
        <v/>
      </c>
      <c r="F226" s="128" t="str">
        <f>IF($E226="","",F$218*VLOOKUP($A225,Products!$A$59:$H$158,8,FALSE))</f>
        <v/>
      </c>
      <c r="G226" s="129" t="str">
        <f>IF($E226="","",G$218*VLOOKUP($A225,Products!$A$59:$H$158,8,FALSE))</f>
        <v/>
      </c>
    </row>
    <row r="227" spans="1:7" x14ac:dyDescent="0.2">
      <c r="A227" s="627" t="str">
        <f t="shared" si="31"/>
        <v>AAAAAAAAA</v>
      </c>
      <c r="B227" s="628"/>
      <c r="C227" s="628"/>
      <c r="D227" s="628"/>
      <c r="E227" s="16" t="str">
        <f>IF($A226="","",IF(VLOOKUP($A226,Products!$A$59:$E$158,5,FALSE)="","",VLOOKUP($A226,Products!$A$59:$E$158,5,FALSE)))</f>
        <v/>
      </c>
      <c r="F227" s="128" t="str">
        <f>IF($E227="","",F$218*VLOOKUP($A226,Products!$A$59:$H$158,8,FALSE))</f>
        <v/>
      </c>
      <c r="G227" s="129" t="str">
        <f>IF($E227="","",G$218*VLOOKUP($A226,Products!$A$59:$H$158,8,FALSE))</f>
        <v/>
      </c>
    </row>
    <row r="228" spans="1:7" x14ac:dyDescent="0.2">
      <c r="A228" s="627" t="str">
        <f t="shared" si="31"/>
        <v>AAAAAAAAAA</v>
      </c>
      <c r="B228" s="628"/>
      <c r="C228" s="628"/>
      <c r="D228" s="628"/>
      <c r="E228" s="16" t="str">
        <f>IF($A227="","",IF(VLOOKUP($A227,Products!$A$59:$E$158,5,FALSE)="","",VLOOKUP($A227,Products!$A$59:$E$158,5,FALSE)))</f>
        <v/>
      </c>
      <c r="F228" s="128" t="str">
        <f>IF($E228="","",F$218*VLOOKUP($A227,Products!$A$59:$H$158,8,FALSE))</f>
        <v/>
      </c>
      <c r="G228" s="129" t="str">
        <f>IF($E228="","",G$218*VLOOKUP($A227,Products!$A$59:$H$158,8,FALSE))</f>
        <v/>
      </c>
    </row>
    <row r="229" spans="1:7" x14ac:dyDescent="0.2">
      <c r="A229" s="780" t="str">
        <f>Hidden!DY11</f>
        <v/>
      </c>
      <c r="B229" s="656"/>
      <c r="C229" s="656"/>
      <c r="D229" s="656"/>
      <c r="E229" s="16" t="str">
        <f>IF($A229="","","Total VOC")</f>
        <v/>
      </c>
      <c r="F229" s="128">
        <f>VLOOKUP($A229,Hidden!$DY$2:$EA$11,2,FALSE)*(1-$D$23)</f>
        <v>0</v>
      </c>
      <c r="G229" s="129">
        <f>VLOOKUP($A229,Hidden!$DY$2:$EA$11,3,FALSE)*(1-$D$23)</f>
        <v>0</v>
      </c>
    </row>
    <row r="230" spans="1:7" x14ac:dyDescent="0.2">
      <c r="A230" s="627" t="str">
        <f>A229&amp;"A"</f>
        <v>A</v>
      </c>
      <c r="B230" s="628"/>
      <c r="C230" s="628"/>
      <c r="D230" s="628"/>
      <c r="E230" s="16" t="str">
        <f>IF($A229="","",IF(VLOOKUP($A229,Products!$A$59:$E$158,5,FALSE)="","",VLOOKUP($A229,Products!$A$59:$E$158,5,FALSE)))</f>
        <v/>
      </c>
      <c r="F230" s="128" t="str">
        <f>IF($E230="","",F$229*VLOOKUP($A229,Products!$A$59:$H$158,8,FALSE))</f>
        <v/>
      </c>
      <c r="G230" s="129" t="str">
        <f>IF($E230="","",G$229*VLOOKUP($A229,Products!$A$59:$H$158,8,FALSE))</f>
        <v/>
      </c>
    </row>
    <row r="231" spans="1:7" x14ac:dyDescent="0.2">
      <c r="A231" s="627" t="str">
        <f t="shared" ref="A231:A239" si="32">A230&amp;"A"</f>
        <v>AA</v>
      </c>
      <c r="B231" s="628"/>
      <c r="C231" s="628"/>
      <c r="D231" s="628"/>
      <c r="E231" s="16" t="str">
        <f>IF($A230="","",IF(VLOOKUP($A230,Products!$A$59:$E$158,5,FALSE)="","",VLOOKUP($A230,Products!$A$59:$E$158,5,FALSE)))</f>
        <v/>
      </c>
      <c r="F231" s="128" t="str">
        <f>IF($E231="","",F$229*VLOOKUP($A230,Products!$A$59:$H$158,8,FALSE))</f>
        <v/>
      </c>
      <c r="G231" s="129" t="str">
        <f>IF($E231="","",G$229*VLOOKUP($A230,Products!$A$59:$H$158,8,FALSE))</f>
        <v/>
      </c>
    </row>
    <row r="232" spans="1:7" x14ac:dyDescent="0.2">
      <c r="A232" s="627" t="str">
        <f t="shared" si="32"/>
        <v>AAA</v>
      </c>
      <c r="B232" s="628"/>
      <c r="C232" s="628"/>
      <c r="D232" s="628"/>
      <c r="E232" s="16" t="str">
        <f>IF($A231="","",IF(VLOOKUP($A231,Products!$A$59:$E$158,5,FALSE)="","",VLOOKUP($A231,Products!$A$59:$E$158,5,FALSE)))</f>
        <v/>
      </c>
      <c r="F232" s="128" t="str">
        <f>IF($E232="","",F$229*VLOOKUP($A231,Products!$A$59:$H$158,8,FALSE))</f>
        <v/>
      </c>
      <c r="G232" s="129" t="str">
        <f>IF($E232="","",G$229*VLOOKUP($A231,Products!$A$59:$H$158,8,FALSE))</f>
        <v/>
      </c>
    </row>
    <row r="233" spans="1:7" x14ac:dyDescent="0.2">
      <c r="A233" s="627" t="str">
        <f t="shared" si="32"/>
        <v>AAAA</v>
      </c>
      <c r="B233" s="628"/>
      <c r="C233" s="628"/>
      <c r="D233" s="628"/>
      <c r="E233" s="16" t="str">
        <f>IF($A232="","",IF(VLOOKUP($A232,Products!$A$59:$E$158,5,FALSE)="","",VLOOKUP($A232,Products!$A$59:$E$158,5,FALSE)))</f>
        <v/>
      </c>
      <c r="F233" s="128" t="str">
        <f>IF($E233="","",F$229*VLOOKUP($A232,Products!$A$59:$H$158,8,FALSE))</f>
        <v/>
      </c>
      <c r="G233" s="129" t="str">
        <f>IF($E233="","",G$229*VLOOKUP($A232,Products!$A$59:$H$158,8,FALSE))</f>
        <v/>
      </c>
    </row>
    <row r="234" spans="1:7" x14ac:dyDescent="0.2">
      <c r="A234" s="627" t="str">
        <f t="shared" si="32"/>
        <v>AAAAA</v>
      </c>
      <c r="B234" s="628"/>
      <c r="C234" s="628"/>
      <c r="D234" s="628"/>
      <c r="E234" s="16" t="str">
        <f>IF($A233="","",IF(VLOOKUP($A233,Products!$A$59:$E$158,5,FALSE)="","",VLOOKUP($A233,Products!$A$59:$E$158,5,FALSE)))</f>
        <v/>
      </c>
      <c r="F234" s="128" t="str">
        <f>IF($E234="","",F$229*VLOOKUP($A233,Products!$A$59:$H$158,8,FALSE))</f>
        <v/>
      </c>
      <c r="G234" s="129" t="str">
        <f>IF($E234="","",G$229*VLOOKUP($A233,Products!$A$59:$H$158,8,FALSE))</f>
        <v/>
      </c>
    </row>
    <row r="235" spans="1:7" x14ac:dyDescent="0.2">
      <c r="A235" s="627" t="str">
        <f t="shared" si="32"/>
        <v>AAAAAA</v>
      </c>
      <c r="B235" s="628"/>
      <c r="C235" s="628"/>
      <c r="D235" s="628"/>
      <c r="E235" s="16" t="str">
        <f>IF($A234="","",IF(VLOOKUP($A234,Products!$A$59:$E$158,5,FALSE)="","",VLOOKUP($A234,Products!$A$59:$E$158,5,FALSE)))</f>
        <v/>
      </c>
      <c r="F235" s="128" t="str">
        <f>IF($E235="","",F$229*VLOOKUP($A234,Products!$A$59:$H$158,8,FALSE))</f>
        <v/>
      </c>
      <c r="G235" s="129" t="str">
        <f>IF($E235="","",G$229*VLOOKUP($A234,Products!$A$59:$H$158,8,FALSE))</f>
        <v/>
      </c>
    </row>
    <row r="236" spans="1:7" x14ac:dyDescent="0.2">
      <c r="A236" s="627" t="str">
        <f t="shared" si="32"/>
        <v>AAAAAAA</v>
      </c>
      <c r="B236" s="628"/>
      <c r="C236" s="628"/>
      <c r="D236" s="628"/>
      <c r="E236" s="16" t="str">
        <f>IF($A235="","",IF(VLOOKUP($A235,Products!$A$59:$E$158,5,FALSE)="","",VLOOKUP($A235,Products!$A$59:$E$158,5,FALSE)))</f>
        <v/>
      </c>
      <c r="F236" s="128" t="str">
        <f>IF($E236="","",F$229*VLOOKUP($A235,Products!$A$59:$H$158,8,FALSE))</f>
        <v/>
      </c>
      <c r="G236" s="129" t="str">
        <f>IF($E236="","",G$229*VLOOKUP($A235,Products!$A$59:$H$158,8,FALSE))</f>
        <v/>
      </c>
    </row>
    <row r="237" spans="1:7" x14ac:dyDescent="0.2">
      <c r="A237" s="627" t="str">
        <f t="shared" si="32"/>
        <v>AAAAAAAA</v>
      </c>
      <c r="B237" s="628"/>
      <c r="C237" s="628"/>
      <c r="D237" s="628"/>
      <c r="E237" s="16" t="str">
        <f>IF($A236="","",IF(VLOOKUP($A236,Products!$A$59:$E$158,5,FALSE)="","",VLOOKUP($A236,Products!$A$59:$E$158,5,FALSE)))</f>
        <v/>
      </c>
      <c r="F237" s="128" t="str">
        <f>IF($E237="","",F$229*VLOOKUP($A236,Products!$A$59:$H$158,8,FALSE))</f>
        <v/>
      </c>
      <c r="G237" s="129" t="str">
        <f>IF($E237="","",G$229*VLOOKUP($A236,Products!$A$59:$H$158,8,FALSE))</f>
        <v/>
      </c>
    </row>
    <row r="238" spans="1:7" x14ac:dyDescent="0.2">
      <c r="A238" s="627" t="str">
        <f t="shared" si="32"/>
        <v>AAAAAAAAA</v>
      </c>
      <c r="B238" s="628"/>
      <c r="C238" s="628"/>
      <c r="D238" s="628"/>
      <c r="E238" s="16" t="str">
        <f>IF($A237="","",IF(VLOOKUP($A237,Products!$A$59:$E$158,5,FALSE)="","",VLOOKUP($A237,Products!$A$59:$E$158,5,FALSE)))</f>
        <v/>
      </c>
      <c r="F238" s="128" t="str">
        <f>IF($E238="","",F$229*VLOOKUP($A237,Products!$A$59:$H$158,8,FALSE))</f>
        <v/>
      </c>
      <c r="G238" s="129" t="str">
        <f>IF($E238="","",G$229*VLOOKUP($A237,Products!$A$59:$H$158,8,FALSE))</f>
        <v/>
      </c>
    </row>
    <row r="239" spans="1:7" ht="15" thickBot="1" x14ac:dyDescent="0.25">
      <c r="A239" s="629" t="str">
        <f t="shared" si="32"/>
        <v>AAAAAAAAAA</v>
      </c>
      <c r="B239" s="630"/>
      <c r="C239" s="630"/>
      <c r="D239" s="630"/>
      <c r="E239" s="28" t="str">
        <f>IF($A238="","",IF(VLOOKUP($A238,Products!$A$59:$E$158,5,FALSE)="","",VLOOKUP($A238,Products!$A$59:$E$158,5,FALSE)))</f>
        <v/>
      </c>
      <c r="F239" s="130" t="str">
        <f>IF($E239="","",F$229*VLOOKUP($A238,Products!$A$59:$H$158,8,FALSE))</f>
        <v/>
      </c>
      <c r="G239" s="131" t="str">
        <f>IF($E239="","",G$229*VLOOKUP($A238,Products!$A$59:$H$158,8,FALSE))</f>
        <v/>
      </c>
    </row>
    <row r="240" spans="1:7" x14ac:dyDescent="0.2">
      <c r="A240" s="478" t="s">
        <v>130</v>
      </c>
      <c r="B240" s="478"/>
      <c r="C240" s="478"/>
      <c r="D240" s="478"/>
      <c r="E240" s="478"/>
      <c r="F240" s="478"/>
      <c r="G240" s="478"/>
    </row>
  </sheetData>
  <sheetProtection algorithmName="SHA-512" hashValue="fCT7N/J2CrbKv7vKugxOd3pzcLYDfZD2dzYV/uerDr8RZNMosy+5yFaAJo1FKOVgE/kYigI67xJMKFcHxDsh8w==" saltValue="T0gumzlLIJilRXyEoMFUOw==" spinCount="100000" sheet="1" objects="1" scenarios="1" formatColumns="0" formatRows="0"/>
  <mergeCells count="415">
    <mergeCell ref="A7:C7"/>
    <mergeCell ref="D7:G7"/>
    <mergeCell ref="A128:D128"/>
    <mergeCell ref="A129:D129"/>
    <mergeCell ref="F81:G81"/>
    <mergeCell ref="F82:G82"/>
    <mergeCell ref="F83:G83"/>
    <mergeCell ref="D81:E81"/>
    <mergeCell ref="D82:E82"/>
    <mergeCell ref="D83:E83"/>
    <mergeCell ref="A81:C81"/>
    <mergeCell ref="A82:C82"/>
    <mergeCell ref="A83:C83"/>
    <mergeCell ref="A119:D119"/>
    <mergeCell ref="A120:D120"/>
    <mergeCell ref="A121:D121"/>
    <mergeCell ref="A122:D122"/>
    <mergeCell ref="A123:D123"/>
    <mergeCell ref="A124:D124"/>
    <mergeCell ref="A125:D125"/>
    <mergeCell ref="A126:D126"/>
    <mergeCell ref="A127:D127"/>
    <mergeCell ref="A107:C107"/>
    <mergeCell ref="D107:E107"/>
    <mergeCell ref="A96:G96"/>
    <mergeCell ref="A240:G240"/>
    <mergeCell ref="A67:C67"/>
    <mergeCell ref="D67:E67"/>
    <mergeCell ref="D109:E109"/>
    <mergeCell ref="A115:C115"/>
    <mergeCell ref="D115:E115"/>
    <mergeCell ref="F115:G115"/>
    <mergeCell ref="A110:C110"/>
    <mergeCell ref="D110:E110"/>
    <mergeCell ref="F110:G110"/>
    <mergeCell ref="A114:C114"/>
    <mergeCell ref="D114:E114"/>
    <mergeCell ref="F114:G114"/>
    <mergeCell ref="A108:C108"/>
    <mergeCell ref="D108:E108"/>
    <mergeCell ref="F108:G108"/>
    <mergeCell ref="A109:C109"/>
    <mergeCell ref="F109:G109"/>
    <mergeCell ref="A102:C102"/>
    <mergeCell ref="A105:C105"/>
    <mergeCell ref="A106:G106"/>
    <mergeCell ref="A116:G116"/>
    <mergeCell ref="A117:G117"/>
    <mergeCell ref="A118:D118"/>
    <mergeCell ref="A97:C97"/>
    <mergeCell ref="A98:C98"/>
    <mergeCell ref="A99:C99"/>
    <mergeCell ref="A100:C100"/>
    <mergeCell ref="A104:C104"/>
    <mergeCell ref="A101:C101"/>
    <mergeCell ref="A103:C103"/>
    <mergeCell ref="F111:G111"/>
    <mergeCell ref="F112:G112"/>
    <mergeCell ref="F113:G113"/>
    <mergeCell ref="D111:E111"/>
    <mergeCell ref="D112:E112"/>
    <mergeCell ref="D113:E113"/>
    <mergeCell ref="A111:C111"/>
    <mergeCell ref="A112:C112"/>
    <mergeCell ref="A113:C113"/>
    <mergeCell ref="F107:G107"/>
    <mergeCell ref="A95:C95"/>
    <mergeCell ref="D95:E95"/>
    <mergeCell ref="F95:G95"/>
    <mergeCell ref="A90:C90"/>
    <mergeCell ref="D90:E90"/>
    <mergeCell ref="F90:G90"/>
    <mergeCell ref="A94:C94"/>
    <mergeCell ref="D94:E94"/>
    <mergeCell ref="F94:G94"/>
    <mergeCell ref="F91:G91"/>
    <mergeCell ref="F92:G92"/>
    <mergeCell ref="F93:G93"/>
    <mergeCell ref="D91:E91"/>
    <mergeCell ref="D92:E92"/>
    <mergeCell ref="D93:E93"/>
    <mergeCell ref="A91:C91"/>
    <mergeCell ref="A92:C92"/>
    <mergeCell ref="A93:C93"/>
    <mergeCell ref="A88:C88"/>
    <mergeCell ref="D88:E88"/>
    <mergeCell ref="F88:G88"/>
    <mergeCell ref="A89:C89"/>
    <mergeCell ref="D89:E89"/>
    <mergeCell ref="F89:G89"/>
    <mergeCell ref="A84:C84"/>
    <mergeCell ref="D84:E84"/>
    <mergeCell ref="F84:G84"/>
    <mergeCell ref="A86:G86"/>
    <mergeCell ref="A87:C87"/>
    <mergeCell ref="D87:E87"/>
    <mergeCell ref="F87:G87"/>
    <mergeCell ref="F85:G85"/>
    <mergeCell ref="D85:E85"/>
    <mergeCell ref="A85:C85"/>
    <mergeCell ref="A79:C79"/>
    <mergeCell ref="D79:E79"/>
    <mergeCell ref="F79:G79"/>
    <mergeCell ref="A80:C80"/>
    <mergeCell ref="D80:E80"/>
    <mergeCell ref="F80:G80"/>
    <mergeCell ref="A76:G76"/>
    <mergeCell ref="A77:C77"/>
    <mergeCell ref="D77:E77"/>
    <mergeCell ref="F77:G77"/>
    <mergeCell ref="A78:C78"/>
    <mergeCell ref="D78:E78"/>
    <mergeCell ref="F78:G78"/>
    <mergeCell ref="A72:C72"/>
    <mergeCell ref="D72:G72"/>
    <mergeCell ref="A73:C73"/>
    <mergeCell ref="D73:G73"/>
    <mergeCell ref="A74:G74"/>
    <mergeCell ref="A75:G75"/>
    <mergeCell ref="A69:C69"/>
    <mergeCell ref="D69:E69"/>
    <mergeCell ref="A70:G70"/>
    <mergeCell ref="A71:C71"/>
    <mergeCell ref="D71:G71"/>
    <mergeCell ref="A63:C63"/>
    <mergeCell ref="D63:E63"/>
    <mergeCell ref="A65:C65"/>
    <mergeCell ref="D65:E65"/>
    <mergeCell ref="A60:C60"/>
    <mergeCell ref="D60:E60"/>
    <mergeCell ref="A61:C61"/>
    <mergeCell ref="D61:E61"/>
    <mergeCell ref="A58:C58"/>
    <mergeCell ref="D58:E58"/>
    <mergeCell ref="A59:C59"/>
    <mergeCell ref="D59:E59"/>
    <mergeCell ref="A62:C62"/>
    <mergeCell ref="D62:E62"/>
    <mergeCell ref="A64:C64"/>
    <mergeCell ref="D64:E64"/>
    <mergeCell ref="A54:C54"/>
    <mergeCell ref="D54:E54"/>
    <mergeCell ref="A56:C56"/>
    <mergeCell ref="D56:E56"/>
    <mergeCell ref="A57:C57"/>
    <mergeCell ref="D57:E57"/>
    <mergeCell ref="A55:C55"/>
    <mergeCell ref="D55:E55"/>
    <mergeCell ref="A51:C51"/>
    <mergeCell ref="D51:E51"/>
    <mergeCell ref="A52:C52"/>
    <mergeCell ref="D52:E52"/>
    <mergeCell ref="A53:C53"/>
    <mergeCell ref="D53:E53"/>
    <mergeCell ref="A47:C47"/>
    <mergeCell ref="D47:E47"/>
    <mergeCell ref="A48:C48"/>
    <mergeCell ref="D48:E48"/>
    <mergeCell ref="A49:C49"/>
    <mergeCell ref="D49:E49"/>
    <mergeCell ref="A50:C50"/>
    <mergeCell ref="D50:E50"/>
    <mergeCell ref="A44:C44"/>
    <mergeCell ref="D44:E44"/>
    <mergeCell ref="A45:C45"/>
    <mergeCell ref="D45:E45"/>
    <mergeCell ref="A46:C46"/>
    <mergeCell ref="D46:E46"/>
    <mergeCell ref="A41:C41"/>
    <mergeCell ref="D41:E41"/>
    <mergeCell ref="A42:C42"/>
    <mergeCell ref="D42:E42"/>
    <mergeCell ref="A43:C43"/>
    <mergeCell ref="D43:E43"/>
    <mergeCell ref="A37:C37"/>
    <mergeCell ref="D37:E37"/>
    <mergeCell ref="A38:C38"/>
    <mergeCell ref="D38:E38"/>
    <mergeCell ref="A40:C40"/>
    <mergeCell ref="D40:E40"/>
    <mergeCell ref="A33:C33"/>
    <mergeCell ref="D33:E33"/>
    <mergeCell ref="A35:C35"/>
    <mergeCell ref="D35:E35"/>
    <mergeCell ref="A36:C36"/>
    <mergeCell ref="D36:E36"/>
    <mergeCell ref="A34:C34"/>
    <mergeCell ref="D34:E34"/>
    <mergeCell ref="A39:C39"/>
    <mergeCell ref="D39:E39"/>
    <mergeCell ref="A30:C30"/>
    <mergeCell ref="D30:E30"/>
    <mergeCell ref="A31:C31"/>
    <mergeCell ref="D31:E31"/>
    <mergeCell ref="A32:C32"/>
    <mergeCell ref="D32:E32"/>
    <mergeCell ref="A28:C28"/>
    <mergeCell ref="D28:E28"/>
    <mergeCell ref="A29:C29"/>
    <mergeCell ref="D29:E29"/>
    <mergeCell ref="A25:C25"/>
    <mergeCell ref="D25:E25"/>
    <mergeCell ref="A26:C26"/>
    <mergeCell ref="D26:E26"/>
    <mergeCell ref="A27:C27"/>
    <mergeCell ref="D27:E27"/>
    <mergeCell ref="A21:C21"/>
    <mergeCell ref="D21:E21"/>
    <mergeCell ref="F21:G21"/>
    <mergeCell ref="A23:C23"/>
    <mergeCell ref="D23:E23"/>
    <mergeCell ref="F23:G23"/>
    <mergeCell ref="F25:G25"/>
    <mergeCell ref="F26:G26"/>
    <mergeCell ref="F27:G27"/>
    <mergeCell ref="A24:C24"/>
    <mergeCell ref="D24:E24"/>
    <mergeCell ref="F24:G24"/>
    <mergeCell ref="A22:C22"/>
    <mergeCell ref="D22:E22"/>
    <mergeCell ref="F22:G22"/>
    <mergeCell ref="D9:G9"/>
    <mergeCell ref="A16:C16"/>
    <mergeCell ref="D16:E16"/>
    <mergeCell ref="F16:G16"/>
    <mergeCell ref="A20:C20"/>
    <mergeCell ref="D20:E20"/>
    <mergeCell ref="F20:G20"/>
    <mergeCell ref="A14:C14"/>
    <mergeCell ref="D14:E14"/>
    <mergeCell ref="F14:G14"/>
    <mergeCell ref="A15:C15"/>
    <mergeCell ref="D15:E15"/>
    <mergeCell ref="F15:G15"/>
    <mergeCell ref="A17:C17"/>
    <mergeCell ref="D17:E17"/>
    <mergeCell ref="F17:G17"/>
    <mergeCell ref="A18:C18"/>
    <mergeCell ref="D18:E18"/>
    <mergeCell ref="F18:G18"/>
    <mergeCell ref="A19:C19"/>
    <mergeCell ref="D19:E19"/>
    <mergeCell ref="F19:G19"/>
    <mergeCell ref="F62:G62"/>
    <mergeCell ref="F63:G63"/>
    <mergeCell ref="F64:G64"/>
    <mergeCell ref="F65:G65"/>
    <mergeCell ref="A66:C66"/>
    <mergeCell ref="D66:E66"/>
    <mergeCell ref="A68:C68"/>
    <mergeCell ref="D68:E68"/>
    <mergeCell ref="A1:G1"/>
    <mergeCell ref="A2:G2"/>
    <mergeCell ref="A3:G3"/>
    <mergeCell ref="A4:G4"/>
    <mergeCell ref="A5:G5"/>
    <mergeCell ref="A6:C6"/>
    <mergeCell ref="D6:G6"/>
    <mergeCell ref="A10:C10"/>
    <mergeCell ref="D10:G10"/>
    <mergeCell ref="A11:C11"/>
    <mergeCell ref="D11:G11"/>
    <mergeCell ref="A12:G12"/>
    <mergeCell ref="A13:G13"/>
    <mergeCell ref="A8:C8"/>
    <mergeCell ref="D8:G8"/>
    <mergeCell ref="A9:C9"/>
    <mergeCell ref="F41:G41"/>
    <mergeCell ref="F42:G42"/>
    <mergeCell ref="F43:G43"/>
    <mergeCell ref="F44:G44"/>
    <mergeCell ref="F45:G45"/>
    <mergeCell ref="F47:G47"/>
    <mergeCell ref="F48:G48"/>
    <mergeCell ref="F49:G49"/>
    <mergeCell ref="F50:G50"/>
    <mergeCell ref="F36:G36"/>
    <mergeCell ref="F37:G37"/>
    <mergeCell ref="F38:G38"/>
    <mergeCell ref="F39:G39"/>
    <mergeCell ref="F40:G40"/>
    <mergeCell ref="F28:G28"/>
    <mergeCell ref="F29:G29"/>
    <mergeCell ref="F30:G30"/>
    <mergeCell ref="F31:G31"/>
    <mergeCell ref="F32:G32"/>
    <mergeCell ref="F33:G33"/>
    <mergeCell ref="F34:G34"/>
    <mergeCell ref="F35:G35"/>
    <mergeCell ref="A148:D148"/>
    <mergeCell ref="A149:D149"/>
    <mergeCell ref="A150:D150"/>
    <mergeCell ref="A151:D151"/>
    <mergeCell ref="A152:D152"/>
    <mergeCell ref="A153:D153"/>
    <mergeCell ref="A154:D154"/>
    <mergeCell ref="A155:D155"/>
    <mergeCell ref="F46:G46"/>
    <mergeCell ref="F66:G66"/>
    <mergeCell ref="F67:G67"/>
    <mergeCell ref="F68:G68"/>
    <mergeCell ref="F69:G69"/>
    <mergeCell ref="F51:G51"/>
    <mergeCell ref="F52:G52"/>
    <mergeCell ref="F53:G53"/>
    <mergeCell ref="F54:G54"/>
    <mergeCell ref="F55:G55"/>
    <mergeCell ref="F56:G56"/>
    <mergeCell ref="F57:G57"/>
    <mergeCell ref="F58:G58"/>
    <mergeCell ref="F59:G59"/>
    <mergeCell ref="F60:G60"/>
    <mergeCell ref="F61:G61"/>
    <mergeCell ref="A156:D156"/>
    <mergeCell ref="A157:D157"/>
    <mergeCell ref="A158:D158"/>
    <mergeCell ref="A159:D159"/>
    <mergeCell ref="A160:D160"/>
    <mergeCell ref="A161:D161"/>
    <mergeCell ref="A162:D162"/>
    <mergeCell ref="A163:D163"/>
    <mergeCell ref="A164:D164"/>
    <mergeCell ref="A165:D165"/>
    <mergeCell ref="A166:D166"/>
    <mergeCell ref="A167:D167"/>
    <mergeCell ref="A168:D168"/>
    <mergeCell ref="A169:D169"/>
    <mergeCell ref="A170:D170"/>
    <mergeCell ref="A171:D171"/>
    <mergeCell ref="A172:D172"/>
    <mergeCell ref="A173:D173"/>
    <mergeCell ref="A174:D174"/>
    <mergeCell ref="A175:D175"/>
    <mergeCell ref="A176:D176"/>
    <mergeCell ref="A177:D177"/>
    <mergeCell ref="A178:D178"/>
    <mergeCell ref="A179:D179"/>
    <mergeCell ref="A180:D180"/>
    <mergeCell ref="A181:D181"/>
    <mergeCell ref="A182:D182"/>
    <mergeCell ref="A183:D183"/>
    <mergeCell ref="A184:D184"/>
    <mergeCell ref="A185:D185"/>
    <mergeCell ref="A186:D186"/>
    <mergeCell ref="A187:D187"/>
    <mergeCell ref="A188:D188"/>
    <mergeCell ref="A189:D189"/>
    <mergeCell ref="A190:D190"/>
    <mergeCell ref="A191:D191"/>
    <mergeCell ref="A192:D192"/>
    <mergeCell ref="A193:D193"/>
    <mergeCell ref="A194:D194"/>
    <mergeCell ref="A195:D195"/>
    <mergeCell ref="A196:D196"/>
    <mergeCell ref="A197:D197"/>
    <mergeCell ref="A198:D198"/>
    <mergeCell ref="A199:D199"/>
    <mergeCell ref="A200:D200"/>
    <mergeCell ref="A201:D201"/>
    <mergeCell ref="A202:D202"/>
    <mergeCell ref="A203:D203"/>
    <mergeCell ref="A204:D204"/>
    <mergeCell ref="A205:D205"/>
    <mergeCell ref="A206:D206"/>
    <mergeCell ref="A207:D207"/>
    <mergeCell ref="A208:D208"/>
    <mergeCell ref="A209:D209"/>
    <mergeCell ref="A210:D210"/>
    <mergeCell ref="A211:D211"/>
    <mergeCell ref="A212:D212"/>
    <mergeCell ref="A213:D213"/>
    <mergeCell ref="A214:D214"/>
    <mergeCell ref="A215:D215"/>
    <mergeCell ref="A216:D216"/>
    <mergeCell ref="A217:D217"/>
    <mergeCell ref="A218:D218"/>
    <mergeCell ref="A237:D237"/>
    <mergeCell ref="A238:D238"/>
    <mergeCell ref="A239:D239"/>
    <mergeCell ref="A219:D219"/>
    <mergeCell ref="A220:D220"/>
    <mergeCell ref="A221:D221"/>
    <mergeCell ref="A222:D222"/>
    <mergeCell ref="A223:D223"/>
    <mergeCell ref="A224:D224"/>
    <mergeCell ref="A225:D225"/>
    <mergeCell ref="A226:D226"/>
    <mergeCell ref="A227:D227"/>
    <mergeCell ref="A228:D228"/>
    <mergeCell ref="A229:D229"/>
    <mergeCell ref="A230:D230"/>
    <mergeCell ref="A231:D231"/>
    <mergeCell ref="A232:D232"/>
    <mergeCell ref="A233:D233"/>
    <mergeCell ref="A234:D234"/>
    <mergeCell ref="A235:D235"/>
    <mergeCell ref="A236:D236"/>
    <mergeCell ref="A130:D130"/>
    <mergeCell ref="A131:D131"/>
    <mergeCell ref="A132:D132"/>
    <mergeCell ref="A133:D133"/>
    <mergeCell ref="A134:D134"/>
    <mergeCell ref="A135:D135"/>
    <mergeCell ref="A136:D136"/>
    <mergeCell ref="A137:D137"/>
    <mergeCell ref="A138:D138"/>
    <mergeCell ref="A139:D139"/>
    <mergeCell ref="A140:D140"/>
    <mergeCell ref="A141:D141"/>
    <mergeCell ref="A142:D142"/>
    <mergeCell ref="A143:D143"/>
    <mergeCell ref="A144:D144"/>
    <mergeCell ref="A145:D145"/>
    <mergeCell ref="A146:D146"/>
    <mergeCell ref="A147:D147"/>
  </mergeCells>
  <conditionalFormatting sqref="A10:G239">
    <cfRule type="expression" dxfId="181" priority="5">
      <formula>$D$6="affected"</formula>
    </cfRule>
  </conditionalFormatting>
  <conditionalFormatting sqref="A31:G35">
    <cfRule type="expression" dxfId="180" priority="17">
      <formula>$D$26&lt;&gt;"fuel gas"</formula>
    </cfRule>
  </conditionalFormatting>
  <conditionalFormatting sqref="A36:G40">
    <cfRule type="expression" dxfId="179" priority="16">
      <formula>$D$26="fuel gas"</formula>
    </cfRule>
  </conditionalFormatting>
  <conditionalFormatting sqref="A43:G56">
    <cfRule type="expression" dxfId="178" priority="13">
      <formula>$D$42="none"</formula>
    </cfRule>
  </conditionalFormatting>
  <conditionalFormatting sqref="A47:G51">
    <cfRule type="expression" dxfId="177" priority="14">
      <formula>$D$42&lt;&gt;"fuel gas"</formula>
    </cfRule>
  </conditionalFormatting>
  <conditionalFormatting sqref="A52:G56">
    <cfRule type="expression" dxfId="176" priority="15">
      <formula>$D$42="fuel gas"</formula>
    </cfRule>
  </conditionalFormatting>
  <conditionalFormatting sqref="A72:G73">
    <cfRule type="expression" dxfId="175" priority="7">
      <formula>$D$71="no"</formula>
    </cfRule>
  </conditionalFormatting>
  <conditionalFormatting sqref="A119:G129">
    <cfRule type="expression" dxfId="174" priority="12">
      <formula>AND($D$26&lt;&gt;"FUEL GAS",$D$42&lt;&gt;"FUEL GAS")</formula>
    </cfRule>
  </conditionalFormatting>
  <dataValidations xWindow="670" yWindow="916" count="42">
    <dataValidation allowBlank="1" showErrorMessage="1" prompt="If fuel gas is used, enter SO2 emission factor in lb/MMscf." sqref="D51:E51 D35:E35" xr:uid="{69C94ACE-C302-4A8C-864E-A08A22658725}"/>
    <dataValidation allowBlank="1" showErrorMessage="1" prompt="Enter annual flow rate in scf/yr." sqref="D61:E61" xr:uid="{EC3CF1AF-00B9-49DA-A35E-AB3728574315}"/>
    <dataValidation allowBlank="1" showErrorMessage="1" prompt="Enter maximum flow rate in scf/hr." sqref="D60:E60" xr:uid="{A9297C38-E697-4E82-89BB-FDD7D59A20C4}"/>
    <dataValidation allowBlank="1" showErrorMessage="1" prompt="Enter annual average heating value of waste stream in Btu/scf." sqref="D59:E59" xr:uid="{3FCC6BEB-4C14-4593-85CA-8DA805835B76}"/>
    <dataValidation allowBlank="1" showErrorMessage="1" prompt="Enter maximum heating value of waste stream in Btu/scf." sqref="D58:E58" xr:uid="{B7AB4851-EDAA-46EF-9790-85A38501B6EA}"/>
    <dataValidation allowBlank="1" showErrorMessage="1" prompt="Enter supplemental fuel annual flow rate in scf/yr." sqref="D44:E44" xr:uid="{D0909087-CEB2-4C5A-B934-D6268E616369}"/>
    <dataValidation allowBlank="1" showErrorMessage="1" prompt="Enter supplemental fuel hourly flow rate in scf/hr." sqref="D43:E43" xr:uid="{7D8A1536-68C2-4AFC-A349-7E23DABDCDFF}"/>
    <dataValidation type="decimal" operator="greaterThanOrEqual" allowBlank="1" showErrorMessage="1" prompt="Enter the release height in feet." sqref="D16:E16" xr:uid="{F177D709-C697-4FA2-9801-B2F7EB8A79AE}">
      <formula1>40</formula1>
    </dataValidation>
    <dataValidation type="decimal" operator="greaterThanOrEqual" allowBlank="1" showErrorMessage="1" prompt="Enter the distance to property line in feet." sqref="D15:E15" xr:uid="{EC063AE4-C90C-4989-A54F-EAB5537B27C4}">
      <formula1>25</formula1>
    </dataValidation>
    <dataValidation allowBlank="1" showErrorMessage="1" prompt="Enter the UTM northing." sqref="D11:G11" xr:uid="{092DDB04-91C9-40E7-B753-E7B1A5C1E11B}"/>
    <dataValidation allowBlank="1" showErrorMessage="1" prompt="Enter the UTM easting." sqref="D10:G10" xr:uid="{CEAC651F-6B0F-4B54-8F8A-4A86230CD98C}"/>
    <dataValidation allowBlank="1" showErrorMessage="1" prompt="Enter the source name." sqref="D9:G9" xr:uid="{4058F971-D208-43BA-93EE-15EB12C791FF}"/>
    <dataValidation allowBlank="1" showErrorMessage="1" prompt="Enter the EPN." sqref="D8:G8" xr:uid="{BCEB95A4-7FED-4963-A4EF-2BA230198325}"/>
    <dataValidation allowBlank="1" showErrorMessage="1" prompt="Enter the pilot fuel flow rate in scf/hr per pilot light." sqref="D28:E28" xr:uid="{10363F62-A6EB-4E4A-8F00-B4DA46B76338}"/>
    <dataValidation type="whole" allowBlank="1" showErrorMessage="1" prompt="Enter the number of pilots that will be lit simultaneously." sqref="D27:E27" xr:uid="{001267DA-81B2-42C7-AEF1-6CA70EA30EC4}">
      <formula1>1</formula1>
      <formula2>100</formula2>
    </dataValidation>
    <dataValidation type="list" allowBlank="1" showErrorMessage="1" prompt="Select yes or no." sqref="D73:G73 D71:G71" xr:uid="{CCA73962-8128-4EDA-B87A-6353558FBA6B}">
      <formula1>"Yes,No"</formula1>
    </dataValidation>
    <dataValidation type="list" allowBlank="1" showErrorMessage="1" prompt="Is this an affected, modified, or new source?" sqref="D6:G6" xr:uid="{9E334455-DCD7-472B-BF6C-A8ED00B84148}">
      <formula1>"Affected,Modified,New"</formula1>
    </dataValidation>
    <dataValidation allowBlank="1" showErrorMessage="1" prompt="Enter the maximum firing rate in MMBtu/hr." sqref="D21:E21" xr:uid="{B73511CE-BD34-407D-8E8F-4A4B865A3EE8}"/>
    <dataValidation type="decimal" operator="greaterThanOrEqual" allowBlank="1" showErrorMessage="1" prompt="Enter the VOC control efficiency as a percentage." sqref="D23:E23" xr:uid="{D5CDC66F-EB91-44C0-AED0-1617AB7A46EC}">
      <formula1>0.99</formula1>
    </dataValidation>
    <dataValidation type="decimal" allowBlank="1" showErrorMessage="1" prompt="Enter NOx thermal emission factor in lb/MMBtu." sqref="D63:E63" xr:uid="{C3703135-1DF6-4516-B17D-0A85C847E9B6}">
      <formula1>0.06</formula1>
      <formula2>0.138</formula2>
    </dataValidation>
    <dataValidation type="decimal" allowBlank="1" showErrorMessage="1" prompt="Enter CO thermal emission factor in lb/MMBtu." sqref="D65:E65" xr:uid="{EE5BCE29-49B6-421D-AC65-1FBAE4F0AD6D}">
      <formula1>0.1</formula1>
      <formula2>0.3</formula2>
    </dataValidation>
    <dataValidation allowBlank="1" showErrorMessage="1" prompt="Enter the emission factor used for PM, PM10, and PM2.5 emissions in lb/MMBtu." sqref="D67:E67" xr:uid="{7A12B51C-D1F1-41C5-9634-65B1EF0CB002}"/>
    <dataValidation type="list" allowBlank="1" showErrorMessage="1" prompt="Choose the emission factor source for SO2: vendor guarantee (must provide) or AP-42 Ch. 1.4." sqref="D68:E68" xr:uid="{DC28D789-4199-459F-9A91-11B019A63C9C}">
      <formula1>"vendor guarantee (must provide),AP-42 Ch. 1.4"</formula1>
    </dataValidation>
    <dataValidation type="list" allowBlank="1" showErrorMessage="1" prompt="Choose the emission factor source for thermal NOx: vendor guarantee (must provide) or AP-42 Ch. 1.4." sqref="D62:E62" xr:uid="{AE556C2A-C7F5-47A8-A378-EE64E10FC5BB}">
      <formula1>"vendor guarantee (must provide),AP-42 Ch. 1.4"</formula1>
    </dataValidation>
    <dataValidation type="list" allowBlank="1" showErrorMessage="1" prompt="Choose the emission factor source for thermal CO: vendor guarantee (must provide) or AP-42 Ch. 1.4." sqref="D64:E64" xr:uid="{7DE4F0AF-379A-4B55-A921-43CA171B99BB}">
      <formula1>"vendor guarantee (must provide),AP-42 Ch. 1.4"</formula1>
    </dataValidation>
    <dataValidation type="list" allowBlank="1" showErrorMessage="1" prompt="Choose the emission factor source for PM, PM10, and PM2.5: vendor guarantee (must provide) or AP-42 Ch. 1.4." sqref="D66:E66" xr:uid="{879DE07C-9A19-406B-92CE-41087680F67B}">
      <formula1>"vendor guarantee (must provide),AP-42 Ch. 1.4"</formula1>
    </dataValidation>
    <dataValidation allowBlank="1" showErrorMessage="1" prompt="If fuel gas is used, enter CO emission factor in lb/MMscf." sqref="D49:E49 D33:E33" xr:uid="{68295CD0-1C70-4D6B-8731-7E41EE6765E0}"/>
    <dataValidation allowBlank="1" showErrorMessage="1" prompt="If fuel gas is used, enter NOx emission factor in lb/MMscf." sqref="D48:E48 D32:E32" xr:uid="{A66B172F-AC8D-4CB8-8732-4DCA77D694FC}"/>
    <dataValidation allowBlank="1" showErrorMessage="1" prompt="If fuel gas is used, enter VOC emission factor in lb/MMscf." sqref="D47:E47 D31:E31" xr:uid="{91A2BFAD-EF55-4A50-888E-6AFACA9FFDFD}"/>
    <dataValidation allowBlank="1" showErrorMessage="1" prompt="If using fuel gas, enter the PM/PM10/PM2.5 emission factor in lb/MMscf." sqref="D50:E50 D34:E34" xr:uid="{5E3C1328-D6BD-4ABB-A919-74446E7FD44E}"/>
    <dataValidation allowBlank="1" showErrorMessage="1" prompt="Enter SO2 emission factor in lb/MMBtu." sqref="D69:E69" xr:uid="{5EF3B677-A902-4849-8B07-E50878C285A9}"/>
    <dataValidation allowBlank="1" showErrorMessage="1" prompt="If yes, list the emission units in this project subject to CAM. Please use the sheet name identifiers, for example Tank1, Tank2, Loading-drum,tote, etc." sqref="D72:G72" xr:uid="{226699C0-9188-406B-BF17-6791F86E4F31}"/>
    <dataValidation type="list" allowBlank="1" showErrorMessage="1" prompt="Choose natural gas or fuel gas." sqref="D26:E26" xr:uid="{5DB0CEF7-340F-4557-B919-9991C6BBE83B}">
      <formula1>"natural gas,fuel gas"</formula1>
    </dataValidation>
    <dataValidation type="list" allowBlank="1" showErrorMessage="1" prompt="Choose natural gas, fuel gas, or none." sqref="D42:E42" xr:uid="{8D1CC80A-58B7-471B-AF38-F4DF033072C2}">
      <formula1>"natural gas,fuel gas,none"</formula1>
    </dataValidation>
    <dataValidation type="decimal" operator="lessThanOrEqual" allowBlank="1" showErrorMessage="1" prompt="enter the sulfur content of the supplemental fuel in gr/100 dscf" sqref="D45:E45" xr:uid="{2E86D5B7-C965-40D5-8325-287F1B3FA121}">
      <formula1>IF(D42="fuel gas",10,IF(D42="natural gas",5,""))</formula1>
    </dataValidation>
    <dataValidation type="decimal" operator="greaterThanOrEqual" allowBlank="1" showErrorMessage="1" prompt="enter stack exit diameter in feet" sqref="D17:E17" xr:uid="{1ED3216D-49AA-4B4B-8258-9119D2266C83}">
      <formula1>7</formula1>
    </dataValidation>
    <dataValidation type="decimal" operator="greaterThanOrEqual" allowBlank="1" showErrorMessage="1" prompt="enter the Stack exit temperature (°F)" sqref="D18:E18" xr:uid="{C2A1831A-A83E-48A2-BDD0-953ABA52D880}">
      <formula1>1200</formula1>
    </dataValidation>
    <dataValidation type="decimal" operator="greaterThanOrEqual" allowBlank="1" showErrorMessage="1" prompt="enter the Stack exit velocity (fps)" sqref="D19:E19" xr:uid="{6F7C0191-B40E-46F6-AAC0-36664784EF78}">
      <formula1>32</formula1>
    </dataValidation>
    <dataValidation type="decimal" operator="lessThanOrEqual" allowBlank="1" showErrorMessage="1" prompt="enter the sulfur content of pilot fuel in gr/100 dscf" sqref="D29:E29" xr:uid="{C32057B4-2AF1-4D37-B340-9B5DFCF37891}">
      <formula1>IF(D26="natural gas",5,IF(D26="fuel gas",10,""))</formula1>
    </dataValidation>
    <dataValidation allowBlank="1" showErrorMessage="1" prompt="enter the FIN" sqref="D7:G7" xr:uid="{046FCC39-5FDC-4EEB-B09D-B45EBFB1D18D}"/>
    <dataValidation type="decimal" allowBlank="1" showErrorMessage="1" prompt="enter the H2S control efficiency (%)" sqref="D24:E24" xr:uid="{CDBF8E1A-A5FC-4947-90FF-6B1DC3E79170}">
      <formula1>0.98</formula1>
      <formula2>1</formula2>
    </dataValidation>
    <dataValidation type="decimal" operator="greaterThanOrEqual" allowBlank="1" showInputMessage="1" showErrorMessage="1" prompt="vendor-specified minimum combustion chamber temperature (°F)" sqref="D22:E22" xr:uid="{97ECA9F4-F8A3-4FA8-A903-E73FA9A1A21E}">
      <formula1>1200</formula1>
    </dataValidation>
  </dataValidations>
  <printOptions horizontalCentered="1"/>
  <pageMargins left="0.7" right="0.7" top="0.75" bottom="0.75" header="0.3" footer="0.3"/>
  <pageSetup scale="96" orientation="landscape" r:id="rId1"/>
  <headerFooter>
    <oddHeader>&amp;C&amp;"Calibri,Regular"Marine Loading RAP Application</oddHeader>
    <oddFooter>&amp;L&amp;"Calibri,Regular"Version 1.0&amp;C&amp;"Calibri,Regular"Sheet: &amp;A&amp;R&amp;"Calibri,Regular"Page &amp;P</oddFooter>
  </headerFooter>
  <extLst>
    <ext xmlns:x14="http://schemas.microsoft.com/office/spreadsheetml/2009/9/main" uri="{78C0D931-6437-407d-A8EE-F0AAD7539E65}">
      <x14:conditionalFormattings>
        <x14:conditionalFormatting xmlns:xm="http://schemas.microsoft.com/office/excel/2006/main">
          <x14:cfRule type="expression" priority="6" id="{C4381842-20EE-42C8-B0F6-EE2FB7A8A14A}">
            <xm:f>'PI-1-MarineLoading'!$G$122="NO"</xm:f>
            <x14:dxf>
              <numFmt numFmtId="164" formatCode=";;;"/>
              <fill>
                <patternFill>
                  <bgColor theme="0" tint="-0.499984740745262"/>
                </patternFill>
              </fill>
            </x14:dxf>
          </x14:cfRule>
          <xm:sqref>A2:G239</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F8E0D-9F5C-485E-B414-C3D8BD5B4938}">
  <sheetPr codeName="Sheet18">
    <tabColor rgb="FFFFFFCC"/>
  </sheetPr>
  <dimension ref="A1:H221"/>
  <sheetViews>
    <sheetView showGridLines="0" zoomScaleNormal="100" workbookViewId="0">
      <selection sqref="A1:G1"/>
    </sheetView>
  </sheetViews>
  <sheetFormatPr defaultColWidth="0" defaultRowHeight="14.25" zeroHeight="1" x14ac:dyDescent="0.2"/>
  <cols>
    <col min="1" max="3" width="14.75" customWidth="1"/>
    <col min="4" max="7" width="17.625" customWidth="1"/>
    <col min="8" max="8" width="2.625" customWidth="1"/>
    <col min="9" max="16384" width="9" hidden="1"/>
  </cols>
  <sheetData>
    <row r="1" spans="1:7" ht="8.25" customHeight="1" thickBot="1" x14ac:dyDescent="0.25">
      <c r="A1" s="478" t="s">
        <v>0</v>
      </c>
      <c r="B1" s="478"/>
      <c r="C1" s="478"/>
      <c r="D1" s="478"/>
      <c r="E1" s="478"/>
      <c r="F1" s="478"/>
      <c r="G1" s="478"/>
    </row>
    <row r="2" spans="1:7" ht="18.75" thickBot="1" x14ac:dyDescent="0.25">
      <c r="A2" s="525" t="s">
        <v>9141</v>
      </c>
      <c r="B2" s="525"/>
      <c r="C2" s="525"/>
      <c r="D2" s="525"/>
      <c r="E2" s="525"/>
      <c r="F2" s="525"/>
      <c r="G2" s="525"/>
    </row>
    <row r="3" spans="1:7" ht="162.75" customHeight="1" thickBot="1" x14ac:dyDescent="0.25">
      <c r="A3" s="523" t="s">
        <v>10868</v>
      </c>
      <c r="B3" s="602"/>
      <c r="C3" s="602"/>
      <c r="D3" s="602"/>
      <c r="E3" s="602"/>
      <c r="F3" s="602"/>
      <c r="G3" s="524"/>
    </row>
    <row r="4" spans="1:7" ht="15" thickBot="1" x14ac:dyDescent="0.25">
      <c r="A4" s="560" t="s">
        <v>1</v>
      </c>
      <c r="B4" s="560"/>
      <c r="C4" s="560"/>
      <c r="D4" s="560"/>
      <c r="E4" s="560"/>
      <c r="F4" s="560"/>
      <c r="G4" s="560"/>
    </row>
    <row r="5" spans="1:7" ht="15.75" thickBot="1" x14ac:dyDescent="0.25">
      <c r="A5" s="479" t="s">
        <v>133</v>
      </c>
      <c r="B5" s="479"/>
      <c r="C5" s="479"/>
      <c r="D5" s="479"/>
      <c r="E5" s="479"/>
      <c r="F5" s="479"/>
      <c r="G5" s="479"/>
    </row>
    <row r="6" spans="1:7" x14ac:dyDescent="0.2">
      <c r="A6" s="666" t="s">
        <v>166</v>
      </c>
      <c r="B6" s="667"/>
      <c r="C6" s="668"/>
      <c r="D6" s="551"/>
      <c r="E6" s="552"/>
      <c r="F6" s="552"/>
      <c r="G6" s="553"/>
    </row>
    <row r="7" spans="1:7" x14ac:dyDescent="0.2">
      <c r="A7" s="666" t="s">
        <v>167</v>
      </c>
      <c r="B7" s="667"/>
      <c r="C7" s="668"/>
      <c r="D7" s="551"/>
      <c r="E7" s="552"/>
      <c r="F7" s="552"/>
      <c r="G7" s="553"/>
    </row>
    <row r="8" spans="1:7" x14ac:dyDescent="0.2">
      <c r="A8" s="666" t="s">
        <v>168</v>
      </c>
      <c r="B8" s="667"/>
      <c r="C8" s="668"/>
      <c r="D8" s="551"/>
      <c r="E8" s="552"/>
      <c r="F8" s="552"/>
      <c r="G8" s="553"/>
    </row>
    <row r="9" spans="1:7" x14ac:dyDescent="0.2">
      <c r="A9" s="666" t="s">
        <v>169</v>
      </c>
      <c r="B9" s="667"/>
      <c r="C9" s="668"/>
      <c r="D9" s="551"/>
      <c r="E9" s="552"/>
      <c r="F9" s="552"/>
      <c r="G9" s="553"/>
    </row>
    <row r="10" spans="1:7" x14ac:dyDescent="0.2">
      <c r="A10" s="666" t="s">
        <v>170</v>
      </c>
      <c r="B10" s="667"/>
      <c r="C10" s="668"/>
      <c r="D10" s="551"/>
      <c r="E10" s="552"/>
      <c r="F10" s="552"/>
      <c r="G10" s="553"/>
    </row>
    <row r="11" spans="1:7" ht="15" thickBot="1" x14ac:dyDescent="0.25">
      <c r="A11" s="669" t="s">
        <v>171</v>
      </c>
      <c r="B11" s="670"/>
      <c r="C11" s="671"/>
      <c r="D11" s="557"/>
      <c r="E11" s="558"/>
      <c r="F11" s="558"/>
      <c r="G11" s="559"/>
    </row>
    <row r="12" spans="1:7" ht="15" thickBot="1" x14ac:dyDescent="0.25">
      <c r="A12" s="777" t="s">
        <v>1</v>
      </c>
      <c r="B12" s="560"/>
      <c r="C12" s="560"/>
      <c r="D12" s="560"/>
      <c r="E12" s="560"/>
      <c r="F12" s="560"/>
      <c r="G12" s="778"/>
    </row>
    <row r="13" spans="1:7" ht="15.75" thickBot="1" x14ac:dyDescent="0.25">
      <c r="A13" s="474" t="s">
        <v>9166</v>
      </c>
      <c r="B13" s="474"/>
      <c r="C13" s="474"/>
      <c r="D13" s="474"/>
      <c r="E13" s="474"/>
      <c r="F13" s="474"/>
      <c r="G13" s="474"/>
    </row>
    <row r="14" spans="1:7" ht="15" x14ac:dyDescent="0.25">
      <c r="A14" s="825" t="s">
        <v>9167</v>
      </c>
      <c r="B14" s="826"/>
      <c r="C14" s="826"/>
      <c r="D14" s="540" t="s">
        <v>172</v>
      </c>
      <c r="E14" s="540"/>
      <c r="F14" s="540" t="s">
        <v>8723</v>
      </c>
      <c r="G14" s="541"/>
    </row>
    <row r="15" spans="1:7" x14ac:dyDescent="0.2">
      <c r="A15" s="528" t="s">
        <v>176</v>
      </c>
      <c r="B15" s="529"/>
      <c r="C15" s="529"/>
      <c r="D15" s="579"/>
      <c r="E15" s="579"/>
      <c r="F15" s="529" t="s">
        <v>9155</v>
      </c>
      <c r="G15" s="714"/>
    </row>
    <row r="16" spans="1:7" x14ac:dyDescent="0.2">
      <c r="A16" s="528" t="s">
        <v>177</v>
      </c>
      <c r="B16" s="529"/>
      <c r="C16" s="529"/>
      <c r="D16" s="579"/>
      <c r="E16" s="579"/>
      <c r="F16" s="529" t="s">
        <v>9244</v>
      </c>
      <c r="G16" s="714"/>
    </row>
    <row r="17" spans="1:7" x14ac:dyDescent="0.2">
      <c r="A17" s="528" t="s">
        <v>9239</v>
      </c>
      <c r="B17" s="529"/>
      <c r="C17" s="529"/>
      <c r="D17" s="579"/>
      <c r="E17" s="579"/>
      <c r="F17" s="529" t="s">
        <v>9245</v>
      </c>
      <c r="G17" s="714"/>
    </row>
    <row r="18" spans="1:7" x14ac:dyDescent="0.2">
      <c r="A18" s="528" t="s">
        <v>9251</v>
      </c>
      <c r="B18" s="529"/>
      <c r="C18" s="529"/>
      <c r="D18" s="579"/>
      <c r="E18" s="579"/>
      <c r="F18" s="529" t="s">
        <v>9247</v>
      </c>
      <c r="G18" s="714"/>
    </row>
    <row r="19" spans="1:7" ht="15" thickBot="1" x14ac:dyDescent="0.25">
      <c r="A19" s="548" t="s">
        <v>9241</v>
      </c>
      <c r="B19" s="549"/>
      <c r="C19" s="549"/>
      <c r="D19" s="577"/>
      <c r="E19" s="577"/>
      <c r="F19" s="549" t="s">
        <v>9246</v>
      </c>
      <c r="G19" s="550"/>
    </row>
    <row r="20" spans="1:7" ht="15" x14ac:dyDescent="0.2">
      <c r="A20" s="676" t="s">
        <v>9172</v>
      </c>
      <c r="B20" s="677"/>
      <c r="C20" s="677"/>
      <c r="D20" s="540" t="s">
        <v>172</v>
      </c>
      <c r="E20" s="540"/>
      <c r="F20" s="540" t="s">
        <v>8723</v>
      </c>
      <c r="G20" s="541"/>
    </row>
    <row r="21" spans="1:7" x14ac:dyDescent="0.2">
      <c r="A21" s="528" t="s">
        <v>9145</v>
      </c>
      <c r="B21" s="529"/>
      <c r="C21" s="529"/>
      <c r="D21" s="579"/>
      <c r="E21" s="579"/>
      <c r="F21" s="796" t="s">
        <v>8685</v>
      </c>
      <c r="G21" s="797"/>
    </row>
    <row r="22" spans="1:7" x14ac:dyDescent="0.2">
      <c r="A22" s="528" t="s">
        <v>9185</v>
      </c>
      <c r="B22" s="529"/>
      <c r="C22" s="529"/>
      <c r="D22" s="579"/>
      <c r="E22" s="579"/>
      <c r="F22" s="529" t="str">
        <f>IF($D$21="catalytic oxidizer","20 ppmv maximum (at 3% oxygen)",IF(OR($D$21="regenerative thermal oxidizer",D21="non-regenerative thermal oxidizer"),"10 ppmv maximum (at 3% oxygen)",""))</f>
        <v/>
      </c>
      <c r="G22" s="714"/>
    </row>
    <row r="23" spans="1:7" x14ac:dyDescent="0.2">
      <c r="A23" s="528" t="s">
        <v>8719</v>
      </c>
      <c r="B23" s="529"/>
      <c r="C23" s="529"/>
      <c r="D23" s="769"/>
      <c r="E23" s="769"/>
      <c r="F23" s="819" t="str">
        <f>IF($D$21="catalytic oxidizer","98% minimum",IF($D$21="non-regenerative thermal oxidizer","99.9% minimum",IF($D$21="regenerative thermal oxidizer","99% minimum","")))</f>
        <v/>
      </c>
      <c r="G23" s="818"/>
    </row>
    <row r="24" spans="1:7" x14ac:dyDescent="0.2">
      <c r="A24" s="528" t="s">
        <v>10062</v>
      </c>
      <c r="B24" s="529"/>
      <c r="C24" s="529"/>
      <c r="D24" s="832"/>
      <c r="E24" s="832"/>
      <c r="F24" s="529" t="s">
        <v>9260</v>
      </c>
      <c r="G24" s="714"/>
    </row>
    <row r="25" spans="1:7" x14ac:dyDescent="0.2">
      <c r="A25" s="528" t="s">
        <v>9184</v>
      </c>
      <c r="B25" s="529"/>
      <c r="C25" s="529"/>
      <c r="D25" s="769"/>
      <c r="E25" s="769"/>
      <c r="F25" s="819" t="str">
        <f>IF($D$21="non-regenerative thermal oxidizer","low-NOx burners required","")</f>
        <v/>
      </c>
      <c r="G25" s="818"/>
    </row>
    <row r="26" spans="1:7" ht="15" x14ac:dyDescent="0.2">
      <c r="A26" s="528" t="s">
        <v>9187</v>
      </c>
      <c r="B26" s="529"/>
      <c r="C26" s="529"/>
      <c r="D26" s="816"/>
      <c r="E26" s="816"/>
      <c r="F26" s="817" t="s">
        <v>9188</v>
      </c>
      <c r="G26" s="818"/>
    </row>
    <row r="27" spans="1:7" ht="15" x14ac:dyDescent="0.2">
      <c r="A27" s="528" t="s">
        <v>9189</v>
      </c>
      <c r="B27" s="529"/>
      <c r="C27" s="529"/>
      <c r="D27" s="816"/>
      <c r="E27" s="816"/>
      <c r="F27" s="817" t="s">
        <v>9190</v>
      </c>
      <c r="G27" s="818"/>
    </row>
    <row r="28" spans="1:7" x14ac:dyDescent="0.2">
      <c r="A28" s="831" t="s">
        <v>9368</v>
      </c>
      <c r="B28" s="831"/>
      <c r="C28" s="831"/>
      <c r="D28" s="830"/>
      <c r="E28" s="830"/>
      <c r="F28" s="796" t="s">
        <v>8685</v>
      </c>
      <c r="G28" s="797"/>
    </row>
    <row r="29" spans="1:7" ht="15" x14ac:dyDescent="0.2">
      <c r="A29" s="530" t="s">
        <v>9523</v>
      </c>
      <c r="B29" s="531"/>
      <c r="C29" s="531"/>
      <c r="D29" s="816"/>
      <c r="E29" s="816"/>
      <c r="F29" s="817" t="s">
        <v>9295</v>
      </c>
      <c r="G29" s="818"/>
    </row>
    <row r="30" spans="1:7" x14ac:dyDescent="0.2">
      <c r="A30" s="530" t="s">
        <v>9191</v>
      </c>
      <c r="B30" s="531"/>
      <c r="C30" s="531"/>
      <c r="D30" s="816"/>
      <c r="E30" s="816"/>
      <c r="F30" s="819" t="str">
        <f>IF($D$21="","",IF($D$21="CATALYTIC OXIDIZER","CEMS required if &gt; 2 tpy VOC emissions",IF($D$21="non-regenerative thermal oxidizer","CEMS requried if &gt; 10 tpy VOC emissions","CEMS not required")))</f>
        <v/>
      </c>
      <c r="G30" s="818"/>
    </row>
    <row r="31" spans="1:7" ht="15" thickBot="1" x14ac:dyDescent="0.25">
      <c r="A31" s="483" t="s">
        <v>9178</v>
      </c>
      <c r="B31" s="484"/>
      <c r="C31" s="484"/>
      <c r="D31" s="820"/>
      <c r="E31" s="820"/>
      <c r="F31" s="821" t="s">
        <v>9529</v>
      </c>
      <c r="G31" s="822"/>
    </row>
    <row r="32" spans="1:7" ht="15" x14ac:dyDescent="0.2">
      <c r="A32" s="676" t="s">
        <v>8693</v>
      </c>
      <c r="B32" s="677"/>
      <c r="C32" s="677"/>
      <c r="D32" s="540" t="s">
        <v>172</v>
      </c>
      <c r="E32" s="540"/>
      <c r="F32" s="747" t="s">
        <v>8723</v>
      </c>
      <c r="G32" s="748"/>
    </row>
    <row r="33" spans="1:7" x14ac:dyDescent="0.2">
      <c r="A33" s="528" t="s">
        <v>8694</v>
      </c>
      <c r="B33" s="529"/>
      <c r="C33" s="529"/>
      <c r="D33" s="579"/>
      <c r="E33" s="579"/>
      <c r="F33" s="738" t="s">
        <v>8685</v>
      </c>
      <c r="G33" s="739"/>
    </row>
    <row r="34" spans="1:7" x14ac:dyDescent="0.2">
      <c r="A34" s="528" t="s">
        <v>8716</v>
      </c>
      <c r="B34" s="529"/>
      <c r="C34" s="529"/>
      <c r="D34" s="579"/>
      <c r="E34" s="579"/>
      <c r="F34" s="736" t="s">
        <v>9186</v>
      </c>
      <c r="G34" s="737"/>
    </row>
    <row r="35" spans="1:7" ht="28.5" customHeight="1" x14ac:dyDescent="0.2">
      <c r="A35" s="530" t="str">
        <f t="shared" ref="A35" si="0">IF($D$6="modified","Proposed increase in pilot fuel flow rate (scf/hr per pilot light)","Pilot fuel flow rate (scf/hr per pilot light)")</f>
        <v>Pilot fuel flow rate (scf/hr per pilot light)</v>
      </c>
      <c r="B35" s="531"/>
      <c r="C35" s="531"/>
      <c r="D35" s="579"/>
      <c r="E35" s="579"/>
      <c r="F35" s="738" t="s">
        <v>8685</v>
      </c>
      <c r="G35" s="739"/>
    </row>
    <row r="36" spans="1:7" x14ac:dyDescent="0.2">
      <c r="A36" s="528" t="s">
        <v>9263</v>
      </c>
      <c r="B36" s="529"/>
      <c r="C36" s="529"/>
      <c r="D36" s="579"/>
      <c r="E36" s="579"/>
      <c r="F36" s="736" t="str">
        <f>IF($D$33="NATURAL GAS","5 gr/100dscf maximum",IF($D$33="FUEL GAS","10 gr/100dscf maximum",""))</f>
        <v/>
      </c>
      <c r="G36" s="737"/>
    </row>
    <row r="37" spans="1:7" x14ac:dyDescent="0.2">
      <c r="A37" s="528" t="s">
        <v>8695</v>
      </c>
      <c r="B37" s="529"/>
      <c r="C37" s="529"/>
      <c r="D37" s="529" t="str">
        <f>IF($D$33="","",IF($D$33="natural gas","AP-42 Ch. 1.4",IF($D$33="fuel gas","Site-specific fuel gas analysis","")))</f>
        <v/>
      </c>
      <c r="E37" s="529"/>
      <c r="F37" s="738" t="s">
        <v>8685</v>
      </c>
      <c r="G37" s="739"/>
    </row>
    <row r="38" spans="1:7" x14ac:dyDescent="0.2">
      <c r="A38" s="528" t="s">
        <v>8699</v>
      </c>
      <c r="B38" s="529"/>
      <c r="C38" s="529"/>
      <c r="D38" s="579"/>
      <c r="E38" s="579"/>
      <c r="F38" s="738" t="s">
        <v>8685</v>
      </c>
      <c r="G38" s="739"/>
    </row>
    <row r="39" spans="1:7" x14ac:dyDescent="0.2">
      <c r="A39" s="528" t="s">
        <v>8700</v>
      </c>
      <c r="B39" s="529"/>
      <c r="C39" s="529"/>
      <c r="D39" s="579"/>
      <c r="E39" s="579"/>
      <c r="F39" s="738" t="s">
        <v>8685</v>
      </c>
      <c r="G39" s="739"/>
    </row>
    <row r="40" spans="1:7" x14ac:dyDescent="0.2">
      <c r="A40" s="528" t="s">
        <v>8701</v>
      </c>
      <c r="B40" s="529"/>
      <c r="C40" s="529"/>
      <c r="D40" s="579"/>
      <c r="E40" s="579"/>
      <c r="F40" s="738" t="s">
        <v>8685</v>
      </c>
      <c r="G40" s="739"/>
    </row>
    <row r="41" spans="1:7" x14ac:dyDescent="0.2">
      <c r="A41" s="528" t="s">
        <v>9296</v>
      </c>
      <c r="B41" s="529"/>
      <c r="C41" s="529"/>
      <c r="D41" s="579"/>
      <c r="E41" s="579"/>
      <c r="F41" s="738" t="s">
        <v>8685</v>
      </c>
      <c r="G41" s="739"/>
    </row>
    <row r="42" spans="1:7" x14ac:dyDescent="0.2">
      <c r="A42" s="528" t="s">
        <v>271</v>
      </c>
      <c r="B42" s="529"/>
      <c r="C42" s="529"/>
      <c r="D42" s="579"/>
      <c r="E42" s="579"/>
      <c r="F42" s="738" t="s">
        <v>8685</v>
      </c>
      <c r="G42" s="739"/>
    </row>
    <row r="43" spans="1:7" x14ac:dyDescent="0.2">
      <c r="A43" s="528" t="s">
        <v>8699</v>
      </c>
      <c r="B43" s="529"/>
      <c r="C43" s="529"/>
      <c r="D43" s="529" t="str">
        <f>IF(D33="","",IF(D33="natural gas",5.5,""))</f>
        <v/>
      </c>
      <c r="E43" s="529"/>
      <c r="F43" s="738" t="s">
        <v>8685</v>
      </c>
      <c r="G43" s="739"/>
    </row>
    <row r="44" spans="1:7" x14ac:dyDescent="0.2">
      <c r="A44" s="528" t="s">
        <v>8700</v>
      </c>
      <c r="B44" s="529"/>
      <c r="C44" s="529"/>
      <c r="D44" s="529" t="str">
        <f>IF(D33="","",IF(D33="natural gas",100,""))</f>
        <v/>
      </c>
      <c r="E44" s="529"/>
      <c r="F44" s="738" t="s">
        <v>8685</v>
      </c>
      <c r="G44" s="739"/>
    </row>
    <row r="45" spans="1:7" x14ac:dyDescent="0.2">
      <c r="A45" s="528" t="s">
        <v>8701</v>
      </c>
      <c r="B45" s="529"/>
      <c r="C45" s="529"/>
      <c r="D45" s="529" t="str">
        <f>IF(D33="","",IF(D33="natural gas",84,""))</f>
        <v/>
      </c>
      <c r="E45" s="529"/>
      <c r="F45" s="738" t="s">
        <v>8685</v>
      </c>
      <c r="G45" s="739"/>
    </row>
    <row r="46" spans="1:7" x14ac:dyDescent="0.2">
      <c r="A46" s="528" t="s">
        <v>9296</v>
      </c>
      <c r="B46" s="529"/>
      <c r="C46" s="529"/>
      <c r="D46" s="529" t="str">
        <f>IF(D33="","",IF(D33="natural gas",7.6,""))</f>
        <v/>
      </c>
      <c r="E46" s="529"/>
      <c r="F46" s="738" t="s">
        <v>8685</v>
      </c>
      <c r="G46" s="739"/>
    </row>
    <row r="47" spans="1:7" ht="15" thickBot="1" x14ac:dyDescent="0.25">
      <c r="A47" s="548" t="s">
        <v>271</v>
      </c>
      <c r="B47" s="549"/>
      <c r="C47" s="549"/>
      <c r="D47" s="549" t="str">
        <f>IF(OR($D$33="",$D$36=""),"",IF($D$33="natural gas",0.6*5*$D$36,""))</f>
        <v/>
      </c>
      <c r="E47" s="549"/>
      <c r="F47" s="742" t="s">
        <v>8685</v>
      </c>
      <c r="G47" s="743"/>
    </row>
    <row r="48" spans="1:7" ht="15" x14ac:dyDescent="0.2">
      <c r="A48" s="676" t="s">
        <v>277</v>
      </c>
      <c r="B48" s="677"/>
      <c r="C48" s="677"/>
      <c r="D48" s="540" t="s">
        <v>172</v>
      </c>
      <c r="E48" s="540"/>
      <c r="F48" s="747" t="s">
        <v>8723</v>
      </c>
      <c r="G48" s="748"/>
    </row>
    <row r="49" spans="1:7" ht="46.5" customHeight="1" x14ac:dyDescent="0.2">
      <c r="A49" s="530" t="s">
        <v>10864</v>
      </c>
      <c r="B49" s="531"/>
      <c r="C49" s="531"/>
      <c r="D49" s="827"/>
      <c r="E49" s="827"/>
      <c r="F49" s="466" t="s">
        <v>10865</v>
      </c>
      <c r="G49" s="467"/>
    </row>
    <row r="50" spans="1:7" ht="31.5" customHeight="1" x14ac:dyDescent="0.2">
      <c r="A50" s="530" t="s">
        <v>8715</v>
      </c>
      <c r="B50" s="531"/>
      <c r="C50" s="531"/>
      <c r="D50" s="827"/>
      <c r="E50" s="827"/>
      <c r="F50" s="734" t="s">
        <v>10866</v>
      </c>
      <c r="G50" s="735"/>
    </row>
    <row r="51" spans="1:7" ht="75.75" customHeight="1" x14ac:dyDescent="0.2">
      <c r="A51" s="530" t="str">
        <f>IF($D$6="modified","Proposed increase in maximum hourly flow rate (scf/hr)","Maximum hourly flow rate (scf/hr)")</f>
        <v>Maximum hourly flow rate (scf/hr)</v>
      </c>
      <c r="B51" s="531"/>
      <c r="C51" s="531"/>
      <c r="D51" s="827"/>
      <c r="E51" s="827"/>
      <c r="F51" s="734" t="str">
        <f t="shared" ref="F51" si="1">IF($D$6="modified","Excluding tank roof landings and MSS, consider all proposed increases of waste stream flow to the the vapor oxidizer and calculate the resulting hourly flow rate increase.","Excluding tank roof landings and MSS, consider all waste streams that will be routed to the vapor oxidizer at a given point in time and calculate the resulting hourly flow rate.")</f>
        <v>Excluding tank roof landings and MSS, consider all waste streams that will be routed to the vapor oxidizer at a given point in time and calculate the resulting hourly flow rate.</v>
      </c>
      <c r="G51" s="735"/>
    </row>
    <row r="52" spans="1:7" ht="75.75" customHeight="1" x14ac:dyDescent="0.2">
      <c r="A52" s="530" t="str">
        <f>IF($D$6="modified","Proposed increase in annual flow rate (scf/yr)","Annual flow rate (scf/yr)")</f>
        <v>Annual flow rate (scf/yr)</v>
      </c>
      <c r="B52" s="531"/>
      <c r="C52" s="531"/>
      <c r="D52" s="827"/>
      <c r="E52" s="827"/>
      <c r="F52" s="689" t="str">
        <f t="shared" ref="F52" si="2">IF($D$6="modified","Excluding tank roof landings and MSS, consider all proposed increases of waste stream flow to the flare during one year and calculate the resulting annual flow rate increase.","Excluding tank roof landings and MSS, consider all waste streams that will be routed to the flare during one year and calculate the resulting annual flow rate.")</f>
        <v>Excluding tank roof landings and MSS, consider all waste streams that will be routed to the flare during one year and calculate the resulting annual flow rate.</v>
      </c>
      <c r="G52" s="691"/>
    </row>
    <row r="53" spans="1:7" x14ac:dyDescent="0.2">
      <c r="A53" s="528" t="s">
        <v>8727</v>
      </c>
      <c r="B53" s="529"/>
      <c r="C53" s="529"/>
      <c r="D53" s="827"/>
      <c r="E53" s="827"/>
      <c r="F53" s="738" t="s">
        <v>8685</v>
      </c>
      <c r="G53" s="739"/>
    </row>
    <row r="54" spans="1:7" x14ac:dyDescent="0.2">
      <c r="A54" s="528" t="s">
        <v>275</v>
      </c>
      <c r="B54" s="529"/>
      <c r="C54" s="529"/>
      <c r="D54" s="579"/>
      <c r="E54" s="579"/>
      <c r="F54" s="823" t="s">
        <v>9530</v>
      </c>
      <c r="G54" s="824"/>
    </row>
    <row r="55" spans="1:7" x14ac:dyDescent="0.2">
      <c r="A55" s="528" t="s">
        <v>8728</v>
      </c>
      <c r="B55" s="529"/>
      <c r="C55" s="529"/>
      <c r="D55" s="827"/>
      <c r="E55" s="827"/>
      <c r="F55" s="738" t="s">
        <v>8685</v>
      </c>
      <c r="G55" s="739"/>
    </row>
    <row r="56" spans="1:7" x14ac:dyDescent="0.2">
      <c r="A56" s="528" t="s">
        <v>276</v>
      </c>
      <c r="B56" s="529"/>
      <c r="C56" s="529"/>
      <c r="D56" s="579"/>
      <c r="E56" s="579"/>
      <c r="F56" s="814" t="s">
        <v>9531</v>
      </c>
      <c r="G56" s="815"/>
    </row>
    <row r="57" spans="1:7" x14ac:dyDescent="0.2">
      <c r="A57" s="528" t="s">
        <v>8725</v>
      </c>
      <c r="B57" s="529"/>
      <c r="C57" s="529"/>
      <c r="D57" s="827"/>
      <c r="E57" s="827"/>
      <c r="F57" s="738" t="s">
        <v>8685</v>
      </c>
      <c r="G57" s="739"/>
    </row>
    <row r="58" spans="1:7" x14ac:dyDescent="0.2">
      <c r="A58" s="528" t="s">
        <v>8720</v>
      </c>
      <c r="B58" s="529"/>
      <c r="C58" s="529"/>
      <c r="D58" s="579"/>
      <c r="E58" s="579"/>
      <c r="F58" s="738" t="s">
        <v>8685</v>
      </c>
      <c r="G58" s="739"/>
    </row>
    <row r="59" spans="1:7" x14ac:dyDescent="0.2">
      <c r="A59" s="528" t="s">
        <v>8726</v>
      </c>
      <c r="B59" s="529"/>
      <c r="C59" s="529"/>
      <c r="D59" s="827"/>
      <c r="E59" s="827"/>
      <c r="F59" s="738" t="s">
        <v>8685</v>
      </c>
      <c r="G59" s="739"/>
    </row>
    <row r="60" spans="1:7" ht="31.5" customHeight="1" thickBot="1" x14ac:dyDescent="0.25">
      <c r="A60" s="483" t="s">
        <v>8722</v>
      </c>
      <c r="B60" s="484"/>
      <c r="C60" s="484"/>
      <c r="D60" s="577"/>
      <c r="E60" s="577"/>
      <c r="F60" s="742" t="s">
        <v>8685</v>
      </c>
      <c r="G60" s="743"/>
    </row>
    <row r="61" spans="1:7" ht="15" x14ac:dyDescent="0.2">
      <c r="A61" s="654" t="s">
        <v>278</v>
      </c>
      <c r="B61" s="655"/>
      <c r="C61" s="655"/>
      <c r="D61" s="655"/>
      <c r="E61" s="655"/>
      <c r="F61" s="655"/>
      <c r="G61" s="829"/>
    </row>
    <row r="62" spans="1:7" x14ac:dyDescent="0.2">
      <c r="A62" s="528" t="s">
        <v>8713</v>
      </c>
      <c r="B62" s="529"/>
      <c r="C62" s="529"/>
      <c r="D62" s="579"/>
      <c r="E62" s="579"/>
      <c r="F62" s="579"/>
      <c r="G62" s="580"/>
    </row>
    <row r="63" spans="1:7" ht="43.5" customHeight="1" x14ac:dyDescent="0.2">
      <c r="A63" s="530" t="s">
        <v>9403</v>
      </c>
      <c r="B63" s="531"/>
      <c r="C63" s="531"/>
      <c r="D63" s="579"/>
      <c r="E63" s="579"/>
      <c r="F63" s="579"/>
      <c r="G63" s="580"/>
    </row>
    <row r="64" spans="1:7" ht="15" thickBot="1" x14ac:dyDescent="0.25">
      <c r="A64" s="548" t="s">
        <v>285</v>
      </c>
      <c r="B64" s="549"/>
      <c r="C64" s="549"/>
      <c r="D64" s="577"/>
      <c r="E64" s="577"/>
      <c r="F64" s="577"/>
      <c r="G64" s="578"/>
    </row>
    <row r="65" spans="1:7" ht="15" thickBot="1" x14ac:dyDescent="0.25">
      <c r="A65" s="828" t="s">
        <v>1</v>
      </c>
      <c r="B65" s="828"/>
      <c r="C65" s="828"/>
      <c r="D65" s="828"/>
      <c r="E65" s="828"/>
      <c r="F65" s="828"/>
      <c r="G65" s="828"/>
    </row>
    <row r="66" spans="1:7" ht="15.75" thickBot="1" x14ac:dyDescent="0.25">
      <c r="A66" s="805" t="s">
        <v>9532</v>
      </c>
      <c r="B66" s="806"/>
      <c r="C66" s="806"/>
      <c r="D66" s="806"/>
      <c r="E66" s="806"/>
      <c r="F66" s="806"/>
      <c r="G66" s="807"/>
    </row>
    <row r="67" spans="1:7" ht="15" x14ac:dyDescent="0.2">
      <c r="A67" s="506" t="s">
        <v>8703</v>
      </c>
      <c r="B67" s="507"/>
      <c r="C67" s="507"/>
      <c r="D67" s="507"/>
      <c r="E67" s="507"/>
      <c r="F67" s="507"/>
      <c r="G67" s="508"/>
    </row>
    <row r="68" spans="1:7" ht="30" customHeight="1" x14ac:dyDescent="0.2">
      <c r="A68" s="512" t="s">
        <v>178</v>
      </c>
      <c r="B68" s="513"/>
      <c r="C68" s="513"/>
      <c r="D68" s="546" t="str">
        <f>IF($D$6="modified","Proposed increase in hourly emissions (lb/hr)","Proposed hourly emissions (lb/hr)")</f>
        <v>Proposed hourly emissions (lb/hr)</v>
      </c>
      <c r="E68" s="546"/>
      <c r="F68" s="546" t="str">
        <f t="shared" ref="F68" si="3">IF($D$6="modified","Proposed increase in annual emissions (tpy)","Proposed annual emissions tpy)")</f>
        <v>Proposed annual emissions tpy)</v>
      </c>
      <c r="G68" s="547"/>
    </row>
    <row r="69" spans="1:7" x14ac:dyDescent="0.2">
      <c r="A69" s="528" t="s">
        <v>229</v>
      </c>
      <c r="B69" s="529"/>
      <c r="C69" s="529"/>
      <c r="D69" s="753">
        <f>IF($D$33="",0,IF($D$33="natural gas",$D$43*$D$35*$D$34*10^-6,IF($D$33="fuel gas",$D$38*$D$35*$D$34*10^-6)))</f>
        <v>0</v>
      </c>
      <c r="E69" s="753"/>
      <c r="F69" s="753">
        <f>IF($D69="",0,$D69*(8760/2000))</f>
        <v>0</v>
      </c>
      <c r="G69" s="754"/>
    </row>
    <row r="70" spans="1:7" x14ac:dyDescent="0.2">
      <c r="A70" s="528" t="s">
        <v>261</v>
      </c>
      <c r="B70" s="529"/>
      <c r="C70" s="529"/>
      <c r="D70" s="753">
        <f t="shared" ref="D70" si="4">IF($D$33="",0,IF($D$33="natural gas",$D$44*$D$35*$D$34*10^-6,IF($D$33="fuel gas",$D$39*$D$35*$D$34*10^-6)))</f>
        <v>0</v>
      </c>
      <c r="E70" s="753"/>
      <c r="F70" s="753">
        <f t="shared" ref="F70:F73" si="5">IF($D70="",0,$D70*(8760/2000))</f>
        <v>0</v>
      </c>
      <c r="G70" s="754"/>
    </row>
    <row r="71" spans="1:7" x14ac:dyDescent="0.2">
      <c r="A71" s="528" t="s">
        <v>262</v>
      </c>
      <c r="B71" s="529"/>
      <c r="C71" s="529"/>
      <c r="D71" s="753">
        <f>IF($D$33="",0,IF($D$33="natural gas",$D$45*$D$35*$D$34*10^-6,IF($D$33="fuel gas",$D$40*$D$35*$D$34*10^-6)))</f>
        <v>0</v>
      </c>
      <c r="E71" s="753"/>
      <c r="F71" s="753">
        <f t="shared" si="5"/>
        <v>0</v>
      </c>
      <c r="G71" s="754"/>
    </row>
    <row r="72" spans="1:7" x14ac:dyDescent="0.2">
      <c r="A72" s="528" t="s">
        <v>263</v>
      </c>
      <c r="B72" s="529"/>
      <c r="C72" s="529"/>
      <c r="D72" s="753">
        <f>IF($D$33="",0,IF($D$33="natural gas",$D$46*$D$35*$D$34*10^-6,IF($D$33="fuel gas",$D$41*$D$35*$D$34*10^-6)))</f>
        <v>0</v>
      </c>
      <c r="E72" s="753"/>
      <c r="F72" s="753">
        <f t="shared" si="5"/>
        <v>0</v>
      </c>
      <c r="G72" s="754"/>
    </row>
    <row r="73" spans="1:7" x14ac:dyDescent="0.2">
      <c r="A73" s="528" t="s">
        <v>264</v>
      </c>
      <c r="B73" s="529"/>
      <c r="C73" s="529"/>
      <c r="D73" s="753">
        <f>IF($D$33="",0,IF($D$33="natural gas",$D$46*$D$35*$D$34*10^-6,IF($D$33="fuel gas",$D$41*$D$35*$D$34*10^-6)))</f>
        <v>0</v>
      </c>
      <c r="E73" s="753"/>
      <c r="F73" s="753">
        <f t="shared" si="5"/>
        <v>0</v>
      </c>
      <c r="G73" s="754"/>
    </row>
    <row r="74" spans="1:7" x14ac:dyDescent="0.2">
      <c r="A74" s="528" t="s">
        <v>265</v>
      </c>
      <c r="B74" s="529"/>
      <c r="C74" s="529"/>
      <c r="D74" s="753">
        <f>IF($D$33="",0,IF($D$33="natural gas",$D$46*$D$35*$D$34*10^-6,IF($D$33="fuel gas",$D$41*$D$35*$D$34*10^-6)))</f>
        <v>0</v>
      </c>
      <c r="E74" s="753"/>
      <c r="F74" s="753">
        <f>IF($D74="",0,$D74*(8760/2000))</f>
        <v>0</v>
      </c>
      <c r="G74" s="754"/>
    </row>
    <row r="75" spans="1:7" x14ac:dyDescent="0.2">
      <c r="A75" s="528" t="s">
        <v>266</v>
      </c>
      <c r="B75" s="529"/>
      <c r="C75" s="529"/>
      <c r="D75" s="753">
        <f>IF($D$33="",0,IF($D$33="natural gas",$D$47*$D$35*$D$34*10^-6,IF($D$33="fuel gas",$D$42*$D$35*$D$34*10^-6)))</f>
        <v>0</v>
      </c>
      <c r="E75" s="753"/>
      <c r="F75" s="753">
        <f t="shared" ref="F75:F76" si="6">IF($D75="",0,$D75*(8760/2000))</f>
        <v>0</v>
      </c>
      <c r="G75" s="754"/>
    </row>
    <row r="76" spans="1:7" ht="15" thickBot="1" x14ac:dyDescent="0.25">
      <c r="A76" s="548" t="s">
        <v>267</v>
      </c>
      <c r="B76" s="549"/>
      <c r="C76" s="549"/>
      <c r="D76" s="755">
        <f>D$75*(34.08/64.06)</f>
        <v>0</v>
      </c>
      <c r="E76" s="755"/>
      <c r="F76" s="775">
        <f t="shared" si="6"/>
        <v>0</v>
      </c>
      <c r="G76" s="776"/>
    </row>
    <row r="77" spans="1:7" ht="15" x14ac:dyDescent="0.2">
      <c r="A77" s="506" t="s">
        <v>9418</v>
      </c>
      <c r="B77" s="507"/>
      <c r="C77" s="507"/>
      <c r="D77" s="507"/>
      <c r="E77" s="507"/>
      <c r="F77" s="507"/>
      <c r="G77" s="508"/>
    </row>
    <row r="78" spans="1:7" ht="45" x14ac:dyDescent="0.2">
      <c r="A78" s="512" t="s">
        <v>178</v>
      </c>
      <c r="B78" s="513"/>
      <c r="C78" s="513"/>
      <c r="D78" s="392" t="str">
        <f>IF($D$6="modified","Proposed increase in collected emissions (lb/hr)","Collected emissions (lb/hr)")</f>
        <v>Collected emissions (lb/hr)</v>
      </c>
      <c r="E78" s="392" t="str">
        <f>IF($D$6="modified","Proposed increase in collected emissions (tpy)","Collected emissions (tpy)")</f>
        <v>Collected emissions (tpy)</v>
      </c>
      <c r="F78" s="392" t="s">
        <v>9392</v>
      </c>
      <c r="G78" s="393" t="s">
        <v>10870</v>
      </c>
    </row>
    <row r="79" spans="1:7" x14ac:dyDescent="0.2">
      <c r="A79" s="528" t="s">
        <v>229</v>
      </c>
      <c r="B79" s="529"/>
      <c r="C79" s="529"/>
      <c r="D79" s="362">
        <f>IF(Tank1!$D$22="vapor oxidizer",MAX(Tank1!$G$32,Tank1!$G$43,Tank1!$G$54,Tank1!$G$65,Tank1!$G$76,Tank1!$G$87,Tank1!$G$98,Tank1!$G$109,Tank1!$G$120,Tank1!$G$131),0)+IF(Tank2!$D$22="vapor oxidizer",MAX(Tank2!$G$32,Tank2!$G$43,Tank2!$G$54,Tank2!$G$65,Tank2!$G$76,Tank2!$G$87,Tank2!$G$98,Tank2!$G$109,Tank2!$G$120,Tank2!$G$131),0)+IF(Tank3!$D$22="vapor oxidizer",MAX(Tank3!$G$32,Tank3!$G$43,Tank3!$G$54,Tank3!$G$65,Tank3!$G$76,Tank3!$G$87,Tank3!$G$98,Tank3!$G$109,Tank3!$G$120,Tank3!$G$131),0)+IF(Tank4!$D$22="vapor oxidizer",MAX(Tank4!$G$32,Tank4!$G$43,Tank4!$G$54,Tank4!$G$65,Tank4!$G$76,Tank4!$G$87,Tank4!$G$98,Tank4!$G$109,Tank4!$G$120,Tank4!$G$131),0)+IF(Tank5!$D$22="vapor oxidizer",MAX(Tank5!$G$32,Tank5!$G$43,Tank5!$G$54,Tank5!$G$65,Tank5!$G$76,Tank5!$G$87,Tank5!$G$98,Tank5!$G$109,Tank5!$G$120,Tank5!$G$131),0)+IF('Load-DrumTote'!$F$19="vapor oxidizer",MAX('Load-DrumTote'!$M$27,'Load-DrumTote'!$M$38,'Load-DrumTote'!$M$49,'Load-DrumTote'!$M$60,'Load-DrumTote'!$M$71,'Load-DrumTote'!$M$82,'Load-DrumTote'!$M$93,'Load-DrumTote'!$M$104,'Load-DrumTote'!$M$115,'Load-DrumTote'!$M$126),0)+IF('Load-Truck'!$F$19="vapor oxidizer",MAX('Load-Truck'!$M$27,'Load-Truck'!$M$38,'Load-Truck'!$M$49,'Load-Truck'!$M$60,'Load-Truck'!$M$71,'Load-Truck'!$M$82,'Load-Truck'!$M$93,'Load-Truck'!$M$104,'Load-Truck'!$M$115,'Load-Truck'!$M$126),0)+IF('Load-Rail'!$F$19="vapor oxidizer",MAX('Load-Rail'!$M$27,'Load-Rail'!$M$38,'Load-Rail'!$M$49,'Load-Rail'!$M$60,'Load-Rail'!$M$71,'Load-Rail'!$M$82,'Load-Rail'!$M$93,'Load-Rail'!$M$104,'Load-Rail'!$M$115,'Load-Rail'!$M$126),0)+IF('Load-MarineBarge'!$F$19="vapor oxidizer",MAX('Load-MarineBarge'!$M$27,'Load-MarineBarge'!$M$38,'Load-MarineBarge'!$M$49,'Load-MarineBarge'!$M$60,'Load-MarineBarge'!$M$71,'Load-MarineBarge'!$M$82,'Load-MarineBarge'!$M$93,'Load-MarineBarge'!$M$104,'Load-MarineBarge'!$M$115,'Load-MarineBarge'!$M$126),0)+IF('Load-MarineShip'!$F$19="vapor oxidizer",MAX('Load-MarineShip'!$M$27,'Load-MarineShip'!$M$38,'Load-MarineShip'!$M$49,'Load-MarineShip'!$M$60,'Load-MarineShip'!$M$71,'Load-MarineShip'!$M$82,'Load-MarineShip'!$M$93,'Load-MarineShip'!$M$104,'Load-MarineShip'!$M$115,'Load-MarineShip'!$M$126),0)</f>
        <v>0</v>
      </c>
      <c r="E79" s="362">
        <f>IF(Tank1!$D$22="vapor oxidizer",MAX(Tank1!$H$32,Tank1!$H$43,Tank1!$H$54,Tank1!$H$65,Tank1!$H$76,Tank1!$H$87,Tank1!$H$98,Tank1!$H$109,Tank1!$H$120,Tank1!$H$131),0)+IF(Tank2!$D$22="vapor oxidizer",MAX(Tank2!$H$32,Tank2!$H$43,Tank2!$H$54,Tank2!$H$65,Tank2!$H$76,Tank2!$H$87,Tank2!$H$98,Tank2!$H$109,Tank2!$H$120,Tank2!$H$131),0)+IF(Tank3!$D$22="vapor oxidizer",MAX(Tank3!$H$32,Tank3!$H$43,Tank3!$H$54,Tank3!$H$65,Tank3!$H$76,Tank3!$H$87,Tank3!$H$98,Tank3!$H$109,Tank3!$H$120,Tank3!$H$131),0)+IF(Tank4!$D$22="vapor oxidizer",MAX(Tank4!$H$32,Tank4!$H$43,Tank4!$H$54,Tank4!$H$65,Tank4!$H$76,Tank4!$H$87,Tank4!$H$98,Tank4!$H$109,Tank4!$H$120,Tank4!$H$131),0)+IF(Tank5!$D$22="vapor oxidizer",MAX(Tank5!$H$32,Tank5!$H$43,Tank5!$H$54,Tank5!$H$65,Tank5!$H$76,Tank5!$H$87,Tank5!$H$98,Tank5!$H$109,Tank5!$H$120,Tank5!$H$131),0)+IF('Load-DrumTote'!$F$19="vapor oxidizer",MAX('Load-DrumTote'!$N$27,'Load-DrumTote'!$N$38,'Load-DrumTote'!$N$49,'Load-DrumTote'!$N$60,'Load-DrumTote'!$N$71,'Load-DrumTote'!$N$82,'Load-DrumTote'!$N$93,'Load-DrumTote'!$N$104,'Load-DrumTote'!$N$115,'Load-DrumTote'!$N$126),0)+IF('Load-Truck'!$F$19="vapor oxidizer",MAX('Load-Truck'!$N$27,'Load-Truck'!$N$38,'Load-Truck'!$N$49,'Load-Truck'!$N$60,'Load-Truck'!$N$71,'Load-Truck'!$N$82,'Load-Truck'!$N$93,'Load-Truck'!$N$104,'Load-Truck'!$N$115,'Load-Truck'!$N$126),0)+IF('Load-Rail'!$F$19="vapor oxidizer",MAX('Load-Rail'!$N$27,'Load-Rail'!$N$38,'Load-Rail'!$N$49,'Load-Rail'!$N$60,'Load-Rail'!$N$71,'Load-Rail'!$N$82,'Load-Rail'!$N$93,'Load-Rail'!$N$104,'Load-Rail'!$N$115,'Load-Rail'!$N$126),0)+IF('Load-MarineBarge'!$F$19="vapor oxidizer",MAX('Load-MarineBarge'!$N$27,'Load-MarineBarge'!$N$38,'Load-MarineBarge'!$N$49,'Load-MarineBarge'!$N$60,'Load-MarineBarge'!$N$71,'Load-MarineBarge'!$N$82,'Load-MarineBarge'!$N$93,'Load-MarineBarge'!$N$104,'Load-MarineBarge'!$N$115,'Load-MarineBarge'!$N$126),0)+IF('Load-MarineShip'!$F$19="vapor oxidizer",MAX('Load-MarineShip'!$N$27,'Load-MarineShip'!$N$38,'Load-MarineShip'!$N$49,'Load-MarineShip'!$N$60,'Load-MarineShip'!$N$71,'Load-MarineShip'!$N$82,'Load-MarineShip'!$N$93,'Load-MarineShip'!$N$104,'Load-MarineShip'!$N$115,'Load-MarineShip'!$N$126),0)</f>
        <v>0</v>
      </c>
      <c r="F79" s="362">
        <f>D$79*(1-$D$23)</f>
        <v>0</v>
      </c>
      <c r="G79" s="363">
        <f>E$79*(1-$D$23)</f>
        <v>0</v>
      </c>
    </row>
    <row r="80" spans="1:7" x14ac:dyDescent="0.2">
      <c r="A80" s="528" t="s">
        <v>261</v>
      </c>
      <c r="B80" s="529"/>
      <c r="C80" s="529"/>
      <c r="D80" s="77" t="s">
        <v>9518</v>
      </c>
      <c r="E80" s="77" t="s">
        <v>9518</v>
      </c>
      <c r="F80" s="362">
        <f>$D$54*$D$49*$D$51*(10^-6)</f>
        <v>0</v>
      </c>
      <c r="G80" s="363">
        <f>$D$54*$D$50*$D$52*(10^-6)*(2000^-1)</f>
        <v>0</v>
      </c>
    </row>
    <row r="81" spans="1:7" x14ac:dyDescent="0.2">
      <c r="A81" s="528" t="s">
        <v>262</v>
      </c>
      <c r="B81" s="529"/>
      <c r="C81" s="529"/>
      <c r="D81" s="77" t="s">
        <v>9518</v>
      </c>
      <c r="E81" s="77" t="s">
        <v>9518</v>
      </c>
      <c r="F81" s="362">
        <f>$D$56*$D$49*$D$51*(10^-6)</f>
        <v>0</v>
      </c>
      <c r="G81" s="363">
        <f>$D$56*$D$50*$D$52*(10^-6)*(2000^-1)</f>
        <v>0</v>
      </c>
    </row>
    <row r="82" spans="1:7" x14ac:dyDescent="0.2">
      <c r="A82" s="528" t="s">
        <v>263</v>
      </c>
      <c r="B82" s="529"/>
      <c r="C82" s="529"/>
      <c r="D82" s="77" t="s">
        <v>9518</v>
      </c>
      <c r="E82" s="77" t="s">
        <v>9518</v>
      </c>
      <c r="F82" s="362">
        <f>$D$58*$D$49*$D$51*(10^-6)</f>
        <v>0</v>
      </c>
      <c r="G82" s="363">
        <f>$D$58*$D$50*$D$52*(10^-6)*(2000^-1)</f>
        <v>0</v>
      </c>
    </row>
    <row r="83" spans="1:7" x14ac:dyDescent="0.2">
      <c r="A83" s="528" t="s">
        <v>264</v>
      </c>
      <c r="B83" s="529"/>
      <c r="C83" s="529"/>
      <c r="D83" s="77" t="s">
        <v>9518</v>
      </c>
      <c r="E83" s="77" t="s">
        <v>9518</v>
      </c>
      <c r="F83" s="362">
        <f t="shared" ref="F83:F84" si="7">$D$58*$D$49*$D$51*(10^-6)</f>
        <v>0</v>
      </c>
      <c r="G83" s="363">
        <f t="shared" ref="G83:G84" si="8">$D$58*$D$50*$D$52*(10^-6)*(2000^-1)</f>
        <v>0</v>
      </c>
    </row>
    <row r="84" spans="1:7" x14ac:dyDescent="0.2">
      <c r="A84" s="528" t="s">
        <v>265</v>
      </c>
      <c r="B84" s="529"/>
      <c r="C84" s="529"/>
      <c r="D84" s="77" t="s">
        <v>9518</v>
      </c>
      <c r="E84" s="77" t="s">
        <v>9518</v>
      </c>
      <c r="F84" s="362">
        <f t="shared" si="7"/>
        <v>0</v>
      </c>
      <c r="G84" s="363">
        <f t="shared" si="8"/>
        <v>0</v>
      </c>
    </row>
    <row r="85" spans="1:7" x14ac:dyDescent="0.2">
      <c r="A85" s="528" t="s">
        <v>266</v>
      </c>
      <c r="B85" s="529"/>
      <c r="C85" s="529"/>
      <c r="D85" s="77" t="s">
        <v>9518</v>
      </c>
      <c r="E85" s="77" t="s">
        <v>9518</v>
      </c>
      <c r="F85" s="362">
        <f>F$86*(64.06/34.08)</f>
        <v>0</v>
      </c>
      <c r="G85" s="363">
        <f>G$86*(64.06/34.08)</f>
        <v>0</v>
      </c>
    </row>
    <row r="86" spans="1:7" ht="15" thickBot="1" x14ac:dyDescent="0.25">
      <c r="A86" s="548" t="s">
        <v>267</v>
      </c>
      <c r="B86" s="549"/>
      <c r="C86" s="549"/>
      <c r="D86" s="78"/>
      <c r="E86" s="78"/>
      <c r="F86" s="364">
        <f>(_xlfn.MAXIFS($F$111:$F$220,$E$111:$E$220,"7783-06-4")/(1-$D$23))*(1-$D$24)</f>
        <v>0</v>
      </c>
      <c r="G86" s="365">
        <f>(SUMIF($E$111:$E$220,"7783-06-4",$G$111:$G$220)/(1-$D$23))*(1-$D$24)</f>
        <v>0</v>
      </c>
    </row>
    <row r="87" spans="1:7" ht="15" x14ac:dyDescent="0.2">
      <c r="A87" s="506" t="str">
        <f t="shared" ref="A87" si="9">"C. "&amp;IF($D$6="modified","Total Increase in Vapor Oxidizer Emissions (excludes tank roof landing and MSS emissions)","Total Vapor Oxidizer Emissions (excludes tank roof landing and MSS emissions)")</f>
        <v>C. Total Vapor Oxidizer Emissions (excludes tank roof landing and MSS emissions)</v>
      </c>
      <c r="B87" s="507"/>
      <c r="C87" s="507"/>
      <c r="D87" s="507"/>
      <c r="E87" s="507"/>
      <c r="F87" s="507"/>
      <c r="G87" s="508"/>
    </row>
    <row r="88" spans="1:7" ht="33" customHeight="1" x14ac:dyDescent="0.2">
      <c r="A88" s="512" t="s">
        <v>178</v>
      </c>
      <c r="B88" s="513"/>
      <c r="C88" s="513"/>
      <c r="D88" s="546" t="str">
        <f>IF($D$6="modified","Proposed increase in hourly vapor oxidizer emissions (lb/hr)","Proposed hourly vapor oxidizer emissions (lb/hr)")</f>
        <v>Proposed hourly vapor oxidizer emissions (lb/hr)</v>
      </c>
      <c r="E88" s="546"/>
      <c r="F88" s="546" t="str">
        <f t="shared" ref="F88" si="10">IF($D$6="modified","Proposed increase in annual vapor oxidizer emissions (tpy)","Proposed annual vapor oxidizer emissions (tpy)")</f>
        <v>Proposed annual vapor oxidizer emissions (tpy)</v>
      </c>
      <c r="G88" s="547"/>
    </row>
    <row r="89" spans="1:7" x14ac:dyDescent="0.2">
      <c r="A89" s="528" t="s">
        <v>229</v>
      </c>
      <c r="B89" s="529"/>
      <c r="C89" s="529"/>
      <c r="D89" s="753">
        <f t="shared" ref="D89:D94" si="11">D69+F79</f>
        <v>0</v>
      </c>
      <c r="E89" s="753"/>
      <c r="F89" s="753">
        <f t="shared" ref="F89:F94" si="12">F69+G79</f>
        <v>0</v>
      </c>
      <c r="G89" s="754"/>
    </row>
    <row r="90" spans="1:7" x14ac:dyDescent="0.2">
      <c r="A90" s="528" t="s">
        <v>261</v>
      </c>
      <c r="B90" s="529"/>
      <c r="C90" s="529"/>
      <c r="D90" s="753">
        <f t="shared" si="11"/>
        <v>0</v>
      </c>
      <c r="E90" s="753"/>
      <c r="F90" s="753">
        <f t="shared" si="12"/>
        <v>0</v>
      </c>
      <c r="G90" s="754"/>
    </row>
    <row r="91" spans="1:7" x14ac:dyDescent="0.2">
      <c r="A91" s="528" t="s">
        <v>262</v>
      </c>
      <c r="B91" s="529"/>
      <c r="C91" s="529"/>
      <c r="D91" s="753">
        <f t="shared" si="11"/>
        <v>0</v>
      </c>
      <c r="E91" s="753"/>
      <c r="F91" s="753">
        <f t="shared" si="12"/>
        <v>0</v>
      </c>
      <c r="G91" s="754"/>
    </row>
    <row r="92" spans="1:7" x14ac:dyDescent="0.2">
      <c r="A92" s="528" t="s">
        <v>263</v>
      </c>
      <c r="B92" s="529"/>
      <c r="C92" s="529"/>
      <c r="D92" s="753">
        <f t="shared" si="11"/>
        <v>0</v>
      </c>
      <c r="E92" s="753"/>
      <c r="F92" s="753">
        <f t="shared" si="12"/>
        <v>0</v>
      </c>
      <c r="G92" s="754"/>
    </row>
    <row r="93" spans="1:7" x14ac:dyDescent="0.2">
      <c r="A93" s="528" t="s">
        <v>264</v>
      </c>
      <c r="B93" s="529"/>
      <c r="C93" s="529"/>
      <c r="D93" s="753">
        <f t="shared" si="11"/>
        <v>0</v>
      </c>
      <c r="E93" s="753"/>
      <c r="F93" s="753">
        <f t="shared" si="12"/>
        <v>0</v>
      </c>
      <c r="G93" s="754"/>
    </row>
    <row r="94" spans="1:7" x14ac:dyDescent="0.2">
      <c r="A94" s="528" t="s">
        <v>265</v>
      </c>
      <c r="B94" s="529"/>
      <c r="C94" s="529"/>
      <c r="D94" s="753">
        <f t="shared" si="11"/>
        <v>0</v>
      </c>
      <c r="E94" s="753"/>
      <c r="F94" s="753">
        <f t="shared" si="12"/>
        <v>0</v>
      </c>
      <c r="G94" s="754"/>
    </row>
    <row r="95" spans="1:7" x14ac:dyDescent="0.2">
      <c r="A95" s="528" t="s">
        <v>266</v>
      </c>
      <c r="B95" s="529"/>
      <c r="C95" s="529"/>
      <c r="D95" s="753">
        <f>D76+F85</f>
        <v>0</v>
      </c>
      <c r="E95" s="753"/>
      <c r="F95" s="753">
        <f>F76+G85</f>
        <v>0</v>
      </c>
      <c r="G95" s="754"/>
    </row>
    <row r="96" spans="1:7" ht="15" thickBot="1" x14ac:dyDescent="0.25">
      <c r="A96" s="548" t="s">
        <v>267</v>
      </c>
      <c r="B96" s="549"/>
      <c r="C96" s="549"/>
      <c r="D96" s="755">
        <f>F86</f>
        <v>0</v>
      </c>
      <c r="E96" s="755"/>
      <c r="F96" s="755">
        <f>G86</f>
        <v>0</v>
      </c>
      <c r="G96" s="756"/>
    </row>
    <row r="97" spans="1:7" ht="15" thickBot="1" x14ac:dyDescent="0.25">
      <c r="A97" s="478" t="s">
        <v>1</v>
      </c>
      <c r="B97" s="478"/>
      <c r="C97" s="478"/>
      <c r="D97" s="478"/>
      <c r="E97" s="478"/>
      <c r="F97" s="478"/>
      <c r="G97" s="478"/>
    </row>
    <row r="98" spans="1:7" ht="15.75" thickBot="1" x14ac:dyDescent="0.25">
      <c r="A98" s="474" t="s">
        <v>9381</v>
      </c>
      <c r="B98" s="474"/>
      <c r="C98" s="474"/>
      <c r="D98" s="474"/>
      <c r="E98" s="474"/>
      <c r="F98" s="474"/>
      <c r="G98" s="474"/>
    </row>
    <row r="99" spans="1:7" ht="45.75" thickBot="1" x14ac:dyDescent="0.25">
      <c r="A99" s="808" t="s">
        <v>236</v>
      </c>
      <c r="B99" s="809"/>
      <c r="C99" s="809"/>
      <c r="D99" s="809"/>
      <c r="E99" s="294" t="s">
        <v>8751</v>
      </c>
      <c r="F99" s="295" t="str">
        <f>IF($D$6="modified","Proposed increase in vapor oxidizer hourly emissions (lb/hr)","Proposed vapor oxidizer hourly emissions (lb/hr)")</f>
        <v>Proposed vapor oxidizer hourly emissions (lb/hr)</v>
      </c>
      <c r="G99" s="296" t="str">
        <f>IF($D$6="modified","Proposed increase in vapor oxidizer annual emissions (tpy)","Proposed vapor oxidizer annual emissions (tpy)")</f>
        <v>Proposed vapor oxidizer annual emissions (tpy)</v>
      </c>
    </row>
    <row r="100" spans="1:7" x14ac:dyDescent="0.2">
      <c r="A100" s="681" t="s">
        <v>9393</v>
      </c>
      <c r="B100" s="682"/>
      <c r="C100" s="682"/>
      <c r="D100" s="682"/>
      <c r="E100" s="111" t="s">
        <v>291</v>
      </c>
      <c r="F100" s="301">
        <f>IF($D$33&lt;&gt;"FUEL GAS",0,$D$69)</f>
        <v>0</v>
      </c>
      <c r="G100" s="302">
        <f t="shared" ref="G100" si="13">IF($D$33&lt;&gt;"FUEL GAS",0,$F$69)</f>
        <v>0</v>
      </c>
    </row>
    <row r="101" spans="1:7" x14ac:dyDescent="0.2">
      <c r="A101" s="627" t="s">
        <v>1</v>
      </c>
      <c r="B101" s="628"/>
      <c r="C101" s="628"/>
      <c r="D101" s="628"/>
      <c r="E101" s="16" t="str">
        <f>IF(Products!$E8="","",Products!$E8)</f>
        <v/>
      </c>
      <c r="F101" s="128" t="str">
        <f>IF($E101="","",IF(VLOOKUP($E101,Products!$E$8:$H$17,4,FALSE)="","",VLOOKUP($E101,Products!$E$8:$H$17,4,FALSE))*$F$100)</f>
        <v/>
      </c>
      <c r="G101" s="129" t="str">
        <f>IF($E101="","",IF(VLOOKUP($E101,Products!$E$8:$H$17,4,FALSE)="","",VLOOKUP($E101,Products!$E$8:$H$17,4,FALSE))*$G$100)</f>
        <v/>
      </c>
    </row>
    <row r="102" spans="1:7" x14ac:dyDescent="0.2">
      <c r="A102" s="627" t="s">
        <v>1</v>
      </c>
      <c r="B102" s="628"/>
      <c r="C102" s="628"/>
      <c r="D102" s="628"/>
      <c r="E102" s="16" t="str">
        <f>IF(Products!$E9="","",Products!$E9)</f>
        <v/>
      </c>
      <c r="F102" s="128" t="str">
        <f>IF($E102="","",IF(VLOOKUP($E102,Products!$E$8:$H$17,4,FALSE)="","",VLOOKUP($E102,Products!$E$8:$H$17,4,FALSE))*$F$100)</f>
        <v/>
      </c>
      <c r="G102" s="129" t="str">
        <f>IF($E102="","",IF(VLOOKUP($E102,Products!$E$8:$H$17,4,FALSE)="","",VLOOKUP($E102,Products!$E$8:$H$17,4,FALSE))*$G$100)</f>
        <v/>
      </c>
    </row>
    <row r="103" spans="1:7" x14ac:dyDescent="0.2">
      <c r="A103" s="627" t="s">
        <v>1</v>
      </c>
      <c r="B103" s="628"/>
      <c r="C103" s="628"/>
      <c r="D103" s="628"/>
      <c r="E103" s="16" t="str">
        <f>IF(Products!$E10="","",Products!$E10)</f>
        <v/>
      </c>
      <c r="F103" s="128" t="str">
        <f>IF($E103="","",IF(VLOOKUP($E103,Products!$E$8:$H$17,4,FALSE)="","",VLOOKUP($E103,Products!$E$8:$H$17,4,FALSE))*$F$100)</f>
        <v/>
      </c>
      <c r="G103" s="129" t="str">
        <f>IF($E103="","",IF(VLOOKUP($E103,Products!$E$8:$H$17,4,FALSE)="","",VLOOKUP($E103,Products!$E$8:$H$17,4,FALSE))*$G$100)</f>
        <v/>
      </c>
    </row>
    <row r="104" spans="1:7" x14ac:dyDescent="0.2">
      <c r="A104" s="627" t="s">
        <v>1</v>
      </c>
      <c r="B104" s="628"/>
      <c r="C104" s="628"/>
      <c r="D104" s="628"/>
      <c r="E104" s="16" t="str">
        <f>IF(Products!$E11="","",Products!$E11)</f>
        <v/>
      </c>
      <c r="F104" s="128" t="str">
        <f>IF($E104="","",IF(VLOOKUP($E104,Products!$E$8:$H$17,4,FALSE)="","",VLOOKUP($E104,Products!$E$8:$H$17,4,FALSE))*$F$100)</f>
        <v/>
      </c>
      <c r="G104" s="129" t="str">
        <f>IF($E104="","",IF(VLOOKUP($E104,Products!$E$8:$H$17,4,FALSE)="","",VLOOKUP($E104,Products!$E$8:$H$17,4,FALSE))*$G$100)</f>
        <v/>
      </c>
    </row>
    <row r="105" spans="1:7" x14ac:dyDescent="0.2">
      <c r="A105" s="627" t="s">
        <v>1</v>
      </c>
      <c r="B105" s="628"/>
      <c r="C105" s="628"/>
      <c r="D105" s="628"/>
      <c r="E105" s="16" t="str">
        <f>IF(Products!$E12="","",Products!$E12)</f>
        <v/>
      </c>
      <c r="F105" s="128" t="str">
        <f>IF($E105="","",IF(VLOOKUP($E105,Products!$E$8:$H$17,4,FALSE)="","",VLOOKUP($E105,Products!$E$8:$H$17,4,FALSE))*$F$100)</f>
        <v/>
      </c>
      <c r="G105" s="129" t="str">
        <f>IF($E105="","",IF(VLOOKUP($E105,Products!$E$8:$H$17,4,FALSE)="","",VLOOKUP($E105,Products!$E$8:$H$17,4,FALSE))*$G$100)</f>
        <v/>
      </c>
    </row>
    <row r="106" spans="1:7" x14ac:dyDescent="0.2">
      <c r="A106" s="627" t="s">
        <v>1</v>
      </c>
      <c r="B106" s="628"/>
      <c r="C106" s="628"/>
      <c r="D106" s="628"/>
      <c r="E106" s="16" t="str">
        <f>IF(Products!$E13="","",Products!$E13)</f>
        <v/>
      </c>
      <c r="F106" s="128" t="str">
        <f>IF($E106="","",IF(VLOOKUP($E106,Products!$E$8:$H$17,4,FALSE)="","",VLOOKUP($E106,Products!$E$8:$H$17,4,FALSE))*$F$100)</f>
        <v/>
      </c>
      <c r="G106" s="129" t="str">
        <f>IF($E106="","",IF(VLOOKUP($E106,Products!$E$8:$H$17,4,FALSE)="","",VLOOKUP($E106,Products!$E$8:$H$17,4,FALSE))*$G$100)</f>
        <v/>
      </c>
    </row>
    <row r="107" spans="1:7" x14ac:dyDescent="0.2">
      <c r="A107" s="627" t="s">
        <v>1</v>
      </c>
      <c r="B107" s="628"/>
      <c r="C107" s="628"/>
      <c r="D107" s="628"/>
      <c r="E107" s="16" t="str">
        <f>IF(Products!$E14="","",Products!$E14)</f>
        <v/>
      </c>
      <c r="F107" s="128" t="str">
        <f>IF($E107="","",IF(VLOOKUP($E107,Products!$E$8:$H$17,4,FALSE)="","",VLOOKUP($E107,Products!$E$8:$H$17,4,FALSE))*$F$100)</f>
        <v/>
      </c>
      <c r="G107" s="129" t="str">
        <f>IF($E107="","",IF(VLOOKUP($E107,Products!$E$8:$H$17,4,FALSE)="","",VLOOKUP($E107,Products!$E$8:$H$17,4,FALSE))*$G$100)</f>
        <v/>
      </c>
    </row>
    <row r="108" spans="1:7" x14ac:dyDescent="0.2">
      <c r="A108" s="627" t="s">
        <v>1</v>
      </c>
      <c r="B108" s="628"/>
      <c r="C108" s="628"/>
      <c r="D108" s="628"/>
      <c r="E108" s="16" t="str">
        <f>IF(Products!$E15="","",Products!$E15)</f>
        <v/>
      </c>
      <c r="F108" s="128" t="str">
        <f>IF($E108="","",IF(VLOOKUP($E108,Products!$E$8:$H$17,4,FALSE)="","",VLOOKUP($E108,Products!$E$8:$H$17,4,FALSE))*$F$100)</f>
        <v/>
      </c>
      <c r="G108" s="129" t="str">
        <f>IF($E108="","",IF(VLOOKUP($E108,Products!$E$8:$H$17,4,FALSE)="","",VLOOKUP($E108,Products!$E$8:$H$17,4,FALSE))*$G$100)</f>
        <v/>
      </c>
    </row>
    <row r="109" spans="1:7" x14ac:dyDescent="0.2">
      <c r="A109" s="627"/>
      <c r="B109" s="628"/>
      <c r="C109" s="628"/>
      <c r="D109" s="628"/>
      <c r="E109" s="16" t="str">
        <f>IF(Products!$E16="","",Products!$E16)</f>
        <v/>
      </c>
      <c r="F109" s="128" t="str">
        <f>IF($E109="","",IF(VLOOKUP($E109,Products!$E$8:$H$17,4,FALSE)="","",VLOOKUP($E109,Products!$E$8:$H$17,4,FALSE))*$F$100)</f>
        <v/>
      </c>
      <c r="G109" s="129" t="str">
        <f>IF($E109="","",IF(VLOOKUP($E109,Products!$E$8:$H$17,4,FALSE)="","",VLOOKUP($E109,Products!$E$8:$H$17,4,FALSE))*$G$100)</f>
        <v/>
      </c>
    </row>
    <row r="110" spans="1:7" ht="15" thickBot="1" x14ac:dyDescent="0.25">
      <c r="A110" s="629" t="s">
        <v>1</v>
      </c>
      <c r="B110" s="630"/>
      <c r="C110" s="630"/>
      <c r="D110" s="630"/>
      <c r="E110" s="28" t="str">
        <f>IF(Products!$E17="","",Products!$E17)</f>
        <v/>
      </c>
      <c r="F110" s="130"/>
      <c r="G110" s="131"/>
    </row>
    <row r="111" spans="1:7" x14ac:dyDescent="0.2">
      <c r="A111" s="681" t="str">
        <f>Hidden!$EG2</f>
        <v/>
      </c>
      <c r="B111" s="682"/>
      <c r="C111" s="682"/>
      <c r="D111" s="682"/>
      <c r="E111" s="111" t="str">
        <f>IF(A111="","","Total VOC")</f>
        <v/>
      </c>
      <c r="F111" s="301">
        <f>VLOOKUP($A111,Hidden!$EG$2:$EI$11,2,FALSE)*(1-$D$23)</f>
        <v>0</v>
      </c>
      <c r="G111" s="302">
        <f>VLOOKUP($A111,Hidden!$EG$2:$EI$11,3,FALSE)*(1-$D$23)</f>
        <v>0</v>
      </c>
    </row>
    <row r="112" spans="1:7" x14ac:dyDescent="0.2">
      <c r="A112" s="627" t="str">
        <f t="shared" ref="A112" si="14">$A111&amp;"A"</f>
        <v>A</v>
      </c>
      <c r="B112" s="628"/>
      <c r="C112" s="628"/>
      <c r="D112" s="628"/>
      <c r="E112" s="16" t="str">
        <f>IF($A111="","",IF(VLOOKUP($A111,Products!$A$59:$E$158,5,FALSE)="","",VLOOKUP($A111,Products!$A$59:$E$158,5,FALSE)))</f>
        <v/>
      </c>
      <c r="F112" s="128" t="str">
        <f>IF($E112="","",F$111*VLOOKUP($A111,Products!$A$59:$H$158,8,FALSE))</f>
        <v/>
      </c>
      <c r="G112" s="129" t="str">
        <f>IF($E112="","",G$111*VLOOKUP($A111,Products!$A$59:$H$158,8,FALSE))</f>
        <v/>
      </c>
    </row>
    <row r="113" spans="1:7" x14ac:dyDescent="0.2">
      <c r="A113" s="627" t="str">
        <f t="shared" ref="A113:A121" si="15">$A112&amp;"A"</f>
        <v>AA</v>
      </c>
      <c r="B113" s="628"/>
      <c r="C113" s="628"/>
      <c r="D113" s="628"/>
      <c r="E113" s="16" t="str">
        <f>IF($A112="","",IF(VLOOKUP($A112,Products!$A$59:$E$158,5,FALSE)="","",VLOOKUP($A112,Products!$A$59:$E$158,5,FALSE)))</f>
        <v/>
      </c>
      <c r="F113" s="128" t="str">
        <f>IF($E113="","",F$111*VLOOKUP($A112,Products!$A$59:$H$158,8,FALSE))</f>
        <v/>
      </c>
      <c r="G113" s="129" t="str">
        <f>IF($E113="","",G$111*VLOOKUP($A112,Products!$A$59:$H$158,8,FALSE))</f>
        <v/>
      </c>
    </row>
    <row r="114" spans="1:7" x14ac:dyDescent="0.2">
      <c r="A114" s="627" t="str">
        <f t="shared" si="15"/>
        <v>AAA</v>
      </c>
      <c r="B114" s="628"/>
      <c r="C114" s="628"/>
      <c r="D114" s="628"/>
      <c r="E114" s="16" t="str">
        <f>IF($A113="","",IF(VLOOKUP($A113,Products!$A$59:$E$158,5,FALSE)="","",VLOOKUP($A113,Products!$A$59:$E$158,5,FALSE)))</f>
        <v/>
      </c>
      <c r="F114" s="128" t="str">
        <f>IF($E114="","",F$111*VLOOKUP($A113,Products!$A$59:$H$158,8,FALSE))</f>
        <v/>
      </c>
      <c r="G114" s="129" t="str">
        <f>IF($E114="","",G$111*VLOOKUP($A113,Products!$A$59:$H$158,8,FALSE))</f>
        <v/>
      </c>
    </row>
    <row r="115" spans="1:7" x14ac:dyDescent="0.2">
      <c r="A115" s="627" t="str">
        <f t="shared" si="15"/>
        <v>AAAA</v>
      </c>
      <c r="B115" s="628"/>
      <c r="C115" s="628"/>
      <c r="D115" s="628"/>
      <c r="E115" s="16" t="str">
        <f>IF($A114="","",IF(VLOOKUP($A114,Products!$A$59:$E$158,5,FALSE)="","",VLOOKUP($A114,Products!$A$59:$E$158,5,FALSE)))</f>
        <v/>
      </c>
      <c r="F115" s="128" t="str">
        <f>IF($E115="","",F$111*VLOOKUP($A114,Products!$A$59:$H$158,8,FALSE))</f>
        <v/>
      </c>
      <c r="G115" s="129" t="str">
        <f>IF($E115="","",G$111*VLOOKUP($A114,Products!$A$59:$H$158,8,FALSE))</f>
        <v/>
      </c>
    </row>
    <row r="116" spans="1:7" x14ac:dyDescent="0.2">
      <c r="A116" s="627" t="str">
        <f t="shared" si="15"/>
        <v>AAAAA</v>
      </c>
      <c r="B116" s="628"/>
      <c r="C116" s="628"/>
      <c r="D116" s="628"/>
      <c r="E116" s="16" t="str">
        <f>IF($A115="","",IF(VLOOKUP($A115,Products!$A$59:$E$158,5,FALSE)="","",VLOOKUP($A115,Products!$A$59:$E$158,5,FALSE)))</f>
        <v/>
      </c>
      <c r="F116" s="128" t="str">
        <f>IF($E116="","",F$111*VLOOKUP($A115,Products!$A$59:$H$158,8,FALSE))</f>
        <v/>
      </c>
      <c r="G116" s="129" t="str">
        <f>IF($E116="","",G$111*VLOOKUP($A115,Products!$A$59:$H$158,8,FALSE))</f>
        <v/>
      </c>
    </row>
    <row r="117" spans="1:7" x14ac:dyDescent="0.2">
      <c r="A117" s="627" t="str">
        <f t="shared" si="15"/>
        <v>AAAAAA</v>
      </c>
      <c r="B117" s="628"/>
      <c r="C117" s="628"/>
      <c r="D117" s="628"/>
      <c r="E117" s="16" t="str">
        <f>IF($A116="","",IF(VLOOKUP($A116,Products!$A$59:$E$158,5,FALSE)="","",VLOOKUP($A116,Products!$A$59:$E$158,5,FALSE)))</f>
        <v/>
      </c>
      <c r="F117" s="128" t="str">
        <f>IF($E117="","",F$111*VLOOKUP($A116,Products!$A$59:$H$158,8,FALSE))</f>
        <v/>
      </c>
      <c r="G117" s="129" t="str">
        <f>IF($E117="","",G$111*VLOOKUP($A116,Products!$A$59:$H$158,8,FALSE))</f>
        <v/>
      </c>
    </row>
    <row r="118" spans="1:7" x14ac:dyDescent="0.2">
      <c r="A118" s="627" t="str">
        <f t="shared" si="15"/>
        <v>AAAAAAA</v>
      </c>
      <c r="B118" s="628"/>
      <c r="C118" s="628"/>
      <c r="D118" s="628"/>
      <c r="E118" s="16" t="str">
        <f>IF($A117="","",IF(VLOOKUP($A117,Products!$A$59:$E$158,5,FALSE)="","",VLOOKUP($A117,Products!$A$59:$E$158,5,FALSE)))</f>
        <v/>
      </c>
      <c r="F118" s="128" t="str">
        <f>IF($E118="","",F$111*VLOOKUP($A117,Products!$A$59:$H$158,8,FALSE))</f>
        <v/>
      </c>
      <c r="G118" s="129" t="str">
        <f>IF($E118="","",G$111*VLOOKUP($A117,Products!$A$59:$H$158,8,FALSE))</f>
        <v/>
      </c>
    </row>
    <row r="119" spans="1:7" ht="14.25" customHeight="1" x14ac:dyDescent="0.2">
      <c r="A119" s="627" t="str">
        <f t="shared" si="15"/>
        <v>AAAAAAAA</v>
      </c>
      <c r="B119" s="628"/>
      <c r="C119" s="628"/>
      <c r="D119" s="628"/>
      <c r="E119" s="16" t="str">
        <f>IF($A118="","",IF(VLOOKUP($A118,Products!$A$59:$E$158,5,FALSE)="","",VLOOKUP($A118,Products!$A$59:$E$158,5,FALSE)))</f>
        <v/>
      </c>
      <c r="F119" s="128" t="str">
        <f>IF($E119="","",F$111*VLOOKUP($A118,Products!$A$59:$H$158,8,FALSE))</f>
        <v/>
      </c>
      <c r="G119" s="129" t="str">
        <f>IF($E119="","",G$111*VLOOKUP($A118,Products!$A$59:$H$158,8,FALSE))</f>
        <v/>
      </c>
    </row>
    <row r="120" spans="1:7" ht="14.25" customHeight="1" x14ac:dyDescent="0.2">
      <c r="A120" s="627" t="str">
        <f t="shared" si="15"/>
        <v>AAAAAAAAA</v>
      </c>
      <c r="B120" s="628"/>
      <c r="C120" s="628"/>
      <c r="D120" s="628"/>
      <c r="E120" s="16" t="str">
        <f>IF($A119="","",IF(VLOOKUP($A119,Products!$A$59:$E$158,5,FALSE)="","",VLOOKUP($A119,Products!$A$59:$E$158,5,FALSE)))</f>
        <v/>
      </c>
      <c r="F120" s="128" t="str">
        <f>IF($E120="","",F$111*VLOOKUP($A119,Products!$A$59:$H$158,8,FALSE))</f>
        <v/>
      </c>
      <c r="G120" s="129" t="str">
        <f>IF($E120="","",G$111*VLOOKUP($A119,Products!$A$59:$H$158,8,FALSE))</f>
        <v/>
      </c>
    </row>
    <row r="121" spans="1:7" ht="14.25" customHeight="1" x14ac:dyDescent="0.2">
      <c r="A121" s="627" t="str">
        <f t="shared" si="15"/>
        <v>AAAAAAAAAA</v>
      </c>
      <c r="B121" s="628"/>
      <c r="C121" s="628"/>
      <c r="D121" s="628"/>
      <c r="E121" s="16" t="str">
        <f>IF($A120="","",IF(VLOOKUP($A120,Products!$A$59:$E$158,5,FALSE)="","",VLOOKUP($A120,Products!$A$59:$E$158,5,FALSE)))</f>
        <v/>
      </c>
      <c r="F121" s="128" t="str">
        <f>IF($E121="","",F$111*VLOOKUP($A120,Products!$A$59:$H$158,8,FALSE))</f>
        <v/>
      </c>
      <c r="G121" s="129" t="str">
        <f>IF($E121="","",G$111*VLOOKUP($A120,Products!$A$59:$H$158,8,FALSE))</f>
        <v/>
      </c>
    </row>
    <row r="122" spans="1:7" x14ac:dyDescent="0.2">
      <c r="A122" s="780" t="str">
        <f>Hidden!$EG3</f>
        <v/>
      </c>
      <c r="B122" s="656"/>
      <c r="C122" s="656"/>
      <c r="D122" s="656"/>
      <c r="E122" s="16" t="str">
        <f>IF(A122="","","Total VOC")</f>
        <v/>
      </c>
      <c r="F122" s="128">
        <f>VLOOKUP($A122,Hidden!$EG$2:$EI$11,2,FALSE)*(1-$D$23)</f>
        <v>0</v>
      </c>
      <c r="G122" s="129">
        <f>VLOOKUP($A122,Hidden!$EG$2:$EI$11,3,FALSE)*(1-$D$23)</f>
        <v>0</v>
      </c>
    </row>
    <row r="123" spans="1:7" x14ac:dyDescent="0.2">
      <c r="A123" s="627" t="str">
        <f t="shared" ref="A123:A132" si="16">$A122&amp;"A"</f>
        <v>A</v>
      </c>
      <c r="B123" s="628"/>
      <c r="C123" s="628"/>
      <c r="D123" s="628"/>
      <c r="E123" s="16" t="str">
        <f>IF($A122="","",IF(VLOOKUP($A122,Products!$A$59:$E$158,5,FALSE)="","",VLOOKUP($A122,Products!$A$59:$E$158,5,FALSE)))</f>
        <v/>
      </c>
      <c r="F123" s="128" t="str">
        <f>IF($E123="","",F$122*VLOOKUP($A122,Products!$A$59:$H$158,8,FALSE))</f>
        <v/>
      </c>
      <c r="G123" s="129" t="str">
        <f>IF($E123="","",G$122*VLOOKUP($A122,Products!$A$59:$H$158,8,FALSE))</f>
        <v/>
      </c>
    </row>
    <row r="124" spans="1:7" x14ac:dyDescent="0.2">
      <c r="A124" s="627" t="str">
        <f t="shared" si="16"/>
        <v>AA</v>
      </c>
      <c r="B124" s="628"/>
      <c r="C124" s="628"/>
      <c r="D124" s="628"/>
      <c r="E124" s="16" t="str">
        <f>IF($A123="","",IF(VLOOKUP($A123,Products!$A$59:$E$158,5,FALSE)="","",VLOOKUP($A123,Products!$A$59:$E$158,5,FALSE)))</f>
        <v/>
      </c>
      <c r="F124" s="128" t="str">
        <f>IF($E124="","",F$122*VLOOKUP($A123,Products!$A$59:$H$158,8,FALSE))</f>
        <v/>
      </c>
      <c r="G124" s="129" t="str">
        <f>IF($E124="","",G$122*VLOOKUP($A123,Products!$A$59:$H$158,8,FALSE))</f>
        <v/>
      </c>
    </row>
    <row r="125" spans="1:7" x14ac:dyDescent="0.2">
      <c r="A125" s="627" t="str">
        <f t="shared" si="16"/>
        <v>AAA</v>
      </c>
      <c r="B125" s="628"/>
      <c r="C125" s="628"/>
      <c r="D125" s="628"/>
      <c r="E125" s="16" t="str">
        <f>IF($A124="","",IF(VLOOKUP($A124,Products!$A$59:$E$158,5,FALSE)="","",VLOOKUP($A124,Products!$A$59:$E$158,5,FALSE)))</f>
        <v/>
      </c>
      <c r="F125" s="128" t="str">
        <f>IF($E125="","",F$122*VLOOKUP($A124,Products!$A$59:$H$158,8,FALSE))</f>
        <v/>
      </c>
      <c r="G125" s="129" t="str">
        <f>IF($E125="","",G$122*VLOOKUP($A124,Products!$A$59:$H$158,8,FALSE))</f>
        <v/>
      </c>
    </row>
    <row r="126" spans="1:7" x14ac:dyDescent="0.2">
      <c r="A126" s="627" t="str">
        <f t="shared" si="16"/>
        <v>AAAA</v>
      </c>
      <c r="B126" s="628"/>
      <c r="C126" s="628"/>
      <c r="D126" s="628"/>
      <c r="E126" s="16" t="str">
        <f>IF($A125="","",IF(VLOOKUP($A125,Products!$A$59:$E$158,5,FALSE)="","",VLOOKUP($A125,Products!$A$59:$E$158,5,FALSE)))</f>
        <v/>
      </c>
      <c r="F126" s="128" t="str">
        <f>IF($E126="","",F$122*VLOOKUP($A125,Products!$A$59:$H$158,8,FALSE))</f>
        <v/>
      </c>
      <c r="G126" s="129" t="str">
        <f>IF($E126="","",G$122*VLOOKUP($A125,Products!$A$59:$H$158,8,FALSE))</f>
        <v/>
      </c>
    </row>
    <row r="127" spans="1:7" x14ac:dyDescent="0.2">
      <c r="A127" s="627" t="str">
        <f t="shared" si="16"/>
        <v>AAAAA</v>
      </c>
      <c r="B127" s="628"/>
      <c r="C127" s="628"/>
      <c r="D127" s="628"/>
      <c r="E127" s="16" t="str">
        <f>IF($A126="","",IF(VLOOKUP($A126,Products!$A$59:$E$158,5,FALSE)="","",VLOOKUP($A126,Products!$A$59:$E$158,5,FALSE)))</f>
        <v/>
      </c>
      <c r="F127" s="128" t="str">
        <f>IF($E127="","",F$122*VLOOKUP($A126,Products!$A$59:$H$158,8,FALSE))</f>
        <v/>
      </c>
      <c r="G127" s="129" t="str">
        <f>IF($E127="","",G$122*VLOOKUP($A126,Products!$A$59:$H$158,8,FALSE))</f>
        <v/>
      </c>
    </row>
    <row r="128" spans="1:7" x14ac:dyDescent="0.2">
      <c r="A128" s="627" t="str">
        <f t="shared" si="16"/>
        <v>AAAAAA</v>
      </c>
      <c r="B128" s="628"/>
      <c r="C128" s="628"/>
      <c r="D128" s="628"/>
      <c r="E128" s="16" t="str">
        <f>IF($A127="","",IF(VLOOKUP($A127,Products!$A$59:$E$158,5,FALSE)="","",VLOOKUP($A127,Products!$A$59:$E$158,5,FALSE)))</f>
        <v/>
      </c>
      <c r="F128" s="128" t="str">
        <f>IF($E128="","",F$122*VLOOKUP($A127,Products!$A$59:$H$158,8,FALSE))</f>
        <v/>
      </c>
      <c r="G128" s="129" t="str">
        <f>IF($E128="","",G$122*VLOOKUP($A127,Products!$A$59:$H$158,8,FALSE))</f>
        <v/>
      </c>
    </row>
    <row r="129" spans="1:7" x14ac:dyDescent="0.2">
      <c r="A129" s="627" t="str">
        <f t="shared" si="16"/>
        <v>AAAAAAA</v>
      </c>
      <c r="B129" s="628"/>
      <c r="C129" s="628"/>
      <c r="D129" s="628"/>
      <c r="E129" s="16" t="str">
        <f>IF($A128="","",IF(VLOOKUP($A128,Products!$A$59:$E$158,5,FALSE)="","",VLOOKUP($A128,Products!$A$59:$E$158,5,FALSE)))</f>
        <v/>
      </c>
      <c r="F129" s="128" t="str">
        <f>IF($E129="","",F$122*VLOOKUP($A128,Products!$A$59:$H$158,8,FALSE))</f>
        <v/>
      </c>
      <c r="G129" s="129" t="str">
        <f>IF($E129="","",G$122*VLOOKUP($A128,Products!$A$59:$H$158,8,FALSE))</f>
        <v/>
      </c>
    </row>
    <row r="130" spans="1:7" x14ac:dyDescent="0.2">
      <c r="A130" s="627" t="str">
        <f t="shared" si="16"/>
        <v>AAAAAAAA</v>
      </c>
      <c r="B130" s="628"/>
      <c r="C130" s="628"/>
      <c r="D130" s="628"/>
      <c r="E130" s="16" t="str">
        <f>IF($A129="","",IF(VLOOKUP($A129,Products!$A$59:$E$158,5,FALSE)="","",VLOOKUP($A129,Products!$A$59:$E$158,5,FALSE)))</f>
        <v/>
      </c>
      <c r="F130" s="128" t="str">
        <f>IF($E130="","",F$122*VLOOKUP($A129,Products!$A$59:$H$158,8,FALSE))</f>
        <v/>
      </c>
      <c r="G130" s="129" t="str">
        <f>IF($E130="","",G$122*VLOOKUP($A129,Products!$A$59:$H$158,8,FALSE))</f>
        <v/>
      </c>
    </row>
    <row r="131" spans="1:7" x14ac:dyDescent="0.2">
      <c r="A131" s="627" t="str">
        <f t="shared" si="16"/>
        <v>AAAAAAAAA</v>
      </c>
      <c r="B131" s="628"/>
      <c r="C131" s="628"/>
      <c r="D131" s="628"/>
      <c r="E131" s="16" t="str">
        <f>IF($A130="","",IF(VLOOKUP($A130,Products!$A$59:$E$158,5,FALSE)="","",VLOOKUP($A130,Products!$A$59:$E$158,5,FALSE)))</f>
        <v/>
      </c>
      <c r="F131" s="128" t="str">
        <f>IF($E131="","",F$122*VLOOKUP($A130,Products!$A$59:$H$158,8,FALSE))</f>
        <v/>
      </c>
      <c r="G131" s="129" t="str">
        <f>IF($E131="","",G$122*VLOOKUP($A130,Products!$A$59:$H$158,8,FALSE))</f>
        <v/>
      </c>
    </row>
    <row r="132" spans="1:7" x14ac:dyDescent="0.2">
      <c r="A132" s="627" t="str">
        <f t="shared" si="16"/>
        <v>AAAAAAAAAA</v>
      </c>
      <c r="B132" s="628"/>
      <c r="C132" s="628"/>
      <c r="D132" s="628"/>
      <c r="E132" s="16" t="str">
        <f>IF($A131="","",IF(VLOOKUP($A131,Products!$A$59:$E$158,5,FALSE)="","",VLOOKUP($A131,Products!$A$59:$E$158,5,FALSE)))</f>
        <v/>
      </c>
      <c r="F132" s="128" t="str">
        <f>IF($E132="","",F$122*VLOOKUP($A131,Products!$A$59:$H$158,8,FALSE))</f>
        <v/>
      </c>
      <c r="G132" s="129" t="str">
        <f>IF($E132="","",G$122*VLOOKUP($A131,Products!$A$59:$H$158,8,FALSE))</f>
        <v/>
      </c>
    </row>
    <row r="133" spans="1:7" x14ac:dyDescent="0.2">
      <c r="A133" s="780" t="str">
        <f>Hidden!$EG4</f>
        <v/>
      </c>
      <c r="B133" s="656"/>
      <c r="C133" s="656"/>
      <c r="D133" s="656"/>
      <c r="E133" s="16" t="str">
        <f>IF(A133="","","Total VOC")</f>
        <v/>
      </c>
      <c r="F133" s="128">
        <f>VLOOKUP($A133,Hidden!$EG$2:$EI$11,2,FALSE)*(1-$D$23)</f>
        <v>0</v>
      </c>
      <c r="G133" s="129">
        <f>VLOOKUP($A133,Hidden!$EG$2:$EI$11,3,FALSE)*(1-$D$23)</f>
        <v>0</v>
      </c>
    </row>
    <row r="134" spans="1:7" x14ac:dyDescent="0.2">
      <c r="A134" s="627" t="str">
        <f t="shared" ref="A134:A143" si="17">$A133&amp;"A"</f>
        <v>A</v>
      </c>
      <c r="B134" s="628"/>
      <c r="C134" s="628"/>
      <c r="D134" s="628"/>
      <c r="E134" s="16" t="str">
        <f>IF($A133="","",IF(VLOOKUP($A133,Products!$A$59:$E$158,5,FALSE)="","",VLOOKUP($A133,Products!$A$59:$E$158,5,FALSE)))</f>
        <v/>
      </c>
      <c r="F134" s="128" t="str">
        <f>IF($E134="","",F$133*VLOOKUP($A133,Products!$A$59:$H$158,8,FALSE))</f>
        <v/>
      </c>
      <c r="G134" s="129" t="str">
        <f>IF($E134="","",G$133*VLOOKUP($A133,Products!$A$59:$H$158,8,FALSE))</f>
        <v/>
      </c>
    </row>
    <row r="135" spans="1:7" x14ac:dyDescent="0.2">
      <c r="A135" s="627" t="str">
        <f t="shared" si="17"/>
        <v>AA</v>
      </c>
      <c r="B135" s="628"/>
      <c r="C135" s="628"/>
      <c r="D135" s="628"/>
      <c r="E135" s="16" t="str">
        <f>IF($A134="","",IF(VLOOKUP($A134,Products!$A$59:$E$158,5,FALSE)="","",VLOOKUP($A134,Products!$A$59:$E$158,5,FALSE)))</f>
        <v/>
      </c>
      <c r="F135" s="128" t="str">
        <f>IF($E135="","",F$133*VLOOKUP($A134,Products!$A$59:$H$158,8,FALSE))</f>
        <v/>
      </c>
      <c r="G135" s="129" t="str">
        <f>IF($E135="","",G$133*VLOOKUP($A134,Products!$A$59:$H$158,8,FALSE))</f>
        <v/>
      </c>
    </row>
    <row r="136" spans="1:7" x14ac:dyDescent="0.2">
      <c r="A136" s="627" t="str">
        <f t="shared" si="17"/>
        <v>AAA</v>
      </c>
      <c r="B136" s="628"/>
      <c r="C136" s="628"/>
      <c r="D136" s="628"/>
      <c r="E136" s="16" t="str">
        <f>IF($A135="","",IF(VLOOKUP($A135,Products!$A$59:$E$158,5,FALSE)="","",VLOOKUP($A135,Products!$A$59:$E$158,5,FALSE)))</f>
        <v/>
      </c>
      <c r="F136" s="128" t="str">
        <f>IF($E136="","",F$133*VLOOKUP($A135,Products!$A$59:$H$158,8,FALSE))</f>
        <v/>
      </c>
      <c r="G136" s="129" t="str">
        <f>IF($E136="","",G$133*VLOOKUP($A135,Products!$A$59:$H$158,8,FALSE))</f>
        <v/>
      </c>
    </row>
    <row r="137" spans="1:7" x14ac:dyDescent="0.2">
      <c r="A137" s="627" t="str">
        <f t="shared" si="17"/>
        <v>AAAA</v>
      </c>
      <c r="B137" s="628"/>
      <c r="C137" s="628"/>
      <c r="D137" s="628"/>
      <c r="E137" s="16" t="str">
        <f>IF($A136="","",IF(VLOOKUP($A136,Products!$A$59:$E$158,5,FALSE)="","",VLOOKUP($A136,Products!$A$59:$E$158,5,FALSE)))</f>
        <v/>
      </c>
      <c r="F137" s="128" t="str">
        <f>IF($E137="","",F$133*VLOOKUP($A136,Products!$A$59:$H$158,8,FALSE))</f>
        <v/>
      </c>
      <c r="G137" s="129" t="str">
        <f>IF($E137="","",G$133*VLOOKUP($A136,Products!$A$59:$H$158,8,FALSE))</f>
        <v/>
      </c>
    </row>
    <row r="138" spans="1:7" x14ac:dyDescent="0.2">
      <c r="A138" s="627" t="str">
        <f t="shared" si="17"/>
        <v>AAAAA</v>
      </c>
      <c r="B138" s="628"/>
      <c r="C138" s="628"/>
      <c r="D138" s="628"/>
      <c r="E138" s="16" t="str">
        <f>IF($A137="","",IF(VLOOKUP($A137,Products!$A$59:$E$158,5,FALSE)="","",VLOOKUP($A137,Products!$A$59:$E$158,5,FALSE)))</f>
        <v/>
      </c>
      <c r="F138" s="128" t="str">
        <f>IF($E138="","",F$133*VLOOKUP($A137,Products!$A$59:$H$158,8,FALSE))</f>
        <v/>
      </c>
      <c r="G138" s="129" t="str">
        <f>IF($E138="","",G$133*VLOOKUP($A137,Products!$A$59:$H$158,8,FALSE))</f>
        <v/>
      </c>
    </row>
    <row r="139" spans="1:7" x14ac:dyDescent="0.2">
      <c r="A139" s="627" t="str">
        <f t="shared" si="17"/>
        <v>AAAAAA</v>
      </c>
      <c r="B139" s="628"/>
      <c r="C139" s="628"/>
      <c r="D139" s="628"/>
      <c r="E139" s="16" t="str">
        <f>IF($A138="","",IF(VLOOKUP($A138,Products!$A$59:$E$158,5,FALSE)="","",VLOOKUP($A138,Products!$A$59:$E$158,5,FALSE)))</f>
        <v/>
      </c>
      <c r="F139" s="128" t="str">
        <f>IF($E139="","",F$133*VLOOKUP($A138,Products!$A$59:$H$158,8,FALSE))</f>
        <v/>
      </c>
      <c r="G139" s="129" t="str">
        <f>IF($E139="","",G$133*VLOOKUP($A138,Products!$A$59:$H$158,8,FALSE))</f>
        <v/>
      </c>
    </row>
    <row r="140" spans="1:7" x14ac:dyDescent="0.2">
      <c r="A140" s="627" t="str">
        <f t="shared" si="17"/>
        <v>AAAAAAA</v>
      </c>
      <c r="B140" s="628"/>
      <c r="C140" s="628"/>
      <c r="D140" s="628"/>
      <c r="E140" s="16" t="str">
        <f>IF($A139="","",IF(VLOOKUP($A139,Products!$A$59:$E$158,5,FALSE)="","",VLOOKUP($A139,Products!$A$59:$E$158,5,FALSE)))</f>
        <v/>
      </c>
      <c r="F140" s="128" t="str">
        <f>IF($E140="","",F$133*VLOOKUP($A139,Products!$A$59:$H$158,8,FALSE))</f>
        <v/>
      </c>
      <c r="G140" s="129" t="str">
        <f>IF($E140="","",G$133*VLOOKUP($A139,Products!$A$59:$H$158,8,FALSE))</f>
        <v/>
      </c>
    </row>
    <row r="141" spans="1:7" x14ac:dyDescent="0.2">
      <c r="A141" s="627" t="str">
        <f t="shared" si="17"/>
        <v>AAAAAAAA</v>
      </c>
      <c r="B141" s="628"/>
      <c r="C141" s="628"/>
      <c r="D141" s="628"/>
      <c r="E141" s="16" t="str">
        <f>IF($A140="","",IF(VLOOKUP($A140,Products!$A$59:$E$158,5,FALSE)="","",VLOOKUP($A140,Products!$A$59:$E$158,5,FALSE)))</f>
        <v/>
      </c>
      <c r="F141" s="128" t="str">
        <f>IF($E141="","",F$133*VLOOKUP($A140,Products!$A$59:$H$158,8,FALSE))</f>
        <v/>
      </c>
      <c r="G141" s="129" t="str">
        <f>IF($E141="","",G$133*VLOOKUP($A140,Products!$A$59:$H$158,8,FALSE))</f>
        <v/>
      </c>
    </row>
    <row r="142" spans="1:7" x14ac:dyDescent="0.2">
      <c r="A142" s="627" t="str">
        <f t="shared" si="17"/>
        <v>AAAAAAAAA</v>
      </c>
      <c r="B142" s="628"/>
      <c r="C142" s="628"/>
      <c r="D142" s="628"/>
      <c r="E142" s="16" t="str">
        <f>IF($A141="","",IF(VLOOKUP($A141,Products!$A$59:$E$158,5,FALSE)="","",VLOOKUP($A141,Products!$A$59:$E$158,5,FALSE)))</f>
        <v/>
      </c>
      <c r="F142" s="128" t="str">
        <f>IF($E142="","",F$133*VLOOKUP($A141,Products!$A$59:$H$158,8,FALSE))</f>
        <v/>
      </c>
      <c r="G142" s="129" t="str">
        <f>IF($E142="","",G$133*VLOOKUP($A141,Products!$A$59:$H$158,8,FALSE))</f>
        <v/>
      </c>
    </row>
    <row r="143" spans="1:7" x14ac:dyDescent="0.2">
      <c r="A143" s="627" t="str">
        <f t="shared" si="17"/>
        <v>AAAAAAAAAA</v>
      </c>
      <c r="B143" s="628"/>
      <c r="C143" s="628"/>
      <c r="D143" s="628"/>
      <c r="E143" s="16" t="str">
        <f>IF($A142="","",IF(VLOOKUP($A142,Products!$A$59:$E$158,5,FALSE)="","",VLOOKUP($A142,Products!$A$59:$E$158,5,FALSE)))</f>
        <v/>
      </c>
      <c r="F143" s="128" t="str">
        <f>IF($E143="","",F$133*VLOOKUP($A142,Products!$A$59:$H$158,8,FALSE))</f>
        <v/>
      </c>
      <c r="G143" s="129" t="str">
        <f>IF($E143="","",G$133*VLOOKUP($A142,Products!$A$59:$H$158,8,FALSE))</f>
        <v/>
      </c>
    </row>
    <row r="144" spans="1:7" x14ac:dyDescent="0.2">
      <c r="A144" s="780" t="str">
        <f>Hidden!$EG5</f>
        <v/>
      </c>
      <c r="B144" s="656"/>
      <c r="C144" s="656"/>
      <c r="D144" s="656"/>
      <c r="E144" s="16" t="str">
        <f>IF(A144="","","Total VOC")</f>
        <v/>
      </c>
      <c r="F144" s="128">
        <f>VLOOKUP($A144,Hidden!$EG$2:$EI$11,2,FALSE)*(1-$D$23)</f>
        <v>0</v>
      </c>
      <c r="G144" s="129">
        <f>VLOOKUP($A144,Hidden!$EG$2:$EI$11,3,FALSE)*(1-$D$23)</f>
        <v>0</v>
      </c>
    </row>
    <row r="145" spans="1:7" x14ac:dyDescent="0.2">
      <c r="A145" s="627" t="str">
        <f t="shared" ref="A145:A154" si="18">$A144&amp;"A"</f>
        <v>A</v>
      </c>
      <c r="B145" s="628"/>
      <c r="C145" s="628"/>
      <c r="D145" s="628"/>
      <c r="E145" s="16" t="str">
        <f>IF($A144="","",IF(VLOOKUP($A144,Products!$A$59:$E$158,5,FALSE)="","",VLOOKUP($A144,Products!$A$59:$E$158,5,FALSE)))</f>
        <v/>
      </c>
      <c r="F145" s="128" t="str">
        <f>IF($E145="","",F$144*VLOOKUP($A144,Products!$A$59:$H$158,8,FALSE))</f>
        <v/>
      </c>
      <c r="G145" s="129" t="str">
        <f>IF($E145="","",G$144*VLOOKUP($A144,Products!$A$59:$H$158,8,FALSE))</f>
        <v/>
      </c>
    </row>
    <row r="146" spans="1:7" x14ac:dyDescent="0.2">
      <c r="A146" s="627" t="str">
        <f t="shared" si="18"/>
        <v>AA</v>
      </c>
      <c r="B146" s="628"/>
      <c r="C146" s="628"/>
      <c r="D146" s="628"/>
      <c r="E146" s="16" t="str">
        <f>IF($A145="","",IF(VLOOKUP($A145,Products!$A$59:$E$158,5,FALSE)="","",VLOOKUP($A145,Products!$A$59:$E$158,5,FALSE)))</f>
        <v/>
      </c>
      <c r="F146" s="128" t="str">
        <f>IF($E146="","",F$144*VLOOKUP($A145,Products!$A$59:$H$158,8,FALSE))</f>
        <v/>
      </c>
      <c r="G146" s="129" t="str">
        <f>IF($E146="","",G$144*VLOOKUP($A145,Products!$A$59:$H$158,8,FALSE))</f>
        <v/>
      </c>
    </row>
    <row r="147" spans="1:7" x14ac:dyDescent="0.2">
      <c r="A147" s="627" t="str">
        <f t="shared" si="18"/>
        <v>AAA</v>
      </c>
      <c r="B147" s="628"/>
      <c r="C147" s="628"/>
      <c r="D147" s="628"/>
      <c r="E147" s="16" t="str">
        <f>IF($A146="","",IF(VLOOKUP($A146,Products!$A$59:$E$158,5,FALSE)="","",VLOOKUP($A146,Products!$A$59:$E$158,5,FALSE)))</f>
        <v/>
      </c>
      <c r="F147" s="128" t="str">
        <f>IF($E147="","",F$144*VLOOKUP($A146,Products!$A$59:$H$158,8,FALSE))</f>
        <v/>
      </c>
      <c r="G147" s="129" t="str">
        <f>IF($E147="","",G$144*VLOOKUP($A146,Products!$A$59:$H$158,8,FALSE))</f>
        <v/>
      </c>
    </row>
    <row r="148" spans="1:7" x14ac:dyDescent="0.2">
      <c r="A148" s="627" t="str">
        <f t="shared" si="18"/>
        <v>AAAA</v>
      </c>
      <c r="B148" s="628"/>
      <c r="C148" s="628"/>
      <c r="D148" s="628"/>
      <c r="E148" s="16" t="str">
        <f>IF($A147="","",IF(VLOOKUP($A147,Products!$A$59:$E$158,5,FALSE)="","",VLOOKUP($A147,Products!$A$59:$E$158,5,FALSE)))</f>
        <v/>
      </c>
      <c r="F148" s="128" t="str">
        <f>IF($E148="","",F$144*VLOOKUP($A147,Products!$A$59:$H$158,8,FALSE))</f>
        <v/>
      </c>
      <c r="G148" s="129" t="str">
        <f>IF($E148="","",G$144*VLOOKUP($A147,Products!$A$59:$H$158,8,FALSE))</f>
        <v/>
      </c>
    </row>
    <row r="149" spans="1:7" x14ac:dyDescent="0.2">
      <c r="A149" s="627" t="str">
        <f t="shared" si="18"/>
        <v>AAAAA</v>
      </c>
      <c r="B149" s="628"/>
      <c r="C149" s="628"/>
      <c r="D149" s="628"/>
      <c r="E149" s="16" t="str">
        <f>IF($A148="","",IF(VLOOKUP($A148,Products!$A$59:$E$158,5,FALSE)="","",VLOOKUP($A148,Products!$A$59:$E$158,5,FALSE)))</f>
        <v/>
      </c>
      <c r="F149" s="128" t="str">
        <f>IF($E149="","",F$144*VLOOKUP($A148,Products!$A$59:$H$158,8,FALSE))</f>
        <v/>
      </c>
      <c r="G149" s="129" t="str">
        <f>IF($E149="","",G$144*VLOOKUP($A148,Products!$A$59:$H$158,8,FALSE))</f>
        <v/>
      </c>
    </row>
    <row r="150" spans="1:7" x14ac:dyDescent="0.2">
      <c r="A150" s="627" t="str">
        <f t="shared" si="18"/>
        <v>AAAAAA</v>
      </c>
      <c r="B150" s="628"/>
      <c r="C150" s="628"/>
      <c r="D150" s="628"/>
      <c r="E150" s="16" t="str">
        <f>IF($A149="","",IF(VLOOKUP($A149,Products!$A$59:$E$158,5,FALSE)="","",VLOOKUP($A149,Products!$A$59:$E$158,5,FALSE)))</f>
        <v/>
      </c>
      <c r="F150" s="128" t="str">
        <f>IF($E150="","",F$144*VLOOKUP($A149,Products!$A$59:$H$158,8,FALSE))</f>
        <v/>
      </c>
      <c r="G150" s="129" t="str">
        <f>IF($E150="","",G$144*VLOOKUP($A149,Products!$A$59:$H$158,8,FALSE))</f>
        <v/>
      </c>
    </row>
    <row r="151" spans="1:7" x14ac:dyDescent="0.2">
      <c r="A151" s="627" t="str">
        <f t="shared" si="18"/>
        <v>AAAAAAA</v>
      </c>
      <c r="B151" s="628"/>
      <c r="C151" s="628"/>
      <c r="D151" s="628"/>
      <c r="E151" s="16" t="str">
        <f>IF($A150="","",IF(VLOOKUP($A150,Products!$A$59:$E$158,5,FALSE)="","",VLOOKUP($A150,Products!$A$59:$E$158,5,FALSE)))</f>
        <v/>
      </c>
      <c r="F151" s="128" t="str">
        <f>IF($E151="","",F$144*VLOOKUP($A150,Products!$A$59:$H$158,8,FALSE))</f>
        <v/>
      </c>
      <c r="G151" s="129" t="str">
        <f>IF($E151="","",G$144*VLOOKUP($A150,Products!$A$59:$H$158,8,FALSE))</f>
        <v/>
      </c>
    </row>
    <row r="152" spans="1:7" x14ac:dyDescent="0.2">
      <c r="A152" s="627" t="str">
        <f t="shared" si="18"/>
        <v>AAAAAAAA</v>
      </c>
      <c r="B152" s="628"/>
      <c r="C152" s="628"/>
      <c r="D152" s="628"/>
      <c r="E152" s="16" t="str">
        <f>IF($A151="","",IF(VLOOKUP($A151,Products!$A$59:$E$158,5,FALSE)="","",VLOOKUP($A151,Products!$A$59:$E$158,5,FALSE)))</f>
        <v/>
      </c>
      <c r="F152" s="128" t="str">
        <f>IF($E152="","",F$144*VLOOKUP($A151,Products!$A$59:$H$158,8,FALSE))</f>
        <v/>
      </c>
      <c r="G152" s="129" t="str">
        <f>IF($E152="","",G$144*VLOOKUP($A151,Products!$A$59:$H$158,8,FALSE))</f>
        <v/>
      </c>
    </row>
    <row r="153" spans="1:7" x14ac:dyDescent="0.2">
      <c r="A153" s="627" t="str">
        <f t="shared" si="18"/>
        <v>AAAAAAAAA</v>
      </c>
      <c r="B153" s="628"/>
      <c r="C153" s="628"/>
      <c r="D153" s="628"/>
      <c r="E153" s="16" t="str">
        <f>IF($A152="","",IF(VLOOKUP($A152,Products!$A$59:$E$158,5,FALSE)="","",VLOOKUP($A152,Products!$A$59:$E$158,5,FALSE)))</f>
        <v/>
      </c>
      <c r="F153" s="128" t="str">
        <f>IF($E153="","",F$144*VLOOKUP($A152,Products!$A$59:$H$158,8,FALSE))</f>
        <v/>
      </c>
      <c r="G153" s="129" t="str">
        <f>IF($E153="","",G$144*VLOOKUP($A152,Products!$A$59:$H$158,8,FALSE))</f>
        <v/>
      </c>
    </row>
    <row r="154" spans="1:7" x14ac:dyDescent="0.2">
      <c r="A154" s="627" t="str">
        <f t="shared" si="18"/>
        <v>AAAAAAAAAA</v>
      </c>
      <c r="B154" s="628"/>
      <c r="C154" s="628"/>
      <c r="D154" s="628"/>
      <c r="E154" s="16" t="str">
        <f>IF($A153="","",IF(VLOOKUP($A153,Products!$A$59:$E$158,5,FALSE)="","",VLOOKUP($A153,Products!$A$59:$E$158,5,FALSE)))</f>
        <v/>
      </c>
      <c r="F154" s="128" t="str">
        <f>IF($E154="","",F$144*VLOOKUP($A153,Products!$A$59:$H$158,8,FALSE))</f>
        <v/>
      </c>
      <c r="G154" s="129" t="str">
        <f>IF($E154="","",G$144*VLOOKUP($A153,Products!$A$59:$H$158,8,FALSE))</f>
        <v/>
      </c>
    </row>
    <row r="155" spans="1:7" x14ac:dyDescent="0.2">
      <c r="A155" s="780" t="str">
        <f>Hidden!$EG6</f>
        <v/>
      </c>
      <c r="B155" s="656"/>
      <c r="C155" s="656"/>
      <c r="D155" s="656"/>
      <c r="E155" s="16" t="str">
        <f>IF(A155="","","Total VOC")</f>
        <v/>
      </c>
      <c r="F155" s="128">
        <f>VLOOKUP($A155,Hidden!$EG$2:$EI$11,2,FALSE)*(1-$D$23)</f>
        <v>0</v>
      </c>
      <c r="G155" s="129">
        <f>VLOOKUP($A155,Hidden!$EG$2:$EI$11,3,FALSE)*(1-$D$23)</f>
        <v>0</v>
      </c>
    </row>
    <row r="156" spans="1:7" x14ac:dyDescent="0.2">
      <c r="A156" s="627" t="str">
        <f t="shared" ref="A156:A165" si="19">$A155&amp;"A"</f>
        <v>A</v>
      </c>
      <c r="B156" s="628"/>
      <c r="C156" s="628"/>
      <c r="D156" s="628"/>
      <c r="E156" s="16" t="str">
        <f>IF($A155="","",IF(VLOOKUP($A155,Products!$A$59:$E$158,5,FALSE)="","",VLOOKUP($A155,Products!$A$59:$E$158,5,FALSE)))</f>
        <v/>
      </c>
      <c r="F156" s="128" t="str">
        <f>IF($E156="","",F$155*VLOOKUP($A155,Products!$A$59:$H$158,8,FALSE))</f>
        <v/>
      </c>
      <c r="G156" s="129" t="str">
        <f>IF($E156="","",G$155*VLOOKUP($A155,Products!$A$59:$H$158,8,FALSE))</f>
        <v/>
      </c>
    </row>
    <row r="157" spans="1:7" x14ac:dyDescent="0.2">
      <c r="A157" s="627" t="str">
        <f t="shared" si="19"/>
        <v>AA</v>
      </c>
      <c r="B157" s="628"/>
      <c r="C157" s="628"/>
      <c r="D157" s="628"/>
      <c r="E157" s="16" t="str">
        <f>IF($A156="","",IF(VLOOKUP($A156,Products!$A$59:$E$158,5,FALSE)="","",VLOOKUP($A156,Products!$A$59:$E$158,5,FALSE)))</f>
        <v/>
      </c>
      <c r="F157" s="128" t="str">
        <f>IF($E157="","",F$155*VLOOKUP($A156,Products!$A$59:$H$158,8,FALSE))</f>
        <v/>
      </c>
      <c r="G157" s="129" t="str">
        <f>IF($E157="","",G$155*VLOOKUP($A156,Products!$A$59:$H$158,8,FALSE))</f>
        <v/>
      </c>
    </row>
    <row r="158" spans="1:7" x14ac:dyDescent="0.2">
      <c r="A158" s="627" t="str">
        <f t="shared" si="19"/>
        <v>AAA</v>
      </c>
      <c r="B158" s="628"/>
      <c r="C158" s="628"/>
      <c r="D158" s="628"/>
      <c r="E158" s="16" t="str">
        <f>IF($A157="","",IF(VLOOKUP($A157,Products!$A$59:$E$158,5,FALSE)="","",VLOOKUP($A157,Products!$A$59:$E$158,5,FALSE)))</f>
        <v/>
      </c>
      <c r="F158" s="128" t="str">
        <f>IF($E158="","",F$155*VLOOKUP($A157,Products!$A$59:$H$158,8,FALSE))</f>
        <v/>
      </c>
      <c r="G158" s="129" t="str">
        <f>IF($E158="","",G$155*VLOOKUP($A157,Products!$A$59:$H$158,8,FALSE))</f>
        <v/>
      </c>
    </row>
    <row r="159" spans="1:7" x14ac:dyDescent="0.2">
      <c r="A159" s="627" t="str">
        <f t="shared" si="19"/>
        <v>AAAA</v>
      </c>
      <c r="B159" s="628"/>
      <c r="C159" s="628"/>
      <c r="D159" s="628"/>
      <c r="E159" s="16" t="str">
        <f>IF($A158="","",IF(VLOOKUP($A158,Products!$A$59:$E$158,5,FALSE)="","",VLOOKUP($A158,Products!$A$59:$E$158,5,FALSE)))</f>
        <v/>
      </c>
      <c r="F159" s="128" t="str">
        <f>IF($E159="","",F$155*VLOOKUP($A158,Products!$A$59:$H$158,8,FALSE))</f>
        <v/>
      </c>
      <c r="G159" s="129" t="str">
        <f>IF($E159="","",G$155*VLOOKUP($A158,Products!$A$59:$H$158,8,FALSE))</f>
        <v/>
      </c>
    </row>
    <row r="160" spans="1:7" x14ac:dyDescent="0.2">
      <c r="A160" s="627" t="str">
        <f t="shared" si="19"/>
        <v>AAAAA</v>
      </c>
      <c r="B160" s="628"/>
      <c r="C160" s="628"/>
      <c r="D160" s="628"/>
      <c r="E160" s="16" t="str">
        <f>IF($A159="","",IF(VLOOKUP($A159,Products!$A$59:$E$158,5,FALSE)="","",VLOOKUP($A159,Products!$A$59:$E$158,5,FALSE)))</f>
        <v/>
      </c>
      <c r="F160" s="128" t="str">
        <f>IF($E160="","",F$155*VLOOKUP($A159,Products!$A$59:$H$158,8,FALSE))</f>
        <v/>
      </c>
      <c r="G160" s="129" t="str">
        <f>IF($E160="","",G$155*VLOOKUP($A159,Products!$A$59:$H$158,8,FALSE))</f>
        <v/>
      </c>
    </row>
    <row r="161" spans="1:7" x14ac:dyDescent="0.2">
      <c r="A161" s="627" t="str">
        <f t="shared" si="19"/>
        <v>AAAAAA</v>
      </c>
      <c r="B161" s="628"/>
      <c r="C161" s="628"/>
      <c r="D161" s="628"/>
      <c r="E161" s="16" t="str">
        <f>IF($A160="","",IF(VLOOKUP($A160,Products!$A$59:$E$158,5,FALSE)="","",VLOOKUP($A160,Products!$A$59:$E$158,5,FALSE)))</f>
        <v/>
      </c>
      <c r="F161" s="128" t="str">
        <f>IF($E161="","",F$155*VLOOKUP($A160,Products!$A$59:$H$158,8,FALSE))</f>
        <v/>
      </c>
      <c r="G161" s="129" t="str">
        <f>IF($E161="","",G$155*VLOOKUP($A160,Products!$A$59:$H$158,8,FALSE))</f>
        <v/>
      </c>
    </row>
    <row r="162" spans="1:7" x14ac:dyDescent="0.2">
      <c r="A162" s="627" t="str">
        <f t="shared" si="19"/>
        <v>AAAAAAA</v>
      </c>
      <c r="B162" s="628"/>
      <c r="C162" s="628"/>
      <c r="D162" s="628"/>
      <c r="E162" s="16" t="str">
        <f>IF($A161="","",IF(VLOOKUP($A161,Products!$A$59:$E$158,5,FALSE)="","",VLOOKUP($A161,Products!$A$59:$E$158,5,FALSE)))</f>
        <v/>
      </c>
      <c r="F162" s="128" t="str">
        <f>IF($E162="","",F$155*VLOOKUP($A161,Products!$A$59:$H$158,8,FALSE))</f>
        <v/>
      </c>
      <c r="G162" s="129" t="str">
        <f>IF($E162="","",G$155*VLOOKUP($A161,Products!$A$59:$H$158,8,FALSE))</f>
        <v/>
      </c>
    </row>
    <row r="163" spans="1:7" x14ac:dyDescent="0.2">
      <c r="A163" s="627" t="str">
        <f t="shared" si="19"/>
        <v>AAAAAAAA</v>
      </c>
      <c r="B163" s="628"/>
      <c r="C163" s="628"/>
      <c r="D163" s="628"/>
      <c r="E163" s="16" t="str">
        <f>IF($A162="","",IF(VLOOKUP($A162,Products!$A$59:$E$158,5,FALSE)="","",VLOOKUP($A162,Products!$A$59:$E$158,5,FALSE)))</f>
        <v/>
      </c>
      <c r="F163" s="128" t="str">
        <f>IF($E163="","",F$155*VLOOKUP($A162,Products!$A$59:$H$158,8,FALSE))</f>
        <v/>
      </c>
      <c r="G163" s="129" t="str">
        <f>IF($E163="","",G$155*VLOOKUP($A162,Products!$A$59:$H$158,8,FALSE))</f>
        <v/>
      </c>
    </row>
    <row r="164" spans="1:7" x14ac:dyDescent="0.2">
      <c r="A164" s="627" t="str">
        <f t="shared" si="19"/>
        <v>AAAAAAAAA</v>
      </c>
      <c r="B164" s="628"/>
      <c r="C164" s="628"/>
      <c r="D164" s="628"/>
      <c r="E164" s="16" t="str">
        <f>IF($A163="","",IF(VLOOKUP($A163,Products!$A$59:$E$158,5,FALSE)="","",VLOOKUP($A163,Products!$A$59:$E$158,5,FALSE)))</f>
        <v/>
      </c>
      <c r="F164" s="128" t="str">
        <f>IF($E164="","",F$155*VLOOKUP($A163,Products!$A$59:$H$158,8,FALSE))</f>
        <v/>
      </c>
      <c r="G164" s="129" t="str">
        <f>IF($E164="","",G$155*VLOOKUP($A163,Products!$A$59:$H$158,8,FALSE))</f>
        <v/>
      </c>
    </row>
    <row r="165" spans="1:7" x14ac:dyDescent="0.2">
      <c r="A165" s="627" t="str">
        <f t="shared" si="19"/>
        <v>AAAAAAAAAA</v>
      </c>
      <c r="B165" s="628"/>
      <c r="C165" s="628"/>
      <c r="D165" s="628"/>
      <c r="E165" s="16" t="str">
        <f>IF($A164="","",IF(VLOOKUP($A164,Products!$A$59:$E$158,5,FALSE)="","",VLOOKUP($A164,Products!$A$59:$E$158,5,FALSE)))</f>
        <v/>
      </c>
      <c r="F165" s="128" t="str">
        <f>IF($E165="","",F$155*VLOOKUP($A164,Products!$A$59:$H$158,8,FALSE))</f>
        <v/>
      </c>
      <c r="G165" s="129" t="str">
        <f>IF($E165="","",G$155*VLOOKUP($A164,Products!$A$59:$H$158,8,FALSE))</f>
        <v/>
      </c>
    </row>
    <row r="166" spans="1:7" x14ac:dyDescent="0.2">
      <c r="A166" s="780" t="str">
        <f>Hidden!$EG7</f>
        <v/>
      </c>
      <c r="B166" s="656"/>
      <c r="C166" s="656"/>
      <c r="D166" s="656"/>
      <c r="E166" s="16" t="str">
        <f>IF(A166="","","Total VOC")</f>
        <v/>
      </c>
      <c r="F166" s="128">
        <f>VLOOKUP($A166,Hidden!$EG$2:$EI$11,2,FALSE)*(1-$D$23)</f>
        <v>0</v>
      </c>
      <c r="G166" s="129">
        <f>VLOOKUP($A166,Hidden!$EG$2:$EI$11,3,FALSE)*(1-$D$23)</f>
        <v>0</v>
      </c>
    </row>
    <row r="167" spans="1:7" x14ac:dyDescent="0.2">
      <c r="A167" s="627" t="str">
        <f t="shared" ref="A167:A176" si="20">$A166&amp;"A"</f>
        <v>A</v>
      </c>
      <c r="B167" s="628"/>
      <c r="C167" s="628"/>
      <c r="D167" s="628"/>
      <c r="E167" s="16" t="str">
        <f>IF($A166="","",IF(VLOOKUP($A166,Products!$A$59:$E$158,5,FALSE)="","",VLOOKUP($A166,Products!$A$59:$E$158,5,FALSE)))</f>
        <v/>
      </c>
      <c r="F167" s="128" t="str">
        <f>IF($E167="","",F$166*VLOOKUP($A166,Products!$A$59:$H$158,8,FALSE))</f>
        <v/>
      </c>
      <c r="G167" s="129" t="str">
        <f>IF($E167="","",G$166*VLOOKUP($A166,Products!$A$59:$H$158,8,FALSE))</f>
        <v/>
      </c>
    </row>
    <row r="168" spans="1:7" x14ac:dyDescent="0.2">
      <c r="A168" s="627" t="str">
        <f t="shared" si="20"/>
        <v>AA</v>
      </c>
      <c r="B168" s="628"/>
      <c r="C168" s="628"/>
      <c r="D168" s="628"/>
      <c r="E168" s="16" t="str">
        <f>IF($A167="","",IF(VLOOKUP($A167,Products!$A$59:$E$158,5,FALSE)="","",VLOOKUP($A167,Products!$A$59:$E$158,5,FALSE)))</f>
        <v/>
      </c>
      <c r="F168" s="128" t="str">
        <f>IF($E168="","",F$166*VLOOKUP($A167,Products!$A$59:$H$158,8,FALSE))</f>
        <v/>
      </c>
      <c r="G168" s="129" t="str">
        <f>IF($E168="","",G$166*VLOOKUP($A167,Products!$A$59:$H$158,8,FALSE))</f>
        <v/>
      </c>
    </row>
    <row r="169" spans="1:7" x14ac:dyDescent="0.2">
      <c r="A169" s="627" t="str">
        <f t="shared" si="20"/>
        <v>AAA</v>
      </c>
      <c r="B169" s="628"/>
      <c r="C169" s="628"/>
      <c r="D169" s="628"/>
      <c r="E169" s="16" t="str">
        <f>IF($A168="","",IF(VLOOKUP($A168,Products!$A$59:$E$158,5,FALSE)="","",VLOOKUP($A168,Products!$A$59:$E$158,5,FALSE)))</f>
        <v/>
      </c>
      <c r="F169" s="128" t="str">
        <f>IF($E169="","",F$166*VLOOKUP($A168,Products!$A$59:$H$158,8,FALSE))</f>
        <v/>
      </c>
      <c r="G169" s="129" t="str">
        <f>IF($E169="","",G$166*VLOOKUP($A168,Products!$A$59:$H$158,8,FALSE))</f>
        <v/>
      </c>
    </row>
    <row r="170" spans="1:7" x14ac:dyDescent="0.2">
      <c r="A170" s="627" t="str">
        <f t="shared" si="20"/>
        <v>AAAA</v>
      </c>
      <c r="B170" s="628"/>
      <c r="C170" s="628"/>
      <c r="D170" s="628"/>
      <c r="E170" s="16" t="str">
        <f>IF($A169="","",IF(VLOOKUP($A169,Products!$A$59:$E$158,5,FALSE)="","",VLOOKUP($A169,Products!$A$59:$E$158,5,FALSE)))</f>
        <v/>
      </c>
      <c r="F170" s="128" t="str">
        <f>IF($E170="","",F$166*VLOOKUP($A169,Products!$A$59:$H$158,8,FALSE))</f>
        <v/>
      </c>
      <c r="G170" s="129" t="str">
        <f>IF($E170="","",G$166*VLOOKUP($A169,Products!$A$59:$H$158,8,FALSE))</f>
        <v/>
      </c>
    </row>
    <row r="171" spans="1:7" x14ac:dyDescent="0.2">
      <c r="A171" s="627" t="str">
        <f t="shared" si="20"/>
        <v>AAAAA</v>
      </c>
      <c r="B171" s="628"/>
      <c r="C171" s="628"/>
      <c r="D171" s="628"/>
      <c r="E171" s="16" t="str">
        <f>IF($A170="","",IF(VLOOKUP($A170,Products!$A$59:$E$158,5,FALSE)="","",VLOOKUP($A170,Products!$A$59:$E$158,5,FALSE)))</f>
        <v/>
      </c>
      <c r="F171" s="128" t="str">
        <f>IF($E171="","",F$166*VLOOKUP($A170,Products!$A$59:$H$158,8,FALSE))</f>
        <v/>
      </c>
      <c r="G171" s="129" t="str">
        <f>IF($E171="","",G$166*VLOOKUP($A170,Products!$A$59:$H$158,8,FALSE))</f>
        <v/>
      </c>
    </row>
    <row r="172" spans="1:7" x14ac:dyDescent="0.2">
      <c r="A172" s="627" t="str">
        <f t="shared" si="20"/>
        <v>AAAAAA</v>
      </c>
      <c r="B172" s="628"/>
      <c r="C172" s="628"/>
      <c r="D172" s="628"/>
      <c r="E172" s="16" t="str">
        <f>IF($A171="","",IF(VLOOKUP($A171,Products!$A$59:$E$158,5,FALSE)="","",VLOOKUP($A171,Products!$A$59:$E$158,5,FALSE)))</f>
        <v/>
      </c>
      <c r="F172" s="128" t="str">
        <f>IF($E172="","",F$166*VLOOKUP($A171,Products!$A$59:$H$158,8,FALSE))</f>
        <v/>
      </c>
      <c r="G172" s="129" t="str">
        <f>IF($E172="","",G$166*VLOOKUP($A171,Products!$A$59:$H$158,8,FALSE))</f>
        <v/>
      </c>
    </row>
    <row r="173" spans="1:7" x14ac:dyDescent="0.2">
      <c r="A173" s="627" t="str">
        <f t="shared" si="20"/>
        <v>AAAAAAA</v>
      </c>
      <c r="B173" s="628"/>
      <c r="C173" s="628"/>
      <c r="D173" s="628"/>
      <c r="E173" s="16" t="str">
        <f>IF($A172="","",IF(VLOOKUP($A172,Products!$A$59:$E$158,5,FALSE)="","",VLOOKUP($A172,Products!$A$59:$E$158,5,FALSE)))</f>
        <v/>
      </c>
      <c r="F173" s="128" t="str">
        <f>IF($E173="","",F$166*VLOOKUP($A172,Products!$A$59:$H$158,8,FALSE))</f>
        <v/>
      </c>
      <c r="G173" s="129" t="str">
        <f>IF($E173="","",G$166*VLOOKUP($A172,Products!$A$59:$H$158,8,FALSE))</f>
        <v/>
      </c>
    </row>
    <row r="174" spans="1:7" x14ac:dyDescent="0.2">
      <c r="A174" s="627" t="str">
        <f t="shared" si="20"/>
        <v>AAAAAAAA</v>
      </c>
      <c r="B174" s="628"/>
      <c r="C174" s="628"/>
      <c r="D174" s="628"/>
      <c r="E174" s="16" t="str">
        <f>IF($A173="","",IF(VLOOKUP($A173,Products!$A$59:$E$158,5,FALSE)="","",VLOOKUP($A173,Products!$A$59:$E$158,5,FALSE)))</f>
        <v/>
      </c>
      <c r="F174" s="128" t="str">
        <f>IF($E174="","",F$166*VLOOKUP($A173,Products!$A$59:$H$158,8,FALSE))</f>
        <v/>
      </c>
      <c r="G174" s="129" t="str">
        <f>IF($E174="","",G$166*VLOOKUP($A173,Products!$A$59:$H$158,8,FALSE))</f>
        <v/>
      </c>
    </row>
    <row r="175" spans="1:7" x14ac:dyDescent="0.2">
      <c r="A175" s="627" t="str">
        <f t="shared" si="20"/>
        <v>AAAAAAAAA</v>
      </c>
      <c r="B175" s="628"/>
      <c r="C175" s="628"/>
      <c r="D175" s="628"/>
      <c r="E175" s="16" t="str">
        <f>IF($A174="","",IF(VLOOKUP($A174,Products!$A$59:$E$158,5,FALSE)="","",VLOOKUP($A174,Products!$A$59:$E$158,5,FALSE)))</f>
        <v/>
      </c>
      <c r="F175" s="128" t="str">
        <f>IF($E175="","",F$166*VLOOKUP($A174,Products!$A$59:$H$158,8,FALSE))</f>
        <v/>
      </c>
      <c r="G175" s="129" t="str">
        <f>IF($E175="","",G$166*VLOOKUP($A174,Products!$A$59:$H$158,8,FALSE))</f>
        <v/>
      </c>
    </row>
    <row r="176" spans="1:7" x14ac:dyDescent="0.2">
      <c r="A176" s="627" t="str">
        <f t="shared" si="20"/>
        <v>AAAAAAAAAA</v>
      </c>
      <c r="B176" s="628"/>
      <c r="C176" s="628"/>
      <c r="D176" s="628"/>
      <c r="E176" s="16" t="str">
        <f>IF($A175="","",IF(VLOOKUP($A175,Products!$A$59:$E$158,5,FALSE)="","",VLOOKUP($A175,Products!$A$59:$E$158,5,FALSE)))</f>
        <v/>
      </c>
      <c r="F176" s="128" t="str">
        <f>IF($E176="","",F$166*VLOOKUP($A175,Products!$A$59:$H$158,8,FALSE))</f>
        <v/>
      </c>
      <c r="G176" s="129" t="str">
        <f>IF($E176="","",G$166*VLOOKUP($A175,Products!$A$59:$H$158,8,FALSE))</f>
        <v/>
      </c>
    </row>
    <row r="177" spans="1:7" x14ac:dyDescent="0.2">
      <c r="A177" s="780" t="str">
        <f>Hidden!$EG8</f>
        <v/>
      </c>
      <c r="B177" s="656"/>
      <c r="C177" s="656"/>
      <c r="D177" s="656"/>
      <c r="E177" s="16" t="str">
        <f>IF(A177="","","Total VOC")</f>
        <v/>
      </c>
      <c r="F177" s="128">
        <f>VLOOKUP($A177,Hidden!$EG$2:$EI$11,2,FALSE)*(1-$D$23)</f>
        <v>0</v>
      </c>
      <c r="G177" s="129">
        <f>VLOOKUP($A177,Hidden!$EG$2:$EI$11,3,FALSE)*(1-$D$23)</f>
        <v>0</v>
      </c>
    </row>
    <row r="178" spans="1:7" x14ac:dyDescent="0.2">
      <c r="A178" s="627" t="str">
        <f t="shared" ref="A178:A187" si="21">$A177&amp;"A"</f>
        <v>A</v>
      </c>
      <c r="B178" s="628"/>
      <c r="C178" s="628"/>
      <c r="D178" s="628"/>
      <c r="E178" s="16" t="str">
        <f>IF($A177="","",IF(VLOOKUP($A177,Products!$A$59:$E$158,5,FALSE)="","",VLOOKUP($A177,Products!$A$59:$E$158,5,FALSE)))</f>
        <v/>
      </c>
      <c r="F178" s="128" t="str">
        <f>IF($E178="","",F$177*VLOOKUP($A177,Products!$A$59:$H$158,8,FALSE))</f>
        <v/>
      </c>
      <c r="G178" s="129" t="str">
        <f>IF($E178="","",G$177*VLOOKUP($A177,Products!$A$59:$H$158,8,FALSE))</f>
        <v/>
      </c>
    </row>
    <row r="179" spans="1:7" x14ac:dyDescent="0.2">
      <c r="A179" s="627" t="str">
        <f t="shared" si="21"/>
        <v>AA</v>
      </c>
      <c r="B179" s="628"/>
      <c r="C179" s="628"/>
      <c r="D179" s="628"/>
      <c r="E179" s="16" t="str">
        <f>IF($A178="","",IF(VLOOKUP($A178,Products!$A$59:$E$158,5,FALSE)="","",VLOOKUP($A178,Products!$A$59:$E$158,5,FALSE)))</f>
        <v/>
      </c>
      <c r="F179" s="128" t="str">
        <f>IF($E179="","",F$177*VLOOKUP($A178,Products!$A$59:$H$158,8,FALSE))</f>
        <v/>
      </c>
      <c r="G179" s="129" t="str">
        <f>IF($E179="","",G$177*VLOOKUP($A178,Products!$A$59:$H$158,8,FALSE))</f>
        <v/>
      </c>
    </row>
    <row r="180" spans="1:7" x14ac:dyDescent="0.2">
      <c r="A180" s="627" t="str">
        <f t="shared" si="21"/>
        <v>AAA</v>
      </c>
      <c r="B180" s="628"/>
      <c r="C180" s="628"/>
      <c r="D180" s="628"/>
      <c r="E180" s="16" t="str">
        <f>IF($A179="","",IF(VLOOKUP($A179,Products!$A$59:$E$158,5,FALSE)="","",VLOOKUP($A179,Products!$A$59:$E$158,5,FALSE)))</f>
        <v/>
      </c>
      <c r="F180" s="128" t="str">
        <f>IF($E180="","",F$177*VLOOKUP($A179,Products!$A$59:$H$158,8,FALSE))</f>
        <v/>
      </c>
      <c r="G180" s="129" t="str">
        <f>IF($E180="","",G$177*VLOOKUP($A179,Products!$A$59:$H$158,8,FALSE))</f>
        <v/>
      </c>
    </row>
    <row r="181" spans="1:7" x14ac:dyDescent="0.2">
      <c r="A181" s="627" t="str">
        <f t="shared" si="21"/>
        <v>AAAA</v>
      </c>
      <c r="B181" s="628"/>
      <c r="C181" s="628"/>
      <c r="D181" s="628"/>
      <c r="E181" s="16" t="str">
        <f>IF($A180="","",IF(VLOOKUP($A180,Products!$A$59:$E$158,5,FALSE)="","",VLOOKUP($A180,Products!$A$59:$E$158,5,FALSE)))</f>
        <v/>
      </c>
      <c r="F181" s="128" t="str">
        <f>IF($E181="","",F$177*VLOOKUP($A180,Products!$A$59:$H$158,8,FALSE))</f>
        <v/>
      </c>
      <c r="G181" s="129" t="str">
        <f>IF($E181="","",G$177*VLOOKUP($A180,Products!$A$59:$H$158,8,FALSE))</f>
        <v/>
      </c>
    </row>
    <row r="182" spans="1:7" x14ac:dyDescent="0.2">
      <c r="A182" s="627" t="str">
        <f t="shared" si="21"/>
        <v>AAAAA</v>
      </c>
      <c r="B182" s="628"/>
      <c r="C182" s="628"/>
      <c r="D182" s="628"/>
      <c r="E182" s="16" t="str">
        <f>IF($A181="","",IF(VLOOKUP($A181,Products!$A$59:$E$158,5,FALSE)="","",VLOOKUP($A181,Products!$A$59:$E$158,5,FALSE)))</f>
        <v/>
      </c>
      <c r="F182" s="128" t="str">
        <f>IF($E182="","",F$177*VLOOKUP($A181,Products!$A$59:$H$158,8,FALSE))</f>
        <v/>
      </c>
      <c r="G182" s="129" t="str">
        <f>IF($E182="","",G$177*VLOOKUP($A181,Products!$A$59:$H$158,8,FALSE))</f>
        <v/>
      </c>
    </row>
    <row r="183" spans="1:7" x14ac:dyDescent="0.2">
      <c r="A183" s="627" t="str">
        <f t="shared" si="21"/>
        <v>AAAAAA</v>
      </c>
      <c r="B183" s="628"/>
      <c r="C183" s="628"/>
      <c r="D183" s="628"/>
      <c r="E183" s="16" t="str">
        <f>IF($A182="","",IF(VLOOKUP($A182,Products!$A$59:$E$158,5,FALSE)="","",VLOOKUP($A182,Products!$A$59:$E$158,5,FALSE)))</f>
        <v/>
      </c>
      <c r="F183" s="128" t="str">
        <f>IF($E183="","",F$177*VLOOKUP($A182,Products!$A$59:$H$158,8,FALSE))</f>
        <v/>
      </c>
      <c r="G183" s="129" t="str">
        <f>IF($E183="","",G$177*VLOOKUP($A182,Products!$A$59:$H$158,8,FALSE))</f>
        <v/>
      </c>
    </row>
    <row r="184" spans="1:7" x14ac:dyDescent="0.2">
      <c r="A184" s="627" t="str">
        <f t="shared" si="21"/>
        <v>AAAAAAA</v>
      </c>
      <c r="B184" s="628"/>
      <c r="C184" s="628"/>
      <c r="D184" s="628"/>
      <c r="E184" s="16" t="str">
        <f>IF($A183="","",IF(VLOOKUP($A183,Products!$A$59:$E$158,5,FALSE)="","",VLOOKUP($A183,Products!$A$59:$E$158,5,FALSE)))</f>
        <v/>
      </c>
      <c r="F184" s="128" t="str">
        <f>IF($E184="","",F$177*VLOOKUP($A183,Products!$A$59:$H$158,8,FALSE))</f>
        <v/>
      </c>
      <c r="G184" s="129" t="str">
        <f>IF($E184="","",G$177*VLOOKUP($A183,Products!$A$59:$H$158,8,FALSE))</f>
        <v/>
      </c>
    </row>
    <row r="185" spans="1:7" x14ac:dyDescent="0.2">
      <c r="A185" s="627" t="str">
        <f t="shared" si="21"/>
        <v>AAAAAAAA</v>
      </c>
      <c r="B185" s="628"/>
      <c r="C185" s="628"/>
      <c r="D185" s="628"/>
      <c r="E185" s="16" t="str">
        <f>IF($A184="","",IF(VLOOKUP($A184,Products!$A$59:$E$158,5,FALSE)="","",VLOOKUP($A184,Products!$A$59:$E$158,5,FALSE)))</f>
        <v/>
      </c>
      <c r="F185" s="128" t="str">
        <f>IF($E185="","",F$177*VLOOKUP($A184,Products!$A$59:$H$158,8,FALSE))</f>
        <v/>
      </c>
      <c r="G185" s="129" t="str">
        <f>IF($E185="","",G$177*VLOOKUP($A184,Products!$A$59:$H$158,8,FALSE))</f>
        <v/>
      </c>
    </row>
    <row r="186" spans="1:7" x14ac:dyDescent="0.2">
      <c r="A186" s="627" t="str">
        <f t="shared" si="21"/>
        <v>AAAAAAAAA</v>
      </c>
      <c r="B186" s="628"/>
      <c r="C186" s="628"/>
      <c r="D186" s="628"/>
      <c r="E186" s="16" t="str">
        <f>IF($A185="","",IF(VLOOKUP($A185,Products!$A$59:$E$158,5,FALSE)="","",VLOOKUP($A185,Products!$A$59:$E$158,5,FALSE)))</f>
        <v/>
      </c>
      <c r="F186" s="128" t="str">
        <f>IF($E186="","",F$177*VLOOKUP($A185,Products!$A$59:$H$158,8,FALSE))</f>
        <v/>
      </c>
      <c r="G186" s="129" t="str">
        <f>IF($E186="","",G$177*VLOOKUP($A185,Products!$A$59:$H$158,8,FALSE))</f>
        <v/>
      </c>
    </row>
    <row r="187" spans="1:7" x14ac:dyDescent="0.2">
      <c r="A187" s="627" t="str">
        <f t="shared" si="21"/>
        <v>AAAAAAAAAA</v>
      </c>
      <c r="B187" s="628"/>
      <c r="C187" s="628"/>
      <c r="D187" s="628"/>
      <c r="E187" s="16" t="str">
        <f>IF($A186="","",IF(VLOOKUP($A186,Products!$A$59:$E$158,5,FALSE)="","",VLOOKUP($A186,Products!$A$59:$E$158,5,FALSE)))</f>
        <v/>
      </c>
      <c r="F187" s="128" t="str">
        <f>IF($E187="","",F$177*VLOOKUP($A186,Products!$A$59:$H$158,8,FALSE))</f>
        <v/>
      </c>
      <c r="G187" s="129" t="str">
        <f>IF($E187="","",G$177*VLOOKUP($A186,Products!$A$59:$H$158,8,FALSE))</f>
        <v/>
      </c>
    </row>
    <row r="188" spans="1:7" x14ac:dyDescent="0.2">
      <c r="A188" s="780" t="str">
        <f>Hidden!$EG9</f>
        <v/>
      </c>
      <c r="B188" s="656"/>
      <c r="C188" s="656"/>
      <c r="D188" s="656"/>
      <c r="E188" s="16" t="str">
        <f>IF(A188="","","Total VOC")</f>
        <v/>
      </c>
      <c r="F188" s="128">
        <f>VLOOKUP($A188,Hidden!$EG$2:$EI$11,2,FALSE)*(1-$D$23)</f>
        <v>0</v>
      </c>
      <c r="G188" s="129">
        <f>VLOOKUP($A188,Hidden!$EG$2:$EI$11,3,FALSE)*(1-$D$23)</f>
        <v>0</v>
      </c>
    </row>
    <row r="189" spans="1:7" x14ac:dyDescent="0.2">
      <c r="A189" s="627" t="str">
        <f t="shared" ref="A189:A198" si="22">$A188&amp;"A"</f>
        <v>A</v>
      </c>
      <c r="B189" s="628"/>
      <c r="C189" s="628"/>
      <c r="D189" s="628"/>
      <c r="E189" s="16" t="str">
        <f>IF($A188="","",IF(VLOOKUP($A188,Products!$A$59:$E$158,5,FALSE)="","",VLOOKUP($A188,Products!$A$59:$E$158,5,FALSE)))</f>
        <v/>
      </c>
      <c r="F189" s="128" t="str">
        <f>IF($E189="","",F$188*VLOOKUP($A188,Products!$A$59:$H$158,8,FALSE))</f>
        <v/>
      </c>
      <c r="G189" s="129" t="str">
        <f>IF($E189="","",G$188*VLOOKUP($A188,Products!$A$59:$H$158,8,FALSE))</f>
        <v/>
      </c>
    </row>
    <row r="190" spans="1:7" x14ac:dyDescent="0.2">
      <c r="A190" s="627" t="str">
        <f t="shared" si="22"/>
        <v>AA</v>
      </c>
      <c r="B190" s="628"/>
      <c r="C190" s="628"/>
      <c r="D190" s="628"/>
      <c r="E190" s="16" t="str">
        <f>IF($A189="","",IF(VLOOKUP($A189,Products!$A$59:$E$158,5,FALSE)="","",VLOOKUP($A189,Products!$A$59:$E$158,5,FALSE)))</f>
        <v/>
      </c>
      <c r="F190" s="128" t="str">
        <f>IF($E190="","",F$188*VLOOKUP($A189,Products!$A$59:$H$158,8,FALSE))</f>
        <v/>
      </c>
      <c r="G190" s="129" t="str">
        <f>IF($E190="","",G$188*VLOOKUP($A189,Products!$A$59:$H$158,8,FALSE))</f>
        <v/>
      </c>
    </row>
    <row r="191" spans="1:7" x14ac:dyDescent="0.2">
      <c r="A191" s="627" t="str">
        <f t="shared" si="22"/>
        <v>AAA</v>
      </c>
      <c r="B191" s="628"/>
      <c r="C191" s="628"/>
      <c r="D191" s="628"/>
      <c r="E191" s="16" t="str">
        <f>IF($A190="","",IF(VLOOKUP($A190,Products!$A$59:$E$158,5,FALSE)="","",VLOOKUP($A190,Products!$A$59:$E$158,5,FALSE)))</f>
        <v/>
      </c>
      <c r="F191" s="128" t="str">
        <f>IF($E191="","",F$188*VLOOKUP($A190,Products!$A$59:$H$158,8,FALSE))</f>
        <v/>
      </c>
      <c r="G191" s="129" t="str">
        <f>IF($E191="","",G$188*VLOOKUP($A190,Products!$A$59:$H$158,8,FALSE))</f>
        <v/>
      </c>
    </row>
    <row r="192" spans="1:7" x14ac:dyDescent="0.2">
      <c r="A192" s="627" t="str">
        <f t="shared" si="22"/>
        <v>AAAA</v>
      </c>
      <c r="B192" s="628"/>
      <c r="C192" s="628"/>
      <c r="D192" s="628"/>
      <c r="E192" s="16" t="str">
        <f>IF($A191="","",IF(VLOOKUP($A191,Products!$A$59:$E$158,5,FALSE)="","",VLOOKUP($A191,Products!$A$59:$E$158,5,FALSE)))</f>
        <v/>
      </c>
      <c r="F192" s="128" t="str">
        <f>IF($E192="","",F$188*VLOOKUP($A191,Products!$A$59:$H$158,8,FALSE))</f>
        <v/>
      </c>
      <c r="G192" s="129" t="str">
        <f>IF($E192="","",G$188*VLOOKUP($A191,Products!$A$59:$H$158,8,FALSE))</f>
        <v/>
      </c>
    </row>
    <row r="193" spans="1:7" x14ac:dyDescent="0.2">
      <c r="A193" s="627" t="str">
        <f t="shared" si="22"/>
        <v>AAAAA</v>
      </c>
      <c r="B193" s="628"/>
      <c r="C193" s="628"/>
      <c r="D193" s="628"/>
      <c r="E193" s="16" t="str">
        <f>IF($A192="","",IF(VLOOKUP($A192,Products!$A$59:$E$158,5,FALSE)="","",VLOOKUP($A192,Products!$A$59:$E$158,5,FALSE)))</f>
        <v/>
      </c>
      <c r="F193" s="128" t="str">
        <f>IF($E193="","",F$188*VLOOKUP($A192,Products!$A$59:$H$158,8,FALSE))</f>
        <v/>
      </c>
      <c r="G193" s="129" t="str">
        <f>IF($E193="","",G$188*VLOOKUP($A192,Products!$A$59:$H$158,8,FALSE))</f>
        <v/>
      </c>
    </row>
    <row r="194" spans="1:7" x14ac:dyDescent="0.2">
      <c r="A194" s="627" t="str">
        <f t="shared" si="22"/>
        <v>AAAAAA</v>
      </c>
      <c r="B194" s="628"/>
      <c r="C194" s="628"/>
      <c r="D194" s="628"/>
      <c r="E194" s="16" t="str">
        <f>IF($A193="","",IF(VLOOKUP($A193,Products!$A$59:$E$158,5,FALSE)="","",VLOOKUP($A193,Products!$A$59:$E$158,5,FALSE)))</f>
        <v/>
      </c>
      <c r="F194" s="128" t="str">
        <f>IF($E194="","",F$188*VLOOKUP($A193,Products!$A$59:$H$158,8,FALSE))</f>
        <v/>
      </c>
      <c r="G194" s="129" t="str">
        <f>IF($E194="","",G$188*VLOOKUP($A193,Products!$A$59:$H$158,8,FALSE))</f>
        <v/>
      </c>
    </row>
    <row r="195" spans="1:7" x14ac:dyDescent="0.2">
      <c r="A195" s="627" t="str">
        <f t="shared" si="22"/>
        <v>AAAAAAA</v>
      </c>
      <c r="B195" s="628"/>
      <c r="C195" s="628"/>
      <c r="D195" s="628"/>
      <c r="E195" s="16" t="str">
        <f>IF($A194="","",IF(VLOOKUP($A194,Products!$A$59:$E$158,5,FALSE)="","",VLOOKUP($A194,Products!$A$59:$E$158,5,FALSE)))</f>
        <v/>
      </c>
      <c r="F195" s="128" t="str">
        <f>IF($E195="","",F$188*VLOOKUP($A194,Products!$A$59:$H$158,8,FALSE))</f>
        <v/>
      </c>
      <c r="G195" s="129" t="str">
        <f>IF($E195="","",G$188*VLOOKUP($A194,Products!$A$59:$H$158,8,FALSE))</f>
        <v/>
      </c>
    </row>
    <row r="196" spans="1:7" x14ac:dyDescent="0.2">
      <c r="A196" s="627" t="str">
        <f t="shared" si="22"/>
        <v>AAAAAAAA</v>
      </c>
      <c r="B196" s="628"/>
      <c r="C196" s="628"/>
      <c r="D196" s="628"/>
      <c r="E196" s="16" t="str">
        <f>IF($A195="","",IF(VLOOKUP($A195,Products!$A$59:$E$158,5,FALSE)="","",VLOOKUP($A195,Products!$A$59:$E$158,5,FALSE)))</f>
        <v/>
      </c>
      <c r="F196" s="128" t="str">
        <f>IF($E196="","",F$188*VLOOKUP($A195,Products!$A$59:$H$158,8,FALSE))</f>
        <v/>
      </c>
      <c r="G196" s="129" t="str">
        <f>IF($E196="","",G$188*VLOOKUP($A195,Products!$A$59:$H$158,8,FALSE))</f>
        <v/>
      </c>
    </row>
    <row r="197" spans="1:7" x14ac:dyDescent="0.2">
      <c r="A197" s="627" t="str">
        <f t="shared" si="22"/>
        <v>AAAAAAAAA</v>
      </c>
      <c r="B197" s="628"/>
      <c r="C197" s="628"/>
      <c r="D197" s="628"/>
      <c r="E197" s="16" t="str">
        <f>IF($A196="","",IF(VLOOKUP($A196,Products!$A$59:$E$158,5,FALSE)="","",VLOOKUP($A196,Products!$A$59:$E$158,5,FALSE)))</f>
        <v/>
      </c>
      <c r="F197" s="128" t="str">
        <f>IF($E197="","",F$188*VLOOKUP($A196,Products!$A$59:$H$158,8,FALSE))</f>
        <v/>
      </c>
      <c r="G197" s="129" t="str">
        <f>IF($E197="","",G$188*VLOOKUP($A196,Products!$A$59:$H$158,8,FALSE))</f>
        <v/>
      </c>
    </row>
    <row r="198" spans="1:7" x14ac:dyDescent="0.2">
      <c r="A198" s="627" t="str">
        <f t="shared" si="22"/>
        <v>AAAAAAAAAA</v>
      </c>
      <c r="B198" s="628"/>
      <c r="C198" s="628"/>
      <c r="D198" s="628"/>
      <c r="E198" s="16" t="str">
        <f>IF($A197="","",IF(VLOOKUP($A197,Products!$A$59:$E$158,5,FALSE)="","",VLOOKUP($A197,Products!$A$59:$E$158,5,FALSE)))</f>
        <v/>
      </c>
      <c r="F198" s="128" t="str">
        <f>IF($E198="","",F$188*VLOOKUP($A197,Products!$A$59:$H$158,8,FALSE))</f>
        <v/>
      </c>
      <c r="G198" s="129" t="str">
        <f>IF($E198="","",G$188*VLOOKUP($A197,Products!$A$59:$H$158,8,FALSE))</f>
        <v/>
      </c>
    </row>
    <row r="199" spans="1:7" x14ac:dyDescent="0.2">
      <c r="A199" s="780" t="str">
        <f>Hidden!$EG10</f>
        <v/>
      </c>
      <c r="B199" s="656"/>
      <c r="C199" s="656"/>
      <c r="D199" s="656"/>
      <c r="E199" s="16" t="str">
        <f>IF(A199="","","Total VOC")</f>
        <v/>
      </c>
      <c r="F199" s="128">
        <f>VLOOKUP($A199,Hidden!$EG$2:$EI$11,2,FALSE)*(1-$D$23)</f>
        <v>0</v>
      </c>
      <c r="G199" s="129">
        <f>VLOOKUP($A199,Hidden!$EG$2:$EI$11,3,FALSE)*(1-$D$23)</f>
        <v>0</v>
      </c>
    </row>
    <row r="200" spans="1:7" x14ac:dyDescent="0.2">
      <c r="A200" s="627" t="str">
        <f t="shared" ref="A200:A209" si="23">$A199&amp;"A"</f>
        <v>A</v>
      </c>
      <c r="B200" s="628"/>
      <c r="C200" s="628"/>
      <c r="D200" s="628"/>
      <c r="E200" s="16" t="str">
        <f>IF($A199="","",IF(VLOOKUP($A199,Products!$A$59:$E$158,5,FALSE)="","",VLOOKUP($A199,Products!$A$59:$E$158,5,FALSE)))</f>
        <v/>
      </c>
      <c r="F200" s="128" t="str">
        <f>IF($E200="","",F$199*VLOOKUP($A199,Products!$A$59:$H$158,8,FALSE))</f>
        <v/>
      </c>
      <c r="G200" s="129" t="str">
        <f>IF($E200="","",G$199*VLOOKUP($A199,Products!$A$59:$H$158,8,FALSE))</f>
        <v/>
      </c>
    </row>
    <row r="201" spans="1:7" x14ac:dyDescent="0.2">
      <c r="A201" s="627" t="str">
        <f t="shared" si="23"/>
        <v>AA</v>
      </c>
      <c r="B201" s="628"/>
      <c r="C201" s="628"/>
      <c r="D201" s="628"/>
      <c r="E201" s="16" t="str">
        <f>IF($A200="","",IF(VLOOKUP($A200,Products!$A$59:$E$158,5,FALSE)="","",VLOOKUP($A200,Products!$A$59:$E$158,5,FALSE)))</f>
        <v/>
      </c>
      <c r="F201" s="128" t="str">
        <f>IF($E201="","",F$199*VLOOKUP($A200,Products!$A$59:$H$158,8,FALSE))</f>
        <v/>
      </c>
      <c r="G201" s="129" t="str">
        <f>IF($E201="","",G$199*VLOOKUP($A200,Products!$A$59:$H$158,8,FALSE))</f>
        <v/>
      </c>
    </row>
    <row r="202" spans="1:7" x14ac:dyDescent="0.2">
      <c r="A202" s="627" t="str">
        <f t="shared" si="23"/>
        <v>AAA</v>
      </c>
      <c r="B202" s="628"/>
      <c r="C202" s="628"/>
      <c r="D202" s="628"/>
      <c r="E202" s="16" t="str">
        <f>IF($A201="","",IF(VLOOKUP($A201,Products!$A$59:$E$158,5,FALSE)="","",VLOOKUP($A201,Products!$A$59:$E$158,5,FALSE)))</f>
        <v/>
      </c>
      <c r="F202" s="128" t="str">
        <f>IF($E202="","",F$199*VLOOKUP($A201,Products!$A$59:$H$158,8,FALSE))</f>
        <v/>
      </c>
      <c r="G202" s="129" t="str">
        <f>IF($E202="","",G$199*VLOOKUP($A201,Products!$A$59:$H$158,8,FALSE))</f>
        <v/>
      </c>
    </row>
    <row r="203" spans="1:7" x14ac:dyDescent="0.2">
      <c r="A203" s="627" t="str">
        <f t="shared" si="23"/>
        <v>AAAA</v>
      </c>
      <c r="B203" s="628"/>
      <c r="C203" s="628"/>
      <c r="D203" s="628"/>
      <c r="E203" s="16" t="str">
        <f>IF($A202="","",IF(VLOOKUP($A202,Products!$A$59:$E$158,5,FALSE)="","",VLOOKUP($A202,Products!$A$59:$E$158,5,FALSE)))</f>
        <v/>
      </c>
      <c r="F203" s="128" t="str">
        <f>IF($E203="","",F$199*VLOOKUP($A202,Products!$A$59:$H$158,8,FALSE))</f>
        <v/>
      </c>
      <c r="G203" s="129" t="str">
        <f>IF($E203="","",G$199*VLOOKUP($A202,Products!$A$59:$H$158,8,FALSE))</f>
        <v/>
      </c>
    </row>
    <row r="204" spans="1:7" x14ac:dyDescent="0.2">
      <c r="A204" s="627" t="str">
        <f t="shared" si="23"/>
        <v>AAAAA</v>
      </c>
      <c r="B204" s="628"/>
      <c r="C204" s="628"/>
      <c r="D204" s="628"/>
      <c r="E204" s="16" t="str">
        <f>IF($A203="","",IF(VLOOKUP($A203,Products!$A$59:$E$158,5,FALSE)="","",VLOOKUP($A203,Products!$A$59:$E$158,5,FALSE)))</f>
        <v/>
      </c>
      <c r="F204" s="128" t="str">
        <f>IF($E204="","",F$199*VLOOKUP($A203,Products!$A$59:$H$158,8,FALSE))</f>
        <v/>
      </c>
      <c r="G204" s="129" t="str">
        <f>IF($E204="","",G$199*VLOOKUP($A203,Products!$A$59:$H$158,8,FALSE))</f>
        <v/>
      </c>
    </row>
    <row r="205" spans="1:7" x14ac:dyDescent="0.2">
      <c r="A205" s="627" t="str">
        <f t="shared" si="23"/>
        <v>AAAAAA</v>
      </c>
      <c r="B205" s="628"/>
      <c r="C205" s="628"/>
      <c r="D205" s="628"/>
      <c r="E205" s="16" t="str">
        <f>IF($A204="","",IF(VLOOKUP($A204,Products!$A$59:$E$158,5,FALSE)="","",VLOOKUP($A204,Products!$A$59:$E$158,5,FALSE)))</f>
        <v/>
      </c>
      <c r="F205" s="128" t="str">
        <f>IF($E205="","",F$199*VLOOKUP($A204,Products!$A$59:$H$158,8,FALSE))</f>
        <v/>
      </c>
      <c r="G205" s="129" t="str">
        <f>IF($E205="","",G$199*VLOOKUP($A204,Products!$A$59:$H$158,8,FALSE))</f>
        <v/>
      </c>
    </row>
    <row r="206" spans="1:7" x14ac:dyDescent="0.2">
      <c r="A206" s="627" t="str">
        <f t="shared" si="23"/>
        <v>AAAAAAA</v>
      </c>
      <c r="B206" s="628"/>
      <c r="C206" s="628"/>
      <c r="D206" s="628"/>
      <c r="E206" s="16" t="str">
        <f>IF($A205="","",IF(VLOOKUP($A205,Products!$A$59:$E$158,5,FALSE)="","",VLOOKUP($A205,Products!$A$59:$E$158,5,FALSE)))</f>
        <v/>
      </c>
      <c r="F206" s="128" t="str">
        <f>IF($E206="","",F$199*VLOOKUP($A205,Products!$A$59:$H$158,8,FALSE))</f>
        <v/>
      </c>
      <c r="G206" s="129" t="str">
        <f>IF($E206="","",G$199*VLOOKUP($A205,Products!$A$59:$H$158,8,FALSE))</f>
        <v/>
      </c>
    </row>
    <row r="207" spans="1:7" x14ac:dyDescent="0.2">
      <c r="A207" s="627" t="str">
        <f t="shared" si="23"/>
        <v>AAAAAAAA</v>
      </c>
      <c r="B207" s="628"/>
      <c r="C207" s="628"/>
      <c r="D207" s="628"/>
      <c r="E207" s="16" t="str">
        <f>IF($A206="","",IF(VLOOKUP($A206,Products!$A$59:$E$158,5,FALSE)="","",VLOOKUP($A206,Products!$A$59:$E$158,5,FALSE)))</f>
        <v/>
      </c>
      <c r="F207" s="128" t="str">
        <f>IF($E207="","",F$199*VLOOKUP($A206,Products!$A$59:$H$158,8,FALSE))</f>
        <v/>
      </c>
      <c r="G207" s="129" t="str">
        <f>IF($E207="","",G$199*VLOOKUP($A206,Products!$A$59:$H$158,8,FALSE))</f>
        <v/>
      </c>
    </row>
    <row r="208" spans="1:7" x14ac:dyDescent="0.2">
      <c r="A208" s="627" t="str">
        <f t="shared" si="23"/>
        <v>AAAAAAAAA</v>
      </c>
      <c r="B208" s="628"/>
      <c r="C208" s="628"/>
      <c r="D208" s="628"/>
      <c r="E208" s="16" t="str">
        <f>IF($A207="","",IF(VLOOKUP($A207,Products!$A$59:$E$158,5,FALSE)="","",VLOOKUP($A207,Products!$A$59:$E$158,5,FALSE)))</f>
        <v/>
      </c>
      <c r="F208" s="128" t="str">
        <f>IF($E208="","",F$199*VLOOKUP($A207,Products!$A$59:$H$158,8,FALSE))</f>
        <v/>
      </c>
      <c r="G208" s="129" t="str">
        <f>IF($E208="","",G$199*VLOOKUP($A207,Products!$A$59:$H$158,8,FALSE))</f>
        <v/>
      </c>
    </row>
    <row r="209" spans="1:7" x14ac:dyDescent="0.2">
      <c r="A209" s="627" t="str">
        <f t="shared" si="23"/>
        <v>AAAAAAAAAA</v>
      </c>
      <c r="B209" s="628"/>
      <c r="C209" s="628"/>
      <c r="D209" s="628"/>
      <c r="E209" s="16" t="str">
        <f>IF($A208="","",IF(VLOOKUP($A208,Products!$A$59:$E$158,5,FALSE)="","",VLOOKUP($A208,Products!$A$59:$E$158,5,FALSE)))</f>
        <v/>
      </c>
      <c r="F209" s="128" t="str">
        <f>IF($E209="","",F$199*VLOOKUP($A208,Products!$A$59:$H$158,8,FALSE))</f>
        <v/>
      </c>
      <c r="G209" s="129" t="str">
        <f>IF($E209="","",G$199*VLOOKUP($A208,Products!$A$59:$H$158,8,FALSE))</f>
        <v/>
      </c>
    </row>
    <row r="210" spans="1:7" x14ac:dyDescent="0.2">
      <c r="A210" s="780" t="str">
        <f>Hidden!$EG11</f>
        <v/>
      </c>
      <c r="B210" s="656"/>
      <c r="C210" s="656"/>
      <c r="D210" s="656"/>
      <c r="E210" s="16" t="str">
        <f>IF(A210="","","Total VOC")</f>
        <v/>
      </c>
      <c r="F210" s="128">
        <f>VLOOKUP($A210,Hidden!$EG$2:$EI$11,2,FALSE)*(1-$D$23)</f>
        <v>0</v>
      </c>
      <c r="G210" s="129">
        <f>VLOOKUP($A210,Hidden!$EG$2:$EI$11,3,FALSE)*(1-$D$23)</f>
        <v>0</v>
      </c>
    </row>
    <row r="211" spans="1:7" x14ac:dyDescent="0.2">
      <c r="A211" s="627" t="str">
        <f t="shared" ref="A211:A220" si="24">$A210&amp;"A"</f>
        <v>A</v>
      </c>
      <c r="B211" s="628"/>
      <c r="C211" s="628"/>
      <c r="D211" s="628"/>
      <c r="E211" s="16" t="str">
        <f>IF($A210="","",IF(VLOOKUP($A210,Products!$A$59:$E$158,5,FALSE)="","",VLOOKUP($A210,Products!$A$59:$E$158,5,FALSE)))</f>
        <v/>
      </c>
      <c r="F211" s="128" t="str">
        <f>IF($E211="","",F$210*VLOOKUP($A210,Products!$A$59:$H$158,8,FALSE))</f>
        <v/>
      </c>
      <c r="G211" s="129" t="str">
        <f>IF($E211="","",G$210*VLOOKUP($A210,Products!$A$59:$H$158,8,FALSE))</f>
        <v/>
      </c>
    </row>
    <row r="212" spans="1:7" x14ac:dyDescent="0.2">
      <c r="A212" s="627" t="str">
        <f t="shared" si="24"/>
        <v>AA</v>
      </c>
      <c r="B212" s="628"/>
      <c r="C212" s="628"/>
      <c r="D212" s="628"/>
      <c r="E212" s="16" t="str">
        <f>IF($A211="","",IF(VLOOKUP($A211,Products!$A$59:$E$158,5,FALSE)="","",VLOOKUP($A211,Products!$A$59:$E$158,5,FALSE)))</f>
        <v/>
      </c>
      <c r="F212" s="128" t="str">
        <f>IF($E212="","",F$210*VLOOKUP($A211,Products!$A$59:$H$158,8,FALSE))</f>
        <v/>
      </c>
      <c r="G212" s="129" t="str">
        <f>IF($E212="","",G$210*VLOOKUP($A211,Products!$A$59:$H$158,8,FALSE))</f>
        <v/>
      </c>
    </row>
    <row r="213" spans="1:7" x14ac:dyDescent="0.2">
      <c r="A213" s="627" t="str">
        <f t="shared" si="24"/>
        <v>AAA</v>
      </c>
      <c r="B213" s="628"/>
      <c r="C213" s="628"/>
      <c r="D213" s="628"/>
      <c r="E213" s="16" t="str">
        <f>IF($A212="","",IF(VLOOKUP($A212,Products!$A$59:$E$158,5,FALSE)="","",VLOOKUP($A212,Products!$A$59:$E$158,5,FALSE)))</f>
        <v/>
      </c>
      <c r="F213" s="128" t="str">
        <f>IF($E213="","",F$210*VLOOKUP($A212,Products!$A$59:$H$158,8,FALSE))</f>
        <v/>
      </c>
      <c r="G213" s="129" t="str">
        <f>IF($E213="","",G$210*VLOOKUP($A212,Products!$A$59:$H$158,8,FALSE))</f>
        <v/>
      </c>
    </row>
    <row r="214" spans="1:7" x14ac:dyDescent="0.2">
      <c r="A214" s="627" t="str">
        <f t="shared" si="24"/>
        <v>AAAA</v>
      </c>
      <c r="B214" s="628"/>
      <c r="C214" s="628"/>
      <c r="D214" s="628"/>
      <c r="E214" s="16" t="str">
        <f>IF($A213="","",IF(VLOOKUP($A213,Products!$A$59:$E$158,5,FALSE)="","",VLOOKUP($A213,Products!$A$59:$E$158,5,FALSE)))</f>
        <v/>
      </c>
      <c r="F214" s="128" t="str">
        <f>IF($E214="","",F$210*VLOOKUP($A213,Products!$A$59:$H$158,8,FALSE))</f>
        <v/>
      </c>
      <c r="G214" s="129" t="str">
        <f>IF($E214="","",G$210*VLOOKUP($A213,Products!$A$59:$H$158,8,FALSE))</f>
        <v/>
      </c>
    </row>
    <row r="215" spans="1:7" x14ac:dyDescent="0.2">
      <c r="A215" s="627" t="str">
        <f t="shared" si="24"/>
        <v>AAAAA</v>
      </c>
      <c r="B215" s="628"/>
      <c r="C215" s="628"/>
      <c r="D215" s="628"/>
      <c r="E215" s="16" t="str">
        <f>IF($A214="","",IF(VLOOKUP($A214,Products!$A$59:$E$158,5,FALSE)="","",VLOOKUP($A214,Products!$A$59:$E$158,5,FALSE)))</f>
        <v/>
      </c>
      <c r="F215" s="128" t="str">
        <f>IF($E215="","",F$210*VLOOKUP($A214,Products!$A$59:$H$158,8,FALSE))</f>
        <v/>
      </c>
      <c r="G215" s="129" t="str">
        <f>IF($E215="","",G$210*VLOOKUP($A214,Products!$A$59:$H$158,8,FALSE))</f>
        <v/>
      </c>
    </row>
    <row r="216" spans="1:7" x14ac:dyDescent="0.2">
      <c r="A216" s="627" t="str">
        <f t="shared" si="24"/>
        <v>AAAAAA</v>
      </c>
      <c r="B216" s="628"/>
      <c r="C216" s="628"/>
      <c r="D216" s="628"/>
      <c r="E216" s="16" t="str">
        <f>IF($A215="","",IF(VLOOKUP($A215,Products!$A$59:$E$158,5,FALSE)="","",VLOOKUP($A215,Products!$A$59:$E$158,5,FALSE)))</f>
        <v/>
      </c>
      <c r="F216" s="128" t="str">
        <f>IF($E216="","",F$210*VLOOKUP($A215,Products!$A$59:$H$158,8,FALSE))</f>
        <v/>
      </c>
      <c r="G216" s="129" t="str">
        <f>IF($E216="","",G$210*VLOOKUP($A215,Products!$A$59:$H$158,8,FALSE))</f>
        <v/>
      </c>
    </row>
    <row r="217" spans="1:7" x14ac:dyDescent="0.2">
      <c r="A217" s="627" t="str">
        <f t="shared" si="24"/>
        <v>AAAAAAA</v>
      </c>
      <c r="B217" s="628"/>
      <c r="C217" s="628"/>
      <c r="D217" s="628"/>
      <c r="E217" s="16" t="str">
        <f>IF($A216="","",IF(VLOOKUP($A216,Products!$A$59:$E$158,5,FALSE)="","",VLOOKUP($A216,Products!$A$59:$E$158,5,FALSE)))</f>
        <v/>
      </c>
      <c r="F217" s="128" t="str">
        <f>IF($E217="","",F$210*VLOOKUP($A216,Products!$A$59:$H$158,8,FALSE))</f>
        <v/>
      </c>
      <c r="G217" s="129" t="str">
        <f>IF($E217="","",G$210*VLOOKUP($A216,Products!$A$59:$H$158,8,FALSE))</f>
        <v/>
      </c>
    </row>
    <row r="218" spans="1:7" x14ac:dyDescent="0.2">
      <c r="A218" s="627" t="str">
        <f t="shared" si="24"/>
        <v>AAAAAAAA</v>
      </c>
      <c r="B218" s="628"/>
      <c r="C218" s="628"/>
      <c r="D218" s="628"/>
      <c r="E218" s="16" t="str">
        <f>IF($A217="","",IF(VLOOKUP($A217,Products!$A$59:$E$158,5,FALSE)="","",VLOOKUP($A217,Products!$A$59:$E$158,5,FALSE)))</f>
        <v/>
      </c>
      <c r="F218" s="128" t="str">
        <f>IF($E218="","",F$210*VLOOKUP($A217,Products!$A$59:$H$158,8,FALSE))</f>
        <v/>
      </c>
      <c r="G218" s="129" t="str">
        <f>IF($E218="","",G$210*VLOOKUP($A217,Products!$A$59:$H$158,8,FALSE))</f>
        <v/>
      </c>
    </row>
    <row r="219" spans="1:7" x14ac:dyDescent="0.2">
      <c r="A219" s="627" t="str">
        <f t="shared" si="24"/>
        <v>AAAAAAAAA</v>
      </c>
      <c r="B219" s="628"/>
      <c r="C219" s="628"/>
      <c r="D219" s="628"/>
      <c r="E219" s="16" t="str">
        <f>IF($A218="","",IF(VLOOKUP($A218,Products!$A$59:$E$158,5,FALSE)="","",VLOOKUP($A218,Products!$A$59:$E$158,5,FALSE)))</f>
        <v/>
      </c>
      <c r="F219" s="128" t="str">
        <f>IF($E219="","",F$210*VLOOKUP($A218,Products!$A$59:$H$158,8,FALSE))</f>
        <v/>
      </c>
      <c r="G219" s="129" t="str">
        <f>IF($E219="","",G$210*VLOOKUP($A218,Products!$A$59:$H$158,8,FALSE))</f>
        <v/>
      </c>
    </row>
    <row r="220" spans="1:7" ht="15" thickBot="1" x14ac:dyDescent="0.25">
      <c r="A220" s="629" t="str">
        <f t="shared" si="24"/>
        <v>AAAAAAAAAA</v>
      </c>
      <c r="B220" s="630"/>
      <c r="C220" s="630"/>
      <c r="D220" s="630"/>
      <c r="E220" s="28" t="str">
        <f>IF($A219="","",IF(VLOOKUP($A219,Products!$A$59:$E$158,5,FALSE)="","",VLOOKUP($A219,Products!$A$59:$E$158,5,FALSE)))</f>
        <v/>
      </c>
      <c r="F220" s="130" t="str">
        <f>IF($E220="","",F$210*VLOOKUP($A219,Products!$A$59:$H$158,8,FALSE))</f>
        <v/>
      </c>
      <c r="G220" s="131" t="str">
        <f>IF($E220="","",G$210*VLOOKUP($A219,Products!$A$59:$H$158,8,FALSE))</f>
        <v/>
      </c>
    </row>
    <row r="221" spans="1:7" x14ac:dyDescent="0.2">
      <c r="A221" s="478" t="s">
        <v>130</v>
      </c>
      <c r="B221" s="478"/>
      <c r="C221" s="478"/>
      <c r="D221" s="478"/>
      <c r="E221" s="478"/>
      <c r="F221" s="478"/>
      <c r="G221" s="478"/>
    </row>
  </sheetData>
  <sheetProtection algorithmName="SHA-512" hashValue="LMPD+jhfUqIMIMX//YrXy/NjNePGq7UCr2m2JyNImF2kTOkZ+8ar25YZSHDaqfK7/QKykSXx1Y/uobq+7E3Zkg==" saltValue="s3cmMakaMFe4gxOfEmy5Ow==" spinCount="100000" sheet="1" objects="1" scenarios="1" formatColumns="0" formatRows="0"/>
  <mergeCells count="360">
    <mergeCell ref="A24:C24"/>
    <mergeCell ref="D24:E24"/>
    <mergeCell ref="F24:G24"/>
    <mergeCell ref="A104:D104"/>
    <mergeCell ref="A105:D105"/>
    <mergeCell ref="A106:D106"/>
    <mergeCell ref="A107:D107"/>
    <mergeCell ref="A87:G87"/>
    <mergeCell ref="A82:C82"/>
    <mergeCell ref="A83:C83"/>
    <mergeCell ref="A84:C84"/>
    <mergeCell ref="A99:D99"/>
    <mergeCell ref="A100:D100"/>
    <mergeCell ref="A101:D101"/>
    <mergeCell ref="A102:D102"/>
    <mergeCell ref="A103:D103"/>
    <mergeCell ref="A92:C92"/>
    <mergeCell ref="D92:E92"/>
    <mergeCell ref="F92:G92"/>
    <mergeCell ref="A93:C93"/>
    <mergeCell ref="D93:E93"/>
    <mergeCell ref="F93:G93"/>
    <mergeCell ref="A94:C94"/>
    <mergeCell ref="D94:E94"/>
    <mergeCell ref="F94:G94"/>
    <mergeCell ref="A218:D218"/>
    <mergeCell ref="A219:D219"/>
    <mergeCell ref="A220:D220"/>
    <mergeCell ref="A215:D215"/>
    <mergeCell ref="A216:D216"/>
    <mergeCell ref="A217:D217"/>
    <mergeCell ref="A212:D212"/>
    <mergeCell ref="A213:D213"/>
    <mergeCell ref="A214:D214"/>
    <mergeCell ref="A208:D208"/>
    <mergeCell ref="A209:D209"/>
    <mergeCell ref="A210:D210"/>
    <mergeCell ref="A211:D211"/>
    <mergeCell ref="A205:D205"/>
    <mergeCell ref="A206:D206"/>
    <mergeCell ref="A207:D207"/>
    <mergeCell ref="A202:D202"/>
    <mergeCell ref="A203:D203"/>
    <mergeCell ref="A204:D204"/>
    <mergeCell ref="A198:D198"/>
    <mergeCell ref="A199:D199"/>
    <mergeCell ref="A200:D200"/>
    <mergeCell ref="A201:D201"/>
    <mergeCell ref="A195:D195"/>
    <mergeCell ref="A196:D196"/>
    <mergeCell ref="A197:D197"/>
    <mergeCell ref="A192:D192"/>
    <mergeCell ref="A193:D193"/>
    <mergeCell ref="A194:D194"/>
    <mergeCell ref="A189:D189"/>
    <mergeCell ref="A190:D190"/>
    <mergeCell ref="A191:D191"/>
    <mergeCell ref="A185:D185"/>
    <mergeCell ref="A186:D186"/>
    <mergeCell ref="A187:D187"/>
    <mergeCell ref="A181:D181"/>
    <mergeCell ref="A182:D182"/>
    <mergeCell ref="A183:D183"/>
    <mergeCell ref="A184:D184"/>
    <mergeCell ref="A188:D188"/>
    <mergeCell ref="A176:D176"/>
    <mergeCell ref="A177:D177"/>
    <mergeCell ref="A178:D178"/>
    <mergeCell ref="A179:D179"/>
    <mergeCell ref="A180:D180"/>
    <mergeCell ref="A172:D172"/>
    <mergeCell ref="A173:D173"/>
    <mergeCell ref="A174:D174"/>
    <mergeCell ref="A175:D175"/>
    <mergeCell ref="A168:D168"/>
    <mergeCell ref="A169:D169"/>
    <mergeCell ref="A170:D170"/>
    <mergeCell ref="A171:D171"/>
    <mergeCell ref="A160:D160"/>
    <mergeCell ref="A161:D161"/>
    <mergeCell ref="A162:D162"/>
    <mergeCell ref="A156:D156"/>
    <mergeCell ref="A157:D157"/>
    <mergeCell ref="A158:D158"/>
    <mergeCell ref="A159:D159"/>
    <mergeCell ref="A149:D149"/>
    <mergeCell ref="A150:D150"/>
    <mergeCell ref="A151:D151"/>
    <mergeCell ref="A152:D152"/>
    <mergeCell ref="A143:D143"/>
    <mergeCell ref="A144:D144"/>
    <mergeCell ref="A145:D145"/>
    <mergeCell ref="A146:D146"/>
    <mergeCell ref="A147:D147"/>
    <mergeCell ref="A136:D136"/>
    <mergeCell ref="A137:D137"/>
    <mergeCell ref="A138:D138"/>
    <mergeCell ref="A130:D130"/>
    <mergeCell ref="A131:D131"/>
    <mergeCell ref="A132:D132"/>
    <mergeCell ref="A133:D133"/>
    <mergeCell ref="A134:D134"/>
    <mergeCell ref="A148:D148"/>
    <mergeCell ref="A139:D139"/>
    <mergeCell ref="A140:D140"/>
    <mergeCell ref="A141:D141"/>
    <mergeCell ref="A142:D142"/>
    <mergeCell ref="A135:D135"/>
    <mergeCell ref="A112:D112"/>
    <mergeCell ref="A113:D113"/>
    <mergeCell ref="A114:D114"/>
    <mergeCell ref="A115:D115"/>
    <mergeCell ref="A116:D116"/>
    <mergeCell ref="A117:D117"/>
    <mergeCell ref="A118:D118"/>
    <mergeCell ref="A119:D119"/>
    <mergeCell ref="A120:D120"/>
    <mergeCell ref="A126:D126"/>
    <mergeCell ref="A127:D127"/>
    <mergeCell ref="A128:D128"/>
    <mergeCell ref="A129:D129"/>
    <mergeCell ref="A121:D121"/>
    <mergeCell ref="A122:D122"/>
    <mergeCell ref="A123:D123"/>
    <mergeCell ref="A124:D124"/>
    <mergeCell ref="A125:D125"/>
    <mergeCell ref="F28:G28"/>
    <mergeCell ref="D28:E28"/>
    <mergeCell ref="A28:C28"/>
    <mergeCell ref="A77:G77"/>
    <mergeCell ref="A78:C78"/>
    <mergeCell ref="A79:C79"/>
    <mergeCell ref="A90:C90"/>
    <mergeCell ref="D90:E90"/>
    <mergeCell ref="F90:G90"/>
    <mergeCell ref="A88:C88"/>
    <mergeCell ref="D88:E88"/>
    <mergeCell ref="F88:G88"/>
    <mergeCell ref="A89:C89"/>
    <mergeCell ref="D89:E89"/>
    <mergeCell ref="A74:C74"/>
    <mergeCell ref="D74:E74"/>
    <mergeCell ref="F74:G74"/>
    <mergeCell ref="F76:G76"/>
    <mergeCell ref="F75:G75"/>
    <mergeCell ref="F89:G89"/>
    <mergeCell ref="A80:C80"/>
    <mergeCell ref="A81:C81"/>
    <mergeCell ref="A85:C85"/>
    <mergeCell ref="A86:C86"/>
    <mergeCell ref="A221:G221"/>
    <mergeCell ref="A95:C95"/>
    <mergeCell ref="D95:E95"/>
    <mergeCell ref="F95:G95"/>
    <mergeCell ref="A96:C96"/>
    <mergeCell ref="D96:E96"/>
    <mergeCell ref="F96:G96"/>
    <mergeCell ref="A91:C91"/>
    <mergeCell ref="D91:E91"/>
    <mergeCell ref="F91:G91"/>
    <mergeCell ref="A111:D111"/>
    <mergeCell ref="A108:D108"/>
    <mergeCell ref="A109:D109"/>
    <mergeCell ref="A110:D110"/>
    <mergeCell ref="A98:G98"/>
    <mergeCell ref="A97:G97"/>
    <mergeCell ref="A153:D153"/>
    <mergeCell ref="A154:D154"/>
    <mergeCell ref="A155:D155"/>
    <mergeCell ref="A163:D163"/>
    <mergeCell ref="A164:D164"/>
    <mergeCell ref="A165:D165"/>
    <mergeCell ref="A166:D166"/>
    <mergeCell ref="A167:D167"/>
    <mergeCell ref="F73:G73"/>
    <mergeCell ref="D73:E73"/>
    <mergeCell ref="A73:C73"/>
    <mergeCell ref="D56:E56"/>
    <mergeCell ref="A71:C71"/>
    <mergeCell ref="D71:E71"/>
    <mergeCell ref="F71:G71"/>
    <mergeCell ref="A76:C76"/>
    <mergeCell ref="D76:E76"/>
    <mergeCell ref="A69:C69"/>
    <mergeCell ref="D69:E69"/>
    <mergeCell ref="F69:G69"/>
    <mergeCell ref="A70:C70"/>
    <mergeCell ref="D70:E70"/>
    <mergeCell ref="F70:G70"/>
    <mergeCell ref="F72:G72"/>
    <mergeCell ref="D72:E72"/>
    <mergeCell ref="A72:C72"/>
    <mergeCell ref="A75:C75"/>
    <mergeCell ref="D75:E75"/>
    <mergeCell ref="A50:C50"/>
    <mergeCell ref="D50:E50"/>
    <mergeCell ref="A64:C64"/>
    <mergeCell ref="D64:G64"/>
    <mergeCell ref="A65:G65"/>
    <mergeCell ref="A66:G66"/>
    <mergeCell ref="A67:G67"/>
    <mergeCell ref="A68:C68"/>
    <mergeCell ref="D68:E68"/>
    <mergeCell ref="F68:G68"/>
    <mergeCell ref="A61:G61"/>
    <mergeCell ref="A62:C62"/>
    <mergeCell ref="D62:G62"/>
    <mergeCell ref="A63:C63"/>
    <mergeCell ref="D63:G63"/>
    <mergeCell ref="A60:C60"/>
    <mergeCell ref="D60:E60"/>
    <mergeCell ref="A57:C57"/>
    <mergeCell ref="D57:E57"/>
    <mergeCell ref="A58:C58"/>
    <mergeCell ref="D58:E58"/>
    <mergeCell ref="A59:C59"/>
    <mergeCell ref="D59:E59"/>
    <mergeCell ref="A56:C56"/>
    <mergeCell ref="A54:C54"/>
    <mergeCell ref="D54:E54"/>
    <mergeCell ref="A55:C55"/>
    <mergeCell ref="D55:E55"/>
    <mergeCell ref="A53:C53"/>
    <mergeCell ref="D53:E53"/>
    <mergeCell ref="A43:C43"/>
    <mergeCell ref="D43:E43"/>
    <mergeCell ref="A44:C44"/>
    <mergeCell ref="D44:E44"/>
    <mergeCell ref="A45:C45"/>
    <mergeCell ref="D45:E45"/>
    <mergeCell ref="A51:C51"/>
    <mergeCell ref="D51:E51"/>
    <mergeCell ref="A52:C52"/>
    <mergeCell ref="D52:E52"/>
    <mergeCell ref="A46:C46"/>
    <mergeCell ref="D46:E46"/>
    <mergeCell ref="A47:C47"/>
    <mergeCell ref="D47:E47"/>
    <mergeCell ref="A48:C48"/>
    <mergeCell ref="D48:E48"/>
    <mergeCell ref="A49:C49"/>
    <mergeCell ref="D49:E49"/>
    <mergeCell ref="A40:C40"/>
    <mergeCell ref="D40:E40"/>
    <mergeCell ref="A41:C41"/>
    <mergeCell ref="D41:E41"/>
    <mergeCell ref="A42:C42"/>
    <mergeCell ref="D42:E42"/>
    <mergeCell ref="A37:C37"/>
    <mergeCell ref="D37:E37"/>
    <mergeCell ref="A38:C38"/>
    <mergeCell ref="D38:E38"/>
    <mergeCell ref="A39:C39"/>
    <mergeCell ref="D39:E39"/>
    <mergeCell ref="A16:C16"/>
    <mergeCell ref="D16:E16"/>
    <mergeCell ref="F16:G16"/>
    <mergeCell ref="A20:C20"/>
    <mergeCell ref="D20:E20"/>
    <mergeCell ref="F20:G20"/>
    <mergeCell ref="A21:C21"/>
    <mergeCell ref="D21:E21"/>
    <mergeCell ref="F21:G21"/>
    <mergeCell ref="A17:C17"/>
    <mergeCell ref="D17:E17"/>
    <mergeCell ref="F17:G17"/>
    <mergeCell ref="A18:C18"/>
    <mergeCell ref="D18:E18"/>
    <mergeCell ref="F18:G18"/>
    <mergeCell ref="A19:C19"/>
    <mergeCell ref="D19:E19"/>
    <mergeCell ref="F19:G19"/>
    <mergeCell ref="A14:C14"/>
    <mergeCell ref="D14:E14"/>
    <mergeCell ref="F14:G14"/>
    <mergeCell ref="A15:C15"/>
    <mergeCell ref="D15:E15"/>
    <mergeCell ref="F15:G15"/>
    <mergeCell ref="A10:C10"/>
    <mergeCell ref="D10:G10"/>
    <mergeCell ref="A11:C11"/>
    <mergeCell ref="D11:G11"/>
    <mergeCell ref="A12:G12"/>
    <mergeCell ref="A13:G13"/>
    <mergeCell ref="A8:C8"/>
    <mergeCell ref="D8:G8"/>
    <mergeCell ref="A9:C9"/>
    <mergeCell ref="D9:G9"/>
    <mergeCell ref="A1:G1"/>
    <mergeCell ref="A2:G2"/>
    <mergeCell ref="A3:G3"/>
    <mergeCell ref="A4:G4"/>
    <mergeCell ref="A5:G5"/>
    <mergeCell ref="A6:C6"/>
    <mergeCell ref="D6:G6"/>
    <mergeCell ref="A7:C7"/>
    <mergeCell ref="D7:G7"/>
    <mergeCell ref="A22:C22"/>
    <mergeCell ref="D22:E22"/>
    <mergeCell ref="F22:G22"/>
    <mergeCell ref="F32:G32"/>
    <mergeCell ref="F33:G33"/>
    <mergeCell ref="F34:G34"/>
    <mergeCell ref="F35:G35"/>
    <mergeCell ref="F36:G36"/>
    <mergeCell ref="A23:C23"/>
    <mergeCell ref="D23:E23"/>
    <mergeCell ref="F23:G23"/>
    <mergeCell ref="A35:C35"/>
    <mergeCell ref="D35:E35"/>
    <mergeCell ref="A36:C36"/>
    <mergeCell ref="D36:E36"/>
    <mergeCell ref="A32:C32"/>
    <mergeCell ref="D32:E32"/>
    <mergeCell ref="A33:C33"/>
    <mergeCell ref="D33:E33"/>
    <mergeCell ref="A34:C34"/>
    <mergeCell ref="D34:E34"/>
    <mergeCell ref="A25:C25"/>
    <mergeCell ref="D25:E25"/>
    <mergeCell ref="F25:G25"/>
    <mergeCell ref="F49:G49"/>
    <mergeCell ref="F50:G50"/>
    <mergeCell ref="F51:G51"/>
    <mergeCell ref="F52:G52"/>
    <mergeCell ref="F53:G53"/>
    <mergeCell ref="F54:G54"/>
    <mergeCell ref="F37:G37"/>
    <mergeCell ref="F38:G38"/>
    <mergeCell ref="F39:G39"/>
    <mergeCell ref="F40:G40"/>
    <mergeCell ref="F41:G41"/>
    <mergeCell ref="F42:G42"/>
    <mergeCell ref="F43:G43"/>
    <mergeCell ref="F44:G44"/>
    <mergeCell ref="F45:G45"/>
    <mergeCell ref="F55:G55"/>
    <mergeCell ref="F56:G56"/>
    <mergeCell ref="F57:G57"/>
    <mergeCell ref="F58:G58"/>
    <mergeCell ref="F59:G59"/>
    <mergeCell ref="F60:G60"/>
    <mergeCell ref="A26:C26"/>
    <mergeCell ref="D26:E26"/>
    <mergeCell ref="F26:G26"/>
    <mergeCell ref="A27:C27"/>
    <mergeCell ref="D27:E27"/>
    <mergeCell ref="F27:G27"/>
    <mergeCell ref="A29:C29"/>
    <mergeCell ref="D29:E29"/>
    <mergeCell ref="F29:G29"/>
    <mergeCell ref="A30:C30"/>
    <mergeCell ref="D30:E30"/>
    <mergeCell ref="F30:G30"/>
    <mergeCell ref="A31:C31"/>
    <mergeCell ref="D31:E31"/>
    <mergeCell ref="F31:G31"/>
    <mergeCell ref="F46:G46"/>
    <mergeCell ref="F47:G47"/>
    <mergeCell ref="F48:G48"/>
  </mergeCells>
  <conditionalFormatting sqref="A38:F42">
    <cfRule type="expression" dxfId="173" priority="37">
      <formula>$D$33&lt;&gt;"FUEL GAS"</formula>
    </cfRule>
  </conditionalFormatting>
  <conditionalFormatting sqref="A43:F47">
    <cfRule type="expression" dxfId="172" priority="36">
      <formula>$D$33="FUEL GAS"</formula>
    </cfRule>
  </conditionalFormatting>
  <conditionalFormatting sqref="A10:G221">
    <cfRule type="expression" dxfId="170" priority="8">
      <formula>$D$6="affected"</formula>
    </cfRule>
  </conditionalFormatting>
  <conditionalFormatting sqref="A26:G26">
    <cfRule type="expression" dxfId="169" priority="7">
      <formula>$D$21="catalytic oxidizer"</formula>
    </cfRule>
  </conditionalFormatting>
  <conditionalFormatting sqref="A27:G27">
    <cfRule type="expression" dxfId="168" priority="15">
      <formula>$D$21&lt;&gt;"catalytic oxidizer"</formula>
    </cfRule>
  </conditionalFormatting>
  <conditionalFormatting sqref="A29:G29">
    <cfRule type="expression" dxfId="167" priority="14">
      <formula>$D$28="no"</formula>
    </cfRule>
  </conditionalFormatting>
  <conditionalFormatting sqref="A29:G31">
    <cfRule type="expression" dxfId="166" priority="16">
      <formula>$D$21="catalytic oxidixer."</formula>
    </cfRule>
  </conditionalFormatting>
  <conditionalFormatting sqref="A63:G64">
    <cfRule type="expression" dxfId="165" priority="10">
      <formula>$D$62="no"</formula>
    </cfRule>
  </conditionalFormatting>
  <conditionalFormatting sqref="A100:G110">
    <cfRule type="expression" dxfId="164" priority="3">
      <formula>$D$33&lt;&gt;"fuel gas"</formula>
    </cfRule>
  </conditionalFormatting>
  <conditionalFormatting sqref="D23">
    <cfRule type="expression" dxfId="163" priority="1">
      <formula>$D23&gt;1</formula>
    </cfRule>
  </conditionalFormatting>
  <conditionalFormatting sqref="D22:E22">
    <cfRule type="expression" dxfId="162" priority="2">
      <formula>AND($D$21&lt;&gt;"catalytic oxidizer",$D$22&gt;10)</formula>
    </cfRule>
  </conditionalFormatting>
  <conditionalFormatting sqref="D30:E30">
    <cfRule type="expression" dxfId="161" priority="4">
      <formula>AND($D$30="No",$F$89&gt;10,F30="CEMS requried if &gt; 10 tpy VOC emissions")</formula>
    </cfRule>
    <cfRule type="expression" dxfId="160" priority="5">
      <formula>AND($D$30="No",$F$89&gt;2,F30="CEMS required if &gt; 2 tpy VOC emissions")</formula>
    </cfRule>
  </conditionalFormatting>
  <dataValidations count="43">
    <dataValidation type="list" allowBlank="1" showErrorMessage="1" prompt="Choose the emission factor source for PM, PM10, and PM2.5: vendor guarantee (must provide) or AP-42 Ch. 1.4." sqref="D57:E57" xr:uid="{27EB910E-A2D8-40C0-A6F4-F620639E32BC}">
      <formula1>"vendor guarantee (must provide),AP-42 Ch. 1.4"</formula1>
    </dataValidation>
    <dataValidation type="list" allowBlank="1" showErrorMessage="1" prompt="Choose the emission factor source for thermal CO: vendor guarantee (must provide) or AP-42 Ch. 1.4." sqref="D55:E55" xr:uid="{BD87B0D7-20AA-40B5-947B-98DFEE3A4B64}">
      <formula1>"vendor guarantee (must provide),AP-42 Ch. 1.4"</formula1>
    </dataValidation>
    <dataValidation type="list" allowBlank="1" showErrorMessage="1" prompt="Choose the emission factor source for thermal NOx: vendor guarantee (must provide) or AP-42 Ch. 1.4." sqref="D53:E53" xr:uid="{94E099AB-8BF7-4CB6-B654-6A7866CBC2C3}">
      <formula1>"vendor guarantee (must provide),AP-42 Ch. 1.4"</formula1>
    </dataValidation>
    <dataValidation type="list" allowBlank="1" showErrorMessage="1" prompt="Choose the emission factor source for SO2: vendor guarantee (must provide) or AP-42 Ch. 1.4." sqref="D59:E59" xr:uid="{4C22E353-A14B-4341-B595-695385E5D496}">
      <formula1>"vendor guarantee (must provide),AP-42 Ch. 1.4"</formula1>
    </dataValidation>
    <dataValidation allowBlank="1" showErrorMessage="1" prompt="Enter the emission factor used for PM, PM10, and PM2.5 emissions in lb/MMBtu." sqref="D58:E58" xr:uid="{46C7327B-D1D3-4487-A302-1E417D57C493}"/>
    <dataValidation type="decimal" allowBlank="1" showErrorMessage="1" prompt="Enter CO thermal emission factor in lb/MMBtu." sqref="D56:E56" xr:uid="{6587910D-E757-4A89-A1FE-B087C606C433}">
      <formula1>0.1</formula1>
      <formula2>0.3</formula2>
    </dataValidation>
    <dataValidation type="decimal" allowBlank="1" showErrorMessage="1" prompt="Enter NOx thermal emission factor in lb/MMBtu." sqref="D54:E54" xr:uid="{295FF9A6-5B13-4AC8-89EC-F7E0E937AF6C}">
      <formula1>0.06</formula1>
      <formula2>0.138</formula2>
    </dataValidation>
    <dataValidation type="list" allowBlank="1" showErrorMessage="1" prompt="Is this an affected, modified, or new source?" sqref="D6:G6" xr:uid="{303841AC-64C1-47AB-AC7A-E44E21A01FE6}">
      <formula1>"Affected,Modified,New"</formula1>
    </dataValidation>
    <dataValidation type="list" allowBlank="1" showErrorMessage="1" prompt="select yes or no" sqref="D64:G64 D28:E28 D30:E30 D62:G62" xr:uid="{1503AE10-EC5D-4F83-8F13-D0CA740D6679}">
      <formula1>"Yes,No"</formula1>
    </dataValidation>
    <dataValidation type="whole" allowBlank="1" showErrorMessage="1" prompt="Enter the number of pilots that will be lit simultaneously." sqref="D34:E34" xr:uid="{C038C01B-787C-44BB-AAE1-BCB152567104}">
      <formula1>1</formula1>
      <formula2>100</formula2>
    </dataValidation>
    <dataValidation type="list" allowBlank="1" showErrorMessage="1" prompt="Choose natural gas or fuel gas." sqref="D33:E33" xr:uid="{31CFD6F5-39A2-4669-88FD-0970FC822A9D}">
      <formula1>"natural gas,fuel gas"</formula1>
    </dataValidation>
    <dataValidation allowBlank="1" showErrorMessage="1" prompt="Enter the pilot fuel flow rate in scf/hr per pilot light." sqref="D35:E35" xr:uid="{91D931DC-F61B-46AA-8B61-65E16CEB3620}"/>
    <dataValidation allowBlank="1" showErrorMessage="1" prompt="Enter the EPN." sqref="D8:G8" xr:uid="{34899970-9E7E-41FC-80A5-20980C13B7AB}"/>
    <dataValidation allowBlank="1" showErrorMessage="1" prompt="Enter the source name." sqref="D9:G9" xr:uid="{2BB3E74E-DD63-4CF0-941D-3C069BAA1DC1}"/>
    <dataValidation allowBlank="1" showErrorMessage="1" prompt="Enter the UTM easting." sqref="D10:G10" xr:uid="{0CA4D7D0-B45F-4613-9B19-1995C06F6242}"/>
    <dataValidation allowBlank="1" showErrorMessage="1" prompt="Enter the UTM northing." sqref="D11:G11" xr:uid="{9F080C83-F983-4EFB-AED9-8D30FD56967D}"/>
    <dataValidation type="decimal" operator="greaterThanOrEqual" allowBlank="1" showErrorMessage="1" prompt="Enter distance to property line in ft." sqref="D15:E15" xr:uid="{234F3959-AA8C-4E05-8E6C-1487EA6586EE}">
      <formula1>25</formula1>
    </dataValidation>
    <dataValidation type="decimal" operator="greaterThanOrEqual" allowBlank="1" showErrorMessage="1" prompt="Enter  release height in ft." sqref="D16:E16" xr:uid="{8AF35664-FC53-451F-9A5C-4297FF9FF0E2}">
      <formula1>40</formula1>
    </dataValidation>
    <dataValidation allowBlank="1" showErrorMessage="1" prompt="Enter maximum heating value of waste stream in Btu/scf." sqref="D49:E49" xr:uid="{B056D9EF-F22F-4FAF-A88A-E09727897F90}"/>
    <dataValidation allowBlank="1" showErrorMessage="1" prompt="Enter annual average heating value of waste stream in Btu/scf." sqref="D50:E50" xr:uid="{6BEA1DB5-4E10-4633-8BEF-16C1BDD97D56}"/>
    <dataValidation allowBlank="1" showErrorMessage="1" prompt="Enter maximum flow rate in scf/hr." sqref="D51:E51" xr:uid="{8A4B9ABC-ABDB-469B-A0D4-93FA229EDC7D}"/>
    <dataValidation allowBlank="1" showErrorMessage="1" prompt="Enter annual flow rate in scf/yr." sqref="D52:E52" xr:uid="{06126EB0-E51F-4AAC-B2EB-0D176F3A952C}"/>
    <dataValidation allowBlank="1" showErrorMessage="1" prompt="If using fuel gas, enter the PM/PM10/PM2.5 emission factor in lb/MMscf." sqref="D41:E41" xr:uid="{151F7B52-0E5D-40AF-9673-820430EE29FC}"/>
    <dataValidation allowBlank="1" showErrorMessage="1" prompt="If fuel gas is used, enter VOC emission factor in lb/MMscf." sqref="D38:E38" xr:uid="{3CA93AF4-3AB3-4CD5-88A0-70FCFB5CB830}"/>
    <dataValidation allowBlank="1" showErrorMessage="1" prompt="If fuel gas is used, enter NOx emission factor in lb/MMscf." sqref="D39:E39" xr:uid="{120355A4-D77D-4DA3-AF4D-E0B7AA55C4B9}"/>
    <dataValidation allowBlank="1" showErrorMessage="1" prompt="If fuel gas is used, enter CO emission factor in lb/MMscf." sqref="D40:E40" xr:uid="{F6C9F12C-3BB3-458B-9AC0-554C4566B948}"/>
    <dataValidation allowBlank="1" showErrorMessage="1" prompt="If fuel gas is used, enter SO2 emission factor in lb/MMscf." sqref="D42:E42" xr:uid="{86BCAE82-4F7C-425D-A93D-ED56164BB34A}"/>
    <dataValidation type="list" allowBlank="1" showErrorMessage="1" prompt="select one" sqref="D21:E21" xr:uid="{75282937-2693-40BE-84BC-D21BB888D3FE}">
      <formula1>"catalytic oxidizer,non-regenerative thermal oxidizer,regenerative thermal oxidizer"</formula1>
    </dataValidation>
    <dataValidation type="decimal" operator="greaterThanOrEqual" allowBlank="1" showErrorMessage="1" prompt="Enter stack exit diameter in ft." sqref="D17:E17" xr:uid="{563DD491-0207-4DF2-ADC7-7DF0E5A03B18}">
      <formula1>7</formula1>
    </dataValidation>
    <dataValidation type="decimal" operator="greaterThanOrEqual" allowBlank="1" showErrorMessage="1" prompt="Enter stack exit temperature in degrees F." sqref="D18:E18" xr:uid="{40DB6F28-577F-4B48-B0AD-0ACBD89525FA}">
      <formula1>1200</formula1>
    </dataValidation>
    <dataValidation type="decimal" operator="greaterThanOrEqual" allowBlank="1" showErrorMessage="1" prompt="Enter stack exit velocity in fps." sqref="D19:E19" xr:uid="{42C21139-F924-44EB-933F-BB16E9D999CB}">
      <formula1>32</formula1>
    </dataValidation>
    <dataValidation type="decimal" operator="lessThanOrEqual" allowBlank="1" showErrorMessage="1" prompt="enter the exhuast gas maximum VOC concentration (ppmv)" sqref="D22:E22" xr:uid="{7D4D5C8C-C56D-4F9A-9C55-A5A80E8BC2A8}">
      <formula1>IF(F22="20 ppmv maximum (at 3% oxygen)",20,IF(F22="10 ppmv maximum (at 3% oxygen)",10,""))</formula1>
    </dataValidation>
    <dataValidation type="decimal" operator="greaterThanOrEqual" allowBlank="1" showErrorMessage="1" prompt="enter the Oxidizer firebox exit temperature (°F)" sqref="D26:E26" xr:uid="{D5B6195C-CEEE-49AC-BB67-33CD5BDB8A66}">
      <formula1>1400</formula1>
    </dataValidation>
    <dataValidation type="decimal" operator="greaterThanOrEqual" allowBlank="1" showErrorMessage="1" prompt="enter the Catalytic oxidizer firebox inlet temperature (°F)" sqref="D27:E27" xr:uid="{07E7530C-1833-4FE3-80F0-06098F2FFB40}">
      <formula1>1400</formula1>
    </dataValidation>
    <dataValidation type="decimal" operator="greaterThanOrEqual" allowBlank="1" showErrorMessage="1" prompt="enter the Standby temperature of the oxidizer firebox (°F)" sqref="D29:E29" xr:uid="{140441A2-55CA-4FFD-85C4-A366DF120C58}">
      <formula1>800</formula1>
    </dataValidation>
    <dataValidation type="decimal" operator="lessThanOrEqual" allowBlank="1" showErrorMessage="1" prompt="enter the Proposed increase in operating hours (hr/yr)" sqref="D31:E31" xr:uid="{0D695235-B770-48E6-9733-2571CC12742D}">
      <formula1>8760</formula1>
    </dataValidation>
    <dataValidation type="decimal" operator="lessThanOrEqual" allowBlank="1" showErrorMessage="1" prompt="enter the Sulfur content of pilot fuel (gr/100dscf)" sqref="D36:E36" xr:uid="{E7351B48-3576-4B8E-90E6-36D6D653ED64}">
      <formula1>IF(D33="natural gas",5,IF(D33="fuel gas",10,""))</formula1>
    </dataValidation>
    <dataValidation allowBlank="1" showErrorMessage="1" prompt="enter the SO2 emission factor, assume 100% conversion of sulfur to SO2 (lb/MMBtu)" sqref="D60:E60" xr:uid="{5E3A9224-7604-4EA9-A6AC-426B8B2E1FFC}"/>
    <dataValidation allowBlank="1" showErrorMessage="1" prompt="If yes, list the emission units in this project subject to CAM. Please use the sheet name identifiers, for example Tank1, Tank2, Loading-DrumTote, etc." sqref="D63:G63" xr:uid="{E93276BE-AA7B-4D0E-A35D-E3F69EAB290D}"/>
    <dataValidation allowBlank="1" showErrorMessage="1" prompt="enter the fin" sqref="D7:G7" xr:uid="{FBE5F985-5F45-44CC-AE3D-0856653ED4B4}"/>
    <dataValidation type="list" allowBlank="1" showErrorMessage="1" prompt="select yes or no" sqref="D25:E25" xr:uid="{41CF7C2E-6D3D-490B-9A36-DB02D7B85924}">
      <formula1>IF($D$21="non-regenerative thermal oxidizer",Y,YN)</formula1>
    </dataValidation>
    <dataValidation type="decimal" allowBlank="1" showErrorMessage="1" prompt="enter the H2S control efficiency (%)" sqref="D24:E24" xr:uid="{6BA262A1-6626-4499-862A-EE30493D097A}">
      <formula1>0.98</formula1>
      <formula2>1</formula2>
    </dataValidation>
    <dataValidation type="decimal" operator="greaterThanOrEqual" allowBlank="1" showErrorMessage="1" prompt="enter the Control efficiency (%)" sqref="D23:E23" xr:uid="{0D44EA7F-2636-42C4-B6DD-B9BE9001F362}">
      <formula1>IF(F23="98% minimum",0.98,IF(F23="99.9% minimum",0.999,IF(F23="99% minimum",0.99,"")))</formula1>
    </dataValidation>
  </dataValidations>
  <printOptions horizontalCentered="1"/>
  <pageMargins left="0.7" right="0.7" top="0.75" bottom="0.75" header="0.3" footer="0.3"/>
  <pageSetup scale="96" orientation="landscape" r:id="rId1"/>
  <headerFooter>
    <oddHeader>&amp;C&amp;"Calibri,Regular"Marine Loading RAP Application</oddHeader>
    <oddFooter>&amp;L&amp;"Calibri,Regular"Version 1.0&amp;C&amp;"Calibri,Regular"Sheet: &amp;A&amp;R&amp;"Calibri,Regular"Page &amp;P</oddFooter>
  </headerFooter>
  <extLst>
    <ext xmlns:x14="http://schemas.microsoft.com/office/spreadsheetml/2009/9/main" uri="{78C0D931-6437-407d-A8EE-F0AAD7539E65}">
      <x14:conditionalFormattings>
        <x14:conditionalFormatting xmlns:xm="http://schemas.microsoft.com/office/excel/2006/main">
          <x14:cfRule type="expression" priority="9" id="{3AA857EB-D335-4CA0-8655-6BB83C0E82E1}">
            <xm:f>'PI-1-MarineLoading'!$G$123="no"</xm:f>
            <x14:dxf>
              <numFmt numFmtId="164" formatCode=";;;"/>
              <fill>
                <patternFill>
                  <bgColor theme="0" tint="-0.499984740745262"/>
                </patternFill>
              </fill>
            </x14:dxf>
          </x14:cfRule>
          <xm:sqref>A1:G221</xm:sqref>
        </x14:conditionalFormatting>
        <x14:conditionalFormatting xmlns:xm="http://schemas.microsoft.com/office/excel/2006/main">
          <x14:cfRule type="expression" priority="6" id="{86433227-8D22-421A-B21E-8B1D9DAEA169}">
            <xm:f>AND($D$30="no",Hidden!$TN$2="yes")</xm:f>
            <x14:dxf>
              <fill>
                <patternFill>
                  <bgColor rgb="FFE6B8B7"/>
                </patternFill>
              </fill>
            </x14:dxf>
          </x14:cfRule>
          <xm:sqref>D30:E30</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A5AAF-9A4E-4414-9BAE-76016EDD9F07}">
  <sheetPr codeName="Sheet1">
    <tabColor rgb="FFF0B8B7"/>
  </sheetPr>
  <dimension ref="A1:E86"/>
  <sheetViews>
    <sheetView showGridLines="0" tabSelected="1" zoomScaleNormal="100" workbookViewId="0">
      <selection sqref="A1:D1"/>
    </sheetView>
  </sheetViews>
  <sheetFormatPr defaultColWidth="0" defaultRowHeight="14.25" zeroHeight="1" x14ac:dyDescent="0.2"/>
  <cols>
    <col min="1" max="4" width="23.25" customWidth="1"/>
    <col min="5" max="5" width="2.625" customWidth="1"/>
    <col min="6" max="16384" width="9" hidden="1"/>
  </cols>
  <sheetData>
    <row r="1" spans="1:4" ht="8.25" customHeight="1" thickBot="1" x14ac:dyDescent="0.25">
      <c r="A1" s="478" t="s">
        <v>0</v>
      </c>
      <c r="B1" s="478"/>
      <c r="C1" s="478"/>
      <c r="D1" s="478"/>
    </row>
    <row r="2" spans="1:4" ht="18" x14ac:dyDescent="0.2">
      <c r="A2" s="486" t="s">
        <v>11022</v>
      </c>
      <c r="B2" s="487"/>
      <c r="C2" s="487"/>
      <c r="D2" s="488"/>
    </row>
    <row r="3" spans="1:4" x14ac:dyDescent="0.2">
      <c r="A3" s="495" t="s">
        <v>10665</v>
      </c>
      <c r="B3" s="496"/>
      <c r="C3" s="496"/>
      <c r="D3" s="497"/>
    </row>
    <row r="4" spans="1:4" x14ac:dyDescent="0.2">
      <c r="A4" s="495" t="s">
        <v>10778</v>
      </c>
      <c r="B4" s="496"/>
      <c r="C4" s="496"/>
      <c r="D4" s="497"/>
    </row>
    <row r="5" spans="1:4" ht="15" thickBot="1" x14ac:dyDescent="0.25">
      <c r="A5" s="489" t="str">
        <f>"Form "&amp;Reference!$B$1&amp;", Version "&amp;Reference!$B$2</f>
        <v>Form 20874, Version 2.1</v>
      </c>
      <c r="B5" s="490"/>
      <c r="C5" s="490"/>
      <c r="D5" s="491"/>
    </row>
    <row r="6" spans="1:4" ht="45" customHeight="1" thickBot="1" x14ac:dyDescent="0.25">
      <c r="A6" s="492" t="s">
        <v>10889</v>
      </c>
      <c r="B6" s="493"/>
      <c r="C6" s="493"/>
      <c r="D6" s="494"/>
    </row>
    <row r="7" spans="1:4" ht="15" thickBot="1" x14ac:dyDescent="0.25">
      <c r="A7" s="478"/>
      <c r="B7" s="478"/>
      <c r="C7" s="478"/>
      <c r="D7" s="478"/>
    </row>
    <row r="8" spans="1:4" ht="15.75" thickBot="1" x14ac:dyDescent="0.25">
      <c r="A8" s="474" t="s">
        <v>292</v>
      </c>
      <c r="B8" s="474"/>
      <c r="C8" s="474"/>
      <c r="D8" s="474"/>
    </row>
    <row r="9" spans="1:4" ht="166.5" customHeight="1" x14ac:dyDescent="0.2">
      <c r="A9" s="475" t="s">
        <v>11023</v>
      </c>
      <c r="B9" s="476"/>
      <c r="C9" s="476"/>
      <c r="D9" s="477"/>
    </row>
    <row r="10" spans="1:4" ht="108" customHeight="1" x14ac:dyDescent="0.2">
      <c r="A10" s="465" t="s">
        <v>11024</v>
      </c>
      <c r="B10" s="466"/>
      <c r="C10" s="466"/>
      <c r="D10" s="467"/>
    </row>
    <row r="11" spans="1:4" ht="104.25" customHeight="1" thickBot="1" x14ac:dyDescent="0.25">
      <c r="A11" s="518" t="s">
        <v>11120</v>
      </c>
      <c r="B11" s="469"/>
      <c r="C11" s="469"/>
      <c r="D11" s="470"/>
    </row>
    <row r="12" spans="1:4" ht="15" thickBot="1" x14ac:dyDescent="0.25">
      <c r="A12" s="478"/>
      <c r="B12" s="478"/>
      <c r="C12" s="478"/>
      <c r="D12" s="478"/>
    </row>
    <row r="13" spans="1:4" ht="15.75" thickBot="1" x14ac:dyDescent="0.25">
      <c r="A13" s="479" t="s">
        <v>293</v>
      </c>
      <c r="B13" s="479"/>
      <c r="C13" s="479"/>
      <c r="D13" s="479"/>
    </row>
    <row r="14" spans="1:4" ht="235.5" customHeight="1" x14ac:dyDescent="0.2">
      <c r="A14" s="480" t="s">
        <v>11008</v>
      </c>
      <c r="B14" s="481"/>
      <c r="C14" s="481"/>
      <c r="D14" s="482"/>
    </row>
    <row r="15" spans="1:4" ht="165.75" customHeight="1" x14ac:dyDescent="0.2">
      <c r="A15" s="465" t="s">
        <v>11009</v>
      </c>
      <c r="B15" s="466"/>
      <c r="C15" s="466"/>
      <c r="D15" s="467"/>
    </row>
    <row r="16" spans="1:4" ht="207" customHeight="1" x14ac:dyDescent="0.2">
      <c r="A16" s="465" t="s">
        <v>11006</v>
      </c>
      <c r="B16" s="466"/>
      <c r="C16" s="466"/>
      <c r="D16" s="467"/>
    </row>
    <row r="17" spans="1:4" ht="224.25" customHeight="1" thickBot="1" x14ac:dyDescent="0.25">
      <c r="A17" s="492" t="s">
        <v>11007</v>
      </c>
      <c r="B17" s="493"/>
      <c r="C17" s="493"/>
      <c r="D17" s="494"/>
    </row>
    <row r="18" spans="1:4" ht="15" thickBot="1" x14ac:dyDescent="0.25">
      <c r="A18" s="478" t="s">
        <v>1</v>
      </c>
      <c r="B18" s="478"/>
      <c r="C18" s="478"/>
      <c r="D18" s="478"/>
    </row>
    <row r="19" spans="1:4" ht="15.75" thickBot="1" x14ac:dyDescent="0.25">
      <c r="A19" s="474" t="s">
        <v>294</v>
      </c>
      <c r="B19" s="474"/>
      <c r="C19" s="474"/>
      <c r="D19" s="474"/>
    </row>
    <row r="20" spans="1:4" ht="233.25" customHeight="1" x14ac:dyDescent="0.2">
      <c r="A20" s="475" t="s">
        <v>11147</v>
      </c>
      <c r="B20" s="476"/>
      <c r="C20" s="476"/>
      <c r="D20" s="477"/>
    </row>
    <row r="21" spans="1:4" ht="300" customHeight="1" x14ac:dyDescent="0.2">
      <c r="A21" s="465" t="s">
        <v>11148</v>
      </c>
      <c r="B21" s="466"/>
      <c r="C21" s="466"/>
      <c r="D21" s="467"/>
    </row>
    <row r="22" spans="1:4" ht="144.75" customHeight="1" x14ac:dyDescent="0.2">
      <c r="A22" s="465" t="s">
        <v>11149</v>
      </c>
      <c r="B22" s="466"/>
      <c r="C22" s="466"/>
      <c r="D22" s="467"/>
    </row>
    <row r="23" spans="1:4" ht="16.5" customHeight="1" thickBot="1" x14ac:dyDescent="0.25">
      <c r="A23" s="468" t="s">
        <v>11150</v>
      </c>
      <c r="B23" s="469"/>
      <c r="C23" s="469"/>
      <c r="D23" s="470"/>
    </row>
    <row r="24" spans="1:4" ht="15" thickBot="1" x14ac:dyDescent="0.25">
      <c r="A24" s="478"/>
      <c r="B24" s="478"/>
      <c r="C24" s="478"/>
      <c r="D24" s="478"/>
    </row>
    <row r="25" spans="1:4" ht="15.75" thickBot="1" x14ac:dyDescent="0.25">
      <c r="A25" s="479" t="s">
        <v>295</v>
      </c>
      <c r="B25" s="479"/>
      <c r="C25" s="479"/>
      <c r="D25" s="479"/>
    </row>
    <row r="26" spans="1:4" ht="103.5" customHeight="1" thickBot="1" x14ac:dyDescent="0.25">
      <c r="A26" s="483" t="s">
        <v>9798</v>
      </c>
      <c r="B26" s="484"/>
      <c r="C26" s="484"/>
      <c r="D26" s="485"/>
    </row>
    <row r="27" spans="1:4" ht="15" thickBot="1" x14ac:dyDescent="0.25">
      <c r="A27" s="478" t="s">
        <v>1</v>
      </c>
      <c r="B27" s="478"/>
      <c r="C27" s="478"/>
      <c r="D27" s="478"/>
    </row>
    <row r="28" spans="1:4" ht="15.75" thickBot="1" x14ac:dyDescent="0.25">
      <c r="A28" s="479" t="s">
        <v>354</v>
      </c>
      <c r="B28" s="479"/>
      <c r="C28" s="479"/>
      <c r="D28" s="479"/>
    </row>
    <row r="29" spans="1:4" x14ac:dyDescent="0.2">
      <c r="A29" s="11" t="s">
        <v>342</v>
      </c>
      <c r="B29" s="498" t="s">
        <v>343</v>
      </c>
      <c r="C29" s="498"/>
      <c r="D29" s="499"/>
    </row>
    <row r="30" spans="1:4" x14ac:dyDescent="0.2">
      <c r="A30" s="4" t="s">
        <v>296</v>
      </c>
      <c r="B30" s="498" t="s">
        <v>302</v>
      </c>
      <c r="C30" s="498"/>
      <c r="D30" s="499"/>
    </row>
    <row r="31" spans="1:4" ht="37.5" customHeight="1" x14ac:dyDescent="0.2">
      <c r="A31" s="9" t="s">
        <v>348</v>
      </c>
      <c r="B31" s="504" t="s">
        <v>347</v>
      </c>
      <c r="C31" s="504"/>
      <c r="D31" s="505"/>
    </row>
    <row r="32" spans="1:4" x14ac:dyDescent="0.2">
      <c r="A32" s="4" t="s">
        <v>297</v>
      </c>
      <c r="B32" s="498" t="s">
        <v>10829</v>
      </c>
      <c r="C32" s="498"/>
      <c r="D32" s="499"/>
    </row>
    <row r="33" spans="1:4" ht="29.25" customHeight="1" x14ac:dyDescent="0.2">
      <c r="A33" s="9" t="s">
        <v>298</v>
      </c>
      <c r="B33" s="498" t="s">
        <v>303</v>
      </c>
      <c r="C33" s="498"/>
      <c r="D33" s="499"/>
    </row>
    <row r="34" spans="1:4" ht="37.5" customHeight="1" x14ac:dyDescent="0.2">
      <c r="A34" s="4" t="s">
        <v>299</v>
      </c>
      <c r="B34" s="500" t="s">
        <v>304</v>
      </c>
      <c r="C34" s="500"/>
      <c r="D34" s="501"/>
    </row>
    <row r="35" spans="1:4" x14ac:dyDescent="0.2">
      <c r="A35" s="4" t="s">
        <v>300</v>
      </c>
      <c r="B35" s="498" t="s">
        <v>305</v>
      </c>
      <c r="C35" s="498"/>
      <c r="D35" s="499"/>
    </row>
    <row r="36" spans="1:4" ht="15" thickBot="1" x14ac:dyDescent="0.25">
      <c r="A36" s="10" t="s">
        <v>301</v>
      </c>
      <c r="B36" s="502" t="s">
        <v>306</v>
      </c>
      <c r="C36" s="502"/>
      <c r="D36" s="503"/>
    </row>
    <row r="37" spans="1:4" ht="15" thickBot="1" x14ac:dyDescent="0.25">
      <c r="A37" s="478" t="s">
        <v>1</v>
      </c>
      <c r="B37" s="478"/>
      <c r="C37" s="478"/>
      <c r="D37" s="478"/>
    </row>
    <row r="38" spans="1:4" ht="15.75" thickBot="1" x14ac:dyDescent="0.25">
      <c r="A38" s="479" t="s">
        <v>355</v>
      </c>
      <c r="B38" s="479"/>
      <c r="C38" s="479"/>
      <c r="D38" s="479"/>
    </row>
    <row r="39" spans="1:4" ht="15" x14ac:dyDescent="0.2">
      <c r="A39" s="48" t="s">
        <v>307</v>
      </c>
      <c r="B39" s="49" t="s">
        <v>308</v>
      </c>
      <c r="C39" s="49" t="s">
        <v>309</v>
      </c>
      <c r="D39" s="117" t="s">
        <v>310</v>
      </c>
    </row>
    <row r="40" spans="1:4" ht="303" customHeight="1" x14ac:dyDescent="0.2">
      <c r="A40" s="9" t="s">
        <v>311</v>
      </c>
      <c r="B40" s="16" t="s">
        <v>11013</v>
      </c>
      <c r="C40" s="16" t="s">
        <v>312</v>
      </c>
      <c r="D40" s="29" t="s">
        <v>9160</v>
      </c>
    </row>
    <row r="41" spans="1:4" ht="189.75" customHeight="1" x14ac:dyDescent="0.2">
      <c r="A41" s="9" t="s">
        <v>313</v>
      </c>
      <c r="B41" s="16" t="s">
        <v>10857</v>
      </c>
      <c r="C41" s="16" t="s">
        <v>314</v>
      </c>
      <c r="D41" s="29" t="s">
        <v>319</v>
      </c>
    </row>
    <row r="42" spans="1:4" ht="59.25" customHeight="1" x14ac:dyDescent="0.2">
      <c r="A42" s="9" t="s">
        <v>315</v>
      </c>
      <c r="B42" s="16" t="s">
        <v>10890</v>
      </c>
      <c r="C42" s="16" t="s">
        <v>9162</v>
      </c>
      <c r="D42" s="29" t="s">
        <v>316</v>
      </c>
    </row>
    <row r="43" spans="1:4" ht="57.75" thickBot="1" x14ac:dyDescent="0.25">
      <c r="A43" s="112" t="s">
        <v>317</v>
      </c>
      <c r="B43" s="28" t="s">
        <v>10846</v>
      </c>
      <c r="C43" s="28" t="s">
        <v>9161</v>
      </c>
      <c r="D43" s="113" t="s">
        <v>318</v>
      </c>
    </row>
    <row r="44" spans="1:4" ht="15" thickBot="1" x14ac:dyDescent="0.25">
      <c r="A44" s="478" t="s">
        <v>1</v>
      </c>
      <c r="B44" s="478"/>
      <c r="C44" s="478"/>
      <c r="D44" s="478"/>
    </row>
    <row r="45" spans="1:4" ht="15" customHeight="1" thickBot="1" x14ac:dyDescent="0.25">
      <c r="A45" s="479" t="s">
        <v>356</v>
      </c>
      <c r="B45" s="479"/>
      <c r="C45" s="479"/>
      <c r="D45" s="479"/>
    </row>
    <row r="46" spans="1:4" ht="15" customHeight="1" x14ac:dyDescent="0.2">
      <c r="A46" s="512" t="s">
        <v>10797</v>
      </c>
      <c r="B46" s="513"/>
      <c r="C46" s="513"/>
      <c r="D46" s="514"/>
    </row>
    <row r="47" spans="1:4" ht="15" customHeight="1" x14ac:dyDescent="0.2">
      <c r="A47" s="471" t="s">
        <v>320</v>
      </c>
      <c r="B47" s="472"/>
      <c r="C47" s="472"/>
      <c r="D47" s="473"/>
    </row>
    <row r="48" spans="1:4" ht="15" customHeight="1" x14ac:dyDescent="0.2">
      <c r="A48" s="471" t="s">
        <v>10657</v>
      </c>
      <c r="B48" s="472"/>
      <c r="C48" s="472"/>
      <c r="D48" s="473"/>
    </row>
    <row r="49" spans="1:4" ht="15" customHeight="1" x14ac:dyDescent="0.2">
      <c r="A49" s="471" t="s">
        <v>11002</v>
      </c>
      <c r="B49" s="472"/>
      <c r="C49" s="472"/>
      <c r="D49" s="473"/>
    </row>
    <row r="50" spans="1:4" ht="15" customHeight="1" x14ac:dyDescent="0.2">
      <c r="A50" s="512" t="s">
        <v>321</v>
      </c>
      <c r="B50" s="513"/>
      <c r="C50" s="513"/>
      <c r="D50" s="514"/>
    </row>
    <row r="51" spans="1:4" ht="15" customHeight="1" x14ac:dyDescent="0.2">
      <c r="A51" s="471" t="s">
        <v>11012</v>
      </c>
      <c r="B51" s="472"/>
      <c r="C51" s="472"/>
      <c r="D51" s="473"/>
    </row>
    <row r="52" spans="1:4" ht="15" customHeight="1" x14ac:dyDescent="0.2">
      <c r="A52" s="471" t="s">
        <v>131</v>
      </c>
      <c r="B52" s="472"/>
      <c r="C52" s="472"/>
      <c r="D52" s="473"/>
    </row>
    <row r="53" spans="1:4" ht="15" customHeight="1" x14ac:dyDescent="0.2">
      <c r="A53" s="471" t="s">
        <v>9289</v>
      </c>
      <c r="B53" s="472"/>
      <c r="C53" s="472"/>
      <c r="D53" s="473"/>
    </row>
    <row r="54" spans="1:4" ht="15" customHeight="1" thickBot="1" x14ac:dyDescent="0.25">
      <c r="A54" s="509" t="s">
        <v>338</v>
      </c>
      <c r="B54" s="510"/>
      <c r="C54" s="510"/>
      <c r="D54" s="511"/>
    </row>
    <row r="55" spans="1:4" ht="15" customHeight="1" x14ac:dyDescent="0.2">
      <c r="A55" s="506" t="s">
        <v>322</v>
      </c>
      <c r="B55" s="507"/>
      <c r="C55" s="507"/>
      <c r="D55" s="508"/>
    </row>
    <row r="56" spans="1:4" ht="15" customHeight="1" x14ac:dyDescent="0.2">
      <c r="A56" s="471" t="s">
        <v>165</v>
      </c>
      <c r="B56" s="472"/>
      <c r="C56" s="472"/>
      <c r="D56" s="473"/>
    </row>
    <row r="57" spans="1:4" ht="15" customHeight="1" x14ac:dyDescent="0.2">
      <c r="A57" s="471" t="s">
        <v>323</v>
      </c>
      <c r="B57" s="472"/>
      <c r="C57" s="472"/>
      <c r="D57" s="473"/>
    </row>
    <row r="58" spans="1:4" ht="15" customHeight="1" x14ac:dyDescent="0.2">
      <c r="A58" s="471" t="s">
        <v>324</v>
      </c>
      <c r="B58" s="472"/>
      <c r="C58" s="472"/>
      <c r="D58" s="473"/>
    </row>
    <row r="59" spans="1:4" ht="15" customHeight="1" x14ac:dyDescent="0.2">
      <c r="A59" s="471" t="s">
        <v>325</v>
      </c>
      <c r="B59" s="472"/>
      <c r="C59" s="472"/>
      <c r="D59" s="473"/>
    </row>
    <row r="60" spans="1:4" ht="15" customHeight="1" x14ac:dyDescent="0.2">
      <c r="A60" s="471" t="s">
        <v>326</v>
      </c>
      <c r="B60" s="472"/>
      <c r="C60" s="472"/>
      <c r="D60" s="473"/>
    </row>
    <row r="61" spans="1:4" ht="15" customHeight="1" x14ac:dyDescent="0.2">
      <c r="A61" s="471" t="s">
        <v>9659</v>
      </c>
      <c r="B61" s="472"/>
      <c r="C61" s="472"/>
      <c r="D61" s="473"/>
    </row>
    <row r="62" spans="1:4" ht="15" customHeight="1" x14ac:dyDescent="0.2">
      <c r="A62" s="471" t="s">
        <v>327</v>
      </c>
      <c r="B62" s="472"/>
      <c r="C62" s="472"/>
      <c r="D62" s="473"/>
    </row>
    <row r="63" spans="1:4" ht="15" customHeight="1" x14ac:dyDescent="0.2">
      <c r="A63" s="471" t="s">
        <v>328</v>
      </c>
      <c r="B63" s="472"/>
      <c r="C63" s="472"/>
      <c r="D63" s="473"/>
    </row>
    <row r="64" spans="1:4" ht="15" customHeight="1" x14ac:dyDescent="0.2">
      <c r="A64" s="471" t="s">
        <v>329</v>
      </c>
      <c r="B64" s="472"/>
      <c r="C64" s="472"/>
      <c r="D64" s="473"/>
    </row>
    <row r="65" spans="1:4" ht="15" customHeight="1" x14ac:dyDescent="0.2">
      <c r="A65" s="519" t="s">
        <v>9181</v>
      </c>
      <c r="B65" s="520"/>
      <c r="C65" s="520"/>
      <c r="D65" s="521"/>
    </row>
    <row r="66" spans="1:4" ht="15" customHeight="1" x14ac:dyDescent="0.2">
      <c r="A66" s="471" t="s">
        <v>9182</v>
      </c>
      <c r="B66" s="472"/>
      <c r="C66" s="472"/>
      <c r="D66" s="473"/>
    </row>
    <row r="67" spans="1:4" ht="15" customHeight="1" x14ac:dyDescent="0.2">
      <c r="A67" s="471" t="s">
        <v>10034</v>
      </c>
      <c r="B67" s="472"/>
      <c r="C67" s="472"/>
      <c r="D67" s="473"/>
    </row>
    <row r="68" spans="1:4" ht="15" customHeight="1" x14ac:dyDescent="0.2">
      <c r="A68" s="471" t="s">
        <v>330</v>
      </c>
      <c r="B68" s="472"/>
      <c r="C68" s="472"/>
      <c r="D68" s="473"/>
    </row>
    <row r="69" spans="1:4" ht="15" customHeight="1" x14ac:dyDescent="0.2">
      <c r="A69" s="471" t="s">
        <v>9141</v>
      </c>
      <c r="B69" s="472"/>
      <c r="C69" s="472"/>
      <c r="D69" s="473"/>
    </row>
    <row r="70" spans="1:4" ht="15" customHeight="1" x14ac:dyDescent="0.2">
      <c r="A70" s="471" t="s">
        <v>331</v>
      </c>
      <c r="B70" s="472"/>
      <c r="C70" s="472"/>
      <c r="D70" s="473"/>
    </row>
    <row r="71" spans="1:4" ht="15" customHeight="1" x14ac:dyDescent="0.2">
      <c r="A71" s="471" t="s">
        <v>10527</v>
      </c>
      <c r="B71" s="472"/>
      <c r="C71" s="472"/>
      <c r="D71" s="473"/>
    </row>
    <row r="72" spans="1:4" ht="15" customHeight="1" x14ac:dyDescent="0.2">
      <c r="A72" s="471" t="s">
        <v>10528</v>
      </c>
      <c r="B72" s="472"/>
      <c r="C72" s="472"/>
      <c r="D72" s="473"/>
    </row>
    <row r="73" spans="1:4" ht="15" customHeight="1" x14ac:dyDescent="0.2">
      <c r="A73" s="471" t="s">
        <v>332</v>
      </c>
      <c r="B73" s="472"/>
      <c r="C73" s="472"/>
      <c r="D73" s="473"/>
    </row>
    <row r="74" spans="1:4" ht="15" customHeight="1" x14ac:dyDescent="0.2">
      <c r="A74" s="471" t="s">
        <v>333</v>
      </c>
      <c r="B74" s="472"/>
      <c r="C74" s="472"/>
      <c r="D74" s="473"/>
    </row>
    <row r="75" spans="1:4" ht="15" customHeight="1" x14ac:dyDescent="0.2">
      <c r="A75" s="471" t="s">
        <v>334</v>
      </c>
      <c r="B75" s="472"/>
      <c r="C75" s="472"/>
      <c r="D75" s="473"/>
    </row>
    <row r="76" spans="1:4" ht="15" customHeight="1" x14ac:dyDescent="0.2">
      <c r="A76" s="471" t="s">
        <v>9420</v>
      </c>
      <c r="B76" s="472"/>
      <c r="C76" s="472"/>
      <c r="D76" s="473"/>
    </row>
    <row r="77" spans="1:4" ht="15" customHeight="1" x14ac:dyDescent="0.2">
      <c r="A77" s="471" t="s">
        <v>9687</v>
      </c>
      <c r="B77" s="472"/>
      <c r="C77" s="472"/>
      <c r="D77" s="473"/>
    </row>
    <row r="78" spans="1:4" ht="15" customHeight="1" x14ac:dyDescent="0.2">
      <c r="A78" s="512" t="s">
        <v>335</v>
      </c>
      <c r="B78" s="513"/>
      <c r="C78" s="513"/>
      <c r="D78" s="514"/>
    </row>
    <row r="79" spans="1:4" ht="15" customHeight="1" x14ac:dyDescent="0.2">
      <c r="A79" s="471" t="s">
        <v>9206</v>
      </c>
      <c r="B79" s="472"/>
      <c r="C79" s="472"/>
      <c r="D79" s="473"/>
    </row>
    <row r="80" spans="1:4" ht="15" customHeight="1" x14ac:dyDescent="0.2">
      <c r="A80" s="471" t="s">
        <v>9367</v>
      </c>
      <c r="B80" s="472"/>
      <c r="C80" s="472"/>
      <c r="D80" s="473"/>
    </row>
    <row r="81" spans="1:4" ht="15" customHeight="1" x14ac:dyDescent="0.2">
      <c r="A81" s="471" t="s">
        <v>340</v>
      </c>
      <c r="B81" s="472"/>
      <c r="C81" s="472"/>
      <c r="D81" s="473"/>
    </row>
    <row r="82" spans="1:4" ht="15" customHeight="1" x14ac:dyDescent="0.2">
      <c r="A82" s="471" t="s">
        <v>339</v>
      </c>
      <c r="B82" s="472"/>
      <c r="C82" s="472"/>
      <c r="D82" s="473"/>
    </row>
    <row r="83" spans="1:4" ht="15" customHeight="1" x14ac:dyDescent="0.2">
      <c r="A83" s="471" t="s">
        <v>336</v>
      </c>
      <c r="B83" s="472"/>
      <c r="C83" s="472"/>
      <c r="D83" s="473"/>
    </row>
    <row r="84" spans="1:4" ht="15" customHeight="1" thickBot="1" x14ac:dyDescent="0.25">
      <c r="A84" s="515" t="s">
        <v>337</v>
      </c>
      <c r="B84" s="516"/>
      <c r="C84" s="516"/>
      <c r="D84" s="517"/>
    </row>
    <row r="85" spans="1:4" x14ac:dyDescent="0.2">
      <c r="A85" s="478" t="s">
        <v>130</v>
      </c>
      <c r="B85" s="478"/>
      <c r="C85" s="478"/>
      <c r="D85" s="478"/>
    </row>
    <row r="86" spans="1:4" ht="13.5" hidden="1" customHeight="1" x14ac:dyDescent="0.2"/>
  </sheetData>
  <sheetProtection algorithmName="SHA-512" hashValue="nsgZQvRn/x+YwXw3lRUO+nPafyH37Lbtzv3r1/71UDtOuH+sfKcwccBRGZVa/Smhub3PbjH87M734h/k34LBnA==" saltValue="MVgnSTjfJLQqPc4+F7OJVQ==" spinCount="100000" sheet="1" objects="1" scenarios="1" formatColumns="0" formatRows="0"/>
  <mergeCells count="80">
    <mergeCell ref="A10:D10"/>
    <mergeCell ref="A11:D11"/>
    <mergeCell ref="A16:D16"/>
    <mergeCell ref="A76:D76"/>
    <mergeCell ref="A15:D15"/>
    <mergeCell ref="A73:D73"/>
    <mergeCell ref="A60:D60"/>
    <mergeCell ref="A62:D62"/>
    <mergeCell ref="A63:D63"/>
    <mergeCell ref="A64:D64"/>
    <mergeCell ref="A65:D65"/>
    <mergeCell ref="A66:D66"/>
    <mergeCell ref="A69:D69"/>
    <mergeCell ref="A61:D61"/>
    <mergeCell ref="A59:D59"/>
    <mergeCell ref="A44:D44"/>
    <mergeCell ref="A80:D80"/>
    <mergeCell ref="A85:D85"/>
    <mergeCell ref="A17:D17"/>
    <mergeCell ref="A81:D81"/>
    <mergeCell ref="A82:D82"/>
    <mergeCell ref="A84:D84"/>
    <mergeCell ref="A83:D83"/>
    <mergeCell ref="A74:D74"/>
    <mergeCell ref="A75:D75"/>
    <mergeCell ref="A77:D77"/>
    <mergeCell ref="A78:D78"/>
    <mergeCell ref="A67:D67"/>
    <mergeCell ref="A68:D68"/>
    <mergeCell ref="A70:D70"/>
    <mergeCell ref="A71:D71"/>
    <mergeCell ref="A72:D72"/>
    <mergeCell ref="A45:D45"/>
    <mergeCell ref="A46:D46"/>
    <mergeCell ref="A47:D47"/>
    <mergeCell ref="A50:D50"/>
    <mergeCell ref="A51:D51"/>
    <mergeCell ref="A48:D48"/>
    <mergeCell ref="A49:D49"/>
    <mergeCell ref="A52:D52"/>
    <mergeCell ref="A55:D55"/>
    <mergeCell ref="A56:D56"/>
    <mergeCell ref="A57:D57"/>
    <mergeCell ref="A58:D58"/>
    <mergeCell ref="A53:D53"/>
    <mergeCell ref="A54:D54"/>
    <mergeCell ref="B34:D34"/>
    <mergeCell ref="B35:D35"/>
    <mergeCell ref="B36:D36"/>
    <mergeCell ref="A37:D37"/>
    <mergeCell ref="B29:D29"/>
    <mergeCell ref="B31:D31"/>
    <mergeCell ref="A27:D27"/>
    <mergeCell ref="A28:D28"/>
    <mergeCell ref="B30:D30"/>
    <mergeCell ref="B32:D32"/>
    <mergeCell ref="B33:D33"/>
    <mergeCell ref="A1:D1"/>
    <mergeCell ref="A2:D2"/>
    <mergeCell ref="A5:D5"/>
    <mergeCell ref="A6:D6"/>
    <mergeCell ref="A7:D7"/>
    <mergeCell ref="A3:D3"/>
    <mergeCell ref="A4:D4"/>
    <mergeCell ref="A21:D21"/>
    <mergeCell ref="A23:D23"/>
    <mergeCell ref="A22:D22"/>
    <mergeCell ref="A79:D79"/>
    <mergeCell ref="A8:D8"/>
    <mergeCell ref="A9:D9"/>
    <mergeCell ref="A12:D12"/>
    <mergeCell ref="A13:D13"/>
    <mergeCell ref="A14:D14"/>
    <mergeCell ref="A18:D18"/>
    <mergeCell ref="A19:D19"/>
    <mergeCell ref="A20:D20"/>
    <mergeCell ref="A24:D24"/>
    <mergeCell ref="A25:D25"/>
    <mergeCell ref="A26:D26"/>
    <mergeCell ref="A38:D38"/>
  </mergeCells>
  <hyperlinks>
    <hyperlink ref="B30" r:id="rId1" xr:uid="{1091D56D-E87B-4C7B-9577-1403748955C1}"/>
    <hyperlink ref="B32" r:id="rId2" display="https://www.tceq.texas.gov/assets/public/permitting/centralregistry/10400.docx" xr:uid="{1D4F83C7-8C51-4765-89A9-EFBBEF659016}"/>
    <hyperlink ref="B33" r:id="rId3" xr:uid="{7549BAF0-F99E-47BD-B0F8-4FAC67EC73D6}"/>
    <hyperlink ref="B34" r:id="rId4" xr:uid="{053FFB16-93C1-48D5-AEA3-F5C0594ED89B}"/>
    <hyperlink ref="B35" r:id="rId5" xr:uid="{E22F0D8E-2B0C-485F-B6AF-0BB870B6E143}"/>
    <hyperlink ref="B36" r:id="rId6" xr:uid="{A08DB8AB-5E43-424C-BE8A-051F084ED5ED}"/>
    <hyperlink ref="B29" r:id="rId7" xr:uid="{0181D427-5E98-4714-8740-716940435728}"/>
    <hyperlink ref="B31" r:id="rId8" xr:uid="{8865C5E8-9C3D-41C3-9578-952C2C7039A9}"/>
    <hyperlink ref="A47:D47" location="Species!A1" display="Allowable Species" xr:uid="{4A89AFFB-6B1C-4482-A6F1-0A31EA20E464}"/>
    <hyperlink ref="A51:D51" location="'PI-1-MarineLoading'!A1" display="PI-1-MarineLoading: General Application for RAP - Marine Loading" xr:uid="{0E90939C-E561-486F-96BF-A3359095D354}"/>
    <hyperlink ref="A52:D52" location="Fees!A1" display="Estimated Capital Cost and Fee Verification" xr:uid="{660B2922-8DE8-4FA1-882C-D631819BDC49}"/>
    <hyperlink ref="A56:D56" location="Tank1!A1" display="Tank 1" xr:uid="{DA407DDD-D8CD-4491-B58D-295BD7F07697}"/>
    <hyperlink ref="A57:D57" location="Tank2!A1" display="Tank 2" xr:uid="{28250291-77DF-4806-AAE6-07361DD26070}"/>
    <hyperlink ref="A58:D58" location="Tank3!A1" display="Tank 3" xr:uid="{A89F87FD-4960-4685-8099-F9D3C9303D76}"/>
    <hyperlink ref="A59:D59" location="Tank4!A1" display="Tank 4" xr:uid="{CFBCD40D-59F6-4A26-9D33-E754B49A0EA1}"/>
    <hyperlink ref="A60:D60" location="Tank5!A1" display="Tank 5" xr:uid="{19231EF3-AA77-4007-8191-CEFE7521AEF0}"/>
    <hyperlink ref="A62:D62" location="'Load-DrumTote'!A1" display="Loading: Drum or Tote" xr:uid="{06832A44-8D0F-477F-8EA3-3311F6685438}"/>
    <hyperlink ref="A63:D63" location="'Load-Truck'!A1" display="Loading: Truck" xr:uid="{77066BD3-AF6E-4B2F-BC3D-EADEBB9CFD1A}"/>
    <hyperlink ref="A64:D64" location="'Load-Rail'!A1" display="Loading: Rail" xr:uid="{D290FB49-8657-423E-918A-BCD8EB4E995E}"/>
    <hyperlink ref="A67:D67" location="Flare!A1" display="Flare" xr:uid="{B6BADC28-E3A2-4931-AC24-64C573F0D95D}"/>
    <hyperlink ref="A65:D65" location="'Load-MarineBarge'!A1" display="Loading: Marine (Inland Barges)" xr:uid="{62E7E9CD-200C-4008-ABA1-5E8E0047EB4C}"/>
    <hyperlink ref="A66:D66" location="'Load-MarineShip'!A1" display="Loading: Marine (Ships &amp; Ocean-Going Vessels)" xr:uid="{F0DBC849-A739-439B-8E17-D1FD600324F6}"/>
    <hyperlink ref="A68:D68" location="VCU!A1" display="Vapor Combustion Unit (VCU)" xr:uid="{FFF1B3A2-5266-4262-AA3B-3474C2DED52B}"/>
    <hyperlink ref="A70:D70" location="CAS!A1" display="Carbon Adsorption System (CAS)" xr:uid="{8F524A3B-F438-4F43-87F0-EC983FEBD2FC}"/>
    <hyperlink ref="A69:D69" location="VaporOxidizer!A1" display="Vapor Oxidizer" xr:uid="{FE57B16E-A47F-4170-9902-66BF9C1509FD}"/>
    <hyperlink ref="A71:D71" location="Engine1!A1" display="Emergency Engine 1" xr:uid="{3FF1420C-DC6D-4365-877B-268363EACF02}"/>
    <hyperlink ref="A73:D73" location="HeaterBoiler1!A1" display="Heater or Boiler 1" xr:uid="{E3F07016-A73B-44FF-99A0-A70744D7B1D9}"/>
    <hyperlink ref="A75:D75" location="Fug!A1" display="Process Fugitives" xr:uid="{304347DD-544F-46C7-AFE5-647725B6CF6B}"/>
    <hyperlink ref="A77:D77" location="MSS!A1" display="General MSS and Temporary Control Devices" xr:uid="{92462219-944E-4B0C-B753-4A1A912C7737}"/>
    <hyperlink ref="A81:D81" location="Baseline!A1" display="Baseline Emissions Information" xr:uid="{516A1841-91E2-4230-84E3-7B5FEC6088FA}"/>
    <hyperlink ref="A82:D82" location="FedApp!A1" display="Federal Applicability Determination" xr:uid="{E6BBFA7B-6170-452F-B9C0-DD261AACE5CD}"/>
    <hyperlink ref="A79:D79" location="EmissionSummary!A1" display="Emission Summary" xr:uid="{2DBE0640-A19E-42A8-8D5E-AE9D088EF12C}"/>
    <hyperlink ref="A80:D80" location="Impacts!A1" display="Impacts" xr:uid="{A99EC23A-4D0D-43F9-911E-79350E3A43E8}"/>
    <hyperlink ref="A84:D84" location="CND!A1" display="Special Conditions and Agreement" xr:uid="{81773466-1937-495A-A428-891496F17D34}"/>
    <hyperlink ref="A53:D53" location="Products!A1" display="Approved Product List &amp; Fuel Gas Specifications" xr:uid="{EA9B8179-5E9C-4316-9139-18FF9AB36D28}"/>
    <hyperlink ref="A54:D54" location="PublicNotice!A1" display="Public Notice Applicability and Small Business Classification" xr:uid="{B9ED1701-2746-4165-9FF4-934E499F7346}"/>
    <hyperlink ref="B29:D29" r:id="rId9" display="https://www3.tceq.texas.gov/steers/" xr:uid="{9F9CE40E-81CB-410B-B5C5-FEC165D7AB4F}"/>
    <hyperlink ref="A61:D61" location="ConvenienceLand!A1" display="Floating Roof Convenience Landings" xr:uid="{02432B49-FD4B-462F-BE40-35F7AE046225}"/>
    <hyperlink ref="A76:D76" location="TankMSS!A1" display="Tank MSS" xr:uid="{64AE4727-116D-4711-89FD-27B1BA9448E5}"/>
    <hyperlink ref="A72:D72" location="Engine2!A1" display="Emergency Engine 2" xr:uid="{C6F1D2BD-9A96-49C7-B30A-3C8816F33AA5}"/>
    <hyperlink ref="A74:D74" location="HeaterBoiler2!A1" display="Heater or Boiler 2" xr:uid="{A4178B2C-BE17-4BE4-84D6-DBE1FC606716}"/>
    <hyperlink ref="A48:D48" location="Abbreviations!A1" display="Abbreviations" xr:uid="{48C33A61-C66E-4563-9CBF-62A7353D9708}"/>
    <hyperlink ref="B32:D32" r:id="rId10" display="https://www.tceq.texas.gov/permitting/central_registry/guidance.html" xr:uid="{56BC4513-078F-4BA8-9508-084F479DBA5B}"/>
    <hyperlink ref="A49:D49" location="ModelingReport!A1" display="ModelingReport" xr:uid="{0470AC62-C52F-4152-9755-19E64F0D82B9}"/>
    <hyperlink ref="A83:D83" location="BACT!A1" display="BACT" xr:uid="{E7690EF0-AEE0-498B-86CD-133AD68024BF}"/>
    <hyperlink ref="A23" r:id="rId11" xr:uid="{92839749-CC9B-4AE5-B687-50B45861EF2E}"/>
  </hyperlinks>
  <printOptions horizontalCentered="1"/>
  <pageMargins left="0.7" right="0.7" top="0.75" bottom="0.75" header="0.3" footer="0.3"/>
  <pageSetup scale="87" orientation="portrait" r:id="rId12"/>
  <headerFooter>
    <oddHeader>&amp;C&amp;"Calibri,Regular"Marine Loading RAP Application</oddHeader>
    <oddFooter>&amp;L&amp;"Calibri,Regular"Version 1.0&amp;C&amp;"Calibri,Regular"Sheet: Instructions&amp;R&amp;"Calibri,Regular"Page &amp;P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91877-5F50-4517-8319-7AD3BAC22334}">
  <sheetPr codeName="Sheet19">
    <tabColor rgb="FFFFFFCC"/>
  </sheetPr>
  <dimension ref="A1:J145"/>
  <sheetViews>
    <sheetView showGridLines="0" zoomScaleNormal="100" workbookViewId="0">
      <selection sqref="A1:I1"/>
    </sheetView>
  </sheetViews>
  <sheetFormatPr defaultColWidth="0" defaultRowHeight="14.25" zeroHeight="1" x14ac:dyDescent="0.2"/>
  <cols>
    <col min="1" max="9" width="14.75" customWidth="1"/>
    <col min="10" max="10" width="2.625" customWidth="1"/>
    <col min="11" max="16384" width="9" hidden="1"/>
  </cols>
  <sheetData>
    <row r="1" spans="1:9" ht="8.25" customHeight="1" thickBot="1" x14ac:dyDescent="0.25">
      <c r="A1" s="478" t="s">
        <v>0</v>
      </c>
      <c r="B1" s="478"/>
      <c r="C1" s="478"/>
      <c r="D1" s="478"/>
      <c r="E1" s="478"/>
      <c r="F1" s="478"/>
      <c r="G1" s="478"/>
      <c r="H1" s="478"/>
      <c r="I1" s="478"/>
    </row>
    <row r="2" spans="1:9" ht="18.75" thickBot="1" x14ac:dyDescent="0.25">
      <c r="A2" s="525" t="s">
        <v>9698</v>
      </c>
      <c r="B2" s="525"/>
      <c r="C2" s="525"/>
      <c r="D2" s="525"/>
      <c r="E2" s="525"/>
      <c r="F2" s="525"/>
      <c r="G2" s="525"/>
      <c r="H2" s="525"/>
      <c r="I2" s="525"/>
    </row>
    <row r="3" spans="1:9" ht="91.5" customHeight="1" thickBot="1" x14ac:dyDescent="0.25">
      <c r="A3" s="483" t="s">
        <v>10892</v>
      </c>
      <c r="B3" s="484"/>
      <c r="C3" s="484"/>
      <c r="D3" s="484"/>
      <c r="E3" s="484"/>
      <c r="F3" s="484"/>
      <c r="G3" s="484"/>
      <c r="H3" s="484"/>
      <c r="I3" s="485"/>
    </row>
    <row r="4" spans="1:9" ht="15" thickBot="1" x14ac:dyDescent="0.25">
      <c r="A4" s="478" t="s">
        <v>1</v>
      </c>
      <c r="B4" s="478"/>
      <c r="C4" s="478"/>
      <c r="D4" s="478"/>
      <c r="E4" s="478"/>
      <c r="F4" s="478"/>
      <c r="G4" s="478"/>
      <c r="H4" s="478"/>
      <c r="I4" s="478"/>
    </row>
    <row r="5" spans="1:9" ht="15.75" thickBot="1" x14ac:dyDescent="0.25">
      <c r="A5" s="479" t="s">
        <v>133</v>
      </c>
      <c r="B5" s="479"/>
      <c r="C5" s="479"/>
      <c r="D5" s="479"/>
      <c r="E5" s="479"/>
      <c r="F5" s="479"/>
      <c r="G5" s="479"/>
      <c r="H5" s="479"/>
      <c r="I5" s="479"/>
    </row>
    <row r="6" spans="1:9" x14ac:dyDescent="0.2">
      <c r="A6" s="666" t="s">
        <v>166</v>
      </c>
      <c r="B6" s="667"/>
      <c r="C6" s="668"/>
      <c r="D6" s="551"/>
      <c r="E6" s="552"/>
      <c r="F6" s="552"/>
      <c r="G6" s="552"/>
      <c r="H6" s="552"/>
      <c r="I6" s="553"/>
    </row>
    <row r="7" spans="1:9" x14ac:dyDescent="0.2">
      <c r="A7" s="666" t="s">
        <v>167</v>
      </c>
      <c r="B7" s="667"/>
      <c r="C7" s="668"/>
      <c r="D7" s="551"/>
      <c r="E7" s="552"/>
      <c r="F7" s="552"/>
      <c r="G7" s="552"/>
      <c r="H7" s="552"/>
      <c r="I7" s="553"/>
    </row>
    <row r="8" spans="1:9" x14ac:dyDescent="0.2">
      <c r="A8" s="666" t="s">
        <v>168</v>
      </c>
      <c r="B8" s="667"/>
      <c r="C8" s="668"/>
      <c r="D8" s="551"/>
      <c r="E8" s="552"/>
      <c r="F8" s="552"/>
      <c r="G8" s="552"/>
      <c r="H8" s="552"/>
      <c r="I8" s="553"/>
    </row>
    <row r="9" spans="1:9" x14ac:dyDescent="0.2">
      <c r="A9" s="666" t="s">
        <v>169</v>
      </c>
      <c r="B9" s="667"/>
      <c r="C9" s="668"/>
      <c r="D9" s="551"/>
      <c r="E9" s="552"/>
      <c r="F9" s="552"/>
      <c r="G9" s="552"/>
      <c r="H9" s="552"/>
      <c r="I9" s="553"/>
    </row>
    <row r="10" spans="1:9" x14ac:dyDescent="0.2">
      <c r="A10" s="666" t="s">
        <v>170</v>
      </c>
      <c r="B10" s="667"/>
      <c r="C10" s="668"/>
      <c r="D10" s="551"/>
      <c r="E10" s="552"/>
      <c r="F10" s="552"/>
      <c r="G10" s="552"/>
      <c r="H10" s="552"/>
      <c r="I10" s="553"/>
    </row>
    <row r="11" spans="1:9" ht="15" thickBot="1" x14ac:dyDescent="0.25">
      <c r="A11" s="669" t="s">
        <v>171</v>
      </c>
      <c r="B11" s="670"/>
      <c r="C11" s="671"/>
      <c r="D11" s="557"/>
      <c r="E11" s="558"/>
      <c r="F11" s="558"/>
      <c r="G11" s="558"/>
      <c r="H11" s="558"/>
      <c r="I11" s="559"/>
    </row>
    <row r="12" spans="1:9" ht="15" thickBot="1" x14ac:dyDescent="0.25">
      <c r="A12" s="478" t="s">
        <v>1</v>
      </c>
      <c r="B12" s="478"/>
      <c r="C12" s="478"/>
      <c r="D12" s="478"/>
      <c r="E12" s="478"/>
      <c r="F12" s="478"/>
      <c r="G12" s="478"/>
      <c r="H12" s="478"/>
      <c r="I12" s="478"/>
    </row>
    <row r="13" spans="1:9" ht="15.75" thickBot="1" x14ac:dyDescent="0.25">
      <c r="A13" s="479" t="s">
        <v>9166</v>
      </c>
      <c r="B13" s="479"/>
      <c r="C13" s="479"/>
      <c r="D13" s="479"/>
      <c r="E13" s="479"/>
      <c r="F13" s="479"/>
      <c r="G13" s="479"/>
      <c r="H13" s="479"/>
      <c r="I13" s="479"/>
    </row>
    <row r="14" spans="1:9" ht="31.5" customHeight="1" x14ac:dyDescent="0.25">
      <c r="A14" s="852" t="s">
        <v>9167</v>
      </c>
      <c r="B14" s="853"/>
      <c r="C14" s="853"/>
      <c r="D14" s="792" t="s">
        <v>172</v>
      </c>
      <c r="E14" s="854"/>
      <c r="F14" s="854"/>
      <c r="G14" s="793"/>
      <c r="H14" s="563" t="s">
        <v>8723</v>
      </c>
      <c r="I14" s="847"/>
    </row>
    <row r="15" spans="1:9" x14ac:dyDescent="0.2">
      <c r="A15" s="666" t="s">
        <v>176</v>
      </c>
      <c r="B15" s="667"/>
      <c r="C15" s="668"/>
      <c r="D15" s="551"/>
      <c r="E15" s="552"/>
      <c r="F15" s="552"/>
      <c r="G15" s="759"/>
      <c r="H15" s="757" t="s">
        <v>9155</v>
      </c>
      <c r="I15" s="768"/>
    </row>
    <row r="16" spans="1:9" x14ac:dyDescent="0.2">
      <c r="A16" s="666" t="s">
        <v>177</v>
      </c>
      <c r="B16" s="667"/>
      <c r="C16" s="668"/>
      <c r="D16" s="551"/>
      <c r="E16" s="552"/>
      <c r="F16" s="552"/>
      <c r="G16" s="759"/>
      <c r="H16" s="757" t="s">
        <v>9156</v>
      </c>
      <c r="I16" s="768"/>
    </row>
    <row r="17" spans="1:9" ht="31.5" customHeight="1" x14ac:dyDescent="0.2">
      <c r="A17" s="836" t="s">
        <v>9173</v>
      </c>
      <c r="B17" s="837"/>
      <c r="C17" s="838"/>
      <c r="D17" s="848" t="s">
        <v>172</v>
      </c>
      <c r="E17" s="566"/>
      <c r="F17" s="566"/>
      <c r="G17" s="696"/>
      <c r="H17" s="563" t="s">
        <v>8723</v>
      </c>
      <c r="I17" s="847"/>
    </row>
    <row r="18" spans="1:9" x14ac:dyDescent="0.2">
      <c r="A18" s="528" t="s">
        <v>283</v>
      </c>
      <c r="B18" s="529"/>
      <c r="C18" s="529"/>
      <c r="D18" s="849"/>
      <c r="E18" s="850"/>
      <c r="F18" s="850"/>
      <c r="G18" s="851"/>
      <c r="H18" s="796" t="s">
        <v>8685</v>
      </c>
      <c r="I18" s="797"/>
    </row>
    <row r="19" spans="1:9" ht="15.75" customHeight="1" x14ac:dyDescent="0.2">
      <c r="A19" s="744" t="s">
        <v>284</v>
      </c>
      <c r="B19" s="690"/>
      <c r="C19" s="758"/>
      <c r="D19" s="551"/>
      <c r="E19" s="552"/>
      <c r="F19" s="552"/>
      <c r="G19" s="759"/>
      <c r="H19" s="757" t="s">
        <v>10279</v>
      </c>
      <c r="I19" s="768"/>
    </row>
    <row r="20" spans="1:9" x14ac:dyDescent="0.2">
      <c r="A20" s="530" t="s">
        <v>8712</v>
      </c>
      <c r="B20" s="531"/>
      <c r="C20" s="531"/>
      <c r="D20" s="551"/>
      <c r="E20" s="552"/>
      <c r="F20" s="552"/>
      <c r="G20" s="759"/>
      <c r="H20" s="529" t="s">
        <v>9264</v>
      </c>
      <c r="I20" s="714"/>
    </row>
    <row r="21" spans="1:9" ht="29.25" customHeight="1" x14ac:dyDescent="0.2">
      <c r="A21" s="530" t="s">
        <v>10442</v>
      </c>
      <c r="B21" s="531"/>
      <c r="C21" s="531"/>
      <c r="D21" s="551"/>
      <c r="E21" s="552"/>
      <c r="F21" s="552"/>
      <c r="G21" s="759"/>
      <c r="H21" s="529" t="str">
        <f t="shared" ref="H21" si="0">IF($D$18="regenerative","CEMS required","N/A")</f>
        <v>N/A</v>
      </c>
      <c r="I21" s="714"/>
    </row>
    <row r="22" spans="1:9" ht="15" x14ac:dyDescent="0.2">
      <c r="A22" s="836" t="s">
        <v>9535</v>
      </c>
      <c r="B22" s="837"/>
      <c r="C22" s="838"/>
      <c r="D22" s="839" t="s">
        <v>280</v>
      </c>
      <c r="E22" s="837"/>
      <c r="F22" s="837"/>
      <c r="G22" s="837"/>
      <c r="H22" s="837"/>
      <c r="I22" s="840"/>
    </row>
    <row r="23" spans="1:9" x14ac:dyDescent="0.2">
      <c r="A23" s="666" t="s">
        <v>8713</v>
      </c>
      <c r="B23" s="667"/>
      <c r="C23" s="668"/>
      <c r="D23" s="551"/>
      <c r="E23" s="552"/>
      <c r="F23" s="552"/>
      <c r="G23" s="552"/>
      <c r="H23" s="552"/>
      <c r="I23" s="553"/>
    </row>
    <row r="24" spans="1:9" ht="43.5" customHeight="1" x14ac:dyDescent="0.2">
      <c r="A24" s="744" t="s">
        <v>9403</v>
      </c>
      <c r="B24" s="690"/>
      <c r="C24" s="758"/>
      <c r="D24" s="551"/>
      <c r="E24" s="552"/>
      <c r="F24" s="552"/>
      <c r="G24" s="552"/>
      <c r="H24" s="552"/>
      <c r="I24" s="553"/>
    </row>
    <row r="25" spans="1:9" ht="15" thickBot="1" x14ac:dyDescent="0.25">
      <c r="A25" s="669" t="s">
        <v>285</v>
      </c>
      <c r="B25" s="670"/>
      <c r="C25" s="671"/>
      <c r="D25" s="557"/>
      <c r="E25" s="558"/>
      <c r="F25" s="558"/>
      <c r="G25" s="558"/>
      <c r="H25" s="558"/>
      <c r="I25" s="559"/>
    </row>
    <row r="26" spans="1:9" ht="15" thickBot="1" x14ac:dyDescent="0.25">
      <c r="A26" s="478" t="s">
        <v>1</v>
      </c>
      <c r="B26" s="478"/>
      <c r="C26" s="478"/>
      <c r="D26" s="478"/>
      <c r="E26" s="478"/>
      <c r="F26" s="478"/>
      <c r="G26" s="478"/>
      <c r="H26" s="478"/>
      <c r="I26" s="478"/>
    </row>
    <row r="27" spans="1:9" ht="15.75" thickBot="1" x14ac:dyDescent="0.25">
      <c r="A27" s="474" t="s">
        <v>9396</v>
      </c>
      <c r="B27" s="474"/>
      <c r="C27" s="474"/>
      <c r="D27" s="474"/>
      <c r="E27" s="474"/>
      <c r="F27" s="474"/>
      <c r="G27" s="474"/>
      <c r="H27" s="474"/>
      <c r="I27" s="474"/>
    </row>
    <row r="28" spans="1:9" ht="34.5" customHeight="1" x14ac:dyDescent="0.2">
      <c r="A28" s="539" t="s">
        <v>178</v>
      </c>
      <c r="B28" s="540"/>
      <c r="C28" s="540"/>
      <c r="D28" s="540"/>
      <c r="E28" s="540"/>
      <c r="F28" s="855" t="str">
        <f t="shared" ref="F28" si="1">IF($D$6="modified","Proposed increase in hourly emissions (lb/hr)","Proposed hourly emissions (lb/hr)")</f>
        <v>Proposed hourly emissions (lb/hr)</v>
      </c>
      <c r="G28" s="856"/>
      <c r="H28" s="540" t="str">
        <f>IF($D$6="modified","Proposed increase in annual emissions (tpy)","Proposed annual emissions (tpy)")</f>
        <v>Proposed annual emissions (tpy)</v>
      </c>
      <c r="I28" s="541"/>
    </row>
    <row r="29" spans="1:9" x14ac:dyDescent="0.2">
      <c r="A29" s="530" t="s">
        <v>229</v>
      </c>
      <c r="B29" s="531"/>
      <c r="C29" s="531"/>
      <c r="D29" s="531"/>
      <c r="E29" s="531"/>
      <c r="F29" s="857">
        <f>MAX($H$35,$H$46,$H$57,$H$68,$H$79,$H$90,$H$101,$H$112,$H$123,$H$134)</f>
        <v>0</v>
      </c>
      <c r="G29" s="858"/>
      <c r="H29" s="841">
        <f>SUM($I$35,$I$46,$I$57,$I$68,$I$79,$I$90,$I$101,$I$112,$I$123,$I$134)</f>
        <v>0</v>
      </c>
      <c r="I29" s="842"/>
    </row>
    <row r="30" spans="1:9" x14ac:dyDescent="0.2">
      <c r="A30" s="530" t="s">
        <v>267</v>
      </c>
      <c r="B30" s="531"/>
      <c r="C30" s="531"/>
      <c r="D30" s="531"/>
      <c r="E30" s="531"/>
      <c r="F30" s="857">
        <f>_xlfn.MAXIFS($F$35:$F$144,$E$35:$E$144,"7783-06-4")</f>
        <v>0</v>
      </c>
      <c r="G30" s="858"/>
      <c r="H30" s="843">
        <f t="shared" ref="H30" si="2">SUMIFS($G$35:$G$144,$E$35:$E$144,"7783-06-4")</f>
        <v>0</v>
      </c>
      <c r="I30" s="844"/>
    </row>
    <row r="31" spans="1:9" ht="15" thickBot="1" x14ac:dyDescent="0.25">
      <c r="A31" s="483" t="s">
        <v>9092</v>
      </c>
      <c r="B31" s="484"/>
      <c r="C31" s="484"/>
      <c r="D31" s="484"/>
      <c r="E31" s="484"/>
      <c r="F31" s="859">
        <f>_xlfn.MAXIFS($F$35:$F$144,$E$35:$E$144,"7664-93-9")</f>
        <v>0</v>
      </c>
      <c r="G31" s="860"/>
      <c r="H31" s="845">
        <f t="shared" ref="H31" si="3">SUMIFS($G$35:$G$144,$E$35:$E$144,"7664-93-9")</f>
        <v>0</v>
      </c>
      <c r="I31" s="846"/>
    </row>
    <row r="32" spans="1:9" ht="15" thickBot="1" x14ac:dyDescent="0.25">
      <c r="A32" s="828" t="s">
        <v>1</v>
      </c>
      <c r="B32" s="828"/>
      <c r="C32" s="828"/>
      <c r="D32" s="828"/>
      <c r="E32" s="828"/>
      <c r="F32" s="828"/>
      <c r="G32" s="828"/>
      <c r="H32" s="828"/>
      <c r="I32" s="828"/>
    </row>
    <row r="33" spans="1:9" ht="15.75" thickBot="1" x14ac:dyDescent="0.25">
      <c r="A33" s="479" t="s">
        <v>9381</v>
      </c>
      <c r="B33" s="479"/>
      <c r="C33" s="479"/>
      <c r="D33" s="479"/>
      <c r="E33" s="479"/>
      <c r="F33" s="479"/>
      <c r="G33" s="479"/>
      <c r="H33" s="479"/>
      <c r="I33" s="479"/>
    </row>
    <row r="34" spans="1:9" ht="79.5" customHeight="1" thickBot="1" x14ac:dyDescent="0.25">
      <c r="A34" s="834" t="s">
        <v>289</v>
      </c>
      <c r="B34" s="835"/>
      <c r="C34" s="835"/>
      <c r="D34" s="835"/>
      <c r="E34" s="378" t="s">
        <v>8751</v>
      </c>
      <c r="F34" s="378" t="str">
        <f>IF($D$6="modified","Proposed increase in collected emissions (lb/hr)","Collected emissions (lb/hr)")</f>
        <v>Collected emissions (lb/hr)</v>
      </c>
      <c r="G34" s="378" t="str">
        <f>IF($D$6="modified","Proposed increase in collected emissions (tpy)","Collected emissions (tpy)")</f>
        <v>Collected emissions (tpy)</v>
      </c>
      <c r="H34" s="378" t="str">
        <f>IF($D$6="modified","Proposed increase in CAS hourly emissions (lb/hr)","Proposed CAS hourly emissions (lb/hr)")</f>
        <v>Proposed CAS hourly emissions (lb/hr)</v>
      </c>
      <c r="I34" s="379" t="str">
        <f>IF($D$6="modified","Proposed increase in CAS annual emissions (tpy)","Proposed CAS annual emissions (tpy)")</f>
        <v>Proposed CAS annual emissions (tpy)</v>
      </c>
    </row>
    <row r="35" spans="1:9" x14ac:dyDescent="0.2">
      <c r="A35" s="781" t="str">
        <f>Hidden!EO2</f>
        <v/>
      </c>
      <c r="B35" s="782"/>
      <c r="C35" s="782"/>
      <c r="D35" s="782"/>
      <c r="E35" s="320" t="str">
        <f>IF(A35="","","Total VOC")</f>
        <v/>
      </c>
      <c r="F35" s="380">
        <f>Hidden!$EP$2</f>
        <v>0</v>
      </c>
      <c r="G35" s="380">
        <f>Hidden!$EQ$2</f>
        <v>0</v>
      </c>
      <c r="H35" s="381" t="str">
        <f t="shared" ref="H35:I35" si="4">IF($E35="","",IF(OR($E35="7783-06-4",$E35="7446-09-5",$E35="7664-93-9"),F35,F35*($D$19/1000000)))</f>
        <v/>
      </c>
      <c r="I35" s="382" t="str">
        <f t="shared" si="4"/>
        <v/>
      </c>
    </row>
    <row r="36" spans="1:9" x14ac:dyDescent="0.2">
      <c r="A36" s="627" t="str">
        <f>A35&amp;"A"</f>
        <v>A</v>
      </c>
      <c r="B36" s="628"/>
      <c r="C36" s="628"/>
      <c r="D36" s="628"/>
      <c r="E36" s="16" t="str">
        <f>IF(A35="","",IF(VLOOKUP(A35,Products!$A$59:$E$158,5,FALSE)="","",VLOOKUP(A35,Products!$A$59:$E$158,5,FALSE)))</f>
        <v/>
      </c>
      <c r="F36" s="22" t="str">
        <f>IF($E36="","",F$35*(VLOOKUP($A35,Products!$A$59:$H$158,8,FALSE)))</f>
        <v/>
      </c>
      <c r="G36" s="22" t="str">
        <f>IF($E36="","",G$35*(VLOOKUP($A35,Products!$A$59:$H$158,8,FALSE)))</f>
        <v/>
      </c>
      <c r="H36" s="20" t="str">
        <f t="shared" ref="H36:H46" si="5">IF($E36="","",IF(OR($E36="7783-06-4",$E36="7446-09-5",$E36="7664-93-9"),F36,F36*($D$19/1000000)))</f>
        <v/>
      </c>
      <c r="I36" s="21" t="str">
        <f t="shared" ref="I36:I46" si="6">IF($E36="","",IF(OR($E36="7783-06-4",$E36="7446-09-5",$E36="7664-93-9"),G36,G36*($D$19/1000000)))</f>
        <v/>
      </c>
    </row>
    <row r="37" spans="1:9" x14ac:dyDescent="0.2">
      <c r="A37" s="627" t="str">
        <f t="shared" ref="A37:A45" si="7">A36&amp;"A"</f>
        <v>AA</v>
      </c>
      <c r="B37" s="628"/>
      <c r="C37" s="628"/>
      <c r="D37" s="628"/>
      <c r="E37" s="16" t="str">
        <f>IF(A36="","",IF(VLOOKUP(A36,Products!$A$59:$E$158,5,FALSE)="","",VLOOKUP(A36,Products!$A$59:$E$158,5,FALSE)))</f>
        <v/>
      </c>
      <c r="F37" s="22" t="str">
        <f>IF($E37="","",F$35*(VLOOKUP($A36,Products!$A$59:$H$158,8,FALSE)))</f>
        <v/>
      </c>
      <c r="G37" s="22" t="str">
        <f>IF($E37="","",G$35*(VLOOKUP($A36,Products!$A$59:$H$158,8,FALSE)))</f>
        <v/>
      </c>
      <c r="H37" s="20" t="str">
        <f t="shared" si="5"/>
        <v/>
      </c>
      <c r="I37" s="21" t="str">
        <f t="shared" si="6"/>
        <v/>
      </c>
    </row>
    <row r="38" spans="1:9" x14ac:dyDescent="0.2">
      <c r="A38" s="627" t="str">
        <f t="shared" si="7"/>
        <v>AAA</v>
      </c>
      <c r="B38" s="628"/>
      <c r="C38" s="628"/>
      <c r="D38" s="628"/>
      <c r="E38" s="16" t="str">
        <f>IF(A37="","",IF(VLOOKUP(A37,Products!$A$59:$E$158,5,FALSE)="","",VLOOKUP(A37,Products!$A$59:$E$158,5,FALSE)))</f>
        <v/>
      </c>
      <c r="F38" s="22" t="str">
        <f>IF($E38="","",F$35*(VLOOKUP($A37,Products!$A$59:$H$158,8,FALSE)))</f>
        <v/>
      </c>
      <c r="G38" s="22" t="str">
        <f>IF($E38="","",G$35*(VLOOKUP($A37,Products!$A$59:$H$158,8,FALSE)))</f>
        <v/>
      </c>
      <c r="H38" s="20" t="str">
        <f t="shared" si="5"/>
        <v/>
      </c>
      <c r="I38" s="21" t="str">
        <f t="shared" si="6"/>
        <v/>
      </c>
    </row>
    <row r="39" spans="1:9" ht="14.25" customHeight="1" x14ac:dyDescent="0.2">
      <c r="A39" s="627" t="str">
        <f t="shared" si="7"/>
        <v>AAAA</v>
      </c>
      <c r="B39" s="628"/>
      <c r="C39" s="628"/>
      <c r="D39" s="628"/>
      <c r="E39" s="16" t="str">
        <f>IF(A38="","",IF(VLOOKUP(A38,Products!$A$59:$E$158,5,FALSE)="","",VLOOKUP(A38,Products!$A$59:$E$158,5,FALSE)))</f>
        <v/>
      </c>
      <c r="F39" s="22" t="str">
        <f>IF($E39="","",F$35*(VLOOKUP($A38,Products!$A$59:$H$158,8,FALSE)))</f>
        <v/>
      </c>
      <c r="G39" s="22" t="str">
        <f>IF($E39="","",G$35*(VLOOKUP($A38,Products!$A$59:$H$158,8,FALSE)))</f>
        <v/>
      </c>
      <c r="H39" s="20" t="str">
        <f t="shared" si="5"/>
        <v/>
      </c>
      <c r="I39" s="21" t="str">
        <f t="shared" si="6"/>
        <v/>
      </c>
    </row>
    <row r="40" spans="1:9" x14ac:dyDescent="0.2">
      <c r="A40" s="627" t="str">
        <f t="shared" si="7"/>
        <v>AAAAA</v>
      </c>
      <c r="B40" s="628"/>
      <c r="C40" s="628"/>
      <c r="D40" s="628"/>
      <c r="E40" s="16" t="str">
        <f>IF(A39="","",IF(VLOOKUP(A39,Products!$A$59:$E$158,5,FALSE)="","",VLOOKUP(A39,Products!$A$59:$E$158,5,FALSE)))</f>
        <v/>
      </c>
      <c r="F40" s="22" t="str">
        <f>IF($E40="","",F$35*(VLOOKUP($A39,Products!$A$59:$H$158,8,FALSE)))</f>
        <v/>
      </c>
      <c r="G40" s="22" t="str">
        <f>IF($E40="","",G$35*(VLOOKUP($A39,Products!$A$59:$H$158,8,FALSE)))</f>
        <v/>
      </c>
      <c r="H40" s="20" t="str">
        <f t="shared" si="5"/>
        <v/>
      </c>
      <c r="I40" s="21" t="str">
        <f t="shared" si="6"/>
        <v/>
      </c>
    </row>
    <row r="41" spans="1:9" x14ac:dyDescent="0.2">
      <c r="A41" s="627" t="str">
        <f t="shared" si="7"/>
        <v>AAAAAA</v>
      </c>
      <c r="B41" s="628"/>
      <c r="C41" s="628"/>
      <c r="D41" s="628"/>
      <c r="E41" s="16" t="str">
        <f>IF(A40="","",IF(VLOOKUP(A40,Products!$A$59:$E$158,5,FALSE)="","",VLOOKUP(A40,Products!$A$59:$E$158,5,FALSE)))</f>
        <v/>
      </c>
      <c r="F41" s="22" t="str">
        <f>IF($E41="","",F$35*(VLOOKUP($A40,Products!$A$59:$H$158,8,FALSE)))</f>
        <v/>
      </c>
      <c r="G41" s="22" t="str">
        <f>IF($E41="","",G$35*(VLOOKUP($A40,Products!$A$59:$H$158,8,FALSE)))</f>
        <v/>
      </c>
      <c r="H41" s="20" t="str">
        <f t="shared" si="5"/>
        <v/>
      </c>
      <c r="I41" s="21" t="str">
        <f t="shared" si="6"/>
        <v/>
      </c>
    </row>
    <row r="42" spans="1:9" x14ac:dyDescent="0.2">
      <c r="A42" s="627" t="str">
        <f t="shared" si="7"/>
        <v>AAAAAAA</v>
      </c>
      <c r="B42" s="628"/>
      <c r="C42" s="628"/>
      <c r="D42" s="628"/>
      <c r="E42" s="16" t="str">
        <f>IF(A41="","",IF(VLOOKUP(A41,Products!$A$59:$E$158,5,FALSE)="","",VLOOKUP(A41,Products!$A$59:$E$158,5,FALSE)))</f>
        <v/>
      </c>
      <c r="F42" s="22" t="str">
        <f>IF($E42="","",F$35*(VLOOKUP($A41,Products!$A$59:$H$158,8,FALSE)))</f>
        <v/>
      </c>
      <c r="G42" s="22" t="str">
        <f>IF($E42="","",G$35*(VLOOKUP($A41,Products!$A$59:$H$158,8,FALSE)))</f>
        <v/>
      </c>
      <c r="H42" s="20" t="str">
        <f t="shared" si="5"/>
        <v/>
      </c>
      <c r="I42" s="21" t="str">
        <f t="shared" si="6"/>
        <v/>
      </c>
    </row>
    <row r="43" spans="1:9" x14ac:dyDescent="0.2">
      <c r="A43" s="627" t="str">
        <f t="shared" si="7"/>
        <v>AAAAAAAA</v>
      </c>
      <c r="B43" s="628"/>
      <c r="C43" s="628"/>
      <c r="D43" s="628"/>
      <c r="E43" s="16" t="str">
        <f>IF(A42="","",IF(VLOOKUP(A42,Products!$A$59:$E$158,5,FALSE)="","",VLOOKUP(A42,Products!$A$59:$E$158,5,FALSE)))</f>
        <v/>
      </c>
      <c r="F43" s="22" t="str">
        <f>IF($E43="","",F$35*(VLOOKUP($A42,Products!$A$59:$H$158,8,FALSE)))</f>
        <v/>
      </c>
      <c r="G43" s="22" t="str">
        <f>IF($E43="","",G$35*(VLOOKUP($A42,Products!$A$59:$H$158,8,FALSE)))</f>
        <v/>
      </c>
      <c r="H43" s="20" t="str">
        <f t="shared" si="5"/>
        <v/>
      </c>
      <c r="I43" s="21" t="str">
        <f t="shared" si="6"/>
        <v/>
      </c>
    </row>
    <row r="44" spans="1:9" x14ac:dyDescent="0.2">
      <c r="A44" s="627" t="str">
        <f t="shared" si="7"/>
        <v>AAAAAAAAA</v>
      </c>
      <c r="B44" s="628"/>
      <c r="C44" s="628"/>
      <c r="D44" s="628"/>
      <c r="E44" s="16" t="str">
        <f>IF(A43="","",IF(VLOOKUP(A43,Products!$A$59:$E$158,5,FALSE)="","",VLOOKUP(A43,Products!$A$59:$E$158,5,FALSE)))</f>
        <v/>
      </c>
      <c r="F44" s="22" t="str">
        <f>IF($E44="","",F$35*(VLOOKUP($A43,Products!$A$59:$H$158,8,FALSE)))</f>
        <v/>
      </c>
      <c r="G44" s="22" t="str">
        <f>IF($E44="","",G$35*(VLOOKUP($A43,Products!$A$59:$H$158,8,FALSE)))</f>
        <v/>
      </c>
      <c r="H44" s="20" t="str">
        <f t="shared" si="5"/>
        <v/>
      </c>
      <c r="I44" s="21" t="str">
        <f t="shared" si="6"/>
        <v/>
      </c>
    </row>
    <row r="45" spans="1:9" x14ac:dyDescent="0.2">
      <c r="A45" s="627" t="str">
        <f t="shared" si="7"/>
        <v>AAAAAAAAAA</v>
      </c>
      <c r="B45" s="628"/>
      <c r="C45" s="628"/>
      <c r="D45" s="628"/>
      <c r="E45" s="16" t="str">
        <f>IF(A44="","",IF(VLOOKUP(A44,Products!$A$59:$E$158,5,FALSE)="","",VLOOKUP(A44,Products!$A$59:$E$158,5,FALSE)))</f>
        <v/>
      </c>
      <c r="F45" s="22" t="str">
        <f>IF($E45="","",F$35*(VLOOKUP($A44,Products!$A$59:$H$158,8,FALSE)))</f>
        <v/>
      </c>
      <c r="G45" s="22" t="str">
        <f>IF($E45="","",G$35*(VLOOKUP($A44,Products!$A$59:$H$158,8,FALSE)))</f>
        <v/>
      </c>
      <c r="H45" s="20" t="str">
        <f t="shared" si="5"/>
        <v/>
      </c>
      <c r="I45" s="21" t="str">
        <f t="shared" si="6"/>
        <v/>
      </c>
    </row>
    <row r="46" spans="1:9" x14ac:dyDescent="0.2">
      <c r="A46" s="833" t="str">
        <f>Hidden!EO3</f>
        <v/>
      </c>
      <c r="B46" s="672"/>
      <c r="C46" s="672"/>
      <c r="D46" s="672"/>
      <c r="E46" s="16" t="str">
        <f>IF(A46="","","Total VOC")</f>
        <v/>
      </c>
      <c r="F46" s="22">
        <f>Hidden!$EP$3</f>
        <v>0</v>
      </c>
      <c r="G46" s="22">
        <f>Hidden!$EQ$3</f>
        <v>0</v>
      </c>
      <c r="H46" s="20" t="str">
        <f t="shared" si="5"/>
        <v/>
      </c>
      <c r="I46" s="21" t="str">
        <f t="shared" si="6"/>
        <v/>
      </c>
    </row>
    <row r="47" spans="1:9" x14ac:dyDescent="0.2">
      <c r="A47" s="627" t="str">
        <f>A46&amp;"A"</f>
        <v>A</v>
      </c>
      <c r="B47" s="628"/>
      <c r="C47" s="628"/>
      <c r="D47" s="628"/>
      <c r="E47" s="16" t="str">
        <f>IF(A46="","",IF(VLOOKUP(A46,Products!$A$59:$E$158,5,FALSE)="","",VLOOKUP(A46,Products!$A$59:$E$158,5,FALSE)))</f>
        <v/>
      </c>
      <c r="F47" s="22" t="str">
        <f>IF($E47="","",F$46*(VLOOKUP($A46,Products!$A$59:$H$158,8,FALSE)))</f>
        <v/>
      </c>
      <c r="G47" s="22" t="str">
        <f>IF($E47="","",G$46*(VLOOKUP($A46,Products!$A$59:$H$158,8,FALSE)))</f>
        <v/>
      </c>
      <c r="H47" s="20" t="str">
        <f t="shared" ref="H47:H110" si="8">IF($E47="","",IF(OR($E47="7783-06-4",$E47="7446-09-5",$E47="7664-93-9"),F47,F47*($D$19/1000000)))</f>
        <v/>
      </c>
      <c r="I47" s="21" t="str">
        <f t="shared" ref="I47:I110" si="9">IF($E47="","",IF(OR($E47="7783-06-4",$E47="7446-09-5",$E47="7664-93-9"),G47,G47*($D$19/1000000)))</f>
        <v/>
      </c>
    </row>
    <row r="48" spans="1:9" x14ac:dyDescent="0.2">
      <c r="A48" s="627" t="str">
        <f t="shared" ref="A48:A56" si="10">A47&amp;"A"</f>
        <v>AA</v>
      </c>
      <c r="B48" s="628"/>
      <c r="C48" s="628"/>
      <c r="D48" s="628"/>
      <c r="E48" s="16" t="str">
        <f>IF(A47="","",IF(VLOOKUP(A47,Products!$A$59:$E$158,5,FALSE)="","",VLOOKUP(A47,Products!$A$59:$E$158,5,FALSE)))</f>
        <v/>
      </c>
      <c r="F48" s="22" t="str">
        <f>IF($E48="","",F$46*(VLOOKUP($A47,Products!$A$59:$H$158,8,FALSE)))</f>
        <v/>
      </c>
      <c r="G48" s="22" t="str">
        <f>IF($E48="","",G$46*(VLOOKUP($A47,Products!$A$59:$H$158,8,FALSE)))</f>
        <v/>
      </c>
      <c r="H48" s="20" t="str">
        <f t="shared" si="8"/>
        <v/>
      </c>
      <c r="I48" s="21" t="str">
        <f t="shared" si="9"/>
        <v/>
      </c>
    </row>
    <row r="49" spans="1:9" x14ac:dyDescent="0.2">
      <c r="A49" s="627" t="str">
        <f t="shared" si="10"/>
        <v>AAA</v>
      </c>
      <c r="B49" s="628"/>
      <c r="C49" s="628"/>
      <c r="D49" s="628"/>
      <c r="E49" s="16" t="str">
        <f>IF(A48="","",IF(VLOOKUP(A48,Products!$A$59:$E$158,5,FALSE)="","",VLOOKUP(A48,Products!$A$59:$E$158,5,FALSE)))</f>
        <v/>
      </c>
      <c r="F49" s="22" t="str">
        <f>IF($E49="","",F$46*(VLOOKUP($A48,Products!$A$59:$H$158,8,FALSE)))</f>
        <v/>
      </c>
      <c r="G49" s="22" t="str">
        <f>IF($E49="","",G$46*(VLOOKUP($A48,Products!$A$59:$H$158,8,FALSE)))</f>
        <v/>
      </c>
      <c r="H49" s="20" t="str">
        <f t="shared" si="8"/>
        <v/>
      </c>
      <c r="I49" s="21" t="str">
        <f t="shared" si="9"/>
        <v/>
      </c>
    </row>
    <row r="50" spans="1:9" x14ac:dyDescent="0.2">
      <c r="A50" s="627" t="str">
        <f t="shared" si="10"/>
        <v>AAAA</v>
      </c>
      <c r="B50" s="628"/>
      <c r="C50" s="628"/>
      <c r="D50" s="628"/>
      <c r="E50" s="16" t="str">
        <f>IF(A49="","",IF(VLOOKUP(A49,Products!$A$59:$E$158,5,FALSE)="","",VLOOKUP(A49,Products!$A$59:$E$158,5,FALSE)))</f>
        <v/>
      </c>
      <c r="F50" s="22" t="str">
        <f>IF($E50="","",F$46*(VLOOKUP($A49,Products!$A$59:$H$158,8,FALSE)))</f>
        <v/>
      </c>
      <c r="G50" s="22" t="str">
        <f>IF($E50="","",G$46*(VLOOKUP($A49,Products!$A$59:$H$158,8,FALSE)))</f>
        <v/>
      </c>
      <c r="H50" s="20" t="str">
        <f t="shared" si="8"/>
        <v/>
      </c>
      <c r="I50" s="21" t="str">
        <f t="shared" si="9"/>
        <v/>
      </c>
    </row>
    <row r="51" spans="1:9" x14ac:dyDescent="0.2">
      <c r="A51" s="627" t="str">
        <f t="shared" si="10"/>
        <v>AAAAA</v>
      </c>
      <c r="B51" s="628"/>
      <c r="C51" s="628"/>
      <c r="D51" s="628"/>
      <c r="E51" s="16" t="str">
        <f>IF(A50="","",IF(VLOOKUP(A50,Products!$A$59:$E$158,5,FALSE)="","",VLOOKUP(A50,Products!$A$59:$E$158,5,FALSE)))</f>
        <v/>
      </c>
      <c r="F51" s="22" t="str">
        <f>IF($E51="","",F$46*(VLOOKUP($A50,Products!$A$59:$H$158,8,FALSE)))</f>
        <v/>
      </c>
      <c r="G51" s="22" t="str">
        <f>IF($E51="","",G$46*(VLOOKUP($A50,Products!$A$59:$H$158,8,FALSE)))</f>
        <v/>
      </c>
      <c r="H51" s="20" t="str">
        <f t="shared" si="8"/>
        <v/>
      </c>
      <c r="I51" s="21" t="str">
        <f t="shared" si="9"/>
        <v/>
      </c>
    </row>
    <row r="52" spans="1:9" x14ac:dyDescent="0.2">
      <c r="A52" s="627" t="str">
        <f t="shared" si="10"/>
        <v>AAAAAA</v>
      </c>
      <c r="B52" s="628"/>
      <c r="C52" s="628"/>
      <c r="D52" s="628"/>
      <c r="E52" s="16" t="str">
        <f>IF(A51="","",IF(VLOOKUP(A51,Products!$A$59:$E$158,5,FALSE)="","",VLOOKUP(A51,Products!$A$59:$E$158,5,FALSE)))</f>
        <v/>
      </c>
      <c r="F52" s="22" t="str">
        <f>IF($E52="","",F$46*(VLOOKUP($A51,Products!$A$59:$H$158,8,FALSE)))</f>
        <v/>
      </c>
      <c r="G52" s="22" t="str">
        <f>IF($E52="","",G$46*(VLOOKUP($A51,Products!$A$59:$H$158,8,FALSE)))</f>
        <v/>
      </c>
      <c r="H52" s="20" t="str">
        <f t="shared" si="8"/>
        <v/>
      </c>
      <c r="I52" s="21" t="str">
        <f t="shared" si="9"/>
        <v/>
      </c>
    </row>
    <row r="53" spans="1:9" x14ac:dyDescent="0.2">
      <c r="A53" s="627" t="str">
        <f t="shared" si="10"/>
        <v>AAAAAAA</v>
      </c>
      <c r="B53" s="628"/>
      <c r="C53" s="628"/>
      <c r="D53" s="628"/>
      <c r="E53" s="16" t="str">
        <f>IF(A52="","",IF(VLOOKUP(A52,Products!$A$59:$E$158,5,FALSE)="","",VLOOKUP(A52,Products!$A$59:$E$158,5,FALSE)))</f>
        <v/>
      </c>
      <c r="F53" s="22" t="str">
        <f>IF($E53="","",F$46*(VLOOKUP($A52,Products!$A$59:$H$158,8,FALSE)))</f>
        <v/>
      </c>
      <c r="G53" s="22" t="str">
        <f>IF($E53="","",G$46*(VLOOKUP($A52,Products!$A$59:$H$158,8,FALSE)))</f>
        <v/>
      </c>
      <c r="H53" s="20" t="str">
        <f t="shared" si="8"/>
        <v/>
      </c>
      <c r="I53" s="21" t="str">
        <f t="shared" si="9"/>
        <v/>
      </c>
    </row>
    <row r="54" spans="1:9" x14ac:dyDescent="0.2">
      <c r="A54" s="627" t="str">
        <f t="shared" si="10"/>
        <v>AAAAAAAA</v>
      </c>
      <c r="B54" s="628"/>
      <c r="C54" s="628"/>
      <c r="D54" s="628"/>
      <c r="E54" s="16" t="str">
        <f>IF(A53="","",IF(VLOOKUP(A53,Products!$A$59:$E$158,5,FALSE)="","",VLOOKUP(A53,Products!$A$59:$E$158,5,FALSE)))</f>
        <v/>
      </c>
      <c r="F54" s="22" t="str">
        <f>IF($E54="","",F$46*(VLOOKUP($A53,Products!$A$59:$H$158,8,FALSE)))</f>
        <v/>
      </c>
      <c r="G54" s="22" t="str">
        <f>IF($E54="","",G$46*(VLOOKUP($A53,Products!$A$59:$H$158,8,FALSE)))</f>
        <v/>
      </c>
      <c r="H54" s="20" t="str">
        <f t="shared" si="8"/>
        <v/>
      </c>
      <c r="I54" s="21" t="str">
        <f t="shared" si="9"/>
        <v/>
      </c>
    </row>
    <row r="55" spans="1:9" x14ac:dyDescent="0.2">
      <c r="A55" s="627" t="str">
        <f t="shared" si="10"/>
        <v>AAAAAAAAA</v>
      </c>
      <c r="B55" s="628"/>
      <c r="C55" s="628"/>
      <c r="D55" s="628"/>
      <c r="E55" s="16" t="str">
        <f>IF(A54="","",IF(VLOOKUP(A54,Products!$A$59:$E$158,5,FALSE)="","",VLOOKUP(A54,Products!$A$59:$E$158,5,FALSE)))</f>
        <v/>
      </c>
      <c r="F55" s="22" t="str">
        <f>IF($E55="","",F$46*(VLOOKUP($A54,Products!$A$59:$H$158,8,FALSE)))</f>
        <v/>
      </c>
      <c r="G55" s="22" t="str">
        <f>IF($E55="","",G$46*(VLOOKUP($A54,Products!$A$59:$H$158,8,FALSE)))</f>
        <v/>
      </c>
      <c r="H55" s="20" t="str">
        <f t="shared" si="8"/>
        <v/>
      </c>
      <c r="I55" s="21" t="str">
        <f t="shared" si="9"/>
        <v/>
      </c>
    </row>
    <row r="56" spans="1:9" x14ac:dyDescent="0.2">
      <c r="A56" s="627" t="str">
        <f t="shared" si="10"/>
        <v>AAAAAAAAAA</v>
      </c>
      <c r="B56" s="628"/>
      <c r="C56" s="628"/>
      <c r="D56" s="628"/>
      <c r="E56" s="16" t="str">
        <f>IF(A55="","",IF(VLOOKUP(A55,Products!$A$59:$E$158,5,FALSE)="","",VLOOKUP(A55,Products!$A$59:$E$158,5,FALSE)))</f>
        <v/>
      </c>
      <c r="F56" s="22" t="str">
        <f>IF($E56="","",F$46*(VLOOKUP($A55,Products!$A$59:$H$158,8,FALSE)))</f>
        <v/>
      </c>
      <c r="G56" s="22" t="str">
        <f>IF($E56="","",G$46*(VLOOKUP($A55,Products!$A$59:$H$158,8,FALSE)))</f>
        <v/>
      </c>
      <c r="H56" s="20" t="str">
        <f t="shared" si="8"/>
        <v/>
      </c>
      <c r="I56" s="21" t="str">
        <f t="shared" si="9"/>
        <v/>
      </c>
    </row>
    <row r="57" spans="1:9" x14ac:dyDescent="0.2">
      <c r="A57" s="833" t="str">
        <f>Hidden!EO4</f>
        <v/>
      </c>
      <c r="B57" s="672"/>
      <c r="C57" s="672"/>
      <c r="D57" s="672"/>
      <c r="E57" s="16" t="str">
        <f>IF(A57="","","Total VOC")</f>
        <v/>
      </c>
      <c r="F57" s="22">
        <f>Hidden!$EP$4</f>
        <v>0</v>
      </c>
      <c r="G57" s="22">
        <f>Hidden!$EQ$4</f>
        <v>0</v>
      </c>
      <c r="H57" s="20" t="str">
        <f t="shared" si="8"/>
        <v/>
      </c>
      <c r="I57" s="21" t="str">
        <f t="shared" si="9"/>
        <v/>
      </c>
    </row>
    <row r="58" spans="1:9" x14ac:dyDescent="0.2">
      <c r="A58" s="627" t="str">
        <f>A57&amp;"A"</f>
        <v>A</v>
      </c>
      <c r="B58" s="628"/>
      <c r="C58" s="628"/>
      <c r="D58" s="628"/>
      <c r="E58" s="16" t="str">
        <f>IF(A57="","",IF(VLOOKUP(A57,Products!$A$59:$E$158,5,FALSE)="","",VLOOKUP(A57,Products!$A$59:$E$158,5,FALSE)))</f>
        <v/>
      </c>
      <c r="F58" s="22" t="str">
        <f>IF($E58="","",F$57*(VLOOKUP($A57,Products!$A$59:$H$158,8,FALSE)))</f>
        <v/>
      </c>
      <c r="G58" s="22" t="str">
        <f>IF($E58="","",G$57*(VLOOKUP($A57,Products!$A$59:$H$158,8,FALSE)))</f>
        <v/>
      </c>
      <c r="H58" s="20" t="str">
        <f t="shared" si="8"/>
        <v/>
      </c>
      <c r="I58" s="21" t="str">
        <f t="shared" si="9"/>
        <v/>
      </c>
    </row>
    <row r="59" spans="1:9" x14ac:dyDescent="0.2">
      <c r="A59" s="627" t="str">
        <f t="shared" ref="A59:A67" si="11">A58&amp;"A"</f>
        <v>AA</v>
      </c>
      <c r="B59" s="628"/>
      <c r="C59" s="628"/>
      <c r="D59" s="628"/>
      <c r="E59" s="16" t="str">
        <f>IF(A58="","",IF(VLOOKUP(A58,Products!$A$59:$E$158,5,FALSE)="","",VLOOKUP(A58,Products!$A$59:$E$158,5,FALSE)))</f>
        <v/>
      </c>
      <c r="F59" s="22" t="str">
        <f>IF($E59="","",F$57*(VLOOKUP($A58,Products!$A$59:$H$158,8,FALSE)))</f>
        <v/>
      </c>
      <c r="G59" s="22" t="str">
        <f>IF($E59="","",G$57*(VLOOKUP($A58,Products!$A$59:$H$158,8,FALSE)))</f>
        <v/>
      </c>
      <c r="H59" s="20" t="str">
        <f t="shared" si="8"/>
        <v/>
      </c>
      <c r="I59" s="21" t="str">
        <f t="shared" si="9"/>
        <v/>
      </c>
    </row>
    <row r="60" spans="1:9" x14ac:dyDescent="0.2">
      <c r="A60" s="627" t="str">
        <f t="shared" si="11"/>
        <v>AAA</v>
      </c>
      <c r="B60" s="628"/>
      <c r="C60" s="628"/>
      <c r="D60" s="628"/>
      <c r="E60" s="16" t="str">
        <f>IF(A59="","",IF(VLOOKUP(A59,Products!$A$59:$E$158,5,FALSE)="","",VLOOKUP(A59,Products!$A$59:$E$158,5,FALSE)))</f>
        <v/>
      </c>
      <c r="F60" s="22" t="str">
        <f>IF($E60="","",F$57*(VLOOKUP($A59,Products!$A$59:$H$158,8,FALSE)))</f>
        <v/>
      </c>
      <c r="G60" s="22" t="str">
        <f>IF($E60="","",G$57*(VLOOKUP($A59,Products!$A$59:$H$158,8,FALSE)))</f>
        <v/>
      </c>
      <c r="H60" s="20" t="str">
        <f t="shared" si="8"/>
        <v/>
      </c>
      <c r="I60" s="21" t="str">
        <f t="shared" si="9"/>
        <v/>
      </c>
    </row>
    <row r="61" spans="1:9" x14ac:dyDescent="0.2">
      <c r="A61" s="627" t="str">
        <f t="shared" si="11"/>
        <v>AAAA</v>
      </c>
      <c r="B61" s="628"/>
      <c r="C61" s="628"/>
      <c r="D61" s="628"/>
      <c r="E61" s="16" t="str">
        <f>IF(A60="","",IF(VLOOKUP(A60,Products!$A$59:$E$158,5,FALSE)="","",VLOOKUP(A60,Products!$A$59:$E$158,5,FALSE)))</f>
        <v/>
      </c>
      <c r="F61" s="22" t="str">
        <f>IF($E61="","",F$57*(VLOOKUP($A60,Products!$A$59:$H$158,8,FALSE)))</f>
        <v/>
      </c>
      <c r="G61" s="22" t="str">
        <f>IF($E61="","",G$57*(VLOOKUP($A60,Products!$A$59:$H$158,8,FALSE)))</f>
        <v/>
      </c>
      <c r="H61" s="20" t="str">
        <f t="shared" si="8"/>
        <v/>
      </c>
      <c r="I61" s="21" t="str">
        <f t="shared" si="9"/>
        <v/>
      </c>
    </row>
    <row r="62" spans="1:9" x14ac:dyDescent="0.2">
      <c r="A62" s="627" t="str">
        <f t="shared" si="11"/>
        <v>AAAAA</v>
      </c>
      <c r="B62" s="628"/>
      <c r="C62" s="628"/>
      <c r="D62" s="628"/>
      <c r="E62" s="16" t="str">
        <f>IF(A61="","",IF(VLOOKUP(A61,Products!$A$59:$E$158,5,FALSE)="","",VLOOKUP(A61,Products!$A$59:$E$158,5,FALSE)))</f>
        <v/>
      </c>
      <c r="F62" s="22" t="str">
        <f>IF($E62="","",F$57*(VLOOKUP($A61,Products!$A$59:$H$158,8,FALSE)))</f>
        <v/>
      </c>
      <c r="G62" s="22" t="str">
        <f>IF($E62="","",G$57*(VLOOKUP($A61,Products!$A$59:$H$158,8,FALSE)))</f>
        <v/>
      </c>
      <c r="H62" s="20" t="str">
        <f t="shared" si="8"/>
        <v/>
      </c>
      <c r="I62" s="21" t="str">
        <f t="shared" si="9"/>
        <v/>
      </c>
    </row>
    <row r="63" spans="1:9" x14ac:dyDescent="0.2">
      <c r="A63" s="627" t="str">
        <f t="shared" si="11"/>
        <v>AAAAAA</v>
      </c>
      <c r="B63" s="628"/>
      <c r="C63" s="628"/>
      <c r="D63" s="628"/>
      <c r="E63" s="16" t="str">
        <f>IF(A62="","",IF(VLOOKUP(A62,Products!$A$59:$E$158,5,FALSE)="","",VLOOKUP(A62,Products!$A$59:$E$158,5,FALSE)))</f>
        <v/>
      </c>
      <c r="F63" s="22" t="str">
        <f>IF($E63="","",F$57*(VLOOKUP($A62,Products!$A$59:$H$158,8,FALSE)))</f>
        <v/>
      </c>
      <c r="G63" s="22" t="str">
        <f>IF($E63="","",G$57*(VLOOKUP($A62,Products!$A$59:$H$158,8,FALSE)))</f>
        <v/>
      </c>
      <c r="H63" s="20" t="str">
        <f t="shared" si="8"/>
        <v/>
      </c>
      <c r="I63" s="21" t="str">
        <f t="shared" si="9"/>
        <v/>
      </c>
    </row>
    <row r="64" spans="1:9" x14ac:dyDescent="0.2">
      <c r="A64" s="627" t="str">
        <f t="shared" si="11"/>
        <v>AAAAAAA</v>
      </c>
      <c r="B64" s="628"/>
      <c r="C64" s="628"/>
      <c r="D64" s="628"/>
      <c r="E64" s="16" t="str">
        <f>IF(A63="","",IF(VLOOKUP(A63,Products!$A$59:$E$158,5,FALSE)="","",VLOOKUP(A63,Products!$A$59:$E$158,5,FALSE)))</f>
        <v/>
      </c>
      <c r="F64" s="22" t="str">
        <f>IF($E64="","",F$57*(VLOOKUP($A63,Products!$A$59:$H$158,8,FALSE)))</f>
        <v/>
      </c>
      <c r="G64" s="22" t="str">
        <f>IF($E64="","",G$57*(VLOOKUP($A63,Products!$A$59:$H$158,8,FALSE)))</f>
        <v/>
      </c>
      <c r="H64" s="20" t="str">
        <f t="shared" si="8"/>
        <v/>
      </c>
      <c r="I64" s="21" t="str">
        <f t="shared" si="9"/>
        <v/>
      </c>
    </row>
    <row r="65" spans="1:9" x14ac:dyDescent="0.2">
      <c r="A65" s="627" t="str">
        <f t="shared" si="11"/>
        <v>AAAAAAAA</v>
      </c>
      <c r="B65" s="628"/>
      <c r="C65" s="628"/>
      <c r="D65" s="628"/>
      <c r="E65" s="16" t="str">
        <f>IF(A64="","",IF(VLOOKUP(A64,Products!$A$59:$E$158,5,FALSE)="","",VLOOKUP(A64,Products!$A$59:$E$158,5,FALSE)))</f>
        <v/>
      </c>
      <c r="F65" s="22" t="str">
        <f>IF($E65="","",F$57*(VLOOKUP($A64,Products!$A$59:$H$158,8,FALSE)))</f>
        <v/>
      </c>
      <c r="G65" s="22" t="str">
        <f>IF($E65="","",G$57*(VLOOKUP($A64,Products!$A$59:$H$158,8,FALSE)))</f>
        <v/>
      </c>
      <c r="H65" s="20" t="str">
        <f t="shared" si="8"/>
        <v/>
      </c>
      <c r="I65" s="21" t="str">
        <f t="shared" si="9"/>
        <v/>
      </c>
    </row>
    <row r="66" spans="1:9" x14ac:dyDescent="0.2">
      <c r="A66" s="627" t="str">
        <f t="shared" si="11"/>
        <v>AAAAAAAAA</v>
      </c>
      <c r="B66" s="628"/>
      <c r="C66" s="628"/>
      <c r="D66" s="628"/>
      <c r="E66" s="16" t="str">
        <f>IF(A65="","",IF(VLOOKUP(A65,Products!$A$59:$E$158,5,FALSE)="","",VLOOKUP(A65,Products!$A$59:$E$158,5,FALSE)))</f>
        <v/>
      </c>
      <c r="F66" s="22" t="str">
        <f>IF($E66="","",F$57*(VLOOKUP($A65,Products!$A$59:$H$158,8,FALSE)))</f>
        <v/>
      </c>
      <c r="G66" s="22" t="str">
        <f>IF($E66="","",G$57*(VLOOKUP($A65,Products!$A$59:$H$158,8,FALSE)))</f>
        <v/>
      </c>
      <c r="H66" s="20" t="str">
        <f t="shared" si="8"/>
        <v/>
      </c>
      <c r="I66" s="21" t="str">
        <f t="shared" si="9"/>
        <v/>
      </c>
    </row>
    <row r="67" spans="1:9" x14ac:dyDescent="0.2">
      <c r="A67" s="627" t="str">
        <f t="shared" si="11"/>
        <v>AAAAAAAAAA</v>
      </c>
      <c r="B67" s="628"/>
      <c r="C67" s="628"/>
      <c r="D67" s="628"/>
      <c r="E67" s="16" t="str">
        <f>IF(A66="","",IF(VLOOKUP(A66,Products!$A$59:$E$158,5,FALSE)="","",VLOOKUP(A66,Products!$A$59:$E$158,5,FALSE)))</f>
        <v/>
      </c>
      <c r="F67" s="22" t="str">
        <f>IF($E67="","",F$57*(VLOOKUP($A66,Products!$A$59:$H$158,8,FALSE)))</f>
        <v/>
      </c>
      <c r="G67" s="22" t="str">
        <f>IF($E67="","",G$57*(VLOOKUP($A66,Products!$A$59:$H$158,8,FALSE)))</f>
        <v/>
      </c>
      <c r="H67" s="20" t="str">
        <f t="shared" si="8"/>
        <v/>
      </c>
      <c r="I67" s="21" t="str">
        <f t="shared" si="9"/>
        <v/>
      </c>
    </row>
    <row r="68" spans="1:9" x14ac:dyDescent="0.2">
      <c r="A68" s="833" t="str">
        <f>Hidden!EO5</f>
        <v/>
      </c>
      <c r="B68" s="672"/>
      <c r="C68" s="672"/>
      <c r="D68" s="672"/>
      <c r="E68" s="16" t="str">
        <f>IF(A68="","","Total VOC")</f>
        <v/>
      </c>
      <c r="F68" s="22">
        <f>Hidden!$EP$5</f>
        <v>0</v>
      </c>
      <c r="G68" s="22">
        <f>Hidden!$EQ$5</f>
        <v>0</v>
      </c>
      <c r="H68" s="20" t="str">
        <f t="shared" si="8"/>
        <v/>
      </c>
      <c r="I68" s="21" t="str">
        <f t="shared" si="9"/>
        <v/>
      </c>
    </row>
    <row r="69" spans="1:9" x14ac:dyDescent="0.2">
      <c r="A69" s="627" t="str">
        <f>A68&amp;"A"</f>
        <v>A</v>
      </c>
      <c r="B69" s="628"/>
      <c r="C69" s="628"/>
      <c r="D69" s="628"/>
      <c r="E69" s="16" t="str">
        <f>IF(A68="","",IF(VLOOKUP(A68,Products!$A$59:$E$158,5,FALSE)="","",VLOOKUP(A68,Products!$A$59:$E$158,5,FALSE)))</f>
        <v/>
      </c>
      <c r="F69" s="22" t="str">
        <f>IF($E69="","",F$68*(VLOOKUP($A68,Products!$A$59:$H$158,8,FALSE)))</f>
        <v/>
      </c>
      <c r="G69" s="22" t="str">
        <f>IF($E69="","",G$68*(VLOOKUP($A68,Products!$A$59:$H$158,8,FALSE)))</f>
        <v/>
      </c>
      <c r="H69" s="20" t="str">
        <f t="shared" si="8"/>
        <v/>
      </c>
      <c r="I69" s="21" t="str">
        <f t="shared" si="9"/>
        <v/>
      </c>
    </row>
    <row r="70" spans="1:9" x14ac:dyDescent="0.2">
      <c r="A70" s="627" t="str">
        <f t="shared" ref="A70:A78" si="12">A69&amp;"A"</f>
        <v>AA</v>
      </c>
      <c r="B70" s="628"/>
      <c r="C70" s="628"/>
      <c r="D70" s="628"/>
      <c r="E70" s="16" t="str">
        <f>IF(A69="","",IF(VLOOKUP(A69,Products!$A$59:$E$158,5,FALSE)="","",VLOOKUP(A69,Products!$A$59:$E$158,5,FALSE)))</f>
        <v/>
      </c>
      <c r="F70" s="22" t="str">
        <f>IF($E70="","",F$68*(VLOOKUP($A69,Products!$A$59:$H$158,8,FALSE)))</f>
        <v/>
      </c>
      <c r="G70" s="22" t="str">
        <f>IF($E70="","",G$68*(VLOOKUP($A69,Products!$A$59:$H$158,8,FALSE)))</f>
        <v/>
      </c>
      <c r="H70" s="20" t="str">
        <f t="shared" si="8"/>
        <v/>
      </c>
      <c r="I70" s="21" t="str">
        <f t="shared" si="9"/>
        <v/>
      </c>
    </row>
    <row r="71" spans="1:9" x14ac:dyDescent="0.2">
      <c r="A71" s="627" t="str">
        <f t="shared" si="12"/>
        <v>AAA</v>
      </c>
      <c r="B71" s="628"/>
      <c r="C71" s="628"/>
      <c r="D71" s="628"/>
      <c r="E71" s="16" t="str">
        <f>IF(A70="","",IF(VLOOKUP(A70,Products!$A$59:$E$158,5,FALSE)="","",VLOOKUP(A70,Products!$A$59:$E$158,5,FALSE)))</f>
        <v/>
      </c>
      <c r="F71" s="22" t="str">
        <f>IF($E71="","",F$68*(VLOOKUP($A70,Products!$A$59:$H$158,8,FALSE)))</f>
        <v/>
      </c>
      <c r="G71" s="22" t="str">
        <f>IF($E71="","",G$68*(VLOOKUP($A70,Products!$A$59:$H$158,8,FALSE)))</f>
        <v/>
      </c>
      <c r="H71" s="20" t="str">
        <f t="shared" si="8"/>
        <v/>
      </c>
      <c r="I71" s="21" t="str">
        <f t="shared" si="9"/>
        <v/>
      </c>
    </row>
    <row r="72" spans="1:9" x14ac:dyDescent="0.2">
      <c r="A72" s="627" t="str">
        <f t="shared" si="12"/>
        <v>AAAA</v>
      </c>
      <c r="B72" s="628"/>
      <c r="C72" s="628"/>
      <c r="D72" s="628"/>
      <c r="E72" s="16" t="str">
        <f>IF(A71="","",IF(VLOOKUP(A71,Products!$A$59:$E$158,5,FALSE)="","",VLOOKUP(A71,Products!$A$59:$E$158,5,FALSE)))</f>
        <v/>
      </c>
      <c r="F72" s="22" t="str">
        <f>IF($E72="","",F$68*(VLOOKUP($A71,Products!$A$59:$H$158,8,FALSE)))</f>
        <v/>
      </c>
      <c r="G72" s="22" t="str">
        <f>IF($E72="","",G$68*(VLOOKUP($A71,Products!$A$59:$H$158,8,FALSE)))</f>
        <v/>
      </c>
      <c r="H72" s="20" t="str">
        <f t="shared" si="8"/>
        <v/>
      </c>
      <c r="I72" s="21" t="str">
        <f t="shared" si="9"/>
        <v/>
      </c>
    </row>
    <row r="73" spans="1:9" x14ac:dyDescent="0.2">
      <c r="A73" s="627" t="str">
        <f t="shared" si="12"/>
        <v>AAAAA</v>
      </c>
      <c r="B73" s="628"/>
      <c r="C73" s="628"/>
      <c r="D73" s="628"/>
      <c r="E73" s="16" t="str">
        <f>IF(A72="","",IF(VLOOKUP(A72,Products!$A$59:$E$158,5,FALSE)="","",VLOOKUP(A72,Products!$A$59:$E$158,5,FALSE)))</f>
        <v/>
      </c>
      <c r="F73" s="22" t="str">
        <f>IF($E73="","",F$68*(VLOOKUP($A72,Products!$A$59:$H$158,8,FALSE)))</f>
        <v/>
      </c>
      <c r="G73" s="22" t="str">
        <f>IF($E73="","",G$68*(VLOOKUP($A72,Products!$A$59:$H$158,8,FALSE)))</f>
        <v/>
      </c>
      <c r="H73" s="20" t="str">
        <f t="shared" si="8"/>
        <v/>
      </c>
      <c r="I73" s="21" t="str">
        <f t="shared" si="9"/>
        <v/>
      </c>
    </row>
    <row r="74" spans="1:9" x14ac:dyDescent="0.2">
      <c r="A74" s="627" t="str">
        <f t="shared" si="12"/>
        <v>AAAAAA</v>
      </c>
      <c r="B74" s="628"/>
      <c r="C74" s="628"/>
      <c r="D74" s="628"/>
      <c r="E74" s="16" t="str">
        <f>IF(A73="","",IF(VLOOKUP(A73,Products!$A$59:$E$158,5,FALSE)="","",VLOOKUP(A73,Products!$A$59:$E$158,5,FALSE)))</f>
        <v/>
      </c>
      <c r="F74" s="22" t="str">
        <f>IF($E74="","",F$68*(VLOOKUP($A73,Products!$A$59:$H$158,8,FALSE)))</f>
        <v/>
      </c>
      <c r="G74" s="22" t="str">
        <f>IF($E74="","",G$68*(VLOOKUP($A73,Products!$A$59:$H$158,8,FALSE)))</f>
        <v/>
      </c>
      <c r="H74" s="20" t="str">
        <f t="shared" si="8"/>
        <v/>
      </c>
      <c r="I74" s="21" t="str">
        <f t="shared" si="9"/>
        <v/>
      </c>
    </row>
    <row r="75" spans="1:9" x14ac:dyDescent="0.2">
      <c r="A75" s="627" t="str">
        <f t="shared" si="12"/>
        <v>AAAAAAA</v>
      </c>
      <c r="B75" s="628"/>
      <c r="C75" s="628"/>
      <c r="D75" s="628"/>
      <c r="E75" s="16" t="str">
        <f>IF(A74="","",IF(VLOOKUP(A74,Products!$A$59:$E$158,5,FALSE)="","",VLOOKUP(A74,Products!$A$59:$E$158,5,FALSE)))</f>
        <v/>
      </c>
      <c r="F75" s="22" t="str">
        <f>IF($E75="","",F$68*(VLOOKUP($A74,Products!$A$59:$H$158,8,FALSE)))</f>
        <v/>
      </c>
      <c r="G75" s="22" t="str">
        <f>IF($E75="","",G$68*(VLOOKUP($A74,Products!$A$59:$H$158,8,FALSE)))</f>
        <v/>
      </c>
      <c r="H75" s="20" t="str">
        <f t="shared" si="8"/>
        <v/>
      </c>
      <c r="I75" s="21" t="str">
        <f t="shared" si="9"/>
        <v/>
      </c>
    </row>
    <row r="76" spans="1:9" x14ac:dyDescent="0.2">
      <c r="A76" s="627" t="str">
        <f t="shared" si="12"/>
        <v>AAAAAAAA</v>
      </c>
      <c r="B76" s="628"/>
      <c r="C76" s="628"/>
      <c r="D76" s="628"/>
      <c r="E76" s="16" t="str">
        <f>IF(A75="","",IF(VLOOKUP(A75,Products!$A$59:$E$158,5,FALSE)="","",VLOOKUP(A75,Products!$A$59:$E$158,5,FALSE)))</f>
        <v/>
      </c>
      <c r="F76" s="22" t="str">
        <f>IF($E76="","",F$68*(VLOOKUP($A75,Products!$A$59:$H$158,8,FALSE)))</f>
        <v/>
      </c>
      <c r="G76" s="22" t="str">
        <f>IF($E76="","",G$68*(VLOOKUP($A75,Products!$A$59:$H$158,8,FALSE)))</f>
        <v/>
      </c>
      <c r="H76" s="20" t="str">
        <f t="shared" si="8"/>
        <v/>
      </c>
      <c r="I76" s="21" t="str">
        <f t="shared" si="9"/>
        <v/>
      </c>
    </row>
    <row r="77" spans="1:9" x14ac:dyDescent="0.2">
      <c r="A77" s="627" t="str">
        <f t="shared" si="12"/>
        <v>AAAAAAAAA</v>
      </c>
      <c r="B77" s="628"/>
      <c r="C77" s="628"/>
      <c r="D77" s="628"/>
      <c r="E77" s="16" t="str">
        <f>IF(A76="","",IF(VLOOKUP(A76,Products!$A$59:$E$158,5,FALSE)="","",VLOOKUP(A76,Products!$A$59:$E$158,5,FALSE)))</f>
        <v/>
      </c>
      <c r="F77" s="22" t="str">
        <f>IF($E77="","",F$68*(VLOOKUP($A76,Products!$A$59:$H$158,8,FALSE)))</f>
        <v/>
      </c>
      <c r="G77" s="22" t="str">
        <f>IF($E77="","",G$68*(VLOOKUP($A76,Products!$A$59:$H$158,8,FALSE)))</f>
        <v/>
      </c>
      <c r="H77" s="20" t="str">
        <f t="shared" si="8"/>
        <v/>
      </c>
      <c r="I77" s="21" t="str">
        <f t="shared" si="9"/>
        <v/>
      </c>
    </row>
    <row r="78" spans="1:9" x14ac:dyDescent="0.2">
      <c r="A78" s="627" t="str">
        <f t="shared" si="12"/>
        <v>AAAAAAAAAA</v>
      </c>
      <c r="B78" s="628"/>
      <c r="C78" s="628"/>
      <c r="D78" s="628"/>
      <c r="E78" s="16" t="str">
        <f>IF(A77="","",IF(VLOOKUP(A77,Products!$A$59:$E$158,5,FALSE)="","",VLOOKUP(A77,Products!$A$59:$E$158,5,FALSE)))</f>
        <v/>
      </c>
      <c r="F78" s="22" t="str">
        <f>IF($E78="","",F$68*(VLOOKUP($A77,Products!$A$59:$H$158,8,FALSE)))</f>
        <v/>
      </c>
      <c r="G78" s="22" t="str">
        <f>IF($E78="","",G$68*(VLOOKUP($A77,Products!$A$59:$H$158,8,FALSE)))</f>
        <v/>
      </c>
      <c r="H78" s="20" t="str">
        <f t="shared" si="8"/>
        <v/>
      </c>
      <c r="I78" s="21" t="str">
        <f t="shared" si="9"/>
        <v/>
      </c>
    </row>
    <row r="79" spans="1:9" x14ac:dyDescent="0.2">
      <c r="A79" s="833" t="str">
        <f>Hidden!EO6</f>
        <v/>
      </c>
      <c r="B79" s="672"/>
      <c r="C79" s="672"/>
      <c r="D79" s="672"/>
      <c r="E79" s="16" t="str">
        <f>IF(A79="","","Total VOC")</f>
        <v/>
      </c>
      <c r="F79" s="22">
        <f>Hidden!$EP$6</f>
        <v>0</v>
      </c>
      <c r="G79" s="22">
        <f>Hidden!$EQ$6</f>
        <v>0</v>
      </c>
      <c r="H79" s="20" t="str">
        <f t="shared" si="8"/>
        <v/>
      </c>
      <c r="I79" s="21" t="str">
        <f t="shared" si="9"/>
        <v/>
      </c>
    </row>
    <row r="80" spans="1:9" x14ac:dyDescent="0.2">
      <c r="A80" s="627" t="str">
        <f>A79&amp;"A"</f>
        <v>A</v>
      </c>
      <c r="B80" s="628"/>
      <c r="C80" s="628"/>
      <c r="D80" s="628"/>
      <c r="E80" s="16" t="str">
        <f>IF(A79="","",IF(VLOOKUP(A79,Products!$A$59:$E$158,5,FALSE)="","",VLOOKUP(A79,Products!$A$59:$E$158,5,FALSE)))</f>
        <v/>
      </c>
      <c r="F80" s="22" t="str">
        <f>IF($E80="","",F$79*(VLOOKUP($A79,Products!$A$59:$H$158,8,FALSE)))</f>
        <v/>
      </c>
      <c r="G80" s="22" t="str">
        <f>IF($E80="","",G$79*(VLOOKUP($A79,Products!$A$59:$H$158,8,FALSE)))</f>
        <v/>
      </c>
      <c r="H80" s="20" t="str">
        <f t="shared" si="8"/>
        <v/>
      </c>
      <c r="I80" s="21" t="str">
        <f t="shared" si="9"/>
        <v/>
      </c>
    </row>
    <row r="81" spans="1:9" x14ac:dyDescent="0.2">
      <c r="A81" s="627" t="str">
        <f t="shared" ref="A81:A89" si="13">A80&amp;"A"</f>
        <v>AA</v>
      </c>
      <c r="B81" s="628"/>
      <c r="C81" s="628"/>
      <c r="D81" s="628"/>
      <c r="E81" s="16" t="str">
        <f>IF(A80="","",IF(VLOOKUP(A80,Products!$A$59:$E$158,5,FALSE)="","",VLOOKUP(A80,Products!$A$59:$E$158,5,FALSE)))</f>
        <v/>
      </c>
      <c r="F81" s="22" t="str">
        <f>IF($E81="","",F$79*(VLOOKUP($A80,Products!$A$59:$H$158,8,FALSE)))</f>
        <v/>
      </c>
      <c r="G81" s="22" t="str">
        <f>IF($E81="","",G$79*(VLOOKUP($A80,Products!$A$59:$H$158,8,FALSE)))</f>
        <v/>
      </c>
      <c r="H81" s="20" t="str">
        <f t="shared" si="8"/>
        <v/>
      </c>
      <c r="I81" s="21" t="str">
        <f t="shared" si="9"/>
        <v/>
      </c>
    </row>
    <row r="82" spans="1:9" x14ac:dyDescent="0.2">
      <c r="A82" s="627" t="str">
        <f t="shared" si="13"/>
        <v>AAA</v>
      </c>
      <c r="B82" s="628"/>
      <c r="C82" s="628"/>
      <c r="D82" s="628"/>
      <c r="E82" s="16" t="str">
        <f>IF(A81="","",IF(VLOOKUP(A81,Products!$A$59:$E$158,5,FALSE)="","",VLOOKUP(A81,Products!$A$59:$E$158,5,FALSE)))</f>
        <v/>
      </c>
      <c r="F82" s="22" t="str">
        <f>IF($E82="","",F$79*(VLOOKUP($A81,Products!$A$59:$H$158,8,FALSE)))</f>
        <v/>
      </c>
      <c r="G82" s="22" t="str">
        <f>IF($E82="","",G$79*(VLOOKUP($A81,Products!$A$59:$H$158,8,FALSE)))</f>
        <v/>
      </c>
      <c r="H82" s="20" t="str">
        <f t="shared" si="8"/>
        <v/>
      </c>
      <c r="I82" s="21" t="str">
        <f t="shared" si="9"/>
        <v/>
      </c>
    </row>
    <row r="83" spans="1:9" x14ac:dyDescent="0.2">
      <c r="A83" s="627" t="str">
        <f t="shared" si="13"/>
        <v>AAAA</v>
      </c>
      <c r="B83" s="628"/>
      <c r="C83" s="628"/>
      <c r="D83" s="628"/>
      <c r="E83" s="16" t="str">
        <f>IF(A82="","",IF(VLOOKUP(A82,Products!$A$59:$E$158,5,FALSE)="","",VLOOKUP(A82,Products!$A$59:$E$158,5,FALSE)))</f>
        <v/>
      </c>
      <c r="F83" s="22" t="str">
        <f>IF($E83="","",F$79*(VLOOKUP($A82,Products!$A$59:$H$158,8,FALSE)))</f>
        <v/>
      </c>
      <c r="G83" s="22" t="str">
        <f>IF($E83="","",G$79*(VLOOKUP($A82,Products!$A$59:$H$158,8,FALSE)))</f>
        <v/>
      </c>
      <c r="H83" s="20" t="str">
        <f t="shared" si="8"/>
        <v/>
      </c>
      <c r="I83" s="21" t="str">
        <f t="shared" si="9"/>
        <v/>
      </c>
    </row>
    <row r="84" spans="1:9" x14ac:dyDescent="0.2">
      <c r="A84" s="627" t="str">
        <f t="shared" si="13"/>
        <v>AAAAA</v>
      </c>
      <c r="B84" s="628"/>
      <c r="C84" s="628"/>
      <c r="D84" s="628"/>
      <c r="E84" s="16" t="str">
        <f>IF(A83="","",IF(VLOOKUP(A83,Products!$A$59:$E$158,5,FALSE)="","",VLOOKUP(A83,Products!$A$59:$E$158,5,FALSE)))</f>
        <v/>
      </c>
      <c r="F84" s="22" t="str">
        <f>IF($E84="","",F$79*(VLOOKUP($A83,Products!$A$59:$H$158,8,FALSE)))</f>
        <v/>
      </c>
      <c r="G84" s="22" t="str">
        <f>IF($E84="","",G$79*(VLOOKUP($A83,Products!$A$59:$H$158,8,FALSE)))</f>
        <v/>
      </c>
      <c r="H84" s="20" t="str">
        <f t="shared" si="8"/>
        <v/>
      </c>
      <c r="I84" s="21" t="str">
        <f t="shared" si="9"/>
        <v/>
      </c>
    </row>
    <row r="85" spans="1:9" x14ac:dyDescent="0.2">
      <c r="A85" s="627" t="str">
        <f t="shared" si="13"/>
        <v>AAAAAA</v>
      </c>
      <c r="B85" s="628"/>
      <c r="C85" s="628"/>
      <c r="D85" s="628"/>
      <c r="E85" s="16" t="str">
        <f>IF(A84="","",IF(VLOOKUP(A84,Products!$A$59:$E$158,5,FALSE)="","",VLOOKUP(A84,Products!$A$59:$E$158,5,FALSE)))</f>
        <v/>
      </c>
      <c r="F85" s="22" t="str">
        <f>IF($E85="","",F$79*(VLOOKUP($A84,Products!$A$59:$H$158,8,FALSE)))</f>
        <v/>
      </c>
      <c r="G85" s="22" t="str">
        <f>IF($E85="","",G$79*(VLOOKUP($A84,Products!$A$59:$H$158,8,FALSE)))</f>
        <v/>
      </c>
      <c r="H85" s="20" t="str">
        <f t="shared" si="8"/>
        <v/>
      </c>
      <c r="I85" s="21" t="str">
        <f t="shared" si="9"/>
        <v/>
      </c>
    </row>
    <row r="86" spans="1:9" x14ac:dyDescent="0.2">
      <c r="A86" s="627" t="str">
        <f t="shared" si="13"/>
        <v>AAAAAAA</v>
      </c>
      <c r="B86" s="628"/>
      <c r="C86" s="628"/>
      <c r="D86" s="628"/>
      <c r="E86" s="16" t="str">
        <f>IF(A85="","",IF(VLOOKUP(A85,Products!$A$59:$E$158,5,FALSE)="","",VLOOKUP(A85,Products!$A$59:$E$158,5,FALSE)))</f>
        <v/>
      </c>
      <c r="F86" s="22" t="str">
        <f>IF($E86="","",F$79*(VLOOKUP($A85,Products!$A$59:$H$158,8,FALSE)))</f>
        <v/>
      </c>
      <c r="G86" s="22" t="str">
        <f>IF($E86="","",G$79*(VLOOKUP($A85,Products!$A$59:$H$158,8,FALSE)))</f>
        <v/>
      </c>
      <c r="H86" s="20" t="str">
        <f t="shared" si="8"/>
        <v/>
      </c>
      <c r="I86" s="21" t="str">
        <f t="shared" si="9"/>
        <v/>
      </c>
    </row>
    <row r="87" spans="1:9" x14ac:dyDescent="0.2">
      <c r="A87" s="627" t="str">
        <f t="shared" si="13"/>
        <v>AAAAAAAA</v>
      </c>
      <c r="B87" s="628"/>
      <c r="C87" s="628"/>
      <c r="D87" s="628"/>
      <c r="E87" s="16" t="str">
        <f>IF(A86="","",IF(VLOOKUP(A86,Products!$A$59:$E$158,5,FALSE)="","",VLOOKUP(A86,Products!$A$59:$E$158,5,FALSE)))</f>
        <v/>
      </c>
      <c r="F87" s="22" t="str">
        <f>IF($E87="","",F$79*(VLOOKUP($A86,Products!$A$59:$H$158,8,FALSE)))</f>
        <v/>
      </c>
      <c r="G87" s="22" t="str">
        <f>IF($E87="","",G$79*(VLOOKUP($A86,Products!$A$59:$H$158,8,FALSE)))</f>
        <v/>
      </c>
      <c r="H87" s="20" t="str">
        <f t="shared" si="8"/>
        <v/>
      </c>
      <c r="I87" s="21" t="str">
        <f t="shared" si="9"/>
        <v/>
      </c>
    </row>
    <row r="88" spans="1:9" x14ac:dyDescent="0.2">
      <c r="A88" s="627" t="str">
        <f t="shared" si="13"/>
        <v>AAAAAAAAA</v>
      </c>
      <c r="B88" s="628"/>
      <c r="C88" s="628"/>
      <c r="D88" s="628"/>
      <c r="E88" s="16" t="str">
        <f>IF(A87="","",IF(VLOOKUP(A87,Products!$A$59:$E$158,5,FALSE)="","",VLOOKUP(A87,Products!$A$59:$E$158,5,FALSE)))</f>
        <v/>
      </c>
      <c r="F88" s="22" t="str">
        <f>IF($E88="","",F$79*(VLOOKUP($A87,Products!$A$59:$H$158,8,FALSE)))</f>
        <v/>
      </c>
      <c r="G88" s="22" t="str">
        <f>IF($E88="","",G$79*(VLOOKUP($A87,Products!$A$59:$H$158,8,FALSE)))</f>
        <v/>
      </c>
      <c r="H88" s="20" t="str">
        <f t="shared" si="8"/>
        <v/>
      </c>
      <c r="I88" s="21" t="str">
        <f t="shared" si="9"/>
        <v/>
      </c>
    </row>
    <row r="89" spans="1:9" x14ac:dyDescent="0.2">
      <c r="A89" s="627" t="str">
        <f t="shared" si="13"/>
        <v>AAAAAAAAAA</v>
      </c>
      <c r="B89" s="628"/>
      <c r="C89" s="628"/>
      <c r="D89" s="628"/>
      <c r="E89" s="16" t="str">
        <f>IF(A88="","",IF(VLOOKUP(A88,Products!$A$59:$E$158,5,FALSE)="","",VLOOKUP(A88,Products!$A$59:$E$158,5,FALSE)))</f>
        <v/>
      </c>
      <c r="F89" s="22" t="str">
        <f>IF($E89="","",F$79*(VLOOKUP($A88,Products!$A$59:$H$158,8,FALSE)))</f>
        <v/>
      </c>
      <c r="G89" s="22" t="str">
        <f>IF($E89="","",G$79*(VLOOKUP($A88,Products!$A$59:$H$158,8,FALSE)))</f>
        <v/>
      </c>
      <c r="H89" s="20" t="str">
        <f t="shared" si="8"/>
        <v/>
      </c>
      <c r="I89" s="21" t="str">
        <f t="shared" si="9"/>
        <v/>
      </c>
    </row>
    <row r="90" spans="1:9" x14ac:dyDescent="0.2">
      <c r="A90" s="833" t="str">
        <f>Hidden!EO7</f>
        <v/>
      </c>
      <c r="B90" s="672"/>
      <c r="C90" s="672"/>
      <c r="D90" s="672"/>
      <c r="E90" s="16" t="str">
        <f>IF(A90="","","Total VOC")</f>
        <v/>
      </c>
      <c r="F90" s="22">
        <f>Hidden!$EP$7</f>
        <v>0</v>
      </c>
      <c r="G90" s="22">
        <f>Hidden!$EQ$7</f>
        <v>0</v>
      </c>
      <c r="H90" s="20" t="str">
        <f t="shared" si="8"/>
        <v/>
      </c>
      <c r="I90" s="21" t="str">
        <f t="shared" si="9"/>
        <v/>
      </c>
    </row>
    <row r="91" spans="1:9" x14ac:dyDescent="0.2">
      <c r="A91" s="627" t="str">
        <f>A90&amp;"A"</f>
        <v>A</v>
      </c>
      <c r="B91" s="628"/>
      <c r="C91" s="628"/>
      <c r="D91" s="628"/>
      <c r="E91" s="16" t="str">
        <f>IF(A90="","",IF(VLOOKUP(A90,Products!$A$59:$E$158,5,FALSE)="","",VLOOKUP(A90,Products!$A$59:$E$158,5,FALSE)))</f>
        <v/>
      </c>
      <c r="F91" s="22" t="str">
        <f>IF($E91="","",F$90*(VLOOKUP($A90,Products!$A$59:$H$158,8,FALSE)))</f>
        <v/>
      </c>
      <c r="G91" s="22" t="str">
        <f>IF($E91="","",G$90*(VLOOKUP($A90,Products!$A$59:$H$158,8,FALSE)))</f>
        <v/>
      </c>
      <c r="H91" s="20" t="str">
        <f t="shared" si="8"/>
        <v/>
      </c>
      <c r="I91" s="21" t="str">
        <f t="shared" si="9"/>
        <v/>
      </c>
    </row>
    <row r="92" spans="1:9" x14ac:dyDescent="0.2">
      <c r="A92" s="627" t="str">
        <f t="shared" ref="A92:A100" si="14">A91&amp;"A"</f>
        <v>AA</v>
      </c>
      <c r="B92" s="628"/>
      <c r="C92" s="628"/>
      <c r="D92" s="628"/>
      <c r="E92" s="16" t="str">
        <f>IF(A91="","",IF(VLOOKUP(A91,Products!$A$59:$E$158,5,FALSE)="","",VLOOKUP(A91,Products!$A$59:$E$158,5,FALSE)))</f>
        <v/>
      </c>
      <c r="F92" s="22" t="str">
        <f>IF($E92="","",F$90*(VLOOKUP($A91,Products!$A$59:$H$158,8,FALSE)))</f>
        <v/>
      </c>
      <c r="G92" s="22" t="str">
        <f>IF($E92="","",G$90*(VLOOKUP($A91,Products!$A$59:$H$158,8,FALSE)))</f>
        <v/>
      </c>
      <c r="H92" s="20" t="str">
        <f t="shared" si="8"/>
        <v/>
      </c>
      <c r="I92" s="21" t="str">
        <f t="shared" si="9"/>
        <v/>
      </c>
    </row>
    <row r="93" spans="1:9" x14ac:dyDescent="0.2">
      <c r="A93" s="627" t="str">
        <f t="shared" si="14"/>
        <v>AAA</v>
      </c>
      <c r="B93" s="628"/>
      <c r="C93" s="628"/>
      <c r="D93" s="628"/>
      <c r="E93" s="16" t="str">
        <f>IF(A92="","",IF(VLOOKUP(A92,Products!$A$59:$E$158,5,FALSE)="","",VLOOKUP(A92,Products!$A$59:$E$158,5,FALSE)))</f>
        <v/>
      </c>
      <c r="F93" s="22" t="str">
        <f>IF($E93="","",F$90*(VLOOKUP($A92,Products!$A$59:$H$158,8,FALSE)))</f>
        <v/>
      </c>
      <c r="G93" s="22" t="str">
        <f>IF($E93="","",G$90*(VLOOKUP($A92,Products!$A$59:$H$158,8,FALSE)))</f>
        <v/>
      </c>
      <c r="H93" s="20" t="str">
        <f t="shared" si="8"/>
        <v/>
      </c>
      <c r="I93" s="21" t="str">
        <f t="shared" si="9"/>
        <v/>
      </c>
    </row>
    <row r="94" spans="1:9" x14ac:dyDescent="0.2">
      <c r="A94" s="627" t="str">
        <f t="shared" si="14"/>
        <v>AAAA</v>
      </c>
      <c r="B94" s="628"/>
      <c r="C94" s="628"/>
      <c r="D94" s="628"/>
      <c r="E94" s="16" t="str">
        <f>IF(A93="","",IF(VLOOKUP(A93,Products!$A$59:$E$158,5,FALSE)="","",VLOOKUP(A93,Products!$A$59:$E$158,5,FALSE)))</f>
        <v/>
      </c>
      <c r="F94" s="22" t="str">
        <f>IF($E94="","",F$90*(VLOOKUP($A93,Products!$A$59:$H$158,8,FALSE)))</f>
        <v/>
      </c>
      <c r="G94" s="22" t="str">
        <f>IF($E94="","",G$90*(VLOOKUP($A93,Products!$A$59:$H$158,8,FALSE)))</f>
        <v/>
      </c>
      <c r="H94" s="20" t="str">
        <f t="shared" si="8"/>
        <v/>
      </c>
      <c r="I94" s="21" t="str">
        <f t="shared" si="9"/>
        <v/>
      </c>
    </row>
    <row r="95" spans="1:9" x14ac:dyDescent="0.2">
      <c r="A95" s="627" t="str">
        <f t="shared" si="14"/>
        <v>AAAAA</v>
      </c>
      <c r="B95" s="628"/>
      <c r="C95" s="628"/>
      <c r="D95" s="628"/>
      <c r="E95" s="16" t="str">
        <f>IF(A94="","",IF(VLOOKUP(A94,Products!$A$59:$E$158,5,FALSE)="","",VLOOKUP(A94,Products!$A$59:$E$158,5,FALSE)))</f>
        <v/>
      </c>
      <c r="F95" s="22" t="str">
        <f>IF($E95="","",F$90*(VLOOKUP($A94,Products!$A$59:$H$158,8,FALSE)))</f>
        <v/>
      </c>
      <c r="G95" s="22" t="str">
        <f>IF($E95="","",G$90*(VLOOKUP($A94,Products!$A$59:$H$158,8,FALSE)))</f>
        <v/>
      </c>
      <c r="H95" s="20" t="str">
        <f t="shared" si="8"/>
        <v/>
      </c>
      <c r="I95" s="21" t="str">
        <f t="shared" si="9"/>
        <v/>
      </c>
    </row>
    <row r="96" spans="1:9" x14ac:dyDescent="0.2">
      <c r="A96" s="627" t="str">
        <f t="shared" si="14"/>
        <v>AAAAAA</v>
      </c>
      <c r="B96" s="628"/>
      <c r="C96" s="628"/>
      <c r="D96" s="628"/>
      <c r="E96" s="16" t="str">
        <f>IF(A95="","",IF(VLOOKUP(A95,Products!$A$59:$E$158,5,FALSE)="","",VLOOKUP(A95,Products!$A$59:$E$158,5,FALSE)))</f>
        <v/>
      </c>
      <c r="F96" s="22" t="str">
        <f>IF($E96="","",F$90*(VLOOKUP($A95,Products!$A$59:$H$158,8,FALSE)))</f>
        <v/>
      </c>
      <c r="G96" s="22" t="str">
        <f>IF($E96="","",G$90*(VLOOKUP($A95,Products!$A$59:$H$158,8,FALSE)))</f>
        <v/>
      </c>
      <c r="H96" s="20" t="str">
        <f t="shared" si="8"/>
        <v/>
      </c>
      <c r="I96" s="21" t="str">
        <f t="shared" si="9"/>
        <v/>
      </c>
    </row>
    <row r="97" spans="1:9" x14ac:dyDescent="0.2">
      <c r="A97" s="627" t="str">
        <f t="shared" si="14"/>
        <v>AAAAAAA</v>
      </c>
      <c r="B97" s="628"/>
      <c r="C97" s="628"/>
      <c r="D97" s="628"/>
      <c r="E97" s="16" t="str">
        <f>IF(A96="","",IF(VLOOKUP(A96,Products!$A$59:$E$158,5,FALSE)="","",VLOOKUP(A96,Products!$A$59:$E$158,5,FALSE)))</f>
        <v/>
      </c>
      <c r="F97" s="22" t="str">
        <f>IF($E97="","",F$90*(VLOOKUP($A96,Products!$A$59:$H$158,8,FALSE)))</f>
        <v/>
      </c>
      <c r="G97" s="22" t="str">
        <f>IF($E97="","",G$90*(VLOOKUP($A96,Products!$A$59:$H$158,8,FALSE)))</f>
        <v/>
      </c>
      <c r="H97" s="20" t="str">
        <f t="shared" si="8"/>
        <v/>
      </c>
      <c r="I97" s="21" t="str">
        <f t="shared" si="9"/>
        <v/>
      </c>
    </row>
    <row r="98" spans="1:9" x14ac:dyDescent="0.2">
      <c r="A98" s="627" t="str">
        <f t="shared" si="14"/>
        <v>AAAAAAAA</v>
      </c>
      <c r="B98" s="628"/>
      <c r="C98" s="628"/>
      <c r="D98" s="628"/>
      <c r="E98" s="16" t="str">
        <f>IF(A97="","",IF(VLOOKUP(A97,Products!$A$59:$E$158,5,FALSE)="","",VLOOKUP(A97,Products!$A$59:$E$158,5,FALSE)))</f>
        <v/>
      </c>
      <c r="F98" s="22" t="str">
        <f>IF($E98="","",F$90*(VLOOKUP($A97,Products!$A$59:$H$158,8,FALSE)))</f>
        <v/>
      </c>
      <c r="G98" s="22" t="str">
        <f>IF($E98="","",G$90*(VLOOKUP($A97,Products!$A$59:$H$158,8,FALSE)))</f>
        <v/>
      </c>
      <c r="H98" s="20" t="str">
        <f t="shared" si="8"/>
        <v/>
      </c>
      <c r="I98" s="21" t="str">
        <f t="shared" si="9"/>
        <v/>
      </c>
    </row>
    <row r="99" spans="1:9" x14ac:dyDescent="0.2">
      <c r="A99" s="627" t="str">
        <f t="shared" si="14"/>
        <v>AAAAAAAAA</v>
      </c>
      <c r="B99" s="628"/>
      <c r="C99" s="628"/>
      <c r="D99" s="628"/>
      <c r="E99" s="16" t="str">
        <f>IF(A98="","",IF(VLOOKUP(A98,Products!$A$59:$E$158,5,FALSE)="","",VLOOKUP(A98,Products!$A$59:$E$158,5,FALSE)))</f>
        <v/>
      </c>
      <c r="F99" s="22" t="str">
        <f>IF($E99="","",F$90*(VLOOKUP($A98,Products!$A$59:$H$158,8,FALSE)))</f>
        <v/>
      </c>
      <c r="G99" s="22" t="str">
        <f>IF($E99="","",G$90*(VLOOKUP($A98,Products!$A$59:$H$158,8,FALSE)))</f>
        <v/>
      </c>
      <c r="H99" s="20" t="str">
        <f t="shared" si="8"/>
        <v/>
      </c>
      <c r="I99" s="21" t="str">
        <f t="shared" si="9"/>
        <v/>
      </c>
    </row>
    <row r="100" spans="1:9" x14ac:dyDescent="0.2">
      <c r="A100" s="627" t="str">
        <f t="shared" si="14"/>
        <v>AAAAAAAAAA</v>
      </c>
      <c r="B100" s="628"/>
      <c r="C100" s="628"/>
      <c r="D100" s="628"/>
      <c r="E100" s="16" t="str">
        <f>IF(A99="","",IF(VLOOKUP(A99,Products!$A$59:$E$158,5,FALSE)="","",VLOOKUP(A99,Products!$A$59:$E$158,5,FALSE)))</f>
        <v/>
      </c>
      <c r="F100" s="22" t="str">
        <f>IF($E100="","",F$90*(VLOOKUP($A99,Products!$A$59:$H$158,8,FALSE)))</f>
        <v/>
      </c>
      <c r="G100" s="22" t="str">
        <f>IF($E100="","",G$90*(VLOOKUP($A99,Products!$A$59:$H$158,8,FALSE)))</f>
        <v/>
      </c>
      <c r="H100" s="20" t="str">
        <f t="shared" si="8"/>
        <v/>
      </c>
      <c r="I100" s="21" t="str">
        <f t="shared" si="9"/>
        <v/>
      </c>
    </row>
    <row r="101" spans="1:9" x14ac:dyDescent="0.2">
      <c r="A101" s="833" t="str">
        <f>Hidden!EO8</f>
        <v/>
      </c>
      <c r="B101" s="672"/>
      <c r="C101" s="672"/>
      <c r="D101" s="672"/>
      <c r="E101" s="16" t="str">
        <f>IF(A101="","","Total VOC")</f>
        <v/>
      </c>
      <c r="F101" s="22">
        <f>Hidden!$EP$8</f>
        <v>0</v>
      </c>
      <c r="G101" s="22">
        <f>Hidden!$EQ$8</f>
        <v>0</v>
      </c>
      <c r="H101" s="20" t="str">
        <f t="shared" si="8"/>
        <v/>
      </c>
      <c r="I101" s="21" t="str">
        <f t="shared" si="9"/>
        <v/>
      </c>
    </row>
    <row r="102" spans="1:9" x14ac:dyDescent="0.2">
      <c r="A102" s="627" t="str">
        <f>A101&amp;"A"</f>
        <v>A</v>
      </c>
      <c r="B102" s="628"/>
      <c r="C102" s="628"/>
      <c r="D102" s="628"/>
      <c r="E102" s="16" t="str">
        <f>IF(A101="","",IF(VLOOKUP(A101,Products!$A$59:$E$158,5,FALSE)="","",VLOOKUP(A101,Products!$A$59:$E$158,5,FALSE)))</f>
        <v/>
      </c>
      <c r="F102" s="22" t="str">
        <f>IF($E102="","",F$101*(VLOOKUP($A101,Products!$A$59:$H$158,8,FALSE)))</f>
        <v/>
      </c>
      <c r="G102" s="22" t="str">
        <f>IF($E102="","",G$101*(VLOOKUP($A101,Products!$A$59:$H$158,8,FALSE)))</f>
        <v/>
      </c>
      <c r="H102" s="20" t="str">
        <f t="shared" si="8"/>
        <v/>
      </c>
      <c r="I102" s="21" t="str">
        <f t="shared" si="9"/>
        <v/>
      </c>
    </row>
    <row r="103" spans="1:9" x14ac:dyDescent="0.2">
      <c r="A103" s="627" t="str">
        <f t="shared" ref="A103:A110" si="15">A102&amp;"A"</f>
        <v>AA</v>
      </c>
      <c r="B103" s="628"/>
      <c r="C103" s="628"/>
      <c r="D103" s="628"/>
      <c r="E103" s="16" t="str">
        <f>IF(A102="","",IF(VLOOKUP(A102,Products!$A$59:$E$158,5,FALSE)="","",VLOOKUP(A102,Products!$A$59:$E$158,5,FALSE)))</f>
        <v/>
      </c>
      <c r="F103" s="22" t="str">
        <f>IF($E103="","",F$101*(VLOOKUP($A102,Products!$A$59:$H$158,8,FALSE)))</f>
        <v/>
      </c>
      <c r="G103" s="22" t="str">
        <f>IF($E103="","",G$101*(VLOOKUP($A102,Products!$A$59:$H$158,8,FALSE)))</f>
        <v/>
      </c>
      <c r="H103" s="20" t="str">
        <f t="shared" si="8"/>
        <v/>
      </c>
      <c r="I103" s="21" t="str">
        <f t="shared" si="9"/>
        <v/>
      </c>
    </row>
    <row r="104" spans="1:9" x14ac:dyDescent="0.2">
      <c r="A104" s="627" t="str">
        <f t="shared" si="15"/>
        <v>AAA</v>
      </c>
      <c r="B104" s="628"/>
      <c r="C104" s="628"/>
      <c r="D104" s="628"/>
      <c r="E104" s="16" t="str">
        <f>IF(A103="","",IF(VLOOKUP(A103,Products!$A$59:$E$158,5,FALSE)="","",VLOOKUP(A103,Products!$A$59:$E$158,5,FALSE)))</f>
        <v/>
      </c>
      <c r="F104" s="22" t="str">
        <f>IF($E104="","",F$101*(VLOOKUP($A103,Products!$A$59:$H$158,8,FALSE)))</f>
        <v/>
      </c>
      <c r="G104" s="22" t="str">
        <f>IF($E104="","",G$101*(VLOOKUP($A103,Products!$A$59:$H$158,8,FALSE)))</f>
        <v/>
      </c>
      <c r="H104" s="20" t="str">
        <f t="shared" si="8"/>
        <v/>
      </c>
      <c r="I104" s="21" t="str">
        <f t="shared" si="9"/>
        <v/>
      </c>
    </row>
    <row r="105" spans="1:9" x14ac:dyDescent="0.2">
      <c r="A105" s="627" t="str">
        <f t="shared" si="15"/>
        <v>AAAA</v>
      </c>
      <c r="B105" s="628"/>
      <c r="C105" s="628"/>
      <c r="D105" s="628"/>
      <c r="E105" s="16" t="str">
        <f>IF(A104="","",IF(VLOOKUP(A104,Products!$A$59:$E$158,5,FALSE)="","",VLOOKUP(A104,Products!$A$59:$E$158,5,FALSE)))</f>
        <v/>
      </c>
      <c r="F105" s="22" t="str">
        <f>IF($E105="","",F$101*(VLOOKUP($A104,Products!$A$59:$H$158,8,FALSE)))</f>
        <v/>
      </c>
      <c r="G105" s="22" t="str">
        <f>IF($E105="","",G$101*(VLOOKUP($A104,Products!$A$59:$H$158,8,FALSE)))</f>
        <v/>
      </c>
      <c r="H105" s="20" t="str">
        <f t="shared" si="8"/>
        <v/>
      </c>
      <c r="I105" s="21" t="str">
        <f t="shared" si="9"/>
        <v/>
      </c>
    </row>
    <row r="106" spans="1:9" x14ac:dyDescent="0.2">
      <c r="A106" s="627" t="str">
        <f t="shared" si="15"/>
        <v>AAAAA</v>
      </c>
      <c r="B106" s="628"/>
      <c r="C106" s="628"/>
      <c r="D106" s="628"/>
      <c r="E106" s="16" t="str">
        <f>IF(A105="","",IF(VLOOKUP(A105,Products!$A$59:$E$158,5,FALSE)="","",VLOOKUP(A105,Products!$A$59:$E$158,5,FALSE)))</f>
        <v/>
      </c>
      <c r="F106" s="22" t="str">
        <f>IF($E106="","",F$101*(VLOOKUP($A105,Products!$A$59:$H$158,8,FALSE)))</f>
        <v/>
      </c>
      <c r="G106" s="22" t="str">
        <f>IF($E106="","",G$101*(VLOOKUP($A105,Products!$A$59:$H$158,8,FALSE)))</f>
        <v/>
      </c>
      <c r="H106" s="20" t="str">
        <f t="shared" si="8"/>
        <v/>
      </c>
      <c r="I106" s="21" t="str">
        <f t="shared" si="9"/>
        <v/>
      </c>
    </row>
    <row r="107" spans="1:9" x14ac:dyDescent="0.2">
      <c r="A107" s="627" t="str">
        <f t="shared" si="15"/>
        <v>AAAAAA</v>
      </c>
      <c r="B107" s="628"/>
      <c r="C107" s="628"/>
      <c r="D107" s="628"/>
      <c r="E107" s="16" t="str">
        <f>IF(A106="","",IF(VLOOKUP(A106,Products!$A$59:$E$158,5,FALSE)="","",VLOOKUP(A106,Products!$A$59:$E$158,5,FALSE)))</f>
        <v/>
      </c>
      <c r="F107" s="22" t="str">
        <f>IF($E107="","",F$101*(VLOOKUP($A106,Products!$A$59:$H$158,8,FALSE)))</f>
        <v/>
      </c>
      <c r="G107" s="22" t="str">
        <f>IF($E107="","",G$101*(VLOOKUP($A106,Products!$A$59:$H$158,8,FALSE)))</f>
        <v/>
      </c>
      <c r="H107" s="20" t="str">
        <f t="shared" si="8"/>
        <v/>
      </c>
      <c r="I107" s="21" t="str">
        <f t="shared" si="9"/>
        <v/>
      </c>
    </row>
    <row r="108" spans="1:9" x14ac:dyDescent="0.2">
      <c r="A108" s="627" t="str">
        <f t="shared" si="15"/>
        <v>AAAAAAA</v>
      </c>
      <c r="B108" s="628"/>
      <c r="C108" s="628"/>
      <c r="D108" s="628"/>
      <c r="E108" s="16" t="str">
        <f>IF(A107="","",IF(VLOOKUP(A107,Products!$A$59:$E$158,5,FALSE)="","",VLOOKUP(A107,Products!$A$59:$E$158,5,FALSE)))</f>
        <v/>
      </c>
      <c r="F108" s="22" t="str">
        <f>IF($E108="","",F$101*(VLOOKUP($A107,Products!$A$59:$H$158,8,FALSE)))</f>
        <v/>
      </c>
      <c r="G108" s="22" t="str">
        <f>IF($E108="","",G$101*(VLOOKUP($A107,Products!$A$59:$H$158,8,FALSE)))</f>
        <v/>
      </c>
      <c r="H108" s="20" t="str">
        <f t="shared" si="8"/>
        <v/>
      </c>
      <c r="I108" s="21" t="str">
        <f t="shared" si="9"/>
        <v/>
      </c>
    </row>
    <row r="109" spans="1:9" x14ac:dyDescent="0.2">
      <c r="A109" s="627" t="str">
        <f t="shared" si="15"/>
        <v>AAAAAAAA</v>
      </c>
      <c r="B109" s="628"/>
      <c r="C109" s="628"/>
      <c r="D109" s="628"/>
      <c r="E109" s="16" t="str">
        <f>IF(A108="","",IF(VLOOKUP(A108,Products!$A$59:$E$158,5,FALSE)="","",VLOOKUP(A108,Products!$A$59:$E$158,5,FALSE)))</f>
        <v/>
      </c>
      <c r="F109" s="22" t="str">
        <f>IF($E109="","",F$101*(VLOOKUP($A108,Products!$A$59:$H$158,8,FALSE)))</f>
        <v/>
      </c>
      <c r="G109" s="22" t="str">
        <f>IF($E109="","",G$101*(VLOOKUP($A108,Products!$A$59:$H$158,8,FALSE)))</f>
        <v/>
      </c>
      <c r="H109" s="20" t="str">
        <f t="shared" si="8"/>
        <v/>
      </c>
      <c r="I109" s="21" t="str">
        <f t="shared" si="9"/>
        <v/>
      </c>
    </row>
    <row r="110" spans="1:9" x14ac:dyDescent="0.2">
      <c r="A110" s="627" t="str">
        <f t="shared" si="15"/>
        <v>AAAAAAAAA</v>
      </c>
      <c r="B110" s="628"/>
      <c r="C110" s="628"/>
      <c r="D110" s="628"/>
      <c r="E110" s="16" t="str">
        <f>IF(A109="","",IF(VLOOKUP(A109,Products!$A$59:$E$158,5,FALSE)="","",VLOOKUP(A109,Products!$A$59:$E$158,5,FALSE)))</f>
        <v/>
      </c>
      <c r="F110" s="22" t="str">
        <f>IF($E110="","",F$101*(VLOOKUP($A109,Products!$A$59:$H$158,8,FALSE)))</f>
        <v/>
      </c>
      <c r="G110" s="22" t="str">
        <f>IF($E110="","",G$101*(VLOOKUP($A109,Products!$A$59:$H$158,8,FALSE)))</f>
        <v/>
      </c>
      <c r="H110" s="20" t="str">
        <f t="shared" si="8"/>
        <v/>
      </c>
      <c r="I110" s="21" t="str">
        <f t="shared" si="9"/>
        <v/>
      </c>
    </row>
    <row r="111" spans="1:9" x14ac:dyDescent="0.2">
      <c r="A111" s="627" t="str">
        <f>A110&amp;"A"</f>
        <v>AAAAAAAAAA</v>
      </c>
      <c r="B111" s="628"/>
      <c r="C111" s="628"/>
      <c r="D111" s="628"/>
      <c r="E111" s="16" t="str">
        <f>IF(A110="","",IF(VLOOKUP(A110,Products!$A$59:$E$158,5,FALSE)="","",VLOOKUP(A110,Products!$A$59:$E$158,5,FALSE)))</f>
        <v/>
      </c>
      <c r="F111" s="22" t="str">
        <f>IF($E111="","",F$101*(VLOOKUP($A110,Products!$A$59:$H$158,8,FALSE)))</f>
        <v/>
      </c>
      <c r="G111" s="22" t="str">
        <f>IF($E111="","",G$101*(VLOOKUP($A110,Products!$A$59:$H$158,8,FALSE)))</f>
        <v/>
      </c>
      <c r="H111" s="20" t="str">
        <f t="shared" ref="H111:H144" si="16">IF($E111="","",IF(OR($E111="7783-06-4",$E111="7446-09-5",$E111="7664-93-9"),F111,F111*($D$19/1000000)))</f>
        <v/>
      </c>
      <c r="I111" s="21" t="str">
        <f t="shared" ref="I111:I144" si="17">IF($E111="","",IF(OR($E111="7783-06-4",$E111="7446-09-5",$E111="7664-93-9"),G111,G111*($D$19/1000000)))</f>
        <v/>
      </c>
    </row>
    <row r="112" spans="1:9" x14ac:dyDescent="0.2">
      <c r="A112" s="833" t="str">
        <f>Hidden!EO9</f>
        <v/>
      </c>
      <c r="B112" s="672"/>
      <c r="C112" s="672"/>
      <c r="D112" s="672"/>
      <c r="E112" s="16" t="str">
        <f>IF(A112="","","Total VOC")</f>
        <v/>
      </c>
      <c r="F112" s="22">
        <f>Hidden!$EP$9</f>
        <v>0</v>
      </c>
      <c r="G112" s="22">
        <f>Hidden!$EQ$9</f>
        <v>0</v>
      </c>
      <c r="H112" s="20" t="str">
        <f t="shared" si="16"/>
        <v/>
      </c>
      <c r="I112" s="21" t="str">
        <f t="shared" si="17"/>
        <v/>
      </c>
    </row>
    <row r="113" spans="1:9" x14ac:dyDescent="0.2">
      <c r="A113" s="627" t="str">
        <f>A112&amp;"A"</f>
        <v>A</v>
      </c>
      <c r="B113" s="628"/>
      <c r="C113" s="628"/>
      <c r="D113" s="628"/>
      <c r="E113" s="16" t="str">
        <f>IF(A112="","",IF(VLOOKUP(A112,Products!$A$59:$E$158,5,FALSE)="","",VLOOKUP(A112,Products!$A$59:$E$158,5,FALSE)))</f>
        <v/>
      </c>
      <c r="F113" s="22" t="str">
        <f>IF($E113="","",F$112*(VLOOKUP($A112,Products!$A$59:$H$158,8,FALSE)))</f>
        <v/>
      </c>
      <c r="G113" s="22" t="str">
        <f>IF($E113="","",G$112*(VLOOKUP($A112,Products!$A$59:$H$158,8,FALSE)))</f>
        <v/>
      </c>
      <c r="H113" s="20" t="str">
        <f t="shared" si="16"/>
        <v/>
      </c>
      <c r="I113" s="21" t="str">
        <f t="shared" si="17"/>
        <v/>
      </c>
    </row>
    <row r="114" spans="1:9" x14ac:dyDescent="0.2">
      <c r="A114" s="627" t="str">
        <f t="shared" ref="A114:A122" si="18">A113&amp;"A"</f>
        <v>AA</v>
      </c>
      <c r="B114" s="628"/>
      <c r="C114" s="628"/>
      <c r="D114" s="628"/>
      <c r="E114" s="16" t="str">
        <f>IF(A113="","",IF(VLOOKUP(A113,Products!$A$59:$E$158,5,FALSE)="","",VLOOKUP(A113,Products!$A$59:$E$158,5,FALSE)))</f>
        <v/>
      </c>
      <c r="F114" s="22" t="str">
        <f>IF($E114="","",F$112*(VLOOKUP($A113,Products!$A$59:$H$158,8,FALSE)))</f>
        <v/>
      </c>
      <c r="G114" s="22" t="str">
        <f>IF($E114="","",G$112*(VLOOKUP($A113,Products!$A$59:$H$158,8,FALSE)))</f>
        <v/>
      </c>
      <c r="H114" s="20" t="str">
        <f t="shared" si="16"/>
        <v/>
      </c>
      <c r="I114" s="21" t="str">
        <f t="shared" si="17"/>
        <v/>
      </c>
    </row>
    <row r="115" spans="1:9" x14ac:dyDescent="0.2">
      <c r="A115" s="627" t="str">
        <f t="shared" si="18"/>
        <v>AAA</v>
      </c>
      <c r="B115" s="628"/>
      <c r="C115" s="628"/>
      <c r="D115" s="628"/>
      <c r="E115" s="16" t="str">
        <f>IF(A114="","",IF(VLOOKUP(A114,Products!$A$59:$E$158,5,FALSE)="","",VLOOKUP(A114,Products!$A$59:$E$158,5,FALSE)))</f>
        <v/>
      </c>
      <c r="F115" s="22" t="str">
        <f>IF($E115="","",F$112*(VLOOKUP($A114,Products!$A$59:$H$158,8,FALSE)))</f>
        <v/>
      </c>
      <c r="G115" s="22" t="str">
        <f>IF($E115="","",G$112*(VLOOKUP($A114,Products!$A$59:$H$158,8,FALSE)))</f>
        <v/>
      </c>
      <c r="H115" s="20" t="str">
        <f t="shared" si="16"/>
        <v/>
      </c>
      <c r="I115" s="21" t="str">
        <f t="shared" si="17"/>
        <v/>
      </c>
    </row>
    <row r="116" spans="1:9" x14ac:dyDescent="0.2">
      <c r="A116" s="627" t="str">
        <f t="shared" si="18"/>
        <v>AAAA</v>
      </c>
      <c r="B116" s="628"/>
      <c r="C116" s="628"/>
      <c r="D116" s="628"/>
      <c r="E116" s="16" t="str">
        <f>IF(A115="","",IF(VLOOKUP(A115,Products!$A$59:$E$158,5,FALSE)="","",VLOOKUP(A115,Products!$A$59:$E$158,5,FALSE)))</f>
        <v/>
      </c>
      <c r="F116" s="22" t="str">
        <f>IF($E116="","",F$112*(VLOOKUP($A115,Products!$A$59:$H$158,8,FALSE)))</f>
        <v/>
      </c>
      <c r="G116" s="22" t="str">
        <f>IF($E116="","",G$112*(VLOOKUP($A115,Products!$A$59:$H$158,8,FALSE)))</f>
        <v/>
      </c>
      <c r="H116" s="20" t="str">
        <f t="shared" si="16"/>
        <v/>
      </c>
      <c r="I116" s="21" t="str">
        <f t="shared" si="17"/>
        <v/>
      </c>
    </row>
    <row r="117" spans="1:9" x14ac:dyDescent="0.2">
      <c r="A117" s="627" t="str">
        <f t="shared" si="18"/>
        <v>AAAAA</v>
      </c>
      <c r="B117" s="628"/>
      <c r="C117" s="628"/>
      <c r="D117" s="628"/>
      <c r="E117" s="16" t="str">
        <f>IF(A116="","",IF(VLOOKUP(A116,Products!$A$59:$E$158,5,FALSE)="","",VLOOKUP(A116,Products!$A$59:$E$158,5,FALSE)))</f>
        <v/>
      </c>
      <c r="F117" s="22" t="str">
        <f>IF($E117="","",F$112*(VLOOKUP($A116,Products!$A$59:$H$158,8,FALSE)))</f>
        <v/>
      </c>
      <c r="G117" s="22" t="str">
        <f>IF($E117="","",G$112*(VLOOKUP($A116,Products!$A$59:$H$158,8,FALSE)))</f>
        <v/>
      </c>
      <c r="H117" s="20" t="str">
        <f t="shared" si="16"/>
        <v/>
      </c>
      <c r="I117" s="21" t="str">
        <f t="shared" si="17"/>
        <v/>
      </c>
    </row>
    <row r="118" spans="1:9" x14ac:dyDescent="0.2">
      <c r="A118" s="627" t="str">
        <f t="shared" si="18"/>
        <v>AAAAAA</v>
      </c>
      <c r="B118" s="628"/>
      <c r="C118" s="628"/>
      <c r="D118" s="628"/>
      <c r="E118" s="16" t="str">
        <f>IF(A117="","",IF(VLOOKUP(A117,Products!$A$59:$E$158,5,FALSE)="","",VLOOKUP(A117,Products!$A$59:$E$158,5,FALSE)))</f>
        <v/>
      </c>
      <c r="F118" s="22" t="str">
        <f>IF($E118="","",F$112*(VLOOKUP($A117,Products!$A$59:$H$158,8,FALSE)))</f>
        <v/>
      </c>
      <c r="G118" s="22" t="str">
        <f>IF($E118="","",G$112*(VLOOKUP($A117,Products!$A$59:$H$158,8,FALSE)))</f>
        <v/>
      </c>
      <c r="H118" s="20" t="str">
        <f t="shared" si="16"/>
        <v/>
      </c>
      <c r="I118" s="21" t="str">
        <f t="shared" si="17"/>
        <v/>
      </c>
    </row>
    <row r="119" spans="1:9" x14ac:dyDescent="0.2">
      <c r="A119" s="627" t="str">
        <f t="shared" si="18"/>
        <v>AAAAAAA</v>
      </c>
      <c r="B119" s="628"/>
      <c r="C119" s="628"/>
      <c r="D119" s="628"/>
      <c r="E119" s="16" t="str">
        <f>IF(A118="","",IF(VLOOKUP(A118,Products!$A$59:$E$158,5,FALSE)="","",VLOOKUP(A118,Products!$A$59:$E$158,5,FALSE)))</f>
        <v/>
      </c>
      <c r="F119" s="22" t="str">
        <f>IF($E119="","",F$112*(VLOOKUP($A118,Products!$A$59:$H$158,8,FALSE)))</f>
        <v/>
      </c>
      <c r="G119" s="22" t="str">
        <f>IF($E119="","",G$112*(VLOOKUP($A118,Products!$A$59:$H$158,8,FALSE)))</f>
        <v/>
      </c>
      <c r="H119" s="20" t="str">
        <f t="shared" si="16"/>
        <v/>
      </c>
      <c r="I119" s="21" t="str">
        <f t="shared" si="17"/>
        <v/>
      </c>
    </row>
    <row r="120" spans="1:9" x14ac:dyDescent="0.2">
      <c r="A120" s="627" t="str">
        <f t="shared" si="18"/>
        <v>AAAAAAAA</v>
      </c>
      <c r="B120" s="628"/>
      <c r="C120" s="628"/>
      <c r="D120" s="628"/>
      <c r="E120" s="16" t="str">
        <f>IF(A119="","",IF(VLOOKUP(A119,Products!$A$59:$E$158,5,FALSE)="","",VLOOKUP(A119,Products!$A$59:$E$158,5,FALSE)))</f>
        <v/>
      </c>
      <c r="F120" s="22" t="str">
        <f>IF($E120="","",F$112*(VLOOKUP($A119,Products!$A$59:$H$158,8,FALSE)))</f>
        <v/>
      </c>
      <c r="G120" s="22" t="str">
        <f>IF($E120="","",G$112*(VLOOKUP($A119,Products!$A$59:$H$158,8,FALSE)))</f>
        <v/>
      </c>
      <c r="H120" s="20" t="str">
        <f t="shared" si="16"/>
        <v/>
      </c>
      <c r="I120" s="21" t="str">
        <f t="shared" si="17"/>
        <v/>
      </c>
    </row>
    <row r="121" spans="1:9" x14ac:dyDescent="0.2">
      <c r="A121" s="627" t="str">
        <f t="shared" si="18"/>
        <v>AAAAAAAAA</v>
      </c>
      <c r="B121" s="628"/>
      <c r="C121" s="628"/>
      <c r="D121" s="628"/>
      <c r="E121" s="16" t="str">
        <f>IF(A120="","",IF(VLOOKUP(A120,Products!$A$59:$E$158,5,FALSE)="","",VLOOKUP(A120,Products!$A$59:$E$158,5,FALSE)))</f>
        <v/>
      </c>
      <c r="F121" s="22" t="str">
        <f>IF($E121="","",F$112*(VLOOKUP($A120,Products!$A$59:$H$158,8,FALSE)))</f>
        <v/>
      </c>
      <c r="G121" s="22" t="str">
        <f>IF($E121="","",G$112*(VLOOKUP($A120,Products!$A$59:$H$158,8,FALSE)))</f>
        <v/>
      </c>
      <c r="H121" s="20" t="str">
        <f t="shared" si="16"/>
        <v/>
      </c>
      <c r="I121" s="21" t="str">
        <f t="shared" si="17"/>
        <v/>
      </c>
    </row>
    <row r="122" spans="1:9" x14ac:dyDescent="0.2">
      <c r="A122" s="627" t="str">
        <f t="shared" si="18"/>
        <v>AAAAAAAAAA</v>
      </c>
      <c r="B122" s="628"/>
      <c r="C122" s="628"/>
      <c r="D122" s="628"/>
      <c r="E122" s="16" t="str">
        <f>IF(A121="","",IF(VLOOKUP(A121,Products!$A$59:$E$158,5,FALSE)="","",VLOOKUP(A121,Products!$A$59:$E$158,5,FALSE)))</f>
        <v/>
      </c>
      <c r="F122" s="22" t="str">
        <f>IF($E122="","",F$112*(VLOOKUP($A121,Products!$A$59:$H$158,8,FALSE)))</f>
        <v/>
      </c>
      <c r="G122" s="22" t="str">
        <f>IF($E122="","",G$112*(VLOOKUP($A121,Products!$A$59:$H$158,8,FALSE)))</f>
        <v/>
      </c>
      <c r="H122" s="20" t="str">
        <f t="shared" si="16"/>
        <v/>
      </c>
      <c r="I122" s="21" t="str">
        <f t="shared" si="17"/>
        <v/>
      </c>
    </row>
    <row r="123" spans="1:9" x14ac:dyDescent="0.2">
      <c r="A123" s="833" t="str">
        <f>Hidden!EO10</f>
        <v/>
      </c>
      <c r="B123" s="672"/>
      <c r="C123" s="672"/>
      <c r="D123" s="672"/>
      <c r="E123" s="16" t="str">
        <f>IF(A123="","","Total VOC")</f>
        <v/>
      </c>
      <c r="F123" s="22">
        <f>Hidden!$EP$10</f>
        <v>0</v>
      </c>
      <c r="G123" s="22">
        <f>Hidden!$EQ$10</f>
        <v>0</v>
      </c>
      <c r="H123" s="20" t="str">
        <f t="shared" si="16"/>
        <v/>
      </c>
      <c r="I123" s="21" t="str">
        <f t="shared" si="17"/>
        <v/>
      </c>
    </row>
    <row r="124" spans="1:9" x14ac:dyDescent="0.2">
      <c r="A124" s="627" t="str">
        <f>A123&amp;"A"</f>
        <v>A</v>
      </c>
      <c r="B124" s="628"/>
      <c r="C124" s="628"/>
      <c r="D124" s="628"/>
      <c r="E124" s="16" t="str">
        <f>IF(A123="","",IF(VLOOKUP(A123,Products!$A$59:$E$158,5,FALSE)="","",VLOOKUP(A123,Products!$A$59:$E$158,5,FALSE)))</f>
        <v/>
      </c>
      <c r="F124" s="22" t="str">
        <f>IF($E124="","",F$123*(VLOOKUP($A123,Products!$A$59:$H$158,8,FALSE)))</f>
        <v/>
      </c>
      <c r="G124" s="22" t="str">
        <f>IF($E124="","",G$123*(VLOOKUP($A123,Products!$A$59:$H$158,8,FALSE)))</f>
        <v/>
      </c>
      <c r="H124" s="20" t="str">
        <f t="shared" si="16"/>
        <v/>
      </c>
      <c r="I124" s="21" t="str">
        <f t="shared" si="17"/>
        <v/>
      </c>
    </row>
    <row r="125" spans="1:9" x14ac:dyDescent="0.2">
      <c r="A125" s="627" t="str">
        <f t="shared" ref="A125:A133" si="19">A124&amp;"A"</f>
        <v>AA</v>
      </c>
      <c r="B125" s="628"/>
      <c r="C125" s="628"/>
      <c r="D125" s="628"/>
      <c r="E125" s="16" t="str">
        <f>IF(A124="","",IF(VLOOKUP(A124,Products!$A$59:$E$158,5,FALSE)="","",VLOOKUP(A124,Products!$A$59:$E$158,5,FALSE)))</f>
        <v/>
      </c>
      <c r="F125" s="22" t="str">
        <f>IF($E125="","",F$123*(VLOOKUP($A124,Products!$A$59:$H$158,8,FALSE)))</f>
        <v/>
      </c>
      <c r="G125" s="22" t="str">
        <f>IF($E125="","",G$123*(VLOOKUP($A124,Products!$A$59:$H$158,8,FALSE)))</f>
        <v/>
      </c>
      <c r="H125" s="20" t="str">
        <f t="shared" si="16"/>
        <v/>
      </c>
      <c r="I125" s="21" t="str">
        <f t="shared" si="17"/>
        <v/>
      </c>
    </row>
    <row r="126" spans="1:9" x14ac:dyDescent="0.2">
      <c r="A126" s="627" t="str">
        <f t="shared" si="19"/>
        <v>AAA</v>
      </c>
      <c r="B126" s="628"/>
      <c r="C126" s="628"/>
      <c r="D126" s="628"/>
      <c r="E126" s="16" t="str">
        <f>IF(A125="","",IF(VLOOKUP(A125,Products!$A$59:$E$158,5,FALSE)="","",VLOOKUP(A125,Products!$A$59:$E$158,5,FALSE)))</f>
        <v/>
      </c>
      <c r="F126" s="22" t="str">
        <f>IF($E126="","",F$123*(VLOOKUP($A125,Products!$A$59:$H$158,8,FALSE)))</f>
        <v/>
      </c>
      <c r="G126" s="22" t="str">
        <f>IF($E126="","",G$123*(VLOOKUP($A125,Products!$A$59:$H$158,8,FALSE)))</f>
        <v/>
      </c>
      <c r="H126" s="20" t="str">
        <f t="shared" si="16"/>
        <v/>
      </c>
      <c r="I126" s="21" t="str">
        <f t="shared" si="17"/>
        <v/>
      </c>
    </row>
    <row r="127" spans="1:9" x14ac:dyDescent="0.2">
      <c r="A127" s="627" t="str">
        <f t="shared" si="19"/>
        <v>AAAA</v>
      </c>
      <c r="B127" s="628"/>
      <c r="C127" s="628"/>
      <c r="D127" s="628"/>
      <c r="E127" s="16" t="str">
        <f>IF(A126="","",IF(VLOOKUP(A126,Products!$A$59:$E$158,5,FALSE)="","",VLOOKUP(A126,Products!$A$59:$E$158,5,FALSE)))</f>
        <v/>
      </c>
      <c r="F127" s="22" t="str">
        <f>IF($E127="","",F$123*(VLOOKUP($A126,Products!$A$59:$H$158,8,FALSE)))</f>
        <v/>
      </c>
      <c r="G127" s="22" t="str">
        <f>IF($E127="","",G$123*(VLOOKUP($A126,Products!$A$59:$H$158,8,FALSE)))</f>
        <v/>
      </c>
      <c r="H127" s="20" t="str">
        <f t="shared" si="16"/>
        <v/>
      </c>
      <c r="I127" s="21" t="str">
        <f t="shared" si="17"/>
        <v/>
      </c>
    </row>
    <row r="128" spans="1:9" x14ac:dyDescent="0.2">
      <c r="A128" s="627" t="str">
        <f t="shared" si="19"/>
        <v>AAAAA</v>
      </c>
      <c r="B128" s="628"/>
      <c r="C128" s="628"/>
      <c r="D128" s="628"/>
      <c r="E128" s="16" t="str">
        <f>IF(A127="","",IF(VLOOKUP(A127,Products!$A$59:$E$158,5,FALSE)="","",VLOOKUP(A127,Products!$A$59:$E$158,5,FALSE)))</f>
        <v/>
      </c>
      <c r="F128" s="22" t="str">
        <f>IF($E128="","",F$123*(VLOOKUP($A127,Products!$A$59:$H$158,8,FALSE)))</f>
        <v/>
      </c>
      <c r="G128" s="22" t="str">
        <f>IF($E128="","",G$123*(VLOOKUP($A127,Products!$A$59:$H$158,8,FALSE)))</f>
        <v/>
      </c>
      <c r="H128" s="20" t="str">
        <f t="shared" si="16"/>
        <v/>
      </c>
      <c r="I128" s="21" t="str">
        <f t="shared" si="17"/>
        <v/>
      </c>
    </row>
    <row r="129" spans="1:9" x14ac:dyDescent="0.2">
      <c r="A129" s="627" t="str">
        <f t="shared" si="19"/>
        <v>AAAAAA</v>
      </c>
      <c r="B129" s="628"/>
      <c r="C129" s="628"/>
      <c r="D129" s="628"/>
      <c r="E129" s="16" t="str">
        <f>IF(A128="","",IF(VLOOKUP(A128,Products!$A$59:$E$158,5,FALSE)="","",VLOOKUP(A128,Products!$A$59:$E$158,5,FALSE)))</f>
        <v/>
      </c>
      <c r="F129" s="22" t="str">
        <f>IF($E129="","",F$123*(VLOOKUP($A128,Products!$A$59:$H$158,8,FALSE)))</f>
        <v/>
      </c>
      <c r="G129" s="22" t="str">
        <f>IF($E129="","",G$123*(VLOOKUP($A128,Products!$A$59:$H$158,8,FALSE)))</f>
        <v/>
      </c>
      <c r="H129" s="20" t="str">
        <f t="shared" si="16"/>
        <v/>
      </c>
      <c r="I129" s="21" t="str">
        <f t="shared" si="17"/>
        <v/>
      </c>
    </row>
    <row r="130" spans="1:9" x14ac:dyDescent="0.2">
      <c r="A130" s="627" t="str">
        <f t="shared" si="19"/>
        <v>AAAAAAA</v>
      </c>
      <c r="B130" s="628"/>
      <c r="C130" s="628"/>
      <c r="D130" s="628"/>
      <c r="E130" s="16" t="str">
        <f>IF(A129="","",IF(VLOOKUP(A129,Products!$A$59:$E$158,5,FALSE)="","",VLOOKUP(A129,Products!$A$59:$E$158,5,FALSE)))</f>
        <v/>
      </c>
      <c r="F130" s="22" t="str">
        <f>IF($E130="","",F$123*(VLOOKUP($A129,Products!$A$59:$H$158,8,FALSE)))</f>
        <v/>
      </c>
      <c r="G130" s="22" t="str">
        <f>IF($E130="","",G$123*(VLOOKUP($A129,Products!$A$59:$H$158,8,FALSE)))</f>
        <v/>
      </c>
      <c r="H130" s="20" t="str">
        <f t="shared" si="16"/>
        <v/>
      </c>
      <c r="I130" s="21" t="str">
        <f t="shared" si="17"/>
        <v/>
      </c>
    </row>
    <row r="131" spans="1:9" x14ac:dyDescent="0.2">
      <c r="A131" s="627" t="str">
        <f t="shared" si="19"/>
        <v>AAAAAAAA</v>
      </c>
      <c r="B131" s="628"/>
      <c r="C131" s="628"/>
      <c r="D131" s="628"/>
      <c r="E131" s="16" t="str">
        <f>IF(A130="","",IF(VLOOKUP(A130,Products!$A$59:$E$158,5,FALSE)="","",VLOOKUP(A130,Products!$A$59:$E$158,5,FALSE)))</f>
        <v/>
      </c>
      <c r="F131" s="22" t="str">
        <f>IF($E131="","",F$123*(VLOOKUP($A130,Products!$A$59:$H$158,8,FALSE)))</f>
        <v/>
      </c>
      <c r="G131" s="22" t="str">
        <f>IF($E131="","",G$123*(VLOOKUP($A130,Products!$A$59:$H$158,8,FALSE)))</f>
        <v/>
      </c>
      <c r="H131" s="20" t="str">
        <f t="shared" si="16"/>
        <v/>
      </c>
      <c r="I131" s="21" t="str">
        <f t="shared" si="17"/>
        <v/>
      </c>
    </row>
    <row r="132" spans="1:9" x14ac:dyDescent="0.2">
      <c r="A132" s="627" t="str">
        <f t="shared" si="19"/>
        <v>AAAAAAAAA</v>
      </c>
      <c r="B132" s="628"/>
      <c r="C132" s="628"/>
      <c r="D132" s="628"/>
      <c r="E132" s="16" t="str">
        <f>IF(A131="","",IF(VLOOKUP(A131,Products!$A$59:$E$158,5,FALSE)="","",VLOOKUP(A131,Products!$A$59:$E$158,5,FALSE)))</f>
        <v/>
      </c>
      <c r="F132" s="22" t="str">
        <f>IF($E132="","",F$123*(VLOOKUP($A131,Products!$A$59:$H$158,8,FALSE)))</f>
        <v/>
      </c>
      <c r="G132" s="22" t="str">
        <f>IF($E132="","",G$123*(VLOOKUP($A131,Products!$A$59:$H$158,8,FALSE)))</f>
        <v/>
      </c>
      <c r="H132" s="20" t="str">
        <f t="shared" si="16"/>
        <v/>
      </c>
      <c r="I132" s="21" t="str">
        <f t="shared" si="17"/>
        <v/>
      </c>
    </row>
    <row r="133" spans="1:9" x14ac:dyDescent="0.2">
      <c r="A133" s="627" t="str">
        <f t="shared" si="19"/>
        <v>AAAAAAAAAA</v>
      </c>
      <c r="B133" s="628"/>
      <c r="C133" s="628"/>
      <c r="D133" s="628"/>
      <c r="E133" s="16" t="str">
        <f>IF(A132="","",IF(VLOOKUP(A132,Products!$A$59:$E$158,5,FALSE)="","",VLOOKUP(A132,Products!$A$59:$E$158,5,FALSE)))</f>
        <v/>
      </c>
      <c r="F133" s="22" t="str">
        <f>IF($E133="","",F$123*(VLOOKUP($A132,Products!$A$59:$H$158,8,FALSE)))</f>
        <v/>
      </c>
      <c r="G133" s="22" t="str">
        <f>IF($E133="","",G$123*(VLOOKUP($A132,Products!$A$59:$H$158,8,FALSE)))</f>
        <v/>
      </c>
      <c r="H133" s="20" t="str">
        <f t="shared" si="16"/>
        <v/>
      </c>
      <c r="I133" s="21" t="str">
        <f t="shared" si="17"/>
        <v/>
      </c>
    </row>
    <row r="134" spans="1:9" x14ac:dyDescent="0.2">
      <c r="A134" s="833" t="str">
        <f>Hidden!EO11</f>
        <v/>
      </c>
      <c r="B134" s="672"/>
      <c r="C134" s="672"/>
      <c r="D134" s="672"/>
      <c r="E134" s="16" t="str">
        <f>IF(A134="","","Total VOC")</f>
        <v/>
      </c>
      <c r="F134" s="22">
        <f>Hidden!$EP$11</f>
        <v>0</v>
      </c>
      <c r="G134" s="22">
        <f>Hidden!$EQ$11</f>
        <v>0</v>
      </c>
      <c r="H134" s="20" t="str">
        <f t="shared" si="16"/>
        <v/>
      </c>
      <c r="I134" s="21" t="str">
        <f t="shared" si="17"/>
        <v/>
      </c>
    </row>
    <row r="135" spans="1:9" x14ac:dyDescent="0.2">
      <c r="A135" s="627" t="str">
        <f>A134&amp;"A"</f>
        <v>A</v>
      </c>
      <c r="B135" s="628"/>
      <c r="C135" s="628"/>
      <c r="D135" s="628"/>
      <c r="E135" s="16" t="str">
        <f>IF(A134="","",IF(VLOOKUP(A134,Products!$A$59:$E$158,5,FALSE)="","",VLOOKUP(A134,Products!$A$59:$E$158,5,FALSE)))</f>
        <v/>
      </c>
      <c r="F135" s="22" t="str">
        <f>IF($E135="","",F$134*(VLOOKUP($A134,Products!$A$59:$H$158,8,FALSE)))</f>
        <v/>
      </c>
      <c r="G135" s="22" t="str">
        <f>IF($E135="","",G$134*(VLOOKUP($A134,Products!$A$59:$H$158,8,FALSE)))</f>
        <v/>
      </c>
      <c r="H135" s="20" t="str">
        <f t="shared" si="16"/>
        <v/>
      </c>
      <c r="I135" s="21" t="str">
        <f t="shared" si="17"/>
        <v/>
      </c>
    </row>
    <row r="136" spans="1:9" x14ac:dyDescent="0.2">
      <c r="A136" s="627" t="str">
        <f t="shared" ref="A136:A144" si="20">A135&amp;"A"</f>
        <v>AA</v>
      </c>
      <c r="B136" s="628"/>
      <c r="C136" s="628"/>
      <c r="D136" s="628"/>
      <c r="E136" s="16" t="str">
        <f>IF(A135="","",IF(VLOOKUP(A135,Products!$A$59:$E$158,5,FALSE)="","",VLOOKUP(A135,Products!$A$59:$E$158,5,FALSE)))</f>
        <v/>
      </c>
      <c r="F136" s="22" t="str">
        <f>IF($E136="","",F$134*(VLOOKUP($A135,Products!$A$59:$H$158,8,FALSE)))</f>
        <v/>
      </c>
      <c r="G136" s="22" t="str">
        <f>IF($E136="","",G$134*(VLOOKUP($A135,Products!$A$59:$H$158,8,FALSE)))</f>
        <v/>
      </c>
      <c r="H136" s="20" t="str">
        <f t="shared" si="16"/>
        <v/>
      </c>
      <c r="I136" s="21" t="str">
        <f t="shared" si="17"/>
        <v/>
      </c>
    </row>
    <row r="137" spans="1:9" x14ac:dyDescent="0.2">
      <c r="A137" s="627" t="str">
        <f t="shared" si="20"/>
        <v>AAA</v>
      </c>
      <c r="B137" s="628"/>
      <c r="C137" s="628"/>
      <c r="D137" s="628"/>
      <c r="E137" s="16" t="str">
        <f>IF(A136="","",IF(VLOOKUP(A136,Products!$A$59:$E$158,5,FALSE)="","",VLOOKUP(A136,Products!$A$59:$E$158,5,FALSE)))</f>
        <v/>
      </c>
      <c r="F137" s="22" t="str">
        <f>IF($E137="","",F$134*(VLOOKUP($A136,Products!$A$59:$H$158,8,FALSE)))</f>
        <v/>
      </c>
      <c r="G137" s="22" t="str">
        <f>IF($E137="","",G$134*(VLOOKUP($A136,Products!$A$59:$H$158,8,FALSE)))</f>
        <v/>
      </c>
      <c r="H137" s="20" t="str">
        <f t="shared" si="16"/>
        <v/>
      </c>
      <c r="I137" s="21" t="str">
        <f t="shared" si="17"/>
        <v/>
      </c>
    </row>
    <row r="138" spans="1:9" x14ac:dyDescent="0.2">
      <c r="A138" s="627" t="str">
        <f t="shared" si="20"/>
        <v>AAAA</v>
      </c>
      <c r="B138" s="628"/>
      <c r="C138" s="628"/>
      <c r="D138" s="628"/>
      <c r="E138" s="16" t="str">
        <f>IF(A137="","",IF(VLOOKUP(A137,Products!$A$59:$E$158,5,FALSE)="","",VLOOKUP(A137,Products!$A$59:$E$158,5,FALSE)))</f>
        <v/>
      </c>
      <c r="F138" s="22" t="str">
        <f>IF($E138="","",F$134*(VLOOKUP($A137,Products!$A$59:$H$158,8,FALSE)))</f>
        <v/>
      </c>
      <c r="G138" s="22" t="str">
        <f>IF($E138="","",G$134*(VLOOKUP($A137,Products!$A$59:$H$158,8,FALSE)))</f>
        <v/>
      </c>
      <c r="H138" s="20" t="str">
        <f t="shared" si="16"/>
        <v/>
      </c>
      <c r="I138" s="21" t="str">
        <f t="shared" si="17"/>
        <v/>
      </c>
    </row>
    <row r="139" spans="1:9" x14ac:dyDescent="0.2">
      <c r="A139" s="627" t="str">
        <f t="shared" si="20"/>
        <v>AAAAA</v>
      </c>
      <c r="B139" s="628"/>
      <c r="C139" s="628"/>
      <c r="D139" s="628"/>
      <c r="E139" s="16" t="str">
        <f>IF(A138="","",IF(VLOOKUP(A138,Products!$A$59:$E$158,5,FALSE)="","",VLOOKUP(A138,Products!$A$59:$E$158,5,FALSE)))</f>
        <v/>
      </c>
      <c r="F139" s="22" t="str">
        <f>IF($E139="","",F$134*(VLOOKUP($A138,Products!$A$59:$H$158,8,FALSE)))</f>
        <v/>
      </c>
      <c r="G139" s="22" t="str">
        <f>IF($E139="","",G$134*(VLOOKUP($A138,Products!$A$59:$H$158,8,FALSE)))</f>
        <v/>
      </c>
      <c r="H139" s="20" t="str">
        <f t="shared" si="16"/>
        <v/>
      </c>
      <c r="I139" s="21" t="str">
        <f t="shared" si="17"/>
        <v/>
      </c>
    </row>
    <row r="140" spans="1:9" x14ac:dyDescent="0.2">
      <c r="A140" s="627" t="str">
        <f t="shared" si="20"/>
        <v>AAAAAA</v>
      </c>
      <c r="B140" s="628"/>
      <c r="C140" s="628"/>
      <c r="D140" s="628"/>
      <c r="E140" s="16" t="str">
        <f>IF(A139="","",IF(VLOOKUP(A139,Products!$A$59:$E$158,5,FALSE)="","",VLOOKUP(A139,Products!$A$59:$E$158,5,FALSE)))</f>
        <v/>
      </c>
      <c r="F140" s="22" t="str">
        <f>IF($E140="","",F$134*(VLOOKUP($A139,Products!$A$59:$H$158,8,FALSE)))</f>
        <v/>
      </c>
      <c r="G140" s="22" t="str">
        <f>IF($E140="","",G$134*(VLOOKUP($A139,Products!$A$59:$H$158,8,FALSE)))</f>
        <v/>
      </c>
      <c r="H140" s="20" t="str">
        <f t="shared" si="16"/>
        <v/>
      </c>
      <c r="I140" s="21" t="str">
        <f t="shared" si="17"/>
        <v/>
      </c>
    </row>
    <row r="141" spans="1:9" x14ac:dyDescent="0.2">
      <c r="A141" s="627" t="str">
        <f t="shared" si="20"/>
        <v>AAAAAAA</v>
      </c>
      <c r="B141" s="628"/>
      <c r="C141" s="628"/>
      <c r="D141" s="628"/>
      <c r="E141" s="16" t="str">
        <f>IF(A140="","",IF(VLOOKUP(A140,Products!$A$59:$E$158,5,FALSE)="","",VLOOKUP(A140,Products!$A$59:$E$158,5,FALSE)))</f>
        <v/>
      </c>
      <c r="F141" s="22" t="str">
        <f>IF($E141="","",F$134*(VLOOKUP($A140,Products!$A$59:$H$158,8,FALSE)))</f>
        <v/>
      </c>
      <c r="G141" s="22" t="str">
        <f>IF($E141="","",G$134*(VLOOKUP($A140,Products!$A$59:$H$158,8,FALSE)))</f>
        <v/>
      </c>
      <c r="H141" s="20" t="str">
        <f t="shared" si="16"/>
        <v/>
      </c>
      <c r="I141" s="21" t="str">
        <f t="shared" si="17"/>
        <v/>
      </c>
    </row>
    <row r="142" spans="1:9" x14ac:dyDescent="0.2">
      <c r="A142" s="627" t="str">
        <f t="shared" si="20"/>
        <v>AAAAAAAA</v>
      </c>
      <c r="B142" s="628"/>
      <c r="C142" s="628"/>
      <c r="D142" s="628"/>
      <c r="E142" s="16" t="str">
        <f>IF(A141="","",IF(VLOOKUP(A141,Products!$A$59:$E$158,5,FALSE)="","",VLOOKUP(A141,Products!$A$59:$E$158,5,FALSE)))</f>
        <v/>
      </c>
      <c r="F142" s="22" t="str">
        <f>IF($E142="","",F$134*(VLOOKUP($A141,Products!$A$59:$H$158,8,FALSE)))</f>
        <v/>
      </c>
      <c r="G142" s="22" t="str">
        <f>IF($E142="","",G$134*(VLOOKUP($A141,Products!$A$59:$H$158,8,FALSE)))</f>
        <v/>
      </c>
      <c r="H142" s="20" t="str">
        <f t="shared" si="16"/>
        <v/>
      </c>
      <c r="I142" s="21" t="str">
        <f t="shared" si="17"/>
        <v/>
      </c>
    </row>
    <row r="143" spans="1:9" x14ac:dyDescent="0.2">
      <c r="A143" s="627" t="str">
        <f t="shared" si="20"/>
        <v>AAAAAAAAA</v>
      </c>
      <c r="B143" s="628"/>
      <c r="C143" s="628"/>
      <c r="D143" s="628"/>
      <c r="E143" s="16" t="str">
        <f>IF(A142="","",IF(VLOOKUP(A142,Products!$A$59:$E$158,5,FALSE)="","",VLOOKUP(A142,Products!$A$59:$E$158,5,FALSE)))</f>
        <v/>
      </c>
      <c r="F143" s="22" t="str">
        <f>IF($E143="","",F$134*(VLOOKUP($A142,Products!$A$59:$H$158,8,FALSE)))</f>
        <v/>
      </c>
      <c r="G143" s="22" t="str">
        <f>IF($E143="","",G$134*(VLOOKUP($A142,Products!$A$59:$H$158,8,FALSE)))</f>
        <v/>
      </c>
      <c r="H143" s="20" t="str">
        <f t="shared" si="16"/>
        <v/>
      </c>
      <c r="I143" s="21" t="str">
        <f t="shared" si="17"/>
        <v/>
      </c>
    </row>
    <row r="144" spans="1:9" ht="15" thickBot="1" x14ac:dyDescent="0.25">
      <c r="A144" s="629" t="str">
        <f t="shared" si="20"/>
        <v>AAAAAAAAAA</v>
      </c>
      <c r="B144" s="630"/>
      <c r="C144" s="630"/>
      <c r="D144" s="630"/>
      <c r="E144" s="28" t="str">
        <f>IF(A143="","",IF(VLOOKUP(A143,Products!$A$59:$E$158,5,FALSE)="","",VLOOKUP(A143,Products!$A$59:$E$158,5,FALSE)))</f>
        <v/>
      </c>
      <c r="F144" s="132" t="str">
        <f>IF($E144="","",F$134*(VLOOKUP($A143,Products!$A$59:$H$158,8,FALSE)))</f>
        <v/>
      </c>
      <c r="G144" s="132" t="str">
        <f>IF($E144="","",G$134*(VLOOKUP($A143,Products!$A$59:$H$158,8,FALSE)))</f>
        <v/>
      </c>
      <c r="H144" s="84" t="str">
        <f t="shared" si="16"/>
        <v/>
      </c>
      <c r="I144" s="85" t="str">
        <f t="shared" si="17"/>
        <v/>
      </c>
    </row>
    <row r="145" spans="1:9" x14ac:dyDescent="0.2">
      <c r="A145" s="478" t="s">
        <v>130</v>
      </c>
      <c r="B145" s="478"/>
      <c r="C145" s="478"/>
      <c r="D145" s="478"/>
      <c r="E145" s="478"/>
      <c r="F145" s="478"/>
      <c r="G145" s="478"/>
      <c r="H145" s="478"/>
      <c r="I145" s="478"/>
    </row>
  </sheetData>
  <sheetProtection algorithmName="SHA-512" hashValue="t0aJqEbWhY+pBx+x1b7Q8Z7qDwOPCzRdfGKjem9D/iG1BVPrpiF9cJuHdcqoXgyrR9/mXvm4QwrD1nKBuzaEIg==" saltValue="mQYQhiL3RF6Itivwk2Yx7w==" spinCount="100000" sheet="1" objects="1" scenarios="1" formatColumns="0" formatRows="0"/>
  <mergeCells count="179">
    <mergeCell ref="D19:G19"/>
    <mergeCell ref="D20:G20"/>
    <mergeCell ref="D21:G21"/>
    <mergeCell ref="F28:G28"/>
    <mergeCell ref="F29:G29"/>
    <mergeCell ref="F30:G30"/>
    <mergeCell ref="F31:G31"/>
    <mergeCell ref="A28:E28"/>
    <mergeCell ref="A29:E29"/>
    <mergeCell ref="A30:E30"/>
    <mergeCell ref="A31:E31"/>
    <mergeCell ref="A19:C19"/>
    <mergeCell ref="A6:C6"/>
    <mergeCell ref="D6:I6"/>
    <mergeCell ref="A1:I1"/>
    <mergeCell ref="A2:I2"/>
    <mergeCell ref="A3:I3"/>
    <mergeCell ref="A4:I4"/>
    <mergeCell ref="A5:I5"/>
    <mergeCell ref="A14:C14"/>
    <mergeCell ref="H14:I14"/>
    <mergeCell ref="A7:C7"/>
    <mergeCell ref="D7:I7"/>
    <mergeCell ref="D14:G14"/>
    <mergeCell ref="A15:C15"/>
    <mergeCell ref="H15:I15"/>
    <mergeCell ref="A13:I13"/>
    <mergeCell ref="A8:C8"/>
    <mergeCell ref="D8:I8"/>
    <mergeCell ref="A9:C9"/>
    <mergeCell ref="D9:I9"/>
    <mergeCell ref="A10:C10"/>
    <mergeCell ref="D10:I10"/>
    <mergeCell ref="A11:C11"/>
    <mergeCell ref="D11:I11"/>
    <mergeCell ref="A12:I12"/>
    <mergeCell ref="D15:G15"/>
    <mergeCell ref="A17:C17"/>
    <mergeCell ref="H17:I17"/>
    <mergeCell ref="A18:C18"/>
    <mergeCell ref="H18:I18"/>
    <mergeCell ref="A16:C16"/>
    <mergeCell ref="H16:I16"/>
    <mergeCell ref="D16:G16"/>
    <mergeCell ref="D17:G17"/>
    <mergeCell ref="D18:G18"/>
    <mergeCell ref="H19:I19"/>
    <mergeCell ref="A145:I145"/>
    <mergeCell ref="A22:C22"/>
    <mergeCell ref="D22:I22"/>
    <mergeCell ref="A23:C23"/>
    <mergeCell ref="D23:I23"/>
    <mergeCell ref="A33:I33"/>
    <mergeCell ref="A24:C24"/>
    <mergeCell ref="D24:I24"/>
    <mergeCell ref="A25:C25"/>
    <mergeCell ref="D25:I25"/>
    <mergeCell ref="A26:I26"/>
    <mergeCell ref="H28:I28"/>
    <mergeCell ref="H29:I29"/>
    <mergeCell ref="H30:I30"/>
    <mergeCell ref="A20:C20"/>
    <mergeCell ref="H20:I20"/>
    <mergeCell ref="A32:I32"/>
    <mergeCell ref="A27:I27"/>
    <mergeCell ref="H31:I31"/>
    <mergeCell ref="A21:C21"/>
    <mergeCell ref="H21:I21"/>
    <mergeCell ref="A114:D114"/>
    <mergeCell ref="A115:D115"/>
    <mergeCell ref="A43:D43"/>
    <mergeCell ref="A44:D44"/>
    <mergeCell ref="A45:D45"/>
    <mergeCell ref="A46:D46"/>
    <mergeCell ref="A47:D47"/>
    <mergeCell ref="A48:D48"/>
    <mergeCell ref="A49:D49"/>
    <mergeCell ref="A97:D97"/>
    <mergeCell ref="A98:D98"/>
    <mergeCell ref="A50:D50"/>
    <mergeCell ref="A51:D51"/>
    <mergeCell ref="A52:D52"/>
    <mergeCell ref="A53:D53"/>
    <mergeCell ref="A54:D54"/>
    <mergeCell ref="A55:D55"/>
    <mergeCell ref="A56:D56"/>
    <mergeCell ref="A57:D57"/>
    <mergeCell ref="A58:D58"/>
    <mergeCell ref="A59:D59"/>
    <mergeCell ref="A60:D60"/>
    <mergeCell ref="A61:D61"/>
    <mergeCell ref="A62:D62"/>
    <mergeCell ref="A63:D63"/>
    <mergeCell ref="A64:D64"/>
    <mergeCell ref="A34:D34"/>
    <mergeCell ref="A35:D35"/>
    <mergeCell ref="A36:D36"/>
    <mergeCell ref="A37:D37"/>
    <mergeCell ref="A38:D38"/>
    <mergeCell ref="A39:D39"/>
    <mergeCell ref="A40:D40"/>
    <mergeCell ref="A41:D41"/>
    <mergeCell ref="A42:D42"/>
    <mergeCell ref="A65:D65"/>
    <mergeCell ref="A66:D66"/>
    <mergeCell ref="A67:D67"/>
    <mergeCell ref="A68:D68"/>
    <mergeCell ref="A69:D69"/>
    <mergeCell ref="A70:D70"/>
    <mergeCell ref="A71:D71"/>
    <mergeCell ref="A72:D72"/>
    <mergeCell ref="A73:D73"/>
    <mergeCell ref="A74:D74"/>
    <mergeCell ref="A75:D75"/>
    <mergeCell ref="A76:D76"/>
    <mergeCell ref="A77:D77"/>
    <mergeCell ref="A78:D78"/>
    <mergeCell ref="A79:D79"/>
    <mergeCell ref="A80:D80"/>
    <mergeCell ref="A81:D81"/>
    <mergeCell ref="A82:D82"/>
    <mergeCell ref="A83:D83"/>
    <mergeCell ref="A84:D84"/>
    <mergeCell ref="A85:D85"/>
    <mergeCell ref="A86:D86"/>
    <mergeCell ref="A87:D87"/>
    <mergeCell ref="A88:D88"/>
    <mergeCell ref="A89:D89"/>
    <mergeCell ref="A90:D90"/>
    <mergeCell ref="A91:D91"/>
    <mergeCell ref="A92:D92"/>
    <mergeCell ref="A93:D93"/>
    <mergeCell ref="A94:D94"/>
    <mergeCell ref="A95:D95"/>
    <mergeCell ref="A96:D96"/>
    <mergeCell ref="A116:D116"/>
    <mergeCell ref="A117:D117"/>
    <mergeCell ref="A118:D118"/>
    <mergeCell ref="A119:D119"/>
    <mergeCell ref="A99:D99"/>
    <mergeCell ref="A100:D100"/>
    <mergeCell ref="A101:D101"/>
    <mergeCell ref="A102:D102"/>
    <mergeCell ref="A103:D103"/>
    <mergeCell ref="A104:D104"/>
    <mergeCell ref="A105:D105"/>
    <mergeCell ref="A120:D120"/>
    <mergeCell ref="A121:D121"/>
    <mergeCell ref="A122:D122"/>
    <mergeCell ref="A106:D106"/>
    <mergeCell ref="A107:D107"/>
    <mergeCell ref="A108:D108"/>
    <mergeCell ref="A109:D109"/>
    <mergeCell ref="A110:D110"/>
    <mergeCell ref="A111:D111"/>
    <mergeCell ref="A112:D112"/>
    <mergeCell ref="A113:D113"/>
    <mergeCell ref="A123:D123"/>
    <mergeCell ref="A124:D124"/>
    <mergeCell ref="A125:D125"/>
    <mergeCell ref="A126:D126"/>
    <mergeCell ref="A127:D127"/>
    <mergeCell ref="A128:D128"/>
    <mergeCell ref="A129:D129"/>
    <mergeCell ref="A130:D130"/>
    <mergeCell ref="A131:D131"/>
    <mergeCell ref="A132:D132"/>
    <mergeCell ref="A133:D133"/>
    <mergeCell ref="A143:D143"/>
    <mergeCell ref="A144:D144"/>
    <mergeCell ref="A134:D134"/>
    <mergeCell ref="A135:D135"/>
    <mergeCell ref="A136:D136"/>
    <mergeCell ref="A137:D137"/>
    <mergeCell ref="A138:D138"/>
    <mergeCell ref="A139:D139"/>
    <mergeCell ref="A140:D140"/>
    <mergeCell ref="A141:D141"/>
    <mergeCell ref="A142:D142"/>
  </mergeCells>
  <conditionalFormatting sqref="A10:I13 A14:D21 H14:I21 A22:I27 A28:A31 F28:F31 H28:I31 A32:I145">
    <cfRule type="expression" dxfId="157" priority="3">
      <formula>$D$6="affected"</formula>
    </cfRule>
  </conditionalFormatting>
  <conditionalFormatting sqref="A24:I25">
    <cfRule type="expression" dxfId="156" priority="5">
      <formula>$D$23="no"</formula>
    </cfRule>
  </conditionalFormatting>
  <conditionalFormatting sqref="H21:I21">
    <cfRule type="expression" dxfId="155" priority="2">
      <formula>$H$21="N/A"</formula>
    </cfRule>
  </conditionalFormatting>
  <dataValidations count="14">
    <dataValidation type="list" allowBlank="1" showErrorMessage="1" prompt="select yes or no" sqref="D25:I25 D23:I23" xr:uid="{97F0DCE5-09EE-4E17-8CB8-EF1F9F2C40B0}">
      <formula1>"Yes,No"</formula1>
    </dataValidation>
    <dataValidation type="list" allowBlank="1" showErrorMessage="1" prompt="select one" sqref="D6:I6" xr:uid="{3D02F9AB-3041-41D1-94CF-61EAE3BEC3C8}">
      <formula1>"Affected,Modified,New"</formula1>
    </dataValidation>
    <dataValidation type="list" allowBlank="1" showErrorMessage="1" prompt="select one" sqref="D18" xr:uid="{CDF35940-5F73-46B6-861F-CE73CDACD38D}">
      <formula1>"regenerative,non-regenerative"</formula1>
    </dataValidation>
    <dataValidation type="list" allowBlank="1" showErrorMessage="1" prompt="select one" sqref="D20" xr:uid="{021D6DFB-19FB-4928-B85B-3FAD50A364DB}">
      <formula1>"continuously,every fifteen minutes,once per hour"</formula1>
    </dataValidation>
    <dataValidation type="decimal" operator="greaterThanOrEqual" allowBlank="1" showErrorMessage="1" prompt="Enter distance to property line in ft." sqref="D15" xr:uid="{5C3C19C7-C4D6-4E25-80A6-DFF373B07439}">
      <formula1>25</formula1>
    </dataValidation>
    <dataValidation type="decimal" operator="greaterThanOrEqual" allowBlank="1" showErrorMessage="1" prompt="Enter release height in ft." sqref="D16" xr:uid="{9CA6F337-E003-41E1-85C7-F7F55C9F05A4}">
      <formula1>3</formula1>
    </dataValidation>
    <dataValidation allowBlank="1" showErrorMessage="1" prompt="enter epn" sqref="D8:I8" xr:uid="{6F090A73-BF35-4789-89A7-120D87868994}"/>
    <dataValidation allowBlank="1" showErrorMessage="1" prompt="enter source name" sqref="D9:I9" xr:uid="{53FC2626-047D-475D-9D7B-34CC2FAEF9F3}"/>
    <dataValidation allowBlank="1" showErrorMessage="1" prompt="enter the UTM Coordinate - Easting (meters)" sqref="D10:I10" xr:uid="{8618229F-1A9D-4E2D-9068-E97D95EFC633}"/>
    <dataValidation allowBlank="1" showErrorMessage="1" prompt="enter the UTM Coordinate - nothing (meters)" sqref="D11:I11" xr:uid="{B7F155EE-94A3-4C29-B323-8D424E1DF154}"/>
    <dataValidation type="decimal" allowBlank="1" showErrorMessage="1" prompt="enter the Breakthrough concentration (ppmv)" sqref="D19" xr:uid="{9A411FCC-E9EB-476A-B57B-FAAA6BE2385C}">
      <formula1>10</formula1>
      <formula2>100</formula2>
    </dataValidation>
    <dataValidation allowBlank="1" showErrorMessage="1" prompt="If yes, list the emission units in this project subject to CAM. Please use the sheet name identifiers, for example Tank1, Tank2, Loading-DrumTote, etc." sqref="D24:I24" xr:uid="{26F0C305-7128-48EB-A37A-7A0B712DFFA4}"/>
    <dataValidation allowBlank="1" showErrorMessage="1" prompt="enter the FIN" sqref="D7:I7" xr:uid="{64AF602D-6DAE-4F0C-A26F-3E748EBA41DA}"/>
    <dataValidation type="list" allowBlank="1" showErrorMessage="1" sqref="D21" xr:uid="{B6FC0C70-9105-4875-BF49-BE45C2DF0FC1}">
      <formula1>IF($D$18="regenerative",Y,YN)</formula1>
    </dataValidation>
  </dataValidations>
  <printOptions horizontalCentered="1"/>
  <pageMargins left="0.7" right="0.7" top="0.75" bottom="0.75" header="0.3" footer="0.3"/>
  <pageSetup scale="83" orientation="landscape" r:id="rId1"/>
  <headerFooter>
    <oddHeader>&amp;C&amp;"Calibri,Regular"Marine Loading RAP Application</oddHeader>
    <oddFooter>&amp;L&amp;"Calibri,Regular"Version 1.0&amp;C&amp;"Calibri,Regular"Sheet: &amp;A&amp;R&amp;"Calibri,Regular"Page &amp;P</oddFooter>
  </headerFooter>
  <extLst>
    <ext xmlns:x14="http://schemas.microsoft.com/office/spreadsheetml/2009/9/main" uri="{78C0D931-6437-407d-A8EE-F0AAD7539E65}">
      <x14:conditionalFormattings>
        <x14:conditionalFormatting xmlns:xm="http://schemas.microsoft.com/office/excel/2006/main">
          <x14:cfRule type="expression" priority="4" id="{D27EED41-F570-4402-8FC8-C7C1434BD8F1}">
            <xm:f>'PI-1-MarineLoading'!$G$124="no"</xm:f>
            <x14:dxf>
              <numFmt numFmtId="164" formatCode=";;;"/>
              <fill>
                <patternFill>
                  <bgColor theme="0" tint="-0.499984740745262"/>
                </patternFill>
              </fill>
            </x14:dxf>
          </x14:cfRule>
          <xm:sqref>A1:I13 A14:D21 H14:I21 A22:I27 A28:A31 F28:F31 H28:I31 A32:I145</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5ED34-E4FB-4D4D-B44C-C35A69A3C19D}">
  <sheetPr codeName="Sheet20">
    <tabColor rgb="FFFFFFCC"/>
  </sheetPr>
  <dimension ref="A1:K41"/>
  <sheetViews>
    <sheetView showGridLines="0" zoomScaleNormal="100" workbookViewId="0">
      <selection sqref="A1:J1"/>
    </sheetView>
  </sheetViews>
  <sheetFormatPr defaultColWidth="0" defaultRowHeight="14.25" zeroHeight="1" x14ac:dyDescent="0.2"/>
  <cols>
    <col min="1" max="3" width="14.75" customWidth="1"/>
    <col min="4" max="4" width="16.875" customWidth="1"/>
    <col min="5" max="10" width="14.75" customWidth="1"/>
    <col min="11" max="11" width="2.625" customWidth="1"/>
    <col min="12" max="16384" width="9" hidden="1"/>
  </cols>
  <sheetData>
    <row r="1" spans="1:10" s="15" customFormat="1" ht="8.25" customHeight="1" thickBot="1" x14ac:dyDescent="0.25">
      <c r="A1" s="861" t="s">
        <v>0</v>
      </c>
      <c r="B1" s="861"/>
      <c r="C1" s="861"/>
      <c r="D1" s="861"/>
      <c r="E1" s="861"/>
      <c r="F1" s="861"/>
      <c r="G1" s="861"/>
      <c r="H1" s="861"/>
      <c r="I1" s="861"/>
      <c r="J1" s="861"/>
    </row>
    <row r="2" spans="1:10" ht="18.75" thickBot="1" x14ac:dyDescent="0.25">
      <c r="A2" s="525" t="s">
        <v>9255</v>
      </c>
      <c r="B2" s="525"/>
      <c r="C2" s="525"/>
      <c r="D2" s="525"/>
      <c r="E2" s="525"/>
      <c r="F2" s="525"/>
      <c r="G2" s="525"/>
      <c r="H2" s="525"/>
      <c r="I2" s="525"/>
      <c r="J2" s="525"/>
    </row>
    <row r="3" spans="1:10" ht="90.75" customHeight="1" thickBot="1" x14ac:dyDescent="0.25">
      <c r="A3" s="483" t="s">
        <v>10481</v>
      </c>
      <c r="B3" s="484"/>
      <c r="C3" s="484"/>
      <c r="D3" s="484"/>
      <c r="E3" s="484"/>
      <c r="F3" s="484"/>
      <c r="G3" s="484"/>
      <c r="H3" s="484"/>
      <c r="I3" s="484"/>
      <c r="J3" s="485"/>
    </row>
    <row r="4" spans="1:10" ht="15" thickBot="1" x14ac:dyDescent="0.25">
      <c r="A4" s="478" t="s">
        <v>1</v>
      </c>
      <c r="B4" s="478"/>
      <c r="C4" s="478"/>
      <c r="D4" s="478"/>
      <c r="E4" s="478"/>
      <c r="F4" s="478"/>
      <c r="G4" s="478"/>
      <c r="H4" s="478"/>
      <c r="I4" s="478"/>
      <c r="J4" s="478"/>
    </row>
    <row r="5" spans="1:10" ht="15.75" thickBot="1" x14ac:dyDescent="0.25">
      <c r="A5" s="479" t="s">
        <v>133</v>
      </c>
      <c r="B5" s="479"/>
      <c r="C5" s="479"/>
      <c r="D5" s="479"/>
      <c r="E5" s="479"/>
      <c r="F5" s="479"/>
      <c r="G5" s="479"/>
      <c r="H5" s="479"/>
      <c r="I5" s="479"/>
      <c r="J5" s="479"/>
    </row>
    <row r="6" spans="1:10" x14ac:dyDescent="0.2">
      <c r="A6" s="528" t="s">
        <v>166</v>
      </c>
      <c r="B6" s="529"/>
      <c r="C6" s="529"/>
      <c r="D6" s="551"/>
      <c r="E6" s="552"/>
      <c r="F6" s="552"/>
      <c r="G6" s="552"/>
      <c r="H6" s="552"/>
      <c r="I6" s="552"/>
      <c r="J6" s="553"/>
    </row>
    <row r="7" spans="1:10" x14ac:dyDescent="0.2">
      <c r="A7" s="528" t="s">
        <v>167</v>
      </c>
      <c r="B7" s="529"/>
      <c r="C7" s="529"/>
      <c r="D7" s="551"/>
      <c r="E7" s="552"/>
      <c r="F7" s="552"/>
      <c r="G7" s="552"/>
      <c r="H7" s="552"/>
      <c r="I7" s="552"/>
      <c r="J7" s="553"/>
    </row>
    <row r="8" spans="1:10" x14ac:dyDescent="0.2">
      <c r="A8" s="528" t="s">
        <v>168</v>
      </c>
      <c r="B8" s="529"/>
      <c r="C8" s="529"/>
      <c r="D8" s="551"/>
      <c r="E8" s="552"/>
      <c r="F8" s="552"/>
      <c r="G8" s="552"/>
      <c r="H8" s="552"/>
      <c r="I8" s="552"/>
      <c r="J8" s="553"/>
    </row>
    <row r="9" spans="1:10" x14ac:dyDescent="0.2">
      <c r="A9" s="528" t="s">
        <v>169</v>
      </c>
      <c r="B9" s="529"/>
      <c r="C9" s="529"/>
      <c r="D9" s="551"/>
      <c r="E9" s="552"/>
      <c r="F9" s="552"/>
      <c r="G9" s="552"/>
      <c r="H9" s="552"/>
      <c r="I9" s="552"/>
      <c r="J9" s="553"/>
    </row>
    <row r="10" spans="1:10" x14ac:dyDescent="0.2">
      <c r="A10" s="528" t="s">
        <v>170</v>
      </c>
      <c r="B10" s="529"/>
      <c r="C10" s="529"/>
      <c r="D10" s="551"/>
      <c r="E10" s="552"/>
      <c r="F10" s="552"/>
      <c r="G10" s="552"/>
      <c r="H10" s="552"/>
      <c r="I10" s="552"/>
      <c r="J10" s="553"/>
    </row>
    <row r="11" spans="1:10" ht="15" thickBot="1" x14ac:dyDescent="0.25">
      <c r="A11" s="548" t="s">
        <v>171</v>
      </c>
      <c r="B11" s="549"/>
      <c r="C11" s="549"/>
      <c r="D11" s="557"/>
      <c r="E11" s="558"/>
      <c r="F11" s="558"/>
      <c r="G11" s="558"/>
      <c r="H11" s="558"/>
      <c r="I11" s="558"/>
      <c r="J11" s="559"/>
    </row>
    <row r="12" spans="1:10" ht="15" thickBot="1" x14ac:dyDescent="0.25">
      <c r="A12" s="478" t="s">
        <v>1</v>
      </c>
      <c r="B12" s="478"/>
      <c r="C12" s="478"/>
      <c r="D12" s="478"/>
      <c r="E12" s="478"/>
      <c r="F12" s="478"/>
      <c r="G12" s="478"/>
      <c r="H12" s="478"/>
      <c r="I12" s="478"/>
      <c r="J12" s="478"/>
    </row>
    <row r="13" spans="1:10" ht="15.75" thickBot="1" x14ac:dyDescent="0.25">
      <c r="A13" s="474" t="s">
        <v>9166</v>
      </c>
      <c r="B13" s="474"/>
      <c r="C13" s="474"/>
      <c r="D13" s="474"/>
      <c r="E13" s="474"/>
      <c r="F13" s="474"/>
      <c r="G13" s="474"/>
      <c r="H13" s="474"/>
      <c r="I13" s="474"/>
      <c r="J13" s="474"/>
    </row>
    <row r="14" spans="1:10" ht="15" x14ac:dyDescent="0.2">
      <c r="A14" s="676" t="s">
        <v>9167</v>
      </c>
      <c r="B14" s="677"/>
      <c r="C14" s="677"/>
      <c r="D14" s="677"/>
      <c r="E14" s="677" t="s">
        <v>172</v>
      </c>
      <c r="F14" s="677"/>
      <c r="G14" s="677"/>
      <c r="H14" s="862" t="s">
        <v>8723</v>
      </c>
      <c r="I14" s="862"/>
      <c r="J14" s="863"/>
    </row>
    <row r="15" spans="1:10" x14ac:dyDescent="0.2">
      <c r="A15" s="528" t="s">
        <v>176</v>
      </c>
      <c r="B15" s="529"/>
      <c r="C15" s="529"/>
      <c r="D15" s="529"/>
      <c r="E15" s="579"/>
      <c r="F15" s="579"/>
      <c r="G15" s="579"/>
      <c r="H15" s="672" t="s">
        <v>9155</v>
      </c>
      <c r="I15" s="672"/>
      <c r="J15" s="673"/>
    </row>
    <row r="16" spans="1:10" x14ac:dyDescent="0.2">
      <c r="A16" s="528" t="s">
        <v>177</v>
      </c>
      <c r="B16" s="529"/>
      <c r="C16" s="529"/>
      <c r="D16" s="529"/>
      <c r="E16" s="579"/>
      <c r="F16" s="579"/>
      <c r="G16" s="579"/>
      <c r="H16" s="672" t="s">
        <v>9234</v>
      </c>
      <c r="I16" s="672"/>
      <c r="J16" s="673"/>
    </row>
    <row r="17" spans="1:10" x14ac:dyDescent="0.2">
      <c r="A17" s="528" t="s">
        <v>9239</v>
      </c>
      <c r="B17" s="529"/>
      <c r="C17" s="529"/>
      <c r="D17" s="529"/>
      <c r="E17" s="579"/>
      <c r="F17" s="579"/>
      <c r="G17" s="579"/>
      <c r="H17" s="672" t="s">
        <v>9235</v>
      </c>
      <c r="I17" s="672"/>
      <c r="J17" s="673"/>
    </row>
    <row r="18" spans="1:10" ht="15" x14ac:dyDescent="0.2">
      <c r="A18" s="528" t="s">
        <v>9240</v>
      </c>
      <c r="B18" s="529"/>
      <c r="C18" s="529"/>
      <c r="D18" s="529"/>
      <c r="E18" s="579"/>
      <c r="F18" s="579"/>
      <c r="G18" s="579"/>
      <c r="H18" s="672" t="s">
        <v>9236</v>
      </c>
      <c r="I18" s="672"/>
      <c r="J18" s="673"/>
    </row>
    <row r="19" spans="1:10" ht="15" thickBot="1" x14ac:dyDescent="0.25">
      <c r="A19" s="548" t="s">
        <v>9241</v>
      </c>
      <c r="B19" s="549"/>
      <c r="C19" s="549"/>
      <c r="D19" s="549"/>
      <c r="E19" s="577"/>
      <c r="F19" s="577"/>
      <c r="G19" s="577"/>
      <c r="H19" s="674" t="s">
        <v>9237</v>
      </c>
      <c r="I19" s="674"/>
      <c r="J19" s="675"/>
    </row>
    <row r="20" spans="1:10" ht="15" x14ac:dyDescent="0.2">
      <c r="A20" s="676" t="s">
        <v>9174</v>
      </c>
      <c r="B20" s="677"/>
      <c r="C20" s="677"/>
      <c r="D20" s="677"/>
      <c r="E20" s="677" t="s">
        <v>172</v>
      </c>
      <c r="F20" s="677"/>
      <c r="G20" s="677"/>
      <c r="H20" s="862" t="s">
        <v>8723</v>
      </c>
      <c r="I20" s="862"/>
      <c r="J20" s="863"/>
    </row>
    <row r="21" spans="1:10" ht="14.25" customHeight="1" x14ac:dyDescent="0.2">
      <c r="A21" s="528" t="s">
        <v>8724</v>
      </c>
      <c r="B21" s="529"/>
      <c r="C21" s="529"/>
      <c r="D21" s="529"/>
      <c r="E21" s="579"/>
      <c r="F21" s="579"/>
      <c r="G21" s="579"/>
      <c r="H21" s="864" t="s">
        <v>8685</v>
      </c>
      <c r="I21" s="864"/>
      <c r="J21" s="865"/>
    </row>
    <row r="22" spans="1:10" ht="14.25" customHeight="1" x14ac:dyDescent="0.2">
      <c r="A22" s="528" t="s">
        <v>9946</v>
      </c>
      <c r="B22" s="529"/>
      <c r="C22" s="529"/>
      <c r="D22" s="529"/>
      <c r="E22" s="579"/>
      <c r="F22" s="579"/>
      <c r="G22" s="579"/>
      <c r="H22" s="864" t="s">
        <v>8685</v>
      </c>
      <c r="I22" s="864"/>
      <c r="J22" s="865"/>
    </row>
    <row r="23" spans="1:10" ht="14.25" customHeight="1" x14ac:dyDescent="0.2">
      <c r="A23" s="528" t="s">
        <v>9517</v>
      </c>
      <c r="B23" s="529"/>
      <c r="C23" s="529"/>
      <c r="D23" s="529"/>
      <c r="E23" s="529">
        <v>18320</v>
      </c>
      <c r="F23" s="529"/>
      <c r="G23" s="529"/>
      <c r="H23" s="864" t="s">
        <v>8685</v>
      </c>
      <c r="I23" s="864"/>
      <c r="J23" s="865"/>
    </row>
    <row r="24" spans="1:10" ht="14.25" customHeight="1" x14ac:dyDescent="0.2">
      <c r="A24" s="528" t="s">
        <v>9932</v>
      </c>
      <c r="B24" s="529"/>
      <c r="C24" s="529"/>
      <c r="D24" s="529"/>
      <c r="E24" s="579"/>
      <c r="F24" s="579"/>
      <c r="G24" s="579"/>
      <c r="H24" s="864" t="s">
        <v>8685</v>
      </c>
      <c r="I24" s="864"/>
      <c r="J24" s="865"/>
    </row>
    <row r="25" spans="1:10" ht="14.25" customHeight="1" x14ac:dyDescent="0.2">
      <c r="A25" s="528" t="s">
        <v>9933</v>
      </c>
      <c r="B25" s="529"/>
      <c r="C25" s="529"/>
      <c r="D25" s="529"/>
      <c r="E25" s="579"/>
      <c r="F25" s="579"/>
      <c r="G25" s="579"/>
      <c r="H25" s="672" t="s">
        <v>9265</v>
      </c>
      <c r="I25" s="672"/>
      <c r="J25" s="673"/>
    </row>
    <row r="26" spans="1:10" x14ac:dyDescent="0.2">
      <c r="A26" s="528" t="s">
        <v>286</v>
      </c>
      <c r="B26" s="529"/>
      <c r="C26" s="529"/>
      <c r="D26" s="529"/>
      <c r="E26" s="579"/>
      <c r="F26" s="579"/>
      <c r="G26" s="579"/>
      <c r="H26" s="864" t="s">
        <v>8685</v>
      </c>
      <c r="I26" s="864"/>
      <c r="J26" s="865"/>
    </row>
    <row r="27" spans="1:10" ht="14.25" customHeight="1" x14ac:dyDescent="0.2">
      <c r="A27" s="530" t="s">
        <v>9928</v>
      </c>
      <c r="B27" s="531"/>
      <c r="C27" s="531"/>
      <c r="D27" s="531"/>
      <c r="E27" s="579"/>
      <c r="F27" s="579"/>
      <c r="G27" s="579"/>
      <c r="H27" s="864" t="s">
        <v>8685</v>
      </c>
      <c r="I27" s="864"/>
      <c r="J27" s="865"/>
    </row>
    <row r="28" spans="1:10" ht="15" thickBot="1" x14ac:dyDescent="0.25">
      <c r="A28" s="483" t="s">
        <v>9929</v>
      </c>
      <c r="B28" s="484"/>
      <c r="C28" s="484"/>
      <c r="D28" s="484"/>
      <c r="E28" s="577"/>
      <c r="F28" s="577"/>
      <c r="G28" s="577"/>
      <c r="H28" s="684" t="s">
        <v>9934</v>
      </c>
      <c r="I28" s="684"/>
      <c r="J28" s="866"/>
    </row>
    <row r="29" spans="1:10" ht="15" thickBot="1" x14ac:dyDescent="0.25">
      <c r="A29" s="478" t="s">
        <v>1</v>
      </c>
      <c r="B29" s="478"/>
      <c r="C29" s="478"/>
      <c r="D29" s="478"/>
      <c r="E29" s="478"/>
      <c r="F29" s="478"/>
      <c r="G29" s="478"/>
      <c r="H29" s="478"/>
      <c r="I29" s="478"/>
      <c r="J29" s="478"/>
    </row>
    <row r="30" spans="1:10" ht="15.75" thickBot="1" x14ac:dyDescent="0.25">
      <c r="A30" s="479" t="s">
        <v>279</v>
      </c>
      <c r="B30" s="479"/>
      <c r="C30" s="479"/>
      <c r="D30" s="479"/>
      <c r="E30" s="479"/>
      <c r="F30" s="479"/>
      <c r="G30" s="479"/>
      <c r="H30" s="479"/>
      <c r="I30" s="479"/>
      <c r="J30" s="479"/>
    </row>
    <row r="31" spans="1:10" ht="94.5" customHeight="1" x14ac:dyDescent="0.2">
      <c r="A31" s="48" t="s">
        <v>178</v>
      </c>
      <c r="B31" s="397" t="str">
        <f>IF($D$6="modified","Currently authorized emission factor (lb/MMBtu)","Currently authorized emission factor (lb/MMBtu) - enter zero for new units")</f>
        <v>Currently authorized emission factor (lb/MMBtu) - enter zero for new units</v>
      </c>
      <c r="C31" s="397" t="s">
        <v>9930</v>
      </c>
      <c r="D31" s="49" t="s">
        <v>9931</v>
      </c>
      <c r="E31" s="49" t="s">
        <v>9936</v>
      </c>
      <c r="F31" s="49" t="s">
        <v>9935</v>
      </c>
      <c r="G31" s="49" t="s">
        <v>9937</v>
      </c>
      <c r="H31" s="49" t="s">
        <v>9938</v>
      </c>
      <c r="I31" s="49" t="str">
        <f>IF($D$6="modified","Proposed increase in hourly emissions (lb/hr)","Proposed hourly emissions (lb/hr)")</f>
        <v>Proposed hourly emissions (lb/hr)</v>
      </c>
      <c r="J31" s="117" t="str">
        <f>IF($D$6="modified","Proposed increase in annual emissions (tpy)","Proposed annual emissions (tpy)")</f>
        <v>Proposed annual emissions (tpy)</v>
      </c>
    </row>
    <row r="32" spans="1:10" x14ac:dyDescent="0.2">
      <c r="A32" s="184" t="s">
        <v>229</v>
      </c>
      <c r="B32" s="183"/>
      <c r="C32" s="183"/>
      <c r="D32" s="42"/>
      <c r="E32" s="2">
        <f t="shared" ref="E32:E37" si="0">IF($D$6="new",0,$B32*$E$22*$E$26*(10^-6))</f>
        <v>0</v>
      </c>
      <c r="F32" s="2">
        <f t="shared" ref="F32:F38" si="1">IF($D$6="new",0,$E32*($E$27/2000))</f>
        <v>0</v>
      </c>
      <c r="G32" s="2">
        <f>$C32*$E$22*$E$26*(10^-6)</f>
        <v>0</v>
      </c>
      <c r="H32" s="2">
        <f>$G32*($E$28/2000)</f>
        <v>0</v>
      </c>
      <c r="I32" s="2">
        <f>IF(G32&lt;E32,0,G32-E32)</f>
        <v>0</v>
      </c>
      <c r="J32" s="12">
        <f>IF(H32&lt;F32,0,H32-F32)</f>
        <v>0</v>
      </c>
    </row>
    <row r="33" spans="1:10" x14ac:dyDescent="0.2">
      <c r="A33" s="184" t="s">
        <v>261</v>
      </c>
      <c r="B33" s="183"/>
      <c r="C33" s="183"/>
      <c r="D33" s="42"/>
      <c r="E33" s="2">
        <f t="shared" si="0"/>
        <v>0</v>
      </c>
      <c r="F33" s="2">
        <f t="shared" si="1"/>
        <v>0</v>
      </c>
      <c r="G33" s="2">
        <f t="shared" ref="G33:G37" si="2">$C33*$E$22*$E$26*(10^-6)</f>
        <v>0</v>
      </c>
      <c r="H33" s="2">
        <f t="shared" ref="H33:H38" si="3">$G33*($E$28/2000)</f>
        <v>0</v>
      </c>
      <c r="I33" s="2">
        <f t="shared" ref="I33:I38" si="4">IF(G33&lt;E33,0,G33-E33)</f>
        <v>0</v>
      </c>
      <c r="J33" s="12">
        <f t="shared" ref="J33:J38" si="5">IF(H33&lt;F33,0,H33-F33)</f>
        <v>0</v>
      </c>
    </row>
    <row r="34" spans="1:10" x14ac:dyDescent="0.2">
      <c r="A34" s="184" t="s">
        <v>262</v>
      </c>
      <c r="B34" s="183"/>
      <c r="C34" s="183"/>
      <c r="D34" s="42"/>
      <c r="E34" s="2">
        <f t="shared" si="0"/>
        <v>0</v>
      </c>
      <c r="F34" s="2">
        <f t="shared" si="1"/>
        <v>0</v>
      </c>
      <c r="G34" s="2">
        <f t="shared" si="2"/>
        <v>0</v>
      </c>
      <c r="H34" s="2">
        <f t="shared" si="3"/>
        <v>0</v>
      </c>
      <c r="I34" s="2">
        <f t="shared" si="4"/>
        <v>0</v>
      </c>
      <c r="J34" s="12">
        <f t="shared" si="5"/>
        <v>0</v>
      </c>
    </row>
    <row r="35" spans="1:10" x14ac:dyDescent="0.2">
      <c r="A35" s="184" t="s">
        <v>263</v>
      </c>
      <c r="B35" s="183"/>
      <c r="C35" s="183"/>
      <c r="D35" s="42"/>
      <c r="E35" s="2">
        <f t="shared" si="0"/>
        <v>0</v>
      </c>
      <c r="F35" s="2">
        <f t="shared" si="1"/>
        <v>0</v>
      </c>
      <c r="G35" s="2">
        <f t="shared" si="2"/>
        <v>0</v>
      </c>
      <c r="H35" s="2">
        <f t="shared" si="3"/>
        <v>0</v>
      </c>
      <c r="I35" s="2">
        <f t="shared" si="4"/>
        <v>0</v>
      </c>
      <c r="J35" s="12">
        <f t="shared" si="5"/>
        <v>0</v>
      </c>
    </row>
    <row r="36" spans="1:10" x14ac:dyDescent="0.2">
      <c r="A36" s="184" t="s">
        <v>264</v>
      </c>
      <c r="B36" s="183"/>
      <c r="C36" s="183"/>
      <c r="D36" s="42"/>
      <c r="E36" s="2">
        <f t="shared" si="0"/>
        <v>0</v>
      </c>
      <c r="F36" s="2">
        <f t="shared" si="1"/>
        <v>0</v>
      </c>
      <c r="G36" s="2">
        <f t="shared" si="2"/>
        <v>0</v>
      </c>
      <c r="H36" s="2">
        <f t="shared" si="3"/>
        <v>0</v>
      </c>
      <c r="I36" s="2">
        <f t="shared" si="4"/>
        <v>0</v>
      </c>
      <c r="J36" s="12">
        <f t="shared" si="5"/>
        <v>0</v>
      </c>
    </row>
    <row r="37" spans="1:10" x14ac:dyDescent="0.2">
      <c r="A37" s="184" t="s">
        <v>265</v>
      </c>
      <c r="B37" s="183"/>
      <c r="C37" s="183"/>
      <c r="D37" s="42"/>
      <c r="E37" s="2">
        <f t="shared" si="0"/>
        <v>0</v>
      </c>
      <c r="F37" s="2">
        <f t="shared" si="1"/>
        <v>0</v>
      </c>
      <c r="G37" s="2">
        <f t="shared" si="2"/>
        <v>0</v>
      </c>
      <c r="H37" s="2">
        <f t="shared" si="3"/>
        <v>0</v>
      </c>
      <c r="I37" s="2">
        <f t="shared" si="4"/>
        <v>0</v>
      </c>
      <c r="J37" s="12">
        <f t="shared" si="5"/>
        <v>0</v>
      </c>
    </row>
    <row r="38" spans="1:10" ht="15" thickBot="1" x14ac:dyDescent="0.25">
      <c r="A38" s="7" t="s">
        <v>266</v>
      </c>
      <c r="B38" s="78" t="s">
        <v>9518</v>
      </c>
      <c r="C38" s="78"/>
      <c r="D38" s="78" t="s">
        <v>9518</v>
      </c>
      <c r="E38" s="187">
        <f>IF($D$6="new",0,($E$22*$E$26*$E$24*64.06)/(1000000*32*$E$23))</f>
        <v>0</v>
      </c>
      <c r="F38" s="187">
        <f t="shared" si="1"/>
        <v>0</v>
      </c>
      <c r="G38" s="187">
        <f>($E$22*$E$26*$E$25*64.06)/(1000000*32*$E$23)</f>
        <v>0</v>
      </c>
      <c r="H38" s="187">
        <f t="shared" si="3"/>
        <v>0</v>
      </c>
      <c r="I38" s="13">
        <f t="shared" si="4"/>
        <v>0</v>
      </c>
      <c r="J38" s="14">
        <f t="shared" si="5"/>
        <v>0</v>
      </c>
    </row>
    <row r="39" spans="1:10" x14ac:dyDescent="0.2">
      <c r="A39" s="478" t="s">
        <v>130</v>
      </c>
      <c r="B39" s="478"/>
      <c r="C39" s="478"/>
      <c r="D39" s="478"/>
      <c r="E39" s="478"/>
      <c r="F39" s="478"/>
      <c r="G39" s="478"/>
      <c r="H39" s="478"/>
      <c r="I39" s="478"/>
      <c r="J39" s="478"/>
    </row>
    <row r="41" spans="1:10" hidden="1" x14ac:dyDescent="0.2">
      <c r="J41" s="114"/>
    </row>
  </sheetData>
  <sheetProtection algorithmName="SHA-512" hashValue="Pr9CvPR9VqKyr2Auydyt7TFJnLL0p5t/lmlO7AofZM7PMOn4NI+qji9MeAtLOH5/fLGxU7cbpI9QdlkBvuQ+Tg==" saltValue="0DR/nZB072N0OCwEG/qAoQ==" spinCount="100000" sheet="1" objects="1" scenarios="1" formatColumns="0" formatRows="0"/>
  <mergeCells count="67">
    <mergeCell ref="H25:J25"/>
    <mergeCell ref="H15:J15"/>
    <mergeCell ref="H16:J16"/>
    <mergeCell ref="H17:J17"/>
    <mergeCell ref="H18:J18"/>
    <mergeCell ref="H19:J19"/>
    <mergeCell ref="A14:D14"/>
    <mergeCell ref="A15:D15"/>
    <mergeCell ref="A16:D16"/>
    <mergeCell ref="A17:D17"/>
    <mergeCell ref="A18:D18"/>
    <mergeCell ref="E15:G15"/>
    <mergeCell ref="E16:G16"/>
    <mergeCell ref="E17:G17"/>
    <mergeCell ref="E18:G18"/>
    <mergeCell ref="E19:G19"/>
    <mergeCell ref="E22:G22"/>
    <mergeCell ref="E23:G23"/>
    <mergeCell ref="E24:G24"/>
    <mergeCell ref="E25:G25"/>
    <mergeCell ref="A19:D19"/>
    <mergeCell ref="E26:G26"/>
    <mergeCell ref="H26:J26"/>
    <mergeCell ref="A21:D21"/>
    <mergeCell ref="A20:D20"/>
    <mergeCell ref="E20:G20"/>
    <mergeCell ref="H20:J20"/>
    <mergeCell ref="A22:D22"/>
    <mergeCell ref="A23:D23"/>
    <mergeCell ref="A24:D24"/>
    <mergeCell ref="H21:J21"/>
    <mergeCell ref="H22:J22"/>
    <mergeCell ref="H23:J23"/>
    <mergeCell ref="H24:J24"/>
    <mergeCell ref="A25:D25"/>
    <mergeCell ref="A26:D26"/>
    <mergeCell ref="E21:G21"/>
    <mergeCell ref="A39:J39"/>
    <mergeCell ref="A29:J29"/>
    <mergeCell ref="A30:J30"/>
    <mergeCell ref="A27:D27"/>
    <mergeCell ref="A28:D28"/>
    <mergeCell ref="E27:G27"/>
    <mergeCell ref="E28:G28"/>
    <mergeCell ref="H27:J27"/>
    <mergeCell ref="H28:J28"/>
    <mergeCell ref="H14:J14"/>
    <mergeCell ref="A6:C6"/>
    <mergeCell ref="D6:J6"/>
    <mergeCell ref="A7:C7"/>
    <mergeCell ref="D7:J7"/>
    <mergeCell ref="A8:C8"/>
    <mergeCell ref="D8:J8"/>
    <mergeCell ref="A9:C9"/>
    <mergeCell ref="D9:J9"/>
    <mergeCell ref="A12:J12"/>
    <mergeCell ref="A13:J13"/>
    <mergeCell ref="A10:C10"/>
    <mergeCell ref="D10:J10"/>
    <mergeCell ref="A11:C11"/>
    <mergeCell ref="D11:J11"/>
    <mergeCell ref="E14:G14"/>
    <mergeCell ref="A1:J1"/>
    <mergeCell ref="A2:J2"/>
    <mergeCell ref="A3:J3"/>
    <mergeCell ref="A4:J4"/>
    <mergeCell ref="A5:J5"/>
  </mergeCells>
  <conditionalFormatting sqref="A10:J39">
    <cfRule type="expression" dxfId="152" priority="4">
      <formula>$D$6="affected"</formula>
    </cfRule>
  </conditionalFormatting>
  <conditionalFormatting sqref="I31:J38">
    <cfRule type="expression" dxfId="151" priority="1">
      <formula>$D$6="new"</formula>
    </cfRule>
  </conditionalFormatting>
  <dataValidations count="20">
    <dataValidation type="list" allowBlank="1" showErrorMessage="1" prompt="choose AP-42 Table 3.3-1 or vendor guarantee (must provide)" sqref="D32:D37" xr:uid="{91BEF8A1-76B4-4B06-88C2-FB25535C25BF}">
      <formula1>"AP-42 Table 3.3-1,vendor guarantee (must provide)"</formula1>
    </dataValidation>
    <dataValidation type="list" allowBlank="1" showErrorMessage="1" prompt="select one" sqref="D6:J6" xr:uid="{B2AB0FB8-9008-4F45-AC84-8304C80BAF28}">
      <formula1>"Affected,Modified,New"</formula1>
    </dataValidation>
    <dataValidation allowBlank="1" showErrorMessage="1" prompt="enter FIN" sqref="D7:J7" xr:uid="{18C02482-FF67-4A0A-A45E-E097DA05A12A}"/>
    <dataValidation allowBlank="1" showErrorMessage="1" prompt="enter EPN" sqref="D8:J8" xr:uid="{0E732AA3-17F5-47BE-9CD0-BEEC7B71FCD9}"/>
    <dataValidation allowBlank="1" showErrorMessage="1" prompt="enter source name" sqref="D9:J9" xr:uid="{9A019F7B-A532-4124-94A1-2A3B069E8AF6}"/>
    <dataValidation allowBlank="1" showErrorMessage="1" prompt="enter utm easting coordinate in meters" sqref="D10:J10" xr:uid="{83F37950-88A9-444C-BB46-4BC54DF99072}"/>
    <dataValidation allowBlank="1" showErrorMessage="1" prompt="enter utm northing coordinate in meters" sqref="D11:J11" xr:uid="{96C3C556-8AB3-43D7-ABCB-BED1C26992DD}"/>
    <dataValidation allowBlank="1" showErrorMessage="1" prompt="enter emission factor (lb/MMBtu)" sqref="B32:C37" xr:uid="{9EB45A30-CFDF-40A4-A328-6BC47636E7C0}"/>
    <dataValidation type="decimal" operator="greaterThanOrEqual" allowBlank="1" showErrorMessage="1" prompt="Enter distance to property line in ft" sqref="E15:G15" xr:uid="{ED6CE0B5-8B72-48B9-882B-F298B143A216}">
      <formula1>25</formula1>
    </dataValidation>
    <dataValidation type="decimal" operator="greaterThanOrEqual" allowBlank="1" showErrorMessage="1" prompt="Enter release height in ft" sqref="E16:G16" xr:uid="{E2B827E4-B64D-4D1D-941B-B4C474994743}">
      <formula1>8</formula1>
    </dataValidation>
    <dataValidation type="decimal" operator="greaterThanOrEqual" allowBlank="1" showErrorMessage="1" prompt="Enter stack diameter in ft" sqref="E17:G17" xr:uid="{CB7A8988-B69E-40F3-8D3A-C87449A6B101}">
      <formula1>0.3</formula1>
    </dataValidation>
    <dataValidation type="decimal" operator="greaterThanOrEqual" allowBlank="1" showErrorMessage="1" prompt="Enter stage temperature in degrees Fahrenheit" sqref="E18:G18" xr:uid="{D589D973-E1ED-435B-99E8-7E86BBFA2ECD}">
      <formula1>600</formula1>
    </dataValidation>
    <dataValidation type="decimal" operator="greaterThanOrEqual" allowBlank="1" showErrorMessage="1" prompt="Enter exit velocity in fps" sqref="E19:G19" xr:uid="{94B263A2-9C5B-484A-BBD1-99A979D8C9F5}">
      <formula1>90</formula1>
    </dataValidation>
    <dataValidation type="list" allowBlank="1" showErrorMessage="1" prompt="Choose ultra-low sulfur diesel." sqref="E21:G21" xr:uid="{890F51D3-9C85-4FF2-9739-1058C2F1B7B7}">
      <formula1>"ultra-low sulfur diesel"</formula1>
    </dataValidation>
    <dataValidation allowBlank="1" showErrorMessage="1" prompt="enter break-specific fuel consumption (Btu/hp-hr)" sqref="E22:G22" xr:uid="{EE746A3C-4199-4F65-A606-8AC5BBF90EC2}"/>
    <dataValidation allowBlank="1" showErrorMessage="1" prompt="enter currently authorized sulfur content (ppmw)" sqref="E24:G24" xr:uid="{C69E4448-A7B8-456A-B02F-A06B7AFC61A1}"/>
    <dataValidation type="decimal" operator="lessThanOrEqual" allowBlank="1" showErrorMessage="1" prompt="enter sulfur content (ppmw)" sqref="E25:G25" xr:uid="{5848A526-8899-44E9-97BC-2C734BD41EB2}">
      <formula1>15</formula1>
    </dataValidation>
    <dataValidation allowBlank="1" showErrorMessage="1" prompt="enter horsepower (bhp)" sqref="E26:G26" xr:uid="{CFB408A3-7E83-44FF-8CCE-E15FCF88FD55}"/>
    <dataValidation operator="lessThanOrEqual" allowBlank="1" showErrorMessage="1" prompt="enter currently authorized operating hours (hr/yr)" sqref="E27:G27" xr:uid="{AAEDD077-F917-4F37-B56C-342891788A82}"/>
    <dataValidation type="decimal" operator="lessThanOrEqual" allowBlank="1" showErrorMessage="1" prompt="enter proposed operating hours (hr/yr)" sqref="E28:G28" xr:uid="{F6E77196-35A9-458D-B767-483A8BA7D644}">
      <formula1>100</formula1>
    </dataValidation>
  </dataValidations>
  <printOptions horizontalCentered="1"/>
  <pageMargins left="0.7" right="0.7" top="0.75" bottom="0.75" header="0.3" footer="0.3"/>
  <pageSetup scale="73" orientation="landscape" r:id="rId1"/>
  <headerFooter>
    <oddHeader>&amp;C&amp;"Calibri,Regular"Marine Loading RAP Application</oddHeader>
    <oddFooter>&amp;L&amp;"Calibri,Regular"Version 1.0&amp;C&amp;"Calibri,Regular"Sheet: &amp;A&amp;R&amp;"Calibri,Regular"Page &amp;P</oddFooter>
  </headerFooter>
  <extLst>
    <ext xmlns:x14="http://schemas.microsoft.com/office/spreadsheetml/2009/9/main" uri="{78C0D931-6437-407d-A8EE-F0AAD7539E65}">
      <x14:conditionalFormattings>
        <x14:conditionalFormatting xmlns:xm="http://schemas.microsoft.com/office/excel/2006/main">
          <x14:cfRule type="expression" priority="2240" id="{07C15F48-1423-4A7D-AC62-19C8E82D90AA}">
            <xm:f>AND('PI-1-MarineLoading'!$G$125=0,'PI-1-MarineLoading'!$G$125&lt;&gt;"")</xm:f>
            <x14:dxf>
              <numFmt numFmtId="164" formatCode=";;;"/>
              <fill>
                <patternFill>
                  <bgColor theme="0" tint="-0.499984740745262"/>
                </patternFill>
              </fill>
            </x14:dxf>
          </x14:cfRule>
          <x14:cfRule type="expression" priority="2241" id="{54091AD1-27EE-46EB-AB71-B3FADCC83260}">
            <xm:f>'PI-1-MarineLoading'!$G$18="Not applicable"</xm:f>
            <x14:dxf>
              <numFmt numFmtId="164" formatCode=";;;"/>
              <fill>
                <patternFill>
                  <bgColor theme="0" tint="-0.499984740745262"/>
                </patternFill>
              </fill>
            </x14:dxf>
          </x14:cfRule>
          <xm:sqref>A1 A2:J39</xm:sqref>
        </x14:conditionalFormatting>
      </x14:conditionalFormattings>
    </ext>
  </extLs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684E0D-F0F1-40EF-93A5-822B36716B95}">
  <sheetPr codeName="Sheet29">
    <tabColor rgb="FFFFFFCC"/>
  </sheetPr>
  <dimension ref="A1:K41"/>
  <sheetViews>
    <sheetView showGridLines="0" zoomScaleNormal="100" workbookViewId="0">
      <selection sqref="A1:J1"/>
    </sheetView>
  </sheetViews>
  <sheetFormatPr defaultColWidth="0" defaultRowHeight="14.25" zeroHeight="1" x14ac:dyDescent="0.2"/>
  <cols>
    <col min="1" max="3" width="14.75" customWidth="1"/>
    <col min="4" max="4" width="16.875" customWidth="1"/>
    <col min="5" max="10" width="14.75" customWidth="1"/>
    <col min="11" max="11" width="2.625" customWidth="1"/>
    <col min="12" max="16384" width="9" hidden="1"/>
  </cols>
  <sheetData>
    <row r="1" spans="1:10" s="15" customFormat="1" ht="8.25" customHeight="1" thickBot="1" x14ac:dyDescent="0.25">
      <c r="A1" s="478" t="s">
        <v>0</v>
      </c>
      <c r="B1" s="478"/>
      <c r="C1" s="478"/>
      <c r="D1" s="478"/>
      <c r="E1" s="478"/>
      <c r="F1" s="478"/>
      <c r="G1" s="478"/>
      <c r="H1" s="478"/>
      <c r="I1" s="478"/>
      <c r="J1" s="478"/>
    </row>
    <row r="2" spans="1:10" ht="18.75" thickBot="1" x14ac:dyDescent="0.25">
      <c r="A2" s="525" t="s">
        <v>10156</v>
      </c>
      <c r="B2" s="525"/>
      <c r="C2" s="525"/>
      <c r="D2" s="525"/>
      <c r="E2" s="525"/>
      <c r="F2" s="525"/>
      <c r="G2" s="525"/>
      <c r="H2" s="525"/>
      <c r="I2" s="525"/>
      <c r="J2" s="525"/>
    </row>
    <row r="3" spans="1:10" ht="92.25" customHeight="1" thickBot="1" x14ac:dyDescent="0.25">
      <c r="A3" s="483" t="s">
        <v>10481</v>
      </c>
      <c r="B3" s="484"/>
      <c r="C3" s="484"/>
      <c r="D3" s="484"/>
      <c r="E3" s="484"/>
      <c r="F3" s="484"/>
      <c r="G3" s="484"/>
      <c r="H3" s="484"/>
      <c r="I3" s="484"/>
      <c r="J3" s="485"/>
    </row>
    <row r="4" spans="1:10" ht="15" thickBot="1" x14ac:dyDescent="0.25">
      <c r="A4" s="478" t="s">
        <v>1</v>
      </c>
      <c r="B4" s="478"/>
      <c r="C4" s="478"/>
      <c r="D4" s="478"/>
      <c r="E4" s="478"/>
      <c r="F4" s="478"/>
      <c r="G4" s="478"/>
      <c r="H4" s="478"/>
      <c r="I4" s="478"/>
      <c r="J4" s="478"/>
    </row>
    <row r="5" spans="1:10" ht="15.75" thickBot="1" x14ac:dyDescent="0.25">
      <c r="A5" s="479" t="s">
        <v>133</v>
      </c>
      <c r="B5" s="479"/>
      <c r="C5" s="479"/>
      <c r="D5" s="479"/>
      <c r="E5" s="479"/>
      <c r="F5" s="479"/>
      <c r="G5" s="479"/>
      <c r="H5" s="479"/>
      <c r="I5" s="479"/>
      <c r="J5" s="479"/>
    </row>
    <row r="6" spans="1:10" x14ac:dyDescent="0.2">
      <c r="A6" s="528" t="s">
        <v>166</v>
      </c>
      <c r="B6" s="529"/>
      <c r="C6" s="529"/>
      <c r="D6" s="551"/>
      <c r="E6" s="552"/>
      <c r="F6" s="552"/>
      <c r="G6" s="552"/>
      <c r="H6" s="552"/>
      <c r="I6" s="552"/>
      <c r="J6" s="553"/>
    </row>
    <row r="7" spans="1:10" x14ac:dyDescent="0.2">
      <c r="A7" s="528" t="s">
        <v>167</v>
      </c>
      <c r="B7" s="529"/>
      <c r="C7" s="529"/>
      <c r="D7" s="551"/>
      <c r="E7" s="552"/>
      <c r="F7" s="552"/>
      <c r="G7" s="552"/>
      <c r="H7" s="552"/>
      <c r="I7" s="552"/>
      <c r="J7" s="553"/>
    </row>
    <row r="8" spans="1:10" x14ac:dyDescent="0.2">
      <c r="A8" s="528" t="s">
        <v>168</v>
      </c>
      <c r="B8" s="529"/>
      <c r="C8" s="529"/>
      <c r="D8" s="551"/>
      <c r="E8" s="552"/>
      <c r="F8" s="552"/>
      <c r="G8" s="552"/>
      <c r="H8" s="552"/>
      <c r="I8" s="552"/>
      <c r="J8" s="553"/>
    </row>
    <row r="9" spans="1:10" x14ac:dyDescent="0.2">
      <c r="A9" s="528" t="s">
        <v>169</v>
      </c>
      <c r="B9" s="529"/>
      <c r="C9" s="529"/>
      <c r="D9" s="551"/>
      <c r="E9" s="552"/>
      <c r="F9" s="552"/>
      <c r="G9" s="552"/>
      <c r="H9" s="552"/>
      <c r="I9" s="552"/>
      <c r="J9" s="553"/>
    </row>
    <row r="10" spans="1:10" x14ac:dyDescent="0.2">
      <c r="A10" s="528" t="s">
        <v>170</v>
      </c>
      <c r="B10" s="529"/>
      <c r="C10" s="529"/>
      <c r="D10" s="551"/>
      <c r="E10" s="552"/>
      <c r="F10" s="552"/>
      <c r="G10" s="552"/>
      <c r="H10" s="552"/>
      <c r="I10" s="552"/>
      <c r="J10" s="553"/>
    </row>
    <row r="11" spans="1:10" ht="15" thickBot="1" x14ac:dyDescent="0.25">
      <c r="A11" s="548" t="s">
        <v>171</v>
      </c>
      <c r="B11" s="549"/>
      <c r="C11" s="549"/>
      <c r="D11" s="557"/>
      <c r="E11" s="558"/>
      <c r="F11" s="558"/>
      <c r="G11" s="558"/>
      <c r="H11" s="558"/>
      <c r="I11" s="558"/>
      <c r="J11" s="559"/>
    </row>
    <row r="12" spans="1:10" ht="15" thickBot="1" x14ac:dyDescent="0.25">
      <c r="A12" s="478" t="s">
        <v>1</v>
      </c>
      <c r="B12" s="478"/>
      <c r="C12" s="478"/>
      <c r="D12" s="478"/>
      <c r="E12" s="478"/>
      <c r="F12" s="478"/>
      <c r="G12" s="478"/>
      <c r="H12" s="478"/>
      <c r="I12" s="478"/>
      <c r="J12" s="478"/>
    </row>
    <row r="13" spans="1:10" ht="15.75" thickBot="1" x14ac:dyDescent="0.25">
      <c r="A13" s="474" t="s">
        <v>9166</v>
      </c>
      <c r="B13" s="474"/>
      <c r="C13" s="474"/>
      <c r="D13" s="474"/>
      <c r="E13" s="474"/>
      <c r="F13" s="474"/>
      <c r="G13" s="474"/>
      <c r="H13" s="474"/>
      <c r="I13" s="474"/>
      <c r="J13" s="474"/>
    </row>
    <row r="14" spans="1:10" ht="15" x14ac:dyDescent="0.2">
      <c r="A14" s="676" t="s">
        <v>9167</v>
      </c>
      <c r="B14" s="677"/>
      <c r="C14" s="677"/>
      <c r="D14" s="677"/>
      <c r="E14" s="677" t="s">
        <v>172</v>
      </c>
      <c r="F14" s="677"/>
      <c r="G14" s="677"/>
      <c r="H14" s="862" t="s">
        <v>8723</v>
      </c>
      <c r="I14" s="862"/>
      <c r="J14" s="863"/>
    </row>
    <row r="15" spans="1:10" x14ac:dyDescent="0.2">
      <c r="A15" s="528" t="s">
        <v>176</v>
      </c>
      <c r="B15" s="529"/>
      <c r="C15" s="529"/>
      <c r="D15" s="529"/>
      <c r="E15" s="579"/>
      <c r="F15" s="579"/>
      <c r="G15" s="579"/>
      <c r="H15" s="672" t="s">
        <v>9155</v>
      </c>
      <c r="I15" s="672"/>
      <c r="J15" s="673"/>
    </row>
    <row r="16" spans="1:10" x14ac:dyDescent="0.2">
      <c r="A16" s="528" t="s">
        <v>177</v>
      </c>
      <c r="B16" s="529"/>
      <c r="C16" s="529"/>
      <c r="D16" s="529"/>
      <c r="E16" s="579"/>
      <c r="F16" s="579"/>
      <c r="G16" s="579"/>
      <c r="H16" s="672" t="s">
        <v>9234</v>
      </c>
      <c r="I16" s="672"/>
      <c r="J16" s="673"/>
    </row>
    <row r="17" spans="1:10" x14ac:dyDescent="0.2">
      <c r="A17" s="528" t="s">
        <v>9239</v>
      </c>
      <c r="B17" s="529"/>
      <c r="C17" s="529"/>
      <c r="D17" s="529"/>
      <c r="E17" s="579"/>
      <c r="F17" s="579"/>
      <c r="G17" s="579"/>
      <c r="H17" s="672" t="s">
        <v>9235</v>
      </c>
      <c r="I17" s="672"/>
      <c r="J17" s="673"/>
    </row>
    <row r="18" spans="1:10" ht="15" x14ac:dyDescent="0.2">
      <c r="A18" s="528" t="s">
        <v>9240</v>
      </c>
      <c r="B18" s="529"/>
      <c r="C18" s="529"/>
      <c r="D18" s="529"/>
      <c r="E18" s="579"/>
      <c r="F18" s="579"/>
      <c r="G18" s="579"/>
      <c r="H18" s="672" t="s">
        <v>9236</v>
      </c>
      <c r="I18" s="672"/>
      <c r="J18" s="673"/>
    </row>
    <row r="19" spans="1:10" ht="15" thickBot="1" x14ac:dyDescent="0.25">
      <c r="A19" s="548" t="s">
        <v>9241</v>
      </c>
      <c r="B19" s="549"/>
      <c r="C19" s="549"/>
      <c r="D19" s="549"/>
      <c r="E19" s="577"/>
      <c r="F19" s="577"/>
      <c r="G19" s="577"/>
      <c r="H19" s="674" t="s">
        <v>9237</v>
      </c>
      <c r="I19" s="674"/>
      <c r="J19" s="675"/>
    </row>
    <row r="20" spans="1:10" ht="15" x14ac:dyDescent="0.2">
      <c r="A20" s="676" t="s">
        <v>9174</v>
      </c>
      <c r="B20" s="677"/>
      <c r="C20" s="677"/>
      <c r="D20" s="677"/>
      <c r="E20" s="677" t="s">
        <v>172</v>
      </c>
      <c r="F20" s="677"/>
      <c r="G20" s="677"/>
      <c r="H20" s="862" t="s">
        <v>8723</v>
      </c>
      <c r="I20" s="862"/>
      <c r="J20" s="863"/>
    </row>
    <row r="21" spans="1:10" ht="14.25" customHeight="1" x14ac:dyDescent="0.2">
      <c r="A21" s="528" t="s">
        <v>8724</v>
      </c>
      <c r="B21" s="529"/>
      <c r="C21" s="529"/>
      <c r="D21" s="529"/>
      <c r="E21" s="579"/>
      <c r="F21" s="579"/>
      <c r="G21" s="579"/>
      <c r="H21" s="864" t="s">
        <v>8685</v>
      </c>
      <c r="I21" s="864"/>
      <c r="J21" s="865"/>
    </row>
    <row r="22" spans="1:10" ht="14.25" customHeight="1" x14ac:dyDescent="0.2">
      <c r="A22" s="528" t="s">
        <v>9946</v>
      </c>
      <c r="B22" s="529"/>
      <c r="C22" s="529"/>
      <c r="D22" s="529"/>
      <c r="E22" s="579"/>
      <c r="F22" s="579"/>
      <c r="G22" s="579"/>
      <c r="H22" s="864" t="s">
        <v>8685</v>
      </c>
      <c r="I22" s="864"/>
      <c r="J22" s="865"/>
    </row>
    <row r="23" spans="1:10" ht="14.25" customHeight="1" x14ac:dyDescent="0.2">
      <c r="A23" s="528" t="s">
        <v>9517</v>
      </c>
      <c r="B23" s="529"/>
      <c r="C23" s="529"/>
      <c r="D23" s="529"/>
      <c r="E23" s="529">
        <v>18320</v>
      </c>
      <c r="F23" s="529"/>
      <c r="G23" s="529"/>
      <c r="H23" s="864" t="s">
        <v>8685</v>
      </c>
      <c r="I23" s="864"/>
      <c r="J23" s="865"/>
    </row>
    <row r="24" spans="1:10" ht="14.25" customHeight="1" x14ac:dyDescent="0.2">
      <c r="A24" s="528" t="s">
        <v>9932</v>
      </c>
      <c r="B24" s="529"/>
      <c r="C24" s="529"/>
      <c r="D24" s="529"/>
      <c r="E24" s="579"/>
      <c r="F24" s="579"/>
      <c r="G24" s="579"/>
      <c r="H24" s="864" t="s">
        <v>8685</v>
      </c>
      <c r="I24" s="864"/>
      <c r="J24" s="865"/>
    </row>
    <row r="25" spans="1:10" ht="14.25" customHeight="1" x14ac:dyDescent="0.2">
      <c r="A25" s="528" t="s">
        <v>9933</v>
      </c>
      <c r="B25" s="529"/>
      <c r="C25" s="529"/>
      <c r="D25" s="529"/>
      <c r="E25" s="579"/>
      <c r="F25" s="579"/>
      <c r="G25" s="579"/>
      <c r="H25" s="672" t="s">
        <v>9265</v>
      </c>
      <c r="I25" s="672"/>
      <c r="J25" s="673"/>
    </row>
    <row r="26" spans="1:10" x14ac:dyDescent="0.2">
      <c r="A26" s="528" t="s">
        <v>286</v>
      </c>
      <c r="B26" s="529"/>
      <c r="C26" s="529"/>
      <c r="D26" s="529"/>
      <c r="E26" s="579"/>
      <c r="F26" s="579"/>
      <c r="G26" s="579"/>
      <c r="H26" s="864" t="s">
        <v>8685</v>
      </c>
      <c r="I26" s="864"/>
      <c r="J26" s="865"/>
    </row>
    <row r="27" spans="1:10" ht="14.25" customHeight="1" x14ac:dyDescent="0.2">
      <c r="A27" s="530" t="s">
        <v>9928</v>
      </c>
      <c r="B27" s="531"/>
      <c r="C27" s="531"/>
      <c r="D27" s="531"/>
      <c r="E27" s="579"/>
      <c r="F27" s="579"/>
      <c r="G27" s="579"/>
      <c r="H27" s="864" t="s">
        <v>8685</v>
      </c>
      <c r="I27" s="864"/>
      <c r="J27" s="865"/>
    </row>
    <row r="28" spans="1:10" ht="15" thickBot="1" x14ac:dyDescent="0.25">
      <c r="A28" s="483" t="s">
        <v>9929</v>
      </c>
      <c r="B28" s="484"/>
      <c r="C28" s="484"/>
      <c r="D28" s="484"/>
      <c r="E28" s="577"/>
      <c r="F28" s="577"/>
      <c r="G28" s="577"/>
      <c r="H28" s="684" t="s">
        <v>10227</v>
      </c>
      <c r="I28" s="684"/>
      <c r="J28" s="866"/>
    </row>
    <row r="29" spans="1:10" ht="15" thickBot="1" x14ac:dyDescent="0.25">
      <c r="A29" s="478" t="s">
        <v>1</v>
      </c>
      <c r="B29" s="478"/>
      <c r="C29" s="478"/>
      <c r="D29" s="478"/>
      <c r="E29" s="478"/>
      <c r="F29" s="478"/>
      <c r="G29" s="478"/>
      <c r="H29" s="478"/>
      <c r="I29" s="478"/>
      <c r="J29" s="478"/>
    </row>
    <row r="30" spans="1:10" ht="15.75" thickBot="1" x14ac:dyDescent="0.25">
      <c r="A30" s="479" t="s">
        <v>279</v>
      </c>
      <c r="B30" s="479"/>
      <c r="C30" s="479"/>
      <c r="D30" s="479"/>
      <c r="E30" s="479"/>
      <c r="F30" s="479"/>
      <c r="G30" s="479"/>
      <c r="H30" s="479"/>
      <c r="I30" s="479"/>
      <c r="J30" s="479"/>
    </row>
    <row r="31" spans="1:10" ht="92.25" customHeight="1" x14ac:dyDescent="0.2">
      <c r="A31" s="48" t="s">
        <v>178</v>
      </c>
      <c r="B31" s="397" t="str">
        <f>IF($D$6="modified","Currently authorized emission factor (lb/MMBtu)","Currently authorized emission factor (lb/MMBtu) - enter zero for new units")</f>
        <v>Currently authorized emission factor (lb/MMBtu) - enter zero for new units</v>
      </c>
      <c r="C31" s="397" t="s">
        <v>9930</v>
      </c>
      <c r="D31" s="49" t="s">
        <v>9931</v>
      </c>
      <c r="E31" s="49" t="s">
        <v>9936</v>
      </c>
      <c r="F31" s="49" t="s">
        <v>9935</v>
      </c>
      <c r="G31" s="49" t="s">
        <v>9937</v>
      </c>
      <c r="H31" s="49" t="s">
        <v>9938</v>
      </c>
      <c r="I31" s="49" t="str">
        <f>IF($D$6="modified","Proposed increase in hourly emissions (lb/hr)","Proposed hourly emissions (lb/hr)")</f>
        <v>Proposed hourly emissions (lb/hr)</v>
      </c>
      <c r="J31" s="117" t="str">
        <f>IF($D$6="modified","Proposed increase in annual emissions (tpy)","Proposed annual emissions (tpy)")</f>
        <v>Proposed annual emissions (tpy)</v>
      </c>
    </row>
    <row r="32" spans="1:10" x14ac:dyDescent="0.2">
      <c r="A32" s="184" t="s">
        <v>229</v>
      </c>
      <c r="B32" s="183"/>
      <c r="C32" s="183"/>
      <c r="D32" s="42"/>
      <c r="E32" s="2">
        <f t="shared" ref="E32:E37" si="0">IF($D$6="new",0,$B32*$E$22*$E$26*(10^-6))</f>
        <v>0</v>
      </c>
      <c r="F32" s="2">
        <f t="shared" ref="F32:F38" si="1">IF($D$6="new",0,$E32*($E$27/2000))</f>
        <v>0</v>
      </c>
      <c r="G32" s="2">
        <f>$C32*$E$22*$E$26*(10^-6)</f>
        <v>0</v>
      </c>
      <c r="H32" s="2">
        <f>$G32*($E$28/2000)</f>
        <v>0</v>
      </c>
      <c r="I32" s="2">
        <f>IF(G32&lt;E32,0,G32-E32)</f>
        <v>0</v>
      </c>
      <c r="J32" s="12">
        <f>IF(H32&lt;F32,0,H32-F32)</f>
        <v>0</v>
      </c>
    </row>
    <row r="33" spans="1:10" x14ac:dyDescent="0.2">
      <c r="A33" s="184" t="s">
        <v>261</v>
      </c>
      <c r="B33" s="183"/>
      <c r="C33" s="183"/>
      <c r="D33" s="42"/>
      <c r="E33" s="2">
        <f t="shared" si="0"/>
        <v>0</v>
      </c>
      <c r="F33" s="2">
        <f t="shared" si="1"/>
        <v>0</v>
      </c>
      <c r="G33" s="2">
        <f t="shared" ref="G33:G37" si="2">$C33*$E$22*$E$26*(10^-6)</f>
        <v>0</v>
      </c>
      <c r="H33" s="2">
        <f t="shared" ref="H33:H38" si="3">$G33*($E$28/2000)</f>
        <v>0</v>
      </c>
      <c r="I33" s="2">
        <f t="shared" ref="I33:J38" si="4">IF(G33&lt;E33,0,G33-E33)</f>
        <v>0</v>
      </c>
      <c r="J33" s="12">
        <f t="shared" si="4"/>
        <v>0</v>
      </c>
    </row>
    <row r="34" spans="1:10" x14ac:dyDescent="0.2">
      <c r="A34" s="184" t="s">
        <v>262</v>
      </c>
      <c r="B34" s="183"/>
      <c r="C34" s="183"/>
      <c r="D34" s="42"/>
      <c r="E34" s="2">
        <f t="shared" si="0"/>
        <v>0</v>
      </c>
      <c r="F34" s="2">
        <f t="shared" si="1"/>
        <v>0</v>
      </c>
      <c r="G34" s="2">
        <f t="shared" si="2"/>
        <v>0</v>
      </c>
      <c r="H34" s="2">
        <f t="shared" si="3"/>
        <v>0</v>
      </c>
      <c r="I34" s="2">
        <f t="shared" si="4"/>
        <v>0</v>
      </c>
      <c r="J34" s="12">
        <f t="shared" si="4"/>
        <v>0</v>
      </c>
    </row>
    <row r="35" spans="1:10" x14ac:dyDescent="0.2">
      <c r="A35" s="184" t="s">
        <v>263</v>
      </c>
      <c r="B35" s="183"/>
      <c r="C35" s="183"/>
      <c r="D35" s="42"/>
      <c r="E35" s="2">
        <f t="shared" si="0"/>
        <v>0</v>
      </c>
      <c r="F35" s="2">
        <f t="shared" si="1"/>
        <v>0</v>
      </c>
      <c r="G35" s="2">
        <f t="shared" si="2"/>
        <v>0</v>
      </c>
      <c r="H35" s="2">
        <f t="shared" si="3"/>
        <v>0</v>
      </c>
      <c r="I35" s="2">
        <f t="shared" si="4"/>
        <v>0</v>
      </c>
      <c r="J35" s="12">
        <f t="shared" si="4"/>
        <v>0</v>
      </c>
    </row>
    <row r="36" spans="1:10" x14ac:dyDescent="0.2">
      <c r="A36" s="184" t="s">
        <v>264</v>
      </c>
      <c r="B36" s="183"/>
      <c r="C36" s="183"/>
      <c r="D36" s="42"/>
      <c r="E36" s="2">
        <f t="shared" si="0"/>
        <v>0</v>
      </c>
      <c r="F36" s="2">
        <f t="shared" si="1"/>
        <v>0</v>
      </c>
      <c r="G36" s="2">
        <f t="shared" si="2"/>
        <v>0</v>
      </c>
      <c r="H36" s="2">
        <f t="shared" si="3"/>
        <v>0</v>
      </c>
      <c r="I36" s="2">
        <f t="shared" si="4"/>
        <v>0</v>
      </c>
      <c r="J36" s="12">
        <f t="shared" si="4"/>
        <v>0</v>
      </c>
    </row>
    <row r="37" spans="1:10" x14ac:dyDescent="0.2">
      <c r="A37" s="184" t="s">
        <v>265</v>
      </c>
      <c r="B37" s="183"/>
      <c r="C37" s="183"/>
      <c r="D37" s="42"/>
      <c r="E37" s="2">
        <f t="shared" si="0"/>
        <v>0</v>
      </c>
      <c r="F37" s="2">
        <f t="shared" si="1"/>
        <v>0</v>
      </c>
      <c r="G37" s="2">
        <f t="shared" si="2"/>
        <v>0</v>
      </c>
      <c r="H37" s="2">
        <f t="shared" si="3"/>
        <v>0</v>
      </c>
      <c r="I37" s="2">
        <f t="shared" si="4"/>
        <v>0</v>
      </c>
      <c r="J37" s="12">
        <f t="shared" si="4"/>
        <v>0</v>
      </c>
    </row>
    <row r="38" spans="1:10" ht="15" thickBot="1" x14ac:dyDescent="0.25">
      <c r="A38" s="7" t="s">
        <v>266</v>
      </c>
      <c r="B38" s="78" t="s">
        <v>9518</v>
      </c>
      <c r="C38" s="78"/>
      <c r="D38" s="78" t="s">
        <v>9518</v>
      </c>
      <c r="E38" s="187">
        <f>IF($D$6="new",0,($E$22*$E$26*$E$24*64.06)/(1000000*32*$E$23))</f>
        <v>0</v>
      </c>
      <c r="F38" s="187">
        <f t="shared" si="1"/>
        <v>0</v>
      </c>
      <c r="G38" s="187">
        <f>($E$22*$E$26*$E$25*64.06)/(1000000*32*$E$23)</f>
        <v>0</v>
      </c>
      <c r="H38" s="187">
        <f t="shared" si="3"/>
        <v>0</v>
      </c>
      <c r="I38" s="13">
        <f t="shared" si="4"/>
        <v>0</v>
      </c>
      <c r="J38" s="14">
        <f t="shared" si="4"/>
        <v>0</v>
      </c>
    </row>
    <row r="39" spans="1:10" x14ac:dyDescent="0.2">
      <c r="A39" s="478" t="s">
        <v>130</v>
      </c>
      <c r="B39" s="478"/>
      <c r="C39" s="478"/>
      <c r="D39" s="478"/>
      <c r="E39" s="478"/>
      <c r="F39" s="478"/>
      <c r="G39" s="478"/>
      <c r="H39" s="478"/>
      <c r="I39" s="478"/>
      <c r="J39" s="478"/>
    </row>
    <row r="41" spans="1:10" hidden="1" x14ac:dyDescent="0.2">
      <c r="J41" s="114"/>
    </row>
  </sheetData>
  <sheetProtection algorithmName="SHA-512" hashValue="BJymonn+rRkLbiNYuwDk+WXfw0+3U2LO0ppcb3GmCl4iMn5UML/30tv7cP0RgK/BfdvtKkuXIT066UTUe+ZYeA==" saltValue="gD3/6lKM6KYlL2JzXLbrzA==" spinCount="100000" sheet="1" objects="1" scenarios="1" formatColumns="0" formatRows="0"/>
  <mergeCells count="67">
    <mergeCell ref="A39:J39"/>
    <mergeCell ref="A26:D26"/>
    <mergeCell ref="E26:G26"/>
    <mergeCell ref="H26:J26"/>
    <mergeCell ref="A27:D27"/>
    <mergeCell ref="E27:G27"/>
    <mergeCell ref="H27:J27"/>
    <mergeCell ref="A28:D28"/>
    <mergeCell ref="E28:G28"/>
    <mergeCell ref="H28:J28"/>
    <mergeCell ref="A29:J29"/>
    <mergeCell ref="A30:J30"/>
    <mergeCell ref="A24:D24"/>
    <mergeCell ref="E24:G24"/>
    <mergeCell ref="H24:J24"/>
    <mergeCell ref="A25:D25"/>
    <mergeCell ref="E25:G25"/>
    <mergeCell ref="H25:J25"/>
    <mergeCell ref="A22:D22"/>
    <mergeCell ref="E22:G22"/>
    <mergeCell ref="H22:J22"/>
    <mergeCell ref="A23:D23"/>
    <mergeCell ref="E23:G23"/>
    <mergeCell ref="H23:J23"/>
    <mergeCell ref="A20:D20"/>
    <mergeCell ref="E20:G20"/>
    <mergeCell ref="H20:J20"/>
    <mergeCell ref="A21:D21"/>
    <mergeCell ref="E21:G21"/>
    <mergeCell ref="H21:J21"/>
    <mergeCell ref="A18:D18"/>
    <mergeCell ref="E18:G18"/>
    <mergeCell ref="H18:J18"/>
    <mergeCell ref="A19:D19"/>
    <mergeCell ref="E19:G19"/>
    <mergeCell ref="H19:J19"/>
    <mergeCell ref="A16:D16"/>
    <mergeCell ref="E16:G16"/>
    <mergeCell ref="H16:J16"/>
    <mergeCell ref="A17:D17"/>
    <mergeCell ref="E17:G17"/>
    <mergeCell ref="H17:J17"/>
    <mergeCell ref="A14:D14"/>
    <mergeCell ref="E14:G14"/>
    <mergeCell ref="H14:J14"/>
    <mergeCell ref="A15:D15"/>
    <mergeCell ref="E15:G15"/>
    <mergeCell ref="H15:J15"/>
    <mergeCell ref="A13:J13"/>
    <mergeCell ref="A7:C7"/>
    <mergeCell ref="D7:J7"/>
    <mergeCell ref="A8:C8"/>
    <mergeCell ref="D8:J8"/>
    <mergeCell ref="A9:C9"/>
    <mergeCell ref="D9:J9"/>
    <mergeCell ref="A10:C10"/>
    <mergeCell ref="D10:J10"/>
    <mergeCell ref="A11:C11"/>
    <mergeCell ref="D11:J11"/>
    <mergeCell ref="A12:J12"/>
    <mergeCell ref="A6:C6"/>
    <mergeCell ref="D6:J6"/>
    <mergeCell ref="A1:J1"/>
    <mergeCell ref="A2:J2"/>
    <mergeCell ref="A3:J3"/>
    <mergeCell ref="A4:J4"/>
    <mergeCell ref="A5:J5"/>
  </mergeCells>
  <conditionalFormatting sqref="A10:J39">
    <cfRule type="expression" dxfId="148" priority="4">
      <formula>$D$6="affected"</formula>
    </cfRule>
  </conditionalFormatting>
  <conditionalFormatting sqref="I31:J38">
    <cfRule type="expression" dxfId="147" priority="1">
      <formula>$D$6="new"</formula>
    </cfRule>
  </conditionalFormatting>
  <dataValidations count="20">
    <dataValidation allowBlank="1" showErrorMessage="1" prompt="enter emission factor (lb/MMBtu)" sqref="B32:C37" xr:uid="{77CB67FE-9493-4FB2-BDF1-040E25F6A0F0}"/>
    <dataValidation allowBlank="1" showErrorMessage="1" prompt="enter utm northing coordinate in meters" sqref="D11:J11" xr:uid="{858A956F-ADD6-4134-A5ED-777C822C8286}"/>
    <dataValidation allowBlank="1" showErrorMessage="1" prompt="enter utm easting coordinate in meters" sqref="D10:J10" xr:uid="{0DAF055A-C6C7-43A2-830C-BAE31007EC9F}"/>
    <dataValidation allowBlank="1" showErrorMessage="1" prompt="enter source name" sqref="D9:J9" xr:uid="{647BAFD6-8FBA-4F14-9838-0193EA6582E3}"/>
    <dataValidation allowBlank="1" showErrorMessage="1" prompt="enter EPN" sqref="D8:J8" xr:uid="{6ABBC013-D0D0-4D3B-8B5C-4D7BD13FD744}"/>
    <dataValidation allowBlank="1" showErrorMessage="1" prompt="enter FIN" sqref="D7:J7" xr:uid="{FD95966B-CC92-47DC-8B75-B7F4C7C61B68}"/>
    <dataValidation type="list" allowBlank="1" showErrorMessage="1" prompt="select one" sqref="D6:J6" xr:uid="{22B4721E-3805-4845-94A5-0B276EADB5FF}">
      <formula1>"Affected,Modified,New"</formula1>
    </dataValidation>
    <dataValidation type="list" allowBlank="1" showErrorMessage="1" prompt="choose AP-42 Table 3.3-1 or vendor guarantee (must provide)" sqref="D32:D37" xr:uid="{27DE2917-43E3-43EE-BB98-2174D017DC4D}">
      <formula1>"AP-42 Table 3.3-1,vendor guarantee (must provide)"</formula1>
    </dataValidation>
    <dataValidation allowBlank="1" showErrorMessage="1" prompt="enter currently authorized sulfur content (ppmw)" sqref="E24:G24" xr:uid="{A646650F-BE3D-4CA8-B8A8-D892EB5B15FC}"/>
    <dataValidation allowBlank="1" showErrorMessage="1" prompt="enter break-specific fuel consumption (Btu/bhp-hr)" sqref="E22:G22" xr:uid="{8F2FF282-F78C-480C-868A-2EFCFB28354F}"/>
    <dataValidation type="decimal" operator="lessThanOrEqual" allowBlank="1" showErrorMessage="1" prompt="enter proposed sulfur content of fuel (ppmw)" sqref="E25:G25" xr:uid="{5907A93F-2A15-4617-A122-809CB3047077}">
      <formula1>15</formula1>
    </dataValidation>
    <dataValidation allowBlank="1" showErrorMessage="1" prompt="enter horsepower (bhp)" sqref="E26:G26" xr:uid="{F3689E19-C71F-4CB8-8281-B8550336B751}"/>
    <dataValidation type="decimal" operator="lessThanOrEqual" allowBlank="1" showErrorMessage="1" prompt="enter proposed operating hours (hr/yr)" sqref="E28:G28" xr:uid="{0E181824-A8F8-4AE5-BFEC-4C491B45B089}">
      <formula1>100</formula1>
    </dataValidation>
    <dataValidation type="decimal" operator="greaterThanOrEqual" allowBlank="1" showErrorMessage="1" prompt="Enter distance to property line in ft" sqref="E15:G15" xr:uid="{17537170-B0F7-463A-9DD9-8CC0BC79D5BD}">
      <formula1>25</formula1>
    </dataValidation>
    <dataValidation type="decimal" operator="greaterThanOrEqual" allowBlank="1" showErrorMessage="1" prompt="Enter release height in ft" sqref="E16:G16" xr:uid="{5EBB1C92-7A95-41EA-975B-BAE9983543E1}">
      <formula1>8</formula1>
    </dataValidation>
    <dataValidation type="decimal" operator="greaterThanOrEqual" allowBlank="1" showErrorMessage="1" prompt="Enter stack diameter in ft" sqref="E17:G17" xr:uid="{3B451166-5BB4-4679-B87A-E571B3169DEE}">
      <formula1>0.3</formula1>
    </dataValidation>
    <dataValidation type="decimal" operator="greaterThanOrEqual" allowBlank="1" showErrorMessage="1" prompt="Enter stage temperature in degrees Fahrenheit" sqref="E18:G18" xr:uid="{02C02350-45F5-4AEE-83F1-CC846EE9842E}">
      <formula1>600</formula1>
    </dataValidation>
    <dataValidation type="decimal" operator="greaterThanOrEqual" allowBlank="1" showErrorMessage="1" prompt="Enter exit velocity in fps" sqref="E19:G19" xr:uid="{928C8B30-86B4-46F6-A1BB-4FA248A4E686}">
      <formula1>90</formula1>
    </dataValidation>
    <dataValidation type="list" allowBlank="1" showErrorMessage="1" prompt="Choose ultra-low sulfur diesel." sqref="E21:G21" xr:uid="{690240FA-F92E-4A2C-8197-CA3545D9A560}">
      <formula1>"ultra-low sulfur diesel"</formula1>
    </dataValidation>
    <dataValidation operator="lessThanOrEqual" allowBlank="1" showErrorMessage="1" prompt="enter currently authorized operating hours (hr/yr)" sqref="E27:G27" xr:uid="{2796BBA4-91AD-4913-8F6F-064472DEFD3A}"/>
  </dataValidations>
  <pageMargins left="0.7" right="0.7" top="0.75" bottom="0.75" header="0.3" footer="0.3"/>
  <pageSetup scale="73" orientation="landscape" r:id="rId1"/>
  <headerFooter>
    <oddHeader>&amp;C&amp;"Calibri,Regular"Marine Loading RAP Application</oddHeader>
    <oddFooter>&amp;L&amp;"Calibri,Regular"Version 1.0&amp;C&amp;"Calibri,Regular"Sheet: &amp;A&amp;R&amp;"Calibri,Regular"Page &amp;P</oddFooter>
  </headerFooter>
  <extLst>
    <ext xmlns:x14="http://schemas.microsoft.com/office/spreadsheetml/2009/9/main" uri="{78C0D931-6437-407d-A8EE-F0AAD7539E65}">
      <x14:conditionalFormattings>
        <x14:conditionalFormatting xmlns:xm="http://schemas.microsoft.com/office/excel/2006/main">
          <x14:cfRule type="expression" priority="2244" id="{D7F58597-80F1-4E48-8CDB-CF0DCCABA841}">
            <xm:f>AND('PI-1-MarineLoading'!$G$125&lt;2,'PI-1-MarineLoading'!$G$125&lt;&gt;"")</xm:f>
            <x14:dxf>
              <numFmt numFmtId="164" formatCode=";;;"/>
              <fill>
                <patternFill>
                  <bgColor theme="0" tint="-0.499984740745262"/>
                </patternFill>
              </fill>
            </x14:dxf>
          </x14:cfRule>
          <x14:cfRule type="expression" priority="2245" id="{872F10C0-2F8F-4F29-BB3E-6C3D37AC2BBD}">
            <xm:f>'PI-1-MarineLoading'!$G$18="Not applicable"</xm:f>
            <x14:dxf>
              <numFmt numFmtId="164" formatCode=";;;"/>
              <fill>
                <patternFill>
                  <bgColor theme="0" tint="-0.499984740745262"/>
                </patternFill>
              </fill>
            </x14:dxf>
          </x14:cfRule>
          <xm:sqref>A1:J39</xm:sqref>
        </x14:conditionalFormatting>
      </x14:conditionalFormattings>
    </ext>
  </extLs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70D5C5-9560-4148-BBAD-05AD17E53F9E}">
  <sheetPr codeName="Sheet21">
    <tabColor rgb="FFFFFFCC"/>
  </sheetPr>
  <dimension ref="A1:K64"/>
  <sheetViews>
    <sheetView showGridLines="0" zoomScaleNormal="100" workbookViewId="0">
      <selection sqref="A1:J1"/>
    </sheetView>
  </sheetViews>
  <sheetFormatPr defaultColWidth="0" defaultRowHeight="14.25" zeroHeight="1" x14ac:dyDescent="0.2"/>
  <cols>
    <col min="1" max="3" width="14.75" customWidth="1"/>
    <col min="4" max="4" width="21.75" customWidth="1"/>
    <col min="5" max="10" width="14.75" customWidth="1"/>
    <col min="11" max="11" width="2.625" customWidth="1"/>
    <col min="12" max="16384" width="9" hidden="1"/>
  </cols>
  <sheetData>
    <row r="1" spans="1:10" ht="8.25" customHeight="1" thickBot="1" x14ac:dyDescent="0.25">
      <c r="A1" s="478" t="s">
        <v>0</v>
      </c>
      <c r="B1" s="478"/>
      <c r="C1" s="478"/>
      <c r="D1" s="478"/>
      <c r="E1" s="478"/>
      <c r="F1" s="478"/>
      <c r="G1" s="478"/>
      <c r="H1" s="478"/>
      <c r="I1" s="478"/>
      <c r="J1" s="478"/>
    </row>
    <row r="2" spans="1:10" ht="18.75" thickBot="1" x14ac:dyDescent="0.25">
      <c r="A2" s="525" t="s">
        <v>9256</v>
      </c>
      <c r="B2" s="525"/>
      <c r="C2" s="525"/>
      <c r="D2" s="525"/>
      <c r="E2" s="525"/>
      <c r="F2" s="525"/>
      <c r="G2" s="525"/>
      <c r="H2" s="525"/>
      <c r="I2" s="525"/>
      <c r="J2" s="525"/>
    </row>
    <row r="3" spans="1:10" ht="90.75" customHeight="1" thickBot="1" x14ac:dyDescent="0.25">
      <c r="A3" s="483" t="s">
        <v>9796</v>
      </c>
      <c r="B3" s="589"/>
      <c r="C3" s="484"/>
      <c r="D3" s="484"/>
      <c r="E3" s="484"/>
      <c r="F3" s="484"/>
      <c r="G3" s="484"/>
      <c r="H3" s="484"/>
      <c r="I3" s="484"/>
      <c r="J3" s="485"/>
    </row>
    <row r="4" spans="1:10" ht="15" thickBot="1" x14ac:dyDescent="0.25">
      <c r="A4" s="478" t="s">
        <v>1</v>
      </c>
      <c r="B4" s="478"/>
      <c r="C4" s="478"/>
      <c r="D4" s="478"/>
      <c r="E4" s="478"/>
      <c r="F4" s="478"/>
      <c r="G4" s="478"/>
      <c r="H4" s="478"/>
      <c r="I4" s="478"/>
      <c r="J4" s="478"/>
    </row>
    <row r="5" spans="1:10" ht="15.75" thickBot="1" x14ac:dyDescent="0.25">
      <c r="A5" s="479" t="s">
        <v>133</v>
      </c>
      <c r="B5" s="479"/>
      <c r="C5" s="479"/>
      <c r="D5" s="479"/>
      <c r="E5" s="479"/>
      <c r="F5" s="479"/>
      <c r="G5" s="479"/>
      <c r="H5" s="479"/>
      <c r="I5" s="479"/>
      <c r="J5" s="479"/>
    </row>
    <row r="6" spans="1:10" x14ac:dyDescent="0.2">
      <c r="A6" s="528" t="s">
        <v>166</v>
      </c>
      <c r="B6" s="668"/>
      <c r="C6" s="529"/>
      <c r="D6" s="529"/>
      <c r="E6" s="579"/>
      <c r="F6" s="579"/>
      <c r="G6" s="579"/>
      <c r="H6" s="579"/>
      <c r="I6" s="579"/>
      <c r="J6" s="580"/>
    </row>
    <row r="7" spans="1:10" x14ac:dyDescent="0.2">
      <c r="A7" s="528" t="s">
        <v>167</v>
      </c>
      <c r="B7" s="668"/>
      <c r="C7" s="529"/>
      <c r="D7" s="529"/>
      <c r="E7" s="579"/>
      <c r="F7" s="579"/>
      <c r="G7" s="579"/>
      <c r="H7" s="579"/>
      <c r="I7" s="579"/>
      <c r="J7" s="580"/>
    </row>
    <row r="8" spans="1:10" x14ac:dyDescent="0.2">
      <c r="A8" s="528" t="s">
        <v>168</v>
      </c>
      <c r="B8" s="668"/>
      <c r="C8" s="529"/>
      <c r="D8" s="529"/>
      <c r="E8" s="579"/>
      <c r="F8" s="579"/>
      <c r="G8" s="579"/>
      <c r="H8" s="579"/>
      <c r="I8" s="579"/>
      <c r="J8" s="580"/>
    </row>
    <row r="9" spans="1:10" x14ac:dyDescent="0.2">
      <c r="A9" s="528" t="s">
        <v>169</v>
      </c>
      <c r="B9" s="668"/>
      <c r="C9" s="529"/>
      <c r="D9" s="529"/>
      <c r="E9" s="579"/>
      <c r="F9" s="579"/>
      <c r="G9" s="579"/>
      <c r="H9" s="579"/>
      <c r="I9" s="579"/>
      <c r="J9" s="580"/>
    </row>
    <row r="10" spans="1:10" x14ac:dyDescent="0.2">
      <c r="A10" s="528" t="s">
        <v>170</v>
      </c>
      <c r="B10" s="668"/>
      <c r="C10" s="529"/>
      <c r="D10" s="529"/>
      <c r="E10" s="579"/>
      <c r="F10" s="579"/>
      <c r="G10" s="579"/>
      <c r="H10" s="579"/>
      <c r="I10" s="579"/>
      <c r="J10" s="580"/>
    </row>
    <row r="11" spans="1:10" ht="15" thickBot="1" x14ac:dyDescent="0.25">
      <c r="A11" s="548" t="s">
        <v>171</v>
      </c>
      <c r="B11" s="671"/>
      <c r="C11" s="549"/>
      <c r="D11" s="549"/>
      <c r="E11" s="577"/>
      <c r="F11" s="577"/>
      <c r="G11" s="577"/>
      <c r="H11" s="577"/>
      <c r="I11" s="577"/>
      <c r="J11" s="578"/>
    </row>
    <row r="12" spans="1:10" ht="15" thickBot="1" x14ac:dyDescent="0.25">
      <c r="A12" s="478" t="s">
        <v>1</v>
      </c>
      <c r="B12" s="478"/>
      <c r="C12" s="478"/>
      <c r="D12" s="478"/>
      <c r="E12" s="478"/>
      <c r="F12" s="478"/>
      <c r="G12" s="478"/>
      <c r="H12" s="478"/>
      <c r="I12" s="478"/>
      <c r="J12" s="478"/>
    </row>
    <row r="13" spans="1:10" ht="15.75" thickBot="1" x14ac:dyDescent="0.25">
      <c r="A13" s="479" t="s">
        <v>9166</v>
      </c>
      <c r="B13" s="479"/>
      <c r="C13" s="479"/>
      <c r="D13" s="479"/>
      <c r="E13" s="479"/>
      <c r="F13" s="479"/>
      <c r="G13" s="479"/>
      <c r="H13" s="479"/>
      <c r="I13" s="479"/>
      <c r="J13" s="479"/>
    </row>
    <row r="14" spans="1:10" ht="32.25" customHeight="1" x14ac:dyDescent="0.2">
      <c r="A14" s="676" t="s">
        <v>9167</v>
      </c>
      <c r="B14" s="763"/>
      <c r="C14" s="677"/>
      <c r="D14" s="677"/>
      <c r="E14" s="878" t="s">
        <v>172</v>
      </c>
      <c r="F14" s="761"/>
      <c r="G14" s="761"/>
      <c r="H14" s="763"/>
      <c r="I14" s="540" t="s">
        <v>8723</v>
      </c>
      <c r="J14" s="541"/>
    </row>
    <row r="15" spans="1:10" ht="14.25" customHeight="1" x14ac:dyDescent="0.2">
      <c r="A15" s="528" t="s">
        <v>9238</v>
      </c>
      <c r="B15" s="668"/>
      <c r="C15" s="529"/>
      <c r="D15" s="529"/>
      <c r="E15" s="551"/>
      <c r="F15" s="552"/>
      <c r="G15" s="552"/>
      <c r="H15" s="759"/>
      <c r="I15" s="738" t="s">
        <v>8685</v>
      </c>
      <c r="J15" s="739"/>
    </row>
    <row r="16" spans="1:10" x14ac:dyDescent="0.2">
      <c r="A16" s="528" t="s">
        <v>176</v>
      </c>
      <c r="B16" s="668"/>
      <c r="C16" s="529"/>
      <c r="D16" s="529"/>
      <c r="E16" s="551"/>
      <c r="F16" s="552"/>
      <c r="G16" s="552"/>
      <c r="H16" s="759"/>
      <c r="I16" s="757" t="s">
        <v>9155</v>
      </c>
      <c r="J16" s="768"/>
    </row>
    <row r="17" spans="1:10" x14ac:dyDescent="0.2">
      <c r="A17" s="744" t="s">
        <v>177</v>
      </c>
      <c r="B17" s="690"/>
      <c r="C17" s="690"/>
      <c r="D17" s="758"/>
      <c r="E17" s="551"/>
      <c r="F17" s="552"/>
      <c r="G17" s="552"/>
      <c r="H17" s="759"/>
      <c r="I17" s="757" t="str">
        <f>IF($E$15="","Choose unit type",IF($E$15="heater","20 ft minimum",IF($E$15="boiler","30 ft minimum","")))</f>
        <v>Choose unit type</v>
      </c>
      <c r="J17" s="768"/>
    </row>
    <row r="18" spans="1:10" x14ac:dyDescent="0.2">
      <c r="A18" s="528" t="s">
        <v>9239</v>
      </c>
      <c r="B18" s="668"/>
      <c r="C18" s="529"/>
      <c r="D18" s="529"/>
      <c r="E18" s="551"/>
      <c r="F18" s="552"/>
      <c r="G18" s="552"/>
      <c r="H18" s="759"/>
      <c r="I18" s="757" t="str">
        <f>IF($E$15="","Choose unit type",IF($E$15="heater","4 ft minimum",IF($E$15="boiler","2.8 ft minimum","")))</f>
        <v>Choose unit type</v>
      </c>
      <c r="J18" s="768"/>
    </row>
    <row r="19" spans="1:10" ht="15" x14ac:dyDescent="0.2">
      <c r="A19" s="528" t="s">
        <v>9240</v>
      </c>
      <c r="B19" s="668"/>
      <c r="C19" s="529"/>
      <c r="D19" s="529"/>
      <c r="E19" s="551"/>
      <c r="F19" s="552"/>
      <c r="G19" s="552"/>
      <c r="H19" s="759"/>
      <c r="I19" s="757" t="str">
        <f>IF(E15="","Choose unit type",IF(E15="heater","350 °F minimum",IF(E15="boiler","330 °F minimum","")))</f>
        <v>Choose unit type</v>
      </c>
      <c r="J19" s="768"/>
    </row>
    <row r="20" spans="1:10" ht="15" thickBot="1" x14ac:dyDescent="0.25">
      <c r="A20" s="548" t="s">
        <v>9241</v>
      </c>
      <c r="B20" s="671"/>
      <c r="C20" s="549"/>
      <c r="D20" s="549"/>
      <c r="E20" s="557"/>
      <c r="F20" s="558"/>
      <c r="G20" s="558"/>
      <c r="H20" s="765"/>
      <c r="I20" s="764" t="str">
        <f>IF($E$15="","Choose unit type",IF($E$15="heater","17 fps minimum",IF($E$15="boiler","24 fps minimum","")))</f>
        <v>Choose unit type</v>
      </c>
      <c r="J20" s="779"/>
    </row>
    <row r="21" spans="1:10" ht="32.25" customHeight="1" x14ac:dyDescent="0.2">
      <c r="A21" s="676" t="s">
        <v>9175</v>
      </c>
      <c r="B21" s="763"/>
      <c r="C21" s="677"/>
      <c r="D21" s="677"/>
      <c r="E21" s="878" t="s">
        <v>172</v>
      </c>
      <c r="F21" s="761"/>
      <c r="G21" s="761"/>
      <c r="H21" s="763"/>
      <c r="I21" s="540" t="s">
        <v>8723</v>
      </c>
      <c r="J21" s="541"/>
    </row>
    <row r="22" spans="1:10" x14ac:dyDescent="0.2">
      <c r="A22" s="831" t="s">
        <v>9940</v>
      </c>
      <c r="B22" s="880"/>
      <c r="C22" s="880"/>
      <c r="D22" s="880"/>
      <c r="E22" s="881"/>
      <c r="F22" s="882"/>
      <c r="G22" s="882"/>
      <c r="H22" s="883"/>
      <c r="I22" s="796" t="s">
        <v>8685</v>
      </c>
      <c r="J22" s="797"/>
    </row>
    <row r="23" spans="1:10" x14ac:dyDescent="0.2">
      <c r="A23" s="666" t="s">
        <v>9939</v>
      </c>
      <c r="B23" s="667"/>
      <c r="C23" s="667"/>
      <c r="D23" s="668"/>
      <c r="E23" s="551"/>
      <c r="F23" s="552"/>
      <c r="G23" s="552"/>
      <c r="H23" s="759"/>
      <c r="I23" s="738" t="s">
        <v>8685</v>
      </c>
      <c r="J23" s="739"/>
    </row>
    <row r="24" spans="1:10" x14ac:dyDescent="0.2">
      <c r="A24" s="666" t="s">
        <v>9928</v>
      </c>
      <c r="B24" s="667"/>
      <c r="C24" s="667"/>
      <c r="D24" s="668"/>
      <c r="E24" s="551"/>
      <c r="F24" s="552"/>
      <c r="G24" s="552"/>
      <c r="H24" s="759"/>
      <c r="I24" s="738" t="s">
        <v>8685</v>
      </c>
      <c r="J24" s="739"/>
    </row>
    <row r="25" spans="1:10" x14ac:dyDescent="0.2">
      <c r="A25" s="666" t="s">
        <v>9929</v>
      </c>
      <c r="B25" s="667"/>
      <c r="C25" s="667"/>
      <c r="D25" s="668"/>
      <c r="E25" s="551"/>
      <c r="F25" s="552"/>
      <c r="G25" s="552"/>
      <c r="H25" s="759"/>
      <c r="I25" s="466" t="s">
        <v>9941</v>
      </c>
      <c r="J25" s="467"/>
    </row>
    <row r="26" spans="1:10" x14ac:dyDescent="0.2">
      <c r="A26" s="666" t="s">
        <v>10228</v>
      </c>
      <c r="B26" s="667"/>
      <c r="C26" s="667"/>
      <c r="D26" s="668"/>
      <c r="E26" s="551"/>
      <c r="F26" s="552"/>
      <c r="G26" s="552"/>
      <c r="H26" s="759"/>
      <c r="I26" s="738" t="s">
        <v>8685</v>
      </c>
      <c r="J26" s="739"/>
    </row>
    <row r="27" spans="1:10" x14ac:dyDescent="0.2">
      <c r="A27" s="666" t="s">
        <v>9944</v>
      </c>
      <c r="B27" s="667"/>
      <c r="C27" s="667"/>
      <c r="D27" s="668"/>
      <c r="E27" s="551"/>
      <c r="F27" s="552"/>
      <c r="G27" s="552"/>
      <c r="H27" s="759"/>
      <c r="I27" s="703" t="s">
        <v>8685</v>
      </c>
      <c r="J27" s="877"/>
    </row>
    <row r="28" spans="1:10" x14ac:dyDescent="0.2">
      <c r="A28" s="666" t="s">
        <v>9945</v>
      </c>
      <c r="B28" s="667"/>
      <c r="C28" s="667"/>
      <c r="D28" s="668"/>
      <c r="E28" s="551"/>
      <c r="F28" s="552"/>
      <c r="G28" s="552"/>
      <c r="H28" s="759"/>
      <c r="I28" s="689" t="str">
        <f t="shared" ref="I28" si="0">IF($E$26="NATURAL GAS","11.44 ppmw maximum",IF($E$26="FUEL GAS","22.88 ppmw maximum",""))</f>
        <v/>
      </c>
      <c r="J28" s="691"/>
    </row>
    <row r="29" spans="1:10" x14ac:dyDescent="0.2">
      <c r="A29" s="666" t="s">
        <v>10431</v>
      </c>
      <c r="B29" s="667"/>
      <c r="C29" s="667"/>
      <c r="D29" s="668"/>
      <c r="E29" s="551"/>
      <c r="F29" s="552"/>
      <c r="G29" s="552"/>
      <c r="H29" s="759"/>
      <c r="I29" s="738" t="s">
        <v>8685</v>
      </c>
      <c r="J29" s="739"/>
    </row>
    <row r="30" spans="1:10" x14ac:dyDescent="0.2">
      <c r="A30" s="666" t="s">
        <v>10432</v>
      </c>
      <c r="B30" s="667"/>
      <c r="C30" s="667"/>
      <c r="D30" s="668"/>
      <c r="E30" s="551"/>
      <c r="F30" s="552"/>
      <c r="G30" s="552"/>
      <c r="H30" s="759"/>
      <c r="I30" s="738" t="s">
        <v>8685</v>
      </c>
      <c r="J30" s="739"/>
    </row>
    <row r="31" spans="1:10" x14ac:dyDescent="0.2">
      <c r="A31" s="666" t="s">
        <v>10429</v>
      </c>
      <c r="B31" s="667"/>
      <c r="C31" s="667"/>
      <c r="D31" s="668"/>
      <c r="E31" s="798"/>
      <c r="F31" s="879"/>
      <c r="G31" s="879"/>
      <c r="H31" s="799"/>
      <c r="I31" s="738" t="s">
        <v>8685</v>
      </c>
      <c r="J31" s="739"/>
    </row>
    <row r="32" spans="1:10" x14ac:dyDescent="0.2">
      <c r="A32" s="666" t="s">
        <v>10430</v>
      </c>
      <c r="B32" s="667"/>
      <c r="C32" s="667"/>
      <c r="D32" s="668"/>
      <c r="E32" s="798"/>
      <c r="F32" s="879"/>
      <c r="G32" s="879"/>
      <c r="H32" s="799"/>
      <c r="I32" s="689" t="s">
        <v>9260</v>
      </c>
      <c r="J32" s="691"/>
    </row>
    <row r="33" spans="1:10" x14ac:dyDescent="0.2">
      <c r="A33" s="744" t="s">
        <v>9948</v>
      </c>
      <c r="B33" s="690"/>
      <c r="C33" s="690"/>
      <c r="D33" s="758"/>
      <c r="E33" s="551"/>
      <c r="F33" s="552"/>
      <c r="G33" s="552"/>
      <c r="H33" s="759"/>
      <c r="I33" s="738" t="s">
        <v>8685</v>
      </c>
      <c r="J33" s="739"/>
    </row>
    <row r="34" spans="1:10" x14ac:dyDescent="0.2">
      <c r="A34" s="666" t="s">
        <v>9947</v>
      </c>
      <c r="B34" s="667"/>
      <c r="C34" s="667"/>
      <c r="D34" s="668"/>
      <c r="E34" s="551"/>
      <c r="F34" s="552"/>
      <c r="G34" s="552"/>
      <c r="H34" s="759"/>
      <c r="I34" s="738" t="s">
        <v>8685</v>
      </c>
      <c r="J34" s="739"/>
    </row>
    <row r="35" spans="1:10" ht="15" thickBot="1" x14ac:dyDescent="0.25">
      <c r="A35" s="587" t="s">
        <v>10483</v>
      </c>
      <c r="B35" s="588"/>
      <c r="C35" s="588"/>
      <c r="D35" s="589"/>
      <c r="E35" s="557"/>
      <c r="F35" s="558"/>
      <c r="G35" s="558"/>
      <c r="H35" s="765"/>
      <c r="I35" s="764" t="str">
        <f>IF(E23="","enter firing rate",IF(E23&lt;100,"CEMS not required",IF(E23&gt;=100,"CEMS required")))</f>
        <v>enter firing rate</v>
      </c>
      <c r="J35" s="779"/>
    </row>
    <row r="36" spans="1:10" ht="15" x14ac:dyDescent="0.2">
      <c r="A36" s="760" t="s">
        <v>10229</v>
      </c>
      <c r="B36" s="761"/>
      <c r="C36" s="761"/>
      <c r="D36" s="761"/>
      <c r="E36" s="761"/>
      <c r="F36" s="761"/>
      <c r="G36" s="761"/>
      <c r="H36" s="761"/>
      <c r="I36" s="761"/>
      <c r="J36" s="762"/>
    </row>
    <row r="37" spans="1:10" ht="43.5" customHeight="1" x14ac:dyDescent="0.2">
      <c r="A37" s="530" t="s">
        <v>10433</v>
      </c>
      <c r="B37" s="758"/>
      <c r="C37" s="531"/>
      <c r="D37" s="531"/>
      <c r="E37" s="551"/>
      <c r="F37" s="552"/>
      <c r="G37" s="552"/>
      <c r="H37" s="552"/>
      <c r="I37" s="552"/>
      <c r="J37" s="553"/>
    </row>
    <row r="38" spans="1:10" ht="14.25" customHeight="1" x14ac:dyDescent="0.2">
      <c r="A38" s="744" t="s">
        <v>9797</v>
      </c>
      <c r="B38" s="690"/>
      <c r="C38" s="690"/>
      <c r="D38" s="758"/>
      <c r="E38" s="551"/>
      <c r="F38" s="552"/>
      <c r="G38" s="552"/>
      <c r="H38" s="552"/>
      <c r="I38" s="552"/>
      <c r="J38" s="553"/>
    </row>
    <row r="39" spans="1:10" ht="14.25" customHeight="1" thickBot="1" x14ac:dyDescent="0.25">
      <c r="A39" s="587" t="s">
        <v>9527</v>
      </c>
      <c r="B39" s="588"/>
      <c r="C39" s="588"/>
      <c r="D39" s="589"/>
      <c r="E39" s="557"/>
      <c r="F39" s="558"/>
      <c r="G39" s="558"/>
      <c r="H39" s="558"/>
      <c r="I39" s="558"/>
      <c r="J39" s="559"/>
    </row>
    <row r="40" spans="1:10" ht="15" thickBot="1" x14ac:dyDescent="0.25">
      <c r="A40" s="478" t="s">
        <v>1</v>
      </c>
      <c r="B40" s="478"/>
      <c r="C40" s="478"/>
      <c r="D40" s="478"/>
      <c r="E40" s="478"/>
      <c r="F40" s="478"/>
      <c r="G40" s="478"/>
      <c r="H40" s="478"/>
      <c r="I40" s="478"/>
      <c r="J40" s="478"/>
    </row>
    <row r="41" spans="1:10" ht="15.75" thickBot="1" x14ac:dyDescent="0.25">
      <c r="A41" s="479" t="s">
        <v>279</v>
      </c>
      <c r="B41" s="479"/>
      <c r="C41" s="479"/>
      <c r="D41" s="479"/>
      <c r="E41" s="479"/>
      <c r="F41" s="479"/>
      <c r="G41" s="479"/>
      <c r="H41" s="479"/>
      <c r="I41" s="479"/>
      <c r="J41" s="479"/>
    </row>
    <row r="42" spans="1:10" ht="15" x14ac:dyDescent="0.2">
      <c r="A42" s="867" t="s">
        <v>9942</v>
      </c>
      <c r="B42" s="854"/>
      <c r="C42" s="854"/>
      <c r="D42" s="854"/>
      <c r="E42" s="854"/>
      <c r="F42" s="854"/>
      <c r="G42" s="854"/>
      <c r="H42" s="854"/>
      <c r="I42" s="854"/>
      <c r="J42" s="794"/>
    </row>
    <row r="43" spans="1:10" ht="116.25" x14ac:dyDescent="0.2">
      <c r="A43" s="170" t="s">
        <v>10836</v>
      </c>
      <c r="B43" s="190" t="str">
        <f>IF($E$6="modified","Currently authorized emission factor (lb/MMBtu)","Currently authorized emission factor (lb/MMBtu) - enter zero for new units")</f>
        <v>Currently authorized emission factor (lb/MMBtu) - enter zero for new units</v>
      </c>
      <c r="C43" s="171" t="s">
        <v>9949</v>
      </c>
      <c r="D43" s="79" t="s">
        <v>10434</v>
      </c>
      <c r="E43" s="171" t="s">
        <v>9936</v>
      </c>
      <c r="F43" s="171" t="s">
        <v>9935</v>
      </c>
      <c r="G43" s="171" t="s">
        <v>9937</v>
      </c>
      <c r="H43" s="171" t="s">
        <v>9938</v>
      </c>
      <c r="I43" s="171" t="str">
        <f>IF($E$6="modified","Proposed increase in hourly emissions (lb/hr)","Proposed hourly emissions (lb/hr)")</f>
        <v>Proposed hourly emissions (lb/hr)</v>
      </c>
      <c r="J43" s="172" t="str">
        <f>IF($E$6="modified","Proposed increase in annual emissions (tpy)","Proposed annual emissions (tpy)")</f>
        <v>Proposed annual emissions (tpy)</v>
      </c>
    </row>
    <row r="44" spans="1:10" x14ac:dyDescent="0.2">
      <c r="A44" s="9" t="s">
        <v>229</v>
      </c>
      <c r="B44" s="186"/>
      <c r="C44" s="188"/>
      <c r="D44" s="189"/>
      <c r="E44" s="191">
        <f t="shared" ref="E44:E49" si="1">IF($E$6="new",0,IF($B44="",0,$B44*$E$22))</f>
        <v>0</v>
      </c>
      <c r="F44" s="191">
        <f t="shared" ref="F44:F49" si="2">IF($E$6="new",0,$E44*($E$24/2000))</f>
        <v>0</v>
      </c>
      <c r="G44" s="191">
        <f>IF($C44="",0,$C44*$E$23)</f>
        <v>0</v>
      </c>
      <c r="H44" s="191">
        <f>$G44*($E$25/2000)</f>
        <v>0</v>
      </c>
      <c r="I44" s="192">
        <f>IF(G44&lt;E44,0,G44-E44)</f>
        <v>0</v>
      </c>
      <c r="J44" s="193">
        <f>IF(H44&lt;F44,0,H44-F44)</f>
        <v>0</v>
      </c>
    </row>
    <row r="45" spans="1:10" x14ac:dyDescent="0.2">
      <c r="A45" s="9" t="s">
        <v>261</v>
      </c>
      <c r="B45" s="186"/>
      <c r="C45" s="188"/>
      <c r="D45" s="189"/>
      <c r="E45" s="191">
        <f t="shared" si="1"/>
        <v>0</v>
      </c>
      <c r="F45" s="191">
        <f t="shared" si="2"/>
        <v>0</v>
      </c>
      <c r="G45" s="191">
        <f t="shared" ref="G45:G49" si="3">IF($C45="",0,$C45*$E$23)</f>
        <v>0</v>
      </c>
      <c r="H45" s="191">
        <f t="shared" ref="H45:H49" si="4">$G45*($E$25/2000)</f>
        <v>0</v>
      </c>
      <c r="I45" s="192">
        <f t="shared" ref="I45:I51" si="5">IF(G45&lt;E45,0,G45-E45)</f>
        <v>0</v>
      </c>
      <c r="J45" s="193">
        <f t="shared" ref="J45:J51" si="6">IF(H45&lt;F45,0,H45-F45)</f>
        <v>0</v>
      </c>
    </row>
    <row r="46" spans="1:10" x14ac:dyDescent="0.2">
      <c r="A46" s="9" t="s">
        <v>262</v>
      </c>
      <c r="B46" s="186"/>
      <c r="C46" s="188"/>
      <c r="D46" s="189"/>
      <c r="E46" s="191">
        <f t="shared" si="1"/>
        <v>0</v>
      </c>
      <c r="F46" s="191">
        <f t="shared" si="2"/>
        <v>0</v>
      </c>
      <c r="G46" s="191">
        <f t="shared" si="3"/>
        <v>0</v>
      </c>
      <c r="H46" s="191">
        <f t="shared" si="4"/>
        <v>0</v>
      </c>
      <c r="I46" s="192">
        <f t="shared" si="5"/>
        <v>0</v>
      </c>
      <c r="J46" s="193">
        <f t="shared" si="6"/>
        <v>0</v>
      </c>
    </row>
    <row r="47" spans="1:10" x14ac:dyDescent="0.2">
      <c r="A47" s="9" t="s">
        <v>263</v>
      </c>
      <c r="B47" s="186"/>
      <c r="C47" s="188"/>
      <c r="D47" s="189"/>
      <c r="E47" s="191">
        <f t="shared" si="1"/>
        <v>0</v>
      </c>
      <c r="F47" s="191">
        <f t="shared" si="2"/>
        <v>0</v>
      </c>
      <c r="G47" s="191">
        <f t="shared" si="3"/>
        <v>0</v>
      </c>
      <c r="H47" s="191">
        <f t="shared" si="4"/>
        <v>0</v>
      </c>
      <c r="I47" s="192">
        <f t="shared" si="5"/>
        <v>0</v>
      </c>
      <c r="J47" s="193">
        <f t="shared" si="6"/>
        <v>0</v>
      </c>
    </row>
    <row r="48" spans="1:10" x14ac:dyDescent="0.2">
      <c r="A48" s="9" t="s">
        <v>264</v>
      </c>
      <c r="B48" s="186"/>
      <c r="C48" s="188"/>
      <c r="D48" s="189"/>
      <c r="E48" s="191">
        <f t="shared" si="1"/>
        <v>0</v>
      </c>
      <c r="F48" s="191">
        <f t="shared" si="2"/>
        <v>0</v>
      </c>
      <c r="G48" s="191">
        <f t="shared" si="3"/>
        <v>0</v>
      </c>
      <c r="H48" s="191">
        <f t="shared" si="4"/>
        <v>0</v>
      </c>
      <c r="I48" s="192">
        <f t="shared" si="5"/>
        <v>0</v>
      </c>
      <c r="J48" s="193">
        <f t="shared" si="6"/>
        <v>0</v>
      </c>
    </row>
    <row r="49" spans="1:10" x14ac:dyDescent="0.2">
      <c r="A49" s="9" t="s">
        <v>265</v>
      </c>
      <c r="B49" s="186"/>
      <c r="C49" s="188"/>
      <c r="D49" s="189"/>
      <c r="E49" s="191">
        <f t="shared" si="1"/>
        <v>0</v>
      </c>
      <c r="F49" s="191">
        <f t="shared" si="2"/>
        <v>0</v>
      </c>
      <c r="G49" s="191">
        <f t="shared" si="3"/>
        <v>0</v>
      </c>
      <c r="H49" s="191">
        <f t="shared" si="4"/>
        <v>0</v>
      </c>
      <c r="I49" s="192">
        <f t="shared" si="5"/>
        <v>0</v>
      </c>
      <c r="J49" s="193">
        <f t="shared" si="6"/>
        <v>0</v>
      </c>
    </row>
    <row r="50" spans="1:10" x14ac:dyDescent="0.2">
      <c r="A50" s="227" t="s">
        <v>266</v>
      </c>
      <c r="B50" s="77" t="s">
        <v>9363</v>
      </c>
      <c r="C50" s="77" t="s">
        <v>9363</v>
      </c>
      <c r="D50" s="77" t="s">
        <v>9363</v>
      </c>
      <c r="E50" s="191">
        <f>IF($E$6="new",0,IF($E$6="NEW",0,IF(OR($E$22="",$E$27="",$E$33=""),0,(($E$27*64.06*$E$22)/(32*$E$33))+IF($E$26&lt;&gt;"fuel gas",0,($E$29*(1-$E$31)*(64.06/34.08))))))</f>
        <v>0</v>
      </c>
      <c r="F50" s="191">
        <f>IF($E$6="new",0,IF(OR($E$6="NEW",$E$22="",$E$24="",$E$27="",$E$33=""),0,$E$50*($E$24/2000)))</f>
        <v>0</v>
      </c>
      <c r="G50" s="191">
        <f>IF(OR($E$23="",$E$28="",$E$34=""),0,(($E$28*64.06*$E$23)/(32*$E$34))+IF($E$26&lt;&gt;"fuel gas",0,IF(ISTEXT($E$30),0,($E$30*(1-$E$32)*(64.06/34.08)))))</f>
        <v>0</v>
      </c>
      <c r="H50" s="191">
        <f>IF(OR($E$23="",$E$25="",$E$28="",$E$34=""),0,$G$50*($E$25/2000))</f>
        <v>0</v>
      </c>
      <c r="I50" s="192">
        <f t="shared" si="5"/>
        <v>0</v>
      </c>
      <c r="J50" s="230">
        <f t="shared" si="6"/>
        <v>0</v>
      </c>
    </row>
    <row r="51" spans="1:10" ht="15" thickBot="1" x14ac:dyDescent="0.25">
      <c r="A51" s="112" t="s">
        <v>267</v>
      </c>
      <c r="B51" s="77" t="s">
        <v>9363</v>
      </c>
      <c r="C51" s="77" t="s">
        <v>9363</v>
      </c>
      <c r="D51" s="77" t="s">
        <v>9363</v>
      </c>
      <c r="E51" s="228">
        <f>IF($E$6="new",0,IF(OR($E$22="",$E$33="",$E$31="",$E$29=""),0,($E$22*1000000*$E$29*(1-$E$31))/$E$33))</f>
        <v>0</v>
      </c>
      <c r="F51" s="228">
        <f>IF($E$6="new",0,IF(OR($E$22="",$E$33="",$E$31="",$E$29="",$E$24=""),0,$E$51*($E$24/2000)))</f>
        <v>0</v>
      </c>
      <c r="G51" s="228">
        <f>IF(ISTEXT($E$30),0,IF(OR($E$23="",$E$34="",$E$32="",$E$30=""),0,($E$23*1000000*$E$30*(1-$E$32))/$E$34))</f>
        <v>0</v>
      </c>
      <c r="H51" s="228">
        <f>IF(ISTEXT($E$30),0,IF(OR($E$23="",$E$34="",$E$32="",$E$30="",$E$25=""),0,$G$51*($E$25/2000)))</f>
        <v>0</v>
      </c>
      <c r="I51" s="229">
        <f t="shared" si="5"/>
        <v>0</v>
      </c>
      <c r="J51" s="194">
        <f t="shared" si="6"/>
        <v>0</v>
      </c>
    </row>
    <row r="52" spans="1:10" ht="15" x14ac:dyDescent="0.2">
      <c r="A52" s="539" t="s">
        <v>9943</v>
      </c>
      <c r="B52" s="540"/>
      <c r="C52" s="540"/>
      <c r="D52" s="540"/>
      <c r="E52" s="540"/>
      <c r="F52" s="540"/>
      <c r="G52" s="540"/>
      <c r="H52" s="540"/>
      <c r="I52" s="540"/>
      <c r="J52" s="541"/>
    </row>
    <row r="53" spans="1:10" ht="15" x14ac:dyDescent="0.2">
      <c r="A53" s="874" t="s">
        <v>8751</v>
      </c>
      <c r="B53" s="875"/>
      <c r="C53" s="875"/>
      <c r="D53" s="876"/>
      <c r="E53" s="79" t="s">
        <v>9936</v>
      </c>
      <c r="F53" s="79" t="s">
        <v>9935</v>
      </c>
      <c r="G53" s="79" t="s">
        <v>9937</v>
      </c>
      <c r="H53" s="79" t="s">
        <v>9938</v>
      </c>
      <c r="I53" s="79" t="str">
        <f>IF($E$6="modified","Proposed increase in hourly emissions (lb/hr)","Proposed hourly emissions (lb/hr)")</f>
        <v>Proposed hourly emissions (lb/hr)</v>
      </c>
      <c r="J53" s="80" t="str">
        <f>IF($E$6="modified","Proposed increase in annual emissions (tpy)","Proposed annual emissions (tpy)")</f>
        <v>Proposed annual emissions (tpy)</v>
      </c>
    </row>
    <row r="54" spans="1:10" x14ac:dyDescent="0.2">
      <c r="A54" s="871">
        <f>Products!E8</f>
        <v>0</v>
      </c>
      <c r="B54" s="872"/>
      <c r="C54" s="872"/>
      <c r="D54" s="873"/>
      <c r="E54" s="16">
        <f>IF($E$6="new",0,IFERROR(VLOOKUP($A54,Products!$E$8:$H$17,4,FALSE)*$E$44,0))</f>
        <v>0</v>
      </c>
      <c r="F54" s="16">
        <f>IF($E$6="new",0,IFERROR(VLOOKUP($A54,Products!$E$8:$H$17,4,FALSE)*$F$44,0))</f>
        <v>0</v>
      </c>
      <c r="G54" s="16">
        <f>IFERROR(VLOOKUP($A54,Products!$E$8:$H$17,4,FALSE)*$G$44,0)</f>
        <v>0</v>
      </c>
      <c r="H54" s="16">
        <f>IFERROR(VLOOKUP($A54,Products!$E$8:$H$17,4,FALSE)*$H$44,0)</f>
        <v>0</v>
      </c>
      <c r="I54" s="16">
        <f>IFERROR(IF(G54&lt;E54,0,G54-E54),0)</f>
        <v>0</v>
      </c>
      <c r="J54" s="29">
        <f>IFERROR(IF(H54&lt;F54,0,H54-F54),0)</f>
        <v>0</v>
      </c>
    </row>
    <row r="55" spans="1:10" x14ac:dyDescent="0.2">
      <c r="A55" s="871">
        <f>Products!E9</f>
        <v>0</v>
      </c>
      <c r="B55" s="872"/>
      <c r="C55" s="872"/>
      <c r="D55" s="873"/>
      <c r="E55" s="16">
        <f>IF($E$6="new",0,IFERROR(VLOOKUP($A55,Products!$E$8:$H$17,4,FALSE)*$E$44,0))</f>
        <v>0</v>
      </c>
      <c r="F55" s="16">
        <f>IF($E$6="new",0,IFERROR(VLOOKUP($A55,Products!$E$8:$H$17,4,FALSE)*$F$44,0))</f>
        <v>0</v>
      </c>
      <c r="G55" s="16">
        <f>IFERROR(VLOOKUP($A55,Products!$E$8:$H$17,4,FALSE)*$G$44,0)</f>
        <v>0</v>
      </c>
      <c r="H55" s="16">
        <f>IFERROR(VLOOKUP($A55,Products!$E$8:$H$17,4,FALSE)*$H$44,0)</f>
        <v>0</v>
      </c>
      <c r="I55" s="16">
        <f t="shared" ref="I55:I63" si="7">IFERROR(IF(G55&lt;E55,0,G55-E55),0)</f>
        <v>0</v>
      </c>
      <c r="J55" s="29">
        <f t="shared" ref="J55:J63" si="8">IFERROR(IF(H55&lt;F55,0,H55-F55),0)</f>
        <v>0</v>
      </c>
    </row>
    <row r="56" spans="1:10" x14ac:dyDescent="0.2">
      <c r="A56" s="871">
        <f>Products!E10</f>
        <v>0</v>
      </c>
      <c r="B56" s="872"/>
      <c r="C56" s="872"/>
      <c r="D56" s="873"/>
      <c r="E56" s="195" t="s">
        <v>10871</v>
      </c>
      <c r="F56" s="16">
        <f>IF($E$6="new",0,IFERROR(VLOOKUP($A56,Products!$E$8:$H$17,4,FALSE)*$F$44,0))</f>
        <v>0</v>
      </c>
      <c r="G56" s="16">
        <f>IFERROR(VLOOKUP($A56,Products!$E$8:$H$17,4,FALSE)*$G$44,0)</f>
        <v>0</v>
      </c>
      <c r="H56" s="16">
        <f>IFERROR(VLOOKUP($A56,Products!$E$8:$H$17,4,FALSE)*$H$44,0)</f>
        <v>0</v>
      </c>
      <c r="I56" s="16">
        <f t="shared" si="7"/>
        <v>0</v>
      </c>
      <c r="J56" s="29">
        <f t="shared" si="8"/>
        <v>0</v>
      </c>
    </row>
    <row r="57" spans="1:10" x14ac:dyDescent="0.2">
      <c r="A57" s="871">
        <f>Products!E11</f>
        <v>0</v>
      </c>
      <c r="B57" s="872"/>
      <c r="C57" s="872"/>
      <c r="D57" s="873"/>
      <c r="E57" s="16">
        <f>IFERROR(VLOOKUP($A57,Products!$E$8:$H$17,4,FALSE)*$E$44,0)</f>
        <v>0</v>
      </c>
      <c r="F57" s="16">
        <f>IF($E$6="new",0,IFERROR(VLOOKUP($A57,Products!$E$8:$H$17,4,FALSE)*$F$44,0))</f>
        <v>0</v>
      </c>
      <c r="G57" s="16">
        <f>IFERROR(VLOOKUP($A57,Products!$E$8:$H$17,4,FALSE)*$G$44,0)</f>
        <v>0</v>
      </c>
      <c r="H57" s="16">
        <f>IFERROR(VLOOKUP($A57,Products!$E$8:$H$17,4,FALSE)*$H$44,0)</f>
        <v>0</v>
      </c>
      <c r="I57" s="16">
        <f t="shared" si="7"/>
        <v>0</v>
      </c>
      <c r="J57" s="29">
        <f t="shared" si="8"/>
        <v>0</v>
      </c>
    </row>
    <row r="58" spans="1:10" x14ac:dyDescent="0.2">
      <c r="A58" s="871">
        <f>Products!E12</f>
        <v>0</v>
      </c>
      <c r="B58" s="872"/>
      <c r="C58" s="872"/>
      <c r="D58" s="873"/>
      <c r="E58" s="16">
        <f>IF($E$6="new",0,IFERROR(VLOOKUP($A58,Products!$E$8:$H$17,4,FALSE)*$E$44,0))</f>
        <v>0</v>
      </c>
      <c r="F58" s="16">
        <f>IF($E$6="new",0,IFERROR(VLOOKUP($A58,Products!$E$8:$H$17,4,FALSE)*$F$44,0))</f>
        <v>0</v>
      </c>
      <c r="G58" s="16">
        <f>IFERROR(VLOOKUP($A58,Products!$E$8:$H$17,4,FALSE)*$G$44,0)</f>
        <v>0</v>
      </c>
      <c r="H58" s="16">
        <f>IFERROR(VLOOKUP($A58,Products!$E$8:$H$17,4,FALSE)*$H$44,0)</f>
        <v>0</v>
      </c>
      <c r="I58" s="16">
        <f t="shared" si="7"/>
        <v>0</v>
      </c>
      <c r="J58" s="29">
        <f t="shared" si="8"/>
        <v>0</v>
      </c>
    </row>
    <row r="59" spans="1:10" x14ac:dyDescent="0.2">
      <c r="A59" s="871">
        <f>Products!E13</f>
        <v>0</v>
      </c>
      <c r="B59" s="872"/>
      <c r="C59" s="872"/>
      <c r="D59" s="873"/>
      <c r="E59" s="16">
        <f>IF($E$6="new",0,IFERROR(VLOOKUP($A59,Products!$E$8:$H$17,4,FALSE)*$E$44,0))</f>
        <v>0</v>
      </c>
      <c r="F59" s="16">
        <f>IF($E$6="new",0,IFERROR(VLOOKUP($A59,Products!$E$8:$H$17,4,FALSE)*$F$44,0))</f>
        <v>0</v>
      </c>
      <c r="G59" s="16">
        <f>IFERROR(VLOOKUP($A59,Products!$E$8:$H$17,4,FALSE)*$G$44,0)</f>
        <v>0</v>
      </c>
      <c r="H59" s="16">
        <f>IFERROR(VLOOKUP($A59,Products!$E$8:$H$17,4,FALSE)*$H$44,0)</f>
        <v>0</v>
      </c>
      <c r="I59" s="16">
        <f t="shared" si="7"/>
        <v>0</v>
      </c>
      <c r="J59" s="29">
        <f t="shared" si="8"/>
        <v>0</v>
      </c>
    </row>
    <row r="60" spans="1:10" x14ac:dyDescent="0.2">
      <c r="A60" s="871">
        <f>Products!E14</f>
        <v>0</v>
      </c>
      <c r="B60" s="872"/>
      <c r="C60" s="872"/>
      <c r="D60" s="873"/>
      <c r="E60" s="16">
        <f>IF($E$6="new",0,IFERROR(VLOOKUP($A60,Products!$E$8:$H$17,4,FALSE)*$E$44,0))</f>
        <v>0</v>
      </c>
      <c r="F60" s="16">
        <f>IF($E$6="new",0,IFERROR(VLOOKUP($A60,Products!$E$8:$H$17,4,FALSE)*$F$44,0))</f>
        <v>0</v>
      </c>
      <c r="G60" s="16">
        <f>IFERROR(VLOOKUP($A60,Products!$E$8:$H$17,4,FALSE)*$G$44,0)</f>
        <v>0</v>
      </c>
      <c r="H60" s="16">
        <f>IFERROR(VLOOKUP($A60,Products!$E$8:$H$17,4,FALSE)*$H$44,0)</f>
        <v>0</v>
      </c>
      <c r="I60" s="16">
        <f t="shared" si="7"/>
        <v>0</v>
      </c>
      <c r="J60" s="29">
        <f t="shared" si="8"/>
        <v>0</v>
      </c>
    </row>
    <row r="61" spans="1:10" x14ac:dyDescent="0.2">
      <c r="A61" s="871">
        <f>Products!E15</f>
        <v>0</v>
      </c>
      <c r="B61" s="872"/>
      <c r="C61" s="872"/>
      <c r="D61" s="873"/>
      <c r="E61" s="16">
        <f>IF($E$6="new",0,IFERROR(VLOOKUP($A61,Products!$E$8:$H$17,4,FALSE)*$E$44,0))</f>
        <v>0</v>
      </c>
      <c r="F61" s="16">
        <f>IF($E$6="new",0,IFERROR(VLOOKUP($A61,Products!$E$8:$H$17,4,FALSE)*$F$44,0))</f>
        <v>0</v>
      </c>
      <c r="G61" s="16">
        <f>IFERROR(VLOOKUP($A61,Products!$E$8:$H$17,4,FALSE)*$G$44,0)</f>
        <v>0</v>
      </c>
      <c r="H61" s="16">
        <f>IFERROR(VLOOKUP($A61,Products!$E$8:$H$17,4,FALSE)*$H$44,0)</f>
        <v>0</v>
      </c>
      <c r="I61" s="16">
        <f t="shared" si="7"/>
        <v>0</v>
      </c>
      <c r="J61" s="29">
        <f t="shared" si="8"/>
        <v>0</v>
      </c>
    </row>
    <row r="62" spans="1:10" x14ac:dyDescent="0.2">
      <c r="A62" s="871">
        <f>Products!E16</f>
        <v>0</v>
      </c>
      <c r="B62" s="872"/>
      <c r="C62" s="872"/>
      <c r="D62" s="873"/>
      <c r="E62" s="16">
        <f>IF($E$6="new",0,IFERROR(VLOOKUP($A62,Products!$E$8:$H$17,4,FALSE)*$E$44,0))</f>
        <v>0</v>
      </c>
      <c r="F62" s="16">
        <f>IF($E$6="new",0,IFERROR(VLOOKUP($A62,Products!$E$8:$H$17,4,FALSE)*$F$44,0))</f>
        <v>0</v>
      </c>
      <c r="G62" s="16">
        <f>IFERROR(VLOOKUP($A62,Products!$E$8:$H$17,4,FALSE)*$G$44,0)</f>
        <v>0</v>
      </c>
      <c r="H62" s="16">
        <f>IFERROR(VLOOKUP($A62,Products!$E$8:$H$17,4,FALSE)*$H$44,0)</f>
        <v>0</v>
      </c>
      <c r="I62" s="16">
        <f t="shared" si="7"/>
        <v>0</v>
      </c>
      <c r="J62" s="29">
        <f t="shared" si="8"/>
        <v>0</v>
      </c>
    </row>
    <row r="63" spans="1:10" ht="15" thickBot="1" x14ac:dyDescent="0.25">
      <c r="A63" s="868">
        <f>Products!E17</f>
        <v>0</v>
      </c>
      <c r="B63" s="869"/>
      <c r="C63" s="869"/>
      <c r="D63" s="870"/>
      <c r="E63" s="28">
        <f>IF($E$6="new",0,IFERROR(VLOOKUP($A63,Products!$E$8:$H$17,4,FALSE)*$E$44,0))</f>
        <v>0</v>
      </c>
      <c r="F63" s="28">
        <f>IF($E$6="new",0,IFERROR(VLOOKUP($A63,Products!$E$8:$H$17,4,FALSE)*$F$44,0))</f>
        <v>0</v>
      </c>
      <c r="G63" s="28">
        <f>IFERROR(VLOOKUP($A63,Products!$E$8:$H$17,4,FALSE)*$G$44,0)</f>
        <v>0</v>
      </c>
      <c r="H63" s="28">
        <f>IFERROR(VLOOKUP($A63,Products!$E$8:$H$17,4,FALSE)*$H$44,0)</f>
        <v>0</v>
      </c>
      <c r="I63" s="28">
        <f t="shared" si="7"/>
        <v>0</v>
      </c>
      <c r="J63" s="113">
        <f t="shared" si="8"/>
        <v>0</v>
      </c>
    </row>
    <row r="64" spans="1:10" x14ac:dyDescent="0.2">
      <c r="A64" s="478" t="s">
        <v>130</v>
      </c>
      <c r="B64" s="478"/>
      <c r="C64" s="478"/>
      <c r="D64" s="478"/>
      <c r="E64" s="478"/>
      <c r="F64" s="478"/>
      <c r="G64" s="478"/>
      <c r="H64" s="478"/>
      <c r="I64" s="478"/>
      <c r="J64" s="478"/>
    </row>
  </sheetData>
  <sheetProtection algorithmName="SHA-512" hashValue="UaGTD9bbr5Yc3eFOIRgYWateLqApBJnHnypUCiBLm7BPQwyLe2KfMLKWqiUSfx7y9H0WsHDwBY2z/z+3HJVuLA==" saltValue="Pkjb3D1qFkEJjYFVuHndFA==" spinCount="100000" sheet="1" objects="1" scenarios="1" formatColumns="0" formatRows="0"/>
  <mergeCells count="108">
    <mergeCell ref="A18:D18"/>
    <mergeCell ref="E18:H18"/>
    <mergeCell ref="I18:J18"/>
    <mergeCell ref="A31:D31"/>
    <mergeCell ref="E31:H31"/>
    <mergeCell ref="I31:J31"/>
    <mergeCell ref="A32:D32"/>
    <mergeCell ref="E32:H32"/>
    <mergeCell ref="I32:J32"/>
    <mergeCell ref="A30:D30"/>
    <mergeCell ref="E30:H30"/>
    <mergeCell ref="I30:J30"/>
    <mergeCell ref="A19:D19"/>
    <mergeCell ref="E19:H19"/>
    <mergeCell ref="I19:J19"/>
    <mergeCell ref="A20:D20"/>
    <mergeCell ref="E20:H20"/>
    <mergeCell ref="I20:J20"/>
    <mergeCell ref="A21:D21"/>
    <mergeCell ref="E21:H21"/>
    <mergeCell ref="I21:J21"/>
    <mergeCell ref="A22:D22"/>
    <mergeCell ref="E22:H22"/>
    <mergeCell ref="I22:J22"/>
    <mergeCell ref="A15:D15"/>
    <mergeCell ref="E15:H15"/>
    <mergeCell ref="A16:D16"/>
    <mergeCell ref="E16:H16"/>
    <mergeCell ref="I16:J16"/>
    <mergeCell ref="I15:J15"/>
    <mergeCell ref="A17:D17"/>
    <mergeCell ref="E17:H17"/>
    <mergeCell ref="I17:J17"/>
    <mergeCell ref="A13:J13"/>
    <mergeCell ref="A14:D14"/>
    <mergeCell ref="A10:D10"/>
    <mergeCell ref="E10:J10"/>
    <mergeCell ref="A11:D11"/>
    <mergeCell ref="E11:J11"/>
    <mergeCell ref="A12:J12"/>
    <mergeCell ref="E14:H14"/>
    <mergeCell ref="I14:J14"/>
    <mergeCell ref="A7:D7"/>
    <mergeCell ref="E7:J7"/>
    <mergeCell ref="A8:D8"/>
    <mergeCell ref="E8:J8"/>
    <mergeCell ref="A9:D9"/>
    <mergeCell ref="E9:J9"/>
    <mergeCell ref="A6:D6"/>
    <mergeCell ref="E6:J6"/>
    <mergeCell ref="A1:J1"/>
    <mergeCell ref="A2:J2"/>
    <mergeCell ref="A3:J3"/>
    <mergeCell ref="A4:J4"/>
    <mergeCell ref="A5:J5"/>
    <mergeCell ref="A23:D23"/>
    <mergeCell ref="E23:H23"/>
    <mergeCell ref="I23:J23"/>
    <mergeCell ref="A24:D24"/>
    <mergeCell ref="E24:H24"/>
    <mergeCell ref="I24:J24"/>
    <mergeCell ref="A25:D25"/>
    <mergeCell ref="E25:H25"/>
    <mergeCell ref="I25:J25"/>
    <mergeCell ref="A26:D26"/>
    <mergeCell ref="E26:H26"/>
    <mergeCell ref="I26:J26"/>
    <mergeCell ref="A27:D27"/>
    <mergeCell ref="E27:H27"/>
    <mergeCell ref="I27:J27"/>
    <mergeCell ref="A28:D28"/>
    <mergeCell ref="E28:H28"/>
    <mergeCell ref="I28:J28"/>
    <mergeCell ref="A33:D33"/>
    <mergeCell ref="E33:H33"/>
    <mergeCell ref="I33:J33"/>
    <mergeCell ref="A34:D34"/>
    <mergeCell ref="E34:H34"/>
    <mergeCell ref="I34:J34"/>
    <mergeCell ref="A29:D29"/>
    <mergeCell ref="E29:H29"/>
    <mergeCell ref="I29:J29"/>
    <mergeCell ref="E35:H35"/>
    <mergeCell ref="I35:J35"/>
    <mergeCell ref="A36:J36"/>
    <mergeCell ref="A37:D37"/>
    <mergeCell ref="E37:J37"/>
    <mergeCell ref="A57:D57"/>
    <mergeCell ref="A54:D54"/>
    <mergeCell ref="A35:D35"/>
    <mergeCell ref="A55:D55"/>
    <mergeCell ref="A38:D38"/>
    <mergeCell ref="E38:J38"/>
    <mergeCell ref="A52:J52"/>
    <mergeCell ref="A64:J64"/>
    <mergeCell ref="A39:D39"/>
    <mergeCell ref="E39:J39"/>
    <mergeCell ref="A40:J40"/>
    <mergeCell ref="A41:J41"/>
    <mergeCell ref="A42:J42"/>
    <mergeCell ref="A63:D63"/>
    <mergeCell ref="A58:D58"/>
    <mergeCell ref="A59:D59"/>
    <mergeCell ref="A60:D60"/>
    <mergeCell ref="A61:D61"/>
    <mergeCell ref="A62:D62"/>
    <mergeCell ref="A53:D53"/>
    <mergeCell ref="A56:D56"/>
  </mergeCells>
  <conditionalFormatting sqref="A10:J64">
    <cfRule type="expression" dxfId="144" priority="5">
      <formula>$E$6="affected"</formula>
    </cfRule>
  </conditionalFormatting>
  <conditionalFormatting sqref="A51:J51">
    <cfRule type="expression" dxfId="143" priority="12">
      <formula>$E$26&lt;&gt;"FUEL GAS"</formula>
    </cfRule>
  </conditionalFormatting>
  <conditionalFormatting sqref="A52:J63">
    <cfRule type="expression" dxfId="142" priority="14">
      <formula>$E$26&lt;&gt;"fuel gas"</formula>
    </cfRule>
  </conditionalFormatting>
  <conditionalFormatting sqref="A54:J63">
    <cfRule type="expression" dxfId="141" priority="18">
      <formula>$A54=0</formula>
    </cfRule>
  </conditionalFormatting>
  <conditionalFormatting sqref="I43:J51 I53:J63">
    <cfRule type="expression" dxfId="140" priority="1">
      <formula>$E$6="new"</formula>
    </cfRule>
  </conditionalFormatting>
  <dataValidations xWindow="797" yWindow="722" count="32">
    <dataValidation type="list" allowBlank="1" showErrorMessage="1" prompt="select fuel type" sqref="E26:H26" xr:uid="{DEB0E458-7194-4711-9E2A-CC16811CFEC5}">
      <formula1>"natural gas,fuel gas"</formula1>
    </dataValidation>
    <dataValidation type="list" allowBlank="1" showErrorMessage="1" prompt="Select the method of control." sqref="E37:J39" xr:uid="{63F9AD9E-8534-46B4-8C23-E81996AD104B}">
      <formula1>"Dry-low NOx burners,Limit fuel consumption,Water or steam injection"</formula1>
    </dataValidation>
    <dataValidation allowBlank="1" showErrorMessage="1" prompt="enter proposed higher heating value of the fuel (Btu/lb)" sqref="E34:H34" xr:uid="{B2C6EC46-6BA9-4764-A6AF-ECA05168F596}"/>
    <dataValidation allowBlank="1" showErrorMessage="1" prompt="enter the currently authorized higher heating value of the fuel (Btu/lb)" sqref="E33:H33" xr:uid="{89F65AE4-92B8-4991-A7DA-4D0C4A8C6AC0}"/>
    <dataValidation type="decimal" operator="lessThanOrEqual" allowBlank="1" showErrorMessage="1" prompt="enter operating hours (hr/yr)" sqref="E25:H25" xr:uid="{168F6A86-575F-418C-B9B7-FCD3BA558399}">
      <formula1>8760</formula1>
    </dataValidation>
    <dataValidation type="decimal" operator="lessThanOrEqual" allowBlank="1" showErrorMessage="1" prompt="enter currently authorized operating hours (hr/yr)" sqref="E24:H24" xr:uid="{9C54409F-D23E-4627-ACC8-A2E25AAE5006}">
      <formula1>8760</formula1>
    </dataValidation>
    <dataValidation allowBlank="1" showErrorMessage="1" prompt="enter proposed firing rate (MMBtu/hr)" sqref="E23:H23" xr:uid="{BB81E20A-5278-4F86-A508-AC05B4D86719}"/>
    <dataValidation allowBlank="1" showErrorMessage="1" prompt="enter currently authorized firing rate (MMBtu/hr)" sqref="E22:H22" xr:uid="{9388C7A3-79D5-47C9-8FE9-A44144E97591}"/>
    <dataValidation type="list" allowBlank="1" showErrorMessage="1" prompt="Is this an affected, modified, or new source." sqref="E6:J6" xr:uid="{14B7C842-058C-493B-94E9-FB377BDAF013}">
      <formula1>"Affected,Modified,New"</formula1>
    </dataValidation>
    <dataValidation allowBlank="1" showErrorMessage="1" prompt="Enter the FIN." sqref="E7:J7" xr:uid="{B598BEFF-92D1-4A85-BAED-E4B461A79756}"/>
    <dataValidation allowBlank="1" showErrorMessage="1" prompt="Enter the EPN." sqref="E8:J8" xr:uid="{BF337C49-BF00-4FB8-880B-A5B63BB8796B}"/>
    <dataValidation allowBlank="1" showErrorMessage="1" prompt="Enter the source name." sqref="E9:J9" xr:uid="{8A7CBBB6-8DE4-43E5-8624-B3A8601804AE}"/>
    <dataValidation allowBlank="1" showErrorMessage="1" prompt="Enter UTM easting." sqref="E10:J10" xr:uid="{6CB0E1AC-87E7-4645-9233-576A27A9CA58}"/>
    <dataValidation allowBlank="1" showErrorMessage="1" prompt="Enter UTM northing." sqref="E11:J11" xr:uid="{C783B09D-7D80-49C5-90C2-702999602A5A}"/>
    <dataValidation type="list" allowBlank="1" showErrorMessage="1" prompt="Choose heater or boiler." sqref="E15:H15" xr:uid="{69774F53-0648-4110-A894-FF0163ED3069}">
      <formula1>"heater,boiler"</formula1>
    </dataValidation>
    <dataValidation type="list" allowBlank="1" showErrorMessage="1" prompt="select one" sqref="D44:D49" xr:uid="{D153CF47-96D5-4B10-950F-3B0EB8A460DF}">
      <formula1>"AP-42 Ch. 1.4,Vendor guarantee (must provide)"</formula1>
    </dataValidation>
    <dataValidation allowBlank="1" showErrorMessage="1" prompt="enter emission factor in lb/MMBtu" sqref="B45 B47:C49 B44:C44" xr:uid="{2E4BACAF-6B22-4BC6-B9D1-6FBAA8BF6399}"/>
    <dataValidation type="decimal" operator="lessThanOrEqual" allowBlank="1" showErrorMessage="1" prompt="enter emission factor in lb/MMBtu" sqref="C46" xr:uid="{854E282C-AA50-4C09-A83D-D9EF28855B45}">
      <formula1>0.0370096</formula1>
    </dataValidation>
    <dataValidation allowBlank="1" showErrorMessage="1" prompt="enter currently authorized sulfur content of fuel (ppmw)" sqref="E27:H27" xr:uid="{FAF07769-623B-48E4-8F2C-84C570CA60D3}"/>
    <dataValidation allowBlank="1" showErrorMessage="1" prompt="enter currently authorized H2S content of fuel (vapor weight fraction)" sqref="E29:H29" xr:uid="{9B701119-C337-450B-B47F-DC027CE5596C}"/>
    <dataValidation allowBlank="1" showErrorMessage="1" prompt="enter proposed H2S content of fuel (vapor weight fraction)" sqref="E30:H30" xr:uid="{54099B22-11E7-4AAD-B2F7-4A8988E8C73E}"/>
    <dataValidation type="decimal" operator="lessThanOrEqual" allowBlank="1" showErrorMessage="1" prompt="enter currently authorized H2S destruction efficiency (%)" sqref="E31:H31" xr:uid="{D80F07E0-35AB-4671-8A97-6FC2A45D6BB1}">
      <formula1>1</formula1>
    </dataValidation>
    <dataValidation type="decimal" allowBlank="1" showErrorMessage="1" prompt="enter proposed H2S destruction efficiency (%)" sqref="E32:H32" xr:uid="{45892E3B-1643-47EF-97CA-52D1A7C1A9AF}">
      <formula1>0.98</formula1>
      <formula2>1</formula2>
    </dataValidation>
    <dataValidation operator="lessThanOrEqual" allowBlank="1" showErrorMessage="1" prompt="enter emission factor in lb/MMBtu" sqref="B46" xr:uid="{FB5C18F3-A975-4C0C-AC84-2D7329E4FE87}"/>
    <dataValidation type="decimal" operator="lessThanOrEqual" allowBlank="1" showErrorMessage="1" prompt="enter emission factor in lb/MMBtu" sqref="C45" xr:uid="{9E282F94-43AF-4335-8390-D35FBCF38CA5}">
      <formula1>IF($E$26="natural gas",0.01,IF($E$26="fuel gas",0.015,""))</formula1>
    </dataValidation>
    <dataValidation type="decimal" operator="lessThanOrEqual" allowBlank="1" showErrorMessage="1" prompt="enter proposed sulfur content of fuel (ppmw)" sqref="E28:H28" xr:uid="{FA19C634-BAF7-487A-91A4-799D97DB9BAC}">
      <formula1>IF(I28="22.88 ppmw maximum",22.88,IF(I28="11.44 ppmw maximum",11.44))</formula1>
    </dataValidation>
    <dataValidation type="decimal" operator="greaterThanOrEqual" allowBlank="1" showErrorMessage="1" prompt="Enter distance to property line in feet." sqref="E16:H16" xr:uid="{921A875D-434E-45D2-9465-2A3DEC57A77D}">
      <formula1>25</formula1>
    </dataValidation>
    <dataValidation type="decimal" operator="greaterThanOrEqual" allowBlank="1" showErrorMessage="1" prompt="Enter release height in ft." sqref="E17:H17" xr:uid="{3D252B14-5FA9-4748-8CED-72D071967676}">
      <formula1>IF(E15="heater",20,IF(E15="boiler",30,""))</formula1>
    </dataValidation>
    <dataValidation type="decimal" operator="greaterThanOrEqual" allowBlank="1" showErrorMessage="1" prompt="Enter stack exit diameter in ft." sqref="E18:H18" xr:uid="{E4ABE348-E39B-44F7-A071-61C660CAC80C}">
      <formula1>IF(E15="heater",4,IF(E15="boiler",2.8,""))</formula1>
    </dataValidation>
    <dataValidation type="decimal" operator="greaterThanOrEqual" allowBlank="1" showErrorMessage="1" prompt="Enter stack exit temperature in degrees F." sqref="E19:H19" xr:uid="{088D9500-A138-47F4-96FE-7FFEC412AE65}">
      <formula1>IF(E15="heater",350,IF(E15="boiler",330,""))</formula1>
    </dataValidation>
    <dataValidation type="decimal" operator="greaterThanOrEqual" allowBlank="1" showErrorMessage="1" prompt="Enter stack exit velocity in fps." sqref="E20:H20" xr:uid="{F662B131-55F9-4E13-B250-99F229687A89}">
      <formula1>IF(E15="heater",17,IF(E15="boiler",24,""))</formula1>
    </dataValidation>
    <dataValidation type="list" allowBlank="1" showErrorMessage="1" prompt="select yes or no" sqref="E35:H35" xr:uid="{36675A5C-1CF6-4F7F-BD95-9BA015894240}">
      <formula1>IF($E$23&gt;=100,Y,YN)</formula1>
    </dataValidation>
  </dataValidations>
  <printOptions horizontalCentered="1"/>
  <pageMargins left="0.7" right="0.7" top="0.75" bottom="0.75" header="0.3" footer="0.3"/>
  <pageSetup scale="71" orientation="landscape" r:id="rId1"/>
  <headerFooter>
    <oddHeader>&amp;C&amp;"Calibri,Regular"Marine Loading RAP Application</oddHeader>
    <oddFooter>&amp;L&amp;"Calibri,Regular"Version 1.0&amp;C&amp;"Calibri,Regular"Sheet: &amp;A&amp;R&amp;"Calibri,Regular"Page &amp;P</oddFooter>
  </headerFooter>
  <extLst>
    <ext xmlns:x14="http://schemas.microsoft.com/office/spreadsheetml/2009/9/main" uri="{78C0D931-6437-407d-A8EE-F0AAD7539E65}">
      <x14:conditionalFormattings>
        <x14:conditionalFormatting xmlns:xm="http://schemas.microsoft.com/office/excel/2006/main">
          <x14:cfRule type="expression" priority="2246" id="{8B5B4686-1D03-40DA-A530-ABC1EC14F0F5}">
            <xm:f>AND('PI-1-MarineLoading'!$G$126=0,'PI-1-MarineLoading'!$G$126&lt;&gt;"")</xm:f>
            <x14:dxf>
              <numFmt numFmtId="164" formatCode=";;;"/>
              <fill>
                <patternFill>
                  <bgColor theme="0" tint="-0.499984740745262"/>
                </patternFill>
              </fill>
            </x14:dxf>
          </x14:cfRule>
          <x14:cfRule type="expression" priority="2247" id="{FC0B4DA2-A69F-43F2-B771-3C54C77ED068}">
            <xm:f>'PI-1-MarineLoading'!$G$18="Not applicable"</xm:f>
            <x14:dxf>
              <numFmt numFmtId="164" formatCode=";;;"/>
              <fill>
                <patternFill>
                  <bgColor theme="0" tint="-0.499984740745262"/>
                </patternFill>
              </fill>
            </x14:dxf>
          </x14:cfRule>
          <xm:sqref>A1:J64</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CA25F8-FA54-4797-B953-3A9B5E50C94C}">
  <sheetPr codeName="Sheet34">
    <tabColor rgb="FFFFFFCC"/>
  </sheetPr>
  <dimension ref="A1:K64"/>
  <sheetViews>
    <sheetView showGridLines="0" zoomScaleNormal="100" workbookViewId="0">
      <selection sqref="A1:J1"/>
    </sheetView>
  </sheetViews>
  <sheetFormatPr defaultColWidth="0" defaultRowHeight="14.25" zeroHeight="1" x14ac:dyDescent="0.2"/>
  <cols>
    <col min="1" max="3" width="14.75" customWidth="1"/>
    <col min="4" max="4" width="21.75" customWidth="1"/>
    <col min="5" max="10" width="14.75" customWidth="1"/>
    <col min="11" max="11" width="2.625" customWidth="1"/>
    <col min="12" max="16384" width="9" hidden="1"/>
  </cols>
  <sheetData>
    <row r="1" spans="1:10" ht="8.25" customHeight="1" thickBot="1" x14ac:dyDescent="0.25">
      <c r="A1" s="478" t="s">
        <v>0</v>
      </c>
      <c r="B1" s="478"/>
      <c r="C1" s="478"/>
      <c r="D1" s="478"/>
      <c r="E1" s="478"/>
      <c r="F1" s="478"/>
      <c r="G1" s="478"/>
      <c r="H1" s="478"/>
      <c r="I1" s="478"/>
      <c r="J1" s="478"/>
    </row>
    <row r="2" spans="1:10" ht="18.75" thickBot="1" x14ac:dyDescent="0.25">
      <c r="A2" s="525" t="s">
        <v>10157</v>
      </c>
      <c r="B2" s="525"/>
      <c r="C2" s="525"/>
      <c r="D2" s="525"/>
      <c r="E2" s="525"/>
      <c r="F2" s="525"/>
      <c r="G2" s="525"/>
      <c r="H2" s="525"/>
      <c r="I2" s="525"/>
      <c r="J2" s="525"/>
    </row>
    <row r="3" spans="1:10" ht="90.75" customHeight="1" thickBot="1" x14ac:dyDescent="0.25">
      <c r="A3" s="483" t="s">
        <v>9796</v>
      </c>
      <c r="B3" s="589"/>
      <c r="C3" s="484"/>
      <c r="D3" s="484"/>
      <c r="E3" s="484"/>
      <c r="F3" s="484"/>
      <c r="G3" s="484"/>
      <c r="H3" s="484"/>
      <c r="I3" s="484"/>
      <c r="J3" s="485"/>
    </row>
    <row r="4" spans="1:10" ht="15" thickBot="1" x14ac:dyDescent="0.25">
      <c r="A4" s="478" t="s">
        <v>1</v>
      </c>
      <c r="B4" s="478"/>
      <c r="C4" s="478"/>
      <c r="D4" s="478"/>
      <c r="E4" s="478"/>
      <c r="F4" s="478"/>
      <c r="G4" s="478"/>
      <c r="H4" s="478"/>
      <c r="I4" s="478"/>
      <c r="J4" s="478"/>
    </row>
    <row r="5" spans="1:10" ht="15.75" thickBot="1" x14ac:dyDescent="0.25">
      <c r="A5" s="479" t="s">
        <v>133</v>
      </c>
      <c r="B5" s="479"/>
      <c r="C5" s="479"/>
      <c r="D5" s="479"/>
      <c r="E5" s="479"/>
      <c r="F5" s="479"/>
      <c r="G5" s="479"/>
      <c r="H5" s="479"/>
      <c r="I5" s="479"/>
      <c r="J5" s="479"/>
    </row>
    <row r="6" spans="1:10" x14ac:dyDescent="0.2">
      <c r="A6" s="528" t="s">
        <v>166</v>
      </c>
      <c r="B6" s="668"/>
      <c r="C6" s="529"/>
      <c r="D6" s="529"/>
      <c r="E6" s="579"/>
      <c r="F6" s="579"/>
      <c r="G6" s="579"/>
      <c r="H6" s="579"/>
      <c r="I6" s="579"/>
      <c r="J6" s="580"/>
    </row>
    <row r="7" spans="1:10" x14ac:dyDescent="0.2">
      <c r="A7" s="528" t="s">
        <v>167</v>
      </c>
      <c r="B7" s="668"/>
      <c r="C7" s="529"/>
      <c r="D7" s="529"/>
      <c r="E7" s="579"/>
      <c r="F7" s="579"/>
      <c r="G7" s="579"/>
      <c r="H7" s="579"/>
      <c r="I7" s="579"/>
      <c r="J7" s="580"/>
    </row>
    <row r="8" spans="1:10" x14ac:dyDescent="0.2">
      <c r="A8" s="528" t="s">
        <v>168</v>
      </c>
      <c r="B8" s="668"/>
      <c r="C8" s="529"/>
      <c r="D8" s="529"/>
      <c r="E8" s="579"/>
      <c r="F8" s="579"/>
      <c r="G8" s="579"/>
      <c r="H8" s="579"/>
      <c r="I8" s="579"/>
      <c r="J8" s="580"/>
    </row>
    <row r="9" spans="1:10" x14ac:dyDescent="0.2">
      <c r="A9" s="528" t="s">
        <v>169</v>
      </c>
      <c r="B9" s="668"/>
      <c r="C9" s="529"/>
      <c r="D9" s="529"/>
      <c r="E9" s="579"/>
      <c r="F9" s="579"/>
      <c r="G9" s="579"/>
      <c r="H9" s="579"/>
      <c r="I9" s="579"/>
      <c r="J9" s="580"/>
    </row>
    <row r="10" spans="1:10" x14ac:dyDescent="0.2">
      <c r="A10" s="528" t="s">
        <v>170</v>
      </c>
      <c r="B10" s="668"/>
      <c r="C10" s="529"/>
      <c r="D10" s="529"/>
      <c r="E10" s="579"/>
      <c r="F10" s="579"/>
      <c r="G10" s="579"/>
      <c r="H10" s="579"/>
      <c r="I10" s="579"/>
      <c r="J10" s="580"/>
    </row>
    <row r="11" spans="1:10" ht="15" thickBot="1" x14ac:dyDescent="0.25">
      <c r="A11" s="548" t="s">
        <v>171</v>
      </c>
      <c r="B11" s="671"/>
      <c r="C11" s="549"/>
      <c r="D11" s="549"/>
      <c r="E11" s="577"/>
      <c r="F11" s="577"/>
      <c r="G11" s="577"/>
      <c r="H11" s="577"/>
      <c r="I11" s="577"/>
      <c r="J11" s="578"/>
    </row>
    <row r="12" spans="1:10" ht="15" thickBot="1" x14ac:dyDescent="0.25">
      <c r="A12" s="478" t="s">
        <v>1</v>
      </c>
      <c r="B12" s="478"/>
      <c r="C12" s="478"/>
      <c r="D12" s="478"/>
      <c r="E12" s="478"/>
      <c r="F12" s="478"/>
      <c r="G12" s="478"/>
      <c r="H12" s="478"/>
      <c r="I12" s="478"/>
      <c r="J12" s="478"/>
    </row>
    <row r="13" spans="1:10" ht="15.75" thickBot="1" x14ac:dyDescent="0.25">
      <c r="A13" s="479" t="s">
        <v>9166</v>
      </c>
      <c r="B13" s="479"/>
      <c r="C13" s="479"/>
      <c r="D13" s="479"/>
      <c r="E13" s="479"/>
      <c r="F13" s="479"/>
      <c r="G13" s="479"/>
      <c r="H13" s="479"/>
      <c r="I13" s="479"/>
      <c r="J13" s="479"/>
    </row>
    <row r="14" spans="1:10" ht="32.25" customHeight="1" x14ac:dyDescent="0.2">
      <c r="A14" s="676" t="s">
        <v>9167</v>
      </c>
      <c r="B14" s="763"/>
      <c r="C14" s="677"/>
      <c r="D14" s="677"/>
      <c r="E14" s="878" t="s">
        <v>172</v>
      </c>
      <c r="F14" s="761"/>
      <c r="G14" s="761"/>
      <c r="H14" s="763"/>
      <c r="I14" s="540" t="s">
        <v>8723</v>
      </c>
      <c r="J14" s="541"/>
    </row>
    <row r="15" spans="1:10" ht="14.25" customHeight="1" x14ac:dyDescent="0.2">
      <c r="A15" s="528" t="s">
        <v>9238</v>
      </c>
      <c r="B15" s="668"/>
      <c r="C15" s="529"/>
      <c r="D15" s="529"/>
      <c r="E15" s="551"/>
      <c r="F15" s="552"/>
      <c r="G15" s="552"/>
      <c r="H15" s="759"/>
      <c r="I15" s="738" t="s">
        <v>8685</v>
      </c>
      <c r="J15" s="739"/>
    </row>
    <row r="16" spans="1:10" x14ac:dyDescent="0.2">
      <c r="A16" s="528" t="s">
        <v>176</v>
      </c>
      <c r="B16" s="668"/>
      <c r="C16" s="529"/>
      <c r="D16" s="529"/>
      <c r="E16" s="551"/>
      <c r="F16" s="552"/>
      <c r="G16" s="552"/>
      <c r="H16" s="759"/>
      <c r="I16" s="757" t="s">
        <v>9155</v>
      </c>
      <c r="J16" s="768"/>
    </row>
    <row r="17" spans="1:10" x14ac:dyDescent="0.2">
      <c r="A17" s="744" t="s">
        <v>177</v>
      </c>
      <c r="B17" s="690"/>
      <c r="C17" s="690"/>
      <c r="D17" s="758"/>
      <c r="E17" s="551"/>
      <c r="F17" s="552"/>
      <c r="G17" s="552"/>
      <c r="H17" s="759"/>
      <c r="I17" s="757" t="str">
        <f>IF($E$15="","Choose unit type",IF($E$15="heater","20 ft minimum",IF($E$15="boiler","30 ft minimum","")))</f>
        <v>Choose unit type</v>
      </c>
      <c r="J17" s="768"/>
    </row>
    <row r="18" spans="1:10" x14ac:dyDescent="0.2">
      <c r="A18" s="528" t="s">
        <v>9239</v>
      </c>
      <c r="B18" s="668"/>
      <c r="C18" s="529"/>
      <c r="D18" s="529"/>
      <c r="E18" s="551"/>
      <c r="F18" s="552"/>
      <c r="G18" s="552"/>
      <c r="H18" s="759"/>
      <c r="I18" s="757" t="str">
        <f>IF($E$15="","Choose unit type",IF($E$15="heater","4 ft minimum",IF($E$15="boiler","2.8 ft minimum","")))</f>
        <v>Choose unit type</v>
      </c>
      <c r="J18" s="768"/>
    </row>
    <row r="19" spans="1:10" ht="15" x14ac:dyDescent="0.2">
      <c r="A19" s="528" t="s">
        <v>9240</v>
      </c>
      <c r="B19" s="668"/>
      <c r="C19" s="529"/>
      <c r="D19" s="529"/>
      <c r="E19" s="551"/>
      <c r="F19" s="552"/>
      <c r="G19" s="552"/>
      <c r="H19" s="759"/>
      <c r="I19" s="757" t="str">
        <f>IF(E15="","Choose unit type",IF(E15="heater","350 °F minimum",IF(E15="boiler","330 °F minimum","")))</f>
        <v>Choose unit type</v>
      </c>
      <c r="J19" s="768"/>
    </row>
    <row r="20" spans="1:10" ht="15" thickBot="1" x14ac:dyDescent="0.25">
      <c r="A20" s="548" t="s">
        <v>9241</v>
      </c>
      <c r="B20" s="671"/>
      <c r="C20" s="549"/>
      <c r="D20" s="549"/>
      <c r="E20" s="557"/>
      <c r="F20" s="558"/>
      <c r="G20" s="558"/>
      <c r="H20" s="765"/>
      <c r="I20" s="764" t="str">
        <f>IF($E$15="","Choose unit type",IF($E$15="heater","17 fps minimum",IF($E$15="boiler","24 fps minimum","")))</f>
        <v>Choose unit type</v>
      </c>
      <c r="J20" s="779"/>
    </row>
    <row r="21" spans="1:10" ht="32.25" customHeight="1" x14ac:dyDescent="0.2">
      <c r="A21" s="676" t="s">
        <v>9175</v>
      </c>
      <c r="B21" s="763"/>
      <c r="C21" s="677"/>
      <c r="D21" s="677"/>
      <c r="E21" s="878" t="s">
        <v>172</v>
      </c>
      <c r="F21" s="761"/>
      <c r="G21" s="761"/>
      <c r="H21" s="763"/>
      <c r="I21" s="540" t="s">
        <v>8723</v>
      </c>
      <c r="J21" s="541"/>
    </row>
    <row r="22" spans="1:10" x14ac:dyDescent="0.2">
      <c r="A22" s="831" t="s">
        <v>9940</v>
      </c>
      <c r="B22" s="880"/>
      <c r="C22" s="880"/>
      <c r="D22" s="880"/>
      <c r="E22" s="830"/>
      <c r="F22" s="830"/>
      <c r="G22" s="830"/>
      <c r="H22" s="830"/>
      <c r="I22" s="796" t="s">
        <v>8685</v>
      </c>
      <c r="J22" s="797"/>
    </row>
    <row r="23" spans="1:10" x14ac:dyDescent="0.2">
      <c r="A23" s="666" t="s">
        <v>9939</v>
      </c>
      <c r="B23" s="667"/>
      <c r="C23" s="667"/>
      <c r="D23" s="668"/>
      <c r="E23" s="551"/>
      <c r="F23" s="552"/>
      <c r="G23" s="552"/>
      <c r="H23" s="759"/>
      <c r="I23" s="738" t="s">
        <v>8685</v>
      </c>
      <c r="J23" s="739"/>
    </row>
    <row r="24" spans="1:10" x14ac:dyDescent="0.2">
      <c r="A24" s="666" t="s">
        <v>9928</v>
      </c>
      <c r="B24" s="667"/>
      <c r="C24" s="667"/>
      <c r="D24" s="668"/>
      <c r="E24" s="551"/>
      <c r="F24" s="552"/>
      <c r="G24" s="552"/>
      <c r="H24" s="759"/>
      <c r="I24" s="738" t="s">
        <v>8685</v>
      </c>
      <c r="J24" s="739"/>
    </row>
    <row r="25" spans="1:10" x14ac:dyDescent="0.2">
      <c r="A25" s="666" t="s">
        <v>9929</v>
      </c>
      <c r="B25" s="667"/>
      <c r="C25" s="667"/>
      <c r="D25" s="668"/>
      <c r="E25" s="551"/>
      <c r="F25" s="552"/>
      <c r="G25" s="552"/>
      <c r="H25" s="759"/>
      <c r="I25" s="466" t="s">
        <v>9941</v>
      </c>
      <c r="J25" s="467"/>
    </row>
    <row r="26" spans="1:10" x14ac:dyDescent="0.2">
      <c r="A26" s="744" t="s">
        <v>10228</v>
      </c>
      <c r="B26" s="667"/>
      <c r="C26" s="667"/>
      <c r="D26" s="668"/>
      <c r="E26" s="551"/>
      <c r="F26" s="552"/>
      <c r="G26" s="552"/>
      <c r="H26" s="759"/>
      <c r="I26" s="738" t="s">
        <v>8685</v>
      </c>
      <c r="J26" s="739"/>
    </row>
    <row r="27" spans="1:10" x14ac:dyDescent="0.2">
      <c r="A27" s="666" t="s">
        <v>9944</v>
      </c>
      <c r="B27" s="667"/>
      <c r="C27" s="667"/>
      <c r="D27" s="668"/>
      <c r="E27" s="551"/>
      <c r="F27" s="552"/>
      <c r="G27" s="552"/>
      <c r="H27" s="759"/>
      <c r="I27" s="703" t="s">
        <v>8685</v>
      </c>
      <c r="J27" s="877"/>
    </row>
    <row r="28" spans="1:10" x14ac:dyDescent="0.2">
      <c r="A28" s="666" t="s">
        <v>9945</v>
      </c>
      <c r="B28" s="667"/>
      <c r="C28" s="667"/>
      <c r="D28" s="668"/>
      <c r="E28" s="551"/>
      <c r="F28" s="552"/>
      <c r="G28" s="552"/>
      <c r="H28" s="759"/>
      <c r="I28" s="689" t="str">
        <f t="shared" ref="I28" si="0">IF($E$26="NATURAL GAS","11.44 ppmw maximum",IF($E$26="FUEL GAS","22.88 ppmw maximum",""))</f>
        <v/>
      </c>
      <c r="J28" s="691"/>
    </row>
    <row r="29" spans="1:10" x14ac:dyDescent="0.2">
      <c r="A29" s="666" t="s">
        <v>10431</v>
      </c>
      <c r="B29" s="667"/>
      <c r="C29" s="667"/>
      <c r="D29" s="668"/>
      <c r="E29" s="551"/>
      <c r="F29" s="552"/>
      <c r="G29" s="552"/>
      <c r="H29" s="759"/>
      <c r="I29" s="738" t="s">
        <v>8685</v>
      </c>
      <c r="J29" s="739"/>
    </row>
    <row r="30" spans="1:10" x14ac:dyDescent="0.2">
      <c r="A30" s="666" t="s">
        <v>10432</v>
      </c>
      <c r="B30" s="667"/>
      <c r="C30" s="667"/>
      <c r="D30" s="668"/>
      <c r="E30" s="551"/>
      <c r="F30" s="552"/>
      <c r="G30" s="552"/>
      <c r="H30" s="759"/>
      <c r="I30" s="738" t="s">
        <v>8685</v>
      </c>
      <c r="J30" s="739"/>
    </row>
    <row r="31" spans="1:10" x14ac:dyDescent="0.2">
      <c r="A31" s="666" t="s">
        <v>10429</v>
      </c>
      <c r="B31" s="667"/>
      <c r="C31" s="667"/>
      <c r="D31" s="668"/>
      <c r="E31" s="798"/>
      <c r="F31" s="879"/>
      <c r="G31" s="879"/>
      <c r="H31" s="799"/>
      <c r="I31" s="738" t="s">
        <v>8685</v>
      </c>
      <c r="J31" s="739"/>
    </row>
    <row r="32" spans="1:10" x14ac:dyDescent="0.2">
      <c r="A32" s="666" t="s">
        <v>10430</v>
      </c>
      <c r="B32" s="667"/>
      <c r="C32" s="667"/>
      <c r="D32" s="668"/>
      <c r="E32" s="798"/>
      <c r="F32" s="879"/>
      <c r="G32" s="879"/>
      <c r="H32" s="799"/>
      <c r="I32" s="689" t="s">
        <v>9260</v>
      </c>
      <c r="J32" s="691"/>
    </row>
    <row r="33" spans="1:10" x14ac:dyDescent="0.2">
      <c r="A33" s="744" t="s">
        <v>9948</v>
      </c>
      <c r="B33" s="690"/>
      <c r="C33" s="690"/>
      <c r="D33" s="758"/>
      <c r="E33" s="551"/>
      <c r="F33" s="552"/>
      <c r="G33" s="552"/>
      <c r="H33" s="759"/>
      <c r="I33" s="738" t="s">
        <v>8685</v>
      </c>
      <c r="J33" s="739"/>
    </row>
    <row r="34" spans="1:10" x14ac:dyDescent="0.2">
      <c r="A34" s="666" t="s">
        <v>9947</v>
      </c>
      <c r="B34" s="667"/>
      <c r="C34" s="667"/>
      <c r="D34" s="668"/>
      <c r="E34" s="551"/>
      <c r="F34" s="552"/>
      <c r="G34" s="552"/>
      <c r="H34" s="759"/>
      <c r="I34" s="738" t="s">
        <v>8685</v>
      </c>
      <c r="J34" s="739"/>
    </row>
    <row r="35" spans="1:10" ht="15" thickBot="1" x14ac:dyDescent="0.25">
      <c r="A35" s="669" t="s">
        <v>10483</v>
      </c>
      <c r="B35" s="670"/>
      <c r="C35" s="670"/>
      <c r="D35" s="671"/>
      <c r="E35" s="557"/>
      <c r="F35" s="558"/>
      <c r="G35" s="558"/>
      <c r="H35" s="765"/>
      <c r="I35" s="764" t="str">
        <f>IF(E23="","enter firing rate",IF(E23&lt;100,"CEMS not required",IF(E23&gt;=100,"CEMS required")))</f>
        <v>enter firing rate</v>
      </c>
      <c r="J35" s="779"/>
    </row>
    <row r="36" spans="1:10" ht="15" x14ac:dyDescent="0.2">
      <c r="A36" s="760" t="s">
        <v>10229</v>
      </c>
      <c r="B36" s="761"/>
      <c r="C36" s="761"/>
      <c r="D36" s="761"/>
      <c r="E36" s="761"/>
      <c r="F36" s="761"/>
      <c r="G36" s="761"/>
      <c r="H36" s="761"/>
      <c r="I36" s="761"/>
      <c r="J36" s="762"/>
    </row>
    <row r="37" spans="1:10" ht="43.5" customHeight="1" x14ac:dyDescent="0.2">
      <c r="A37" s="530" t="s">
        <v>10433</v>
      </c>
      <c r="B37" s="758"/>
      <c r="C37" s="531"/>
      <c r="D37" s="531"/>
      <c r="E37" s="551"/>
      <c r="F37" s="552"/>
      <c r="G37" s="552"/>
      <c r="H37" s="552"/>
      <c r="I37" s="552"/>
      <c r="J37" s="553"/>
    </row>
    <row r="38" spans="1:10" ht="14.25" customHeight="1" x14ac:dyDescent="0.2">
      <c r="A38" s="744" t="s">
        <v>9797</v>
      </c>
      <c r="B38" s="690"/>
      <c r="C38" s="690"/>
      <c r="D38" s="758"/>
      <c r="E38" s="551"/>
      <c r="F38" s="552"/>
      <c r="G38" s="552"/>
      <c r="H38" s="552"/>
      <c r="I38" s="552"/>
      <c r="J38" s="553"/>
    </row>
    <row r="39" spans="1:10" ht="14.25" customHeight="1" thickBot="1" x14ac:dyDescent="0.25">
      <c r="A39" s="587" t="s">
        <v>9527</v>
      </c>
      <c r="B39" s="588"/>
      <c r="C39" s="588"/>
      <c r="D39" s="589"/>
      <c r="E39" s="557"/>
      <c r="F39" s="558"/>
      <c r="G39" s="558"/>
      <c r="H39" s="558"/>
      <c r="I39" s="558"/>
      <c r="J39" s="559"/>
    </row>
    <row r="40" spans="1:10" ht="15" thickBot="1" x14ac:dyDescent="0.25">
      <c r="A40" s="478" t="s">
        <v>1</v>
      </c>
      <c r="B40" s="478"/>
      <c r="C40" s="478"/>
      <c r="D40" s="478"/>
      <c r="E40" s="478"/>
      <c r="F40" s="478"/>
      <c r="G40" s="478"/>
      <c r="H40" s="478"/>
      <c r="I40" s="478"/>
      <c r="J40" s="478"/>
    </row>
    <row r="41" spans="1:10" ht="15.75" thickBot="1" x14ac:dyDescent="0.25">
      <c r="A41" s="479" t="s">
        <v>279</v>
      </c>
      <c r="B41" s="479"/>
      <c r="C41" s="479"/>
      <c r="D41" s="479"/>
      <c r="E41" s="479"/>
      <c r="F41" s="479"/>
      <c r="G41" s="479"/>
      <c r="H41" s="479"/>
      <c r="I41" s="479"/>
      <c r="J41" s="479"/>
    </row>
    <row r="42" spans="1:10" ht="15" x14ac:dyDescent="0.2">
      <c r="A42" s="867" t="s">
        <v>9942</v>
      </c>
      <c r="B42" s="854"/>
      <c r="C42" s="854"/>
      <c r="D42" s="854"/>
      <c r="E42" s="854"/>
      <c r="F42" s="854"/>
      <c r="G42" s="854"/>
      <c r="H42" s="854"/>
      <c r="I42" s="854"/>
      <c r="J42" s="794"/>
    </row>
    <row r="43" spans="1:10" ht="121.5" customHeight="1" x14ac:dyDescent="0.2">
      <c r="A43" s="170" t="s">
        <v>10872</v>
      </c>
      <c r="B43" s="190" t="str">
        <f>IF($E$6="modified","Currently authorized emission factor (lb/MMBtu)","Currently authorized emission factor (lb/MMBtu) - enter zero for new units")</f>
        <v>Currently authorized emission factor (lb/MMBtu) - enter zero for new units</v>
      </c>
      <c r="C43" s="171" t="s">
        <v>9949</v>
      </c>
      <c r="D43" s="79" t="s">
        <v>10873</v>
      </c>
      <c r="E43" s="171" t="s">
        <v>9936</v>
      </c>
      <c r="F43" s="171" t="s">
        <v>9935</v>
      </c>
      <c r="G43" s="171" t="s">
        <v>9937</v>
      </c>
      <c r="H43" s="171" t="s">
        <v>9938</v>
      </c>
      <c r="I43" s="171" t="str">
        <f>IF($E$6="modified","Proposed increase in hourly emissions (lb/hr)","Proposed hourly emissions (lb/hr)")</f>
        <v>Proposed hourly emissions (lb/hr)</v>
      </c>
      <c r="J43" s="172" t="str">
        <f>IF($E$6="modified","Proposed increase in annual emissions (tpy)","Proposed annual emissions (tpy)")</f>
        <v>Proposed annual emissions (tpy)</v>
      </c>
    </row>
    <row r="44" spans="1:10" x14ac:dyDescent="0.2">
      <c r="A44" s="9" t="s">
        <v>229</v>
      </c>
      <c r="B44" s="186"/>
      <c r="C44" s="188"/>
      <c r="D44" s="189"/>
      <c r="E44" s="191">
        <f t="shared" ref="E44:E49" si="1">IF($E$6="new",0,IF($B44="",0,$B44*$E$22))</f>
        <v>0</v>
      </c>
      <c r="F44" s="191">
        <f t="shared" ref="F44:F49" si="2">IF($E$6="new",0,$E44*($E$24/2000))</f>
        <v>0</v>
      </c>
      <c r="G44" s="191">
        <f>IF($C44="",0,$C44*$E$23)</f>
        <v>0</v>
      </c>
      <c r="H44" s="191">
        <f>$G44*($E$25/2000)</f>
        <v>0</v>
      </c>
      <c r="I44" s="192">
        <f>IF(G44&lt;E44,0,G44-E44)</f>
        <v>0</v>
      </c>
      <c r="J44" s="192">
        <f>IF(H44&lt;F44,0,H44-F44)</f>
        <v>0</v>
      </c>
    </row>
    <row r="45" spans="1:10" x14ac:dyDescent="0.2">
      <c r="A45" s="9" t="s">
        <v>261</v>
      </c>
      <c r="B45" s="186"/>
      <c r="C45" s="188"/>
      <c r="D45" s="189"/>
      <c r="E45" s="191">
        <f t="shared" si="1"/>
        <v>0</v>
      </c>
      <c r="F45" s="191">
        <f t="shared" si="2"/>
        <v>0</v>
      </c>
      <c r="G45" s="191">
        <f t="shared" ref="G45:G49" si="3">IF($C45="",0,$C45*$E$23)</f>
        <v>0</v>
      </c>
      <c r="H45" s="191">
        <f t="shared" ref="H45:H49" si="4">$G45*($E$25/2000)</f>
        <v>0</v>
      </c>
      <c r="I45" s="192">
        <f t="shared" ref="I45:I50" si="5">IF(G45&lt;E45,0,G45-E45)</f>
        <v>0</v>
      </c>
      <c r="J45" s="193">
        <f t="shared" ref="J45:J51" si="6">IF(H45&lt;F45,0,H45-F45)</f>
        <v>0</v>
      </c>
    </row>
    <row r="46" spans="1:10" x14ac:dyDescent="0.2">
      <c r="A46" s="9" t="s">
        <v>262</v>
      </c>
      <c r="B46" s="186"/>
      <c r="C46" s="188"/>
      <c r="D46" s="189"/>
      <c r="E46" s="191">
        <f t="shared" si="1"/>
        <v>0</v>
      </c>
      <c r="F46" s="191">
        <f t="shared" si="2"/>
        <v>0</v>
      </c>
      <c r="G46" s="191">
        <f t="shared" si="3"/>
        <v>0</v>
      </c>
      <c r="H46" s="191">
        <f t="shared" si="4"/>
        <v>0</v>
      </c>
      <c r="I46" s="192">
        <f t="shared" si="5"/>
        <v>0</v>
      </c>
      <c r="J46" s="193">
        <f t="shared" si="6"/>
        <v>0</v>
      </c>
    </row>
    <row r="47" spans="1:10" x14ac:dyDescent="0.2">
      <c r="A47" s="9" t="s">
        <v>263</v>
      </c>
      <c r="B47" s="186"/>
      <c r="C47" s="188"/>
      <c r="D47" s="189"/>
      <c r="E47" s="191">
        <f t="shared" si="1"/>
        <v>0</v>
      </c>
      <c r="F47" s="191">
        <f t="shared" si="2"/>
        <v>0</v>
      </c>
      <c r="G47" s="191">
        <f t="shared" si="3"/>
        <v>0</v>
      </c>
      <c r="H47" s="191">
        <f t="shared" si="4"/>
        <v>0</v>
      </c>
      <c r="I47" s="192">
        <f t="shared" si="5"/>
        <v>0</v>
      </c>
      <c r="J47" s="193">
        <f t="shared" si="6"/>
        <v>0</v>
      </c>
    </row>
    <row r="48" spans="1:10" x14ac:dyDescent="0.2">
      <c r="A48" s="9" t="s">
        <v>264</v>
      </c>
      <c r="B48" s="186"/>
      <c r="C48" s="188"/>
      <c r="D48" s="189"/>
      <c r="E48" s="191">
        <f t="shared" si="1"/>
        <v>0</v>
      </c>
      <c r="F48" s="191">
        <f t="shared" si="2"/>
        <v>0</v>
      </c>
      <c r="G48" s="191">
        <f t="shared" si="3"/>
        <v>0</v>
      </c>
      <c r="H48" s="191">
        <f t="shared" si="4"/>
        <v>0</v>
      </c>
      <c r="I48" s="192">
        <f t="shared" si="5"/>
        <v>0</v>
      </c>
      <c r="J48" s="193">
        <f t="shared" si="6"/>
        <v>0</v>
      </c>
    </row>
    <row r="49" spans="1:10" x14ac:dyDescent="0.2">
      <c r="A49" s="9" t="s">
        <v>265</v>
      </c>
      <c r="B49" s="186"/>
      <c r="C49" s="188"/>
      <c r="D49" s="189"/>
      <c r="E49" s="191">
        <f t="shared" si="1"/>
        <v>0</v>
      </c>
      <c r="F49" s="191">
        <f t="shared" si="2"/>
        <v>0</v>
      </c>
      <c r="G49" s="191">
        <f t="shared" si="3"/>
        <v>0</v>
      </c>
      <c r="H49" s="191">
        <f t="shared" si="4"/>
        <v>0</v>
      </c>
      <c r="I49" s="192">
        <f t="shared" si="5"/>
        <v>0</v>
      </c>
      <c r="J49" s="193">
        <f t="shared" si="6"/>
        <v>0</v>
      </c>
    </row>
    <row r="50" spans="1:10" x14ac:dyDescent="0.2">
      <c r="A50" s="9" t="s">
        <v>266</v>
      </c>
      <c r="B50" s="77" t="s">
        <v>9363</v>
      </c>
      <c r="C50" s="77" t="s">
        <v>9363</v>
      </c>
      <c r="D50" s="77" t="s">
        <v>9363</v>
      </c>
      <c r="E50" s="191">
        <f>IF($E$6="new",0,IF($E$6="NEW",0,IF(OR($E$22="",$E$27="",$E$33=""),0,(($E$27*64.06*$E$22)/(32*$E$33))+IF($E$26&lt;&gt;"fuel gas",0,($E$29*(1-$E$31)*(64.06/34.08))))))</f>
        <v>0</v>
      </c>
      <c r="F50" s="191">
        <f>IF($E$6="new",0,IF(OR($E$6="NEW",$E$22="",$E$24="",$E$27="",$E$33=""),0,$E$50*($E$24/2000)))</f>
        <v>0</v>
      </c>
      <c r="G50" s="191">
        <f>IF(OR($E$23="",$E$28="",$E$34=""),0,(($E$28*64.06*$E$23)/(32*$E$34))+IF($E$26&lt;&gt;"fuel gas",0,IF(ISTEXT($E$30),0,($E$30*(1-$E$32)*(64.06/34.08)))))</f>
        <v>0</v>
      </c>
      <c r="H50" s="191">
        <f>IF(OR($E$23="",$E$25="",$E$28="",$E$34=""),0,$G$50*($E$25/2000))</f>
        <v>0</v>
      </c>
      <c r="I50" s="192">
        <f t="shared" si="5"/>
        <v>0</v>
      </c>
      <c r="J50" s="193">
        <f t="shared" si="6"/>
        <v>0</v>
      </c>
    </row>
    <row r="51" spans="1:10" ht="15" thickBot="1" x14ac:dyDescent="0.25">
      <c r="A51" s="232" t="s">
        <v>267</v>
      </c>
      <c r="B51" s="77" t="s">
        <v>9363</v>
      </c>
      <c r="C51" s="77" t="s">
        <v>9363</v>
      </c>
      <c r="D51" s="77" t="s">
        <v>9363</v>
      </c>
      <c r="E51" s="228">
        <f>IF($E$6="new",0,IF(OR($E$22="",$E$33="",$E$31="",$E$29=""),0,($E$22*1000000*$E$29*(1-$E$31))/$E$33))</f>
        <v>0</v>
      </c>
      <c r="F51" s="228">
        <f>IF($E$6="new",0,IF(OR($E$22="",$E$33="",$E$31="",$E$29="",$E$24=""),0,$E$51*($E$24/2000)))</f>
        <v>0</v>
      </c>
      <c r="G51" s="228">
        <f>IF(ISTEXT($E$30),0,IF(OR($E$23="",$E$34="",$E$32="",$E$30=""),0,($E$23*1000000*$E$30*(1-$E$32))/$E$34))</f>
        <v>0</v>
      </c>
      <c r="H51" s="228">
        <f>IF(ISTEXT($E$30),0,IF(OR($E$23="",$E$34="",$E$32="",$E$30="",$E$25=""),0,$G$51*($E$25/2000)))</f>
        <v>0</v>
      </c>
      <c r="I51" s="229">
        <f>IF(G51&lt;E51,0,G51-E51)</f>
        <v>0</v>
      </c>
      <c r="J51" s="233">
        <f t="shared" si="6"/>
        <v>0</v>
      </c>
    </row>
    <row r="52" spans="1:10" ht="15" x14ac:dyDescent="0.2">
      <c r="A52" s="539" t="s">
        <v>9943</v>
      </c>
      <c r="B52" s="540"/>
      <c r="C52" s="540"/>
      <c r="D52" s="540"/>
      <c r="E52" s="540"/>
      <c r="F52" s="540"/>
      <c r="G52" s="540"/>
      <c r="H52" s="540"/>
      <c r="I52" s="540"/>
      <c r="J52" s="541"/>
    </row>
    <row r="53" spans="1:10" ht="15" x14ac:dyDescent="0.2">
      <c r="A53" s="874" t="s">
        <v>8751</v>
      </c>
      <c r="B53" s="875"/>
      <c r="C53" s="875"/>
      <c r="D53" s="876"/>
      <c r="E53" s="79" t="s">
        <v>9936</v>
      </c>
      <c r="F53" s="79" t="s">
        <v>9935</v>
      </c>
      <c r="G53" s="79" t="s">
        <v>9937</v>
      </c>
      <c r="H53" s="79" t="s">
        <v>9938</v>
      </c>
      <c r="I53" s="79" t="str">
        <f>IF($E$6="modified","Proposed increase in hourly emissions (lb/hr)","Proposed hourly emissions (lb/hr)")</f>
        <v>Proposed hourly emissions (lb/hr)</v>
      </c>
      <c r="J53" s="80" t="str">
        <f>IF($E$6="modified","Proposed increase in annual emissions (tpy)","Proposed annual emissions (tpy)")</f>
        <v>Proposed annual emissions (tpy)</v>
      </c>
    </row>
    <row r="54" spans="1:10" x14ac:dyDescent="0.2">
      <c r="A54" s="871">
        <f>Products!E8</f>
        <v>0</v>
      </c>
      <c r="B54" s="872"/>
      <c r="C54" s="872"/>
      <c r="D54" s="873"/>
      <c r="E54" s="16">
        <f>IF($E$6="new",0,IFERROR(VLOOKUP($A54,Products!$E$8:$H$17,4,FALSE)*$E$44,0))</f>
        <v>0</v>
      </c>
      <c r="F54" s="16">
        <f>IF($E$6="new",0,IFERROR(VLOOKUP($A54,Products!$E$8:$H$17,4,FALSE)*$F$44,0))</f>
        <v>0</v>
      </c>
      <c r="G54" s="16">
        <f>IFERROR(VLOOKUP($A54,Products!$E$8:$H$17,4,FALSE)*$G$44,0)</f>
        <v>0</v>
      </c>
      <c r="H54" s="16">
        <f>IFERROR(VLOOKUP($A54,Products!$E$8:$H$17,4,FALSE)*$H$44,0)</f>
        <v>0</v>
      </c>
      <c r="I54" s="16">
        <f>IFERROR(IF(G54&lt;E54,0,G54-E54),0)</f>
        <v>0</v>
      </c>
      <c r="J54" s="29">
        <f>IFERROR(IF(H54&lt;F54,0,H54-F54),0)</f>
        <v>0</v>
      </c>
    </row>
    <row r="55" spans="1:10" x14ac:dyDescent="0.2">
      <c r="A55" s="871">
        <f>Products!E9</f>
        <v>0</v>
      </c>
      <c r="B55" s="872"/>
      <c r="C55" s="872"/>
      <c r="D55" s="873"/>
      <c r="E55" s="16">
        <f>IF($E$6="new",0,IFERROR(VLOOKUP($A55,Products!$E$8:$H$17,4,FALSE)*$E$44,0))</f>
        <v>0</v>
      </c>
      <c r="F55" s="16">
        <f>IF($E$6="new",0,IFERROR(VLOOKUP($A55,Products!$E$8:$H$17,4,FALSE)*$F$44,0))</f>
        <v>0</v>
      </c>
      <c r="G55" s="16">
        <f>IFERROR(VLOOKUP($A55,Products!$E$8:$H$17,4,FALSE)*$G$44,0)</f>
        <v>0</v>
      </c>
      <c r="H55" s="16">
        <f>IFERROR(VLOOKUP($A55,Products!$E$8:$H$17,4,FALSE)*$H$44,0)</f>
        <v>0</v>
      </c>
      <c r="I55" s="16">
        <f t="shared" ref="I55:J63" si="7">IFERROR(IF(G55&lt;E55,0,G55-E55),0)</f>
        <v>0</v>
      </c>
      <c r="J55" s="29">
        <f t="shared" si="7"/>
        <v>0</v>
      </c>
    </row>
    <row r="56" spans="1:10" x14ac:dyDescent="0.2">
      <c r="A56" s="871">
        <f>Products!E10</f>
        <v>0</v>
      </c>
      <c r="B56" s="872"/>
      <c r="C56" s="872"/>
      <c r="D56" s="873"/>
      <c r="E56" s="195" t="s">
        <v>10871</v>
      </c>
      <c r="F56" s="16">
        <f>IF($E$6="new",0,IFERROR(VLOOKUP($A56,Products!$E$8:$H$17,4,FALSE)*$F$44,0))</f>
        <v>0</v>
      </c>
      <c r="G56" s="16">
        <f>IFERROR(VLOOKUP($A56,Products!$E$8:$H$17,4,FALSE)*$G$44,0)</f>
        <v>0</v>
      </c>
      <c r="H56" s="16">
        <f>IFERROR(VLOOKUP($A56,Products!$E$8:$H$17,4,FALSE)*$H$44,0)</f>
        <v>0</v>
      </c>
      <c r="I56" s="16">
        <f t="shared" si="7"/>
        <v>0</v>
      </c>
      <c r="J56" s="29">
        <f t="shared" si="7"/>
        <v>0</v>
      </c>
    </row>
    <row r="57" spans="1:10" x14ac:dyDescent="0.2">
      <c r="A57" s="871">
        <f>Products!E11</f>
        <v>0</v>
      </c>
      <c r="B57" s="872"/>
      <c r="C57" s="872"/>
      <c r="D57" s="873"/>
      <c r="E57" s="16">
        <f>IFERROR(VLOOKUP($A57,Products!$E$8:$H$17,4,FALSE)*$E$44,0)</f>
        <v>0</v>
      </c>
      <c r="F57" s="16">
        <f>IF($E$6="new",0,IFERROR(VLOOKUP($A57,Products!$E$8:$H$17,4,FALSE)*$F$44,0))</f>
        <v>0</v>
      </c>
      <c r="G57" s="16">
        <f>IFERROR(VLOOKUP($A57,Products!$E$8:$H$17,4,FALSE)*$G$44,0)</f>
        <v>0</v>
      </c>
      <c r="H57" s="16">
        <f>IFERROR(VLOOKUP($A57,Products!$E$8:$H$17,4,FALSE)*$H$44,0)</f>
        <v>0</v>
      </c>
      <c r="I57" s="16">
        <f t="shared" si="7"/>
        <v>0</v>
      </c>
      <c r="J57" s="29">
        <f t="shared" si="7"/>
        <v>0</v>
      </c>
    </row>
    <row r="58" spans="1:10" x14ac:dyDescent="0.2">
      <c r="A58" s="871">
        <f>Products!E12</f>
        <v>0</v>
      </c>
      <c r="B58" s="872"/>
      <c r="C58" s="872"/>
      <c r="D58" s="873"/>
      <c r="E58" s="16">
        <f>IF($E$6="new",0,IFERROR(VLOOKUP($A58,Products!$E$8:$H$17,4,FALSE)*$E$44,0))</f>
        <v>0</v>
      </c>
      <c r="F58" s="16">
        <f>IF($E$6="new",0,IFERROR(VLOOKUP($A58,Products!$E$8:$H$17,4,FALSE)*$F$44,0))</f>
        <v>0</v>
      </c>
      <c r="G58" s="16">
        <f>IFERROR(VLOOKUP($A58,Products!$E$8:$H$17,4,FALSE)*$G$44,0)</f>
        <v>0</v>
      </c>
      <c r="H58" s="16">
        <f>IFERROR(VLOOKUP($A58,Products!$E$8:$H$17,4,FALSE)*$H$44,0)</f>
        <v>0</v>
      </c>
      <c r="I58" s="16">
        <f t="shared" si="7"/>
        <v>0</v>
      </c>
      <c r="J58" s="29">
        <f t="shared" si="7"/>
        <v>0</v>
      </c>
    </row>
    <row r="59" spans="1:10" x14ac:dyDescent="0.2">
      <c r="A59" s="871">
        <f>Products!E13</f>
        <v>0</v>
      </c>
      <c r="B59" s="872"/>
      <c r="C59" s="872"/>
      <c r="D59" s="873"/>
      <c r="E59" s="16">
        <f>IF($E$6="new",0,IFERROR(VLOOKUP($A59,Products!$E$8:$H$17,4,FALSE)*$E$44,0))</f>
        <v>0</v>
      </c>
      <c r="F59" s="16">
        <f>IF($E$6="new",0,IFERROR(VLOOKUP($A59,Products!$E$8:$H$17,4,FALSE)*$F$44,0))</f>
        <v>0</v>
      </c>
      <c r="G59" s="16">
        <f>IFERROR(VLOOKUP($A59,Products!$E$8:$H$17,4,FALSE)*$G$44,0)</f>
        <v>0</v>
      </c>
      <c r="H59" s="16">
        <f>IFERROR(VLOOKUP($A59,Products!$E$8:$H$17,4,FALSE)*$H$44,0)</f>
        <v>0</v>
      </c>
      <c r="I59" s="16">
        <f t="shared" si="7"/>
        <v>0</v>
      </c>
      <c r="J59" s="29">
        <f t="shared" si="7"/>
        <v>0</v>
      </c>
    </row>
    <row r="60" spans="1:10" x14ac:dyDescent="0.2">
      <c r="A60" s="871">
        <f>Products!E14</f>
        <v>0</v>
      </c>
      <c r="B60" s="872"/>
      <c r="C60" s="872"/>
      <c r="D60" s="873"/>
      <c r="E60" s="16">
        <f>IF($E$6="new",0,IFERROR(VLOOKUP($A60,Products!$E$8:$H$17,4,FALSE)*$E$44,0))</f>
        <v>0</v>
      </c>
      <c r="F60" s="16">
        <f>IF($E$6="new",0,IFERROR(VLOOKUP($A60,Products!$E$8:$H$17,4,FALSE)*$F$44,0))</f>
        <v>0</v>
      </c>
      <c r="G60" s="16">
        <f>IFERROR(VLOOKUP($A60,Products!$E$8:$H$17,4,FALSE)*$G$44,0)</f>
        <v>0</v>
      </c>
      <c r="H60" s="16">
        <f>IFERROR(VLOOKUP($A60,Products!$E$8:$H$17,4,FALSE)*$H$44,0)</f>
        <v>0</v>
      </c>
      <c r="I60" s="16">
        <f t="shared" si="7"/>
        <v>0</v>
      </c>
      <c r="J60" s="29">
        <f t="shared" si="7"/>
        <v>0</v>
      </c>
    </row>
    <row r="61" spans="1:10" x14ac:dyDescent="0.2">
      <c r="A61" s="871">
        <f>Products!E15</f>
        <v>0</v>
      </c>
      <c r="B61" s="872"/>
      <c r="C61" s="872"/>
      <c r="D61" s="873"/>
      <c r="E61" s="16">
        <f>IF($E$6="new",0,IFERROR(VLOOKUP($A61,Products!$E$8:$H$17,4,FALSE)*$E$44,0))</f>
        <v>0</v>
      </c>
      <c r="F61" s="16">
        <f>IF($E$6="new",0,IFERROR(VLOOKUP($A61,Products!$E$8:$H$17,4,FALSE)*$F$44,0))</f>
        <v>0</v>
      </c>
      <c r="G61" s="16">
        <f>IFERROR(VLOOKUP($A61,Products!$E$8:$H$17,4,FALSE)*$G$44,0)</f>
        <v>0</v>
      </c>
      <c r="H61" s="16">
        <f>IFERROR(VLOOKUP($A61,Products!$E$8:$H$17,4,FALSE)*$H$44,0)</f>
        <v>0</v>
      </c>
      <c r="I61" s="16">
        <f t="shared" si="7"/>
        <v>0</v>
      </c>
      <c r="J61" s="29">
        <f t="shared" si="7"/>
        <v>0</v>
      </c>
    </row>
    <row r="62" spans="1:10" x14ac:dyDescent="0.2">
      <c r="A62" s="871">
        <f>Products!E16</f>
        <v>0</v>
      </c>
      <c r="B62" s="872"/>
      <c r="C62" s="872"/>
      <c r="D62" s="873"/>
      <c r="E62" s="16">
        <f>IF($E$6="new",0,IFERROR(VLOOKUP($A62,Products!$E$8:$H$17,4,FALSE)*$E$44,0))</f>
        <v>0</v>
      </c>
      <c r="F62" s="16">
        <f>IF($E$6="new",0,IFERROR(VLOOKUP($A62,Products!$E$8:$H$17,4,FALSE)*$F$44,0))</f>
        <v>0</v>
      </c>
      <c r="G62" s="16">
        <f>IFERROR(VLOOKUP($A62,Products!$E$8:$H$17,4,FALSE)*$G$44,0)</f>
        <v>0</v>
      </c>
      <c r="H62" s="16">
        <f>IFERROR(VLOOKUP($A62,Products!$E$8:$H$17,4,FALSE)*$H$44,0)</f>
        <v>0</v>
      </c>
      <c r="I62" s="16">
        <f t="shared" si="7"/>
        <v>0</v>
      </c>
      <c r="J62" s="29">
        <f t="shared" si="7"/>
        <v>0</v>
      </c>
    </row>
    <row r="63" spans="1:10" ht="15" thickBot="1" x14ac:dyDescent="0.25">
      <c r="A63" s="868">
        <f>Products!E17</f>
        <v>0</v>
      </c>
      <c r="B63" s="869"/>
      <c r="C63" s="869"/>
      <c r="D63" s="870"/>
      <c r="E63" s="28">
        <f>IF($E$6="new",0,IFERROR(VLOOKUP($A63,Products!$E$8:$H$17,4,FALSE)*$E$44,0))</f>
        <v>0</v>
      </c>
      <c r="F63" s="28">
        <f>IF($E$6="new",0,IFERROR(VLOOKUP($A63,Products!$E$8:$H$17,4,FALSE)*$F$44,0))</f>
        <v>0</v>
      </c>
      <c r="G63" s="28">
        <f>IFERROR(VLOOKUP($A63,Products!$E$8:$H$17,4,FALSE)*$G$44,0)</f>
        <v>0</v>
      </c>
      <c r="H63" s="28">
        <f>IFERROR(VLOOKUP($A63,Products!$E$8:$H$17,4,FALSE)*$H$44,0)</f>
        <v>0</v>
      </c>
      <c r="I63" s="28">
        <f t="shared" si="7"/>
        <v>0</v>
      </c>
      <c r="J63" s="113">
        <f t="shared" si="7"/>
        <v>0</v>
      </c>
    </row>
    <row r="64" spans="1:10" x14ac:dyDescent="0.2">
      <c r="A64" s="478" t="s">
        <v>130</v>
      </c>
      <c r="B64" s="478"/>
      <c r="C64" s="478"/>
      <c r="D64" s="478"/>
      <c r="E64" s="478"/>
      <c r="F64" s="478"/>
      <c r="G64" s="478"/>
      <c r="H64" s="478"/>
      <c r="I64" s="478"/>
      <c r="J64" s="478"/>
    </row>
  </sheetData>
  <sheetProtection algorithmName="SHA-512" hashValue="IXmHPHEt7xJlB1uO4xtRd94kORbjjztO/E6HneheYMtK6wVA9+AJmNFPTJPWvjI7XVa+qwPQbJV7uT18i54v5Q==" saltValue="/E8ZFOlT01Cr3LHbHtvphQ==" spinCount="100000" sheet="1" objects="1" scenarios="1" formatColumns="0" formatRows="0"/>
  <mergeCells count="108">
    <mergeCell ref="A61:D61"/>
    <mergeCell ref="A62:D62"/>
    <mergeCell ref="A63:D63"/>
    <mergeCell ref="A64:J64"/>
    <mergeCell ref="A55:D55"/>
    <mergeCell ref="A56:D56"/>
    <mergeCell ref="A57:D57"/>
    <mergeCell ref="A58:D58"/>
    <mergeCell ref="A59:D59"/>
    <mergeCell ref="A60:D60"/>
    <mergeCell ref="A34:D34"/>
    <mergeCell ref="E34:H34"/>
    <mergeCell ref="I34:J34"/>
    <mergeCell ref="A35:D35"/>
    <mergeCell ref="E35:H35"/>
    <mergeCell ref="I35:J35"/>
    <mergeCell ref="A54:D54"/>
    <mergeCell ref="A36:J36"/>
    <mergeCell ref="A37:D37"/>
    <mergeCell ref="E37:J37"/>
    <mergeCell ref="A38:D38"/>
    <mergeCell ref="E38:J38"/>
    <mergeCell ref="A39:D39"/>
    <mergeCell ref="E39:J39"/>
    <mergeCell ref="A40:J40"/>
    <mergeCell ref="A41:J41"/>
    <mergeCell ref="A42:J42"/>
    <mergeCell ref="A52:J52"/>
    <mergeCell ref="A53:D53"/>
    <mergeCell ref="A27:D27"/>
    <mergeCell ref="E27:H27"/>
    <mergeCell ref="I27:J27"/>
    <mergeCell ref="A28:D28"/>
    <mergeCell ref="E28:H28"/>
    <mergeCell ref="I28:J28"/>
    <mergeCell ref="A33:D33"/>
    <mergeCell ref="E33:H33"/>
    <mergeCell ref="I33:J33"/>
    <mergeCell ref="A29:D29"/>
    <mergeCell ref="E29:H29"/>
    <mergeCell ref="I29:J29"/>
    <mergeCell ref="A30:D30"/>
    <mergeCell ref="E30:H30"/>
    <mergeCell ref="I30:J30"/>
    <mergeCell ref="A31:D31"/>
    <mergeCell ref="E31:H31"/>
    <mergeCell ref="I31:J31"/>
    <mergeCell ref="A32:D32"/>
    <mergeCell ref="E32:H32"/>
    <mergeCell ref="I32:J32"/>
    <mergeCell ref="A24:D24"/>
    <mergeCell ref="E24:H24"/>
    <mergeCell ref="I24:J24"/>
    <mergeCell ref="A25:D25"/>
    <mergeCell ref="E25:H25"/>
    <mergeCell ref="I25:J25"/>
    <mergeCell ref="A26:D26"/>
    <mergeCell ref="E26:H26"/>
    <mergeCell ref="I26:J26"/>
    <mergeCell ref="A21:D21"/>
    <mergeCell ref="E21:H21"/>
    <mergeCell ref="I21:J21"/>
    <mergeCell ref="A22:D22"/>
    <mergeCell ref="E22:H22"/>
    <mergeCell ref="I22:J22"/>
    <mergeCell ref="A23:D23"/>
    <mergeCell ref="E23:H23"/>
    <mergeCell ref="I23:J23"/>
    <mergeCell ref="A18:D18"/>
    <mergeCell ref="E18:H18"/>
    <mergeCell ref="I18:J18"/>
    <mergeCell ref="A19:D19"/>
    <mergeCell ref="E19:H19"/>
    <mergeCell ref="I19:J19"/>
    <mergeCell ref="A20:D20"/>
    <mergeCell ref="E20:H20"/>
    <mergeCell ref="I20:J20"/>
    <mergeCell ref="A15:D15"/>
    <mergeCell ref="E15:H15"/>
    <mergeCell ref="I15:J15"/>
    <mergeCell ref="A16:D16"/>
    <mergeCell ref="E16:H16"/>
    <mergeCell ref="I16:J16"/>
    <mergeCell ref="A17:D17"/>
    <mergeCell ref="E17:H17"/>
    <mergeCell ref="I17:J17"/>
    <mergeCell ref="A14:D14"/>
    <mergeCell ref="E14:H14"/>
    <mergeCell ref="I14:J14"/>
    <mergeCell ref="A6:D6"/>
    <mergeCell ref="E6:J6"/>
    <mergeCell ref="A1:J1"/>
    <mergeCell ref="A2:J2"/>
    <mergeCell ref="A3:J3"/>
    <mergeCell ref="A4:J4"/>
    <mergeCell ref="A5:J5"/>
    <mergeCell ref="A13:J13"/>
    <mergeCell ref="A7:D7"/>
    <mergeCell ref="E7:J7"/>
    <mergeCell ref="A8:D8"/>
    <mergeCell ref="E8:J8"/>
    <mergeCell ref="A9:D9"/>
    <mergeCell ref="E9:J9"/>
    <mergeCell ref="A10:D10"/>
    <mergeCell ref="E10:J10"/>
    <mergeCell ref="A11:D11"/>
    <mergeCell ref="E11:J11"/>
    <mergeCell ref="A12:J12"/>
  </mergeCells>
  <conditionalFormatting sqref="A10:J64">
    <cfRule type="expression" dxfId="137" priority="6">
      <formula>$E$6="affected"</formula>
    </cfRule>
  </conditionalFormatting>
  <conditionalFormatting sqref="A51:J51">
    <cfRule type="expression" dxfId="136" priority="3">
      <formula>$E$26&lt;&gt;"fuel gas"</formula>
    </cfRule>
  </conditionalFormatting>
  <conditionalFormatting sqref="A52:J63">
    <cfRule type="expression" dxfId="135" priority="2">
      <formula>$E$26&lt;&gt;"FUEL GAS"</formula>
    </cfRule>
  </conditionalFormatting>
  <conditionalFormatting sqref="A54:J63">
    <cfRule type="expression" dxfId="134" priority="7">
      <formula>$A54=0</formula>
    </cfRule>
  </conditionalFormatting>
  <conditionalFormatting sqref="I43:J51 I53:J63">
    <cfRule type="expression" dxfId="133" priority="1">
      <formula>$E$6="new"</formula>
    </cfRule>
  </conditionalFormatting>
  <dataValidations count="32">
    <dataValidation allowBlank="1" showErrorMessage="1" prompt="enter emission factor in lb/MMBtu" sqref="B45 B47:C49 B44:C44" xr:uid="{FD292373-99AE-4399-A62D-5129346DC750}"/>
    <dataValidation type="list" allowBlank="1" showErrorMessage="1" prompt="select one" sqref="D44:D49" xr:uid="{CBB2B01E-8EF3-4C5B-B570-16F523DE90E1}">
      <formula1>"AP-42 Ch. 1.4,Vendor guarantee (must provide)"</formula1>
    </dataValidation>
    <dataValidation allowBlank="1" showErrorMessage="1" prompt="Enter UTM northing." sqref="E11:J11" xr:uid="{4C4E9A5E-DE02-4119-ADEB-6469FB6E5103}"/>
    <dataValidation allowBlank="1" showErrorMessage="1" prompt="Enter UTM easting." sqref="E10:J10" xr:uid="{9FB1A634-0C55-40BD-84F1-1E251AF370A3}"/>
    <dataValidation allowBlank="1" showErrorMessage="1" prompt="Enter the source name." sqref="E9:J9" xr:uid="{5A108E2C-447B-44C7-B799-E3798EAB9CDF}"/>
    <dataValidation allowBlank="1" showErrorMessage="1" prompt="Enter the EPN." sqref="E8:J8" xr:uid="{0F111DDE-419B-4A97-8CDA-963964401D8F}"/>
    <dataValidation allowBlank="1" showErrorMessage="1" prompt="Enter the FIN." sqref="E7:J7" xr:uid="{E53B900F-4C09-4236-BA08-565D4DAE8C81}"/>
    <dataValidation type="list" allowBlank="1" showErrorMessage="1" prompt="Is this an affected, modified, or new source." sqref="E6:J6" xr:uid="{6CC29BF5-F3AD-492E-8D56-C1E52833089F}">
      <formula1>"Affected,Modified,New"</formula1>
    </dataValidation>
    <dataValidation allowBlank="1" showErrorMessage="1" prompt="enter currently authorized firing rate (MMBtu/hr)" sqref="E22:H22" xr:uid="{12096670-38B9-414E-BC63-A7DD4185E400}"/>
    <dataValidation allowBlank="1" showErrorMessage="1" prompt="enter proposed firing rate (MMBtu/hr)" sqref="E23:H23" xr:uid="{E25FEB75-3D60-4E61-884B-3B972DCA0ADC}"/>
    <dataValidation type="decimal" operator="lessThanOrEqual" allowBlank="1" showErrorMessage="1" prompt="enter currently authorized operating hours (hr/yr)" sqref="E24:H24" xr:uid="{2C3D19C7-58FA-450B-8F63-47775187A0E8}">
      <formula1>8760</formula1>
    </dataValidation>
    <dataValidation type="decimal" operator="lessThanOrEqual" allowBlank="1" showErrorMessage="1" prompt="enter operating hours (hr/yr)" sqref="E25:H25" xr:uid="{5B4FDAFE-66FD-4D96-853F-CC6C6A204051}">
      <formula1>8760</formula1>
    </dataValidation>
    <dataValidation allowBlank="1" showErrorMessage="1" prompt="enter the currently authorized higher heating value of the fuel (Btu/lb)" sqref="E33:H33" xr:uid="{68B9B657-9A8E-4797-8827-E9DAB35F89C8}"/>
    <dataValidation allowBlank="1" showErrorMessage="1" prompt="enter proposed higher heating value of the fuel (Btu/lb)" sqref="E34:H34" xr:uid="{261DFDD9-55A1-41BA-AD4C-E5B34C20ADCE}"/>
    <dataValidation type="list" allowBlank="1" showErrorMessage="1" prompt="Select the method of control." sqref="E37:J39" xr:uid="{99D5AB28-3673-4E6E-A7E1-9BFC5D4CE14C}">
      <formula1>"Dry-low NOx burners,Limit fuel consumption,Water or steam injection"</formula1>
    </dataValidation>
    <dataValidation type="list" allowBlank="1" showErrorMessage="1" prompt="select fuel type" sqref="E26:H26" xr:uid="{8146FA78-F2DD-40A2-BAC8-7D6C0F770D0C}">
      <formula1>"natural gas,fuel gas"</formula1>
    </dataValidation>
    <dataValidation type="decimal" operator="lessThanOrEqual" allowBlank="1" showErrorMessage="1" prompt="enter emission factor in lb/MMBtu" sqref="C46" xr:uid="{5DFF0A3E-EC4D-4F31-B47B-5907931A2F72}">
      <formula1>0.0370096</formula1>
    </dataValidation>
    <dataValidation type="decimal" allowBlank="1" showErrorMessage="1" prompt="enter proposed H2S destruction efficiency (%)" sqref="E32:H32" xr:uid="{01AF4024-03D0-4A03-BB6B-C30131F3E1E1}">
      <formula1>0.98</formula1>
      <formula2>1</formula2>
    </dataValidation>
    <dataValidation type="decimal" operator="lessThanOrEqual" allowBlank="1" showErrorMessage="1" prompt="enter currently authorized H2S destruction efficiency (%)" sqref="E31:H31" xr:uid="{236F59EB-9D96-46CD-AE43-B3382460CFD6}">
      <formula1>1</formula1>
    </dataValidation>
    <dataValidation allowBlank="1" showErrorMessage="1" prompt="enter proposed H2S content of fuel (vapor weight fraction)" sqref="E30:H30" xr:uid="{BBBBBAD1-4CC0-43FF-B511-29542705405E}"/>
    <dataValidation allowBlank="1" showErrorMessage="1" prompt="enter currently authorized H2S content of fuel (vapor weight fraction)" sqref="E29:H29" xr:uid="{A584DCD4-C862-499B-ACFF-F7F861F62DEE}"/>
    <dataValidation type="decimal" operator="lessThanOrEqual" allowBlank="1" showErrorMessage="1" prompt="enter proposed sulfur content of fuel (ppmw)" sqref="E28:H28" xr:uid="{83759D68-F70B-4D93-80C3-838629612244}">
      <formula1>IF(I28="22.88 ppmw maximum",22.88,IF(I28="11.44 ppmw maximum",11.44))</formula1>
    </dataValidation>
    <dataValidation operator="lessThanOrEqual" allowBlank="1" showErrorMessage="1" prompt="enter emission factor in lb/MMBtu" sqref="B46" xr:uid="{34BE351A-5A08-4D3D-A5AC-C14DB4297BF0}"/>
    <dataValidation type="decimal" operator="lessThanOrEqual" allowBlank="1" showErrorMessage="1" prompt="enter emission factor in lb/MMBtu" sqref="C45" xr:uid="{29787436-D1B2-4370-A1E4-FA15044A4A98}">
      <formula1>IF($E$26="natural gas",0.01,IF($E$26="fuel gas",0.015,""))</formula1>
    </dataValidation>
    <dataValidation type="list" allowBlank="1" showErrorMessage="1" prompt="Choose heater or boiler." sqref="E15:H15" xr:uid="{EA5E7A40-1C50-4920-84ED-82A7DDA76ED9}">
      <formula1>"heater,boiler"</formula1>
    </dataValidation>
    <dataValidation type="decimal" operator="greaterThanOrEqual" allowBlank="1" showErrorMessage="1" prompt="Enter distance to property line in feet." sqref="E16:H16" xr:uid="{63FAD988-4C07-4483-99FB-799DC5E23DB1}">
      <formula1>25</formula1>
    </dataValidation>
    <dataValidation type="decimal" operator="greaterThanOrEqual" allowBlank="1" showErrorMessage="1" prompt="Enter release height in ft." sqref="E17:H17" xr:uid="{242B4A8A-7344-4DAE-9ED6-6FD2DB221766}">
      <formula1>IF(E15="heater",20,IF(E15="boiler",30,""))</formula1>
    </dataValidation>
    <dataValidation type="decimal" operator="greaterThanOrEqual" allowBlank="1" showErrorMessage="1" prompt="Enter stack exit diameter in ft." sqref="E18:H18" xr:uid="{71F4EDA5-EE8E-43A8-922E-B08B3C8B1F22}">
      <formula1>IF(E15="heater",4,IF(E15="boiler",2.8,""))</formula1>
    </dataValidation>
    <dataValidation type="decimal" operator="greaterThanOrEqual" allowBlank="1" showErrorMessage="1" prompt="Enter stack exit temperature in degrees F." sqref="E19:H19" xr:uid="{0041211A-6B84-4FC7-AD5B-2F6ABC865774}">
      <formula1>IF(E15="heater",350,IF(E15="boiler",330,""))</formula1>
    </dataValidation>
    <dataValidation type="decimal" operator="greaterThanOrEqual" allowBlank="1" showErrorMessage="1" prompt="Enter stack exit velocity in fps." sqref="E20:H20" xr:uid="{571A8C1B-724C-40F8-97BA-4664532219E2}">
      <formula1>IF(E15="heater",17,IF(E15="boiler",24,""))</formula1>
    </dataValidation>
    <dataValidation allowBlank="1" showErrorMessage="1" sqref="E27:H27" xr:uid="{333F9CDC-4034-48E1-86C0-1E68ABCF2E13}"/>
    <dataValidation type="list" allowBlank="1" showErrorMessage="1" prompt="select yes or no" sqref="E35:H35" xr:uid="{1F181543-CD83-422B-8A0E-16E7724C63FC}">
      <formula1>IF($E$23&gt;=100,Y,YN)</formula1>
    </dataValidation>
  </dataValidations>
  <printOptions horizontalCentered="1"/>
  <pageMargins left="0.7" right="0.7" top="0.75" bottom="0.75" header="0.3" footer="0.3"/>
  <pageSetup scale="71" orientation="landscape" r:id="rId1"/>
  <headerFooter>
    <oddHeader>&amp;C&amp;"Calibri,Regular"Marine Loading RAP Application</oddHeader>
    <oddFooter>&amp;L&amp;"Calibri,Regular"Version 1.0&amp;C&amp;"Calibri,Regular"Sheet: &amp;A&amp;R&amp;"Calibri,Regular"Page &amp;P</oddFooter>
  </headerFooter>
  <extLst>
    <ext xmlns:x14="http://schemas.microsoft.com/office/spreadsheetml/2009/9/main" uri="{78C0D931-6437-407d-A8EE-F0AAD7539E65}">
      <x14:conditionalFormattings>
        <x14:conditionalFormatting xmlns:xm="http://schemas.microsoft.com/office/excel/2006/main">
          <x14:cfRule type="expression" priority="2248" id="{D94231B2-381F-491F-A256-4728E30ADB06}">
            <xm:f>AND('PI-1-MarineLoading'!$G$126&lt;2,'PI-1-MarineLoading'!$G$126&lt;&gt;"")</xm:f>
            <x14:dxf>
              <numFmt numFmtId="164" formatCode=";;;"/>
              <fill>
                <patternFill>
                  <bgColor theme="0" tint="-0.499984740745262"/>
                </patternFill>
              </fill>
            </x14:dxf>
          </x14:cfRule>
          <x14:cfRule type="expression" priority="2249" id="{EEF5773C-2FF7-4859-B77F-FC114CDADD24}">
            <xm:f>'PI-1-MarineLoading'!$G$18="Not applicable"</xm:f>
            <x14:dxf>
              <numFmt numFmtId="164" formatCode=";;;"/>
              <fill>
                <patternFill>
                  <bgColor theme="0" tint="-0.499984740745262"/>
                </patternFill>
              </fill>
            </x14:dxf>
          </x14:cfRule>
          <xm:sqref>A1:J64</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E745BD-0C32-4B09-BA0E-EBCF65643451}">
  <sheetPr codeName="Sheet22">
    <tabColor rgb="FFFFFFCC"/>
  </sheetPr>
  <dimension ref="A1:K218"/>
  <sheetViews>
    <sheetView showGridLines="0" zoomScaleNormal="100" workbookViewId="0">
      <selection sqref="A1:J1"/>
    </sheetView>
  </sheetViews>
  <sheetFormatPr defaultColWidth="0" defaultRowHeight="14.25" zeroHeight="1" x14ac:dyDescent="0.2"/>
  <cols>
    <col min="1" max="1" width="31.5" customWidth="1"/>
    <col min="2" max="2" width="18.875" customWidth="1"/>
    <col min="3" max="7" width="13.25" customWidth="1"/>
    <col min="8" max="8" width="16.875" customWidth="1"/>
    <col min="9" max="10" width="12.625" customWidth="1"/>
    <col min="11" max="11" width="2.625" customWidth="1"/>
    <col min="12" max="16384" width="9" hidden="1"/>
  </cols>
  <sheetData>
    <row r="1" spans="1:10" ht="8.25" customHeight="1" thickBot="1" x14ac:dyDescent="0.25">
      <c r="A1" s="861" t="s">
        <v>8729</v>
      </c>
      <c r="B1" s="861"/>
      <c r="C1" s="861"/>
      <c r="D1" s="861"/>
      <c r="E1" s="861"/>
      <c r="F1" s="861"/>
      <c r="G1" s="861"/>
      <c r="H1" s="861"/>
      <c r="I1" s="861"/>
      <c r="J1" s="861"/>
    </row>
    <row r="2" spans="1:10" ht="18.75" thickBot="1" x14ac:dyDescent="0.25">
      <c r="A2" s="525" t="s">
        <v>8730</v>
      </c>
      <c r="B2" s="525"/>
      <c r="C2" s="525"/>
      <c r="D2" s="525"/>
      <c r="E2" s="525"/>
      <c r="F2" s="525"/>
      <c r="G2" s="525"/>
      <c r="H2" s="525"/>
      <c r="I2" s="525"/>
      <c r="J2" s="525"/>
    </row>
    <row r="3" spans="1:10" ht="277.5" customHeight="1" thickBot="1" x14ac:dyDescent="0.25">
      <c r="A3" s="634" t="s">
        <v>10874</v>
      </c>
      <c r="B3" s="635"/>
      <c r="C3" s="635"/>
      <c r="D3" s="635"/>
      <c r="E3" s="635"/>
      <c r="F3" s="635"/>
      <c r="G3" s="635"/>
      <c r="H3" s="635"/>
      <c r="I3" s="635"/>
      <c r="J3" s="636"/>
    </row>
    <row r="4" spans="1:10" ht="15" thickBot="1" x14ac:dyDescent="0.25">
      <c r="A4" s="478" t="s">
        <v>1</v>
      </c>
      <c r="B4" s="478"/>
      <c r="C4" s="478"/>
      <c r="D4" s="478"/>
      <c r="E4" s="478"/>
      <c r="F4" s="478"/>
      <c r="G4" s="478"/>
      <c r="H4" s="478"/>
      <c r="I4" s="478"/>
      <c r="J4" s="478"/>
    </row>
    <row r="5" spans="1:10" ht="15.75" thickBot="1" x14ac:dyDescent="0.25">
      <c r="A5" s="474" t="s">
        <v>133</v>
      </c>
      <c r="B5" s="474"/>
      <c r="C5" s="474"/>
      <c r="D5" s="474"/>
      <c r="E5" s="474"/>
      <c r="F5" s="474"/>
      <c r="G5" s="474"/>
      <c r="H5" s="474"/>
      <c r="I5" s="474"/>
      <c r="J5" s="474"/>
    </row>
    <row r="6" spans="1:10" x14ac:dyDescent="0.2">
      <c r="A6" s="884" t="s">
        <v>166</v>
      </c>
      <c r="B6" s="885"/>
      <c r="C6" s="885"/>
      <c r="D6" s="885"/>
      <c r="E6" s="885"/>
      <c r="F6" s="886"/>
      <c r="G6" s="886"/>
      <c r="H6" s="886"/>
      <c r="I6" s="886"/>
      <c r="J6" s="887"/>
    </row>
    <row r="7" spans="1:10" x14ac:dyDescent="0.2">
      <c r="A7" s="530" t="s">
        <v>167</v>
      </c>
      <c r="B7" s="531"/>
      <c r="C7" s="531"/>
      <c r="D7" s="531"/>
      <c r="E7" s="531"/>
      <c r="F7" s="615"/>
      <c r="G7" s="615"/>
      <c r="H7" s="615"/>
      <c r="I7" s="615"/>
      <c r="J7" s="616"/>
    </row>
    <row r="8" spans="1:10" x14ac:dyDescent="0.2">
      <c r="A8" s="530" t="s">
        <v>168</v>
      </c>
      <c r="B8" s="531"/>
      <c r="C8" s="531"/>
      <c r="D8" s="531"/>
      <c r="E8" s="531"/>
      <c r="F8" s="615"/>
      <c r="G8" s="615"/>
      <c r="H8" s="615"/>
      <c r="I8" s="615"/>
      <c r="J8" s="616"/>
    </row>
    <row r="9" spans="1:10" ht="15" thickBot="1" x14ac:dyDescent="0.25">
      <c r="A9" s="483" t="s">
        <v>169</v>
      </c>
      <c r="B9" s="484"/>
      <c r="C9" s="484"/>
      <c r="D9" s="484"/>
      <c r="E9" s="484"/>
      <c r="F9" s="575"/>
      <c r="G9" s="575"/>
      <c r="H9" s="575"/>
      <c r="I9" s="575"/>
      <c r="J9" s="576"/>
    </row>
    <row r="10" spans="1:10" ht="15" thickBot="1" x14ac:dyDescent="0.25">
      <c r="A10" s="828"/>
      <c r="B10" s="828"/>
      <c r="C10" s="828"/>
      <c r="D10" s="828"/>
      <c r="E10" s="828"/>
      <c r="F10" s="828"/>
      <c r="G10" s="828"/>
      <c r="H10" s="828"/>
      <c r="I10" s="828"/>
      <c r="J10" s="828"/>
    </row>
    <row r="11" spans="1:10" ht="15.75" thickBot="1" x14ac:dyDescent="0.25">
      <c r="A11" s="474" t="s">
        <v>9800</v>
      </c>
      <c r="B11" s="474"/>
      <c r="C11" s="474"/>
      <c r="D11" s="474"/>
      <c r="E11" s="474"/>
      <c r="F11" s="474"/>
      <c r="G11" s="474"/>
      <c r="H11" s="474"/>
      <c r="I11" s="474"/>
      <c r="J11" s="474"/>
    </row>
    <row r="12" spans="1:10" x14ac:dyDescent="0.2">
      <c r="A12" s="884" t="s">
        <v>9242</v>
      </c>
      <c r="B12" s="885"/>
      <c r="C12" s="885"/>
      <c r="D12" s="885"/>
      <c r="E12" s="885"/>
      <c r="F12" s="886"/>
      <c r="G12" s="886"/>
      <c r="H12" s="886"/>
      <c r="I12" s="886"/>
      <c r="J12" s="887"/>
    </row>
    <row r="13" spans="1:10" ht="15" thickBot="1" x14ac:dyDescent="0.25">
      <c r="A13" s="483" t="s">
        <v>9243</v>
      </c>
      <c r="B13" s="484"/>
      <c r="C13" s="484"/>
      <c r="D13" s="484"/>
      <c r="E13" s="484"/>
      <c r="F13" s="575"/>
      <c r="G13" s="575"/>
      <c r="H13" s="575"/>
      <c r="I13" s="575"/>
      <c r="J13" s="576"/>
    </row>
    <row r="14" spans="1:10" ht="15" thickBot="1" x14ac:dyDescent="0.25">
      <c r="A14" s="828"/>
      <c r="B14" s="828"/>
      <c r="C14" s="828"/>
      <c r="D14" s="828"/>
      <c r="E14" s="828"/>
      <c r="F14" s="828"/>
      <c r="G14" s="828"/>
      <c r="H14" s="828"/>
      <c r="I14" s="828"/>
      <c r="J14" s="828"/>
    </row>
    <row r="15" spans="1:10" ht="15.75" thickBot="1" x14ac:dyDescent="0.25">
      <c r="A15" s="474" t="s">
        <v>9801</v>
      </c>
      <c r="B15" s="474"/>
      <c r="C15" s="474"/>
      <c r="D15" s="474"/>
      <c r="E15" s="474"/>
      <c r="F15" s="474"/>
      <c r="G15" s="474"/>
      <c r="H15" s="474"/>
      <c r="I15" s="474"/>
      <c r="J15" s="474"/>
    </row>
    <row r="16" spans="1:10" ht="15" thickBot="1" x14ac:dyDescent="0.25">
      <c r="A16" s="523" t="s">
        <v>9422</v>
      </c>
      <c r="B16" s="602"/>
      <c r="C16" s="602"/>
      <c r="D16" s="602"/>
      <c r="E16" s="602"/>
      <c r="F16" s="896"/>
      <c r="G16" s="896"/>
      <c r="H16" s="896"/>
      <c r="I16" s="896"/>
      <c r="J16" s="897"/>
    </row>
    <row r="17" spans="1:10" ht="15" thickBot="1" x14ac:dyDescent="0.25">
      <c r="A17" s="478" t="s">
        <v>1</v>
      </c>
      <c r="B17" s="478"/>
      <c r="C17" s="478"/>
      <c r="D17" s="478"/>
      <c r="E17" s="478"/>
      <c r="F17" s="478"/>
      <c r="G17" s="478"/>
      <c r="H17" s="478"/>
      <c r="I17" s="478"/>
      <c r="J17" s="478"/>
    </row>
    <row r="18" spans="1:10" ht="15.75" thickBot="1" x14ac:dyDescent="0.25">
      <c r="A18" s="474" t="s">
        <v>9802</v>
      </c>
      <c r="B18" s="474"/>
      <c r="C18" s="474"/>
      <c r="D18" s="474"/>
      <c r="E18" s="474"/>
      <c r="F18" s="474"/>
      <c r="G18" s="474"/>
      <c r="H18" s="474"/>
      <c r="I18" s="474"/>
      <c r="J18" s="474"/>
    </row>
    <row r="19" spans="1:10" x14ac:dyDescent="0.2">
      <c r="A19" s="884" t="s">
        <v>9423</v>
      </c>
      <c r="B19" s="885"/>
      <c r="C19" s="885"/>
      <c r="D19" s="885"/>
      <c r="E19" s="885"/>
      <c r="F19" s="886"/>
      <c r="G19" s="886"/>
      <c r="H19" s="886"/>
      <c r="I19" s="886"/>
      <c r="J19" s="887"/>
    </row>
    <row r="20" spans="1:10" x14ac:dyDescent="0.2">
      <c r="A20" s="530" t="s">
        <v>9424</v>
      </c>
      <c r="B20" s="531"/>
      <c r="C20" s="531"/>
      <c r="D20" s="531"/>
      <c r="E20" s="531"/>
      <c r="F20" s="615"/>
      <c r="G20" s="615"/>
      <c r="H20" s="615"/>
      <c r="I20" s="615"/>
      <c r="J20" s="616"/>
    </row>
    <row r="21" spans="1:10" ht="30.75" customHeight="1" x14ac:dyDescent="0.2">
      <c r="A21" s="530" t="s">
        <v>9958</v>
      </c>
      <c r="B21" s="531"/>
      <c r="C21" s="531"/>
      <c r="D21" s="531"/>
      <c r="E21" s="531"/>
      <c r="F21" s="615"/>
      <c r="G21" s="615"/>
      <c r="H21" s="615"/>
      <c r="I21" s="615"/>
      <c r="J21" s="616"/>
    </row>
    <row r="22" spans="1:10" x14ac:dyDescent="0.2">
      <c r="A22" s="530" t="s">
        <v>9959</v>
      </c>
      <c r="B22" s="531"/>
      <c r="C22" s="531"/>
      <c r="D22" s="531"/>
      <c r="E22" s="531"/>
      <c r="F22" s="615"/>
      <c r="G22" s="615"/>
      <c r="H22" s="615"/>
      <c r="I22" s="615"/>
      <c r="J22" s="616"/>
    </row>
    <row r="23" spans="1:10" x14ac:dyDescent="0.2">
      <c r="A23" s="530" t="s">
        <v>9960</v>
      </c>
      <c r="B23" s="531"/>
      <c r="C23" s="531"/>
      <c r="D23" s="531"/>
      <c r="E23" s="531"/>
      <c r="F23" s="615"/>
      <c r="G23" s="615"/>
      <c r="H23" s="615"/>
      <c r="I23" s="615"/>
      <c r="J23" s="616"/>
    </row>
    <row r="24" spans="1:10" x14ac:dyDescent="0.2">
      <c r="A24" s="530" t="s">
        <v>9961</v>
      </c>
      <c r="B24" s="531"/>
      <c r="C24" s="531"/>
      <c r="D24" s="531"/>
      <c r="E24" s="531"/>
      <c r="F24" s="615"/>
      <c r="G24" s="615"/>
      <c r="H24" s="615"/>
      <c r="I24" s="615"/>
      <c r="J24" s="616"/>
    </row>
    <row r="25" spans="1:10" x14ac:dyDescent="0.2">
      <c r="A25" s="530" t="s">
        <v>9962</v>
      </c>
      <c r="B25" s="531"/>
      <c r="C25" s="531"/>
      <c r="D25" s="531"/>
      <c r="E25" s="531"/>
      <c r="F25" s="615"/>
      <c r="G25" s="615"/>
      <c r="H25" s="615"/>
      <c r="I25" s="615"/>
      <c r="J25" s="616"/>
    </row>
    <row r="26" spans="1:10" ht="15" thickBot="1" x14ac:dyDescent="0.25">
      <c r="A26" s="483" t="s">
        <v>9963</v>
      </c>
      <c r="B26" s="484"/>
      <c r="C26" s="484"/>
      <c r="D26" s="484"/>
      <c r="E26" s="484"/>
      <c r="F26" s="575"/>
      <c r="G26" s="575"/>
      <c r="H26" s="575"/>
      <c r="I26" s="575"/>
      <c r="J26" s="576"/>
    </row>
    <row r="27" spans="1:10" ht="15" thickBot="1" x14ac:dyDescent="0.25">
      <c r="A27" s="777" t="s">
        <v>1</v>
      </c>
      <c r="B27" s="560"/>
      <c r="C27" s="560"/>
      <c r="D27" s="560"/>
      <c r="E27" s="560"/>
      <c r="F27" s="560"/>
      <c r="G27" s="560"/>
      <c r="H27" s="560"/>
      <c r="I27" s="560"/>
      <c r="J27" s="778"/>
    </row>
    <row r="28" spans="1:10" ht="15.75" thickBot="1" x14ac:dyDescent="0.25">
      <c r="A28" s="474" t="s">
        <v>9803</v>
      </c>
      <c r="B28" s="474"/>
      <c r="C28" s="474"/>
      <c r="D28" s="474"/>
      <c r="E28" s="474"/>
      <c r="F28" s="474"/>
      <c r="G28" s="474"/>
      <c r="H28" s="474"/>
      <c r="I28" s="474"/>
      <c r="J28" s="474"/>
    </row>
    <row r="29" spans="1:10" ht="51" customHeight="1" x14ac:dyDescent="0.2">
      <c r="A29" s="17" t="s">
        <v>8732</v>
      </c>
      <c r="B29" s="18" t="s">
        <v>8733</v>
      </c>
      <c r="C29" s="18" t="s">
        <v>8734</v>
      </c>
      <c r="D29" s="18" t="s">
        <v>8735</v>
      </c>
      <c r="E29" s="898" t="s">
        <v>8736</v>
      </c>
      <c r="F29" s="898"/>
      <c r="G29" s="898" t="s">
        <v>8737</v>
      </c>
      <c r="H29" s="898"/>
      <c r="I29" s="18" t="s">
        <v>8738</v>
      </c>
      <c r="J29" s="19" t="s">
        <v>8739</v>
      </c>
    </row>
    <row r="30" spans="1:10" x14ac:dyDescent="0.2">
      <c r="A30" s="9" t="str">
        <f>Hidden!PJ3</f>
        <v>Valves</v>
      </c>
      <c r="B30" s="16" t="str">
        <f>Hidden!PK3</f>
        <v>Gas/Vapor</v>
      </c>
      <c r="C30" s="42"/>
      <c r="D30" s="16" t="str">
        <f>_xlfn.IFNA((HLOOKUP($F$16,Hidden!$PK$2:$PS$64, ROW(Hidden!PJ2:QI2),FALSE)),"")</f>
        <v/>
      </c>
      <c r="E30" s="689" t="str">
        <f>IFERROR(IF($F$16="Oil and Gas",HLOOKUP($F$19,Hidden!$PT$2:QA$64,ROW(Hidden!2:2),FALSE),IF(OR($F$16="Butadiene w/MID",$F$16="Phosgene w/MID",$F$16="SOCMI Non-leaker"),"-",HLOOKUP($F$19,Hidden!QC$2:QI$35,ROW(Hidden!2:2),FALSE))),"")</f>
        <v/>
      </c>
      <c r="F30" s="758"/>
      <c r="G30" s="689" t="str">
        <f>IFERROR(IF($F$16="Oil and Gas",HLOOKUP($F$20,Hidden!$PT$2:QC$64,ROW(Hidden!2:2),FALSE),IF(OR($F$16="Butadiene w/MID",$F$16="Phosgene w/MID",$F$16="SOCMI Non-leaker"),"-",HLOOKUP($F$20,Hidden!QE$2:QK$35,ROW(Hidden!2:2),FALSE))),"")</f>
        <v/>
      </c>
      <c r="H30" s="758"/>
      <c r="I30" s="22" t="str">
        <f>IFERROR(IF($F$16="SOCMI Non-leaker",C30*D30,C30*D30*MIN(1-E30,1-G30)),"")</f>
        <v/>
      </c>
      <c r="J30" s="23" t="str">
        <f>IFERROR((I30*4.38),"")</f>
        <v/>
      </c>
    </row>
    <row r="31" spans="1:10" x14ac:dyDescent="0.2">
      <c r="A31" s="9" t="str">
        <f>Hidden!PJ4</f>
        <v>Valves</v>
      </c>
      <c r="B31" s="16" t="str">
        <f>Hidden!PK4</f>
        <v>Light Liquid</v>
      </c>
      <c r="C31" s="42"/>
      <c r="D31" s="16" t="str">
        <f>_xlfn.IFNA((HLOOKUP($F$16,Hidden!$PK$2:$PS$64, ROW(Hidden!PJ3:QI3),FALSE)),"")</f>
        <v/>
      </c>
      <c r="E31" s="689" t="str">
        <f>IFERROR(IF($F$16="Oil and Gas",HLOOKUP($F$19,Hidden!$PT$2:QA$64,ROW(Hidden!3:3),FALSE),IF(OR($F$16="Butadiene w/MID",$F$16="Phosgene w/MID",$F$16="SOCMI Non-leaker"),"-",HLOOKUP($F$19,Hidden!QC$2:QI$35,ROW(Hidden!3:3),FALSE))),"")</f>
        <v/>
      </c>
      <c r="F31" s="758"/>
      <c r="G31" s="689" t="str">
        <f>IFERROR(IF($F$16="Oil and Gas",HLOOKUP($F$20,Hidden!$PT$2:QC$64,ROW(Hidden!3:3),FALSE),IF(OR($F$16="Butadiene w/MID",$F$16="Phosgene w/MID",$F$16="SOCMI Non-leaker"),"-",HLOOKUP($F$20,Hidden!QE$2:QK$35,ROW(Hidden!3:3),FALSE))),"")</f>
        <v/>
      </c>
      <c r="H31" s="758"/>
      <c r="I31" s="22" t="str">
        <f t="shared" ref="I31:I91" si="0">IFERROR(IF($F$16="SOCMI Non-leaker",C31*D31,C31*D31*MIN(1-E31,1-G31)),"")</f>
        <v/>
      </c>
      <c r="J31" s="23" t="str">
        <f t="shared" ref="J31:J92" si="1">IFERROR((I31*4.38),"")</f>
        <v/>
      </c>
    </row>
    <row r="32" spans="1:10" x14ac:dyDescent="0.2">
      <c r="A32" s="9" t="str">
        <f>Hidden!PJ5</f>
        <v>Valves-DTM</v>
      </c>
      <c r="B32" s="16" t="str">
        <f>Hidden!PK5</f>
        <v>Gas/Vapor [4]</v>
      </c>
      <c r="C32" s="42"/>
      <c r="D32" s="16" t="str">
        <f>_xlfn.IFNA((HLOOKUP($F$16,Hidden!$PK$2:$PS$64, ROW(Hidden!PJ4:QI4),FALSE)),"")</f>
        <v/>
      </c>
      <c r="E32" s="689" t="str">
        <f>IFERROR(IF($F$16="Oil and Gas",HLOOKUP($F$19,Hidden!$PT$2:QA$64,ROW(Hidden!4:4),FALSE),IF(OR($F$16="Butadiene w/MID",$F$16="Phosgene w/MID",$F$16="SOCMI Non-leaker"),"-",HLOOKUP($F$19,Hidden!QC$2:QI$35,ROW(Hidden!4:4),FALSE))),"")</f>
        <v/>
      </c>
      <c r="F32" s="758"/>
      <c r="G32" s="689" t="str">
        <f>IFERROR(IF($F$16="Oil and Gas",HLOOKUP($F$20,Hidden!$PT$2:QC$64,ROW(Hidden!4:4),FALSE),IF(OR($F$16="Butadiene w/MID",$F$16="Phosgene w/MID",$F$16="SOCMI Non-leaker"),"-",HLOOKUP($F$20,Hidden!QE$2:QK$35,ROW(Hidden!4:4),FALSE))),"")</f>
        <v/>
      </c>
      <c r="H32" s="758"/>
      <c r="I32" s="22" t="str">
        <f t="shared" si="0"/>
        <v/>
      </c>
      <c r="J32" s="23" t="str">
        <f t="shared" si="1"/>
        <v/>
      </c>
    </row>
    <row r="33" spans="1:10" x14ac:dyDescent="0.2">
      <c r="A33" s="9" t="str">
        <f>Hidden!PJ6</f>
        <v>Valves-DTM</v>
      </c>
      <c r="B33" s="16" t="str">
        <f>Hidden!PK6</f>
        <v>Light Liquid [4]</v>
      </c>
      <c r="C33" s="42"/>
      <c r="D33" s="16" t="str">
        <f>_xlfn.IFNA((HLOOKUP($F$16,Hidden!$PK$2:$PS$64, ROW(Hidden!PJ5:QI5),FALSE)),"")</f>
        <v/>
      </c>
      <c r="E33" s="689" t="str">
        <f>IFERROR(IF($F$16="Oil and Gas",HLOOKUP($F$19,Hidden!$PT$2:QA$64,ROW(Hidden!5:5),FALSE),IF(OR($F$16="Butadiene w/MID",$F$16="Phosgene w/MID",$F$16="SOCMI Non-leaker"),"-",HLOOKUP($F$19,Hidden!QC$2:QI$35,ROW(Hidden!5:5),FALSE))),"")</f>
        <v/>
      </c>
      <c r="F33" s="758"/>
      <c r="G33" s="689" t="str">
        <f>IFERROR(IF($F$16="Oil and Gas",HLOOKUP($F$20,Hidden!$PT$2:QC$64,ROW(Hidden!5:5),FALSE),IF(OR($F$16="Butadiene w/MID",$F$16="Phosgene w/MID",$F$16="SOCMI Non-leaker"),"-",HLOOKUP($F$20,Hidden!QE$2:QK$35,ROW(Hidden!5:5),FALSE))),"")</f>
        <v/>
      </c>
      <c r="H33" s="758"/>
      <c r="I33" s="22" t="str">
        <f t="shared" si="0"/>
        <v/>
      </c>
      <c r="J33" s="23" t="str">
        <f t="shared" si="1"/>
        <v/>
      </c>
    </row>
    <row r="34" spans="1:10" x14ac:dyDescent="0.2">
      <c r="A34" s="9" t="str">
        <f>Hidden!PJ7</f>
        <v>Valves-DTM(AM)</v>
      </c>
      <c r="B34" s="16" t="str">
        <f>Hidden!PK7</f>
        <v>Gas/Vapor [4] [5]</v>
      </c>
      <c r="C34" s="42"/>
      <c r="D34" s="16" t="str">
        <f>_xlfn.IFNA((HLOOKUP($F$16,Hidden!$PK$2:$PS$64, ROW(Hidden!PJ6:QI6),FALSE)),"")</f>
        <v/>
      </c>
      <c r="E34" s="689" t="str">
        <f>IFERROR(IF($F$16="Oil and Gas",HLOOKUP($F$19,Hidden!$PT$2:QA$64,ROW(Hidden!6:6),FALSE),IF(OR($F$16="Butadiene w/MID",$F$16="Phosgene w/MID",$F$16="SOCMI Non-leaker"),"-",HLOOKUP($F$19,Hidden!QC$2:QI$35,ROW(Hidden!6:6),FALSE))),"")</f>
        <v/>
      </c>
      <c r="F34" s="758"/>
      <c r="G34" s="689" t="str">
        <f>IFERROR(IF($F$16="Oil and Gas",HLOOKUP($F$20,Hidden!$PT$2:QC$64,ROW(Hidden!6:6),FALSE),IF(OR($F$16="Butadiene w/MID",$F$16="Phosgene w/MID",$F$16="SOCMI Non-leaker"),"-",HLOOKUP($F$20,Hidden!QE$2:QK$35,ROW(Hidden!6:6),FALSE))),"")</f>
        <v/>
      </c>
      <c r="H34" s="758"/>
      <c r="I34" s="22" t="str">
        <f t="shared" si="0"/>
        <v/>
      </c>
      <c r="J34" s="23" t="str">
        <f t="shared" si="1"/>
        <v/>
      </c>
    </row>
    <row r="35" spans="1:10" x14ac:dyDescent="0.2">
      <c r="A35" s="9" t="str">
        <f>Hidden!PJ8</f>
        <v>Valves-DTM(AM)</v>
      </c>
      <c r="B35" s="16" t="str">
        <f>Hidden!PK8</f>
        <v>Light Liquid [4] [5]</v>
      </c>
      <c r="C35" s="42"/>
      <c r="D35" s="16" t="str">
        <f>_xlfn.IFNA((HLOOKUP($F$16,Hidden!$PK$2:$PS$64, ROW(Hidden!PJ7:QI7),FALSE)),"")</f>
        <v/>
      </c>
      <c r="E35" s="689" t="str">
        <f>IFERROR(IF($F$16="Oil and Gas",HLOOKUP($F$19,Hidden!$PT$2:QA$64,ROW(Hidden!7:7),FALSE),IF(OR($F$16="Butadiene w/MID",$F$16="Phosgene w/MID",$F$16="SOCMI Non-leaker"),"-",HLOOKUP($F$19,Hidden!QC$2:QI$35,ROW(Hidden!7:7),FALSE))),"")</f>
        <v/>
      </c>
      <c r="F35" s="758"/>
      <c r="G35" s="689" t="str">
        <f>IFERROR(IF($F$16="Oil and Gas",HLOOKUP($F$20,Hidden!$PT$2:QC$64,ROW(Hidden!7:7),FALSE),IF(OR($F$16="Butadiene w/MID",$F$16="Phosgene w/MID",$F$16="SOCMI Non-leaker"),"-",HLOOKUP($F$20,Hidden!QE$2:QK$35,ROW(Hidden!7:7),FALSE))),"")</f>
        <v/>
      </c>
      <c r="H35" s="758"/>
      <c r="I35" s="22" t="str">
        <f t="shared" si="0"/>
        <v/>
      </c>
      <c r="J35" s="23" t="str">
        <f t="shared" si="1"/>
        <v/>
      </c>
    </row>
    <row r="36" spans="1:10" x14ac:dyDescent="0.2">
      <c r="A36" s="9" t="str">
        <f>Hidden!PJ9</f>
        <v>Valves</v>
      </c>
      <c r="B36" s="16" t="str">
        <f>Hidden!PK9</f>
        <v>Heavy Liquid</v>
      </c>
      <c r="C36" s="42"/>
      <c r="D36" s="16" t="str">
        <f>_xlfn.IFNA((HLOOKUP($F$16,Hidden!$PK$2:$PS$64, ROW(Hidden!PJ8:QI8),FALSE)),"")</f>
        <v/>
      </c>
      <c r="E36" s="689" t="str">
        <f>IFERROR(IF($F$16="Oil and Gas",HLOOKUP($F$19,Hidden!$PT$2:QA$64,ROW(Hidden!8:8),FALSE),IF(OR($F$16="Butadiene w/MID",$F$16="Phosgene w/MID",$F$16="SOCMI Non-leaker"),"-",HLOOKUP($F$19,Hidden!QC$2:QI$35,ROW(Hidden!8:8),FALSE))),"")</f>
        <v/>
      </c>
      <c r="F36" s="758"/>
      <c r="G36" s="689" t="str">
        <f>IFERROR(IF($F$16="Oil and Gas",HLOOKUP($F$20,Hidden!$PT$2:QC$64,ROW(Hidden!8:8),FALSE),IF(OR($F$16="Butadiene w/MID",$F$16="Phosgene w/MID",$F$16="SOCMI Non-leaker"),"-",HLOOKUP($F$20,Hidden!QE$2:QK$35,ROW(Hidden!8:8),FALSE))),"")</f>
        <v/>
      </c>
      <c r="H36" s="758"/>
      <c r="I36" s="22" t="str">
        <f t="shared" si="0"/>
        <v/>
      </c>
      <c r="J36" s="23" t="str">
        <f t="shared" si="1"/>
        <v/>
      </c>
    </row>
    <row r="37" spans="1:10" x14ac:dyDescent="0.2">
      <c r="A37" s="9" t="str">
        <f>Hidden!PJ10</f>
        <v>Valves</v>
      </c>
      <c r="B37" s="16" t="str">
        <f>Hidden!PK10</f>
        <v>Ultra Heavy Liquid</v>
      </c>
      <c r="C37" s="42"/>
      <c r="D37" s="16" t="str">
        <f>_xlfn.IFNA((HLOOKUP($F$16,Hidden!$PK$2:$PS$64, ROW(Hidden!PJ9:QI9),FALSE)),"")</f>
        <v/>
      </c>
      <c r="E37" s="689" t="str">
        <f>IFERROR(IF($F$16="Oil and Gas",HLOOKUP($F$19,Hidden!$PT$2:QA$64,ROW(Hidden!9:9),FALSE),IF(OR($F$16="Butadiene w/MID",$F$16="Phosgene w/MID",$F$16="SOCMI Non-leaker"),"-",HLOOKUP($F$19,Hidden!QC$2:QI$35,ROW(Hidden!9:9),FALSE))),"")</f>
        <v/>
      </c>
      <c r="F37" s="758"/>
      <c r="G37" s="689" t="str">
        <f>IFERROR(IF($F$16="Oil and Gas",HLOOKUP($F$20,Hidden!$PT$2:QC$64,ROW(Hidden!9:9),FALSE),IF(OR($F$16="Butadiene w/MID",$F$16="Phosgene w/MID",$F$16="SOCMI Non-leaker"),"-",HLOOKUP($F$20,Hidden!QE$2:QK$35,ROW(Hidden!9:9),FALSE))),"")</f>
        <v/>
      </c>
      <c r="H37" s="758"/>
      <c r="I37" s="22" t="str">
        <f t="shared" si="0"/>
        <v/>
      </c>
      <c r="J37" s="23" t="str">
        <f t="shared" si="1"/>
        <v/>
      </c>
    </row>
    <row r="38" spans="1:10" x14ac:dyDescent="0.2">
      <c r="A38" s="9" t="str">
        <f>Hidden!PJ11</f>
        <v>Valves (controlled)</v>
      </c>
      <c r="B38" s="16" t="str">
        <f>Hidden!PK11</f>
        <v>All</v>
      </c>
      <c r="C38" s="42"/>
      <c r="D38" s="16" t="str">
        <f>_xlfn.IFNA((HLOOKUP($F$16,Hidden!$PK$2:$PS$64, ROW(Hidden!PJ10:QI10),FALSE)),"")</f>
        <v/>
      </c>
      <c r="E38" s="689" t="str">
        <f>IFERROR(IF($F$16="Oil and Gas",HLOOKUP($F$19,Hidden!$PT$2:QA$64,ROW(Hidden!10:10),FALSE),IF(OR($F$16="Butadiene w/MID",$F$16="Phosgene w/MID",$F$16="SOCMI Non-leaker"),"-",HLOOKUP($F$19,Hidden!QC$2:QI$35,ROW(Hidden!10:10),FALSE))),"")</f>
        <v/>
      </c>
      <c r="F38" s="758"/>
      <c r="G38" s="689" t="str">
        <f>IFERROR(IF($F$16="Oil and Gas",HLOOKUP($F$20,Hidden!$PT$2:QC$64,ROW(Hidden!10:10),FALSE),IF(OR($F$16="Butadiene w/MID",$F$16="Phosgene w/MID",$F$16="SOCMI Non-leaker"),"-",HLOOKUP($F$20,Hidden!QE$2:QK$35,ROW(Hidden!10:10),FALSE))),"")</f>
        <v/>
      </c>
      <c r="H38" s="758"/>
      <c r="I38" s="22" t="str">
        <f t="shared" si="0"/>
        <v/>
      </c>
      <c r="J38" s="23" t="str">
        <f t="shared" si="1"/>
        <v/>
      </c>
    </row>
    <row r="39" spans="1:10" x14ac:dyDescent="0.2">
      <c r="A39" s="9" t="str">
        <f>Hidden!PJ12</f>
        <v>Pumps</v>
      </c>
      <c r="B39" s="16" t="str">
        <f>Hidden!PK12</f>
        <v>Light Liquid</v>
      </c>
      <c r="C39" s="42"/>
      <c r="D39" s="16" t="str">
        <f>_xlfn.IFNA((HLOOKUP($F$16,Hidden!$PK$2:$PS$64, ROW(Hidden!PJ11:QI11),FALSE)),"")</f>
        <v/>
      </c>
      <c r="E39" s="689" t="str">
        <f>IFERROR(IF($F$16="Oil and Gas",HLOOKUP($F$19,Hidden!$PT$2:QA$64,ROW(Hidden!11:11),FALSE),IF(OR($F$16="Butadiene w/MID",$F$16="Phosgene w/MID",$F$16="SOCMI Non-leaker"),"-",HLOOKUP($F$19,Hidden!QC$2:QI$35,ROW(Hidden!11:11),FALSE))),"")</f>
        <v/>
      </c>
      <c r="F39" s="758"/>
      <c r="G39" s="689" t="str">
        <f>IFERROR(IF($F$16="Oil and Gas",HLOOKUP($F$20,Hidden!$PT$2:QC$64,ROW(Hidden!11:11),FALSE),IF(OR($F$16="Butadiene w/MID",$F$16="Phosgene w/MID",$F$16="SOCMI Non-leaker"),"-",HLOOKUP($F$20,Hidden!QE$2:QK$35,ROW(Hidden!11:11),FALSE))),"")</f>
        <v/>
      </c>
      <c r="H39" s="758"/>
      <c r="I39" s="22" t="str">
        <f t="shared" si="0"/>
        <v/>
      </c>
      <c r="J39" s="23" t="str">
        <f t="shared" si="1"/>
        <v/>
      </c>
    </row>
    <row r="40" spans="1:10" x14ac:dyDescent="0.2">
      <c r="A40" s="9" t="str">
        <f>Hidden!PJ13</f>
        <v>Pumps</v>
      </c>
      <c r="B40" s="16" t="str">
        <f>Hidden!PK13</f>
        <v>Heavy Liquid</v>
      </c>
      <c r="C40" s="42"/>
      <c r="D40" s="16" t="str">
        <f>_xlfn.IFNA((HLOOKUP($F$16,Hidden!$PK$2:$PS$64, ROW(Hidden!PJ12:QI12),FALSE)),"")</f>
        <v/>
      </c>
      <c r="E40" s="689" t="str">
        <f>IFERROR(IF($F$16="Oil and Gas",HLOOKUP($F$19,Hidden!$PT$2:QA$64,ROW(Hidden!12:12),FALSE),IF(OR($F$16="Butadiene w/MID",$F$16="Phosgene w/MID",$F$16="SOCMI Non-leaker"),"-",HLOOKUP($F$19,Hidden!QC$2:QI$35,ROW(Hidden!12:12),FALSE))),"")</f>
        <v/>
      </c>
      <c r="F40" s="758"/>
      <c r="G40" s="689" t="str">
        <f>IFERROR(IF($F$16="Oil and Gas",HLOOKUP($F$20,Hidden!$PT$2:QC$64,ROW(Hidden!12:12),FALSE),IF(OR($F$16="Butadiene w/MID",$F$16="Phosgene w/MID",$F$16="SOCMI Non-leaker"),"-",HLOOKUP($F$20,Hidden!QE$2:QK$35,ROW(Hidden!12:12),FALSE))),"")</f>
        <v/>
      </c>
      <c r="H40" s="758"/>
      <c r="I40" s="22" t="str">
        <f t="shared" si="0"/>
        <v/>
      </c>
      <c r="J40" s="23" t="str">
        <f t="shared" si="1"/>
        <v/>
      </c>
    </row>
    <row r="41" spans="1:10" x14ac:dyDescent="0.2">
      <c r="A41" s="9" t="str">
        <f>Hidden!PJ14</f>
        <v>Pumps</v>
      </c>
      <c r="B41" s="16" t="str">
        <f>Hidden!PK14</f>
        <v>Ultra Heavy Liquid</v>
      </c>
      <c r="C41" s="42"/>
      <c r="D41" s="16" t="str">
        <f>_xlfn.IFNA((HLOOKUP($F$16,Hidden!$PK$2:$PS$64, ROW(Hidden!PJ13:QI13),FALSE)),"")</f>
        <v/>
      </c>
      <c r="E41" s="689" t="str">
        <f>IFERROR(IF($F$16="Oil and Gas",HLOOKUP($F$19,Hidden!$PT$2:QA$64,ROW(Hidden!13:13),FALSE),IF(OR($F$16="Butadiene w/MID",$F$16="Phosgene w/MID",$F$16="SOCMI Non-leaker"),"-",HLOOKUP($F$19,Hidden!QC$2:QI$35,ROW(Hidden!13:13),FALSE))),"")</f>
        <v/>
      </c>
      <c r="F41" s="758"/>
      <c r="G41" s="689" t="str">
        <f>IFERROR(IF($F$16="Oil and Gas",HLOOKUP($F$20,Hidden!$PT$2:QC$64,ROW(Hidden!13:13),FALSE),IF(OR($F$16="Butadiene w/MID",$F$16="Phosgene w/MID",$F$16="SOCMI Non-leaker"),"-",HLOOKUP($F$20,Hidden!QE$2:QK$35,ROW(Hidden!13:13),FALSE))),"")</f>
        <v/>
      </c>
      <c r="H41" s="758"/>
      <c r="I41" s="22" t="str">
        <f t="shared" si="0"/>
        <v/>
      </c>
      <c r="J41" s="23" t="str">
        <f t="shared" si="1"/>
        <v/>
      </c>
    </row>
    <row r="42" spans="1:10" x14ac:dyDescent="0.2">
      <c r="A42" s="9" t="str">
        <f>Hidden!PJ15</f>
        <v>Pumps (controlled)</v>
      </c>
      <c r="B42" s="16" t="str">
        <f>Hidden!PK15</f>
        <v>All</v>
      </c>
      <c r="C42" s="42"/>
      <c r="D42" s="16" t="str">
        <f>_xlfn.IFNA((HLOOKUP($F$16,Hidden!$PK$2:$PS$64, ROW(Hidden!PJ14:QI14),FALSE)),"")</f>
        <v/>
      </c>
      <c r="E42" s="689" t="str">
        <f>IFERROR(IF($F$16="Oil and Gas",HLOOKUP($F$19,Hidden!$PT$2:QA$64,ROW(Hidden!14:14),FALSE),IF(OR($F$16="Butadiene w/MID",$F$16="Phosgene w/MID",$F$16="SOCMI Non-leaker"),"-",HLOOKUP($F$19,Hidden!QC$2:QI$35,ROW(Hidden!14:14),FALSE))),"")</f>
        <v/>
      </c>
      <c r="F42" s="758"/>
      <c r="G42" s="689" t="str">
        <f>IFERROR(IF($F$16="Oil and Gas",HLOOKUP($F$20,Hidden!$PT$2:QC$64,ROW(Hidden!14:14),FALSE),IF(OR($F$16="Butadiene w/MID",$F$16="Phosgene w/MID",$F$16="SOCMI Non-leaker"),"-",HLOOKUP($F$20,Hidden!QE$2:QK$35,ROW(Hidden!14:14),FALSE))),"")</f>
        <v/>
      </c>
      <c r="H42" s="758"/>
      <c r="I42" s="22" t="str">
        <f t="shared" si="0"/>
        <v/>
      </c>
      <c r="J42" s="23" t="str">
        <f t="shared" si="1"/>
        <v/>
      </c>
    </row>
    <row r="43" spans="1:10" x14ac:dyDescent="0.2">
      <c r="A43" s="9" t="str">
        <f>Hidden!PJ16</f>
        <v>Flanges/Connectors</v>
      </c>
      <c r="B43" s="16" t="str">
        <f>Hidden!PK16</f>
        <v>Gas/Vapor</v>
      </c>
      <c r="C43" s="42"/>
      <c r="D43" s="16" t="str">
        <f>_xlfn.IFNA((HLOOKUP($F$16,Hidden!$PK$2:$PS$64, ROW(Hidden!PJ15:QI15),FALSE)),"")</f>
        <v/>
      </c>
      <c r="E43" s="689" t="str">
        <f>IFERROR(IF($F$16="Oil and Gas",HLOOKUP($F$19,Hidden!$PT$2:QA$64,ROW(Hidden!15:15),FALSE),IF(OR($F$16="Butadiene w/MID",$F$16="Phosgene w/MID",$F$16="SOCMI Non-leaker"),"-",HLOOKUP($F$19,Hidden!QC$2:QI$35,ROW(Hidden!15:15),FALSE))),"")</f>
        <v/>
      </c>
      <c r="F43" s="758"/>
      <c r="G43" s="689" t="str">
        <f>IFERROR(IF($F$16="Oil and Gas",HLOOKUP($F$20,Hidden!$PT$2:QC$64,ROW(Hidden!15:15),FALSE),IF(OR($F$16="Butadiene w/MID",$F$16="Phosgene w/MID",$F$16="SOCMI Non-leaker"),"-",HLOOKUP($F$20,Hidden!QE$2:QK$35,ROW(Hidden!15:15),FALSE))),"")</f>
        <v/>
      </c>
      <c r="H43" s="758"/>
      <c r="I43" s="22" t="str">
        <f t="shared" si="0"/>
        <v/>
      </c>
      <c r="J43" s="23" t="str">
        <f t="shared" si="1"/>
        <v/>
      </c>
    </row>
    <row r="44" spans="1:10" x14ac:dyDescent="0.2">
      <c r="A44" s="9" t="str">
        <f>Hidden!PJ17</f>
        <v>Flanges/Connectors</v>
      </c>
      <c r="B44" s="16" t="str">
        <f>Hidden!PK17</f>
        <v>Light Liquid</v>
      </c>
      <c r="C44" s="42"/>
      <c r="D44" s="16" t="str">
        <f>_xlfn.IFNA((HLOOKUP($F$16,Hidden!$PK$2:$PS$64, ROW(Hidden!PJ16:QI16),FALSE)),"")</f>
        <v/>
      </c>
      <c r="E44" s="689" t="str">
        <f>IFERROR(IF($F$16="Oil and Gas",HLOOKUP($F$19,Hidden!$PT$2:QA$64,ROW(Hidden!16:16),FALSE),IF(OR($F$16="Butadiene w/MID",$F$16="Phosgene w/MID",$F$16="SOCMI Non-leaker"),"-",HLOOKUP($F$19,Hidden!QC$2:QI$35,ROW(Hidden!16:16),FALSE))),"")</f>
        <v/>
      </c>
      <c r="F44" s="758"/>
      <c r="G44" s="689" t="str">
        <f>IFERROR(IF($F$16="Oil and Gas",HLOOKUP($F$20,Hidden!$PT$2:QC$64,ROW(Hidden!16:16),FALSE),IF(OR($F$16="Butadiene w/MID",$F$16="Phosgene w/MID",$F$16="SOCMI Non-leaker"),"-",HLOOKUP($F$20,Hidden!QE$2:QK$35,ROW(Hidden!16:16),FALSE))),"")</f>
        <v/>
      </c>
      <c r="H44" s="758"/>
      <c r="I44" s="22" t="str">
        <f t="shared" si="0"/>
        <v/>
      </c>
      <c r="J44" s="23" t="str">
        <f t="shared" si="1"/>
        <v/>
      </c>
    </row>
    <row r="45" spans="1:10" x14ac:dyDescent="0.2">
      <c r="A45" s="9" t="str">
        <f>Hidden!PJ18</f>
        <v>Flanges/Connectors-DTM</v>
      </c>
      <c r="B45" s="16" t="str">
        <f>Hidden!PK18</f>
        <v>Gas/Vapor [4]</v>
      </c>
      <c r="C45" s="42"/>
      <c r="D45" s="16" t="str">
        <f>_xlfn.IFNA((HLOOKUP($F$16,Hidden!$PK$2:$PS$64, ROW(Hidden!PJ17:QI17),FALSE)),"")</f>
        <v/>
      </c>
      <c r="E45" s="689" t="str">
        <f>IFERROR(IF($F$16="Oil and Gas",HLOOKUP($F$19,Hidden!$PT$2:QA$64,ROW(Hidden!17:17),FALSE),IF(OR($F$16="Butadiene w/MID",$F$16="Phosgene w/MID",$F$16="SOCMI Non-leaker"),"-",HLOOKUP($F$19,Hidden!QC$2:QI$35,ROW(Hidden!17:17),FALSE))),"")</f>
        <v/>
      </c>
      <c r="F45" s="758"/>
      <c r="G45" s="689" t="str">
        <f>IFERROR(IF($F$16="Oil and Gas",HLOOKUP($F$20,Hidden!$PT$2:QC$64,ROW(Hidden!17:17),FALSE),IF(OR($F$16="Butadiene w/MID",$F$16="Phosgene w/MID",$F$16="SOCMI Non-leaker"),"-",HLOOKUP($F$20,Hidden!QE$2:QK$35,ROW(Hidden!17:17),FALSE))),"")</f>
        <v/>
      </c>
      <c r="H45" s="758"/>
      <c r="I45" s="22" t="str">
        <f t="shared" si="0"/>
        <v/>
      </c>
      <c r="J45" s="23" t="str">
        <f t="shared" si="1"/>
        <v/>
      </c>
    </row>
    <row r="46" spans="1:10" x14ac:dyDescent="0.2">
      <c r="A46" s="9" t="str">
        <f>Hidden!PJ19</f>
        <v>Flanges/Connectors-DTM</v>
      </c>
      <c r="B46" s="16" t="str">
        <f>Hidden!PK19</f>
        <v>Light Liquid [4]</v>
      </c>
      <c r="C46" s="42"/>
      <c r="D46" s="16" t="str">
        <f>_xlfn.IFNA((HLOOKUP($F$16,Hidden!$PK$2:$PS$64, ROW(Hidden!PJ18:QI18),FALSE)),"")</f>
        <v/>
      </c>
      <c r="E46" s="689" t="str">
        <f>IFERROR(IF($F$16="Oil and Gas",HLOOKUP($F$19,Hidden!$PT$2:QA$64,ROW(Hidden!18:18),FALSE),IF(OR($F$16="Butadiene w/MID",$F$16="Phosgene w/MID",$F$16="SOCMI Non-leaker"),"-",HLOOKUP($F$19,Hidden!QC$2:QI$35,ROW(Hidden!18:18),FALSE))),"")</f>
        <v/>
      </c>
      <c r="F46" s="758"/>
      <c r="G46" s="689" t="str">
        <f>IFERROR(IF($F$16="Oil and Gas",HLOOKUP($F$20,Hidden!$PT$2:QC$64,ROW(Hidden!18:18),FALSE),IF(OR($F$16="Butadiene w/MID",$F$16="Phosgene w/MID",$F$16="SOCMI Non-leaker"),"-",HLOOKUP($F$20,Hidden!QE$2:QK$35,ROW(Hidden!18:18),FALSE))),"")</f>
        <v/>
      </c>
      <c r="H46" s="758"/>
      <c r="I46" s="22" t="str">
        <f t="shared" si="0"/>
        <v/>
      </c>
      <c r="J46" s="23" t="str">
        <f t="shared" si="1"/>
        <v/>
      </c>
    </row>
    <row r="47" spans="1:10" x14ac:dyDescent="0.2">
      <c r="A47" s="9" t="str">
        <f>Hidden!PJ20</f>
        <v>Flanges/Connectors-DTM(AM)</v>
      </c>
      <c r="B47" s="16" t="str">
        <f>Hidden!PK20</f>
        <v>Gas/Vapor [4] [5]</v>
      </c>
      <c r="C47" s="42"/>
      <c r="D47" s="16" t="str">
        <f>_xlfn.IFNA((HLOOKUP($F$16,Hidden!$PK$2:$PS$64, ROW(Hidden!PJ19:QI19),FALSE)),"")</f>
        <v/>
      </c>
      <c r="E47" s="689" t="str">
        <f>IFERROR(IF($F$16="Oil and Gas",HLOOKUP($F$19,Hidden!$PT$2:QA$64,ROW(Hidden!19:19),FALSE),IF(OR($F$16="Butadiene w/MID",$F$16="Phosgene w/MID",$F$16="SOCMI Non-leaker"),"-",HLOOKUP($F$19,Hidden!QC$2:QI$35,ROW(Hidden!19:19),FALSE))),"")</f>
        <v/>
      </c>
      <c r="F47" s="758"/>
      <c r="G47" s="689" t="str">
        <f>IFERROR(IF($F$16="Oil and Gas",HLOOKUP($F$20,Hidden!$PT$2:QC$64,ROW(Hidden!19:19),FALSE),IF(OR($F$16="Butadiene w/MID",$F$16="Phosgene w/MID",$F$16="SOCMI Non-leaker"),"-",HLOOKUP($F$20,Hidden!QE$2:QK$35,ROW(Hidden!19:19),FALSE))),"")</f>
        <v/>
      </c>
      <c r="H47" s="758"/>
      <c r="I47" s="22" t="str">
        <f t="shared" si="0"/>
        <v/>
      </c>
      <c r="J47" s="23" t="str">
        <f t="shared" si="1"/>
        <v/>
      </c>
    </row>
    <row r="48" spans="1:10" x14ac:dyDescent="0.2">
      <c r="A48" s="9" t="str">
        <f>Hidden!PJ21</f>
        <v>Flanges/Connectors-DTM(AM)</v>
      </c>
      <c r="B48" s="16" t="str">
        <f>Hidden!PK21</f>
        <v>Light Liquid [4] [5]</v>
      </c>
      <c r="C48" s="42"/>
      <c r="D48" s="16" t="str">
        <f>_xlfn.IFNA((HLOOKUP($F$16,Hidden!$PK$2:$PS$64, ROW(Hidden!PJ20:QI20),FALSE)),"")</f>
        <v/>
      </c>
      <c r="E48" s="689" t="str">
        <f>IFERROR(IF($F$16="Oil and Gas",HLOOKUP($F$19,Hidden!$PT$2:QA$64,ROW(Hidden!20:20),FALSE),IF(OR($F$16="Butadiene w/MID",$F$16="Phosgene w/MID",$F$16="SOCMI Non-leaker"),"-",HLOOKUP($F$19,Hidden!QC$2:QI$35,ROW(Hidden!20:20),FALSE))),"")</f>
        <v/>
      </c>
      <c r="F48" s="758"/>
      <c r="G48" s="689" t="str">
        <f>IFERROR(IF($F$16="Oil and Gas",HLOOKUP($F$20,Hidden!$PT$2:QC$64,ROW(Hidden!20:20),FALSE),IF(OR($F$16="Butadiene w/MID",$F$16="Phosgene w/MID",$F$16="SOCMI Non-leaker"),"-",HLOOKUP($F$20,Hidden!QE$2:QK$35,ROW(Hidden!20:20),FALSE))),"")</f>
        <v/>
      </c>
      <c r="H48" s="758"/>
      <c r="I48" s="22" t="str">
        <f t="shared" si="0"/>
        <v/>
      </c>
      <c r="J48" s="23" t="str">
        <f t="shared" si="1"/>
        <v/>
      </c>
    </row>
    <row r="49" spans="1:10" x14ac:dyDescent="0.2">
      <c r="A49" s="9" t="str">
        <f>Hidden!PJ22</f>
        <v>Flanges/Connectors</v>
      </c>
      <c r="B49" s="16" t="str">
        <f>Hidden!PK22</f>
        <v>Heavy Liquid</v>
      </c>
      <c r="C49" s="42"/>
      <c r="D49" s="16" t="str">
        <f>_xlfn.IFNA((HLOOKUP($F$16,Hidden!$PK$2:$PS$64, ROW(Hidden!PJ21:QI21),FALSE)),"")</f>
        <v/>
      </c>
      <c r="E49" s="689" t="str">
        <f>IFERROR(IF($F$16="Oil and Gas",HLOOKUP($F$19,Hidden!$PT$2:QA$64,ROW(Hidden!21:21),FALSE),IF(OR($F$16="Butadiene w/MID",$F$16="Phosgene w/MID",$F$16="SOCMI Non-leaker"),"-",HLOOKUP($F$19,Hidden!QC$2:QI$35,ROW(Hidden!21:21),FALSE))),"")</f>
        <v/>
      </c>
      <c r="F49" s="758"/>
      <c r="G49" s="689" t="str">
        <f>IFERROR(IF($F$16="Oil and Gas",HLOOKUP($F$20,Hidden!$PT$2:QC$64,ROW(Hidden!21:21),FALSE),IF(OR($F$16="Butadiene w/MID",$F$16="Phosgene w/MID",$F$16="SOCMI Non-leaker"),"-",HLOOKUP($F$20,Hidden!QE$2:QK$35,ROW(Hidden!21:21),FALSE))),"")</f>
        <v/>
      </c>
      <c r="H49" s="758"/>
      <c r="I49" s="22" t="str">
        <f t="shared" si="0"/>
        <v/>
      </c>
      <c r="J49" s="23" t="str">
        <f t="shared" si="1"/>
        <v/>
      </c>
    </row>
    <row r="50" spans="1:10" x14ac:dyDescent="0.2">
      <c r="A50" s="9" t="str">
        <f>Hidden!PJ23</f>
        <v>Flanges/Connectors</v>
      </c>
      <c r="B50" s="16" t="str">
        <f>Hidden!PK23</f>
        <v>Ultra Heavy Liquid</v>
      </c>
      <c r="C50" s="42"/>
      <c r="D50" s="16" t="str">
        <f>_xlfn.IFNA((HLOOKUP($F$16,Hidden!$PK$2:$PS$64, ROW(Hidden!PJ22:QI22),FALSE)),"")</f>
        <v/>
      </c>
      <c r="E50" s="689" t="str">
        <f>IFERROR(IF($F$16="Oil and Gas",HLOOKUP($F$19,Hidden!$PT$2:QA$64,ROW(Hidden!22:22),FALSE),IF(OR($F$16="Butadiene w/MID",$F$16="Phosgene w/MID",$F$16="SOCMI Non-leaker"),"-",HLOOKUP($F$19,Hidden!QC$2:QI$35,ROW(Hidden!22:22),FALSE))),"")</f>
        <v/>
      </c>
      <c r="F50" s="758"/>
      <c r="G50" s="689" t="str">
        <f>IFERROR(IF($F$16="Oil and Gas",HLOOKUP($F$20,Hidden!$PT$2:QC$64,ROW(Hidden!22:22),FALSE),IF(OR($F$16="Butadiene w/MID",$F$16="Phosgene w/MID",$F$16="SOCMI Non-leaker"),"-",HLOOKUP($F$20,Hidden!QE$2:QK$35,ROW(Hidden!22:22),FALSE))),"")</f>
        <v/>
      </c>
      <c r="H50" s="758"/>
      <c r="I50" s="22" t="str">
        <f t="shared" si="0"/>
        <v/>
      </c>
      <c r="J50" s="23" t="str">
        <f t="shared" si="1"/>
        <v/>
      </c>
    </row>
    <row r="51" spans="1:10" x14ac:dyDescent="0.2">
      <c r="A51" s="9" t="str">
        <f>Hidden!PJ24</f>
        <v>Flanges/Connectors (controlled)</v>
      </c>
      <c r="B51" s="16" t="str">
        <f>Hidden!PK24</f>
        <v>All</v>
      </c>
      <c r="C51" s="42"/>
      <c r="D51" s="16" t="str">
        <f>_xlfn.IFNA((HLOOKUP($F$16,Hidden!$PK$2:$PS$64, ROW(Hidden!PJ23:QI23),FALSE)),"")</f>
        <v/>
      </c>
      <c r="E51" s="689" t="str">
        <f>IFERROR(IF($F$16="Oil and Gas",HLOOKUP($F$19,Hidden!$PT$2:QA$64,ROW(Hidden!23:23),FALSE),IF(OR($F$16="Butadiene w/MID",$F$16="Phosgene w/MID",$F$16="SOCMI Non-leaker"),"-",HLOOKUP($F$19,Hidden!QC$2:QI$35,ROW(Hidden!23:23),FALSE))),"")</f>
        <v/>
      </c>
      <c r="F51" s="758"/>
      <c r="G51" s="689" t="str">
        <f>IFERROR(IF($F$16="Oil and Gas",HLOOKUP($F$20,Hidden!$PT$2:QC$64,ROW(Hidden!23:23),FALSE),IF(OR($F$16="Butadiene w/MID",$F$16="Phosgene w/MID",$F$16="SOCMI Non-leaker"),"-",HLOOKUP($F$20,Hidden!QE$2:QK$35,ROW(Hidden!23:23),FALSE))),"")</f>
        <v/>
      </c>
      <c r="H51" s="758"/>
      <c r="I51" s="22" t="str">
        <f t="shared" si="0"/>
        <v/>
      </c>
      <c r="J51" s="23" t="str">
        <f t="shared" si="1"/>
        <v/>
      </c>
    </row>
    <row r="52" spans="1:10" x14ac:dyDescent="0.2">
      <c r="A52" s="9" t="str">
        <f>Hidden!PJ25</f>
        <v>Compressors</v>
      </c>
      <c r="B52" s="16" t="str">
        <f>Hidden!PK25</f>
        <v>Gas/Vapor</v>
      </c>
      <c r="C52" s="42"/>
      <c r="D52" s="16" t="str">
        <f>_xlfn.IFNA((HLOOKUP($F$16,Hidden!$PK$2:$PS$64, ROW(Hidden!PJ24:QI24),FALSE)),"")</f>
        <v/>
      </c>
      <c r="E52" s="689" t="str">
        <f>IFERROR(IF($F$16="Oil and Gas",HLOOKUP($F$19,Hidden!$PT$2:QA$64,ROW(Hidden!24:24),FALSE),IF(OR($F$16="Butadiene w/MID",$F$16="Phosgene w/MID",$F$16="SOCMI Non-leaker"),"-",HLOOKUP($F$19,Hidden!QC$2:QI$35,ROW(Hidden!24:24),FALSE))),"")</f>
        <v/>
      </c>
      <c r="F52" s="758"/>
      <c r="G52" s="689" t="str">
        <f>IFERROR(IF($F$16="Oil and Gas",HLOOKUP($F$20,Hidden!$PT$2:QC$64,ROW(Hidden!24:24),FALSE),IF(OR($F$16="Butadiene w/MID",$F$16="Phosgene w/MID",$F$16="SOCMI Non-leaker"),"-",HLOOKUP($F$20,Hidden!QE$2:QK$35,ROW(Hidden!24:24),FALSE))),"")</f>
        <v/>
      </c>
      <c r="H52" s="758"/>
      <c r="I52" s="22" t="str">
        <f t="shared" si="0"/>
        <v/>
      </c>
      <c r="J52" s="23" t="str">
        <f t="shared" si="1"/>
        <v/>
      </c>
    </row>
    <row r="53" spans="1:10" x14ac:dyDescent="0.2">
      <c r="A53" s="9" t="str">
        <f>Hidden!PJ26</f>
        <v>Compressors (controlled)</v>
      </c>
      <c r="B53" s="16" t="str">
        <f>Hidden!PK26</f>
        <v>All</v>
      </c>
      <c r="C53" s="42"/>
      <c r="D53" s="16" t="str">
        <f>_xlfn.IFNA((HLOOKUP($F$16,Hidden!$PK$2:$PS$64, ROW(Hidden!PJ25:QI25),FALSE)),"")</f>
        <v/>
      </c>
      <c r="E53" s="689" t="str">
        <f>IFERROR(IF($F$16="Oil and Gas",HLOOKUP($F$19,Hidden!$PT$2:QA$64,ROW(Hidden!25:25),FALSE),IF(OR($F$16="Butadiene w/MID",$F$16="Phosgene w/MID",$F$16="SOCMI Non-leaker"),"-",HLOOKUP($F$19,Hidden!QC$2:QI$35,ROW(Hidden!25:25),FALSE))),"")</f>
        <v/>
      </c>
      <c r="F53" s="758"/>
      <c r="G53" s="689" t="str">
        <f>IFERROR(IF($F$16="Oil and Gas",HLOOKUP($F$20,Hidden!$PT$2:QC$64,ROW(Hidden!25:25),FALSE),IF(OR($F$16="Butadiene w/MID",$F$16="Phosgene w/MID",$F$16="SOCMI Non-leaker"),"-",HLOOKUP($F$20,Hidden!QE$2:QK$35,ROW(Hidden!25:25),FALSE))),"")</f>
        <v/>
      </c>
      <c r="H53" s="758"/>
      <c r="I53" s="22" t="str">
        <f t="shared" si="0"/>
        <v/>
      </c>
      <c r="J53" s="23" t="str">
        <f t="shared" si="1"/>
        <v/>
      </c>
    </row>
    <row r="54" spans="1:10" x14ac:dyDescent="0.2">
      <c r="A54" s="9" t="str">
        <f>Hidden!PJ27</f>
        <v>Relief Valves</v>
      </c>
      <c r="B54" s="16" t="str">
        <f>Hidden!PK27</f>
        <v>Gas/Vapor</v>
      </c>
      <c r="C54" s="42"/>
      <c r="D54" s="16" t="str">
        <f>_xlfn.IFNA((HLOOKUP($F$16,Hidden!$PK$2:$PS$64, ROW(Hidden!PJ26:QI26),FALSE)),"")</f>
        <v/>
      </c>
      <c r="E54" s="689" t="str">
        <f>IFERROR(IF($F$16="Oil and Gas",HLOOKUP($F$19,Hidden!$PT$2:QA$64,ROW(Hidden!26:26),FALSE),IF(OR($F$16="Butadiene w/MID",$F$16="Phosgene w/MID",$F$16="SOCMI Non-leaker"),"-",HLOOKUP($F$19,Hidden!QC$2:QI$35,ROW(Hidden!26:26),FALSE))),"")</f>
        <v/>
      </c>
      <c r="F54" s="758"/>
      <c r="G54" s="689" t="str">
        <f>IFERROR(IF($F$16="Oil and Gas",HLOOKUP($F$20,Hidden!$PT$2:QC$64,ROW(Hidden!26:26),FALSE),IF(OR($F$16="Butadiene w/MID",$F$16="Phosgene w/MID",$F$16="SOCMI Non-leaker"),"-",HLOOKUP($F$20,Hidden!QE$2:QK$35,ROW(Hidden!26:26),FALSE))),"")</f>
        <v/>
      </c>
      <c r="H54" s="758"/>
      <c r="I54" s="22" t="str">
        <f t="shared" si="0"/>
        <v/>
      </c>
      <c r="J54" s="23" t="str">
        <f t="shared" si="1"/>
        <v/>
      </c>
    </row>
    <row r="55" spans="1:10" x14ac:dyDescent="0.2">
      <c r="A55" s="9" t="str">
        <f>Hidden!PJ28</f>
        <v>Relief Valves</v>
      </c>
      <c r="B55" s="16" t="str">
        <f>Hidden!PK28</f>
        <v>Light Liquid [1]</v>
      </c>
      <c r="C55" s="42"/>
      <c r="D55" s="16" t="str">
        <f>_xlfn.IFNA((HLOOKUP($F$16,Hidden!$PK$2:$PS$64, ROW(Hidden!PJ27:QI27),FALSE)),"")</f>
        <v/>
      </c>
      <c r="E55" s="689" t="str">
        <f>IFERROR(IF($F$16="Oil and Gas",HLOOKUP($F$19,Hidden!$PT$2:QA$64,ROW(Hidden!27:27),FALSE),IF(OR($F$16="Butadiene w/MID",$F$16="Phosgene w/MID",$F$16="SOCMI Non-leaker"),"-",HLOOKUP($F$19,Hidden!QC$2:QI$35,ROW(Hidden!27:27),FALSE))),"")</f>
        <v/>
      </c>
      <c r="F55" s="758"/>
      <c r="G55" s="689" t="str">
        <f>IFERROR(IF($F$16="Oil and Gas",HLOOKUP($F$20,Hidden!$PT$2:QC$64,ROW(Hidden!27:27),FALSE),IF(OR($F$16="Butadiene w/MID",$F$16="Phosgene w/MID",$F$16="SOCMI Non-leaker"),"-",HLOOKUP($F$20,Hidden!QE$2:QK$35,ROW(Hidden!27:27),FALSE))),"")</f>
        <v/>
      </c>
      <c r="H55" s="758"/>
      <c r="I55" s="22" t="str">
        <f t="shared" si="0"/>
        <v/>
      </c>
      <c r="J55" s="23" t="str">
        <f t="shared" si="1"/>
        <v/>
      </c>
    </row>
    <row r="56" spans="1:10" x14ac:dyDescent="0.2">
      <c r="A56" s="9" t="str">
        <f>Hidden!PJ29</f>
        <v>Relief Valves (controlled)</v>
      </c>
      <c r="B56" s="16" t="str">
        <f>Hidden!PK29</f>
        <v>All</v>
      </c>
      <c r="C56" s="42"/>
      <c r="D56" s="16" t="str">
        <f>_xlfn.IFNA((HLOOKUP($F$16,Hidden!$PK$2:$PS$64, ROW(Hidden!PJ28:QI28),FALSE)),"")</f>
        <v/>
      </c>
      <c r="E56" s="689" t="str">
        <f>IFERROR(IF($F$16="Oil and Gas",HLOOKUP($F$19,Hidden!$PT$2:QA$64,ROW(Hidden!28:28),FALSE),IF(OR($F$16="Butadiene w/MID",$F$16="Phosgene w/MID",$F$16="SOCMI Non-leaker"),"-",HLOOKUP($F$19,Hidden!QC$2:QI$35,ROW(Hidden!28:28),FALSE))),"")</f>
        <v/>
      </c>
      <c r="F56" s="758"/>
      <c r="G56" s="689" t="str">
        <f>IFERROR(IF($F$16="Oil and Gas",HLOOKUP($F$20,Hidden!$PT$2:QC$64,ROW(Hidden!28:28),FALSE),IF(OR($F$16="Butadiene w/MID",$F$16="Phosgene w/MID",$F$16="SOCMI Non-leaker"),"-",HLOOKUP($F$20,Hidden!QE$2:QK$35,ROW(Hidden!28:28),FALSE))),"")</f>
        <v/>
      </c>
      <c r="H56" s="758"/>
      <c r="I56" s="22" t="str">
        <f t="shared" si="0"/>
        <v/>
      </c>
      <c r="J56" s="23" t="str">
        <f t="shared" si="1"/>
        <v/>
      </c>
    </row>
    <row r="57" spans="1:10" x14ac:dyDescent="0.2">
      <c r="A57" s="9" t="str">
        <f>Hidden!PJ30</f>
        <v>Open-Ended Lines</v>
      </c>
      <c r="B57" s="16" t="str">
        <f>Hidden!PK30</f>
        <v>All</v>
      </c>
      <c r="C57" s="42"/>
      <c r="D57" s="16" t="str">
        <f>_xlfn.IFNA((HLOOKUP($F$16,Hidden!$PK$2:$PS$64, ROW(Hidden!PJ29:QI29),FALSE)),"")</f>
        <v/>
      </c>
      <c r="E57" s="689" t="str">
        <f>IFERROR(IF($F$16="Oil and Gas",HLOOKUP($F$19,Hidden!$PT$2:QA$64,ROW(Hidden!29:29),FALSE),IF(OR($F$16="Butadiene w/MID",$F$16="Phosgene w/MID",$F$16="SOCMI Non-leaker"),"-",HLOOKUP($F$19,Hidden!QC$2:QI$35,ROW(Hidden!29:29),FALSE))),"")</f>
        <v/>
      </c>
      <c r="F57" s="758"/>
      <c r="G57" s="689" t="str">
        <f>IFERROR(IF($F$16="Oil and Gas",HLOOKUP($F$20,Hidden!$PT$2:QC$64,ROW(Hidden!29:29),FALSE),IF(OR($F$16="Butadiene w/MID",$F$16="Phosgene w/MID",$F$16="SOCMI Non-leaker"),"-",HLOOKUP($F$20,Hidden!QE$2:QK$35,ROW(Hidden!29:29),FALSE))),"")</f>
        <v/>
      </c>
      <c r="H57" s="758"/>
      <c r="I57" s="22" t="str">
        <f t="shared" si="0"/>
        <v/>
      </c>
      <c r="J57" s="23" t="str">
        <f t="shared" si="1"/>
        <v/>
      </c>
    </row>
    <row r="58" spans="1:10" x14ac:dyDescent="0.2">
      <c r="A58" s="9" t="str">
        <f>Hidden!PJ31</f>
        <v>Open-Ended Lines (controlled)</v>
      </c>
      <c r="B58" s="16" t="str">
        <f>Hidden!PK31</f>
        <v>All</v>
      </c>
      <c r="C58" s="42"/>
      <c r="D58" s="16" t="str">
        <f>_xlfn.IFNA((HLOOKUP($F$16,Hidden!$PK$2:$PS$64, ROW(Hidden!PJ30:QI30),FALSE)),"")</f>
        <v/>
      </c>
      <c r="E58" s="689" t="str">
        <f>IFERROR(IF($F$16="Oil and Gas",HLOOKUP($F$19,Hidden!$PT$2:QA$64,ROW(Hidden!30:30),FALSE),IF(OR($F$16="Butadiene w/MID",$F$16="Phosgene w/MID",$F$16="SOCMI Non-leaker"),"-",HLOOKUP($F$19,Hidden!QC$2:QI$35,ROW(Hidden!30:30),FALSE))),"")</f>
        <v/>
      </c>
      <c r="F58" s="758"/>
      <c r="G58" s="689" t="str">
        <f>IFERROR(IF($F$16="Oil and Gas",HLOOKUP($F$20,Hidden!$PT$2:QC$64,ROW(Hidden!30:30),FALSE),IF(OR($F$16="Butadiene w/MID",$F$16="Phosgene w/MID",$F$16="SOCMI Non-leaker"),"-",HLOOKUP($F$20,Hidden!QE$2:QK$35,ROW(Hidden!30:30),FALSE))),"")</f>
        <v/>
      </c>
      <c r="H58" s="758"/>
      <c r="I58" s="22" t="str">
        <f t="shared" si="0"/>
        <v/>
      </c>
      <c r="J58" s="23" t="str">
        <f t="shared" si="1"/>
        <v/>
      </c>
    </row>
    <row r="59" spans="1:10" x14ac:dyDescent="0.2">
      <c r="A59" s="9" t="str">
        <f>Hidden!PJ32</f>
        <v>Sampling Connections (hourly)</v>
      </c>
      <c r="B59" s="16" t="str">
        <f>Hidden!PK32</f>
        <v>All [3]</v>
      </c>
      <c r="C59" s="42"/>
      <c r="D59" s="16" t="str">
        <f>_xlfn.IFNA((HLOOKUP($F$16,Hidden!$PK$2:$PS$64, ROW(Hidden!PJ31:QI31),FALSE)),"")</f>
        <v/>
      </c>
      <c r="E59" s="689" t="str">
        <f>IFERROR(IF($F$16="Oil and Gas",HLOOKUP($F$19,Hidden!$PT$2:QA$64,ROW(Hidden!31:31),FALSE),IF(OR($F$16="Butadiene w/MID",$F$16="Phosgene w/MID",$F$16="SOCMI Non-leaker"),"-",HLOOKUP($F$19,Hidden!QC$2:QI$35,ROW(Hidden!31:31),FALSE))),"")</f>
        <v/>
      </c>
      <c r="F59" s="758"/>
      <c r="G59" s="689" t="str">
        <f>IFERROR(IF($F$16="Oil and Gas",HLOOKUP($F$20,Hidden!$PT$2:QC$64,ROW(Hidden!31:31),FALSE),IF(OR($F$16="Butadiene w/MID",$F$16="Phosgene w/MID",$F$16="SOCMI Non-leaker"),"-",HLOOKUP($F$20,Hidden!QE$2:QK$35,ROW(Hidden!31:31),FALSE))),"")</f>
        <v/>
      </c>
      <c r="H59" s="758"/>
      <c r="I59" s="22" t="str">
        <f t="shared" si="0"/>
        <v/>
      </c>
      <c r="J59" s="23" t="str">
        <f t="shared" si="1"/>
        <v/>
      </c>
    </row>
    <row r="60" spans="1:10" x14ac:dyDescent="0.2">
      <c r="A60" s="9" t="str">
        <f>Hidden!PJ33</f>
        <v>Sampling Connections (annual)</v>
      </c>
      <c r="B60" s="16" t="str">
        <f>Hidden!PK33</f>
        <v>All [3]</v>
      </c>
      <c r="C60" s="42"/>
      <c r="D60" s="16" t="str">
        <f>_xlfn.IFNA((HLOOKUP($F$16,Hidden!$PK$2:$PS$64, ROW(Hidden!PJ32:QI32),FALSE)),"")</f>
        <v/>
      </c>
      <c r="E60" s="689" t="str">
        <f>IFERROR(IF($F$16="Oil and Gas",HLOOKUP($F$19,Hidden!$PT$2:QA$64,ROW(Hidden!32:32),FALSE),IF(OR($F$16="Butadiene w/MID",$F$16="Phosgene w/MID",$F$16="SOCMI Non-leaker"),"-",HLOOKUP($F$19,Hidden!QC$2:QI$35,ROW(Hidden!32:32),FALSE))),"")</f>
        <v/>
      </c>
      <c r="F60" s="758"/>
      <c r="G60" s="689" t="str">
        <f>IFERROR(IF($F$16="Oil and Gas",HLOOKUP($F$20,Hidden!$PT$2:QC$64,ROW(Hidden!32:32),FALSE),IF(OR($F$16="Butadiene w/MID",$F$16="Phosgene w/MID",$F$16="SOCMI Non-leaker"),"-",HLOOKUP($F$20,Hidden!QE$2:QK$35,ROW(Hidden!32:32),FALSE))),"")</f>
        <v/>
      </c>
      <c r="H60" s="758"/>
      <c r="I60" s="22" t="str">
        <f t="shared" si="0"/>
        <v/>
      </c>
      <c r="J60" s="23" t="str">
        <f t="shared" si="1"/>
        <v/>
      </c>
    </row>
    <row r="61" spans="1:10" x14ac:dyDescent="0.2">
      <c r="A61" s="9" t="str">
        <f>Hidden!PJ34</f>
        <v>Agitators</v>
      </c>
      <c r="B61" s="16" t="str">
        <f>Hidden!PK34</f>
        <v>All</v>
      </c>
      <c r="C61" s="42"/>
      <c r="D61" s="16" t="str">
        <f>_xlfn.IFNA((HLOOKUP($F$16,Hidden!$PK$2:$PS$64, ROW(Hidden!PJ33:QI33),FALSE)),"")</f>
        <v/>
      </c>
      <c r="E61" s="689" t="str">
        <f>IFERROR(IF($F$16="Oil and Gas",HLOOKUP($F$19,Hidden!$PT$2:QA$64,ROW(Hidden!33:33),FALSE),IF(OR($F$16="Butadiene w/MID",$F$16="Phosgene w/MID",$F$16="SOCMI non-leaker"),"-",HLOOKUP($F$19,Hidden!QC$2:QI$35,ROW(Hidden!33:33),FALSE))),"")</f>
        <v/>
      </c>
      <c r="F61" s="758"/>
      <c r="G61" s="689" t="str">
        <f>IFERROR(IF($F$16="Oil and Gas",HLOOKUP($F$20,Hidden!$PT$2:QC$64,ROW(Hidden!33:33),FALSE),IF(OR($F$16="Butadiene w/MID",$F$16="Phosgene w/MID",$F$16="SOCMI non-leaker"),"-",HLOOKUP($F$20,Hidden!QE$2:QK$35,ROW(Hidden!33:33),FALSE))),"")</f>
        <v/>
      </c>
      <c r="H61" s="758"/>
      <c r="I61" s="22" t="str">
        <f t="shared" si="0"/>
        <v/>
      </c>
      <c r="J61" s="23" t="str">
        <f t="shared" si="1"/>
        <v/>
      </c>
    </row>
    <row r="62" spans="1:10" x14ac:dyDescent="0.2">
      <c r="A62" s="9" t="str">
        <f>Hidden!PJ35</f>
        <v>Process Drains</v>
      </c>
      <c r="B62" s="16" t="str">
        <f>Hidden!PK35</f>
        <v>All [2]</v>
      </c>
      <c r="C62" s="42"/>
      <c r="D62" s="16" t="str">
        <f>_xlfn.IFNA((HLOOKUP($F$16,Hidden!$PK$2:$PS$64, ROW(Hidden!PJ34:QI34),FALSE)),"")</f>
        <v/>
      </c>
      <c r="E62" s="689" t="str">
        <f>IFERROR(IF($F$16="Oil and Gas",HLOOKUP($F$19,Hidden!$PT$2:QA$64,ROW(Hidden!34:34),FALSE),IF(OR($F$16="Butadiene w/MID",$F$16="Phosgene w/MID",$F$16="SOCMI Non-leaker"),"-",HLOOKUP($F$19,Hidden!QC$2:QI$35,ROW(Hidden!34:34),FALSE))),"")</f>
        <v/>
      </c>
      <c r="F62" s="758"/>
      <c r="G62" s="689" t="str">
        <f>IFERROR(IF($F$16="Oil and Gas",HLOOKUP($F$20,Hidden!$PT$2:QC$64,ROW(Hidden!34:34),FALSE),IF(OR($F$16="Butadiene w/MID",$F$16="Phosgene w/MID",$F$16="SOCMI Non-leaker"),"-",HLOOKUP($F$20,Hidden!QE$2:QK$35,ROW(Hidden!34:34),FALSE))),"")</f>
        <v/>
      </c>
      <c r="H62" s="758"/>
      <c r="I62" s="22" t="str">
        <f t="shared" si="0"/>
        <v/>
      </c>
      <c r="J62" s="23" t="str">
        <f t="shared" si="1"/>
        <v/>
      </c>
    </row>
    <row r="63" spans="1:10" x14ac:dyDescent="0.2">
      <c r="A63" s="9" t="str">
        <f>Hidden!PJ36</f>
        <v/>
      </c>
      <c r="B63" s="16" t="str">
        <f>Hidden!PK36</f>
        <v/>
      </c>
      <c r="C63" s="42"/>
      <c r="D63" s="16" t="str">
        <f>_xlfn.IFNA((HLOOKUP($F$16,Hidden!$PK$2:$PS$64, ROW(Hidden!PJ35:QI35),FALSE)),"")</f>
        <v/>
      </c>
      <c r="E63" s="689" t="str">
        <f>IFERROR(IF($F$16="Oil and Gas",HLOOKUP($F$19,Hidden!$PT$2:QA$64,ROW(Hidden!35:35),FALSE),IF(OR($F$16="Butadiene w/MID",$F$16="Phosgene w/MID",$F$16="SOCMI Non-leaker"),"-",HLOOKUP($F$19,Hidden!QC$2:QI$35,ROW(Hidden!35:35),FALSE))),"")</f>
        <v/>
      </c>
      <c r="F63" s="758"/>
      <c r="G63" s="689" t="str">
        <f>IFERROR(IF($F$16="Oil and Gas",HLOOKUP($F$20,Hidden!$PT$2:QC$64,ROW(Hidden!35:35),FALSE),IF(OR($F$16="Butadiene w/MID",$F$16="Phosgene w/MID",$F$16="SOCMI Non-leaker"),"-",HLOOKUP($F$20,Hidden!QE$2:QK$35,ROW(Hidden!35:35),FALSE))),"")</f>
        <v/>
      </c>
      <c r="H63" s="758"/>
      <c r="I63" s="22" t="str">
        <f t="shared" si="0"/>
        <v/>
      </c>
      <c r="J63" s="23" t="str">
        <f t="shared" si="1"/>
        <v/>
      </c>
    </row>
    <row r="64" spans="1:10" x14ac:dyDescent="0.2">
      <c r="A64" s="9" t="str">
        <f>Hidden!PJ37</f>
        <v/>
      </c>
      <c r="B64" s="16" t="str">
        <f>Hidden!PK37</f>
        <v/>
      </c>
      <c r="C64" s="42"/>
      <c r="D64" s="16" t="str">
        <f>_xlfn.IFNA((HLOOKUP($F$16,Hidden!$PK$2:$PS$64, ROW(Hidden!PJ36:QI36),FALSE)),"")</f>
        <v/>
      </c>
      <c r="E64" s="689" t="str">
        <f>IFERROR(IF($F$16="Oil and Gas",HLOOKUP($F$19,Hidden!$PT$2:QA$64,ROW(Hidden!36:36),FALSE),IF(OR($F$16="Butadiene w/MID",$F$16="Phosgene w/MID",$F$16="SOCMI Non-leaker"),"-",HLOOKUP($F$19,Hidden!QC$2:QI$35,ROW(Hidden!36:36),FALSE))),"")</f>
        <v/>
      </c>
      <c r="F64" s="758"/>
      <c r="G64" s="689" t="str">
        <f>IFERROR(IF($F$16="Oil and Gas",HLOOKUP($F$20,Hidden!$PT$2:QC$64,ROW(Hidden!36:36),FALSE),IF(OR($F$16="Butadiene w/MID",$F$16="Phosgene w/MID",$F$16="SOCMI Non-leaker"),"-",HLOOKUP($F$20,Hidden!QE$2:QK$35,ROW(Hidden!36:36),FALSE))),"")</f>
        <v/>
      </c>
      <c r="H64" s="758"/>
      <c r="I64" s="22" t="str">
        <f t="shared" si="0"/>
        <v/>
      </c>
      <c r="J64" s="23" t="str">
        <f t="shared" si="1"/>
        <v/>
      </c>
    </row>
    <row r="65" spans="1:10" x14ac:dyDescent="0.2">
      <c r="A65" s="9" t="str">
        <f>Hidden!PJ38</f>
        <v/>
      </c>
      <c r="B65" s="16" t="str">
        <f>Hidden!PK38</f>
        <v/>
      </c>
      <c r="C65" s="42"/>
      <c r="D65" s="16" t="str">
        <f>_xlfn.IFNA((HLOOKUP($F$16,Hidden!$PK$2:$PS$64, ROW(Hidden!PJ37:QI37),FALSE)),"")</f>
        <v/>
      </c>
      <c r="E65" s="689" t="str">
        <f>IFERROR(IF($F$16="Oil and Gas",HLOOKUP($F$19,Hidden!$PT$2:QA$64,ROW(Hidden!37:37),FALSE),IF(OR($F$16="Butadiene w/MID",$F$16="Phosgene w/MID",$F$16="SOCMI Non-leaker"),"-",HLOOKUP($F$19,Hidden!QC$2:QI$35,ROW(Hidden!37:37),FALSE))),"")</f>
        <v/>
      </c>
      <c r="F65" s="758"/>
      <c r="G65" s="689" t="str">
        <f>IFERROR(IF($F$16="Oil and Gas",HLOOKUP($F$20,Hidden!$PT$2:QC$64,ROW(Hidden!37:37),FALSE),IF(OR($F$16="Butadiene w/MID",$F$16="Phosgene w/MID",$F$16="SOCMI Non-leaker"),"-",HLOOKUP($F$20,Hidden!QE$2:QK$35,ROW(Hidden!37:37),FALSE))),"")</f>
        <v/>
      </c>
      <c r="H65" s="758"/>
      <c r="I65" s="22" t="str">
        <f t="shared" si="0"/>
        <v/>
      </c>
      <c r="J65" s="23" t="str">
        <f t="shared" si="1"/>
        <v/>
      </c>
    </row>
    <row r="66" spans="1:10" x14ac:dyDescent="0.2">
      <c r="A66" s="9" t="str">
        <f>Hidden!PJ39</f>
        <v/>
      </c>
      <c r="B66" s="16" t="str">
        <f>Hidden!PK39</f>
        <v/>
      </c>
      <c r="C66" s="42"/>
      <c r="D66" s="16" t="str">
        <f>_xlfn.IFNA((HLOOKUP($F$16,Hidden!$PK$2:$PS$64, ROW(Hidden!PJ38:QI38),FALSE)),"")</f>
        <v/>
      </c>
      <c r="E66" s="689" t="str">
        <f>IFERROR(IF($F$16="Oil and Gas",HLOOKUP($F$19,Hidden!$PT$2:QA$64,ROW(Hidden!38:38),FALSE),IF(OR($F$16="Butadiene w/MID",$F$16="Phosgene w/MID",$F$16="SOCMI Non-leaker"),"-",HLOOKUP($F$19,Hidden!QC$2:QI$35,ROW(Hidden!38:38),FALSE))),"")</f>
        <v/>
      </c>
      <c r="F66" s="758"/>
      <c r="G66" s="689" t="str">
        <f>IFERROR(IF($F$16="Oil and Gas",HLOOKUP($F$20,Hidden!$PT$2:QC$64,ROW(Hidden!38:38),FALSE),IF(OR($F$16="Butadiene w/MID",$F$16="Phosgene w/MID",$F$16="SOCMI Non-leaker"),"-",HLOOKUP($F$20,Hidden!QE$2:QK$35,ROW(Hidden!38:38),FALSE))),"")</f>
        <v/>
      </c>
      <c r="H66" s="758"/>
      <c r="I66" s="22" t="str">
        <f t="shared" si="0"/>
        <v/>
      </c>
      <c r="J66" s="23" t="str">
        <f t="shared" si="1"/>
        <v/>
      </c>
    </row>
    <row r="67" spans="1:10" x14ac:dyDescent="0.2">
      <c r="A67" s="9" t="str">
        <f>Hidden!PJ40</f>
        <v/>
      </c>
      <c r="B67" s="16" t="str">
        <f>Hidden!PK40</f>
        <v/>
      </c>
      <c r="C67" s="42"/>
      <c r="D67" s="16" t="str">
        <f>_xlfn.IFNA((HLOOKUP($F$16,Hidden!$PK$2:$PS$64, ROW(Hidden!PJ39:QI39),FALSE)),"")</f>
        <v/>
      </c>
      <c r="E67" s="689" t="str">
        <f>IFERROR(IF($F$16="Oil and Gas",HLOOKUP($F$19,Hidden!$PT$2:QA$64,ROW(Hidden!39:39),FALSE),IF(OR($F$16="Butadiene w/MID",$F$16="Phosgene w/MID",$F$16="SOCMI Non-leaker"),"-",HLOOKUP($F$19,Hidden!QC$2:QI$35,ROW(Hidden!39:39),FALSE))),"")</f>
        <v/>
      </c>
      <c r="F67" s="758"/>
      <c r="G67" s="689" t="str">
        <f>IFERROR(IF($F$16="Oil and Gas",HLOOKUP($F$20,Hidden!$PT$2:QC$64,ROW(Hidden!39:39),FALSE),IF(OR($F$16="Butadiene w/MID",$F$16="Phosgene w/MID",$F$16="SOCMI Non-leaker"),"-",HLOOKUP($F$20,Hidden!QE$2:QK$35,ROW(Hidden!39:39),FALSE))),"")</f>
        <v/>
      </c>
      <c r="H67" s="758"/>
      <c r="I67" s="22" t="str">
        <f t="shared" si="0"/>
        <v/>
      </c>
      <c r="J67" s="23" t="str">
        <f t="shared" si="1"/>
        <v/>
      </c>
    </row>
    <row r="68" spans="1:10" x14ac:dyDescent="0.2">
      <c r="A68" s="9" t="str">
        <f>Hidden!PJ41</f>
        <v/>
      </c>
      <c r="B68" s="16" t="str">
        <f>Hidden!PK41</f>
        <v/>
      </c>
      <c r="C68" s="42"/>
      <c r="D68" s="16" t="str">
        <f>_xlfn.IFNA((HLOOKUP($F$16,Hidden!$PK$2:$PS$64, ROW(Hidden!PJ40:QI40),FALSE)),"")</f>
        <v/>
      </c>
      <c r="E68" s="689" t="str">
        <f>IFERROR(IF($F$16="Oil and Gas",HLOOKUP($F$19,Hidden!$PT$2:QA$64,ROW(Hidden!40:40),FALSE),IF(OR($F$16="Butadiene w/MID",$F$16="Phosgene w/MID",$F$16="SOCMI Non-leaker"),"-",HLOOKUP($F$19,Hidden!QC$2:QI$35,ROW(Hidden!40:40),FALSE))),"")</f>
        <v/>
      </c>
      <c r="F68" s="758"/>
      <c r="G68" s="689" t="str">
        <f>IFERROR(IF($F$16="Oil and Gas",HLOOKUP($F$20,Hidden!$PT$2:QC$64,ROW(Hidden!40:40),FALSE),IF(OR($F$16="Butadiene w/MID",$F$16="Phosgene w/MID",$F$16="SOCMI Non-leaker"),"-",HLOOKUP($F$20,Hidden!QE$2:QK$35,ROW(Hidden!40:40),FALSE))),"")</f>
        <v/>
      </c>
      <c r="H68" s="758"/>
      <c r="I68" s="22" t="str">
        <f t="shared" si="0"/>
        <v/>
      </c>
      <c r="J68" s="23" t="str">
        <f t="shared" si="1"/>
        <v/>
      </c>
    </row>
    <row r="69" spans="1:10" x14ac:dyDescent="0.2">
      <c r="A69" s="9" t="str">
        <f>Hidden!PJ42</f>
        <v/>
      </c>
      <c r="B69" s="16" t="str">
        <f>Hidden!PK42</f>
        <v/>
      </c>
      <c r="C69" s="42"/>
      <c r="D69" s="16" t="str">
        <f>_xlfn.IFNA((HLOOKUP($F$16,Hidden!$PK$2:$PS$64, ROW(Hidden!PJ41:QI41),FALSE)),"")</f>
        <v/>
      </c>
      <c r="E69" s="689" t="str">
        <f>IFERROR(IF($F$16="Oil and Gas",HLOOKUP($F$19,Hidden!$PT$2:QA$64,ROW(Hidden!41:41),FALSE),IF(OR($F$16="Butadiene w/MID",$F$16="Phosgene w/MID",$F$16="SOCMI Non-leaker"),"-",HLOOKUP($F$19,Hidden!QC$2:QI$35,ROW(Hidden!41:41),FALSE))),"")</f>
        <v/>
      </c>
      <c r="F69" s="758"/>
      <c r="G69" s="689" t="str">
        <f>IFERROR(IF($F$16="Oil and Gas",HLOOKUP($F$20,Hidden!$PT$2:QC$64,ROW(Hidden!41:41),FALSE),IF(OR($F$16="Butadiene w/MID",$F$16="Phosgene w/MID",$F$16="SOCMI Non-leaker"),"-",HLOOKUP($F$20,Hidden!QE$2:QK$35,ROW(Hidden!41:41),FALSE))),"")</f>
        <v/>
      </c>
      <c r="H69" s="758"/>
      <c r="I69" s="22" t="str">
        <f t="shared" si="0"/>
        <v/>
      </c>
      <c r="J69" s="23" t="str">
        <f t="shared" si="1"/>
        <v/>
      </c>
    </row>
    <row r="70" spans="1:10" x14ac:dyDescent="0.2">
      <c r="A70" s="9" t="str">
        <f>Hidden!PJ43</f>
        <v/>
      </c>
      <c r="B70" s="16" t="str">
        <f>Hidden!PK43</f>
        <v/>
      </c>
      <c r="C70" s="42"/>
      <c r="D70" s="16" t="str">
        <f>_xlfn.IFNA((HLOOKUP($F$16,Hidden!$PK$2:$PS$64, ROW(Hidden!PJ42:QI42),FALSE)),"")</f>
        <v/>
      </c>
      <c r="E70" s="689" t="str">
        <f>IFERROR(IF($F$16="Oil and Gas",HLOOKUP($F$19,Hidden!$PT$2:QA$64,ROW(Hidden!42:42),FALSE),IF(OR($F$16="Butadiene w/MID",$F$16="Phosgene w/MID",$F$16="SOCMI Non-leaker"),"-",HLOOKUP($F$19,Hidden!QC$2:QI$35,ROW(Hidden!42:42),FALSE))),"")</f>
        <v/>
      </c>
      <c r="F70" s="758"/>
      <c r="G70" s="689" t="str">
        <f>IFERROR(IF($F$16="Oil and Gas",HLOOKUP($F$20,Hidden!$PT$2:QC$64,ROW(Hidden!42:42),FALSE),IF(OR($F$16="Butadiene w/MID",$F$16="Phosgene w/MID",$F$16="SOCMI Non-leaker"),"-",HLOOKUP($F$20,Hidden!QE$2:QK$35,ROW(Hidden!42:42),FALSE))),"")</f>
        <v/>
      </c>
      <c r="H70" s="758"/>
      <c r="I70" s="22" t="str">
        <f t="shared" si="0"/>
        <v/>
      </c>
      <c r="J70" s="23" t="str">
        <f t="shared" si="1"/>
        <v/>
      </c>
    </row>
    <row r="71" spans="1:10" x14ac:dyDescent="0.2">
      <c r="A71" s="9" t="str">
        <f>Hidden!PJ44</f>
        <v/>
      </c>
      <c r="B71" s="16" t="str">
        <f>Hidden!PK44</f>
        <v/>
      </c>
      <c r="C71" s="42"/>
      <c r="D71" s="16" t="str">
        <f>_xlfn.IFNA((HLOOKUP($F$16,Hidden!$PK$2:$PS$64, ROW(Hidden!PJ43:QI43),FALSE)),"")</f>
        <v/>
      </c>
      <c r="E71" s="689" t="str">
        <f>IFERROR(IF($F$16="Oil and Gas",HLOOKUP($F$19,Hidden!$PT$2:QA$64,ROW(Hidden!43:43),FALSE),IF(OR($F$16="Butadiene w/MID",$F$16="Phosgene w/MID",$F$16="SOCMI Non-leaker"),"-",HLOOKUP($F$19,Hidden!QC$2:QI$35,ROW(Hidden!43:43),FALSE))),"")</f>
        <v/>
      </c>
      <c r="F71" s="758"/>
      <c r="G71" s="689" t="str">
        <f>IFERROR(IF($F$16="Oil and Gas",HLOOKUP($F$20,Hidden!$PT$2:QC$64,ROW(Hidden!43:43),FALSE),IF(OR($F$16="Butadiene w/MID",$F$16="Phosgene w/MID",$F$16="SOCMI Non-leaker"),"-",HLOOKUP($F$20,Hidden!QE$2:QK$35,ROW(Hidden!43:43),FALSE))),"")</f>
        <v/>
      </c>
      <c r="H71" s="758"/>
      <c r="I71" s="22" t="str">
        <f t="shared" si="0"/>
        <v/>
      </c>
      <c r="J71" s="23" t="str">
        <f t="shared" si="1"/>
        <v/>
      </c>
    </row>
    <row r="72" spans="1:10" x14ac:dyDescent="0.2">
      <c r="A72" s="9" t="str">
        <f>Hidden!PJ45</f>
        <v/>
      </c>
      <c r="B72" s="16" t="str">
        <f>Hidden!PK45</f>
        <v/>
      </c>
      <c r="C72" s="42"/>
      <c r="D72" s="16" t="str">
        <f>_xlfn.IFNA((HLOOKUP($F$16,Hidden!$PK$2:$PS$64, ROW(Hidden!PJ44:QI44),FALSE)),"")</f>
        <v/>
      </c>
      <c r="E72" s="689" t="str">
        <f>IFERROR(IF($F$16="Oil and Gas",HLOOKUP($F$19,Hidden!$PT$2:QA$64,ROW(Hidden!44:44),FALSE),IF(OR($F$16="Butadiene w/MID",$F$16="Phosgene w/MID",$F$16="SOCMI Non-leaker"),"-",HLOOKUP($F$19,Hidden!QC$2:QI$35,ROW(Hidden!44:44),FALSE))),"")</f>
        <v/>
      </c>
      <c r="F72" s="758"/>
      <c r="G72" s="689" t="str">
        <f>IFERROR(IF($F$16="Oil and Gas",HLOOKUP($F$20,Hidden!$PT$2:QC$64,ROW(Hidden!44:44),FALSE),IF(OR($F$16="Butadiene w/MID",$F$16="Phosgene w/MID",$F$16="SOCMI Non-leaker"),"-",HLOOKUP($F$20,Hidden!QE$2:QK$35,ROW(Hidden!44:44),FALSE))),"")</f>
        <v/>
      </c>
      <c r="H72" s="758"/>
      <c r="I72" s="22" t="str">
        <f t="shared" si="0"/>
        <v/>
      </c>
      <c r="J72" s="23" t="str">
        <f t="shared" si="1"/>
        <v/>
      </c>
    </row>
    <row r="73" spans="1:10" x14ac:dyDescent="0.2">
      <c r="A73" s="9" t="str">
        <f>Hidden!PJ46</f>
        <v/>
      </c>
      <c r="B73" s="16" t="str">
        <f>Hidden!PK46</f>
        <v/>
      </c>
      <c r="C73" s="42"/>
      <c r="D73" s="16" t="str">
        <f>_xlfn.IFNA((HLOOKUP($F$16,Hidden!$PK$2:$PS$64, ROW(Hidden!PJ45:QI45),FALSE)),"")</f>
        <v/>
      </c>
      <c r="E73" s="689" t="str">
        <f>IFERROR(IF($F$16="Oil and Gas",HLOOKUP($F$19,Hidden!$PT$2:QA$64,ROW(Hidden!45:45),FALSE),IF(OR($F$16="Butadiene w/MID",$F$16="Phosgene w/MID",$F$16="SOCMI Non-leaker"),"-",HLOOKUP($F$19,Hidden!QC$2:QI$35,ROW(Hidden!45:45),FALSE))),"")</f>
        <v/>
      </c>
      <c r="F73" s="758"/>
      <c r="G73" s="689" t="str">
        <f>IFERROR(IF($F$16="Oil and Gas",HLOOKUP($F$20,Hidden!$PT$2:QC$64,ROW(Hidden!45:45),FALSE),IF(OR($F$16="Butadiene w/MID",$F$16="Phosgene w/MID",$F$16="SOCMI Non-leaker"),"-",HLOOKUP($F$20,Hidden!QE$2:QK$35,ROW(Hidden!45:45),FALSE))),"")</f>
        <v/>
      </c>
      <c r="H73" s="758"/>
      <c r="I73" s="22" t="str">
        <f t="shared" si="0"/>
        <v/>
      </c>
      <c r="J73" s="23" t="str">
        <f t="shared" si="1"/>
        <v/>
      </c>
    </row>
    <row r="74" spans="1:10" x14ac:dyDescent="0.2">
      <c r="A74" s="9" t="str">
        <f>Hidden!PJ47</f>
        <v/>
      </c>
      <c r="B74" s="16" t="str">
        <f>Hidden!PK47</f>
        <v/>
      </c>
      <c r="C74" s="42"/>
      <c r="D74" s="16" t="str">
        <f>_xlfn.IFNA((HLOOKUP($F$16,Hidden!$PK$2:$PS$64, ROW(Hidden!PJ46:QI46),FALSE)),"")</f>
        <v/>
      </c>
      <c r="E74" s="689" t="str">
        <f>IFERROR(IF($F$16="Oil and Gas",HLOOKUP($F$19,Hidden!$PT$2:QA$64,ROW(Hidden!46:46),FALSE),IF(OR($F$16="Butadiene w/MID",$F$16="Phosgene w/MID",$F$16="SOCMI Non-leaker"),"-",HLOOKUP($F$19,Hidden!QC$2:QI$35,ROW(Hidden!46:46),FALSE))),"")</f>
        <v/>
      </c>
      <c r="F74" s="758"/>
      <c r="G74" s="689" t="str">
        <f>IFERROR(IF($F$16="Oil and Gas",HLOOKUP($F$20,Hidden!$PT$2:QC$64,ROW(Hidden!46:46),FALSE),IF(OR($F$16="Butadiene w/MID",$F$16="Phosgene w/MID",$F$16="SOCMI Non-leaker"),"-",HLOOKUP($F$20,Hidden!QE$2:QK$35,ROW(Hidden!46:46),FALSE))),"")</f>
        <v/>
      </c>
      <c r="H74" s="758"/>
      <c r="I74" s="22" t="str">
        <f t="shared" si="0"/>
        <v/>
      </c>
      <c r="J74" s="23" t="str">
        <f t="shared" si="1"/>
        <v/>
      </c>
    </row>
    <row r="75" spans="1:10" x14ac:dyDescent="0.2">
      <c r="A75" s="9" t="str">
        <f>Hidden!PJ48</f>
        <v/>
      </c>
      <c r="B75" s="16" t="str">
        <f>Hidden!PK48</f>
        <v/>
      </c>
      <c r="C75" s="42"/>
      <c r="D75" s="16" t="str">
        <f>_xlfn.IFNA((HLOOKUP($F$16,Hidden!$PK$2:$PS$64, ROW(Hidden!PJ47:QI47),FALSE)),"")</f>
        <v/>
      </c>
      <c r="E75" s="689" t="str">
        <f>IFERROR(IF($F$16="Oil and Gas",HLOOKUP($F$19,Hidden!$PT$2:QA$64,ROW(Hidden!47:47),FALSE),IF(OR($F$16="Butadiene w/MID",$F$16="Phosgene w/MID",$F$16="SOCMI Non-leaker"),"-",HLOOKUP($F$19,Hidden!QC$2:QI$35,ROW(Hidden!47:47),FALSE))),"")</f>
        <v/>
      </c>
      <c r="F75" s="758"/>
      <c r="G75" s="689" t="str">
        <f>IFERROR(IF($F$16="Oil and Gas",HLOOKUP($F$20,Hidden!$PT$2:QC$64,ROW(Hidden!47:47),FALSE),IF(OR($F$16="Butadiene w/MID",$F$16="Phosgene w/MID",$F$16="SOCMI Non-leaker"),"-",HLOOKUP($F$20,Hidden!QE$2:QK$35,ROW(Hidden!47:47),FALSE))),"")</f>
        <v/>
      </c>
      <c r="H75" s="758"/>
      <c r="I75" s="22" t="str">
        <f t="shared" si="0"/>
        <v/>
      </c>
      <c r="J75" s="23" t="str">
        <f t="shared" si="1"/>
        <v/>
      </c>
    </row>
    <row r="76" spans="1:10" x14ac:dyDescent="0.2">
      <c r="A76" s="9" t="str">
        <f>Hidden!PJ49</f>
        <v/>
      </c>
      <c r="B76" s="16" t="str">
        <f>Hidden!PK49</f>
        <v/>
      </c>
      <c r="C76" s="42"/>
      <c r="D76" s="16" t="str">
        <f>_xlfn.IFNA((HLOOKUP($F$16,Hidden!$PK$2:$PS$64, ROW(Hidden!PJ48:QI48),FALSE)),"")</f>
        <v/>
      </c>
      <c r="E76" s="689" t="str">
        <f>IFERROR(IF($F$16="Oil and Gas",HLOOKUP($F$19,Hidden!$PT$2:QA$64,ROW(Hidden!48:48),FALSE),IF(OR($F$16="Butadiene w/MID",$F$16="Phosgene w/MID",$F$16="SOCMI Non-leaker"),"-",HLOOKUP($F$19,Hidden!QC$2:QI$35,ROW(Hidden!48:48),FALSE))),"")</f>
        <v/>
      </c>
      <c r="F76" s="758"/>
      <c r="G76" s="689" t="str">
        <f>IFERROR(IF($F$16="Oil and Gas",HLOOKUP($F$20,Hidden!$PT$2:QC$64,ROW(Hidden!48:48),FALSE),IF(OR($F$16="Butadiene w/MID",$F$16="Phosgene w/MID",$F$16="SOCMI Non-leaker"),"-",HLOOKUP($F$20,Hidden!QE$2:QK$35,ROW(Hidden!48:48),FALSE))),"")</f>
        <v/>
      </c>
      <c r="H76" s="758"/>
      <c r="I76" s="22" t="str">
        <f t="shared" si="0"/>
        <v/>
      </c>
      <c r="J76" s="23" t="str">
        <f t="shared" si="1"/>
        <v/>
      </c>
    </row>
    <row r="77" spans="1:10" x14ac:dyDescent="0.2">
      <c r="A77" s="9" t="str">
        <f>Hidden!PJ50</f>
        <v/>
      </c>
      <c r="B77" s="16" t="str">
        <f>Hidden!PK50</f>
        <v/>
      </c>
      <c r="C77" s="42"/>
      <c r="D77" s="16" t="str">
        <f>_xlfn.IFNA((HLOOKUP($F$16,Hidden!$PK$2:$PS$64, ROW(Hidden!PJ49:QI49),FALSE)),"")</f>
        <v/>
      </c>
      <c r="E77" s="689" t="str">
        <f>IFERROR(IF($F$16="Oil and Gas",HLOOKUP($F$19,Hidden!$PT$2:QA$64,ROW(Hidden!49:49),FALSE),IF(OR($F$16="Butadiene w/MID",$F$16="Phosgene w/MID",$F$16="SOCMI Non-leaker"),"-",HLOOKUP($F$19,Hidden!QC$2:QI$35,ROW(Hidden!49:49),FALSE))),"")</f>
        <v/>
      </c>
      <c r="F77" s="758"/>
      <c r="G77" s="689" t="str">
        <f>IFERROR(IF($F$16="Oil and Gas",HLOOKUP($F$20,Hidden!$PT$2:QC$64,ROW(Hidden!49:49),FALSE),IF(OR($F$16="Butadiene w/MID",$F$16="Phosgene w/MID",$F$16="SOCMI Non-leaker"),"-",HLOOKUP($F$20,Hidden!QE$2:QK$35,ROW(Hidden!49:49),FALSE))),"")</f>
        <v/>
      </c>
      <c r="H77" s="758"/>
      <c r="I77" s="22" t="str">
        <f t="shared" si="0"/>
        <v/>
      </c>
      <c r="J77" s="23" t="str">
        <f t="shared" si="1"/>
        <v/>
      </c>
    </row>
    <row r="78" spans="1:10" x14ac:dyDescent="0.2">
      <c r="A78" s="9" t="str">
        <f>Hidden!PJ51</f>
        <v/>
      </c>
      <c r="B78" s="16" t="str">
        <f>Hidden!PK51</f>
        <v/>
      </c>
      <c r="C78" s="42"/>
      <c r="D78" s="16" t="str">
        <f>_xlfn.IFNA((HLOOKUP($F$16,Hidden!$PK$2:$PS$64, ROW(Hidden!PJ50:QI50),FALSE)),"")</f>
        <v/>
      </c>
      <c r="E78" s="689" t="str">
        <f>IFERROR(IF($F$16="Oil and Gas",HLOOKUP($F$19,Hidden!$PT$2:QA$64,ROW(Hidden!50:50),FALSE),IF(OR($F$16="Butadiene w/MID",$F$16="Phosgene w/MID",$F$16="SOCMI Non-leaker"),"-",HLOOKUP($F$19,Hidden!QC$2:QI$35,ROW(Hidden!50:50),FALSE))),"")</f>
        <v/>
      </c>
      <c r="F78" s="758"/>
      <c r="G78" s="689" t="str">
        <f>IFERROR(IF($F$16="Oil and Gas",HLOOKUP($F$20,Hidden!$PT$2:QC$64,ROW(Hidden!50:50),FALSE),IF(OR($F$16="Butadiene w/MID",$F$16="Phosgene w/MID",$F$16="SOCMI Non-leaker"),"-",HLOOKUP($F$20,Hidden!QE$2:QK$35,ROW(Hidden!50:50),FALSE))),"")</f>
        <v/>
      </c>
      <c r="H78" s="758"/>
      <c r="I78" s="22" t="str">
        <f t="shared" si="0"/>
        <v/>
      </c>
      <c r="J78" s="23" t="str">
        <f t="shared" si="1"/>
        <v/>
      </c>
    </row>
    <row r="79" spans="1:10" x14ac:dyDescent="0.2">
      <c r="A79" s="9" t="str">
        <f>Hidden!PJ52</f>
        <v/>
      </c>
      <c r="B79" s="16" t="str">
        <f>Hidden!PK52</f>
        <v/>
      </c>
      <c r="C79" s="42"/>
      <c r="D79" s="16" t="str">
        <f>_xlfn.IFNA((HLOOKUP($F$16,Hidden!$PK$2:$PS$64, ROW(Hidden!PJ51:QI51),FALSE)),"")</f>
        <v/>
      </c>
      <c r="E79" s="689" t="str">
        <f>IFERROR(IF($F$16="Oil and Gas",HLOOKUP($F$19,Hidden!$PT$2:QA$64,ROW(Hidden!51:51),FALSE),IF(OR($F$16="Butadiene w/MID",$F$16="Phosgene w/MID",$F$16="SOCMI Non-leaker"),"-",HLOOKUP($F$19,Hidden!QC$2:QI$35,ROW(Hidden!51:51),FALSE))),"")</f>
        <v/>
      </c>
      <c r="F79" s="758"/>
      <c r="G79" s="689" t="str">
        <f>IFERROR(IF($F$16="Oil and Gas",HLOOKUP($F$20,Hidden!$PT$2:QC$64,ROW(Hidden!51:51),FALSE),IF(OR($F$16="Butadiene w/MID",$F$16="Phosgene w/MID",$F$16="SOCMI Non-leaker"),"-",HLOOKUP($F$20,Hidden!QE$2:QK$35,ROW(Hidden!51:51),FALSE))),"")</f>
        <v/>
      </c>
      <c r="H79" s="758"/>
      <c r="I79" s="22" t="str">
        <f t="shared" si="0"/>
        <v/>
      </c>
      <c r="J79" s="23" t="str">
        <f t="shared" si="1"/>
        <v/>
      </c>
    </row>
    <row r="80" spans="1:10" x14ac:dyDescent="0.2">
      <c r="A80" s="9" t="str">
        <f>Hidden!PJ53</f>
        <v/>
      </c>
      <c r="B80" s="16" t="str">
        <f>Hidden!PK53</f>
        <v/>
      </c>
      <c r="C80" s="42"/>
      <c r="D80" s="16" t="str">
        <f>_xlfn.IFNA((HLOOKUP($F$16,Hidden!$PK$2:$PS$64, ROW(Hidden!PJ52:QI52),FALSE)),"")</f>
        <v/>
      </c>
      <c r="E80" s="689" t="str">
        <f>IFERROR(IF($F$16="Oil and Gas",HLOOKUP($F$19,Hidden!$PT$2:QA$64,ROW(Hidden!52:52),FALSE),IF(OR($F$16="Butadiene w/MID",$F$16="Phosgene w/MID",$F$16="SOCMI Non-leaker"),"-",HLOOKUP($F$19,Hidden!QC$2:QI$35,ROW(Hidden!52:52),FALSE))),"")</f>
        <v/>
      </c>
      <c r="F80" s="758"/>
      <c r="G80" s="689" t="str">
        <f>IFERROR(IF($F$16="Oil and Gas",HLOOKUP($F$20,Hidden!$PT$2:QC$64,ROW(Hidden!52:52),FALSE),IF(OR($F$16="Butadiene w/MID",$F$16="Phosgene w/MID",$F$16="SOCMI Non-leaker"),"-",HLOOKUP($F$20,Hidden!QE$2:QK$35,ROW(Hidden!52:52),FALSE))),"")</f>
        <v/>
      </c>
      <c r="H80" s="758"/>
      <c r="I80" s="22" t="str">
        <f t="shared" si="0"/>
        <v/>
      </c>
      <c r="J80" s="23" t="str">
        <f t="shared" si="1"/>
        <v/>
      </c>
    </row>
    <row r="81" spans="1:10" x14ac:dyDescent="0.2">
      <c r="A81" s="9" t="str">
        <f>Hidden!PJ54</f>
        <v/>
      </c>
      <c r="B81" s="16" t="str">
        <f>Hidden!PK54</f>
        <v/>
      </c>
      <c r="C81" s="42"/>
      <c r="D81" s="16" t="str">
        <f>_xlfn.IFNA((HLOOKUP($F$16,Hidden!$PK$2:$PS$64, ROW(Hidden!PJ53:QI53),FALSE)),"")</f>
        <v/>
      </c>
      <c r="E81" s="689" t="str">
        <f>IFERROR(IF($F$16="Oil and Gas",HLOOKUP($F$19,Hidden!$PT$2:QA$64,ROW(Hidden!53:53),FALSE),IF(OR($F$16="Butadiene w/MID",$F$16="Phosgene w/MID",$F$16="SOCMI Non-leaker"),"-",HLOOKUP($F$19,Hidden!QC$2:QI$35,ROW(Hidden!53:53),FALSE))),"")</f>
        <v/>
      </c>
      <c r="F81" s="758"/>
      <c r="G81" s="689" t="str">
        <f>IFERROR(IF($F$16="Oil and Gas",HLOOKUP($F$20,Hidden!$PT$2:QC$64,ROW(Hidden!53:53),FALSE),IF(OR($F$16="Butadiene w/MID",$F$16="Phosgene w/MID",$F$16="SOCMI Non-leaker"),"-",HLOOKUP($F$20,Hidden!QE$2:QK$35,ROW(Hidden!53:53),FALSE))),"")</f>
        <v/>
      </c>
      <c r="H81" s="758"/>
      <c r="I81" s="22" t="str">
        <f t="shared" si="0"/>
        <v/>
      </c>
      <c r="J81" s="23" t="str">
        <f t="shared" si="1"/>
        <v/>
      </c>
    </row>
    <row r="82" spans="1:10" x14ac:dyDescent="0.2">
      <c r="A82" s="9" t="str">
        <f>Hidden!PJ55</f>
        <v/>
      </c>
      <c r="B82" s="16" t="str">
        <f>Hidden!PK55</f>
        <v/>
      </c>
      <c r="C82" s="42"/>
      <c r="D82" s="16" t="str">
        <f>_xlfn.IFNA((HLOOKUP($F$16,Hidden!$PK$2:$PS$64, ROW(Hidden!PJ54:QI54),FALSE)),"")</f>
        <v/>
      </c>
      <c r="E82" s="689" t="str">
        <f>IFERROR(IF($F$16="Oil and Gas",HLOOKUP($F$19,Hidden!$PT$2:QA$64,ROW(Hidden!54:54),FALSE),IF(OR($F$16="Butadiene w/MID",$F$16="Phosgene w/MID",$F$16="SOCMI Non-leaker"),"-",HLOOKUP($F$19,Hidden!QC$2:QI$35,ROW(Hidden!54:54),FALSE))),"")</f>
        <v/>
      </c>
      <c r="F82" s="758"/>
      <c r="G82" s="689" t="str">
        <f>IFERROR(IF($F$16="Oil and Gas",HLOOKUP($F$20,Hidden!$PT$2:QC$64,ROW(Hidden!54:54),FALSE),IF(OR($F$16="Butadiene w/MID",$F$16="Phosgene w/MID",$F$16="SOCMI Non-leaker"),"-",HLOOKUP($F$20,Hidden!QE$2:QK$35,ROW(Hidden!54:54),FALSE))),"")</f>
        <v/>
      </c>
      <c r="H82" s="758"/>
      <c r="I82" s="22" t="str">
        <f t="shared" si="0"/>
        <v/>
      </c>
      <c r="J82" s="23" t="str">
        <f t="shared" si="1"/>
        <v/>
      </c>
    </row>
    <row r="83" spans="1:10" x14ac:dyDescent="0.2">
      <c r="A83" s="9" t="str">
        <f>Hidden!PJ56</f>
        <v/>
      </c>
      <c r="B83" s="16" t="str">
        <f>Hidden!PK56</f>
        <v/>
      </c>
      <c r="C83" s="42"/>
      <c r="D83" s="16" t="str">
        <f>_xlfn.IFNA((HLOOKUP($F$16,Hidden!$PK$2:$PS$64, ROW(Hidden!PJ55:QI55),FALSE)),"")</f>
        <v/>
      </c>
      <c r="E83" s="689" t="str">
        <f>IFERROR(IF($F$16="Oil and Gas",HLOOKUP($F$19,Hidden!$PT$2:QA$64,ROW(Hidden!55:55),FALSE),IF(OR($F$16="Butadiene w/MID",$F$16="Phosgene w/MID",$F$16="SOCMI Non-leaker"),"-",HLOOKUP($F$19,Hidden!QC$2:QI$35,ROW(Hidden!55:55),FALSE))),"")</f>
        <v/>
      </c>
      <c r="F83" s="758"/>
      <c r="G83" s="689" t="str">
        <f>IFERROR(IF($F$16="Oil and Gas",HLOOKUP($F$20,Hidden!$PT$2:QC$64,ROW(Hidden!55:55),FALSE),IF(OR($F$16="Butadiene w/MID",$F$16="Phosgene w/MID",$F$16="SOCMI Non-leaker"),"-",HLOOKUP($F$20,Hidden!QE$2:QK$35,ROW(Hidden!55:55),FALSE))),"")</f>
        <v/>
      </c>
      <c r="H83" s="758"/>
      <c r="I83" s="22" t="str">
        <f t="shared" si="0"/>
        <v/>
      </c>
      <c r="J83" s="23" t="str">
        <f t="shared" si="1"/>
        <v/>
      </c>
    </row>
    <row r="84" spans="1:10" x14ac:dyDescent="0.2">
      <c r="A84" s="9" t="str">
        <f>Hidden!PJ57</f>
        <v/>
      </c>
      <c r="B84" s="16" t="str">
        <f>Hidden!PK57</f>
        <v/>
      </c>
      <c r="C84" s="42"/>
      <c r="D84" s="16" t="str">
        <f>_xlfn.IFNA((HLOOKUP($F$16,Hidden!$PK$2:$PS$64, ROW(Hidden!PJ56:QI56),FALSE)),"")</f>
        <v/>
      </c>
      <c r="E84" s="689" t="str">
        <f>IFERROR(IF($F$16="Oil and Gas",HLOOKUP($F$19,Hidden!$PT$2:QA$64,ROW(Hidden!56:56),FALSE),IF(OR($F$16="Butadiene w/MID",$F$16="Phosgene w/MID",$F$16="SOCMI Non-leaker"),"-",HLOOKUP($F$19,Hidden!QC$2:QI$35,ROW(Hidden!56:56),FALSE))),"")</f>
        <v/>
      </c>
      <c r="F84" s="758"/>
      <c r="G84" s="689" t="str">
        <f>IFERROR(IF($F$16="Oil and Gas",HLOOKUP($F$20,Hidden!$PT$2:QC$64,ROW(Hidden!56:56),FALSE),IF(OR($F$16="Butadiene w/MID",$F$16="Phosgene w/MID",$F$16="SOCMI Non-leaker"),"-",HLOOKUP($F$20,Hidden!QE$2:QK$35,ROW(Hidden!56:56),FALSE))),"")</f>
        <v/>
      </c>
      <c r="H84" s="758"/>
      <c r="I84" s="22" t="str">
        <f t="shared" si="0"/>
        <v/>
      </c>
      <c r="J84" s="23" t="str">
        <f t="shared" si="1"/>
        <v/>
      </c>
    </row>
    <row r="85" spans="1:10" x14ac:dyDescent="0.2">
      <c r="A85" s="9" t="str">
        <f>Hidden!PJ58</f>
        <v/>
      </c>
      <c r="B85" s="16" t="str">
        <f>Hidden!PK58</f>
        <v/>
      </c>
      <c r="C85" s="42"/>
      <c r="D85" s="16" t="str">
        <f>_xlfn.IFNA((HLOOKUP($F$16,Hidden!$PK$2:$PS$64, ROW(Hidden!PJ57:QI57),FALSE)),"")</f>
        <v/>
      </c>
      <c r="E85" s="689" t="str">
        <f>IFERROR(IF($F$16="Oil and Gas",HLOOKUP($F$19,Hidden!$PT$2:QA$64,ROW(Hidden!57:57),FALSE),IF(OR($F$16="Butadiene w/MID",$F$16="Phosgene w/MID",$F$16="SOCMI Non-leaker"),"-",HLOOKUP($F$19,Hidden!QC$2:QI$35,ROW(Hidden!57:57),FALSE))),"")</f>
        <v/>
      </c>
      <c r="F85" s="758"/>
      <c r="G85" s="689" t="str">
        <f>IFERROR(IF($F$16="Oil and Gas",HLOOKUP($F$20,Hidden!$PT$2:QC$64,ROW(Hidden!57:57),FALSE),IF(OR($F$16="Butadiene w/MID",$F$16="Phosgene w/MID",$F$16="SOCMI Non-leaker"),"-",HLOOKUP($F$20,Hidden!QE$2:QK$35,ROW(Hidden!57:57),FALSE))),"")</f>
        <v/>
      </c>
      <c r="H85" s="758"/>
      <c r="I85" s="22" t="str">
        <f t="shared" si="0"/>
        <v/>
      </c>
      <c r="J85" s="23" t="str">
        <f t="shared" si="1"/>
        <v/>
      </c>
    </row>
    <row r="86" spans="1:10" x14ac:dyDescent="0.2">
      <c r="A86" s="9" t="str">
        <f>Hidden!PJ59</f>
        <v/>
      </c>
      <c r="B86" s="16" t="str">
        <f>Hidden!PK59</f>
        <v/>
      </c>
      <c r="C86" s="42"/>
      <c r="D86" s="16" t="str">
        <f>_xlfn.IFNA((HLOOKUP($F$16,Hidden!$PK$2:$PS$64, ROW(Hidden!PJ58:QI58),FALSE)),"")</f>
        <v/>
      </c>
      <c r="E86" s="689" t="str">
        <f>IFERROR(IF($F$16="Oil and Gas",HLOOKUP($F$19,Hidden!$PT$2:QA$64,ROW(Hidden!58:58),FALSE),IF(OR($F$16="Butadiene w/MID",$F$16="Phosgene w/MID",$F$16="SOCMI Non-leaker"),"-",HLOOKUP($F$19,Hidden!QC$2:QI$35,ROW(Hidden!58:58),FALSE))),"")</f>
        <v/>
      </c>
      <c r="F86" s="758"/>
      <c r="G86" s="689" t="str">
        <f>IFERROR(IF($F$16="Oil and Gas",HLOOKUP($F$20,Hidden!$PT$2:QC$64,ROW(Hidden!58:58),FALSE),IF(OR($F$16="Butadiene w/MID",$F$16="Phosgene w/MID",$F$16="SOCMI Non-leaker"),"-",HLOOKUP($F$20,Hidden!QE$2:QK$35,ROW(Hidden!58:58),FALSE))),"")</f>
        <v/>
      </c>
      <c r="H86" s="758"/>
      <c r="I86" s="22" t="str">
        <f t="shared" si="0"/>
        <v/>
      </c>
      <c r="J86" s="23" t="str">
        <f t="shared" si="1"/>
        <v/>
      </c>
    </row>
    <row r="87" spans="1:10" x14ac:dyDescent="0.2">
      <c r="A87" s="9" t="str">
        <f>Hidden!PJ60</f>
        <v/>
      </c>
      <c r="B87" s="16" t="str">
        <f>Hidden!PK60</f>
        <v/>
      </c>
      <c r="C87" s="42"/>
      <c r="D87" s="16" t="str">
        <f>_xlfn.IFNA((HLOOKUP($F$16,Hidden!$PK$2:$PS$64, ROW(Hidden!PJ59:QI59),FALSE)),"")</f>
        <v/>
      </c>
      <c r="E87" s="689" t="str">
        <f>IFERROR(IF($F$16="Oil and Gas",HLOOKUP($F$19,Hidden!$PT$2:QA$64,ROW(Hidden!59:59),FALSE),IF(OR($F$16="Butadiene w/MID",$F$16="Phosgene w/MID",$F$16="SOCMI Non-leaker"),"-",HLOOKUP($F$19,Hidden!QC$2:QI$35,ROW(Hidden!59:59),FALSE))),"")</f>
        <v/>
      </c>
      <c r="F87" s="758"/>
      <c r="G87" s="689" t="str">
        <f>IFERROR(IF($F$16="Oil and Gas",HLOOKUP($F$20,Hidden!$PT$2:QC$64,ROW(Hidden!59:59),FALSE),IF(OR($F$16="Butadiene w/MID",$F$16="Phosgene w/MID",$F$16="SOCMI Non-leaker"),"-",HLOOKUP($F$20,Hidden!QE$2:QK$35,ROW(Hidden!59:59),FALSE))),"")</f>
        <v/>
      </c>
      <c r="H87" s="758"/>
      <c r="I87" s="22" t="str">
        <f t="shared" si="0"/>
        <v/>
      </c>
      <c r="J87" s="23" t="str">
        <f t="shared" si="1"/>
        <v/>
      </c>
    </row>
    <row r="88" spans="1:10" x14ac:dyDescent="0.2">
      <c r="A88" s="9" t="str">
        <f>Hidden!PJ61</f>
        <v/>
      </c>
      <c r="B88" s="16" t="str">
        <f>Hidden!PK61</f>
        <v/>
      </c>
      <c r="C88" s="42"/>
      <c r="D88" s="16" t="str">
        <f>_xlfn.IFNA((HLOOKUP($F$16,Hidden!$PK$2:$PS$64, ROW(Hidden!PJ60:QI60),FALSE)),"")</f>
        <v/>
      </c>
      <c r="E88" s="689" t="str">
        <f>IFERROR(IF($F$16="Oil and Gas",HLOOKUP($F$19,Hidden!$PT$2:QA$64,ROW(Hidden!60:60),FALSE),IF(OR($F$16="Butadiene w/MID",$F$16="Phosgene w/MID",$F$16="SOCMI Non-leaker"),"-",HLOOKUP($F$19,Hidden!QC$2:QI$35,ROW(Hidden!60:60),FALSE))),"")</f>
        <v/>
      </c>
      <c r="F88" s="758"/>
      <c r="G88" s="689" t="str">
        <f>IFERROR(IF($F$16="Oil and Gas",HLOOKUP($F$20,Hidden!$PT$2:QC$64,ROW(Hidden!60:60),FALSE),IF(OR($F$16="Butadiene w/MID",$F$16="Phosgene w/MID",$F$16="SOCMI Non-leaker"),"-",HLOOKUP($F$20,Hidden!QE$2:QK$35,ROW(Hidden!60:60),FALSE))),"")</f>
        <v/>
      </c>
      <c r="H88" s="758"/>
      <c r="I88" s="22" t="str">
        <f t="shared" si="0"/>
        <v/>
      </c>
      <c r="J88" s="23" t="str">
        <f t="shared" si="1"/>
        <v/>
      </c>
    </row>
    <row r="89" spans="1:10" x14ac:dyDescent="0.2">
      <c r="A89" s="9" t="str">
        <f>Hidden!PJ62</f>
        <v/>
      </c>
      <c r="B89" s="16" t="str">
        <f>Hidden!PK62</f>
        <v/>
      </c>
      <c r="C89" s="42"/>
      <c r="D89" s="16" t="str">
        <f>_xlfn.IFNA((HLOOKUP($F$16,Hidden!$PK$2:$PS$64, ROW(Hidden!PJ61:QI61),FALSE)),"")</f>
        <v/>
      </c>
      <c r="E89" s="689" t="str">
        <f>IFERROR(IF($F$16="Oil and Gas",HLOOKUP($F$19,Hidden!$PT$2:QA$64,ROW(Hidden!61:61),FALSE),IF(OR($F$16="Butadiene w/MID",$F$16="Phosgene w/MID",$F$16="SOCMI Non-leaker"),"-",HLOOKUP($F$19,Hidden!QC$2:QI$35,ROW(Hidden!61:61),FALSE))),"")</f>
        <v/>
      </c>
      <c r="F89" s="758"/>
      <c r="G89" s="689" t="str">
        <f>IFERROR(IF($F$16="Oil and Gas",HLOOKUP($F$20,Hidden!$PT$2:QC$64,ROW(Hidden!61:61),FALSE),IF(OR($F$16="Butadiene w/MID",$F$16="Phosgene w/MID",$F$16="SOCMI Non-leaker"),"-",HLOOKUP($F$20,Hidden!QE$2:QK$35,ROW(Hidden!61:61),FALSE))),"")</f>
        <v/>
      </c>
      <c r="H89" s="758"/>
      <c r="I89" s="22" t="str">
        <f t="shared" si="0"/>
        <v/>
      </c>
      <c r="J89" s="23" t="str">
        <f t="shared" si="1"/>
        <v/>
      </c>
    </row>
    <row r="90" spans="1:10" x14ac:dyDescent="0.2">
      <c r="A90" s="9" t="str">
        <f>Hidden!PJ63</f>
        <v/>
      </c>
      <c r="B90" s="16" t="str">
        <f>Hidden!PK63</f>
        <v/>
      </c>
      <c r="C90" s="42"/>
      <c r="D90" s="16" t="str">
        <f>_xlfn.IFNA((HLOOKUP($F$16,Hidden!$PK$2:$PS$64, ROW(Hidden!PJ62:QI62),FALSE)),"")</f>
        <v/>
      </c>
      <c r="E90" s="689" t="str">
        <f>IFERROR(IF($F$16="Oil and Gas",HLOOKUP($F$19,Hidden!$PT$2:QA$64,ROW(Hidden!62:62),FALSE),IF(OR($F$16="Butadiene w/MID",$F$16="Phosgene w/MID",$F$16="SOCMI Non-leaker"),"-",HLOOKUP($F$19,Hidden!QC$2:QI$35,ROW(Hidden!62:62),FALSE))),"")</f>
        <v/>
      </c>
      <c r="F90" s="758"/>
      <c r="G90" s="689" t="str">
        <f>IFERROR(IF($F$16="Oil and Gas",HLOOKUP($F$20,Hidden!$PT$2:QC$64,ROW(Hidden!62:62),FALSE),IF(OR($F$16="Butadiene w/MID",$F$16="Phosgene w/MID",$F$16="SOCMI Non-leaker"),"-",HLOOKUP($F$20,Hidden!QE$2:QK$35,ROW(Hidden!62:62),FALSE))),"")</f>
        <v/>
      </c>
      <c r="H90" s="758"/>
      <c r="I90" s="22" t="str">
        <f t="shared" si="0"/>
        <v/>
      </c>
      <c r="J90" s="23" t="str">
        <f t="shared" si="1"/>
        <v/>
      </c>
    </row>
    <row r="91" spans="1:10" ht="15" thickBot="1" x14ac:dyDescent="0.25">
      <c r="A91" s="9" t="str">
        <f>Hidden!PJ64</f>
        <v/>
      </c>
      <c r="B91" s="16" t="str">
        <f>Hidden!PK64</f>
        <v/>
      </c>
      <c r="C91" s="43"/>
      <c r="D91" s="16" t="str">
        <f>_xlfn.IFNA((HLOOKUP($F$16,Hidden!$PK$2:$PS$64, ROW(Hidden!PJ63:QI63),FALSE)),"")</f>
        <v/>
      </c>
      <c r="E91" s="689" t="str">
        <f>IFERROR(IF($F$16="Oil and Gas",HLOOKUP($F$19,Hidden!$PT$2:QA$64,ROW(Hidden!63:63),FALSE),IF(OR($F$16="Butadiene w/MID",$F$16="Phosgene w/MID",$F$16="SOCMI Non-leaker"),"-",HLOOKUP($F$19,Hidden!QC$2:QI$35,ROW(Hidden!63:63),FALSE))),"")</f>
        <v/>
      </c>
      <c r="F91" s="758"/>
      <c r="G91" s="689" t="str">
        <f>IFERROR(IF($F$16="Oil and Gas",HLOOKUP($F$20,Hidden!$PT$2:QC$64,ROW(Hidden!63:63),FALSE),IF(OR($F$16="Butadiene w/MID",$F$16="Phosgene w/MID",$F$16="SOCMI Non-leaker"),"-",HLOOKUP($F$20,Hidden!QE$2:QK$35,ROW(Hidden!63:63),FALSE))),"")</f>
        <v/>
      </c>
      <c r="H91" s="758"/>
      <c r="I91" s="24" t="str">
        <f t="shared" si="0"/>
        <v/>
      </c>
      <c r="J91" s="25" t="str">
        <f t="shared" si="1"/>
        <v/>
      </c>
    </row>
    <row r="92" spans="1:10" ht="15.75" thickBot="1" x14ac:dyDescent="0.25">
      <c r="A92" s="894" t="s">
        <v>8740</v>
      </c>
      <c r="B92" s="895"/>
      <c r="C92" s="895"/>
      <c r="D92" s="895"/>
      <c r="E92" s="895"/>
      <c r="F92" s="895"/>
      <c r="G92" s="895"/>
      <c r="H92" s="895"/>
      <c r="I92" s="26">
        <f>SUM(I30:I91)</f>
        <v>0</v>
      </c>
      <c r="J92" s="27">
        <f t="shared" si="1"/>
        <v>0</v>
      </c>
    </row>
    <row r="93" spans="1:10" ht="15" thickBot="1" x14ac:dyDescent="0.25">
      <c r="A93" s="478" t="s">
        <v>1</v>
      </c>
      <c r="B93" s="478"/>
      <c r="C93" s="478"/>
      <c r="D93" s="478"/>
      <c r="E93" s="478"/>
      <c r="F93" s="478"/>
      <c r="G93" s="478"/>
      <c r="H93" s="478"/>
      <c r="I93" s="478"/>
      <c r="J93" s="478"/>
    </row>
    <row r="94" spans="1:10" ht="15.75" thickBot="1" x14ac:dyDescent="0.25">
      <c r="A94" s="474" t="s">
        <v>9804</v>
      </c>
      <c r="B94" s="474"/>
      <c r="C94" s="474"/>
      <c r="D94" s="474"/>
      <c r="E94" s="474"/>
      <c r="F94" s="474"/>
      <c r="G94" s="474"/>
      <c r="H94" s="474"/>
      <c r="I94" s="474"/>
      <c r="J94" s="474"/>
    </row>
    <row r="95" spans="1:10" ht="30" x14ac:dyDescent="0.2">
      <c r="A95" s="17" t="s">
        <v>8751</v>
      </c>
      <c r="B95" s="898" t="s">
        <v>8752</v>
      </c>
      <c r="C95" s="898"/>
      <c r="D95" s="898"/>
      <c r="E95" s="898"/>
      <c r="F95" s="898"/>
      <c r="G95" s="898"/>
      <c r="H95" s="18" t="s">
        <v>8755</v>
      </c>
      <c r="I95" s="18" t="s">
        <v>8741</v>
      </c>
      <c r="J95" s="19" t="s">
        <v>8742</v>
      </c>
    </row>
    <row r="96" spans="1:10" x14ac:dyDescent="0.2">
      <c r="A96" s="44"/>
      <c r="B96" s="531" t="str">
        <f>IF($A96="","",IFERROR(HLOOKUP(Hidden!$FB$2,Substances,MATCH($A96,CAS,0),FALSE),"Other (Please specify):"))</f>
        <v/>
      </c>
      <c r="C96" s="531"/>
      <c r="D96" s="531"/>
      <c r="E96" s="531"/>
      <c r="F96" s="531"/>
      <c r="G96" s="531"/>
      <c r="H96" s="42"/>
      <c r="I96" s="20">
        <f>H96*$I$92</f>
        <v>0</v>
      </c>
      <c r="J96" s="21">
        <f>H96*$J$92</f>
        <v>0</v>
      </c>
    </row>
    <row r="97" spans="1:10" x14ac:dyDescent="0.2">
      <c r="A97" s="44"/>
      <c r="B97" s="531" t="str">
        <f>IF($A97="","",IFERROR(HLOOKUP(Hidden!$FB$2,Substances,MATCH($A97,CAS,0),FALSE),"Other (Please specify):"))</f>
        <v/>
      </c>
      <c r="C97" s="531"/>
      <c r="D97" s="531"/>
      <c r="E97" s="531"/>
      <c r="F97" s="531"/>
      <c r="G97" s="531"/>
      <c r="H97" s="42"/>
      <c r="I97" s="20">
        <f t="shared" ref="I97:I110" si="2">H97*$I$92</f>
        <v>0</v>
      </c>
      <c r="J97" s="21">
        <f t="shared" ref="J97:J110" si="3">H97*$J$92</f>
        <v>0</v>
      </c>
    </row>
    <row r="98" spans="1:10" x14ac:dyDescent="0.2">
      <c r="A98" s="44"/>
      <c r="B98" s="531" t="str">
        <f>IF($A98="","",IFERROR(HLOOKUP(Hidden!$FB$2,Substances,MATCH($A98,CAS,0),FALSE),"Other (Please specify):"))</f>
        <v/>
      </c>
      <c r="C98" s="531"/>
      <c r="D98" s="531"/>
      <c r="E98" s="531"/>
      <c r="F98" s="531"/>
      <c r="G98" s="531"/>
      <c r="H98" s="42"/>
      <c r="I98" s="20">
        <f t="shared" si="2"/>
        <v>0</v>
      </c>
      <c r="J98" s="21">
        <f t="shared" si="3"/>
        <v>0</v>
      </c>
    </row>
    <row r="99" spans="1:10" x14ac:dyDescent="0.2">
      <c r="A99" s="44"/>
      <c r="B99" s="531" t="str">
        <f>IF($A99="","",IFERROR(HLOOKUP(Hidden!$FB$2,Substances,MATCH($A99,CAS,0),FALSE),"Other (Please specify):"))</f>
        <v/>
      </c>
      <c r="C99" s="531"/>
      <c r="D99" s="531"/>
      <c r="E99" s="531"/>
      <c r="F99" s="531"/>
      <c r="G99" s="531"/>
      <c r="H99" s="42"/>
      <c r="I99" s="20">
        <f t="shared" si="2"/>
        <v>0</v>
      </c>
      <c r="J99" s="21">
        <f t="shared" si="3"/>
        <v>0</v>
      </c>
    </row>
    <row r="100" spans="1:10" x14ac:dyDescent="0.2">
      <c r="A100" s="44"/>
      <c r="B100" s="531" t="str">
        <f>IF($A100="","",IFERROR(HLOOKUP(Hidden!$FB$2,Substances,MATCH($A100,CAS,0),FALSE),"Other (Please specify):"))</f>
        <v/>
      </c>
      <c r="C100" s="531"/>
      <c r="D100" s="531"/>
      <c r="E100" s="531"/>
      <c r="F100" s="531"/>
      <c r="G100" s="531"/>
      <c r="H100" s="42"/>
      <c r="I100" s="20">
        <f t="shared" si="2"/>
        <v>0</v>
      </c>
      <c r="J100" s="21">
        <f t="shared" si="3"/>
        <v>0</v>
      </c>
    </row>
    <row r="101" spans="1:10" x14ac:dyDescent="0.2">
      <c r="A101" s="44"/>
      <c r="B101" s="531" t="str">
        <f>IF($A101="","",IFERROR(HLOOKUP(Hidden!$FB$2,Substances,MATCH($A101,CAS,0),FALSE),"Other (Please specify):"))</f>
        <v/>
      </c>
      <c r="C101" s="531"/>
      <c r="D101" s="531"/>
      <c r="E101" s="531"/>
      <c r="F101" s="531"/>
      <c r="G101" s="531"/>
      <c r="H101" s="42"/>
      <c r="I101" s="20">
        <f t="shared" si="2"/>
        <v>0</v>
      </c>
      <c r="J101" s="21">
        <f t="shared" si="3"/>
        <v>0</v>
      </c>
    </row>
    <row r="102" spans="1:10" x14ac:dyDescent="0.2">
      <c r="A102" s="44"/>
      <c r="B102" s="531" t="str">
        <f>IF($A102="","",IFERROR(HLOOKUP(Hidden!$FB$2,Substances,MATCH($A102,CAS,0),FALSE),"Other (Please specify):"))</f>
        <v/>
      </c>
      <c r="C102" s="531"/>
      <c r="D102" s="531"/>
      <c r="E102" s="531"/>
      <c r="F102" s="531"/>
      <c r="G102" s="531"/>
      <c r="H102" s="42"/>
      <c r="I102" s="20">
        <f t="shared" si="2"/>
        <v>0</v>
      </c>
      <c r="J102" s="21">
        <f t="shared" si="3"/>
        <v>0</v>
      </c>
    </row>
    <row r="103" spans="1:10" x14ac:dyDescent="0.2">
      <c r="A103" s="44"/>
      <c r="B103" s="531" t="str">
        <f>IF($A103="","",IFERROR(HLOOKUP(Hidden!$FB$2,Substances,MATCH($A103,CAS,0),FALSE),"Other (Please specify):"))</f>
        <v/>
      </c>
      <c r="C103" s="531"/>
      <c r="D103" s="531"/>
      <c r="E103" s="531"/>
      <c r="F103" s="531"/>
      <c r="G103" s="531"/>
      <c r="H103" s="42"/>
      <c r="I103" s="20">
        <f t="shared" si="2"/>
        <v>0</v>
      </c>
      <c r="J103" s="21">
        <f t="shared" si="3"/>
        <v>0</v>
      </c>
    </row>
    <row r="104" spans="1:10" x14ac:dyDescent="0.2">
      <c r="A104" s="44"/>
      <c r="B104" s="531" t="str">
        <f>IF($A104="","",IFERROR(HLOOKUP(Hidden!$FB$2,Substances,MATCH($A104,CAS,0),FALSE),"Other (Please specify):"))</f>
        <v/>
      </c>
      <c r="C104" s="531"/>
      <c r="D104" s="531"/>
      <c r="E104" s="531"/>
      <c r="F104" s="531"/>
      <c r="G104" s="531"/>
      <c r="H104" s="42"/>
      <c r="I104" s="20">
        <f t="shared" si="2"/>
        <v>0</v>
      </c>
      <c r="J104" s="21">
        <f t="shared" si="3"/>
        <v>0</v>
      </c>
    </row>
    <row r="105" spans="1:10" x14ac:dyDescent="0.2">
      <c r="A105" s="44"/>
      <c r="B105" s="531" t="str">
        <f>IF($A105="","",IFERROR(HLOOKUP(Hidden!$FB$2,Substances,MATCH($A105,CAS,0),FALSE),"Other (Please specify):"))</f>
        <v/>
      </c>
      <c r="C105" s="531"/>
      <c r="D105" s="531"/>
      <c r="E105" s="531"/>
      <c r="F105" s="531"/>
      <c r="G105" s="531"/>
      <c r="H105" s="42"/>
      <c r="I105" s="20">
        <f t="shared" si="2"/>
        <v>0</v>
      </c>
      <c r="J105" s="21">
        <f t="shared" si="3"/>
        <v>0</v>
      </c>
    </row>
    <row r="106" spans="1:10" x14ac:dyDescent="0.2">
      <c r="A106" s="44"/>
      <c r="B106" s="531" t="str">
        <f>IF($A106="","",IFERROR(HLOOKUP(Hidden!$FB$2,Substances,MATCH($A106,CAS,0),FALSE),"Other (Please specify):"))</f>
        <v/>
      </c>
      <c r="C106" s="531"/>
      <c r="D106" s="531"/>
      <c r="E106" s="531"/>
      <c r="F106" s="531"/>
      <c r="G106" s="531"/>
      <c r="H106" s="42"/>
      <c r="I106" s="20">
        <f t="shared" si="2"/>
        <v>0</v>
      </c>
      <c r="J106" s="21">
        <f t="shared" si="3"/>
        <v>0</v>
      </c>
    </row>
    <row r="107" spans="1:10" x14ac:dyDescent="0.2">
      <c r="A107" s="44"/>
      <c r="B107" s="531" t="str">
        <f>IF($A107="","",IFERROR(HLOOKUP(Hidden!$FB$2,Substances,MATCH($A107,CAS,0),FALSE),"Other (Please specify):"))</f>
        <v/>
      </c>
      <c r="C107" s="531"/>
      <c r="D107" s="531"/>
      <c r="E107" s="531"/>
      <c r="F107" s="531"/>
      <c r="G107" s="531"/>
      <c r="H107" s="42"/>
      <c r="I107" s="20">
        <f t="shared" si="2"/>
        <v>0</v>
      </c>
      <c r="J107" s="21">
        <f t="shared" si="3"/>
        <v>0</v>
      </c>
    </row>
    <row r="108" spans="1:10" x14ac:dyDescent="0.2">
      <c r="A108" s="44"/>
      <c r="B108" s="531" t="str">
        <f>IF($A108="","",IFERROR(HLOOKUP(Hidden!$FB$2,Substances,MATCH($A108,CAS,0),FALSE),"Other (Please specify):"))</f>
        <v/>
      </c>
      <c r="C108" s="531"/>
      <c r="D108" s="531"/>
      <c r="E108" s="531"/>
      <c r="F108" s="531"/>
      <c r="G108" s="531"/>
      <c r="H108" s="42"/>
      <c r="I108" s="20">
        <f t="shared" si="2"/>
        <v>0</v>
      </c>
      <c r="J108" s="21">
        <f t="shared" si="3"/>
        <v>0</v>
      </c>
    </row>
    <row r="109" spans="1:10" x14ac:dyDescent="0.2">
      <c r="A109" s="44"/>
      <c r="B109" s="531" t="str">
        <f>IF($A109="","",IFERROR(HLOOKUP(Hidden!$FB$2,Substances,MATCH($A109,CAS,0),FALSE),"Other (Please specify):"))</f>
        <v/>
      </c>
      <c r="C109" s="531"/>
      <c r="D109" s="531"/>
      <c r="E109" s="531"/>
      <c r="F109" s="531"/>
      <c r="G109" s="531"/>
      <c r="H109" s="42"/>
      <c r="I109" s="20">
        <f t="shared" si="2"/>
        <v>0</v>
      </c>
      <c r="J109" s="21">
        <f t="shared" si="3"/>
        <v>0</v>
      </c>
    </row>
    <row r="110" spans="1:10" x14ac:dyDescent="0.2">
      <c r="A110" s="44"/>
      <c r="B110" s="531" t="str">
        <f>IF($A110="","",IFERROR(HLOOKUP(Hidden!$FB$2,Substances,MATCH($A110,CAS,0),FALSE),"Other (Please specify):"))</f>
        <v/>
      </c>
      <c r="C110" s="531"/>
      <c r="D110" s="531"/>
      <c r="E110" s="531"/>
      <c r="F110" s="531"/>
      <c r="G110" s="531"/>
      <c r="H110" s="42"/>
      <c r="I110" s="20">
        <f t="shared" si="2"/>
        <v>0</v>
      </c>
      <c r="J110" s="21">
        <f t="shared" si="3"/>
        <v>0</v>
      </c>
    </row>
    <row r="111" spans="1:10" x14ac:dyDescent="0.2">
      <c r="A111" s="44"/>
      <c r="B111" s="531" t="str">
        <f>IF($A111="","",IFERROR(HLOOKUP(Hidden!$FB$2,Substances,MATCH($A111,CAS,0),FALSE),"Other (Please specify):"))</f>
        <v/>
      </c>
      <c r="C111" s="531"/>
      <c r="D111" s="531"/>
      <c r="E111" s="531"/>
      <c r="F111" s="531"/>
      <c r="G111" s="531"/>
      <c r="H111" s="42"/>
      <c r="I111" s="20">
        <f>H111*$I$92</f>
        <v>0</v>
      </c>
      <c r="J111" s="21">
        <f>H111*$J$92</f>
        <v>0</v>
      </c>
    </row>
    <row r="112" spans="1:10" x14ac:dyDescent="0.2">
      <c r="A112" s="44"/>
      <c r="B112" s="531" t="str">
        <f>IF($A112="","",IFERROR(HLOOKUP(Hidden!$FB$2,Substances,MATCH($A112,CAS,0),FALSE),"Other (Please specify):"))</f>
        <v/>
      </c>
      <c r="C112" s="531"/>
      <c r="D112" s="531"/>
      <c r="E112" s="531"/>
      <c r="F112" s="531"/>
      <c r="G112" s="531"/>
      <c r="H112" s="42"/>
      <c r="I112" s="20">
        <f t="shared" ref="I112:I114" si="4">H112*$I$92</f>
        <v>0</v>
      </c>
      <c r="J112" s="21">
        <f t="shared" ref="J112:J114" si="5">H112*$J$92</f>
        <v>0</v>
      </c>
    </row>
    <row r="113" spans="1:10" x14ac:dyDescent="0.2">
      <c r="A113" s="44"/>
      <c r="B113" s="531" t="str">
        <f>IF($A113="","",IFERROR(HLOOKUP(Hidden!$FB$2,Substances,MATCH($A113,CAS,0),FALSE),"Other (Please specify):"))</f>
        <v/>
      </c>
      <c r="C113" s="531"/>
      <c r="D113" s="531"/>
      <c r="E113" s="531"/>
      <c r="F113" s="531"/>
      <c r="G113" s="531"/>
      <c r="H113" s="42"/>
      <c r="I113" s="20">
        <f t="shared" si="4"/>
        <v>0</v>
      </c>
      <c r="J113" s="21">
        <f t="shared" si="5"/>
        <v>0</v>
      </c>
    </row>
    <row r="114" spans="1:10" x14ac:dyDescent="0.2">
      <c r="A114" s="44"/>
      <c r="B114" s="531" t="str">
        <f>IF($A114="","",IFERROR(HLOOKUP(Hidden!$FB$2,Substances,MATCH($A114,CAS,0),FALSE),"Other (Please specify):"))</f>
        <v/>
      </c>
      <c r="C114" s="531"/>
      <c r="D114" s="531"/>
      <c r="E114" s="531"/>
      <c r="F114" s="531"/>
      <c r="G114" s="531"/>
      <c r="H114" s="42"/>
      <c r="I114" s="20">
        <f t="shared" si="4"/>
        <v>0</v>
      </c>
      <c r="J114" s="21">
        <f t="shared" si="5"/>
        <v>0</v>
      </c>
    </row>
    <row r="115" spans="1:10" x14ac:dyDescent="0.2">
      <c r="A115" s="44"/>
      <c r="B115" s="531" t="str">
        <f>IF($A115="","",IFERROR(HLOOKUP(Hidden!$FB$2,Substances,MATCH($A115,CAS,0),FALSE),"Other (Please specify):"))</f>
        <v/>
      </c>
      <c r="C115" s="531"/>
      <c r="D115" s="531"/>
      <c r="E115" s="531"/>
      <c r="F115" s="531"/>
      <c r="G115" s="531"/>
      <c r="H115" s="42"/>
      <c r="I115" s="20">
        <f>H115*$I$92</f>
        <v>0</v>
      </c>
      <c r="J115" s="21">
        <f>H115*$J$92</f>
        <v>0</v>
      </c>
    </row>
    <row r="116" spans="1:10" x14ac:dyDescent="0.2">
      <c r="A116" s="44"/>
      <c r="B116" s="531" t="str">
        <f>IF($A116="","",IFERROR(HLOOKUP(Hidden!$FB$2,Substances,MATCH($A116,CAS,0),FALSE),"Other (Please specify):"))</f>
        <v/>
      </c>
      <c r="C116" s="531"/>
      <c r="D116" s="531"/>
      <c r="E116" s="531"/>
      <c r="F116" s="531"/>
      <c r="G116" s="531"/>
      <c r="H116" s="42"/>
      <c r="I116" s="20">
        <f t="shared" ref="I116:I122" si="6">H116*$I$92</f>
        <v>0</v>
      </c>
      <c r="J116" s="21">
        <f t="shared" ref="J116:J122" si="7">H116*$J$92</f>
        <v>0</v>
      </c>
    </row>
    <row r="117" spans="1:10" x14ac:dyDescent="0.2">
      <c r="A117" s="44"/>
      <c r="B117" s="531" t="str">
        <f>IF($A117="","",IFERROR(HLOOKUP(Hidden!$FB$2,Substances,MATCH($A117,CAS,0),FALSE),"Other (Please specify):"))</f>
        <v/>
      </c>
      <c r="C117" s="531"/>
      <c r="D117" s="531"/>
      <c r="E117" s="531"/>
      <c r="F117" s="531"/>
      <c r="G117" s="531"/>
      <c r="H117" s="42"/>
      <c r="I117" s="20">
        <f t="shared" si="6"/>
        <v>0</v>
      </c>
      <c r="J117" s="21">
        <f t="shared" si="7"/>
        <v>0</v>
      </c>
    </row>
    <row r="118" spans="1:10" x14ac:dyDescent="0.2">
      <c r="A118" s="44"/>
      <c r="B118" s="531" t="str">
        <f>IF($A118="","",IFERROR(HLOOKUP(Hidden!$FB$2,Substances,MATCH($A118,CAS,0),FALSE),"Other (Please specify):"))</f>
        <v/>
      </c>
      <c r="C118" s="531"/>
      <c r="D118" s="531"/>
      <c r="E118" s="531"/>
      <c r="F118" s="531"/>
      <c r="G118" s="531"/>
      <c r="H118" s="42"/>
      <c r="I118" s="20">
        <f t="shared" si="6"/>
        <v>0</v>
      </c>
      <c r="J118" s="21">
        <f t="shared" si="7"/>
        <v>0</v>
      </c>
    </row>
    <row r="119" spans="1:10" x14ac:dyDescent="0.2">
      <c r="A119" s="44"/>
      <c r="B119" s="531" t="str">
        <f>IF($A119="","",IFERROR(HLOOKUP(Hidden!$FB$2,Substances,MATCH($A119,CAS,0),FALSE),"Other (Please specify):"))</f>
        <v/>
      </c>
      <c r="C119" s="531"/>
      <c r="D119" s="531"/>
      <c r="E119" s="531"/>
      <c r="F119" s="531"/>
      <c r="G119" s="531"/>
      <c r="H119" s="42"/>
      <c r="I119" s="20">
        <f t="shared" si="6"/>
        <v>0</v>
      </c>
      <c r="J119" s="21">
        <f t="shared" si="7"/>
        <v>0</v>
      </c>
    </row>
    <row r="120" spans="1:10" x14ac:dyDescent="0.2">
      <c r="A120" s="44"/>
      <c r="B120" s="531" t="str">
        <f>IF($A120="","",IFERROR(HLOOKUP(Hidden!$FB$2,Substances,MATCH($A120,CAS,0),FALSE),"Other (Please specify):"))</f>
        <v/>
      </c>
      <c r="C120" s="531"/>
      <c r="D120" s="531"/>
      <c r="E120" s="531"/>
      <c r="F120" s="531"/>
      <c r="G120" s="531"/>
      <c r="H120" s="42"/>
      <c r="I120" s="20">
        <f t="shared" si="6"/>
        <v>0</v>
      </c>
      <c r="J120" s="21">
        <f t="shared" si="7"/>
        <v>0</v>
      </c>
    </row>
    <row r="121" spans="1:10" x14ac:dyDescent="0.2">
      <c r="A121" s="44"/>
      <c r="B121" s="531" t="str">
        <f>IF($A121="","",IFERROR(HLOOKUP(Hidden!$FB$2,Substances,MATCH($A121,CAS,0),FALSE),"Other (Please specify):"))</f>
        <v/>
      </c>
      <c r="C121" s="531"/>
      <c r="D121" s="531"/>
      <c r="E121" s="531"/>
      <c r="F121" s="531"/>
      <c r="G121" s="531"/>
      <c r="H121" s="42"/>
      <c r="I121" s="20">
        <f t="shared" si="6"/>
        <v>0</v>
      </c>
      <c r="J121" s="21">
        <f t="shared" si="7"/>
        <v>0</v>
      </c>
    </row>
    <row r="122" spans="1:10" x14ac:dyDescent="0.2">
      <c r="A122" s="44"/>
      <c r="B122" s="531" t="str">
        <f>IF($A122="","",IFERROR(HLOOKUP(Hidden!$FB$2,Substances,MATCH($A122,CAS,0),FALSE),"Other (Please specify):"))</f>
        <v/>
      </c>
      <c r="C122" s="531"/>
      <c r="D122" s="531"/>
      <c r="E122" s="531"/>
      <c r="F122" s="531"/>
      <c r="G122" s="531"/>
      <c r="H122" s="42"/>
      <c r="I122" s="20">
        <f t="shared" si="6"/>
        <v>0</v>
      </c>
      <c r="J122" s="21">
        <f t="shared" si="7"/>
        <v>0</v>
      </c>
    </row>
    <row r="123" spans="1:10" x14ac:dyDescent="0.2">
      <c r="A123" s="44"/>
      <c r="B123" s="531" t="str">
        <f>IF($A123="","",IFERROR(HLOOKUP(Hidden!$FB$2,Substances,MATCH($A123,CAS,0),FALSE),"Other (Please specify):"))</f>
        <v/>
      </c>
      <c r="C123" s="531"/>
      <c r="D123" s="531"/>
      <c r="E123" s="531"/>
      <c r="F123" s="531"/>
      <c r="G123" s="531"/>
      <c r="H123" s="42"/>
      <c r="I123" s="20">
        <f>H123*$I$92</f>
        <v>0</v>
      </c>
      <c r="J123" s="21">
        <f>H123*$J$92</f>
        <v>0</v>
      </c>
    </row>
    <row r="124" spans="1:10" x14ac:dyDescent="0.2">
      <c r="A124" s="44"/>
      <c r="B124" s="531" t="str">
        <f>IF($A124="","",IFERROR(HLOOKUP(Hidden!$FB$2,Substances,MATCH($A124,CAS,0),FALSE),"Other (Please specify):"))</f>
        <v/>
      </c>
      <c r="C124" s="531"/>
      <c r="D124" s="531"/>
      <c r="E124" s="531"/>
      <c r="F124" s="531"/>
      <c r="G124" s="531"/>
      <c r="H124" s="42"/>
      <c r="I124" s="20">
        <f t="shared" ref="I124:I137" si="8">H124*$I$92</f>
        <v>0</v>
      </c>
      <c r="J124" s="21">
        <f t="shared" ref="J124:J137" si="9">H124*$J$92</f>
        <v>0</v>
      </c>
    </row>
    <row r="125" spans="1:10" x14ac:dyDescent="0.2">
      <c r="A125" s="44"/>
      <c r="B125" s="531" t="str">
        <f>IF($A125="","",IFERROR(HLOOKUP(Hidden!$FB$2,Substances,MATCH($A125,CAS,0),FALSE),"Other (Please specify):"))</f>
        <v/>
      </c>
      <c r="C125" s="531"/>
      <c r="D125" s="531"/>
      <c r="E125" s="531"/>
      <c r="F125" s="531"/>
      <c r="G125" s="531"/>
      <c r="H125" s="42"/>
      <c r="I125" s="20">
        <f t="shared" si="8"/>
        <v>0</v>
      </c>
      <c r="J125" s="21">
        <f t="shared" si="9"/>
        <v>0</v>
      </c>
    </row>
    <row r="126" spans="1:10" x14ac:dyDescent="0.2">
      <c r="A126" s="44"/>
      <c r="B126" s="531" t="str">
        <f>IF($A126="","",IFERROR(HLOOKUP(Hidden!$FB$2,Substances,MATCH($A126,CAS,0),FALSE),"Other (Please specify):"))</f>
        <v/>
      </c>
      <c r="C126" s="531"/>
      <c r="D126" s="531"/>
      <c r="E126" s="531"/>
      <c r="F126" s="531"/>
      <c r="G126" s="531"/>
      <c r="H126" s="42"/>
      <c r="I126" s="20">
        <f t="shared" si="8"/>
        <v>0</v>
      </c>
      <c r="J126" s="21">
        <f t="shared" si="9"/>
        <v>0</v>
      </c>
    </row>
    <row r="127" spans="1:10" x14ac:dyDescent="0.2">
      <c r="A127" s="44"/>
      <c r="B127" s="531" t="str">
        <f>IF($A127="","",IFERROR(HLOOKUP(Hidden!$FB$2,Substances,MATCH($A127,CAS,0),FALSE),"Other (Please specify):"))</f>
        <v/>
      </c>
      <c r="C127" s="531"/>
      <c r="D127" s="531"/>
      <c r="E127" s="531"/>
      <c r="F127" s="531"/>
      <c r="G127" s="531"/>
      <c r="H127" s="42"/>
      <c r="I127" s="20">
        <f t="shared" si="8"/>
        <v>0</v>
      </c>
      <c r="J127" s="21">
        <f t="shared" si="9"/>
        <v>0</v>
      </c>
    </row>
    <row r="128" spans="1:10" x14ac:dyDescent="0.2">
      <c r="A128" s="44"/>
      <c r="B128" s="531" t="str">
        <f>IF($A128="","",IFERROR(HLOOKUP(Hidden!$FB$2,Substances,MATCH($A128,CAS,0),FALSE),"Other (Please specify):"))</f>
        <v/>
      </c>
      <c r="C128" s="531"/>
      <c r="D128" s="531"/>
      <c r="E128" s="531"/>
      <c r="F128" s="531"/>
      <c r="G128" s="531"/>
      <c r="H128" s="42"/>
      <c r="I128" s="20">
        <f t="shared" si="8"/>
        <v>0</v>
      </c>
      <c r="J128" s="21">
        <f t="shared" si="9"/>
        <v>0</v>
      </c>
    </row>
    <row r="129" spans="1:10" x14ac:dyDescent="0.2">
      <c r="A129" s="44"/>
      <c r="B129" s="531" t="str">
        <f>IF($A129="","",IFERROR(HLOOKUP(Hidden!$FB$2,Substances,MATCH($A129,CAS,0),FALSE),"Other (Please specify):"))</f>
        <v/>
      </c>
      <c r="C129" s="531"/>
      <c r="D129" s="531"/>
      <c r="E129" s="531"/>
      <c r="F129" s="531"/>
      <c r="G129" s="531"/>
      <c r="H129" s="42"/>
      <c r="I129" s="20">
        <f t="shared" si="8"/>
        <v>0</v>
      </c>
      <c r="J129" s="21">
        <f t="shared" si="9"/>
        <v>0</v>
      </c>
    </row>
    <row r="130" spans="1:10" x14ac:dyDescent="0.2">
      <c r="A130" s="44"/>
      <c r="B130" s="531" t="str">
        <f>IF($A130="","",IFERROR(HLOOKUP(Hidden!$FB$2,Substances,MATCH($A130,CAS,0),FALSE),"Other (Please specify):"))</f>
        <v/>
      </c>
      <c r="C130" s="531"/>
      <c r="D130" s="531"/>
      <c r="E130" s="531"/>
      <c r="F130" s="531"/>
      <c r="G130" s="531"/>
      <c r="H130" s="42"/>
      <c r="I130" s="20">
        <f t="shared" si="8"/>
        <v>0</v>
      </c>
      <c r="J130" s="21">
        <f t="shared" si="9"/>
        <v>0</v>
      </c>
    </row>
    <row r="131" spans="1:10" x14ac:dyDescent="0.2">
      <c r="A131" s="44"/>
      <c r="B131" s="531" t="str">
        <f>IF($A131="","",IFERROR(HLOOKUP(Hidden!$FB$2,Substances,MATCH($A131,CAS,0),FALSE),"Other (Please specify):"))</f>
        <v/>
      </c>
      <c r="C131" s="531"/>
      <c r="D131" s="531"/>
      <c r="E131" s="531"/>
      <c r="F131" s="531"/>
      <c r="G131" s="531"/>
      <c r="H131" s="42"/>
      <c r="I131" s="20">
        <f t="shared" si="8"/>
        <v>0</v>
      </c>
      <c r="J131" s="21">
        <f t="shared" si="9"/>
        <v>0</v>
      </c>
    </row>
    <row r="132" spans="1:10" x14ac:dyDescent="0.2">
      <c r="A132" s="44"/>
      <c r="B132" s="531" t="str">
        <f>IF($A132="","",IFERROR(HLOOKUP(Hidden!$FB$2,Substances,MATCH($A132,CAS,0),FALSE),"Other (Please specify):"))</f>
        <v/>
      </c>
      <c r="C132" s="531"/>
      <c r="D132" s="531"/>
      <c r="E132" s="531"/>
      <c r="F132" s="531"/>
      <c r="G132" s="531"/>
      <c r="H132" s="42"/>
      <c r="I132" s="20">
        <f t="shared" si="8"/>
        <v>0</v>
      </c>
      <c r="J132" s="21">
        <f t="shared" si="9"/>
        <v>0</v>
      </c>
    </row>
    <row r="133" spans="1:10" x14ac:dyDescent="0.2">
      <c r="A133" s="44"/>
      <c r="B133" s="531" t="str">
        <f>IF($A133="","",IFERROR(HLOOKUP(Hidden!$FB$2,Substances,MATCH($A133,CAS,0),FALSE),"Other (Please specify):"))</f>
        <v/>
      </c>
      <c r="C133" s="531"/>
      <c r="D133" s="531"/>
      <c r="E133" s="531"/>
      <c r="F133" s="531"/>
      <c r="G133" s="531"/>
      <c r="H133" s="42"/>
      <c r="I133" s="20">
        <f t="shared" si="8"/>
        <v>0</v>
      </c>
      <c r="J133" s="21">
        <f t="shared" si="9"/>
        <v>0</v>
      </c>
    </row>
    <row r="134" spans="1:10" x14ac:dyDescent="0.2">
      <c r="A134" s="44"/>
      <c r="B134" s="531" t="str">
        <f>IF($A134="","",IFERROR(HLOOKUP(Hidden!$FB$2,Substances,MATCH($A134,CAS,0),FALSE),"Other (Please specify):"))</f>
        <v/>
      </c>
      <c r="C134" s="531"/>
      <c r="D134" s="531"/>
      <c r="E134" s="531"/>
      <c r="F134" s="531"/>
      <c r="G134" s="531"/>
      <c r="H134" s="42"/>
      <c r="I134" s="20">
        <f t="shared" si="8"/>
        <v>0</v>
      </c>
      <c r="J134" s="21">
        <f t="shared" si="9"/>
        <v>0</v>
      </c>
    </row>
    <row r="135" spans="1:10" x14ac:dyDescent="0.2">
      <c r="A135" s="44"/>
      <c r="B135" s="531" t="str">
        <f>IF($A135="","",IFERROR(HLOOKUP(Hidden!$FB$2,Substances,MATCH($A135,CAS,0),FALSE),"Other (Please specify):"))</f>
        <v/>
      </c>
      <c r="C135" s="531"/>
      <c r="D135" s="531"/>
      <c r="E135" s="531"/>
      <c r="F135" s="531"/>
      <c r="G135" s="531"/>
      <c r="H135" s="42"/>
      <c r="I135" s="20">
        <f t="shared" si="8"/>
        <v>0</v>
      </c>
      <c r="J135" s="21">
        <f t="shared" si="9"/>
        <v>0</v>
      </c>
    </row>
    <row r="136" spans="1:10" x14ac:dyDescent="0.2">
      <c r="A136" s="44"/>
      <c r="B136" s="531" t="str">
        <f>IF($A136="","",IFERROR(HLOOKUP(Hidden!$FB$2,Substances,MATCH($A136,CAS,0),FALSE),"Other (Please specify):"))</f>
        <v/>
      </c>
      <c r="C136" s="531"/>
      <c r="D136" s="531"/>
      <c r="E136" s="531"/>
      <c r="F136" s="531"/>
      <c r="G136" s="531"/>
      <c r="H136" s="42"/>
      <c r="I136" s="20">
        <f t="shared" si="8"/>
        <v>0</v>
      </c>
      <c r="J136" s="21">
        <f t="shared" si="9"/>
        <v>0</v>
      </c>
    </row>
    <row r="137" spans="1:10" x14ac:dyDescent="0.2">
      <c r="A137" s="44"/>
      <c r="B137" s="531" t="str">
        <f>IF($A137="","",IFERROR(HLOOKUP(Hidden!$FB$2,Substances,MATCH($A137,CAS,0),FALSE),"Other (Please specify):"))</f>
        <v/>
      </c>
      <c r="C137" s="531"/>
      <c r="D137" s="531"/>
      <c r="E137" s="531"/>
      <c r="F137" s="531"/>
      <c r="G137" s="531"/>
      <c r="H137" s="42"/>
      <c r="I137" s="20">
        <f t="shared" si="8"/>
        <v>0</v>
      </c>
      <c r="J137" s="21">
        <f t="shared" si="9"/>
        <v>0</v>
      </c>
    </row>
    <row r="138" spans="1:10" x14ac:dyDescent="0.2">
      <c r="A138" s="44"/>
      <c r="B138" s="531" t="str">
        <f>IF($A138="","",IFERROR(HLOOKUP(Hidden!$FB$2,Substances,MATCH($A138,CAS,0),FALSE),"Other (Please specify):"))</f>
        <v/>
      </c>
      <c r="C138" s="531"/>
      <c r="D138" s="531"/>
      <c r="E138" s="531"/>
      <c r="F138" s="531"/>
      <c r="G138" s="531"/>
      <c r="H138" s="42"/>
      <c r="I138" s="20">
        <f>H138*$I$92</f>
        <v>0</v>
      </c>
      <c r="J138" s="21">
        <f>H138*$J$92</f>
        <v>0</v>
      </c>
    </row>
    <row r="139" spans="1:10" x14ac:dyDescent="0.2">
      <c r="A139" s="44"/>
      <c r="B139" s="531" t="str">
        <f>IF($A139="","",IFERROR(HLOOKUP(Hidden!$FB$2,Substances,MATCH($A139,CAS,0),FALSE),"Other (Please specify):"))</f>
        <v/>
      </c>
      <c r="C139" s="531"/>
      <c r="D139" s="531"/>
      <c r="E139" s="531"/>
      <c r="F139" s="531"/>
      <c r="G139" s="531"/>
      <c r="H139" s="42"/>
      <c r="I139" s="20">
        <f t="shared" ref="I139:I143" si="10">H139*$I$92</f>
        <v>0</v>
      </c>
      <c r="J139" s="21">
        <f t="shared" ref="J139:J144" si="11">H139*$J$92</f>
        <v>0</v>
      </c>
    </row>
    <row r="140" spans="1:10" x14ac:dyDescent="0.2">
      <c r="A140" s="44"/>
      <c r="B140" s="531" t="str">
        <f>IF($A140="","",IFERROR(HLOOKUP(Hidden!$FB$2,Substances,MATCH($A140,CAS,0),FALSE),"Other (Please specify):"))</f>
        <v/>
      </c>
      <c r="C140" s="531"/>
      <c r="D140" s="531"/>
      <c r="E140" s="531"/>
      <c r="F140" s="531"/>
      <c r="G140" s="531"/>
      <c r="H140" s="42"/>
      <c r="I140" s="20">
        <f t="shared" si="10"/>
        <v>0</v>
      </c>
      <c r="J140" s="21">
        <f t="shared" si="11"/>
        <v>0</v>
      </c>
    </row>
    <row r="141" spans="1:10" x14ac:dyDescent="0.2">
      <c r="A141" s="44"/>
      <c r="B141" s="531" t="str">
        <f>IF($A141="","",IFERROR(HLOOKUP(Hidden!$FB$2,Substances,MATCH($A141,CAS,0),FALSE),"Other (Please specify):"))</f>
        <v/>
      </c>
      <c r="C141" s="531"/>
      <c r="D141" s="531"/>
      <c r="E141" s="531"/>
      <c r="F141" s="531"/>
      <c r="G141" s="531"/>
      <c r="H141" s="42"/>
      <c r="I141" s="20">
        <f t="shared" si="10"/>
        <v>0</v>
      </c>
      <c r="J141" s="21">
        <f t="shared" si="11"/>
        <v>0</v>
      </c>
    </row>
    <row r="142" spans="1:10" x14ac:dyDescent="0.2">
      <c r="A142" s="44"/>
      <c r="B142" s="531" t="str">
        <f>IF($A142="","",IFERROR(HLOOKUP(Hidden!$FB$2,Substances,MATCH($A142,CAS,0),FALSE),"Other (Please specify):"))</f>
        <v/>
      </c>
      <c r="C142" s="531"/>
      <c r="D142" s="531"/>
      <c r="E142" s="531"/>
      <c r="F142" s="531"/>
      <c r="G142" s="531"/>
      <c r="H142" s="42"/>
      <c r="I142" s="20">
        <f t="shared" si="10"/>
        <v>0</v>
      </c>
      <c r="J142" s="21">
        <f t="shared" si="11"/>
        <v>0</v>
      </c>
    </row>
    <row r="143" spans="1:10" x14ac:dyDescent="0.2">
      <c r="A143" s="44"/>
      <c r="B143" s="531" t="str">
        <f>IF($A143="","",IFERROR(HLOOKUP(Hidden!$FB$2,Substances,MATCH($A143,CAS,0),FALSE),"Other (Please specify):"))</f>
        <v/>
      </c>
      <c r="C143" s="531"/>
      <c r="D143" s="531"/>
      <c r="E143" s="531"/>
      <c r="F143" s="531"/>
      <c r="G143" s="531"/>
      <c r="H143" s="42"/>
      <c r="I143" s="20">
        <f t="shared" si="10"/>
        <v>0</v>
      </c>
      <c r="J143" s="21">
        <f t="shared" si="11"/>
        <v>0</v>
      </c>
    </row>
    <row r="144" spans="1:10" x14ac:dyDescent="0.2">
      <c r="A144" s="44"/>
      <c r="B144" s="531" t="str">
        <f>IF($A144="","",IFERROR(HLOOKUP(Hidden!$FB$2,Substances,MATCH($A144,CAS,0),FALSE),"Other (Please specify):"))</f>
        <v/>
      </c>
      <c r="C144" s="531"/>
      <c r="D144" s="531"/>
      <c r="E144" s="531"/>
      <c r="F144" s="531"/>
      <c r="G144" s="531"/>
      <c r="H144" s="42"/>
      <c r="I144" s="20">
        <f>H144*$I$92</f>
        <v>0</v>
      </c>
      <c r="J144" s="21">
        <f t="shared" si="11"/>
        <v>0</v>
      </c>
    </row>
    <row r="145" spans="1:10" x14ac:dyDescent="0.2">
      <c r="A145" s="44"/>
      <c r="B145" s="531" t="str">
        <f>IF($A145="","",IFERROR(HLOOKUP(Hidden!$FB$2,Substances,MATCH($A145,CAS,0),FALSE),"Other (Please specify):"))</f>
        <v/>
      </c>
      <c r="C145" s="531"/>
      <c r="D145" s="531"/>
      <c r="E145" s="531"/>
      <c r="F145" s="531"/>
      <c r="G145" s="531"/>
      <c r="H145" s="42"/>
      <c r="I145" s="20">
        <f t="shared" ref="I145:I199" si="12">H145*$I$92</f>
        <v>0</v>
      </c>
      <c r="J145" s="21">
        <f t="shared" ref="J145:J199" si="13">H145*$J$92</f>
        <v>0</v>
      </c>
    </row>
    <row r="146" spans="1:10" x14ac:dyDescent="0.2">
      <c r="A146" s="44"/>
      <c r="B146" s="531" t="str">
        <f>IF($A146="","",IFERROR(HLOOKUP(Hidden!$FB$2,Substances,MATCH($A146,CAS,0),FALSE),"Other (Please specify):"))</f>
        <v/>
      </c>
      <c r="C146" s="531"/>
      <c r="D146" s="531"/>
      <c r="E146" s="531"/>
      <c r="F146" s="531"/>
      <c r="G146" s="531"/>
      <c r="H146" s="42"/>
      <c r="I146" s="20">
        <f t="shared" si="12"/>
        <v>0</v>
      </c>
      <c r="J146" s="21">
        <f t="shared" si="13"/>
        <v>0</v>
      </c>
    </row>
    <row r="147" spans="1:10" x14ac:dyDescent="0.2">
      <c r="A147" s="44"/>
      <c r="B147" s="531" t="str">
        <f>IF($A147="","",IFERROR(HLOOKUP(Hidden!$FB$2,Substances,MATCH($A147,CAS,0),FALSE),"Other (Please specify):"))</f>
        <v/>
      </c>
      <c r="C147" s="531"/>
      <c r="D147" s="531"/>
      <c r="E147" s="531"/>
      <c r="F147" s="531"/>
      <c r="G147" s="531"/>
      <c r="H147" s="42"/>
      <c r="I147" s="20">
        <f t="shared" si="12"/>
        <v>0</v>
      </c>
      <c r="J147" s="21">
        <f t="shared" si="13"/>
        <v>0</v>
      </c>
    </row>
    <row r="148" spans="1:10" x14ac:dyDescent="0.2">
      <c r="A148" s="44"/>
      <c r="B148" s="531" t="str">
        <f>IF($A148="","",IFERROR(HLOOKUP(Hidden!$FB$2,Substances,MATCH($A148,CAS,0),FALSE),"Other (Please specify):"))</f>
        <v/>
      </c>
      <c r="C148" s="531"/>
      <c r="D148" s="531"/>
      <c r="E148" s="531"/>
      <c r="F148" s="531"/>
      <c r="G148" s="531"/>
      <c r="H148" s="42"/>
      <c r="I148" s="20">
        <f t="shared" si="12"/>
        <v>0</v>
      </c>
      <c r="J148" s="21">
        <f t="shared" si="13"/>
        <v>0</v>
      </c>
    </row>
    <row r="149" spans="1:10" x14ac:dyDescent="0.2">
      <c r="A149" s="44"/>
      <c r="B149" s="531" t="str">
        <f>IF($A149="","",IFERROR(HLOOKUP(Hidden!$FB$2,Substances,MATCH($A149,CAS,0),FALSE),"Other (Please specify):"))</f>
        <v/>
      </c>
      <c r="C149" s="531"/>
      <c r="D149" s="531"/>
      <c r="E149" s="531"/>
      <c r="F149" s="531"/>
      <c r="G149" s="531"/>
      <c r="H149" s="42"/>
      <c r="I149" s="20">
        <f t="shared" si="12"/>
        <v>0</v>
      </c>
      <c r="J149" s="21">
        <f t="shared" si="13"/>
        <v>0</v>
      </c>
    </row>
    <row r="150" spans="1:10" x14ac:dyDescent="0.2">
      <c r="A150" s="44"/>
      <c r="B150" s="531" t="str">
        <f>IF($A150="","",IFERROR(HLOOKUP(Hidden!$FB$2,Substances,MATCH($A150,CAS,0),FALSE),"Other (Please specify):"))</f>
        <v/>
      </c>
      <c r="C150" s="531"/>
      <c r="D150" s="531"/>
      <c r="E150" s="531"/>
      <c r="F150" s="531"/>
      <c r="G150" s="531"/>
      <c r="H150" s="42"/>
      <c r="I150" s="20">
        <f t="shared" si="12"/>
        <v>0</v>
      </c>
      <c r="J150" s="21">
        <f t="shared" si="13"/>
        <v>0</v>
      </c>
    </row>
    <row r="151" spans="1:10" x14ac:dyDescent="0.2">
      <c r="A151" s="44"/>
      <c r="B151" s="531" t="str">
        <f>IF($A151="","",IFERROR(HLOOKUP(Hidden!$FB$2,Substances,MATCH($A151,CAS,0),FALSE),"Other (Please specify):"))</f>
        <v/>
      </c>
      <c r="C151" s="531"/>
      <c r="D151" s="531"/>
      <c r="E151" s="531"/>
      <c r="F151" s="531"/>
      <c r="G151" s="531"/>
      <c r="H151" s="42"/>
      <c r="I151" s="20">
        <f t="shared" si="12"/>
        <v>0</v>
      </c>
      <c r="J151" s="21">
        <f t="shared" si="13"/>
        <v>0</v>
      </c>
    </row>
    <row r="152" spans="1:10" x14ac:dyDescent="0.2">
      <c r="A152" s="44"/>
      <c r="B152" s="531" t="str">
        <f>IF($A152="","",IFERROR(HLOOKUP(Hidden!$FB$2,Substances,MATCH($A152,CAS,0),FALSE),"Other (Please specify):"))</f>
        <v/>
      </c>
      <c r="C152" s="531"/>
      <c r="D152" s="531"/>
      <c r="E152" s="531"/>
      <c r="F152" s="531"/>
      <c r="G152" s="531"/>
      <c r="H152" s="42"/>
      <c r="I152" s="20">
        <f t="shared" si="12"/>
        <v>0</v>
      </c>
      <c r="J152" s="21">
        <f t="shared" si="13"/>
        <v>0</v>
      </c>
    </row>
    <row r="153" spans="1:10" x14ac:dyDescent="0.2">
      <c r="A153" s="44"/>
      <c r="B153" s="531" t="str">
        <f>IF($A153="","",IFERROR(HLOOKUP(Hidden!$FB$2,Substances,MATCH($A153,CAS,0),FALSE),"Other (Please specify):"))</f>
        <v/>
      </c>
      <c r="C153" s="531"/>
      <c r="D153" s="531"/>
      <c r="E153" s="531"/>
      <c r="F153" s="531"/>
      <c r="G153" s="531"/>
      <c r="H153" s="42"/>
      <c r="I153" s="20">
        <f t="shared" si="12"/>
        <v>0</v>
      </c>
      <c r="J153" s="21">
        <f t="shared" si="13"/>
        <v>0</v>
      </c>
    </row>
    <row r="154" spans="1:10" x14ac:dyDescent="0.2">
      <c r="A154" s="44"/>
      <c r="B154" s="531" t="str">
        <f>IF($A154="","",IFERROR(HLOOKUP(Hidden!$FB$2,Substances,MATCH($A154,CAS,0),FALSE),"Other (Please specify):"))</f>
        <v/>
      </c>
      <c r="C154" s="531"/>
      <c r="D154" s="531"/>
      <c r="E154" s="531"/>
      <c r="F154" s="531"/>
      <c r="G154" s="531"/>
      <c r="H154" s="42"/>
      <c r="I154" s="20">
        <f t="shared" si="12"/>
        <v>0</v>
      </c>
      <c r="J154" s="21">
        <f t="shared" si="13"/>
        <v>0</v>
      </c>
    </row>
    <row r="155" spans="1:10" x14ac:dyDescent="0.2">
      <c r="A155" s="44"/>
      <c r="B155" s="531" t="str">
        <f>IF($A155="","",IFERROR(HLOOKUP(Hidden!$FB$2,Substances,MATCH($A155,CAS,0),FALSE),"Other (Please specify):"))</f>
        <v/>
      </c>
      <c r="C155" s="531"/>
      <c r="D155" s="531"/>
      <c r="E155" s="531"/>
      <c r="F155" s="531"/>
      <c r="G155" s="531"/>
      <c r="H155" s="42"/>
      <c r="I155" s="20">
        <f t="shared" si="12"/>
        <v>0</v>
      </c>
      <c r="J155" s="21">
        <f t="shared" si="13"/>
        <v>0</v>
      </c>
    </row>
    <row r="156" spans="1:10" x14ac:dyDescent="0.2">
      <c r="A156" s="44"/>
      <c r="B156" s="531" t="str">
        <f>IF($A156="","",IFERROR(HLOOKUP(Hidden!$FB$2,Substances,MATCH($A156,CAS,0),FALSE),"Other (Please specify):"))</f>
        <v/>
      </c>
      <c r="C156" s="531"/>
      <c r="D156" s="531"/>
      <c r="E156" s="531"/>
      <c r="F156" s="531"/>
      <c r="G156" s="531"/>
      <c r="H156" s="42"/>
      <c r="I156" s="20">
        <f t="shared" si="12"/>
        <v>0</v>
      </c>
      <c r="J156" s="21">
        <f t="shared" si="13"/>
        <v>0</v>
      </c>
    </row>
    <row r="157" spans="1:10" x14ac:dyDescent="0.2">
      <c r="A157" s="44"/>
      <c r="B157" s="531" t="str">
        <f>IF($A157="","",IFERROR(HLOOKUP(Hidden!$FB$2,Substances,MATCH($A157,CAS,0),FALSE),"Other (Please specify):"))</f>
        <v/>
      </c>
      <c r="C157" s="531"/>
      <c r="D157" s="531"/>
      <c r="E157" s="531"/>
      <c r="F157" s="531"/>
      <c r="G157" s="531"/>
      <c r="H157" s="42"/>
      <c r="I157" s="20">
        <f>H157*$I$92</f>
        <v>0</v>
      </c>
      <c r="J157" s="21">
        <f>H157*$J$92</f>
        <v>0</v>
      </c>
    </row>
    <row r="158" spans="1:10" x14ac:dyDescent="0.2">
      <c r="A158" s="44"/>
      <c r="B158" s="531" t="str">
        <f>IF($A158="","",IFERROR(HLOOKUP(Hidden!$FB$2,Substances,MATCH($A158,CAS,0),FALSE),"Other (Please specify):"))</f>
        <v/>
      </c>
      <c r="C158" s="531"/>
      <c r="D158" s="531"/>
      <c r="E158" s="531"/>
      <c r="F158" s="531"/>
      <c r="G158" s="531"/>
      <c r="H158" s="42"/>
      <c r="I158" s="20">
        <f t="shared" ref="I158:I171" si="14">H158*$I$92</f>
        <v>0</v>
      </c>
      <c r="J158" s="21">
        <f t="shared" ref="J158:J171" si="15">H158*$J$92</f>
        <v>0</v>
      </c>
    </row>
    <row r="159" spans="1:10" x14ac:dyDescent="0.2">
      <c r="A159" s="44"/>
      <c r="B159" s="531" t="str">
        <f>IF($A159="","",IFERROR(HLOOKUP(Hidden!$FB$2,Substances,MATCH($A159,CAS,0),FALSE),"Other (Please specify):"))</f>
        <v/>
      </c>
      <c r="C159" s="531"/>
      <c r="D159" s="531"/>
      <c r="E159" s="531"/>
      <c r="F159" s="531"/>
      <c r="G159" s="531"/>
      <c r="H159" s="42"/>
      <c r="I159" s="20">
        <f t="shared" si="14"/>
        <v>0</v>
      </c>
      <c r="J159" s="21">
        <f t="shared" si="15"/>
        <v>0</v>
      </c>
    </row>
    <row r="160" spans="1:10" x14ac:dyDescent="0.2">
      <c r="A160" s="44"/>
      <c r="B160" s="531" t="str">
        <f>IF($A160="","",IFERROR(HLOOKUP(Hidden!$FB$2,Substances,MATCH($A160,CAS,0),FALSE),"Other (Please specify):"))</f>
        <v/>
      </c>
      <c r="C160" s="531"/>
      <c r="D160" s="531"/>
      <c r="E160" s="531"/>
      <c r="F160" s="531"/>
      <c r="G160" s="531"/>
      <c r="H160" s="42"/>
      <c r="I160" s="20">
        <f t="shared" si="14"/>
        <v>0</v>
      </c>
      <c r="J160" s="21">
        <f t="shared" si="15"/>
        <v>0</v>
      </c>
    </row>
    <row r="161" spans="1:10" x14ac:dyDescent="0.2">
      <c r="A161" s="44"/>
      <c r="B161" s="531" t="str">
        <f>IF($A161="","",IFERROR(HLOOKUP(Hidden!$FB$2,Substances,MATCH($A161,CAS,0),FALSE),"Other (Please specify):"))</f>
        <v/>
      </c>
      <c r="C161" s="531"/>
      <c r="D161" s="531"/>
      <c r="E161" s="531"/>
      <c r="F161" s="531"/>
      <c r="G161" s="531"/>
      <c r="H161" s="42"/>
      <c r="I161" s="20">
        <f t="shared" si="14"/>
        <v>0</v>
      </c>
      <c r="J161" s="21">
        <f t="shared" si="15"/>
        <v>0</v>
      </c>
    </row>
    <row r="162" spans="1:10" x14ac:dyDescent="0.2">
      <c r="A162" s="44"/>
      <c r="B162" s="531" t="str">
        <f>IF($A162="","",IFERROR(HLOOKUP(Hidden!$FB$2,Substances,MATCH($A162,CAS,0),FALSE),"Other (Please specify):"))</f>
        <v/>
      </c>
      <c r="C162" s="531"/>
      <c r="D162" s="531"/>
      <c r="E162" s="531"/>
      <c r="F162" s="531"/>
      <c r="G162" s="531"/>
      <c r="H162" s="42"/>
      <c r="I162" s="20">
        <f t="shared" si="14"/>
        <v>0</v>
      </c>
      <c r="J162" s="21">
        <f t="shared" si="15"/>
        <v>0</v>
      </c>
    </row>
    <row r="163" spans="1:10" x14ac:dyDescent="0.2">
      <c r="A163" s="44"/>
      <c r="B163" s="531" t="str">
        <f>IF($A163="","",IFERROR(HLOOKUP(Hidden!$FB$2,Substances,MATCH($A163,CAS,0),FALSE),"Other (Please specify):"))</f>
        <v/>
      </c>
      <c r="C163" s="531"/>
      <c r="D163" s="531"/>
      <c r="E163" s="531"/>
      <c r="F163" s="531"/>
      <c r="G163" s="531"/>
      <c r="H163" s="42"/>
      <c r="I163" s="20">
        <f t="shared" si="14"/>
        <v>0</v>
      </c>
      <c r="J163" s="21">
        <f t="shared" si="15"/>
        <v>0</v>
      </c>
    </row>
    <row r="164" spans="1:10" x14ac:dyDescent="0.2">
      <c r="A164" s="44"/>
      <c r="B164" s="531" t="str">
        <f>IF($A164="","",IFERROR(HLOOKUP(Hidden!$FB$2,Substances,MATCH($A164,CAS,0),FALSE),"Other (Please specify):"))</f>
        <v/>
      </c>
      <c r="C164" s="531"/>
      <c r="D164" s="531"/>
      <c r="E164" s="531"/>
      <c r="F164" s="531"/>
      <c r="G164" s="531"/>
      <c r="H164" s="42"/>
      <c r="I164" s="20">
        <f t="shared" si="14"/>
        <v>0</v>
      </c>
      <c r="J164" s="21">
        <f t="shared" si="15"/>
        <v>0</v>
      </c>
    </row>
    <row r="165" spans="1:10" x14ac:dyDescent="0.2">
      <c r="A165" s="44"/>
      <c r="B165" s="531" t="str">
        <f>IF($A165="","",IFERROR(HLOOKUP(Hidden!$FB$2,Substances,MATCH($A165,CAS,0),FALSE),"Other (Please specify):"))</f>
        <v/>
      </c>
      <c r="C165" s="531"/>
      <c r="D165" s="531"/>
      <c r="E165" s="531"/>
      <c r="F165" s="531"/>
      <c r="G165" s="531"/>
      <c r="H165" s="42"/>
      <c r="I165" s="20">
        <f t="shared" si="14"/>
        <v>0</v>
      </c>
      <c r="J165" s="21">
        <f t="shared" si="15"/>
        <v>0</v>
      </c>
    </row>
    <row r="166" spans="1:10" x14ac:dyDescent="0.2">
      <c r="A166" s="44"/>
      <c r="B166" s="531" t="str">
        <f>IF($A166="","",IFERROR(HLOOKUP(Hidden!$FB$2,Substances,MATCH($A166,CAS,0),FALSE),"Other (Please specify):"))</f>
        <v/>
      </c>
      <c r="C166" s="531"/>
      <c r="D166" s="531"/>
      <c r="E166" s="531"/>
      <c r="F166" s="531"/>
      <c r="G166" s="531"/>
      <c r="H166" s="42"/>
      <c r="I166" s="20">
        <f t="shared" si="14"/>
        <v>0</v>
      </c>
      <c r="J166" s="21">
        <f t="shared" si="15"/>
        <v>0</v>
      </c>
    </row>
    <row r="167" spans="1:10" x14ac:dyDescent="0.2">
      <c r="A167" s="44"/>
      <c r="B167" s="531" t="str">
        <f>IF($A167="","",IFERROR(HLOOKUP(Hidden!$FB$2,Substances,MATCH($A167,CAS,0),FALSE),"Other (Please specify):"))</f>
        <v/>
      </c>
      <c r="C167" s="531"/>
      <c r="D167" s="531"/>
      <c r="E167" s="531"/>
      <c r="F167" s="531"/>
      <c r="G167" s="531"/>
      <c r="H167" s="42"/>
      <c r="I167" s="20">
        <f t="shared" si="14"/>
        <v>0</v>
      </c>
      <c r="J167" s="21">
        <f t="shared" si="15"/>
        <v>0</v>
      </c>
    </row>
    <row r="168" spans="1:10" x14ac:dyDescent="0.2">
      <c r="A168" s="44"/>
      <c r="B168" s="531" t="str">
        <f>IF($A168="","",IFERROR(HLOOKUP(Hidden!$FB$2,Substances,MATCH($A168,CAS,0),FALSE),"Other (Please specify):"))</f>
        <v/>
      </c>
      <c r="C168" s="531"/>
      <c r="D168" s="531"/>
      <c r="E168" s="531"/>
      <c r="F168" s="531"/>
      <c r="G168" s="531"/>
      <c r="H168" s="42"/>
      <c r="I168" s="20">
        <f t="shared" si="14"/>
        <v>0</v>
      </c>
      <c r="J168" s="21">
        <f t="shared" si="15"/>
        <v>0</v>
      </c>
    </row>
    <row r="169" spans="1:10" x14ac:dyDescent="0.2">
      <c r="A169" s="44"/>
      <c r="B169" s="531" t="str">
        <f>IF($A169="","",IFERROR(HLOOKUP(Hidden!$FB$2,Substances,MATCH($A169,CAS,0),FALSE),"Other (Please specify):"))</f>
        <v/>
      </c>
      <c r="C169" s="531"/>
      <c r="D169" s="531"/>
      <c r="E169" s="531"/>
      <c r="F169" s="531"/>
      <c r="G169" s="531"/>
      <c r="H169" s="42"/>
      <c r="I169" s="20">
        <f t="shared" si="14"/>
        <v>0</v>
      </c>
      <c r="J169" s="21">
        <f t="shared" si="15"/>
        <v>0</v>
      </c>
    </row>
    <row r="170" spans="1:10" x14ac:dyDescent="0.2">
      <c r="A170" s="44"/>
      <c r="B170" s="531" t="str">
        <f>IF($A170="","",IFERROR(HLOOKUP(Hidden!$FB$2,Substances,MATCH($A170,CAS,0),FALSE),"Other (Please specify):"))</f>
        <v/>
      </c>
      <c r="C170" s="531"/>
      <c r="D170" s="531"/>
      <c r="E170" s="531"/>
      <c r="F170" s="531"/>
      <c r="G170" s="531"/>
      <c r="H170" s="42"/>
      <c r="I170" s="20">
        <f t="shared" si="14"/>
        <v>0</v>
      </c>
      <c r="J170" s="21">
        <f t="shared" si="15"/>
        <v>0</v>
      </c>
    </row>
    <row r="171" spans="1:10" x14ac:dyDescent="0.2">
      <c r="A171" s="44"/>
      <c r="B171" s="531" t="str">
        <f>IF($A171="","",IFERROR(HLOOKUP(Hidden!$FB$2,Substances,MATCH($A171,CAS,0),FALSE),"Other (Please specify):"))</f>
        <v/>
      </c>
      <c r="C171" s="531"/>
      <c r="D171" s="531"/>
      <c r="E171" s="531"/>
      <c r="F171" s="531"/>
      <c r="G171" s="531"/>
      <c r="H171" s="42"/>
      <c r="I171" s="20">
        <f t="shared" si="14"/>
        <v>0</v>
      </c>
      <c r="J171" s="21">
        <f t="shared" si="15"/>
        <v>0</v>
      </c>
    </row>
    <row r="172" spans="1:10" x14ac:dyDescent="0.2">
      <c r="A172" s="44"/>
      <c r="B172" s="531" t="str">
        <f>IF($A172="","",IFERROR(HLOOKUP(Hidden!$FB$2,Substances,MATCH($A172,CAS,0),FALSE),"Other (Please specify):"))</f>
        <v/>
      </c>
      <c r="C172" s="531"/>
      <c r="D172" s="531"/>
      <c r="E172" s="531"/>
      <c r="F172" s="531"/>
      <c r="G172" s="531"/>
      <c r="H172" s="42"/>
      <c r="I172" s="20">
        <f>H172*$I$92</f>
        <v>0</v>
      </c>
      <c r="J172" s="21">
        <f>H172*$J$92</f>
        <v>0</v>
      </c>
    </row>
    <row r="173" spans="1:10" x14ac:dyDescent="0.2">
      <c r="A173" s="44"/>
      <c r="B173" s="531" t="str">
        <f>IF($A173="","",IFERROR(HLOOKUP(Hidden!$FB$2,Substances,MATCH($A173,CAS,0),FALSE),"Other (Please specify):"))</f>
        <v/>
      </c>
      <c r="C173" s="531"/>
      <c r="D173" s="531"/>
      <c r="E173" s="531"/>
      <c r="F173" s="531"/>
      <c r="G173" s="531"/>
      <c r="H173" s="42"/>
      <c r="I173" s="20">
        <f t="shared" ref="I173:I177" si="16">H173*$I$92</f>
        <v>0</v>
      </c>
      <c r="J173" s="21">
        <f t="shared" ref="J173:J178" si="17">H173*$J$92</f>
        <v>0</v>
      </c>
    </row>
    <row r="174" spans="1:10" x14ac:dyDescent="0.2">
      <c r="A174" s="44"/>
      <c r="B174" s="531" t="str">
        <f>IF($A174="","",IFERROR(HLOOKUP(Hidden!$FB$2,Substances,MATCH($A174,CAS,0),FALSE),"Other (Please specify):"))</f>
        <v/>
      </c>
      <c r="C174" s="531"/>
      <c r="D174" s="531"/>
      <c r="E174" s="531"/>
      <c r="F174" s="531"/>
      <c r="G174" s="531"/>
      <c r="H174" s="42"/>
      <c r="I174" s="20">
        <f t="shared" si="16"/>
        <v>0</v>
      </c>
      <c r="J174" s="21">
        <f t="shared" si="17"/>
        <v>0</v>
      </c>
    </row>
    <row r="175" spans="1:10" x14ac:dyDescent="0.2">
      <c r="A175" s="44"/>
      <c r="B175" s="531" t="str">
        <f>IF($A175="","",IFERROR(HLOOKUP(Hidden!$FB$2,Substances,MATCH($A175,CAS,0),FALSE),"Other (Please specify):"))</f>
        <v/>
      </c>
      <c r="C175" s="531"/>
      <c r="D175" s="531"/>
      <c r="E175" s="531"/>
      <c r="F175" s="531"/>
      <c r="G175" s="531"/>
      <c r="H175" s="42"/>
      <c r="I175" s="20">
        <f t="shared" si="16"/>
        <v>0</v>
      </c>
      <c r="J175" s="21">
        <f t="shared" si="17"/>
        <v>0</v>
      </c>
    </row>
    <row r="176" spans="1:10" x14ac:dyDescent="0.2">
      <c r="A176" s="44"/>
      <c r="B176" s="531" t="str">
        <f>IF($A176="","",IFERROR(HLOOKUP(Hidden!$FB$2,Substances,MATCH($A176,CAS,0),FALSE),"Other (Please specify):"))</f>
        <v/>
      </c>
      <c r="C176" s="531"/>
      <c r="D176" s="531"/>
      <c r="E176" s="531"/>
      <c r="F176" s="531"/>
      <c r="G176" s="531"/>
      <c r="H176" s="42"/>
      <c r="I176" s="20">
        <f t="shared" si="16"/>
        <v>0</v>
      </c>
      <c r="J176" s="21">
        <f t="shared" si="17"/>
        <v>0</v>
      </c>
    </row>
    <row r="177" spans="1:10" x14ac:dyDescent="0.2">
      <c r="A177" s="44"/>
      <c r="B177" s="531" t="str">
        <f>IF($A177="","",IFERROR(HLOOKUP(Hidden!$FB$2,Substances,MATCH($A177,CAS,0),FALSE),"Other (Please specify):"))</f>
        <v/>
      </c>
      <c r="C177" s="531"/>
      <c r="D177" s="531"/>
      <c r="E177" s="531"/>
      <c r="F177" s="531"/>
      <c r="G177" s="531"/>
      <c r="H177" s="42"/>
      <c r="I177" s="20">
        <f t="shared" si="16"/>
        <v>0</v>
      </c>
      <c r="J177" s="21">
        <f t="shared" si="17"/>
        <v>0</v>
      </c>
    </row>
    <row r="178" spans="1:10" x14ac:dyDescent="0.2">
      <c r="A178" s="44"/>
      <c r="B178" s="531" t="str">
        <f>IF($A178="","",IFERROR(HLOOKUP(Hidden!$FB$2,Substances,MATCH($A178,CAS,0),FALSE),"Other (Please specify):"))</f>
        <v/>
      </c>
      <c r="C178" s="531"/>
      <c r="D178" s="531"/>
      <c r="E178" s="531"/>
      <c r="F178" s="531"/>
      <c r="G178" s="531"/>
      <c r="H178" s="42"/>
      <c r="I178" s="20">
        <f>H178*$I$92</f>
        <v>0</v>
      </c>
      <c r="J178" s="21">
        <f t="shared" si="17"/>
        <v>0</v>
      </c>
    </row>
    <row r="179" spans="1:10" x14ac:dyDescent="0.2">
      <c r="A179" s="44"/>
      <c r="B179" s="531" t="str">
        <f>IF($A179="","",IFERROR(HLOOKUP(Hidden!$FB$2,Substances,MATCH($A179,CAS,0),FALSE),"Other (Please specify):"))</f>
        <v/>
      </c>
      <c r="C179" s="531"/>
      <c r="D179" s="531"/>
      <c r="E179" s="531"/>
      <c r="F179" s="531"/>
      <c r="G179" s="531"/>
      <c r="H179" s="42"/>
      <c r="I179" s="20">
        <f t="shared" si="12"/>
        <v>0</v>
      </c>
      <c r="J179" s="21">
        <f t="shared" si="13"/>
        <v>0</v>
      </c>
    </row>
    <row r="180" spans="1:10" x14ac:dyDescent="0.2">
      <c r="A180" s="44"/>
      <c r="B180" s="531" t="str">
        <f>IF($A180="","",IFERROR(HLOOKUP(Hidden!$FB$2,Substances,MATCH($A180,CAS,0),FALSE),"Other (Please specify):"))</f>
        <v/>
      </c>
      <c r="C180" s="531"/>
      <c r="D180" s="531"/>
      <c r="E180" s="531"/>
      <c r="F180" s="531"/>
      <c r="G180" s="531"/>
      <c r="H180" s="42"/>
      <c r="I180" s="20">
        <f t="shared" si="12"/>
        <v>0</v>
      </c>
      <c r="J180" s="21">
        <f t="shared" si="13"/>
        <v>0</v>
      </c>
    </row>
    <row r="181" spans="1:10" x14ac:dyDescent="0.2">
      <c r="A181" s="44"/>
      <c r="B181" s="531" t="str">
        <f>IF($A181="","",IFERROR(HLOOKUP(Hidden!$FB$2,Substances,MATCH($A181,CAS,0),FALSE),"Other (Please specify):"))</f>
        <v/>
      </c>
      <c r="C181" s="531"/>
      <c r="D181" s="531"/>
      <c r="E181" s="531"/>
      <c r="F181" s="531"/>
      <c r="G181" s="531"/>
      <c r="H181" s="42"/>
      <c r="I181" s="20">
        <f>H181*$I$92</f>
        <v>0</v>
      </c>
      <c r="J181" s="21">
        <f>H181*$J$92</f>
        <v>0</v>
      </c>
    </row>
    <row r="182" spans="1:10" x14ac:dyDescent="0.2">
      <c r="A182" s="44"/>
      <c r="B182" s="531" t="str">
        <f>IF($A182="","",IFERROR(HLOOKUP(Hidden!$FB$2,Substances,MATCH($A182,CAS,0),FALSE),"Other (Please specify):"))</f>
        <v/>
      </c>
      <c r="C182" s="531"/>
      <c r="D182" s="531"/>
      <c r="E182" s="531"/>
      <c r="F182" s="531"/>
      <c r="G182" s="531"/>
      <c r="H182" s="42"/>
      <c r="I182" s="20">
        <f t="shared" ref="I182:I185" si="18">H182*$I$92</f>
        <v>0</v>
      </c>
      <c r="J182" s="21">
        <f t="shared" ref="J182:J185" si="19">H182*$J$92</f>
        <v>0</v>
      </c>
    </row>
    <row r="183" spans="1:10" x14ac:dyDescent="0.2">
      <c r="A183" s="44"/>
      <c r="B183" s="531" t="str">
        <f>IF($A183="","",IFERROR(HLOOKUP(Hidden!$FB$2,Substances,MATCH($A183,CAS,0),FALSE),"Other (Please specify):"))</f>
        <v/>
      </c>
      <c r="C183" s="531"/>
      <c r="D183" s="531"/>
      <c r="E183" s="531"/>
      <c r="F183" s="531"/>
      <c r="G183" s="531"/>
      <c r="H183" s="42"/>
      <c r="I183" s="20">
        <f t="shared" si="18"/>
        <v>0</v>
      </c>
      <c r="J183" s="21">
        <f t="shared" si="19"/>
        <v>0</v>
      </c>
    </row>
    <row r="184" spans="1:10" x14ac:dyDescent="0.2">
      <c r="A184" s="44"/>
      <c r="B184" s="531" t="str">
        <f>IF($A184="","",IFERROR(HLOOKUP(Hidden!$FB$2,Substances,MATCH($A184,CAS,0),FALSE),"Other (Please specify):"))</f>
        <v/>
      </c>
      <c r="C184" s="531"/>
      <c r="D184" s="531"/>
      <c r="E184" s="531"/>
      <c r="F184" s="531"/>
      <c r="G184" s="531"/>
      <c r="H184" s="42"/>
      <c r="I184" s="20">
        <f t="shared" si="18"/>
        <v>0</v>
      </c>
      <c r="J184" s="21">
        <f t="shared" si="19"/>
        <v>0</v>
      </c>
    </row>
    <row r="185" spans="1:10" x14ac:dyDescent="0.2">
      <c r="A185" s="44"/>
      <c r="B185" s="531" t="str">
        <f>IF($A185="","",IFERROR(HLOOKUP(Hidden!$FB$2,Substances,MATCH($A185,CAS,0),FALSE),"Other (Please specify):"))</f>
        <v/>
      </c>
      <c r="C185" s="531"/>
      <c r="D185" s="531"/>
      <c r="E185" s="531"/>
      <c r="F185" s="531"/>
      <c r="G185" s="531"/>
      <c r="H185" s="42"/>
      <c r="I185" s="20">
        <f t="shared" si="18"/>
        <v>0</v>
      </c>
      <c r="J185" s="21">
        <f t="shared" si="19"/>
        <v>0</v>
      </c>
    </row>
    <row r="186" spans="1:10" x14ac:dyDescent="0.2">
      <c r="A186" s="44"/>
      <c r="B186" s="531" t="str">
        <f>IF($A186="","",IFERROR(HLOOKUP(Hidden!$FB$2,Substances,MATCH($A186,CAS,0),FALSE),"Other (Please specify):"))</f>
        <v/>
      </c>
      <c r="C186" s="531"/>
      <c r="D186" s="531"/>
      <c r="E186" s="531"/>
      <c r="F186" s="531"/>
      <c r="G186" s="531"/>
      <c r="H186" s="42"/>
      <c r="I186" s="20">
        <f t="shared" si="12"/>
        <v>0</v>
      </c>
      <c r="J186" s="21">
        <f t="shared" si="13"/>
        <v>0</v>
      </c>
    </row>
    <row r="187" spans="1:10" x14ac:dyDescent="0.2">
      <c r="A187" s="44"/>
      <c r="B187" s="531" t="str">
        <f>IF($A187="","",IFERROR(HLOOKUP(Hidden!$FB$2,Substances,MATCH($A187,CAS,0),FALSE),"Other (Please specify):"))</f>
        <v/>
      </c>
      <c r="C187" s="531"/>
      <c r="D187" s="531"/>
      <c r="E187" s="531"/>
      <c r="F187" s="531"/>
      <c r="G187" s="531"/>
      <c r="H187" s="42"/>
      <c r="I187" s="20">
        <f t="shared" ref="I187" si="20">H187*$I$92</f>
        <v>0</v>
      </c>
      <c r="J187" s="21">
        <f t="shared" ref="J187" si="21">H187*$J$92</f>
        <v>0</v>
      </c>
    </row>
    <row r="188" spans="1:10" x14ac:dyDescent="0.2">
      <c r="A188" s="44"/>
      <c r="B188" s="531" t="str">
        <f>IF($A188="","",IFERROR(HLOOKUP(Hidden!$FB$2,Substances,MATCH($A188,CAS,0),FALSE),"Other (Please specify):"))</f>
        <v/>
      </c>
      <c r="C188" s="531"/>
      <c r="D188" s="531"/>
      <c r="E188" s="531"/>
      <c r="F188" s="531"/>
      <c r="G188" s="531"/>
      <c r="H188" s="42"/>
      <c r="I188" s="20">
        <f t="shared" si="12"/>
        <v>0</v>
      </c>
      <c r="J188" s="21">
        <f t="shared" si="13"/>
        <v>0</v>
      </c>
    </row>
    <row r="189" spans="1:10" x14ac:dyDescent="0.2">
      <c r="A189" s="44"/>
      <c r="B189" s="531" t="str">
        <f>IF($A189="","",IFERROR(HLOOKUP(Hidden!$FB$2,Substances,MATCH($A189,CAS,0),FALSE),"Other (Please specify):"))</f>
        <v/>
      </c>
      <c r="C189" s="531"/>
      <c r="D189" s="531"/>
      <c r="E189" s="531"/>
      <c r="F189" s="531"/>
      <c r="G189" s="531"/>
      <c r="H189" s="42"/>
      <c r="I189" s="20">
        <f t="shared" si="12"/>
        <v>0</v>
      </c>
      <c r="J189" s="21">
        <f t="shared" si="13"/>
        <v>0</v>
      </c>
    </row>
    <row r="190" spans="1:10" x14ac:dyDescent="0.2">
      <c r="A190" s="44"/>
      <c r="B190" s="531" t="str">
        <f>IF($A190="","",IFERROR(HLOOKUP(Hidden!$FB$2,Substances,MATCH($A190,CAS,0),FALSE),"Other (Please specify):"))</f>
        <v/>
      </c>
      <c r="C190" s="531"/>
      <c r="D190" s="531"/>
      <c r="E190" s="531"/>
      <c r="F190" s="531"/>
      <c r="G190" s="531"/>
      <c r="H190" s="42"/>
      <c r="I190" s="20">
        <f t="shared" si="12"/>
        <v>0</v>
      </c>
      <c r="J190" s="21">
        <f t="shared" si="13"/>
        <v>0</v>
      </c>
    </row>
    <row r="191" spans="1:10" x14ac:dyDescent="0.2">
      <c r="A191" s="44"/>
      <c r="B191" s="531" t="str">
        <f>IF($A191="","",IFERROR(HLOOKUP(Hidden!$FB$2,Substances,MATCH($A191,CAS,0),FALSE),"Other (Please specify):"))</f>
        <v/>
      </c>
      <c r="C191" s="531"/>
      <c r="D191" s="531"/>
      <c r="E191" s="531"/>
      <c r="F191" s="531"/>
      <c r="G191" s="531"/>
      <c r="H191" s="42"/>
      <c r="I191" s="20">
        <f t="shared" si="12"/>
        <v>0</v>
      </c>
      <c r="J191" s="21">
        <f t="shared" si="13"/>
        <v>0</v>
      </c>
    </row>
    <row r="192" spans="1:10" x14ac:dyDescent="0.2">
      <c r="A192" s="44"/>
      <c r="B192" s="531" t="str">
        <f>IF($A192="","",IFERROR(HLOOKUP(Hidden!$FB$2,Substances,MATCH($A192,CAS,0),FALSE),"Other (Please specify):"))</f>
        <v/>
      </c>
      <c r="C192" s="531"/>
      <c r="D192" s="531"/>
      <c r="E192" s="531"/>
      <c r="F192" s="531"/>
      <c r="G192" s="531"/>
      <c r="H192" s="42"/>
      <c r="I192" s="20">
        <f t="shared" si="12"/>
        <v>0</v>
      </c>
      <c r="J192" s="21">
        <f t="shared" si="13"/>
        <v>0</v>
      </c>
    </row>
    <row r="193" spans="1:10" x14ac:dyDescent="0.2">
      <c r="A193" s="44"/>
      <c r="B193" s="531" t="str">
        <f>IF($A193="","",IFERROR(HLOOKUP(Hidden!$FB$2,Substances,MATCH($A193,CAS,0),FALSE),"Other (Please specify):"))</f>
        <v/>
      </c>
      <c r="C193" s="531"/>
      <c r="D193" s="531"/>
      <c r="E193" s="531"/>
      <c r="F193" s="531"/>
      <c r="G193" s="531"/>
      <c r="H193" s="42"/>
      <c r="I193" s="20">
        <f t="shared" si="12"/>
        <v>0</v>
      </c>
      <c r="J193" s="21">
        <f t="shared" si="13"/>
        <v>0</v>
      </c>
    </row>
    <row r="194" spans="1:10" x14ac:dyDescent="0.2">
      <c r="A194" s="44"/>
      <c r="B194" s="531" t="str">
        <f>IF($A194="","",IFERROR(HLOOKUP(Hidden!$FB$2,Substances,MATCH($A194,CAS,0),FALSE),"Other (Please specify):"))</f>
        <v/>
      </c>
      <c r="C194" s="531"/>
      <c r="D194" s="531"/>
      <c r="E194" s="531"/>
      <c r="F194" s="531"/>
      <c r="G194" s="531"/>
      <c r="H194" s="42"/>
      <c r="I194" s="20">
        <f t="shared" si="12"/>
        <v>0</v>
      </c>
      <c r="J194" s="21">
        <f t="shared" si="13"/>
        <v>0</v>
      </c>
    </row>
    <row r="195" spans="1:10" x14ac:dyDescent="0.2">
      <c r="A195" s="44"/>
      <c r="B195" s="531" t="str">
        <f>IF($A195="","",IFERROR(HLOOKUP(Hidden!$FB$2,Substances,MATCH($A195,CAS,0),FALSE),"Other (Please specify):"))</f>
        <v/>
      </c>
      <c r="C195" s="531"/>
      <c r="D195" s="531"/>
      <c r="E195" s="531"/>
      <c r="F195" s="531"/>
      <c r="G195" s="531"/>
      <c r="H195" s="42"/>
      <c r="I195" s="20">
        <f t="shared" si="12"/>
        <v>0</v>
      </c>
      <c r="J195" s="21">
        <f t="shared" si="13"/>
        <v>0</v>
      </c>
    </row>
    <row r="196" spans="1:10" x14ac:dyDescent="0.2">
      <c r="A196" s="44"/>
      <c r="B196" s="531" t="str">
        <f>IF($A196="","",IFERROR(HLOOKUP(Hidden!$FB$2,Substances,MATCH($A196,CAS,0),FALSE),"Other (Please specify):"))</f>
        <v/>
      </c>
      <c r="C196" s="531"/>
      <c r="D196" s="531"/>
      <c r="E196" s="531"/>
      <c r="F196" s="531"/>
      <c r="G196" s="531"/>
      <c r="H196" s="42"/>
      <c r="I196" s="20">
        <f>H196*$I$92</f>
        <v>0</v>
      </c>
      <c r="J196" s="21">
        <f>H196*$J$92</f>
        <v>0</v>
      </c>
    </row>
    <row r="197" spans="1:10" x14ac:dyDescent="0.2">
      <c r="A197" s="44"/>
      <c r="B197" s="531" t="str">
        <f>IF($A197="","",IFERROR(HLOOKUP(Hidden!$FB$2,Substances,MATCH($A197,CAS,0),FALSE),"Other (Please specify):"))</f>
        <v/>
      </c>
      <c r="C197" s="531"/>
      <c r="D197" s="531"/>
      <c r="E197" s="531"/>
      <c r="F197" s="531"/>
      <c r="G197" s="531"/>
      <c r="H197" s="42"/>
      <c r="I197" s="20">
        <f t="shared" si="12"/>
        <v>0</v>
      </c>
      <c r="J197" s="21">
        <f t="shared" si="13"/>
        <v>0</v>
      </c>
    </row>
    <row r="198" spans="1:10" x14ac:dyDescent="0.2">
      <c r="A198" s="44"/>
      <c r="B198" s="531" t="str">
        <f>IF($A198="","",IFERROR(HLOOKUP(Hidden!$FB$2,Substances,MATCH($A198,CAS,0),FALSE),"Other (Please specify):"))</f>
        <v/>
      </c>
      <c r="C198" s="531"/>
      <c r="D198" s="531"/>
      <c r="E198" s="531"/>
      <c r="F198" s="531"/>
      <c r="G198" s="531"/>
      <c r="H198" s="42"/>
      <c r="I198" s="20">
        <f t="shared" si="12"/>
        <v>0</v>
      </c>
      <c r="J198" s="21">
        <f t="shared" si="13"/>
        <v>0</v>
      </c>
    </row>
    <row r="199" spans="1:10" x14ac:dyDescent="0.2">
      <c r="A199" s="44"/>
      <c r="B199" s="531" t="str">
        <f>IF($A199="","",IFERROR(HLOOKUP(Hidden!$FB$2,Substances,MATCH($A199,CAS,0),FALSE),"Other (Please specify):"))</f>
        <v/>
      </c>
      <c r="C199" s="531"/>
      <c r="D199" s="531"/>
      <c r="E199" s="531"/>
      <c r="F199" s="531"/>
      <c r="G199" s="531"/>
      <c r="H199" s="42"/>
      <c r="I199" s="20">
        <f t="shared" si="12"/>
        <v>0</v>
      </c>
      <c r="J199" s="21">
        <f t="shared" si="13"/>
        <v>0</v>
      </c>
    </row>
    <row r="200" spans="1:10" x14ac:dyDescent="0.2">
      <c r="A200" s="44"/>
      <c r="B200" s="531" t="str">
        <f>IF($A200="","",IFERROR(HLOOKUP(Hidden!$FB$2,Substances,MATCH($A200,CAS,0),FALSE),"Other (Please specify):"))</f>
        <v/>
      </c>
      <c r="C200" s="531"/>
      <c r="D200" s="531"/>
      <c r="E200" s="531"/>
      <c r="F200" s="531"/>
      <c r="G200" s="531"/>
      <c r="H200" s="42"/>
      <c r="I200" s="20">
        <f>H200*$I$92</f>
        <v>0</v>
      </c>
      <c r="J200" s="21">
        <f>H200*$J$92</f>
        <v>0</v>
      </c>
    </row>
    <row r="201" spans="1:10" x14ac:dyDescent="0.2">
      <c r="A201" s="44"/>
      <c r="B201" s="531" t="str">
        <f>IF($A201="","",IFERROR(HLOOKUP(Hidden!$FB$2,Substances,MATCH($A201,CAS,0),FALSE),"Other (Please specify):"))</f>
        <v/>
      </c>
      <c r="C201" s="531"/>
      <c r="D201" s="531"/>
      <c r="E201" s="531"/>
      <c r="F201" s="531"/>
      <c r="G201" s="531"/>
      <c r="H201" s="42"/>
      <c r="I201" s="20">
        <f t="shared" ref="I201:I205" si="22">H201*$I$92</f>
        <v>0</v>
      </c>
      <c r="J201" s="21">
        <f t="shared" ref="J201:J205" si="23">H201*$J$92</f>
        <v>0</v>
      </c>
    </row>
    <row r="202" spans="1:10" x14ac:dyDescent="0.2">
      <c r="A202" s="44"/>
      <c r="B202" s="531" t="str">
        <f>IF($A202="","",IFERROR(HLOOKUP(Hidden!$FB$2,Substances,MATCH($A202,CAS,0),FALSE),"Other (Please specify):"))</f>
        <v/>
      </c>
      <c r="C202" s="531"/>
      <c r="D202" s="531"/>
      <c r="E202" s="531"/>
      <c r="F202" s="531"/>
      <c r="G202" s="531"/>
      <c r="H202" s="42"/>
      <c r="I202" s="20">
        <f t="shared" si="22"/>
        <v>0</v>
      </c>
      <c r="J202" s="21">
        <f t="shared" si="23"/>
        <v>0</v>
      </c>
    </row>
    <row r="203" spans="1:10" x14ac:dyDescent="0.2">
      <c r="A203" s="44"/>
      <c r="B203" s="531" t="str">
        <f>IF($A203="","",IFERROR(HLOOKUP(Hidden!$FB$2,Substances,MATCH($A203,CAS,0),FALSE),"Other (Please specify):"))</f>
        <v/>
      </c>
      <c r="C203" s="531"/>
      <c r="D203" s="531"/>
      <c r="E203" s="531"/>
      <c r="F203" s="531"/>
      <c r="G203" s="531"/>
      <c r="H203" s="42"/>
      <c r="I203" s="20">
        <f t="shared" si="22"/>
        <v>0</v>
      </c>
      <c r="J203" s="21">
        <f t="shared" si="23"/>
        <v>0</v>
      </c>
    </row>
    <row r="204" spans="1:10" x14ac:dyDescent="0.2">
      <c r="A204" s="44"/>
      <c r="B204" s="531" t="str">
        <f>IF($A204="","",IFERROR(HLOOKUP(Hidden!$FB$2,Substances,MATCH($A204,CAS,0),FALSE),"Other (Please specify):"))</f>
        <v/>
      </c>
      <c r="C204" s="531"/>
      <c r="D204" s="531"/>
      <c r="E204" s="531"/>
      <c r="F204" s="531"/>
      <c r="G204" s="531"/>
      <c r="H204" s="42"/>
      <c r="I204" s="20">
        <f t="shared" si="22"/>
        <v>0</v>
      </c>
      <c r="J204" s="21">
        <f t="shared" si="23"/>
        <v>0</v>
      </c>
    </row>
    <row r="205" spans="1:10" x14ac:dyDescent="0.2">
      <c r="A205" s="44"/>
      <c r="B205" s="531" t="str">
        <f>IF($A205="","",IFERROR(HLOOKUP(Hidden!$FB$2,Substances,MATCH($A205,CAS,0),FALSE),"Other (Please specify):"))</f>
        <v/>
      </c>
      <c r="C205" s="531"/>
      <c r="D205" s="531"/>
      <c r="E205" s="531"/>
      <c r="F205" s="531"/>
      <c r="G205" s="531"/>
      <c r="H205" s="42"/>
      <c r="I205" s="20">
        <f t="shared" si="22"/>
        <v>0</v>
      </c>
      <c r="J205" s="21">
        <f t="shared" si="23"/>
        <v>0</v>
      </c>
    </row>
    <row r="206" spans="1:10" ht="15.75" thickBot="1" x14ac:dyDescent="0.25">
      <c r="A206" s="888" t="s">
        <v>8743</v>
      </c>
      <c r="B206" s="889"/>
      <c r="C206" s="889"/>
      <c r="D206" s="889"/>
      <c r="E206" s="889"/>
      <c r="F206" s="889"/>
      <c r="G206" s="889"/>
      <c r="H206" s="144">
        <f>SUM(H96:H205)</f>
        <v>0</v>
      </c>
      <c r="I206" s="84">
        <f>SUM(I96:I205)</f>
        <v>0</v>
      </c>
      <c r="J206" s="85">
        <f>SUM(J96:J205)</f>
        <v>0</v>
      </c>
    </row>
    <row r="207" spans="1:10" ht="15" thickBot="1" x14ac:dyDescent="0.25">
      <c r="A207" s="478" t="s">
        <v>1</v>
      </c>
      <c r="B207" s="478"/>
      <c r="C207" s="478"/>
      <c r="D207" s="478"/>
      <c r="E207" s="478"/>
      <c r="F207" s="478"/>
      <c r="G207" s="478"/>
      <c r="H207" s="478"/>
      <c r="I207" s="478"/>
      <c r="J207" s="478"/>
    </row>
    <row r="208" spans="1:10" ht="15.75" thickBot="1" x14ac:dyDescent="0.25">
      <c r="A208" s="890" t="s">
        <v>8731</v>
      </c>
      <c r="B208" s="891"/>
      <c r="C208" s="891"/>
      <c r="D208" s="891"/>
      <c r="E208" s="891"/>
      <c r="F208" s="891"/>
      <c r="G208" s="891"/>
      <c r="H208" s="891"/>
      <c r="I208" s="891"/>
      <c r="J208" s="892"/>
    </row>
    <row r="209" spans="1:10" x14ac:dyDescent="0.2">
      <c r="A209" s="884" t="s">
        <v>8744</v>
      </c>
      <c r="B209" s="885"/>
      <c r="C209" s="885"/>
      <c r="D209" s="885"/>
      <c r="E209" s="885"/>
      <c r="F209" s="885"/>
      <c r="G209" s="885"/>
      <c r="H209" s="885"/>
      <c r="I209" s="885"/>
      <c r="J209" s="893"/>
    </row>
    <row r="210" spans="1:10" x14ac:dyDescent="0.2">
      <c r="A210" s="530" t="s">
        <v>8745</v>
      </c>
      <c r="B210" s="531"/>
      <c r="C210" s="531"/>
      <c r="D210" s="531"/>
      <c r="E210" s="531"/>
      <c r="F210" s="531"/>
      <c r="G210" s="531"/>
      <c r="H210" s="531"/>
      <c r="I210" s="531"/>
      <c r="J210" s="538"/>
    </row>
    <row r="211" spans="1:10" ht="30" customHeight="1" x14ac:dyDescent="0.2">
      <c r="A211" s="530" t="s">
        <v>10828</v>
      </c>
      <c r="B211" s="531"/>
      <c r="C211" s="531"/>
      <c r="D211" s="531"/>
      <c r="E211" s="531"/>
      <c r="F211" s="531"/>
      <c r="G211" s="531"/>
      <c r="H211" s="531"/>
      <c r="I211" s="531"/>
      <c r="J211" s="538"/>
    </row>
    <row r="212" spans="1:10" x14ac:dyDescent="0.2">
      <c r="A212" s="530" t="s">
        <v>8746</v>
      </c>
      <c r="B212" s="531"/>
      <c r="C212" s="531"/>
      <c r="D212" s="531"/>
      <c r="E212" s="531"/>
      <c r="F212" s="531"/>
      <c r="G212" s="531"/>
      <c r="H212" s="531"/>
      <c r="I212" s="531"/>
      <c r="J212" s="538"/>
    </row>
    <row r="213" spans="1:10" x14ac:dyDescent="0.2">
      <c r="A213" s="530" t="s">
        <v>8747</v>
      </c>
      <c r="B213" s="531"/>
      <c r="C213" s="531"/>
      <c r="D213" s="531"/>
      <c r="E213" s="531"/>
      <c r="F213" s="531"/>
      <c r="G213" s="531"/>
      <c r="H213" s="531"/>
      <c r="I213" s="531"/>
      <c r="J213" s="538"/>
    </row>
    <row r="214" spans="1:10" x14ac:dyDescent="0.2">
      <c r="A214" s="530" t="str">
        <f>(IF(F16="Ethylene Oxide w/MID","[6] Monitoring must occur at a leak definition of 500 ppmv.","")&amp;IF(F16="Phosgene w/MID","[6] Monitoring must occur at a leak definition of 50 ppmv.","")&amp;IF(F16="Butadiene w/MID","[6] Monitoring must occur at a leak definition of 100 ppmv.","[6] Reserved."))</f>
        <v>[6] Reserved.</v>
      </c>
      <c r="B214" s="531"/>
      <c r="C214" s="531"/>
      <c r="D214" s="531"/>
      <c r="E214" s="531"/>
      <c r="F214" s="531"/>
      <c r="G214" s="531"/>
      <c r="H214" s="531"/>
      <c r="I214" s="531"/>
      <c r="J214" s="538"/>
    </row>
    <row r="215" spans="1:10" x14ac:dyDescent="0.2">
      <c r="A215" s="530" t="s">
        <v>8748</v>
      </c>
      <c r="B215" s="531"/>
      <c r="C215" s="531"/>
      <c r="D215" s="531"/>
      <c r="E215" s="531"/>
      <c r="F215" s="531"/>
      <c r="G215" s="531"/>
      <c r="H215" s="531"/>
      <c r="I215" s="531"/>
      <c r="J215" s="538"/>
    </row>
    <row r="216" spans="1:10" x14ac:dyDescent="0.2">
      <c r="A216" s="530" t="s">
        <v>8749</v>
      </c>
      <c r="B216" s="531"/>
      <c r="C216" s="531"/>
      <c r="D216" s="531"/>
      <c r="E216" s="531"/>
      <c r="F216" s="531"/>
      <c r="G216" s="531"/>
      <c r="H216" s="531"/>
      <c r="I216" s="531"/>
      <c r="J216" s="538"/>
    </row>
    <row r="217" spans="1:10" ht="15" thickBot="1" x14ac:dyDescent="0.25">
      <c r="A217" s="483" t="s">
        <v>8750</v>
      </c>
      <c r="B217" s="484"/>
      <c r="C217" s="484"/>
      <c r="D217" s="484"/>
      <c r="E217" s="484"/>
      <c r="F217" s="484"/>
      <c r="G217" s="484"/>
      <c r="H217" s="484"/>
      <c r="I217" s="484"/>
      <c r="J217" s="485"/>
    </row>
    <row r="218" spans="1:10" x14ac:dyDescent="0.2">
      <c r="A218" s="478" t="s">
        <v>130</v>
      </c>
      <c r="B218" s="478"/>
      <c r="C218" s="478"/>
      <c r="D218" s="478"/>
      <c r="E218" s="478"/>
      <c r="F218" s="478"/>
      <c r="G218" s="478"/>
      <c r="H218" s="478"/>
      <c r="I218" s="478"/>
      <c r="J218" s="478"/>
    </row>
  </sheetData>
  <sheetProtection algorithmName="SHA-512" hashValue="zvfsrTaVKpeB50iRt0hhXvIf5MQSuiEtKansyMXIbkr1j1jAX6/WNvO5y4n5T+jWKPqEHeb9uPvziGGW2x9QFA==" saltValue="hGybmo60kzzZ1uYDVzRaPw==" spinCount="100000" sheet="1" objects="1" scenarios="1" formatColumns="0" formatRows="0"/>
  <mergeCells count="296">
    <mergeCell ref="A23:E23"/>
    <mergeCell ref="F23:J23"/>
    <mergeCell ref="A24:E24"/>
    <mergeCell ref="F24:J24"/>
    <mergeCell ref="A25:E25"/>
    <mergeCell ref="F25:J25"/>
    <mergeCell ref="A26:E26"/>
    <mergeCell ref="F26:J26"/>
    <mergeCell ref="B204:G204"/>
    <mergeCell ref="E89:F89"/>
    <mergeCell ref="G89:H89"/>
    <mergeCell ref="E90:F90"/>
    <mergeCell ref="G90:H90"/>
    <mergeCell ref="E91:F91"/>
    <mergeCell ref="G91:H91"/>
    <mergeCell ref="E86:F86"/>
    <mergeCell ref="G86:H86"/>
    <mergeCell ref="E87:F87"/>
    <mergeCell ref="G87:H87"/>
    <mergeCell ref="E88:F88"/>
    <mergeCell ref="G88:H88"/>
    <mergeCell ref="B96:G96"/>
    <mergeCell ref="B97:G97"/>
    <mergeCell ref="B98:G98"/>
    <mergeCell ref="B205:G205"/>
    <mergeCell ref="B95:G95"/>
    <mergeCell ref="B145:G145"/>
    <mergeCell ref="B146:G146"/>
    <mergeCell ref="B147:G147"/>
    <mergeCell ref="B148:G148"/>
    <mergeCell ref="B149:G149"/>
    <mergeCell ref="B179:G179"/>
    <mergeCell ref="B180:G180"/>
    <mergeCell ref="B150:G150"/>
    <mergeCell ref="B151:G151"/>
    <mergeCell ref="B152:G152"/>
    <mergeCell ref="B153:G153"/>
    <mergeCell ref="B154:G154"/>
    <mergeCell ref="B155:G155"/>
    <mergeCell ref="B156:G156"/>
    <mergeCell ref="B157:G157"/>
    <mergeCell ref="B158:G158"/>
    <mergeCell ref="B159:G159"/>
    <mergeCell ref="B160:G160"/>
    <mergeCell ref="B161:G161"/>
    <mergeCell ref="B162:G162"/>
    <mergeCell ref="B163:G163"/>
    <mergeCell ref="B164:G164"/>
    <mergeCell ref="B99:G99"/>
    <mergeCell ref="B100:G100"/>
    <mergeCell ref="B101:G101"/>
    <mergeCell ref="B102:G102"/>
    <mergeCell ref="B103:G103"/>
    <mergeCell ref="B104:G104"/>
    <mergeCell ref="B105:G105"/>
    <mergeCell ref="B106:G106"/>
    <mergeCell ref="E83:F83"/>
    <mergeCell ref="G83:H83"/>
    <mergeCell ref="E84:F84"/>
    <mergeCell ref="G84:H84"/>
    <mergeCell ref="E85:F85"/>
    <mergeCell ref="G85:H85"/>
    <mergeCell ref="E80:F80"/>
    <mergeCell ref="G80:H80"/>
    <mergeCell ref="E81:F81"/>
    <mergeCell ref="G81:H81"/>
    <mergeCell ref="E82:F82"/>
    <mergeCell ref="G82:H82"/>
    <mergeCell ref="E77:F77"/>
    <mergeCell ref="G77:H77"/>
    <mergeCell ref="E78:F78"/>
    <mergeCell ref="G78:H78"/>
    <mergeCell ref="E79:F79"/>
    <mergeCell ref="G79:H79"/>
    <mergeCell ref="E74:F74"/>
    <mergeCell ref="G74:H74"/>
    <mergeCell ref="E75:F75"/>
    <mergeCell ref="G75:H75"/>
    <mergeCell ref="E76:F76"/>
    <mergeCell ref="G76:H76"/>
    <mergeCell ref="E71:F71"/>
    <mergeCell ref="G71:H71"/>
    <mergeCell ref="E72:F72"/>
    <mergeCell ref="G72:H72"/>
    <mergeCell ref="E73:F73"/>
    <mergeCell ref="G73:H73"/>
    <mergeCell ref="E68:F68"/>
    <mergeCell ref="G68:H68"/>
    <mergeCell ref="E69:F69"/>
    <mergeCell ref="G69:H69"/>
    <mergeCell ref="E70:F70"/>
    <mergeCell ref="G70:H70"/>
    <mergeCell ref="E65:F65"/>
    <mergeCell ref="G65:H65"/>
    <mergeCell ref="E66:F66"/>
    <mergeCell ref="G66:H66"/>
    <mergeCell ref="E67:F67"/>
    <mergeCell ref="G67:H67"/>
    <mergeCell ref="E62:F62"/>
    <mergeCell ref="G62:H62"/>
    <mergeCell ref="E63:F63"/>
    <mergeCell ref="G63:H63"/>
    <mergeCell ref="E64:F64"/>
    <mergeCell ref="G64:H64"/>
    <mergeCell ref="E59:F59"/>
    <mergeCell ref="G59:H59"/>
    <mergeCell ref="E60:F60"/>
    <mergeCell ref="G60:H60"/>
    <mergeCell ref="E61:F61"/>
    <mergeCell ref="G61:H61"/>
    <mergeCell ref="E57:F57"/>
    <mergeCell ref="G57:H57"/>
    <mergeCell ref="E58:F58"/>
    <mergeCell ref="G58:H58"/>
    <mergeCell ref="E53:F53"/>
    <mergeCell ref="G53:H53"/>
    <mergeCell ref="E54:F54"/>
    <mergeCell ref="G54:H54"/>
    <mergeCell ref="E55:F55"/>
    <mergeCell ref="G55:H55"/>
    <mergeCell ref="E43:F43"/>
    <mergeCell ref="G43:H43"/>
    <mergeCell ref="E52:F52"/>
    <mergeCell ref="G52:H52"/>
    <mergeCell ref="E48:F48"/>
    <mergeCell ref="G48:H48"/>
    <mergeCell ref="E49:F49"/>
    <mergeCell ref="G49:H49"/>
    <mergeCell ref="E56:F56"/>
    <mergeCell ref="G56:H56"/>
    <mergeCell ref="E50:F50"/>
    <mergeCell ref="G50:H50"/>
    <mergeCell ref="E51:F51"/>
    <mergeCell ref="G51:H51"/>
    <mergeCell ref="E47:F47"/>
    <mergeCell ref="G47:H47"/>
    <mergeCell ref="E44:F44"/>
    <mergeCell ref="G44:H44"/>
    <mergeCell ref="E45:F45"/>
    <mergeCell ref="G45:H45"/>
    <mergeCell ref="E46:F46"/>
    <mergeCell ref="G46:H46"/>
    <mergeCell ref="G32:H32"/>
    <mergeCell ref="E33:F33"/>
    <mergeCell ref="G33:H33"/>
    <mergeCell ref="E34:F34"/>
    <mergeCell ref="G34:H34"/>
    <mergeCell ref="E41:F41"/>
    <mergeCell ref="G41:H41"/>
    <mergeCell ref="E42:F42"/>
    <mergeCell ref="G42:H42"/>
    <mergeCell ref="G35:H35"/>
    <mergeCell ref="E36:F36"/>
    <mergeCell ref="G36:H36"/>
    <mergeCell ref="E37:F37"/>
    <mergeCell ref="G37:H37"/>
    <mergeCell ref="E38:F38"/>
    <mergeCell ref="G38:H38"/>
    <mergeCell ref="E39:F39"/>
    <mergeCell ref="G39:H39"/>
    <mergeCell ref="E40:F40"/>
    <mergeCell ref="G40:H40"/>
    <mergeCell ref="B181:G181"/>
    <mergeCell ref="B186:G186"/>
    <mergeCell ref="B188:G188"/>
    <mergeCell ref="B189:G189"/>
    <mergeCell ref="B190:G190"/>
    <mergeCell ref="B191:G191"/>
    <mergeCell ref="B192:G192"/>
    <mergeCell ref="A15:J15"/>
    <mergeCell ref="A17:J17"/>
    <mergeCell ref="A18:J18"/>
    <mergeCell ref="A93:J93"/>
    <mergeCell ref="A19:E19"/>
    <mergeCell ref="E30:F30"/>
    <mergeCell ref="G30:H30"/>
    <mergeCell ref="E31:F31"/>
    <mergeCell ref="G31:H31"/>
    <mergeCell ref="E32:F32"/>
    <mergeCell ref="A92:H92"/>
    <mergeCell ref="A16:E16"/>
    <mergeCell ref="F16:J16"/>
    <mergeCell ref="G29:H29"/>
    <mergeCell ref="E29:F29"/>
    <mergeCell ref="A94:J94"/>
    <mergeCell ref="E35:F35"/>
    <mergeCell ref="A2:J2"/>
    <mergeCell ref="A3:J3"/>
    <mergeCell ref="A4:J4"/>
    <mergeCell ref="A27:J27"/>
    <mergeCell ref="A28:J28"/>
    <mergeCell ref="F19:J19"/>
    <mergeCell ref="A20:E20"/>
    <mergeCell ref="F20:J20"/>
    <mergeCell ref="A21:E21"/>
    <mergeCell ref="F21:J21"/>
    <mergeCell ref="A14:J14"/>
    <mergeCell ref="A11:J11"/>
    <mergeCell ref="F12:J12"/>
    <mergeCell ref="F13:J13"/>
    <mergeCell ref="A12:E12"/>
    <mergeCell ref="A13:E13"/>
    <mergeCell ref="A5:J5"/>
    <mergeCell ref="A7:E7"/>
    <mergeCell ref="F7:J7"/>
    <mergeCell ref="A8:E8"/>
    <mergeCell ref="F8:J8"/>
    <mergeCell ref="A10:J10"/>
    <mergeCell ref="A22:E22"/>
    <mergeCell ref="F22:J22"/>
    <mergeCell ref="A206:G206"/>
    <mergeCell ref="A218:J218"/>
    <mergeCell ref="A208:J208"/>
    <mergeCell ref="A207:J207"/>
    <mergeCell ref="A217:J217"/>
    <mergeCell ref="A209:J209"/>
    <mergeCell ref="A210:J210"/>
    <mergeCell ref="A211:J211"/>
    <mergeCell ref="A212:J212"/>
    <mergeCell ref="A213:J213"/>
    <mergeCell ref="A214:J214"/>
    <mergeCell ref="A215:J215"/>
    <mergeCell ref="A216:J216"/>
    <mergeCell ref="B187:G187"/>
    <mergeCell ref="B182:G182"/>
    <mergeCell ref="B183:G183"/>
    <mergeCell ref="B184:G184"/>
    <mergeCell ref="B185:G185"/>
    <mergeCell ref="B200:G200"/>
    <mergeCell ref="B201:G201"/>
    <mergeCell ref="B202:G202"/>
    <mergeCell ref="B203:G203"/>
    <mergeCell ref="B193:G193"/>
    <mergeCell ref="B194:G194"/>
    <mergeCell ref="B195:G195"/>
    <mergeCell ref="B196:G196"/>
    <mergeCell ref="B197:G197"/>
    <mergeCell ref="B198:G198"/>
    <mergeCell ref="B199:G199"/>
    <mergeCell ref="B174:G174"/>
    <mergeCell ref="B175:G175"/>
    <mergeCell ref="B176:G176"/>
    <mergeCell ref="B177:G177"/>
    <mergeCell ref="B178:G178"/>
    <mergeCell ref="B165:G165"/>
    <mergeCell ref="B166:G166"/>
    <mergeCell ref="B167:G167"/>
    <mergeCell ref="B168:G168"/>
    <mergeCell ref="B169:G169"/>
    <mergeCell ref="B170:G170"/>
    <mergeCell ref="B171:G171"/>
    <mergeCell ref="B172:G172"/>
    <mergeCell ref="B173:G173"/>
    <mergeCell ref="B107:G107"/>
    <mergeCell ref="B108:G108"/>
    <mergeCell ref="B109:G109"/>
    <mergeCell ref="B110:G110"/>
    <mergeCell ref="B111:G111"/>
    <mergeCell ref="B112:G112"/>
    <mergeCell ref="B113:G113"/>
    <mergeCell ref="B114:G114"/>
    <mergeCell ref="B115:G115"/>
    <mergeCell ref="B133:G133"/>
    <mergeCell ref="B116:G116"/>
    <mergeCell ref="B117:G117"/>
    <mergeCell ref="B118:G118"/>
    <mergeCell ref="B119:G119"/>
    <mergeCell ref="B120:G120"/>
    <mergeCell ref="B121:G121"/>
    <mergeCell ref="B122:G122"/>
    <mergeCell ref="B123:G123"/>
    <mergeCell ref="B124:G124"/>
    <mergeCell ref="A1:J1"/>
    <mergeCell ref="A6:E6"/>
    <mergeCell ref="F6:J6"/>
    <mergeCell ref="A9:E9"/>
    <mergeCell ref="F9:J9"/>
    <mergeCell ref="B143:G143"/>
    <mergeCell ref="B144:G144"/>
    <mergeCell ref="B134:G134"/>
    <mergeCell ref="B135:G135"/>
    <mergeCell ref="B136:G136"/>
    <mergeCell ref="B137:G137"/>
    <mergeCell ref="B138:G138"/>
    <mergeCell ref="B139:G139"/>
    <mergeCell ref="B140:G140"/>
    <mergeCell ref="B141:G141"/>
    <mergeCell ref="B142:G142"/>
    <mergeCell ref="B125:G125"/>
    <mergeCell ref="B126:G126"/>
    <mergeCell ref="B127:G127"/>
    <mergeCell ref="B128:G128"/>
    <mergeCell ref="B129:G129"/>
    <mergeCell ref="B130:G130"/>
    <mergeCell ref="B131:G131"/>
    <mergeCell ref="B132:G132"/>
  </mergeCells>
  <conditionalFormatting sqref="A10:J218">
    <cfRule type="expression" dxfId="131" priority="3">
      <formula>$F$6="affected"</formula>
    </cfRule>
  </conditionalFormatting>
  <conditionalFormatting sqref="A21:J26">
    <cfRule type="expression" dxfId="130" priority="5">
      <formula>$F$20&lt;&gt;"28AVO"</formula>
    </cfRule>
  </conditionalFormatting>
  <conditionalFormatting sqref="H206">
    <cfRule type="expression" dxfId="129" priority="6">
      <formula>SUM($H$96:$H$205)&lt;&gt;1</formula>
    </cfRule>
  </conditionalFormatting>
  <dataValidations xWindow="476" yWindow="692" count="13">
    <dataValidation type="list" allowBlank="1" showErrorMessage="1" prompt="Select one agency pre-approved emission factor." sqref="F16:J16" xr:uid="{588B2E86-3520-4657-B99C-3E3C6D444F2D}">
      <formula1>IndustryGroup</formula1>
    </dataValidation>
    <dataValidation type="list" allowBlank="1" showErrorMessage="1" prompt="Select one agency pre-approved control efficiency - set 1." sqref="F19:J19" xr:uid="{5E7DF658-5455-43CD-BE3F-B167B8474446}">
      <formula1>IF(OR(F16="SOCMI Non-Leaker",F16="Ethylene Oxide w/MID",F16="Phosgene w/MID",F16="Butadiene w/MID"),FugListNone,FugListInstrument)</formula1>
    </dataValidation>
    <dataValidation type="list" allowBlank="1" showErrorMessage="1" prompt="Select one agency pre-approved control efficiency - set 2." sqref="F20:J20" xr:uid="{632FE59A-8851-4D6B-A62D-1625A747FE05}">
      <formula1>IF(OR(F16="SOCMI Non-Leaker",F16="Ethylene Oxide w/MID", F16="Phosgene w/MID",F16="Butadiene w/MID"),FugListNone,FugListInspection)</formula1>
    </dataValidation>
    <dataValidation allowBlank="1" showErrorMessage="1" prompt="Enter the component count." sqref="C30:C91" xr:uid="{0869A82B-C2A4-49CC-846B-7B5DAA78B6B3}"/>
    <dataValidation type="decimal" operator="greaterThanOrEqual" allowBlank="1" showErrorMessage="1" prompt="Enter distance to property line in ft." sqref="F12:J12" xr:uid="{0F551C3D-F8FF-4FA9-9417-256521ECA11B}">
      <formula1>25</formula1>
    </dataValidation>
    <dataValidation type="decimal" operator="greaterThanOrEqual" allowBlank="1" showErrorMessage="1" prompt="Enter release height in ft." sqref="F13:J13" xr:uid="{275AF8A3-4E12-4EE3-BEFB-B8A7411BEBBC}">
      <formula1>3</formula1>
    </dataValidation>
    <dataValidation allowBlank="1" showErrorMessage="1" prompt="enter the vapor weight fraction" sqref="H96:H205" xr:uid="{697A660C-95A2-4647-B1E0-281A2B1DC581}"/>
    <dataValidation type="list" allowBlank="1" showErrorMessage="1" prompt="select CAS number" sqref="A96:A205" xr:uid="{66495CF1-AF37-42A2-8266-C44735F930F7}">
      <formula1>CASused</formula1>
    </dataValidation>
    <dataValidation operator="greaterThanOrEqual" allowBlank="1" showErrorMessage="1" prompt="Enter FIN" sqref="F7:J7" xr:uid="{EE39FB8F-41D9-447B-8C70-2DEB1D74CB68}"/>
    <dataValidation operator="greaterThanOrEqual" allowBlank="1" showErrorMessage="1" prompt="Enter EPN" sqref="F8:J8" xr:uid="{06BE188B-3FBB-4228-9F9D-E505084EB1E8}"/>
    <dataValidation allowBlank="1" showErrorMessage="1" prompt="Enter the source name." sqref="F9:J9" xr:uid="{C4BD74CE-A12E-4361-95DB-36DD60A5E7EF}"/>
    <dataValidation type="list" allowBlank="1" showErrorMessage="1" prompt="Is this an affected, modified, or new source." sqref="F6:J6" xr:uid="{A93A82D8-903F-4DBE-8D11-AC73E00573CB}">
      <formula1>"Affected,Modified,New"</formula1>
    </dataValidation>
    <dataValidation type="list" allowBlank="1" showErrorMessage="1" prompt="select one" sqref="F21:J26" xr:uid="{6A149246-3896-4B81-812C-83B7BC802E94}">
      <formula1>"N/A,chlorine,ammonia,hydrogen sulfide,hydrogen fluoride,hydrogen cyanide,mercaptans"</formula1>
    </dataValidation>
  </dataValidations>
  <printOptions horizontalCentered="1"/>
  <pageMargins left="0.7" right="0.7" top="0.75" bottom="0.75" header="0.3" footer="0.3"/>
  <pageSetup scale="69" orientation="landscape" r:id="rId1"/>
  <headerFooter>
    <oddHeader>&amp;C&amp;"Calibri,Regular"Marine Loading RAP Application</oddHeader>
    <oddFooter>&amp;L&amp;"Calibri,Regular"Version 1.0&amp;C&amp;"Calibri,Regular"Sheet: &amp;A&amp;R&amp;"Calibri,Regular"Page &amp;P</oddFooter>
  </headerFooter>
  <extLst>
    <ext xmlns:x14="http://schemas.microsoft.com/office/spreadsheetml/2009/9/main" uri="{78C0D931-6437-407d-A8EE-F0AAD7539E65}">
      <x14:conditionalFormattings>
        <x14:conditionalFormatting xmlns:xm="http://schemas.microsoft.com/office/excel/2006/main">
          <x14:cfRule type="expression" priority="4" id="{443CE802-73EC-494B-8536-909F09A3B54A}">
            <xm:f>'PI-1-MarineLoading'!$G$127="no"</xm:f>
            <x14:dxf>
              <numFmt numFmtId="164" formatCode=";;;"/>
              <fill>
                <patternFill>
                  <bgColor theme="0" tint="-0.499984740745262"/>
                </patternFill>
              </fill>
            </x14:dxf>
          </x14:cfRule>
          <xm:sqref>A1 A2:J218</xm:sqref>
        </x14:conditionalFormatting>
      </x14:conditionalFormattings>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E01B4A-459C-4C9D-B4C5-556247943603}">
  <sheetPr codeName="Sheet26">
    <tabColor rgb="FFFFFFCC"/>
  </sheetPr>
  <dimension ref="A1:E174"/>
  <sheetViews>
    <sheetView showGridLines="0" zoomScaleNormal="100" workbookViewId="0">
      <selection sqref="A1:D1"/>
    </sheetView>
  </sheetViews>
  <sheetFormatPr defaultColWidth="0" defaultRowHeight="14.25" zeroHeight="1" x14ac:dyDescent="0.2"/>
  <cols>
    <col min="1" max="1" width="40.75" style="8" customWidth="1"/>
    <col min="2" max="2" width="23.5" style="8" customWidth="1"/>
    <col min="3" max="4" width="19.875" style="8" customWidth="1"/>
    <col min="5" max="5" width="2.625" style="8" customWidth="1"/>
    <col min="6" max="16384" width="9" hidden="1"/>
  </cols>
  <sheetData>
    <row r="1" spans="1:5" ht="8.25" customHeight="1" thickBot="1" x14ac:dyDescent="0.25">
      <c r="A1" s="478" t="s">
        <v>0</v>
      </c>
      <c r="B1" s="478"/>
      <c r="C1" s="478"/>
      <c r="D1" s="478"/>
    </row>
    <row r="2" spans="1:5" ht="18.75" thickBot="1" x14ac:dyDescent="0.25">
      <c r="A2" s="525" t="s">
        <v>9420</v>
      </c>
      <c r="B2" s="525"/>
      <c r="C2" s="525"/>
      <c r="D2" s="525"/>
    </row>
    <row r="3" spans="1:5" ht="118.5" customHeight="1" thickBot="1" x14ac:dyDescent="0.25">
      <c r="A3" s="634" t="s">
        <v>10633</v>
      </c>
      <c r="B3" s="635"/>
      <c r="C3" s="635"/>
      <c r="D3" s="636"/>
    </row>
    <row r="4" spans="1:5" ht="15" thickBot="1" x14ac:dyDescent="0.25">
      <c r="A4" s="906" t="s">
        <v>1</v>
      </c>
      <c r="B4" s="906"/>
      <c r="C4" s="906"/>
      <c r="D4" s="906"/>
    </row>
    <row r="5" spans="1:5" ht="15.75" thickBot="1" x14ac:dyDescent="0.25">
      <c r="A5" s="474" t="s">
        <v>9660</v>
      </c>
      <c r="B5" s="474"/>
      <c r="C5" s="474"/>
      <c r="D5" s="474"/>
      <c r="E5"/>
    </row>
    <row r="6" spans="1:5" x14ac:dyDescent="0.2">
      <c r="A6" s="681" t="s">
        <v>10875</v>
      </c>
      <c r="B6" s="682"/>
      <c r="C6" s="912"/>
      <c r="D6" s="913"/>
      <c r="E6"/>
    </row>
    <row r="7" spans="1:5" ht="61.5" customHeight="1" x14ac:dyDescent="0.2">
      <c r="A7" s="780" t="s">
        <v>10179</v>
      </c>
      <c r="B7" s="656"/>
      <c r="C7" s="901"/>
      <c r="D7" s="902"/>
      <c r="E7"/>
    </row>
    <row r="8" spans="1:5" ht="45.75" customHeight="1" x14ac:dyDescent="0.2">
      <c r="A8" s="780" t="s">
        <v>10180</v>
      </c>
      <c r="B8" s="656"/>
      <c r="C8" s="901"/>
      <c r="D8" s="902"/>
      <c r="E8"/>
    </row>
    <row r="9" spans="1:5" ht="92.25" customHeight="1" thickBot="1" x14ac:dyDescent="0.25">
      <c r="A9" s="683" t="s">
        <v>10181</v>
      </c>
      <c r="B9" s="684"/>
      <c r="C9" s="910"/>
      <c r="D9" s="911"/>
      <c r="E9"/>
    </row>
    <row r="10" spans="1:5" ht="15" thickBot="1" x14ac:dyDescent="0.25">
      <c r="A10" s="478" t="s">
        <v>1</v>
      </c>
      <c r="B10" s="478"/>
      <c r="C10" s="478"/>
      <c r="D10" s="478"/>
    </row>
    <row r="11" spans="1:5" ht="15.75" thickBot="1" x14ac:dyDescent="0.25">
      <c r="A11" s="479" t="s">
        <v>9677</v>
      </c>
      <c r="B11" s="479"/>
      <c r="C11" s="479"/>
      <c r="D11" s="479"/>
    </row>
    <row r="12" spans="1:5" ht="15.75" customHeight="1" x14ac:dyDescent="0.2">
      <c r="A12" s="903" t="s">
        <v>9678</v>
      </c>
      <c r="B12" s="904"/>
      <c r="C12" s="904"/>
      <c r="D12" s="905"/>
    </row>
    <row r="13" spans="1:5" ht="15.75" customHeight="1" x14ac:dyDescent="0.2">
      <c r="A13" s="564" t="s">
        <v>9974</v>
      </c>
      <c r="B13" s="563"/>
      <c r="C13" s="563" t="s">
        <v>9975</v>
      </c>
      <c r="D13" s="847"/>
    </row>
    <row r="14" spans="1:5" x14ac:dyDescent="0.2">
      <c r="A14" s="530">
        <f>IF(OR(Tank1!$D$18="EXTERNAL FLOATING ROOF",Tank1!$D$18="INTERNAL FLOATING ROOF"),IF(Tank1!$D$8="","enter EPN on Tank1 sheet",Tank1!$D$8),0)</f>
        <v>0</v>
      </c>
      <c r="B14" s="531"/>
      <c r="C14" s="615"/>
      <c r="D14" s="616"/>
    </row>
    <row r="15" spans="1:5" x14ac:dyDescent="0.2">
      <c r="A15" s="744">
        <f>IF(OR(Tank2!$D$18="EXTERNAL FLOATING ROOF",Tank2!$D$18="INTERNAL FLOATING ROOF"),IF(Tank2!$D$8="","enter EPN on Tank1 sheet",Tank2!$D$8),0)</f>
        <v>0</v>
      </c>
      <c r="B15" s="758"/>
      <c r="C15" s="615"/>
      <c r="D15" s="616"/>
    </row>
    <row r="16" spans="1:5" x14ac:dyDescent="0.2">
      <c r="A16" s="744">
        <f>IF(OR(Tank3!$D$18="EXTERNAL FLOATING ROOF",Tank3!$D$18="INTERNAL FLOATING ROOF"),IF(Tank3!$D$8="","enter EPN on Tank3 sheet",Tank3!$D$8),0)</f>
        <v>0</v>
      </c>
      <c r="B16" s="758"/>
      <c r="C16" s="615"/>
      <c r="D16" s="616"/>
    </row>
    <row r="17" spans="1:5" x14ac:dyDescent="0.2">
      <c r="A17" s="744">
        <f>IF(OR(Tank4!$D$18="EXTERNAL FLOATING ROOF",Tank4!$D$18="INTERNAL FLOATING ROOF"),IF(Tank4!$D$8="","enter EPN on Tank4 sheet",Tank4!$D$8),0)</f>
        <v>0</v>
      </c>
      <c r="B17" s="758"/>
      <c r="C17" s="615"/>
      <c r="D17" s="616"/>
    </row>
    <row r="18" spans="1:5" ht="15" thickBot="1" x14ac:dyDescent="0.25">
      <c r="A18" s="587">
        <f>IF(OR(Tank5!$D$18="EXTERNAL FLOATING ROOF",Tank5!$D$18="INTERNAL FLOATING ROOF"),IF(Tank5!$D$8="","enter EPN on Tank5 sheet",Tank5!$D$8),0)</f>
        <v>0</v>
      </c>
      <c r="B18" s="589"/>
      <c r="C18" s="575"/>
      <c r="D18" s="576"/>
    </row>
    <row r="19" spans="1:5" ht="15" customHeight="1" x14ac:dyDescent="0.2">
      <c r="A19" s="568" t="s">
        <v>9679</v>
      </c>
      <c r="B19" s="569"/>
      <c r="C19" s="569"/>
      <c r="D19" s="570"/>
    </row>
    <row r="20" spans="1:5" ht="15" thickBot="1" x14ac:dyDescent="0.25">
      <c r="A20" s="831" t="s">
        <v>9671</v>
      </c>
      <c r="B20" s="907"/>
      <c r="C20" s="908"/>
      <c r="D20" s="909"/>
    </row>
    <row r="21" spans="1:5" s="8" customFormat="1" ht="41.25" customHeight="1" x14ac:dyDescent="0.2">
      <c r="A21" s="48" t="s">
        <v>9664</v>
      </c>
      <c r="B21" s="49" t="s">
        <v>178</v>
      </c>
      <c r="C21" s="49" t="s">
        <v>9689</v>
      </c>
      <c r="D21" s="117" t="s">
        <v>9686</v>
      </c>
    </row>
    <row r="22" spans="1:5" s="8" customFormat="1" x14ac:dyDescent="0.2">
      <c r="A22" s="4" t="s">
        <v>9665</v>
      </c>
      <c r="B22" s="52" t="s">
        <v>229</v>
      </c>
      <c r="C22" s="169"/>
      <c r="D22" s="38"/>
    </row>
    <row r="23" spans="1:5" s="8" customFormat="1" x14ac:dyDescent="0.2">
      <c r="A23" s="4" t="s">
        <v>9669</v>
      </c>
      <c r="B23" s="52" t="s">
        <v>229</v>
      </c>
      <c r="C23" s="169"/>
      <c r="D23" s="38"/>
    </row>
    <row r="24" spans="1:5" s="8" customFormat="1" x14ac:dyDescent="0.2">
      <c r="A24" s="173" t="s">
        <v>1</v>
      </c>
      <c r="B24" s="52" t="s">
        <v>261</v>
      </c>
      <c r="C24" s="169"/>
      <c r="D24" s="38"/>
    </row>
    <row r="25" spans="1:5" s="8" customFormat="1" x14ac:dyDescent="0.2">
      <c r="A25" s="173" t="s">
        <v>1</v>
      </c>
      <c r="B25" s="52" t="s">
        <v>262</v>
      </c>
      <c r="C25" s="169"/>
      <c r="D25" s="38"/>
    </row>
    <row r="26" spans="1:5" s="8" customFormat="1" x14ac:dyDescent="0.2">
      <c r="A26" s="173" t="s">
        <v>1</v>
      </c>
      <c r="B26" s="52" t="s">
        <v>263</v>
      </c>
      <c r="C26" s="169"/>
      <c r="D26" s="38"/>
    </row>
    <row r="27" spans="1:5" s="8" customFormat="1" x14ac:dyDescent="0.2">
      <c r="A27" s="173" t="s">
        <v>1</v>
      </c>
      <c r="B27" s="52" t="s">
        <v>264</v>
      </c>
      <c r="C27" s="169"/>
      <c r="D27" s="38"/>
    </row>
    <row r="28" spans="1:5" s="8" customFormat="1" x14ac:dyDescent="0.2">
      <c r="A28" s="173" t="s">
        <v>1</v>
      </c>
      <c r="B28" s="52" t="s">
        <v>265</v>
      </c>
      <c r="C28" s="169"/>
      <c r="D28" s="38"/>
    </row>
    <row r="29" spans="1:5" s="8" customFormat="1" x14ac:dyDescent="0.2">
      <c r="A29" s="173" t="s">
        <v>1</v>
      </c>
      <c r="B29" s="52" t="s">
        <v>266</v>
      </c>
      <c r="C29" s="169"/>
      <c r="D29" s="38"/>
    </row>
    <row r="30" spans="1:5" s="8" customFormat="1" ht="15" thickBot="1" x14ac:dyDescent="0.25">
      <c r="A30" s="174" t="s">
        <v>1</v>
      </c>
      <c r="B30" s="167" t="s">
        <v>267</v>
      </c>
      <c r="C30" s="168"/>
      <c r="D30" s="39"/>
    </row>
    <row r="31" spans="1:5" s="8" customFormat="1" ht="15" customHeight="1" x14ac:dyDescent="0.2">
      <c r="A31" s="539" t="s">
        <v>9680</v>
      </c>
      <c r="B31" s="540"/>
      <c r="C31" s="540"/>
      <c r="D31" s="541"/>
    </row>
    <row r="32" spans="1:5" ht="43.5" customHeight="1" x14ac:dyDescent="0.2">
      <c r="A32" s="530" t="s">
        <v>10164</v>
      </c>
      <c r="B32" s="531"/>
      <c r="C32" s="531"/>
      <c r="D32" s="538"/>
      <c r="E32"/>
    </row>
    <row r="33" spans="1:4" s="8" customFormat="1" ht="31.5" customHeight="1" thickBot="1" x14ac:dyDescent="0.25">
      <c r="A33" s="483" t="s">
        <v>9675</v>
      </c>
      <c r="B33" s="484"/>
      <c r="C33" s="899"/>
      <c r="D33" s="900"/>
    </row>
    <row r="34" spans="1:4" s="8" customFormat="1" ht="50.25" customHeight="1" x14ac:dyDescent="0.2">
      <c r="A34" s="914" t="s">
        <v>9179</v>
      </c>
      <c r="B34" s="856"/>
      <c r="C34" s="855" t="s">
        <v>9425</v>
      </c>
      <c r="D34" s="915"/>
    </row>
    <row r="35" spans="1:4" s="8" customFormat="1" x14ac:dyDescent="0.2">
      <c r="A35" s="916" t="str">
        <f>LandEmiss!$GJ3</f>
        <v/>
      </c>
      <c r="B35" s="917"/>
      <c r="C35" s="929"/>
      <c r="D35" s="930"/>
    </row>
    <row r="36" spans="1:4" s="8" customFormat="1" x14ac:dyDescent="0.2">
      <c r="A36" s="916" t="str">
        <f>LandEmiss!$GJ4</f>
        <v/>
      </c>
      <c r="B36" s="917"/>
      <c r="C36" s="929"/>
      <c r="D36" s="930"/>
    </row>
    <row r="37" spans="1:4" s="8" customFormat="1" x14ac:dyDescent="0.2">
      <c r="A37" s="916" t="str">
        <f>LandEmiss!$GJ5</f>
        <v/>
      </c>
      <c r="B37" s="917"/>
      <c r="C37" s="929"/>
      <c r="D37" s="930"/>
    </row>
    <row r="38" spans="1:4" s="8" customFormat="1" x14ac:dyDescent="0.2">
      <c r="A38" s="916" t="str">
        <f>LandEmiss!$GJ6</f>
        <v/>
      </c>
      <c r="B38" s="917"/>
      <c r="C38" s="929"/>
      <c r="D38" s="930"/>
    </row>
    <row r="39" spans="1:4" s="8" customFormat="1" x14ac:dyDescent="0.2">
      <c r="A39" s="916" t="str">
        <f>LandEmiss!$GJ7</f>
        <v/>
      </c>
      <c r="B39" s="917"/>
      <c r="C39" s="929"/>
      <c r="D39" s="930"/>
    </row>
    <row r="40" spans="1:4" s="8" customFormat="1" x14ac:dyDescent="0.2">
      <c r="A40" s="916" t="str">
        <f>LandEmiss!$GJ8</f>
        <v/>
      </c>
      <c r="B40" s="917"/>
      <c r="C40" s="929"/>
      <c r="D40" s="930"/>
    </row>
    <row r="41" spans="1:4" s="8" customFormat="1" x14ac:dyDescent="0.2">
      <c r="A41" s="916" t="str">
        <f>LandEmiss!$GJ9</f>
        <v/>
      </c>
      <c r="B41" s="917"/>
      <c r="C41" s="929"/>
      <c r="D41" s="930"/>
    </row>
    <row r="42" spans="1:4" s="8" customFormat="1" x14ac:dyDescent="0.2">
      <c r="A42" s="916" t="str">
        <f>LandEmiss!$GJ10</f>
        <v/>
      </c>
      <c r="B42" s="917"/>
      <c r="C42" s="929"/>
      <c r="D42" s="930"/>
    </row>
    <row r="43" spans="1:4" s="8" customFormat="1" x14ac:dyDescent="0.2">
      <c r="A43" s="916" t="str">
        <f>LandEmiss!$GJ11</f>
        <v/>
      </c>
      <c r="B43" s="917"/>
      <c r="C43" s="929"/>
      <c r="D43" s="930"/>
    </row>
    <row r="44" spans="1:4" s="8" customFormat="1" ht="15" thickBot="1" x14ac:dyDescent="0.25">
      <c r="A44" s="920" t="str">
        <f>LandEmiss!$GJ12</f>
        <v/>
      </c>
      <c r="B44" s="921"/>
      <c r="C44" s="931"/>
      <c r="D44" s="932"/>
    </row>
    <row r="45" spans="1:4" s="8" customFormat="1" ht="15" x14ac:dyDescent="0.2">
      <c r="A45" s="48" t="s">
        <v>9664</v>
      </c>
      <c r="B45" s="49" t="s">
        <v>178</v>
      </c>
      <c r="C45" s="49" t="s">
        <v>9689</v>
      </c>
      <c r="D45" s="117" t="s">
        <v>9686</v>
      </c>
    </row>
    <row r="46" spans="1:4" s="8" customFormat="1" x14ac:dyDescent="0.2">
      <c r="A46" s="4" t="s">
        <v>9669</v>
      </c>
      <c r="B46" s="52" t="s">
        <v>229</v>
      </c>
      <c r="C46" s="169"/>
      <c r="D46" s="38"/>
    </row>
    <row r="47" spans="1:4" s="8" customFormat="1" x14ac:dyDescent="0.2">
      <c r="A47" s="173" t="s">
        <v>1</v>
      </c>
      <c r="B47" s="52" t="s">
        <v>261</v>
      </c>
      <c r="C47" s="169"/>
      <c r="D47" s="38"/>
    </row>
    <row r="48" spans="1:4" s="8" customFormat="1" x14ac:dyDescent="0.2">
      <c r="A48" s="173" t="s">
        <v>1</v>
      </c>
      <c r="B48" s="52" t="s">
        <v>262</v>
      </c>
      <c r="C48" s="169"/>
      <c r="D48" s="38"/>
    </row>
    <row r="49" spans="1:4" s="8" customFormat="1" x14ac:dyDescent="0.2">
      <c r="A49" s="173" t="s">
        <v>1</v>
      </c>
      <c r="B49" s="52" t="s">
        <v>263</v>
      </c>
      <c r="C49" s="169"/>
      <c r="D49" s="38"/>
    </row>
    <row r="50" spans="1:4" s="8" customFormat="1" x14ac:dyDescent="0.2">
      <c r="A50" s="173" t="s">
        <v>1</v>
      </c>
      <c r="B50" s="52" t="s">
        <v>264</v>
      </c>
      <c r="C50" s="169"/>
      <c r="D50" s="38"/>
    </row>
    <row r="51" spans="1:4" s="8" customFormat="1" x14ac:dyDescent="0.2">
      <c r="A51" s="173" t="s">
        <v>1</v>
      </c>
      <c r="B51" s="52" t="s">
        <v>265</v>
      </c>
      <c r="C51" s="169"/>
      <c r="D51" s="38"/>
    </row>
    <row r="52" spans="1:4" s="8" customFormat="1" x14ac:dyDescent="0.2">
      <c r="A52" s="173" t="s">
        <v>1</v>
      </c>
      <c r="B52" s="52" t="s">
        <v>266</v>
      </c>
      <c r="C52" s="169"/>
      <c r="D52" s="38"/>
    </row>
    <row r="53" spans="1:4" s="8" customFormat="1" ht="15" thickBot="1" x14ac:dyDescent="0.25">
      <c r="A53" s="174" t="s">
        <v>1</v>
      </c>
      <c r="B53" s="167" t="s">
        <v>267</v>
      </c>
      <c r="C53" s="168"/>
      <c r="D53" s="39"/>
    </row>
    <row r="54" spans="1:4" s="8" customFormat="1" ht="15" x14ac:dyDescent="0.2">
      <c r="A54" s="539" t="s">
        <v>9681</v>
      </c>
      <c r="B54" s="540"/>
      <c r="C54" s="540"/>
      <c r="D54" s="541"/>
    </row>
    <row r="55" spans="1:4" s="8" customFormat="1" ht="15" thickBot="1" x14ac:dyDescent="0.25">
      <c r="A55" s="548" t="s">
        <v>9671</v>
      </c>
      <c r="B55" s="549"/>
      <c r="C55" s="899"/>
      <c r="D55" s="900"/>
    </row>
    <row r="56" spans="1:4" s="8" customFormat="1" ht="15" x14ac:dyDescent="0.2">
      <c r="A56" s="48" t="s">
        <v>9664</v>
      </c>
      <c r="B56" s="49" t="s">
        <v>178</v>
      </c>
      <c r="C56" s="49" t="s">
        <v>9689</v>
      </c>
      <c r="D56" s="117" t="s">
        <v>9686</v>
      </c>
    </row>
    <row r="57" spans="1:4" s="8" customFormat="1" x14ac:dyDescent="0.2">
      <c r="A57" s="4" t="s">
        <v>9665</v>
      </c>
      <c r="B57" s="52" t="s">
        <v>229</v>
      </c>
      <c r="C57" s="169"/>
      <c r="D57" s="38"/>
    </row>
    <row r="58" spans="1:4" s="8" customFormat="1" x14ac:dyDescent="0.2">
      <c r="A58" s="4" t="s">
        <v>9669</v>
      </c>
      <c r="B58" s="52" t="s">
        <v>229</v>
      </c>
      <c r="C58" s="169"/>
      <c r="D58" s="38"/>
    </row>
    <row r="59" spans="1:4" s="8" customFormat="1" x14ac:dyDescent="0.2">
      <c r="A59" s="173" t="s">
        <v>1</v>
      </c>
      <c r="B59" s="52" t="s">
        <v>261</v>
      </c>
      <c r="C59" s="169"/>
      <c r="D59" s="38"/>
    </row>
    <row r="60" spans="1:4" s="8" customFormat="1" x14ac:dyDescent="0.2">
      <c r="A60" s="173" t="s">
        <v>1</v>
      </c>
      <c r="B60" s="52" t="s">
        <v>262</v>
      </c>
      <c r="C60" s="169"/>
      <c r="D60" s="38"/>
    </row>
    <row r="61" spans="1:4" s="8" customFormat="1" x14ac:dyDescent="0.2">
      <c r="A61" s="173" t="s">
        <v>1</v>
      </c>
      <c r="B61" s="52" t="s">
        <v>263</v>
      </c>
      <c r="C61" s="169"/>
      <c r="D61" s="38"/>
    </row>
    <row r="62" spans="1:4" s="8" customFormat="1" x14ac:dyDescent="0.2">
      <c r="A62" s="173" t="s">
        <v>1</v>
      </c>
      <c r="B62" s="52" t="s">
        <v>264</v>
      </c>
      <c r="C62" s="169"/>
      <c r="D62" s="38"/>
    </row>
    <row r="63" spans="1:4" s="8" customFormat="1" x14ac:dyDescent="0.2">
      <c r="A63" s="173" t="s">
        <v>1</v>
      </c>
      <c r="B63" s="52" t="s">
        <v>265</v>
      </c>
      <c r="C63" s="169"/>
      <c r="D63" s="38"/>
    </row>
    <row r="64" spans="1:4" s="8" customFormat="1" x14ac:dyDescent="0.2">
      <c r="A64" s="173" t="s">
        <v>1</v>
      </c>
      <c r="B64" s="52" t="s">
        <v>266</v>
      </c>
      <c r="C64" s="169"/>
      <c r="D64" s="38"/>
    </row>
    <row r="65" spans="1:4" s="8" customFormat="1" ht="15" thickBot="1" x14ac:dyDescent="0.25">
      <c r="A65" s="174" t="s">
        <v>1</v>
      </c>
      <c r="B65" s="167" t="s">
        <v>267</v>
      </c>
      <c r="C65" s="168"/>
      <c r="D65" s="39"/>
    </row>
    <row r="66" spans="1:4" s="8" customFormat="1" ht="47.25" customHeight="1" x14ac:dyDescent="0.2">
      <c r="A66" s="539" t="s">
        <v>10654</v>
      </c>
      <c r="B66" s="540"/>
      <c r="C66" s="540"/>
      <c r="D66" s="541"/>
    </row>
    <row r="67" spans="1:4" s="8" customFormat="1" x14ac:dyDescent="0.2">
      <c r="A67" s="528" t="s">
        <v>10428</v>
      </c>
      <c r="B67" s="529"/>
      <c r="C67" s="678"/>
      <c r="D67" s="709"/>
    </row>
    <row r="68" spans="1:4" s="8" customFormat="1" ht="15" thickBot="1" x14ac:dyDescent="0.25">
      <c r="A68" s="925" t="s">
        <v>9671</v>
      </c>
      <c r="B68" s="926"/>
      <c r="C68" s="927"/>
      <c r="D68" s="928"/>
    </row>
    <row r="69" spans="1:4" s="8" customFormat="1" ht="15" x14ac:dyDescent="0.2">
      <c r="A69" s="48" t="s">
        <v>9664</v>
      </c>
      <c r="B69" s="49" t="s">
        <v>178</v>
      </c>
      <c r="C69" s="49" t="s">
        <v>9689</v>
      </c>
      <c r="D69" s="117" t="s">
        <v>9686</v>
      </c>
    </row>
    <row r="70" spans="1:4" s="8" customFormat="1" x14ac:dyDescent="0.2">
      <c r="A70" s="4" t="s">
        <v>9665</v>
      </c>
      <c r="B70" s="52" t="s">
        <v>229</v>
      </c>
      <c r="C70" s="169"/>
      <c r="D70" s="38"/>
    </row>
    <row r="71" spans="1:4" s="8" customFormat="1" x14ac:dyDescent="0.2">
      <c r="A71" s="4" t="s">
        <v>9669</v>
      </c>
      <c r="B71" s="52" t="s">
        <v>229</v>
      </c>
      <c r="C71" s="169"/>
      <c r="D71" s="38"/>
    </row>
    <row r="72" spans="1:4" s="8" customFormat="1" x14ac:dyDescent="0.2">
      <c r="A72" s="173" t="s">
        <v>1</v>
      </c>
      <c r="B72" s="52" t="s">
        <v>261</v>
      </c>
      <c r="C72" s="169"/>
      <c r="D72" s="38"/>
    </row>
    <row r="73" spans="1:4" s="8" customFormat="1" x14ac:dyDescent="0.2">
      <c r="A73" s="173" t="s">
        <v>1</v>
      </c>
      <c r="B73" s="52" t="s">
        <v>262</v>
      </c>
      <c r="C73" s="169"/>
      <c r="D73" s="38"/>
    </row>
    <row r="74" spans="1:4" s="8" customFormat="1" x14ac:dyDescent="0.2">
      <c r="A74" s="173" t="s">
        <v>1</v>
      </c>
      <c r="B74" s="52" t="s">
        <v>263</v>
      </c>
      <c r="C74" s="169"/>
      <c r="D74" s="38"/>
    </row>
    <row r="75" spans="1:4" s="8" customFormat="1" x14ac:dyDescent="0.2">
      <c r="A75" s="173" t="s">
        <v>1</v>
      </c>
      <c r="B75" s="52" t="s">
        <v>264</v>
      </c>
      <c r="C75" s="169"/>
      <c r="D75" s="38"/>
    </row>
    <row r="76" spans="1:4" s="8" customFormat="1" x14ac:dyDescent="0.2">
      <c r="A76" s="173" t="s">
        <v>1</v>
      </c>
      <c r="B76" s="52" t="s">
        <v>265</v>
      </c>
      <c r="C76" s="169"/>
      <c r="D76" s="38"/>
    </row>
    <row r="77" spans="1:4" s="8" customFormat="1" x14ac:dyDescent="0.2">
      <c r="A77" s="173" t="s">
        <v>1</v>
      </c>
      <c r="B77" s="52" t="s">
        <v>266</v>
      </c>
      <c r="C77" s="169"/>
      <c r="D77" s="38"/>
    </row>
    <row r="78" spans="1:4" s="8" customFormat="1" ht="15" thickBot="1" x14ac:dyDescent="0.25">
      <c r="A78" s="174" t="s">
        <v>1</v>
      </c>
      <c r="B78" s="167" t="s">
        <v>267</v>
      </c>
      <c r="C78" s="168"/>
      <c r="D78" s="39"/>
    </row>
    <row r="79" spans="1:4" s="8" customFormat="1" ht="15" x14ac:dyDescent="0.2">
      <c r="A79" s="539" t="s">
        <v>9682</v>
      </c>
      <c r="B79" s="540"/>
      <c r="C79" s="540"/>
      <c r="D79" s="541"/>
    </row>
    <row r="80" spans="1:4" s="8" customFormat="1" ht="15" thickBot="1" x14ac:dyDescent="0.25">
      <c r="A80" s="548" t="s">
        <v>9671</v>
      </c>
      <c r="B80" s="549"/>
      <c r="C80" s="899"/>
      <c r="D80" s="900"/>
    </row>
    <row r="81" spans="1:4" s="8" customFormat="1" ht="15" x14ac:dyDescent="0.2">
      <c r="A81" s="48" t="s">
        <v>9664</v>
      </c>
      <c r="B81" s="49" t="s">
        <v>178</v>
      </c>
      <c r="C81" s="49" t="s">
        <v>9689</v>
      </c>
      <c r="D81" s="117" t="s">
        <v>9686</v>
      </c>
    </row>
    <row r="82" spans="1:4" s="8" customFormat="1" x14ac:dyDescent="0.2">
      <c r="A82" s="4" t="s">
        <v>9665</v>
      </c>
      <c r="B82" s="52" t="s">
        <v>229</v>
      </c>
      <c r="C82" s="169"/>
      <c r="D82" s="38"/>
    </row>
    <row r="83" spans="1:4" s="8" customFormat="1" x14ac:dyDescent="0.2">
      <c r="A83" s="4" t="s">
        <v>9669</v>
      </c>
      <c r="B83" s="52" t="s">
        <v>229</v>
      </c>
      <c r="C83" s="169"/>
      <c r="D83" s="38"/>
    </row>
    <row r="84" spans="1:4" s="8" customFormat="1" x14ac:dyDescent="0.2">
      <c r="A84" s="173" t="s">
        <v>1</v>
      </c>
      <c r="B84" s="52" t="s">
        <v>261</v>
      </c>
      <c r="C84" s="169"/>
      <c r="D84" s="38"/>
    </row>
    <row r="85" spans="1:4" s="8" customFormat="1" x14ac:dyDescent="0.2">
      <c r="A85" s="173" t="s">
        <v>1</v>
      </c>
      <c r="B85" s="52" t="s">
        <v>262</v>
      </c>
      <c r="C85" s="169"/>
      <c r="D85" s="38"/>
    </row>
    <row r="86" spans="1:4" s="8" customFormat="1" x14ac:dyDescent="0.2">
      <c r="A86" s="173" t="s">
        <v>1</v>
      </c>
      <c r="B86" s="52" t="s">
        <v>263</v>
      </c>
      <c r="C86" s="169"/>
      <c r="D86" s="38"/>
    </row>
    <row r="87" spans="1:4" s="8" customFormat="1" x14ac:dyDescent="0.2">
      <c r="A87" s="173" t="s">
        <v>1</v>
      </c>
      <c r="B87" s="52" t="s">
        <v>264</v>
      </c>
      <c r="C87" s="169"/>
      <c r="D87" s="38"/>
    </row>
    <row r="88" spans="1:4" s="8" customFormat="1" x14ac:dyDescent="0.2">
      <c r="A88" s="173" t="s">
        <v>1</v>
      </c>
      <c r="B88" s="52" t="s">
        <v>265</v>
      </c>
      <c r="C88" s="169"/>
      <c r="D88" s="38"/>
    </row>
    <row r="89" spans="1:4" s="8" customFormat="1" x14ac:dyDescent="0.2">
      <c r="A89" s="173" t="s">
        <v>1</v>
      </c>
      <c r="B89" s="52" t="s">
        <v>266</v>
      </c>
      <c r="C89" s="169"/>
      <c r="D89" s="38"/>
    </row>
    <row r="90" spans="1:4" s="8" customFormat="1" ht="15" thickBot="1" x14ac:dyDescent="0.25">
      <c r="A90" s="174" t="s">
        <v>1</v>
      </c>
      <c r="B90" s="167" t="s">
        <v>267</v>
      </c>
      <c r="C90" s="168"/>
      <c r="D90" s="39"/>
    </row>
    <row r="91" spans="1:4" s="8" customFormat="1" ht="15" x14ac:dyDescent="0.2">
      <c r="A91" s="539" t="s">
        <v>9683</v>
      </c>
      <c r="B91" s="540"/>
      <c r="C91" s="540"/>
      <c r="D91" s="541"/>
    </row>
    <row r="92" spans="1:4" s="8" customFormat="1" ht="15" x14ac:dyDescent="0.2">
      <c r="A92" s="170" t="s">
        <v>9664</v>
      </c>
      <c r="B92" s="171" t="s">
        <v>178</v>
      </c>
      <c r="C92" s="171" t="s">
        <v>9689</v>
      </c>
      <c r="D92" s="172" t="s">
        <v>9686</v>
      </c>
    </row>
    <row r="93" spans="1:4" s="8" customFormat="1" x14ac:dyDescent="0.2">
      <c r="A93" s="4" t="s">
        <v>9665</v>
      </c>
      <c r="B93" s="52" t="s">
        <v>229</v>
      </c>
      <c r="C93" s="2">
        <f>MAX(C22,C57,C70,C82)</f>
        <v>0</v>
      </c>
      <c r="D93" s="12">
        <f>SUM(D22,D57,D70,D82)</f>
        <v>0</v>
      </c>
    </row>
    <row r="94" spans="1:4" s="8" customFormat="1" x14ac:dyDescent="0.2">
      <c r="A94" s="173" t="s">
        <v>1</v>
      </c>
      <c r="B94" s="52" t="s">
        <v>267</v>
      </c>
      <c r="C94" s="2">
        <f>MAX(_xlfn.MAXIFS(LandEmiss!$CO$20:$CO$119,LandEmiss!$CN$20:$CN$119,"7783-06-4"),_xlfn.MAXIFS(LandEmiss!$CP$20:$CP$119,LandEmiss!$CN$20:$CN$119,"7783-06-4"),_xlfn.MAXIFS(LandEmiss!$CQ$20:$CQ$119,LandEmiss!$CN$20:$CN$119,"7783-06-4"),_xlfn.MAXIFS(LandEmiss!$CR$20:$CR$119,LandEmiss!$CN$20:$CN$119,"7783-06-4"),_xlfn.MAXIFS(LandEmiss!$CS$20:$CS$119,LandEmiss!$CN$20:$CN$119,"7783-06-4"))</f>
        <v>0</v>
      </c>
      <c r="D94" s="12">
        <f>SUM(SUMIFS(LandEmiss!$CT$20:$CT$119,LandEmiss!$CN$20:$CN$119,"7783-06-4"),SUMIFS(LandEmiss!$CU$20:$CU$119,LandEmiss!$CN$20:$CN$119,"7783-06-4"),SUMIFS(LandEmiss!$CV$20:$CV$119,LandEmiss!$CN$20:$CN$119,"7783-06-4"),SUMIFS(LandEmiss!$CW$20:$CW$119,LandEmiss!$CN$20:$CN$119,"7783-06-4"),SUMIFS(LandEmiss!$CX$20:$CX$119,LandEmiss!$CN$20:$CN$119,"7783-06-4"))</f>
        <v>0</v>
      </c>
    </row>
    <row r="95" spans="1:4" s="8" customFormat="1" x14ac:dyDescent="0.2">
      <c r="A95" s="4" t="s">
        <v>9669</v>
      </c>
      <c r="B95" s="52" t="s">
        <v>229</v>
      </c>
      <c r="C95" s="2">
        <f t="shared" ref="C95:C102" si="0">MAX(C23,C46,C58,C71,C83)</f>
        <v>0</v>
      </c>
      <c r="D95" s="12">
        <f t="shared" ref="D95:D102" si="1">SUM(D23,D46,D58,D71,D83)</f>
        <v>0</v>
      </c>
    </row>
    <row r="96" spans="1:4" s="8" customFormat="1" x14ac:dyDescent="0.2">
      <c r="A96" s="173" t="s">
        <v>1</v>
      </c>
      <c r="B96" s="52" t="s">
        <v>261</v>
      </c>
      <c r="C96" s="2">
        <f t="shared" si="0"/>
        <v>0</v>
      </c>
      <c r="D96" s="12">
        <f t="shared" si="1"/>
        <v>0</v>
      </c>
    </row>
    <row r="97" spans="1:4" s="8" customFormat="1" x14ac:dyDescent="0.2">
      <c r="A97" s="173" t="s">
        <v>1</v>
      </c>
      <c r="B97" s="52" t="s">
        <v>262</v>
      </c>
      <c r="C97" s="2">
        <f t="shared" si="0"/>
        <v>0</v>
      </c>
      <c r="D97" s="12">
        <f t="shared" si="1"/>
        <v>0</v>
      </c>
    </row>
    <row r="98" spans="1:4" s="8" customFormat="1" x14ac:dyDescent="0.2">
      <c r="A98" s="173" t="s">
        <v>1</v>
      </c>
      <c r="B98" s="52" t="s">
        <v>263</v>
      </c>
      <c r="C98" s="2">
        <f t="shared" si="0"/>
        <v>0</v>
      </c>
      <c r="D98" s="12">
        <f t="shared" si="1"/>
        <v>0</v>
      </c>
    </row>
    <row r="99" spans="1:4" s="8" customFormat="1" x14ac:dyDescent="0.2">
      <c r="A99" s="173" t="s">
        <v>1</v>
      </c>
      <c r="B99" s="52" t="s">
        <v>264</v>
      </c>
      <c r="C99" s="2">
        <f t="shared" si="0"/>
        <v>0</v>
      </c>
      <c r="D99" s="12">
        <f t="shared" si="1"/>
        <v>0</v>
      </c>
    </row>
    <row r="100" spans="1:4" s="8" customFormat="1" x14ac:dyDescent="0.2">
      <c r="A100" s="173" t="s">
        <v>1</v>
      </c>
      <c r="B100" s="52" t="s">
        <v>265</v>
      </c>
      <c r="C100" s="2">
        <f t="shared" si="0"/>
        <v>0</v>
      </c>
      <c r="D100" s="12">
        <f t="shared" si="1"/>
        <v>0</v>
      </c>
    </row>
    <row r="101" spans="1:4" s="8" customFormat="1" x14ac:dyDescent="0.2">
      <c r="A101" s="173" t="s">
        <v>1</v>
      </c>
      <c r="B101" s="52" t="s">
        <v>266</v>
      </c>
      <c r="C101" s="2">
        <f t="shared" si="0"/>
        <v>0</v>
      </c>
      <c r="D101" s="12">
        <f t="shared" si="1"/>
        <v>0</v>
      </c>
    </row>
    <row r="102" spans="1:4" s="8" customFormat="1" ht="15" thickBot="1" x14ac:dyDescent="0.25">
      <c r="A102" s="174" t="s">
        <v>1</v>
      </c>
      <c r="B102" s="167" t="s">
        <v>267</v>
      </c>
      <c r="C102" s="13">
        <f t="shared" si="0"/>
        <v>0</v>
      </c>
      <c r="D102" s="14">
        <f t="shared" si="1"/>
        <v>0</v>
      </c>
    </row>
    <row r="103" spans="1:4" s="8" customFormat="1" ht="15" thickBot="1" x14ac:dyDescent="0.25">
      <c r="A103" s="478" t="s">
        <v>1</v>
      </c>
      <c r="B103" s="478"/>
      <c r="C103" s="478"/>
      <c r="D103" s="478"/>
    </row>
    <row r="104" spans="1:4" s="8" customFormat="1" ht="15.75" thickBot="1" x14ac:dyDescent="0.25">
      <c r="A104" s="479" t="s">
        <v>9684</v>
      </c>
      <c r="B104" s="479"/>
      <c r="C104" s="479"/>
      <c r="D104" s="479"/>
    </row>
    <row r="105" spans="1:4" ht="15.75" customHeight="1" x14ac:dyDescent="0.2">
      <c r="A105" s="903" t="s">
        <v>9992</v>
      </c>
      <c r="B105" s="904"/>
      <c r="C105" s="904"/>
      <c r="D105" s="905"/>
    </row>
    <row r="106" spans="1:4" ht="15.75" customHeight="1" x14ac:dyDescent="0.2">
      <c r="A106" s="564" t="s">
        <v>10526</v>
      </c>
      <c r="B106" s="563"/>
      <c r="C106" s="563" t="s">
        <v>9975</v>
      </c>
      <c r="D106" s="847"/>
    </row>
    <row r="107" spans="1:4" x14ac:dyDescent="0.2">
      <c r="A107" s="530">
        <f>IF(OR(Tank1!$D$18="HORIZONTAL FIXED ROOF",Tank1!$D$18="VERTICAL FIXED ROOF"),IF(Tank1!$D$8="","enter EPN on Tank1 sheet",Tank1!$D$8),0)</f>
        <v>0</v>
      </c>
      <c r="B107" s="531"/>
      <c r="C107" s="615"/>
      <c r="D107" s="616"/>
    </row>
    <row r="108" spans="1:4" x14ac:dyDescent="0.2">
      <c r="A108" s="744">
        <f>IF(OR(Tank2!$D$18="HORIZONTAL FIXED ROOF",Tank2!$D$18="VERTICAL FIXED ROOF"),IF(Tank2!$D$8="","enter EPN on Tank1 sheet",Tank2!$D$8),0)</f>
        <v>0</v>
      </c>
      <c r="B108" s="758"/>
      <c r="C108" s="615"/>
      <c r="D108" s="616"/>
    </row>
    <row r="109" spans="1:4" x14ac:dyDescent="0.2">
      <c r="A109" s="744">
        <f>IF(OR(Tank3!$D$18="HORIZONTAL FIXED ROOF",Tank3!$D$18="VERTICAL FIXED ROOF"),IF(Tank3!$D$8="","enter EPN on Tank3 sheet",Tank3!$D$8),0)</f>
        <v>0</v>
      </c>
      <c r="B109" s="758"/>
      <c r="C109" s="615"/>
      <c r="D109" s="616"/>
    </row>
    <row r="110" spans="1:4" x14ac:dyDescent="0.2">
      <c r="A110" s="744">
        <f>IF(OR(Tank4!$D$18="HORIZONTAL FIXED ROOF",Tank4!$D$18="VERTICAL FIXED ROOF"),IF(Tank4!$D$8="","enter EPN on Tank4 sheet",Tank4!$D$8),0)</f>
        <v>0</v>
      </c>
      <c r="B110" s="758"/>
      <c r="C110" s="615"/>
      <c r="D110" s="616"/>
    </row>
    <row r="111" spans="1:4" ht="15" thickBot="1" x14ac:dyDescent="0.25">
      <c r="A111" s="587">
        <f>IF(OR(Tank5!$D$18="HORIZONTAL FIXED ROOF",Tank5!$D$18="VERTICAL FIXED ROOF"),IF(Tank5!$D$8="","enter EPN on Tank5 sheet",Tank5!$D$8),0)</f>
        <v>0</v>
      </c>
      <c r="B111" s="589"/>
      <c r="C111" s="575"/>
      <c r="D111" s="576"/>
    </row>
    <row r="112" spans="1:4" s="8" customFormat="1" ht="15" customHeight="1" x14ac:dyDescent="0.2">
      <c r="A112" s="867" t="s">
        <v>9672</v>
      </c>
      <c r="B112" s="854"/>
      <c r="C112" s="854"/>
      <c r="D112" s="794"/>
    </row>
    <row r="113" spans="1:4" s="8" customFormat="1" ht="44.25" customHeight="1" x14ac:dyDescent="0.2">
      <c r="A113" s="744" t="s">
        <v>10164</v>
      </c>
      <c r="B113" s="690"/>
      <c r="C113" s="690"/>
      <c r="D113" s="691"/>
    </row>
    <row r="114" spans="1:4" s="8" customFormat="1" ht="31.5" customHeight="1" thickBot="1" x14ac:dyDescent="0.25">
      <c r="A114" s="483" t="s">
        <v>9675</v>
      </c>
      <c r="B114" s="484"/>
      <c r="C114" s="899"/>
      <c r="D114" s="900"/>
    </row>
    <row r="115" spans="1:4" s="8" customFormat="1" ht="48.75" customHeight="1" x14ac:dyDescent="0.2">
      <c r="A115" s="914" t="s">
        <v>9179</v>
      </c>
      <c r="B115" s="856"/>
      <c r="C115" s="855" t="s">
        <v>9425</v>
      </c>
      <c r="D115" s="915"/>
    </row>
    <row r="116" spans="1:4" s="8" customFormat="1" x14ac:dyDescent="0.2">
      <c r="A116" s="916" t="str">
        <f>LandEmiss!$GN3</f>
        <v/>
      </c>
      <c r="B116" s="917"/>
      <c r="C116" s="918"/>
      <c r="D116" s="919"/>
    </row>
    <row r="117" spans="1:4" s="8" customFormat="1" x14ac:dyDescent="0.2">
      <c r="A117" s="916" t="str">
        <f>LandEmiss!$GN4</f>
        <v/>
      </c>
      <c r="B117" s="917"/>
      <c r="C117" s="918"/>
      <c r="D117" s="919"/>
    </row>
    <row r="118" spans="1:4" s="8" customFormat="1" x14ac:dyDescent="0.2">
      <c r="A118" s="916" t="str">
        <f>LandEmiss!$GN5</f>
        <v/>
      </c>
      <c r="B118" s="917"/>
      <c r="C118" s="918"/>
      <c r="D118" s="919"/>
    </row>
    <row r="119" spans="1:4" s="8" customFormat="1" x14ac:dyDescent="0.2">
      <c r="A119" s="916" t="str">
        <f>LandEmiss!$GN6</f>
        <v/>
      </c>
      <c r="B119" s="917"/>
      <c r="C119" s="918"/>
      <c r="D119" s="919"/>
    </row>
    <row r="120" spans="1:4" s="8" customFormat="1" x14ac:dyDescent="0.2">
      <c r="A120" s="916" t="str">
        <f>LandEmiss!$GN7</f>
        <v/>
      </c>
      <c r="B120" s="917"/>
      <c r="C120" s="918"/>
      <c r="D120" s="919"/>
    </row>
    <row r="121" spans="1:4" s="8" customFormat="1" x14ac:dyDescent="0.2">
      <c r="A121" s="916" t="str">
        <f>LandEmiss!$GN8</f>
        <v/>
      </c>
      <c r="B121" s="917"/>
      <c r="C121" s="918"/>
      <c r="D121" s="919"/>
    </row>
    <row r="122" spans="1:4" s="8" customFormat="1" x14ac:dyDescent="0.2">
      <c r="A122" s="916" t="str">
        <f>LandEmiss!$GN9</f>
        <v/>
      </c>
      <c r="B122" s="917"/>
      <c r="C122" s="918"/>
      <c r="D122" s="919"/>
    </row>
    <row r="123" spans="1:4" s="8" customFormat="1" x14ac:dyDescent="0.2">
      <c r="A123" s="916" t="str">
        <f>LandEmiss!$GN10</f>
        <v/>
      </c>
      <c r="B123" s="917"/>
      <c r="C123" s="918"/>
      <c r="D123" s="919"/>
    </row>
    <row r="124" spans="1:4" s="8" customFormat="1" x14ac:dyDescent="0.2">
      <c r="A124" s="916" t="str">
        <f>LandEmiss!$GN11</f>
        <v/>
      </c>
      <c r="B124" s="917"/>
      <c r="C124" s="918"/>
      <c r="D124" s="919"/>
    </row>
    <row r="125" spans="1:4" s="8" customFormat="1" ht="15" thickBot="1" x14ac:dyDescent="0.25">
      <c r="A125" s="920" t="str">
        <f>LandEmiss!$GN12</f>
        <v/>
      </c>
      <c r="B125" s="921"/>
      <c r="C125" s="710"/>
      <c r="D125" s="711"/>
    </row>
    <row r="126" spans="1:4" s="8" customFormat="1" ht="15" x14ac:dyDescent="0.2">
      <c r="A126" s="48" t="s">
        <v>9664</v>
      </c>
      <c r="B126" s="49" t="s">
        <v>178</v>
      </c>
      <c r="C126" s="49" t="s">
        <v>9689</v>
      </c>
      <c r="D126" s="117" t="s">
        <v>9686</v>
      </c>
    </row>
    <row r="127" spans="1:4" s="8" customFormat="1" x14ac:dyDescent="0.2">
      <c r="A127" s="4" t="s">
        <v>9669</v>
      </c>
      <c r="B127" s="52" t="s">
        <v>229</v>
      </c>
      <c r="C127" s="169"/>
      <c r="D127" s="38"/>
    </row>
    <row r="128" spans="1:4" s="8" customFormat="1" x14ac:dyDescent="0.2">
      <c r="A128" s="173" t="s">
        <v>1</v>
      </c>
      <c r="B128" s="52" t="s">
        <v>261</v>
      </c>
      <c r="C128" s="169"/>
      <c r="D128" s="38"/>
    </row>
    <row r="129" spans="1:4" s="8" customFormat="1" x14ac:dyDescent="0.2">
      <c r="A129" s="173" t="s">
        <v>1</v>
      </c>
      <c r="B129" s="52" t="s">
        <v>262</v>
      </c>
      <c r="C129" s="169"/>
      <c r="D129" s="38"/>
    </row>
    <row r="130" spans="1:4" s="8" customFormat="1" x14ac:dyDescent="0.2">
      <c r="A130" s="173" t="s">
        <v>1</v>
      </c>
      <c r="B130" s="52" t="s">
        <v>263</v>
      </c>
      <c r="C130" s="169"/>
      <c r="D130" s="38"/>
    </row>
    <row r="131" spans="1:4" s="8" customFormat="1" x14ac:dyDescent="0.2">
      <c r="A131" s="173" t="s">
        <v>1</v>
      </c>
      <c r="B131" s="52" t="s">
        <v>264</v>
      </c>
      <c r="C131" s="169"/>
      <c r="D131" s="38"/>
    </row>
    <row r="132" spans="1:4" s="8" customFormat="1" x14ac:dyDescent="0.2">
      <c r="A132" s="173" t="s">
        <v>1</v>
      </c>
      <c r="B132" s="52" t="s">
        <v>265</v>
      </c>
      <c r="C132" s="169"/>
      <c r="D132" s="38"/>
    </row>
    <row r="133" spans="1:4" s="8" customFormat="1" x14ac:dyDescent="0.2">
      <c r="A133" s="173" t="s">
        <v>1</v>
      </c>
      <c r="B133" s="52" t="s">
        <v>266</v>
      </c>
      <c r="C133" s="169"/>
      <c r="D133" s="38"/>
    </row>
    <row r="134" spans="1:4" s="8" customFormat="1" ht="15" thickBot="1" x14ac:dyDescent="0.25">
      <c r="A134" s="174" t="s">
        <v>1</v>
      </c>
      <c r="B134" s="167" t="s">
        <v>267</v>
      </c>
      <c r="C134" s="168"/>
      <c r="D134" s="39"/>
    </row>
    <row r="135" spans="1:4" s="8" customFormat="1" ht="15" x14ac:dyDescent="0.2">
      <c r="A135" s="867" t="s">
        <v>9670</v>
      </c>
      <c r="B135" s="854"/>
      <c r="C135" s="854"/>
      <c r="D135" s="794"/>
    </row>
    <row r="136" spans="1:4" s="8" customFormat="1" ht="15" thickBot="1" x14ac:dyDescent="0.25">
      <c r="A136" s="669" t="s">
        <v>9671</v>
      </c>
      <c r="B136" s="671"/>
      <c r="C136" s="710"/>
      <c r="D136" s="711"/>
    </row>
    <row r="137" spans="1:4" s="8" customFormat="1" ht="15" x14ac:dyDescent="0.2">
      <c r="A137" s="48" t="s">
        <v>9664</v>
      </c>
      <c r="B137" s="49" t="s">
        <v>178</v>
      </c>
      <c r="C137" s="49" t="s">
        <v>9689</v>
      </c>
      <c r="D137" s="117" t="s">
        <v>9686</v>
      </c>
    </row>
    <row r="138" spans="1:4" s="8" customFormat="1" x14ac:dyDescent="0.2">
      <c r="A138" s="4" t="s">
        <v>9665</v>
      </c>
      <c r="B138" s="52" t="s">
        <v>229</v>
      </c>
      <c r="C138" s="169"/>
      <c r="D138" s="38"/>
    </row>
    <row r="139" spans="1:4" s="8" customFormat="1" x14ac:dyDescent="0.2">
      <c r="A139" s="4" t="s">
        <v>9669</v>
      </c>
      <c r="B139" s="52" t="s">
        <v>229</v>
      </c>
      <c r="C139" s="169"/>
      <c r="D139" s="38"/>
    </row>
    <row r="140" spans="1:4" s="8" customFormat="1" x14ac:dyDescent="0.2">
      <c r="A140" s="173" t="s">
        <v>1</v>
      </c>
      <c r="B140" s="52" t="s">
        <v>261</v>
      </c>
      <c r="C140" s="169"/>
      <c r="D140" s="38"/>
    </row>
    <row r="141" spans="1:4" s="8" customFormat="1" x14ac:dyDescent="0.2">
      <c r="A141" s="173" t="s">
        <v>1</v>
      </c>
      <c r="B141" s="52" t="s">
        <v>262</v>
      </c>
      <c r="C141" s="169"/>
      <c r="D141" s="38"/>
    </row>
    <row r="142" spans="1:4" s="8" customFormat="1" x14ac:dyDescent="0.2">
      <c r="A142" s="173" t="s">
        <v>1</v>
      </c>
      <c r="B142" s="52" t="s">
        <v>263</v>
      </c>
      <c r="C142" s="169"/>
      <c r="D142" s="38"/>
    </row>
    <row r="143" spans="1:4" s="8" customFormat="1" x14ac:dyDescent="0.2">
      <c r="A143" s="173" t="s">
        <v>1</v>
      </c>
      <c r="B143" s="52" t="s">
        <v>264</v>
      </c>
      <c r="C143" s="169"/>
      <c r="D143" s="38"/>
    </row>
    <row r="144" spans="1:4" s="8" customFormat="1" x14ac:dyDescent="0.2">
      <c r="A144" s="173" t="s">
        <v>1</v>
      </c>
      <c r="B144" s="52" t="s">
        <v>265</v>
      </c>
      <c r="C144" s="169"/>
      <c r="D144" s="38"/>
    </row>
    <row r="145" spans="1:4" s="8" customFormat="1" x14ac:dyDescent="0.2">
      <c r="A145" s="173" t="s">
        <v>1</v>
      </c>
      <c r="B145" s="52" t="s">
        <v>266</v>
      </c>
      <c r="C145" s="169"/>
      <c r="D145" s="38"/>
    </row>
    <row r="146" spans="1:4" s="8" customFormat="1" ht="15" thickBot="1" x14ac:dyDescent="0.25">
      <c r="A146" s="174" t="s">
        <v>1</v>
      </c>
      <c r="B146" s="167" t="s">
        <v>267</v>
      </c>
      <c r="C146" s="168"/>
      <c r="D146" s="39"/>
    </row>
    <row r="147" spans="1:4" s="8" customFormat="1" ht="48.75" customHeight="1" x14ac:dyDescent="0.2">
      <c r="A147" s="867" t="s">
        <v>10655</v>
      </c>
      <c r="B147" s="854"/>
      <c r="C147" s="854"/>
      <c r="D147" s="794"/>
    </row>
    <row r="148" spans="1:4" s="8" customFormat="1" x14ac:dyDescent="0.2">
      <c r="A148" s="528" t="s">
        <v>10428</v>
      </c>
      <c r="B148" s="529"/>
      <c r="C148" s="678"/>
      <c r="D148" s="709"/>
    </row>
    <row r="149" spans="1:4" s="8" customFormat="1" ht="15" thickBot="1" x14ac:dyDescent="0.25">
      <c r="A149" s="925" t="s">
        <v>9671</v>
      </c>
      <c r="B149" s="926"/>
      <c r="C149" s="927"/>
      <c r="D149" s="928"/>
    </row>
    <row r="150" spans="1:4" s="8" customFormat="1" ht="15" x14ac:dyDescent="0.2">
      <c r="A150" s="170" t="s">
        <v>9664</v>
      </c>
      <c r="B150" s="171" t="s">
        <v>178</v>
      </c>
      <c r="C150" s="49" t="s">
        <v>9689</v>
      </c>
      <c r="D150" s="117" t="s">
        <v>9686</v>
      </c>
    </row>
    <row r="151" spans="1:4" s="8" customFormat="1" x14ac:dyDescent="0.2">
      <c r="A151" s="4" t="s">
        <v>9665</v>
      </c>
      <c r="B151" s="52" t="s">
        <v>229</v>
      </c>
      <c r="C151" s="169"/>
      <c r="D151" s="38"/>
    </row>
    <row r="152" spans="1:4" s="8" customFormat="1" x14ac:dyDescent="0.2">
      <c r="A152" s="4" t="s">
        <v>9669</v>
      </c>
      <c r="B152" s="52" t="s">
        <v>229</v>
      </c>
      <c r="C152" s="169"/>
      <c r="D152" s="38"/>
    </row>
    <row r="153" spans="1:4" s="8" customFormat="1" x14ac:dyDescent="0.2">
      <c r="A153" s="173" t="s">
        <v>1</v>
      </c>
      <c r="B153" s="52" t="s">
        <v>261</v>
      </c>
      <c r="C153" s="169"/>
      <c r="D153" s="38"/>
    </row>
    <row r="154" spans="1:4" s="8" customFormat="1" x14ac:dyDescent="0.2">
      <c r="A154" s="173" t="s">
        <v>1</v>
      </c>
      <c r="B154" s="52" t="s">
        <v>262</v>
      </c>
      <c r="C154" s="169"/>
      <c r="D154" s="38"/>
    </row>
    <row r="155" spans="1:4" s="8" customFormat="1" x14ac:dyDescent="0.2">
      <c r="A155" s="173" t="s">
        <v>1</v>
      </c>
      <c r="B155" s="52" t="s">
        <v>263</v>
      </c>
      <c r="C155" s="169"/>
      <c r="D155" s="38"/>
    </row>
    <row r="156" spans="1:4" s="8" customFormat="1" x14ac:dyDescent="0.2">
      <c r="A156" s="173" t="s">
        <v>1</v>
      </c>
      <c r="B156" s="52" t="s">
        <v>264</v>
      </c>
      <c r="C156" s="169"/>
      <c r="D156" s="38"/>
    </row>
    <row r="157" spans="1:4" s="8" customFormat="1" x14ac:dyDescent="0.2">
      <c r="A157" s="173" t="s">
        <v>1</v>
      </c>
      <c r="B157" s="52" t="s">
        <v>265</v>
      </c>
      <c r="C157" s="169"/>
      <c r="D157" s="38"/>
    </row>
    <row r="158" spans="1:4" s="8" customFormat="1" x14ac:dyDescent="0.2">
      <c r="A158" s="173" t="s">
        <v>1</v>
      </c>
      <c r="B158" s="52" t="s">
        <v>266</v>
      </c>
      <c r="C158" s="169"/>
      <c r="D158" s="38"/>
    </row>
    <row r="159" spans="1:4" s="8" customFormat="1" ht="15" thickBot="1" x14ac:dyDescent="0.25">
      <c r="A159" s="174" t="s">
        <v>1</v>
      </c>
      <c r="B159" s="167" t="s">
        <v>267</v>
      </c>
      <c r="C159" s="168"/>
      <c r="D159" s="39"/>
    </row>
    <row r="160" spans="1:4" s="8" customFormat="1" ht="15" x14ac:dyDescent="0.2">
      <c r="A160" s="903" t="s">
        <v>9674</v>
      </c>
      <c r="B160" s="904"/>
      <c r="C160" s="904"/>
      <c r="D160" s="905"/>
    </row>
    <row r="161" spans="1:4" s="8" customFormat="1" ht="15" thickBot="1" x14ac:dyDescent="0.25">
      <c r="A161" s="922" t="s">
        <v>9673</v>
      </c>
      <c r="B161" s="923"/>
      <c r="C161" s="923"/>
      <c r="D161" s="924"/>
    </row>
    <row r="162" spans="1:4" s="8" customFormat="1" ht="15" x14ac:dyDescent="0.2">
      <c r="A162" s="539" t="s">
        <v>9676</v>
      </c>
      <c r="B162" s="540"/>
      <c r="C162" s="540"/>
      <c r="D162" s="541"/>
    </row>
    <row r="163" spans="1:4" s="8" customFormat="1" ht="15" x14ac:dyDescent="0.2">
      <c r="A163" s="175" t="s">
        <v>9664</v>
      </c>
      <c r="B163" s="171" t="s">
        <v>178</v>
      </c>
      <c r="C163" s="171" t="s">
        <v>9689</v>
      </c>
      <c r="D163" s="172" t="s">
        <v>9686</v>
      </c>
    </row>
    <row r="164" spans="1:4" s="8" customFormat="1" x14ac:dyDescent="0.2">
      <c r="A164" s="4" t="s">
        <v>9665</v>
      </c>
      <c r="B164" s="52" t="s">
        <v>229</v>
      </c>
      <c r="C164" s="2">
        <f>MAX(C138,C151)</f>
        <v>0</v>
      </c>
      <c r="D164" s="12">
        <f>SUM(D138,D151)</f>
        <v>0</v>
      </c>
    </row>
    <row r="165" spans="1:4" s="8" customFormat="1" x14ac:dyDescent="0.2">
      <c r="A165" s="173" t="s">
        <v>1</v>
      </c>
      <c r="B165" s="52" t="s">
        <v>267</v>
      </c>
      <c r="C165" s="2">
        <f>MAX(_xlfn.MAXIFS(LandEmiss!$EZ$9:$EZ$108,LandEmiss!$EY$9:$EY$108,"7783-06-4"),_xlfn.MAXIFS(LandEmiss!$FA$9:$FA$108,LandEmiss!$EY$9:$EY$108,"7783-06-4"),_xlfn.MAXIFS(LandEmiss!$FB$9:$FB$108,LandEmiss!$EY$9:$EY$108,"7783-06-4"),_xlfn.MAXIFS(LandEmiss!$FC$9:$FC$108,LandEmiss!$EY$9:$EY$108,"7783-06-4"),_xlfn.MAXIFS(LandEmiss!$FD$9:$FD$108,LandEmiss!$EY$9:$EY$108,"7783-06-4"))</f>
        <v>0</v>
      </c>
      <c r="D165" s="12">
        <f>SUM(SUMIFS(LandEmiss!$FE$9:$FE$108,LandEmiss!$EY$9:$EY$108,"7783-06-4"),SUMIFS(LandEmiss!$FF$9:$FF$108,LandEmiss!$EY$9:$EY$108,"7783-06-4"),SUMIFS(LandEmiss!$FG$9:$FG$108,LandEmiss!$EY$9:$EY$108,"7783-06-4"),SUMIFS(LandEmiss!$FH$9:$FH$108,LandEmiss!$EY$9:$EY$108,"7783-06-4"),SUMIFS(LandEmiss!$FI$9:$FI$108,LandEmiss!$EY$9:$EY$108,"7783-06-4"))</f>
        <v>0</v>
      </c>
    </row>
    <row r="166" spans="1:4" s="8" customFormat="1" x14ac:dyDescent="0.2">
      <c r="A166" s="4" t="s">
        <v>9669</v>
      </c>
      <c r="B166" s="52" t="s">
        <v>229</v>
      </c>
      <c r="C166" s="2">
        <f t="shared" ref="C166:C173" si="2">MAX(C127,C139,C152)</f>
        <v>0</v>
      </c>
      <c r="D166" s="12">
        <f t="shared" ref="D166:D173" si="3">SUM(D127,D139,D152)</f>
        <v>0</v>
      </c>
    </row>
    <row r="167" spans="1:4" s="8" customFormat="1" x14ac:dyDescent="0.2">
      <c r="A167" s="173" t="s">
        <v>1</v>
      </c>
      <c r="B167" s="52" t="s">
        <v>261</v>
      </c>
      <c r="C167" s="2">
        <f t="shared" si="2"/>
        <v>0</v>
      </c>
      <c r="D167" s="12">
        <f t="shared" si="3"/>
        <v>0</v>
      </c>
    </row>
    <row r="168" spans="1:4" s="8" customFormat="1" x14ac:dyDescent="0.2">
      <c r="A168" s="173" t="s">
        <v>1</v>
      </c>
      <c r="B168" s="52" t="s">
        <v>262</v>
      </c>
      <c r="C168" s="2">
        <f t="shared" si="2"/>
        <v>0</v>
      </c>
      <c r="D168" s="12">
        <f t="shared" si="3"/>
        <v>0</v>
      </c>
    </row>
    <row r="169" spans="1:4" s="8" customFormat="1" x14ac:dyDescent="0.2">
      <c r="A169" s="173" t="s">
        <v>1</v>
      </c>
      <c r="B169" s="52" t="s">
        <v>263</v>
      </c>
      <c r="C169" s="2">
        <f t="shared" si="2"/>
        <v>0</v>
      </c>
      <c r="D169" s="12">
        <f t="shared" si="3"/>
        <v>0</v>
      </c>
    </row>
    <row r="170" spans="1:4" s="8" customFormat="1" x14ac:dyDescent="0.2">
      <c r="A170" s="173" t="s">
        <v>1</v>
      </c>
      <c r="B170" s="52" t="s">
        <v>264</v>
      </c>
      <c r="C170" s="2">
        <f t="shared" si="2"/>
        <v>0</v>
      </c>
      <c r="D170" s="12">
        <f t="shared" si="3"/>
        <v>0</v>
      </c>
    </row>
    <row r="171" spans="1:4" s="8" customFormat="1" x14ac:dyDescent="0.2">
      <c r="A171" s="173" t="s">
        <v>1</v>
      </c>
      <c r="B171" s="52" t="s">
        <v>265</v>
      </c>
      <c r="C171" s="2">
        <f t="shared" si="2"/>
        <v>0</v>
      </c>
      <c r="D171" s="12">
        <f t="shared" si="3"/>
        <v>0</v>
      </c>
    </row>
    <row r="172" spans="1:4" s="8" customFormat="1" x14ac:dyDescent="0.2">
      <c r="A172" s="173" t="s">
        <v>1</v>
      </c>
      <c r="B172" s="52" t="s">
        <v>266</v>
      </c>
      <c r="C172" s="2">
        <f t="shared" si="2"/>
        <v>0</v>
      </c>
      <c r="D172" s="12">
        <f t="shared" si="3"/>
        <v>0</v>
      </c>
    </row>
    <row r="173" spans="1:4" s="8" customFormat="1" ht="15" thickBot="1" x14ac:dyDescent="0.25">
      <c r="A173" s="174" t="s">
        <v>1</v>
      </c>
      <c r="B173" s="167" t="s">
        <v>267</v>
      </c>
      <c r="C173" s="13">
        <f t="shared" si="2"/>
        <v>0</v>
      </c>
      <c r="D173" s="14">
        <f t="shared" si="3"/>
        <v>0</v>
      </c>
    </row>
    <row r="174" spans="1:4" s="8" customFormat="1" x14ac:dyDescent="0.2">
      <c r="A174" s="478" t="s">
        <v>130</v>
      </c>
      <c r="B174" s="478"/>
      <c r="C174" s="478"/>
      <c r="D174" s="478"/>
    </row>
  </sheetData>
  <sheetProtection algorithmName="SHA-512" hashValue="DrAqKzFjeJWj7kqdTXASRCSVQj3c0UhxzhPbRw/4HLf+Q8ZsnCvluT8U+nJtOZZq6qMKxwo4e6kpq19AQ472Gg==" saltValue="E03nuKJI2X06s0RC9r25aA==" spinCount="100000" sheet="1" objects="1" scenarios="1" formatColumns="0" formatRows="0"/>
  <mergeCells count="122">
    <mergeCell ref="C34:D34"/>
    <mergeCell ref="A34:B34"/>
    <mergeCell ref="C35:D35"/>
    <mergeCell ref="A35:B35"/>
    <mergeCell ref="C44:D44"/>
    <mergeCell ref="A44:B44"/>
    <mergeCell ref="C43:D43"/>
    <mergeCell ref="A43:B43"/>
    <mergeCell ref="C42:D42"/>
    <mergeCell ref="A42:B42"/>
    <mergeCell ref="C41:D41"/>
    <mergeCell ref="A41:B41"/>
    <mergeCell ref="C39:D39"/>
    <mergeCell ref="A40:B40"/>
    <mergeCell ref="C40:D40"/>
    <mergeCell ref="A55:B55"/>
    <mergeCell ref="C55:D55"/>
    <mergeCell ref="A66:D66"/>
    <mergeCell ref="A68:B68"/>
    <mergeCell ref="C68:D68"/>
    <mergeCell ref="A36:B36"/>
    <mergeCell ref="C36:D36"/>
    <mergeCell ref="A37:B37"/>
    <mergeCell ref="C37:D37"/>
    <mergeCell ref="A38:B38"/>
    <mergeCell ref="C38:D38"/>
    <mergeCell ref="A39:B39"/>
    <mergeCell ref="A67:B67"/>
    <mergeCell ref="C67:D67"/>
    <mergeCell ref="A174:D174"/>
    <mergeCell ref="A125:B125"/>
    <mergeCell ref="C125:D125"/>
    <mergeCell ref="A135:D135"/>
    <mergeCell ref="A136:B136"/>
    <mergeCell ref="C136:D136"/>
    <mergeCell ref="A147:D147"/>
    <mergeCell ref="A160:D160"/>
    <mergeCell ref="A161:D161"/>
    <mergeCell ref="A162:D162"/>
    <mergeCell ref="A148:B148"/>
    <mergeCell ref="C148:D148"/>
    <mergeCell ref="A149:B149"/>
    <mergeCell ref="C149:D149"/>
    <mergeCell ref="A120:B120"/>
    <mergeCell ref="C120:D120"/>
    <mergeCell ref="A121:B121"/>
    <mergeCell ref="C121:D121"/>
    <mergeCell ref="A122:B122"/>
    <mergeCell ref="C122:D122"/>
    <mergeCell ref="A123:B123"/>
    <mergeCell ref="C123:D123"/>
    <mergeCell ref="A124:B124"/>
    <mergeCell ref="C124:D124"/>
    <mergeCell ref="A115:B115"/>
    <mergeCell ref="C115:D115"/>
    <mergeCell ref="A116:B116"/>
    <mergeCell ref="C116:D116"/>
    <mergeCell ref="A117:B117"/>
    <mergeCell ref="C117:D117"/>
    <mergeCell ref="A118:B118"/>
    <mergeCell ref="C118:D118"/>
    <mergeCell ref="A119:B119"/>
    <mergeCell ref="C119:D119"/>
    <mergeCell ref="A112:D112"/>
    <mergeCell ref="A113:D113"/>
    <mergeCell ref="A114:B114"/>
    <mergeCell ref="C114:D114"/>
    <mergeCell ref="A104:D104"/>
    <mergeCell ref="A54:D54"/>
    <mergeCell ref="A105:D105"/>
    <mergeCell ref="A106:B106"/>
    <mergeCell ref="C106:D106"/>
    <mergeCell ref="A107:B107"/>
    <mergeCell ref="C107:D107"/>
    <mergeCell ref="A108:B108"/>
    <mergeCell ref="C108:D108"/>
    <mergeCell ref="A109:B109"/>
    <mergeCell ref="C109:D109"/>
    <mergeCell ref="A110:B110"/>
    <mergeCell ref="C110:D110"/>
    <mergeCell ref="A111:B111"/>
    <mergeCell ref="C111:D111"/>
    <mergeCell ref="A79:D79"/>
    <mergeCell ref="A80:B80"/>
    <mergeCell ref="C80:D80"/>
    <mergeCell ref="A91:D91"/>
    <mergeCell ref="A103:D103"/>
    <mergeCell ref="A1:D1"/>
    <mergeCell ref="A2:D2"/>
    <mergeCell ref="A3:D3"/>
    <mergeCell ref="A4:D4"/>
    <mergeCell ref="A5:D5"/>
    <mergeCell ref="A11:D11"/>
    <mergeCell ref="A19:D19"/>
    <mergeCell ref="A20:B20"/>
    <mergeCell ref="C20:D20"/>
    <mergeCell ref="C9:D9"/>
    <mergeCell ref="A7:B7"/>
    <mergeCell ref="A8:B8"/>
    <mergeCell ref="A9:B9"/>
    <mergeCell ref="A6:B6"/>
    <mergeCell ref="C6:D6"/>
    <mergeCell ref="A31:D31"/>
    <mergeCell ref="A32:D32"/>
    <mergeCell ref="A33:B33"/>
    <mergeCell ref="C33:D33"/>
    <mergeCell ref="A14:B14"/>
    <mergeCell ref="C14:D14"/>
    <mergeCell ref="A15:B15"/>
    <mergeCell ref="C15:D15"/>
    <mergeCell ref="C7:D7"/>
    <mergeCell ref="C8:D8"/>
    <mergeCell ref="A12:D12"/>
    <mergeCell ref="C13:D13"/>
    <mergeCell ref="A13:B13"/>
    <mergeCell ref="A16:B16"/>
    <mergeCell ref="C16:D16"/>
    <mergeCell ref="A17:B17"/>
    <mergeCell ref="C17:D17"/>
    <mergeCell ref="A18:B18"/>
    <mergeCell ref="C18:D18"/>
    <mergeCell ref="A10:D10"/>
  </mergeCells>
  <conditionalFormatting sqref="A7:D174">
    <cfRule type="expression" dxfId="127" priority="1">
      <formula>$C$6="no"</formula>
    </cfRule>
  </conditionalFormatting>
  <conditionalFormatting sqref="A14:D18">
    <cfRule type="expression" dxfId="125" priority="12">
      <formula>$A14=0</formula>
    </cfRule>
  </conditionalFormatting>
  <conditionalFormatting sqref="A35:D44">
    <cfRule type="expression" dxfId="123" priority="5">
      <formula>$A35=""</formula>
    </cfRule>
  </conditionalFormatting>
  <conditionalFormatting sqref="A107:D111">
    <cfRule type="expression" dxfId="120" priority="10">
      <formula>$A107=0</formula>
    </cfRule>
  </conditionalFormatting>
  <conditionalFormatting sqref="A116:D125">
    <cfRule type="expression" dxfId="119" priority="4">
      <formula>$A116=""</formula>
    </cfRule>
  </conditionalFormatting>
  <dataValidations count="7">
    <dataValidation type="list" allowBlank="1" showErrorMessage="1" prompt="select yes" sqref="C114:D114 C33:D33" xr:uid="{6A36FEA3-730D-48B6-9718-23831DF5438D}">
      <formula1>"Yes"</formula1>
    </dataValidation>
    <dataValidation type="list" allowBlank="1" showErrorMessage="1" prompt="select yes or no" sqref="C20:D20 C55:D55 C67:D68 C80:D80 C136:D136 C148:D149" xr:uid="{38A9CDF8-A731-4456-81ED-7CA4064F9AA1}">
      <formula1>"Yes,No"</formula1>
    </dataValidation>
    <dataValidation type="decimal" operator="lessThan" allowBlank="1" showErrorMessage="1" prompt="enter maximum VOC concentration of the vapor space prior to start of forced ventilation (ppmv)" sqref="C116:D125 C35:D44" xr:uid="{1678CC96-1510-46EA-A4C4-C76278F02511}">
      <formula1>10000</formula1>
    </dataValidation>
    <dataValidation allowBlank="1" showErrorMessage="1" prompt="enter emission rate" sqref="C22:D30 C46:D53 C57:D65 C70:D78 C82:D90 C127:D134 C138:D146 C151:D159" xr:uid="{81E3AD07-51A4-428E-8D99-4152FE67E69B}"/>
    <dataValidation type="list" allowBlank="1" showErrorMessage="1" prompt="select I agree" sqref="C7:D9" xr:uid="{FD908343-A383-4EE8-A703-5FF614C523EA}">
      <formula1>"I agree."</formula1>
    </dataValidation>
    <dataValidation type="list" allowBlank="1" showErrorMessage="1" prompt="select control device" sqref="C107:D111 C14:D18" xr:uid="{B4AF1025-0710-4354-8553-797E697AF474}">
      <formula1>ConvLand_TankMSS_CtrlDevs</formula1>
    </dataValidation>
    <dataValidation type="list" allowBlank="1" showInputMessage="1" showErrorMessage="1" sqref="C6:D6" xr:uid="{677D20F2-AFE2-4B91-B9FE-E16CCE5B34C0}">
      <formula1>"Yes,No"</formula1>
    </dataValidation>
  </dataValidations>
  <printOptions horizontalCentered="1"/>
  <pageMargins left="0.7" right="0.7" top="0.75" bottom="0.75" header="0.3" footer="0.3"/>
  <pageSetup orientation="landscape" horizontalDpi="300" verticalDpi="300" r:id="rId1"/>
  <headerFooter>
    <oddHeader>&amp;C&amp;"Calibri,Regular"Marine Loading RAP Application</oddHeader>
    <oddFooter>&amp;L&amp;"Calibri,Regular"Version 1.0&amp;C&amp;"Calibri,Regular"Sheet: &amp;A&amp;R&amp;"Calibri,Regular"Page &amp;P</oddFooter>
  </headerFooter>
  <extLst>
    <ext xmlns:x14="http://schemas.microsoft.com/office/spreadsheetml/2009/9/main" uri="{78C0D931-6437-407d-A8EE-F0AAD7539E65}">
      <x14:conditionalFormattings>
        <x14:conditionalFormatting xmlns:xm="http://schemas.microsoft.com/office/excel/2006/main">
          <x14:cfRule type="expression" priority="11" id="{DC5CBE38-DF6E-4FB2-AB6F-841B36ACEC95}">
            <xm:f>OR('PI-1-MarineLoading'!$G$115=0,'PI-1-MarineLoading'!$G$128="no")</xm:f>
            <x14:dxf>
              <numFmt numFmtId="164" formatCode=";;;"/>
              <fill>
                <patternFill>
                  <bgColor theme="0" tint="-0.499984740745262"/>
                </patternFill>
              </fill>
            </x14:dxf>
          </x14:cfRule>
          <xm:sqref>A1:D174</xm:sqref>
        </x14:conditionalFormatting>
        <x14:conditionalFormatting xmlns:xm="http://schemas.microsoft.com/office/excel/2006/main">
          <x14:cfRule type="expression" priority="7" id="{0F90D095-33D5-4BBD-B319-18B190C66B6E}">
            <xm:f>(SUM(COUNTIF(Tank1!$D$18,"*floating roof*")+COUNTIF(Tank2!$D$18,"*floating roof*")+COUNTIF(Tank3!$D$18,"*floating roof*")+COUNTIF(Tank4!$D$18,"*floating roof*")+COUNTIF(Tank5!$D$18,"*floating roof*")))=0</xm:f>
            <x14:dxf>
              <numFmt numFmtId="164" formatCode=";;;"/>
              <fill>
                <patternFill>
                  <bgColor theme="0" tint="-0.499984740745262"/>
                </patternFill>
              </fill>
            </x14:dxf>
          </x14:cfRule>
          <xm:sqref>A11:D102 A148:D149</xm:sqref>
        </x14:conditionalFormatting>
        <x14:conditionalFormatting xmlns:xm="http://schemas.microsoft.com/office/excel/2006/main">
          <x14:cfRule type="expression" priority="8" id="{41B87D6B-82B0-4F91-8497-1CDC6BFBBA18}">
            <xm:f>'PI-1-MarineLoading'!$G$19="not applicable"</xm:f>
            <x14:dxf>
              <numFmt numFmtId="164" formatCode=";;;"/>
              <fill>
                <patternFill>
                  <bgColor theme="0" tint="-0.499984740745262"/>
                </patternFill>
              </fill>
            </x14:dxf>
          </x14:cfRule>
          <xm:sqref>A31:D53 A112:D134</xm:sqref>
        </x14:conditionalFormatting>
        <x14:conditionalFormatting xmlns:xm="http://schemas.microsoft.com/office/excel/2006/main">
          <x14:cfRule type="expression" priority="6" id="{272DAA14-9F5C-4E7F-AF17-241ABD9260F8}">
            <xm:f>(SUM(COUNTIF(Tank1!$D$18,"*fixed roof*")+COUNTIF(Tank2!$D$18,"*fixed roof*")+COUNTIF(Tank3!$D$18,"*fixed roof*")+COUNTIF(Tank4!$D$18,"*fixed roof*")+COUNTIF(Tank5!$D$18,"*fixed roof*")))=0</xm:f>
            <x14:dxf>
              <numFmt numFmtId="164" formatCode=";;;"/>
              <fill>
                <patternFill>
                  <bgColor theme="0" tint="-0.499984740745262"/>
                </patternFill>
              </fill>
            </x14:dxf>
          </x14:cfRule>
          <xm:sqref>A104:D147 A150:D173</xm:sqref>
        </x14:conditionalFormatting>
        <x14:conditionalFormatting xmlns:xm="http://schemas.microsoft.com/office/excel/2006/main">
          <x14:cfRule type="expression" priority="9" id="{47A1CAA8-3504-4D5C-AE9E-EDD9565850CA}">
            <xm:f>'PI-1-MarineLoading'!$G$115=0</xm:f>
            <x14:dxf>
              <numFmt numFmtId="164" formatCode=";;;"/>
              <fill>
                <patternFill>
                  <bgColor theme="0" tint="-0.499984740745262"/>
                </patternFill>
              </fill>
            </x14:dxf>
          </x14:cfRule>
          <xm:sqref>A105:D111</xm:sqref>
        </x14:conditionalFormatting>
      </x14:conditionalFormatting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DA39FE-3D91-4D00-BB0C-8F5A44BD874A}">
  <sheetPr codeName="Sheet23">
    <tabColor rgb="FFFFFFCC"/>
  </sheetPr>
  <dimension ref="A1:H179"/>
  <sheetViews>
    <sheetView showGridLines="0" zoomScaleNormal="100" workbookViewId="0">
      <selection sqref="A1:G1"/>
    </sheetView>
  </sheetViews>
  <sheetFormatPr defaultColWidth="0" defaultRowHeight="14.25" zeroHeight="1" x14ac:dyDescent="0.2"/>
  <cols>
    <col min="1" max="7" width="14.75" customWidth="1"/>
    <col min="8" max="8" width="2.625" customWidth="1"/>
    <col min="9" max="16384" width="9" hidden="1"/>
  </cols>
  <sheetData>
    <row r="1" spans="1:7" ht="8.25" customHeight="1" thickBot="1" x14ac:dyDescent="0.25">
      <c r="A1" s="478" t="s">
        <v>0</v>
      </c>
      <c r="B1" s="478"/>
      <c r="C1" s="478"/>
      <c r="D1" s="478"/>
      <c r="E1" s="478"/>
      <c r="F1" s="478"/>
      <c r="G1" s="478"/>
    </row>
    <row r="2" spans="1:7" ht="18.75" thickBot="1" x14ac:dyDescent="0.25">
      <c r="A2" s="525" t="s">
        <v>9687</v>
      </c>
      <c r="B2" s="525"/>
      <c r="C2" s="525"/>
      <c r="D2" s="525"/>
      <c r="E2" s="525"/>
      <c r="F2" s="525"/>
      <c r="G2" s="525"/>
    </row>
    <row r="3" spans="1:7" ht="87" customHeight="1" thickBot="1" x14ac:dyDescent="0.25">
      <c r="A3" s="483" t="s">
        <v>9810</v>
      </c>
      <c r="B3" s="484"/>
      <c r="C3" s="484"/>
      <c r="D3" s="484"/>
      <c r="E3" s="484"/>
      <c r="F3" s="484"/>
      <c r="G3" s="485"/>
    </row>
    <row r="4" spans="1:7" ht="15" thickBot="1" x14ac:dyDescent="0.25">
      <c r="A4" s="478" t="s">
        <v>1</v>
      </c>
      <c r="B4" s="478"/>
      <c r="C4" s="478"/>
      <c r="D4" s="478"/>
      <c r="E4" s="478"/>
      <c r="F4" s="478"/>
      <c r="G4" s="478"/>
    </row>
    <row r="5" spans="1:7" ht="15.75" thickBot="1" x14ac:dyDescent="0.25">
      <c r="A5" s="479" t="s">
        <v>268</v>
      </c>
      <c r="B5" s="479"/>
      <c r="C5" s="479"/>
      <c r="D5" s="479"/>
      <c r="E5" s="479"/>
      <c r="F5" s="479"/>
      <c r="G5" s="479"/>
    </row>
    <row r="6" spans="1:7" ht="30" customHeight="1" thickBot="1" x14ac:dyDescent="0.25">
      <c r="A6" s="963" t="s">
        <v>9138</v>
      </c>
      <c r="B6" s="481"/>
      <c r="C6" s="481"/>
      <c r="D6" s="481"/>
      <c r="E6" s="481"/>
      <c r="F6" s="481"/>
      <c r="G6" s="482"/>
    </row>
    <row r="7" spans="1:7" ht="15" x14ac:dyDescent="0.2">
      <c r="A7" s="867" t="s">
        <v>9167</v>
      </c>
      <c r="B7" s="854"/>
      <c r="C7" s="854"/>
      <c r="D7" s="854"/>
      <c r="E7" s="854"/>
      <c r="F7" s="854"/>
      <c r="G7" s="794"/>
    </row>
    <row r="8" spans="1:7" x14ac:dyDescent="0.2">
      <c r="A8" s="964" t="s">
        <v>168</v>
      </c>
      <c r="B8" s="965"/>
      <c r="C8" s="965"/>
      <c r="D8" s="968"/>
      <c r="E8" s="969"/>
      <c r="F8" s="969"/>
      <c r="G8" s="970"/>
    </row>
    <row r="9" spans="1:7" x14ac:dyDescent="0.2">
      <c r="A9" s="964" t="s">
        <v>10008</v>
      </c>
      <c r="B9" s="965"/>
      <c r="C9" s="965"/>
      <c r="D9" s="968"/>
      <c r="E9" s="969"/>
      <c r="F9" s="969"/>
      <c r="G9" s="970"/>
    </row>
    <row r="10" spans="1:7" x14ac:dyDescent="0.2">
      <c r="A10" s="964" t="s">
        <v>9254</v>
      </c>
      <c r="B10" s="965"/>
      <c r="C10" s="965"/>
      <c r="D10" s="968"/>
      <c r="E10" s="969"/>
      <c r="F10" s="969"/>
      <c r="G10" s="970"/>
    </row>
    <row r="11" spans="1:7" ht="15" thickBot="1" x14ac:dyDescent="0.25">
      <c r="A11" s="966" t="s">
        <v>9243</v>
      </c>
      <c r="B11" s="967"/>
      <c r="C11" s="967"/>
      <c r="D11" s="621"/>
      <c r="E11" s="622"/>
      <c r="F11" s="622"/>
      <c r="G11" s="623"/>
    </row>
    <row r="12" spans="1:7" ht="15" x14ac:dyDescent="0.2">
      <c r="A12" s="760" t="s">
        <v>9248</v>
      </c>
      <c r="B12" s="761"/>
      <c r="C12" s="761"/>
      <c r="D12" s="761"/>
      <c r="E12" s="761"/>
      <c r="F12" s="761"/>
      <c r="G12" s="762"/>
    </row>
    <row r="13" spans="1:7" x14ac:dyDescent="0.2">
      <c r="A13" s="528" t="s">
        <v>241</v>
      </c>
      <c r="B13" s="529"/>
      <c r="C13" s="529"/>
      <c r="D13" s="529"/>
      <c r="E13" s="529"/>
      <c r="F13" s="529"/>
      <c r="G13" s="45"/>
    </row>
    <row r="14" spans="1:7" x14ac:dyDescent="0.2">
      <c r="A14" s="528" t="s">
        <v>242</v>
      </c>
      <c r="B14" s="529"/>
      <c r="C14" s="529"/>
      <c r="D14" s="529"/>
      <c r="E14" s="529"/>
      <c r="F14" s="529"/>
      <c r="G14" s="45"/>
    </row>
    <row r="15" spans="1:7" x14ac:dyDescent="0.2">
      <c r="A15" s="528" t="s">
        <v>243</v>
      </c>
      <c r="B15" s="529"/>
      <c r="C15" s="529"/>
      <c r="D15" s="529"/>
      <c r="E15" s="529"/>
      <c r="F15" s="529"/>
      <c r="G15" s="45"/>
    </row>
    <row r="16" spans="1:7" x14ac:dyDescent="0.2">
      <c r="A16" s="528" t="s">
        <v>244</v>
      </c>
      <c r="B16" s="529"/>
      <c r="C16" s="529"/>
      <c r="D16" s="529"/>
      <c r="E16" s="529"/>
      <c r="F16" s="529"/>
      <c r="G16" s="45"/>
    </row>
    <row r="17" spans="1:7" x14ac:dyDescent="0.2">
      <c r="A17" s="528" t="s">
        <v>245</v>
      </c>
      <c r="B17" s="529"/>
      <c r="C17" s="529"/>
      <c r="D17" s="529"/>
      <c r="E17" s="529"/>
      <c r="F17" s="529"/>
      <c r="G17" s="45"/>
    </row>
    <row r="18" spans="1:7" x14ac:dyDescent="0.2">
      <c r="A18" s="528" t="s">
        <v>246</v>
      </c>
      <c r="B18" s="529"/>
      <c r="C18" s="529"/>
      <c r="D18" s="529"/>
      <c r="E18" s="529"/>
      <c r="F18" s="529"/>
      <c r="G18" s="45"/>
    </row>
    <row r="19" spans="1:7" x14ac:dyDescent="0.2">
      <c r="A19" s="528" t="s">
        <v>247</v>
      </c>
      <c r="B19" s="529"/>
      <c r="C19" s="529"/>
      <c r="D19" s="529"/>
      <c r="E19" s="529"/>
      <c r="F19" s="529"/>
      <c r="G19" s="45"/>
    </row>
    <row r="20" spans="1:7" x14ac:dyDescent="0.2">
      <c r="A20" s="528" t="s">
        <v>248</v>
      </c>
      <c r="B20" s="529"/>
      <c r="C20" s="529"/>
      <c r="D20" s="529"/>
      <c r="E20" s="529"/>
      <c r="F20" s="529"/>
      <c r="G20" s="45"/>
    </row>
    <row r="21" spans="1:7" x14ac:dyDescent="0.2">
      <c r="A21" s="528" t="s">
        <v>249</v>
      </c>
      <c r="B21" s="529"/>
      <c r="C21" s="529"/>
      <c r="D21" s="529"/>
      <c r="E21" s="529"/>
      <c r="F21" s="529"/>
      <c r="G21" s="45"/>
    </row>
    <row r="22" spans="1:7" x14ac:dyDescent="0.2">
      <c r="A22" s="528" t="s">
        <v>250</v>
      </c>
      <c r="B22" s="529"/>
      <c r="C22" s="529"/>
      <c r="D22" s="529"/>
      <c r="E22" s="529"/>
      <c r="F22" s="529"/>
      <c r="G22" s="45"/>
    </row>
    <row r="23" spans="1:7" ht="15" thickBot="1" x14ac:dyDescent="0.25">
      <c r="A23" s="548" t="s">
        <v>251</v>
      </c>
      <c r="B23" s="549"/>
      <c r="C23" s="549"/>
      <c r="D23" s="549"/>
      <c r="E23" s="549"/>
      <c r="F23" s="549"/>
      <c r="G23" s="103"/>
    </row>
    <row r="24" spans="1:7" ht="15" x14ac:dyDescent="0.2">
      <c r="A24" s="654" t="s">
        <v>9249</v>
      </c>
      <c r="B24" s="955"/>
      <c r="C24" s="955"/>
      <c r="D24" s="955"/>
      <c r="E24" s="955"/>
      <c r="F24" s="955"/>
      <c r="G24" s="956"/>
    </row>
    <row r="25" spans="1:7" x14ac:dyDescent="0.2">
      <c r="A25" s="528" t="s">
        <v>252</v>
      </c>
      <c r="B25" s="529"/>
      <c r="C25" s="529"/>
      <c r="D25" s="529"/>
      <c r="E25" s="529"/>
      <c r="F25" s="529"/>
      <c r="G25" s="45"/>
    </row>
    <row r="26" spans="1:7" x14ac:dyDescent="0.2">
      <c r="A26" s="666" t="s">
        <v>253</v>
      </c>
      <c r="B26" s="667"/>
      <c r="C26" s="667"/>
      <c r="D26" s="667"/>
      <c r="E26" s="667"/>
      <c r="F26" s="668"/>
      <c r="G26" s="45"/>
    </row>
    <row r="27" spans="1:7" x14ac:dyDescent="0.2">
      <c r="A27" s="666" t="s">
        <v>9044</v>
      </c>
      <c r="B27" s="667"/>
      <c r="C27" s="667"/>
      <c r="D27" s="667"/>
      <c r="E27" s="667"/>
      <c r="F27" s="668"/>
      <c r="G27" s="45"/>
    </row>
    <row r="28" spans="1:7" x14ac:dyDescent="0.2">
      <c r="A28" s="528" t="s">
        <v>254</v>
      </c>
      <c r="B28" s="529"/>
      <c r="C28" s="529"/>
      <c r="D28" s="529"/>
      <c r="E28" s="529"/>
      <c r="F28" s="529"/>
      <c r="G28" s="45"/>
    </row>
    <row r="29" spans="1:7" x14ac:dyDescent="0.2">
      <c r="A29" s="528" t="s">
        <v>255</v>
      </c>
      <c r="B29" s="529"/>
      <c r="C29" s="529"/>
      <c r="D29" s="529"/>
      <c r="E29" s="529"/>
      <c r="F29" s="529"/>
      <c r="G29" s="45"/>
    </row>
    <row r="30" spans="1:7" x14ac:dyDescent="0.2">
      <c r="A30" s="528" t="s">
        <v>256</v>
      </c>
      <c r="B30" s="529"/>
      <c r="C30" s="529"/>
      <c r="D30" s="529"/>
      <c r="E30" s="529"/>
      <c r="F30" s="529"/>
      <c r="G30" s="45"/>
    </row>
    <row r="31" spans="1:7" ht="15" thickBot="1" x14ac:dyDescent="0.25">
      <c r="A31" s="573" t="s">
        <v>257</v>
      </c>
      <c r="B31" s="574"/>
      <c r="C31" s="574"/>
      <c r="D31" s="574"/>
      <c r="E31" s="574"/>
      <c r="F31" s="574"/>
      <c r="G31" s="37"/>
    </row>
    <row r="32" spans="1:7" ht="15" x14ac:dyDescent="0.2">
      <c r="A32" s="539" t="s">
        <v>9793</v>
      </c>
      <c r="B32" s="540"/>
      <c r="C32" s="540"/>
      <c r="D32" s="540"/>
      <c r="E32" s="540"/>
      <c r="F32" s="540"/>
      <c r="G32" s="541"/>
    </row>
    <row r="33" spans="1:7" ht="60" customHeight="1" x14ac:dyDescent="0.2">
      <c r="A33" s="530" t="s">
        <v>9794</v>
      </c>
      <c r="B33" s="531"/>
      <c r="C33" s="531"/>
      <c r="D33" s="531"/>
      <c r="E33" s="531"/>
      <c r="F33" s="531"/>
      <c r="G33" s="538"/>
    </row>
    <row r="34" spans="1:7" ht="30" x14ac:dyDescent="0.2">
      <c r="A34" s="565" t="s">
        <v>8751</v>
      </c>
      <c r="B34" s="566"/>
      <c r="C34" s="696"/>
      <c r="D34" s="944" t="s">
        <v>8752</v>
      </c>
      <c r="E34" s="875"/>
      <c r="F34" s="876"/>
      <c r="G34" s="80" t="s">
        <v>9180</v>
      </c>
    </row>
    <row r="35" spans="1:7" x14ac:dyDescent="0.2">
      <c r="A35" s="938"/>
      <c r="B35" s="939"/>
      <c r="C35" s="940"/>
      <c r="D35" s="933" t="str">
        <f>IF($A35="","",IFERROR(HLOOKUP(Hidden!$FB$2,Substances,MATCH($A35,CAS,0),FALSE),""))</f>
        <v/>
      </c>
      <c r="E35" s="647"/>
      <c r="F35" s="648"/>
      <c r="G35" s="45"/>
    </row>
    <row r="36" spans="1:7" x14ac:dyDescent="0.2">
      <c r="A36" s="938"/>
      <c r="B36" s="939"/>
      <c r="C36" s="940"/>
      <c r="D36" s="933" t="str">
        <f>IF($A36="","",IFERROR(HLOOKUP(Hidden!$FB$2,Substances,MATCH($A36,CAS,0),FALSE),""))</f>
        <v/>
      </c>
      <c r="E36" s="647"/>
      <c r="F36" s="648"/>
      <c r="G36" s="45"/>
    </row>
    <row r="37" spans="1:7" x14ac:dyDescent="0.2">
      <c r="A37" s="938"/>
      <c r="B37" s="939"/>
      <c r="C37" s="940"/>
      <c r="D37" s="933" t="str">
        <f>IF($A37="","",IFERROR(HLOOKUP(Hidden!$FB$2,Substances,MATCH($A37,CAS,0),FALSE),""))</f>
        <v/>
      </c>
      <c r="E37" s="647"/>
      <c r="F37" s="648"/>
      <c r="G37" s="45"/>
    </row>
    <row r="38" spans="1:7" x14ac:dyDescent="0.2">
      <c r="A38" s="938"/>
      <c r="B38" s="939"/>
      <c r="C38" s="940"/>
      <c r="D38" s="933" t="str">
        <f>IF($A38="","",IFERROR(HLOOKUP(Hidden!$FB$2,Substances,MATCH($A38,CAS,0),FALSE),""))</f>
        <v/>
      </c>
      <c r="E38" s="647"/>
      <c r="F38" s="648"/>
      <c r="G38" s="45"/>
    </row>
    <row r="39" spans="1:7" x14ac:dyDescent="0.2">
      <c r="A39" s="938"/>
      <c r="B39" s="939"/>
      <c r="C39" s="940"/>
      <c r="D39" s="933" t="str">
        <f>IF($A39="","",IFERROR(HLOOKUP(Hidden!$FB$2,Substances,MATCH($A39,CAS,0),FALSE),""))</f>
        <v/>
      </c>
      <c r="E39" s="647"/>
      <c r="F39" s="648"/>
      <c r="G39" s="45"/>
    </row>
    <row r="40" spans="1:7" x14ac:dyDescent="0.2">
      <c r="A40" s="938"/>
      <c r="B40" s="939"/>
      <c r="C40" s="940"/>
      <c r="D40" s="933" t="str">
        <f>IF($A40="","",IFERROR(HLOOKUP(Hidden!$FB$2,Substances,MATCH($A40,CAS,0),FALSE),""))</f>
        <v/>
      </c>
      <c r="E40" s="647"/>
      <c r="F40" s="648"/>
      <c r="G40" s="45"/>
    </row>
    <row r="41" spans="1:7" x14ac:dyDescent="0.2">
      <c r="A41" s="938"/>
      <c r="B41" s="939"/>
      <c r="C41" s="940"/>
      <c r="D41" s="933" t="str">
        <f>IF($A41="","",IFERROR(HLOOKUP(Hidden!$FB$2,Substances,MATCH($A41,CAS,0),FALSE),""))</f>
        <v/>
      </c>
      <c r="E41" s="647"/>
      <c r="F41" s="648"/>
      <c r="G41" s="45"/>
    </row>
    <row r="42" spans="1:7" x14ac:dyDescent="0.2">
      <c r="A42" s="938"/>
      <c r="B42" s="939"/>
      <c r="C42" s="940"/>
      <c r="D42" s="933" t="str">
        <f>IF($A42="","",IFERROR(HLOOKUP(Hidden!$FB$2,Substances,MATCH($A42,CAS,0),FALSE),""))</f>
        <v/>
      </c>
      <c r="E42" s="647"/>
      <c r="F42" s="648"/>
      <c r="G42" s="45"/>
    </row>
    <row r="43" spans="1:7" x14ac:dyDescent="0.2">
      <c r="A43" s="938"/>
      <c r="B43" s="939"/>
      <c r="C43" s="940"/>
      <c r="D43" s="933" t="str">
        <f>IF($A43="","",IFERROR(HLOOKUP(Hidden!$FB$2,Substances,MATCH($A43,CAS,0),FALSE),""))</f>
        <v/>
      </c>
      <c r="E43" s="647"/>
      <c r="F43" s="648"/>
      <c r="G43" s="45"/>
    </row>
    <row r="44" spans="1:7" x14ac:dyDescent="0.2">
      <c r="A44" s="938"/>
      <c r="B44" s="939"/>
      <c r="C44" s="940"/>
      <c r="D44" s="933" t="str">
        <f>IF($A44="","",IFERROR(HLOOKUP(Hidden!$FB$2,Substances,MATCH($A44,CAS,0),FALSE),""))</f>
        <v/>
      </c>
      <c r="E44" s="647"/>
      <c r="F44" s="648"/>
      <c r="G44" s="45"/>
    </row>
    <row r="45" spans="1:7" x14ac:dyDescent="0.2">
      <c r="A45" s="938"/>
      <c r="B45" s="939"/>
      <c r="C45" s="940"/>
      <c r="D45" s="933" t="str">
        <f>IF($A45="","",IFERROR(HLOOKUP(Hidden!$FB$2,Substances,MATCH($A45,CAS,0),FALSE),""))</f>
        <v/>
      </c>
      <c r="E45" s="647"/>
      <c r="F45" s="648"/>
      <c r="G45" s="45"/>
    </row>
    <row r="46" spans="1:7" x14ac:dyDescent="0.2">
      <c r="A46" s="938"/>
      <c r="B46" s="939"/>
      <c r="C46" s="940"/>
      <c r="D46" s="933" t="str">
        <f>IF($A46="","",IFERROR(HLOOKUP(Hidden!$FB$2,Substances,MATCH($A46,CAS,0),FALSE),""))</f>
        <v/>
      </c>
      <c r="E46" s="647"/>
      <c r="F46" s="648"/>
      <c r="G46" s="45"/>
    </row>
    <row r="47" spans="1:7" x14ac:dyDescent="0.2">
      <c r="A47" s="938"/>
      <c r="B47" s="939"/>
      <c r="C47" s="940"/>
      <c r="D47" s="933" t="str">
        <f>IF($A47="","",IFERROR(HLOOKUP(Hidden!$FB$2,Substances,MATCH($A47,CAS,0),FALSE),""))</f>
        <v/>
      </c>
      <c r="E47" s="647"/>
      <c r="F47" s="648"/>
      <c r="G47" s="45"/>
    </row>
    <row r="48" spans="1:7" x14ac:dyDescent="0.2">
      <c r="A48" s="938"/>
      <c r="B48" s="939"/>
      <c r="C48" s="940"/>
      <c r="D48" s="933" t="str">
        <f>IF($A48="","",IFERROR(HLOOKUP(Hidden!$FB$2,Substances,MATCH($A48,CAS,0),FALSE),""))</f>
        <v/>
      </c>
      <c r="E48" s="647"/>
      <c r="F48" s="648"/>
      <c r="G48" s="45"/>
    </row>
    <row r="49" spans="1:7" x14ac:dyDescent="0.2">
      <c r="A49" s="938"/>
      <c r="B49" s="939"/>
      <c r="C49" s="940"/>
      <c r="D49" s="933" t="str">
        <f>IF($A49="","",IFERROR(HLOOKUP(Hidden!$FB$2,Substances,MATCH($A49,CAS,0),FALSE),""))</f>
        <v/>
      </c>
      <c r="E49" s="647"/>
      <c r="F49" s="648"/>
      <c r="G49" s="45"/>
    </row>
    <row r="50" spans="1:7" x14ac:dyDescent="0.2">
      <c r="A50" s="938"/>
      <c r="B50" s="939"/>
      <c r="C50" s="940"/>
      <c r="D50" s="933" t="str">
        <f>IF($A50="","",IFERROR(HLOOKUP(Hidden!$FB$2,Substances,MATCH($A50,CAS,0),FALSE),""))</f>
        <v/>
      </c>
      <c r="E50" s="647"/>
      <c r="F50" s="648"/>
      <c r="G50" s="45"/>
    </row>
    <row r="51" spans="1:7" x14ac:dyDescent="0.2">
      <c r="A51" s="938"/>
      <c r="B51" s="939"/>
      <c r="C51" s="940"/>
      <c r="D51" s="933" t="str">
        <f>IF($A51="","",IFERROR(HLOOKUP(Hidden!$FB$2,Substances,MATCH($A51,CAS,0),FALSE),""))</f>
        <v/>
      </c>
      <c r="E51" s="647"/>
      <c r="F51" s="648"/>
      <c r="G51" s="45"/>
    </row>
    <row r="52" spans="1:7" x14ac:dyDescent="0.2">
      <c r="A52" s="938"/>
      <c r="B52" s="939"/>
      <c r="C52" s="940"/>
      <c r="D52" s="933" t="str">
        <f>IF($A52="","",IFERROR(HLOOKUP(Hidden!$FB$2,Substances,MATCH($A52,CAS,0),FALSE),""))</f>
        <v/>
      </c>
      <c r="E52" s="647"/>
      <c r="F52" s="648"/>
      <c r="G52" s="45"/>
    </row>
    <row r="53" spans="1:7" x14ac:dyDescent="0.2">
      <c r="A53" s="938"/>
      <c r="B53" s="939"/>
      <c r="C53" s="940"/>
      <c r="D53" s="933" t="str">
        <f>IF($A53="","",IFERROR(HLOOKUP(Hidden!$FB$2,Substances,MATCH($A53,CAS,0),FALSE),""))</f>
        <v/>
      </c>
      <c r="E53" s="647"/>
      <c r="F53" s="648"/>
      <c r="G53" s="45"/>
    </row>
    <row r="54" spans="1:7" x14ac:dyDescent="0.2">
      <c r="A54" s="938"/>
      <c r="B54" s="939"/>
      <c r="C54" s="940"/>
      <c r="D54" s="933" t="str">
        <f>IF($A54="","",IFERROR(HLOOKUP(Hidden!$FB$2,Substances,MATCH($A54,CAS,0),FALSE),""))</f>
        <v/>
      </c>
      <c r="E54" s="647"/>
      <c r="F54" s="648"/>
      <c r="G54" s="45"/>
    </row>
    <row r="55" spans="1:7" x14ac:dyDescent="0.2">
      <c r="A55" s="938"/>
      <c r="B55" s="939"/>
      <c r="C55" s="940"/>
      <c r="D55" s="933" t="str">
        <f>IF($A55="","",IFERROR(HLOOKUP(Hidden!$FB$2,Substances,MATCH($A55,CAS,0),FALSE),""))</f>
        <v/>
      </c>
      <c r="E55" s="647"/>
      <c r="F55" s="648"/>
      <c r="G55" s="45"/>
    </row>
    <row r="56" spans="1:7" x14ac:dyDescent="0.2">
      <c r="A56" s="938"/>
      <c r="B56" s="939"/>
      <c r="C56" s="940"/>
      <c r="D56" s="933" t="str">
        <f>IF($A56="","",IFERROR(HLOOKUP(Hidden!$FB$2,Substances,MATCH($A56,CAS,0),FALSE),""))</f>
        <v/>
      </c>
      <c r="E56" s="647"/>
      <c r="F56" s="648"/>
      <c r="G56" s="45"/>
    </row>
    <row r="57" spans="1:7" x14ac:dyDescent="0.2">
      <c r="A57" s="938"/>
      <c r="B57" s="939"/>
      <c r="C57" s="940"/>
      <c r="D57" s="933" t="str">
        <f>IF($A57="","",IFERROR(HLOOKUP(Hidden!$FB$2,Substances,MATCH($A57,CAS,0),FALSE),""))</f>
        <v/>
      </c>
      <c r="E57" s="647"/>
      <c r="F57" s="648"/>
      <c r="G57" s="45"/>
    </row>
    <row r="58" spans="1:7" x14ac:dyDescent="0.2">
      <c r="A58" s="938"/>
      <c r="B58" s="939"/>
      <c r="C58" s="940"/>
      <c r="D58" s="933" t="str">
        <f>IF($A58="","",IFERROR(HLOOKUP(Hidden!$FB$2,Substances,MATCH($A58,CAS,0),FALSE),""))</f>
        <v/>
      </c>
      <c r="E58" s="647"/>
      <c r="F58" s="648"/>
      <c r="G58" s="45"/>
    </row>
    <row r="59" spans="1:7" ht="15" thickBot="1" x14ac:dyDescent="0.25">
      <c r="A59" s="941"/>
      <c r="B59" s="942"/>
      <c r="C59" s="943"/>
      <c r="D59" s="946" t="str">
        <f>IF($A59="","",IFERROR(HLOOKUP(Hidden!$FB$2,Substances,MATCH($A59,CAS,0),FALSE),""))</f>
        <v/>
      </c>
      <c r="E59" s="625"/>
      <c r="F59" s="947"/>
      <c r="G59" s="103"/>
    </row>
    <row r="60" spans="1:7" ht="15" thickBot="1" x14ac:dyDescent="0.25">
      <c r="A60" s="478" t="s">
        <v>1</v>
      </c>
      <c r="B60" s="478"/>
      <c r="C60" s="478"/>
      <c r="D60" s="478"/>
      <c r="E60" s="478"/>
      <c r="F60" s="478"/>
      <c r="G60" s="478"/>
    </row>
    <row r="61" spans="1:7" ht="15.75" thickBot="1" x14ac:dyDescent="0.25">
      <c r="A61" s="474" t="s">
        <v>9765</v>
      </c>
      <c r="B61" s="474"/>
      <c r="C61" s="474"/>
      <c r="D61" s="474"/>
      <c r="E61" s="474"/>
      <c r="F61" s="474"/>
      <c r="G61" s="474"/>
    </row>
    <row r="62" spans="1:7" ht="31.5" customHeight="1" x14ac:dyDescent="0.2">
      <c r="A62" s="945" t="s">
        <v>9167</v>
      </c>
      <c r="B62" s="862"/>
      <c r="C62" s="862"/>
      <c r="D62" s="862" t="s">
        <v>172</v>
      </c>
      <c r="E62" s="862"/>
      <c r="F62" s="862" t="s">
        <v>8723</v>
      </c>
      <c r="G62" s="863"/>
    </row>
    <row r="63" spans="1:7" x14ac:dyDescent="0.2">
      <c r="A63" s="780" t="s">
        <v>167</v>
      </c>
      <c r="B63" s="656"/>
      <c r="C63" s="656"/>
      <c r="D63" s="901"/>
      <c r="E63" s="901"/>
      <c r="F63" s="796" t="s">
        <v>9364</v>
      </c>
      <c r="G63" s="797"/>
    </row>
    <row r="64" spans="1:7" x14ac:dyDescent="0.2">
      <c r="A64" s="780" t="s">
        <v>168</v>
      </c>
      <c r="B64" s="656"/>
      <c r="C64" s="656"/>
      <c r="D64" s="901"/>
      <c r="E64" s="901"/>
      <c r="F64" s="796" t="s">
        <v>9364</v>
      </c>
      <c r="G64" s="797"/>
    </row>
    <row r="65" spans="1:7" x14ac:dyDescent="0.2">
      <c r="A65" s="780" t="s">
        <v>10008</v>
      </c>
      <c r="B65" s="656"/>
      <c r="C65" s="656"/>
      <c r="D65" s="901"/>
      <c r="E65" s="901"/>
      <c r="F65" s="796" t="s">
        <v>9364</v>
      </c>
      <c r="G65" s="797"/>
    </row>
    <row r="66" spans="1:7" ht="60" customHeight="1" x14ac:dyDescent="0.2">
      <c r="A66" s="780" t="s">
        <v>10061</v>
      </c>
      <c r="B66" s="656"/>
      <c r="C66" s="656"/>
      <c r="D66" s="901"/>
      <c r="E66" s="901"/>
      <c r="F66" s="656" t="s">
        <v>9155</v>
      </c>
      <c r="G66" s="657"/>
    </row>
    <row r="67" spans="1:7" ht="14.25" customHeight="1" x14ac:dyDescent="0.2">
      <c r="A67" s="780" t="s">
        <v>177</v>
      </c>
      <c r="B67" s="656"/>
      <c r="C67" s="656"/>
      <c r="D67" s="901"/>
      <c r="E67" s="901"/>
      <c r="F67" s="656" t="s">
        <v>9250</v>
      </c>
      <c r="G67" s="657"/>
    </row>
    <row r="68" spans="1:7" ht="31.5" customHeight="1" x14ac:dyDescent="0.2">
      <c r="A68" s="935" t="s">
        <v>10056</v>
      </c>
      <c r="B68" s="936"/>
      <c r="C68" s="936"/>
      <c r="D68" s="936" t="s">
        <v>172</v>
      </c>
      <c r="E68" s="936"/>
      <c r="F68" s="936" t="s">
        <v>8723</v>
      </c>
      <c r="G68" s="937"/>
    </row>
    <row r="69" spans="1:7" ht="30.75" customHeight="1" x14ac:dyDescent="0.2">
      <c r="A69" s="780" t="s">
        <v>9768</v>
      </c>
      <c r="B69" s="656"/>
      <c r="C69" s="656"/>
      <c r="D69" s="901"/>
      <c r="E69" s="901"/>
      <c r="F69" s="796" t="s">
        <v>9364</v>
      </c>
      <c r="G69" s="797"/>
    </row>
    <row r="70" spans="1:7" ht="14.25" customHeight="1" x14ac:dyDescent="0.2">
      <c r="A70" s="780" t="s">
        <v>270</v>
      </c>
      <c r="B70" s="656"/>
      <c r="C70" s="656"/>
      <c r="D70" s="934"/>
      <c r="E70" s="934"/>
      <c r="F70" s="656" t="s">
        <v>9260</v>
      </c>
      <c r="G70" s="657"/>
    </row>
    <row r="71" spans="1:7" ht="30.75" customHeight="1" x14ac:dyDescent="0.2">
      <c r="A71" s="780" t="s">
        <v>9192</v>
      </c>
      <c r="B71" s="656"/>
      <c r="C71" s="656"/>
      <c r="D71" s="901"/>
      <c r="E71" s="901"/>
      <c r="F71" s="796" t="s">
        <v>9364</v>
      </c>
      <c r="G71" s="797"/>
    </row>
    <row r="72" spans="1:7" ht="31.5" customHeight="1" x14ac:dyDescent="0.2">
      <c r="A72" s="935" t="s">
        <v>8693</v>
      </c>
      <c r="B72" s="936"/>
      <c r="C72" s="936"/>
      <c r="D72" s="936" t="s">
        <v>172</v>
      </c>
      <c r="E72" s="936"/>
      <c r="F72" s="936" t="s">
        <v>8723</v>
      </c>
      <c r="G72" s="937"/>
    </row>
    <row r="73" spans="1:7" x14ac:dyDescent="0.2">
      <c r="A73" s="780" t="s">
        <v>8694</v>
      </c>
      <c r="B73" s="656"/>
      <c r="C73" s="656"/>
      <c r="D73" s="901"/>
      <c r="E73" s="901"/>
      <c r="F73" s="796" t="s">
        <v>9364</v>
      </c>
      <c r="G73" s="797"/>
    </row>
    <row r="74" spans="1:7" ht="14.25" customHeight="1" x14ac:dyDescent="0.2">
      <c r="A74" s="780" t="s">
        <v>8716</v>
      </c>
      <c r="B74" s="656"/>
      <c r="C74" s="656"/>
      <c r="D74" s="901"/>
      <c r="E74" s="901"/>
      <c r="F74" s="656" t="s">
        <v>9186</v>
      </c>
      <c r="G74" s="657"/>
    </row>
    <row r="75" spans="1:7" ht="14.25" customHeight="1" x14ac:dyDescent="0.2">
      <c r="A75" s="780" t="s">
        <v>9139</v>
      </c>
      <c r="B75" s="656"/>
      <c r="C75" s="656"/>
      <c r="D75" s="901"/>
      <c r="E75" s="901"/>
      <c r="F75" s="796" t="s">
        <v>9364</v>
      </c>
      <c r="G75" s="797"/>
    </row>
    <row r="76" spans="1:7" ht="14.25" customHeight="1" x14ac:dyDescent="0.2">
      <c r="A76" s="780" t="s">
        <v>287</v>
      </c>
      <c r="B76" s="656"/>
      <c r="C76" s="656"/>
      <c r="D76" s="901"/>
      <c r="E76" s="901"/>
      <c r="F76" s="796" t="s">
        <v>9364</v>
      </c>
      <c r="G76" s="797"/>
    </row>
    <row r="77" spans="1:7" ht="31.5" customHeight="1" x14ac:dyDescent="0.2">
      <c r="A77" s="935" t="s">
        <v>8690</v>
      </c>
      <c r="B77" s="936"/>
      <c r="C77" s="936"/>
      <c r="D77" s="936" t="s">
        <v>172</v>
      </c>
      <c r="E77" s="936"/>
      <c r="F77" s="936" t="s">
        <v>8723</v>
      </c>
      <c r="G77" s="937"/>
    </row>
    <row r="78" spans="1:7" ht="14.25" customHeight="1" x14ac:dyDescent="0.2">
      <c r="A78" s="780" t="s">
        <v>269</v>
      </c>
      <c r="B78" s="656"/>
      <c r="C78" s="656"/>
      <c r="D78" s="901"/>
      <c r="E78" s="901"/>
      <c r="F78" s="796" t="s">
        <v>9364</v>
      </c>
      <c r="G78" s="797"/>
    </row>
    <row r="79" spans="1:7" ht="14.25" customHeight="1" x14ac:dyDescent="0.2">
      <c r="A79" s="780" t="s">
        <v>8697</v>
      </c>
      <c r="B79" s="656"/>
      <c r="C79" s="656"/>
      <c r="D79" s="901"/>
      <c r="E79" s="901"/>
      <c r="F79" s="796" t="s">
        <v>9364</v>
      </c>
      <c r="G79" s="797"/>
    </row>
    <row r="80" spans="1:7" ht="14.25" customHeight="1" x14ac:dyDescent="0.2">
      <c r="A80" s="780" t="s">
        <v>8698</v>
      </c>
      <c r="B80" s="656"/>
      <c r="C80" s="656"/>
      <c r="D80" s="901"/>
      <c r="E80" s="901"/>
      <c r="F80" s="796" t="s">
        <v>9364</v>
      </c>
      <c r="G80" s="797"/>
    </row>
    <row r="81" spans="1:7" ht="31.5" customHeight="1" x14ac:dyDescent="0.2">
      <c r="A81" s="935" t="s">
        <v>8691</v>
      </c>
      <c r="B81" s="936"/>
      <c r="C81" s="936"/>
      <c r="D81" s="936" t="s">
        <v>172</v>
      </c>
      <c r="E81" s="936"/>
      <c r="F81" s="936" t="s">
        <v>8723</v>
      </c>
      <c r="G81" s="937"/>
    </row>
    <row r="82" spans="1:7" ht="14.25" customHeight="1" x14ac:dyDescent="0.2">
      <c r="A82" s="780" t="s">
        <v>8714</v>
      </c>
      <c r="B82" s="656"/>
      <c r="C82" s="656"/>
      <c r="D82" s="901"/>
      <c r="E82" s="901"/>
      <c r="F82" s="796" t="s">
        <v>9364</v>
      </c>
      <c r="G82" s="797"/>
    </row>
    <row r="83" spans="1:7" ht="27.75" customHeight="1" x14ac:dyDescent="0.2">
      <c r="A83" s="780" t="s">
        <v>8715</v>
      </c>
      <c r="B83" s="656"/>
      <c r="C83" s="656"/>
      <c r="D83" s="901"/>
      <c r="E83" s="901"/>
      <c r="F83" s="796" t="s">
        <v>9364</v>
      </c>
      <c r="G83" s="797"/>
    </row>
    <row r="84" spans="1:7" ht="14.25" customHeight="1" x14ac:dyDescent="0.2">
      <c r="A84" s="780" t="s">
        <v>8721</v>
      </c>
      <c r="B84" s="656"/>
      <c r="C84" s="656"/>
      <c r="D84" s="901"/>
      <c r="E84" s="901"/>
      <c r="F84" s="796" t="s">
        <v>9364</v>
      </c>
      <c r="G84" s="797"/>
    </row>
    <row r="85" spans="1:7" ht="14.25" customHeight="1" thickBot="1" x14ac:dyDescent="0.25">
      <c r="A85" s="683" t="s">
        <v>8702</v>
      </c>
      <c r="B85" s="684"/>
      <c r="C85" s="684"/>
      <c r="D85" s="910"/>
      <c r="E85" s="910"/>
      <c r="F85" s="972" t="s">
        <v>9364</v>
      </c>
      <c r="G85" s="973"/>
    </row>
    <row r="86" spans="1:7" ht="15" thickBot="1" x14ac:dyDescent="0.25">
      <c r="A86" s="478" t="s">
        <v>1</v>
      </c>
      <c r="B86" s="478"/>
      <c r="C86" s="478"/>
      <c r="D86" s="478"/>
      <c r="E86" s="478"/>
      <c r="F86" s="478"/>
      <c r="G86" s="478"/>
    </row>
    <row r="87" spans="1:7" ht="15.75" thickBot="1" x14ac:dyDescent="0.25">
      <c r="A87" s="474" t="s">
        <v>9766</v>
      </c>
      <c r="B87" s="474"/>
      <c r="C87" s="474"/>
      <c r="D87" s="474"/>
      <c r="E87" s="474"/>
      <c r="F87" s="474"/>
      <c r="G87" s="474"/>
    </row>
    <row r="88" spans="1:7" ht="31.5" customHeight="1" x14ac:dyDescent="0.2">
      <c r="A88" s="945" t="s">
        <v>9167</v>
      </c>
      <c r="B88" s="862"/>
      <c r="C88" s="862"/>
      <c r="D88" s="862" t="s">
        <v>172</v>
      </c>
      <c r="E88" s="862"/>
      <c r="F88" s="862" t="s">
        <v>8723</v>
      </c>
      <c r="G88" s="863"/>
    </row>
    <row r="89" spans="1:7" x14ac:dyDescent="0.2">
      <c r="A89" s="780" t="s">
        <v>167</v>
      </c>
      <c r="B89" s="656"/>
      <c r="C89" s="656"/>
      <c r="D89" s="901"/>
      <c r="E89" s="901"/>
      <c r="F89" s="796" t="s">
        <v>9364</v>
      </c>
      <c r="G89" s="797"/>
    </row>
    <row r="90" spans="1:7" x14ac:dyDescent="0.2">
      <c r="A90" s="780" t="s">
        <v>168</v>
      </c>
      <c r="B90" s="656"/>
      <c r="C90" s="656"/>
      <c r="D90" s="901"/>
      <c r="E90" s="901"/>
      <c r="F90" s="796" t="s">
        <v>9364</v>
      </c>
      <c r="G90" s="797"/>
    </row>
    <row r="91" spans="1:7" x14ac:dyDescent="0.2">
      <c r="A91" s="780" t="s">
        <v>10008</v>
      </c>
      <c r="B91" s="656"/>
      <c r="C91" s="656"/>
      <c r="D91" s="901"/>
      <c r="E91" s="901"/>
      <c r="F91" s="796" t="s">
        <v>9364</v>
      </c>
      <c r="G91" s="797"/>
    </row>
    <row r="92" spans="1:7" ht="61.5" customHeight="1" x14ac:dyDescent="0.2">
      <c r="A92" s="780" t="s">
        <v>10061</v>
      </c>
      <c r="B92" s="656"/>
      <c r="C92" s="656"/>
      <c r="D92" s="901"/>
      <c r="E92" s="901"/>
      <c r="F92" s="656" t="s">
        <v>9155</v>
      </c>
      <c r="G92" s="657"/>
    </row>
    <row r="93" spans="1:7" ht="14.25" customHeight="1" x14ac:dyDescent="0.2">
      <c r="A93" s="780" t="s">
        <v>177</v>
      </c>
      <c r="B93" s="656"/>
      <c r="C93" s="656"/>
      <c r="D93" s="901"/>
      <c r="E93" s="901"/>
      <c r="F93" s="656" t="s">
        <v>9250</v>
      </c>
      <c r="G93" s="657"/>
    </row>
    <row r="94" spans="1:7" ht="14.25" customHeight="1" x14ac:dyDescent="0.2">
      <c r="A94" s="780" t="s">
        <v>9239</v>
      </c>
      <c r="B94" s="656"/>
      <c r="C94" s="656"/>
      <c r="D94" s="901"/>
      <c r="E94" s="901"/>
      <c r="F94" s="656" t="s">
        <v>9252</v>
      </c>
      <c r="G94" s="657"/>
    </row>
    <row r="95" spans="1:7" ht="14.25" customHeight="1" x14ac:dyDescent="0.2">
      <c r="A95" s="780" t="s">
        <v>9251</v>
      </c>
      <c r="B95" s="656"/>
      <c r="C95" s="656"/>
      <c r="D95" s="901"/>
      <c r="E95" s="901"/>
      <c r="F95" s="656" t="s">
        <v>9253</v>
      </c>
      <c r="G95" s="657"/>
    </row>
    <row r="96" spans="1:7" ht="14.25" customHeight="1" x14ac:dyDescent="0.2">
      <c r="A96" s="780" t="s">
        <v>9241</v>
      </c>
      <c r="B96" s="656"/>
      <c r="C96" s="656"/>
      <c r="D96" s="901"/>
      <c r="E96" s="901"/>
      <c r="F96" s="656" t="s">
        <v>9246</v>
      </c>
      <c r="G96" s="657"/>
    </row>
    <row r="97" spans="1:7" ht="31.5" customHeight="1" x14ac:dyDescent="0.2">
      <c r="A97" s="935" t="s">
        <v>9176</v>
      </c>
      <c r="B97" s="936"/>
      <c r="C97" s="936"/>
      <c r="D97" s="936" t="s">
        <v>172</v>
      </c>
      <c r="E97" s="936"/>
      <c r="F97" s="936" t="s">
        <v>8723</v>
      </c>
      <c r="G97" s="937"/>
    </row>
    <row r="98" spans="1:7" ht="30.75" customHeight="1" x14ac:dyDescent="0.2">
      <c r="A98" s="780" t="s">
        <v>9140</v>
      </c>
      <c r="B98" s="656"/>
      <c r="C98" s="656"/>
      <c r="D98" s="901"/>
      <c r="E98" s="901"/>
      <c r="F98" s="656" t="s">
        <v>9364</v>
      </c>
      <c r="G98" s="657"/>
    </row>
    <row r="99" spans="1:7" ht="14.25" customHeight="1" x14ac:dyDescent="0.2">
      <c r="A99" s="780" t="s">
        <v>8719</v>
      </c>
      <c r="B99" s="656"/>
      <c r="C99" s="656"/>
      <c r="D99" s="934"/>
      <c r="E99" s="934"/>
      <c r="F99" s="656" t="s">
        <v>9183</v>
      </c>
      <c r="G99" s="657"/>
    </row>
    <row r="100" spans="1:7" ht="14.25" customHeight="1" x14ac:dyDescent="0.2">
      <c r="A100" s="780" t="s">
        <v>273</v>
      </c>
      <c r="B100" s="656"/>
      <c r="C100" s="656"/>
      <c r="D100" s="901"/>
      <c r="E100" s="901"/>
      <c r="F100" s="656" t="s">
        <v>9364</v>
      </c>
      <c r="G100" s="657"/>
    </row>
    <row r="101" spans="1:7" ht="30.75" customHeight="1" x14ac:dyDescent="0.2">
      <c r="A101" s="780" t="s">
        <v>9192</v>
      </c>
      <c r="B101" s="656"/>
      <c r="C101" s="656"/>
      <c r="D101" s="901"/>
      <c r="E101" s="901"/>
      <c r="F101" s="656" t="s">
        <v>9364</v>
      </c>
      <c r="G101" s="657"/>
    </row>
    <row r="102" spans="1:7" ht="31.5" customHeight="1" x14ac:dyDescent="0.2">
      <c r="A102" s="935" t="s">
        <v>8693</v>
      </c>
      <c r="B102" s="936"/>
      <c r="C102" s="936"/>
      <c r="D102" s="936" t="s">
        <v>172</v>
      </c>
      <c r="E102" s="936"/>
      <c r="F102" s="936" t="s">
        <v>8723</v>
      </c>
      <c r="G102" s="937"/>
    </row>
    <row r="103" spans="1:7" x14ac:dyDescent="0.2">
      <c r="A103" s="780" t="s">
        <v>8694</v>
      </c>
      <c r="B103" s="656"/>
      <c r="C103" s="656"/>
      <c r="D103" s="901"/>
      <c r="E103" s="901"/>
      <c r="F103" s="656" t="s">
        <v>9364</v>
      </c>
      <c r="G103" s="657"/>
    </row>
    <row r="104" spans="1:7" ht="14.25" customHeight="1" x14ac:dyDescent="0.2">
      <c r="A104" s="780" t="s">
        <v>8716</v>
      </c>
      <c r="B104" s="656"/>
      <c r="C104" s="656"/>
      <c r="D104" s="901"/>
      <c r="E104" s="901"/>
      <c r="F104" s="656" t="s">
        <v>9186</v>
      </c>
      <c r="G104" s="657"/>
    </row>
    <row r="105" spans="1:7" ht="14.25" customHeight="1" x14ac:dyDescent="0.2">
      <c r="A105" s="780" t="s">
        <v>9139</v>
      </c>
      <c r="B105" s="656"/>
      <c r="C105" s="656"/>
      <c r="D105" s="901"/>
      <c r="E105" s="901"/>
      <c r="F105" s="656" t="s">
        <v>9364</v>
      </c>
      <c r="G105" s="657"/>
    </row>
    <row r="106" spans="1:7" ht="14.25" customHeight="1" x14ac:dyDescent="0.2">
      <c r="A106" s="780" t="s">
        <v>287</v>
      </c>
      <c r="B106" s="656"/>
      <c r="C106" s="656"/>
      <c r="D106" s="901"/>
      <c r="E106" s="901"/>
      <c r="F106" s="656" t="s">
        <v>9364</v>
      </c>
      <c r="G106" s="657"/>
    </row>
    <row r="107" spans="1:7" ht="31.5" customHeight="1" x14ac:dyDescent="0.2">
      <c r="A107" s="935" t="s">
        <v>8690</v>
      </c>
      <c r="B107" s="936"/>
      <c r="C107" s="936"/>
      <c r="D107" s="936" t="s">
        <v>172</v>
      </c>
      <c r="E107" s="936"/>
      <c r="F107" s="936" t="s">
        <v>8723</v>
      </c>
      <c r="G107" s="937"/>
    </row>
    <row r="108" spans="1:7" ht="14.25" customHeight="1" x14ac:dyDescent="0.2">
      <c r="A108" s="780" t="s">
        <v>269</v>
      </c>
      <c r="B108" s="656"/>
      <c r="C108" s="656"/>
      <c r="D108" s="901"/>
      <c r="E108" s="901"/>
      <c r="F108" s="656" t="s">
        <v>9364</v>
      </c>
      <c r="G108" s="657"/>
    </row>
    <row r="109" spans="1:7" ht="14.25" customHeight="1" x14ac:dyDescent="0.2">
      <c r="A109" s="780" t="s">
        <v>8697</v>
      </c>
      <c r="B109" s="656"/>
      <c r="C109" s="656"/>
      <c r="D109" s="901"/>
      <c r="E109" s="901"/>
      <c r="F109" s="656" t="s">
        <v>9364</v>
      </c>
      <c r="G109" s="657"/>
    </row>
    <row r="110" spans="1:7" ht="14.25" customHeight="1" x14ac:dyDescent="0.2">
      <c r="A110" s="780" t="s">
        <v>8698</v>
      </c>
      <c r="B110" s="656"/>
      <c r="C110" s="656"/>
      <c r="D110" s="901"/>
      <c r="E110" s="901"/>
      <c r="F110" s="656" t="s">
        <v>9364</v>
      </c>
      <c r="G110" s="657"/>
    </row>
    <row r="111" spans="1:7" ht="31.5" customHeight="1" x14ac:dyDescent="0.2">
      <c r="A111" s="935" t="s">
        <v>8691</v>
      </c>
      <c r="B111" s="936"/>
      <c r="C111" s="936"/>
      <c r="D111" s="936" t="s">
        <v>172</v>
      </c>
      <c r="E111" s="936"/>
      <c r="F111" s="936" t="s">
        <v>8723</v>
      </c>
      <c r="G111" s="937"/>
    </row>
    <row r="112" spans="1:7" ht="14.25" customHeight="1" x14ac:dyDescent="0.2">
      <c r="A112" s="780" t="s">
        <v>8714</v>
      </c>
      <c r="B112" s="656"/>
      <c r="C112" s="656"/>
      <c r="D112" s="901"/>
      <c r="E112" s="901"/>
      <c r="F112" s="656" t="s">
        <v>9364</v>
      </c>
      <c r="G112" s="657"/>
    </row>
    <row r="113" spans="1:7" ht="27.75" customHeight="1" x14ac:dyDescent="0.2">
      <c r="A113" s="780" t="s">
        <v>8715</v>
      </c>
      <c r="B113" s="656"/>
      <c r="C113" s="656"/>
      <c r="D113" s="901"/>
      <c r="E113" s="901"/>
      <c r="F113" s="656" t="s">
        <v>9364</v>
      </c>
      <c r="G113" s="657"/>
    </row>
    <row r="114" spans="1:7" ht="14.25" customHeight="1" x14ac:dyDescent="0.2">
      <c r="A114" s="780" t="s">
        <v>8721</v>
      </c>
      <c r="B114" s="656"/>
      <c r="C114" s="656"/>
      <c r="D114" s="901"/>
      <c r="E114" s="901"/>
      <c r="F114" s="656" t="s">
        <v>9364</v>
      </c>
      <c r="G114" s="657"/>
    </row>
    <row r="115" spans="1:7" ht="14.25" customHeight="1" thickBot="1" x14ac:dyDescent="0.25">
      <c r="A115" s="683" t="s">
        <v>8702</v>
      </c>
      <c r="B115" s="684"/>
      <c r="C115" s="684"/>
      <c r="D115" s="910"/>
      <c r="E115" s="910"/>
      <c r="F115" s="684" t="s">
        <v>9364</v>
      </c>
      <c r="G115" s="866"/>
    </row>
    <row r="116" spans="1:7" ht="15" thickBot="1" x14ac:dyDescent="0.25">
      <c r="A116" s="478" t="s">
        <v>1</v>
      </c>
      <c r="B116" s="478"/>
      <c r="C116" s="478"/>
      <c r="D116" s="478"/>
      <c r="E116" s="478"/>
      <c r="F116" s="478"/>
      <c r="G116" s="478"/>
    </row>
    <row r="117" spans="1:7" ht="15.75" thickBot="1" x14ac:dyDescent="0.25">
      <c r="A117" s="474" t="s">
        <v>9767</v>
      </c>
      <c r="B117" s="474"/>
      <c r="C117" s="474"/>
      <c r="D117" s="474"/>
      <c r="E117" s="474"/>
      <c r="F117" s="474"/>
      <c r="G117" s="474"/>
    </row>
    <row r="118" spans="1:7" ht="35.25" customHeight="1" x14ac:dyDescent="0.2">
      <c r="A118" s="914" t="s">
        <v>9167</v>
      </c>
      <c r="B118" s="962"/>
      <c r="C118" s="856"/>
      <c r="D118" s="855" t="s">
        <v>172</v>
      </c>
      <c r="E118" s="856"/>
      <c r="F118" s="855" t="s">
        <v>8723</v>
      </c>
      <c r="G118" s="915"/>
    </row>
    <row r="119" spans="1:7" x14ac:dyDescent="0.2">
      <c r="A119" s="780" t="s">
        <v>167</v>
      </c>
      <c r="B119" s="656"/>
      <c r="C119" s="656"/>
      <c r="D119" s="901"/>
      <c r="E119" s="901"/>
      <c r="F119" s="796" t="s">
        <v>9364</v>
      </c>
      <c r="G119" s="797"/>
    </row>
    <row r="120" spans="1:7" x14ac:dyDescent="0.2">
      <c r="A120" s="780" t="s">
        <v>168</v>
      </c>
      <c r="B120" s="656"/>
      <c r="C120" s="656"/>
      <c r="D120" s="901"/>
      <c r="E120" s="901"/>
      <c r="F120" s="796" t="s">
        <v>9364</v>
      </c>
      <c r="G120" s="797"/>
    </row>
    <row r="121" spans="1:7" x14ac:dyDescent="0.2">
      <c r="A121" s="780" t="s">
        <v>10008</v>
      </c>
      <c r="B121" s="656"/>
      <c r="C121" s="656"/>
      <c r="D121" s="901"/>
      <c r="E121" s="901"/>
      <c r="F121" s="796" t="s">
        <v>9364</v>
      </c>
      <c r="G121" s="797"/>
    </row>
    <row r="122" spans="1:7" ht="59.25" customHeight="1" x14ac:dyDescent="0.2">
      <c r="A122" s="646" t="s">
        <v>10061</v>
      </c>
      <c r="B122" s="951"/>
      <c r="C122" s="917"/>
      <c r="D122" s="918"/>
      <c r="E122" s="949"/>
      <c r="F122" s="736" t="s">
        <v>9155</v>
      </c>
      <c r="G122" s="737"/>
    </row>
    <row r="123" spans="1:7" x14ac:dyDescent="0.2">
      <c r="A123" s="916" t="s">
        <v>177</v>
      </c>
      <c r="B123" s="951"/>
      <c r="C123" s="917"/>
      <c r="D123" s="918"/>
      <c r="E123" s="949"/>
      <c r="F123" s="736" t="s">
        <v>9250</v>
      </c>
      <c r="G123" s="737"/>
    </row>
    <row r="124" spans="1:7" x14ac:dyDescent="0.2">
      <c r="A124" s="916" t="s">
        <v>9239</v>
      </c>
      <c r="B124" s="951"/>
      <c r="C124" s="917"/>
      <c r="D124" s="918"/>
      <c r="E124" s="949"/>
      <c r="F124" s="736" t="s">
        <v>9252</v>
      </c>
      <c r="G124" s="737"/>
    </row>
    <row r="125" spans="1:7" ht="15" x14ac:dyDescent="0.2">
      <c r="A125" s="916" t="s">
        <v>9251</v>
      </c>
      <c r="B125" s="951"/>
      <c r="C125" s="917"/>
      <c r="D125" s="918"/>
      <c r="E125" s="949"/>
      <c r="F125" s="736" t="s">
        <v>9188</v>
      </c>
      <c r="G125" s="737"/>
    </row>
    <row r="126" spans="1:7" x14ac:dyDescent="0.2">
      <c r="A126" s="916" t="s">
        <v>9241</v>
      </c>
      <c r="B126" s="951"/>
      <c r="C126" s="917"/>
      <c r="D126" s="918"/>
      <c r="E126" s="949"/>
      <c r="F126" s="736" t="s">
        <v>9246</v>
      </c>
      <c r="G126" s="737"/>
    </row>
    <row r="127" spans="1:7" ht="31.5" customHeight="1" x14ac:dyDescent="0.2">
      <c r="A127" s="874" t="s">
        <v>9177</v>
      </c>
      <c r="B127" s="875"/>
      <c r="C127" s="876"/>
      <c r="D127" s="944" t="s">
        <v>172</v>
      </c>
      <c r="E127" s="876"/>
      <c r="F127" s="944" t="s">
        <v>8723</v>
      </c>
      <c r="G127" s="952"/>
    </row>
    <row r="128" spans="1:7" ht="32.25" customHeight="1" x14ac:dyDescent="0.2">
      <c r="A128" s="646" t="s">
        <v>9143</v>
      </c>
      <c r="B128" s="647"/>
      <c r="C128" s="648"/>
      <c r="D128" s="958"/>
      <c r="E128" s="959"/>
      <c r="F128" s="736" t="s">
        <v>9364</v>
      </c>
      <c r="G128" s="737"/>
    </row>
    <row r="129" spans="1:7" x14ac:dyDescent="0.2">
      <c r="A129" s="916" t="s">
        <v>270</v>
      </c>
      <c r="B129" s="951"/>
      <c r="C129" s="917"/>
      <c r="D129" s="960"/>
      <c r="E129" s="961"/>
      <c r="F129" s="736" t="s">
        <v>9183</v>
      </c>
      <c r="G129" s="737"/>
    </row>
    <row r="130" spans="1:7" ht="28.5" customHeight="1" x14ac:dyDescent="0.2">
      <c r="A130" s="646" t="s">
        <v>9192</v>
      </c>
      <c r="B130" s="647"/>
      <c r="C130" s="648"/>
      <c r="D130" s="958"/>
      <c r="E130" s="959"/>
      <c r="F130" s="736" t="s">
        <v>9364</v>
      </c>
      <c r="G130" s="737"/>
    </row>
    <row r="131" spans="1:7" ht="28.5" customHeight="1" x14ac:dyDescent="0.2">
      <c r="A131" s="874" t="s">
        <v>8693</v>
      </c>
      <c r="B131" s="875"/>
      <c r="C131" s="876"/>
      <c r="D131" s="944" t="s">
        <v>172</v>
      </c>
      <c r="E131" s="876"/>
      <c r="F131" s="944" t="s">
        <v>8723</v>
      </c>
      <c r="G131" s="952"/>
    </row>
    <row r="132" spans="1:7" x14ac:dyDescent="0.2">
      <c r="A132" s="916" t="s">
        <v>8694</v>
      </c>
      <c r="B132" s="951"/>
      <c r="C132" s="917"/>
      <c r="D132" s="918"/>
      <c r="E132" s="949"/>
      <c r="F132" s="736" t="s">
        <v>9364</v>
      </c>
      <c r="G132" s="737"/>
    </row>
    <row r="133" spans="1:7" x14ac:dyDescent="0.2">
      <c r="A133" s="916" t="s">
        <v>8716</v>
      </c>
      <c r="B133" s="951"/>
      <c r="C133" s="917"/>
      <c r="D133" s="918"/>
      <c r="E133" s="949"/>
      <c r="F133" s="736" t="s">
        <v>9186</v>
      </c>
      <c r="G133" s="737"/>
    </row>
    <row r="134" spans="1:7" x14ac:dyDescent="0.2">
      <c r="A134" s="916" t="s">
        <v>9139</v>
      </c>
      <c r="B134" s="951"/>
      <c r="C134" s="917"/>
      <c r="D134" s="918"/>
      <c r="E134" s="949"/>
      <c r="F134" s="736" t="s">
        <v>9364</v>
      </c>
      <c r="G134" s="737"/>
    </row>
    <row r="135" spans="1:7" x14ac:dyDescent="0.2">
      <c r="A135" s="916" t="s">
        <v>287</v>
      </c>
      <c r="B135" s="951"/>
      <c r="C135" s="917"/>
      <c r="D135" s="918"/>
      <c r="E135" s="949"/>
      <c r="F135" s="736" t="s">
        <v>9364</v>
      </c>
      <c r="G135" s="737"/>
    </row>
    <row r="136" spans="1:7" ht="30.75" customHeight="1" x14ac:dyDescent="0.2">
      <c r="A136" s="874" t="s">
        <v>277</v>
      </c>
      <c r="B136" s="875"/>
      <c r="C136" s="876"/>
      <c r="D136" s="944" t="s">
        <v>172</v>
      </c>
      <c r="E136" s="876"/>
      <c r="F136" s="944" t="s">
        <v>8723</v>
      </c>
      <c r="G136" s="952"/>
    </row>
    <row r="137" spans="1:7" x14ac:dyDescent="0.2">
      <c r="A137" s="916" t="s">
        <v>8714</v>
      </c>
      <c r="B137" s="951"/>
      <c r="C137" s="917"/>
      <c r="D137" s="918"/>
      <c r="E137" s="949"/>
      <c r="F137" s="738" t="s">
        <v>9364</v>
      </c>
      <c r="G137" s="739"/>
    </row>
    <row r="138" spans="1:7" x14ac:dyDescent="0.2">
      <c r="A138" s="916" t="s">
        <v>8721</v>
      </c>
      <c r="B138" s="951"/>
      <c r="C138" s="917"/>
      <c r="D138" s="918"/>
      <c r="E138" s="949"/>
      <c r="F138" s="738" t="s">
        <v>9364</v>
      </c>
      <c r="G138" s="739"/>
    </row>
    <row r="139" spans="1:7" ht="15" thickBot="1" x14ac:dyDescent="0.25">
      <c r="A139" s="920" t="s">
        <v>346</v>
      </c>
      <c r="B139" s="957"/>
      <c r="C139" s="921"/>
      <c r="D139" s="710"/>
      <c r="E139" s="950"/>
      <c r="F139" s="742" t="s">
        <v>9364</v>
      </c>
      <c r="G139" s="743"/>
    </row>
    <row r="140" spans="1:7" ht="15" thickBot="1" x14ac:dyDescent="0.25">
      <c r="A140" s="953" t="s">
        <v>1</v>
      </c>
      <c r="B140" s="828"/>
      <c r="C140" s="828"/>
      <c r="D140" s="828"/>
      <c r="E140" s="828"/>
      <c r="F140" s="828"/>
      <c r="G140" s="954"/>
    </row>
    <row r="141" spans="1:7" ht="15.75" thickBot="1" x14ac:dyDescent="0.25">
      <c r="A141" s="479" t="s">
        <v>9685</v>
      </c>
      <c r="B141" s="479"/>
      <c r="C141" s="479"/>
      <c r="D141" s="479"/>
      <c r="E141" s="479"/>
      <c r="F141" s="479"/>
      <c r="G141" s="479"/>
    </row>
    <row r="142" spans="1:7" ht="15" x14ac:dyDescent="0.2">
      <c r="A142" s="539" t="s">
        <v>9688</v>
      </c>
      <c r="B142" s="540"/>
      <c r="C142" s="540"/>
      <c r="D142" s="540"/>
      <c r="E142" s="540"/>
      <c r="F142" s="540"/>
      <c r="G142" s="541"/>
    </row>
    <row r="143" spans="1:7" ht="45" x14ac:dyDescent="0.2">
      <c r="A143" s="564" t="s">
        <v>9690</v>
      </c>
      <c r="B143" s="563"/>
      <c r="C143" s="563"/>
      <c r="D143" s="79" t="s">
        <v>168</v>
      </c>
      <c r="E143" s="79" t="s">
        <v>178</v>
      </c>
      <c r="F143" s="79" t="s">
        <v>260</v>
      </c>
      <c r="G143" s="80" t="s">
        <v>259</v>
      </c>
    </row>
    <row r="144" spans="1:7" ht="29.25" customHeight="1" x14ac:dyDescent="0.2">
      <c r="A144" s="530" t="s">
        <v>8816</v>
      </c>
      <c r="B144" s="531"/>
      <c r="C144" s="531"/>
      <c r="D144" s="16" t="str">
        <f>IF($D$8="","",$D$8)</f>
        <v/>
      </c>
      <c r="E144" s="16" t="s">
        <v>229</v>
      </c>
      <c r="F144" s="42"/>
      <c r="G144" s="45"/>
    </row>
    <row r="145" spans="1:7" ht="14.25" customHeight="1" x14ac:dyDescent="0.2">
      <c r="A145" s="688" t="str">
        <f t="shared" ref="A145" si="0">A144</f>
        <v>Inherently low-emitting activities and routine maintenance</v>
      </c>
      <c r="B145" s="948"/>
      <c r="C145" s="650"/>
      <c r="D145" s="77" t="str">
        <f>D144</f>
        <v/>
      </c>
      <c r="E145" s="16" t="s">
        <v>261</v>
      </c>
      <c r="F145" s="42"/>
      <c r="G145" s="45"/>
    </row>
    <row r="146" spans="1:7" ht="14.25" customHeight="1" x14ac:dyDescent="0.2">
      <c r="A146" s="688" t="str">
        <f t="shared" ref="A146:A151" si="1">A145</f>
        <v>Inherently low-emitting activities and routine maintenance</v>
      </c>
      <c r="B146" s="948"/>
      <c r="C146" s="650"/>
      <c r="D146" s="77" t="str">
        <f t="shared" ref="D146:D151" si="2">D145</f>
        <v/>
      </c>
      <c r="E146" s="16" t="s">
        <v>262</v>
      </c>
      <c r="F146" s="42"/>
      <c r="G146" s="45"/>
    </row>
    <row r="147" spans="1:7" ht="14.25" customHeight="1" x14ac:dyDescent="0.2">
      <c r="A147" s="688" t="str">
        <f t="shared" si="1"/>
        <v>Inherently low-emitting activities and routine maintenance</v>
      </c>
      <c r="B147" s="948"/>
      <c r="C147" s="650"/>
      <c r="D147" s="77" t="str">
        <f t="shared" si="2"/>
        <v/>
      </c>
      <c r="E147" s="16" t="s">
        <v>263</v>
      </c>
      <c r="F147" s="42"/>
      <c r="G147" s="45"/>
    </row>
    <row r="148" spans="1:7" ht="14.25" customHeight="1" x14ac:dyDescent="0.2">
      <c r="A148" s="688" t="str">
        <f t="shared" si="1"/>
        <v>Inherently low-emitting activities and routine maintenance</v>
      </c>
      <c r="B148" s="948"/>
      <c r="C148" s="650"/>
      <c r="D148" s="77" t="str">
        <f t="shared" si="2"/>
        <v/>
      </c>
      <c r="E148" s="16" t="s">
        <v>264</v>
      </c>
      <c r="F148" s="42"/>
      <c r="G148" s="45"/>
    </row>
    <row r="149" spans="1:7" ht="14.25" customHeight="1" x14ac:dyDescent="0.2">
      <c r="A149" s="688" t="str">
        <f t="shared" si="1"/>
        <v>Inherently low-emitting activities and routine maintenance</v>
      </c>
      <c r="B149" s="948"/>
      <c r="C149" s="650"/>
      <c r="D149" s="77" t="str">
        <f t="shared" si="2"/>
        <v/>
      </c>
      <c r="E149" s="16" t="s">
        <v>265</v>
      </c>
      <c r="F149" s="42"/>
      <c r="G149" s="45"/>
    </row>
    <row r="150" spans="1:7" ht="14.25" customHeight="1" x14ac:dyDescent="0.2">
      <c r="A150" s="688" t="str">
        <f t="shared" si="1"/>
        <v>Inherently low-emitting activities and routine maintenance</v>
      </c>
      <c r="B150" s="948"/>
      <c r="C150" s="650"/>
      <c r="D150" s="77" t="str">
        <f t="shared" si="2"/>
        <v/>
      </c>
      <c r="E150" s="16" t="s">
        <v>266</v>
      </c>
      <c r="F150" s="42"/>
      <c r="G150" s="45"/>
    </row>
    <row r="151" spans="1:7" ht="14.25" customHeight="1" x14ac:dyDescent="0.2">
      <c r="A151" s="649" t="str">
        <f t="shared" si="1"/>
        <v>Inherently low-emitting activities and routine maintenance</v>
      </c>
      <c r="B151" s="948"/>
      <c r="C151" s="650"/>
      <c r="D151" s="77" t="str">
        <f t="shared" si="2"/>
        <v/>
      </c>
      <c r="E151" s="16" t="s">
        <v>267</v>
      </c>
      <c r="F151" s="16">
        <f>IFERROR(VLOOKUP("7783-06-4",$A$35:$G$59,7,FALSE),0)*F$144</f>
        <v>0</v>
      </c>
      <c r="G151" s="29">
        <f>IFERROR(VLOOKUP("7783-06-4",$A$35:$G$59,7,FALSE),0)*G$144</f>
        <v>0</v>
      </c>
    </row>
    <row r="152" spans="1:7" ht="15" x14ac:dyDescent="0.2">
      <c r="A152" s="564" t="s">
        <v>10435</v>
      </c>
      <c r="B152" s="563"/>
      <c r="C152" s="563"/>
      <c r="D152" s="563"/>
      <c r="E152" s="563"/>
      <c r="F152" s="563"/>
      <c r="G152" s="847"/>
    </row>
    <row r="153" spans="1:7" ht="45" x14ac:dyDescent="0.2">
      <c r="A153" s="564" t="s">
        <v>9690</v>
      </c>
      <c r="B153" s="563"/>
      <c r="C153" s="563"/>
      <c r="D153" s="79" t="s">
        <v>168</v>
      </c>
      <c r="E153" s="79" t="s">
        <v>178</v>
      </c>
      <c r="F153" s="79" t="s">
        <v>260</v>
      </c>
      <c r="G153" s="80" t="s">
        <v>259</v>
      </c>
    </row>
    <row r="154" spans="1:7" x14ac:dyDescent="0.2">
      <c r="A154" s="530" t="str">
        <f>IF(AND(COUNTIF(TankMSS!$C$14:$D$18,"*temporary flare*")=0,COUNTIF(TankMSS!$C$107:$D$111,"*temporary flare*")=0),"",IF(AND(COUNTIF(TankMSS!$C$14:$D$18,"*temporary flare*")&gt;0,COUNTIF(TankMSS!$C$107:$D$111,"*temporary flare*")&gt;0),"Floating and fixed roof tank MSS",IF(AND(COUNTIF(TankMSS!$C$14:$D$18,"*temporary flare*")&gt;0,COUNTIF(TankMSS!$C$107:$D$111,"*temporary flare*")=0),"Floating roof tank MSS",IF(AND(COUNTIF(TankMSS!$C$14:$D$18,"*temporary flare*")=0,COUNTIF(TankMSS!$C$107:$D$111,"*temporary flare*")&gt;0),"Fixed roof tank MSS",FALSE))))</f>
        <v/>
      </c>
      <c r="B154" s="531"/>
      <c r="C154" s="531"/>
      <c r="D154" s="16" t="str">
        <f>IF($D$64="","",$D$64)</f>
        <v/>
      </c>
      <c r="E154" s="16" t="s">
        <v>229</v>
      </c>
      <c r="F154" s="20">
        <f>MAX(IF(COUNTIF(TankMSS!$C$14:$D$18,"*temporary flare*")&gt;0,TankMSS!$C$95,0),IF(COUNTIF(TankMSS!$C$107:$D$111,"*temporary flare*")&gt;0,TankMSS!$C$166,0))</f>
        <v>0</v>
      </c>
      <c r="G154" s="21">
        <f>SUM(IF(COUNTIF(TankMSS!$C$14:$D$18,"*temporary flare*")&gt;0,TankMSS!$D$95,0),IF(COUNTIF(TankMSS!$C$107:$D$111,"*temporary flare*")&gt;0,TankMSS!$D$166,0))</f>
        <v>0</v>
      </c>
    </row>
    <row r="155" spans="1:7" x14ac:dyDescent="0.2">
      <c r="A155" s="627" t="str">
        <f>A154</f>
        <v/>
      </c>
      <c r="B155" s="628"/>
      <c r="C155" s="628"/>
      <c r="D155" s="77" t="str">
        <f>D154</f>
        <v/>
      </c>
      <c r="E155" s="16" t="s">
        <v>261</v>
      </c>
      <c r="F155" s="20">
        <f>MAX(LandEmiss!BQ450,LandEmiss!EB447)</f>
        <v>0</v>
      </c>
      <c r="G155" s="21">
        <f>MAX(LandEmiss!BR450,LandEmiss!EC447)</f>
        <v>0</v>
      </c>
    </row>
    <row r="156" spans="1:7" x14ac:dyDescent="0.2">
      <c r="A156" s="649" t="str">
        <f t="shared" ref="A156:A158" si="3">A155</f>
        <v/>
      </c>
      <c r="B156" s="948"/>
      <c r="C156" s="650"/>
      <c r="D156" s="77" t="str">
        <f t="shared" ref="D156:D158" si="4">D155</f>
        <v/>
      </c>
      <c r="E156" s="16" t="s">
        <v>262</v>
      </c>
      <c r="F156" s="20">
        <f>MAX(LandEmiss!BQ451,LandEmiss!EB448)</f>
        <v>0</v>
      </c>
      <c r="G156" s="21">
        <f>MAX(LandEmiss!BR451,LandEmiss!EC448)</f>
        <v>0</v>
      </c>
    </row>
    <row r="157" spans="1:7" x14ac:dyDescent="0.2">
      <c r="A157" s="649" t="str">
        <f t="shared" si="3"/>
        <v/>
      </c>
      <c r="B157" s="948"/>
      <c r="C157" s="650"/>
      <c r="D157" s="77" t="str">
        <f t="shared" si="4"/>
        <v/>
      </c>
      <c r="E157" s="16" t="s">
        <v>266</v>
      </c>
      <c r="F157" s="20">
        <f>MAX(LandEmiss!BQ455,LandEmiss!EB452)</f>
        <v>0</v>
      </c>
      <c r="G157" s="21">
        <f>MAX(LandEmiss!BR455,LandEmiss!EC452)</f>
        <v>0</v>
      </c>
    </row>
    <row r="158" spans="1:7" x14ac:dyDescent="0.2">
      <c r="A158" s="649" t="str">
        <f t="shared" si="3"/>
        <v/>
      </c>
      <c r="B158" s="948"/>
      <c r="C158" s="650"/>
      <c r="D158" s="77" t="str">
        <f t="shared" si="4"/>
        <v/>
      </c>
      <c r="E158" s="16" t="s">
        <v>267</v>
      </c>
      <c r="F158" s="20">
        <f>MAX(LandEmiss!BQ456,LandEmiss!EB453)</f>
        <v>0</v>
      </c>
      <c r="G158" s="21">
        <f>MAX(LandEmiss!BR456,LandEmiss!EC453)</f>
        <v>0</v>
      </c>
    </row>
    <row r="159" spans="1:7" ht="15" x14ac:dyDescent="0.2">
      <c r="A159" s="564" t="s">
        <v>10436</v>
      </c>
      <c r="B159" s="563"/>
      <c r="C159" s="563"/>
      <c r="D159" s="563"/>
      <c r="E159" s="563"/>
      <c r="F159" s="563"/>
      <c r="G159" s="847"/>
    </row>
    <row r="160" spans="1:7" ht="45" x14ac:dyDescent="0.2">
      <c r="A160" s="564" t="s">
        <v>9690</v>
      </c>
      <c r="B160" s="563"/>
      <c r="C160" s="563"/>
      <c r="D160" s="79" t="s">
        <v>168</v>
      </c>
      <c r="E160" s="79" t="s">
        <v>178</v>
      </c>
      <c r="F160" s="79" t="s">
        <v>260</v>
      </c>
      <c r="G160" s="80" t="s">
        <v>259</v>
      </c>
    </row>
    <row r="161" spans="1:7" x14ac:dyDescent="0.2">
      <c r="A161" s="530" t="str">
        <f>IF(AND(COUNTIF(TankMSS!$C$14:$D$18,"*temporary VCU*")=0,COUNTIF(TankMSS!$C$107:$D$111,"*temporary VCU*")=0),"",IF(AND(COUNTIF(TankMSS!$C$14:$D$18,"*temporary VCU*")&gt;0,COUNTIF(TankMSS!$C$107:$D$111,"*temporary VCU*")&gt;0),"Floating and fixed roof tank MSS",IF(AND(COUNTIF(TankMSS!$C$14:$D$18,"*temporary VCU*")&gt;0,COUNTIF(TankMSS!$C$107:$D$111,"*temporary VCU*")=0),"Floating roof tank MSS",IF(AND(COUNTIF(TankMSS!$C$14:$D$18,"*temporary VCU*")=0,COUNTIF(TankMSS!$C$107:$D$111,"*temporary VCU*")&gt;0),"Fixed roof tank MSS",FALSE))))</f>
        <v/>
      </c>
      <c r="B161" s="531"/>
      <c r="C161" s="531"/>
      <c r="D161" s="16" t="str">
        <f>IF($D$90="","",$D$90)</f>
        <v/>
      </c>
      <c r="E161" s="16" t="s">
        <v>229</v>
      </c>
      <c r="F161" s="20">
        <f>MAX(IF(COUNTIF(TankMSS!$C$14:$D$18,"*temporary VCU*")&gt;0,TankMSS!$C$95,0),IF(COUNTIF(TankMSS!$C$107:$D$111,"*temporary VCU*")&gt;0,TankMSS!$C$166,0))</f>
        <v>0</v>
      </c>
      <c r="G161" s="21">
        <f>SUM(IF(COUNTIF(TankMSS!$C$14:$D$18,"*temporary VCU*")&gt;0,TankMSS!$D$95,0),IF(COUNTIF(TankMSS!$C$107:$D$111,"*temporary VCU*")&gt;0,TankMSS!$D$166,0))</f>
        <v>0</v>
      </c>
    </row>
    <row r="162" spans="1:7" x14ac:dyDescent="0.2">
      <c r="A162" s="627" t="str">
        <f t="shared" ref="A162" si="5">A161</f>
        <v/>
      </c>
      <c r="B162" s="628"/>
      <c r="C162" s="628"/>
      <c r="D162" s="77" t="str">
        <f>D161</f>
        <v/>
      </c>
      <c r="E162" s="16" t="s">
        <v>261</v>
      </c>
      <c r="F162" s="20">
        <f>MAX(LandEmiss!BS450,LandEmiss!ED447)</f>
        <v>0</v>
      </c>
      <c r="G162" s="21">
        <f>MAX(LandEmiss!BT450,LandEmiss!EE447)</f>
        <v>0</v>
      </c>
    </row>
    <row r="163" spans="1:7" x14ac:dyDescent="0.2">
      <c r="A163" s="649" t="str">
        <f t="shared" ref="A163:A168" si="6">A162</f>
        <v/>
      </c>
      <c r="B163" s="948"/>
      <c r="C163" s="650"/>
      <c r="D163" s="77" t="str">
        <f t="shared" ref="D163:D168" si="7">D162</f>
        <v/>
      </c>
      <c r="E163" s="16" t="s">
        <v>262</v>
      </c>
      <c r="F163" s="20">
        <f>MAX(LandEmiss!BS451,LandEmiss!ED448)</f>
        <v>0</v>
      </c>
      <c r="G163" s="21">
        <f>MAX(LandEmiss!BT451,LandEmiss!EE448)</f>
        <v>0</v>
      </c>
    </row>
    <row r="164" spans="1:7" x14ac:dyDescent="0.2">
      <c r="A164" s="649" t="str">
        <f t="shared" si="6"/>
        <v/>
      </c>
      <c r="B164" s="948"/>
      <c r="C164" s="650"/>
      <c r="D164" s="77" t="str">
        <f t="shared" si="7"/>
        <v/>
      </c>
      <c r="E164" s="16" t="s">
        <v>263</v>
      </c>
      <c r="F164" s="20">
        <f>MAX(LandEmiss!BS452,LandEmiss!ED449)</f>
        <v>0</v>
      </c>
      <c r="G164" s="21">
        <f>MAX(LandEmiss!BT452,LandEmiss!EE449)</f>
        <v>0</v>
      </c>
    </row>
    <row r="165" spans="1:7" x14ac:dyDescent="0.2">
      <c r="A165" s="649" t="str">
        <f t="shared" si="6"/>
        <v/>
      </c>
      <c r="B165" s="948"/>
      <c r="C165" s="650"/>
      <c r="D165" s="77" t="str">
        <f t="shared" si="7"/>
        <v/>
      </c>
      <c r="E165" s="16" t="s">
        <v>264</v>
      </c>
      <c r="F165" s="20">
        <f>MAX(LandEmiss!BS453,LandEmiss!ED450)</f>
        <v>0</v>
      </c>
      <c r="G165" s="21">
        <f>MAX(LandEmiss!BT453,LandEmiss!EE450)</f>
        <v>0</v>
      </c>
    </row>
    <row r="166" spans="1:7" x14ac:dyDescent="0.2">
      <c r="A166" s="649" t="str">
        <f t="shared" si="6"/>
        <v/>
      </c>
      <c r="B166" s="948"/>
      <c r="C166" s="650"/>
      <c r="D166" s="77" t="str">
        <f t="shared" si="7"/>
        <v/>
      </c>
      <c r="E166" s="16" t="s">
        <v>265</v>
      </c>
      <c r="F166" s="20">
        <f>MAX(LandEmiss!BS454,LandEmiss!ED451)</f>
        <v>0</v>
      </c>
      <c r="G166" s="21">
        <f>MAX(LandEmiss!BT454,LandEmiss!EE451)</f>
        <v>0</v>
      </c>
    </row>
    <row r="167" spans="1:7" x14ac:dyDescent="0.2">
      <c r="A167" s="649" t="str">
        <f t="shared" si="6"/>
        <v/>
      </c>
      <c r="B167" s="948"/>
      <c r="C167" s="650"/>
      <c r="D167" s="77" t="str">
        <f t="shared" si="7"/>
        <v/>
      </c>
      <c r="E167" s="16" t="s">
        <v>266</v>
      </c>
      <c r="F167" s="20">
        <f>MAX(LandEmiss!BS455,LandEmiss!ED452)</f>
        <v>0</v>
      </c>
      <c r="G167" s="21">
        <f>MAX(LandEmiss!BT455,LandEmiss!EE452)</f>
        <v>0</v>
      </c>
    </row>
    <row r="168" spans="1:7" x14ac:dyDescent="0.2">
      <c r="A168" s="649" t="str">
        <f t="shared" si="6"/>
        <v/>
      </c>
      <c r="B168" s="948"/>
      <c r="C168" s="650"/>
      <c r="D168" s="77" t="str">
        <f t="shared" si="7"/>
        <v/>
      </c>
      <c r="E168" s="16" t="s">
        <v>267</v>
      </c>
      <c r="F168" s="20">
        <f>MAX(LandEmiss!BS456,LandEmiss!ED453)</f>
        <v>0</v>
      </c>
      <c r="G168" s="21">
        <f>MAX(LandEmiss!BT456,LandEmiss!EE453)</f>
        <v>0</v>
      </c>
    </row>
    <row r="169" spans="1:7" ht="15" x14ac:dyDescent="0.2">
      <c r="A169" s="564" t="s">
        <v>10437</v>
      </c>
      <c r="B169" s="563"/>
      <c r="C169" s="563"/>
      <c r="D169" s="563"/>
      <c r="E169" s="563"/>
      <c r="F169" s="563"/>
      <c r="G169" s="847"/>
    </row>
    <row r="170" spans="1:7" ht="45" x14ac:dyDescent="0.2">
      <c r="A170" s="564" t="s">
        <v>9690</v>
      </c>
      <c r="B170" s="563"/>
      <c r="C170" s="563"/>
      <c r="D170" s="79" t="s">
        <v>168</v>
      </c>
      <c r="E170" s="79" t="s">
        <v>178</v>
      </c>
      <c r="F170" s="79" t="s">
        <v>260</v>
      </c>
      <c r="G170" s="80" t="s">
        <v>259</v>
      </c>
    </row>
    <row r="171" spans="1:7" x14ac:dyDescent="0.2">
      <c r="A171" s="530" t="str">
        <f>IF(AND(COUNTIF(TankMSS!$C$14:$D$18,"*temporary thermal oxidizer*")=0,COUNTIF(TankMSS!$C$107:$D$111,"*temporary thermal oxidizer*")=0),"",IF(AND(COUNTIF(TankMSS!$C$14:$D$18,"*temporary thermal oxidizer*")&gt;0,COUNTIF(TankMSS!$C$107:$D$111,"*temporary thermal oxidizer*")&gt;0),"Floating and fixed roof tank MSS",IF(AND(COUNTIF(TankMSS!$C$14:$D$18,"*temporary thermal oxidizer*")&gt;0,COUNTIF(TankMSS!$C$107:$D$111,"*temporary thermal oxidizer*")=0),"Floating roof tank MSS",IF(AND(COUNTIF(TankMSS!$C$14:$D$18,"*temporary thermal oxidizer*")=0,COUNTIF(TankMSS!$C$107:$D$111,"*temporary thermal oxidizer*")&gt;0),"Fixed roof tank MSS",FALSE))))</f>
        <v/>
      </c>
      <c r="B171" s="531"/>
      <c r="C171" s="531"/>
      <c r="D171" s="16" t="str">
        <f>IF($D$120="","",$D$120)</f>
        <v/>
      </c>
      <c r="E171" s="16" t="s">
        <v>229</v>
      </c>
      <c r="F171" s="20">
        <f>MAX(IF(COUNTIF(TankMSS!$C$14:$D$18,"*temporary thermal oxidizer*")&gt;0,TankMSS!$C$95,0),IF(COUNTIF(TankMSS!$C$107:$D$111,"*temporary thermal oxidizer*")&gt;0,TankMSS!$C$166,0))</f>
        <v>0</v>
      </c>
      <c r="G171" s="21">
        <f>SUM(IF(COUNTIF(TankMSS!$C$14:$D$18,"*temporary thermal oxidizer*")&gt;0,TankMSS!$D$95,0),IF(COUNTIF(TankMSS!$C$107:$D$111,"*temporary thermal oxidizer*")&gt;0,TankMSS!$D$166,0))</f>
        <v>0</v>
      </c>
    </row>
    <row r="172" spans="1:7" x14ac:dyDescent="0.2">
      <c r="A172" s="627" t="str">
        <f t="shared" ref="A172" si="8">A171</f>
        <v/>
      </c>
      <c r="B172" s="628"/>
      <c r="C172" s="628"/>
      <c r="D172" s="77" t="str">
        <f>D171</f>
        <v/>
      </c>
      <c r="E172" s="16" t="s">
        <v>261</v>
      </c>
      <c r="F172" s="20">
        <f>MAX(LandEmiss!BU450,LandEmiss!EF447)</f>
        <v>0</v>
      </c>
      <c r="G172" s="21">
        <f>MAX(LandEmiss!BV450,LandEmiss!EG447)</f>
        <v>0</v>
      </c>
    </row>
    <row r="173" spans="1:7" x14ac:dyDescent="0.2">
      <c r="A173" s="649" t="str">
        <f t="shared" ref="A173:A178" si="9">A172</f>
        <v/>
      </c>
      <c r="B173" s="948"/>
      <c r="C173" s="650"/>
      <c r="D173" s="77" t="str">
        <f t="shared" ref="D173:D178" si="10">D172</f>
        <v/>
      </c>
      <c r="E173" s="16" t="s">
        <v>262</v>
      </c>
      <c r="F173" s="20">
        <f>MAX(LandEmiss!BU451,LandEmiss!EF448)</f>
        <v>0</v>
      </c>
      <c r="G173" s="21">
        <f>MAX(LandEmiss!BV451,LandEmiss!EG448)</f>
        <v>0</v>
      </c>
    </row>
    <row r="174" spans="1:7" x14ac:dyDescent="0.2">
      <c r="A174" s="649" t="str">
        <f t="shared" si="9"/>
        <v/>
      </c>
      <c r="B174" s="948"/>
      <c r="C174" s="650"/>
      <c r="D174" s="77" t="str">
        <f t="shared" si="10"/>
        <v/>
      </c>
      <c r="E174" s="16" t="s">
        <v>263</v>
      </c>
      <c r="F174" s="20">
        <f>MAX(LandEmiss!BU452,LandEmiss!EF449)</f>
        <v>0</v>
      </c>
      <c r="G174" s="21">
        <f>MAX(LandEmiss!BV452,LandEmiss!EG449)</f>
        <v>0</v>
      </c>
    </row>
    <row r="175" spans="1:7" x14ac:dyDescent="0.2">
      <c r="A175" s="649" t="str">
        <f t="shared" si="9"/>
        <v/>
      </c>
      <c r="B175" s="948"/>
      <c r="C175" s="650"/>
      <c r="D175" s="77" t="str">
        <f t="shared" si="10"/>
        <v/>
      </c>
      <c r="E175" s="16" t="s">
        <v>264</v>
      </c>
      <c r="F175" s="20">
        <f>MAX(LandEmiss!BU453,LandEmiss!EF450)</f>
        <v>0</v>
      </c>
      <c r="G175" s="21">
        <f>MAX(LandEmiss!BV453,LandEmiss!EG450)</f>
        <v>0</v>
      </c>
    </row>
    <row r="176" spans="1:7" x14ac:dyDescent="0.2">
      <c r="A176" s="649" t="str">
        <f t="shared" si="9"/>
        <v/>
      </c>
      <c r="B176" s="948"/>
      <c r="C176" s="650"/>
      <c r="D176" s="77" t="str">
        <f t="shared" si="10"/>
        <v/>
      </c>
      <c r="E176" s="16" t="s">
        <v>265</v>
      </c>
      <c r="F176" s="20">
        <f>MAX(LandEmiss!BU454,LandEmiss!EF451)</f>
        <v>0</v>
      </c>
      <c r="G176" s="21">
        <f>MAX(LandEmiss!BV454,LandEmiss!EG451)</f>
        <v>0</v>
      </c>
    </row>
    <row r="177" spans="1:7" x14ac:dyDescent="0.2">
      <c r="A177" s="649" t="str">
        <f t="shared" si="9"/>
        <v/>
      </c>
      <c r="B177" s="948"/>
      <c r="C177" s="650"/>
      <c r="D177" s="77" t="str">
        <f t="shared" si="10"/>
        <v/>
      </c>
      <c r="E177" s="16" t="s">
        <v>266</v>
      </c>
      <c r="F177" s="20">
        <f>MAX(LandEmiss!BU455,LandEmiss!EF452)</f>
        <v>0</v>
      </c>
      <c r="G177" s="21">
        <f>MAX(LandEmiss!BV455,LandEmiss!EG452)</f>
        <v>0</v>
      </c>
    </row>
    <row r="178" spans="1:7" ht="15" thickBot="1" x14ac:dyDescent="0.25">
      <c r="A178" s="652" t="str">
        <f t="shared" si="9"/>
        <v/>
      </c>
      <c r="B178" s="971"/>
      <c r="C178" s="653"/>
      <c r="D178" s="78" t="str">
        <f t="shared" si="10"/>
        <v/>
      </c>
      <c r="E178" s="28" t="s">
        <v>267</v>
      </c>
      <c r="F178" s="84">
        <f>MAX(LandEmiss!BU456,LandEmiss!EF453)</f>
        <v>0</v>
      </c>
      <c r="G178" s="85">
        <f>MAX(LandEmiss!BV456,LandEmiss!EG453)</f>
        <v>0</v>
      </c>
    </row>
    <row r="179" spans="1:7" ht="13.5" customHeight="1" x14ac:dyDescent="0.2">
      <c r="A179" s="478" t="s">
        <v>130</v>
      </c>
      <c r="B179" s="478"/>
      <c r="C179" s="478"/>
      <c r="D179" s="478"/>
      <c r="E179" s="478"/>
      <c r="F179" s="478"/>
      <c r="G179" s="478"/>
    </row>
  </sheetData>
  <sheetProtection algorithmName="SHA-512" hashValue="h2CUIyiE+gTTAL3Ur5OxLnvefg9+13j+pRXa05jRZq98d9Lr5tmMAa7fT8q0vHNSa/KnT1cqK2NFaRJwX96Djg==" saltValue="66rx/0asUr6EXPz5u9F3Ug==" spinCount="100000" sheet="1" objects="1" scenarios="1" formatColumns="0" formatRows="0"/>
  <mergeCells count="357">
    <mergeCell ref="A79:C79"/>
    <mergeCell ref="D79:E79"/>
    <mergeCell ref="F79:G79"/>
    <mergeCell ref="A150:C150"/>
    <mergeCell ref="A151:C151"/>
    <mergeCell ref="F83:G83"/>
    <mergeCell ref="A84:C84"/>
    <mergeCell ref="D84:E84"/>
    <mergeCell ref="F84:G84"/>
    <mergeCell ref="F134:G134"/>
    <mergeCell ref="F135:G135"/>
    <mergeCell ref="D136:E136"/>
    <mergeCell ref="D134:E134"/>
    <mergeCell ref="D135:E135"/>
    <mergeCell ref="D105:E105"/>
    <mergeCell ref="D106:E106"/>
    <mergeCell ref="D108:E108"/>
    <mergeCell ref="D109:E109"/>
    <mergeCell ref="D110:E110"/>
    <mergeCell ref="F100:G100"/>
    <mergeCell ref="F103:G103"/>
    <mergeCell ref="F132:G132"/>
    <mergeCell ref="F110:G110"/>
    <mergeCell ref="F105:G105"/>
    <mergeCell ref="A76:C76"/>
    <mergeCell ref="D76:E76"/>
    <mergeCell ref="F76:G76"/>
    <mergeCell ref="F107:G107"/>
    <mergeCell ref="F109:G109"/>
    <mergeCell ref="A61:G61"/>
    <mergeCell ref="A85:C85"/>
    <mergeCell ref="D85:E85"/>
    <mergeCell ref="F85:G85"/>
    <mergeCell ref="A80:C80"/>
    <mergeCell ref="D80:E80"/>
    <mergeCell ref="F80:G80"/>
    <mergeCell ref="A81:C81"/>
    <mergeCell ref="D81:E81"/>
    <mergeCell ref="F81:G81"/>
    <mergeCell ref="A82:C82"/>
    <mergeCell ref="D82:E82"/>
    <mergeCell ref="F82:G82"/>
    <mergeCell ref="A77:C77"/>
    <mergeCell ref="D77:E77"/>
    <mergeCell ref="F77:G77"/>
    <mergeCell ref="A78:C78"/>
    <mergeCell ref="D78:E78"/>
    <mergeCell ref="F78:G78"/>
    <mergeCell ref="A172:C172"/>
    <mergeCell ref="A171:C171"/>
    <mergeCell ref="A170:C170"/>
    <mergeCell ref="A178:C178"/>
    <mergeCell ref="A160:C160"/>
    <mergeCell ref="A175:C175"/>
    <mergeCell ref="A176:C176"/>
    <mergeCell ref="A177:C177"/>
    <mergeCell ref="A69:C69"/>
    <mergeCell ref="A138:C138"/>
    <mergeCell ref="A136:C136"/>
    <mergeCell ref="A135:C135"/>
    <mergeCell ref="A89:C89"/>
    <mergeCell ref="A100:C100"/>
    <mergeCell ref="A101:C101"/>
    <mergeCell ref="A158:C158"/>
    <mergeCell ref="A152:G152"/>
    <mergeCell ref="A153:C153"/>
    <mergeCell ref="A154:C154"/>
    <mergeCell ref="A155:C155"/>
    <mergeCell ref="A156:C156"/>
    <mergeCell ref="A157:C157"/>
    <mergeCell ref="A83:C83"/>
    <mergeCell ref="D83:E83"/>
    <mergeCell ref="A1:G1"/>
    <mergeCell ref="A2:G2"/>
    <mergeCell ref="A3:G3"/>
    <mergeCell ref="A4:G4"/>
    <mergeCell ref="A19:F19"/>
    <mergeCell ref="A20:F20"/>
    <mergeCell ref="A6:G6"/>
    <mergeCell ref="A21:F21"/>
    <mergeCell ref="A22:F22"/>
    <mergeCell ref="A13:F13"/>
    <mergeCell ref="A14:F14"/>
    <mergeCell ref="A15:F15"/>
    <mergeCell ref="A16:F16"/>
    <mergeCell ref="A17:F17"/>
    <mergeCell ref="A18:F18"/>
    <mergeCell ref="A10:C10"/>
    <mergeCell ref="A11:C11"/>
    <mergeCell ref="A7:G7"/>
    <mergeCell ref="D10:G10"/>
    <mergeCell ref="D11:G11"/>
    <mergeCell ref="A8:C8"/>
    <mergeCell ref="D8:G8"/>
    <mergeCell ref="A9:C9"/>
    <mergeCell ref="D9:G9"/>
    <mergeCell ref="D62:E62"/>
    <mergeCell ref="D127:E127"/>
    <mergeCell ref="D128:E128"/>
    <mergeCell ref="D129:E129"/>
    <mergeCell ref="D130:E130"/>
    <mergeCell ref="D132:E132"/>
    <mergeCell ref="A121:C121"/>
    <mergeCell ref="D121:E121"/>
    <mergeCell ref="A127:C127"/>
    <mergeCell ref="A128:C128"/>
    <mergeCell ref="D101:E101"/>
    <mergeCell ref="D103:E103"/>
    <mergeCell ref="D104:E104"/>
    <mergeCell ref="A118:C118"/>
    <mergeCell ref="A122:C122"/>
    <mergeCell ref="A123:C123"/>
    <mergeCell ref="A115:C115"/>
    <mergeCell ref="A108:C108"/>
    <mergeCell ref="A109:C109"/>
    <mergeCell ref="A110:C110"/>
    <mergeCell ref="A111:C111"/>
    <mergeCell ref="A73:C73"/>
    <mergeCell ref="D73:E73"/>
    <mergeCell ref="A74:C74"/>
    <mergeCell ref="A179:G179"/>
    <mergeCell ref="A5:G5"/>
    <mergeCell ref="A12:G12"/>
    <mergeCell ref="A23:F23"/>
    <mergeCell ref="A24:G24"/>
    <mergeCell ref="A31:F31"/>
    <mergeCell ref="F93:G93"/>
    <mergeCell ref="F97:G97"/>
    <mergeCell ref="A169:G169"/>
    <mergeCell ref="A159:G159"/>
    <mergeCell ref="A162:C162"/>
    <mergeCell ref="A163:C163"/>
    <mergeCell ref="A164:C164"/>
    <mergeCell ref="A165:C165"/>
    <mergeCell ref="A166:C166"/>
    <mergeCell ref="A167:C167"/>
    <mergeCell ref="A168:C168"/>
    <mergeCell ref="A161:C161"/>
    <mergeCell ref="A174:C174"/>
    <mergeCell ref="A173:C173"/>
    <mergeCell ref="A139:C139"/>
    <mergeCell ref="D118:E118"/>
    <mergeCell ref="D122:E122"/>
    <mergeCell ref="D123:E123"/>
    <mergeCell ref="A141:G141"/>
    <mergeCell ref="A142:G142"/>
    <mergeCell ref="A143:C143"/>
    <mergeCell ref="A124:C124"/>
    <mergeCell ref="D124:E124"/>
    <mergeCell ref="F124:G124"/>
    <mergeCell ref="A125:C125"/>
    <mergeCell ref="D125:E125"/>
    <mergeCell ref="F125:G125"/>
    <mergeCell ref="A126:C126"/>
    <mergeCell ref="D126:E126"/>
    <mergeCell ref="F126:G126"/>
    <mergeCell ref="A132:C132"/>
    <mergeCell ref="A133:C133"/>
    <mergeCell ref="A134:C134"/>
    <mergeCell ref="D131:E131"/>
    <mergeCell ref="A140:G140"/>
    <mergeCell ref="F130:G130"/>
    <mergeCell ref="A131:C131"/>
    <mergeCell ref="F133:G133"/>
    <mergeCell ref="D133:E133"/>
    <mergeCell ref="A145:C145"/>
    <mergeCell ref="A146:C146"/>
    <mergeCell ref="A147:C147"/>
    <mergeCell ref="A148:C148"/>
    <mergeCell ref="A149:C149"/>
    <mergeCell ref="A116:G116"/>
    <mergeCell ref="D137:E137"/>
    <mergeCell ref="D138:E138"/>
    <mergeCell ref="D139:E139"/>
    <mergeCell ref="A129:C129"/>
    <mergeCell ref="A130:C130"/>
    <mergeCell ref="A137:C137"/>
    <mergeCell ref="F118:G118"/>
    <mergeCell ref="F127:G127"/>
    <mergeCell ref="F131:G131"/>
    <mergeCell ref="F136:G136"/>
    <mergeCell ref="F137:G137"/>
    <mergeCell ref="F138:G138"/>
    <mergeCell ref="F139:G139"/>
    <mergeCell ref="F122:G122"/>
    <mergeCell ref="F123:G123"/>
    <mergeCell ref="F128:G128"/>
    <mergeCell ref="F129:G129"/>
    <mergeCell ref="A144:C144"/>
    <mergeCell ref="D111:E111"/>
    <mergeCell ref="F121:G121"/>
    <mergeCell ref="D114:E114"/>
    <mergeCell ref="D115:E115"/>
    <mergeCell ref="A114:C114"/>
    <mergeCell ref="F113:G113"/>
    <mergeCell ref="F114:G114"/>
    <mergeCell ref="F115:G115"/>
    <mergeCell ref="F108:G108"/>
    <mergeCell ref="D112:E112"/>
    <mergeCell ref="A117:G117"/>
    <mergeCell ref="D113:E113"/>
    <mergeCell ref="A112:C112"/>
    <mergeCell ref="A25:F25"/>
    <mergeCell ref="A26:F26"/>
    <mergeCell ref="A28:F28"/>
    <mergeCell ref="A29:F29"/>
    <mergeCell ref="A30:F30"/>
    <mergeCell ref="F95:G95"/>
    <mergeCell ref="A60:G60"/>
    <mergeCell ref="A62:C62"/>
    <mergeCell ref="A86:G86"/>
    <mergeCell ref="A50:C50"/>
    <mergeCell ref="A51:C51"/>
    <mergeCell ref="D50:F50"/>
    <mergeCell ref="D51:F51"/>
    <mergeCell ref="D57:F57"/>
    <mergeCell ref="D58:F58"/>
    <mergeCell ref="D59:F59"/>
    <mergeCell ref="A52:C52"/>
    <mergeCell ref="A53:C53"/>
    <mergeCell ref="A54:C54"/>
    <mergeCell ref="A55:C55"/>
    <mergeCell ref="A56:C56"/>
    <mergeCell ref="A57:C57"/>
    <mergeCell ref="A87:G87"/>
    <mergeCell ref="D69:E69"/>
    <mergeCell ref="A32:G32"/>
    <mergeCell ref="A33:G33"/>
    <mergeCell ref="A107:C107"/>
    <mergeCell ref="A102:C102"/>
    <mergeCell ref="A97:C97"/>
    <mergeCell ref="A88:C88"/>
    <mergeCell ref="D95:E95"/>
    <mergeCell ref="D96:E96"/>
    <mergeCell ref="D98:E98"/>
    <mergeCell ref="D99:E99"/>
    <mergeCell ref="D100:E100"/>
    <mergeCell ref="F92:G92"/>
    <mergeCell ref="F62:G62"/>
    <mergeCell ref="A66:C66"/>
    <mergeCell ref="D66:E66"/>
    <mergeCell ref="F66:G66"/>
    <mergeCell ref="A67:C67"/>
    <mergeCell ref="D67:E67"/>
    <mergeCell ref="F67:G67"/>
    <mergeCell ref="D43:F43"/>
    <mergeCell ref="D44:F44"/>
    <mergeCell ref="F98:G98"/>
    <mergeCell ref="F104:G104"/>
    <mergeCell ref="A39:C39"/>
    <mergeCell ref="A40:C40"/>
    <mergeCell ref="A41:C41"/>
    <mergeCell ref="A42:C42"/>
    <mergeCell ref="D39:F39"/>
    <mergeCell ref="D40:F40"/>
    <mergeCell ref="D41:F41"/>
    <mergeCell ref="A58:C58"/>
    <mergeCell ref="A59:C59"/>
    <mergeCell ref="D34:F34"/>
    <mergeCell ref="D35:F35"/>
    <mergeCell ref="D36:F36"/>
    <mergeCell ref="D37:F37"/>
    <mergeCell ref="D38:F38"/>
    <mergeCell ref="A34:C34"/>
    <mergeCell ref="A35:C35"/>
    <mergeCell ref="A36:C36"/>
    <mergeCell ref="A37:C37"/>
    <mergeCell ref="A38:C38"/>
    <mergeCell ref="A43:C43"/>
    <mergeCell ref="A44:C44"/>
    <mergeCell ref="A45:C45"/>
    <mergeCell ref="A46:C46"/>
    <mergeCell ref="A47:C47"/>
    <mergeCell ref="D45:F45"/>
    <mergeCell ref="D46:F46"/>
    <mergeCell ref="A48:C48"/>
    <mergeCell ref="A49:C49"/>
    <mergeCell ref="A119:C119"/>
    <mergeCell ref="D119:E119"/>
    <mergeCell ref="F119:G119"/>
    <mergeCell ref="A120:C120"/>
    <mergeCell ref="D120:E120"/>
    <mergeCell ref="F120:G120"/>
    <mergeCell ref="F111:G111"/>
    <mergeCell ref="F94:G94"/>
    <mergeCell ref="D92:E92"/>
    <mergeCell ref="D93:E93"/>
    <mergeCell ref="D94:E94"/>
    <mergeCell ref="D107:E107"/>
    <mergeCell ref="D102:E102"/>
    <mergeCell ref="D97:E97"/>
    <mergeCell ref="A103:C103"/>
    <mergeCell ref="A104:C104"/>
    <mergeCell ref="A105:C105"/>
    <mergeCell ref="A106:C106"/>
    <mergeCell ref="A98:C98"/>
    <mergeCell ref="A113:C113"/>
    <mergeCell ref="F112:G112"/>
    <mergeCell ref="F106:G106"/>
    <mergeCell ref="F102:G102"/>
    <mergeCell ref="F101:G101"/>
    <mergeCell ref="A99:C99"/>
    <mergeCell ref="A92:C92"/>
    <mergeCell ref="A93:C93"/>
    <mergeCell ref="A94:C94"/>
    <mergeCell ref="A95:C95"/>
    <mergeCell ref="A96:C96"/>
    <mergeCell ref="F96:G96"/>
    <mergeCell ref="F99:G99"/>
    <mergeCell ref="A65:C65"/>
    <mergeCell ref="D65:E65"/>
    <mergeCell ref="F65:G65"/>
    <mergeCell ref="F88:G88"/>
    <mergeCell ref="D88:E88"/>
    <mergeCell ref="F69:G69"/>
    <mergeCell ref="A70:C70"/>
    <mergeCell ref="D70:E70"/>
    <mergeCell ref="F70:G70"/>
    <mergeCell ref="A68:C68"/>
    <mergeCell ref="D68:E68"/>
    <mergeCell ref="F68:G68"/>
    <mergeCell ref="A71:C71"/>
    <mergeCell ref="D71:E71"/>
    <mergeCell ref="F71:G71"/>
    <mergeCell ref="A72:C72"/>
    <mergeCell ref="D72:E72"/>
    <mergeCell ref="F72:G72"/>
    <mergeCell ref="F73:G73"/>
    <mergeCell ref="D74:E74"/>
    <mergeCell ref="F74:G74"/>
    <mergeCell ref="A75:C75"/>
    <mergeCell ref="D75:E75"/>
    <mergeCell ref="F75:G75"/>
    <mergeCell ref="A27:F27"/>
    <mergeCell ref="D89:E89"/>
    <mergeCell ref="F89:G89"/>
    <mergeCell ref="A90:C90"/>
    <mergeCell ref="D90:E90"/>
    <mergeCell ref="F90:G90"/>
    <mergeCell ref="A91:C91"/>
    <mergeCell ref="D91:E91"/>
    <mergeCell ref="F91:G91"/>
    <mergeCell ref="A63:C63"/>
    <mergeCell ref="D63:E63"/>
    <mergeCell ref="F63:G63"/>
    <mergeCell ref="A64:C64"/>
    <mergeCell ref="D64:E64"/>
    <mergeCell ref="F64:G64"/>
    <mergeCell ref="D42:F42"/>
    <mergeCell ref="D52:F52"/>
    <mergeCell ref="D53:F53"/>
    <mergeCell ref="D54:F54"/>
    <mergeCell ref="D55:F55"/>
    <mergeCell ref="D56:F56"/>
    <mergeCell ref="D47:F47"/>
    <mergeCell ref="D48:F48"/>
    <mergeCell ref="D49:F49"/>
  </mergeCells>
  <conditionalFormatting sqref="A151:G151">
    <cfRule type="expression" dxfId="113" priority="5">
      <formula>AND($F$151=0,$G$151=0)</formula>
    </cfRule>
  </conditionalFormatting>
  <dataValidations disablePrompts="1" count="36">
    <dataValidation type="list" allowBlank="1" showErrorMessage="1" prompt="select yes or no" sqref="D128:E128 D69:E69 D98:E98" xr:uid="{AD1DAEB1-D591-40A1-8F2F-245A766CCD29}">
      <formula1>"Yes,No"</formula1>
    </dataValidation>
    <dataValidation type="list" allowBlank="1" showErrorMessage="1" prompt="Select yes or no." sqref="G25:G31 G13:G23" xr:uid="{880B02FF-EF76-4359-901A-F7DFEDECFB4E}">
      <formula1>"Yes,No"</formula1>
    </dataValidation>
    <dataValidation type="decimal" operator="greaterThanOrEqual" allowBlank="1" showErrorMessage="1" prompt="Enter distance to property line in ft." sqref="D122:E122 D10:G10 D66:E66 D92:E92" xr:uid="{A8C6F6FF-9FDB-42DE-A4EC-67C70178E9C6}">
      <formula1>25</formula1>
    </dataValidation>
    <dataValidation type="decimal" operator="greaterThanOrEqual" allowBlank="1" showErrorMessage="1" prompt="Enter release height in ft." sqref="D11:G11" xr:uid="{709E1DE4-1090-48FF-9D6C-191A1ED283F2}">
      <formula1>3</formula1>
    </dataValidation>
    <dataValidation type="decimal" operator="greaterThanOrEqual" allowBlank="1" showErrorMessage="1" prompt="Enter release height in ft." sqref="D123:E123 D67:E67 D93:E93" xr:uid="{D22BBD35-1802-48D8-9897-BF85622D0936}">
      <formula1>12</formula1>
    </dataValidation>
    <dataValidation type="decimal" operator="greaterThanOrEqual" allowBlank="1" showErrorMessage="1" prompt="Enter stack exit diameter in ft." sqref="D124:E124 D94:E94" xr:uid="{35887716-1BEF-4D4D-9315-FAA152FD344F}">
      <formula1>2</formula1>
    </dataValidation>
    <dataValidation type="decimal" operator="greaterThanOrEqual" allowBlank="1" showErrorMessage="1" prompt="Enter stack exit temperature in degrees F." sqref="D125:E125 D95:E95" xr:uid="{DE3DD41B-4B76-421D-B312-73E7785058D4}">
      <formula1>1400</formula1>
    </dataValidation>
    <dataValidation type="decimal" operator="greaterThanOrEqual" allowBlank="1" showErrorMessage="1" prompt="Enter stack exit velocity in fps." sqref="D126:E126 D96:E96" xr:uid="{43DB87A5-B866-4C13-B669-AC2B80060113}">
      <formula1>32</formula1>
    </dataValidation>
    <dataValidation type="whole" operator="greaterThanOrEqual" allowBlank="1" showErrorMessage="1" prompt="enter the number of pilot lights on simultanesouly" sqref="D133:E133 D74:E74 D104:E104" xr:uid="{7A6D30A3-771B-46F3-AB72-1A2CF2771DC7}">
      <formula1>1</formula1>
    </dataValidation>
    <dataValidation type="list" allowBlank="1" showErrorMessage="1" prompt="select i agree" sqref="D130:E130 D71:E71 D101:E101" xr:uid="{FAC08ACC-E1BC-4210-848E-4676DDEE0648}">
      <formula1>"I agree."</formula1>
    </dataValidation>
    <dataValidation allowBlank="1" showErrorMessage="1" prompt="enter the Pilot fuel flow rate (scf/hr per pilot)" sqref="D134:E134" xr:uid="{F4EC93A8-714E-4304-9FD8-2FFB060CCAA8}"/>
    <dataValidation allowBlank="1" showErrorMessage="1" prompt="enter the Hours of operation per year (hr/yr)" sqref="D135:E135 D76:E76 D106:E106" xr:uid="{2E30F4F1-C01A-4466-9910-1E9EEB6DC042}"/>
    <dataValidation allowBlank="1" showErrorMessage="1" prompt="enter the Maximum heating value of waste stream (Btu/scf)" sqref="D137:E137 D82:E82 D112:E112" xr:uid="{CF21CAA1-A484-48C7-9DD5-EFB8918149EA}"/>
    <dataValidation allowBlank="1" showErrorMessage="1" prompt="enter the design maximum hourly flow rate (scf/hr)" sqref="D138:E138" xr:uid="{853C99DA-13C9-4D46-9742-DC2D5D6F8A75}"/>
    <dataValidation allowBlank="1" showErrorMessage="1" prompt="enter the annual flow rate (scf/year)" sqref="D139:E139" xr:uid="{ACDAC5BA-62D1-4A91-8EC6-A70352477A7F}"/>
    <dataValidation allowBlank="1" showErrorMessage="1" prompt="enter the Maximum firing rate (MMBtu/hr)" sqref="D100:E100" xr:uid="{C4B173C4-8140-488C-A210-965D4EB1D27F}"/>
    <dataValidation allowBlank="1" showErrorMessage="1" prompt="enter the Number of pilot lights on simultaneously" sqref="D105:E105 D75:E75" xr:uid="{21932396-CA6F-4A8A-9C63-569AC4ABB0F2}"/>
    <dataValidation allowBlank="1" showErrorMessage="1" prompt="enter the Supplemental fuel hourly flow rate (scf/hr)" sqref="D109:E109 D79:E79" xr:uid="{0831FFFF-C31E-4FB7-A7D6-F7493AFB6C82}"/>
    <dataValidation allowBlank="1" showErrorMessage="1" prompt="enter the Supplemental fuel annual flow rate (scf/yr)" sqref="D110:E110 D80:E80" xr:uid="{D9F5CC1A-43BC-4177-9654-A195AF57D61E}"/>
    <dataValidation allowBlank="1" showErrorMessage="1" prompt="enter the annual average heating value of waste stream (Btu/scf)" sqref="D113:E113 D83:E83" xr:uid="{D9B770BA-8F6F-4DBB-A4BB-B1F9F873FEF7}"/>
    <dataValidation allowBlank="1" showErrorMessage="1" prompt="enter the Design maximum hourly flow rate (scf/hr)" sqref="D114:E114 D84:E84" xr:uid="{7E414A70-FFF5-46C4-8496-2E8C2ED86A8B}"/>
    <dataValidation allowBlank="1" showErrorMessage="1" prompt="enter the Annual flow rate (scf/yr)" sqref="D115:E115 D85:E85" xr:uid="{5DC6048F-E3E2-4C5C-A0E5-71D4574F772D}"/>
    <dataValidation type="list" allowBlank="1" showErrorMessage="1" prompt="select CAS number" sqref="A35:C59" xr:uid="{537E445C-E190-435B-AC1D-0F92C4617C18}">
      <formula1>CASused</formula1>
    </dataValidation>
    <dataValidation allowBlank="1" showErrorMessage="1" prompt="enter EPN" sqref="D8:G8" xr:uid="{734276E5-C652-4587-9A54-6A59C67C458E}"/>
    <dataValidation allowBlank="1" showErrorMessage="1" prompt="enter source name" sqref="D9:G9" xr:uid="{8EB13C22-19EC-4131-B71B-DAB2E7FFE351}"/>
    <dataValidation allowBlank="1" showErrorMessage="1" prompt="Enter the source name." sqref="D121:E121 D65:E65 D91:E91" xr:uid="{B7E3E2A7-69E5-4A4A-A97C-C38A9C3B2A5D}"/>
    <dataValidation allowBlank="1" showErrorMessage="1" prompt="Enter the EPN." sqref="D120:E120 D64:E64 D90:E90" xr:uid="{2E49E92E-36DC-4085-96CF-89D7847E61E8}"/>
    <dataValidation allowBlank="1" showErrorMessage="1" prompt="Enter the FIN." sqref="D119:E119 D63:E63 D89:E89" xr:uid="{1080BFBE-15BE-4FAA-A0A2-873970E3E66D}"/>
    <dataValidation type="decimal" allowBlank="1" showErrorMessage="1" prompt="enter control efficiency (%)" sqref="D129:E129 D99:E99" xr:uid="{BABA5D08-55E9-47E2-BB29-AC4923A54164}">
      <formula1>0.99</formula1>
      <formula2>1</formula2>
    </dataValidation>
    <dataValidation allowBlank="1" showInputMessage="1" showErrorMessage="1" prompt="enter the hourly emision rate in lb/hr" sqref="F159:F160 F152:F153" xr:uid="{5C9A237C-8EB5-47B4-ACB1-40483F5413B5}"/>
    <dataValidation allowBlank="1" showInputMessage="1" showErrorMessage="1" prompt="enter the annual emissions in tpy" sqref="G159:G160 G152:G153" xr:uid="{C6B0AFD1-39E0-45AB-B085-4005A5E63AA2}"/>
    <dataValidation type="decimal" allowBlank="1" showErrorMessage="1" prompt="enter control efficiency (%)" sqref="D70:E70" xr:uid="{F4BFC892-4483-4A98-BE89-0B4A254922B7}">
      <formula1>0.98</formula1>
      <formula2>1</formula2>
    </dataValidation>
    <dataValidation type="list" allowBlank="1" showErrorMessage="1" prompt="select natural gas" sqref="D132:E132 D73:E73 D78:E78 D103:E103 D108:E108" xr:uid="{42D007FA-37BB-436A-81AF-32B0BB79F0FD}">
      <formula1>"natural gas"</formula1>
    </dataValidation>
    <dataValidation type="decimal" operator="lessThanOrEqual" allowBlank="1" showErrorMessage="1" prompt="enter vapor weight fraction" sqref="G35:G59" xr:uid="{D64151E5-2E70-4486-BEFD-FC020877A7FD}">
      <formula1>1</formula1>
    </dataValidation>
    <dataValidation allowBlank="1" showErrorMessage="1" prompt="enter the hourly emision rate in lb/hr" sqref="F144:F150" xr:uid="{AF0045D4-E131-4451-BE7D-B7FD131F2320}"/>
    <dataValidation allowBlank="1" showErrorMessage="1" prompt="enter the annual emissions in tpy" sqref="G144:G150" xr:uid="{B99DBFB6-B577-45BB-B233-E4E4ACF19760}"/>
  </dataValidations>
  <printOptions horizontalCentered="1"/>
  <pageMargins left="0.7" right="0.7" top="0.75" bottom="0.75" header="0.3" footer="0.3"/>
  <pageSetup scale="78" orientation="portrait" r:id="rId1"/>
  <headerFooter>
    <oddHeader>&amp;C&amp;"Calibri,Regular"Marine Loading RAP Application</oddHeader>
    <oddFooter>&amp;L&amp;"Calibri,Regular"Version 1.0&amp;C&amp;"Calibri,Regular"Sheet: &amp;A&amp;R&amp;"Calibri,Regular"Page &amp;P</oddFooter>
  </headerFooter>
  <extLst>
    <ext xmlns:x14="http://schemas.microsoft.com/office/spreadsheetml/2009/9/main" uri="{78C0D931-6437-407d-A8EE-F0AAD7539E65}">
      <x14:conditionalFormattings>
        <x14:conditionalFormatting xmlns:xm="http://schemas.microsoft.com/office/excel/2006/main">
          <x14:cfRule type="expression" priority="1" id="{006628EB-A9CE-4848-A1C0-577A32D6B36C}">
            <xm:f>COUNTIF('PI-1-MarineLoading'!$G$128:$G$131,"NO")=4</xm:f>
            <x14:dxf>
              <numFmt numFmtId="164" formatCode=";;;"/>
              <fill>
                <patternFill>
                  <bgColor theme="0" tint="-0.499984740745262"/>
                </patternFill>
              </fill>
            </x14:dxf>
          </x14:cfRule>
          <xm:sqref>A2:G179</xm:sqref>
        </x14:conditionalFormatting>
        <x14:conditionalFormatting xmlns:xm="http://schemas.microsoft.com/office/excel/2006/main">
          <x14:cfRule type="expression" priority="10" id="{E4DB2A40-77EB-435C-AF1A-2E86ED8C7A38}">
            <xm:f>'PI-1-MarineLoading'!$G$128="no"</xm:f>
            <x14:dxf>
              <numFmt numFmtId="164" formatCode=";;;"/>
              <fill>
                <patternFill>
                  <bgColor theme="0" tint="-0.499984740745262"/>
                </patternFill>
              </fill>
            </x14:dxf>
          </x14:cfRule>
          <xm:sqref>A5:G59 A142:G151</xm:sqref>
        </x14:conditionalFormatting>
        <x14:conditionalFormatting xmlns:xm="http://schemas.microsoft.com/office/excel/2006/main">
          <x14:cfRule type="expression" priority="4" id="{D8A1ADE4-EB4C-4431-A28D-FF0DAAC54046}">
            <xm:f>'PI-1-MarineLoading'!$G$129="no"</xm:f>
            <x14:dxf>
              <numFmt numFmtId="164" formatCode=";;;"/>
              <fill>
                <patternFill>
                  <bgColor theme="0" tint="-0.499984740745262"/>
                </patternFill>
              </fill>
            </x14:dxf>
          </x14:cfRule>
          <xm:sqref>A61:G85</xm:sqref>
        </x14:conditionalFormatting>
        <x14:conditionalFormatting xmlns:xm="http://schemas.microsoft.com/office/excel/2006/main">
          <x14:cfRule type="expression" priority="3" id="{582DCA92-D8C6-4217-A5BD-21E8EA064CCD}">
            <xm:f>'PI-1-MarineLoading'!$G$130="no"</xm:f>
            <x14:dxf>
              <numFmt numFmtId="164" formatCode=";;;"/>
              <fill>
                <patternFill>
                  <bgColor theme="0" tint="-0.499984740745262"/>
                </patternFill>
              </fill>
            </x14:dxf>
          </x14:cfRule>
          <xm:sqref>A87:G115</xm:sqref>
        </x14:conditionalFormatting>
        <x14:conditionalFormatting xmlns:xm="http://schemas.microsoft.com/office/excel/2006/main">
          <x14:cfRule type="expression" priority="2" id="{B6EA4452-C64B-4BAF-A70C-272C9DCB1996}">
            <xm:f>'PI-1-MarineLoading'!$G$131="no"</xm:f>
            <x14:dxf>
              <numFmt numFmtId="164" formatCode=";;;"/>
              <fill>
                <patternFill>
                  <bgColor theme="0" tint="-0.499984740745262"/>
                </patternFill>
              </fill>
            </x14:dxf>
          </x14:cfRule>
          <xm:sqref>A117:G139</xm:sqref>
        </x14:conditionalFormatting>
        <x14:conditionalFormatting xmlns:xm="http://schemas.microsoft.com/office/excel/2006/main">
          <x14:cfRule type="expression" priority="8" id="{65CA137D-0402-44CB-A474-76E36075A87C}">
            <xm:f>'PI-1-MarineLoading'!$G$129="no"</xm:f>
            <x14:dxf>
              <numFmt numFmtId="164" formatCode=";;;"/>
              <fill>
                <patternFill>
                  <bgColor theme="0" tint="-0.499984740745262"/>
                </patternFill>
              </fill>
            </x14:dxf>
          </x14:cfRule>
          <xm:sqref>A152:G158</xm:sqref>
        </x14:conditionalFormatting>
        <x14:conditionalFormatting xmlns:xm="http://schemas.microsoft.com/office/excel/2006/main">
          <x14:cfRule type="expression" priority="7" id="{82BDF014-B22D-44BB-B8B7-B92599BB22A1}">
            <xm:f>'PI-1-MarineLoading'!$G$130="no"</xm:f>
            <x14:dxf>
              <numFmt numFmtId="164" formatCode=";;;"/>
              <fill>
                <patternFill>
                  <bgColor theme="0" tint="-0.499984740745262"/>
                </patternFill>
              </fill>
            </x14:dxf>
          </x14:cfRule>
          <xm:sqref>A159:G168</xm:sqref>
        </x14:conditionalFormatting>
        <x14:conditionalFormatting xmlns:xm="http://schemas.microsoft.com/office/excel/2006/main">
          <x14:cfRule type="expression" priority="6" id="{019FA35F-9354-4DE5-B4CE-808379C86775}">
            <xm:f>'PI-1-MarineLoading'!$G$131="no"</xm:f>
            <x14:dxf>
              <numFmt numFmtId="164" formatCode=";;;"/>
              <fill>
                <patternFill>
                  <bgColor theme="0" tint="-0.499984740745262"/>
                </patternFill>
              </fill>
            </x14:dxf>
          </x14:cfRule>
          <xm:sqref>A169:G178</xm:sqref>
        </x14:conditionalFormatting>
      </x14:conditionalFormatting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38D41-712E-401F-BF31-674205B77EAA}">
  <sheetPr codeName="Sheet28">
    <tabColor theme="8" tint="0.39997558519241921"/>
    <pageSetUpPr fitToPage="1"/>
  </sheetPr>
  <dimension ref="A1:AA79"/>
  <sheetViews>
    <sheetView showGridLines="0" zoomScaleNormal="100" workbookViewId="0">
      <selection sqref="A1:W1"/>
    </sheetView>
  </sheetViews>
  <sheetFormatPr defaultColWidth="0" defaultRowHeight="14.25" zeroHeight="1" x14ac:dyDescent="0.2"/>
  <cols>
    <col min="1" max="1" width="25.125" customWidth="1"/>
    <col min="2" max="2" width="27.375" customWidth="1"/>
    <col min="3" max="3" width="19.5" customWidth="1"/>
    <col min="4" max="4" width="8.875" customWidth="1"/>
    <col min="5" max="5" width="11.25" customWidth="1"/>
    <col min="6" max="6" width="8.875" customWidth="1"/>
    <col min="7" max="7" width="10.75" customWidth="1"/>
    <col min="8" max="8" width="8.875" customWidth="1"/>
    <col min="9" max="9" width="10.5" customWidth="1"/>
    <col min="10" max="10" width="9.875" customWidth="1"/>
    <col min="11" max="13" width="10.5" customWidth="1"/>
    <col min="14" max="14" width="8.875" customWidth="1"/>
    <col min="15" max="23" width="10.75" customWidth="1"/>
    <col min="24" max="24" width="2.625" customWidth="1"/>
    <col min="25" max="16384" width="9" hidden="1"/>
  </cols>
  <sheetData>
    <row r="1" spans="1:27" ht="8.25" customHeight="1" thickBot="1" x14ac:dyDescent="0.25">
      <c r="A1" s="478" t="s">
        <v>0</v>
      </c>
      <c r="B1" s="478"/>
      <c r="C1" s="478"/>
      <c r="D1" s="478"/>
      <c r="E1" s="478"/>
      <c r="F1" s="478"/>
      <c r="G1" s="478"/>
      <c r="H1" s="478"/>
      <c r="I1" s="478"/>
      <c r="J1" s="478"/>
      <c r="K1" s="478"/>
      <c r="L1" s="478"/>
      <c r="M1" s="478"/>
      <c r="N1" s="478"/>
      <c r="O1" s="478"/>
      <c r="P1" s="478"/>
      <c r="Q1" s="478"/>
      <c r="R1" s="478"/>
      <c r="S1" s="478"/>
      <c r="T1" s="478"/>
      <c r="U1" s="478"/>
      <c r="V1" s="478"/>
      <c r="W1" s="478"/>
    </row>
    <row r="2" spans="1:27" ht="18.75" thickBot="1" x14ac:dyDescent="0.25">
      <c r="A2" s="978" t="s">
        <v>9206</v>
      </c>
      <c r="B2" s="979"/>
      <c r="C2" s="979"/>
      <c r="D2" s="979"/>
      <c r="E2" s="979"/>
      <c r="F2" s="979"/>
      <c r="G2" s="979"/>
      <c r="H2" s="979"/>
      <c r="I2" s="979"/>
      <c r="J2" s="979"/>
      <c r="K2" s="979"/>
      <c r="L2" s="979"/>
      <c r="M2" s="979"/>
      <c r="N2" s="979"/>
      <c r="O2" s="979"/>
      <c r="P2" s="979"/>
      <c r="Q2" s="979"/>
      <c r="R2" s="979"/>
      <c r="S2" s="979"/>
      <c r="T2" s="979"/>
      <c r="U2" s="979"/>
      <c r="V2" s="979"/>
      <c r="W2" s="980"/>
    </row>
    <row r="3" spans="1:27" ht="87" customHeight="1" thickBot="1" x14ac:dyDescent="0.25">
      <c r="A3" s="634" t="s">
        <v>10876</v>
      </c>
      <c r="B3" s="635"/>
      <c r="C3" s="635"/>
      <c r="D3" s="635"/>
      <c r="E3" s="635"/>
      <c r="F3" s="635"/>
      <c r="G3" s="635"/>
      <c r="H3" s="635"/>
      <c r="I3" s="635"/>
      <c r="J3" s="635"/>
      <c r="K3" s="635"/>
      <c r="L3" s="635"/>
      <c r="M3" s="635"/>
      <c r="N3" s="635"/>
      <c r="O3" s="635"/>
      <c r="P3" s="635"/>
      <c r="Q3" s="635"/>
      <c r="R3" s="635"/>
      <c r="S3" s="635"/>
      <c r="T3" s="635"/>
      <c r="U3" s="635"/>
      <c r="V3" s="635"/>
      <c r="W3" s="636"/>
    </row>
    <row r="4" spans="1:27" ht="15" thickBot="1" x14ac:dyDescent="0.25">
      <c r="A4" s="478" t="s">
        <v>9104</v>
      </c>
      <c r="B4" s="478"/>
      <c r="C4" s="478"/>
      <c r="D4" s="478"/>
      <c r="E4" s="478"/>
      <c r="F4" s="478"/>
      <c r="G4" s="478"/>
      <c r="H4" s="478"/>
      <c r="I4" s="478"/>
      <c r="J4" s="478"/>
      <c r="K4" s="478"/>
      <c r="L4" s="478"/>
      <c r="M4" s="478"/>
      <c r="N4" s="478"/>
      <c r="O4" s="478"/>
      <c r="P4" s="478"/>
      <c r="Q4" s="478"/>
      <c r="R4" s="478"/>
      <c r="S4" s="478"/>
      <c r="T4" s="478"/>
      <c r="U4" s="478"/>
      <c r="V4" s="478"/>
      <c r="W4" s="478"/>
    </row>
    <row r="5" spans="1:27" ht="15.75" thickBot="1" x14ac:dyDescent="0.25">
      <c r="A5" s="981" t="s">
        <v>9214</v>
      </c>
      <c r="B5" s="982"/>
      <c r="C5" s="982"/>
      <c r="D5" s="982"/>
      <c r="E5" s="982"/>
      <c r="F5" s="982"/>
      <c r="G5" s="982"/>
      <c r="H5" s="982"/>
      <c r="I5" s="982"/>
      <c r="J5" s="982"/>
      <c r="K5" s="982"/>
      <c r="L5" s="982"/>
      <c r="M5" s="982"/>
      <c r="N5" s="982"/>
      <c r="O5" s="982"/>
      <c r="P5" s="982"/>
      <c r="Q5" s="982"/>
      <c r="R5" s="982"/>
      <c r="S5" s="982"/>
      <c r="T5" s="982"/>
      <c r="U5" s="982"/>
      <c r="V5" s="982"/>
      <c r="W5" s="983"/>
    </row>
    <row r="6" spans="1:27" ht="42.75" customHeight="1" x14ac:dyDescent="0.2">
      <c r="A6" s="48" t="s">
        <v>167</v>
      </c>
      <c r="B6" s="49" t="s">
        <v>168</v>
      </c>
      <c r="C6" s="49" t="s">
        <v>169</v>
      </c>
      <c r="D6" s="792" t="s">
        <v>9207</v>
      </c>
      <c r="E6" s="793"/>
      <c r="F6" s="792" t="s">
        <v>9208</v>
      </c>
      <c r="G6" s="793"/>
      <c r="H6" s="792" t="s">
        <v>9209</v>
      </c>
      <c r="I6" s="793"/>
      <c r="J6" s="792" t="s">
        <v>9210</v>
      </c>
      <c r="K6" s="793"/>
      <c r="L6" s="792" t="s">
        <v>9211</v>
      </c>
      <c r="M6" s="793"/>
      <c r="N6" s="792" t="s">
        <v>9448</v>
      </c>
      <c r="O6" s="793"/>
      <c r="P6" s="792" t="s">
        <v>9449</v>
      </c>
      <c r="Q6" s="793"/>
      <c r="R6" s="792" t="s">
        <v>9447</v>
      </c>
      <c r="S6" s="793"/>
      <c r="T6" s="792" t="s">
        <v>9446</v>
      </c>
      <c r="U6" s="854"/>
      <c r="V6" s="792" t="s">
        <v>9445</v>
      </c>
      <c r="W6" s="794"/>
    </row>
    <row r="7" spans="1:27" x14ac:dyDescent="0.2">
      <c r="A7" s="9" t="str">
        <f>A44</f>
        <v/>
      </c>
      <c r="B7" s="16" t="str">
        <f>B44</f>
        <v/>
      </c>
      <c r="C7" s="16" t="str">
        <f>C44</f>
        <v/>
      </c>
      <c r="D7" s="688" t="s">
        <v>9363</v>
      </c>
      <c r="E7" s="650"/>
      <c r="F7" s="688" t="s">
        <v>9363</v>
      </c>
      <c r="G7" s="650"/>
      <c r="H7" s="688" t="s">
        <v>9363</v>
      </c>
      <c r="I7" s="650"/>
      <c r="J7" s="688" t="s">
        <v>9363</v>
      </c>
      <c r="K7" s="650"/>
      <c r="L7" s="688" t="s">
        <v>9363</v>
      </c>
      <c r="M7" s="650"/>
      <c r="N7" s="688" t="s">
        <v>9363</v>
      </c>
      <c r="O7" s="650"/>
      <c r="P7" s="974">
        <f>IF(Tank1!$D$22="no control",MAX(Tank1!G32,Tank1!G43,Tank1!G54,Tank1!G65,Tank1!G76,Tank1!G87,Tank1!G98,Tank1!G109,Tank1!G120,Tank1!G131),0)</f>
        <v>0</v>
      </c>
      <c r="Q7" s="975"/>
      <c r="R7" s="974">
        <f>IF(Tank1!$D$22="no control",_xlfn.MAXIFS(Tank1!$G$32:$G$141,Tank1!$E$32:$E$141,"7783-06-4"),0)</f>
        <v>0</v>
      </c>
      <c r="S7" s="975"/>
      <c r="T7" s="974">
        <f>IF(Tank1!$D$22="no control",_xlfn.MAXIFS(Tank1!$G$32:$G$141,Tank1!$E$32:$E$141,"7664-93-9"),0)</f>
        <v>0</v>
      </c>
      <c r="U7" s="975"/>
      <c r="V7" s="974">
        <f>IF(Tank1!$D$22="no control",_xlfn.MAXIFS(Tank1!$G$32:$G$141,Tank1!$E$32:$E$141,"7664-41-7"),0)</f>
        <v>0</v>
      </c>
      <c r="W7" s="977"/>
      <c r="Y7" t="b">
        <f>IF('PI-1-MarineLoading'!$G$115&lt;1,TRUE,FALSE)</f>
        <v>1</v>
      </c>
      <c r="AA7" s="8" t="s">
        <v>10009</v>
      </c>
    </row>
    <row r="8" spans="1:27" x14ac:dyDescent="0.2">
      <c r="A8" s="9" t="str">
        <f t="shared" ref="A8:C8" si="0">A45</f>
        <v/>
      </c>
      <c r="B8" s="16" t="str">
        <f t="shared" si="0"/>
        <v/>
      </c>
      <c r="C8" s="16" t="str">
        <f t="shared" si="0"/>
        <v/>
      </c>
      <c r="D8" s="688" t="s">
        <v>9363</v>
      </c>
      <c r="E8" s="650"/>
      <c r="F8" s="688" t="s">
        <v>9363</v>
      </c>
      <c r="G8" s="650"/>
      <c r="H8" s="688" t="s">
        <v>9363</v>
      </c>
      <c r="I8" s="650"/>
      <c r="J8" s="688" t="s">
        <v>9363</v>
      </c>
      <c r="K8" s="650"/>
      <c r="L8" s="688" t="s">
        <v>9363</v>
      </c>
      <c r="M8" s="650"/>
      <c r="N8" s="688" t="s">
        <v>9363</v>
      </c>
      <c r="O8" s="650"/>
      <c r="P8" s="974">
        <f>ConvenienceLand!F18</f>
        <v>0</v>
      </c>
      <c r="Q8" s="975"/>
      <c r="R8" s="974">
        <f>_xlfn.MAXIFS(LandEmiss!$AF$20:$AF$119,LandEmiss!$AE$20:$AE$119,"7783-06-4")</f>
        <v>0</v>
      </c>
      <c r="S8" s="975"/>
      <c r="T8" s="974">
        <f>_xlfn.MAXIFS(LandEmiss!$AF$20:$AF$119,LandEmiss!$AE$20:$AE$119,"7664-93-9")</f>
        <v>0</v>
      </c>
      <c r="U8" s="975"/>
      <c r="V8" s="974">
        <f>_xlfn.MAXIFS(LandEmiss!$AF$20:$AF$119,LandEmiss!$AE$20:$AE$119,"7664-41-7")</f>
        <v>0</v>
      </c>
      <c r="W8" s="977"/>
      <c r="Y8" t="b">
        <f>IF('PI-1-MarineLoading'!$G$115&lt;1,TRUE,IF(COUNTIF(Tank1!$D$18,"*floating*")=0,TRUE,IF(ConvenienceLand!$D$13=0,TRUE,FALSE)))</f>
        <v>1</v>
      </c>
      <c r="AA8" s="8" t="s">
        <v>10009</v>
      </c>
    </row>
    <row r="9" spans="1:27" x14ac:dyDescent="0.2">
      <c r="A9" s="9" t="str">
        <f t="shared" ref="A9:C9" si="1">A46</f>
        <v/>
      </c>
      <c r="B9" s="16" t="str">
        <f t="shared" si="1"/>
        <v/>
      </c>
      <c r="C9" s="16" t="str">
        <f t="shared" si="1"/>
        <v/>
      </c>
      <c r="D9" s="688" t="s">
        <v>9363</v>
      </c>
      <c r="E9" s="650"/>
      <c r="F9" s="688" t="s">
        <v>9363</v>
      </c>
      <c r="G9" s="650"/>
      <c r="H9" s="688" t="s">
        <v>9363</v>
      </c>
      <c r="I9" s="650"/>
      <c r="J9" s="688" t="s">
        <v>9363</v>
      </c>
      <c r="K9" s="650"/>
      <c r="L9" s="688" t="s">
        <v>9363</v>
      </c>
      <c r="M9" s="650"/>
      <c r="N9" s="688" t="s">
        <v>9363</v>
      </c>
      <c r="O9" s="650"/>
      <c r="P9" s="974">
        <f>IF(COUNTIF(Tank1!$D$18,"*floating*")&gt;0,TankMSS!$C$93,IF(COUNTIF(Tank1!$D$18,"*fixed*")&gt;0,TankMSS!$C$164,0))</f>
        <v>0</v>
      </c>
      <c r="Q9" s="975"/>
      <c r="R9" s="974">
        <f>(_xlfn.MAXIFS(LandEmiss!$CO$20:$CO$119,LandEmiss!$CN$20:$CN$119,"7783-06-4")+_xlfn.MAXIFS(LandEmiss!$EZ$9:$EZ$108,LandEmiss!$EY$9:$EY$108,"7783-06-4"))</f>
        <v>0</v>
      </c>
      <c r="S9" s="975"/>
      <c r="T9" s="974">
        <f>(_xlfn.MAXIFS(LandEmiss!$CO$20:$CO$119,LandEmiss!$CN$20:$CN$119,"7664-93-9")+_xlfn.MAXIFS(LandEmiss!$EZ$9:$EZ$108,LandEmiss!$EY$9:$EY$108,"7664-93-9"))</f>
        <v>0</v>
      </c>
      <c r="U9" s="975"/>
      <c r="V9" s="974">
        <f>(_xlfn.MAXIFS(LandEmiss!$CO$20:$CO$119,LandEmiss!$CN$20:$CN$119,"7664-41-7")+_xlfn.MAXIFS(LandEmiss!$EZ$9:$EZ$108,LandEmiss!$EY$9:$EY$108,"7664-41-7"))</f>
        <v>0</v>
      </c>
      <c r="W9" s="977"/>
      <c r="Y9" t="b">
        <f>IF('PI-1-MarineLoading'!$G$115&lt;1,TRUE,IF('PI-1-MarineLoading'!$G$128&lt;&gt;"Yes",TRUE,FALSE))</f>
        <v>1</v>
      </c>
      <c r="AA9" s="8" t="s">
        <v>10009</v>
      </c>
    </row>
    <row r="10" spans="1:27" x14ac:dyDescent="0.2">
      <c r="A10" s="9" t="str">
        <f t="shared" ref="A10:C10" si="2">A47</f>
        <v/>
      </c>
      <c r="B10" s="16" t="str">
        <f t="shared" si="2"/>
        <v/>
      </c>
      <c r="C10" s="16" t="str">
        <f t="shared" si="2"/>
        <v/>
      </c>
      <c r="D10" s="688" t="s">
        <v>9363</v>
      </c>
      <c r="E10" s="650"/>
      <c r="F10" s="688" t="s">
        <v>9363</v>
      </c>
      <c r="G10" s="650"/>
      <c r="H10" s="688" t="s">
        <v>9363</v>
      </c>
      <c r="I10" s="650"/>
      <c r="J10" s="688" t="s">
        <v>9363</v>
      </c>
      <c r="K10" s="650"/>
      <c r="L10" s="688" t="s">
        <v>9363</v>
      </c>
      <c r="M10" s="650"/>
      <c r="N10" s="688" t="s">
        <v>9363</v>
      </c>
      <c r="O10" s="650"/>
      <c r="P10" s="974">
        <f>IF(Tank2!$D$22="no control",MAX(Tank2!G32,Tank2!G43,Tank2!G54,Tank2!G65,Tank2!G76,Tank2!G87,Tank2!G98,Tank2!G109,Tank2!G120,Tank2!G131),0)</f>
        <v>0</v>
      </c>
      <c r="Q10" s="975"/>
      <c r="R10" s="974">
        <f>IF(Tank2!$D$22="no control",_xlfn.MAXIFS(Tank2!$G$32:$G$141,Tank2!$E$32:$E$141,"7783-06-4"),0)</f>
        <v>0</v>
      </c>
      <c r="S10" s="975"/>
      <c r="T10" s="974">
        <f>IF(Tank2!$D$22="no control",_xlfn.MAXIFS(Tank2!$G$32:$G$141,Tank2!$E$32:$E$141,"7664-93-9"),0)</f>
        <v>0</v>
      </c>
      <c r="U10" s="975"/>
      <c r="V10" s="974">
        <f>IF(Tank2!$D$22="no control",_xlfn.MAXIFS(Tank2!$G$32:$G$141,Tank2!$E$32:$E$141,"7664-41-7"),0)</f>
        <v>0</v>
      </c>
      <c r="W10" s="977"/>
      <c r="Y10" t="b">
        <f>IF('PI-1-MarineLoading'!$G$115&lt;2,TRUE,FALSE)</f>
        <v>1</v>
      </c>
      <c r="AA10" s="8" t="s">
        <v>10010</v>
      </c>
    </row>
    <row r="11" spans="1:27" x14ac:dyDescent="0.2">
      <c r="A11" s="9" t="str">
        <f t="shared" ref="A11:C11" si="3">A48</f>
        <v/>
      </c>
      <c r="B11" s="16" t="str">
        <f t="shared" si="3"/>
        <v/>
      </c>
      <c r="C11" s="16" t="str">
        <f t="shared" si="3"/>
        <v/>
      </c>
      <c r="D11" s="688" t="s">
        <v>9363</v>
      </c>
      <c r="E11" s="650"/>
      <c r="F11" s="688" t="s">
        <v>9363</v>
      </c>
      <c r="G11" s="650"/>
      <c r="H11" s="688" t="s">
        <v>9363</v>
      </c>
      <c r="I11" s="650"/>
      <c r="J11" s="688" t="s">
        <v>9363</v>
      </c>
      <c r="K11" s="650"/>
      <c r="L11" s="688" t="s">
        <v>9363</v>
      </c>
      <c r="M11" s="650"/>
      <c r="N11" s="688" t="s">
        <v>9363</v>
      </c>
      <c r="O11" s="650"/>
      <c r="P11" s="974">
        <f>IF(COUNTIF(Tank2!$D$18,"*floating*")&gt;0,TankMSS!$C$93,IF(COUNTIF(Tank2!$D$18,"*fixed*")&gt;0,TankMSS!$C$164,0))</f>
        <v>0</v>
      </c>
      <c r="Q11" s="975"/>
      <c r="R11" s="974">
        <f>(_xlfn.MAXIFS(LandEmiss!$CP$20:$CP$119,LandEmiss!$CN$20:$CN$119,"7783-06-4")+_xlfn.MAXIFS(LandEmiss!$FA$9:$FA$108,LandEmiss!$EY$9:$EY$108,"7783-06-4"))</f>
        <v>0</v>
      </c>
      <c r="S11" s="975"/>
      <c r="T11" s="974">
        <f>(_xlfn.MAXIFS(LandEmiss!$CP$20:$CP$119,LandEmiss!$CN$20:$CN$119,"7664-93-9")+_xlfn.MAXIFS(LandEmiss!$FA$9:$FA$108,LandEmiss!$EY$9:$EY$108,"7664-93-9"))</f>
        <v>0</v>
      </c>
      <c r="U11" s="975"/>
      <c r="V11" s="974">
        <f>(_xlfn.MAXIFS(LandEmiss!$CP$20:$CP$119,LandEmiss!$CN$20:$CN$119,"7664-41-7")+_xlfn.MAXIFS(LandEmiss!$FA$9:$FA$108,LandEmiss!$EY$9:$EY$108,"7664-41-7"))</f>
        <v>0</v>
      </c>
      <c r="W11" s="977"/>
      <c r="Y11" t="b">
        <f>IF('PI-1-MarineLoading'!$G$115&lt;2,TRUE,IF('PI-1-MarineLoading'!$G$128&lt;&gt;"Yes",TRUE,FALSE))</f>
        <v>1</v>
      </c>
      <c r="AA11" s="8" t="s">
        <v>10010</v>
      </c>
    </row>
    <row r="12" spans="1:27" x14ac:dyDescent="0.2">
      <c r="A12" s="9" t="str">
        <f t="shared" ref="A12:C12" si="4">A49</f>
        <v/>
      </c>
      <c r="B12" s="16" t="str">
        <f t="shared" si="4"/>
        <v/>
      </c>
      <c r="C12" s="16" t="str">
        <f t="shared" si="4"/>
        <v/>
      </c>
      <c r="D12" s="688" t="s">
        <v>9363</v>
      </c>
      <c r="E12" s="650"/>
      <c r="F12" s="688" t="s">
        <v>9363</v>
      </c>
      <c r="G12" s="650"/>
      <c r="H12" s="688" t="s">
        <v>9363</v>
      </c>
      <c r="I12" s="650"/>
      <c r="J12" s="688" t="s">
        <v>9363</v>
      </c>
      <c r="K12" s="650"/>
      <c r="L12" s="688" t="s">
        <v>9363</v>
      </c>
      <c r="M12" s="650"/>
      <c r="N12" s="688" t="s">
        <v>9363</v>
      </c>
      <c r="O12" s="650"/>
      <c r="P12" s="974">
        <f>ConvenienceLand!F35</f>
        <v>0</v>
      </c>
      <c r="Q12" s="975"/>
      <c r="R12" s="974">
        <f>_xlfn.MAXIFS(LandEmiss!$AG$20:$AG$119,LandEmiss!$AE$20:$AE$119,"7783-06-4")</f>
        <v>0</v>
      </c>
      <c r="S12" s="975"/>
      <c r="T12" s="974">
        <f>_xlfn.MAXIFS(LandEmiss!$AG$20:$AG$119,LandEmiss!$AE$20:$AE$119,"7664-93-9")</f>
        <v>0</v>
      </c>
      <c r="U12" s="975"/>
      <c r="V12" s="974">
        <f>_xlfn.MAXIFS(LandEmiss!$AG$20:$AG$119,LandEmiss!$AE$20:$AE$119,"7664-41-7")</f>
        <v>0</v>
      </c>
      <c r="W12" s="977"/>
      <c r="Y12" t="b">
        <f>IF('PI-1-MarineLoading'!$G$115&lt;2,TRUE,IF(COUNTIF(Tank2!$D$18,"*floating*")=0,TRUE,IF(ConvenienceLand!$D$30=0,TRUE,FALSE)))</f>
        <v>1</v>
      </c>
      <c r="AA12" s="8" t="s">
        <v>10010</v>
      </c>
    </row>
    <row r="13" spans="1:27" x14ac:dyDescent="0.2">
      <c r="A13" s="9" t="str">
        <f t="shared" ref="A13:C13" si="5">A50</f>
        <v/>
      </c>
      <c r="B13" s="16" t="str">
        <f t="shared" si="5"/>
        <v/>
      </c>
      <c r="C13" s="16" t="str">
        <f t="shared" si="5"/>
        <v/>
      </c>
      <c r="D13" s="688" t="s">
        <v>9363</v>
      </c>
      <c r="E13" s="650"/>
      <c r="F13" s="688" t="s">
        <v>9363</v>
      </c>
      <c r="G13" s="650"/>
      <c r="H13" s="688" t="s">
        <v>9363</v>
      </c>
      <c r="I13" s="650"/>
      <c r="J13" s="688" t="s">
        <v>9363</v>
      </c>
      <c r="K13" s="650"/>
      <c r="L13" s="688" t="s">
        <v>9363</v>
      </c>
      <c r="M13" s="650"/>
      <c r="N13" s="688" t="s">
        <v>9363</v>
      </c>
      <c r="O13" s="650"/>
      <c r="P13" s="974">
        <f>IF(Tank3!$D$22="no control",MAX(Tank3!G32,Tank3!G43,Tank3!G54,Tank3!G65,Tank3!G76,Tank3!G87,Tank3!G98,Tank3!G109,Tank3!G120,Tank3!G131),0)</f>
        <v>0</v>
      </c>
      <c r="Q13" s="975"/>
      <c r="R13" s="974">
        <f>IF(Tank3!$D$22="no control",_xlfn.MAXIFS(Tank3!$G$32:$G$141,Tank3!$E$32:$E$141,"7783-06-4"),0)</f>
        <v>0</v>
      </c>
      <c r="S13" s="975"/>
      <c r="T13" s="974">
        <f>IF(Tank3!$D$22="no control",_xlfn.MAXIFS(Tank3!$G$32:$G$141,Tank3!$E$32:$E$141,"7664-93-9"),0)</f>
        <v>0</v>
      </c>
      <c r="U13" s="975"/>
      <c r="V13" s="974">
        <f>IF(Tank3!$D$22="no control",_xlfn.MAXIFS(Tank3!$G$32:$G$141,Tank3!$E$32:$E$141,"7664-41-7"),0)</f>
        <v>0</v>
      </c>
      <c r="W13" s="977"/>
      <c r="Y13" t="b">
        <f>IF('PI-1-MarineLoading'!$G$115&lt;3,TRUE,FALSE)</f>
        <v>1</v>
      </c>
      <c r="AA13" s="8" t="s">
        <v>10011</v>
      </c>
    </row>
    <row r="14" spans="1:27" x14ac:dyDescent="0.2">
      <c r="A14" s="9" t="str">
        <f t="shared" ref="A14:C14" si="6">A51</f>
        <v/>
      </c>
      <c r="B14" s="16" t="str">
        <f t="shared" si="6"/>
        <v/>
      </c>
      <c r="C14" s="16" t="str">
        <f t="shared" si="6"/>
        <v/>
      </c>
      <c r="D14" s="688" t="s">
        <v>9363</v>
      </c>
      <c r="E14" s="650"/>
      <c r="F14" s="688" t="s">
        <v>9363</v>
      </c>
      <c r="G14" s="650"/>
      <c r="H14" s="688" t="s">
        <v>9363</v>
      </c>
      <c r="I14" s="650"/>
      <c r="J14" s="688" t="s">
        <v>9363</v>
      </c>
      <c r="K14" s="650"/>
      <c r="L14" s="688" t="s">
        <v>9363</v>
      </c>
      <c r="M14" s="650"/>
      <c r="N14" s="688" t="s">
        <v>9363</v>
      </c>
      <c r="O14" s="650"/>
      <c r="P14" s="974">
        <f>IF(COUNTIF(Tank3!$D$18,"*floating*")&gt;0,TankMSS!$C$93,IF(COUNTIF(Tank3!$D$18,"*fixed*")&gt;0,TankMSS!$C$164,0))</f>
        <v>0</v>
      </c>
      <c r="Q14" s="975"/>
      <c r="R14" s="974">
        <f>(_xlfn.MAXIFS(LandEmiss!$CQ$20:$CQ$119,LandEmiss!$CN$20:$CN$119,"7783-06-4")+_xlfn.MAXIFS(LandEmiss!$FB$9:$FB$108,LandEmiss!$EY$9:$EY$108,"7783-06-4"))</f>
        <v>0</v>
      </c>
      <c r="S14" s="975"/>
      <c r="T14" s="974">
        <f>(_xlfn.MAXIFS(LandEmiss!$CQ$20:$CQ$119,LandEmiss!$CN$20:$CN$119,"7664-93-9")+_xlfn.MAXIFS(LandEmiss!$FB$9:$FB$108,LandEmiss!$EY$9:$EY$108,"7664-93-9"))</f>
        <v>0</v>
      </c>
      <c r="U14" s="975"/>
      <c r="V14" s="974">
        <f>(_xlfn.MAXIFS(LandEmiss!$CQ$20:$CQ$119,LandEmiss!$CN$20:$CN$119,"7664-41-7")+_xlfn.MAXIFS(LandEmiss!$FB$9:$FB$108,LandEmiss!$EY$9:$EY$108,"7664-41-7"))</f>
        <v>0</v>
      </c>
      <c r="W14" s="977"/>
      <c r="Y14" t="b">
        <f>IF('PI-1-MarineLoading'!$G$115&lt;3,TRUE,IF('PI-1-MarineLoading'!$G$128&lt;&gt;"Yes",TRUE,FALSE))</f>
        <v>1</v>
      </c>
      <c r="AA14" s="8" t="s">
        <v>10011</v>
      </c>
    </row>
    <row r="15" spans="1:27" x14ac:dyDescent="0.2">
      <c r="A15" s="9" t="str">
        <f t="shared" ref="A15:C15" si="7">A52</f>
        <v/>
      </c>
      <c r="B15" s="16" t="str">
        <f t="shared" si="7"/>
        <v/>
      </c>
      <c r="C15" s="16" t="str">
        <f t="shared" si="7"/>
        <v/>
      </c>
      <c r="D15" s="688" t="s">
        <v>9363</v>
      </c>
      <c r="E15" s="650"/>
      <c r="F15" s="688" t="s">
        <v>9363</v>
      </c>
      <c r="G15" s="650"/>
      <c r="H15" s="688" t="s">
        <v>9363</v>
      </c>
      <c r="I15" s="650"/>
      <c r="J15" s="688" t="s">
        <v>9363</v>
      </c>
      <c r="K15" s="650"/>
      <c r="L15" s="688" t="s">
        <v>9363</v>
      </c>
      <c r="M15" s="650"/>
      <c r="N15" s="688" t="s">
        <v>9363</v>
      </c>
      <c r="O15" s="650"/>
      <c r="P15" s="974">
        <f>ConvenienceLand!F52</f>
        <v>0</v>
      </c>
      <c r="Q15" s="975"/>
      <c r="R15" s="974">
        <f>_xlfn.MAXIFS(LandEmiss!$AH$20:$AH$119,LandEmiss!$AE$20:$AE$119,"7783-06-4")</f>
        <v>0</v>
      </c>
      <c r="S15" s="975"/>
      <c r="T15" s="974">
        <f>_xlfn.MAXIFS(LandEmiss!$AH$20:$AH$119,LandEmiss!$AE$20:$AE$119,"7664-93-9")</f>
        <v>0</v>
      </c>
      <c r="U15" s="975"/>
      <c r="V15" s="974">
        <f>_xlfn.MAXIFS(LandEmiss!$AH$20:$AH$119,LandEmiss!$AE$20:$AE$119,"7664-41-7")</f>
        <v>0</v>
      </c>
      <c r="W15" s="977"/>
      <c r="Y15" t="b">
        <f>IF('PI-1-MarineLoading'!$G$115&lt;3,TRUE,IF(COUNTIF(Tank3!$D$18,"*floating*")=0,TRUE,IF(ConvenienceLand!$D$47=0,TRUE,FALSE)))</f>
        <v>1</v>
      </c>
      <c r="AA15" s="8" t="s">
        <v>10011</v>
      </c>
    </row>
    <row r="16" spans="1:27" x14ac:dyDescent="0.2">
      <c r="A16" s="9" t="str">
        <f t="shared" ref="A16:C16" si="8">A53</f>
        <v/>
      </c>
      <c r="B16" s="16" t="str">
        <f t="shared" si="8"/>
        <v/>
      </c>
      <c r="C16" s="16" t="str">
        <f t="shared" si="8"/>
        <v/>
      </c>
      <c r="D16" s="688" t="s">
        <v>9363</v>
      </c>
      <c r="E16" s="650"/>
      <c r="F16" s="688" t="s">
        <v>9363</v>
      </c>
      <c r="G16" s="650"/>
      <c r="H16" s="688" t="s">
        <v>9363</v>
      </c>
      <c r="I16" s="650"/>
      <c r="J16" s="688" t="s">
        <v>9363</v>
      </c>
      <c r="K16" s="650"/>
      <c r="L16" s="688" t="s">
        <v>9363</v>
      </c>
      <c r="M16" s="650"/>
      <c r="N16" s="688" t="s">
        <v>9363</v>
      </c>
      <c r="O16" s="650"/>
      <c r="P16" s="974">
        <f>IF(Tank4!$D$22="no control",MAX(Tank4!G32,Tank4!G43,Tank4!G54,Tank4!G65,Tank4!G76,Tank4!G87,Tank4!G98,Tank4!G109,Tank4!G120,Tank4!G131),0)</f>
        <v>0</v>
      </c>
      <c r="Q16" s="975"/>
      <c r="R16" s="974">
        <f>IF(Tank4!$D$22="no control",_xlfn.MAXIFS(Tank4!$G$32:$G$141,Tank4!$E$32:$E$141,"7783-06-4"),0)</f>
        <v>0</v>
      </c>
      <c r="S16" s="975"/>
      <c r="T16" s="974">
        <f>IF(Tank4!$D$22="no control",_xlfn.MAXIFS(Tank4!$G$32:$G$141,Tank4!$E$32:$E$141,"7664-93-9"),0)</f>
        <v>0</v>
      </c>
      <c r="U16" s="975"/>
      <c r="V16" s="974">
        <f>IF(Tank4!$D$22="no control",_xlfn.MAXIFS(Tank4!$G$32:$G$141,Tank4!$E$32:$E$141,"7664-41-7"),0)</f>
        <v>0</v>
      </c>
      <c r="W16" s="977"/>
      <c r="Y16" t="b">
        <f>IF('PI-1-MarineLoading'!$G$115&lt;4,TRUE,FALSE)</f>
        <v>1</v>
      </c>
      <c r="AA16" s="8" t="s">
        <v>10012</v>
      </c>
    </row>
    <row r="17" spans="1:27" x14ac:dyDescent="0.2">
      <c r="A17" s="9" t="str">
        <f t="shared" ref="A17:C17" si="9">A54</f>
        <v/>
      </c>
      <c r="B17" s="16" t="str">
        <f t="shared" si="9"/>
        <v/>
      </c>
      <c r="C17" s="16" t="str">
        <f t="shared" si="9"/>
        <v/>
      </c>
      <c r="D17" s="688" t="s">
        <v>9363</v>
      </c>
      <c r="E17" s="650"/>
      <c r="F17" s="688" t="s">
        <v>9363</v>
      </c>
      <c r="G17" s="650"/>
      <c r="H17" s="688" t="s">
        <v>9363</v>
      </c>
      <c r="I17" s="650"/>
      <c r="J17" s="688" t="s">
        <v>9363</v>
      </c>
      <c r="K17" s="650"/>
      <c r="L17" s="688" t="s">
        <v>9363</v>
      </c>
      <c r="M17" s="650"/>
      <c r="N17" s="688" t="s">
        <v>9363</v>
      </c>
      <c r="O17" s="650"/>
      <c r="P17" s="974">
        <f>IF(COUNTIF(Tank4!$D$18,"*floating*")&gt;0,TankMSS!$C$93,IF(COUNTIF(Tank4!$D$18,"*fixed*")&gt;0,TankMSS!$C$164,0))</f>
        <v>0</v>
      </c>
      <c r="Q17" s="975"/>
      <c r="R17" s="974">
        <f>(_xlfn.MAXIFS(LandEmiss!$CR$20:$CR$119,LandEmiss!$CN$20:$CN$119,"7783-06-4")+_xlfn.MAXIFS(LandEmiss!$FC$9:$FC$108,LandEmiss!$EY$9:$EY$108,"7783-06-4"))</f>
        <v>0</v>
      </c>
      <c r="S17" s="975"/>
      <c r="T17" s="974">
        <f>(_xlfn.MAXIFS(LandEmiss!$CR$20:$CR$119,LandEmiss!$CN$20:$CN$119,"7664-93-9")+_xlfn.MAXIFS(LandEmiss!$FC$9:$FC$108,LandEmiss!$EY$9:$EY$108,"7664-93-9"))</f>
        <v>0</v>
      </c>
      <c r="U17" s="975"/>
      <c r="V17" s="974">
        <f>(_xlfn.MAXIFS(LandEmiss!$CR$20:$CR$119,LandEmiss!$CN$20:$CN$119,"7664-41-7")+_xlfn.MAXIFS(LandEmiss!$FC$9:$FC$108,LandEmiss!$EY$9:$EY$108,"7664-41-7"))</f>
        <v>0</v>
      </c>
      <c r="W17" s="977"/>
      <c r="Y17" t="b">
        <f>IF('PI-1-MarineLoading'!$G$115&lt;4,TRUE,IF('PI-1-MarineLoading'!$G$128&lt;&gt;"Yes",TRUE,FALSE))</f>
        <v>1</v>
      </c>
      <c r="AA17" s="8" t="s">
        <v>10012</v>
      </c>
    </row>
    <row r="18" spans="1:27" x14ac:dyDescent="0.2">
      <c r="A18" s="9" t="str">
        <f t="shared" ref="A18:C18" si="10">A55</f>
        <v/>
      </c>
      <c r="B18" s="16" t="str">
        <f t="shared" si="10"/>
        <v/>
      </c>
      <c r="C18" s="16" t="str">
        <f t="shared" si="10"/>
        <v/>
      </c>
      <c r="D18" s="628" t="s">
        <v>9363</v>
      </c>
      <c r="E18" s="628"/>
      <c r="F18" s="628" t="s">
        <v>9363</v>
      </c>
      <c r="G18" s="628"/>
      <c r="H18" s="628" t="s">
        <v>9363</v>
      </c>
      <c r="I18" s="628"/>
      <c r="J18" s="628" t="s">
        <v>9363</v>
      </c>
      <c r="K18" s="628"/>
      <c r="L18" s="628" t="s">
        <v>9363</v>
      </c>
      <c r="M18" s="628"/>
      <c r="N18" s="628" t="s">
        <v>9363</v>
      </c>
      <c r="O18" s="628"/>
      <c r="P18" s="974">
        <f>ConvenienceLand!F69</f>
        <v>0</v>
      </c>
      <c r="Q18" s="975"/>
      <c r="R18" s="974">
        <f>_xlfn.MAXIFS(LandEmiss!$AI$20:$AI$119,LandEmiss!$AE$20:$AE$119,"7783-06-4")</f>
        <v>0</v>
      </c>
      <c r="S18" s="975"/>
      <c r="T18" s="974">
        <f>_xlfn.MAXIFS(LandEmiss!$AI$20:$AI$119,LandEmiss!$AE$20:$AE$119,"7664-93-9")</f>
        <v>0</v>
      </c>
      <c r="U18" s="975"/>
      <c r="V18" s="974">
        <f>_xlfn.MAXIFS(LandEmiss!$AI$20:$AI$119,LandEmiss!$AE$20:$AE$119,"7664-41-7")</f>
        <v>0</v>
      </c>
      <c r="W18" s="977"/>
      <c r="Y18" t="b">
        <f>IF('PI-1-MarineLoading'!$G$115&lt;4,TRUE,IF(COUNTIF(Tank4!$D$18,"*floating*")=0,TRUE,IF(ConvenienceLand!$D$64=0,TRUE,FALSE)))</f>
        <v>1</v>
      </c>
      <c r="AA18" s="8" t="s">
        <v>10012</v>
      </c>
    </row>
    <row r="19" spans="1:27" x14ac:dyDescent="0.2">
      <c r="A19" s="9" t="str">
        <f t="shared" ref="A19:C19" si="11">A56</f>
        <v/>
      </c>
      <c r="B19" s="16" t="str">
        <f t="shared" si="11"/>
        <v/>
      </c>
      <c r="C19" s="16" t="str">
        <f t="shared" si="11"/>
        <v/>
      </c>
      <c r="D19" s="688" t="s">
        <v>9363</v>
      </c>
      <c r="E19" s="650"/>
      <c r="F19" s="688" t="s">
        <v>9363</v>
      </c>
      <c r="G19" s="650"/>
      <c r="H19" s="688" t="s">
        <v>9363</v>
      </c>
      <c r="I19" s="650"/>
      <c r="J19" s="688" t="s">
        <v>9363</v>
      </c>
      <c r="K19" s="650"/>
      <c r="L19" s="688" t="s">
        <v>9363</v>
      </c>
      <c r="M19" s="650"/>
      <c r="N19" s="688" t="s">
        <v>9363</v>
      </c>
      <c r="O19" s="650"/>
      <c r="P19" s="974">
        <f>IF(Tank5!$D$22="no control",MAX(Tank5!G32,Tank5!G43,Tank5!G54,Tank5!G65,Tank5!G76,Tank5!G87,Tank5!G98,Tank5!G109,Tank5!G120,Tank5!G131),0)</f>
        <v>0</v>
      </c>
      <c r="Q19" s="975"/>
      <c r="R19" s="974">
        <f>IF(Tank5!$D$22="no control",_xlfn.MAXIFS(Tank5!$G$32:$G$141,Tank5!$E$32:$E$141,"7783-06-4"),0)</f>
        <v>0</v>
      </c>
      <c r="S19" s="975"/>
      <c r="T19" s="974">
        <f>IF(Tank5!$D$22="no control",_xlfn.MAXIFS(Tank5!$G$32:$G$141,Tank5!$E$32:$E$141,"7664-93-9"),0)</f>
        <v>0</v>
      </c>
      <c r="U19" s="975"/>
      <c r="V19" s="974">
        <f>IF(Tank5!$D$22="no control",_xlfn.MAXIFS(Tank5!$G$32:$G$141,Tank5!$E$32:$E$141,"7664-41-7"),0)</f>
        <v>0</v>
      </c>
      <c r="W19" s="977"/>
      <c r="Y19" t="b">
        <f>IF('PI-1-MarineLoading'!$G$115&lt;5,TRUE,FALSE)</f>
        <v>1</v>
      </c>
      <c r="AA19" s="8" t="s">
        <v>10013</v>
      </c>
    </row>
    <row r="20" spans="1:27" x14ac:dyDescent="0.2">
      <c r="A20" s="9" t="str">
        <f t="shared" ref="A20:C20" si="12">A57</f>
        <v/>
      </c>
      <c r="B20" s="16" t="str">
        <f t="shared" si="12"/>
        <v/>
      </c>
      <c r="C20" s="16" t="str">
        <f t="shared" si="12"/>
        <v/>
      </c>
      <c r="D20" s="688" t="s">
        <v>9363</v>
      </c>
      <c r="E20" s="650"/>
      <c r="F20" s="688" t="s">
        <v>9363</v>
      </c>
      <c r="G20" s="650"/>
      <c r="H20" s="688" t="s">
        <v>9363</v>
      </c>
      <c r="I20" s="650"/>
      <c r="J20" s="688" t="s">
        <v>9363</v>
      </c>
      <c r="K20" s="650"/>
      <c r="L20" s="688" t="s">
        <v>9363</v>
      </c>
      <c r="M20" s="650"/>
      <c r="N20" s="688" t="s">
        <v>9363</v>
      </c>
      <c r="O20" s="650"/>
      <c r="P20" s="974">
        <f>IF(COUNTIF(Tank5!$D$18,"*floating*")&gt;0,TankMSS!$C$93,IF(COUNTIF(Tank5!$D$18,"*fixed*")&gt;0,TankMSS!$C$164,0))</f>
        <v>0</v>
      </c>
      <c r="Q20" s="975"/>
      <c r="R20" s="974">
        <f>(_xlfn.MAXIFS(LandEmiss!$CS$20:$CS$119,LandEmiss!$CN$20:$CN$119,"7783-06-4")+_xlfn.MAXIFS(LandEmiss!$FD$9:$FD$108,LandEmiss!$EY$9:$EY$108,"7783-06-4"))</f>
        <v>0</v>
      </c>
      <c r="S20" s="975"/>
      <c r="T20" s="974">
        <f>(_xlfn.MAXIFS(LandEmiss!$CS$20:$CS$119,LandEmiss!$CN$20:$CN$119,"7664-93-9")+_xlfn.MAXIFS(LandEmiss!$FD$9:$FD$108,LandEmiss!$EY$9:$EY$108,"7664-93-9"))</f>
        <v>0</v>
      </c>
      <c r="U20" s="975"/>
      <c r="V20" s="974">
        <f>(_xlfn.MAXIFS(LandEmiss!$CS$20:$CS$119,LandEmiss!$CN$20:$CN$119,"7664-41-7")+_xlfn.MAXIFS(LandEmiss!$FD$9:$FD$108,LandEmiss!$EY$9:$EY$108,"7664-41-7"))</f>
        <v>0</v>
      </c>
      <c r="W20" s="977"/>
      <c r="Y20" t="b">
        <f>IF('PI-1-MarineLoading'!$G$115&lt;5,TRUE,IF('PI-1-MarineLoading'!$G$128&lt;&gt;"Yes",TRUE,FALSE))</f>
        <v>1</v>
      </c>
      <c r="AA20" s="8" t="s">
        <v>10013</v>
      </c>
    </row>
    <row r="21" spans="1:27" x14ac:dyDescent="0.2">
      <c r="A21" s="9" t="str">
        <f t="shared" ref="A21:C21" si="13">A58</f>
        <v/>
      </c>
      <c r="B21" s="16" t="str">
        <f t="shared" si="13"/>
        <v/>
      </c>
      <c r="C21" s="16" t="str">
        <f t="shared" si="13"/>
        <v/>
      </c>
      <c r="D21" s="688" t="s">
        <v>9363</v>
      </c>
      <c r="E21" s="650"/>
      <c r="F21" s="688" t="s">
        <v>9363</v>
      </c>
      <c r="G21" s="650"/>
      <c r="H21" s="688" t="s">
        <v>9363</v>
      </c>
      <c r="I21" s="650"/>
      <c r="J21" s="688" t="s">
        <v>9363</v>
      </c>
      <c r="K21" s="650"/>
      <c r="L21" s="688" t="s">
        <v>9363</v>
      </c>
      <c r="M21" s="650"/>
      <c r="N21" s="688" t="s">
        <v>9363</v>
      </c>
      <c r="O21" s="650"/>
      <c r="P21" s="974">
        <f>ConvenienceLand!F86</f>
        <v>0</v>
      </c>
      <c r="Q21" s="975"/>
      <c r="R21" s="974">
        <f>_xlfn.MAXIFS(LandEmiss!$AJ$20:$AJ$119,LandEmiss!$AE$20:$AE$119,"7783-06-4")</f>
        <v>0</v>
      </c>
      <c r="S21" s="975"/>
      <c r="T21" s="974">
        <f>_xlfn.MAXIFS(LandEmiss!$AJ$20:$AJ$119,LandEmiss!$AE$20:$AE$119,"7664-93-9")</f>
        <v>0</v>
      </c>
      <c r="U21" s="975"/>
      <c r="V21" s="974">
        <f>_xlfn.MAXIFS(LandEmiss!$AJ$20:$AJ$119,LandEmiss!$AE$20:$AE$119,"7664-41-7")</f>
        <v>0</v>
      </c>
      <c r="W21" s="977"/>
      <c r="Y21" t="b">
        <f>IF('PI-1-MarineLoading'!$G$115&lt;5,TRUE,IF(COUNTIF(Tank5!$D$18,"*floating*")=0,TRUE,IF(ConvenienceLand!$D$81=0,TRUE,FALSE)))</f>
        <v>1</v>
      </c>
      <c r="AA21" s="8" t="s">
        <v>10013</v>
      </c>
    </row>
    <row r="22" spans="1:27" x14ac:dyDescent="0.2">
      <c r="A22" s="9" t="str">
        <f t="shared" ref="A22:C22" si="14">A59</f>
        <v/>
      </c>
      <c r="B22" s="16" t="str">
        <f t="shared" si="14"/>
        <v/>
      </c>
      <c r="C22" s="16" t="str">
        <f t="shared" si="14"/>
        <v/>
      </c>
      <c r="D22" s="688" t="s">
        <v>9363</v>
      </c>
      <c r="E22" s="650"/>
      <c r="F22" s="688" t="s">
        <v>9363</v>
      </c>
      <c r="G22" s="650"/>
      <c r="H22" s="688" t="s">
        <v>9363</v>
      </c>
      <c r="I22" s="650"/>
      <c r="J22" s="688" t="s">
        <v>9363</v>
      </c>
      <c r="K22" s="650"/>
      <c r="L22" s="688" t="s">
        <v>9363</v>
      </c>
      <c r="M22" s="650"/>
      <c r="N22" s="688" t="s">
        <v>9363</v>
      </c>
      <c r="O22" s="650"/>
      <c r="P22" s="974">
        <f>_xlfn.MAXIFS('Load-DrumTote'!$K$27:$K$136,'Load-DrumTote'!$F$27:$F$136,"Total VOC")</f>
        <v>0</v>
      </c>
      <c r="Q22" s="975"/>
      <c r="R22" s="974">
        <f>_xlfn.MAXIFS('Load-DrumTote'!$K$27:$K$136,'Load-DrumTote'!$F$27:$F$136,"7783-06-4")</f>
        <v>0</v>
      </c>
      <c r="S22" s="975"/>
      <c r="T22" s="974">
        <f>_xlfn.MAXIFS('Load-DrumTote'!$K$27:$K$136,'Load-DrumTote'!$F$27:$F$136,"7664-93-9")</f>
        <v>0</v>
      </c>
      <c r="U22" s="975"/>
      <c r="V22" s="974">
        <f>_xlfn.MAXIFS('Load-DrumTote'!$K$27:$K$136,'Load-DrumTote'!$F$27:$F$136,"7664-41-7")</f>
        <v>0</v>
      </c>
      <c r="W22" s="977"/>
      <c r="Y22" t="b">
        <f>'PI-1-MarineLoading'!$G116&lt;&gt;"YES"</f>
        <v>1</v>
      </c>
      <c r="AA22" s="8" t="s">
        <v>10800</v>
      </c>
    </row>
    <row r="23" spans="1:27" x14ac:dyDescent="0.2">
      <c r="A23" s="9" t="str">
        <f t="shared" ref="A23:C23" si="15">A60</f>
        <v/>
      </c>
      <c r="B23" s="16" t="str">
        <f t="shared" si="15"/>
        <v/>
      </c>
      <c r="C23" s="16" t="str">
        <f t="shared" si="15"/>
        <v/>
      </c>
      <c r="D23" s="688" t="s">
        <v>9363</v>
      </c>
      <c r="E23" s="650"/>
      <c r="F23" s="688" t="s">
        <v>9363</v>
      </c>
      <c r="G23" s="650"/>
      <c r="H23" s="688" t="s">
        <v>9363</v>
      </c>
      <c r="I23" s="650"/>
      <c r="J23" s="688" t="s">
        <v>9363</v>
      </c>
      <c r="K23" s="650"/>
      <c r="L23" s="688" t="s">
        <v>9363</v>
      </c>
      <c r="M23" s="650"/>
      <c r="N23" s="688" t="s">
        <v>9363</v>
      </c>
      <c r="O23" s="650"/>
      <c r="P23" s="974">
        <f>_xlfn.MAXIFS('Load-Truck'!$K$27:$K$136,'Load-Truck'!$F$27:$F$136,"Total VOC")</f>
        <v>0</v>
      </c>
      <c r="Q23" s="975"/>
      <c r="R23" s="974">
        <f>_xlfn.MAXIFS('Load-Truck'!$K$27:$K$136,'Load-Truck'!$F$27:$F$136,"7783-06-4")</f>
        <v>0</v>
      </c>
      <c r="S23" s="975"/>
      <c r="T23" s="974">
        <f>_xlfn.MAXIFS('Load-Truck'!$K$27:$K$136,'Load-Truck'!$F$27:$F$136,"7664-93-9")</f>
        <v>0</v>
      </c>
      <c r="U23" s="975"/>
      <c r="V23" s="974">
        <f>_xlfn.MAXIFS('Load-Truck'!$K$27:$K$136,'Load-Truck'!$F$27:$F$136,"7664-41-7")</f>
        <v>0</v>
      </c>
      <c r="W23" s="977"/>
      <c r="Y23" t="b">
        <f>'PI-1-MarineLoading'!$G117&lt;&gt;"YES"</f>
        <v>1</v>
      </c>
      <c r="AA23" s="8" t="s">
        <v>10801</v>
      </c>
    </row>
    <row r="24" spans="1:27" x14ac:dyDescent="0.2">
      <c r="A24" s="9" t="str">
        <f t="shared" ref="A24:C24" si="16">A61</f>
        <v/>
      </c>
      <c r="B24" s="16" t="str">
        <f t="shared" si="16"/>
        <v/>
      </c>
      <c r="C24" s="16" t="str">
        <f t="shared" si="16"/>
        <v/>
      </c>
      <c r="D24" s="688" t="s">
        <v>9363</v>
      </c>
      <c r="E24" s="650"/>
      <c r="F24" s="688" t="s">
        <v>9363</v>
      </c>
      <c r="G24" s="650"/>
      <c r="H24" s="688" t="s">
        <v>9363</v>
      </c>
      <c r="I24" s="650"/>
      <c r="J24" s="688" t="s">
        <v>9363</v>
      </c>
      <c r="K24" s="650"/>
      <c r="L24" s="688" t="s">
        <v>9363</v>
      </c>
      <c r="M24" s="650"/>
      <c r="N24" s="688" t="s">
        <v>9363</v>
      </c>
      <c r="O24" s="650"/>
      <c r="P24" s="974">
        <f>_xlfn.MAXIFS('Load-Rail'!$K$27:$K$136,'Load-Rail'!$F$27:$F$136,"Total VOC")</f>
        <v>0</v>
      </c>
      <c r="Q24" s="975"/>
      <c r="R24" s="974">
        <f>_xlfn.MAXIFS('Load-Rail'!$K$27:$K$136,'Load-Rail'!$F$27:$F$136,"7783-06-4")</f>
        <v>0</v>
      </c>
      <c r="S24" s="975"/>
      <c r="T24" s="974">
        <f>_xlfn.MAXIFS('Load-Rail'!$K$27:$K$136,'Load-Rail'!$F$27:$F$136,"7664-93-9")</f>
        <v>0</v>
      </c>
      <c r="U24" s="975"/>
      <c r="V24" s="974">
        <f>_xlfn.MAXIFS('Load-Rail'!$K$27:$K$136,'Load-Rail'!$F$27:$F$136,"7664-41-7")</f>
        <v>0</v>
      </c>
      <c r="W24" s="977"/>
      <c r="Y24" t="b">
        <f>'PI-1-MarineLoading'!$G118&lt;&gt;"YES"</f>
        <v>1</v>
      </c>
      <c r="AA24" s="8" t="s">
        <v>10802</v>
      </c>
    </row>
    <row r="25" spans="1:27" x14ac:dyDescent="0.2">
      <c r="A25" s="9" t="str">
        <f t="shared" ref="A25:C25" si="17">A62</f>
        <v/>
      </c>
      <c r="B25" s="16" t="str">
        <f t="shared" si="17"/>
        <v/>
      </c>
      <c r="C25" s="16" t="str">
        <f t="shared" si="17"/>
        <v/>
      </c>
      <c r="D25" s="688" t="s">
        <v>9363</v>
      </c>
      <c r="E25" s="650"/>
      <c r="F25" s="688" t="s">
        <v>9363</v>
      </c>
      <c r="G25" s="650"/>
      <c r="H25" s="688" t="s">
        <v>9363</v>
      </c>
      <c r="I25" s="650"/>
      <c r="J25" s="688" t="s">
        <v>9363</v>
      </c>
      <c r="K25" s="650"/>
      <c r="L25" s="688" t="s">
        <v>9363</v>
      </c>
      <c r="M25" s="650"/>
      <c r="N25" s="688" t="s">
        <v>9363</v>
      </c>
      <c r="O25" s="650"/>
      <c r="P25" s="974">
        <f>_xlfn.MAXIFS('Load-MarineBarge'!$K$27:$K$136,'Load-MarineBarge'!$F$27:$F$136,"Total VOC")</f>
        <v>0</v>
      </c>
      <c r="Q25" s="975"/>
      <c r="R25" s="974">
        <f>_xlfn.MAXIFS('Load-MarineBarge'!$K$27:$K$136,'Load-MarineBarge'!$F$27:$F$136,"7783-06-4")</f>
        <v>0</v>
      </c>
      <c r="S25" s="975"/>
      <c r="T25" s="974">
        <f>_xlfn.MAXIFS('Load-MarineBarge'!$K$27:$K$136,'Load-MarineBarge'!$F$27:$F$136,"7664-93-9")</f>
        <v>0</v>
      </c>
      <c r="U25" s="975"/>
      <c r="V25" s="974">
        <f>_xlfn.MAXIFS('Load-MarineBarge'!$K$27:$K$136,'Load-MarineBarge'!$F$27:$F$136,"7664-41-7")</f>
        <v>0</v>
      </c>
      <c r="W25" s="977"/>
      <c r="Y25" t="b">
        <f>'PI-1-MarineLoading'!$G119&lt;&gt;"YES"</f>
        <v>1</v>
      </c>
      <c r="AA25" s="8" t="s">
        <v>10803</v>
      </c>
    </row>
    <row r="26" spans="1:27" x14ac:dyDescent="0.2">
      <c r="A26" s="9" t="str">
        <f t="shared" ref="A26:C26" si="18">A63</f>
        <v/>
      </c>
      <c r="B26" s="16" t="str">
        <f t="shared" si="18"/>
        <v/>
      </c>
      <c r="C26" s="16" t="str">
        <f t="shared" si="18"/>
        <v/>
      </c>
      <c r="D26" s="688" t="s">
        <v>9363</v>
      </c>
      <c r="E26" s="650"/>
      <c r="F26" s="688" t="s">
        <v>9363</v>
      </c>
      <c r="G26" s="650"/>
      <c r="H26" s="688" t="s">
        <v>9363</v>
      </c>
      <c r="I26" s="650"/>
      <c r="J26" s="688" t="s">
        <v>9363</v>
      </c>
      <c r="K26" s="650"/>
      <c r="L26" s="688" t="s">
        <v>9363</v>
      </c>
      <c r="M26" s="650"/>
      <c r="N26" s="688" t="s">
        <v>9363</v>
      </c>
      <c r="O26" s="650"/>
      <c r="P26" s="974">
        <f>_xlfn.MAXIFS('Load-MarineShip'!$K$27:$K$136,'Load-MarineShip'!$F$27:$F$136,"Total VOC")</f>
        <v>0</v>
      </c>
      <c r="Q26" s="975"/>
      <c r="R26" s="974">
        <f>_xlfn.MAXIFS('Load-MarineShip'!$K$27:$K$136,'Load-MarineShip'!$F$27:$F$136,"7783-06-4")</f>
        <v>0</v>
      </c>
      <c r="S26" s="975"/>
      <c r="T26" s="974">
        <f>_xlfn.MAXIFS('Load-MarineShip'!$K$27:$K$136,'Load-MarineShip'!$F$27:$F$136,"7664-93-9")</f>
        <v>0</v>
      </c>
      <c r="U26" s="975"/>
      <c r="V26" s="974">
        <f>_xlfn.MAXIFS('Load-MarineShip'!$K$27:$K$136,'Load-MarineShip'!$F$27:$F$136,"7664-41-7")</f>
        <v>0</v>
      </c>
      <c r="W26" s="977"/>
      <c r="Y26" t="b">
        <f>'PI-1-MarineLoading'!$G120&lt;&gt;"YES"</f>
        <v>1</v>
      </c>
      <c r="AA26" s="8" t="s">
        <v>10804</v>
      </c>
    </row>
    <row r="27" spans="1:27" x14ac:dyDescent="0.2">
      <c r="A27" s="9" t="str">
        <f t="shared" ref="A27:C27" si="19">A64</f>
        <v/>
      </c>
      <c r="B27" s="16" t="str">
        <f t="shared" si="19"/>
        <v/>
      </c>
      <c r="C27" s="16" t="str">
        <f t="shared" si="19"/>
        <v/>
      </c>
      <c r="D27" s="974">
        <f>MAX(Flare!$D$89,LandEmiss!B$460)</f>
        <v>0</v>
      </c>
      <c r="E27" s="975"/>
      <c r="F27" s="974">
        <f>MAX(Flare!$D$90,LandEmiss!$B$461)</f>
        <v>0</v>
      </c>
      <c r="G27" s="975"/>
      <c r="H27" s="688" t="s">
        <v>9363</v>
      </c>
      <c r="I27" s="650"/>
      <c r="J27" s="688" t="s">
        <v>9363</v>
      </c>
      <c r="K27" s="650"/>
      <c r="L27" s="688" t="s">
        <v>9363</v>
      </c>
      <c r="M27" s="650"/>
      <c r="N27" s="974">
        <f>MAX(Flare!$D$91,LandEmiss!$B$465)</f>
        <v>0</v>
      </c>
      <c r="O27" s="975"/>
      <c r="P27" s="841">
        <f>MAX(Flare!$D$88,IF(ConvenienceLand!$D$14="permanent flare",ConvenienceLand!$F$19,0),IF(ConvenienceLand!$D$31="permanent flare",ConvenienceLand!$F$36,0),IF(ConvenienceLand!$D$48="permanent flare",ConvenienceLand!$F$53,0),IF(ConvenienceLand!$D$65="permanent flare",ConvenienceLand!$F$70,0),IF(ConvenienceLand!$D$82="permanent flare",ConvenienceLand!$F$87,0))</f>
        <v>0</v>
      </c>
      <c r="Q27" s="984"/>
      <c r="R27" s="974">
        <f>MAX(Flare!$D$92,LandEmiss!$B$466)</f>
        <v>0</v>
      </c>
      <c r="S27" s="975"/>
      <c r="T27" s="688" t="s">
        <v>9363</v>
      </c>
      <c r="U27" s="650"/>
      <c r="V27" s="688" t="s">
        <v>9363</v>
      </c>
      <c r="W27" s="976"/>
      <c r="Y27" t="b">
        <f>'PI-1-MarineLoading'!$G121&lt;&gt;"YES"</f>
        <v>1</v>
      </c>
      <c r="AA27" s="8" t="s">
        <v>9391</v>
      </c>
    </row>
    <row r="28" spans="1:27" x14ac:dyDescent="0.2">
      <c r="A28" s="9" t="str">
        <f t="shared" ref="A28:C28" si="20">A65</f>
        <v/>
      </c>
      <c r="B28" s="16" t="str">
        <f t="shared" si="20"/>
        <v/>
      </c>
      <c r="C28" s="16" t="str">
        <f t="shared" si="20"/>
        <v/>
      </c>
      <c r="D28" s="974">
        <f>MAX(VCU!$D$109,LandEmiss!$D$460)</f>
        <v>0</v>
      </c>
      <c r="E28" s="975"/>
      <c r="F28" s="974">
        <f>MAX(VCU!$D$110,LandEmiss!$D$461)</f>
        <v>0</v>
      </c>
      <c r="G28" s="975"/>
      <c r="H28" s="974">
        <f>MAX(VCU!$D$111,LandEmiss!$D$462)</f>
        <v>0</v>
      </c>
      <c r="I28" s="975"/>
      <c r="J28" s="974">
        <f>MAX(VCU!$D$112,LandEmiss!$D$463)</f>
        <v>0</v>
      </c>
      <c r="K28" s="975"/>
      <c r="L28" s="974">
        <f>MAX(VCU!$D$113,LandEmiss!$D$464)</f>
        <v>0</v>
      </c>
      <c r="M28" s="975"/>
      <c r="N28" s="974">
        <f>MAX(VCU!$D$114,LandEmiss!$D$465)</f>
        <v>0</v>
      </c>
      <c r="O28" s="975"/>
      <c r="P28" s="841">
        <f>MAX(VCU!$D$108,IF(ConvenienceLand!$D$14="permanent VCU",ConvenienceLand!$F$19,0),IF(ConvenienceLand!$D$31="permanent VCU",ConvenienceLand!$F$36,0),IF(ConvenienceLand!$D$48="permanent VCU",ConvenienceLand!$F$53,0),IF(ConvenienceLand!$D$65="permanent VCU",ConvenienceLand!$F$70,0),IF(ConvenienceLand!$D$82="permanent VCU",ConvenienceLand!$F$87,0))</f>
        <v>0</v>
      </c>
      <c r="Q28" s="984"/>
      <c r="R28" s="974">
        <f>MAX(VCU!$D$115,LandEmiss!$D$466)</f>
        <v>0</v>
      </c>
      <c r="S28" s="975"/>
      <c r="T28" s="688" t="s">
        <v>9363</v>
      </c>
      <c r="U28" s="650"/>
      <c r="V28" s="688" t="s">
        <v>9363</v>
      </c>
      <c r="W28" s="976"/>
      <c r="Y28" t="b">
        <f>'PI-1-MarineLoading'!$G122&lt;&gt;"YES"</f>
        <v>1</v>
      </c>
      <c r="AA28" s="8" t="s">
        <v>8916</v>
      </c>
    </row>
    <row r="29" spans="1:27" x14ac:dyDescent="0.2">
      <c r="A29" s="9" t="str">
        <f t="shared" ref="A29:C29" si="21">A66</f>
        <v/>
      </c>
      <c r="B29" s="16" t="str">
        <f t="shared" si="21"/>
        <v/>
      </c>
      <c r="C29" s="16" t="str">
        <f t="shared" si="21"/>
        <v/>
      </c>
      <c r="D29" s="974">
        <f>MAX(VaporOxidizer!$D$90,LandEmiss!$F$460)</f>
        <v>0</v>
      </c>
      <c r="E29" s="975"/>
      <c r="F29" s="974">
        <f>MAX(VaporOxidizer!$D$91,LandEmiss!$F$461)</f>
        <v>0</v>
      </c>
      <c r="G29" s="975"/>
      <c r="H29" s="974">
        <f>MAX(VaporOxidizer!$D$92,LandEmiss!$F$462)</f>
        <v>0</v>
      </c>
      <c r="I29" s="975"/>
      <c r="J29" s="974">
        <f>MAX(VaporOxidizer!$D$93,LandEmiss!$F$463)</f>
        <v>0</v>
      </c>
      <c r="K29" s="975"/>
      <c r="L29" s="974">
        <f>MAX(VaporOxidizer!$D$94,LandEmiss!$F$464)</f>
        <v>0</v>
      </c>
      <c r="M29" s="975"/>
      <c r="N29" s="974">
        <f>MAX(VaporOxidizer!$D$95,LandEmiss!$F$465)</f>
        <v>0</v>
      </c>
      <c r="O29" s="975"/>
      <c r="P29" s="841">
        <f>MAX(VaporOxidizer!$D$89,IF(ConvenienceLand!$D$14="permanent vapor oxidizer",ConvenienceLand!$F$19,0),IF(ConvenienceLand!$D$31="permanent vapor oxidizer",ConvenienceLand!$F$36,0),IF(ConvenienceLand!$D$48="permanent vapor oxidizer",ConvenienceLand!$F$53,0),IF(ConvenienceLand!$D$65="permanent vapor oxidizer",ConvenienceLand!$F$70,0),IF(ConvenienceLand!$D$82="permanent vapor oxidizer",ConvenienceLand!$F$87,0))</f>
        <v>0</v>
      </c>
      <c r="Q29" s="984"/>
      <c r="R29" s="974">
        <f>MAX(VaporOxidizer!$D$96,LandEmiss!$F$466)</f>
        <v>0</v>
      </c>
      <c r="S29" s="975"/>
      <c r="T29" s="688" t="s">
        <v>9363</v>
      </c>
      <c r="U29" s="650"/>
      <c r="V29" s="688" t="s">
        <v>9363</v>
      </c>
      <c r="W29" s="976"/>
      <c r="Y29" t="b">
        <f>'PI-1-MarineLoading'!$G123&lt;&gt;"YES"</f>
        <v>1</v>
      </c>
      <c r="AA29" s="8" t="s">
        <v>10161</v>
      </c>
    </row>
    <row r="30" spans="1:27" x14ac:dyDescent="0.2">
      <c r="A30" s="9" t="str">
        <f t="shared" ref="A30:C30" si="22">A67</f>
        <v/>
      </c>
      <c r="B30" s="16" t="str">
        <f t="shared" si="22"/>
        <v/>
      </c>
      <c r="C30" s="16" t="str">
        <f t="shared" si="22"/>
        <v/>
      </c>
      <c r="D30" s="688" t="s">
        <v>9363</v>
      </c>
      <c r="E30" s="650"/>
      <c r="F30" s="688" t="s">
        <v>9363</v>
      </c>
      <c r="G30" s="650"/>
      <c r="H30" s="688" t="s">
        <v>9363</v>
      </c>
      <c r="I30" s="650"/>
      <c r="J30" s="688" t="s">
        <v>9363</v>
      </c>
      <c r="K30" s="650"/>
      <c r="L30" s="688" t="s">
        <v>9363</v>
      </c>
      <c r="M30" s="650"/>
      <c r="N30" s="688" t="s">
        <v>9363</v>
      </c>
      <c r="O30" s="650"/>
      <c r="P30" s="974">
        <f>CAS!F29</f>
        <v>0</v>
      </c>
      <c r="Q30" s="975"/>
      <c r="R30" s="974">
        <f>CAS!F30</f>
        <v>0</v>
      </c>
      <c r="S30" s="975"/>
      <c r="T30" s="841">
        <f>CAS!F31</f>
        <v>0</v>
      </c>
      <c r="U30" s="984"/>
      <c r="V30" s="688" t="s">
        <v>9363</v>
      </c>
      <c r="W30" s="976"/>
      <c r="X30" s="89"/>
      <c r="Y30" t="b">
        <f>'PI-1-MarineLoading'!$G124&lt;&gt;"YES"</f>
        <v>1</v>
      </c>
      <c r="AA30" s="8" t="s">
        <v>282</v>
      </c>
    </row>
    <row r="31" spans="1:27" x14ac:dyDescent="0.2">
      <c r="A31" s="9" t="str">
        <f t="shared" ref="A31:C31" si="23">A68</f>
        <v/>
      </c>
      <c r="B31" s="16" t="str">
        <f t="shared" si="23"/>
        <v/>
      </c>
      <c r="C31" s="16" t="str">
        <f t="shared" si="23"/>
        <v/>
      </c>
      <c r="D31" s="974">
        <f>Engine1!I33</f>
        <v>0</v>
      </c>
      <c r="E31" s="975"/>
      <c r="F31" s="974">
        <f>Engine1!I34</f>
        <v>0</v>
      </c>
      <c r="G31" s="975"/>
      <c r="H31" s="974">
        <f>Engine1!I35</f>
        <v>0</v>
      </c>
      <c r="I31" s="975"/>
      <c r="J31" s="974">
        <f>Engine1!I36</f>
        <v>0</v>
      </c>
      <c r="K31" s="975"/>
      <c r="L31" s="974">
        <f>Engine1!I37</f>
        <v>0</v>
      </c>
      <c r="M31" s="975"/>
      <c r="N31" s="974">
        <f>Engine1!I38</f>
        <v>0</v>
      </c>
      <c r="O31" s="975"/>
      <c r="P31" s="974">
        <f>Engine1!I32</f>
        <v>0</v>
      </c>
      <c r="Q31" s="975"/>
      <c r="R31" s="688" t="s">
        <v>9363</v>
      </c>
      <c r="S31" s="650"/>
      <c r="T31" s="688" t="s">
        <v>9363</v>
      </c>
      <c r="U31" s="650"/>
      <c r="V31" s="688" t="s">
        <v>9363</v>
      </c>
      <c r="W31" s="650"/>
      <c r="Y31" t="b">
        <f>'PI-1-MarineLoading'!$G$125&lt;1</f>
        <v>1</v>
      </c>
      <c r="AA31" s="8" t="s">
        <v>10022</v>
      </c>
    </row>
    <row r="32" spans="1:27" x14ac:dyDescent="0.2">
      <c r="A32" s="9" t="str">
        <f t="shared" ref="A32:C32" si="24">A69</f>
        <v/>
      </c>
      <c r="B32" s="16" t="str">
        <f t="shared" si="24"/>
        <v/>
      </c>
      <c r="C32" s="16" t="str">
        <f t="shared" si="24"/>
        <v/>
      </c>
      <c r="D32" s="974">
        <f>Engine2!I33</f>
        <v>0</v>
      </c>
      <c r="E32" s="975"/>
      <c r="F32" s="974">
        <f>Engine2!I34</f>
        <v>0</v>
      </c>
      <c r="G32" s="975"/>
      <c r="H32" s="974">
        <f>Engine2!I35</f>
        <v>0</v>
      </c>
      <c r="I32" s="975"/>
      <c r="J32" s="974">
        <f>Engine2!I36</f>
        <v>0</v>
      </c>
      <c r="K32" s="975"/>
      <c r="L32" s="974">
        <f>Engine2!I37</f>
        <v>0</v>
      </c>
      <c r="M32" s="975"/>
      <c r="N32" s="974">
        <f>Engine2!I38</f>
        <v>0</v>
      </c>
      <c r="O32" s="975"/>
      <c r="P32" s="974">
        <f>Engine2!I32</f>
        <v>0</v>
      </c>
      <c r="Q32" s="975"/>
      <c r="R32" s="688" t="s">
        <v>9363</v>
      </c>
      <c r="S32" s="650"/>
      <c r="T32" s="688" t="s">
        <v>9363</v>
      </c>
      <c r="U32" s="650"/>
      <c r="V32" s="688" t="s">
        <v>9363</v>
      </c>
      <c r="W32" s="650"/>
      <c r="Y32" t="b">
        <f>'PI-1-MarineLoading'!$G$125&lt;2</f>
        <v>1</v>
      </c>
      <c r="AA32" s="8" t="s">
        <v>10023</v>
      </c>
    </row>
    <row r="33" spans="1:27" x14ac:dyDescent="0.2">
      <c r="A33" s="9" t="str">
        <f t="shared" ref="A33:C33" si="25">A70</f>
        <v/>
      </c>
      <c r="B33" s="16" t="str">
        <f t="shared" si="25"/>
        <v/>
      </c>
      <c r="C33" s="16" t="str">
        <f t="shared" si="25"/>
        <v/>
      </c>
      <c r="D33" s="974">
        <f>HeaterBoiler1!I45</f>
        <v>0</v>
      </c>
      <c r="E33" s="975"/>
      <c r="F33" s="974">
        <f>HeaterBoiler1!I46</f>
        <v>0</v>
      </c>
      <c r="G33" s="975"/>
      <c r="H33" s="974">
        <f>HeaterBoiler1!I47</f>
        <v>0</v>
      </c>
      <c r="I33" s="975"/>
      <c r="J33" s="974">
        <f>HeaterBoiler1!I48</f>
        <v>0</v>
      </c>
      <c r="K33" s="975"/>
      <c r="L33" s="974">
        <f>HeaterBoiler1!I49</f>
        <v>0</v>
      </c>
      <c r="M33" s="975"/>
      <c r="N33" s="974">
        <f>HeaterBoiler1!I50</f>
        <v>0</v>
      </c>
      <c r="O33" s="975"/>
      <c r="P33" s="974">
        <f>HeaterBoiler1!I44</f>
        <v>0</v>
      </c>
      <c r="Q33" s="975"/>
      <c r="R33" s="974">
        <f>IF(HeaterBoiler1!$E$26&lt;&gt;"fuel gas",0,HeaterBoiler1!$I$51)</f>
        <v>0</v>
      </c>
      <c r="S33" s="975"/>
      <c r="T33" s="688" t="s">
        <v>9363</v>
      </c>
      <c r="U33" s="650"/>
      <c r="V33" s="688" t="s">
        <v>9363</v>
      </c>
      <c r="W33" s="650"/>
      <c r="Y33" t="b">
        <f>'PI-1-MarineLoading'!$G$126&lt;1</f>
        <v>1</v>
      </c>
      <c r="AA33" s="8" t="s">
        <v>10805</v>
      </c>
    </row>
    <row r="34" spans="1:27" x14ac:dyDescent="0.2">
      <c r="A34" s="9" t="str">
        <f t="shared" ref="A34:C34" si="26">A71</f>
        <v/>
      </c>
      <c r="B34" s="16" t="str">
        <f t="shared" si="26"/>
        <v/>
      </c>
      <c r="C34" s="16" t="str">
        <f t="shared" si="26"/>
        <v/>
      </c>
      <c r="D34" s="974">
        <f>HeaterBoiler2!I45</f>
        <v>0</v>
      </c>
      <c r="E34" s="975"/>
      <c r="F34" s="974">
        <f>HeaterBoiler2!I46</f>
        <v>0</v>
      </c>
      <c r="G34" s="975"/>
      <c r="H34" s="974">
        <f>HeaterBoiler2!I47</f>
        <v>0</v>
      </c>
      <c r="I34" s="975"/>
      <c r="J34" s="974">
        <f>HeaterBoiler2!I48</f>
        <v>0</v>
      </c>
      <c r="K34" s="975"/>
      <c r="L34" s="974">
        <f>HeaterBoiler2!I49</f>
        <v>0</v>
      </c>
      <c r="M34" s="975"/>
      <c r="N34" s="974">
        <f>HeaterBoiler2!I50</f>
        <v>0</v>
      </c>
      <c r="O34" s="975"/>
      <c r="P34" s="974">
        <f>HeaterBoiler2!I44</f>
        <v>0</v>
      </c>
      <c r="Q34" s="975"/>
      <c r="R34" s="841">
        <f>IF(HeaterBoiler2!$E$26&lt;&gt;"fuel gas",0,HeaterBoiler2!$I$51)</f>
        <v>0</v>
      </c>
      <c r="S34" s="984"/>
      <c r="T34" s="688" t="s">
        <v>9363</v>
      </c>
      <c r="U34" s="650"/>
      <c r="V34" s="688" t="s">
        <v>9363</v>
      </c>
      <c r="W34" s="650"/>
      <c r="Y34" t="b">
        <f>'PI-1-MarineLoading'!$G$126&lt;2</f>
        <v>1</v>
      </c>
      <c r="AA34" s="8" t="s">
        <v>10806</v>
      </c>
    </row>
    <row r="35" spans="1:27" x14ac:dyDescent="0.2">
      <c r="A35" s="9">
        <f t="shared" ref="A35:C35" si="27">A72</f>
        <v>0</v>
      </c>
      <c r="B35" s="16" t="str">
        <f t="shared" si="27"/>
        <v/>
      </c>
      <c r="C35" s="16" t="str">
        <f t="shared" si="27"/>
        <v/>
      </c>
      <c r="D35" s="688" t="s">
        <v>9363</v>
      </c>
      <c r="E35" s="650"/>
      <c r="F35" s="688" t="s">
        <v>9363</v>
      </c>
      <c r="G35" s="650"/>
      <c r="H35" s="688" t="s">
        <v>9363</v>
      </c>
      <c r="I35" s="650"/>
      <c r="J35" s="688" t="s">
        <v>9363</v>
      </c>
      <c r="K35" s="650"/>
      <c r="L35" s="688" t="s">
        <v>9363</v>
      </c>
      <c r="M35" s="650"/>
      <c r="N35" s="688" t="s">
        <v>9363</v>
      </c>
      <c r="O35" s="650"/>
      <c r="P35" s="841">
        <f>Fug!$I$92</f>
        <v>0</v>
      </c>
      <c r="Q35" s="984"/>
      <c r="R35" s="974">
        <f>SUMIF(Fug!$A$96:$A$205,"7783-06-4",Fug!$I$96:$I$205)</f>
        <v>0</v>
      </c>
      <c r="S35" s="975"/>
      <c r="T35" s="974">
        <f>SUMIF(Fug!$A$96:$A$205,"7664-93-9",Fug!$I$96:$I$205)</f>
        <v>0</v>
      </c>
      <c r="U35" s="975"/>
      <c r="V35" s="688" t="s">
        <v>9363</v>
      </c>
      <c r="W35" s="650"/>
      <c r="Y35" t="b">
        <f>'PI-1-MarineLoading'!$G$127&lt;&gt;"YES"</f>
        <v>1</v>
      </c>
      <c r="AA35" s="8" t="s">
        <v>10028</v>
      </c>
    </row>
    <row r="36" spans="1:27" x14ac:dyDescent="0.2">
      <c r="A36" s="9" t="str">
        <f>A73</f>
        <v>FIN not required.</v>
      </c>
      <c r="B36" s="16" t="str">
        <f>B73</f>
        <v/>
      </c>
      <c r="C36" s="16" t="str">
        <f>C73</f>
        <v/>
      </c>
      <c r="D36" s="974">
        <f>MSS!F145</f>
        <v>0</v>
      </c>
      <c r="E36" s="975"/>
      <c r="F36" s="974">
        <f>MSS!F146</f>
        <v>0</v>
      </c>
      <c r="G36" s="975"/>
      <c r="H36" s="974">
        <f>MSS!F147</f>
        <v>0</v>
      </c>
      <c r="I36" s="975"/>
      <c r="J36" s="974">
        <f>MSS!F148</f>
        <v>0</v>
      </c>
      <c r="K36" s="975"/>
      <c r="L36" s="974">
        <f>MSS!F149</f>
        <v>0</v>
      </c>
      <c r="M36" s="975"/>
      <c r="N36" s="974">
        <f>MSS!F150</f>
        <v>0</v>
      </c>
      <c r="O36" s="975"/>
      <c r="P36" s="974">
        <f>MSS!F144</f>
        <v>0</v>
      </c>
      <c r="Q36" s="975"/>
      <c r="R36" s="974">
        <f>MSS!F151</f>
        <v>0</v>
      </c>
      <c r="S36" s="975"/>
      <c r="T36" s="688" t="s">
        <v>9363</v>
      </c>
      <c r="U36" s="650"/>
      <c r="V36" s="688" t="s">
        <v>9363</v>
      </c>
      <c r="W36" s="650"/>
      <c r="Y36" t="b">
        <f>IF('PI-1-MarineLoading'!$G$128&lt;&gt;"YES",TRUE,IF(COUNTIF(MSS!$G$13:$G$23,"No")+COUNTIF(MSS!$G$25:$G$31,"No")=18,TRUE,FALSE))</f>
        <v>1</v>
      </c>
      <c r="AA36" s="8" t="s">
        <v>240</v>
      </c>
    </row>
    <row r="37" spans="1:27" x14ac:dyDescent="0.2">
      <c r="A37" s="9" t="str">
        <f>A74</f>
        <v/>
      </c>
      <c r="B37" s="16" t="str">
        <f t="shared" ref="B37:C37" si="28">B74</f>
        <v/>
      </c>
      <c r="C37" s="16" t="str">
        <f t="shared" si="28"/>
        <v/>
      </c>
      <c r="D37" s="974">
        <f>MAX(MSS!$F$155,LandEmiss!$H$460)</f>
        <v>0</v>
      </c>
      <c r="E37" s="975"/>
      <c r="F37" s="974">
        <f>MAX(MSS!$F$156,LandEmiss!$F$461)</f>
        <v>0</v>
      </c>
      <c r="G37" s="975"/>
      <c r="H37" s="688" t="s">
        <v>9363</v>
      </c>
      <c r="I37" s="650"/>
      <c r="J37" s="688" t="s">
        <v>9363</v>
      </c>
      <c r="K37" s="650"/>
      <c r="L37" s="688" t="s">
        <v>9363</v>
      </c>
      <c r="M37" s="650"/>
      <c r="N37" s="974">
        <f>MAX(MSS!$F$157,LandEmiss!$H$465)</f>
        <v>0</v>
      </c>
      <c r="O37" s="975"/>
      <c r="P37" s="974">
        <f>MAX(MSS!F$154,IF(ConvenienceLand!$D$14="temporary flare",ConvenienceLand!$F$19,0),IF(ConvenienceLand!$D$31="temporary flare",ConvenienceLand!$F$36,0),IF(ConvenienceLand!$D$48="temporary flare",ConvenienceLand!$F$53,0),IF(ConvenienceLand!$D$65="temporary flare",ConvenienceLand!$F$70,0),IF(ConvenienceLand!$D$82="temporary flare",ConvenienceLand!$F$87,0))</f>
        <v>0</v>
      </c>
      <c r="Q37" s="975"/>
      <c r="R37" s="974">
        <f>MAX(MSS!$F$158,LandEmiss!$H$466)</f>
        <v>0</v>
      </c>
      <c r="S37" s="975"/>
      <c r="T37" s="628" t="s">
        <v>9363</v>
      </c>
      <c r="U37" s="628"/>
      <c r="V37" s="628" t="s">
        <v>9363</v>
      </c>
      <c r="W37" s="628"/>
      <c r="Y37" t="b">
        <f>'PI-1-MarineLoading'!$G129&lt;&gt;"Yes"</f>
        <v>1</v>
      </c>
      <c r="AA37" s="8" t="s">
        <v>10030</v>
      </c>
    </row>
    <row r="38" spans="1:27" x14ac:dyDescent="0.2">
      <c r="A38" s="9" t="str">
        <f t="shared" ref="A38:C38" si="29">A75</f>
        <v/>
      </c>
      <c r="B38" s="16" t="str">
        <f t="shared" si="29"/>
        <v/>
      </c>
      <c r="C38" s="16" t="str">
        <f t="shared" si="29"/>
        <v/>
      </c>
      <c r="D38" s="974">
        <f>MAX(MSS!$F$162,LandEmiss!$J$460)</f>
        <v>0</v>
      </c>
      <c r="E38" s="975"/>
      <c r="F38" s="974">
        <f>MAX(MSS!$F$163,LandEmiss!$J$461)</f>
        <v>0</v>
      </c>
      <c r="G38" s="975"/>
      <c r="H38" s="974">
        <f>MAX(MSS!$F$164,LandEmiss!$J$462)</f>
        <v>0</v>
      </c>
      <c r="I38" s="975"/>
      <c r="J38" s="974">
        <f>MAX(MSS!$F$165,LandEmiss!$J$463)</f>
        <v>0</v>
      </c>
      <c r="K38" s="975"/>
      <c r="L38" s="974">
        <f>MAX(MSS!$F$166,LandEmiss!$J$464)</f>
        <v>0</v>
      </c>
      <c r="M38" s="975"/>
      <c r="N38" s="974">
        <f>MAX(MSS!$F$167,LandEmiss!$J$465)</f>
        <v>0</v>
      </c>
      <c r="O38" s="975"/>
      <c r="P38" s="974">
        <f>MAX(MSS!$F$161,IF(ConvenienceLand!$D$14="temporary VCU",ConvenienceLand!$F$19,0),IF(ConvenienceLand!$D$31="temporary VCU",ConvenienceLand!$F$36,0),IF(ConvenienceLand!$D$48="temporary VCU",ConvenienceLand!$F$53,0),IF(ConvenienceLand!$D$65="temporary VCU",ConvenienceLand!$F$70,0),IF(ConvenienceLand!$D$82="temporary VCU",ConvenienceLand!$F$87,0))</f>
        <v>0</v>
      </c>
      <c r="Q38" s="975"/>
      <c r="R38" s="974">
        <f>MAX(MSS!$F$168,LandEmiss!$J$466)</f>
        <v>0</v>
      </c>
      <c r="S38" s="975"/>
      <c r="T38" s="688" t="s">
        <v>9363</v>
      </c>
      <c r="U38" s="650"/>
      <c r="V38" s="688" t="s">
        <v>9363</v>
      </c>
      <c r="W38" s="650"/>
      <c r="Y38" t="b">
        <f>'PI-1-MarineLoading'!$G130&lt;&gt;"Yes"</f>
        <v>1</v>
      </c>
      <c r="AA38" s="8" t="s">
        <v>10031</v>
      </c>
    </row>
    <row r="39" spans="1:27" ht="15" thickBot="1" x14ac:dyDescent="0.25">
      <c r="A39" s="112" t="str">
        <f t="shared" ref="A39:C39" si="30">A76</f>
        <v/>
      </c>
      <c r="B39" s="28" t="str">
        <f t="shared" si="30"/>
        <v/>
      </c>
      <c r="C39" s="28" t="str">
        <f t="shared" si="30"/>
        <v/>
      </c>
      <c r="D39" s="986">
        <f>MAX(MSS!$F$172,LandEmiss!$L$460)</f>
        <v>0</v>
      </c>
      <c r="E39" s="987"/>
      <c r="F39" s="986">
        <f>MAX(MSS!$F$173,LandEmiss!$L$461)</f>
        <v>0</v>
      </c>
      <c r="G39" s="987"/>
      <c r="H39" s="986">
        <f>MAX(MSS!$F$174,LandEmiss!$L$462)</f>
        <v>0</v>
      </c>
      <c r="I39" s="987"/>
      <c r="J39" s="986">
        <f>MAX(MSS!$F$175,LandEmiss!$L$463)</f>
        <v>0</v>
      </c>
      <c r="K39" s="987"/>
      <c r="L39" s="986">
        <f>MAX(MSS!$F$176,LandEmiss!$L$464)</f>
        <v>0</v>
      </c>
      <c r="M39" s="987"/>
      <c r="N39" s="986">
        <f>MAX(MSS!$F$177,LandEmiss!$L$465)</f>
        <v>0</v>
      </c>
      <c r="O39" s="987"/>
      <c r="P39" s="986">
        <f>MAX(MSS!$F$171,IF(ConvenienceLand!$D$14="temporary thermal oxidizer",ConvenienceLand!$F$19,0),IF(ConvenienceLand!$D$31="temporary thermal oxidizer",ConvenienceLand!$F$36,0),IF(ConvenienceLand!$D$48="temporary thermal oxidizer",ConvenienceLand!$F$53,0),IF(ConvenienceLand!$D$65="temporary thermal oxidizer",ConvenienceLand!$F$70,0),IF(ConvenienceLand!$D$82="temporary thermal oxidizer",ConvenienceLand!$F$87,0))</f>
        <v>0</v>
      </c>
      <c r="Q39" s="987"/>
      <c r="R39" s="986">
        <f>MAX(MSS!$F$178,LandEmiss!$L$466)</f>
        <v>0</v>
      </c>
      <c r="S39" s="987"/>
      <c r="T39" s="988" t="s">
        <v>9363</v>
      </c>
      <c r="U39" s="989"/>
      <c r="V39" s="988" t="s">
        <v>9363</v>
      </c>
      <c r="W39" s="989"/>
      <c r="Y39" t="b">
        <f>'PI-1-MarineLoading'!$G131&lt;&gt;"Yes"</f>
        <v>1</v>
      </c>
      <c r="AA39" s="8" t="s">
        <v>10032</v>
      </c>
    </row>
    <row r="40" spans="1:27" ht="15.75" thickBot="1" x14ac:dyDescent="0.25">
      <c r="A40" s="834" t="s">
        <v>9233</v>
      </c>
      <c r="B40" s="835"/>
      <c r="C40" s="985"/>
      <c r="D40" s="991">
        <f>SUM(D7:E39)</f>
        <v>0</v>
      </c>
      <c r="E40" s="992"/>
      <c r="F40" s="992">
        <f>SUM(F7:G39)</f>
        <v>0</v>
      </c>
      <c r="G40" s="992"/>
      <c r="H40" s="992">
        <f>SUM(H7:I39)</f>
        <v>0</v>
      </c>
      <c r="I40" s="992"/>
      <c r="J40" s="992">
        <f>SUM(J7:K39)</f>
        <v>0</v>
      </c>
      <c r="K40" s="992"/>
      <c r="L40" s="992">
        <f>SUM(L7:M39)</f>
        <v>0</v>
      </c>
      <c r="M40" s="992"/>
      <c r="N40" s="992">
        <f>SUM(N7:O39)</f>
        <v>0</v>
      </c>
      <c r="O40" s="992"/>
      <c r="P40" s="990">
        <f>SUM(P7:Q39)</f>
        <v>0</v>
      </c>
      <c r="Q40" s="993"/>
      <c r="R40" s="990">
        <f>SUM(R7:S39)</f>
        <v>0</v>
      </c>
      <c r="S40" s="993"/>
      <c r="T40" s="990">
        <f>SUM(T7:U39)</f>
        <v>0</v>
      </c>
      <c r="U40" s="993"/>
      <c r="V40" s="990">
        <f>SUM(V7:W39)</f>
        <v>0</v>
      </c>
      <c r="W40" s="636"/>
    </row>
    <row r="41" spans="1:27" ht="15" thickBot="1" x14ac:dyDescent="0.25">
      <c r="A41" s="560" t="s">
        <v>1</v>
      </c>
      <c r="B41" s="560"/>
      <c r="C41" s="560"/>
      <c r="D41" s="828"/>
      <c r="E41" s="828"/>
      <c r="F41" s="828"/>
      <c r="G41" s="828"/>
      <c r="H41" s="828"/>
      <c r="I41" s="828"/>
      <c r="J41" s="828"/>
      <c r="K41" s="828"/>
      <c r="L41" s="828"/>
      <c r="M41" s="828"/>
      <c r="N41" s="828"/>
      <c r="O41" s="828"/>
      <c r="P41" s="828"/>
      <c r="Q41" s="828"/>
      <c r="R41" s="828"/>
      <c r="S41" s="828"/>
      <c r="T41" s="828"/>
      <c r="U41" s="828"/>
      <c r="V41" s="828"/>
      <c r="W41" s="828"/>
    </row>
    <row r="42" spans="1:27" ht="15.75" thickBot="1" x14ac:dyDescent="0.25">
      <c r="A42" s="981" t="s">
        <v>9213</v>
      </c>
      <c r="B42" s="982"/>
      <c r="C42" s="982"/>
      <c r="D42" s="982"/>
      <c r="E42" s="982"/>
      <c r="F42" s="982"/>
      <c r="G42" s="982"/>
      <c r="H42" s="982"/>
      <c r="I42" s="982"/>
      <c r="J42" s="982"/>
      <c r="K42" s="982"/>
      <c r="L42" s="982"/>
      <c r="M42" s="982"/>
      <c r="N42" s="982"/>
      <c r="O42" s="982"/>
      <c r="P42" s="982"/>
      <c r="Q42" s="982"/>
      <c r="R42" s="982"/>
      <c r="S42" s="982"/>
      <c r="T42" s="982"/>
      <c r="U42" s="982"/>
      <c r="V42" s="982"/>
      <c r="W42" s="983"/>
    </row>
    <row r="43" spans="1:27" ht="45" x14ac:dyDescent="0.2">
      <c r="A43" s="48" t="s">
        <v>167</v>
      </c>
      <c r="B43" s="49" t="s">
        <v>168</v>
      </c>
      <c r="C43" s="49" t="s">
        <v>169</v>
      </c>
      <c r="D43" s="49" t="s">
        <v>9215</v>
      </c>
      <c r="E43" s="49" t="s">
        <v>9216</v>
      </c>
      <c r="F43" s="49" t="s">
        <v>9217</v>
      </c>
      <c r="G43" s="49" t="s">
        <v>9218</v>
      </c>
      <c r="H43" s="49" t="s">
        <v>9219</v>
      </c>
      <c r="I43" s="49" t="s">
        <v>9220</v>
      </c>
      <c r="J43" s="49" t="s">
        <v>9221</v>
      </c>
      <c r="K43" s="49" t="s">
        <v>9222</v>
      </c>
      <c r="L43" s="49" t="s">
        <v>9223</v>
      </c>
      <c r="M43" s="49" t="s">
        <v>9224</v>
      </c>
      <c r="N43" s="49" t="s">
        <v>9227</v>
      </c>
      <c r="O43" s="49" t="s">
        <v>9228</v>
      </c>
      <c r="P43" s="49" t="s">
        <v>9225</v>
      </c>
      <c r="Q43" s="49" t="s">
        <v>9226</v>
      </c>
      <c r="R43" s="49" t="s">
        <v>9229</v>
      </c>
      <c r="S43" s="49" t="s">
        <v>9230</v>
      </c>
      <c r="T43" s="49" t="s">
        <v>9231</v>
      </c>
      <c r="U43" s="204" t="s">
        <v>9232</v>
      </c>
      <c r="V43" s="49" t="s">
        <v>9443</v>
      </c>
      <c r="W43" s="117" t="s">
        <v>9444</v>
      </c>
    </row>
    <row r="44" spans="1:27" x14ac:dyDescent="0.2">
      <c r="A44" s="9" t="str">
        <f>IF(Tank1!D7="","",Tank1!D7)</f>
        <v/>
      </c>
      <c r="B44" s="16" t="str">
        <f>IF(Tank1!D8="","",Tank1!D8)</f>
        <v/>
      </c>
      <c r="C44" s="16" t="str">
        <f>IF(Tank1!D9="","",Tank1!D9)</f>
        <v/>
      </c>
      <c r="D44" s="77" t="s">
        <v>9363</v>
      </c>
      <c r="E44" s="77" t="s">
        <v>9363</v>
      </c>
      <c r="F44" s="77" t="s">
        <v>9363</v>
      </c>
      <c r="G44" s="77" t="s">
        <v>9363</v>
      </c>
      <c r="H44" s="77" t="s">
        <v>9363</v>
      </c>
      <c r="I44" s="77" t="s">
        <v>9363</v>
      </c>
      <c r="J44" s="77" t="s">
        <v>9363</v>
      </c>
      <c r="K44" s="77" t="s">
        <v>9363</v>
      </c>
      <c r="L44" s="77" t="s">
        <v>9363</v>
      </c>
      <c r="M44" s="77" t="s">
        <v>9363</v>
      </c>
      <c r="N44" s="77" t="s">
        <v>9363</v>
      </c>
      <c r="O44" s="77" t="s">
        <v>9363</v>
      </c>
      <c r="P44" s="235"/>
      <c r="Q44" s="22">
        <f>IF(Tank1!$D$22="no control",SUMIFS(Tank1!$H$32:$H$141,Tank1!$E$32:$E$141,"Total VOC"),0)</f>
        <v>0</v>
      </c>
      <c r="R44" s="235"/>
      <c r="S44" s="22">
        <f>IF(Tank1!$D$22="no control",SUMIFS(Tank1!$H$32:$H$141,Tank1!$E$32:$E$141,"7783-06-4"),0)</f>
        <v>0</v>
      </c>
      <c r="T44" s="235"/>
      <c r="U44" s="234">
        <f>IF(Tank1!$D$22="no control",SUMIFS(Tank1!$H$32:$H$141,Tank1!$E$32:$E$141,"7664-93-9"),0)</f>
        <v>0</v>
      </c>
      <c r="V44" s="235"/>
      <c r="W44" s="23">
        <f>IF(Tank1!$D$22="no control",SUMIFS(Tank1!$H$32:$H$141,Tank1!$E$32:$E$141,"7664-41-7"),0)</f>
        <v>0</v>
      </c>
      <c r="Y44" t="b">
        <f>$Y7</f>
        <v>1</v>
      </c>
      <c r="AA44" t="s">
        <v>10009</v>
      </c>
    </row>
    <row r="45" spans="1:27" x14ac:dyDescent="0.2">
      <c r="A45" s="9" t="str">
        <f>A44</f>
        <v/>
      </c>
      <c r="B45" s="16" t="str">
        <f>B44</f>
        <v/>
      </c>
      <c r="C45" s="16" t="str">
        <f>IF(C44="","",C44&amp;" Convenience Landings")</f>
        <v/>
      </c>
      <c r="D45" s="77" t="s">
        <v>9363</v>
      </c>
      <c r="E45" s="77" t="s">
        <v>9363</v>
      </c>
      <c r="F45" s="77" t="s">
        <v>9363</v>
      </c>
      <c r="G45" s="77" t="s">
        <v>9363</v>
      </c>
      <c r="H45" s="77" t="s">
        <v>9363</v>
      </c>
      <c r="I45" s="77" t="s">
        <v>9363</v>
      </c>
      <c r="J45" s="77" t="s">
        <v>9363</v>
      </c>
      <c r="K45" s="77" t="s">
        <v>9363</v>
      </c>
      <c r="L45" s="77" t="s">
        <v>9363</v>
      </c>
      <c r="M45" s="77" t="s">
        <v>9363</v>
      </c>
      <c r="N45" s="77" t="s">
        <v>9363</v>
      </c>
      <c r="O45" s="77" t="s">
        <v>9363</v>
      </c>
      <c r="P45" s="235"/>
      <c r="Q45" s="22">
        <f>ConvenienceLand!$H$18</f>
        <v>0</v>
      </c>
      <c r="R45" s="235"/>
      <c r="S45" s="22">
        <f>SUMIFS(LandEmiss!$AK$20:$AK$119,LandEmiss!$AE$20:$AE$119,"7783-06-4")</f>
        <v>0</v>
      </c>
      <c r="T45" s="235"/>
      <c r="U45" s="234">
        <f>SUMIFS(LandEmiss!$AK$20:$AK$119,LandEmiss!$AE$20:$AE$119,"7664-93-9")</f>
        <v>0</v>
      </c>
      <c r="V45" s="235"/>
      <c r="W45" s="23">
        <f>SUMIFS(LandEmiss!$AK$20:$AK$119,LandEmiss!$AE$20:$AE$119,"7664-41-7")</f>
        <v>0</v>
      </c>
      <c r="Y45" t="b">
        <f t="shared" ref="Y45:Y76" si="31">$Y8</f>
        <v>1</v>
      </c>
      <c r="AA45" t="s">
        <v>10009</v>
      </c>
    </row>
    <row r="46" spans="1:27" x14ac:dyDescent="0.2">
      <c r="A46" s="9" t="str">
        <f>A44</f>
        <v/>
      </c>
      <c r="B46" s="16" t="str">
        <f>B44</f>
        <v/>
      </c>
      <c r="C46" t="str">
        <f>IF(C44="","",C44&amp;" MSS")</f>
        <v/>
      </c>
      <c r="D46" s="77" t="s">
        <v>9363</v>
      </c>
      <c r="E46" s="77" t="s">
        <v>9363</v>
      </c>
      <c r="F46" s="77" t="s">
        <v>9363</v>
      </c>
      <c r="G46" s="77" t="s">
        <v>9363</v>
      </c>
      <c r="H46" s="77" t="s">
        <v>9363</v>
      </c>
      <c r="I46" s="77" t="s">
        <v>9363</v>
      </c>
      <c r="J46" s="77" t="s">
        <v>9363</v>
      </c>
      <c r="K46" s="77" t="s">
        <v>9363</v>
      </c>
      <c r="L46" s="77" t="s">
        <v>9363</v>
      </c>
      <c r="M46" s="77" t="s">
        <v>9363</v>
      </c>
      <c r="N46" s="77" t="s">
        <v>9363</v>
      </c>
      <c r="O46" s="77" t="s">
        <v>9363</v>
      </c>
      <c r="P46" s="235"/>
      <c r="Q46" s="22">
        <f>IF(COUNTIF(Tank1!$D$18,"*floating*")&gt;0,TankMSS!$D$93,IF(COUNTIF(Tank1!$D$18,"*fixed*")&gt;0,TankMSS!$D$164,0))</f>
        <v>0</v>
      </c>
      <c r="R46" s="235"/>
      <c r="S46" s="22">
        <f>SUMIFS(LandEmiss!$CT$20:$CT$119,LandEmiss!$CN$20:$CN$119,"7783-06-4")+SUMIFS(LandEmiss!$FE$9:$FE$108,LandEmiss!$EY$9:$EY$108,"7783-06-4")</f>
        <v>0</v>
      </c>
      <c r="T46" s="235"/>
      <c r="U46" s="234">
        <f>SUMIFS(LandEmiss!$CT$20:$CT$119,LandEmiss!$CN$20:$CN$119,"7664-93-9")+SUMIFS(LandEmiss!$FE$9:$FE$108,LandEmiss!$EY$9:$EY$108,"7664-93-9")</f>
        <v>0</v>
      </c>
      <c r="V46" s="235"/>
      <c r="W46" s="23">
        <f>SUMIFS(LandEmiss!$CT$20:$CT$119,LandEmiss!$CN$20:$CN$119,"7664-41-7")+SUMIFS(LandEmiss!$FE$9:$FE$108,LandEmiss!$EY$9:$EY$108,"7664-41-7")</f>
        <v>0</v>
      </c>
      <c r="Y46" t="b">
        <f t="shared" si="31"/>
        <v>1</v>
      </c>
      <c r="AA46" t="s">
        <v>10009</v>
      </c>
    </row>
    <row r="47" spans="1:27" x14ac:dyDescent="0.2">
      <c r="A47" s="9" t="str">
        <f>IF(Tank2!D7="","",Tank2!D7)</f>
        <v/>
      </c>
      <c r="B47" s="16" t="str">
        <f>IF(Tank2!D8="","",Tank2!D8)</f>
        <v/>
      </c>
      <c r="C47" s="16" t="str">
        <f>IF(Tank2!D9="","",Tank2!D9)</f>
        <v/>
      </c>
      <c r="D47" s="77" t="s">
        <v>9363</v>
      </c>
      <c r="E47" s="77" t="s">
        <v>9363</v>
      </c>
      <c r="F47" s="77" t="s">
        <v>9363</v>
      </c>
      <c r="G47" s="77" t="s">
        <v>9363</v>
      </c>
      <c r="H47" s="77" t="s">
        <v>9363</v>
      </c>
      <c r="I47" s="77" t="s">
        <v>9363</v>
      </c>
      <c r="J47" s="77" t="s">
        <v>9363</v>
      </c>
      <c r="K47" s="77" t="s">
        <v>9363</v>
      </c>
      <c r="L47" s="77" t="s">
        <v>9363</v>
      </c>
      <c r="M47" s="77" t="s">
        <v>9363</v>
      </c>
      <c r="N47" s="77" t="s">
        <v>9363</v>
      </c>
      <c r="O47" s="77" t="s">
        <v>9363</v>
      </c>
      <c r="P47" s="235"/>
      <c r="Q47" s="22">
        <f>IF(Tank2!$D$22="no control",SUMIFS(Tank2!$H$32:$H$141,Tank2!$E$32:$E$141,"Total VOC"),0)</f>
        <v>0</v>
      </c>
      <c r="R47" s="235"/>
      <c r="S47" s="22">
        <f>IF(Tank2!$D$22="no control",SUMIFS(Tank2!$H$32:$H$141,Tank2!$E$32:$E$141,"7783-06-4"),0)</f>
        <v>0</v>
      </c>
      <c r="T47" s="235"/>
      <c r="U47" s="234">
        <f>IF(Tank2!$D$22="no control",SUMIFS(Tank2!$H$32:$H$141,Tank2!$E$32:$E$141,"7664-93-9"),0)</f>
        <v>0</v>
      </c>
      <c r="V47" s="235"/>
      <c r="W47" s="23">
        <f>IF(Tank2!$D$22="no control",SUMIFS(Tank2!$H$32:$H$141,Tank2!$E$32:$E$141,"7664-41-7"),0)</f>
        <v>0</v>
      </c>
      <c r="Y47" t="b">
        <f t="shared" si="31"/>
        <v>1</v>
      </c>
      <c r="AA47" t="s">
        <v>10010</v>
      </c>
    </row>
    <row r="48" spans="1:27" x14ac:dyDescent="0.2">
      <c r="A48" s="9" t="str">
        <f>A47</f>
        <v/>
      </c>
      <c r="B48" s="16" t="str">
        <f>B47</f>
        <v/>
      </c>
      <c r="C48" s="16" t="str">
        <f>IF(C47="","",C47&amp;" MSS")</f>
        <v/>
      </c>
      <c r="D48" s="77" t="s">
        <v>9363</v>
      </c>
      <c r="E48" s="77" t="s">
        <v>9363</v>
      </c>
      <c r="F48" s="77" t="s">
        <v>9363</v>
      </c>
      <c r="G48" s="77" t="s">
        <v>9363</v>
      </c>
      <c r="H48" s="77" t="s">
        <v>9363</v>
      </c>
      <c r="I48" s="77" t="s">
        <v>9363</v>
      </c>
      <c r="J48" s="77" t="s">
        <v>9363</v>
      </c>
      <c r="K48" s="77" t="s">
        <v>9363</v>
      </c>
      <c r="L48" s="77" t="s">
        <v>9363</v>
      </c>
      <c r="M48" s="77" t="s">
        <v>9363</v>
      </c>
      <c r="N48" s="77" t="s">
        <v>9363</v>
      </c>
      <c r="O48" s="77" t="s">
        <v>9363</v>
      </c>
      <c r="P48" s="235"/>
      <c r="Q48" s="22">
        <f>IF(COUNTIF(Tank2!$D$18,"*floating*")&gt;0,TankMSS!$D$93,IF(COUNTIF(Tank2!$D$18,"*fixed*")&gt;0,TankMSS!$D$164,0))</f>
        <v>0</v>
      </c>
      <c r="R48" s="235"/>
      <c r="S48" s="22">
        <f>SUMIFS(LandEmiss!$CU$20:$CU$119,LandEmiss!$CN$20:$CN$119,"7783-06-4")+SUMIFS(LandEmiss!$FF$9:$FF$108,LandEmiss!$EY$9:$EY$108,"7783-06-4")</f>
        <v>0</v>
      </c>
      <c r="T48" s="235"/>
      <c r="U48" s="234">
        <f>SUMIFS(LandEmiss!$CU$20:$CU$119,LandEmiss!$CN$20:$CN$119,"7664-93-9")+SUMIFS(LandEmiss!$FF$9:$FF$108,LandEmiss!$EY$9:$EY$108,"7664-93-9")</f>
        <v>0</v>
      </c>
      <c r="V48" s="235"/>
      <c r="W48" s="23">
        <f>SUMIFS(LandEmiss!$CU$20:$CU$119,LandEmiss!$CN$20:$CN$119,"7664-41-7")+SUMIFS(LandEmiss!$FF$9:$FF$108,LandEmiss!$EY$9:$EY$108,"7664-41-7")</f>
        <v>0</v>
      </c>
      <c r="Y48" t="b">
        <f t="shared" si="31"/>
        <v>1</v>
      </c>
      <c r="AA48" t="s">
        <v>10010</v>
      </c>
    </row>
    <row r="49" spans="1:27" x14ac:dyDescent="0.2">
      <c r="A49" s="9" t="str">
        <f>A48</f>
        <v/>
      </c>
      <c r="B49" s="16" t="str">
        <f>B47</f>
        <v/>
      </c>
      <c r="C49" s="16" t="str">
        <f>IF(C47="","",C47&amp;" Convenience Landings")</f>
        <v/>
      </c>
      <c r="D49" s="77" t="s">
        <v>9363</v>
      </c>
      <c r="E49" s="77" t="s">
        <v>9363</v>
      </c>
      <c r="F49" s="77" t="s">
        <v>9363</v>
      </c>
      <c r="G49" s="77" t="s">
        <v>9363</v>
      </c>
      <c r="H49" s="77" t="s">
        <v>9363</v>
      </c>
      <c r="I49" s="77" t="s">
        <v>9363</v>
      </c>
      <c r="J49" s="77" t="s">
        <v>9363</v>
      </c>
      <c r="K49" s="77" t="s">
        <v>9363</v>
      </c>
      <c r="L49" s="77" t="s">
        <v>9363</v>
      </c>
      <c r="M49" s="77" t="s">
        <v>9363</v>
      </c>
      <c r="N49" s="77" t="s">
        <v>9363</v>
      </c>
      <c r="O49" s="77" t="s">
        <v>9363</v>
      </c>
      <c r="P49" s="235"/>
      <c r="Q49" s="22">
        <f>ConvenienceLand!$H$35</f>
        <v>0</v>
      </c>
      <c r="R49" s="235"/>
      <c r="S49" s="22">
        <f>SUMIFS(LandEmiss!$AL$20:$AL$119,LandEmiss!$AE$20:$AE$119,"7783-06-4")</f>
        <v>0</v>
      </c>
      <c r="T49" s="235"/>
      <c r="U49" s="234">
        <f>SUMIFS(LandEmiss!$AL$20:$AL$119,LandEmiss!$AE$20:$AE$119,"7664-93-9")</f>
        <v>0</v>
      </c>
      <c r="V49" s="235"/>
      <c r="W49" s="23">
        <f>SUMIFS(LandEmiss!$AL$20:$AL$119,LandEmiss!$AE$20:$AE$119,"7664-41-7")</f>
        <v>0</v>
      </c>
      <c r="Y49" t="b">
        <f t="shared" si="31"/>
        <v>1</v>
      </c>
      <c r="AA49" t="s">
        <v>10010</v>
      </c>
    </row>
    <row r="50" spans="1:27" x14ac:dyDescent="0.2">
      <c r="A50" s="9" t="str">
        <f>IF(Tank3!D7="","",Tank3!D7)</f>
        <v/>
      </c>
      <c r="B50" s="16" t="str">
        <f>IF(Tank3!D8="","",Tank3!D8)</f>
        <v/>
      </c>
      <c r="C50" s="16" t="str">
        <f>IF(Tank3!D9="","",Tank3!D9)</f>
        <v/>
      </c>
      <c r="D50" s="77" t="s">
        <v>9363</v>
      </c>
      <c r="E50" s="77" t="s">
        <v>9363</v>
      </c>
      <c r="F50" s="77" t="s">
        <v>9363</v>
      </c>
      <c r="G50" s="77" t="s">
        <v>9363</v>
      </c>
      <c r="H50" s="77" t="s">
        <v>9363</v>
      </c>
      <c r="I50" s="77" t="s">
        <v>9363</v>
      </c>
      <c r="J50" s="77" t="s">
        <v>9363</v>
      </c>
      <c r="K50" s="77" t="s">
        <v>9363</v>
      </c>
      <c r="L50" s="77" t="s">
        <v>9363</v>
      </c>
      <c r="M50" s="77" t="s">
        <v>9363</v>
      </c>
      <c r="N50" s="77" t="s">
        <v>9363</v>
      </c>
      <c r="O50" s="77" t="s">
        <v>9363</v>
      </c>
      <c r="P50" s="235"/>
      <c r="Q50" s="22">
        <f>IF(Tank3!$D$22="no control",SUMIFS(Tank3!$H$32:$H$141,Tank3!$E$32:$E$141,"Total VOC"),0)</f>
        <v>0</v>
      </c>
      <c r="R50" s="235"/>
      <c r="S50" s="22">
        <f>IF(Tank3!$D$22="no control",SUMIFS(Tank3!$H$32:$H$141,Tank3!$E$32:$E$141,"7783-06-4"),0)</f>
        <v>0</v>
      </c>
      <c r="T50" s="235"/>
      <c r="U50" s="234">
        <f>IF(Tank3!$D$22="no control",SUMIFS(Tank3!$H$32:$H$141,Tank3!$E$32:$E$141,"7664-93-9"),0)</f>
        <v>0</v>
      </c>
      <c r="V50" s="235"/>
      <c r="W50" s="23">
        <f>IF(Tank3!$D$22="no control",SUMIFS(Tank3!$H$32:$H$141,Tank3!$E$32:$E$141,"7664-41-7"),0)</f>
        <v>0</v>
      </c>
      <c r="Y50" t="b">
        <f t="shared" si="31"/>
        <v>1</v>
      </c>
      <c r="AA50" t="s">
        <v>10011</v>
      </c>
    </row>
    <row r="51" spans="1:27" x14ac:dyDescent="0.2">
      <c r="A51" s="9" t="str">
        <f>A50</f>
        <v/>
      </c>
      <c r="B51" s="16" t="str">
        <f>B50</f>
        <v/>
      </c>
      <c r="C51" s="16" t="str">
        <f>IF(C50="","",C50&amp;" MSS")</f>
        <v/>
      </c>
      <c r="D51" s="77" t="s">
        <v>9363</v>
      </c>
      <c r="E51" s="77" t="s">
        <v>9363</v>
      </c>
      <c r="F51" s="77" t="s">
        <v>9363</v>
      </c>
      <c r="G51" s="77" t="s">
        <v>9363</v>
      </c>
      <c r="H51" s="77" t="s">
        <v>9363</v>
      </c>
      <c r="I51" s="77" t="s">
        <v>9363</v>
      </c>
      <c r="J51" s="77" t="s">
        <v>9363</v>
      </c>
      <c r="K51" s="77" t="s">
        <v>9363</v>
      </c>
      <c r="L51" s="77" t="s">
        <v>9363</v>
      </c>
      <c r="M51" s="77" t="s">
        <v>9363</v>
      </c>
      <c r="N51" s="77" t="s">
        <v>9363</v>
      </c>
      <c r="O51" s="77" t="s">
        <v>9363</v>
      </c>
      <c r="P51" s="235"/>
      <c r="Q51" s="22">
        <f>IF(COUNTIF(Tank3!$D$18,"*floating*")&gt;0,TankMSS!$D$93,IF(COUNTIF(Tank3!$D$18,"*fixed*")&gt;0,TankMSS!$D$164,0))</f>
        <v>0</v>
      </c>
      <c r="R51" s="235"/>
      <c r="S51" s="22">
        <f>SUMIFS(LandEmiss!$CV$20:$CV$119,LandEmiss!$CN$20:$CN$119,"7783-06-4")+SUMIFS(LandEmiss!$FG$9:$FG$108,LandEmiss!$EY$9:$EY$108,"7783-06-4")</f>
        <v>0</v>
      </c>
      <c r="T51" s="235"/>
      <c r="U51" s="234">
        <f>SUMIFS(LandEmiss!$CV$20:$CV$119,LandEmiss!$CN$20:$CN$119,"7664-93-9")+SUMIFS(LandEmiss!$FG$9:$FG$108,LandEmiss!$EY$9:$EY$108,"7664-93-9")</f>
        <v>0</v>
      </c>
      <c r="V51" s="235"/>
      <c r="W51" s="23">
        <f>SUMIFS(LandEmiss!$CV$20:$CV$119,LandEmiss!$CN$20:$CN$119,"7664-41-7")+SUMIFS(LandEmiss!$FG$9:$FG$108,LandEmiss!$EY$9:$EY$108,"7664-41-7")</f>
        <v>0</v>
      </c>
      <c r="Y51" t="b">
        <f t="shared" si="31"/>
        <v>1</v>
      </c>
      <c r="AA51" t="s">
        <v>10011</v>
      </c>
    </row>
    <row r="52" spans="1:27" x14ac:dyDescent="0.2">
      <c r="A52" s="9" t="str">
        <f>A50</f>
        <v/>
      </c>
      <c r="B52" s="16" t="str">
        <f>B50</f>
        <v/>
      </c>
      <c r="C52" s="16" t="str">
        <f>IF(C50="","",C50&amp;" Convenience Landings")</f>
        <v/>
      </c>
      <c r="D52" s="77" t="s">
        <v>9363</v>
      </c>
      <c r="E52" s="77" t="s">
        <v>9363</v>
      </c>
      <c r="F52" s="77" t="s">
        <v>9363</v>
      </c>
      <c r="G52" s="77" t="s">
        <v>9363</v>
      </c>
      <c r="H52" s="77" t="s">
        <v>9363</v>
      </c>
      <c r="I52" s="77" t="s">
        <v>9363</v>
      </c>
      <c r="J52" s="77" t="s">
        <v>9363</v>
      </c>
      <c r="K52" s="77" t="s">
        <v>9363</v>
      </c>
      <c r="L52" s="77" t="s">
        <v>9363</v>
      </c>
      <c r="M52" s="77" t="s">
        <v>9363</v>
      </c>
      <c r="N52" s="77" t="s">
        <v>9363</v>
      </c>
      <c r="O52" s="77" t="s">
        <v>9363</v>
      </c>
      <c r="P52" s="235"/>
      <c r="Q52" s="22">
        <f>ConvenienceLand!$H$52</f>
        <v>0</v>
      </c>
      <c r="R52" s="235"/>
      <c r="S52" s="22">
        <f>SUMIFS(LandEmiss!$AM$20:$AM$119,LandEmiss!$AE$20:$AE$119,"7783-06-4")</f>
        <v>0</v>
      </c>
      <c r="T52" s="235"/>
      <c r="U52" s="234">
        <f>SUMIFS(LandEmiss!$AM$20:$AM$119,LandEmiss!$AE$20:$AE$119,"7664-93-9")</f>
        <v>0</v>
      </c>
      <c r="V52" s="235"/>
      <c r="W52" s="23">
        <f>SUMIFS(LandEmiss!$AM$20:$AM$119,LandEmiss!$AE$20:$AE$119,"7664-41-7")</f>
        <v>0</v>
      </c>
      <c r="Y52" t="b">
        <f t="shared" si="31"/>
        <v>1</v>
      </c>
      <c r="AA52" t="s">
        <v>10011</v>
      </c>
    </row>
    <row r="53" spans="1:27" x14ac:dyDescent="0.2">
      <c r="A53" s="9" t="str">
        <f>IF(Tank4!D7="","",Tank4!D7)</f>
        <v/>
      </c>
      <c r="B53" s="16" t="str">
        <f>IF(Tank4!D8="","",Tank4!D8)</f>
        <v/>
      </c>
      <c r="C53" s="16" t="str">
        <f>IF(Tank4!D9="","",Tank4!D9)</f>
        <v/>
      </c>
      <c r="D53" s="77" t="s">
        <v>9363</v>
      </c>
      <c r="E53" s="77" t="s">
        <v>9363</v>
      </c>
      <c r="F53" s="77" t="s">
        <v>9363</v>
      </c>
      <c r="G53" s="77" t="s">
        <v>9363</v>
      </c>
      <c r="H53" s="77" t="s">
        <v>9363</v>
      </c>
      <c r="I53" s="77" t="s">
        <v>9363</v>
      </c>
      <c r="J53" s="77" t="s">
        <v>9363</v>
      </c>
      <c r="K53" s="77" t="s">
        <v>9363</v>
      </c>
      <c r="L53" s="77" t="s">
        <v>9363</v>
      </c>
      <c r="M53" s="77" t="s">
        <v>9363</v>
      </c>
      <c r="N53" s="77" t="s">
        <v>9363</v>
      </c>
      <c r="O53" s="77" t="s">
        <v>9363</v>
      </c>
      <c r="P53" s="235"/>
      <c r="Q53" s="22">
        <f>IF(Tank4!$D$22="no control",SUMIFS(Tank4!$H$32:$H$141,Tank4!$E$32:$E$141,"Total VOC"),0)</f>
        <v>0</v>
      </c>
      <c r="R53" s="235"/>
      <c r="S53" s="22">
        <f>IF(Tank4!$D$22="no control",SUMIFS(Tank4!$H$32:$H$141,Tank4!$E$32:$E$141,"7783-06-4"),0)</f>
        <v>0</v>
      </c>
      <c r="T53" s="235"/>
      <c r="U53" s="234">
        <f>IF(Tank4!$D$22="no control",SUMIFS(Tank4!$H$32:$H$141,Tank4!$E$32:$E$141,"7664-93-9"),0)</f>
        <v>0</v>
      </c>
      <c r="V53" s="235"/>
      <c r="W53" s="23">
        <f>IF(Tank4!$D$22="no control",SUMIFS(Tank4!$H$32:$H$141,Tank4!$E$32:$E$141,"7664-41-7"),0)</f>
        <v>0</v>
      </c>
      <c r="Y53" t="b">
        <f t="shared" si="31"/>
        <v>1</v>
      </c>
      <c r="AA53" t="s">
        <v>10012</v>
      </c>
    </row>
    <row r="54" spans="1:27" x14ac:dyDescent="0.2">
      <c r="A54" s="9" t="str">
        <f>A53</f>
        <v/>
      </c>
      <c r="B54" s="16" t="str">
        <f>B53</f>
        <v/>
      </c>
      <c r="C54" s="16" t="str">
        <f>IF(C53="","",C53&amp;" MSS")</f>
        <v/>
      </c>
      <c r="D54" s="77" t="s">
        <v>9363</v>
      </c>
      <c r="E54" s="77" t="s">
        <v>9363</v>
      </c>
      <c r="F54" s="77" t="s">
        <v>9363</v>
      </c>
      <c r="G54" s="77" t="s">
        <v>9363</v>
      </c>
      <c r="H54" s="77" t="s">
        <v>9363</v>
      </c>
      <c r="I54" s="77" t="s">
        <v>9363</v>
      </c>
      <c r="J54" s="77" t="s">
        <v>9363</v>
      </c>
      <c r="K54" s="77" t="s">
        <v>9363</v>
      </c>
      <c r="L54" s="77" t="s">
        <v>9363</v>
      </c>
      <c r="M54" s="77" t="s">
        <v>9363</v>
      </c>
      <c r="N54" s="77" t="s">
        <v>9363</v>
      </c>
      <c r="O54" s="77" t="s">
        <v>9363</v>
      </c>
      <c r="P54" s="235"/>
      <c r="Q54" s="22">
        <f>IF(COUNTIF(Tank4!$D$18,"*floating*")&gt;0,TankMSS!$D$93,IF(COUNTIF(Tank4!$D$18,"*fixed*")&gt;0,TankMSS!$D$164,0))</f>
        <v>0</v>
      </c>
      <c r="R54" s="235"/>
      <c r="S54" s="22">
        <f>SUMIFS(LandEmiss!$CW$20:$CW$119,LandEmiss!$CN$20:$CN$119,"7783-06-4")+SUMIFS(LandEmiss!$FH$9:$FH$108,LandEmiss!$EY$9:$EY$108,"7783-06-4")</f>
        <v>0</v>
      </c>
      <c r="T54" s="235"/>
      <c r="U54" s="234">
        <f>SUMIFS(LandEmiss!$CW$20:$CW$119,LandEmiss!$CN$20:$CN$119,"7664-93-9")+SUMIFS(LandEmiss!$FH$9:$FH$108,LandEmiss!$EY$9:$EY$108,"7664-93-9")</f>
        <v>0</v>
      </c>
      <c r="V54" s="235"/>
      <c r="W54" s="23">
        <f>SUMIFS(LandEmiss!$CW$20:$CW$119,LandEmiss!$CN$20:$CN$119,"7664-41-7")+SUMIFS(LandEmiss!$FH$9:$FH$108,LandEmiss!$EY$9:$EY$108,"7664-41-7")</f>
        <v>0</v>
      </c>
      <c r="Y54" t="b">
        <f t="shared" si="31"/>
        <v>1</v>
      </c>
      <c r="AA54" t="s">
        <v>10012</v>
      </c>
    </row>
    <row r="55" spans="1:27" x14ac:dyDescent="0.2">
      <c r="A55" s="9" t="str">
        <f>A54</f>
        <v/>
      </c>
      <c r="B55" s="16" t="str">
        <f>B54</f>
        <v/>
      </c>
      <c r="C55" s="16" t="str">
        <f>IF(C53="","",C53&amp;" Convenience Landings")</f>
        <v/>
      </c>
      <c r="D55" s="77" t="s">
        <v>9363</v>
      </c>
      <c r="E55" s="77" t="s">
        <v>9363</v>
      </c>
      <c r="F55" s="77" t="s">
        <v>9363</v>
      </c>
      <c r="G55" s="77" t="s">
        <v>9363</v>
      </c>
      <c r="H55" s="77" t="s">
        <v>9363</v>
      </c>
      <c r="I55" s="77" t="s">
        <v>9363</v>
      </c>
      <c r="J55" s="77" t="s">
        <v>9363</v>
      </c>
      <c r="K55" s="77" t="s">
        <v>9363</v>
      </c>
      <c r="L55" s="77" t="s">
        <v>9363</v>
      </c>
      <c r="M55" s="77" t="s">
        <v>9363</v>
      </c>
      <c r="N55" s="77" t="s">
        <v>9363</v>
      </c>
      <c r="O55" s="77" t="s">
        <v>9363</v>
      </c>
      <c r="P55" s="235"/>
      <c r="Q55" s="22">
        <f>ConvenienceLand!$H$69</f>
        <v>0</v>
      </c>
      <c r="R55" s="235"/>
      <c r="S55" s="22">
        <f>SUMIFS(LandEmiss!$AN$20:$AN$119,LandEmiss!$AE$20:$AE$119,"7783-06-4")</f>
        <v>0</v>
      </c>
      <c r="T55" s="235"/>
      <c r="U55" s="234">
        <f>SUMIFS(LandEmiss!$AN$20:$AN$119,LandEmiss!$AE$20:$AE$119,"7664-93-9")</f>
        <v>0</v>
      </c>
      <c r="V55" s="235"/>
      <c r="W55" s="23">
        <f>SUMIFS(LandEmiss!$AN$20:$AN$119,LandEmiss!$AE$20:$AE$119,"7664-41-7")</f>
        <v>0</v>
      </c>
      <c r="Y55" t="b">
        <f t="shared" si="31"/>
        <v>1</v>
      </c>
      <c r="AA55" t="s">
        <v>10012</v>
      </c>
    </row>
    <row r="56" spans="1:27" x14ac:dyDescent="0.2">
      <c r="A56" s="9" t="str">
        <f>IF(Tank5!D7="","",Tank5!D7)</f>
        <v/>
      </c>
      <c r="B56" s="16" t="str">
        <f>IF(Tank5!D8="","",Tank5!D8)</f>
        <v/>
      </c>
      <c r="C56" s="16" t="str">
        <f>IF(Tank5!D9="","",Tank5!D9)</f>
        <v/>
      </c>
      <c r="D56" s="77" t="s">
        <v>9363</v>
      </c>
      <c r="E56" s="77" t="s">
        <v>9363</v>
      </c>
      <c r="F56" s="77" t="s">
        <v>9363</v>
      </c>
      <c r="G56" s="77" t="s">
        <v>9363</v>
      </c>
      <c r="H56" s="77" t="s">
        <v>9363</v>
      </c>
      <c r="I56" s="77" t="s">
        <v>9363</v>
      </c>
      <c r="J56" s="77" t="s">
        <v>9363</v>
      </c>
      <c r="K56" s="77" t="s">
        <v>9363</v>
      </c>
      <c r="L56" s="77" t="s">
        <v>9363</v>
      </c>
      <c r="M56" s="77" t="s">
        <v>9363</v>
      </c>
      <c r="N56" s="77" t="s">
        <v>9363</v>
      </c>
      <c r="O56" s="77" t="s">
        <v>9363</v>
      </c>
      <c r="P56" s="235"/>
      <c r="Q56" s="22">
        <f>IF(Tank5!$D$22="no control",SUMIFS(Tank5!$H$32:$H$141,Tank5!$E$32:$E$141,"Total VOC"),0)</f>
        <v>0</v>
      </c>
      <c r="R56" s="235"/>
      <c r="S56" s="22">
        <f>IF(Tank5!$D$22="no control",SUMIFS(Tank5!$H$32:$H$141,Tank5!$E$32:$E$141,"7783-06-4"),0)</f>
        <v>0</v>
      </c>
      <c r="T56" s="235"/>
      <c r="U56" s="234">
        <f>IF(Tank5!$D$22="no control",SUMIFS(Tank5!$H$32:$H$141,Tank5!$E$32:$E$141,"7664-93-9"),0)</f>
        <v>0</v>
      </c>
      <c r="V56" s="235"/>
      <c r="W56" s="23">
        <f>IF(Tank5!$D$22="no control",SUMIFS(Tank5!$H$32:$H$141,Tank5!$E$32:$E$141,"7664-41-7"),0)</f>
        <v>0</v>
      </c>
      <c r="Y56" t="b">
        <f t="shared" si="31"/>
        <v>1</v>
      </c>
      <c r="AA56" t="s">
        <v>10013</v>
      </c>
    </row>
    <row r="57" spans="1:27" x14ac:dyDescent="0.2">
      <c r="A57" s="9" t="str">
        <f>A56</f>
        <v/>
      </c>
      <c r="B57" s="16" t="str">
        <f>B56</f>
        <v/>
      </c>
      <c r="C57" s="16" t="str">
        <f>IF(C56="","",C56&amp;" MSS")</f>
        <v/>
      </c>
      <c r="D57" s="77" t="s">
        <v>9363</v>
      </c>
      <c r="E57" s="77" t="s">
        <v>9363</v>
      </c>
      <c r="F57" s="77" t="s">
        <v>9363</v>
      </c>
      <c r="G57" s="77" t="s">
        <v>9363</v>
      </c>
      <c r="H57" s="77" t="s">
        <v>9363</v>
      </c>
      <c r="I57" s="77" t="s">
        <v>9363</v>
      </c>
      <c r="J57" s="77" t="s">
        <v>9363</v>
      </c>
      <c r="K57" s="77" t="s">
        <v>9363</v>
      </c>
      <c r="L57" s="77" t="s">
        <v>9363</v>
      </c>
      <c r="M57" s="77" t="s">
        <v>9363</v>
      </c>
      <c r="N57" s="77" t="s">
        <v>9363</v>
      </c>
      <c r="O57" s="77" t="s">
        <v>9363</v>
      </c>
      <c r="P57" s="235"/>
      <c r="Q57" s="22">
        <f>IF(COUNTIF(Tank5!$D$18,"*floating*")&gt;0,TankMSS!$D$93,IF(COUNTIF(Tank5!$D$18,"*fixed*")&gt;0,TankMSS!$D$164,0))</f>
        <v>0</v>
      </c>
      <c r="R57" s="235"/>
      <c r="S57" s="22">
        <f>SUMIFS(LandEmiss!$CX$20:$CX$119,LandEmiss!$CN$20:$CN$119,"7783-06-4")+SUMIFS(LandEmiss!$FI$9:$FI$108,LandEmiss!$EY$9:$EY$108,"7783-06-4")</f>
        <v>0</v>
      </c>
      <c r="T57" s="235"/>
      <c r="U57" s="234">
        <f>SUMIFS(LandEmiss!$CX$20:$CX$119,LandEmiss!$CN$20:$CN$119,"7664-93-9")+SUMIFS(LandEmiss!$FI$9:$FI$108,LandEmiss!$EY$9:$EY$108,"7664-93-9")</f>
        <v>0</v>
      </c>
      <c r="V57" s="235"/>
      <c r="W57" s="23">
        <f>SUMIFS(LandEmiss!$CX$20:$CX$119,LandEmiss!$CN$20:$CN$119,"7664-41-7")+SUMIFS(LandEmiss!$FI$9:$FI$108,LandEmiss!$EY$9:$EY$108,"7664-41-7")</f>
        <v>0</v>
      </c>
      <c r="Y57" t="b">
        <f t="shared" si="31"/>
        <v>1</v>
      </c>
      <c r="AA57" t="s">
        <v>10013</v>
      </c>
    </row>
    <row r="58" spans="1:27" x14ac:dyDescent="0.2">
      <c r="A58" s="9" t="str">
        <f>A56</f>
        <v/>
      </c>
      <c r="B58" s="16" t="str">
        <f>B57</f>
        <v/>
      </c>
      <c r="C58" s="16" t="str">
        <f>IF(C56="","",C56&amp;" Convenience Landings")</f>
        <v/>
      </c>
      <c r="D58" s="77" t="s">
        <v>9363</v>
      </c>
      <c r="E58" s="77" t="s">
        <v>9363</v>
      </c>
      <c r="F58" s="77" t="s">
        <v>9363</v>
      </c>
      <c r="G58" s="77" t="s">
        <v>9363</v>
      </c>
      <c r="H58" s="77" t="s">
        <v>9363</v>
      </c>
      <c r="I58" s="77" t="s">
        <v>9363</v>
      </c>
      <c r="J58" s="77" t="s">
        <v>9363</v>
      </c>
      <c r="K58" s="77" t="s">
        <v>9363</v>
      </c>
      <c r="L58" s="77" t="s">
        <v>9363</v>
      </c>
      <c r="M58" s="77" t="s">
        <v>9363</v>
      </c>
      <c r="N58" s="77" t="s">
        <v>9363</v>
      </c>
      <c r="O58" s="77" t="s">
        <v>9363</v>
      </c>
      <c r="P58" s="235"/>
      <c r="Q58" s="22">
        <f>ConvenienceLand!$H$86</f>
        <v>0</v>
      </c>
      <c r="R58" s="235"/>
      <c r="S58" s="22">
        <f>SUMIFS(LandEmiss!$AO$20:$AO$119,LandEmiss!$AE$20:$AE$119,"7783-06-4")</f>
        <v>0</v>
      </c>
      <c r="T58" s="235"/>
      <c r="U58" s="234">
        <f>SUMIFS(LandEmiss!$AO$20:$AO$119,LandEmiss!$AE$20:$AE$119,"7664-93-9")</f>
        <v>0</v>
      </c>
      <c r="V58" s="235"/>
      <c r="W58" s="23">
        <f>SUMIFS(LandEmiss!$AO$20:$AO$119,LandEmiss!$AE$20:$AE$119,"7664-41-7")</f>
        <v>0</v>
      </c>
      <c r="Y58" t="b">
        <f t="shared" si="31"/>
        <v>1</v>
      </c>
      <c r="AA58" t="s">
        <v>10013</v>
      </c>
    </row>
    <row r="59" spans="1:27" x14ac:dyDescent="0.2">
      <c r="A59" s="9" t="str">
        <f>IF('Load-DrumTote'!F7="","",'Load-DrumTote'!F7)</f>
        <v/>
      </c>
      <c r="B59" s="16" t="str">
        <f>IF('Load-DrumTote'!F8="","",'Load-DrumTote'!F8)</f>
        <v/>
      </c>
      <c r="C59" s="16" t="str">
        <f>IF('Load-DrumTote'!F9="","",'Load-DrumTote'!F9)</f>
        <v/>
      </c>
      <c r="D59" s="77" t="s">
        <v>9363</v>
      </c>
      <c r="E59" s="77" t="s">
        <v>9363</v>
      </c>
      <c r="F59" s="77" t="s">
        <v>9363</v>
      </c>
      <c r="G59" s="77" t="s">
        <v>9363</v>
      </c>
      <c r="H59" s="77" t="s">
        <v>9363</v>
      </c>
      <c r="I59" s="77" t="s">
        <v>9363</v>
      </c>
      <c r="J59" s="77" t="s">
        <v>9363</v>
      </c>
      <c r="K59" s="77" t="s">
        <v>9363</v>
      </c>
      <c r="L59" s="77" t="s">
        <v>9363</v>
      </c>
      <c r="M59" s="77" t="s">
        <v>9363</v>
      </c>
      <c r="N59" s="77" t="s">
        <v>9363</v>
      </c>
      <c r="O59" s="77" t="s">
        <v>9363</v>
      </c>
      <c r="P59" s="235"/>
      <c r="Q59" s="22">
        <f>SUMIFS('Load-DrumTote'!$L$27:$L$136,'Load-DrumTote'!$F$27:$F$136,"Total VOC")</f>
        <v>0</v>
      </c>
      <c r="R59" s="235"/>
      <c r="S59" s="22">
        <f>SUMIFS('Load-DrumTote'!$L$27:$L$136,'Load-DrumTote'!$F$27:$F$136,"7783-06-4")</f>
        <v>0</v>
      </c>
      <c r="T59" s="235"/>
      <c r="U59" s="234">
        <f>SUMIFS('Load-DrumTote'!$L$27:$L$136,'Load-DrumTote'!$F$27:$F$136,"7664-93-9")</f>
        <v>0</v>
      </c>
      <c r="V59" s="235"/>
      <c r="W59" s="23">
        <f>SUMIFS('Load-DrumTote'!$L$27:$L$136,'Load-DrumTote'!$F$27:$F$136,"7664-41-7")</f>
        <v>0</v>
      </c>
      <c r="Y59" t="b">
        <f t="shared" si="31"/>
        <v>1</v>
      </c>
      <c r="AA59" t="s">
        <v>10800</v>
      </c>
    </row>
    <row r="60" spans="1:27" x14ac:dyDescent="0.2">
      <c r="A60" s="9" t="str">
        <f>IF('Load-Truck'!F7="","",'Load-Truck'!F7)</f>
        <v/>
      </c>
      <c r="B60" s="16" t="str">
        <f>IF('Load-Truck'!F8="","",'Load-Truck'!F8)</f>
        <v/>
      </c>
      <c r="C60" s="16" t="str">
        <f>IF('Load-Truck'!F9="","",'Load-Truck'!F9)</f>
        <v/>
      </c>
      <c r="D60" s="77" t="s">
        <v>9363</v>
      </c>
      <c r="E60" s="77" t="s">
        <v>9363</v>
      </c>
      <c r="F60" s="77" t="s">
        <v>9363</v>
      </c>
      <c r="G60" s="77" t="s">
        <v>9363</v>
      </c>
      <c r="H60" s="77" t="s">
        <v>9363</v>
      </c>
      <c r="I60" s="77" t="s">
        <v>9363</v>
      </c>
      <c r="J60" s="77" t="s">
        <v>9363</v>
      </c>
      <c r="K60" s="77" t="s">
        <v>9363</v>
      </c>
      <c r="L60" s="77" t="s">
        <v>9363</v>
      </c>
      <c r="M60" s="77" t="s">
        <v>9363</v>
      </c>
      <c r="N60" s="77" t="s">
        <v>9363</v>
      </c>
      <c r="O60" s="77" t="s">
        <v>9363</v>
      </c>
      <c r="P60" s="235"/>
      <c r="Q60" s="22">
        <f>SUMIFS('Load-Truck'!$L$27:$L$136,'Load-Truck'!$F$27:$F$136,"Total VOC")</f>
        <v>0</v>
      </c>
      <c r="R60" s="235"/>
      <c r="S60" s="22">
        <f>SUMIFS('Load-Truck'!$L$27:$L$136,'Load-Truck'!$F$27:$F$136,"7783-06-4")</f>
        <v>0</v>
      </c>
      <c r="T60" s="235"/>
      <c r="U60" s="234">
        <f>SUMIFS('Load-Truck'!$L$27:$L$136,'Load-Truck'!$F$27:$F$136,"7664-93-9")</f>
        <v>0</v>
      </c>
      <c r="V60" s="235"/>
      <c r="W60" s="23">
        <f>SUMIFS('Load-Truck'!$L$27:$L$136,'Load-Truck'!$F$27:$F$136,"7664-41-7")</f>
        <v>0</v>
      </c>
      <c r="Y60" t="b">
        <f t="shared" si="31"/>
        <v>1</v>
      </c>
      <c r="AA60" t="s">
        <v>10801</v>
      </c>
    </row>
    <row r="61" spans="1:27" x14ac:dyDescent="0.2">
      <c r="A61" s="9" t="str">
        <f>IF('Load-Rail'!F7="","",'Load-Rail'!F7)</f>
        <v/>
      </c>
      <c r="B61" s="16" t="str">
        <f>IF('Load-Rail'!F8="","",'Load-Rail'!F8)</f>
        <v/>
      </c>
      <c r="C61" s="16" t="str">
        <f>IF('Load-Rail'!F9="","",'Load-Rail'!F9)</f>
        <v/>
      </c>
      <c r="D61" s="77" t="s">
        <v>9363</v>
      </c>
      <c r="E61" s="77" t="s">
        <v>9363</v>
      </c>
      <c r="F61" s="77" t="s">
        <v>9363</v>
      </c>
      <c r="G61" s="77" t="s">
        <v>9363</v>
      </c>
      <c r="H61" s="77" t="s">
        <v>9363</v>
      </c>
      <c r="I61" s="77" t="s">
        <v>9363</v>
      </c>
      <c r="J61" s="77" t="s">
        <v>9363</v>
      </c>
      <c r="K61" s="77" t="s">
        <v>9363</v>
      </c>
      <c r="L61" s="77" t="s">
        <v>9363</v>
      </c>
      <c r="M61" s="77" t="s">
        <v>9363</v>
      </c>
      <c r="N61" s="77" t="s">
        <v>9363</v>
      </c>
      <c r="O61" s="77" t="s">
        <v>9363</v>
      </c>
      <c r="P61" s="235"/>
      <c r="Q61" s="22">
        <f>SUMIFS('Load-Rail'!$L$27:$L$136,'Load-Rail'!$F$27:$F$136,"Total VOC")</f>
        <v>0</v>
      </c>
      <c r="R61" s="235"/>
      <c r="S61" s="22">
        <f>SUMIFS('Load-Rail'!$L$27:$L$136,'Load-Rail'!$F$27:$F$136,"7783-06-4")</f>
        <v>0</v>
      </c>
      <c r="T61" s="235"/>
      <c r="U61" s="234">
        <f>SUMIFS('Load-Rail'!$L$27:$L$136,'Load-Rail'!$F$27:$F$136,"7664-93-9")</f>
        <v>0</v>
      </c>
      <c r="V61" s="235"/>
      <c r="W61" s="23">
        <f>SUMIFS('Load-Rail'!$L$27:$L$136,'Load-Rail'!$F$27:$F$136,"7664-41-7")</f>
        <v>0</v>
      </c>
      <c r="Y61" t="b">
        <f t="shared" si="31"/>
        <v>1</v>
      </c>
      <c r="AA61" t="s">
        <v>10802</v>
      </c>
    </row>
    <row r="62" spans="1:27" x14ac:dyDescent="0.2">
      <c r="A62" s="9" t="str">
        <f>IF('Load-MarineBarge'!F7="","",'Load-MarineBarge'!F7)</f>
        <v/>
      </c>
      <c r="B62" s="16" t="str">
        <f>IF('Load-MarineBarge'!F8="","",'Load-MarineBarge'!F8)</f>
        <v/>
      </c>
      <c r="C62" s="16" t="str">
        <f>IF('Load-MarineBarge'!F9="","",'Load-MarineBarge'!F9)</f>
        <v/>
      </c>
      <c r="D62" s="77" t="s">
        <v>9363</v>
      </c>
      <c r="E62" s="77" t="s">
        <v>9363</v>
      </c>
      <c r="F62" s="77" t="s">
        <v>9363</v>
      </c>
      <c r="G62" s="77" t="s">
        <v>9363</v>
      </c>
      <c r="H62" s="77" t="s">
        <v>9363</v>
      </c>
      <c r="I62" s="77" t="s">
        <v>9363</v>
      </c>
      <c r="J62" s="77" t="s">
        <v>9363</v>
      </c>
      <c r="K62" s="77" t="s">
        <v>9363</v>
      </c>
      <c r="L62" s="77" t="s">
        <v>9363</v>
      </c>
      <c r="M62" s="77" t="s">
        <v>9363</v>
      </c>
      <c r="N62" s="77" t="s">
        <v>9363</v>
      </c>
      <c r="O62" s="77" t="s">
        <v>9363</v>
      </c>
      <c r="P62" s="235"/>
      <c r="Q62" s="22">
        <f>SUMIFS('Load-MarineBarge'!$L$27:$L$136,'Load-MarineBarge'!$F$27:$F$136,"Total VOC")</f>
        <v>0</v>
      </c>
      <c r="R62" s="235"/>
      <c r="S62" s="22">
        <f>SUMIFS('Load-MarineBarge'!$L$27:$L$136,'Load-MarineBarge'!$F$27:$F$136,"7783-06-4")</f>
        <v>0</v>
      </c>
      <c r="T62" s="235"/>
      <c r="U62" s="234">
        <f>SUMIFS('Load-MarineBarge'!$L$27:$L$136,'Load-MarineBarge'!$F$27:$F$136,"7664-93-9")</f>
        <v>0</v>
      </c>
      <c r="V62" s="235"/>
      <c r="W62" s="23">
        <f>SUMIFS('Load-MarineBarge'!$L$27:$L$136,'Load-MarineBarge'!$F$27:$F$136,"7664-41-7")</f>
        <v>0</v>
      </c>
      <c r="Y62" t="b">
        <f t="shared" si="31"/>
        <v>1</v>
      </c>
      <c r="AA62" t="s">
        <v>10803</v>
      </c>
    </row>
    <row r="63" spans="1:27" x14ac:dyDescent="0.2">
      <c r="A63" s="9" t="str">
        <f>IF('Load-MarineShip'!F7="","",'Load-MarineShip'!F7)</f>
        <v/>
      </c>
      <c r="B63" s="16" t="str">
        <f>IF('Load-MarineShip'!F8="","",'Load-MarineShip'!F8)</f>
        <v/>
      </c>
      <c r="C63" s="16" t="str">
        <f>IF('Load-MarineShip'!F9="","",'Load-MarineShip'!F9)</f>
        <v/>
      </c>
      <c r="D63" s="77" t="s">
        <v>9363</v>
      </c>
      <c r="E63" s="77" t="s">
        <v>9363</v>
      </c>
      <c r="F63" s="77" t="s">
        <v>9363</v>
      </c>
      <c r="G63" s="77" t="s">
        <v>9363</v>
      </c>
      <c r="H63" s="77" t="s">
        <v>9363</v>
      </c>
      <c r="I63" s="77" t="s">
        <v>9363</v>
      </c>
      <c r="J63" s="77" t="s">
        <v>9363</v>
      </c>
      <c r="K63" s="77" t="s">
        <v>9363</v>
      </c>
      <c r="L63" s="77" t="s">
        <v>9363</v>
      </c>
      <c r="M63" s="77" t="s">
        <v>9363</v>
      </c>
      <c r="N63" s="77" t="s">
        <v>9363</v>
      </c>
      <c r="O63" s="77" t="s">
        <v>9363</v>
      </c>
      <c r="P63" s="235"/>
      <c r="Q63" s="22">
        <f>SUMIFS('Load-MarineShip'!$L$27:$L$136,'Load-MarineShip'!$F$27:$F$136,"Total VOC")</f>
        <v>0</v>
      </c>
      <c r="R63" s="235"/>
      <c r="S63" s="22">
        <f>SUMIFS('Load-MarineShip'!$L$27:$L$136,'Load-MarineShip'!$F$27:$F$136,"7783-06-4")</f>
        <v>0</v>
      </c>
      <c r="T63" s="235"/>
      <c r="U63" s="234">
        <f>SUMIFS('Load-MarineShip'!$L$27:$L$136,'Load-MarineShip'!$F$27:$F$136,"7664-93-9")</f>
        <v>0</v>
      </c>
      <c r="V63" s="235"/>
      <c r="W63" s="23">
        <f>SUMIFS('Load-MarineShip'!$L$27:$L$136,'Load-MarineShip'!$F$27:$F$136,"7664-41-7")</f>
        <v>0</v>
      </c>
      <c r="Y63" t="b">
        <f t="shared" si="31"/>
        <v>1</v>
      </c>
      <c r="AA63" t="s">
        <v>10804</v>
      </c>
    </row>
    <row r="64" spans="1:27" x14ac:dyDescent="0.2">
      <c r="A64" s="9" t="str">
        <f>IF(Flare!D7="","",Flare!D7)</f>
        <v/>
      </c>
      <c r="B64" s="16" t="str">
        <f>IF(Flare!D8="","",Flare!D8)</f>
        <v/>
      </c>
      <c r="C64" s="16" t="str">
        <f>IF(Flare!D9="","",Flare!D9)</f>
        <v/>
      </c>
      <c r="D64" s="235"/>
      <c r="E64" s="22">
        <f>SUM(Flare!$F$89,LandEmiss!$C$460)</f>
        <v>0</v>
      </c>
      <c r="F64" s="235"/>
      <c r="G64" s="22">
        <f>SUM(Flare!$F$90,LandEmiss!$C$461)</f>
        <v>0</v>
      </c>
      <c r="H64" s="77"/>
      <c r="I64" s="77"/>
      <c r="J64" s="77"/>
      <c r="K64" s="77"/>
      <c r="L64" s="77"/>
      <c r="M64" s="77"/>
      <c r="N64" s="235"/>
      <c r="O64" s="22">
        <f>SUM(Flare!$F$91,LandEmiss!$C$465)</f>
        <v>0</v>
      </c>
      <c r="P64" s="235"/>
      <c r="Q64" s="22">
        <f>SUM(Flare!$F$88,IF(ConvenienceLand!$D$14="permanent flare",ConvenienceLand!$H$19,0),IF(ConvenienceLand!$D$31="permanent flare",ConvenienceLand!$H$36,0),IF(ConvenienceLand!$D$48="permanent flare",ConvenienceLand!$H$53,0),IF(ConvenienceLand!$D$65="permanent flare",ConvenienceLand!$H$70,0),IF(ConvenienceLand!$D$82="permanent flare",ConvenienceLand!$H$87,0))</f>
        <v>0</v>
      </c>
      <c r="R64" s="235"/>
      <c r="S64" s="22">
        <f>SUM(Flare!$F$92,LandEmiss!$C$466)</f>
        <v>0</v>
      </c>
      <c r="T64" s="77" t="s">
        <v>9363</v>
      </c>
      <c r="U64" s="77" t="s">
        <v>9363</v>
      </c>
      <c r="V64" s="77" t="s">
        <v>9363</v>
      </c>
      <c r="W64" s="237" t="s">
        <v>9363</v>
      </c>
      <c r="Y64" t="b">
        <f t="shared" si="31"/>
        <v>1</v>
      </c>
      <c r="AA64" t="s">
        <v>9391</v>
      </c>
    </row>
    <row r="65" spans="1:27" x14ac:dyDescent="0.2">
      <c r="A65" s="9" t="str">
        <f>IF(VCU!D7="","",VCU!D7)</f>
        <v/>
      </c>
      <c r="B65" s="16" t="str">
        <f>IF(VCU!D8="","",VCU!D8)</f>
        <v/>
      </c>
      <c r="C65" s="16" t="str">
        <f>IF(VCU!D9="","",VCU!D9)</f>
        <v/>
      </c>
      <c r="D65" s="235"/>
      <c r="E65" s="22">
        <f>SUM(VCU!$F$109,LandEmiss!$E$460)</f>
        <v>0</v>
      </c>
      <c r="F65" s="235"/>
      <c r="G65" s="22">
        <f>SUM(VCU!$F$110,LandEmiss!$E$461)</f>
        <v>0</v>
      </c>
      <c r="H65" s="235"/>
      <c r="I65" s="22">
        <f>SUM(VCU!$F$111,LandEmiss!$E$462)</f>
        <v>0</v>
      </c>
      <c r="J65" s="235"/>
      <c r="K65" s="22">
        <f>SUM(VCU!$F$112,LandEmiss!$E$463)</f>
        <v>0</v>
      </c>
      <c r="L65" s="235"/>
      <c r="M65" s="22">
        <f>SUM(VCU!$F$113,LandEmiss!$E$464)</f>
        <v>0</v>
      </c>
      <c r="N65" s="235"/>
      <c r="O65" s="22">
        <f>SUM(VCU!$F$114,LandEmiss!$E$465)</f>
        <v>0</v>
      </c>
      <c r="P65" s="235"/>
      <c r="Q65" s="22">
        <f>SUM(VCU!$F$108,IF(ConvenienceLand!$D$14="permanent VCU",ConvenienceLand!$H$19,0),IF(ConvenienceLand!$D$31="permanent VCU",ConvenienceLand!$H$36,0),IF(ConvenienceLand!$D$48="permanent VCU",ConvenienceLand!$H$53,0),IF(ConvenienceLand!$D$65="permanent VCU",ConvenienceLand!$H$70,0),IF(ConvenienceLand!$D$82="permanent VCU",ConvenienceLand!$H$87,0))</f>
        <v>0</v>
      </c>
      <c r="R65" s="235"/>
      <c r="S65" s="22">
        <f>MAX(VCU!$F$115,LandEmiss!$E$466)</f>
        <v>0</v>
      </c>
      <c r="T65" s="77" t="s">
        <v>9363</v>
      </c>
      <c r="U65" s="77" t="s">
        <v>9363</v>
      </c>
      <c r="V65" s="77" t="s">
        <v>9363</v>
      </c>
      <c r="W65" s="237" t="s">
        <v>9363</v>
      </c>
      <c r="Y65" t="b">
        <f t="shared" si="31"/>
        <v>1</v>
      </c>
      <c r="AA65" t="s">
        <v>8916</v>
      </c>
    </row>
    <row r="66" spans="1:27" x14ac:dyDescent="0.2">
      <c r="A66" s="9" t="str">
        <f>IF(VaporOxidizer!D7="","",VaporOxidizer!D7)</f>
        <v/>
      </c>
      <c r="B66" s="16" t="str">
        <f>IF(VaporOxidizer!D8="","",VaporOxidizer!D8)</f>
        <v/>
      </c>
      <c r="C66" s="16" t="str">
        <f>IF(VaporOxidizer!D9="","",VaporOxidizer!D9)</f>
        <v/>
      </c>
      <c r="D66" s="235"/>
      <c r="E66" s="22">
        <f>SUM(VaporOxidizer!$F$90,LandEmiss!$G$460)</f>
        <v>0</v>
      </c>
      <c r="F66" s="235"/>
      <c r="G66" s="22">
        <f>SUM(VaporOxidizer!$F$91,LandEmiss!$G$461)</f>
        <v>0</v>
      </c>
      <c r="H66" s="235"/>
      <c r="I66" s="22">
        <f>SUM(VaporOxidizer!$F$92,LandEmiss!$G$462)</f>
        <v>0</v>
      </c>
      <c r="J66" s="235"/>
      <c r="K66" s="22">
        <f>SUM(VaporOxidizer!$F$93,LandEmiss!$G$463)</f>
        <v>0</v>
      </c>
      <c r="L66" s="235"/>
      <c r="M66" s="22">
        <f>SUM(VaporOxidizer!$F$94,LandEmiss!$G$464)</f>
        <v>0</v>
      </c>
      <c r="N66" s="235"/>
      <c r="O66" s="22">
        <f>SUM(VaporOxidizer!$F$95,LandEmiss!$G$465)</f>
        <v>0</v>
      </c>
      <c r="P66" s="235"/>
      <c r="Q66" s="22">
        <f>SUM(VaporOxidizer!F89,IF(ConvenienceLand!$D$14="permanent vapor oxidizer",ConvenienceLand!$H$19,0),IF(ConvenienceLand!$D$31="permanent vapor oxidizer",ConvenienceLand!$H$36,0),IF(ConvenienceLand!$D$48="permanent vapor oxidizer",ConvenienceLand!$H$53,0),IF(ConvenienceLand!$D$65="permanent vapor oxidizer",ConvenienceLand!$H$70,0),IF(ConvenienceLand!$D$82="permanent vapor oxidizer",ConvenienceLand!$H$87,0))</f>
        <v>0</v>
      </c>
      <c r="R66" s="235"/>
      <c r="S66" s="22">
        <f>SUM(VaporOxidizer!$F$96,LandEmiss!$G$466)</f>
        <v>0</v>
      </c>
      <c r="T66" s="77" t="s">
        <v>9363</v>
      </c>
      <c r="U66" s="77" t="s">
        <v>9363</v>
      </c>
      <c r="V66" s="77" t="s">
        <v>9363</v>
      </c>
      <c r="W66" s="237" t="s">
        <v>9363</v>
      </c>
      <c r="Y66" t="b">
        <f t="shared" si="31"/>
        <v>1</v>
      </c>
      <c r="AA66" t="s">
        <v>10161</v>
      </c>
    </row>
    <row r="67" spans="1:27" x14ac:dyDescent="0.2">
      <c r="A67" s="9" t="str">
        <f>IF(CAS!D7="","",CAS!D7)</f>
        <v/>
      </c>
      <c r="B67" s="16" t="str">
        <f>IF(CAS!D8="","",CAS!D8)</f>
        <v/>
      </c>
      <c r="C67" s="16" t="str">
        <f>IF(CAS!D9="","",CAS!D9)</f>
        <v/>
      </c>
      <c r="D67" s="77" t="s">
        <v>9363</v>
      </c>
      <c r="E67" s="77" t="s">
        <v>9363</v>
      </c>
      <c r="F67" s="77" t="s">
        <v>9363</v>
      </c>
      <c r="G67" s="77" t="s">
        <v>9363</v>
      </c>
      <c r="H67" s="77" t="s">
        <v>9363</v>
      </c>
      <c r="I67" s="77" t="s">
        <v>9363</v>
      </c>
      <c r="J67" s="77" t="s">
        <v>9363</v>
      </c>
      <c r="K67" s="77" t="s">
        <v>9363</v>
      </c>
      <c r="L67" s="77" t="s">
        <v>9363</v>
      </c>
      <c r="M67" s="77" t="s">
        <v>9363</v>
      </c>
      <c r="N67" s="77" t="s">
        <v>9363</v>
      </c>
      <c r="O67" s="77" t="s">
        <v>9363</v>
      </c>
      <c r="P67" s="235"/>
      <c r="Q67" s="22">
        <f>CAS!$H$29</f>
        <v>0</v>
      </c>
      <c r="R67" s="235"/>
      <c r="S67" s="22">
        <f>CAS!$H$30</f>
        <v>0</v>
      </c>
      <c r="T67" s="235"/>
      <c r="U67" s="234">
        <f>CAS!$H$31</f>
        <v>0</v>
      </c>
      <c r="V67" s="77" t="s">
        <v>9363</v>
      </c>
      <c r="W67" s="237" t="s">
        <v>9363</v>
      </c>
      <c r="Y67" t="b">
        <f t="shared" si="31"/>
        <v>1</v>
      </c>
      <c r="AA67" t="s">
        <v>282</v>
      </c>
    </row>
    <row r="68" spans="1:27" x14ac:dyDescent="0.2">
      <c r="A68" s="9" t="str">
        <f>IF(Engine1!D7="","",Engine1!D7)</f>
        <v/>
      </c>
      <c r="B68" s="16" t="str">
        <f>IF(Engine1!D8="","",Engine1!D8)</f>
        <v/>
      </c>
      <c r="C68" s="16" t="str">
        <f>IF(Engine1!D9="","",Engine1!D9)</f>
        <v/>
      </c>
      <c r="D68" s="235"/>
      <c r="E68" s="22">
        <f>Engine1!$J$33</f>
        <v>0</v>
      </c>
      <c r="F68" s="235"/>
      <c r="G68" s="22">
        <f>Engine1!$J$34</f>
        <v>0</v>
      </c>
      <c r="H68" s="235"/>
      <c r="I68" s="22">
        <f>Engine1!$J$35</f>
        <v>0</v>
      </c>
      <c r="J68" s="235"/>
      <c r="K68" s="22">
        <f>Engine1!$J$36</f>
        <v>0</v>
      </c>
      <c r="L68" s="235"/>
      <c r="M68" s="22">
        <f>Engine1!$J$37</f>
        <v>0</v>
      </c>
      <c r="N68" s="235"/>
      <c r="O68" s="22">
        <f>Engine1!$J$38</f>
        <v>0</v>
      </c>
      <c r="P68" s="235"/>
      <c r="Q68" s="22">
        <f>Engine1!$J$32</f>
        <v>0</v>
      </c>
      <c r="R68" s="77"/>
      <c r="S68" s="77" t="s">
        <v>9363</v>
      </c>
      <c r="T68" s="77" t="s">
        <v>9363</v>
      </c>
      <c r="U68" s="77" t="s">
        <v>9363</v>
      </c>
      <c r="V68" s="77" t="s">
        <v>9363</v>
      </c>
      <c r="W68" s="237" t="s">
        <v>9363</v>
      </c>
      <c r="Y68" t="b">
        <f t="shared" si="31"/>
        <v>1</v>
      </c>
      <c r="AA68" t="s">
        <v>10022</v>
      </c>
    </row>
    <row r="69" spans="1:27" x14ac:dyDescent="0.2">
      <c r="A69" s="9" t="str">
        <f>IF(Engine2!D7="","",Engine2!D7)</f>
        <v/>
      </c>
      <c r="B69" s="16" t="str">
        <f>IF(Engine2!D8="","",Engine2!D8)</f>
        <v/>
      </c>
      <c r="C69" s="16" t="str">
        <f>IF(Engine2!D9="","",Engine2!D9)</f>
        <v/>
      </c>
      <c r="D69" s="235"/>
      <c r="E69" s="22">
        <f>Engine2!$J$33</f>
        <v>0</v>
      </c>
      <c r="F69" s="235"/>
      <c r="G69" s="22">
        <f>Engine2!$J$34</f>
        <v>0</v>
      </c>
      <c r="H69" s="235"/>
      <c r="I69" s="22">
        <f>Engine2!$J$35</f>
        <v>0</v>
      </c>
      <c r="J69" s="235"/>
      <c r="K69" s="22">
        <f>Engine2!$J$36</f>
        <v>0</v>
      </c>
      <c r="L69" s="235"/>
      <c r="M69" s="22">
        <f>Engine2!$J$37</f>
        <v>0</v>
      </c>
      <c r="N69" s="235"/>
      <c r="O69" s="22">
        <f>Engine2!$J$38</f>
        <v>0</v>
      </c>
      <c r="P69" s="235"/>
      <c r="Q69" s="22">
        <f>Engine2!$J$32</f>
        <v>0</v>
      </c>
      <c r="R69" s="77"/>
      <c r="S69" s="77" t="s">
        <v>9363</v>
      </c>
      <c r="T69" s="77" t="s">
        <v>9363</v>
      </c>
      <c r="U69" s="77" t="s">
        <v>9363</v>
      </c>
      <c r="V69" s="77" t="s">
        <v>9363</v>
      </c>
      <c r="W69" s="237" t="s">
        <v>9363</v>
      </c>
      <c r="Y69" t="b">
        <f t="shared" si="31"/>
        <v>1</v>
      </c>
      <c r="AA69" t="s">
        <v>10023</v>
      </c>
    </row>
    <row r="70" spans="1:27" x14ac:dyDescent="0.2">
      <c r="A70" s="9" t="str">
        <f>IF(HeaterBoiler1!E7="","",HeaterBoiler1!E7)</f>
        <v/>
      </c>
      <c r="B70" s="16" t="str">
        <f>IF(HeaterBoiler1!E8="","",HeaterBoiler1!E8)</f>
        <v/>
      </c>
      <c r="C70" s="16" t="str">
        <f>IF(HeaterBoiler1!E9="","",HeaterBoiler1!E9)</f>
        <v/>
      </c>
      <c r="D70" s="235"/>
      <c r="E70" s="22">
        <f>HeaterBoiler1!$J$45</f>
        <v>0</v>
      </c>
      <c r="F70" s="235"/>
      <c r="G70" s="22">
        <f>HeaterBoiler1!$J$46</f>
        <v>0</v>
      </c>
      <c r="H70" s="235"/>
      <c r="I70" s="22">
        <f>HeaterBoiler1!$J$47</f>
        <v>0</v>
      </c>
      <c r="J70" s="235"/>
      <c r="K70" s="22">
        <f>HeaterBoiler1!$J$48</f>
        <v>0</v>
      </c>
      <c r="L70" s="235"/>
      <c r="M70" s="22">
        <f>HeaterBoiler1!$J$49</f>
        <v>0</v>
      </c>
      <c r="N70" s="235"/>
      <c r="O70" s="22">
        <f>HeaterBoiler1!$J$50</f>
        <v>0</v>
      </c>
      <c r="P70" s="235"/>
      <c r="Q70" s="22">
        <f>HeaterBoiler1!$J$44</f>
        <v>0</v>
      </c>
      <c r="R70" s="235"/>
      <c r="S70" s="22">
        <f>IF(HeaterBoiler1!$E$26&lt;&gt;"fuel gas",0,HeaterBoiler1!$J$51)</f>
        <v>0</v>
      </c>
      <c r="T70" s="77" t="s">
        <v>9363</v>
      </c>
      <c r="U70" s="77" t="s">
        <v>9363</v>
      </c>
      <c r="V70" s="77" t="s">
        <v>9363</v>
      </c>
      <c r="W70" s="237" t="s">
        <v>9363</v>
      </c>
      <c r="Y70" t="b">
        <f t="shared" si="31"/>
        <v>1</v>
      </c>
      <c r="AA70" s="8" t="s">
        <v>10805</v>
      </c>
    </row>
    <row r="71" spans="1:27" x14ac:dyDescent="0.2">
      <c r="A71" s="9" t="str">
        <f>IF(HeaterBoiler2!E7="","",HeaterBoiler2!E7)</f>
        <v/>
      </c>
      <c r="B71" s="16" t="str">
        <f>IF(HeaterBoiler2!E8="","",HeaterBoiler2!E8)</f>
        <v/>
      </c>
      <c r="C71" s="16" t="str">
        <f>IF(HeaterBoiler2!E9="","",HeaterBoiler2!E9)</f>
        <v/>
      </c>
      <c r="D71" s="235"/>
      <c r="E71" s="22">
        <f>HeaterBoiler2!$J$45</f>
        <v>0</v>
      </c>
      <c r="F71" s="235"/>
      <c r="G71" s="22">
        <f>HeaterBoiler2!$J$46</f>
        <v>0</v>
      </c>
      <c r="H71" s="235"/>
      <c r="I71" s="22">
        <f>HeaterBoiler2!$J$47</f>
        <v>0</v>
      </c>
      <c r="J71" s="235"/>
      <c r="K71" s="22">
        <f>HeaterBoiler2!$J$48</f>
        <v>0</v>
      </c>
      <c r="L71" s="235"/>
      <c r="M71" s="22">
        <f>HeaterBoiler2!$J$49</f>
        <v>0</v>
      </c>
      <c r="N71" s="235"/>
      <c r="O71" s="22">
        <f>HeaterBoiler2!$J$50</f>
        <v>0</v>
      </c>
      <c r="P71" s="235"/>
      <c r="Q71" s="22">
        <f>HeaterBoiler2!$J$44</f>
        <v>0</v>
      </c>
      <c r="R71" s="235"/>
      <c r="S71" s="22">
        <f>IF(HeaterBoiler2!$E$26&lt;&gt;"fuel gas",0,HeaterBoiler2!$J$51)</f>
        <v>0</v>
      </c>
      <c r="T71" s="77" t="s">
        <v>9363</v>
      </c>
      <c r="U71" s="77" t="s">
        <v>9363</v>
      </c>
      <c r="V71" s="77" t="s">
        <v>9363</v>
      </c>
      <c r="W71" s="237" t="s">
        <v>9363</v>
      </c>
      <c r="Y71" t="b">
        <f t="shared" si="31"/>
        <v>1</v>
      </c>
      <c r="AA71" s="8" t="s">
        <v>10806</v>
      </c>
    </row>
    <row r="72" spans="1:27" x14ac:dyDescent="0.2">
      <c r="A72" s="9">
        <f>Fug!F7</f>
        <v>0</v>
      </c>
      <c r="B72" s="16" t="str">
        <f>IF(Fug!F8="","",Fug!F8)</f>
        <v/>
      </c>
      <c r="C72" s="16" t="str">
        <f>IF(Fug!F9="","",Fug!F9)</f>
        <v/>
      </c>
      <c r="D72" s="77"/>
      <c r="E72" s="77"/>
      <c r="F72" s="77"/>
      <c r="G72" s="77"/>
      <c r="H72" s="77"/>
      <c r="I72" s="77"/>
      <c r="J72" s="77"/>
      <c r="K72" s="77"/>
      <c r="L72" s="77"/>
      <c r="M72" s="77"/>
      <c r="N72" s="77"/>
      <c r="O72" s="77"/>
      <c r="P72" s="235"/>
      <c r="Q72" s="22">
        <f>Fug!$J$92</f>
        <v>0</v>
      </c>
      <c r="R72" s="235"/>
      <c r="S72" s="22">
        <f>SUMIFS(Fug!$J$96:$J$205,Fug!$A$96:$A$205,"7783-06-4")</f>
        <v>0</v>
      </c>
      <c r="T72" s="235"/>
      <c r="U72" s="234">
        <f>SUMIFS(Fug!$J$96:$J$205,Fug!$A$96:$A$205,"7664-93-9")</f>
        <v>0</v>
      </c>
      <c r="V72" s="235"/>
      <c r="W72" s="23">
        <f>SUMIFS(Fug!$J$96:$J$205,Fug!$A$96:$A$205,"7664-41-7")</f>
        <v>0</v>
      </c>
      <c r="Y72" t="b">
        <f t="shared" si="31"/>
        <v>1</v>
      </c>
      <c r="AA72" t="s">
        <v>10028</v>
      </c>
    </row>
    <row r="73" spans="1:27" x14ac:dyDescent="0.2">
      <c r="A73" s="9" t="s">
        <v>10162</v>
      </c>
      <c r="B73" s="16" t="str">
        <f>IF(MSS!D8="","",MSS!D8)</f>
        <v/>
      </c>
      <c r="C73" s="16" t="str">
        <f>IF(MSS!D9="","",MSS!D9)</f>
        <v/>
      </c>
      <c r="D73" s="235"/>
      <c r="E73" s="22">
        <f>MSS!$G$145</f>
        <v>0</v>
      </c>
      <c r="F73" s="235"/>
      <c r="G73" s="22">
        <f>MSS!$G$146</f>
        <v>0</v>
      </c>
      <c r="H73" s="235"/>
      <c r="I73" s="22">
        <f>MSS!$G$147</f>
        <v>0</v>
      </c>
      <c r="J73" s="235"/>
      <c r="K73" s="22">
        <f>MSS!$G$148</f>
        <v>0</v>
      </c>
      <c r="L73" s="235"/>
      <c r="M73" s="22">
        <f>MSS!$G$149</f>
        <v>0</v>
      </c>
      <c r="N73" s="235"/>
      <c r="O73" s="22">
        <f>MSS!$G$150</f>
        <v>0</v>
      </c>
      <c r="P73" s="235"/>
      <c r="Q73" s="22">
        <f>MSS!$G$144</f>
        <v>0</v>
      </c>
      <c r="R73" s="235"/>
      <c r="S73" s="22">
        <f>MSS!$G$151</f>
        <v>0</v>
      </c>
      <c r="T73" s="77"/>
      <c r="U73" s="77"/>
      <c r="V73" s="77"/>
      <c r="W73" s="77"/>
      <c r="Y73" t="b">
        <f t="shared" si="31"/>
        <v>1</v>
      </c>
      <c r="AA73" t="s">
        <v>240</v>
      </c>
    </row>
    <row r="74" spans="1:27" x14ac:dyDescent="0.2">
      <c r="A74" s="16" t="str">
        <f>IF(MSS!D63="","",MSS!D63)</f>
        <v/>
      </c>
      <c r="B74" s="16" t="str">
        <f>IF(MSS!D64="","",MSS!D64)</f>
        <v/>
      </c>
      <c r="C74" s="16" t="str">
        <f>IF(MSS!D65="","",MSS!D65)</f>
        <v/>
      </c>
      <c r="D74" s="235"/>
      <c r="E74" s="22">
        <f>MSS!$G$155+LandEmiss!$I$460</f>
        <v>0</v>
      </c>
      <c r="F74" s="235"/>
      <c r="G74" s="22">
        <f>MSS!$G$156+LandEmiss!$I$461</f>
        <v>0</v>
      </c>
      <c r="H74" s="77"/>
      <c r="I74" s="77"/>
      <c r="J74" s="77"/>
      <c r="K74" s="77"/>
      <c r="L74" s="77"/>
      <c r="M74" s="77"/>
      <c r="N74" s="235"/>
      <c r="O74" s="22">
        <f>MSS!$G$157+LandEmiss!$I$465</f>
        <v>0</v>
      </c>
      <c r="P74" s="235"/>
      <c r="Q74" s="22">
        <f>SUM(MSS!$G$154,IF(ConvenienceLand!$D$14="temporary flare",ConvenienceLand!$H$19,0),IF(ConvenienceLand!$D$31="temporary flare",ConvenienceLand!$H$36,0),IF(ConvenienceLand!$D$48="temporary flare",ConvenienceLand!$H$53,0),IF(ConvenienceLand!$D$65="temporary flare",ConvenienceLand!$H$70,0),IF(ConvenienceLand!$D$82="temporary flare",ConvenienceLand!$H$87,0))</f>
        <v>0</v>
      </c>
      <c r="R74" s="235"/>
      <c r="S74" s="22">
        <f>MSS!$G$158+LandEmiss!$I$466</f>
        <v>0</v>
      </c>
      <c r="T74" s="77"/>
      <c r="U74" s="77"/>
      <c r="V74" s="77"/>
      <c r="W74" s="77"/>
      <c r="Y74" t="b">
        <f t="shared" si="31"/>
        <v>1</v>
      </c>
      <c r="AA74" t="s">
        <v>10030</v>
      </c>
    </row>
    <row r="75" spans="1:27" x14ac:dyDescent="0.2">
      <c r="A75" s="16" t="str">
        <f>IF(MSS!D89="","",MSS!D89)</f>
        <v/>
      </c>
      <c r="B75" s="16" t="str">
        <f>IF(MSS!D90="","",MSS!D90)</f>
        <v/>
      </c>
      <c r="C75" s="16" t="str">
        <f>IF(MSS!D91="","",MSS!D91)</f>
        <v/>
      </c>
      <c r="D75" s="235"/>
      <c r="E75" s="22">
        <f>MSS!$G$162+LandEmiss!$K$460</f>
        <v>0</v>
      </c>
      <c r="F75" s="235"/>
      <c r="G75" s="22">
        <f>MSS!$G$163+LandEmiss!$K$461</f>
        <v>0</v>
      </c>
      <c r="H75" s="235"/>
      <c r="I75" s="22">
        <f>MSS!$G$164+LandEmiss!$K$462</f>
        <v>0</v>
      </c>
      <c r="J75" s="235"/>
      <c r="K75" s="22">
        <f>MSS!$G$165+LandEmiss!$K$463</f>
        <v>0</v>
      </c>
      <c r="L75" s="235"/>
      <c r="M75" s="22">
        <f>MSS!$G$166+LandEmiss!$K$464</f>
        <v>0</v>
      </c>
      <c r="N75" s="235"/>
      <c r="O75" s="22">
        <f>MSS!$G$167+LandEmiss!$K$465</f>
        <v>0</v>
      </c>
      <c r="P75" s="235"/>
      <c r="Q75" s="22">
        <f>SUM(MSS!$G$161,IF(ConvenienceLand!$D$14="temporary VCU",ConvenienceLand!$H$19,0),IF(ConvenienceLand!$D$31="temporary VCU",ConvenienceLand!$H$36,0),IF(ConvenienceLand!$D$48="temporary VCU",ConvenienceLand!$H$53,0),IF(ConvenienceLand!$D$65="temporary VCU",ConvenienceLand!$H$70,0),IF(ConvenienceLand!$D$82="temporary VCU",ConvenienceLand!$H$87,0))</f>
        <v>0</v>
      </c>
      <c r="R75" s="235"/>
      <c r="S75" s="22">
        <f>MSS!$G$168+LandEmiss!$K$466</f>
        <v>0</v>
      </c>
      <c r="T75" s="77"/>
      <c r="U75" s="77"/>
      <c r="V75" s="77"/>
      <c r="W75" s="77"/>
      <c r="Y75" t="b">
        <f t="shared" si="31"/>
        <v>1</v>
      </c>
      <c r="AA75" t="s">
        <v>10031</v>
      </c>
    </row>
    <row r="76" spans="1:27" ht="15" thickBot="1" x14ac:dyDescent="0.25">
      <c r="A76" s="203" t="str">
        <f>IF(MSS!D119="","",MSS!D119)</f>
        <v/>
      </c>
      <c r="B76" s="203" t="str">
        <f>IF(MSS!D120="","",MSS!D120)</f>
        <v/>
      </c>
      <c r="C76" s="203" t="str">
        <f>IF(MSS!D121="","",MSS!D121)</f>
        <v/>
      </c>
      <c r="D76" s="236"/>
      <c r="E76" s="24">
        <f>MSS!$G$172+LandEmiss!$M$460</f>
        <v>0</v>
      </c>
      <c r="F76" s="236"/>
      <c r="G76" s="24">
        <f>MSS!$G$173+LandEmiss!$M$461</f>
        <v>0</v>
      </c>
      <c r="H76" s="236"/>
      <c r="I76" s="24">
        <f>MSS!$G$174+LandEmiss!$M$462</f>
        <v>0</v>
      </c>
      <c r="J76" s="236"/>
      <c r="K76" s="24">
        <f>MSS!$G$175+LandEmiss!$M$463</f>
        <v>0</v>
      </c>
      <c r="L76" s="236"/>
      <c r="M76" s="24">
        <f>MSS!$G$176+LandEmiss!$M$464</f>
        <v>0</v>
      </c>
      <c r="N76" s="236"/>
      <c r="O76" s="24">
        <f>MSS!$G$177+LandEmiss!$M$465</f>
        <v>0</v>
      </c>
      <c r="P76" s="236"/>
      <c r="Q76" s="24">
        <f>SUM(MSS!$G$171,IF(ConvenienceLand!$D$14="temporary thermal oxidizer",ConvenienceLand!$H$19,0),IF(ConvenienceLand!$D$31="temporary thermal oxidizer",ConvenienceLand!$H$36,0),IF(ConvenienceLand!$D$48="temporary thermal oxidizer",ConvenienceLand!$H$53,0),IF(ConvenienceLand!$D$65="temporary thermal oxidizer",ConvenienceLand!$H$70,0),IF(ConvenienceLand!$D$82="temporary thermal oxidizer",ConvenienceLand!$H$87,0))</f>
        <v>0</v>
      </c>
      <c r="R76" s="236"/>
      <c r="S76" s="24">
        <f>MSS!$G$178+LandEmiss!$M$466</f>
        <v>0</v>
      </c>
      <c r="T76" s="219"/>
      <c r="U76" s="219"/>
      <c r="V76" s="219"/>
      <c r="W76" s="219"/>
      <c r="Y76" t="b">
        <f t="shared" si="31"/>
        <v>1</v>
      </c>
      <c r="AA76" t="s">
        <v>10032</v>
      </c>
    </row>
    <row r="77" spans="1:27" ht="15.75" thickBot="1" x14ac:dyDescent="0.25">
      <c r="A77" s="834" t="s">
        <v>9212</v>
      </c>
      <c r="B77" s="835"/>
      <c r="C77" s="985"/>
      <c r="D77" s="388">
        <f>SUM(D44:D76)</f>
        <v>0</v>
      </c>
      <c r="E77" s="246">
        <f t="shared" ref="E77:W77" si="32">SUM(E44:E76)</f>
        <v>0</v>
      </c>
      <c r="F77" s="246">
        <f t="shared" si="32"/>
        <v>0</v>
      </c>
      <c r="G77" s="246">
        <f t="shared" si="32"/>
        <v>0</v>
      </c>
      <c r="H77" s="246">
        <f>SUM(H44:H76)</f>
        <v>0</v>
      </c>
      <c r="I77" s="246">
        <f t="shared" si="32"/>
        <v>0</v>
      </c>
      <c r="J77" s="246">
        <f t="shared" si="32"/>
        <v>0</v>
      </c>
      <c r="K77" s="246">
        <f t="shared" si="32"/>
        <v>0</v>
      </c>
      <c r="L77" s="246">
        <f t="shared" si="32"/>
        <v>0</v>
      </c>
      <c r="M77" s="246">
        <f t="shared" si="32"/>
        <v>0</v>
      </c>
      <c r="N77" s="246">
        <f t="shared" si="32"/>
        <v>0</v>
      </c>
      <c r="O77" s="246">
        <f t="shared" si="32"/>
        <v>0</v>
      </c>
      <c r="P77" s="246">
        <f t="shared" si="32"/>
        <v>0</v>
      </c>
      <c r="Q77" s="246">
        <f t="shared" si="32"/>
        <v>0</v>
      </c>
      <c r="R77" s="246">
        <f t="shared" si="32"/>
        <v>0</v>
      </c>
      <c r="S77" s="246">
        <f t="shared" si="32"/>
        <v>0</v>
      </c>
      <c r="T77" s="246">
        <f t="shared" si="32"/>
        <v>0</v>
      </c>
      <c r="U77" s="246">
        <f t="shared" si="32"/>
        <v>0</v>
      </c>
      <c r="V77" s="246">
        <f t="shared" si="32"/>
        <v>0</v>
      </c>
      <c r="W77" s="247">
        <f t="shared" si="32"/>
        <v>0</v>
      </c>
    </row>
    <row r="78" spans="1:27" ht="14.25" customHeight="1" x14ac:dyDescent="0.2">
      <c r="A78" s="476" t="s">
        <v>9266</v>
      </c>
      <c r="B78" s="476"/>
      <c r="C78" s="476"/>
      <c r="D78" s="476"/>
      <c r="E78" s="476"/>
      <c r="F78" s="476"/>
      <c r="G78" s="476"/>
      <c r="H78" s="476"/>
      <c r="I78" s="476"/>
      <c r="J78" s="476"/>
      <c r="K78" s="476"/>
      <c r="L78" s="476"/>
      <c r="M78" s="476"/>
      <c r="N78" s="476"/>
      <c r="O78" s="476"/>
      <c r="P78" s="476"/>
      <c r="Q78" s="476"/>
      <c r="R78" s="476"/>
      <c r="S78" s="476"/>
      <c r="T78" s="476"/>
      <c r="U78" s="476"/>
      <c r="V78" s="476"/>
      <c r="W78" s="476"/>
    </row>
    <row r="79" spans="1:27" x14ac:dyDescent="0.2">
      <c r="A79" s="478" t="s">
        <v>130</v>
      </c>
      <c r="B79" s="478"/>
      <c r="C79" s="478"/>
      <c r="D79" s="478"/>
      <c r="E79" s="478"/>
      <c r="F79" s="478"/>
      <c r="G79" s="478"/>
      <c r="H79" s="478"/>
      <c r="I79" s="478"/>
      <c r="J79" s="478"/>
      <c r="K79" s="478"/>
      <c r="L79" s="478"/>
      <c r="M79" s="478"/>
      <c r="N79" s="478"/>
      <c r="O79" s="478"/>
      <c r="P79" s="478"/>
      <c r="Q79" s="478"/>
      <c r="R79" s="478"/>
      <c r="S79" s="478"/>
      <c r="T79" s="478"/>
      <c r="U79" s="478"/>
      <c r="V79" s="478"/>
      <c r="W79" s="478"/>
    </row>
  </sheetData>
  <sheetProtection algorithmName="SHA-512" hashValue="03FwBZla2D8ES3Y48AkRFx2Y9+FptfYZL8Rlcl9/fbr38jFmzp2ZP7ePX/ntzeP9j2ss1krxvLQc97GaxxIi6g==" saltValue="mFvnEq16SVAcluOOuuCKjw==" spinCount="100000" sheet="1" objects="1" scenarios="1" formatColumns="0" formatRows="0"/>
  <mergeCells count="361">
    <mergeCell ref="A78:W78"/>
    <mergeCell ref="A79:W79"/>
    <mergeCell ref="F8:G8"/>
    <mergeCell ref="F9:G9"/>
    <mergeCell ref="F11:G11"/>
    <mergeCell ref="F12:G12"/>
    <mergeCell ref="F14:G14"/>
    <mergeCell ref="F15:G15"/>
    <mergeCell ref="F17:G17"/>
    <mergeCell ref="F18:G18"/>
    <mergeCell ref="F20:G20"/>
    <mergeCell ref="F24:G24"/>
    <mergeCell ref="H19:I19"/>
    <mergeCell ref="H22:I22"/>
    <mergeCell ref="F31:G31"/>
    <mergeCell ref="F32:G32"/>
    <mergeCell ref="F33:G33"/>
    <mergeCell ref="F34:G34"/>
    <mergeCell ref="F35:G35"/>
    <mergeCell ref="F26:G26"/>
    <mergeCell ref="F27:G27"/>
    <mergeCell ref="F28:G28"/>
    <mergeCell ref="F29:G29"/>
    <mergeCell ref="F30:G30"/>
    <mergeCell ref="F25:G25"/>
    <mergeCell ref="L27:M27"/>
    <mergeCell ref="L28:M28"/>
    <mergeCell ref="H8:I8"/>
    <mergeCell ref="H9:I9"/>
    <mergeCell ref="H11:I11"/>
    <mergeCell ref="H12:I12"/>
    <mergeCell ref="H14:I14"/>
    <mergeCell ref="H15:I15"/>
    <mergeCell ref="H17:I17"/>
    <mergeCell ref="H18:I18"/>
    <mergeCell ref="H20:I20"/>
    <mergeCell ref="J17:K17"/>
    <mergeCell ref="J18:K18"/>
    <mergeCell ref="J20:K20"/>
    <mergeCell ref="J21:K21"/>
    <mergeCell ref="J19:K19"/>
    <mergeCell ref="J22:K22"/>
    <mergeCell ref="J23:K23"/>
    <mergeCell ref="J24:K24"/>
    <mergeCell ref="J25:K25"/>
    <mergeCell ref="L25:M25"/>
    <mergeCell ref="L26:M26"/>
    <mergeCell ref="D12:E12"/>
    <mergeCell ref="T8:U8"/>
    <mergeCell ref="T9:U9"/>
    <mergeCell ref="T11:U11"/>
    <mergeCell ref="T12:U12"/>
    <mergeCell ref="T14:U14"/>
    <mergeCell ref="T15:U15"/>
    <mergeCell ref="T17:U17"/>
    <mergeCell ref="T18:U18"/>
    <mergeCell ref="D14:E14"/>
    <mergeCell ref="D15:E15"/>
    <mergeCell ref="D17:E17"/>
    <mergeCell ref="D18:E18"/>
    <mergeCell ref="N17:O17"/>
    <mergeCell ref="N18:O18"/>
    <mergeCell ref="P13:Q13"/>
    <mergeCell ref="P16:Q16"/>
    <mergeCell ref="R9:S9"/>
    <mergeCell ref="D8:E8"/>
    <mergeCell ref="D9:E9"/>
    <mergeCell ref="D11:E11"/>
    <mergeCell ref="T20:U20"/>
    <mergeCell ref="V8:W8"/>
    <mergeCell ref="V9:W9"/>
    <mergeCell ref="V11:W11"/>
    <mergeCell ref="V12:W12"/>
    <mergeCell ref="V14:W14"/>
    <mergeCell ref="V15:W15"/>
    <mergeCell ref="V17:W17"/>
    <mergeCell ref="V18:W18"/>
    <mergeCell ref="V20:W20"/>
    <mergeCell ref="V16:W16"/>
    <mergeCell ref="V19:W19"/>
    <mergeCell ref="D20:E20"/>
    <mergeCell ref="F19:G19"/>
    <mergeCell ref="F22:G22"/>
    <mergeCell ref="F23:G23"/>
    <mergeCell ref="D21:E21"/>
    <mergeCell ref="F21:G21"/>
    <mergeCell ref="D19:E19"/>
    <mergeCell ref="A41:W41"/>
    <mergeCell ref="V37:W37"/>
    <mergeCell ref="V38:W38"/>
    <mergeCell ref="V39:W39"/>
    <mergeCell ref="J37:K37"/>
    <mergeCell ref="J38:K38"/>
    <mergeCell ref="J39:K39"/>
    <mergeCell ref="L37:M37"/>
    <mergeCell ref="L38:M38"/>
    <mergeCell ref="L39:M39"/>
    <mergeCell ref="N37:O37"/>
    <mergeCell ref="N38:O38"/>
    <mergeCell ref="N39:O39"/>
    <mergeCell ref="D37:E37"/>
    <mergeCell ref="D38:E38"/>
    <mergeCell ref="D39:E39"/>
    <mergeCell ref="F37:G37"/>
    <mergeCell ref="F38:G38"/>
    <mergeCell ref="F39:G39"/>
    <mergeCell ref="H37:I37"/>
    <mergeCell ref="H38:I38"/>
    <mergeCell ref="P40:Q40"/>
    <mergeCell ref="T40:U40"/>
    <mergeCell ref="R40:S40"/>
    <mergeCell ref="V21:W21"/>
    <mergeCell ref="T21:U21"/>
    <mergeCell ref="F40:G40"/>
    <mergeCell ref="J26:K26"/>
    <mergeCell ref="J27:K27"/>
    <mergeCell ref="H23:I23"/>
    <mergeCell ref="J28:K28"/>
    <mergeCell ref="N26:O26"/>
    <mergeCell ref="N27:O27"/>
    <mergeCell ref="N28:O28"/>
    <mergeCell ref="L30:M30"/>
    <mergeCell ref="L31:M31"/>
    <mergeCell ref="L32:M32"/>
    <mergeCell ref="L33:M33"/>
    <mergeCell ref="J29:K29"/>
    <mergeCell ref="J30:K30"/>
    <mergeCell ref="J40:K40"/>
    <mergeCell ref="J6:K6"/>
    <mergeCell ref="J7:K7"/>
    <mergeCell ref="J10:K10"/>
    <mergeCell ref="J13:K13"/>
    <mergeCell ref="F6:G6"/>
    <mergeCell ref="F7:G7"/>
    <mergeCell ref="F10:G10"/>
    <mergeCell ref="F13:G13"/>
    <mergeCell ref="F16:G16"/>
    <mergeCell ref="J8:K8"/>
    <mergeCell ref="J9:K9"/>
    <mergeCell ref="J11:K11"/>
    <mergeCell ref="J12:K12"/>
    <mergeCell ref="J14:K14"/>
    <mergeCell ref="J15:K15"/>
    <mergeCell ref="H6:I6"/>
    <mergeCell ref="H7:I7"/>
    <mergeCell ref="H10:I10"/>
    <mergeCell ref="H13:I13"/>
    <mergeCell ref="H16:I16"/>
    <mergeCell ref="J16:K16"/>
    <mergeCell ref="H39:I39"/>
    <mergeCell ref="H24:I24"/>
    <mergeCell ref="L34:M34"/>
    <mergeCell ref="L35:M35"/>
    <mergeCell ref="L40:M40"/>
    <mergeCell ref="L29:M29"/>
    <mergeCell ref="H21:I21"/>
    <mergeCell ref="H40:I40"/>
    <mergeCell ref="H29:I29"/>
    <mergeCell ref="H30:I30"/>
    <mergeCell ref="H31:I31"/>
    <mergeCell ref="H32:I32"/>
    <mergeCell ref="H33:I33"/>
    <mergeCell ref="H25:I25"/>
    <mergeCell ref="H26:I26"/>
    <mergeCell ref="H27:I27"/>
    <mergeCell ref="H28:I28"/>
    <mergeCell ref="H34:I34"/>
    <mergeCell ref="H35:I35"/>
    <mergeCell ref="N19:O19"/>
    <mergeCell ref="N22:O22"/>
    <mergeCell ref="N23:O23"/>
    <mergeCell ref="N24:O24"/>
    <mergeCell ref="N25:O25"/>
    <mergeCell ref="N20:O20"/>
    <mergeCell ref="N21:O21"/>
    <mergeCell ref="N29:O29"/>
    <mergeCell ref="N30:O30"/>
    <mergeCell ref="L6:M6"/>
    <mergeCell ref="L7:M7"/>
    <mergeCell ref="L10:M10"/>
    <mergeCell ref="L13:M13"/>
    <mergeCell ref="L16:M16"/>
    <mergeCell ref="L19:M19"/>
    <mergeCell ref="L22:M22"/>
    <mergeCell ref="L23:M23"/>
    <mergeCell ref="L24:M24"/>
    <mergeCell ref="L8:M8"/>
    <mergeCell ref="L9:M9"/>
    <mergeCell ref="L11:M11"/>
    <mergeCell ref="L12:M12"/>
    <mergeCell ref="L14:M14"/>
    <mergeCell ref="L15:M15"/>
    <mergeCell ref="L17:M17"/>
    <mergeCell ref="L18:M18"/>
    <mergeCell ref="L20:M20"/>
    <mergeCell ref="L21:M21"/>
    <mergeCell ref="N6:O6"/>
    <mergeCell ref="N7:O7"/>
    <mergeCell ref="N10:O10"/>
    <mergeCell ref="N13:O13"/>
    <mergeCell ref="N16:O16"/>
    <mergeCell ref="N8:O8"/>
    <mergeCell ref="N9:O9"/>
    <mergeCell ref="N11:O11"/>
    <mergeCell ref="N12:O12"/>
    <mergeCell ref="N14:O14"/>
    <mergeCell ref="N15:O15"/>
    <mergeCell ref="N40:O40"/>
    <mergeCell ref="N31:O31"/>
    <mergeCell ref="N32:O32"/>
    <mergeCell ref="N33:O33"/>
    <mergeCell ref="N34:O34"/>
    <mergeCell ref="N35:O35"/>
    <mergeCell ref="P37:Q37"/>
    <mergeCell ref="P38:Q38"/>
    <mergeCell ref="P39:Q39"/>
    <mergeCell ref="N36:O36"/>
    <mergeCell ref="P36:Q36"/>
    <mergeCell ref="P26:Q26"/>
    <mergeCell ref="P27:Q27"/>
    <mergeCell ref="P28:Q28"/>
    <mergeCell ref="R31:S31"/>
    <mergeCell ref="R32:S32"/>
    <mergeCell ref="R33:S33"/>
    <mergeCell ref="R34:S34"/>
    <mergeCell ref="R35:S35"/>
    <mergeCell ref="R26:S26"/>
    <mergeCell ref="R27:S27"/>
    <mergeCell ref="R28:S28"/>
    <mergeCell ref="P34:Q34"/>
    <mergeCell ref="P35:Q35"/>
    <mergeCell ref="P29:Q29"/>
    <mergeCell ref="P30:Q30"/>
    <mergeCell ref="P31:Q31"/>
    <mergeCell ref="P32:Q32"/>
    <mergeCell ref="P33:Q33"/>
    <mergeCell ref="P19:Q19"/>
    <mergeCell ref="P22:Q22"/>
    <mergeCell ref="P23:Q23"/>
    <mergeCell ref="P24:Q24"/>
    <mergeCell ref="P8:Q8"/>
    <mergeCell ref="P9:Q9"/>
    <mergeCell ref="P11:Q11"/>
    <mergeCell ref="P12:Q12"/>
    <mergeCell ref="P14:Q14"/>
    <mergeCell ref="P15:Q15"/>
    <mergeCell ref="P17:Q17"/>
    <mergeCell ref="P18:Q18"/>
    <mergeCell ref="P20:Q20"/>
    <mergeCell ref="P21:Q21"/>
    <mergeCell ref="D6:E6"/>
    <mergeCell ref="D7:E7"/>
    <mergeCell ref="D10:E10"/>
    <mergeCell ref="D13:E13"/>
    <mergeCell ref="D16:E16"/>
    <mergeCell ref="D40:E40"/>
    <mergeCell ref="T6:U6"/>
    <mergeCell ref="T7:U7"/>
    <mergeCell ref="T10:U10"/>
    <mergeCell ref="T13:U13"/>
    <mergeCell ref="T16:U16"/>
    <mergeCell ref="T19:U19"/>
    <mergeCell ref="T22:U22"/>
    <mergeCell ref="T23:U23"/>
    <mergeCell ref="T24:U24"/>
    <mergeCell ref="T25:U25"/>
    <mergeCell ref="T26:U26"/>
    <mergeCell ref="T27:U27"/>
    <mergeCell ref="T28:U28"/>
    <mergeCell ref="D31:E31"/>
    <mergeCell ref="D32:E32"/>
    <mergeCell ref="D33:E33"/>
    <mergeCell ref="R37:S37"/>
    <mergeCell ref="R38:S38"/>
    <mergeCell ref="A77:C77"/>
    <mergeCell ref="D29:E29"/>
    <mergeCell ref="D30:E30"/>
    <mergeCell ref="D22:E22"/>
    <mergeCell ref="D23:E23"/>
    <mergeCell ref="D24:E24"/>
    <mergeCell ref="D25:E25"/>
    <mergeCell ref="D34:E34"/>
    <mergeCell ref="D35:E35"/>
    <mergeCell ref="D26:E26"/>
    <mergeCell ref="D27:E27"/>
    <mergeCell ref="D28:E28"/>
    <mergeCell ref="D36:E36"/>
    <mergeCell ref="A42:W42"/>
    <mergeCell ref="A40:C40"/>
    <mergeCell ref="R39:S39"/>
    <mergeCell ref="T37:U37"/>
    <mergeCell ref="T38:U38"/>
    <mergeCell ref="T39:U39"/>
    <mergeCell ref="R36:S36"/>
    <mergeCell ref="T36:U36"/>
    <mergeCell ref="V40:W40"/>
    <mergeCell ref="V36:W36"/>
    <mergeCell ref="P25:Q25"/>
    <mergeCell ref="T34:U34"/>
    <mergeCell ref="T35:U35"/>
    <mergeCell ref="H36:I36"/>
    <mergeCell ref="J36:K36"/>
    <mergeCell ref="T29:U29"/>
    <mergeCell ref="T30:U30"/>
    <mergeCell ref="T31:U31"/>
    <mergeCell ref="T32:U32"/>
    <mergeCell ref="T33:U33"/>
    <mergeCell ref="J31:K31"/>
    <mergeCell ref="J32:K32"/>
    <mergeCell ref="J33:K33"/>
    <mergeCell ref="J34:K34"/>
    <mergeCell ref="J35:K35"/>
    <mergeCell ref="L36:M36"/>
    <mergeCell ref="F36:G36"/>
    <mergeCell ref="A1:W1"/>
    <mergeCell ref="A2:W2"/>
    <mergeCell ref="A3:W3"/>
    <mergeCell ref="A4:W4"/>
    <mergeCell ref="A5:W5"/>
    <mergeCell ref="V25:W25"/>
    <mergeCell ref="V26:W26"/>
    <mergeCell ref="V27:W27"/>
    <mergeCell ref="V28:W28"/>
    <mergeCell ref="V22:W22"/>
    <mergeCell ref="V23:W23"/>
    <mergeCell ref="V24:W24"/>
    <mergeCell ref="R19:S19"/>
    <mergeCell ref="R22:S22"/>
    <mergeCell ref="R23:S23"/>
    <mergeCell ref="R24:S24"/>
    <mergeCell ref="R25:S25"/>
    <mergeCell ref="R6:S6"/>
    <mergeCell ref="R7:S7"/>
    <mergeCell ref="R10:S10"/>
    <mergeCell ref="R13:S13"/>
    <mergeCell ref="R16:S16"/>
    <mergeCell ref="R8:S8"/>
    <mergeCell ref="P6:Q6"/>
    <mergeCell ref="P7:Q7"/>
    <mergeCell ref="V34:W34"/>
    <mergeCell ref="V35:W35"/>
    <mergeCell ref="R29:S29"/>
    <mergeCell ref="R30:S30"/>
    <mergeCell ref="R11:S11"/>
    <mergeCell ref="R12:S12"/>
    <mergeCell ref="R14:S14"/>
    <mergeCell ref="R15:S15"/>
    <mergeCell ref="R17:S17"/>
    <mergeCell ref="R18:S18"/>
    <mergeCell ref="R20:S20"/>
    <mergeCell ref="R21:S21"/>
    <mergeCell ref="V29:W29"/>
    <mergeCell ref="V30:W30"/>
    <mergeCell ref="V31:W31"/>
    <mergeCell ref="V32:W32"/>
    <mergeCell ref="V33:W33"/>
    <mergeCell ref="V6:W6"/>
    <mergeCell ref="V7:W7"/>
    <mergeCell ref="V10:W10"/>
    <mergeCell ref="V13:W13"/>
    <mergeCell ref="P10:Q10"/>
  </mergeCells>
  <phoneticPr fontId="26" type="noConversion"/>
  <conditionalFormatting sqref="A7:W39">
    <cfRule type="expression" dxfId="109" priority="2">
      <formula>$Y7</formula>
    </cfRule>
  </conditionalFormatting>
  <conditionalFormatting sqref="A44:W76">
    <cfRule type="expression" dxfId="108" priority="1">
      <formula>$Y44</formula>
    </cfRule>
  </conditionalFormatting>
  <dataValidations count="2">
    <dataValidation allowBlank="1" showInputMessage="1" showErrorMessage="1" prompt="enter the current tpy emission rate" sqref="P46:P48" xr:uid="{42D92F3D-FE92-4A1E-B9FD-CAEECADAEBFF}"/>
    <dataValidation allowBlank="1" showErrorMessage="1" prompt="enter the current tpy emission rate" sqref="D64:D66 D68:D71 D73:D76 F64:F66 F68:F71 F73:F76 H65:H66 H68:H71 H73 H75:H76 J65:J66 J68:J71 J73 J75:J76 L65:L66 L68:L71 L73 L75:L76 N64:N66 N68:N71 N73:N76 P49:P76 P44:P45 R44:R67 R70:R76 T44:T63 T67 T72 V72 V44:V63" xr:uid="{18C772E3-410E-47C4-B0E9-AC739287AA47}"/>
  </dataValidations>
  <printOptions horizontalCentered="1"/>
  <pageMargins left="0.25" right="0.25" top="0.75" bottom="0.75" header="0.3" footer="0.3"/>
  <pageSetup scale="40" orientation="landscape" r:id="rId1"/>
  <headerFooter>
    <oddHeader>&amp;C&amp;"Calibri,Regular"Marine Loading RAP Application</oddHeader>
    <oddFooter>&amp;L&amp;"Calibri,Regular"Version 1.0&amp;C&amp;"Calibri,Regular"Sheet: &amp;A&amp;R&amp;"Calibri,Regular"Page &amp;P</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DE98B-6692-413F-800B-CD254B381CA2}">
  <sheetPr codeName="Sheet36">
    <tabColor theme="8" tint="0.39997558519241921"/>
  </sheetPr>
  <dimension ref="A1:O453"/>
  <sheetViews>
    <sheetView showGridLines="0" zoomScaleNormal="100" workbookViewId="0">
      <selection sqref="A1:K1"/>
    </sheetView>
  </sheetViews>
  <sheetFormatPr defaultColWidth="0" defaultRowHeight="14.25" zeroHeight="1" x14ac:dyDescent="0.2"/>
  <cols>
    <col min="1" max="11" width="20.5" customWidth="1"/>
    <col min="12" max="12" width="2.625" customWidth="1"/>
    <col min="13" max="16384" width="9" hidden="1"/>
  </cols>
  <sheetData>
    <row r="1" spans="1:11" ht="8.25" customHeight="1" thickBot="1" x14ac:dyDescent="0.25">
      <c r="A1" s="861" t="s">
        <v>0</v>
      </c>
      <c r="B1" s="861"/>
      <c r="C1" s="861"/>
      <c r="D1" s="861"/>
      <c r="E1" s="861"/>
      <c r="F1" s="861"/>
      <c r="G1" s="861"/>
      <c r="H1" s="861"/>
      <c r="I1" s="861"/>
      <c r="J1" s="861"/>
      <c r="K1" s="861"/>
    </row>
    <row r="2" spans="1:11" ht="18.75" thickBot="1" x14ac:dyDescent="0.25">
      <c r="A2" s="525" t="s">
        <v>9198</v>
      </c>
      <c r="B2" s="525"/>
      <c r="C2" s="525"/>
      <c r="D2" s="525"/>
      <c r="E2" s="525"/>
      <c r="F2" s="525"/>
      <c r="G2" s="525"/>
      <c r="H2" s="525"/>
      <c r="I2" s="525"/>
      <c r="J2" s="525"/>
      <c r="K2" s="525"/>
    </row>
    <row r="3" spans="1:11" ht="136.5" customHeight="1" x14ac:dyDescent="0.2">
      <c r="A3" s="1009" t="s">
        <v>10891</v>
      </c>
      <c r="B3" s="1010"/>
      <c r="C3" s="1010"/>
      <c r="D3" s="1010"/>
      <c r="E3" s="1010"/>
      <c r="F3" s="1010"/>
      <c r="G3" s="1010"/>
      <c r="H3" s="1010"/>
      <c r="I3" s="1010"/>
      <c r="J3" s="1010"/>
      <c r="K3" s="1011"/>
    </row>
    <row r="4" spans="1:11" ht="15" customHeight="1" x14ac:dyDescent="0.2">
      <c r="A4" s="1012" t="s">
        <v>10044</v>
      </c>
      <c r="B4" s="1013"/>
      <c r="C4" s="1013"/>
      <c r="D4" s="1013"/>
      <c r="E4" s="1013"/>
      <c r="F4" s="1013"/>
      <c r="G4" s="1013"/>
      <c r="H4" s="1013"/>
      <c r="I4" s="1013"/>
      <c r="J4" s="1013"/>
      <c r="K4" s="1014"/>
    </row>
    <row r="5" spans="1:11" x14ac:dyDescent="0.2">
      <c r="A5" s="1015" t="s">
        <v>10045</v>
      </c>
      <c r="B5" s="1016"/>
      <c r="C5" s="1016"/>
      <c r="D5" s="1016"/>
      <c r="E5" s="1016"/>
      <c r="F5" s="1016"/>
      <c r="G5" s="1016"/>
      <c r="H5" s="1016"/>
      <c r="I5" s="1016"/>
      <c r="J5" s="1016"/>
      <c r="K5" s="1017"/>
    </row>
    <row r="6" spans="1:11" ht="14.25" customHeight="1" x14ac:dyDescent="0.2">
      <c r="A6" s="1015" t="s">
        <v>10046</v>
      </c>
      <c r="B6" s="1016"/>
      <c r="C6" s="1016"/>
      <c r="D6" s="1016"/>
      <c r="E6" s="1016"/>
      <c r="F6" s="1016"/>
      <c r="G6" s="1016"/>
      <c r="H6" s="1016"/>
      <c r="I6" s="1016"/>
      <c r="J6" s="1016"/>
      <c r="K6" s="1017"/>
    </row>
    <row r="7" spans="1:11" ht="14.25" customHeight="1" x14ac:dyDescent="0.2">
      <c r="A7" s="1015" t="s">
        <v>10219</v>
      </c>
      <c r="B7" s="1016"/>
      <c r="C7" s="1016"/>
      <c r="D7" s="1016"/>
      <c r="E7" s="1016"/>
      <c r="F7" s="1016"/>
      <c r="G7" s="1016"/>
      <c r="H7" s="1016"/>
      <c r="I7" s="1016"/>
      <c r="J7" s="1016"/>
      <c r="K7" s="1017"/>
    </row>
    <row r="8" spans="1:11" x14ac:dyDescent="0.2">
      <c r="A8" s="1015" t="s">
        <v>10862</v>
      </c>
      <c r="B8" s="1016"/>
      <c r="C8" s="1016"/>
      <c r="D8" s="1016"/>
      <c r="E8" s="1016"/>
      <c r="F8" s="1016"/>
      <c r="G8" s="1016"/>
      <c r="H8" s="1016"/>
      <c r="I8" s="1016"/>
      <c r="J8" s="1016"/>
      <c r="K8" s="1017"/>
    </row>
    <row r="9" spans="1:11" x14ac:dyDescent="0.2">
      <c r="A9" s="1015" t="s">
        <v>10064</v>
      </c>
      <c r="B9" s="1016"/>
      <c r="C9" s="1016"/>
      <c r="D9" s="1016"/>
      <c r="E9" s="1016"/>
      <c r="F9" s="1016"/>
      <c r="G9" s="1016"/>
      <c r="H9" s="1016"/>
      <c r="I9" s="1016"/>
      <c r="J9" s="1016"/>
      <c r="K9" s="1017"/>
    </row>
    <row r="10" spans="1:11" x14ac:dyDescent="0.2">
      <c r="A10" s="1015" t="s">
        <v>10065</v>
      </c>
      <c r="B10" s="1016"/>
      <c r="C10" s="1016"/>
      <c r="D10" s="1016"/>
      <c r="E10" s="1016"/>
      <c r="F10" s="1016"/>
      <c r="G10" s="1016"/>
      <c r="H10" s="1016"/>
      <c r="I10" s="1016"/>
      <c r="J10" s="1016"/>
      <c r="K10" s="1017"/>
    </row>
    <row r="11" spans="1:11" ht="15" thickBot="1" x14ac:dyDescent="0.25">
      <c r="A11" s="1035" t="s">
        <v>10068</v>
      </c>
      <c r="B11" s="1036"/>
      <c r="C11" s="1036"/>
      <c r="D11" s="1036"/>
      <c r="E11" s="1036"/>
      <c r="F11" s="1036"/>
      <c r="G11" s="1036"/>
      <c r="H11" s="1036"/>
      <c r="I11" s="1036"/>
      <c r="J11" s="1036"/>
      <c r="K11" s="1037"/>
    </row>
    <row r="12" spans="1:11" ht="15" thickBot="1" x14ac:dyDescent="0.25">
      <c r="A12" s="1027" t="s">
        <v>1</v>
      </c>
      <c r="B12" s="1027"/>
      <c r="C12" s="1027"/>
      <c r="D12" s="1027"/>
      <c r="E12" s="1027"/>
      <c r="F12" s="1027"/>
      <c r="G12" s="1027"/>
      <c r="H12" s="1027"/>
      <c r="I12" s="1027"/>
      <c r="J12" s="1027"/>
      <c r="K12" s="1027"/>
    </row>
    <row r="13" spans="1:11" ht="15.75" thickBot="1" x14ac:dyDescent="0.25">
      <c r="A13" s="1038" t="s">
        <v>10045</v>
      </c>
      <c r="B13" s="1039"/>
      <c r="C13" s="1039"/>
      <c r="D13" s="1039"/>
      <c r="E13" s="1039"/>
      <c r="F13" s="1039"/>
      <c r="G13" s="1039"/>
      <c r="H13" s="1039"/>
      <c r="I13" s="1039"/>
      <c r="J13" s="1039"/>
      <c r="K13" s="1040"/>
    </row>
    <row r="14" spans="1:11" ht="15.75" customHeight="1" thickBot="1" x14ac:dyDescent="0.25">
      <c r="A14" s="1033" t="s">
        <v>9202</v>
      </c>
      <c r="B14" s="995"/>
      <c r="C14" s="995"/>
      <c r="D14" s="1034"/>
      <c r="E14" s="994" t="str">
        <f ca="1">IF(AND(COUNTIF(INDIRECT("D229:"&amp;("D"&amp;229+(COUNTIF(CASused,"&lt;&gt;"&amp;""))-1)),"&lt;&gt;"&amp;"")=(COUNTIF(CASused,"&lt;&gt;"&amp;"")),COUNTIF(INDIRECT("E229:"&amp;("E"&amp;229+(COUNTIF(CASused,"&lt;&gt;"&amp;""))-1)),"&lt;&gt;"&amp;"")=(COUNTIF(CASused,"&lt;&gt;"&amp;""))),IF((COUNTIF($J$96:$J$110,"no")+COUNTIF($K$342:$K$451,"revise data on previous sheets"))&gt;0,"No","Yes"),"Answer questions in columns D and E of Section VI for each species.")</f>
        <v>Answer questions in columns D and E of Section VI for each species.</v>
      </c>
      <c r="F14" s="995"/>
      <c r="G14" s="995"/>
      <c r="H14" s="995"/>
      <c r="I14" s="995"/>
      <c r="J14" s="995"/>
      <c r="K14" s="996"/>
    </row>
    <row r="15" spans="1:11" ht="15" customHeight="1" thickBot="1" x14ac:dyDescent="0.25">
      <c r="A15" s="703" t="s">
        <v>1</v>
      </c>
      <c r="B15" s="703"/>
      <c r="C15" s="703"/>
      <c r="D15" s="703"/>
      <c r="E15" s="703"/>
      <c r="F15" s="703"/>
      <c r="G15" s="703"/>
      <c r="H15" s="703"/>
      <c r="I15" s="703"/>
      <c r="J15" s="703"/>
      <c r="K15" s="703"/>
    </row>
    <row r="16" spans="1:11" ht="15.75" thickBot="1" x14ac:dyDescent="0.25">
      <c r="A16" s="1018" t="s">
        <v>10046</v>
      </c>
      <c r="B16" s="1019"/>
      <c r="C16" s="1019"/>
      <c r="D16" s="1019"/>
      <c r="E16" s="1019"/>
      <c r="F16" s="1019"/>
      <c r="G16" s="1019"/>
      <c r="H16" s="1019"/>
      <c r="I16" s="1019"/>
      <c r="J16" s="1019"/>
      <c r="K16" s="1020"/>
    </row>
    <row r="17" spans="1:15" ht="45.75" customHeight="1" x14ac:dyDescent="0.2">
      <c r="A17" s="1021" t="s">
        <v>9533</v>
      </c>
      <c r="B17" s="1022"/>
      <c r="C17" s="1022"/>
      <c r="D17" s="1022"/>
      <c r="E17" s="1022"/>
      <c r="F17" s="1022"/>
      <c r="G17" s="1022"/>
      <c r="H17" s="1022"/>
      <c r="I17" s="1022"/>
      <c r="J17" s="1022"/>
      <c r="K17" s="1023"/>
    </row>
    <row r="18" spans="1:15" ht="30" x14ac:dyDescent="0.2">
      <c r="A18" s="874" t="s">
        <v>10008</v>
      </c>
      <c r="B18" s="875"/>
      <c r="C18" s="875"/>
      <c r="D18" s="875"/>
      <c r="E18" s="875"/>
      <c r="F18" s="876"/>
      <c r="G18" s="356" t="s">
        <v>10848</v>
      </c>
      <c r="H18" s="356" t="s">
        <v>10849</v>
      </c>
      <c r="I18" s="356" t="s">
        <v>10850</v>
      </c>
      <c r="J18" s="356" t="s">
        <v>10851</v>
      </c>
      <c r="K18" s="357" t="s">
        <v>10852</v>
      </c>
    </row>
    <row r="19" spans="1:15" x14ac:dyDescent="0.2">
      <c r="A19" s="646">
        <f>IF('PI-1-MarineLoading'!G115&lt;1,0,IF(Tank1!$D$6="AFFECTED",0,Tank1!$D$9))</f>
        <v>0</v>
      </c>
      <c r="B19" s="647"/>
      <c r="C19" s="647"/>
      <c r="D19" s="647"/>
      <c r="E19" s="647"/>
      <c r="F19" s="648"/>
      <c r="G19" s="158" t="str">
        <f>IFERROR(Hidden!QR3,"")</f>
        <v/>
      </c>
      <c r="H19" s="158" t="str">
        <f>IFERROR(Hidden!QS3,"")</f>
        <v/>
      </c>
      <c r="I19" s="158" t="str">
        <f>IFERROR(Hidden!QT3,"")</f>
        <v/>
      </c>
      <c r="J19" s="158" t="str">
        <f>IFERROR(Hidden!QU3,"")</f>
        <v/>
      </c>
      <c r="K19" s="115" t="str">
        <f>IFERROR(Hidden!QV3,"")</f>
        <v/>
      </c>
      <c r="M19" t="b">
        <f>A19=0</f>
        <v>1</v>
      </c>
      <c r="O19" t="s">
        <v>10009</v>
      </c>
    </row>
    <row r="20" spans="1:15" x14ac:dyDescent="0.2">
      <c r="A20" s="646">
        <f>IF('PI-1-MarineLoading'!G115&lt;2,0,IF(Tank2!$D$6="AFFECTED",0,Tank2!$D$9))</f>
        <v>0</v>
      </c>
      <c r="B20" s="647"/>
      <c r="C20" s="647"/>
      <c r="D20" s="647"/>
      <c r="E20" s="647"/>
      <c r="F20" s="648"/>
      <c r="G20" s="158" t="str">
        <f>IFERROR(Hidden!QR4,"")</f>
        <v/>
      </c>
      <c r="H20" s="158" t="str">
        <f>IFERROR(Hidden!QS4,"")</f>
        <v/>
      </c>
      <c r="I20" s="158" t="str">
        <f>IFERROR(Hidden!QT4,"")</f>
        <v/>
      </c>
      <c r="J20" s="158" t="str">
        <f>IFERROR(Hidden!QU4,"")</f>
        <v/>
      </c>
      <c r="K20" s="115" t="str">
        <f>IFERROR(Hidden!QV4,"")</f>
        <v/>
      </c>
      <c r="M20" t="b">
        <f t="shared" ref="M20:M43" si="0">A20=0</f>
        <v>1</v>
      </c>
      <c r="O20" t="s">
        <v>10010</v>
      </c>
    </row>
    <row r="21" spans="1:15" x14ac:dyDescent="0.2">
      <c r="A21" s="646">
        <f>IF('PI-1-MarineLoading'!$G$115&lt;3,0,IF(Tank3!$D$6="AFFECTED",0,Tank3!$D$9))</f>
        <v>0</v>
      </c>
      <c r="B21" s="647"/>
      <c r="C21" s="647"/>
      <c r="D21" s="647"/>
      <c r="E21" s="647"/>
      <c r="F21" s="648"/>
      <c r="G21" s="158" t="str">
        <f>IFERROR(Hidden!QR5,"")</f>
        <v/>
      </c>
      <c r="H21" s="158" t="str">
        <f>IFERROR(Hidden!QS5,"")</f>
        <v/>
      </c>
      <c r="I21" s="158" t="str">
        <f>IFERROR(Hidden!QT5,"")</f>
        <v/>
      </c>
      <c r="J21" s="158" t="str">
        <f>IFERROR(Hidden!QU5,"")</f>
        <v/>
      </c>
      <c r="K21" s="115" t="str">
        <f>IFERROR(Hidden!QV5,"")</f>
        <v/>
      </c>
      <c r="M21" t="b">
        <f t="shared" si="0"/>
        <v>1</v>
      </c>
      <c r="O21" t="s">
        <v>10011</v>
      </c>
    </row>
    <row r="22" spans="1:15" x14ac:dyDescent="0.2">
      <c r="A22" s="646">
        <f>IF('PI-1-MarineLoading'!G115&lt;4,0,IF(Tank4!$D$6="AFFECTED",0,Tank4!$D$9))</f>
        <v>0</v>
      </c>
      <c r="B22" s="647"/>
      <c r="C22" s="647"/>
      <c r="D22" s="647"/>
      <c r="E22" s="647"/>
      <c r="F22" s="648"/>
      <c r="G22" s="158" t="str">
        <f>IFERROR(Hidden!QR6,"")</f>
        <v/>
      </c>
      <c r="H22" s="158" t="str">
        <f>IFERROR(Hidden!QS6,"")</f>
        <v/>
      </c>
      <c r="I22" s="158" t="str">
        <f>IFERROR(Hidden!QT6,"")</f>
        <v/>
      </c>
      <c r="J22" s="158" t="str">
        <f>IFERROR(Hidden!QU6,"")</f>
        <v/>
      </c>
      <c r="K22" s="115" t="str">
        <f>IFERROR(Hidden!QV6,"")</f>
        <v/>
      </c>
      <c r="M22" t="b">
        <f t="shared" si="0"/>
        <v>1</v>
      </c>
      <c r="O22" t="s">
        <v>10012</v>
      </c>
    </row>
    <row r="23" spans="1:15" x14ac:dyDescent="0.2">
      <c r="A23" s="646">
        <f>IF('PI-1-MarineLoading'!$G$115&lt;5,0,IF(Tank5!$D$6="AFFECTED",0,Tank5!$D$9))</f>
        <v>0</v>
      </c>
      <c r="B23" s="647"/>
      <c r="C23" s="647"/>
      <c r="D23" s="647"/>
      <c r="E23" s="647"/>
      <c r="F23" s="648"/>
      <c r="G23" s="158" t="str">
        <f>IFERROR(Hidden!QR7,"")</f>
        <v/>
      </c>
      <c r="H23" s="158" t="str">
        <f>IFERROR(Hidden!QS7,"")</f>
        <v/>
      </c>
      <c r="I23" s="158" t="str">
        <f>IFERROR(Hidden!QT7,"")</f>
        <v/>
      </c>
      <c r="J23" s="158" t="str">
        <f>IFERROR(Hidden!QU7,"")</f>
        <v/>
      </c>
      <c r="K23" s="115" t="str">
        <f>IFERROR(Hidden!QV7,"")</f>
        <v/>
      </c>
      <c r="M23" t="b">
        <f t="shared" si="0"/>
        <v>1</v>
      </c>
      <c r="O23" t="s">
        <v>10013</v>
      </c>
    </row>
    <row r="24" spans="1:15" ht="14.25" customHeight="1" x14ac:dyDescent="0.2">
      <c r="A24" s="646">
        <f>IF('PI-1-MarineLoading'!$G$116&lt;&gt;"Yes",0,IF('Load-DrumTote'!$F$6="AFFECTED",0,'Load-DrumTote'!$F$9))</f>
        <v>0</v>
      </c>
      <c r="B24" s="647"/>
      <c r="C24" s="647"/>
      <c r="D24" s="647"/>
      <c r="E24" s="647"/>
      <c r="F24" s="648"/>
      <c r="G24" s="158" t="str">
        <f>IFERROR(Hidden!QR8,"")</f>
        <v/>
      </c>
      <c r="H24" s="77"/>
      <c r="I24" s="77"/>
      <c r="J24" s="77"/>
      <c r="K24" s="115" t="str">
        <f>IFERROR(Hidden!QV8,"")</f>
        <v/>
      </c>
      <c r="M24" t="b">
        <f t="shared" si="0"/>
        <v>1</v>
      </c>
      <c r="O24" t="s">
        <v>10014</v>
      </c>
    </row>
    <row r="25" spans="1:15" x14ac:dyDescent="0.2">
      <c r="A25" s="646">
        <f>IF('PI-1-MarineLoading'!$G$117&lt;&gt;"yes",0,IF('Load-Truck'!$F$6="AFFECTED",0,'Load-Truck'!$F$9))</f>
        <v>0</v>
      </c>
      <c r="B25" s="647"/>
      <c r="C25" s="647"/>
      <c r="D25" s="647"/>
      <c r="E25" s="647"/>
      <c r="F25" s="648"/>
      <c r="G25" s="158" t="str">
        <f>IFERROR(Hidden!QR9,"")</f>
        <v/>
      </c>
      <c r="H25" s="77"/>
      <c r="I25" s="77"/>
      <c r="J25" s="77"/>
      <c r="K25" s="115" t="str">
        <f>IFERROR(Hidden!QV9,"")</f>
        <v/>
      </c>
      <c r="M25" t="b">
        <f t="shared" si="0"/>
        <v>1</v>
      </c>
      <c r="O25" t="s">
        <v>10015</v>
      </c>
    </row>
    <row r="26" spans="1:15" x14ac:dyDescent="0.2">
      <c r="A26" s="646">
        <f>IF('PI-1-MarineLoading'!$G$118&lt;&gt;"yes",0,IF('Load-Rail'!$F$6="AFFECTED",0,'Load-Rail'!$F$9))</f>
        <v>0</v>
      </c>
      <c r="B26" s="647"/>
      <c r="C26" s="647"/>
      <c r="D26" s="647"/>
      <c r="E26" s="647"/>
      <c r="F26" s="648"/>
      <c r="G26" s="158" t="str">
        <f>IFERROR(Hidden!QR10,"")</f>
        <v/>
      </c>
      <c r="H26" s="77"/>
      <c r="I26" s="77"/>
      <c r="J26" s="77"/>
      <c r="K26" s="115" t="str">
        <f>IFERROR(Hidden!QV10,"")</f>
        <v/>
      </c>
      <c r="M26" t="b">
        <f t="shared" si="0"/>
        <v>1</v>
      </c>
      <c r="O26" t="s">
        <v>10016</v>
      </c>
    </row>
    <row r="27" spans="1:15" ht="14.25" customHeight="1" x14ac:dyDescent="0.2">
      <c r="A27" s="646">
        <f>IF('PI-1-MarineLoading'!$G$119&lt;&gt;"Yes",0,IF('Load-MarineBarge'!$F$6="AFFECTED",0,'Load-MarineBarge'!$F$9))</f>
        <v>0</v>
      </c>
      <c r="B27" s="647"/>
      <c r="C27" s="647"/>
      <c r="D27" s="647"/>
      <c r="E27" s="647"/>
      <c r="F27" s="648"/>
      <c r="G27" s="158" t="str">
        <f>IFERROR(Hidden!QR11,"")</f>
        <v/>
      </c>
      <c r="H27" s="77"/>
      <c r="I27" s="77"/>
      <c r="J27" s="77"/>
      <c r="K27" s="115" t="str">
        <f>IFERROR(Hidden!QV11,"")</f>
        <v/>
      </c>
      <c r="M27" t="b">
        <f t="shared" si="0"/>
        <v>1</v>
      </c>
      <c r="O27" t="s">
        <v>10017</v>
      </c>
    </row>
    <row r="28" spans="1:15" ht="14.25" customHeight="1" x14ac:dyDescent="0.2">
      <c r="A28" s="646">
        <f>IF('PI-1-MarineLoading'!$G$120&lt;&gt;"Yes",0,IF('Load-MarineShip'!$F$6="AFFECTED",0,'Load-MarineShip'!$F$9))</f>
        <v>0</v>
      </c>
      <c r="B28" s="647"/>
      <c r="C28" s="647"/>
      <c r="D28" s="647"/>
      <c r="E28" s="647"/>
      <c r="F28" s="648"/>
      <c r="G28" s="158" t="str">
        <f>IFERROR(Hidden!QR12,"")</f>
        <v/>
      </c>
      <c r="H28" s="77"/>
      <c r="I28" s="77"/>
      <c r="J28" s="77"/>
      <c r="K28" s="115" t="str">
        <f>IFERROR(Hidden!QV12,"")</f>
        <v/>
      </c>
      <c r="M28" t="b">
        <f t="shared" si="0"/>
        <v>1</v>
      </c>
      <c r="O28" t="s">
        <v>10018</v>
      </c>
    </row>
    <row r="29" spans="1:15" x14ac:dyDescent="0.2">
      <c r="A29" s="646">
        <f>IF('PI-1-MarineLoading'!$G$121&lt;&gt;"yes",0,IF(Flare!$D$6="affected",0,Flare!$D$9))</f>
        <v>0</v>
      </c>
      <c r="B29" s="647"/>
      <c r="C29" s="647"/>
      <c r="D29" s="647"/>
      <c r="E29" s="647"/>
      <c r="F29" s="648"/>
      <c r="G29" s="158" t="str">
        <f>IFERROR(Hidden!QR13,"")</f>
        <v/>
      </c>
      <c r="H29" s="158" t="str">
        <f>IFERROR(Hidden!QS13,"")</f>
        <v/>
      </c>
      <c r="I29" s="158" t="str">
        <f>IFERROR(Hidden!QT13,"")</f>
        <v/>
      </c>
      <c r="J29" s="158" t="str">
        <f>IFERROR(Hidden!QU13,"")</f>
        <v/>
      </c>
      <c r="K29" s="115" t="str">
        <f>IFERROR(Hidden!QV13,"")</f>
        <v/>
      </c>
      <c r="M29" t="b">
        <f t="shared" si="0"/>
        <v>1</v>
      </c>
      <c r="O29" t="s">
        <v>9391</v>
      </c>
    </row>
    <row r="30" spans="1:15" x14ac:dyDescent="0.2">
      <c r="A30" s="646">
        <f>IF('PI-1-MarineLoading'!$G$122&lt;&gt;"Yes",0,IF(VCU!$D$6="affected",0,VCU!$D$9))</f>
        <v>0</v>
      </c>
      <c r="B30" s="647"/>
      <c r="C30" s="647"/>
      <c r="D30" s="647"/>
      <c r="E30" s="647"/>
      <c r="F30" s="648"/>
      <c r="G30" s="158" t="str">
        <f>IFERROR(Hidden!QR14,"")</f>
        <v/>
      </c>
      <c r="H30" s="158" t="str">
        <f>IFERROR(Hidden!QS14,"")</f>
        <v/>
      </c>
      <c r="I30" s="158" t="str">
        <f>IFERROR(Hidden!QT14,"")</f>
        <v/>
      </c>
      <c r="J30" s="158" t="str">
        <f>IFERROR(Hidden!QU14,"")</f>
        <v/>
      </c>
      <c r="K30" s="115" t="str">
        <f>IFERROR(Hidden!QV14,"")</f>
        <v/>
      </c>
      <c r="M30" t="b">
        <f t="shared" si="0"/>
        <v>1</v>
      </c>
      <c r="O30" t="s">
        <v>10019</v>
      </c>
    </row>
    <row r="31" spans="1:15" x14ac:dyDescent="0.2">
      <c r="A31" s="646">
        <f>IF('PI-1-MarineLoading'!$G$123&lt;&gt;"yes",0,IF(VaporOxidizer!$D$6="affected",0,VaporOxidizer!$D$9))</f>
        <v>0</v>
      </c>
      <c r="B31" s="647"/>
      <c r="C31" s="647"/>
      <c r="D31" s="647"/>
      <c r="E31" s="647"/>
      <c r="F31" s="648"/>
      <c r="G31" s="158" t="str">
        <f>IFERROR(Hidden!QR15,"")</f>
        <v/>
      </c>
      <c r="H31" s="158" t="str">
        <f>IFERROR(Hidden!QS15,"")</f>
        <v/>
      </c>
      <c r="I31" s="158" t="str">
        <f>IFERROR(Hidden!QT15,"")</f>
        <v/>
      </c>
      <c r="J31" s="158" t="str">
        <f>IFERROR(Hidden!QU15,"")</f>
        <v/>
      </c>
      <c r="K31" s="115" t="str">
        <f>IFERROR(Hidden!QV15,"")</f>
        <v/>
      </c>
      <c r="M31" t="b">
        <f t="shared" si="0"/>
        <v>1</v>
      </c>
      <c r="O31" t="s">
        <v>10020</v>
      </c>
    </row>
    <row r="32" spans="1:15" x14ac:dyDescent="0.2">
      <c r="A32" s="646">
        <f>IF('PI-1-MarineLoading'!$G$124&lt;&gt;"Yes",0,IF(CAS!$D$6="affected",0,CAS!$D$9))</f>
        <v>0</v>
      </c>
      <c r="B32" s="647"/>
      <c r="C32" s="647"/>
      <c r="D32" s="647"/>
      <c r="E32" s="647"/>
      <c r="F32" s="648"/>
      <c r="G32" s="158" t="str">
        <f>IFERROR(Hidden!QR16,"")</f>
        <v/>
      </c>
      <c r="H32" s="158" t="str">
        <f>IFERROR(Hidden!QS16,"")</f>
        <v/>
      </c>
      <c r="I32" s="158" t="str">
        <f>IFERROR(Hidden!QT16,"")</f>
        <v/>
      </c>
      <c r="J32" s="158" t="str">
        <f>IFERROR(Hidden!QU16,"")</f>
        <v/>
      </c>
      <c r="K32" s="115" t="str">
        <f>IFERROR(Hidden!QV16,"")</f>
        <v/>
      </c>
      <c r="M32" t="b">
        <f t="shared" si="0"/>
        <v>1</v>
      </c>
      <c r="O32" t="s">
        <v>10021</v>
      </c>
    </row>
    <row r="33" spans="1:15" x14ac:dyDescent="0.2">
      <c r="A33" s="646">
        <f>IF('PI-1-MarineLoading'!$G$129&lt;&gt;"Yes",0,MSS!$D$65)</f>
        <v>0</v>
      </c>
      <c r="B33" s="647"/>
      <c r="C33" s="647"/>
      <c r="D33" s="647"/>
      <c r="E33" s="647"/>
      <c r="F33" s="648"/>
      <c r="G33" s="158" t="str">
        <f>IFERROR(Hidden!QR27,"")</f>
        <v/>
      </c>
      <c r="H33" s="158" t="str">
        <f>IFERROR(Hidden!QS27,"")</f>
        <v/>
      </c>
      <c r="I33" s="158" t="str">
        <f>IFERROR(Hidden!QT27,"")</f>
        <v/>
      </c>
      <c r="J33" s="158" t="str">
        <f>IFERROR(Hidden!QU27,"")</f>
        <v/>
      </c>
      <c r="K33" s="115" t="str">
        <f>IFERROR(Hidden!QV27,"")</f>
        <v/>
      </c>
      <c r="M33" t="b">
        <f t="shared" si="0"/>
        <v>1</v>
      </c>
      <c r="O33" t="s">
        <v>10030</v>
      </c>
    </row>
    <row r="34" spans="1:15" x14ac:dyDescent="0.2">
      <c r="A34" s="646">
        <f>IF('PI-1-MarineLoading'!$G$130&lt;&gt;"yes",0,MSS!$D$91)</f>
        <v>0</v>
      </c>
      <c r="B34" s="647"/>
      <c r="C34" s="647"/>
      <c r="D34" s="647"/>
      <c r="E34" s="647"/>
      <c r="F34" s="648"/>
      <c r="G34" s="158" t="str">
        <f>IFERROR(Hidden!QR26,"")</f>
        <v/>
      </c>
      <c r="H34" s="158" t="str">
        <f>IFERROR(Hidden!QS26,"")</f>
        <v/>
      </c>
      <c r="I34" s="158" t="str">
        <f>IFERROR(Hidden!QT26,"")</f>
        <v/>
      </c>
      <c r="J34" s="158" t="str">
        <f>IFERROR(Hidden!QU26,"")</f>
        <v/>
      </c>
      <c r="K34" s="115" t="str">
        <f>IFERROR(Hidden!QV26,"")</f>
        <v/>
      </c>
      <c r="M34" t="b">
        <f t="shared" si="0"/>
        <v>1</v>
      </c>
      <c r="O34" t="s">
        <v>10031</v>
      </c>
    </row>
    <row r="35" spans="1:15" x14ac:dyDescent="0.2">
      <c r="A35" s="646">
        <f>IF('PI-1-MarineLoading'!$G$131&lt;&gt;"yes",0,MSS!$D$121)</f>
        <v>0</v>
      </c>
      <c r="B35" s="647"/>
      <c r="C35" s="647"/>
      <c r="D35" s="647"/>
      <c r="E35" s="647"/>
      <c r="F35" s="648"/>
      <c r="G35" s="158" t="str">
        <f>IFERROR(Hidden!QR25,"")</f>
        <v/>
      </c>
      <c r="H35" s="158" t="str">
        <f>IFERROR(Hidden!QS25,"")</f>
        <v/>
      </c>
      <c r="I35" s="158" t="str">
        <f>IFERROR(Hidden!QT25,"")</f>
        <v/>
      </c>
      <c r="J35" s="158" t="str">
        <f>IFERROR(Hidden!QU25,"")</f>
        <v/>
      </c>
      <c r="K35" s="115" t="str">
        <f>IFERROR(Hidden!QV25,"")</f>
        <v/>
      </c>
      <c r="M35" t="b">
        <f t="shared" si="0"/>
        <v>1</v>
      </c>
      <c r="O35" t="s">
        <v>10032</v>
      </c>
    </row>
    <row r="36" spans="1:15" x14ac:dyDescent="0.2">
      <c r="A36" s="646">
        <f>IF('PI-1-MarineLoading'!$G$125&lt;1,0,IF(Engine1!$D$6="affected",0,Engine1!$D$9))</f>
        <v>0</v>
      </c>
      <c r="B36" s="647"/>
      <c r="C36" s="647"/>
      <c r="D36" s="647"/>
      <c r="E36" s="647"/>
      <c r="F36" s="648"/>
      <c r="G36" s="158" t="str">
        <f>IFERROR(Hidden!QR17,"")</f>
        <v/>
      </c>
      <c r="H36" s="158" t="str">
        <f>IFERROR(Hidden!QS17,"")</f>
        <v/>
      </c>
      <c r="I36" s="158" t="str">
        <f>IFERROR(Hidden!QT17,"")</f>
        <v/>
      </c>
      <c r="J36" s="158" t="str">
        <f>IFERROR(Hidden!QU17,"")</f>
        <v/>
      </c>
      <c r="K36" s="115" t="str">
        <f>IFERROR(Hidden!QV17,"")</f>
        <v/>
      </c>
      <c r="M36" t="b">
        <f t="shared" si="0"/>
        <v>1</v>
      </c>
      <c r="O36" t="s">
        <v>10022</v>
      </c>
    </row>
    <row r="37" spans="1:15" x14ac:dyDescent="0.2">
      <c r="A37" s="646">
        <f>IF('PI-1-MarineLoading'!$G$125&lt;2,0,IF(Engine2!$D$6="affected",0,Engine2!$D$9))</f>
        <v>0</v>
      </c>
      <c r="B37" s="647"/>
      <c r="C37" s="647"/>
      <c r="D37" s="647"/>
      <c r="E37" s="647"/>
      <c r="F37" s="648"/>
      <c r="G37" s="158" t="str">
        <f>IFERROR(Hidden!QR18,"")</f>
        <v/>
      </c>
      <c r="H37" s="158" t="str">
        <f>IFERROR(Hidden!QS18,"")</f>
        <v/>
      </c>
      <c r="I37" s="158" t="str">
        <f>IFERROR(Hidden!QT18,"")</f>
        <v/>
      </c>
      <c r="J37" s="158" t="str">
        <f>IFERROR(Hidden!QU18,"")</f>
        <v/>
      </c>
      <c r="K37" s="115" t="str">
        <f>IFERROR(Hidden!QV18,"")</f>
        <v/>
      </c>
      <c r="M37" t="b">
        <f t="shared" si="0"/>
        <v>1</v>
      </c>
      <c r="O37" t="s">
        <v>10023</v>
      </c>
    </row>
    <row r="38" spans="1:15" x14ac:dyDescent="0.2">
      <c r="A38" s="646">
        <f>IF('PI-1-MarineLoading'!$G$126&lt;1,0,IF(HeaterBoiler1!$E$6="affected",0,IF(HeaterBoiler1!$E$15="heater",HeaterBoiler1!$E$9,0)))</f>
        <v>0</v>
      </c>
      <c r="B38" s="647"/>
      <c r="C38" s="647"/>
      <c r="D38" s="647"/>
      <c r="E38" s="647"/>
      <c r="F38" s="648"/>
      <c r="G38" s="158" t="str">
        <f>IFERROR(Hidden!QR19,"")</f>
        <v/>
      </c>
      <c r="H38" s="158" t="str">
        <f>IFERROR(Hidden!QS19,"")</f>
        <v/>
      </c>
      <c r="I38" s="158" t="str">
        <f>IFERROR(Hidden!QT19,"")</f>
        <v/>
      </c>
      <c r="J38" s="158" t="str">
        <f>IFERROR(Hidden!QU19,"")</f>
        <v/>
      </c>
      <c r="K38" s="115" t="str">
        <f>IFERROR(Hidden!QV19,"")</f>
        <v/>
      </c>
      <c r="M38" t="b">
        <f t="shared" si="0"/>
        <v>1</v>
      </c>
      <c r="O38" t="s">
        <v>10024</v>
      </c>
    </row>
    <row r="39" spans="1:15" x14ac:dyDescent="0.2">
      <c r="A39" s="646">
        <f>IF('PI-1-MarineLoading'!$G$126&lt;1,0,IF(HeaterBoiler1!$E$6="affected",0,IF(HeaterBoiler1!$E$15="boiler",HeaterBoiler1!$E$9,0)))</f>
        <v>0</v>
      </c>
      <c r="B39" s="647"/>
      <c r="C39" s="647"/>
      <c r="D39" s="647"/>
      <c r="E39" s="647"/>
      <c r="F39" s="648"/>
      <c r="G39" s="158" t="str">
        <f>IFERROR(Hidden!QR20,"")</f>
        <v/>
      </c>
      <c r="H39" s="158" t="str">
        <f>IFERROR(Hidden!QS20,"")</f>
        <v/>
      </c>
      <c r="I39" s="158" t="str">
        <f>IFERROR(Hidden!QT20,"")</f>
        <v/>
      </c>
      <c r="J39" s="158" t="str">
        <f>IFERROR(Hidden!QU20,"")</f>
        <v/>
      </c>
      <c r="K39" s="115" t="str">
        <f>IFERROR(Hidden!QV20,"")</f>
        <v/>
      </c>
      <c r="M39" t="b">
        <f t="shared" si="0"/>
        <v>1</v>
      </c>
      <c r="O39" t="s">
        <v>10025</v>
      </c>
    </row>
    <row r="40" spans="1:15" x14ac:dyDescent="0.2">
      <c r="A40" s="646">
        <f>IF('PI-1-MarineLoading'!$G$126&lt;2,0,IF(HeaterBoiler2!$E$6="affected",0,IF(HeaterBoiler2!$E$15="heater",HeaterBoiler2!$E$9,0)))</f>
        <v>0</v>
      </c>
      <c r="B40" s="647"/>
      <c r="C40" s="647"/>
      <c r="D40" s="647"/>
      <c r="E40" s="647"/>
      <c r="F40" s="648"/>
      <c r="G40" s="158" t="str">
        <f>IFERROR(Hidden!QR21,"")</f>
        <v/>
      </c>
      <c r="H40" s="158" t="str">
        <f>IFERROR(Hidden!QS21,"")</f>
        <v/>
      </c>
      <c r="I40" s="158" t="str">
        <f>IFERROR(Hidden!QT21,"")</f>
        <v/>
      </c>
      <c r="J40" s="158" t="str">
        <f>IFERROR(Hidden!QU21,"")</f>
        <v/>
      </c>
      <c r="K40" s="115" t="str">
        <f>IFERROR(Hidden!QV21,"")</f>
        <v/>
      </c>
      <c r="M40" t="b">
        <f t="shared" si="0"/>
        <v>1</v>
      </c>
      <c r="O40" t="s">
        <v>10026</v>
      </c>
    </row>
    <row r="41" spans="1:15" x14ac:dyDescent="0.2">
      <c r="A41" s="646">
        <f>IF('PI-1-MarineLoading'!$G$126&lt;2,0,IF(HeaterBoiler2!$E$6="affected",0,IF(HeaterBoiler2!$E$15="boiler",HeaterBoiler2!$E$9,0)))</f>
        <v>0</v>
      </c>
      <c r="B41" s="647"/>
      <c r="C41" s="647"/>
      <c r="D41" s="647"/>
      <c r="E41" s="647"/>
      <c r="F41" s="648"/>
      <c r="G41" s="158" t="str">
        <f>IFERROR(Hidden!QR22,"")</f>
        <v/>
      </c>
      <c r="H41" s="158" t="str">
        <f>IFERROR(Hidden!QS22,"")</f>
        <v/>
      </c>
      <c r="I41" s="158" t="str">
        <f>IFERROR(Hidden!QT22,"")</f>
        <v/>
      </c>
      <c r="J41" s="158" t="str">
        <f>IFERROR(Hidden!QU22,"")</f>
        <v/>
      </c>
      <c r="K41" s="115" t="str">
        <f>IFERROR(Hidden!QV22,"")</f>
        <v/>
      </c>
      <c r="M41" t="b">
        <f t="shared" si="0"/>
        <v>1</v>
      </c>
      <c r="O41" t="s">
        <v>10027</v>
      </c>
    </row>
    <row r="42" spans="1:15" x14ac:dyDescent="0.2">
      <c r="A42" s="646">
        <f>IF('PI-1-MarineLoading'!$G$127&lt;&gt;"yes",0,IF(Fug!$F$6="affected",0,Fug!$F$9))</f>
        <v>0</v>
      </c>
      <c r="B42" s="647"/>
      <c r="C42" s="647"/>
      <c r="D42" s="647"/>
      <c r="E42" s="647"/>
      <c r="F42" s="648"/>
      <c r="G42" s="158" t="str">
        <f>IFERROR(Hidden!QR23,"")</f>
        <v/>
      </c>
      <c r="H42" s="158" t="str">
        <f>IFERROR(Hidden!QS23,"")</f>
        <v/>
      </c>
      <c r="I42" s="158" t="str">
        <f>IFERROR(Hidden!QT23,"")</f>
        <v/>
      </c>
      <c r="J42" s="158" t="str">
        <f>IFERROR(Hidden!QU23,"")</f>
        <v/>
      </c>
      <c r="K42" s="115" t="str">
        <f>IFERROR(Hidden!QV23,"")</f>
        <v/>
      </c>
      <c r="M42" t="b">
        <f t="shared" si="0"/>
        <v>1</v>
      </c>
      <c r="O42" t="s">
        <v>10028</v>
      </c>
    </row>
    <row r="43" spans="1:15" ht="15" thickBot="1" x14ac:dyDescent="0.25">
      <c r="A43" s="624">
        <f>IF('PI-1-MarineLoading'!$G$128&lt;&gt;"Yes",0,IF((COUNTIF(MSS!$G$13:$G$23,"Yes")+COUNTIF(MSS!$G$25:$G$31,"Yes"))=0,0,MSS!D9))</f>
        <v>0</v>
      </c>
      <c r="B43" s="625"/>
      <c r="C43" s="625"/>
      <c r="D43" s="625"/>
      <c r="E43" s="625"/>
      <c r="F43" s="947"/>
      <c r="G43" s="160" t="str">
        <f>IFERROR(Hidden!QR24,"")</f>
        <v/>
      </c>
      <c r="H43" s="160" t="str">
        <f>IFERROR(Hidden!QS24,"")</f>
        <v/>
      </c>
      <c r="I43" s="160" t="str">
        <f>IFERROR(Hidden!QT24,"")</f>
        <v/>
      </c>
      <c r="J43" s="160" t="str">
        <f>IFERROR(Hidden!QU24,"")</f>
        <v/>
      </c>
      <c r="K43" s="201" t="str">
        <f>IFERROR(Hidden!QV24,"")</f>
        <v/>
      </c>
      <c r="M43" t="b">
        <f t="shared" si="0"/>
        <v>1</v>
      </c>
      <c r="O43" t="s">
        <v>10029</v>
      </c>
    </row>
    <row r="44" spans="1:15" ht="15" customHeight="1" thickBot="1" x14ac:dyDescent="0.25">
      <c r="A44" s="1002" t="s">
        <v>1</v>
      </c>
      <c r="B44" s="1003"/>
      <c r="C44" s="1003"/>
      <c r="D44" s="1003"/>
      <c r="E44" s="1003"/>
      <c r="F44" s="1003"/>
      <c r="G44" s="1003"/>
      <c r="H44" s="1003"/>
      <c r="I44" s="1003"/>
      <c r="J44" s="1003"/>
      <c r="K44" s="1003"/>
    </row>
    <row r="45" spans="1:15" ht="15.75" thickBot="1" x14ac:dyDescent="0.25">
      <c r="A45" s="479" t="s">
        <v>10219</v>
      </c>
      <c r="B45" s="479"/>
      <c r="C45" s="479"/>
      <c r="D45" s="479"/>
      <c r="E45" s="479"/>
      <c r="F45" s="479"/>
      <c r="G45" s="479"/>
      <c r="H45" s="479"/>
      <c r="I45" s="479"/>
      <c r="J45" s="479"/>
      <c r="K45" s="479"/>
    </row>
    <row r="46" spans="1:15" ht="44.25" customHeight="1" x14ac:dyDescent="0.2">
      <c r="A46" s="780" t="s">
        <v>10853</v>
      </c>
      <c r="B46" s="656"/>
      <c r="C46" s="656"/>
      <c r="D46" s="656"/>
      <c r="E46" s="656"/>
      <c r="F46" s="656"/>
      <c r="G46" s="656"/>
      <c r="H46" s="656"/>
      <c r="I46" s="656"/>
      <c r="J46" s="656"/>
      <c r="K46" s="657"/>
    </row>
    <row r="47" spans="1:15" s="8" customFormat="1" ht="64.5" customHeight="1" x14ac:dyDescent="0.2">
      <c r="A47" s="1032" t="s">
        <v>10008</v>
      </c>
      <c r="B47" s="1008"/>
      <c r="C47" s="1008"/>
      <c r="D47" s="1008"/>
      <c r="E47" s="1008" t="s">
        <v>258</v>
      </c>
      <c r="F47" s="1008"/>
      <c r="G47" s="1008"/>
      <c r="H47" s="1008"/>
      <c r="I47" s="316" t="s">
        <v>10625</v>
      </c>
      <c r="J47" s="316" t="s">
        <v>10626</v>
      </c>
      <c r="K47" s="331" t="s">
        <v>10280</v>
      </c>
      <c r="L47"/>
    </row>
    <row r="48" spans="1:15" s="8" customFormat="1" x14ac:dyDescent="0.2">
      <c r="A48" s="833">
        <f>A19</f>
        <v>0</v>
      </c>
      <c r="B48" s="672"/>
      <c r="C48" s="672"/>
      <c r="D48" s="672"/>
      <c r="E48" s="672" t="s">
        <v>10282</v>
      </c>
      <c r="F48" s="672"/>
      <c r="G48" s="672"/>
      <c r="H48" s="672"/>
      <c r="I48" s="158" t="s">
        <v>10071</v>
      </c>
      <c r="J48" s="158"/>
      <c r="K48" s="115" t="s">
        <v>10071</v>
      </c>
      <c r="L48"/>
      <c r="M48" s="8" t="b">
        <f>$A48=0</f>
        <v>1</v>
      </c>
    </row>
    <row r="49" spans="1:13" s="8" customFormat="1" x14ac:dyDescent="0.2">
      <c r="A49" s="780">
        <f t="shared" ref="A49:A50" si="1">A48</f>
        <v>0</v>
      </c>
      <c r="B49" s="656"/>
      <c r="C49" s="656"/>
      <c r="D49" s="656"/>
      <c r="E49" s="672" t="s">
        <v>10248</v>
      </c>
      <c r="F49" s="672"/>
      <c r="G49" s="672"/>
      <c r="H49" s="672"/>
      <c r="I49" s="158" t="s">
        <v>10071</v>
      </c>
      <c r="J49" s="158"/>
      <c r="K49" s="115" t="s">
        <v>10071</v>
      </c>
      <c r="L49"/>
      <c r="M49" s="8" t="b">
        <f t="shared" ref="M49:M92" si="2">$A49=0</f>
        <v>1</v>
      </c>
    </row>
    <row r="50" spans="1:13" s="8" customFormat="1" x14ac:dyDescent="0.2">
      <c r="A50" s="780">
        <f t="shared" si="1"/>
        <v>0</v>
      </c>
      <c r="B50" s="656"/>
      <c r="C50" s="656"/>
      <c r="D50" s="656"/>
      <c r="E50" s="672" t="s">
        <v>240</v>
      </c>
      <c r="F50" s="672"/>
      <c r="G50" s="672"/>
      <c r="H50" s="672"/>
      <c r="I50" s="158"/>
      <c r="J50" s="158"/>
      <c r="K50" s="115" t="s">
        <v>10071</v>
      </c>
      <c r="L50"/>
      <c r="M50" s="8" t="b">
        <f t="shared" si="2"/>
        <v>1</v>
      </c>
    </row>
    <row r="51" spans="1:13" s="8" customFormat="1" x14ac:dyDescent="0.2">
      <c r="A51" s="833">
        <f>A20</f>
        <v>0</v>
      </c>
      <c r="B51" s="672"/>
      <c r="C51" s="672"/>
      <c r="D51" s="672"/>
      <c r="E51" s="672" t="s">
        <v>10282</v>
      </c>
      <c r="F51" s="672"/>
      <c r="G51" s="672"/>
      <c r="H51" s="672"/>
      <c r="I51" s="158" t="s">
        <v>10071</v>
      </c>
      <c r="J51" s="158"/>
      <c r="K51" s="115" t="s">
        <v>10071</v>
      </c>
      <c r="L51"/>
      <c r="M51" s="8" t="b">
        <f t="shared" si="2"/>
        <v>1</v>
      </c>
    </row>
    <row r="52" spans="1:13" s="8" customFormat="1" x14ac:dyDescent="0.2">
      <c r="A52" s="780">
        <f t="shared" ref="A52:A53" si="3">A51</f>
        <v>0</v>
      </c>
      <c r="B52" s="656"/>
      <c r="C52" s="656"/>
      <c r="D52" s="656"/>
      <c r="E52" s="672" t="s">
        <v>10248</v>
      </c>
      <c r="F52" s="672"/>
      <c r="G52" s="672"/>
      <c r="H52" s="672"/>
      <c r="I52" s="158" t="s">
        <v>10071</v>
      </c>
      <c r="J52" s="158"/>
      <c r="K52" s="115" t="s">
        <v>10071</v>
      </c>
      <c r="L52"/>
      <c r="M52" s="8" t="b">
        <f t="shared" si="2"/>
        <v>1</v>
      </c>
    </row>
    <row r="53" spans="1:13" s="8" customFormat="1" x14ac:dyDescent="0.2">
      <c r="A53" s="780">
        <f t="shared" si="3"/>
        <v>0</v>
      </c>
      <c r="B53" s="656"/>
      <c r="C53" s="656"/>
      <c r="D53" s="656"/>
      <c r="E53" s="672" t="s">
        <v>240</v>
      </c>
      <c r="F53" s="672"/>
      <c r="G53" s="672"/>
      <c r="H53" s="672"/>
      <c r="I53" s="158"/>
      <c r="J53" s="158"/>
      <c r="K53" s="115" t="s">
        <v>10071</v>
      </c>
      <c r="L53"/>
      <c r="M53" s="8" t="b">
        <f t="shared" si="2"/>
        <v>1</v>
      </c>
    </row>
    <row r="54" spans="1:13" s="8" customFormat="1" x14ac:dyDescent="0.2">
      <c r="A54" s="833">
        <f>A21</f>
        <v>0</v>
      </c>
      <c r="B54" s="672"/>
      <c r="C54" s="672"/>
      <c r="D54" s="672"/>
      <c r="E54" s="672" t="s">
        <v>10282</v>
      </c>
      <c r="F54" s="672"/>
      <c r="G54" s="672"/>
      <c r="H54" s="672"/>
      <c r="I54" s="158" t="s">
        <v>10071</v>
      </c>
      <c r="J54" s="158"/>
      <c r="K54" s="115" t="s">
        <v>10071</v>
      </c>
      <c r="L54"/>
      <c r="M54" s="8" t="b">
        <f t="shared" si="2"/>
        <v>1</v>
      </c>
    </row>
    <row r="55" spans="1:13" s="8" customFormat="1" x14ac:dyDescent="0.2">
      <c r="A55" s="780">
        <f t="shared" ref="A55:A56" si="4">A54</f>
        <v>0</v>
      </c>
      <c r="B55" s="656"/>
      <c r="C55" s="656"/>
      <c r="D55" s="656"/>
      <c r="E55" s="672" t="s">
        <v>10248</v>
      </c>
      <c r="F55" s="672"/>
      <c r="G55" s="672"/>
      <c r="H55" s="672"/>
      <c r="I55" s="158" t="s">
        <v>10071</v>
      </c>
      <c r="J55" s="158"/>
      <c r="K55" s="115" t="s">
        <v>10071</v>
      </c>
      <c r="L55"/>
      <c r="M55" s="8" t="b">
        <f t="shared" si="2"/>
        <v>1</v>
      </c>
    </row>
    <row r="56" spans="1:13" s="8" customFormat="1" x14ac:dyDescent="0.2">
      <c r="A56" s="780">
        <f t="shared" si="4"/>
        <v>0</v>
      </c>
      <c r="B56" s="656"/>
      <c r="C56" s="656"/>
      <c r="D56" s="656"/>
      <c r="E56" s="672" t="s">
        <v>240</v>
      </c>
      <c r="F56" s="672"/>
      <c r="G56" s="672"/>
      <c r="H56" s="672"/>
      <c r="I56" s="158"/>
      <c r="J56" s="158"/>
      <c r="K56" s="115" t="s">
        <v>10071</v>
      </c>
      <c r="L56"/>
      <c r="M56" s="8" t="b">
        <f t="shared" si="2"/>
        <v>1</v>
      </c>
    </row>
    <row r="57" spans="1:13" s="8" customFormat="1" x14ac:dyDescent="0.2">
      <c r="A57" s="833">
        <f>A22</f>
        <v>0</v>
      </c>
      <c r="B57" s="672"/>
      <c r="C57" s="672"/>
      <c r="D57" s="672"/>
      <c r="E57" s="672" t="s">
        <v>10282</v>
      </c>
      <c r="F57" s="672"/>
      <c r="G57" s="672"/>
      <c r="H57" s="672"/>
      <c r="I57" s="158" t="s">
        <v>10071</v>
      </c>
      <c r="J57" s="158"/>
      <c r="K57" s="115" t="s">
        <v>10071</v>
      </c>
      <c r="L57"/>
      <c r="M57" s="8" t="b">
        <f t="shared" si="2"/>
        <v>1</v>
      </c>
    </row>
    <row r="58" spans="1:13" s="8" customFormat="1" x14ac:dyDescent="0.2">
      <c r="A58" s="780">
        <f t="shared" ref="A58:A59" si="5">A57</f>
        <v>0</v>
      </c>
      <c r="B58" s="656"/>
      <c r="C58" s="656"/>
      <c r="D58" s="656"/>
      <c r="E58" s="672" t="s">
        <v>10248</v>
      </c>
      <c r="F58" s="672"/>
      <c r="G58" s="672"/>
      <c r="H58" s="672"/>
      <c r="I58" s="158" t="s">
        <v>10071</v>
      </c>
      <c r="J58" s="158"/>
      <c r="K58" s="115" t="s">
        <v>10071</v>
      </c>
      <c r="L58"/>
      <c r="M58" s="8" t="b">
        <f t="shared" si="2"/>
        <v>1</v>
      </c>
    </row>
    <row r="59" spans="1:13" s="8" customFormat="1" x14ac:dyDescent="0.2">
      <c r="A59" s="780">
        <f t="shared" si="5"/>
        <v>0</v>
      </c>
      <c r="B59" s="656"/>
      <c r="C59" s="656"/>
      <c r="D59" s="656"/>
      <c r="E59" s="672" t="s">
        <v>240</v>
      </c>
      <c r="F59" s="672"/>
      <c r="G59" s="672"/>
      <c r="H59" s="672"/>
      <c r="I59" s="158"/>
      <c r="J59" s="158"/>
      <c r="K59" s="115" t="s">
        <v>10071</v>
      </c>
      <c r="L59"/>
      <c r="M59" s="8" t="b">
        <f t="shared" si="2"/>
        <v>1</v>
      </c>
    </row>
    <row r="60" spans="1:13" s="8" customFormat="1" x14ac:dyDescent="0.2">
      <c r="A60" s="833">
        <f>A23</f>
        <v>0</v>
      </c>
      <c r="B60" s="672"/>
      <c r="C60" s="672"/>
      <c r="D60" s="672"/>
      <c r="E60" s="672" t="s">
        <v>10282</v>
      </c>
      <c r="F60" s="672"/>
      <c r="G60" s="672"/>
      <c r="H60" s="672"/>
      <c r="I60" s="158" t="s">
        <v>10071</v>
      </c>
      <c r="J60" s="158"/>
      <c r="K60" s="115" t="s">
        <v>10071</v>
      </c>
      <c r="L60"/>
      <c r="M60" s="8" t="b">
        <f t="shared" si="2"/>
        <v>1</v>
      </c>
    </row>
    <row r="61" spans="1:13" s="8" customFormat="1" x14ac:dyDescent="0.2">
      <c r="A61" s="780">
        <f>A60</f>
        <v>0</v>
      </c>
      <c r="B61" s="656"/>
      <c r="C61" s="656"/>
      <c r="D61" s="656"/>
      <c r="E61" s="672" t="s">
        <v>10248</v>
      </c>
      <c r="F61" s="672"/>
      <c r="G61" s="672"/>
      <c r="H61" s="672"/>
      <c r="I61" s="158" t="s">
        <v>10071</v>
      </c>
      <c r="J61" s="158"/>
      <c r="K61" s="115" t="s">
        <v>10071</v>
      </c>
      <c r="L61"/>
      <c r="M61" s="8" t="b">
        <f t="shared" si="2"/>
        <v>1</v>
      </c>
    </row>
    <row r="62" spans="1:13" s="8" customFormat="1" x14ac:dyDescent="0.2">
      <c r="A62" s="780">
        <f>A61</f>
        <v>0</v>
      </c>
      <c r="B62" s="656"/>
      <c r="C62" s="656"/>
      <c r="D62" s="656"/>
      <c r="E62" s="672" t="s">
        <v>240</v>
      </c>
      <c r="F62" s="672"/>
      <c r="G62" s="672"/>
      <c r="H62" s="672"/>
      <c r="I62" s="158"/>
      <c r="J62" s="158"/>
      <c r="K62" s="115" t="s">
        <v>10071</v>
      </c>
      <c r="L62"/>
      <c r="M62" s="8" t="b">
        <f t="shared" si="2"/>
        <v>1</v>
      </c>
    </row>
    <row r="63" spans="1:13" x14ac:dyDescent="0.2">
      <c r="A63" s="780" t="s">
        <v>10281</v>
      </c>
      <c r="B63" s="656"/>
      <c r="C63" s="656"/>
      <c r="D63" s="656"/>
      <c r="E63" s="656" t="s">
        <v>240</v>
      </c>
      <c r="F63" s="656"/>
      <c r="G63" s="656"/>
      <c r="H63" s="656"/>
      <c r="I63" s="158"/>
      <c r="J63" s="158" t="s">
        <v>10071</v>
      </c>
      <c r="K63" s="115"/>
      <c r="M63" s="8" t="b">
        <f>IF('PI-1-MarineLoading'!$G$115=0,TRUE,IF('PI-1-MarineLoading'!$G$128&lt;&gt;"Yes",TRUE,FALSE))</f>
        <v>1</v>
      </c>
    </row>
    <row r="64" spans="1:13" ht="14.25" customHeight="1" x14ac:dyDescent="0.2">
      <c r="A64" s="780" t="str">
        <f>"Any "&amp;('PI-1-MarineLoading'!$G$115-1)&amp;" tanks not undergoing MSS"</f>
        <v>Any -1 tanks not undergoing MSS</v>
      </c>
      <c r="B64" s="656"/>
      <c r="C64" s="656"/>
      <c r="D64" s="656"/>
      <c r="E64" s="656" t="s">
        <v>10282</v>
      </c>
      <c r="F64" s="656"/>
      <c r="G64" s="656"/>
      <c r="H64" s="656"/>
      <c r="I64" s="158"/>
      <c r="J64" s="158" t="s">
        <v>10071</v>
      </c>
      <c r="K64" s="115"/>
      <c r="M64" s="8" t="b">
        <f>IF('PI-1-MarineLoading'!$G$115=0,TRUE,IF('PI-1-MarineLoading'!$G$128&lt;&gt;"Yes",TRUE,IF('PI-1-MarineLoading'!$G$115&lt;2,TRUE,FALSE)))</f>
        <v>1</v>
      </c>
    </row>
    <row r="65" spans="1:13" s="8" customFormat="1" x14ac:dyDescent="0.2">
      <c r="A65" s="833">
        <f t="shared" ref="A65:A70" si="6">A24</f>
        <v>0</v>
      </c>
      <c r="B65" s="672"/>
      <c r="C65" s="672"/>
      <c r="D65" s="672"/>
      <c r="E65" s="672" t="s">
        <v>10216</v>
      </c>
      <c r="F65" s="672"/>
      <c r="G65" s="672"/>
      <c r="H65" s="672"/>
      <c r="I65" s="158" t="s">
        <v>10071</v>
      </c>
      <c r="J65" s="158"/>
      <c r="K65" s="115" t="s">
        <v>10071</v>
      </c>
      <c r="L65"/>
      <c r="M65" s="8" t="b">
        <f t="shared" si="2"/>
        <v>1</v>
      </c>
    </row>
    <row r="66" spans="1:13" s="8" customFormat="1" x14ac:dyDescent="0.2">
      <c r="A66" s="833">
        <f t="shared" si="6"/>
        <v>0</v>
      </c>
      <c r="B66" s="672"/>
      <c r="C66" s="672"/>
      <c r="D66" s="672"/>
      <c r="E66" s="672" t="s">
        <v>10216</v>
      </c>
      <c r="F66" s="672"/>
      <c r="G66" s="672"/>
      <c r="H66" s="672"/>
      <c r="I66" s="158" t="s">
        <v>10071</v>
      </c>
      <c r="J66" s="158"/>
      <c r="K66" s="115" t="s">
        <v>10071</v>
      </c>
      <c r="L66"/>
      <c r="M66" s="8" t="b">
        <f t="shared" si="2"/>
        <v>1</v>
      </c>
    </row>
    <row r="67" spans="1:13" s="8" customFormat="1" x14ac:dyDescent="0.2">
      <c r="A67" s="833">
        <f t="shared" si="6"/>
        <v>0</v>
      </c>
      <c r="B67" s="672"/>
      <c r="C67" s="672"/>
      <c r="D67" s="672"/>
      <c r="E67" s="672" t="s">
        <v>10216</v>
      </c>
      <c r="F67" s="672"/>
      <c r="G67" s="672"/>
      <c r="H67" s="672"/>
      <c r="I67" s="158" t="s">
        <v>10071</v>
      </c>
      <c r="J67" s="158"/>
      <c r="K67" s="115" t="s">
        <v>10071</v>
      </c>
      <c r="L67"/>
      <c r="M67" s="8" t="b">
        <f t="shared" si="2"/>
        <v>1</v>
      </c>
    </row>
    <row r="68" spans="1:13" s="8" customFormat="1" x14ac:dyDescent="0.2">
      <c r="A68" s="780">
        <f t="shared" si="6"/>
        <v>0</v>
      </c>
      <c r="B68" s="656"/>
      <c r="C68" s="656"/>
      <c r="D68" s="656"/>
      <c r="E68" s="672" t="s">
        <v>10216</v>
      </c>
      <c r="F68" s="672"/>
      <c r="G68" s="672"/>
      <c r="H68" s="672"/>
      <c r="I68" s="158" t="s">
        <v>10071</v>
      </c>
      <c r="J68" s="158"/>
      <c r="K68" s="115" t="s">
        <v>10071</v>
      </c>
      <c r="L68"/>
      <c r="M68" s="8" t="b">
        <f t="shared" si="2"/>
        <v>1</v>
      </c>
    </row>
    <row r="69" spans="1:13" s="8" customFormat="1" x14ac:dyDescent="0.2">
      <c r="A69" s="833">
        <f t="shared" si="6"/>
        <v>0</v>
      </c>
      <c r="B69" s="672"/>
      <c r="C69" s="672"/>
      <c r="D69" s="672"/>
      <c r="E69" s="672" t="s">
        <v>10216</v>
      </c>
      <c r="F69" s="672"/>
      <c r="G69" s="672"/>
      <c r="H69" s="672"/>
      <c r="I69" s="158" t="s">
        <v>10071</v>
      </c>
      <c r="J69" s="158"/>
      <c r="K69" s="115" t="s">
        <v>10071</v>
      </c>
      <c r="L69"/>
      <c r="M69" s="8" t="b">
        <f t="shared" si="2"/>
        <v>1</v>
      </c>
    </row>
    <row r="70" spans="1:13" s="8" customFormat="1" x14ac:dyDescent="0.2">
      <c r="A70" s="833">
        <f t="shared" si="6"/>
        <v>0</v>
      </c>
      <c r="B70" s="672"/>
      <c r="C70" s="672"/>
      <c r="D70" s="672"/>
      <c r="E70" s="672" t="s">
        <v>10620</v>
      </c>
      <c r="F70" s="672"/>
      <c r="G70" s="672"/>
      <c r="H70" s="672"/>
      <c r="I70" s="158" t="s">
        <v>10071</v>
      </c>
      <c r="J70" s="158"/>
      <c r="K70" s="115" t="s">
        <v>10071</v>
      </c>
      <c r="L70"/>
      <c r="M70" s="8" t="b">
        <f t="shared" si="2"/>
        <v>1</v>
      </c>
    </row>
    <row r="71" spans="1:13" s="8" customFormat="1" x14ac:dyDescent="0.2">
      <c r="A71" s="833">
        <f t="shared" ref="A71:A72" si="7">A70</f>
        <v>0</v>
      </c>
      <c r="B71" s="672"/>
      <c r="C71" s="672"/>
      <c r="D71" s="672"/>
      <c r="E71" s="672" t="s">
        <v>10621</v>
      </c>
      <c r="F71" s="672"/>
      <c r="G71" s="672"/>
      <c r="H71" s="672"/>
      <c r="I71" s="158" t="s">
        <v>10071</v>
      </c>
      <c r="J71" s="158" t="s">
        <v>10071</v>
      </c>
      <c r="K71" s="115" t="s">
        <v>10071</v>
      </c>
      <c r="L71"/>
      <c r="M71" s="8" t="b">
        <f t="shared" si="2"/>
        <v>1</v>
      </c>
    </row>
    <row r="72" spans="1:13" s="8" customFormat="1" ht="13.5" customHeight="1" x14ac:dyDescent="0.2">
      <c r="A72" s="833">
        <f t="shared" si="7"/>
        <v>0</v>
      </c>
      <c r="B72" s="672"/>
      <c r="C72" s="672"/>
      <c r="D72" s="672"/>
      <c r="E72" s="672" t="s">
        <v>240</v>
      </c>
      <c r="F72" s="672"/>
      <c r="G72" s="672"/>
      <c r="H72" s="672"/>
      <c r="I72" s="158"/>
      <c r="J72" s="158" t="s">
        <v>10071</v>
      </c>
      <c r="K72" s="115" t="s">
        <v>10071</v>
      </c>
      <c r="L72"/>
      <c r="M72" s="8" t="b">
        <f t="shared" si="2"/>
        <v>1</v>
      </c>
    </row>
    <row r="73" spans="1:13" s="8" customFormat="1" x14ac:dyDescent="0.2">
      <c r="A73" s="833">
        <f>A30</f>
        <v>0</v>
      </c>
      <c r="B73" s="672"/>
      <c r="C73" s="672"/>
      <c r="D73" s="672"/>
      <c r="E73" s="672" t="s">
        <v>10620</v>
      </c>
      <c r="F73" s="672"/>
      <c r="G73" s="672"/>
      <c r="H73" s="672"/>
      <c r="I73" s="158" t="s">
        <v>10071</v>
      </c>
      <c r="J73" s="158"/>
      <c r="K73" s="115" t="s">
        <v>10071</v>
      </c>
      <c r="L73"/>
      <c r="M73" s="8" t="b">
        <f t="shared" si="2"/>
        <v>1</v>
      </c>
    </row>
    <row r="74" spans="1:13" s="8" customFormat="1" x14ac:dyDescent="0.2">
      <c r="A74" s="833">
        <f t="shared" ref="A74:A75" si="8">A73</f>
        <v>0</v>
      </c>
      <c r="B74" s="672"/>
      <c r="C74" s="672"/>
      <c r="D74" s="672"/>
      <c r="E74" s="672" t="s">
        <v>10621</v>
      </c>
      <c r="F74" s="672"/>
      <c r="G74" s="672"/>
      <c r="H74" s="672"/>
      <c r="I74" s="158" t="s">
        <v>10071</v>
      </c>
      <c r="J74" s="158" t="s">
        <v>10071</v>
      </c>
      <c r="K74" s="115" t="s">
        <v>10071</v>
      </c>
      <c r="L74"/>
      <c r="M74" s="8" t="b">
        <f t="shared" si="2"/>
        <v>1</v>
      </c>
    </row>
    <row r="75" spans="1:13" s="8" customFormat="1" x14ac:dyDescent="0.2">
      <c r="A75" s="833">
        <f t="shared" si="8"/>
        <v>0</v>
      </c>
      <c r="B75" s="672"/>
      <c r="C75" s="672"/>
      <c r="D75" s="672"/>
      <c r="E75" s="672" t="s">
        <v>240</v>
      </c>
      <c r="F75" s="672"/>
      <c r="G75" s="672"/>
      <c r="H75" s="672"/>
      <c r="I75" s="158"/>
      <c r="J75" s="158" t="s">
        <v>10071</v>
      </c>
      <c r="K75" s="115" t="s">
        <v>10071</v>
      </c>
      <c r="L75"/>
      <c r="M75" s="8" t="b">
        <f t="shared" si="2"/>
        <v>1</v>
      </c>
    </row>
    <row r="76" spans="1:13" s="8" customFormat="1" x14ac:dyDescent="0.2">
      <c r="A76" s="833">
        <f>A31</f>
        <v>0</v>
      </c>
      <c r="B76" s="672"/>
      <c r="C76" s="672"/>
      <c r="D76" s="672"/>
      <c r="E76" s="672" t="s">
        <v>10620</v>
      </c>
      <c r="F76" s="672"/>
      <c r="G76" s="672"/>
      <c r="H76" s="672"/>
      <c r="I76" s="158" t="s">
        <v>10071</v>
      </c>
      <c r="J76" s="158"/>
      <c r="K76" s="115" t="s">
        <v>10071</v>
      </c>
      <c r="L76"/>
      <c r="M76" s="8" t="b">
        <f t="shared" si="2"/>
        <v>1</v>
      </c>
    </row>
    <row r="77" spans="1:13" s="8" customFormat="1" x14ac:dyDescent="0.2">
      <c r="A77" s="833">
        <f t="shared" ref="A77:A78" si="9">A76</f>
        <v>0</v>
      </c>
      <c r="B77" s="672"/>
      <c r="C77" s="672"/>
      <c r="D77" s="672"/>
      <c r="E77" s="672" t="s">
        <v>10621</v>
      </c>
      <c r="F77" s="672"/>
      <c r="G77" s="672"/>
      <c r="H77" s="672"/>
      <c r="I77" s="158" t="s">
        <v>10071</v>
      </c>
      <c r="J77" s="158" t="s">
        <v>10071</v>
      </c>
      <c r="K77" s="115" t="s">
        <v>10071</v>
      </c>
      <c r="L77"/>
      <c r="M77" s="8" t="b">
        <f t="shared" si="2"/>
        <v>1</v>
      </c>
    </row>
    <row r="78" spans="1:13" s="8" customFormat="1" x14ac:dyDescent="0.2">
      <c r="A78" s="833">
        <f t="shared" si="9"/>
        <v>0</v>
      </c>
      <c r="B78" s="672"/>
      <c r="C78" s="672"/>
      <c r="D78" s="672"/>
      <c r="E78" s="672" t="s">
        <v>240</v>
      </c>
      <c r="F78" s="672"/>
      <c r="G78" s="672"/>
      <c r="H78" s="672"/>
      <c r="I78" s="158"/>
      <c r="J78" s="158" t="s">
        <v>10071</v>
      </c>
      <c r="K78" s="115" t="s">
        <v>10071</v>
      </c>
      <c r="L78"/>
      <c r="M78" s="8" t="b">
        <f t="shared" si="2"/>
        <v>1</v>
      </c>
    </row>
    <row r="79" spans="1:13" s="8" customFormat="1" x14ac:dyDescent="0.2">
      <c r="A79" s="833">
        <f>A32</f>
        <v>0</v>
      </c>
      <c r="B79" s="672"/>
      <c r="C79" s="672"/>
      <c r="D79" s="672"/>
      <c r="E79" s="672" t="s">
        <v>10620</v>
      </c>
      <c r="F79" s="672"/>
      <c r="G79" s="672"/>
      <c r="H79" s="672"/>
      <c r="I79" s="158" t="s">
        <v>10071</v>
      </c>
      <c r="J79" s="158"/>
      <c r="K79" s="115" t="s">
        <v>10071</v>
      </c>
      <c r="L79"/>
      <c r="M79" s="8" t="b">
        <f t="shared" si="2"/>
        <v>1</v>
      </c>
    </row>
    <row r="80" spans="1:13" s="8" customFormat="1" x14ac:dyDescent="0.2">
      <c r="A80" s="833">
        <f t="shared" ref="A80" si="10">A79</f>
        <v>0</v>
      </c>
      <c r="B80" s="672"/>
      <c r="C80" s="672"/>
      <c r="D80" s="672"/>
      <c r="E80" s="672" t="s">
        <v>10621</v>
      </c>
      <c r="F80" s="672"/>
      <c r="G80" s="672"/>
      <c r="H80" s="672"/>
      <c r="I80" s="158" t="s">
        <v>10071</v>
      </c>
      <c r="J80" s="158" t="s">
        <v>10071</v>
      </c>
      <c r="K80" s="115" t="s">
        <v>10071</v>
      </c>
      <c r="L80"/>
      <c r="M80" s="8" t="b">
        <f t="shared" si="2"/>
        <v>1</v>
      </c>
    </row>
    <row r="81" spans="1:13" s="8" customFormat="1" x14ac:dyDescent="0.2">
      <c r="A81" s="780">
        <f>A33</f>
        <v>0</v>
      </c>
      <c r="B81" s="656"/>
      <c r="C81" s="656"/>
      <c r="D81" s="656"/>
      <c r="E81" s="672" t="s">
        <v>10248</v>
      </c>
      <c r="F81" s="672"/>
      <c r="G81" s="672"/>
      <c r="H81" s="672"/>
      <c r="I81" s="158" t="s">
        <v>10071</v>
      </c>
      <c r="J81" s="158"/>
      <c r="K81" s="115" t="s">
        <v>10071</v>
      </c>
      <c r="L81"/>
      <c r="M81" s="8" t="b">
        <f t="shared" si="2"/>
        <v>1</v>
      </c>
    </row>
    <row r="82" spans="1:13" s="8" customFormat="1" x14ac:dyDescent="0.2">
      <c r="A82" s="780">
        <f>A81</f>
        <v>0</v>
      </c>
      <c r="B82" s="656"/>
      <c r="C82" s="656"/>
      <c r="D82" s="656"/>
      <c r="E82" s="672" t="s">
        <v>240</v>
      </c>
      <c r="F82" s="672"/>
      <c r="G82" s="672"/>
      <c r="H82" s="672"/>
      <c r="I82" s="158"/>
      <c r="J82" s="158" t="s">
        <v>10071</v>
      </c>
      <c r="K82" s="115" t="s">
        <v>10071</v>
      </c>
      <c r="L82"/>
      <c r="M82" s="8" t="b">
        <f t="shared" si="2"/>
        <v>1</v>
      </c>
    </row>
    <row r="83" spans="1:13" s="8" customFormat="1" x14ac:dyDescent="0.2">
      <c r="A83" s="780">
        <f>A34</f>
        <v>0</v>
      </c>
      <c r="B83" s="656"/>
      <c r="C83" s="656"/>
      <c r="D83" s="656"/>
      <c r="E83" s="672" t="s">
        <v>10248</v>
      </c>
      <c r="F83" s="672"/>
      <c r="G83" s="672"/>
      <c r="H83" s="672"/>
      <c r="I83" s="158" t="s">
        <v>10071</v>
      </c>
      <c r="J83" s="158"/>
      <c r="K83" s="115" t="s">
        <v>10071</v>
      </c>
      <c r="L83"/>
      <c r="M83" s="8" t="b">
        <f t="shared" si="2"/>
        <v>1</v>
      </c>
    </row>
    <row r="84" spans="1:13" s="8" customFormat="1" x14ac:dyDescent="0.2">
      <c r="A84" s="780">
        <f>A83</f>
        <v>0</v>
      </c>
      <c r="B84" s="656"/>
      <c r="C84" s="656"/>
      <c r="D84" s="656"/>
      <c r="E84" s="672" t="s">
        <v>240</v>
      </c>
      <c r="F84" s="672"/>
      <c r="G84" s="672"/>
      <c r="H84" s="672"/>
      <c r="I84" s="158"/>
      <c r="J84" s="158" t="s">
        <v>10071</v>
      </c>
      <c r="K84" s="115" t="s">
        <v>10071</v>
      </c>
      <c r="L84"/>
      <c r="M84" s="8" t="b">
        <f t="shared" si="2"/>
        <v>1</v>
      </c>
    </row>
    <row r="85" spans="1:13" s="8" customFormat="1" x14ac:dyDescent="0.2">
      <c r="A85" s="780">
        <f>A35</f>
        <v>0</v>
      </c>
      <c r="B85" s="656"/>
      <c r="C85" s="656"/>
      <c r="D85" s="656"/>
      <c r="E85" s="672" t="s">
        <v>10248</v>
      </c>
      <c r="F85" s="672"/>
      <c r="G85" s="672"/>
      <c r="H85" s="672"/>
      <c r="I85" s="158" t="s">
        <v>10071</v>
      </c>
      <c r="J85" s="158"/>
      <c r="K85" s="115" t="s">
        <v>10071</v>
      </c>
      <c r="L85"/>
      <c r="M85" s="8" t="b">
        <f t="shared" si="2"/>
        <v>1</v>
      </c>
    </row>
    <row r="86" spans="1:13" s="8" customFormat="1" x14ac:dyDescent="0.2">
      <c r="A86" s="780">
        <f>A85</f>
        <v>0</v>
      </c>
      <c r="B86" s="656"/>
      <c r="C86" s="656"/>
      <c r="D86" s="656"/>
      <c r="E86" s="672" t="s">
        <v>240</v>
      </c>
      <c r="F86" s="672"/>
      <c r="G86" s="672"/>
      <c r="H86" s="672"/>
      <c r="I86" s="158"/>
      <c r="J86" s="158" t="s">
        <v>10071</v>
      </c>
      <c r="K86" s="115" t="s">
        <v>10071</v>
      </c>
      <c r="L86"/>
      <c r="M86" s="8" t="b">
        <f t="shared" si="2"/>
        <v>1</v>
      </c>
    </row>
    <row r="87" spans="1:13" s="8" customFormat="1" x14ac:dyDescent="0.2">
      <c r="A87" s="833">
        <f>A36</f>
        <v>0</v>
      </c>
      <c r="B87" s="672"/>
      <c r="C87" s="672"/>
      <c r="D87" s="672"/>
      <c r="E87" s="672" t="s">
        <v>10246</v>
      </c>
      <c r="F87" s="672"/>
      <c r="G87" s="672"/>
      <c r="H87" s="672"/>
      <c r="I87" s="158" t="s">
        <v>10071</v>
      </c>
      <c r="J87" s="158"/>
      <c r="K87" s="115" t="s">
        <v>10071</v>
      </c>
      <c r="L87"/>
      <c r="M87" s="8" t="b">
        <f t="shared" si="2"/>
        <v>1</v>
      </c>
    </row>
    <row r="88" spans="1:13" s="8" customFormat="1" x14ac:dyDescent="0.2">
      <c r="A88" s="833">
        <f>A37</f>
        <v>0</v>
      </c>
      <c r="B88" s="672"/>
      <c r="C88" s="672"/>
      <c r="D88" s="672"/>
      <c r="E88" s="672" t="s">
        <v>10246</v>
      </c>
      <c r="F88" s="672"/>
      <c r="G88" s="672"/>
      <c r="H88" s="672"/>
      <c r="I88" s="158" t="s">
        <v>10071</v>
      </c>
      <c r="J88" s="158"/>
      <c r="K88" s="115" t="s">
        <v>10071</v>
      </c>
      <c r="L88"/>
      <c r="M88" s="8" t="b">
        <f t="shared" si="2"/>
        <v>1</v>
      </c>
    </row>
    <row r="89" spans="1:13" s="8" customFormat="1" x14ac:dyDescent="0.2">
      <c r="A89" s="833">
        <f>IF('PI-1-MarineLoading'!$G$126&lt;1,0,IF(HeaterBoiler1!$E$6="affected",0,HeaterBoiler1!$E$9))</f>
        <v>0</v>
      </c>
      <c r="B89" s="672"/>
      <c r="C89" s="672"/>
      <c r="D89" s="672"/>
      <c r="E89" s="672" t="s">
        <v>10216</v>
      </c>
      <c r="F89" s="672"/>
      <c r="G89" s="672"/>
      <c r="H89" s="672"/>
      <c r="I89" s="158" t="s">
        <v>10071</v>
      </c>
      <c r="J89" s="158" t="s">
        <v>10071</v>
      </c>
      <c r="K89" s="115" t="s">
        <v>10071</v>
      </c>
      <c r="L89"/>
      <c r="M89" s="8" t="b">
        <f t="shared" si="2"/>
        <v>1</v>
      </c>
    </row>
    <row r="90" spans="1:13" s="8" customFormat="1" x14ac:dyDescent="0.2">
      <c r="A90" s="833">
        <f>IF('PI-1-MarineLoading'!$G$126&lt;2,0,IF(HeaterBoiler2!$E$6="affected",0,HeaterBoiler2!$E$9))</f>
        <v>0</v>
      </c>
      <c r="B90" s="672"/>
      <c r="C90" s="672"/>
      <c r="D90" s="672"/>
      <c r="E90" s="672" t="s">
        <v>10216</v>
      </c>
      <c r="F90" s="672"/>
      <c r="G90" s="672"/>
      <c r="H90" s="672"/>
      <c r="I90" s="158" t="s">
        <v>10071</v>
      </c>
      <c r="J90" s="158" t="s">
        <v>10071</v>
      </c>
      <c r="K90" s="115" t="s">
        <v>10071</v>
      </c>
      <c r="L90"/>
      <c r="M90" s="8" t="b">
        <f t="shared" si="2"/>
        <v>1</v>
      </c>
    </row>
    <row r="91" spans="1:13" s="8" customFormat="1" x14ac:dyDescent="0.2">
      <c r="A91" s="833">
        <f>A42</f>
        <v>0</v>
      </c>
      <c r="B91" s="672"/>
      <c r="C91" s="672"/>
      <c r="D91" s="672"/>
      <c r="E91" s="672" t="s">
        <v>10246</v>
      </c>
      <c r="F91" s="672"/>
      <c r="G91" s="672"/>
      <c r="H91" s="672"/>
      <c r="I91" s="158" t="s">
        <v>10071</v>
      </c>
      <c r="J91" s="158" t="s">
        <v>10071</v>
      </c>
      <c r="K91" s="115" t="s">
        <v>10071</v>
      </c>
      <c r="L91"/>
      <c r="M91" s="8" t="b">
        <f t="shared" si="2"/>
        <v>1</v>
      </c>
    </row>
    <row r="92" spans="1:13" s="8" customFormat="1" ht="15" thickBot="1" x14ac:dyDescent="0.25">
      <c r="A92" s="1007">
        <f>A43</f>
        <v>0</v>
      </c>
      <c r="B92" s="674"/>
      <c r="C92" s="674"/>
      <c r="D92" s="674"/>
      <c r="E92" s="674" t="s">
        <v>10217</v>
      </c>
      <c r="F92" s="674"/>
      <c r="G92" s="674"/>
      <c r="H92" s="674"/>
      <c r="I92" s="160" t="s">
        <v>10071</v>
      </c>
      <c r="J92" s="160" t="s">
        <v>10071</v>
      </c>
      <c r="K92" s="201" t="s">
        <v>10071</v>
      </c>
      <c r="L92"/>
      <c r="M92" s="8" t="b">
        <f t="shared" si="2"/>
        <v>1</v>
      </c>
    </row>
    <row r="93" spans="1:13" ht="15" customHeight="1" thickBot="1" x14ac:dyDescent="0.25">
      <c r="A93" s="1002" t="s">
        <v>1</v>
      </c>
      <c r="B93" s="1003"/>
      <c r="C93" s="1003"/>
      <c r="D93" s="1003"/>
      <c r="E93" s="1003"/>
      <c r="F93" s="1003"/>
      <c r="G93" s="1003"/>
      <c r="H93" s="1003"/>
      <c r="I93" s="1003"/>
      <c r="J93" s="1003"/>
      <c r="K93" s="1003"/>
    </row>
    <row r="94" spans="1:13" ht="15.75" customHeight="1" thickBot="1" x14ac:dyDescent="0.25">
      <c r="A94" s="1004" t="s">
        <v>10862</v>
      </c>
      <c r="B94" s="1005"/>
      <c r="C94" s="1005"/>
      <c r="D94" s="1005"/>
      <c r="E94" s="1005"/>
      <c r="F94" s="1005"/>
      <c r="G94" s="1005"/>
      <c r="H94" s="1005"/>
      <c r="I94" s="1005"/>
      <c r="J94" s="1005"/>
      <c r="K94" s="1006"/>
    </row>
    <row r="95" spans="1:13" ht="75" customHeight="1" x14ac:dyDescent="0.2">
      <c r="A95" s="48" t="s">
        <v>233</v>
      </c>
      <c r="B95" s="49" t="s">
        <v>178</v>
      </c>
      <c r="C95" s="49" t="s">
        <v>9539</v>
      </c>
      <c r="D95" s="49" t="s">
        <v>9563</v>
      </c>
      <c r="E95" s="49" t="s">
        <v>9430</v>
      </c>
      <c r="F95" s="49" t="s">
        <v>10176</v>
      </c>
      <c r="G95" s="49" t="s">
        <v>10627</v>
      </c>
      <c r="H95" s="49" t="s">
        <v>10628</v>
      </c>
      <c r="I95" s="49" t="s">
        <v>10218</v>
      </c>
      <c r="J95" s="49" t="s">
        <v>9204</v>
      </c>
      <c r="K95" s="332" t="s">
        <v>9205</v>
      </c>
    </row>
    <row r="96" spans="1:13" ht="29.25" customHeight="1" x14ac:dyDescent="0.2">
      <c r="A96" s="182" t="s">
        <v>3899</v>
      </c>
      <c r="B96" s="202" t="s">
        <v>262</v>
      </c>
      <c r="C96" s="211" t="s">
        <v>9308</v>
      </c>
      <c r="D96" s="202" t="s">
        <v>9537</v>
      </c>
      <c r="E96" s="202">
        <v>2000</v>
      </c>
      <c r="F96" s="77" t="s">
        <v>1</v>
      </c>
      <c r="G96" s="20">
        <f ca="1">HiddenImpacts!G90</f>
        <v>0</v>
      </c>
      <c r="H96" s="20">
        <f ca="1">MAX(HiddenImpacts!H90:L90)</f>
        <v>0</v>
      </c>
      <c r="I96" s="77" t="str">
        <f>HiddenImpacts!M90</f>
        <v>This cell intentionally left blank.</v>
      </c>
      <c r="J96" s="16" t="str">
        <f ca="1">HiddenImpacts!$N90</f>
        <v>Yes</v>
      </c>
      <c r="K96" s="115" t="str">
        <f ca="1">HiddenImpacts!$O90</f>
        <v>no additional steps required</v>
      </c>
    </row>
    <row r="97" spans="1:11" ht="29.25" customHeight="1" x14ac:dyDescent="0.2">
      <c r="A97" s="182" t="s">
        <v>3899</v>
      </c>
      <c r="B97" s="202" t="s">
        <v>262</v>
      </c>
      <c r="C97" s="211" t="s">
        <v>9310</v>
      </c>
      <c r="D97" s="202" t="s">
        <v>9537</v>
      </c>
      <c r="E97" s="202">
        <v>500</v>
      </c>
      <c r="F97" s="77" t="s">
        <v>1</v>
      </c>
      <c r="G97" s="20">
        <f>HiddenImpacts!G91</f>
        <v>0</v>
      </c>
      <c r="H97" s="20">
        <f>MAX(HiddenImpacts!H91:L91)</f>
        <v>0</v>
      </c>
      <c r="I97" s="77" t="str">
        <f>HiddenImpacts!M91</f>
        <v>This cell intentionally left blank.</v>
      </c>
      <c r="J97" s="16" t="str">
        <f>HiddenImpacts!$N91</f>
        <v>Yes</v>
      </c>
      <c r="K97" s="115" t="str">
        <f>HiddenImpacts!$O91</f>
        <v>no additional steps required</v>
      </c>
    </row>
    <row r="98" spans="1:11" ht="29.25" customHeight="1" x14ac:dyDescent="0.2">
      <c r="A98" s="182" t="s">
        <v>9542</v>
      </c>
      <c r="B98" s="202" t="s">
        <v>261</v>
      </c>
      <c r="C98" s="211" t="s">
        <v>9308</v>
      </c>
      <c r="D98" s="202" t="s">
        <v>9537</v>
      </c>
      <c r="E98" s="202">
        <v>7.5</v>
      </c>
      <c r="F98" s="77" t="s">
        <v>1</v>
      </c>
      <c r="G98" s="20">
        <f ca="1">HiddenImpacts!G92</f>
        <v>0</v>
      </c>
      <c r="H98" s="20">
        <f ca="1">MAX(HiddenImpacts!H92:L92)</f>
        <v>0</v>
      </c>
      <c r="I98" s="77" t="str">
        <f>HiddenImpacts!M92</f>
        <v>This cell intentionally left blank.</v>
      </c>
      <c r="J98" s="16" t="str">
        <f ca="1">HiddenImpacts!$N92</f>
        <v>Yes</v>
      </c>
      <c r="K98" s="115" t="str">
        <f ca="1">HiddenImpacts!$O92</f>
        <v>no additional steps required</v>
      </c>
    </row>
    <row r="99" spans="1:11" ht="29.25" customHeight="1" x14ac:dyDescent="0.2">
      <c r="A99" s="182" t="s">
        <v>9542</v>
      </c>
      <c r="B99" s="202" t="s">
        <v>261</v>
      </c>
      <c r="C99" s="211" t="s">
        <v>9540</v>
      </c>
      <c r="D99" s="202" t="s">
        <v>9537</v>
      </c>
      <c r="E99" s="202">
        <v>1</v>
      </c>
      <c r="F99" s="77" t="s">
        <v>1</v>
      </c>
      <c r="G99" s="77" t="str">
        <f>HiddenImpacts!G93</f>
        <v>This cell intentionally left blank.</v>
      </c>
      <c r="H99" s="20">
        <f>MAX(HiddenImpacts!H93:L93)</f>
        <v>0</v>
      </c>
      <c r="I99" s="16">
        <f ca="1">HiddenImpacts!M93</f>
        <v>0</v>
      </c>
      <c r="J99" s="16" t="str">
        <f ca="1">HiddenImpacts!$N93</f>
        <v>Yes</v>
      </c>
      <c r="K99" s="115" t="str">
        <f ca="1">HiddenImpacts!$O93</f>
        <v>no additional steps required</v>
      </c>
    </row>
    <row r="100" spans="1:11" ht="29.25" customHeight="1" x14ac:dyDescent="0.2">
      <c r="A100" s="182" t="s">
        <v>9542</v>
      </c>
      <c r="B100" s="202" t="s">
        <v>264</v>
      </c>
      <c r="C100" s="211" t="s">
        <v>9311</v>
      </c>
      <c r="D100" s="202" t="s">
        <v>9537</v>
      </c>
      <c r="E100" s="202">
        <v>5</v>
      </c>
      <c r="F100" s="77" t="s">
        <v>1</v>
      </c>
      <c r="G100" s="20">
        <f>HiddenImpacts!G94</f>
        <v>0</v>
      </c>
      <c r="H100" s="20">
        <f>MAX(HiddenImpacts!H94:L94)</f>
        <v>0</v>
      </c>
      <c r="I100" s="77" t="str">
        <f>HiddenImpacts!M94</f>
        <v>This cell intentionally left blank.</v>
      </c>
      <c r="J100" s="16" t="str">
        <f>HiddenImpacts!$N94</f>
        <v>Yes</v>
      </c>
      <c r="K100" s="115" t="str">
        <f>HiddenImpacts!$O94</f>
        <v>no additional steps required</v>
      </c>
    </row>
    <row r="101" spans="1:11" ht="29.25" customHeight="1" x14ac:dyDescent="0.2">
      <c r="A101" s="182" t="s">
        <v>9542</v>
      </c>
      <c r="B101" s="202" t="s">
        <v>265</v>
      </c>
      <c r="C101" s="202" t="s">
        <v>9311</v>
      </c>
      <c r="D101" s="202" t="s">
        <v>9537</v>
      </c>
      <c r="E101" s="202">
        <v>1.2</v>
      </c>
      <c r="F101" s="77" t="s">
        <v>1</v>
      </c>
      <c r="G101" s="20">
        <f>HiddenImpacts!G96</f>
        <v>0</v>
      </c>
      <c r="H101" s="20">
        <f>MAX(HiddenImpacts!H96:L96)</f>
        <v>0</v>
      </c>
      <c r="I101" s="77" t="str">
        <f>HiddenImpacts!M96</f>
        <v>This cell intentionally left blank.</v>
      </c>
      <c r="J101" s="16" t="str">
        <f>HiddenImpacts!$N96</f>
        <v>Yes</v>
      </c>
      <c r="K101" s="115" t="str">
        <f>HiddenImpacts!$O96</f>
        <v>no additional steps required</v>
      </c>
    </row>
    <row r="102" spans="1:11" ht="29.25" customHeight="1" x14ac:dyDescent="0.2">
      <c r="A102" s="182" t="s">
        <v>9542</v>
      </c>
      <c r="B102" s="202" t="s">
        <v>265</v>
      </c>
      <c r="C102" s="202" t="s">
        <v>9540</v>
      </c>
      <c r="D102" s="202" t="s">
        <v>9537</v>
      </c>
      <c r="E102" s="202">
        <v>0.2</v>
      </c>
      <c r="F102" s="77" t="s">
        <v>1</v>
      </c>
      <c r="G102" s="77" t="str">
        <f>HiddenImpacts!G97</f>
        <v>This cell intentionally left blank.</v>
      </c>
      <c r="H102" s="77" t="str">
        <f>HiddenImpacts!H97</f>
        <v>This cell intentionally left blank.</v>
      </c>
      <c r="I102" s="16">
        <f ca="1">HiddenImpacts!M97</f>
        <v>0</v>
      </c>
      <c r="J102" s="16" t="str">
        <f ca="1">HiddenImpacts!$N97</f>
        <v>Yes</v>
      </c>
      <c r="K102" s="115" t="str">
        <f ca="1">HiddenImpacts!$O97</f>
        <v>no additional steps required</v>
      </c>
    </row>
    <row r="103" spans="1:11" ht="29.25" customHeight="1" x14ac:dyDescent="0.2">
      <c r="A103" s="182" t="s">
        <v>7949</v>
      </c>
      <c r="B103" s="202" t="s">
        <v>266</v>
      </c>
      <c r="C103" s="202" t="s">
        <v>9541</v>
      </c>
      <c r="D103" s="202" t="s">
        <v>9538</v>
      </c>
      <c r="E103" s="202">
        <f>F103*0.02</f>
        <v>20.420000000000002</v>
      </c>
      <c r="F103" s="202">
        <f>IF(OR('PI-1-MarineLoading'!$D$73="JEFFERSON",'PI-1-MarineLoading'!$D$73="ORANGE"),817,IF(OR('PI-1-MarineLoading'!$D$73="GALVESTON",'PI-1-MarineLoading'!$D$73="HARRIS"),715,1021))</f>
        <v>1021</v>
      </c>
      <c r="G103" s="20">
        <f ca="1">HiddenImpacts!G98</f>
        <v>0</v>
      </c>
      <c r="H103" s="20">
        <f ca="1">MAX(HiddenImpacts!H98:L98)</f>
        <v>0</v>
      </c>
      <c r="I103" s="77" t="str">
        <f>HiddenImpacts!M98</f>
        <v>This cell intentionally left blank.</v>
      </c>
      <c r="J103" s="16" t="str">
        <f ca="1">HiddenImpacts!$N98</f>
        <v>Yes</v>
      </c>
      <c r="K103" s="115" t="str">
        <f ca="1">HiddenImpacts!$O98</f>
        <v>no additional steps required</v>
      </c>
    </row>
    <row r="104" spans="1:11" ht="29.25" customHeight="1" x14ac:dyDescent="0.2">
      <c r="A104" s="182" t="s">
        <v>7949</v>
      </c>
      <c r="B104" s="202" t="s">
        <v>266</v>
      </c>
      <c r="C104" s="202" t="s">
        <v>9308</v>
      </c>
      <c r="D104" s="202" t="s">
        <v>9537</v>
      </c>
      <c r="E104" s="202">
        <v>7.8</v>
      </c>
      <c r="F104" s="77" t="s">
        <v>1</v>
      </c>
      <c r="G104" s="20">
        <f ca="1">HiddenImpacts!G99</f>
        <v>0</v>
      </c>
      <c r="H104" s="20">
        <f ca="1">MAX(HiddenImpacts!H99:L99)</f>
        <v>0</v>
      </c>
      <c r="I104" s="77" t="str">
        <f>HiddenImpacts!M99</f>
        <v>This cell intentionally left blank.</v>
      </c>
      <c r="J104" s="16" t="str">
        <f ca="1">HiddenImpacts!$N99</f>
        <v>Yes</v>
      </c>
      <c r="K104" s="115" t="str">
        <f ca="1">HiddenImpacts!$O99</f>
        <v>no additional steps required</v>
      </c>
    </row>
    <row r="105" spans="1:11" ht="29.25" customHeight="1" x14ac:dyDescent="0.2">
      <c r="A105" s="182" t="s">
        <v>7949</v>
      </c>
      <c r="B105" s="202" t="s">
        <v>266</v>
      </c>
      <c r="C105" s="202" t="s">
        <v>9309</v>
      </c>
      <c r="D105" s="202" t="s">
        <v>9537</v>
      </c>
      <c r="E105" s="202">
        <v>25</v>
      </c>
      <c r="F105" s="77" t="s">
        <v>1</v>
      </c>
      <c r="G105" s="20">
        <f ca="1">HiddenImpacts!G100</f>
        <v>0</v>
      </c>
      <c r="H105" s="20">
        <f ca="1">MAX(HiddenImpacts!H100:L100)</f>
        <v>0</v>
      </c>
      <c r="I105" s="77" t="str">
        <f>HiddenImpacts!M100</f>
        <v>This cell intentionally left blank.</v>
      </c>
      <c r="J105" s="16" t="str">
        <f ca="1">HiddenImpacts!$N100</f>
        <v>Yes</v>
      </c>
      <c r="K105" s="115" t="str">
        <f ca="1">HiddenImpacts!$O100</f>
        <v>no additional steps required</v>
      </c>
    </row>
    <row r="106" spans="1:11" ht="29.25" customHeight="1" x14ac:dyDescent="0.2">
      <c r="A106" s="182" t="s">
        <v>7949</v>
      </c>
      <c r="B106" s="202" t="s">
        <v>266</v>
      </c>
      <c r="C106" s="202" t="s">
        <v>9311</v>
      </c>
      <c r="D106" s="202" t="s">
        <v>9537</v>
      </c>
      <c r="E106" s="202" t="str">
        <f>IF(OR('PI-1-MarineLoading'!$D$73="JEFFERSON",'PI-1-MarineLoading'!$D$73="ORANGE"),5,"SO2 NAAQS has been revoked for this county")</f>
        <v>SO2 NAAQS has been revoked for this county</v>
      </c>
      <c r="F106" s="77" t="s">
        <v>1</v>
      </c>
      <c r="G106" s="20">
        <f>HiddenImpacts!G101</f>
        <v>0</v>
      </c>
      <c r="H106" s="20">
        <f>MAX(HiddenImpacts!H101:L101)</f>
        <v>0</v>
      </c>
      <c r="I106" s="77" t="str">
        <f>HiddenImpacts!M101</f>
        <v>This cell intentionally left blank.</v>
      </c>
      <c r="J106" s="16" t="str">
        <f>HiddenImpacts!$N101</f>
        <v>Yes</v>
      </c>
      <c r="K106" s="115" t="str">
        <f>HiddenImpacts!$O101</f>
        <v>no additional steps required</v>
      </c>
    </row>
    <row r="107" spans="1:11" ht="29.25" customHeight="1" x14ac:dyDescent="0.2">
      <c r="A107" s="182" t="s">
        <v>7949</v>
      </c>
      <c r="B107" s="202" t="s">
        <v>266</v>
      </c>
      <c r="C107" s="202" t="s">
        <v>9540</v>
      </c>
      <c r="D107" s="202" t="s">
        <v>9537</v>
      </c>
      <c r="E107" s="202" t="str">
        <f>IF(OR('PI-1-MarineLoading'!$D$73="JEFFERSON",'PI-1-MarineLoading'!$D$73="ORANGE"),1,"SO2 NAAQS has been revoked for this county")</f>
        <v>SO2 NAAQS has been revoked for this county</v>
      </c>
      <c r="F107" s="77" t="s">
        <v>1</v>
      </c>
      <c r="G107" s="77" t="str">
        <f>HiddenImpacts!G102</f>
        <v>This cell intentionally left blank.</v>
      </c>
      <c r="H107" s="77" t="str">
        <f>HiddenImpacts!H102</f>
        <v>This cell intentionally left blank.</v>
      </c>
      <c r="I107" s="16">
        <f ca="1">HiddenImpacts!M102</f>
        <v>0</v>
      </c>
      <c r="J107" s="16" t="str">
        <f ca="1">HiddenImpacts!$N102</f>
        <v>Yes</v>
      </c>
      <c r="K107" s="115" t="str">
        <f ca="1">HiddenImpacts!$O102</f>
        <v>no additional steps required</v>
      </c>
    </row>
    <row r="108" spans="1:11" ht="29.25" customHeight="1" x14ac:dyDescent="0.2">
      <c r="A108" s="182" t="s">
        <v>5692</v>
      </c>
      <c r="B108" s="202" t="s">
        <v>267</v>
      </c>
      <c r="C108" s="202" t="s">
        <v>9541</v>
      </c>
      <c r="D108" s="202" t="s">
        <v>9538</v>
      </c>
      <c r="E108" s="202">
        <f>F108*0.02</f>
        <v>2.16</v>
      </c>
      <c r="F108" s="202">
        <f>IF('PI-1-MarineLoading'!$D$84="non-industrial",162,108)</f>
        <v>108</v>
      </c>
      <c r="G108" s="20">
        <f ca="1">HiddenImpacts!G103</f>
        <v>0</v>
      </c>
      <c r="H108" s="20">
        <f ca="1">MAX(HiddenImpacts!H103:L103)</f>
        <v>0</v>
      </c>
      <c r="I108" s="77" t="str">
        <f>HiddenImpacts!M103</f>
        <v>This cell intentionally left blank.</v>
      </c>
      <c r="J108" s="16" t="str">
        <f ca="1">HiddenImpacts!$N103</f>
        <v>Yes</v>
      </c>
      <c r="K108" s="115" t="str">
        <f ca="1">HiddenImpacts!$O103</f>
        <v>no additional steps required</v>
      </c>
    </row>
    <row r="109" spans="1:11" ht="29.25" customHeight="1" x14ac:dyDescent="0.2">
      <c r="A109" s="182" t="s">
        <v>7963</v>
      </c>
      <c r="B109" s="202" t="s">
        <v>9092</v>
      </c>
      <c r="C109" s="202" t="s">
        <v>9308</v>
      </c>
      <c r="D109" s="202" t="s">
        <v>9538</v>
      </c>
      <c r="E109" s="202">
        <f>F109*0.02</f>
        <v>1</v>
      </c>
      <c r="F109" s="202">
        <v>50</v>
      </c>
      <c r="G109" s="20">
        <f>HiddenImpacts!G104</f>
        <v>0</v>
      </c>
      <c r="H109" s="20">
        <f>MAX(HiddenImpacts!H104:L104)</f>
        <v>0</v>
      </c>
      <c r="I109" s="77" t="str">
        <f>HiddenImpacts!M104</f>
        <v>This cell intentionally left blank.</v>
      </c>
      <c r="J109" s="16" t="str">
        <f>HiddenImpacts!$N104</f>
        <v>Yes</v>
      </c>
      <c r="K109" s="115" t="str">
        <f>HiddenImpacts!$O104</f>
        <v>no additional steps required</v>
      </c>
    </row>
    <row r="110" spans="1:11" ht="29.25" customHeight="1" thickBot="1" x14ac:dyDescent="0.25">
      <c r="A110" s="328" t="s">
        <v>7963</v>
      </c>
      <c r="B110" s="28" t="s">
        <v>9092</v>
      </c>
      <c r="C110" s="329" t="s">
        <v>9311</v>
      </c>
      <c r="D110" s="28" t="s">
        <v>9538</v>
      </c>
      <c r="E110" s="329">
        <f>F110*0.02</f>
        <v>0.3</v>
      </c>
      <c r="F110" s="329">
        <v>15</v>
      </c>
      <c r="G110" s="84">
        <f>HiddenImpacts!G105</f>
        <v>0</v>
      </c>
      <c r="H110" s="84">
        <f>MAX(HiddenImpacts!H105:L105)</f>
        <v>0</v>
      </c>
      <c r="I110" s="78" t="str">
        <f>HiddenImpacts!M105</f>
        <v>This cell intentionally left blank.</v>
      </c>
      <c r="J110" s="28" t="str">
        <f>HiddenImpacts!$N105</f>
        <v>Yes</v>
      </c>
      <c r="K110" s="201" t="str">
        <f>HiddenImpacts!$O105</f>
        <v>no additional steps required</v>
      </c>
    </row>
    <row r="111" spans="1:11" ht="15" customHeight="1" thickBot="1" x14ac:dyDescent="0.25">
      <c r="A111" s="1024" t="s">
        <v>10177</v>
      </c>
      <c r="B111" s="1025"/>
      <c r="C111" s="1025"/>
      <c r="D111" s="1025"/>
      <c r="E111" s="1025"/>
      <c r="F111" s="1025"/>
      <c r="G111" s="1025"/>
      <c r="H111" s="1025"/>
      <c r="I111" s="1025"/>
      <c r="J111" s="1025"/>
      <c r="K111" s="1026"/>
    </row>
    <row r="112" spans="1:11" ht="15" customHeight="1" thickBot="1" x14ac:dyDescent="0.25">
      <c r="A112" s="1002" t="s">
        <v>1</v>
      </c>
      <c r="B112" s="1003"/>
      <c r="C112" s="1003"/>
      <c r="D112" s="1003"/>
      <c r="E112" s="1003"/>
      <c r="F112" s="1003"/>
      <c r="G112" s="1003"/>
      <c r="H112" s="1003"/>
      <c r="I112" s="1003"/>
      <c r="J112" s="1003"/>
      <c r="K112" s="1003"/>
    </row>
    <row r="113" spans="1:11" ht="15.75" thickBot="1" x14ac:dyDescent="0.25">
      <c r="A113" s="479" t="s">
        <v>10064</v>
      </c>
      <c r="B113" s="479"/>
      <c r="C113" s="479"/>
      <c r="D113" s="479"/>
      <c r="E113" s="479"/>
      <c r="F113" s="479"/>
      <c r="G113" s="479"/>
      <c r="H113" s="479"/>
      <c r="I113" s="479"/>
      <c r="J113" s="479"/>
      <c r="K113" s="479"/>
    </row>
    <row r="114" spans="1:11" ht="90" customHeight="1" x14ac:dyDescent="0.2">
      <c r="A114" s="330" t="s">
        <v>233</v>
      </c>
      <c r="B114" s="855" t="s">
        <v>9203</v>
      </c>
      <c r="C114" s="962"/>
      <c r="D114" s="962"/>
      <c r="E114" s="856"/>
      <c r="F114" s="792" t="s">
        <v>10854</v>
      </c>
      <c r="G114" s="793"/>
      <c r="H114" s="792" t="s">
        <v>10855</v>
      </c>
      <c r="I114" s="793"/>
      <c r="J114" s="855" t="s">
        <v>10856</v>
      </c>
      <c r="K114" s="915"/>
    </row>
    <row r="115" spans="1:11" ht="14.25" customHeight="1" x14ac:dyDescent="0.2">
      <c r="A115" s="9" t="str">
        <f>HiddenImpacts!$A111</f>
        <v/>
      </c>
      <c r="B115" s="933" t="str">
        <f>HiddenImpacts!$B111</f>
        <v/>
      </c>
      <c r="C115" s="647"/>
      <c r="D115" s="647"/>
      <c r="E115" s="648"/>
      <c r="F115" s="689">
        <f>HiddenImpacts!$I111</f>
        <v>0</v>
      </c>
      <c r="G115" s="758"/>
      <c r="H115" s="689">
        <f>MAX(HiddenImpacts!$J111:$N111)</f>
        <v>0</v>
      </c>
      <c r="I115" s="758"/>
      <c r="J115" s="998">
        <f>HiddenImpacts!$O111</f>
        <v>0</v>
      </c>
      <c r="K115" s="999"/>
    </row>
    <row r="116" spans="1:11" x14ac:dyDescent="0.2">
      <c r="A116" s="9" t="str">
        <f>HiddenImpacts!$A112</f>
        <v/>
      </c>
      <c r="B116" s="933" t="str">
        <f>HiddenImpacts!$B112</f>
        <v/>
      </c>
      <c r="C116" s="647"/>
      <c r="D116" s="647"/>
      <c r="E116" s="648"/>
      <c r="F116" s="689">
        <f>HiddenImpacts!$I112</f>
        <v>0</v>
      </c>
      <c r="G116" s="758"/>
      <c r="H116" s="689">
        <f>MAX(HiddenImpacts!$J112:$N112)</f>
        <v>0</v>
      </c>
      <c r="I116" s="758"/>
      <c r="J116" s="998">
        <f>HiddenImpacts!$O112</f>
        <v>0</v>
      </c>
      <c r="K116" s="999"/>
    </row>
    <row r="117" spans="1:11" x14ac:dyDescent="0.2">
      <c r="A117" s="9" t="str">
        <f>HiddenImpacts!$A113</f>
        <v/>
      </c>
      <c r="B117" s="933" t="str">
        <f>HiddenImpacts!$B113</f>
        <v/>
      </c>
      <c r="C117" s="647"/>
      <c r="D117" s="647"/>
      <c r="E117" s="648"/>
      <c r="F117" s="689">
        <f>HiddenImpacts!$I113</f>
        <v>0</v>
      </c>
      <c r="G117" s="758"/>
      <c r="H117" s="689">
        <f>MAX(HiddenImpacts!$J113:$N113)</f>
        <v>0</v>
      </c>
      <c r="I117" s="758"/>
      <c r="J117" s="998">
        <f>HiddenImpacts!$O113</f>
        <v>0</v>
      </c>
      <c r="K117" s="999"/>
    </row>
    <row r="118" spans="1:11" ht="14.25" customHeight="1" x14ac:dyDescent="0.2">
      <c r="A118" s="9" t="str">
        <f>HiddenImpacts!$A114</f>
        <v/>
      </c>
      <c r="B118" s="933" t="str">
        <f>HiddenImpacts!$B114</f>
        <v/>
      </c>
      <c r="C118" s="647"/>
      <c r="D118" s="647"/>
      <c r="E118" s="648"/>
      <c r="F118" s="689">
        <f>HiddenImpacts!$I114</f>
        <v>0</v>
      </c>
      <c r="G118" s="758"/>
      <c r="H118" s="689">
        <f>MAX(HiddenImpacts!$J114:$N114)</f>
        <v>0</v>
      </c>
      <c r="I118" s="758"/>
      <c r="J118" s="998">
        <f>HiddenImpacts!$O114</f>
        <v>0</v>
      </c>
      <c r="K118" s="999"/>
    </row>
    <row r="119" spans="1:11" x14ac:dyDescent="0.2">
      <c r="A119" s="9" t="str">
        <f>HiddenImpacts!$A115</f>
        <v/>
      </c>
      <c r="B119" s="933" t="str">
        <f>HiddenImpacts!$B115</f>
        <v/>
      </c>
      <c r="C119" s="647"/>
      <c r="D119" s="647"/>
      <c r="E119" s="648"/>
      <c r="F119" s="689">
        <f>HiddenImpacts!$I115</f>
        <v>0</v>
      </c>
      <c r="G119" s="758"/>
      <c r="H119" s="689">
        <f>MAX(HiddenImpacts!$J115:$N115)</f>
        <v>0</v>
      </c>
      <c r="I119" s="758"/>
      <c r="J119" s="998">
        <f>HiddenImpacts!$O115</f>
        <v>0</v>
      </c>
      <c r="K119" s="999"/>
    </row>
    <row r="120" spans="1:11" x14ac:dyDescent="0.2">
      <c r="A120" s="9" t="str">
        <f>HiddenImpacts!$A116</f>
        <v/>
      </c>
      <c r="B120" s="933" t="str">
        <f>HiddenImpacts!$B116</f>
        <v/>
      </c>
      <c r="C120" s="647"/>
      <c r="D120" s="647"/>
      <c r="E120" s="648"/>
      <c r="F120" s="689">
        <f>HiddenImpacts!$I116</f>
        <v>0</v>
      </c>
      <c r="G120" s="758"/>
      <c r="H120" s="689">
        <f>MAX(HiddenImpacts!$J116:$N116)</f>
        <v>0</v>
      </c>
      <c r="I120" s="758"/>
      <c r="J120" s="998">
        <f>HiddenImpacts!$O116</f>
        <v>0</v>
      </c>
      <c r="K120" s="999"/>
    </row>
    <row r="121" spans="1:11" x14ac:dyDescent="0.2">
      <c r="A121" s="9" t="str">
        <f>HiddenImpacts!$A117</f>
        <v/>
      </c>
      <c r="B121" s="933" t="str">
        <f>HiddenImpacts!$B117</f>
        <v/>
      </c>
      <c r="C121" s="647"/>
      <c r="D121" s="647"/>
      <c r="E121" s="648"/>
      <c r="F121" s="689">
        <f>HiddenImpacts!$I117</f>
        <v>0</v>
      </c>
      <c r="G121" s="758"/>
      <c r="H121" s="689">
        <f>MAX(HiddenImpacts!$J117:$N117)</f>
        <v>0</v>
      </c>
      <c r="I121" s="758"/>
      <c r="J121" s="998">
        <f>HiddenImpacts!$O117</f>
        <v>0</v>
      </c>
      <c r="K121" s="999"/>
    </row>
    <row r="122" spans="1:11" x14ac:dyDescent="0.2">
      <c r="A122" s="9" t="str">
        <f>HiddenImpacts!$A118</f>
        <v/>
      </c>
      <c r="B122" s="933" t="str">
        <f>HiddenImpacts!$B118</f>
        <v/>
      </c>
      <c r="C122" s="647"/>
      <c r="D122" s="647"/>
      <c r="E122" s="648"/>
      <c r="F122" s="689">
        <f>HiddenImpacts!$I118</f>
        <v>0</v>
      </c>
      <c r="G122" s="758"/>
      <c r="H122" s="689">
        <f>MAX(HiddenImpacts!$J118:$N118)</f>
        <v>0</v>
      </c>
      <c r="I122" s="758"/>
      <c r="J122" s="998">
        <f>HiddenImpacts!$O118</f>
        <v>0</v>
      </c>
      <c r="K122" s="999"/>
    </row>
    <row r="123" spans="1:11" x14ac:dyDescent="0.2">
      <c r="A123" s="9" t="str">
        <f>HiddenImpacts!$A119</f>
        <v/>
      </c>
      <c r="B123" s="933" t="str">
        <f>HiddenImpacts!$B119</f>
        <v/>
      </c>
      <c r="C123" s="647"/>
      <c r="D123" s="647"/>
      <c r="E123" s="648"/>
      <c r="F123" s="689">
        <f>HiddenImpacts!$I119</f>
        <v>0</v>
      </c>
      <c r="G123" s="758"/>
      <c r="H123" s="689">
        <f>MAX(HiddenImpacts!$J119:$N119)</f>
        <v>0</v>
      </c>
      <c r="I123" s="758"/>
      <c r="J123" s="998">
        <f>HiddenImpacts!$O119</f>
        <v>0</v>
      </c>
      <c r="K123" s="999"/>
    </row>
    <row r="124" spans="1:11" ht="14.25" customHeight="1" x14ac:dyDescent="0.2">
      <c r="A124" s="9" t="str">
        <f>HiddenImpacts!$A120</f>
        <v/>
      </c>
      <c r="B124" s="933" t="str">
        <f>HiddenImpacts!$B120</f>
        <v/>
      </c>
      <c r="C124" s="647"/>
      <c r="D124" s="647"/>
      <c r="E124" s="648"/>
      <c r="F124" s="689">
        <f>HiddenImpacts!$I120</f>
        <v>0</v>
      </c>
      <c r="G124" s="758"/>
      <c r="H124" s="689">
        <f>MAX(HiddenImpacts!$J120:$N120)</f>
        <v>0</v>
      </c>
      <c r="I124" s="758"/>
      <c r="J124" s="998">
        <f>HiddenImpacts!$O120</f>
        <v>0</v>
      </c>
      <c r="K124" s="999"/>
    </row>
    <row r="125" spans="1:11" ht="14.25" customHeight="1" x14ac:dyDescent="0.2">
      <c r="A125" s="9" t="str">
        <f>HiddenImpacts!$A121</f>
        <v/>
      </c>
      <c r="B125" s="933" t="str">
        <f>HiddenImpacts!$B121</f>
        <v/>
      </c>
      <c r="C125" s="647"/>
      <c r="D125" s="647"/>
      <c r="E125" s="648"/>
      <c r="F125" s="689">
        <f>HiddenImpacts!$I121</f>
        <v>0</v>
      </c>
      <c r="G125" s="758"/>
      <c r="H125" s="689">
        <f>MAX(HiddenImpacts!$J121:$N121)</f>
        <v>0</v>
      </c>
      <c r="I125" s="758"/>
      <c r="J125" s="998">
        <f>HiddenImpacts!$O121</f>
        <v>0</v>
      </c>
      <c r="K125" s="999"/>
    </row>
    <row r="126" spans="1:11" ht="14.25" customHeight="1" x14ac:dyDescent="0.2">
      <c r="A126" s="9" t="str">
        <f>HiddenImpacts!$A122</f>
        <v/>
      </c>
      <c r="B126" s="933" t="str">
        <f>HiddenImpacts!$B122</f>
        <v/>
      </c>
      <c r="C126" s="647"/>
      <c r="D126" s="647"/>
      <c r="E126" s="648"/>
      <c r="F126" s="689">
        <f>HiddenImpacts!$I122</f>
        <v>0</v>
      </c>
      <c r="G126" s="758"/>
      <c r="H126" s="689">
        <f>MAX(HiddenImpacts!$J122:$N122)</f>
        <v>0</v>
      </c>
      <c r="I126" s="758"/>
      <c r="J126" s="998">
        <f>HiddenImpacts!$O122</f>
        <v>0</v>
      </c>
      <c r="K126" s="999"/>
    </row>
    <row r="127" spans="1:11" x14ac:dyDescent="0.2">
      <c r="A127" s="9" t="str">
        <f>HiddenImpacts!$A123</f>
        <v/>
      </c>
      <c r="B127" s="933" t="str">
        <f>HiddenImpacts!$B123</f>
        <v/>
      </c>
      <c r="C127" s="647"/>
      <c r="D127" s="647"/>
      <c r="E127" s="648"/>
      <c r="F127" s="689">
        <f>HiddenImpacts!$I123</f>
        <v>0</v>
      </c>
      <c r="G127" s="758"/>
      <c r="H127" s="689">
        <f>MAX(HiddenImpacts!$J123:$N123)</f>
        <v>0</v>
      </c>
      <c r="I127" s="758"/>
      <c r="J127" s="998">
        <f>HiddenImpacts!$O123</f>
        <v>0</v>
      </c>
      <c r="K127" s="999"/>
    </row>
    <row r="128" spans="1:11" x14ac:dyDescent="0.2">
      <c r="A128" s="9" t="str">
        <f>HiddenImpacts!$A124</f>
        <v/>
      </c>
      <c r="B128" s="933" t="str">
        <f>HiddenImpacts!$B124</f>
        <v/>
      </c>
      <c r="C128" s="647"/>
      <c r="D128" s="647"/>
      <c r="E128" s="648"/>
      <c r="F128" s="689">
        <f>HiddenImpacts!$I124</f>
        <v>0</v>
      </c>
      <c r="G128" s="758"/>
      <c r="H128" s="689">
        <f>MAX(HiddenImpacts!$J124:$N124)</f>
        <v>0</v>
      </c>
      <c r="I128" s="758"/>
      <c r="J128" s="998">
        <f>HiddenImpacts!$O124</f>
        <v>0</v>
      </c>
      <c r="K128" s="999"/>
    </row>
    <row r="129" spans="1:11" x14ac:dyDescent="0.2">
      <c r="A129" s="9" t="str">
        <f>HiddenImpacts!$A125</f>
        <v/>
      </c>
      <c r="B129" s="933" t="str">
        <f>HiddenImpacts!$B125</f>
        <v/>
      </c>
      <c r="C129" s="647"/>
      <c r="D129" s="647"/>
      <c r="E129" s="648"/>
      <c r="F129" s="689">
        <f>HiddenImpacts!$I125</f>
        <v>0</v>
      </c>
      <c r="G129" s="758"/>
      <c r="H129" s="689">
        <f>MAX(HiddenImpacts!$J125:$N125)</f>
        <v>0</v>
      </c>
      <c r="I129" s="758"/>
      <c r="J129" s="998">
        <f>HiddenImpacts!$O125</f>
        <v>0</v>
      </c>
      <c r="K129" s="999"/>
    </row>
    <row r="130" spans="1:11" x14ac:dyDescent="0.2">
      <c r="A130" s="9" t="str">
        <f>HiddenImpacts!$A126</f>
        <v/>
      </c>
      <c r="B130" s="933" t="str">
        <f>HiddenImpacts!$B126</f>
        <v/>
      </c>
      <c r="C130" s="647"/>
      <c r="D130" s="647"/>
      <c r="E130" s="648"/>
      <c r="F130" s="689">
        <f>HiddenImpacts!$I126</f>
        <v>0</v>
      </c>
      <c r="G130" s="758"/>
      <c r="H130" s="689">
        <f>MAX(HiddenImpacts!$J126:$N126)</f>
        <v>0</v>
      </c>
      <c r="I130" s="758"/>
      <c r="J130" s="998">
        <f>HiddenImpacts!$O126</f>
        <v>0</v>
      </c>
      <c r="K130" s="999"/>
    </row>
    <row r="131" spans="1:11" x14ac:dyDescent="0.2">
      <c r="A131" s="9" t="str">
        <f>HiddenImpacts!$A127</f>
        <v/>
      </c>
      <c r="B131" s="933" t="str">
        <f>HiddenImpacts!$B127</f>
        <v/>
      </c>
      <c r="C131" s="647"/>
      <c r="D131" s="647"/>
      <c r="E131" s="648"/>
      <c r="F131" s="689">
        <f>HiddenImpacts!$I127</f>
        <v>0</v>
      </c>
      <c r="G131" s="758"/>
      <c r="H131" s="689">
        <f>MAX(HiddenImpacts!$J127:$N127)</f>
        <v>0</v>
      </c>
      <c r="I131" s="758"/>
      <c r="J131" s="998">
        <f>HiddenImpacts!$O127</f>
        <v>0</v>
      </c>
      <c r="K131" s="999"/>
    </row>
    <row r="132" spans="1:11" x14ac:dyDescent="0.2">
      <c r="A132" s="9" t="str">
        <f>HiddenImpacts!$A128</f>
        <v/>
      </c>
      <c r="B132" s="933" t="str">
        <f>HiddenImpacts!$B128</f>
        <v/>
      </c>
      <c r="C132" s="647"/>
      <c r="D132" s="647"/>
      <c r="E132" s="648"/>
      <c r="F132" s="689">
        <f>HiddenImpacts!$I128</f>
        <v>0</v>
      </c>
      <c r="G132" s="758"/>
      <c r="H132" s="689">
        <f>MAX(HiddenImpacts!$J128:$N128)</f>
        <v>0</v>
      </c>
      <c r="I132" s="758"/>
      <c r="J132" s="998">
        <f>HiddenImpacts!$O128</f>
        <v>0</v>
      </c>
      <c r="K132" s="999"/>
    </row>
    <row r="133" spans="1:11" x14ac:dyDescent="0.2">
      <c r="A133" s="9" t="str">
        <f>HiddenImpacts!$A129</f>
        <v/>
      </c>
      <c r="B133" s="933" t="str">
        <f>HiddenImpacts!$B129</f>
        <v/>
      </c>
      <c r="C133" s="647"/>
      <c r="D133" s="647"/>
      <c r="E133" s="648"/>
      <c r="F133" s="689">
        <f>HiddenImpacts!$I129</f>
        <v>0</v>
      </c>
      <c r="G133" s="758"/>
      <c r="H133" s="689">
        <f>MAX(HiddenImpacts!$J129:$N129)</f>
        <v>0</v>
      </c>
      <c r="I133" s="758"/>
      <c r="J133" s="998">
        <f>HiddenImpacts!$O129</f>
        <v>0</v>
      </c>
      <c r="K133" s="999"/>
    </row>
    <row r="134" spans="1:11" x14ac:dyDescent="0.2">
      <c r="A134" s="9" t="str">
        <f>HiddenImpacts!$A130</f>
        <v/>
      </c>
      <c r="B134" s="933" t="str">
        <f>HiddenImpacts!$B130</f>
        <v/>
      </c>
      <c r="C134" s="647"/>
      <c r="D134" s="647"/>
      <c r="E134" s="648"/>
      <c r="F134" s="689">
        <f>HiddenImpacts!$I130</f>
        <v>0</v>
      </c>
      <c r="G134" s="758"/>
      <c r="H134" s="689">
        <f>MAX(HiddenImpacts!$J130:$N130)</f>
        <v>0</v>
      </c>
      <c r="I134" s="758"/>
      <c r="J134" s="998">
        <f>HiddenImpacts!$O130</f>
        <v>0</v>
      </c>
      <c r="K134" s="999"/>
    </row>
    <row r="135" spans="1:11" x14ac:dyDescent="0.2">
      <c r="A135" s="9" t="str">
        <f>HiddenImpacts!$A131</f>
        <v/>
      </c>
      <c r="B135" s="933" t="str">
        <f>HiddenImpacts!$B131</f>
        <v/>
      </c>
      <c r="C135" s="647"/>
      <c r="D135" s="647"/>
      <c r="E135" s="648"/>
      <c r="F135" s="689">
        <f>HiddenImpacts!$I131</f>
        <v>0</v>
      </c>
      <c r="G135" s="758"/>
      <c r="H135" s="689">
        <f>MAX(HiddenImpacts!$J131:$N131)</f>
        <v>0</v>
      </c>
      <c r="I135" s="758"/>
      <c r="J135" s="998">
        <f>HiddenImpacts!$O131</f>
        <v>0</v>
      </c>
      <c r="K135" s="999"/>
    </row>
    <row r="136" spans="1:11" x14ac:dyDescent="0.2">
      <c r="A136" s="9" t="str">
        <f>HiddenImpacts!$A132</f>
        <v/>
      </c>
      <c r="B136" s="933" t="str">
        <f>HiddenImpacts!$B132</f>
        <v/>
      </c>
      <c r="C136" s="647"/>
      <c r="D136" s="647"/>
      <c r="E136" s="648"/>
      <c r="F136" s="689">
        <f>HiddenImpacts!$I132</f>
        <v>0</v>
      </c>
      <c r="G136" s="758"/>
      <c r="H136" s="689">
        <f>MAX(HiddenImpacts!$J132:$N132)</f>
        <v>0</v>
      </c>
      <c r="I136" s="758"/>
      <c r="J136" s="998">
        <f>HiddenImpacts!$O132</f>
        <v>0</v>
      </c>
      <c r="K136" s="999"/>
    </row>
    <row r="137" spans="1:11" x14ac:dyDescent="0.2">
      <c r="A137" s="9" t="str">
        <f>HiddenImpacts!$A133</f>
        <v/>
      </c>
      <c r="B137" s="933" t="str">
        <f>HiddenImpacts!$B133</f>
        <v/>
      </c>
      <c r="C137" s="647"/>
      <c r="D137" s="647"/>
      <c r="E137" s="648"/>
      <c r="F137" s="689">
        <f>HiddenImpacts!$I133</f>
        <v>0</v>
      </c>
      <c r="G137" s="758"/>
      <c r="H137" s="689">
        <f>MAX(HiddenImpacts!$J133:$N133)</f>
        <v>0</v>
      </c>
      <c r="I137" s="758"/>
      <c r="J137" s="998">
        <f>HiddenImpacts!$O133</f>
        <v>0</v>
      </c>
      <c r="K137" s="999"/>
    </row>
    <row r="138" spans="1:11" x14ac:dyDescent="0.2">
      <c r="A138" s="9" t="str">
        <f>HiddenImpacts!$A134</f>
        <v/>
      </c>
      <c r="B138" s="933" t="str">
        <f>HiddenImpacts!$B134</f>
        <v/>
      </c>
      <c r="C138" s="647"/>
      <c r="D138" s="647"/>
      <c r="E138" s="648"/>
      <c r="F138" s="689">
        <f>HiddenImpacts!$I134</f>
        <v>0</v>
      </c>
      <c r="G138" s="758"/>
      <c r="H138" s="689">
        <f>MAX(HiddenImpacts!$J134:$N134)</f>
        <v>0</v>
      </c>
      <c r="I138" s="758"/>
      <c r="J138" s="998">
        <f>HiddenImpacts!$O134</f>
        <v>0</v>
      </c>
      <c r="K138" s="999"/>
    </row>
    <row r="139" spans="1:11" x14ac:dyDescent="0.2">
      <c r="A139" s="9" t="str">
        <f>HiddenImpacts!$A135</f>
        <v/>
      </c>
      <c r="B139" s="933" t="str">
        <f>HiddenImpacts!$B135</f>
        <v/>
      </c>
      <c r="C139" s="647"/>
      <c r="D139" s="647"/>
      <c r="E139" s="648"/>
      <c r="F139" s="689">
        <f>HiddenImpacts!$I135</f>
        <v>0</v>
      </c>
      <c r="G139" s="758"/>
      <c r="H139" s="689">
        <f>MAX(HiddenImpacts!$J135:$N135)</f>
        <v>0</v>
      </c>
      <c r="I139" s="758"/>
      <c r="J139" s="998">
        <f>HiddenImpacts!$O135</f>
        <v>0</v>
      </c>
      <c r="K139" s="999"/>
    </row>
    <row r="140" spans="1:11" x14ac:dyDescent="0.2">
      <c r="A140" s="9" t="str">
        <f>HiddenImpacts!$A136</f>
        <v/>
      </c>
      <c r="B140" s="933" t="str">
        <f>HiddenImpacts!$B136</f>
        <v/>
      </c>
      <c r="C140" s="647"/>
      <c r="D140" s="647"/>
      <c r="E140" s="648"/>
      <c r="F140" s="689">
        <f>HiddenImpacts!$I136</f>
        <v>0</v>
      </c>
      <c r="G140" s="758"/>
      <c r="H140" s="689">
        <f>MAX(HiddenImpacts!$J136:$N136)</f>
        <v>0</v>
      </c>
      <c r="I140" s="758"/>
      <c r="J140" s="998">
        <f>HiddenImpacts!$O136</f>
        <v>0</v>
      </c>
      <c r="K140" s="999"/>
    </row>
    <row r="141" spans="1:11" x14ac:dyDescent="0.2">
      <c r="A141" s="9" t="str">
        <f>HiddenImpacts!$A137</f>
        <v/>
      </c>
      <c r="B141" s="933" t="str">
        <f>HiddenImpacts!$B137</f>
        <v/>
      </c>
      <c r="C141" s="647"/>
      <c r="D141" s="647"/>
      <c r="E141" s="648"/>
      <c r="F141" s="689">
        <f>HiddenImpacts!$I137</f>
        <v>0</v>
      </c>
      <c r="G141" s="758"/>
      <c r="H141" s="689">
        <f>MAX(HiddenImpacts!$J137:$N137)</f>
        <v>0</v>
      </c>
      <c r="I141" s="758"/>
      <c r="J141" s="998">
        <f>HiddenImpacts!$O137</f>
        <v>0</v>
      </c>
      <c r="K141" s="999"/>
    </row>
    <row r="142" spans="1:11" x14ac:dyDescent="0.2">
      <c r="A142" s="9" t="str">
        <f>HiddenImpacts!$A138</f>
        <v/>
      </c>
      <c r="B142" s="933" t="str">
        <f>HiddenImpacts!$B138</f>
        <v/>
      </c>
      <c r="C142" s="647"/>
      <c r="D142" s="647"/>
      <c r="E142" s="648"/>
      <c r="F142" s="689">
        <f>HiddenImpacts!$I138</f>
        <v>0</v>
      </c>
      <c r="G142" s="758"/>
      <c r="H142" s="689">
        <f>MAX(HiddenImpacts!$J138:$N138)</f>
        <v>0</v>
      </c>
      <c r="I142" s="758"/>
      <c r="J142" s="998">
        <f>HiddenImpacts!$O138</f>
        <v>0</v>
      </c>
      <c r="K142" s="999"/>
    </row>
    <row r="143" spans="1:11" x14ac:dyDescent="0.2">
      <c r="A143" s="9" t="str">
        <f>HiddenImpacts!$A139</f>
        <v/>
      </c>
      <c r="B143" s="933" t="str">
        <f>HiddenImpacts!$B139</f>
        <v/>
      </c>
      <c r="C143" s="647"/>
      <c r="D143" s="647"/>
      <c r="E143" s="648"/>
      <c r="F143" s="689">
        <f>HiddenImpacts!$I139</f>
        <v>0</v>
      </c>
      <c r="G143" s="758"/>
      <c r="H143" s="689">
        <f>MAX(HiddenImpacts!$J139:$N139)</f>
        <v>0</v>
      </c>
      <c r="I143" s="758"/>
      <c r="J143" s="998">
        <f>HiddenImpacts!$O139</f>
        <v>0</v>
      </c>
      <c r="K143" s="999"/>
    </row>
    <row r="144" spans="1:11" x14ac:dyDescent="0.2">
      <c r="A144" s="9" t="str">
        <f>HiddenImpacts!$A140</f>
        <v/>
      </c>
      <c r="B144" s="933" t="str">
        <f>HiddenImpacts!$B140</f>
        <v/>
      </c>
      <c r="C144" s="647"/>
      <c r="D144" s="647"/>
      <c r="E144" s="648"/>
      <c r="F144" s="689">
        <f>HiddenImpacts!$I140</f>
        <v>0</v>
      </c>
      <c r="G144" s="758"/>
      <c r="H144" s="689">
        <f>MAX(HiddenImpacts!$J140:$N140)</f>
        <v>0</v>
      </c>
      <c r="I144" s="758"/>
      <c r="J144" s="998">
        <f>HiddenImpacts!$O140</f>
        <v>0</v>
      </c>
      <c r="K144" s="999"/>
    </row>
    <row r="145" spans="1:11" x14ac:dyDescent="0.2">
      <c r="A145" s="9" t="str">
        <f>HiddenImpacts!$A141</f>
        <v/>
      </c>
      <c r="B145" s="933" t="str">
        <f>HiddenImpacts!$B141</f>
        <v/>
      </c>
      <c r="C145" s="647"/>
      <c r="D145" s="647"/>
      <c r="E145" s="648"/>
      <c r="F145" s="689">
        <f>HiddenImpacts!$I141</f>
        <v>0</v>
      </c>
      <c r="G145" s="758"/>
      <c r="H145" s="689">
        <f>MAX(HiddenImpacts!$J141:$N141)</f>
        <v>0</v>
      </c>
      <c r="I145" s="758"/>
      <c r="J145" s="998">
        <f>HiddenImpacts!$O141</f>
        <v>0</v>
      </c>
      <c r="K145" s="999"/>
    </row>
    <row r="146" spans="1:11" x14ac:dyDescent="0.2">
      <c r="A146" s="9" t="str">
        <f>HiddenImpacts!$A142</f>
        <v/>
      </c>
      <c r="B146" s="933" t="str">
        <f>HiddenImpacts!$B142</f>
        <v/>
      </c>
      <c r="C146" s="647"/>
      <c r="D146" s="647"/>
      <c r="E146" s="648"/>
      <c r="F146" s="689">
        <f>HiddenImpacts!$I142</f>
        <v>0</v>
      </c>
      <c r="G146" s="758"/>
      <c r="H146" s="689">
        <f>MAX(HiddenImpacts!$J142:$N142)</f>
        <v>0</v>
      </c>
      <c r="I146" s="758"/>
      <c r="J146" s="998">
        <f>HiddenImpacts!$O142</f>
        <v>0</v>
      </c>
      <c r="K146" s="999"/>
    </row>
    <row r="147" spans="1:11" x14ac:dyDescent="0.2">
      <c r="A147" s="9" t="str">
        <f>HiddenImpacts!$A143</f>
        <v/>
      </c>
      <c r="B147" s="933" t="str">
        <f>HiddenImpacts!$B143</f>
        <v/>
      </c>
      <c r="C147" s="647"/>
      <c r="D147" s="647"/>
      <c r="E147" s="648"/>
      <c r="F147" s="689">
        <f>HiddenImpacts!$I143</f>
        <v>0</v>
      </c>
      <c r="G147" s="758"/>
      <c r="H147" s="689">
        <f>MAX(HiddenImpacts!$J143:$N143)</f>
        <v>0</v>
      </c>
      <c r="I147" s="758"/>
      <c r="J147" s="998">
        <f>HiddenImpacts!$O143</f>
        <v>0</v>
      </c>
      <c r="K147" s="999"/>
    </row>
    <row r="148" spans="1:11" x14ac:dyDescent="0.2">
      <c r="A148" s="9" t="str">
        <f>HiddenImpacts!$A144</f>
        <v/>
      </c>
      <c r="B148" s="933" t="str">
        <f>HiddenImpacts!$B144</f>
        <v/>
      </c>
      <c r="C148" s="647"/>
      <c r="D148" s="647"/>
      <c r="E148" s="648"/>
      <c r="F148" s="689">
        <f>HiddenImpacts!$I144</f>
        <v>0</v>
      </c>
      <c r="G148" s="758"/>
      <c r="H148" s="689">
        <f>MAX(HiddenImpacts!$J144:$N144)</f>
        <v>0</v>
      </c>
      <c r="I148" s="758"/>
      <c r="J148" s="998">
        <f>HiddenImpacts!$O144</f>
        <v>0</v>
      </c>
      <c r="K148" s="999"/>
    </row>
    <row r="149" spans="1:11" x14ac:dyDescent="0.2">
      <c r="A149" s="9" t="str">
        <f>HiddenImpacts!$A145</f>
        <v/>
      </c>
      <c r="B149" s="933" t="str">
        <f>HiddenImpacts!$B145</f>
        <v/>
      </c>
      <c r="C149" s="647"/>
      <c r="D149" s="647"/>
      <c r="E149" s="648"/>
      <c r="F149" s="689">
        <f>HiddenImpacts!$I145</f>
        <v>0</v>
      </c>
      <c r="G149" s="758"/>
      <c r="H149" s="689">
        <f>MAX(HiddenImpacts!$J145:$N145)</f>
        <v>0</v>
      </c>
      <c r="I149" s="758"/>
      <c r="J149" s="998">
        <f>HiddenImpacts!$O145</f>
        <v>0</v>
      </c>
      <c r="K149" s="999"/>
    </row>
    <row r="150" spans="1:11" x14ac:dyDescent="0.2">
      <c r="A150" s="9" t="str">
        <f>HiddenImpacts!$A146</f>
        <v/>
      </c>
      <c r="B150" s="933" t="str">
        <f>HiddenImpacts!$B146</f>
        <v/>
      </c>
      <c r="C150" s="647"/>
      <c r="D150" s="647"/>
      <c r="E150" s="648"/>
      <c r="F150" s="689">
        <f>HiddenImpacts!$I146</f>
        <v>0</v>
      </c>
      <c r="G150" s="758"/>
      <c r="H150" s="689">
        <f>MAX(HiddenImpacts!$J146:$N146)</f>
        <v>0</v>
      </c>
      <c r="I150" s="758"/>
      <c r="J150" s="998">
        <f>HiddenImpacts!$O146</f>
        <v>0</v>
      </c>
      <c r="K150" s="999"/>
    </row>
    <row r="151" spans="1:11" x14ac:dyDescent="0.2">
      <c r="A151" s="9" t="str">
        <f>HiddenImpacts!$A147</f>
        <v/>
      </c>
      <c r="B151" s="933" t="str">
        <f>HiddenImpacts!$B147</f>
        <v/>
      </c>
      <c r="C151" s="647"/>
      <c r="D151" s="647"/>
      <c r="E151" s="648"/>
      <c r="F151" s="689">
        <f>HiddenImpacts!$I147</f>
        <v>0</v>
      </c>
      <c r="G151" s="758"/>
      <c r="H151" s="689">
        <f>MAX(HiddenImpacts!$J147:$N147)</f>
        <v>0</v>
      </c>
      <c r="I151" s="758"/>
      <c r="J151" s="998">
        <f>HiddenImpacts!$O147</f>
        <v>0</v>
      </c>
      <c r="K151" s="999"/>
    </row>
    <row r="152" spans="1:11" x14ac:dyDescent="0.2">
      <c r="A152" s="9" t="str">
        <f>HiddenImpacts!$A148</f>
        <v/>
      </c>
      <c r="B152" s="933" t="str">
        <f>HiddenImpacts!$B148</f>
        <v/>
      </c>
      <c r="C152" s="647"/>
      <c r="D152" s="647"/>
      <c r="E152" s="648"/>
      <c r="F152" s="689">
        <f>HiddenImpacts!$I148</f>
        <v>0</v>
      </c>
      <c r="G152" s="758"/>
      <c r="H152" s="689">
        <f>MAX(HiddenImpacts!$J148:$N148)</f>
        <v>0</v>
      </c>
      <c r="I152" s="758"/>
      <c r="J152" s="998">
        <f>HiddenImpacts!$O148</f>
        <v>0</v>
      </c>
      <c r="K152" s="999"/>
    </row>
    <row r="153" spans="1:11" x14ac:dyDescent="0.2">
      <c r="A153" s="9" t="str">
        <f>HiddenImpacts!$A149</f>
        <v/>
      </c>
      <c r="B153" s="933" t="str">
        <f>HiddenImpacts!$B149</f>
        <v/>
      </c>
      <c r="C153" s="647"/>
      <c r="D153" s="647"/>
      <c r="E153" s="648"/>
      <c r="F153" s="689">
        <f>HiddenImpacts!$I149</f>
        <v>0</v>
      </c>
      <c r="G153" s="758"/>
      <c r="H153" s="689">
        <f>MAX(HiddenImpacts!$J149:$N149)</f>
        <v>0</v>
      </c>
      <c r="I153" s="758"/>
      <c r="J153" s="998">
        <f>HiddenImpacts!$O149</f>
        <v>0</v>
      </c>
      <c r="K153" s="999"/>
    </row>
    <row r="154" spans="1:11" x14ac:dyDescent="0.2">
      <c r="A154" s="9" t="str">
        <f>HiddenImpacts!$A150</f>
        <v/>
      </c>
      <c r="B154" s="933" t="str">
        <f>HiddenImpacts!$B150</f>
        <v/>
      </c>
      <c r="C154" s="647"/>
      <c r="D154" s="647"/>
      <c r="E154" s="648"/>
      <c r="F154" s="689">
        <f>HiddenImpacts!$I150</f>
        <v>0</v>
      </c>
      <c r="G154" s="758"/>
      <c r="H154" s="689">
        <f>MAX(HiddenImpacts!$J150:$N150)</f>
        <v>0</v>
      </c>
      <c r="I154" s="758"/>
      <c r="J154" s="998">
        <f>HiddenImpacts!$O150</f>
        <v>0</v>
      </c>
      <c r="K154" s="999"/>
    </row>
    <row r="155" spans="1:11" x14ac:dyDescent="0.2">
      <c r="A155" s="9" t="str">
        <f>HiddenImpacts!$A151</f>
        <v/>
      </c>
      <c r="B155" s="933" t="str">
        <f>HiddenImpacts!$B151</f>
        <v/>
      </c>
      <c r="C155" s="647"/>
      <c r="D155" s="647"/>
      <c r="E155" s="648"/>
      <c r="F155" s="689">
        <f>HiddenImpacts!$I151</f>
        <v>0</v>
      </c>
      <c r="G155" s="758"/>
      <c r="H155" s="689">
        <f>MAX(HiddenImpacts!$J151:$N151)</f>
        <v>0</v>
      </c>
      <c r="I155" s="758"/>
      <c r="J155" s="998">
        <f>HiddenImpacts!$O151</f>
        <v>0</v>
      </c>
      <c r="K155" s="999"/>
    </row>
    <row r="156" spans="1:11" x14ac:dyDescent="0.2">
      <c r="A156" s="9" t="str">
        <f>HiddenImpacts!$A152</f>
        <v/>
      </c>
      <c r="B156" s="933" t="str">
        <f>HiddenImpacts!$B152</f>
        <v/>
      </c>
      <c r="C156" s="647"/>
      <c r="D156" s="647"/>
      <c r="E156" s="648"/>
      <c r="F156" s="689">
        <f>HiddenImpacts!$I152</f>
        <v>0</v>
      </c>
      <c r="G156" s="758"/>
      <c r="H156" s="689">
        <f>MAX(HiddenImpacts!$J152:$N152)</f>
        <v>0</v>
      </c>
      <c r="I156" s="758"/>
      <c r="J156" s="998">
        <f>HiddenImpacts!$O152</f>
        <v>0</v>
      </c>
      <c r="K156" s="999"/>
    </row>
    <row r="157" spans="1:11" x14ac:dyDescent="0.2">
      <c r="A157" s="9" t="str">
        <f>HiddenImpacts!$A153</f>
        <v/>
      </c>
      <c r="B157" s="933" t="str">
        <f>HiddenImpacts!$B153</f>
        <v/>
      </c>
      <c r="C157" s="647"/>
      <c r="D157" s="647"/>
      <c r="E157" s="648"/>
      <c r="F157" s="689">
        <f>HiddenImpacts!$I153</f>
        <v>0</v>
      </c>
      <c r="G157" s="758"/>
      <c r="H157" s="689">
        <f>MAX(HiddenImpacts!$J153:$N153)</f>
        <v>0</v>
      </c>
      <c r="I157" s="758"/>
      <c r="J157" s="998">
        <f>HiddenImpacts!$O153</f>
        <v>0</v>
      </c>
      <c r="K157" s="999"/>
    </row>
    <row r="158" spans="1:11" x14ac:dyDescent="0.2">
      <c r="A158" s="9" t="str">
        <f>HiddenImpacts!$A154</f>
        <v/>
      </c>
      <c r="B158" s="933" t="str">
        <f>HiddenImpacts!$B154</f>
        <v/>
      </c>
      <c r="C158" s="647"/>
      <c r="D158" s="647"/>
      <c r="E158" s="648"/>
      <c r="F158" s="689">
        <f>HiddenImpacts!$I154</f>
        <v>0</v>
      </c>
      <c r="G158" s="758"/>
      <c r="H158" s="689">
        <f>MAX(HiddenImpacts!$J154:$N154)</f>
        <v>0</v>
      </c>
      <c r="I158" s="758"/>
      <c r="J158" s="998">
        <f>HiddenImpacts!$O154</f>
        <v>0</v>
      </c>
      <c r="K158" s="999"/>
    </row>
    <row r="159" spans="1:11" x14ac:dyDescent="0.2">
      <c r="A159" s="9" t="str">
        <f>HiddenImpacts!$A155</f>
        <v/>
      </c>
      <c r="B159" s="933" t="str">
        <f>HiddenImpacts!$B155</f>
        <v/>
      </c>
      <c r="C159" s="647"/>
      <c r="D159" s="647"/>
      <c r="E159" s="648"/>
      <c r="F159" s="689">
        <f>HiddenImpacts!$I155</f>
        <v>0</v>
      </c>
      <c r="G159" s="758"/>
      <c r="H159" s="689">
        <f>MAX(HiddenImpacts!$J155:$N155)</f>
        <v>0</v>
      </c>
      <c r="I159" s="758"/>
      <c r="J159" s="998">
        <f>HiddenImpacts!$O155</f>
        <v>0</v>
      </c>
      <c r="K159" s="999"/>
    </row>
    <row r="160" spans="1:11" x14ac:dyDescent="0.2">
      <c r="A160" s="9" t="str">
        <f>HiddenImpacts!$A156</f>
        <v/>
      </c>
      <c r="B160" s="933" t="str">
        <f>HiddenImpacts!$B156</f>
        <v/>
      </c>
      <c r="C160" s="647"/>
      <c r="D160" s="647"/>
      <c r="E160" s="648"/>
      <c r="F160" s="689">
        <f>HiddenImpacts!$I156</f>
        <v>0</v>
      </c>
      <c r="G160" s="758"/>
      <c r="H160" s="689">
        <f>MAX(HiddenImpacts!$J156:$N156)</f>
        <v>0</v>
      </c>
      <c r="I160" s="758"/>
      <c r="J160" s="998">
        <f>HiddenImpacts!$O156</f>
        <v>0</v>
      </c>
      <c r="K160" s="999"/>
    </row>
    <row r="161" spans="1:11" x14ac:dyDescent="0.2">
      <c r="A161" s="9" t="str">
        <f>HiddenImpacts!$A157</f>
        <v/>
      </c>
      <c r="B161" s="933" t="str">
        <f>HiddenImpacts!$B157</f>
        <v/>
      </c>
      <c r="C161" s="647"/>
      <c r="D161" s="647"/>
      <c r="E161" s="648"/>
      <c r="F161" s="689">
        <f>HiddenImpacts!$I157</f>
        <v>0</v>
      </c>
      <c r="G161" s="758"/>
      <c r="H161" s="689">
        <f>MAX(HiddenImpacts!$J157:$N157)</f>
        <v>0</v>
      </c>
      <c r="I161" s="758"/>
      <c r="J161" s="998">
        <f>HiddenImpacts!$O157</f>
        <v>0</v>
      </c>
      <c r="K161" s="999"/>
    </row>
    <row r="162" spans="1:11" x14ac:dyDescent="0.2">
      <c r="A162" s="9" t="str">
        <f>HiddenImpacts!$A158</f>
        <v/>
      </c>
      <c r="B162" s="933" t="str">
        <f>HiddenImpacts!$B158</f>
        <v/>
      </c>
      <c r="C162" s="647"/>
      <c r="D162" s="647"/>
      <c r="E162" s="648"/>
      <c r="F162" s="689">
        <f>HiddenImpacts!$I158</f>
        <v>0</v>
      </c>
      <c r="G162" s="758"/>
      <c r="H162" s="689">
        <f>MAX(HiddenImpacts!$J158:$N158)</f>
        <v>0</v>
      </c>
      <c r="I162" s="758"/>
      <c r="J162" s="998">
        <f>HiddenImpacts!$O158</f>
        <v>0</v>
      </c>
      <c r="K162" s="999"/>
    </row>
    <row r="163" spans="1:11" x14ac:dyDescent="0.2">
      <c r="A163" s="9" t="str">
        <f>HiddenImpacts!$A159</f>
        <v/>
      </c>
      <c r="B163" s="933" t="str">
        <f>HiddenImpacts!$B159</f>
        <v/>
      </c>
      <c r="C163" s="647"/>
      <c r="D163" s="647"/>
      <c r="E163" s="648"/>
      <c r="F163" s="689">
        <f>HiddenImpacts!$I159</f>
        <v>0</v>
      </c>
      <c r="G163" s="758"/>
      <c r="H163" s="689">
        <f>MAX(HiddenImpacts!$J159:$N159)</f>
        <v>0</v>
      </c>
      <c r="I163" s="758"/>
      <c r="J163" s="998">
        <f>HiddenImpacts!$O159</f>
        <v>0</v>
      </c>
      <c r="K163" s="999"/>
    </row>
    <row r="164" spans="1:11" x14ac:dyDescent="0.2">
      <c r="A164" s="9" t="str">
        <f>HiddenImpacts!$A160</f>
        <v/>
      </c>
      <c r="B164" s="933" t="str">
        <f>HiddenImpacts!$B160</f>
        <v/>
      </c>
      <c r="C164" s="647"/>
      <c r="D164" s="647"/>
      <c r="E164" s="648"/>
      <c r="F164" s="689">
        <f>HiddenImpacts!$I160</f>
        <v>0</v>
      </c>
      <c r="G164" s="758"/>
      <c r="H164" s="689">
        <f>MAX(HiddenImpacts!$J160:$N160)</f>
        <v>0</v>
      </c>
      <c r="I164" s="758"/>
      <c r="J164" s="998">
        <f>HiddenImpacts!$O160</f>
        <v>0</v>
      </c>
      <c r="K164" s="999"/>
    </row>
    <row r="165" spans="1:11" x14ac:dyDescent="0.2">
      <c r="A165" s="9" t="str">
        <f>HiddenImpacts!$A161</f>
        <v/>
      </c>
      <c r="B165" s="933" t="str">
        <f>HiddenImpacts!$B161</f>
        <v/>
      </c>
      <c r="C165" s="647"/>
      <c r="D165" s="647"/>
      <c r="E165" s="648"/>
      <c r="F165" s="689">
        <f>HiddenImpacts!$I161</f>
        <v>0</v>
      </c>
      <c r="G165" s="758"/>
      <c r="H165" s="689">
        <f>MAX(HiddenImpacts!$J161:$N161)</f>
        <v>0</v>
      </c>
      <c r="I165" s="758"/>
      <c r="J165" s="998">
        <f>HiddenImpacts!$O161</f>
        <v>0</v>
      </c>
      <c r="K165" s="999"/>
    </row>
    <row r="166" spans="1:11" x14ac:dyDescent="0.2">
      <c r="A166" s="9" t="str">
        <f>HiddenImpacts!$A162</f>
        <v/>
      </c>
      <c r="B166" s="933" t="str">
        <f>HiddenImpacts!$B162</f>
        <v/>
      </c>
      <c r="C166" s="647"/>
      <c r="D166" s="647"/>
      <c r="E166" s="648"/>
      <c r="F166" s="689">
        <f>HiddenImpacts!$I162</f>
        <v>0</v>
      </c>
      <c r="G166" s="758"/>
      <c r="H166" s="689">
        <f>MAX(HiddenImpacts!$J162:$N162)</f>
        <v>0</v>
      </c>
      <c r="I166" s="758"/>
      <c r="J166" s="998">
        <f>HiddenImpacts!$O162</f>
        <v>0</v>
      </c>
      <c r="K166" s="999"/>
    </row>
    <row r="167" spans="1:11" x14ac:dyDescent="0.2">
      <c r="A167" s="9" t="str">
        <f>HiddenImpacts!$A163</f>
        <v/>
      </c>
      <c r="B167" s="933" t="str">
        <f>HiddenImpacts!$B163</f>
        <v/>
      </c>
      <c r="C167" s="647"/>
      <c r="D167" s="647"/>
      <c r="E167" s="648"/>
      <c r="F167" s="689">
        <f>HiddenImpacts!$I163</f>
        <v>0</v>
      </c>
      <c r="G167" s="758"/>
      <c r="H167" s="689">
        <f>MAX(HiddenImpacts!$J163:$N163)</f>
        <v>0</v>
      </c>
      <c r="I167" s="758"/>
      <c r="J167" s="998">
        <f>HiddenImpacts!$O163</f>
        <v>0</v>
      </c>
      <c r="K167" s="999"/>
    </row>
    <row r="168" spans="1:11" x14ac:dyDescent="0.2">
      <c r="A168" s="9" t="str">
        <f>HiddenImpacts!$A164</f>
        <v/>
      </c>
      <c r="B168" s="933" t="str">
        <f>HiddenImpacts!$B164</f>
        <v/>
      </c>
      <c r="C168" s="647"/>
      <c r="D168" s="647"/>
      <c r="E168" s="648"/>
      <c r="F168" s="689">
        <f>HiddenImpacts!$I164</f>
        <v>0</v>
      </c>
      <c r="G168" s="758"/>
      <c r="H168" s="689">
        <f>MAX(HiddenImpacts!$J164:$N164)</f>
        <v>0</v>
      </c>
      <c r="I168" s="758"/>
      <c r="J168" s="998">
        <f>HiddenImpacts!$O164</f>
        <v>0</v>
      </c>
      <c r="K168" s="999"/>
    </row>
    <row r="169" spans="1:11" x14ac:dyDescent="0.2">
      <c r="A169" s="9" t="str">
        <f>HiddenImpacts!$A165</f>
        <v/>
      </c>
      <c r="B169" s="933" t="str">
        <f>HiddenImpacts!$B165</f>
        <v/>
      </c>
      <c r="C169" s="647"/>
      <c r="D169" s="647"/>
      <c r="E169" s="648"/>
      <c r="F169" s="689">
        <f>HiddenImpacts!$I165</f>
        <v>0</v>
      </c>
      <c r="G169" s="758"/>
      <c r="H169" s="689">
        <f>MAX(HiddenImpacts!$J165:$N165)</f>
        <v>0</v>
      </c>
      <c r="I169" s="758"/>
      <c r="J169" s="998">
        <f>HiddenImpacts!$O165</f>
        <v>0</v>
      </c>
      <c r="K169" s="999"/>
    </row>
    <row r="170" spans="1:11" x14ac:dyDescent="0.2">
      <c r="A170" s="9" t="str">
        <f>HiddenImpacts!$A166</f>
        <v/>
      </c>
      <c r="B170" s="933" t="str">
        <f>HiddenImpacts!$B166</f>
        <v/>
      </c>
      <c r="C170" s="647"/>
      <c r="D170" s="647"/>
      <c r="E170" s="648"/>
      <c r="F170" s="689">
        <f>HiddenImpacts!$I166</f>
        <v>0</v>
      </c>
      <c r="G170" s="758"/>
      <c r="H170" s="689">
        <f>MAX(HiddenImpacts!$J166:$N166)</f>
        <v>0</v>
      </c>
      <c r="I170" s="758"/>
      <c r="J170" s="998">
        <f>HiddenImpacts!$O166</f>
        <v>0</v>
      </c>
      <c r="K170" s="999"/>
    </row>
    <row r="171" spans="1:11" x14ac:dyDescent="0.2">
      <c r="A171" s="9" t="str">
        <f>HiddenImpacts!$A167</f>
        <v/>
      </c>
      <c r="B171" s="933" t="str">
        <f>HiddenImpacts!$B167</f>
        <v/>
      </c>
      <c r="C171" s="647"/>
      <c r="D171" s="647"/>
      <c r="E171" s="648"/>
      <c r="F171" s="689">
        <f>HiddenImpacts!$I167</f>
        <v>0</v>
      </c>
      <c r="G171" s="758"/>
      <c r="H171" s="689">
        <f>MAX(HiddenImpacts!$J167:$N167)</f>
        <v>0</v>
      </c>
      <c r="I171" s="758"/>
      <c r="J171" s="998">
        <f>HiddenImpacts!$O167</f>
        <v>0</v>
      </c>
      <c r="K171" s="999"/>
    </row>
    <row r="172" spans="1:11" x14ac:dyDescent="0.2">
      <c r="A172" s="9" t="str">
        <f>HiddenImpacts!$A168</f>
        <v/>
      </c>
      <c r="B172" s="933" t="str">
        <f>HiddenImpacts!$B168</f>
        <v/>
      </c>
      <c r="C172" s="647"/>
      <c r="D172" s="647"/>
      <c r="E172" s="648"/>
      <c r="F172" s="689">
        <f>HiddenImpacts!$I168</f>
        <v>0</v>
      </c>
      <c r="G172" s="758"/>
      <c r="H172" s="689">
        <f>MAX(HiddenImpacts!$J168:$N168)</f>
        <v>0</v>
      </c>
      <c r="I172" s="758"/>
      <c r="J172" s="998">
        <f>HiddenImpacts!$O168</f>
        <v>0</v>
      </c>
      <c r="K172" s="999"/>
    </row>
    <row r="173" spans="1:11" x14ac:dyDescent="0.2">
      <c r="A173" s="9" t="str">
        <f>HiddenImpacts!$A169</f>
        <v/>
      </c>
      <c r="B173" s="933" t="str">
        <f>HiddenImpacts!$B169</f>
        <v/>
      </c>
      <c r="C173" s="647"/>
      <c r="D173" s="647"/>
      <c r="E173" s="648"/>
      <c r="F173" s="689">
        <f>HiddenImpacts!$I169</f>
        <v>0</v>
      </c>
      <c r="G173" s="758"/>
      <c r="H173" s="689">
        <f>MAX(HiddenImpacts!$J169:$N169)</f>
        <v>0</v>
      </c>
      <c r="I173" s="758"/>
      <c r="J173" s="998">
        <f>HiddenImpacts!$O169</f>
        <v>0</v>
      </c>
      <c r="K173" s="999"/>
    </row>
    <row r="174" spans="1:11" x14ac:dyDescent="0.2">
      <c r="A174" s="9" t="str">
        <f>HiddenImpacts!$A170</f>
        <v/>
      </c>
      <c r="B174" s="933" t="str">
        <f>HiddenImpacts!$B170</f>
        <v/>
      </c>
      <c r="C174" s="647"/>
      <c r="D174" s="647"/>
      <c r="E174" s="648"/>
      <c r="F174" s="689">
        <f>HiddenImpacts!$I170</f>
        <v>0</v>
      </c>
      <c r="G174" s="758"/>
      <c r="H174" s="689">
        <f>MAX(HiddenImpacts!$J170:$N170)</f>
        <v>0</v>
      </c>
      <c r="I174" s="758"/>
      <c r="J174" s="998">
        <f>HiddenImpacts!$O170</f>
        <v>0</v>
      </c>
      <c r="K174" s="999"/>
    </row>
    <row r="175" spans="1:11" x14ac:dyDescent="0.2">
      <c r="A175" s="9" t="str">
        <f>HiddenImpacts!$A171</f>
        <v/>
      </c>
      <c r="B175" s="933" t="str">
        <f>HiddenImpacts!$B171</f>
        <v/>
      </c>
      <c r="C175" s="647"/>
      <c r="D175" s="647"/>
      <c r="E175" s="648"/>
      <c r="F175" s="689">
        <f>HiddenImpacts!$I171</f>
        <v>0</v>
      </c>
      <c r="G175" s="758"/>
      <c r="H175" s="689">
        <f>MAX(HiddenImpacts!$J171:$N171)</f>
        <v>0</v>
      </c>
      <c r="I175" s="758"/>
      <c r="J175" s="998">
        <f>HiddenImpacts!$O171</f>
        <v>0</v>
      </c>
      <c r="K175" s="999"/>
    </row>
    <row r="176" spans="1:11" x14ac:dyDescent="0.2">
      <c r="A176" s="9" t="str">
        <f>HiddenImpacts!$A172</f>
        <v/>
      </c>
      <c r="B176" s="933" t="str">
        <f>HiddenImpacts!$B172</f>
        <v/>
      </c>
      <c r="C176" s="647"/>
      <c r="D176" s="647"/>
      <c r="E176" s="648"/>
      <c r="F176" s="689">
        <f>HiddenImpacts!$I172</f>
        <v>0</v>
      </c>
      <c r="G176" s="758"/>
      <c r="H176" s="689">
        <f>MAX(HiddenImpacts!$J172:$N172)</f>
        <v>0</v>
      </c>
      <c r="I176" s="758"/>
      <c r="J176" s="998">
        <f>HiddenImpacts!$O172</f>
        <v>0</v>
      </c>
      <c r="K176" s="999"/>
    </row>
    <row r="177" spans="1:11" x14ac:dyDescent="0.2">
      <c r="A177" s="9" t="str">
        <f>HiddenImpacts!$A173</f>
        <v/>
      </c>
      <c r="B177" s="933" t="str">
        <f>HiddenImpacts!$B173</f>
        <v/>
      </c>
      <c r="C177" s="647"/>
      <c r="D177" s="647"/>
      <c r="E177" s="648"/>
      <c r="F177" s="689">
        <f>HiddenImpacts!$I173</f>
        <v>0</v>
      </c>
      <c r="G177" s="758"/>
      <c r="H177" s="689">
        <f>MAX(HiddenImpacts!$J173:$N173)</f>
        <v>0</v>
      </c>
      <c r="I177" s="758"/>
      <c r="J177" s="998">
        <f>HiddenImpacts!$O173</f>
        <v>0</v>
      </c>
      <c r="K177" s="999"/>
    </row>
    <row r="178" spans="1:11" x14ac:dyDescent="0.2">
      <c r="A178" s="9" t="str">
        <f>HiddenImpacts!$A174</f>
        <v/>
      </c>
      <c r="B178" s="933" t="str">
        <f>HiddenImpacts!$B174</f>
        <v/>
      </c>
      <c r="C178" s="647"/>
      <c r="D178" s="647"/>
      <c r="E178" s="648"/>
      <c r="F178" s="689">
        <f>HiddenImpacts!$I174</f>
        <v>0</v>
      </c>
      <c r="G178" s="758"/>
      <c r="H178" s="689">
        <f>MAX(HiddenImpacts!$J174:$N174)</f>
        <v>0</v>
      </c>
      <c r="I178" s="758"/>
      <c r="J178" s="998">
        <f>HiddenImpacts!$O174</f>
        <v>0</v>
      </c>
      <c r="K178" s="999"/>
    </row>
    <row r="179" spans="1:11" x14ac:dyDescent="0.2">
      <c r="A179" s="9" t="str">
        <f>HiddenImpacts!$A175</f>
        <v/>
      </c>
      <c r="B179" s="933" t="str">
        <f>HiddenImpacts!$B175</f>
        <v/>
      </c>
      <c r="C179" s="647"/>
      <c r="D179" s="647"/>
      <c r="E179" s="648"/>
      <c r="F179" s="689">
        <f>HiddenImpacts!$I175</f>
        <v>0</v>
      </c>
      <c r="G179" s="758"/>
      <c r="H179" s="689">
        <f>MAX(HiddenImpacts!$J175:$N175)</f>
        <v>0</v>
      </c>
      <c r="I179" s="758"/>
      <c r="J179" s="998">
        <f>HiddenImpacts!$O175</f>
        <v>0</v>
      </c>
      <c r="K179" s="999"/>
    </row>
    <row r="180" spans="1:11" x14ac:dyDescent="0.2">
      <c r="A180" s="9" t="str">
        <f>HiddenImpacts!$A176</f>
        <v/>
      </c>
      <c r="B180" s="933" t="str">
        <f>HiddenImpacts!$B176</f>
        <v/>
      </c>
      <c r="C180" s="647"/>
      <c r="D180" s="647"/>
      <c r="E180" s="648"/>
      <c r="F180" s="689">
        <f>HiddenImpacts!$I176</f>
        <v>0</v>
      </c>
      <c r="G180" s="758"/>
      <c r="H180" s="689">
        <f>MAX(HiddenImpacts!$J176:$N176)</f>
        <v>0</v>
      </c>
      <c r="I180" s="758"/>
      <c r="J180" s="998">
        <f>HiddenImpacts!$O176</f>
        <v>0</v>
      </c>
      <c r="K180" s="999"/>
    </row>
    <row r="181" spans="1:11" x14ac:dyDescent="0.2">
      <c r="A181" s="9" t="str">
        <f>HiddenImpacts!$A177</f>
        <v/>
      </c>
      <c r="B181" s="933" t="str">
        <f>HiddenImpacts!$B177</f>
        <v/>
      </c>
      <c r="C181" s="647"/>
      <c r="D181" s="647"/>
      <c r="E181" s="648"/>
      <c r="F181" s="689">
        <f>HiddenImpacts!$I177</f>
        <v>0</v>
      </c>
      <c r="G181" s="758"/>
      <c r="H181" s="689">
        <f>MAX(HiddenImpacts!$J177:$N177)</f>
        <v>0</v>
      </c>
      <c r="I181" s="758"/>
      <c r="J181" s="998">
        <f>HiddenImpacts!$O177</f>
        <v>0</v>
      </c>
      <c r="K181" s="999"/>
    </row>
    <row r="182" spans="1:11" x14ac:dyDescent="0.2">
      <c r="A182" s="9" t="str">
        <f>HiddenImpacts!$A178</f>
        <v/>
      </c>
      <c r="B182" s="933" t="str">
        <f>HiddenImpacts!$B178</f>
        <v/>
      </c>
      <c r="C182" s="647"/>
      <c r="D182" s="647"/>
      <c r="E182" s="648"/>
      <c r="F182" s="689">
        <f>HiddenImpacts!$I178</f>
        <v>0</v>
      </c>
      <c r="G182" s="758"/>
      <c r="H182" s="689">
        <f>MAX(HiddenImpacts!$J178:$N178)</f>
        <v>0</v>
      </c>
      <c r="I182" s="758"/>
      <c r="J182" s="998">
        <f>HiddenImpacts!$O178</f>
        <v>0</v>
      </c>
      <c r="K182" s="999"/>
    </row>
    <row r="183" spans="1:11" x14ac:dyDescent="0.2">
      <c r="A183" s="9" t="str">
        <f>HiddenImpacts!$A179</f>
        <v/>
      </c>
      <c r="B183" s="933" t="str">
        <f>HiddenImpacts!$B179</f>
        <v/>
      </c>
      <c r="C183" s="647"/>
      <c r="D183" s="647"/>
      <c r="E183" s="648"/>
      <c r="F183" s="689">
        <f>HiddenImpacts!$I179</f>
        <v>0</v>
      </c>
      <c r="G183" s="758"/>
      <c r="H183" s="689">
        <f>MAX(HiddenImpacts!$J179:$N179)</f>
        <v>0</v>
      </c>
      <c r="I183" s="758"/>
      <c r="J183" s="998">
        <f>HiddenImpacts!$O179</f>
        <v>0</v>
      </c>
      <c r="K183" s="999"/>
    </row>
    <row r="184" spans="1:11" x14ac:dyDescent="0.2">
      <c r="A184" s="9" t="str">
        <f>HiddenImpacts!$A180</f>
        <v/>
      </c>
      <c r="B184" s="933" t="str">
        <f>HiddenImpacts!$B180</f>
        <v/>
      </c>
      <c r="C184" s="647"/>
      <c r="D184" s="647"/>
      <c r="E184" s="648"/>
      <c r="F184" s="689">
        <f>HiddenImpacts!$I180</f>
        <v>0</v>
      </c>
      <c r="G184" s="758"/>
      <c r="H184" s="689">
        <f>MAX(HiddenImpacts!$J180:$N180)</f>
        <v>0</v>
      </c>
      <c r="I184" s="758"/>
      <c r="J184" s="998">
        <f>HiddenImpacts!$O180</f>
        <v>0</v>
      </c>
      <c r="K184" s="999"/>
    </row>
    <row r="185" spans="1:11" x14ac:dyDescent="0.2">
      <c r="A185" s="9" t="str">
        <f>HiddenImpacts!$A181</f>
        <v/>
      </c>
      <c r="B185" s="933" t="str">
        <f>HiddenImpacts!$B181</f>
        <v/>
      </c>
      <c r="C185" s="647"/>
      <c r="D185" s="647"/>
      <c r="E185" s="648"/>
      <c r="F185" s="689">
        <f>HiddenImpacts!$I181</f>
        <v>0</v>
      </c>
      <c r="G185" s="758"/>
      <c r="H185" s="689">
        <f>MAX(HiddenImpacts!$J181:$N181)</f>
        <v>0</v>
      </c>
      <c r="I185" s="758"/>
      <c r="J185" s="998">
        <f>HiddenImpacts!$O181</f>
        <v>0</v>
      </c>
      <c r="K185" s="999"/>
    </row>
    <row r="186" spans="1:11" x14ac:dyDescent="0.2">
      <c r="A186" s="9" t="str">
        <f>HiddenImpacts!$A182</f>
        <v/>
      </c>
      <c r="B186" s="933" t="str">
        <f>HiddenImpacts!$B182</f>
        <v/>
      </c>
      <c r="C186" s="647"/>
      <c r="D186" s="647"/>
      <c r="E186" s="648"/>
      <c r="F186" s="689">
        <f>HiddenImpacts!$I182</f>
        <v>0</v>
      </c>
      <c r="G186" s="758"/>
      <c r="H186" s="689">
        <f>MAX(HiddenImpacts!$J182:$N182)</f>
        <v>0</v>
      </c>
      <c r="I186" s="758"/>
      <c r="J186" s="998">
        <f>HiddenImpacts!$O182</f>
        <v>0</v>
      </c>
      <c r="K186" s="999"/>
    </row>
    <row r="187" spans="1:11" x14ac:dyDescent="0.2">
      <c r="A187" s="9" t="str">
        <f>HiddenImpacts!$A183</f>
        <v/>
      </c>
      <c r="B187" s="933" t="str">
        <f>HiddenImpacts!$B183</f>
        <v/>
      </c>
      <c r="C187" s="647"/>
      <c r="D187" s="647"/>
      <c r="E187" s="648"/>
      <c r="F187" s="689">
        <f>HiddenImpacts!$I183</f>
        <v>0</v>
      </c>
      <c r="G187" s="758"/>
      <c r="H187" s="689">
        <f>MAX(HiddenImpacts!$J183:$N183)</f>
        <v>0</v>
      </c>
      <c r="I187" s="758"/>
      <c r="J187" s="998">
        <f>HiddenImpacts!$O183</f>
        <v>0</v>
      </c>
      <c r="K187" s="999"/>
    </row>
    <row r="188" spans="1:11" x14ac:dyDescent="0.2">
      <c r="A188" s="9" t="str">
        <f>HiddenImpacts!$A184</f>
        <v/>
      </c>
      <c r="B188" s="933" t="str">
        <f>HiddenImpacts!$B184</f>
        <v/>
      </c>
      <c r="C188" s="647"/>
      <c r="D188" s="647"/>
      <c r="E188" s="648"/>
      <c r="F188" s="689">
        <f>HiddenImpacts!$I184</f>
        <v>0</v>
      </c>
      <c r="G188" s="758"/>
      <c r="H188" s="689">
        <f>MAX(HiddenImpacts!$J184:$N184)</f>
        <v>0</v>
      </c>
      <c r="I188" s="758"/>
      <c r="J188" s="998">
        <f>HiddenImpacts!$O184</f>
        <v>0</v>
      </c>
      <c r="K188" s="999"/>
    </row>
    <row r="189" spans="1:11" x14ac:dyDescent="0.2">
      <c r="A189" s="9" t="str">
        <f>HiddenImpacts!$A185</f>
        <v/>
      </c>
      <c r="B189" s="933" t="str">
        <f>HiddenImpacts!$B185</f>
        <v/>
      </c>
      <c r="C189" s="647"/>
      <c r="D189" s="647"/>
      <c r="E189" s="648"/>
      <c r="F189" s="689">
        <f>HiddenImpacts!$I185</f>
        <v>0</v>
      </c>
      <c r="G189" s="758"/>
      <c r="H189" s="689">
        <f>MAX(HiddenImpacts!$J185:$N185)</f>
        <v>0</v>
      </c>
      <c r="I189" s="758"/>
      <c r="J189" s="998">
        <f>HiddenImpacts!$O185</f>
        <v>0</v>
      </c>
      <c r="K189" s="999"/>
    </row>
    <row r="190" spans="1:11" x14ac:dyDescent="0.2">
      <c r="A190" s="9" t="str">
        <f>HiddenImpacts!$A186</f>
        <v/>
      </c>
      <c r="B190" s="933" t="str">
        <f>HiddenImpacts!$B186</f>
        <v/>
      </c>
      <c r="C190" s="647"/>
      <c r="D190" s="647"/>
      <c r="E190" s="648"/>
      <c r="F190" s="689">
        <f>HiddenImpacts!$I186</f>
        <v>0</v>
      </c>
      <c r="G190" s="758"/>
      <c r="H190" s="689">
        <f>MAX(HiddenImpacts!$J186:$N186)</f>
        <v>0</v>
      </c>
      <c r="I190" s="758"/>
      <c r="J190" s="998">
        <f>HiddenImpacts!$O186</f>
        <v>0</v>
      </c>
      <c r="K190" s="999"/>
    </row>
    <row r="191" spans="1:11" x14ac:dyDescent="0.2">
      <c r="A191" s="9" t="str">
        <f>HiddenImpacts!$A187</f>
        <v/>
      </c>
      <c r="B191" s="933" t="str">
        <f>HiddenImpacts!$B187</f>
        <v/>
      </c>
      <c r="C191" s="647"/>
      <c r="D191" s="647"/>
      <c r="E191" s="648"/>
      <c r="F191" s="689">
        <f>HiddenImpacts!$I187</f>
        <v>0</v>
      </c>
      <c r="G191" s="758"/>
      <c r="H191" s="689">
        <f>MAX(HiddenImpacts!$J187:$N187)</f>
        <v>0</v>
      </c>
      <c r="I191" s="758"/>
      <c r="J191" s="998">
        <f>HiddenImpacts!$O187</f>
        <v>0</v>
      </c>
      <c r="K191" s="999"/>
    </row>
    <row r="192" spans="1:11" x14ac:dyDescent="0.2">
      <c r="A192" s="9" t="str">
        <f>HiddenImpacts!$A188</f>
        <v/>
      </c>
      <c r="B192" s="933" t="str">
        <f>HiddenImpacts!$B188</f>
        <v/>
      </c>
      <c r="C192" s="647"/>
      <c r="D192" s="647"/>
      <c r="E192" s="648"/>
      <c r="F192" s="689">
        <f>HiddenImpacts!$I188</f>
        <v>0</v>
      </c>
      <c r="G192" s="758"/>
      <c r="H192" s="689">
        <f>MAX(HiddenImpacts!$J188:$N188)</f>
        <v>0</v>
      </c>
      <c r="I192" s="758"/>
      <c r="J192" s="998">
        <f>HiddenImpacts!$O188</f>
        <v>0</v>
      </c>
      <c r="K192" s="999"/>
    </row>
    <row r="193" spans="1:11" x14ac:dyDescent="0.2">
      <c r="A193" s="9" t="str">
        <f>HiddenImpacts!$A189</f>
        <v/>
      </c>
      <c r="B193" s="933" t="str">
        <f>HiddenImpacts!$B189</f>
        <v/>
      </c>
      <c r="C193" s="647"/>
      <c r="D193" s="647"/>
      <c r="E193" s="648"/>
      <c r="F193" s="689">
        <f>HiddenImpacts!$I189</f>
        <v>0</v>
      </c>
      <c r="G193" s="758"/>
      <c r="H193" s="689">
        <f>MAX(HiddenImpacts!$J189:$N189)</f>
        <v>0</v>
      </c>
      <c r="I193" s="758"/>
      <c r="J193" s="998">
        <f>HiddenImpacts!$O189</f>
        <v>0</v>
      </c>
      <c r="K193" s="999"/>
    </row>
    <row r="194" spans="1:11" x14ac:dyDescent="0.2">
      <c r="A194" s="9" t="str">
        <f>HiddenImpacts!$A190</f>
        <v/>
      </c>
      <c r="B194" s="933" t="str">
        <f>HiddenImpacts!$B190</f>
        <v/>
      </c>
      <c r="C194" s="647"/>
      <c r="D194" s="647"/>
      <c r="E194" s="648"/>
      <c r="F194" s="689">
        <f>HiddenImpacts!$I190</f>
        <v>0</v>
      </c>
      <c r="G194" s="758"/>
      <c r="H194" s="689">
        <f>MAX(HiddenImpacts!$J190:$N190)</f>
        <v>0</v>
      </c>
      <c r="I194" s="758"/>
      <c r="J194" s="998">
        <f>HiddenImpacts!$O190</f>
        <v>0</v>
      </c>
      <c r="K194" s="999"/>
    </row>
    <row r="195" spans="1:11" x14ac:dyDescent="0.2">
      <c r="A195" s="9" t="str">
        <f>HiddenImpacts!$A191</f>
        <v/>
      </c>
      <c r="B195" s="933" t="str">
        <f>HiddenImpacts!$B191</f>
        <v/>
      </c>
      <c r="C195" s="647"/>
      <c r="D195" s="647"/>
      <c r="E195" s="648"/>
      <c r="F195" s="689">
        <f>HiddenImpacts!$I191</f>
        <v>0</v>
      </c>
      <c r="G195" s="758"/>
      <c r="H195" s="689">
        <f>MAX(HiddenImpacts!$J191:$N191)</f>
        <v>0</v>
      </c>
      <c r="I195" s="758"/>
      <c r="J195" s="998">
        <f>HiddenImpacts!$O191</f>
        <v>0</v>
      </c>
      <c r="K195" s="999"/>
    </row>
    <row r="196" spans="1:11" x14ac:dyDescent="0.2">
      <c r="A196" s="9" t="str">
        <f>HiddenImpacts!$A192</f>
        <v/>
      </c>
      <c r="B196" s="933" t="str">
        <f>HiddenImpacts!$B192</f>
        <v/>
      </c>
      <c r="C196" s="647"/>
      <c r="D196" s="647"/>
      <c r="E196" s="648"/>
      <c r="F196" s="689">
        <f>HiddenImpacts!$I192</f>
        <v>0</v>
      </c>
      <c r="G196" s="758"/>
      <c r="H196" s="689">
        <f>MAX(HiddenImpacts!$J192:$N192)</f>
        <v>0</v>
      </c>
      <c r="I196" s="758"/>
      <c r="J196" s="998">
        <f>HiddenImpacts!$O192</f>
        <v>0</v>
      </c>
      <c r="K196" s="999"/>
    </row>
    <row r="197" spans="1:11" x14ac:dyDescent="0.2">
      <c r="A197" s="9" t="str">
        <f>HiddenImpacts!$A193</f>
        <v/>
      </c>
      <c r="B197" s="933" t="str">
        <f>HiddenImpacts!$B193</f>
        <v/>
      </c>
      <c r="C197" s="647"/>
      <c r="D197" s="647"/>
      <c r="E197" s="648"/>
      <c r="F197" s="689">
        <f>HiddenImpacts!$I193</f>
        <v>0</v>
      </c>
      <c r="G197" s="758"/>
      <c r="H197" s="689">
        <f>MAX(HiddenImpacts!$J193:$N193)</f>
        <v>0</v>
      </c>
      <c r="I197" s="758"/>
      <c r="J197" s="998">
        <f>HiddenImpacts!$O193</f>
        <v>0</v>
      </c>
      <c r="K197" s="999"/>
    </row>
    <row r="198" spans="1:11" x14ac:dyDescent="0.2">
      <c r="A198" s="9" t="str">
        <f>HiddenImpacts!$A194</f>
        <v/>
      </c>
      <c r="B198" s="933" t="str">
        <f>HiddenImpacts!$B194</f>
        <v/>
      </c>
      <c r="C198" s="647"/>
      <c r="D198" s="647"/>
      <c r="E198" s="648"/>
      <c r="F198" s="689">
        <f>HiddenImpacts!$I194</f>
        <v>0</v>
      </c>
      <c r="G198" s="758"/>
      <c r="H198" s="689">
        <f>MAX(HiddenImpacts!$J194:$N194)</f>
        <v>0</v>
      </c>
      <c r="I198" s="758"/>
      <c r="J198" s="998">
        <f>HiddenImpacts!$O194</f>
        <v>0</v>
      </c>
      <c r="K198" s="999"/>
    </row>
    <row r="199" spans="1:11" x14ac:dyDescent="0.2">
      <c r="A199" s="9" t="str">
        <f>HiddenImpacts!$A195</f>
        <v/>
      </c>
      <c r="B199" s="933" t="str">
        <f>HiddenImpacts!$B195</f>
        <v/>
      </c>
      <c r="C199" s="647"/>
      <c r="D199" s="647"/>
      <c r="E199" s="648"/>
      <c r="F199" s="689">
        <f>HiddenImpacts!$I195</f>
        <v>0</v>
      </c>
      <c r="G199" s="758"/>
      <c r="H199" s="689">
        <f>MAX(HiddenImpacts!$J195:$N195)</f>
        <v>0</v>
      </c>
      <c r="I199" s="758"/>
      <c r="J199" s="998">
        <f>HiddenImpacts!$O195</f>
        <v>0</v>
      </c>
      <c r="K199" s="999"/>
    </row>
    <row r="200" spans="1:11" x14ac:dyDescent="0.2">
      <c r="A200" s="9" t="str">
        <f>HiddenImpacts!$A196</f>
        <v/>
      </c>
      <c r="B200" s="933" t="str">
        <f>HiddenImpacts!$B196</f>
        <v/>
      </c>
      <c r="C200" s="647"/>
      <c r="D200" s="647"/>
      <c r="E200" s="648"/>
      <c r="F200" s="689">
        <f>HiddenImpacts!$I196</f>
        <v>0</v>
      </c>
      <c r="G200" s="758"/>
      <c r="H200" s="689">
        <f>MAX(HiddenImpacts!$J196:$N196)</f>
        <v>0</v>
      </c>
      <c r="I200" s="758"/>
      <c r="J200" s="998">
        <f>HiddenImpacts!$O196</f>
        <v>0</v>
      </c>
      <c r="K200" s="999"/>
    </row>
    <row r="201" spans="1:11" x14ac:dyDescent="0.2">
      <c r="A201" s="9" t="str">
        <f>HiddenImpacts!$A197</f>
        <v/>
      </c>
      <c r="B201" s="933" t="str">
        <f>HiddenImpacts!$B197</f>
        <v/>
      </c>
      <c r="C201" s="647"/>
      <c r="D201" s="647"/>
      <c r="E201" s="648"/>
      <c r="F201" s="689">
        <f>HiddenImpacts!$I197</f>
        <v>0</v>
      </c>
      <c r="G201" s="758"/>
      <c r="H201" s="689">
        <f>MAX(HiddenImpacts!$J197:$N197)</f>
        <v>0</v>
      </c>
      <c r="I201" s="758"/>
      <c r="J201" s="998">
        <f>HiddenImpacts!$O197</f>
        <v>0</v>
      </c>
      <c r="K201" s="999"/>
    </row>
    <row r="202" spans="1:11" x14ac:dyDescent="0.2">
      <c r="A202" s="9" t="str">
        <f>HiddenImpacts!$A198</f>
        <v/>
      </c>
      <c r="B202" s="933" t="str">
        <f>HiddenImpacts!$B198</f>
        <v/>
      </c>
      <c r="C202" s="647"/>
      <c r="D202" s="647"/>
      <c r="E202" s="648"/>
      <c r="F202" s="689">
        <f>HiddenImpacts!$I198</f>
        <v>0</v>
      </c>
      <c r="G202" s="758"/>
      <c r="H202" s="689">
        <f>MAX(HiddenImpacts!$J198:$N198)</f>
        <v>0</v>
      </c>
      <c r="I202" s="758"/>
      <c r="J202" s="998">
        <f>HiddenImpacts!$O198</f>
        <v>0</v>
      </c>
      <c r="K202" s="999"/>
    </row>
    <row r="203" spans="1:11" x14ac:dyDescent="0.2">
      <c r="A203" s="9" t="str">
        <f>HiddenImpacts!$A199</f>
        <v/>
      </c>
      <c r="B203" s="933" t="str">
        <f>HiddenImpacts!$B199</f>
        <v/>
      </c>
      <c r="C203" s="647"/>
      <c r="D203" s="647"/>
      <c r="E203" s="648"/>
      <c r="F203" s="689">
        <f>HiddenImpacts!$I199</f>
        <v>0</v>
      </c>
      <c r="G203" s="758"/>
      <c r="H203" s="689">
        <f>MAX(HiddenImpacts!$J199:$N199)</f>
        <v>0</v>
      </c>
      <c r="I203" s="758"/>
      <c r="J203" s="998">
        <f>HiddenImpacts!$O199</f>
        <v>0</v>
      </c>
      <c r="K203" s="999"/>
    </row>
    <row r="204" spans="1:11" x14ac:dyDescent="0.2">
      <c r="A204" s="9" t="str">
        <f>HiddenImpacts!$A200</f>
        <v/>
      </c>
      <c r="B204" s="933" t="str">
        <f>HiddenImpacts!$B200</f>
        <v/>
      </c>
      <c r="C204" s="647"/>
      <c r="D204" s="647"/>
      <c r="E204" s="648"/>
      <c r="F204" s="689">
        <f>HiddenImpacts!$I200</f>
        <v>0</v>
      </c>
      <c r="G204" s="758"/>
      <c r="H204" s="689">
        <f>MAX(HiddenImpacts!$J200:$N200)</f>
        <v>0</v>
      </c>
      <c r="I204" s="758"/>
      <c r="J204" s="998">
        <f>HiddenImpacts!$O200</f>
        <v>0</v>
      </c>
      <c r="K204" s="999"/>
    </row>
    <row r="205" spans="1:11" x14ac:dyDescent="0.2">
      <c r="A205" s="9" t="str">
        <f>HiddenImpacts!$A201</f>
        <v/>
      </c>
      <c r="B205" s="933" t="str">
        <f>HiddenImpacts!$B201</f>
        <v/>
      </c>
      <c r="C205" s="647"/>
      <c r="D205" s="647"/>
      <c r="E205" s="648"/>
      <c r="F205" s="689">
        <f>HiddenImpacts!$I201</f>
        <v>0</v>
      </c>
      <c r="G205" s="758"/>
      <c r="H205" s="689">
        <f>MAX(HiddenImpacts!$J201:$N201)</f>
        <v>0</v>
      </c>
      <c r="I205" s="758"/>
      <c r="J205" s="998">
        <f>HiddenImpacts!$O201</f>
        <v>0</v>
      </c>
      <c r="K205" s="999"/>
    </row>
    <row r="206" spans="1:11" x14ac:dyDescent="0.2">
      <c r="A206" s="9" t="str">
        <f>HiddenImpacts!$A202</f>
        <v/>
      </c>
      <c r="B206" s="933" t="str">
        <f>HiddenImpacts!$B202</f>
        <v/>
      </c>
      <c r="C206" s="647"/>
      <c r="D206" s="647"/>
      <c r="E206" s="648"/>
      <c r="F206" s="689">
        <f>HiddenImpacts!$I202</f>
        <v>0</v>
      </c>
      <c r="G206" s="758"/>
      <c r="H206" s="689">
        <f>MAX(HiddenImpacts!$J202:$N202)</f>
        <v>0</v>
      </c>
      <c r="I206" s="758"/>
      <c r="J206" s="998">
        <f>HiddenImpacts!$O202</f>
        <v>0</v>
      </c>
      <c r="K206" s="999"/>
    </row>
    <row r="207" spans="1:11" x14ac:dyDescent="0.2">
      <c r="A207" s="9" t="str">
        <f>HiddenImpacts!$A203</f>
        <v/>
      </c>
      <c r="B207" s="933" t="str">
        <f>HiddenImpacts!$B203</f>
        <v/>
      </c>
      <c r="C207" s="647"/>
      <c r="D207" s="647"/>
      <c r="E207" s="648"/>
      <c r="F207" s="689">
        <f>HiddenImpacts!$I203</f>
        <v>0</v>
      </c>
      <c r="G207" s="758"/>
      <c r="H207" s="689">
        <f>MAX(HiddenImpacts!$J203:$N203)</f>
        <v>0</v>
      </c>
      <c r="I207" s="758"/>
      <c r="J207" s="998">
        <f>HiddenImpacts!$O203</f>
        <v>0</v>
      </c>
      <c r="K207" s="999"/>
    </row>
    <row r="208" spans="1:11" x14ac:dyDescent="0.2">
      <c r="A208" s="9" t="str">
        <f>HiddenImpacts!$A204</f>
        <v/>
      </c>
      <c r="B208" s="933" t="str">
        <f>HiddenImpacts!$B204</f>
        <v/>
      </c>
      <c r="C208" s="647"/>
      <c r="D208" s="647"/>
      <c r="E208" s="648"/>
      <c r="F208" s="689">
        <f>HiddenImpacts!$I204</f>
        <v>0</v>
      </c>
      <c r="G208" s="758"/>
      <c r="H208" s="689">
        <f>MAX(HiddenImpacts!$J204:$N204)</f>
        <v>0</v>
      </c>
      <c r="I208" s="758"/>
      <c r="J208" s="998">
        <f>HiddenImpacts!$O204</f>
        <v>0</v>
      </c>
      <c r="K208" s="999"/>
    </row>
    <row r="209" spans="1:11" x14ac:dyDescent="0.2">
      <c r="A209" s="9" t="str">
        <f>HiddenImpacts!$A205</f>
        <v/>
      </c>
      <c r="B209" s="933" t="str">
        <f>HiddenImpacts!$B205</f>
        <v/>
      </c>
      <c r="C209" s="647"/>
      <c r="D209" s="647"/>
      <c r="E209" s="648"/>
      <c r="F209" s="689">
        <f>HiddenImpacts!$I205</f>
        <v>0</v>
      </c>
      <c r="G209" s="758"/>
      <c r="H209" s="689">
        <f>MAX(HiddenImpacts!$J205:$N205)</f>
        <v>0</v>
      </c>
      <c r="I209" s="758"/>
      <c r="J209" s="998">
        <f>HiddenImpacts!$O205</f>
        <v>0</v>
      </c>
      <c r="K209" s="999"/>
    </row>
    <row r="210" spans="1:11" x14ac:dyDescent="0.2">
      <c r="A210" s="9" t="str">
        <f>HiddenImpacts!$A206</f>
        <v/>
      </c>
      <c r="B210" s="933" t="str">
        <f>HiddenImpacts!$B206</f>
        <v/>
      </c>
      <c r="C210" s="647"/>
      <c r="D210" s="647"/>
      <c r="E210" s="648"/>
      <c r="F210" s="689">
        <f>HiddenImpacts!$I206</f>
        <v>0</v>
      </c>
      <c r="G210" s="758"/>
      <c r="H210" s="689">
        <f>MAX(HiddenImpacts!$J206:$N206)</f>
        <v>0</v>
      </c>
      <c r="I210" s="758"/>
      <c r="J210" s="998">
        <f>HiddenImpacts!$O206</f>
        <v>0</v>
      </c>
      <c r="K210" s="999"/>
    </row>
    <row r="211" spans="1:11" x14ac:dyDescent="0.2">
      <c r="A211" s="9" t="str">
        <f>HiddenImpacts!$A207</f>
        <v/>
      </c>
      <c r="B211" s="933" t="str">
        <f>HiddenImpacts!$B207</f>
        <v/>
      </c>
      <c r="C211" s="647"/>
      <c r="D211" s="647"/>
      <c r="E211" s="648"/>
      <c r="F211" s="689">
        <f>HiddenImpacts!$I207</f>
        <v>0</v>
      </c>
      <c r="G211" s="758"/>
      <c r="H211" s="689">
        <f>MAX(HiddenImpacts!$J207:$N207)</f>
        <v>0</v>
      </c>
      <c r="I211" s="758"/>
      <c r="J211" s="998">
        <f>HiddenImpacts!$O207</f>
        <v>0</v>
      </c>
      <c r="K211" s="999"/>
    </row>
    <row r="212" spans="1:11" x14ac:dyDescent="0.2">
      <c r="A212" s="9" t="str">
        <f>HiddenImpacts!$A208</f>
        <v/>
      </c>
      <c r="B212" s="933" t="str">
        <f>HiddenImpacts!$B208</f>
        <v/>
      </c>
      <c r="C212" s="647"/>
      <c r="D212" s="647"/>
      <c r="E212" s="648"/>
      <c r="F212" s="689">
        <f>HiddenImpacts!$I208</f>
        <v>0</v>
      </c>
      <c r="G212" s="758"/>
      <c r="H212" s="689">
        <f>MAX(HiddenImpacts!$J208:$N208)</f>
        <v>0</v>
      </c>
      <c r="I212" s="758"/>
      <c r="J212" s="998">
        <f>HiddenImpacts!$O208</f>
        <v>0</v>
      </c>
      <c r="K212" s="999"/>
    </row>
    <row r="213" spans="1:11" x14ac:dyDescent="0.2">
      <c r="A213" s="9" t="str">
        <f>HiddenImpacts!$A209</f>
        <v/>
      </c>
      <c r="B213" s="933" t="str">
        <f>HiddenImpacts!$B209</f>
        <v/>
      </c>
      <c r="C213" s="647"/>
      <c r="D213" s="647"/>
      <c r="E213" s="648"/>
      <c r="F213" s="689">
        <f>HiddenImpacts!$I209</f>
        <v>0</v>
      </c>
      <c r="G213" s="758"/>
      <c r="H213" s="689">
        <f>MAX(HiddenImpacts!$J209:$N209)</f>
        <v>0</v>
      </c>
      <c r="I213" s="758"/>
      <c r="J213" s="998">
        <f>HiddenImpacts!$O209</f>
        <v>0</v>
      </c>
      <c r="K213" s="999"/>
    </row>
    <row r="214" spans="1:11" x14ac:dyDescent="0.2">
      <c r="A214" s="9" t="str">
        <f>HiddenImpacts!$A210</f>
        <v/>
      </c>
      <c r="B214" s="933" t="str">
        <f>HiddenImpacts!$B210</f>
        <v/>
      </c>
      <c r="C214" s="647"/>
      <c r="D214" s="647"/>
      <c r="E214" s="648"/>
      <c r="F214" s="689">
        <f>HiddenImpacts!$I210</f>
        <v>0</v>
      </c>
      <c r="G214" s="758"/>
      <c r="H214" s="689">
        <f>MAX(HiddenImpacts!$J210:$N210)</f>
        <v>0</v>
      </c>
      <c r="I214" s="758"/>
      <c r="J214" s="998">
        <f>HiddenImpacts!$O210</f>
        <v>0</v>
      </c>
      <c r="K214" s="999"/>
    </row>
    <row r="215" spans="1:11" x14ac:dyDescent="0.2">
      <c r="A215" s="9" t="str">
        <f>HiddenImpacts!$A211</f>
        <v/>
      </c>
      <c r="B215" s="933" t="str">
        <f>HiddenImpacts!$B211</f>
        <v/>
      </c>
      <c r="C215" s="647"/>
      <c r="D215" s="647"/>
      <c r="E215" s="648"/>
      <c r="F215" s="689">
        <f>HiddenImpacts!$I211</f>
        <v>0</v>
      </c>
      <c r="G215" s="758"/>
      <c r="H215" s="689">
        <f>MAX(HiddenImpacts!$J211:$N211)</f>
        <v>0</v>
      </c>
      <c r="I215" s="758"/>
      <c r="J215" s="998">
        <f>HiddenImpacts!$O211</f>
        <v>0</v>
      </c>
      <c r="K215" s="999"/>
    </row>
    <row r="216" spans="1:11" x14ac:dyDescent="0.2">
      <c r="A216" s="9" t="str">
        <f>HiddenImpacts!$A212</f>
        <v/>
      </c>
      <c r="B216" s="933" t="str">
        <f>HiddenImpacts!$B212</f>
        <v/>
      </c>
      <c r="C216" s="647"/>
      <c r="D216" s="647"/>
      <c r="E216" s="648"/>
      <c r="F216" s="689">
        <f>HiddenImpacts!$I212</f>
        <v>0</v>
      </c>
      <c r="G216" s="758"/>
      <c r="H216" s="689">
        <f>MAX(HiddenImpacts!$J212:$N212)</f>
        <v>0</v>
      </c>
      <c r="I216" s="758"/>
      <c r="J216" s="998">
        <f>HiddenImpacts!$O212</f>
        <v>0</v>
      </c>
      <c r="K216" s="999"/>
    </row>
    <row r="217" spans="1:11" x14ac:dyDescent="0.2">
      <c r="A217" s="9" t="str">
        <f>HiddenImpacts!$A213</f>
        <v/>
      </c>
      <c r="B217" s="933" t="str">
        <f>HiddenImpacts!$B213</f>
        <v/>
      </c>
      <c r="C217" s="647"/>
      <c r="D217" s="647"/>
      <c r="E217" s="648"/>
      <c r="F217" s="689">
        <f>HiddenImpacts!$I213</f>
        <v>0</v>
      </c>
      <c r="G217" s="758"/>
      <c r="H217" s="689">
        <f>MAX(HiddenImpacts!$J213:$N213)</f>
        <v>0</v>
      </c>
      <c r="I217" s="758"/>
      <c r="J217" s="998">
        <f>HiddenImpacts!$O213</f>
        <v>0</v>
      </c>
      <c r="K217" s="999"/>
    </row>
    <row r="218" spans="1:11" x14ac:dyDescent="0.2">
      <c r="A218" s="9" t="str">
        <f>HiddenImpacts!$A214</f>
        <v/>
      </c>
      <c r="B218" s="933" t="str">
        <f>HiddenImpacts!$B214</f>
        <v/>
      </c>
      <c r="C218" s="647"/>
      <c r="D218" s="647"/>
      <c r="E218" s="648"/>
      <c r="F218" s="689">
        <f>HiddenImpacts!$I214</f>
        <v>0</v>
      </c>
      <c r="G218" s="758"/>
      <c r="H218" s="689">
        <f>MAX(HiddenImpacts!$J214:$N214)</f>
        <v>0</v>
      </c>
      <c r="I218" s="758"/>
      <c r="J218" s="998">
        <f>HiddenImpacts!$O214</f>
        <v>0</v>
      </c>
      <c r="K218" s="999"/>
    </row>
    <row r="219" spans="1:11" x14ac:dyDescent="0.2">
      <c r="A219" s="9" t="str">
        <f>HiddenImpacts!$A215</f>
        <v/>
      </c>
      <c r="B219" s="933" t="str">
        <f>HiddenImpacts!$B215</f>
        <v/>
      </c>
      <c r="C219" s="647"/>
      <c r="D219" s="647"/>
      <c r="E219" s="648"/>
      <c r="F219" s="689">
        <f>HiddenImpacts!$I215</f>
        <v>0</v>
      </c>
      <c r="G219" s="758"/>
      <c r="H219" s="689">
        <f>MAX(HiddenImpacts!$J215:$N215)</f>
        <v>0</v>
      </c>
      <c r="I219" s="758"/>
      <c r="J219" s="998">
        <f>HiddenImpacts!$O215</f>
        <v>0</v>
      </c>
      <c r="K219" s="999"/>
    </row>
    <row r="220" spans="1:11" x14ac:dyDescent="0.2">
      <c r="A220" s="9" t="str">
        <f>HiddenImpacts!$A216</f>
        <v/>
      </c>
      <c r="B220" s="933" t="str">
        <f>HiddenImpacts!$B216</f>
        <v/>
      </c>
      <c r="C220" s="647"/>
      <c r="D220" s="647"/>
      <c r="E220" s="648"/>
      <c r="F220" s="689">
        <f>HiddenImpacts!$I216</f>
        <v>0</v>
      </c>
      <c r="G220" s="758"/>
      <c r="H220" s="689">
        <f>MAX(HiddenImpacts!$J216:$N216)</f>
        <v>0</v>
      </c>
      <c r="I220" s="758"/>
      <c r="J220" s="998">
        <f>HiddenImpacts!$O216</f>
        <v>0</v>
      </c>
      <c r="K220" s="999"/>
    </row>
    <row r="221" spans="1:11" x14ac:dyDescent="0.2">
      <c r="A221" s="9" t="str">
        <f>HiddenImpacts!$A217</f>
        <v/>
      </c>
      <c r="B221" s="933" t="str">
        <f>HiddenImpacts!$B217</f>
        <v/>
      </c>
      <c r="C221" s="647"/>
      <c r="D221" s="647"/>
      <c r="E221" s="648"/>
      <c r="F221" s="689">
        <f>HiddenImpacts!$I217</f>
        <v>0</v>
      </c>
      <c r="G221" s="758"/>
      <c r="H221" s="689">
        <f>MAX(HiddenImpacts!$J217:$N217)</f>
        <v>0</v>
      </c>
      <c r="I221" s="758"/>
      <c r="J221" s="998">
        <f>HiddenImpacts!$O217</f>
        <v>0</v>
      </c>
      <c r="K221" s="999"/>
    </row>
    <row r="222" spans="1:11" x14ac:dyDescent="0.2">
      <c r="A222" s="9" t="str">
        <f>HiddenImpacts!$A218</f>
        <v/>
      </c>
      <c r="B222" s="933" t="str">
        <f>HiddenImpacts!$B218</f>
        <v/>
      </c>
      <c r="C222" s="647"/>
      <c r="D222" s="647"/>
      <c r="E222" s="648"/>
      <c r="F222" s="689">
        <f>HiddenImpacts!$I218</f>
        <v>0</v>
      </c>
      <c r="G222" s="758"/>
      <c r="H222" s="689">
        <f>MAX(HiddenImpacts!$J218:$N218)</f>
        <v>0</v>
      </c>
      <c r="I222" s="758"/>
      <c r="J222" s="998">
        <f>HiddenImpacts!$O218</f>
        <v>0</v>
      </c>
      <c r="K222" s="999"/>
    </row>
    <row r="223" spans="1:11" x14ac:dyDescent="0.2">
      <c r="A223" s="9" t="str">
        <f>HiddenImpacts!$A219</f>
        <v/>
      </c>
      <c r="B223" s="933" t="str">
        <f>HiddenImpacts!$B219</f>
        <v/>
      </c>
      <c r="C223" s="647"/>
      <c r="D223" s="647"/>
      <c r="E223" s="648"/>
      <c r="F223" s="689">
        <f>HiddenImpacts!$I219</f>
        <v>0</v>
      </c>
      <c r="G223" s="758"/>
      <c r="H223" s="689">
        <f>MAX(HiddenImpacts!$J219:$N219)</f>
        <v>0</v>
      </c>
      <c r="I223" s="758"/>
      <c r="J223" s="998">
        <f>HiddenImpacts!$O219</f>
        <v>0</v>
      </c>
      <c r="K223" s="999"/>
    </row>
    <row r="224" spans="1:11" ht="15" thickBot="1" x14ac:dyDescent="0.25">
      <c r="A224" s="112" t="str">
        <f>HiddenImpacts!$A220</f>
        <v/>
      </c>
      <c r="B224" s="946" t="str">
        <f>HiddenImpacts!$B220</f>
        <v/>
      </c>
      <c r="C224" s="625"/>
      <c r="D224" s="625"/>
      <c r="E224" s="947"/>
      <c r="F224" s="802">
        <f>HiddenImpacts!$I220</f>
        <v>0</v>
      </c>
      <c r="G224" s="589"/>
      <c r="H224" s="802">
        <f>MAX(HiddenImpacts!$J220:$N220)</f>
        <v>0</v>
      </c>
      <c r="I224" s="589"/>
      <c r="J224" s="1000">
        <f>HiddenImpacts!$O220</f>
        <v>0</v>
      </c>
      <c r="K224" s="1001"/>
    </row>
    <row r="225" spans="1:11" ht="15" thickBot="1" x14ac:dyDescent="0.25">
      <c r="A225" s="1031" t="s">
        <v>1</v>
      </c>
      <c r="B225" s="1027"/>
      <c r="C225" s="1027"/>
      <c r="D225" s="1027"/>
      <c r="E225" s="1027"/>
      <c r="F225" s="1027"/>
      <c r="G225" s="1027"/>
      <c r="H225" s="1027"/>
      <c r="I225" s="1027"/>
      <c r="J225" s="1027"/>
      <c r="K225" s="1027"/>
    </row>
    <row r="226" spans="1:11" ht="15.75" thickBot="1" x14ac:dyDescent="0.25">
      <c r="A226" s="1028" t="s">
        <v>10065</v>
      </c>
      <c r="B226" s="1029"/>
      <c r="C226" s="1029"/>
      <c r="D226" s="1029"/>
      <c r="E226" s="1029"/>
      <c r="F226" s="1029"/>
      <c r="G226" s="1029"/>
      <c r="H226" s="1029"/>
      <c r="I226" s="1029"/>
      <c r="J226" s="1029"/>
      <c r="K226" s="1030"/>
    </row>
    <row r="227" spans="1:11" ht="75" x14ac:dyDescent="0.2">
      <c r="A227" s="48" t="s">
        <v>8751</v>
      </c>
      <c r="B227" s="540" t="s">
        <v>9203</v>
      </c>
      <c r="C227" s="540"/>
      <c r="D227" s="49" t="s">
        <v>9526</v>
      </c>
      <c r="E227" s="49" t="s">
        <v>9528</v>
      </c>
      <c r="F227" s="49" t="s">
        <v>9524</v>
      </c>
      <c r="G227" s="49" t="s">
        <v>9525</v>
      </c>
      <c r="H227" s="49" t="s">
        <v>9536</v>
      </c>
      <c r="I227" s="49" t="s">
        <v>10051</v>
      </c>
      <c r="J227" s="49" t="s">
        <v>10052</v>
      </c>
      <c r="K227" s="210" t="s">
        <v>9205</v>
      </c>
    </row>
    <row r="228" spans="1:11" ht="30" customHeight="1" x14ac:dyDescent="0.2">
      <c r="A228" s="9" t="str">
        <f t="shared" ref="A228:B243" si="11">A115</f>
        <v/>
      </c>
      <c r="B228" s="531" t="str">
        <f t="shared" si="11"/>
        <v/>
      </c>
      <c r="C228" s="531"/>
      <c r="D228" s="42"/>
      <c r="E228" s="42"/>
      <c r="F228" s="16" t="str">
        <f>HiddenImpacts!F224</f>
        <v/>
      </c>
      <c r="G228" s="16" t="str">
        <f>HiddenImpacts!G224</f>
        <v/>
      </c>
      <c r="H228" s="16" t="str">
        <f>HiddenImpacts!H224</f>
        <v/>
      </c>
      <c r="I228" s="16" t="str">
        <f>HiddenImpacts!I224</f>
        <v/>
      </c>
      <c r="J228" s="16" t="str">
        <f>HiddenImpacts!J224</f>
        <v/>
      </c>
      <c r="K228" s="29" t="str">
        <f>HiddenImpacts!K224</f>
        <v/>
      </c>
    </row>
    <row r="229" spans="1:11" ht="30" customHeight="1" x14ac:dyDescent="0.2">
      <c r="A229" s="9" t="str">
        <f t="shared" si="11"/>
        <v/>
      </c>
      <c r="B229" s="531" t="str">
        <f t="shared" si="11"/>
        <v/>
      </c>
      <c r="C229" s="531"/>
      <c r="D229" s="42"/>
      <c r="E229" s="42"/>
      <c r="F229" s="16" t="str">
        <f>HiddenImpacts!F225</f>
        <v/>
      </c>
      <c r="G229" s="16" t="str">
        <f>HiddenImpacts!G225</f>
        <v/>
      </c>
      <c r="H229" s="16" t="str">
        <f>HiddenImpacts!H225</f>
        <v/>
      </c>
      <c r="I229" s="16" t="str">
        <f>HiddenImpacts!I225</f>
        <v/>
      </c>
      <c r="J229" s="16" t="str">
        <f>HiddenImpacts!J225</f>
        <v/>
      </c>
      <c r="K229" s="29" t="str">
        <f>HiddenImpacts!K225</f>
        <v/>
      </c>
    </row>
    <row r="230" spans="1:11" ht="30" customHeight="1" x14ac:dyDescent="0.2">
      <c r="A230" s="9" t="str">
        <f t="shared" si="11"/>
        <v/>
      </c>
      <c r="B230" s="531" t="str">
        <f t="shared" si="11"/>
        <v/>
      </c>
      <c r="C230" s="531"/>
      <c r="D230" s="42"/>
      <c r="E230" s="42"/>
      <c r="F230" s="16" t="str">
        <f>HiddenImpacts!F226</f>
        <v/>
      </c>
      <c r="G230" s="16" t="str">
        <f>HiddenImpacts!G226</f>
        <v/>
      </c>
      <c r="H230" s="16" t="str">
        <f>HiddenImpacts!H226</f>
        <v/>
      </c>
      <c r="I230" s="16" t="str">
        <f>HiddenImpacts!I226</f>
        <v/>
      </c>
      <c r="J230" s="16" t="str">
        <f>HiddenImpacts!J226</f>
        <v/>
      </c>
      <c r="K230" s="29" t="str">
        <f>HiddenImpacts!K226</f>
        <v/>
      </c>
    </row>
    <row r="231" spans="1:11" ht="30" customHeight="1" x14ac:dyDescent="0.2">
      <c r="A231" s="9" t="str">
        <f t="shared" si="11"/>
        <v/>
      </c>
      <c r="B231" s="531" t="str">
        <f t="shared" si="11"/>
        <v/>
      </c>
      <c r="C231" s="531"/>
      <c r="D231" s="42"/>
      <c r="E231" s="42"/>
      <c r="F231" s="16" t="str">
        <f>HiddenImpacts!F227</f>
        <v/>
      </c>
      <c r="G231" s="16" t="str">
        <f>HiddenImpacts!G227</f>
        <v/>
      </c>
      <c r="H231" s="16" t="str">
        <f>HiddenImpacts!H227</f>
        <v/>
      </c>
      <c r="I231" s="16" t="str">
        <f>HiddenImpacts!I227</f>
        <v/>
      </c>
      <c r="J231" s="16" t="str">
        <f>HiddenImpacts!J227</f>
        <v/>
      </c>
      <c r="K231" s="29" t="str">
        <f>HiddenImpacts!K227</f>
        <v/>
      </c>
    </row>
    <row r="232" spans="1:11" ht="30" customHeight="1" x14ac:dyDescent="0.2">
      <c r="A232" s="9" t="str">
        <f t="shared" si="11"/>
        <v/>
      </c>
      <c r="B232" s="531" t="str">
        <f t="shared" si="11"/>
        <v/>
      </c>
      <c r="C232" s="531"/>
      <c r="D232" s="42"/>
      <c r="E232" s="42"/>
      <c r="F232" s="16" t="str">
        <f>HiddenImpacts!F228</f>
        <v/>
      </c>
      <c r="G232" s="16" t="str">
        <f>HiddenImpacts!G228</f>
        <v/>
      </c>
      <c r="H232" s="16" t="str">
        <f>HiddenImpacts!H228</f>
        <v/>
      </c>
      <c r="I232" s="16" t="str">
        <f>HiddenImpacts!I228</f>
        <v/>
      </c>
      <c r="J232" s="16" t="str">
        <f>HiddenImpacts!J228</f>
        <v/>
      </c>
      <c r="K232" s="29" t="str">
        <f>HiddenImpacts!K228</f>
        <v/>
      </c>
    </row>
    <row r="233" spans="1:11" ht="30" customHeight="1" x14ac:dyDescent="0.2">
      <c r="A233" s="9" t="str">
        <f t="shared" si="11"/>
        <v/>
      </c>
      <c r="B233" s="531" t="str">
        <f t="shared" si="11"/>
        <v/>
      </c>
      <c r="C233" s="531"/>
      <c r="D233" s="42"/>
      <c r="E233" s="42"/>
      <c r="F233" s="16" t="str">
        <f>HiddenImpacts!F229</f>
        <v/>
      </c>
      <c r="G233" s="16" t="str">
        <f>HiddenImpacts!G229</f>
        <v/>
      </c>
      <c r="H233" s="16" t="str">
        <f>HiddenImpacts!H229</f>
        <v/>
      </c>
      <c r="I233" s="16" t="str">
        <f>HiddenImpacts!I229</f>
        <v/>
      </c>
      <c r="J233" s="16" t="str">
        <f>HiddenImpacts!J229</f>
        <v/>
      </c>
      <c r="K233" s="29" t="str">
        <f>HiddenImpacts!K229</f>
        <v/>
      </c>
    </row>
    <row r="234" spans="1:11" ht="30" customHeight="1" x14ac:dyDescent="0.2">
      <c r="A234" s="9" t="str">
        <f t="shared" si="11"/>
        <v/>
      </c>
      <c r="B234" s="531" t="str">
        <f t="shared" si="11"/>
        <v/>
      </c>
      <c r="C234" s="531"/>
      <c r="D234" s="42"/>
      <c r="E234" s="42"/>
      <c r="F234" s="16" t="str">
        <f>HiddenImpacts!F230</f>
        <v/>
      </c>
      <c r="G234" s="16" t="str">
        <f>HiddenImpacts!G230</f>
        <v/>
      </c>
      <c r="H234" s="16" t="str">
        <f>HiddenImpacts!H230</f>
        <v/>
      </c>
      <c r="I234" s="16" t="str">
        <f>HiddenImpacts!I230</f>
        <v/>
      </c>
      <c r="J234" s="16" t="str">
        <f>HiddenImpacts!J230</f>
        <v/>
      </c>
      <c r="K234" s="29" t="str">
        <f>HiddenImpacts!K230</f>
        <v/>
      </c>
    </row>
    <row r="235" spans="1:11" ht="30" customHeight="1" x14ac:dyDescent="0.2">
      <c r="A235" s="9" t="str">
        <f t="shared" si="11"/>
        <v/>
      </c>
      <c r="B235" s="531" t="str">
        <f t="shared" si="11"/>
        <v/>
      </c>
      <c r="C235" s="531"/>
      <c r="D235" s="42"/>
      <c r="E235" s="42"/>
      <c r="F235" s="16" t="str">
        <f>HiddenImpacts!F231</f>
        <v/>
      </c>
      <c r="G235" s="16" t="str">
        <f>HiddenImpacts!G231</f>
        <v/>
      </c>
      <c r="H235" s="16" t="str">
        <f>HiddenImpacts!H231</f>
        <v/>
      </c>
      <c r="I235" s="16" t="str">
        <f>HiddenImpacts!I231</f>
        <v/>
      </c>
      <c r="J235" s="16" t="str">
        <f>HiddenImpacts!J231</f>
        <v/>
      </c>
      <c r="K235" s="29" t="str">
        <f>HiddenImpacts!K231</f>
        <v/>
      </c>
    </row>
    <row r="236" spans="1:11" ht="30" customHeight="1" x14ac:dyDescent="0.2">
      <c r="A236" s="9" t="str">
        <f t="shared" si="11"/>
        <v/>
      </c>
      <c r="B236" s="531" t="str">
        <f t="shared" si="11"/>
        <v/>
      </c>
      <c r="C236" s="531"/>
      <c r="D236" s="42"/>
      <c r="E236" s="42"/>
      <c r="F236" s="16" t="str">
        <f>HiddenImpacts!F232</f>
        <v/>
      </c>
      <c r="G236" s="16" t="str">
        <f>HiddenImpacts!G232</f>
        <v/>
      </c>
      <c r="H236" s="16" t="str">
        <f>HiddenImpacts!H232</f>
        <v/>
      </c>
      <c r="I236" s="16" t="str">
        <f>HiddenImpacts!I232</f>
        <v/>
      </c>
      <c r="J236" s="16" t="str">
        <f>HiddenImpacts!J232</f>
        <v/>
      </c>
      <c r="K236" s="29" t="str">
        <f>HiddenImpacts!K232</f>
        <v/>
      </c>
    </row>
    <row r="237" spans="1:11" ht="30" customHeight="1" x14ac:dyDescent="0.2">
      <c r="A237" s="9" t="str">
        <f t="shared" si="11"/>
        <v/>
      </c>
      <c r="B237" s="531" t="str">
        <f t="shared" si="11"/>
        <v/>
      </c>
      <c r="C237" s="531"/>
      <c r="D237" s="42"/>
      <c r="E237" s="42"/>
      <c r="F237" s="16" t="str">
        <f>HiddenImpacts!F233</f>
        <v/>
      </c>
      <c r="G237" s="16" t="str">
        <f>HiddenImpacts!G233</f>
        <v/>
      </c>
      <c r="H237" s="16" t="str">
        <f>HiddenImpacts!H233</f>
        <v/>
      </c>
      <c r="I237" s="16" t="str">
        <f>HiddenImpacts!I233</f>
        <v/>
      </c>
      <c r="J237" s="16" t="str">
        <f>HiddenImpacts!J233</f>
        <v/>
      </c>
      <c r="K237" s="29" t="str">
        <f>HiddenImpacts!K233</f>
        <v/>
      </c>
    </row>
    <row r="238" spans="1:11" ht="30" customHeight="1" x14ac:dyDescent="0.2">
      <c r="A238" s="9" t="str">
        <f t="shared" si="11"/>
        <v/>
      </c>
      <c r="B238" s="531" t="str">
        <f t="shared" si="11"/>
        <v/>
      </c>
      <c r="C238" s="531"/>
      <c r="D238" s="42"/>
      <c r="E238" s="42"/>
      <c r="F238" s="16" t="str">
        <f>HiddenImpacts!F234</f>
        <v/>
      </c>
      <c r="G238" s="16" t="str">
        <f>HiddenImpacts!G234</f>
        <v/>
      </c>
      <c r="H238" s="16" t="str">
        <f>HiddenImpacts!H234</f>
        <v/>
      </c>
      <c r="I238" s="16" t="str">
        <f>HiddenImpacts!I234</f>
        <v/>
      </c>
      <c r="J238" s="16" t="str">
        <f>HiddenImpacts!J234</f>
        <v/>
      </c>
      <c r="K238" s="29" t="str">
        <f>HiddenImpacts!K234</f>
        <v/>
      </c>
    </row>
    <row r="239" spans="1:11" ht="30" customHeight="1" x14ac:dyDescent="0.2">
      <c r="A239" s="9" t="str">
        <f t="shared" si="11"/>
        <v/>
      </c>
      <c r="B239" s="531" t="str">
        <f t="shared" si="11"/>
        <v/>
      </c>
      <c r="C239" s="531"/>
      <c r="D239" s="42"/>
      <c r="E239" s="42"/>
      <c r="F239" s="16" t="str">
        <f>HiddenImpacts!F235</f>
        <v/>
      </c>
      <c r="G239" s="16" t="str">
        <f>HiddenImpacts!G235</f>
        <v/>
      </c>
      <c r="H239" s="16" t="str">
        <f>HiddenImpacts!H235</f>
        <v/>
      </c>
      <c r="I239" s="16" t="str">
        <f>HiddenImpacts!I235</f>
        <v/>
      </c>
      <c r="J239" s="16" t="str">
        <f>HiddenImpacts!J235</f>
        <v/>
      </c>
      <c r="K239" s="29" t="str">
        <f>HiddenImpacts!K235</f>
        <v/>
      </c>
    </row>
    <row r="240" spans="1:11" ht="30" customHeight="1" x14ac:dyDescent="0.2">
      <c r="A240" s="9" t="str">
        <f t="shared" si="11"/>
        <v/>
      </c>
      <c r="B240" s="531" t="str">
        <f t="shared" si="11"/>
        <v/>
      </c>
      <c r="C240" s="531"/>
      <c r="D240" s="42"/>
      <c r="E240" s="42"/>
      <c r="F240" s="16" t="str">
        <f>HiddenImpacts!F236</f>
        <v/>
      </c>
      <c r="G240" s="16" t="str">
        <f>HiddenImpacts!G236</f>
        <v/>
      </c>
      <c r="H240" s="16" t="str">
        <f>HiddenImpacts!H236</f>
        <v/>
      </c>
      <c r="I240" s="16" t="str">
        <f>HiddenImpacts!I236</f>
        <v/>
      </c>
      <c r="J240" s="16" t="str">
        <f>HiddenImpacts!J236</f>
        <v/>
      </c>
      <c r="K240" s="29" t="str">
        <f>HiddenImpacts!K236</f>
        <v/>
      </c>
    </row>
    <row r="241" spans="1:11" ht="30" customHeight="1" x14ac:dyDescent="0.2">
      <c r="A241" s="9" t="str">
        <f t="shared" si="11"/>
        <v/>
      </c>
      <c r="B241" s="531" t="str">
        <f t="shared" si="11"/>
        <v/>
      </c>
      <c r="C241" s="531"/>
      <c r="D241" s="42"/>
      <c r="E241" s="42"/>
      <c r="F241" s="16" t="str">
        <f>HiddenImpacts!F237</f>
        <v/>
      </c>
      <c r="G241" s="16" t="str">
        <f>HiddenImpacts!G237</f>
        <v/>
      </c>
      <c r="H241" s="16" t="str">
        <f>HiddenImpacts!H237</f>
        <v/>
      </c>
      <c r="I241" s="16" t="str">
        <f>HiddenImpacts!I237</f>
        <v/>
      </c>
      <c r="J241" s="16" t="str">
        <f>HiddenImpacts!J237</f>
        <v/>
      </c>
      <c r="K241" s="29" t="str">
        <f>HiddenImpacts!K237</f>
        <v/>
      </c>
    </row>
    <row r="242" spans="1:11" ht="30" customHeight="1" x14ac:dyDescent="0.2">
      <c r="A242" s="9" t="str">
        <f t="shared" si="11"/>
        <v/>
      </c>
      <c r="B242" s="531" t="str">
        <f t="shared" si="11"/>
        <v/>
      </c>
      <c r="C242" s="531"/>
      <c r="D242" s="42"/>
      <c r="E242" s="42"/>
      <c r="F242" s="16" t="str">
        <f>HiddenImpacts!F238</f>
        <v/>
      </c>
      <c r="G242" s="16" t="str">
        <f>HiddenImpacts!G238</f>
        <v/>
      </c>
      <c r="H242" s="16" t="str">
        <f>HiddenImpacts!H238</f>
        <v/>
      </c>
      <c r="I242" s="16" t="str">
        <f>HiddenImpacts!I238</f>
        <v/>
      </c>
      <c r="J242" s="16" t="str">
        <f>HiddenImpacts!J238</f>
        <v/>
      </c>
      <c r="K242" s="29" t="str">
        <f>HiddenImpacts!K238</f>
        <v/>
      </c>
    </row>
    <row r="243" spans="1:11" ht="30" customHeight="1" x14ac:dyDescent="0.2">
      <c r="A243" s="9" t="str">
        <f t="shared" si="11"/>
        <v/>
      </c>
      <c r="B243" s="531" t="str">
        <f t="shared" si="11"/>
        <v/>
      </c>
      <c r="C243" s="531"/>
      <c r="D243" s="42"/>
      <c r="E243" s="42"/>
      <c r="F243" s="16" t="str">
        <f>HiddenImpacts!F239</f>
        <v/>
      </c>
      <c r="G243" s="16" t="str">
        <f>HiddenImpacts!G239</f>
        <v/>
      </c>
      <c r="H243" s="16" t="str">
        <f>HiddenImpacts!H239</f>
        <v/>
      </c>
      <c r="I243" s="16" t="str">
        <f>HiddenImpacts!I239</f>
        <v/>
      </c>
      <c r="J243" s="16" t="str">
        <f>HiddenImpacts!J239</f>
        <v/>
      </c>
      <c r="K243" s="29" t="str">
        <f>HiddenImpacts!K239</f>
        <v/>
      </c>
    </row>
    <row r="244" spans="1:11" ht="30" customHeight="1" x14ac:dyDescent="0.2">
      <c r="A244" s="9" t="str">
        <f t="shared" ref="A244:B259" si="12">A131</f>
        <v/>
      </c>
      <c r="B244" s="531" t="str">
        <f t="shared" si="12"/>
        <v/>
      </c>
      <c r="C244" s="531"/>
      <c r="D244" s="42"/>
      <c r="E244" s="42"/>
      <c r="F244" s="16" t="str">
        <f>HiddenImpacts!F240</f>
        <v/>
      </c>
      <c r="G244" s="16" t="str">
        <f>HiddenImpacts!G240</f>
        <v/>
      </c>
      <c r="H244" s="16" t="str">
        <f>HiddenImpacts!H240</f>
        <v/>
      </c>
      <c r="I244" s="16" t="str">
        <f>HiddenImpacts!I240</f>
        <v/>
      </c>
      <c r="J244" s="16" t="str">
        <f>HiddenImpacts!J240</f>
        <v/>
      </c>
      <c r="K244" s="29" t="str">
        <f>HiddenImpacts!K240</f>
        <v/>
      </c>
    </row>
    <row r="245" spans="1:11" ht="30" customHeight="1" x14ac:dyDescent="0.2">
      <c r="A245" s="9" t="str">
        <f t="shared" si="12"/>
        <v/>
      </c>
      <c r="B245" s="531" t="str">
        <f t="shared" si="12"/>
        <v/>
      </c>
      <c r="C245" s="531"/>
      <c r="D245" s="42"/>
      <c r="E245" s="42"/>
      <c r="F245" s="16" t="str">
        <f>HiddenImpacts!F241</f>
        <v/>
      </c>
      <c r="G245" s="16" t="str">
        <f>HiddenImpacts!G241</f>
        <v/>
      </c>
      <c r="H245" s="16" t="str">
        <f>HiddenImpacts!H241</f>
        <v/>
      </c>
      <c r="I245" s="16" t="str">
        <f>HiddenImpacts!I241</f>
        <v/>
      </c>
      <c r="J245" s="16" t="str">
        <f>HiddenImpacts!J241</f>
        <v/>
      </c>
      <c r="K245" s="29" t="str">
        <f>HiddenImpacts!K241</f>
        <v/>
      </c>
    </row>
    <row r="246" spans="1:11" ht="30" customHeight="1" x14ac:dyDescent="0.2">
      <c r="A246" s="9" t="str">
        <f t="shared" si="12"/>
        <v/>
      </c>
      <c r="B246" s="531" t="str">
        <f t="shared" si="12"/>
        <v/>
      </c>
      <c r="C246" s="531"/>
      <c r="D246" s="42"/>
      <c r="E246" s="42"/>
      <c r="F246" s="16" t="str">
        <f>HiddenImpacts!F242</f>
        <v/>
      </c>
      <c r="G246" s="16" t="str">
        <f>HiddenImpacts!G242</f>
        <v/>
      </c>
      <c r="H246" s="16" t="str">
        <f>HiddenImpacts!H242</f>
        <v/>
      </c>
      <c r="I246" s="16" t="str">
        <f>HiddenImpacts!I242</f>
        <v/>
      </c>
      <c r="J246" s="16" t="str">
        <f>HiddenImpacts!J242</f>
        <v/>
      </c>
      <c r="K246" s="29" t="str">
        <f>HiddenImpacts!K242</f>
        <v/>
      </c>
    </row>
    <row r="247" spans="1:11" ht="30" customHeight="1" x14ac:dyDescent="0.2">
      <c r="A247" s="9" t="str">
        <f t="shared" si="12"/>
        <v/>
      </c>
      <c r="B247" s="531" t="str">
        <f t="shared" si="12"/>
        <v/>
      </c>
      <c r="C247" s="531"/>
      <c r="D247" s="42"/>
      <c r="E247" s="42"/>
      <c r="F247" s="16" t="str">
        <f>HiddenImpacts!F243</f>
        <v/>
      </c>
      <c r="G247" s="16" t="str">
        <f>HiddenImpacts!G243</f>
        <v/>
      </c>
      <c r="H247" s="16" t="str">
        <f>HiddenImpacts!H243</f>
        <v/>
      </c>
      <c r="I247" s="16" t="str">
        <f>HiddenImpacts!I243</f>
        <v/>
      </c>
      <c r="J247" s="16" t="str">
        <f>HiddenImpacts!J243</f>
        <v/>
      </c>
      <c r="K247" s="29" t="str">
        <f>HiddenImpacts!K243</f>
        <v/>
      </c>
    </row>
    <row r="248" spans="1:11" ht="30" customHeight="1" x14ac:dyDescent="0.2">
      <c r="A248" s="9" t="str">
        <f t="shared" si="12"/>
        <v/>
      </c>
      <c r="B248" s="531" t="str">
        <f t="shared" si="12"/>
        <v/>
      </c>
      <c r="C248" s="531"/>
      <c r="D248" s="42"/>
      <c r="E248" s="42"/>
      <c r="F248" s="16" t="str">
        <f>HiddenImpacts!F244</f>
        <v/>
      </c>
      <c r="G248" s="16" t="str">
        <f>HiddenImpacts!G244</f>
        <v/>
      </c>
      <c r="H248" s="16" t="str">
        <f>HiddenImpacts!H244</f>
        <v/>
      </c>
      <c r="I248" s="16" t="str">
        <f>HiddenImpacts!I244</f>
        <v/>
      </c>
      <c r="J248" s="16" t="str">
        <f>HiddenImpacts!J244</f>
        <v/>
      </c>
      <c r="K248" s="29" t="str">
        <f>HiddenImpacts!K244</f>
        <v/>
      </c>
    </row>
    <row r="249" spans="1:11" ht="30" customHeight="1" x14ac:dyDescent="0.2">
      <c r="A249" s="9" t="str">
        <f t="shared" si="12"/>
        <v/>
      </c>
      <c r="B249" s="531" t="str">
        <f t="shared" si="12"/>
        <v/>
      </c>
      <c r="C249" s="531"/>
      <c r="D249" s="42"/>
      <c r="E249" s="42"/>
      <c r="F249" s="16" t="str">
        <f>HiddenImpacts!F245</f>
        <v/>
      </c>
      <c r="G249" s="16" t="str">
        <f>HiddenImpacts!G245</f>
        <v/>
      </c>
      <c r="H249" s="16" t="str">
        <f>HiddenImpacts!H245</f>
        <v/>
      </c>
      <c r="I249" s="16" t="str">
        <f>HiddenImpacts!I245</f>
        <v/>
      </c>
      <c r="J249" s="16" t="str">
        <f>HiddenImpacts!J245</f>
        <v/>
      </c>
      <c r="K249" s="29" t="str">
        <f>HiddenImpacts!K245</f>
        <v/>
      </c>
    </row>
    <row r="250" spans="1:11" ht="30" customHeight="1" x14ac:dyDescent="0.2">
      <c r="A250" s="9" t="str">
        <f t="shared" si="12"/>
        <v/>
      </c>
      <c r="B250" s="531" t="str">
        <f t="shared" si="12"/>
        <v/>
      </c>
      <c r="C250" s="531"/>
      <c r="D250" s="42"/>
      <c r="E250" s="42"/>
      <c r="F250" s="16" t="str">
        <f>HiddenImpacts!F246</f>
        <v/>
      </c>
      <c r="G250" s="16" t="str">
        <f>HiddenImpacts!G246</f>
        <v/>
      </c>
      <c r="H250" s="16" t="str">
        <f>HiddenImpacts!H246</f>
        <v/>
      </c>
      <c r="I250" s="16" t="str">
        <f>HiddenImpacts!I246</f>
        <v/>
      </c>
      <c r="J250" s="16" t="str">
        <f>HiddenImpacts!J246</f>
        <v/>
      </c>
      <c r="K250" s="29" t="str">
        <f>HiddenImpacts!K246</f>
        <v/>
      </c>
    </row>
    <row r="251" spans="1:11" ht="30" customHeight="1" x14ac:dyDescent="0.2">
      <c r="A251" s="9" t="str">
        <f t="shared" si="12"/>
        <v/>
      </c>
      <c r="B251" s="531" t="str">
        <f t="shared" si="12"/>
        <v/>
      </c>
      <c r="C251" s="531"/>
      <c r="D251" s="42"/>
      <c r="E251" s="42"/>
      <c r="F251" s="16" t="str">
        <f>HiddenImpacts!F247</f>
        <v/>
      </c>
      <c r="G251" s="16" t="str">
        <f>HiddenImpacts!G247</f>
        <v/>
      </c>
      <c r="H251" s="16" t="str">
        <f>HiddenImpacts!H247</f>
        <v/>
      </c>
      <c r="I251" s="16" t="str">
        <f>HiddenImpacts!I247</f>
        <v/>
      </c>
      <c r="J251" s="16" t="str">
        <f>HiddenImpacts!J247</f>
        <v/>
      </c>
      <c r="K251" s="29" t="str">
        <f>HiddenImpacts!K247</f>
        <v/>
      </c>
    </row>
    <row r="252" spans="1:11" ht="30" customHeight="1" x14ac:dyDescent="0.2">
      <c r="A252" s="9" t="str">
        <f t="shared" si="12"/>
        <v/>
      </c>
      <c r="B252" s="531" t="str">
        <f t="shared" si="12"/>
        <v/>
      </c>
      <c r="C252" s="531"/>
      <c r="D252" s="42"/>
      <c r="E252" s="42"/>
      <c r="F252" s="16" t="str">
        <f>HiddenImpacts!F248</f>
        <v/>
      </c>
      <c r="G252" s="16" t="str">
        <f>HiddenImpacts!G248</f>
        <v/>
      </c>
      <c r="H252" s="16" t="str">
        <f>HiddenImpacts!H248</f>
        <v/>
      </c>
      <c r="I252" s="16" t="str">
        <f>HiddenImpacts!I248</f>
        <v/>
      </c>
      <c r="J252" s="16" t="str">
        <f>HiddenImpacts!J248</f>
        <v/>
      </c>
      <c r="K252" s="29" t="str">
        <f>HiddenImpacts!K248</f>
        <v/>
      </c>
    </row>
    <row r="253" spans="1:11" ht="30" customHeight="1" x14ac:dyDescent="0.2">
      <c r="A253" s="9" t="str">
        <f t="shared" si="12"/>
        <v/>
      </c>
      <c r="B253" s="531" t="str">
        <f t="shared" si="12"/>
        <v/>
      </c>
      <c r="C253" s="531"/>
      <c r="D253" s="42"/>
      <c r="E253" s="42"/>
      <c r="F253" s="16" t="str">
        <f>HiddenImpacts!F249</f>
        <v/>
      </c>
      <c r="G253" s="16" t="str">
        <f>HiddenImpacts!G249</f>
        <v/>
      </c>
      <c r="H253" s="16" t="str">
        <f>HiddenImpacts!H249</f>
        <v/>
      </c>
      <c r="I253" s="16" t="str">
        <f>HiddenImpacts!I249</f>
        <v/>
      </c>
      <c r="J253" s="16" t="str">
        <f>HiddenImpacts!J249</f>
        <v/>
      </c>
      <c r="K253" s="29" t="str">
        <f>HiddenImpacts!K249</f>
        <v/>
      </c>
    </row>
    <row r="254" spans="1:11" ht="30" customHeight="1" x14ac:dyDescent="0.2">
      <c r="A254" s="9" t="str">
        <f t="shared" si="12"/>
        <v/>
      </c>
      <c r="B254" s="531" t="str">
        <f t="shared" si="12"/>
        <v/>
      </c>
      <c r="C254" s="531"/>
      <c r="D254" s="42"/>
      <c r="E254" s="42"/>
      <c r="F254" s="16" t="str">
        <f>HiddenImpacts!F250</f>
        <v/>
      </c>
      <c r="G254" s="16" t="str">
        <f>HiddenImpacts!G250</f>
        <v/>
      </c>
      <c r="H254" s="16" t="str">
        <f>HiddenImpacts!H250</f>
        <v/>
      </c>
      <c r="I254" s="16" t="str">
        <f>HiddenImpacts!I250</f>
        <v/>
      </c>
      <c r="J254" s="16" t="str">
        <f>HiddenImpacts!J250</f>
        <v/>
      </c>
      <c r="K254" s="29" t="str">
        <f>HiddenImpacts!K250</f>
        <v/>
      </c>
    </row>
    <row r="255" spans="1:11" ht="30" customHeight="1" x14ac:dyDescent="0.2">
      <c r="A255" s="9" t="str">
        <f t="shared" si="12"/>
        <v/>
      </c>
      <c r="B255" s="531" t="str">
        <f t="shared" si="12"/>
        <v/>
      </c>
      <c r="C255" s="531"/>
      <c r="D255" s="42"/>
      <c r="E255" s="42"/>
      <c r="F255" s="16" t="str">
        <f>HiddenImpacts!F251</f>
        <v/>
      </c>
      <c r="G255" s="16" t="str">
        <f>HiddenImpacts!G251</f>
        <v/>
      </c>
      <c r="H255" s="16" t="str">
        <f>HiddenImpacts!H251</f>
        <v/>
      </c>
      <c r="I255" s="16" t="str">
        <f>HiddenImpacts!I251</f>
        <v/>
      </c>
      <c r="J255" s="16" t="str">
        <f>HiddenImpacts!J251</f>
        <v/>
      </c>
      <c r="K255" s="29" t="str">
        <f>HiddenImpacts!K251</f>
        <v/>
      </c>
    </row>
    <row r="256" spans="1:11" ht="30" customHeight="1" x14ac:dyDescent="0.2">
      <c r="A256" s="9" t="str">
        <f t="shared" si="12"/>
        <v/>
      </c>
      <c r="B256" s="531" t="str">
        <f t="shared" si="12"/>
        <v/>
      </c>
      <c r="C256" s="531"/>
      <c r="D256" s="42"/>
      <c r="E256" s="42"/>
      <c r="F256" s="16" t="str">
        <f>HiddenImpacts!F252</f>
        <v/>
      </c>
      <c r="G256" s="16" t="str">
        <f>HiddenImpacts!G252</f>
        <v/>
      </c>
      <c r="H256" s="16" t="str">
        <f>HiddenImpacts!H252</f>
        <v/>
      </c>
      <c r="I256" s="16" t="str">
        <f>HiddenImpacts!I252</f>
        <v/>
      </c>
      <c r="J256" s="16" t="str">
        <f>HiddenImpacts!J252</f>
        <v/>
      </c>
      <c r="K256" s="29" t="str">
        <f>HiddenImpacts!K252</f>
        <v/>
      </c>
    </row>
    <row r="257" spans="1:11" ht="30" customHeight="1" x14ac:dyDescent="0.2">
      <c r="A257" s="9" t="str">
        <f t="shared" si="12"/>
        <v/>
      </c>
      <c r="B257" s="531" t="str">
        <f t="shared" si="12"/>
        <v/>
      </c>
      <c r="C257" s="531"/>
      <c r="D257" s="42"/>
      <c r="E257" s="42"/>
      <c r="F257" s="16" t="str">
        <f>HiddenImpacts!F253</f>
        <v/>
      </c>
      <c r="G257" s="16" t="str">
        <f>HiddenImpacts!G253</f>
        <v/>
      </c>
      <c r="H257" s="16" t="str">
        <f>HiddenImpacts!H253</f>
        <v/>
      </c>
      <c r="I257" s="16" t="str">
        <f>HiddenImpacts!I253</f>
        <v/>
      </c>
      <c r="J257" s="16" t="str">
        <f>HiddenImpacts!J253</f>
        <v/>
      </c>
      <c r="K257" s="29" t="str">
        <f>HiddenImpacts!K253</f>
        <v/>
      </c>
    </row>
    <row r="258" spans="1:11" ht="30" customHeight="1" x14ac:dyDescent="0.2">
      <c r="A258" s="9" t="str">
        <f t="shared" si="12"/>
        <v/>
      </c>
      <c r="B258" s="531" t="str">
        <f t="shared" si="12"/>
        <v/>
      </c>
      <c r="C258" s="531"/>
      <c r="D258" s="42"/>
      <c r="E258" s="42"/>
      <c r="F258" s="16" t="str">
        <f>HiddenImpacts!F254</f>
        <v/>
      </c>
      <c r="G258" s="16" t="str">
        <f>HiddenImpacts!G254</f>
        <v/>
      </c>
      <c r="H258" s="16" t="str">
        <f>HiddenImpacts!H254</f>
        <v/>
      </c>
      <c r="I258" s="16" t="str">
        <f>HiddenImpacts!I254</f>
        <v/>
      </c>
      <c r="J258" s="16" t="str">
        <f>HiddenImpacts!J254</f>
        <v/>
      </c>
      <c r="K258" s="29" t="str">
        <f>HiddenImpacts!K254</f>
        <v/>
      </c>
    </row>
    <row r="259" spans="1:11" ht="30" customHeight="1" x14ac:dyDescent="0.2">
      <c r="A259" s="9" t="str">
        <f t="shared" si="12"/>
        <v/>
      </c>
      <c r="B259" s="531" t="str">
        <f t="shared" si="12"/>
        <v/>
      </c>
      <c r="C259" s="531"/>
      <c r="D259" s="42"/>
      <c r="E259" s="42"/>
      <c r="F259" s="16" t="str">
        <f>HiddenImpacts!F255</f>
        <v/>
      </c>
      <c r="G259" s="16" t="str">
        <f>HiddenImpacts!G255</f>
        <v/>
      </c>
      <c r="H259" s="16" t="str">
        <f>HiddenImpacts!H255</f>
        <v/>
      </c>
      <c r="I259" s="16" t="str">
        <f>HiddenImpacts!I255</f>
        <v/>
      </c>
      <c r="J259" s="16" t="str">
        <f>HiddenImpacts!J255</f>
        <v/>
      </c>
      <c r="K259" s="29" t="str">
        <f>HiddenImpacts!K255</f>
        <v/>
      </c>
    </row>
    <row r="260" spans="1:11" ht="30" customHeight="1" x14ac:dyDescent="0.2">
      <c r="A260" s="9" t="str">
        <f t="shared" ref="A260:B275" si="13">A147</f>
        <v/>
      </c>
      <c r="B260" s="531" t="str">
        <f t="shared" si="13"/>
        <v/>
      </c>
      <c r="C260" s="531"/>
      <c r="D260" s="42"/>
      <c r="E260" s="42"/>
      <c r="F260" s="16" t="str">
        <f>HiddenImpacts!F256</f>
        <v/>
      </c>
      <c r="G260" s="16" t="str">
        <f>HiddenImpacts!G256</f>
        <v/>
      </c>
      <c r="H260" s="16" t="str">
        <f>HiddenImpacts!H256</f>
        <v/>
      </c>
      <c r="I260" s="16" t="str">
        <f>HiddenImpacts!I256</f>
        <v/>
      </c>
      <c r="J260" s="16" t="str">
        <f>HiddenImpacts!J256</f>
        <v/>
      </c>
      <c r="K260" s="29" t="str">
        <f>HiddenImpacts!K256</f>
        <v/>
      </c>
    </row>
    <row r="261" spans="1:11" ht="30" customHeight="1" x14ac:dyDescent="0.2">
      <c r="A261" s="9" t="str">
        <f t="shared" si="13"/>
        <v/>
      </c>
      <c r="B261" s="531" t="str">
        <f t="shared" si="13"/>
        <v/>
      </c>
      <c r="C261" s="531"/>
      <c r="D261" s="42"/>
      <c r="E261" s="42"/>
      <c r="F261" s="16" t="str">
        <f>HiddenImpacts!F257</f>
        <v/>
      </c>
      <c r="G261" s="16" t="str">
        <f>HiddenImpacts!G257</f>
        <v/>
      </c>
      <c r="H261" s="16" t="str">
        <f>HiddenImpacts!H257</f>
        <v/>
      </c>
      <c r="I261" s="16" t="str">
        <f>HiddenImpacts!I257</f>
        <v/>
      </c>
      <c r="J261" s="16" t="str">
        <f>HiddenImpacts!J257</f>
        <v/>
      </c>
      <c r="K261" s="29" t="str">
        <f>HiddenImpacts!K257</f>
        <v/>
      </c>
    </row>
    <row r="262" spans="1:11" ht="30" customHeight="1" x14ac:dyDescent="0.2">
      <c r="A262" s="9" t="str">
        <f t="shared" si="13"/>
        <v/>
      </c>
      <c r="B262" s="531" t="str">
        <f t="shared" si="13"/>
        <v/>
      </c>
      <c r="C262" s="531"/>
      <c r="D262" s="42"/>
      <c r="E262" s="42"/>
      <c r="F262" s="16" t="str">
        <f>HiddenImpacts!F258</f>
        <v/>
      </c>
      <c r="G262" s="16" t="str">
        <f>HiddenImpacts!G258</f>
        <v/>
      </c>
      <c r="H262" s="16" t="str">
        <f>HiddenImpacts!H258</f>
        <v/>
      </c>
      <c r="I262" s="16" t="str">
        <f>HiddenImpacts!I258</f>
        <v/>
      </c>
      <c r="J262" s="16" t="str">
        <f>HiddenImpacts!J258</f>
        <v/>
      </c>
      <c r="K262" s="29" t="str">
        <f>HiddenImpacts!K258</f>
        <v/>
      </c>
    </row>
    <row r="263" spans="1:11" ht="30" customHeight="1" x14ac:dyDescent="0.2">
      <c r="A263" s="9" t="str">
        <f t="shared" si="13"/>
        <v/>
      </c>
      <c r="B263" s="531" t="str">
        <f t="shared" si="13"/>
        <v/>
      </c>
      <c r="C263" s="531"/>
      <c r="D263" s="42"/>
      <c r="E263" s="42"/>
      <c r="F263" s="16" t="str">
        <f>HiddenImpacts!F259</f>
        <v/>
      </c>
      <c r="G263" s="16" t="str">
        <f>HiddenImpacts!G259</f>
        <v/>
      </c>
      <c r="H263" s="16" t="str">
        <f>HiddenImpacts!H259</f>
        <v/>
      </c>
      <c r="I263" s="16" t="str">
        <f>HiddenImpacts!I259</f>
        <v/>
      </c>
      <c r="J263" s="16" t="str">
        <f>HiddenImpacts!J259</f>
        <v/>
      </c>
      <c r="K263" s="29" t="str">
        <f>HiddenImpacts!K259</f>
        <v/>
      </c>
    </row>
    <row r="264" spans="1:11" ht="30" customHeight="1" x14ac:dyDescent="0.2">
      <c r="A264" s="9" t="str">
        <f t="shared" si="13"/>
        <v/>
      </c>
      <c r="B264" s="531" t="str">
        <f t="shared" si="13"/>
        <v/>
      </c>
      <c r="C264" s="531"/>
      <c r="D264" s="42"/>
      <c r="E264" s="42"/>
      <c r="F264" s="16" t="str">
        <f>HiddenImpacts!F260</f>
        <v/>
      </c>
      <c r="G264" s="16" t="str">
        <f>HiddenImpacts!G260</f>
        <v/>
      </c>
      <c r="H264" s="16" t="str">
        <f>HiddenImpacts!H260</f>
        <v/>
      </c>
      <c r="I264" s="16" t="str">
        <f>HiddenImpacts!I260</f>
        <v/>
      </c>
      <c r="J264" s="16" t="str">
        <f>HiddenImpacts!J260</f>
        <v/>
      </c>
      <c r="K264" s="29" t="str">
        <f>HiddenImpacts!K260</f>
        <v/>
      </c>
    </row>
    <row r="265" spans="1:11" ht="30" customHeight="1" x14ac:dyDescent="0.2">
      <c r="A265" s="9" t="str">
        <f t="shared" si="13"/>
        <v/>
      </c>
      <c r="B265" s="531" t="str">
        <f t="shared" si="13"/>
        <v/>
      </c>
      <c r="C265" s="531"/>
      <c r="D265" s="42"/>
      <c r="E265" s="42"/>
      <c r="F265" s="16" t="str">
        <f>HiddenImpacts!F261</f>
        <v/>
      </c>
      <c r="G265" s="16" t="str">
        <f>HiddenImpacts!G261</f>
        <v/>
      </c>
      <c r="H265" s="16" t="str">
        <f>HiddenImpacts!H261</f>
        <v/>
      </c>
      <c r="I265" s="16" t="str">
        <f>HiddenImpacts!I261</f>
        <v/>
      </c>
      <c r="J265" s="16" t="str">
        <f>HiddenImpacts!J261</f>
        <v/>
      </c>
      <c r="K265" s="29" t="str">
        <f>HiddenImpacts!K261</f>
        <v/>
      </c>
    </row>
    <row r="266" spans="1:11" ht="30" customHeight="1" x14ac:dyDescent="0.2">
      <c r="A266" s="9" t="str">
        <f t="shared" si="13"/>
        <v/>
      </c>
      <c r="B266" s="531" t="str">
        <f t="shared" si="13"/>
        <v/>
      </c>
      <c r="C266" s="531"/>
      <c r="D266" s="42"/>
      <c r="E266" s="42"/>
      <c r="F266" s="16" t="str">
        <f>HiddenImpacts!F262</f>
        <v/>
      </c>
      <c r="G266" s="16" t="str">
        <f>HiddenImpacts!G262</f>
        <v/>
      </c>
      <c r="H266" s="16" t="str">
        <f>HiddenImpacts!H262</f>
        <v/>
      </c>
      <c r="I266" s="16" t="str">
        <f>HiddenImpacts!I262</f>
        <v/>
      </c>
      <c r="J266" s="16" t="str">
        <f>HiddenImpacts!J262</f>
        <v/>
      </c>
      <c r="K266" s="29" t="str">
        <f>HiddenImpacts!K262</f>
        <v/>
      </c>
    </row>
    <row r="267" spans="1:11" ht="30" customHeight="1" x14ac:dyDescent="0.2">
      <c r="A267" s="9" t="str">
        <f t="shared" si="13"/>
        <v/>
      </c>
      <c r="B267" s="531" t="str">
        <f t="shared" si="13"/>
        <v/>
      </c>
      <c r="C267" s="531"/>
      <c r="D267" s="42"/>
      <c r="E267" s="42"/>
      <c r="F267" s="16" t="str">
        <f>HiddenImpacts!F263</f>
        <v/>
      </c>
      <c r="G267" s="16" t="str">
        <f>HiddenImpacts!G263</f>
        <v/>
      </c>
      <c r="H267" s="16" t="str">
        <f>HiddenImpacts!H263</f>
        <v/>
      </c>
      <c r="I267" s="16" t="str">
        <f>HiddenImpacts!I263</f>
        <v/>
      </c>
      <c r="J267" s="16" t="str">
        <f>HiddenImpacts!J263</f>
        <v/>
      </c>
      <c r="K267" s="29" t="str">
        <f>HiddenImpacts!K263</f>
        <v/>
      </c>
    </row>
    <row r="268" spans="1:11" ht="30" customHeight="1" x14ac:dyDescent="0.2">
      <c r="A268" s="9" t="str">
        <f t="shared" si="13"/>
        <v/>
      </c>
      <c r="B268" s="531" t="str">
        <f t="shared" si="13"/>
        <v/>
      </c>
      <c r="C268" s="531"/>
      <c r="D268" s="42"/>
      <c r="E268" s="42"/>
      <c r="F268" s="16" t="str">
        <f>HiddenImpacts!F264</f>
        <v/>
      </c>
      <c r="G268" s="16" t="str">
        <f>HiddenImpacts!G264</f>
        <v/>
      </c>
      <c r="H268" s="16" t="str">
        <f>HiddenImpacts!H264</f>
        <v/>
      </c>
      <c r="I268" s="16" t="str">
        <f>HiddenImpacts!I264</f>
        <v/>
      </c>
      <c r="J268" s="16" t="str">
        <f>HiddenImpacts!J264</f>
        <v/>
      </c>
      <c r="K268" s="29" t="str">
        <f>HiddenImpacts!K264</f>
        <v/>
      </c>
    </row>
    <row r="269" spans="1:11" ht="30" customHeight="1" x14ac:dyDescent="0.2">
      <c r="A269" s="9" t="str">
        <f t="shared" si="13"/>
        <v/>
      </c>
      <c r="B269" s="531" t="str">
        <f t="shared" si="13"/>
        <v/>
      </c>
      <c r="C269" s="531"/>
      <c r="D269" s="42"/>
      <c r="E269" s="42"/>
      <c r="F269" s="16" t="str">
        <f>HiddenImpacts!F265</f>
        <v/>
      </c>
      <c r="G269" s="16" t="str">
        <f>HiddenImpacts!G265</f>
        <v/>
      </c>
      <c r="H269" s="16" t="str">
        <f>HiddenImpacts!H265</f>
        <v/>
      </c>
      <c r="I269" s="16" t="str">
        <f>HiddenImpacts!I265</f>
        <v/>
      </c>
      <c r="J269" s="16" t="str">
        <f>HiddenImpacts!J265</f>
        <v/>
      </c>
      <c r="K269" s="29" t="str">
        <f>HiddenImpacts!K265</f>
        <v/>
      </c>
    </row>
    <row r="270" spans="1:11" ht="30" customHeight="1" x14ac:dyDescent="0.2">
      <c r="A270" s="9" t="str">
        <f t="shared" si="13"/>
        <v/>
      </c>
      <c r="B270" s="531" t="str">
        <f t="shared" si="13"/>
        <v/>
      </c>
      <c r="C270" s="531"/>
      <c r="D270" s="42"/>
      <c r="E270" s="42"/>
      <c r="F270" s="16" t="str">
        <f>HiddenImpacts!F266</f>
        <v/>
      </c>
      <c r="G270" s="16" t="str">
        <f>HiddenImpacts!G266</f>
        <v/>
      </c>
      <c r="H270" s="16" t="str">
        <f>HiddenImpacts!H266</f>
        <v/>
      </c>
      <c r="I270" s="16" t="str">
        <f>HiddenImpacts!I266</f>
        <v/>
      </c>
      <c r="J270" s="16" t="str">
        <f>HiddenImpacts!J266</f>
        <v/>
      </c>
      <c r="K270" s="29" t="str">
        <f>HiddenImpacts!K266</f>
        <v/>
      </c>
    </row>
    <row r="271" spans="1:11" ht="30" customHeight="1" x14ac:dyDescent="0.2">
      <c r="A271" s="9" t="str">
        <f t="shared" si="13"/>
        <v/>
      </c>
      <c r="B271" s="531" t="str">
        <f t="shared" si="13"/>
        <v/>
      </c>
      <c r="C271" s="531"/>
      <c r="D271" s="42"/>
      <c r="E271" s="42"/>
      <c r="F271" s="16" t="str">
        <f>HiddenImpacts!F267</f>
        <v/>
      </c>
      <c r="G271" s="16" t="str">
        <f>HiddenImpacts!G267</f>
        <v/>
      </c>
      <c r="H271" s="16" t="str">
        <f>HiddenImpacts!H267</f>
        <v/>
      </c>
      <c r="I271" s="16" t="str">
        <f>HiddenImpacts!I267</f>
        <v/>
      </c>
      <c r="J271" s="16" t="str">
        <f>HiddenImpacts!J267</f>
        <v/>
      </c>
      <c r="K271" s="29" t="str">
        <f>HiddenImpacts!K267</f>
        <v/>
      </c>
    </row>
    <row r="272" spans="1:11" ht="30" customHeight="1" x14ac:dyDescent="0.2">
      <c r="A272" s="9" t="str">
        <f t="shared" si="13"/>
        <v/>
      </c>
      <c r="B272" s="531" t="str">
        <f t="shared" si="13"/>
        <v/>
      </c>
      <c r="C272" s="531"/>
      <c r="D272" s="42"/>
      <c r="E272" s="42"/>
      <c r="F272" s="16" t="str">
        <f>HiddenImpacts!F268</f>
        <v/>
      </c>
      <c r="G272" s="16" t="str">
        <f>HiddenImpacts!G268</f>
        <v/>
      </c>
      <c r="H272" s="16" t="str">
        <f>HiddenImpacts!H268</f>
        <v/>
      </c>
      <c r="I272" s="16" t="str">
        <f>HiddenImpacts!I268</f>
        <v/>
      </c>
      <c r="J272" s="16" t="str">
        <f>HiddenImpacts!J268</f>
        <v/>
      </c>
      <c r="K272" s="29" t="str">
        <f>HiddenImpacts!K268</f>
        <v/>
      </c>
    </row>
    <row r="273" spans="1:11" ht="30" customHeight="1" x14ac:dyDescent="0.2">
      <c r="A273" s="9" t="str">
        <f t="shared" si="13"/>
        <v/>
      </c>
      <c r="B273" s="531" t="str">
        <f t="shared" si="13"/>
        <v/>
      </c>
      <c r="C273" s="531"/>
      <c r="D273" s="42"/>
      <c r="E273" s="42"/>
      <c r="F273" s="16" t="str">
        <f>HiddenImpacts!F269</f>
        <v/>
      </c>
      <c r="G273" s="16" t="str">
        <f>HiddenImpacts!G269</f>
        <v/>
      </c>
      <c r="H273" s="16" t="str">
        <f>HiddenImpacts!H269</f>
        <v/>
      </c>
      <c r="I273" s="16" t="str">
        <f>HiddenImpacts!I269</f>
        <v/>
      </c>
      <c r="J273" s="16" t="str">
        <f>HiddenImpacts!J269</f>
        <v/>
      </c>
      <c r="K273" s="29" t="str">
        <f>HiddenImpacts!K269</f>
        <v/>
      </c>
    </row>
    <row r="274" spans="1:11" ht="30" customHeight="1" x14ac:dyDescent="0.2">
      <c r="A274" s="9" t="str">
        <f t="shared" si="13"/>
        <v/>
      </c>
      <c r="B274" s="531" t="str">
        <f t="shared" si="13"/>
        <v/>
      </c>
      <c r="C274" s="531"/>
      <c r="D274" s="42"/>
      <c r="E274" s="42"/>
      <c r="F274" s="16" t="str">
        <f>HiddenImpacts!F270</f>
        <v/>
      </c>
      <c r="G274" s="16" t="str">
        <f>HiddenImpacts!G270</f>
        <v/>
      </c>
      <c r="H274" s="16" t="str">
        <f>HiddenImpacts!H270</f>
        <v/>
      </c>
      <c r="I274" s="16" t="str">
        <f>HiddenImpacts!I270</f>
        <v/>
      </c>
      <c r="J274" s="16" t="str">
        <f>HiddenImpacts!J270</f>
        <v/>
      </c>
      <c r="K274" s="29" t="str">
        <f>HiddenImpacts!K270</f>
        <v/>
      </c>
    </row>
    <row r="275" spans="1:11" ht="30" customHeight="1" x14ac:dyDescent="0.2">
      <c r="A275" s="9" t="str">
        <f t="shared" si="13"/>
        <v/>
      </c>
      <c r="B275" s="531" t="str">
        <f t="shared" si="13"/>
        <v/>
      </c>
      <c r="C275" s="531"/>
      <c r="D275" s="42"/>
      <c r="E275" s="42"/>
      <c r="F275" s="16" t="str">
        <f>HiddenImpacts!F271</f>
        <v/>
      </c>
      <c r="G275" s="16" t="str">
        <f>HiddenImpacts!G271</f>
        <v/>
      </c>
      <c r="H275" s="16" t="str">
        <f>HiddenImpacts!H271</f>
        <v/>
      </c>
      <c r="I275" s="16" t="str">
        <f>HiddenImpacts!I271</f>
        <v/>
      </c>
      <c r="J275" s="16" t="str">
        <f>HiddenImpacts!J271</f>
        <v/>
      </c>
      <c r="K275" s="29" t="str">
        <f>HiddenImpacts!K271</f>
        <v/>
      </c>
    </row>
    <row r="276" spans="1:11" ht="30" customHeight="1" x14ac:dyDescent="0.2">
      <c r="A276" s="9" t="str">
        <f t="shared" ref="A276:B291" si="14">A163</f>
        <v/>
      </c>
      <c r="B276" s="531" t="str">
        <f t="shared" si="14"/>
        <v/>
      </c>
      <c r="C276" s="531"/>
      <c r="D276" s="42"/>
      <c r="E276" s="42"/>
      <c r="F276" s="16" t="str">
        <f>HiddenImpacts!F272</f>
        <v/>
      </c>
      <c r="G276" s="16" t="str">
        <f>HiddenImpacts!G272</f>
        <v/>
      </c>
      <c r="H276" s="16" t="str">
        <f>HiddenImpacts!H272</f>
        <v/>
      </c>
      <c r="I276" s="16" t="str">
        <f>HiddenImpacts!I272</f>
        <v/>
      </c>
      <c r="J276" s="16" t="str">
        <f>HiddenImpacts!J272</f>
        <v/>
      </c>
      <c r="K276" s="29" t="str">
        <f>HiddenImpacts!K272</f>
        <v/>
      </c>
    </row>
    <row r="277" spans="1:11" ht="30" customHeight="1" x14ac:dyDescent="0.2">
      <c r="A277" s="9" t="str">
        <f t="shared" si="14"/>
        <v/>
      </c>
      <c r="B277" s="531" t="str">
        <f t="shared" si="14"/>
        <v/>
      </c>
      <c r="C277" s="531"/>
      <c r="D277" s="42"/>
      <c r="E277" s="42"/>
      <c r="F277" s="16" t="str">
        <f>HiddenImpacts!F273</f>
        <v/>
      </c>
      <c r="G277" s="16" t="str">
        <f>HiddenImpacts!G273</f>
        <v/>
      </c>
      <c r="H277" s="16" t="str">
        <f>HiddenImpacts!H273</f>
        <v/>
      </c>
      <c r="I277" s="16" t="str">
        <f>HiddenImpacts!I273</f>
        <v/>
      </c>
      <c r="J277" s="16" t="str">
        <f>HiddenImpacts!J273</f>
        <v/>
      </c>
      <c r="K277" s="29" t="str">
        <f>HiddenImpacts!K273</f>
        <v/>
      </c>
    </row>
    <row r="278" spans="1:11" ht="30" customHeight="1" x14ac:dyDescent="0.2">
      <c r="A278" s="9" t="str">
        <f t="shared" si="14"/>
        <v/>
      </c>
      <c r="B278" s="531" t="str">
        <f t="shared" si="14"/>
        <v/>
      </c>
      <c r="C278" s="531"/>
      <c r="D278" s="42"/>
      <c r="E278" s="42"/>
      <c r="F278" s="16" t="str">
        <f>HiddenImpacts!F274</f>
        <v/>
      </c>
      <c r="G278" s="16" t="str">
        <f>HiddenImpacts!G274</f>
        <v/>
      </c>
      <c r="H278" s="16" t="str">
        <f>HiddenImpacts!H274</f>
        <v/>
      </c>
      <c r="I278" s="16" t="str">
        <f>HiddenImpacts!I274</f>
        <v/>
      </c>
      <c r="J278" s="16" t="str">
        <f>HiddenImpacts!J274</f>
        <v/>
      </c>
      <c r="K278" s="29" t="str">
        <f>HiddenImpacts!K274</f>
        <v/>
      </c>
    </row>
    <row r="279" spans="1:11" ht="30" customHeight="1" x14ac:dyDescent="0.2">
      <c r="A279" s="9" t="str">
        <f t="shared" si="14"/>
        <v/>
      </c>
      <c r="B279" s="531" t="str">
        <f t="shared" si="14"/>
        <v/>
      </c>
      <c r="C279" s="531"/>
      <c r="D279" s="42"/>
      <c r="E279" s="42"/>
      <c r="F279" s="16" t="str">
        <f>HiddenImpacts!F275</f>
        <v/>
      </c>
      <c r="G279" s="16" t="str">
        <f>HiddenImpacts!G275</f>
        <v/>
      </c>
      <c r="H279" s="16" t="str">
        <f>HiddenImpacts!H275</f>
        <v/>
      </c>
      <c r="I279" s="16" t="str">
        <f>HiddenImpacts!I275</f>
        <v/>
      </c>
      <c r="J279" s="16" t="str">
        <f>HiddenImpacts!J275</f>
        <v/>
      </c>
      <c r="K279" s="29" t="str">
        <f>HiddenImpacts!K275</f>
        <v/>
      </c>
    </row>
    <row r="280" spans="1:11" ht="30" customHeight="1" x14ac:dyDescent="0.2">
      <c r="A280" s="9" t="str">
        <f t="shared" si="14"/>
        <v/>
      </c>
      <c r="B280" s="531" t="str">
        <f t="shared" si="14"/>
        <v/>
      </c>
      <c r="C280" s="531"/>
      <c r="D280" s="42"/>
      <c r="E280" s="42"/>
      <c r="F280" s="16" t="str">
        <f>HiddenImpacts!F276</f>
        <v/>
      </c>
      <c r="G280" s="16" t="str">
        <f>HiddenImpacts!G276</f>
        <v/>
      </c>
      <c r="H280" s="16" t="str">
        <f>HiddenImpacts!H276</f>
        <v/>
      </c>
      <c r="I280" s="16" t="str">
        <f>HiddenImpacts!I276</f>
        <v/>
      </c>
      <c r="J280" s="16" t="str">
        <f>HiddenImpacts!J276</f>
        <v/>
      </c>
      <c r="K280" s="29" t="str">
        <f>HiddenImpacts!K276</f>
        <v/>
      </c>
    </row>
    <row r="281" spans="1:11" ht="30" customHeight="1" x14ac:dyDescent="0.2">
      <c r="A281" s="9" t="str">
        <f t="shared" si="14"/>
        <v/>
      </c>
      <c r="B281" s="531" t="str">
        <f t="shared" si="14"/>
        <v/>
      </c>
      <c r="C281" s="531"/>
      <c r="D281" s="42"/>
      <c r="E281" s="42"/>
      <c r="F281" s="16" t="str">
        <f>HiddenImpacts!F277</f>
        <v/>
      </c>
      <c r="G281" s="16" t="str">
        <f>HiddenImpacts!G277</f>
        <v/>
      </c>
      <c r="H281" s="16" t="str">
        <f>HiddenImpacts!H277</f>
        <v/>
      </c>
      <c r="I281" s="16" t="str">
        <f>HiddenImpacts!I277</f>
        <v/>
      </c>
      <c r="J281" s="16" t="str">
        <f>HiddenImpacts!J277</f>
        <v/>
      </c>
      <c r="K281" s="29" t="str">
        <f>HiddenImpacts!K277</f>
        <v/>
      </c>
    </row>
    <row r="282" spans="1:11" ht="30" customHeight="1" x14ac:dyDescent="0.2">
      <c r="A282" s="9" t="str">
        <f t="shared" si="14"/>
        <v/>
      </c>
      <c r="B282" s="531" t="str">
        <f t="shared" si="14"/>
        <v/>
      </c>
      <c r="C282" s="531"/>
      <c r="D282" s="42"/>
      <c r="E282" s="42"/>
      <c r="F282" s="16" t="str">
        <f>HiddenImpacts!F278</f>
        <v/>
      </c>
      <c r="G282" s="16" t="str">
        <f>HiddenImpacts!G278</f>
        <v/>
      </c>
      <c r="H282" s="16" t="str">
        <f>HiddenImpacts!H278</f>
        <v/>
      </c>
      <c r="I282" s="16" t="str">
        <f>HiddenImpacts!I278</f>
        <v/>
      </c>
      <c r="J282" s="16" t="str">
        <f>HiddenImpacts!J278</f>
        <v/>
      </c>
      <c r="K282" s="29" t="str">
        <f>HiddenImpacts!K278</f>
        <v/>
      </c>
    </row>
    <row r="283" spans="1:11" ht="30" customHeight="1" x14ac:dyDescent="0.2">
      <c r="A283" s="9" t="str">
        <f t="shared" si="14"/>
        <v/>
      </c>
      <c r="B283" s="531" t="str">
        <f t="shared" si="14"/>
        <v/>
      </c>
      <c r="C283" s="531"/>
      <c r="D283" s="42"/>
      <c r="E283" s="42"/>
      <c r="F283" s="16" t="str">
        <f>HiddenImpacts!F279</f>
        <v/>
      </c>
      <c r="G283" s="16" t="str">
        <f>HiddenImpacts!G279</f>
        <v/>
      </c>
      <c r="H283" s="16" t="str">
        <f>HiddenImpacts!H279</f>
        <v/>
      </c>
      <c r="I283" s="16" t="str">
        <f>HiddenImpacts!I279</f>
        <v/>
      </c>
      <c r="J283" s="16" t="str">
        <f>HiddenImpacts!J279</f>
        <v/>
      </c>
      <c r="K283" s="29" t="str">
        <f>HiddenImpacts!K279</f>
        <v/>
      </c>
    </row>
    <row r="284" spans="1:11" ht="30" customHeight="1" x14ac:dyDescent="0.2">
      <c r="A284" s="9" t="str">
        <f t="shared" si="14"/>
        <v/>
      </c>
      <c r="B284" s="531" t="str">
        <f t="shared" si="14"/>
        <v/>
      </c>
      <c r="C284" s="531"/>
      <c r="D284" s="42"/>
      <c r="E284" s="42"/>
      <c r="F284" s="16" t="str">
        <f>HiddenImpacts!F280</f>
        <v/>
      </c>
      <c r="G284" s="16" t="str">
        <f>HiddenImpacts!G280</f>
        <v/>
      </c>
      <c r="H284" s="16" t="str">
        <f>HiddenImpacts!H280</f>
        <v/>
      </c>
      <c r="I284" s="16" t="str">
        <f>HiddenImpacts!I280</f>
        <v/>
      </c>
      <c r="J284" s="16" t="str">
        <f>HiddenImpacts!J280</f>
        <v/>
      </c>
      <c r="K284" s="29" t="str">
        <f>HiddenImpacts!K280</f>
        <v/>
      </c>
    </row>
    <row r="285" spans="1:11" ht="30" customHeight="1" x14ac:dyDescent="0.2">
      <c r="A285" s="9" t="str">
        <f t="shared" si="14"/>
        <v/>
      </c>
      <c r="B285" s="531" t="str">
        <f t="shared" si="14"/>
        <v/>
      </c>
      <c r="C285" s="531"/>
      <c r="D285" s="42"/>
      <c r="E285" s="42"/>
      <c r="F285" s="16" t="str">
        <f>HiddenImpacts!F281</f>
        <v/>
      </c>
      <c r="G285" s="16" t="str">
        <f>HiddenImpacts!G281</f>
        <v/>
      </c>
      <c r="H285" s="16" t="str">
        <f>HiddenImpacts!H281</f>
        <v/>
      </c>
      <c r="I285" s="16" t="str">
        <f>HiddenImpacts!I281</f>
        <v/>
      </c>
      <c r="J285" s="16" t="str">
        <f>HiddenImpacts!J281</f>
        <v/>
      </c>
      <c r="K285" s="29" t="str">
        <f>HiddenImpacts!K281</f>
        <v/>
      </c>
    </row>
    <row r="286" spans="1:11" ht="30" customHeight="1" x14ac:dyDescent="0.2">
      <c r="A286" s="9" t="str">
        <f t="shared" si="14"/>
        <v/>
      </c>
      <c r="B286" s="531" t="str">
        <f t="shared" si="14"/>
        <v/>
      </c>
      <c r="C286" s="531"/>
      <c r="D286" s="42"/>
      <c r="E286" s="42"/>
      <c r="F286" s="16" t="str">
        <f>HiddenImpacts!F282</f>
        <v/>
      </c>
      <c r="G286" s="16" t="str">
        <f>HiddenImpacts!G282</f>
        <v/>
      </c>
      <c r="H286" s="16" t="str">
        <f>HiddenImpacts!H282</f>
        <v/>
      </c>
      <c r="I286" s="16" t="str">
        <f>HiddenImpacts!I282</f>
        <v/>
      </c>
      <c r="J286" s="16" t="str">
        <f>HiddenImpacts!J282</f>
        <v/>
      </c>
      <c r="K286" s="29" t="str">
        <f>HiddenImpacts!K282</f>
        <v/>
      </c>
    </row>
    <row r="287" spans="1:11" ht="30" customHeight="1" x14ac:dyDescent="0.2">
      <c r="A287" s="9" t="str">
        <f t="shared" si="14"/>
        <v/>
      </c>
      <c r="B287" s="531" t="str">
        <f t="shared" si="14"/>
        <v/>
      </c>
      <c r="C287" s="531"/>
      <c r="D287" s="42"/>
      <c r="E287" s="42"/>
      <c r="F287" s="16" t="str">
        <f>HiddenImpacts!F283</f>
        <v/>
      </c>
      <c r="G287" s="16" t="str">
        <f>HiddenImpacts!G283</f>
        <v/>
      </c>
      <c r="H287" s="16" t="str">
        <f>HiddenImpacts!H283</f>
        <v/>
      </c>
      <c r="I287" s="16" t="str">
        <f>HiddenImpacts!I283</f>
        <v/>
      </c>
      <c r="J287" s="16" t="str">
        <f>HiddenImpacts!J283</f>
        <v/>
      </c>
      <c r="K287" s="29" t="str">
        <f>HiddenImpacts!K283</f>
        <v/>
      </c>
    </row>
    <row r="288" spans="1:11" ht="30" customHeight="1" x14ac:dyDescent="0.2">
      <c r="A288" s="9" t="str">
        <f t="shared" si="14"/>
        <v/>
      </c>
      <c r="B288" s="531" t="str">
        <f t="shared" si="14"/>
        <v/>
      </c>
      <c r="C288" s="531"/>
      <c r="D288" s="42"/>
      <c r="E288" s="42"/>
      <c r="F288" s="16" t="str">
        <f>HiddenImpacts!F284</f>
        <v/>
      </c>
      <c r="G288" s="16" t="str">
        <f>HiddenImpacts!G284</f>
        <v/>
      </c>
      <c r="H288" s="16" t="str">
        <f>HiddenImpacts!H284</f>
        <v/>
      </c>
      <c r="I288" s="16" t="str">
        <f>HiddenImpacts!I284</f>
        <v/>
      </c>
      <c r="J288" s="16" t="str">
        <f>HiddenImpacts!J284</f>
        <v/>
      </c>
      <c r="K288" s="29" t="str">
        <f>HiddenImpacts!K284</f>
        <v/>
      </c>
    </row>
    <row r="289" spans="1:11" ht="30" customHeight="1" x14ac:dyDescent="0.2">
      <c r="A289" s="9" t="str">
        <f t="shared" si="14"/>
        <v/>
      </c>
      <c r="B289" s="531" t="str">
        <f t="shared" si="14"/>
        <v/>
      </c>
      <c r="C289" s="531"/>
      <c r="D289" s="42"/>
      <c r="E289" s="42"/>
      <c r="F289" s="16" t="str">
        <f>HiddenImpacts!F285</f>
        <v/>
      </c>
      <c r="G289" s="16" t="str">
        <f>HiddenImpacts!G285</f>
        <v/>
      </c>
      <c r="H289" s="16" t="str">
        <f>HiddenImpacts!H285</f>
        <v/>
      </c>
      <c r="I289" s="16" t="str">
        <f>HiddenImpacts!I285</f>
        <v/>
      </c>
      <c r="J289" s="16" t="str">
        <f>HiddenImpacts!J285</f>
        <v/>
      </c>
      <c r="K289" s="29" t="str">
        <f>HiddenImpacts!K285</f>
        <v/>
      </c>
    </row>
    <row r="290" spans="1:11" ht="30" customHeight="1" x14ac:dyDescent="0.2">
      <c r="A290" s="9" t="str">
        <f t="shared" si="14"/>
        <v/>
      </c>
      <c r="B290" s="531" t="str">
        <f t="shared" si="14"/>
        <v/>
      </c>
      <c r="C290" s="531"/>
      <c r="D290" s="42"/>
      <c r="E290" s="42"/>
      <c r="F290" s="16" t="str">
        <f>HiddenImpacts!F286</f>
        <v/>
      </c>
      <c r="G290" s="16" t="str">
        <f>HiddenImpacts!G286</f>
        <v/>
      </c>
      <c r="H290" s="16" t="str">
        <f>HiddenImpacts!H286</f>
        <v/>
      </c>
      <c r="I290" s="16" t="str">
        <f>HiddenImpacts!I286</f>
        <v/>
      </c>
      <c r="J290" s="16" t="str">
        <f>HiddenImpacts!J286</f>
        <v/>
      </c>
      <c r="K290" s="29" t="str">
        <f>HiddenImpacts!K286</f>
        <v/>
      </c>
    </row>
    <row r="291" spans="1:11" ht="30" customHeight="1" x14ac:dyDescent="0.2">
      <c r="A291" s="9" t="str">
        <f t="shared" si="14"/>
        <v/>
      </c>
      <c r="B291" s="531" t="str">
        <f t="shared" si="14"/>
        <v/>
      </c>
      <c r="C291" s="531"/>
      <c r="D291" s="42"/>
      <c r="E291" s="42"/>
      <c r="F291" s="16" t="str">
        <f>HiddenImpacts!F287</f>
        <v/>
      </c>
      <c r="G291" s="16" t="str">
        <f>HiddenImpacts!G287</f>
        <v/>
      </c>
      <c r="H291" s="16" t="str">
        <f>HiddenImpacts!H287</f>
        <v/>
      </c>
      <c r="I291" s="16" t="str">
        <f>HiddenImpacts!I287</f>
        <v/>
      </c>
      <c r="J291" s="16" t="str">
        <f>HiddenImpacts!J287</f>
        <v/>
      </c>
      <c r="K291" s="29" t="str">
        <f>HiddenImpacts!K287</f>
        <v/>
      </c>
    </row>
    <row r="292" spans="1:11" ht="30" customHeight="1" x14ac:dyDescent="0.2">
      <c r="A292" s="9" t="str">
        <f t="shared" ref="A292:B307" si="15">A179</f>
        <v/>
      </c>
      <c r="B292" s="531" t="str">
        <f t="shared" si="15"/>
        <v/>
      </c>
      <c r="C292" s="531"/>
      <c r="D292" s="42"/>
      <c r="E292" s="42"/>
      <c r="F292" s="16" t="str">
        <f>HiddenImpacts!F288</f>
        <v/>
      </c>
      <c r="G292" s="16" t="str">
        <f>HiddenImpacts!G288</f>
        <v/>
      </c>
      <c r="H292" s="16" t="str">
        <f>HiddenImpacts!H288</f>
        <v/>
      </c>
      <c r="I292" s="16" t="str">
        <f>HiddenImpacts!I288</f>
        <v/>
      </c>
      <c r="J292" s="16" t="str">
        <f>HiddenImpacts!J288</f>
        <v/>
      </c>
      <c r="K292" s="29" t="str">
        <f>HiddenImpacts!K288</f>
        <v/>
      </c>
    </row>
    <row r="293" spans="1:11" ht="30" customHeight="1" x14ac:dyDescent="0.2">
      <c r="A293" s="9" t="str">
        <f t="shared" si="15"/>
        <v/>
      </c>
      <c r="B293" s="531" t="str">
        <f t="shared" si="15"/>
        <v/>
      </c>
      <c r="C293" s="531"/>
      <c r="D293" s="42"/>
      <c r="E293" s="42"/>
      <c r="F293" s="16" t="str">
        <f>HiddenImpacts!F289</f>
        <v/>
      </c>
      <c r="G293" s="16" t="str">
        <f>HiddenImpacts!G289</f>
        <v/>
      </c>
      <c r="H293" s="16" t="str">
        <f>HiddenImpacts!H289</f>
        <v/>
      </c>
      <c r="I293" s="16" t="str">
        <f>HiddenImpacts!I289</f>
        <v/>
      </c>
      <c r="J293" s="16" t="str">
        <f>HiddenImpacts!J289</f>
        <v/>
      </c>
      <c r="K293" s="29" t="str">
        <f>HiddenImpacts!K289</f>
        <v/>
      </c>
    </row>
    <row r="294" spans="1:11" ht="30" customHeight="1" x14ac:dyDescent="0.2">
      <c r="A294" s="9" t="str">
        <f t="shared" si="15"/>
        <v/>
      </c>
      <c r="B294" s="531" t="str">
        <f t="shared" si="15"/>
        <v/>
      </c>
      <c r="C294" s="531"/>
      <c r="D294" s="42"/>
      <c r="E294" s="42"/>
      <c r="F294" s="16" t="str">
        <f>HiddenImpacts!F290</f>
        <v/>
      </c>
      <c r="G294" s="16" t="str">
        <f>HiddenImpacts!G290</f>
        <v/>
      </c>
      <c r="H294" s="16" t="str">
        <f>HiddenImpacts!H290</f>
        <v/>
      </c>
      <c r="I294" s="16" t="str">
        <f>HiddenImpacts!I290</f>
        <v/>
      </c>
      <c r="J294" s="16" t="str">
        <f>HiddenImpacts!J290</f>
        <v/>
      </c>
      <c r="K294" s="29" t="str">
        <f>HiddenImpacts!K290</f>
        <v/>
      </c>
    </row>
    <row r="295" spans="1:11" ht="30" customHeight="1" x14ac:dyDescent="0.2">
      <c r="A295" s="9" t="str">
        <f t="shared" si="15"/>
        <v/>
      </c>
      <c r="B295" s="531" t="str">
        <f t="shared" si="15"/>
        <v/>
      </c>
      <c r="C295" s="531"/>
      <c r="D295" s="42"/>
      <c r="E295" s="42"/>
      <c r="F295" s="16" t="str">
        <f>HiddenImpacts!F291</f>
        <v/>
      </c>
      <c r="G295" s="16" t="str">
        <f>HiddenImpacts!G291</f>
        <v/>
      </c>
      <c r="H295" s="16" t="str">
        <f>HiddenImpacts!H291</f>
        <v/>
      </c>
      <c r="I295" s="16" t="str">
        <f>HiddenImpacts!I291</f>
        <v/>
      </c>
      <c r="J295" s="16" t="str">
        <f>HiddenImpacts!J291</f>
        <v/>
      </c>
      <c r="K295" s="29" t="str">
        <f>HiddenImpacts!K291</f>
        <v/>
      </c>
    </row>
    <row r="296" spans="1:11" ht="30" customHeight="1" x14ac:dyDescent="0.2">
      <c r="A296" s="9" t="str">
        <f t="shared" si="15"/>
        <v/>
      </c>
      <c r="B296" s="531" t="str">
        <f t="shared" si="15"/>
        <v/>
      </c>
      <c r="C296" s="531"/>
      <c r="D296" s="42"/>
      <c r="E296" s="42"/>
      <c r="F296" s="16" t="str">
        <f>HiddenImpacts!F292</f>
        <v/>
      </c>
      <c r="G296" s="16" t="str">
        <f>HiddenImpacts!G292</f>
        <v/>
      </c>
      <c r="H296" s="16" t="str">
        <f>HiddenImpacts!H292</f>
        <v/>
      </c>
      <c r="I296" s="16" t="str">
        <f>HiddenImpacts!I292</f>
        <v/>
      </c>
      <c r="J296" s="16" t="str">
        <f>HiddenImpacts!J292</f>
        <v/>
      </c>
      <c r="K296" s="29" t="str">
        <f>HiddenImpacts!K292</f>
        <v/>
      </c>
    </row>
    <row r="297" spans="1:11" ht="30" customHeight="1" x14ac:dyDescent="0.2">
      <c r="A297" s="9" t="str">
        <f t="shared" si="15"/>
        <v/>
      </c>
      <c r="B297" s="531" t="str">
        <f t="shared" si="15"/>
        <v/>
      </c>
      <c r="C297" s="531"/>
      <c r="D297" s="42"/>
      <c r="E297" s="42"/>
      <c r="F297" s="16" t="str">
        <f>HiddenImpacts!F293</f>
        <v/>
      </c>
      <c r="G297" s="16" t="str">
        <f>HiddenImpacts!G293</f>
        <v/>
      </c>
      <c r="H297" s="16" t="str">
        <f>HiddenImpacts!H293</f>
        <v/>
      </c>
      <c r="I297" s="16" t="str">
        <f>HiddenImpacts!I293</f>
        <v/>
      </c>
      <c r="J297" s="16" t="str">
        <f>HiddenImpacts!J293</f>
        <v/>
      </c>
      <c r="K297" s="29" t="str">
        <f>HiddenImpacts!K293</f>
        <v/>
      </c>
    </row>
    <row r="298" spans="1:11" ht="30" customHeight="1" x14ac:dyDescent="0.2">
      <c r="A298" s="9" t="str">
        <f t="shared" si="15"/>
        <v/>
      </c>
      <c r="B298" s="531" t="str">
        <f t="shared" si="15"/>
        <v/>
      </c>
      <c r="C298" s="531"/>
      <c r="D298" s="42"/>
      <c r="E298" s="42"/>
      <c r="F298" s="16" t="str">
        <f>HiddenImpacts!F294</f>
        <v/>
      </c>
      <c r="G298" s="16" t="str">
        <f>HiddenImpacts!G294</f>
        <v/>
      </c>
      <c r="H298" s="16" t="str">
        <f>HiddenImpacts!H294</f>
        <v/>
      </c>
      <c r="I298" s="16" t="str">
        <f>HiddenImpacts!I294</f>
        <v/>
      </c>
      <c r="J298" s="16" t="str">
        <f>HiddenImpacts!J294</f>
        <v/>
      </c>
      <c r="K298" s="29" t="str">
        <f>HiddenImpacts!K294</f>
        <v/>
      </c>
    </row>
    <row r="299" spans="1:11" ht="30" customHeight="1" x14ac:dyDescent="0.2">
      <c r="A299" s="9" t="str">
        <f t="shared" si="15"/>
        <v/>
      </c>
      <c r="B299" s="531" t="str">
        <f t="shared" si="15"/>
        <v/>
      </c>
      <c r="C299" s="531"/>
      <c r="D299" s="42"/>
      <c r="E299" s="42"/>
      <c r="F299" s="16" t="str">
        <f>HiddenImpacts!F295</f>
        <v/>
      </c>
      <c r="G299" s="16" t="str">
        <f>HiddenImpacts!G295</f>
        <v/>
      </c>
      <c r="H299" s="16" t="str">
        <f>HiddenImpacts!H295</f>
        <v/>
      </c>
      <c r="I299" s="16" t="str">
        <f>HiddenImpacts!I295</f>
        <v/>
      </c>
      <c r="J299" s="16" t="str">
        <f>HiddenImpacts!J295</f>
        <v/>
      </c>
      <c r="K299" s="29" t="str">
        <f>HiddenImpacts!K295</f>
        <v/>
      </c>
    </row>
    <row r="300" spans="1:11" ht="30" customHeight="1" x14ac:dyDescent="0.2">
      <c r="A300" s="9" t="str">
        <f t="shared" si="15"/>
        <v/>
      </c>
      <c r="B300" s="531" t="str">
        <f t="shared" si="15"/>
        <v/>
      </c>
      <c r="C300" s="531"/>
      <c r="D300" s="42"/>
      <c r="E300" s="42"/>
      <c r="F300" s="16" t="str">
        <f>HiddenImpacts!F296</f>
        <v/>
      </c>
      <c r="G300" s="16" t="str">
        <f>HiddenImpacts!G296</f>
        <v/>
      </c>
      <c r="H300" s="16" t="str">
        <f>HiddenImpacts!H296</f>
        <v/>
      </c>
      <c r="I300" s="16" t="str">
        <f>HiddenImpacts!I296</f>
        <v/>
      </c>
      <c r="J300" s="16" t="str">
        <f>HiddenImpacts!J296</f>
        <v/>
      </c>
      <c r="K300" s="29" t="str">
        <f>HiddenImpacts!K296</f>
        <v/>
      </c>
    </row>
    <row r="301" spans="1:11" ht="30" customHeight="1" x14ac:dyDescent="0.2">
      <c r="A301" s="9" t="str">
        <f t="shared" si="15"/>
        <v/>
      </c>
      <c r="B301" s="531" t="str">
        <f t="shared" si="15"/>
        <v/>
      </c>
      <c r="C301" s="531"/>
      <c r="D301" s="42"/>
      <c r="E301" s="42"/>
      <c r="F301" s="16" t="str">
        <f>HiddenImpacts!F297</f>
        <v/>
      </c>
      <c r="G301" s="16" t="str">
        <f>HiddenImpacts!G297</f>
        <v/>
      </c>
      <c r="H301" s="16" t="str">
        <f>HiddenImpacts!H297</f>
        <v/>
      </c>
      <c r="I301" s="16" t="str">
        <f>HiddenImpacts!I297</f>
        <v/>
      </c>
      <c r="J301" s="16" t="str">
        <f>HiddenImpacts!J297</f>
        <v/>
      </c>
      <c r="K301" s="29" t="str">
        <f>HiddenImpacts!K297</f>
        <v/>
      </c>
    </row>
    <row r="302" spans="1:11" ht="30" customHeight="1" x14ac:dyDescent="0.2">
      <c r="A302" s="9" t="str">
        <f t="shared" si="15"/>
        <v/>
      </c>
      <c r="B302" s="531" t="str">
        <f t="shared" si="15"/>
        <v/>
      </c>
      <c r="C302" s="531"/>
      <c r="D302" s="42"/>
      <c r="E302" s="42"/>
      <c r="F302" s="16" t="str">
        <f>HiddenImpacts!F298</f>
        <v/>
      </c>
      <c r="G302" s="16" t="str">
        <f>HiddenImpacts!G298</f>
        <v/>
      </c>
      <c r="H302" s="16" t="str">
        <f>HiddenImpacts!H298</f>
        <v/>
      </c>
      <c r="I302" s="16" t="str">
        <f>HiddenImpacts!I298</f>
        <v/>
      </c>
      <c r="J302" s="16" t="str">
        <f>HiddenImpacts!J298</f>
        <v/>
      </c>
      <c r="K302" s="29" t="str">
        <f>HiddenImpacts!K298</f>
        <v/>
      </c>
    </row>
    <row r="303" spans="1:11" ht="30" customHeight="1" x14ac:dyDescent="0.2">
      <c r="A303" s="9" t="str">
        <f t="shared" si="15"/>
        <v/>
      </c>
      <c r="B303" s="531" t="str">
        <f t="shared" si="15"/>
        <v/>
      </c>
      <c r="C303" s="531"/>
      <c r="D303" s="42"/>
      <c r="E303" s="42"/>
      <c r="F303" s="16" t="str">
        <f>HiddenImpacts!F299</f>
        <v/>
      </c>
      <c r="G303" s="16" t="str">
        <f>HiddenImpacts!G299</f>
        <v/>
      </c>
      <c r="H303" s="16" t="str">
        <f>HiddenImpacts!H299</f>
        <v/>
      </c>
      <c r="I303" s="16" t="str">
        <f>HiddenImpacts!I299</f>
        <v/>
      </c>
      <c r="J303" s="16" t="str">
        <f>HiddenImpacts!J299</f>
        <v/>
      </c>
      <c r="K303" s="29" t="str">
        <f>HiddenImpacts!K299</f>
        <v/>
      </c>
    </row>
    <row r="304" spans="1:11" ht="30" customHeight="1" x14ac:dyDescent="0.2">
      <c r="A304" s="9" t="str">
        <f t="shared" si="15"/>
        <v/>
      </c>
      <c r="B304" s="531" t="str">
        <f t="shared" si="15"/>
        <v/>
      </c>
      <c r="C304" s="531"/>
      <c r="D304" s="42"/>
      <c r="E304" s="42"/>
      <c r="F304" s="16" t="str">
        <f>HiddenImpacts!F300</f>
        <v/>
      </c>
      <c r="G304" s="16" t="str">
        <f>HiddenImpacts!G300</f>
        <v/>
      </c>
      <c r="H304" s="16" t="str">
        <f>HiddenImpacts!H300</f>
        <v/>
      </c>
      <c r="I304" s="16" t="str">
        <f>HiddenImpacts!I300</f>
        <v/>
      </c>
      <c r="J304" s="16" t="str">
        <f>HiddenImpacts!J300</f>
        <v/>
      </c>
      <c r="K304" s="29" t="str">
        <f>HiddenImpacts!K300</f>
        <v/>
      </c>
    </row>
    <row r="305" spans="1:11" ht="30" customHeight="1" x14ac:dyDescent="0.2">
      <c r="A305" s="9" t="str">
        <f t="shared" si="15"/>
        <v/>
      </c>
      <c r="B305" s="531" t="str">
        <f t="shared" si="15"/>
        <v/>
      </c>
      <c r="C305" s="531"/>
      <c r="D305" s="42"/>
      <c r="E305" s="42"/>
      <c r="F305" s="16" t="str">
        <f>HiddenImpacts!F301</f>
        <v/>
      </c>
      <c r="G305" s="16" t="str">
        <f>HiddenImpacts!G301</f>
        <v/>
      </c>
      <c r="H305" s="16" t="str">
        <f>HiddenImpacts!H301</f>
        <v/>
      </c>
      <c r="I305" s="16" t="str">
        <f>HiddenImpacts!I301</f>
        <v/>
      </c>
      <c r="J305" s="16" t="str">
        <f>HiddenImpacts!J301</f>
        <v/>
      </c>
      <c r="K305" s="29" t="str">
        <f>HiddenImpacts!K301</f>
        <v/>
      </c>
    </row>
    <row r="306" spans="1:11" ht="30" customHeight="1" x14ac:dyDescent="0.2">
      <c r="A306" s="9" t="str">
        <f t="shared" si="15"/>
        <v/>
      </c>
      <c r="B306" s="531" t="str">
        <f t="shared" si="15"/>
        <v/>
      </c>
      <c r="C306" s="531"/>
      <c r="D306" s="42"/>
      <c r="E306" s="42"/>
      <c r="F306" s="16" t="str">
        <f>HiddenImpacts!F302</f>
        <v/>
      </c>
      <c r="G306" s="16" t="str">
        <f>HiddenImpacts!G302</f>
        <v/>
      </c>
      <c r="H306" s="16" t="str">
        <f>HiddenImpacts!H302</f>
        <v/>
      </c>
      <c r="I306" s="16" t="str">
        <f>HiddenImpacts!I302</f>
        <v/>
      </c>
      <c r="J306" s="16" t="str">
        <f>HiddenImpacts!J302</f>
        <v/>
      </c>
      <c r="K306" s="29" t="str">
        <f>HiddenImpacts!K302</f>
        <v/>
      </c>
    </row>
    <row r="307" spans="1:11" ht="30" customHeight="1" x14ac:dyDescent="0.2">
      <c r="A307" s="9" t="str">
        <f t="shared" si="15"/>
        <v/>
      </c>
      <c r="B307" s="531" t="str">
        <f t="shared" si="15"/>
        <v/>
      </c>
      <c r="C307" s="531"/>
      <c r="D307" s="42"/>
      <c r="E307" s="42"/>
      <c r="F307" s="16" t="str">
        <f>HiddenImpacts!F303</f>
        <v/>
      </c>
      <c r="G307" s="16" t="str">
        <f>HiddenImpacts!G303</f>
        <v/>
      </c>
      <c r="H307" s="16" t="str">
        <f>HiddenImpacts!H303</f>
        <v/>
      </c>
      <c r="I307" s="16" t="str">
        <f>HiddenImpacts!I303</f>
        <v/>
      </c>
      <c r="J307" s="16" t="str">
        <f>HiddenImpacts!J303</f>
        <v/>
      </c>
      <c r="K307" s="29" t="str">
        <f>HiddenImpacts!K303</f>
        <v/>
      </c>
    </row>
    <row r="308" spans="1:11" ht="30" customHeight="1" x14ac:dyDescent="0.2">
      <c r="A308" s="9" t="str">
        <f t="shared" ref="A308:B323" si="16">A195</f>
        <v/>
      </c>
      <c r="B308" s="531" t="str">
        <f t="shared" si="16"/>
        <v/>
      </c>
      <c r="C308" s="531"/>
      <c r="D308" s="42"/>
      <c r="E308" s="42"/>
      <c r="F308" s="16" t="str">
        <f>HiddenImpacts!F304</f>
        <v/>
      </c>
      <c r="G308" s="16" t="str">
        <f>HiddenImpacts!G304</f>
        <v/>
      </c>
      <c r="H308" s="16" t="str">
        <f>HiddenImpacts!H304</f>
        <v/>
      </c>
      <c r="I308" s="16" t="str">
        <f>HiddenImpacts!I304</f>
        <v/>
      </c>
      <c r="J308" s="16" t="str">
        <f>HiddenImpacts!J304</f>
        <v/>
      </c>
      <c r="K308" s="29" t="str">
        <f>HiddenImpacts!K304</f>
        <v/>
      </c>
    </row>
    <row r="309" spans="1:11" ht="30" customHeight="1" x14ac:dyDescent="0.2">
      <c r="A309" s="9" t="str">
        <f t="shared" si="16"/>
        <v/>
      </c>
      <c r="B309" s="531" t="str">
        <f t="shared" si="16"/>
        <v/>
      </c>
      <c r="C309" s="531"/>
      <c r="D309" s="42"/>
      <c r="E309" s="42"/>
      <c r="F309" s="16" t="str">
        <f>HiddenImpacts!F305</f>
        <v/>
      </c>
      <c r="G309" s="16" t="str">
        <f>HiddenImpacts!G305</f>
        <v/>
      </c>
      <c r="H309" s="16" t="str">
        <f>HiddenImpacts!H305</f>
        <v/>
      </c>
      <c r="I309" s="16" t="str">
        <f>HiddenImpacts!I305</f>
        <v/>
      </c>
      <c r="J309" s="16" t="str">
        <f>HiddenImpacts!J305</f>
        <v/>
      </c>
      <c r="K309" s="29" t="str">
        <f>HiddenImpacts!K305</f>
        <v/>
      </c>
    </row>
    <row r="310" spans="1:11" ht="30" customHeight="1" x14ac:dyDescent="0.2">
      <c r="A310" s="9" t="str">
        <f t="shared" si="16"/>
        <v/>
      </c>
      <c r="B310" s="531" t="str">
        <f t="shared" si="16"/>
        <v/>
      </c>
      <c r="C310" s="531"/>
      <c r="D310" s="42"/>
      <c r="E310" s="42"/>
      <c r="F310" s="16" t="str">
        <f>HiddenImpacts!F306</f>
        <v/>
      </c>
      <c r="G310" s="16" t="str">
        <f>HiddenImpacts!G306</f>
        <v/>
      </c>
      <c r="H310" s="16" t="str">
        <f>HiddenImpacts!H306</f>
        <v/>
      </c>
      <c r="I310" s="16" t="str">
        <f>HiddenImpacts!I306</f>
        <v/>
      </c>
      <c r="J310" s="16" t="str">
        <f>HiddenImpacts!J306</f>
        <v/>
      </c>
      <c r="K310" s="29" t="str">
        <f>HiddenImpacts!K306</f>
        <v/>
      </c>
    </row>
    <row r="311" spans="1:11" ht="30" customHeight="1" x14ac:dyDescent="0.2">
      <c r="A311" s="9" t="str">
        <f t="shared" si="16"/>
        <v/>
      </c>
      <c r="B311" s="531" t="str">
        <f t="shared" si="16"/>
        <v/>
      </c>
      <c r="C311" s="531"/>
      <c r="D311" s="42"/>
      <c r="E311" s="42"/>
      <c r="F311" s="16" t="str">
        <f>HiddenImpacts!F307</f>
        <v/>
      </c>
      <c r="G311" s="16" t="str">
        <f>HiddenImpacts!G307</f>
        <v/>
      </c>
      <c r="H311" s="16" t="str">
        <f>HiddenImpacts!H307</f>
        <v/>
      </c>
      <c r="I311" s="16" t="str">
        <f>HiddenImpacts!I307</f>
        <v/>
      </c>
      <c r="J311" s="16" t="str">
        <f>HiddenImpacts!J307</f>
        <v/>
      </c>
      <c r="K311" s="29" t="str">
        <f>HiddenImpacts!K307</f>
        <v/>
      </c>
    </row>
    <row r="312" spans="1:11" ht="30" customHeight="1" x14ac:dyDescent="0.2">
      <c r="A312" s="9" t="str">
        <f t="shared" si="16"/>
        <v/>
      </c>
      <c r="B312" s="531" t="str">
        <f t="shared" si="16"/>
        <v/>
      </c>
      <c r="C312" s="531"/>
      <c r="D312" s="42"/>
      <c r="E312" s="42"/>
      <c r="F312" s="16" t="str">
        <f>HiddenImpacts!F308</f>
        <v/>
      </c>
      <c r="G312" s="16" t="str">
        <f>HiddenImpacts!G308</f>
        <v/>
      </c>
      <c r="H312" s="16" t="str">
        <f>HiddenImpacts!H308</f>
        <v/>
      </c>
      <c r="I312" s="16" t="str">
        <f>HiddenImpacts!I308</f>
        <v/>
      </c>
      <c r="J312" s="16" t="str">
        <f>HiddenImpacts!J308</f>
        <v/>
      </c>
      <c r="K312" s="29" t="str">
        <f>HiddenImpacts!K308</f>
        <v/>
      </c>
    </row>
    <row r="313" spans="1:11" ht="30" customHeight="1" x14ac:dyDescent="0.2">
      <c r="A313" s="9" t="str">
        <f t="shared" si="16"/>
        <v/>
      </c>
      <c r="B313" s="531" t="str">
        <f t="shared" si="16"/>
        <v/>
      </c>
      <c r="C313" s="531"/>
      <c r="D313" s="42"/>
      <c r="E313" s="42"/>
      <c r="F313" s="16" t="str">
        <f>HiddenImpacts!F309</f>
        <v/>
      </c>
      <c r="G313" s="16" t="str">
        <f>HiddenImpacts!G309</f>
        <v/>
      </c>
      <c r="H313" s="16" t="str">
        <f>HiddenImpacts!H309</f>
        <v/>
      </c>
      <c r="I313" s="16" t="str">
        <f>HiddenImpacts!I309</f>
        <v/>
      </c>
      <c r="J313" s="16" t="str">
        <f>HiddenImpacts!J309</f>
        <v/>
      </c>
      <c r="K313" s="29" t="str">
        <f>HiddenImpacts!K309</f>
        <v/>
      </c>
    </row>
    <row r="314" spans="1:11" ht="30" customHeight="1" x14ac:dyDescent="0.2">
      <c r="A314" s="9" t="str">
        <f t="shared" si="16"/>
        <v/>
      </c>
      <c r="B314" s="531" t="str">
        <f t="shared" si="16"/>
        <v/>
      </c>
      <c r="C314" s="531"/>
      <c r="D314" s="42"/>
      <c r="E314" s="42"/>
      <c r="F314" s="16" t="str">
        <f>HiddenImpacts!F310</f>
        <v/>
      </c>
      <c r="G314" s="16" t="str">
        <f>HiddenImpacts!G310</f>
        <v/>
      </c>
      <c r="H314" s="16" t="str">
        <f>HiddenImpacts!H310</f>
        <v/>
      </c>
      <c r="I314" s="16" t="str">
        <f>HiddenImpacts!I310</f>
        <v/>
      </c>
      <c r="J314" s="16" t="str">
        <f>HiddenImpacts!J310</f>
        <v/>
      </c>
      <c r="K314" s="29" t="str">
        <f>HiddenImpacts!K310</f>
        <v/>
      </c>
    </row>
    <row r="315" spans="1:11" ht="30" customHeight="1" x14ac:dyDescent="0.2">
      <c r="A315" s="9" t="str">
        <f t="shared" si="16"/>
        <v/>
      </c>
      <c r="B315" s="531" t="str">
        <f t="shared" si="16"/>
        <v/>
      </c>
      <c r="C315" s="531"/>
      <c r="D315" s="42"/>
      <c r="E315" s="42"/>
      <c r="F315" s="16" t="str">
        <f>HiddenImpacts!F311</f>
        <v/>
      </c>
      <c r="G315" s="16" t="str">
        <f>HiddenImpacts!G311</f>
        <v/>
      </c>
      <c r="H315" s="16" t="str">
        <f>HiddenImpacts!H311</f>
        <v/>
      </c>
      <c r="I315" s="16" t="str">
        <f>HiddenImpacts!I311</f>
        <v/>
      </c>
      <c r="J315" s="16" t="str">
        <f>HiddenImpacts!J311</f>
        <v/>
      </c>
      <c r="K315" s="29" t="str">
        <f>HiddenImpacts!K311</f>
        <v/>
      </c>
    </row>
    <row r="316" spans="1:11" ht="30" customHeight="1" x14ac:dyDescent="0.2">
      <c r="A316" s="9" t="str">
        <f t="shared" si="16"/>
        <v/>
      </c>
      <c r="B316" s="531" t="str">
        <f t="shared" si="16"/>
        <v/>
      </c>
      <c r="C316" s="531"/>
      <c r="D316" s="42"/>
      <c r="E316" s="42"/>
      <c r="F316" s="16" t="str">
        <f>HiddenImpacts!F312</f>
        <v/>
      </c>
      <c r="G316" s="16" t="str">
        <f>HiddenImpacts!G312</f>
        <v/>
      </c>
      <c r="H316" s="16" t="str">
        <f>HiddenImpacts!H312</f>
        <v/>
      </c>
      <c r="I316" s="16" t="str">
        <f>HiddenImpacts!I312</f>
        <v/>
      </c>
      <c r="J316" s="16" t="str">
        <f>HiddenImpacts!J312</f>
        <v/>
      </c>
      <c r="K316" s="29" t="str">
        <f>HiddenImpacts!K312</f>
        <v/>
      </c>
    </row>
    <row r="317" spans="1:11" ht="30" customHeight="1" x14ac:dyDescent="0.2">
      <c r="A317" s="9" t="str">
        <f t="shared" si="16"/>
        <v/>
      </c>
      <c r="B317" s="531" t="str">
        <f t="shared" si="16"/>
        <v/>
      </c>
      <c r="C317" s="531"/>
      <c r="D317" s="42"/>
      <c r="E317" s="42"/>
      <c r="F317" s="16" t="str">
        <f>HiddenImpacts!F313</f>
        <v/>
      </c>
      <c r="G317" s="16" t="str">
        <f>HiddenImpacts!G313</f>
        <v/>
      </c>
      <c r="H317" s="16" t="str">
        <f>HiddenImpacts!H313</f>
        <v/>
      </c>
      <c r="I317" s="16" t="str">
        <f>HiddenImpacts!I313</f>
        <v/>
      </c>
      <c r="J317" s="16" t="str">
        <f>HiddenImpacts!J313</f>
        <v/>
      </c>
      <c r="K317" s="29" t="str">
        <f>HiddenImpacts!K313</f>
        <v/>
      </c>
    </row>
    <row r="318" spans="1:11" ht="30" customHeight="1" x14ac:dyDescent="0.2">
      <c r="A318" s="9" t="str">
        <f t="shared" si="16"/>
        <v/>
      </c>
      <c r="B318" s="531" t="str">
        <f t="shared" si="16"/>
        <v/>
      </c>
      <c r="C318" s="531"/>
      <c r="D318" s="42"/>
      <c r="E318" s="42"/>
      <c r="F318" s="16" t="str">
        <f>HiddenImpacts!F314</f>
        <v/>
      </c>
      <c r="G318" s="16" t="str">
        <f>HiddenImpacts!G314</f>
        <v/>
      </c>
      <c r="H318" s="16" t="str">
        <f>HiddenImpacts!H314</f>
        <v/>
      </c>
      <c r="I318" s="16" t="str">
        <f>HiddenImpacts!I314</f>
        <v/>
      </c>
      <c r="J318" s="16" t="str">
        <f>HiddenImpacts!J314</f>
        <v/>
      </c>
      <c r="K318" s="29" t="str">
        <f>HiddenImpacts!K314</f>
        <v/>
      </c>
    </row>
    <row r="319" spans="1:11" ht="30" customHeight="1" x14ac:dyDescent="0.2">
      <c r="A319" s="9" t="str">
        <f t="shared" si="16"/>
        <v/>
      </c>
      <c r="B319" s="531" t="str">
        <f t="shared" si="16"/>
        <v/>
      </c>
      <c r="C319" s="531"/>
      <c r="D319" s="42"/>
      <c r="E319" s="42"/>
      <c r="F319" s="16" t="str">
        <f>HiddenImpacts!F315</f>
        <v/>
      </c>
      <c r="G319" s="16" t="str">
        <f>HiddenImpacts!G315</f>
        <v/>
      </c>
      <c r="H319" s="16" t="str">
        <f>HiddenImpacts!H315</f>
        <v/>
      </c>
      <c r="I319" s="16" t="str">
        <f>HiddenImpacts!I315</f>
        <v/>
      </c>
      <c r="J319" s="16" t="str">
        <f>HiddenImpacts!J315</f>
        <v/>
      </c>
      <c r="K319" s="29" t="str">
        <f>HiddenImpacts!K315</f>
        <v/>
      </c>
    </row>
    <row r="320" spans="1:11" ht="30" customHeight="1" x14ac:dyDescent="0.2">
      <c r="A320" s="9" t="str">
        <f t="shared" si="16"/>
        <v/>
      </c>
      <c r="B320" s="531" t="str">
        <f t="shared" si="16"/>
        <v/>
      </c>
      <c r="C320" s="531"/>
      <c r="D320" s="42"/>
      <c r="E320" s="42"/>
      <c r="F320" s="16" t="str">
        <f>HiddenImpacts!F316</f>
        <v/>
      </c>
      <c r="G320" s="16" t="str">
        <f>HiddenImpacts!G316</f>
        <v/>
      </c>
      <c r="H320" s="16" t="str">
        <f>HiddenImpacts!H316</f>
        <v/>
      </c>
      <c r="I320" s="16" t="str">
        <f>HiddenImpacts!I316</f>
        <v/>
      </c>
      <c r="J320" s="16" t="str">
        <f>HiddenImpacts!J316</f>
        <v/>
      </c>
      <c r="K320" s="29" t="str">
        <f>HiddenImpacts!K316</f>
        <v/>
      </c>
    </row>
    <row r="321" spans="1:11" ht="30" customHeight="1" x14ac:dyDescent="0.2">
      <c r="A321" s="9" t="str">
        <f t="shared" si="16"/>
        <v/>
      </c>
      <c r="B321" s="531" t="str">
        <f t="shared" si="16"/>
        <v/>
      </c>
      <c r="C321" s="531"/>
      <c r="D321" s="42"/>
      <c r="E321" s="42"/>
      <c r="F321" s="16" t="str">
        <f>HiddenImpacts!F317</f>
        <v/>
      </c>
      <c r="G321" s="16" t="str">
        <f>HiddenImpacts!G317</f>
        <v/>
      </c>
      <c r="H321" s="16" t="str">
        <f>HiddenImpacts!H317</f>
        <v/>
      </c>
      <c r="I321" s="16" t="str">
        <f>HiddenImpacts!I317</f>
        <v/>
      </c>
      <c r="J321" s="16" t="str">
        <f>HiddenImpacts!J317</f>
        <v/>
      </c>
      <c r="K321" s="29" t="str">
        <f>HiddenImpacts!K317</f>
        <v/>
      </c>
    </row>
    <row r="322" spans="1:11" ht="30" customHeight="1" x14ac:dyDescent="0.2">
      <c r="A322" s="9" t="str">
        <f t="shared" si="16"/>
        <v/>
      </c>
      <c r="B322" s="531" t="str">
        <f t="shared" si="16"/>
        <v/>
      </c>
      <c r="C322" s="531"/>
      <c r="D322" s="42"/>
      <c r="E322" s="42"/>
      <c r="F322" s="16" t="str">
        <f>HiddenImpacts!F318</f>
        <v/>
      </c>
      <c r="G322" s="16" t="str">
        <f>HiddenImpacts!G318</f>
        <v/>
      </c>
      <c r="H322" s="16" t="str">
        <f>HiddenImpacts!H318</f>
        <v/>
      </c>
      <c r="I322" s="16" t="str">
        <f>HiddenImpacts!I318</f>
        <v/>
      </c>
      <c r="J322" s="16" t="str">
        <f>HiddenImpacts!J318</f>
        <v/>
      </c>
      <c r="K322" s="29" t="str">
        <f>HiddenImpacts!K318</f>
        <v/>
      </c>
    </row>
    <row r="323" spans="1:11" ht="30" customHeight="1" x14ac:dyDescent="0.2">
      <c r="A323" s="9" t="str">
        <f t="shared" si="16"/>
        <v/>
      </c>
      <c r="B323" s="531" t="str">
        <f t="shared" si="16"/>
        <v/>
      </c>
      <c r="C323" s="531"/>
      <c r="D323" s="42"/>
      <c r="E323" s="42"/>
      <c r="F323" s="16" t="str">
        <f>HiddenImpacts!F319</f>
        <v/>
      </c>
      <c r="G323" s="16" t="str">
        <f>HiddenImpacts!G319</f>
        <v/>
      </c>
      <c r="H323" s="16" t="str">
        <f>HiddenImpacts!H319</f>
        <v/>
      </c>
      <c r="I323" s="16" t="str">
        <f>HiddenImpacts!I319</f>
        <v/>
      </c>
      <c r="J323" s="16" t="str">
        <f>HiddenImpacts!J319</f>
        <v/>
      </c>
      <c r="K323" s="29" t="str">
        <f>HiddenImpacts!K319</f>
        <v/>
      </c>
    </row>
    <row r="324" spans="1:11" ht="30" customHeight="1" x14ac:dyDescent="0.2">
      <c r="A324" s="9" t="str">
        <f t="shared" ref="A324:B337" si="17">A211</f>
        <v/>
      </c>
      <c r="B324" s="531" t="str">
        <f t="shared" si="17"/>
        <v/>
      </c>
      <c r="C324" s="531"/>
      <c r="D324" s="42"/>
      <c r="E324" s="42"/>
      <c r="F324" s="16" t="str">
        <f>HiddenImpacts!F320</f>
        <v/>
      </c>
      <c r="G324" s="16" t="str">
        <f>HiddenImpacts!G320</f>
        <v/>
      </c>
      <c r="H324" s="16" t="str">
        <f>HiddenImpacts!H320</f>
        <v/>
      </c>
      <c r="I324" s="16" t="str">
        <f>HiddenImpacts!I320</f>
        <v/>
      </c>
      <c r="J324" s="16" t="str">
        <f>HiddenImpacts!J320</f>
        <v/>
      </c>
      <c r="K324" s="29" t="str">
        <f>HiddenImpacts!K320</f>
        <v/>
      </c>
    </row>
    <row r="325" spans="1:11" ht="30" customHeight="1" x14ac:dyDescent="0.2">
      <c r="A325" s="9" t="str">
        <f t="shared" si="17"/>
        <v/>
      </c>
      <c r="B325" s="531" t="str">
        <f t="shared" si="17"/>
        <v/>
      </c>
      <c r="C325" s="531"/>
      <c r="D325" s="42"/>
      <c r="E325" s="42"/>
      <c r="F325" s="16" t="str">
        <f>HiddenImpacts!F321</f>
        <v/>
      </c>
      <c r="G325" s="16" t="str">
        <f>HiddenImpacts!G321</f>
        <v/>
      </c>
      <c r="H325" s="16" t="str">
        <f>HiddenImpacts!H321</f>
        <v/>
      </c>
      <c r="I325" s="16" t="str">
        <f>HiddenImpacts!I321</f>
        <v/>
      </c>
      <c r="J325" s="16" t="str">
        <f>HiddenImpacts!J321</f>
        <v/>
      </c>
      <c r="K325" s="29" t="str">
        <f>HiddenImpacts!K321</f>
        <v/>
      </c>
    </row>
    <row r="326" spans="1:11" ht="30" customHeight="1" x14ac:dyDescent="0.2">
      <c r="A326" s="9" t="str">
        <f t="shared" si="17"/>
        <v/>
      </c>
      <c r="B326" s="531" t="str">
        <f t="shared" si="17"/>
        <v/>
      </c>
      <c r="C326" s="531"/>
      <c r="D326" s="42"/>
      <c r="E326" s="42"/>
      <c r="F326" s="16" t="str">
        <f>HiddenImpacts!F322</f>
        <v/>
      </c>
      <c r="G326" s="16" t="str">
        <f>HiddenImpacts!G322</f>
        <v/>
      </c>
      <c r="H326" s="16" t="str">
        <f>HiddenImpacts!H322</f>
        <v/>
      </c>
      <c r="I326" s="16" t="str">
        <f>HiddenImpacts!I322</f>
        <v/>
      </c>
      <c r="J326" s="16" t="str">
        <f>HiddenImpacts!J322</f>
        <v/>
      </c>
      <c r="K326" s="29" t="str">
        <f>HiddenImpacts!K322</f>
        <v/>
      </c>
    </row>
    <row r="327" spans="1:11" ht="30" customHeight="1" x14ac:dyDescent="0.2">
      <c r="A327" s="9" t="str">
        <f t="shared" si="17"/>
        <v/>
      </c>
      <c r="B327" s="531" t="str">
        <f t="shared" si="17"/>
        <v/>
      </c>
      <c r="C327" s="531"/>
      <c r="D327" s="42"/>
      <c r="E327" s="42"/>
      <c r="F327" s="16" t="str">
        <f>HiddenImpacts!F323</f>
        <v/>
      </c>
      <c r="G327" s="16" t="str">
        <f>HiddenImpacts!G323</f>
        <v/>
      </c>
      <c r="H327" s="16" t="str">
        <f>HiddenImpacts!H323</f>
        <v/>
      </c>
      <c r="I327" s="16" t="str">
        <f>HiddenImpacts!I323</f>
        <v/>
      </c>
      <c r="J327" s="16" t="str">
        <f>HiddenImpacts!J323</f>
        <v/>
      </c>
      <c r="K327" s="29" t="str">
        <f>HiddenImpacts!K323</f>
        <v/>
      </c>
    </row>
    <row r="328" spans="1:11" ht="30" customHeight="1" x14ac:dyDescent="0.2">
      <c r="A328" s="9" t="str">
        <f t="shared" si="17"/>
        <v/>
      </c>
      <c r="B328" s="531" t="str">
        <f t="shared" si="17"/>
        <v/>
      </c>
      <c r="C328" s="531"/>
      <c r="D328" s="42"/>
      <c r="E328" s="42"/>
      <c r="F328" s="16" t="str">
        <f>HiddenImpacts!F324</f>
        <v/>
      </c>
      <c r="G328" s="16" t="str">
        <f>HiddenImpacts!G324</f>
        <v/>
      </c>
      <c r="H328" s="16" t="str">
        <f>HiddenImpacts!H324</f>
        <v/>
      </c>
      <c r="I328" s="16" t="str">
        <f>HiddenImpacts!I324</f>
        <v/>
      </c>
      <c r="J328" s="16" t="str">
        <f>HiddenImpacts!J324</f>
        <v/>
      </c>
      <c r="K328" s="29" t="str">
        <f>HiddenImpacts!K324</f>
        <v/>
      </c>
    </row>
    <row r="329" spans="1:11" ht="30" customHeight="1" x14ac:dyDescent="0.2">
      <c r="A329" s="9" t="str">
        <f t="shared" si="17"/>
        <v/>
      </c>
      <c r="B329" s="531" t="str">
        <f t="shared" si="17"/>
        <v/>
      </c>
      <c r="C329" s="531"/>
      <c r="D329" s="42"/>
      <c r="E329" s="42"/>
      <c r="F329" s="16" t="str">
        <f>HiddenImpacts!F325</f>
        <v/>
      </c>
      <c r="G329" s="16" t="str">
        <f>HiddenImpacts!G325</f>
        <v/>
      </c>
      <c r="H329" s="16" t="str">
        <f>HiddenImpacts!H325</f>
        <v/>
      </c>
      <c r="I329" s="16" t="str">
        <f>HiddenImpacts!I325</f>
        <v/>
      </c>
      <c r="J329" s="16" t="str">
        <f>HiddenImpacts!J325</f>
        <v/>
      </c>
      <c r="K329" s="29" t="str">
        <f>HiddenImpacts!K325</f>
        <v/>
      </c>
    </row>
    <row r="330" spans="1:11" ht="30" customHeight="1" x14ac:dyDescent="0.2">
      <c r="A330" s="9" t="str">
        <f t="shared" si="17"/>
        <v/>
      </c>
      <c r="B330" s="531" t="str">
        <f t="shared" si="17"/>
        <v/>
      </c>
      <c r="C330" s="531"/>
      <c r="D330" s="42"/>
      <c r="E330" s="42"/>
      <c r="F330" s="16" t="str">
        <f>HiddenImpacts!F326</f>
        <v/>
      </c>
      <c r="G330" s="16" t="str">
        <f>HiddenImpacts!G326</f>
        <v/>
      </c>
      <c r="H330" s="16" t="str">
        <f>HiddenImpacts!H326</f>
        <v/>
      </c>
      <c r="I330" s="16" t="str">
        <f>HiddenImpacts!I326</f>
        <v/>
      </c>
      <c r="J330" s="16" t="str">
        <f>HiddenImpacts!J326</f>
        <v/>
      </c>
      <c r="K330" s="29" t="str">
        <f>HiddenImpacts!K326</f>
        <v/>
      </c>
    </row>
    <row r="331" spans="1:11" ht="30" customHeight="1" x14ac:dyDescent="0.2">
      <c r="A331" s="9" t="str">
        <f t="shared" si="17"/>
        <v/>
      </c>
      <c r="B331" s="531" t="str">
        <f t="shared" si="17"/>
        <v/>
      </c>
      <c r="C331" s="531"/>
      <c r="D331" s="42"/>
      <c r="E331" s="42"/>
      <c r="F331" s="16" t="str">
        <f>HiddenImpacts!F327</f>
        <v/>
      </c>
      <c r="G331" s="16" t="str">
        <f>HiddenImpacts!G327</f>
        <v/>
      </c>
      <c r="H331" s="16" t="str">
        <f>HiddenImpacts!H327</f>
        <v/>
      </c>
      <c r="I331" s="16" t="str">
        <f>HiddenImpacts!I327</f>
        <v/>
      </c>
      <c r="J331" s="16" t="str">
        <f>HiddenImpacts!J327</f>
        <v/>
      </c>
      <c r="K331" s="29" t="str">
        <f>HiddenImpacts!K327</f>
        <v/>
      </c>
    </row>
    <row r="332" spans="1:11" ht="30" customHeight="1" x14ac:dyDescent="0.2">
      <c r="A332" s="9" t="str">
        <f t="shared" si="17"/>
        <v/>
      </c>
      <c r="B332" s="531" t="str">
        <f t="shared" si="17"/>
        <v/>
      </c>
      <c r="C332" s="531"/>
      <c r="D332" s="42"/>
      <c r="E332" s="42"/>
      <c r="F332" s="16" t="str">
        <f>HiddenImpacts!F328</f>
        <v/>
      </c>
      <c r="G332" s="16" t="str">
        <f>HiddenImpacts!G328</f>
        <v/>
      </c>
      <c r="H332" s="16" t="str">
        <f>HiddenImpacts!H328</f>
        <v/>
      </c>
      <c r="I332" s="16" t="str">
        <f>HiddenImpacts!I328</f>
        <v/>
      </c>
      <c r="J332" s="16" t="str">
        <f>HiddenImpacts!J328</f>
        <v/>
      </c>
      <c r="K332" s="29" t="str">
        <f>HiddenImpacts!K328</f>
        <v/>
      </c>
    </row>
    <row r="333" spans="1:11" ht="30" customHeight="1" x14ac:dyDescent="0.2">
      <c r="A333" s="9" t="str">
        <f t="shared" si="17"/>
        <v/>
      </c>
      <c r="B333" s="531" t="str">
        <f t="shared" si="17"/>
        <v/>
      </c>
      <c r="C333" s="531"/>
      <c r="D333" s="42"/>
      <c r="E333" s="42"/>
      <c r="F333" s="16" t="str">
        <f>HiddenImpacts!F329</f>
        <v/>
      </c>
      <c r="G333" s="16" t="str">
        <f>HiddenImpacts!G329</f>
        <v/>
      </c>
      <c r="H333" s="16" t="str">
        <f>HiddenImpacts!H329</f>
        <v/>
      </c>
      <c r="I333" s="16" t="str">
        <f>HiddenImpacts!I329</f>
        <v/>
      </c>
      <c r="J333" s="16" t="str">
        <f>HiddenImpacts!J329</f>
        <v/>
      </c>
      <c r="K333" s="29" t="str">
        <f>HiddenImpacts!K329</f>
        <v/>
      </c>
    </row>
    <row r="334" spans="1:11" ht="30" customHeight="1" x14ac:dyDescent="0.2">
      <c r="A334" s="9" t="str">
        <f t="shared" si="17"/>
        <v/>
      </c>
      <c r="B334" s="531" t="str">
        <f t="shared" si="17"/>
        <v/>
      </c>
      <c r="C334" s="531"/>
      <c r="D334" s="42"/>
      <c r="E334" s="42"/>
      <c r="F334" s="16" t="str">
        <f>HiddenImpacts!F330</f>
        <v/>
      </c>
      <c r="G334" s="16" t="str">
        <f>HiddenImpacts!G330</f>
        <v/>
      </c>
      <c r="H334" s="16" t="str">
        <f>HiddenImpacts!H330</f>
        <v/>
      </c>
      <c r="I334" s="16" t="str">
        <f>HiddenImpacts!I330</f>
        <v/>
      </c>
      <c r="J334" s="16" t="str">
        <f>HiddenImpacts!J330</f>
        <v/>
      </c>
      <c r="K334" s="29" t="str">
        <f>HiddenImpacts!K330</f>
        <v/>
      </c>
    </row>
    <row r="335" spans="1:11" ht="30" customHeight="1" x14ac:dyDescent="0.2">
      <c r="A335" s="9" t="str">
        <f t="shared" si="17"/>
        <v/>
      </c>
      <c r="B335" s="531" t="str">
        <f t="shared" si="17"/>
        <v/>
      </c>
      <c r="C335" s="531"/>
      <c r="D335" s="42"/>
      <c r="E335" s="42"/>
      <c r="F335" s="16" t="str">
        <f>HiddenImpacts!F331</f>
        <v/>
      </c>
      <c r="G335" s="16" t="str">
        <f>HiddenImpacts!G331</f>
        <v/>
      </c>
      <c r="H335" s="16" t="str">
        <f>HiddenImpacts!H331</f>
        <v/>
      </c>
      <c r="I335" s="16" t="str">
        <f>HiddenImpacts!I331</f>
        <v/>
      </c>
      <c r="J335" s="16" t="str">
        <f>HiddenImpacts!J331</f>
        <v/>
      </c>
      <c r="K335" s="29" t="str">
        <f>HiddenImpacts!K331</f>
        <v/>
      </c>
    </row>
    <row r="336" spans="1:11" ht="30" customHeight="1" x14ac:dyDescent="0.2">
      <c r="A336" s="9" t="str">
        <f t="shared" si="17"/>
        <v/>
      </c>
      <c r="B336" s="531" t="str">
        <f t="shared" si="17"/>
        <v/>
      </c>
      <c r="C336" s="531"/>
      <c r="D336" s="42"/>
      <c r="E336" s="42"/>
      <c r="F336" s="16" t="str">
        <f>HiddenImpacts!F332</f>
        <v/>
      </c>
      <c r="G336" s="16" t="str">
        <f>HiddenImpacts!G332</f>
        <v/>
      </c>
      <c r="H336" s="16" t="str">
        <f>HiddenImpacts!H332</f>
        <v/>
      </c>
      <c r="I336" s="16" t="str">
        <f>HiddenImpacts!I332</f>
        <v/>
      </c>
      <c r="J336" s="16" t="str">
        <f>HiddenImpacts!J332</f>
        <v/>
      </c>
      <c r="K336" s="29" t="str">
        <f>HiddenImpacts!K332</f>
        <v/>
      </c>
    </row>
    <row r="337" spans="1:11" ht="30" customHeight="1" thickBot="1" x14ac:dyDescent="0.25">
      <c r="A337" s="112" t="str">
        <f t="shared" si="17"/>
        <v/>
      </c>
      <c r="B337" s="484" t="str">
        <f t="shared" si="17"/>
        <v/>
      </c>
      <c r="C337" s="484"/>
      <c r="D337" s="159"/>
      <c r="E337" s="159"/>
      <c r="F337" s="28" t="str">
        <f>HiddenImpacts!F333</f>
        <v/>
      </c>
      <c r="G337" s="28" t="str">
        <f>HiddenImpacts!G333</f>
        <v/>
      </c>
      <c r="H337" s="28" t="str">
        <f>HiddenImpacts!H333</f>
        <v/>
      </c>
      <c r="I337" s="28" t="str">
        <f>HiddenImpacts!I333</f>
        <v/>
      </c>
      <c r="J337" s="28" t="str">
        <f>HiddenImpacts!J333</f>
        <v/>
      </c>
      <c r="K337" s="113" t="str">
        <f>HiddenImpacts!K333</f>
        <v/>
      </c>
    </row>
    <row r="338" spans="1:11" ht="30.75" customHeight="1" thickBot="1" x14ac:dyDescent="0.25">
      <c r="A338" s="1024" t="s">
        <v>10070</v>
      </c>
      <c r="B338" s="1025"/>
      <c r="C338" s="1025"/>
      <c r="D338" s="1025"/>
      <c r="E338" s="1025"/>
      <c r="F338" s="1025"/>
      <c r="G338" s="1025"/>
      <c r="H338" s="1025"/>
      <c r="I338" s="1025"/>
      <c r="J338" s="1025"/>
      <c r="K338" s="1026"/>
    </row>
    <row r="339" spans="1:11" ht="15" thickBot="1" x14ac:dyDescent="0.25">
      <c r="A339" s="1027" t="s">
        <v>10047</v>
      </c>
      <c r="B339" s="1027"/>
      <c r="C339" s="1027"/>
      <c r="D339" s="1027"/>
      <c r="E339" s="1027"/>
      <c r="F339" s="1027"/>
      <c r="G339" s="1027"/>
      <c r="H339" s="1027"/>
      <c r="I339" s="1027"/>
      <c r="J339" s="1027"/>
      <c r="K339" s="1027"/>
    </row>
    <row r="340" spans="1:11" ht="15.75" thickBot="1" x14ac:dyDescent="0.25">
      <c r="A340" s="1028" t="s">
        <v>10068</v>
      </c>
      <c r="B340" s="1029"/>
      <c r="C340" s="1029"/>
      <c r="D340" s="1029"/>
      <c r="E340" s="1029"/>
      <c r="F340" s="1029"/>
      <c r="G340" s="1029"/>
      <c r="H340" s="1029"/>
      <c r="I340" s="1029"/>
      <c r="J340" s="1029"/>
      <c r="K340" s="1030"/>
    </row>
    <row r="341" spans="1:11" ht="48.75" customHeight="1" x14ac:dyDescent="0.2">
      <c r="A341" s="48" t="s">
        <v>8751</v>
      </c>
      <c r="B341" s="540" t="s">
        <v>9203</v>
      </c>
      <c r="C341" s="540"/>
      <c r="D341" s="327" t="s">
        <v>10050</v>
      </c>
      <c r="E341" s="327" t="s">
        <v>10048</v>
      </c>
      <c r="F341" s="327" t="s">
        <v>10049</v>
      </c>
      <c r="G341" s="862" t="s">
        <v>10054</v>
      </c>
      <c r="H341" s="862"/>
      <c r="I341" s="862" t="s">
        <v>10055</v>
      </c>
      <c r="J341" s="862"/>
      <c r="K341" s="210" t="s">
        <v>9205</v>
      </c>
    </row>
    <row r="342" spans="1:11" ht="30" customHeight="1" x14ac:dyDescent="0.2">
      <c r="A342" s="9" t="str">
        <f>$A228</f>
        <v/>
      </c>
      <c r="B342" s="531" t="str">
        <f>$B228</f>
        <v/>
      </c>
      <c r="C342" s="531"/>
      <c r="D342" s="16" t="str">
        <f>HiddenImpacts!D338</f>
        <v/>
      </c>
      <c r="E342" s="16" t="str">
        <f>HiddenImpacts!F338</f>
        <v/>
      </c>
      <c r="F342" s="16" t="str">
        <f>HiddenImpacts!H338</f>
        <v/>
      </c>
      <c r="G342" s="531" t="str">
        <f>HiddenImpacts!J338</f>
        <v/>
      </c>
      <c r="H342" s="531"/>
      <c r="I342" s="531" t="str">
        <f>HiddenImpacts!L338</f>
        <v/>
      </c>
      <c r="J342" s="531"/>
      <c r="K342" s="29" t="str">
        <f>HiddenImpacts!N338</f>
        <v/>
      </c>
    </row>
    <row r="343" spans="1:11" ht="30" customHeight="1" x14ac:dyDescent="0.2">
      <c r="A343" s="9" t="str">
        <f t="shared" ref="A343:A406" si="18">$A229</f>
        <v/>
      </c>
      <c r="B343" s="531" t="str">
        <f t="shared" ref="B343:B406" si="19">$B229</f>
        <v/>
      </c>
      <c r="C343" s="531"/>
      <c r="D343" s="16" t="str">
        <f>HiddenImpacts!D339</f>
        <v/>
      </c>
      <c r="E343" s="16" t="str">
        <f>HiddenImpacts!F339</f>
        <v/>
      </c>
      <c r="F343" s="16" t="str">
        <f>HiddenImpacts!H339</f>
        <v/>
      </c>
      <c r="G343" s="531" t="str">
        <f>HiddenImpacts!J339</f>
        <v/>
      </c>
      <c r="H343" s="531"/>
      <c r="I343" s="531" t="str">
        <f>HiddenImpacts!L339</f>
        <v/>
      </c>
      <c r="J343" s="531"/>
      <c r="K343" s="29" t="str">
        <f>HiddenImpacts!N339</f>
        <v/>
      </c>
    </row>
    <row r="344" spans="1:11" ht="30" customHeight="1" x14ac:dyDescent="0.2">
      <c r="A344" s="9" t="str">
        <f t="shared" si="18"/>
        <v/>
      </c>
      <c r="B344" s="531" t="str">
        <f t="shared" si="19"/>
        <v/>
      </c>
      <c r="C344" s="531"/>
      <c r="D344" s="16" t="str">
        <f>HiddenImpacts!D340</f>
        <v/>
      </c>
      <c r="E344" s="16" t="str">
        <f>HiddenImpacts!F340</f>
        <v/>
      </c>
      <c r="F344" s="16" t="str">
        <f>HiddenImpacts!H340</f>
        <v/>
      </c>
      <c r="G344" s="531" t="str">
        <f>HiddenImpacts!J340</f>
        <v/>
      </c>
      <c r="H344" s="531"/>
      <c r="I344" s="531" t="str">
        <f>HiddenImpacts!L340</f>
        <v/>
      </c>
      <c r="J344" s="531"/>
      <c r="K344" s="29" t="str">
        <f>HiddenImpacts!N340</f>
        <v/>
      </c>
    </row>
    <row r="345" spans="1:11" ht="30" customHeight="1" x14ac:dyDescent="0.2">
      <c r="A345" s="9" t="str">
        <f t="shared" si="18"/>
        <v/>
      </c>
      <c r="B345" s="531" t="str">
        <f t="shared" si="19"/>
        <v/>
      </c>
      <c r="C345" s="531"/>
      <c r="D345" s="16" t="str">
        <f>HiddenImpacts!D341</f>
        <v/>
      </c>
      <c r="E345" s="16" t="str">
        <f>HiddenImpacts!F341</f>
        <v/>
      </c>
      <c r="F345" s="16" t="str">
        <f>HiddenImpacts!H341</f>
        <v/>
      </c>
      <c r="G345" s="531" t="str">
        <f>HiddenImpacts!J341</f>
        <v/>
      </c>
      <c r="H345" s="531"/>
      <c r="I345" s="531" t="str">
        <f>HiddenImpacts!L341</f>
        <v/>
      </c>
      <c r="J345" s="531"/>
      <c r="K345" s="29" t="str">
        <f>HiddenImpacts!N341</f>
        <v/>
      </c>
    </row>
    <row r="346" spans="1:11" ht="30" customHeight="1" x14ac:dyDescent="0.2">
      <c r="A346" s="9" t="str">
        <f t="shared" si="18"/>
        <v/>
      </c>
      <c r="B346" s="531" t="str">
        <f t="shared" si="19"/>
        <v/>
      </c>
      <c r="C346" s="531"/>
      <c r="D346" s="16" t="str">
        <f>HiddenImpacts!D342</f>
        <v/>
      </c>
      <c r="E346" s="16" t="str">
        <f>HiddenImpacts!F342</f>
        <v/>
      </c>
      <c r="F346" s="16" t="str">
        <f>HiddenImpacts!H342</f>
        <v/>
      </c>
      <c r="G346" s="531" t="str">
        <f>HiddenImpacts!J342</f>
        <v/>
      </c>
      <c r="H346" s="531"/>
      <c r="I346" s="531" t="str">
        <f>HiddenImpacts!L342</f>
        <v/>
      </c>
      <c r="J346" s="531"/>
      <c r="K346" s="29" t="str">
        <f>HiddenImpacts!N342</f>
        <v/>
      </c>
    </row>
    <row r="347" spans="1:11" ht="30" customHeight="1" x14ac:dyDescent="0.2">
      <c r="A347" s="9" t="str">
        <f t="shared" si="18"/>
        <v/>
      </c>
      <c r="B347" s="531" t="str">
        <f t="shared" si="19"/>
        <v/>
      </c>
      <c r="C347" s="531"/>
      <c r="D347" s="16" t="str">
        <f>HiddenImpacts!D343</f>
        <v/>
      </c>
      <c r="E347" s="16" t="str">
        <f>HiddenImpacts!F343</f>
        <v/>
      </c>
      <c r="F347" s="16" t="str">
        <f>HiddenImpacts!H343</f>
        <v/>
      </c>
      <c r="G347" s="531" t="str">
        <f>HiddenImpacts!J343</f>
        <v/>
      </c>
      <c r="H347" s="531"/>
      <c r="I347" s="531" t="str">
        <f>HiddenImpacts!L343</f>
        <v/>
      </c>
      <c r="J347" s="531"/>
      <c r="K347" s="29" t="str">
        <f>HiddenImpacts!N343</f>
        <v/>
      </c>
    </row>
    <row r="348" spans="1:11" ht="30" customHeight="1" x14ac:dyDescent="0.2">
      <c r="A348" s="9" t="str">
        <f t="shared" si="18"/>
        <v/>
      </c>
      <c r="B348" s="531" t="str">
        <f t="shared" si="19"/>
        <v/>
      </c>
      <c r="C348" s="531"/>
      <c r="D348" s="16" t="str">
        <f>HiddenImpacts!D344</f>
        <v/>
      </c>
      <c r="E348" s="16" t="str">
        <f>HiddenImpacts!F344</f>
        <v/>
      </c>
      <c r="F348" s="16" t="str">
        <f>HiddenImpacts!H344</f>
        <v/>
      </c>
      <c r="G348" s="531" t="str">
        <f>HiddenImpacts!J344</f>
        <v/>
      </c>
      <c r="H348" s="531"/>
      <c r="I348" s="531" t="str">
        <f>HiddenImpacts!L344</f>
        <v/>
      </c>
      <c r="J348" s="531"/>
      <c r="K348" s="29" t="str">
        <f>HiddenImpacts!N344</f>
        <v/>
      </c>
    </row>
    <row r="349" spans="1:11" ht="30" customHeight="1" x14ac:dyDescent="0.2">
      <c r="A349" s="9" t="str">
        <f t="shared" si="18"/>
        <v/>
      </c>
      <c r="B349" s="531" t="str">
        <f t="shared" si="19"/>
        <v/>
      </c>
      <c r="C349" s="531"/>
      <c r="D349" s="16" t="str">
        <f>HiddenImpacts!D345</f>
        <v/>
      </c>
      <c r="E349" s="16" t="str">
        <f>HiddenImpacts!F345</f>
        <v/>
      </c>
      <c r="F349" s="16" t="str">
        <f>HiddenImpacts!H345</f>
        <v/>
      </c>
      <c r="G349" s="531" t="str">
        <f>HiddenImpacts!J345</f>
        <v/>
      </c>
      <c r="H349" s="531"/>
      <c r="I349" s="531" t="str">
        <f>HiddenImpacts!L345</f>
        <v/>
      </c>
      <c r="J349" s="531"/>
      <c r="K349" s="29" t="str">
        <f>HiddenImpacts!N345</f>
        <v/>
      </c>
    </row>
    <row r="350" spans="1:11" ht="30" customHeight="1" x14ac:dyDescent="0.2">
      <c r="A350" s="9" t="str">
        <f t="shared" si="18"/>
        <v/>
      </c>
      <c r="B350" s="531" t="str">
        <f t="shared" si="19"/>
        <v/>
      </c>
      <c r="C350" s="531"/>
      <c r="D350" s="16" t="str">
        <f>HiddenImpacts!D346</f>
        <v/>
      </c>
      <c r="E350" s="16" t="str">
        <f>HiddenImpacts!F346</f>
        <v/>
      </c>
      <c r="F350" s="16" t="str">
        <f>HiddenImpacts!H346</f>
        <v/>
      </c>
      <c r="G350" s="531" t="str">
        <f>HiddenImpacts!J346</f>
        <v/>
      </c>
      <c r="H350" s="531"/>
      <c r="I350" s="531" t="str">
        <f>HiddenImpacts!L346</f>
        <v/>
      </c>
      <c r="J350" s="531"/>
      <c r="K350" s="29" t="str">
        <f>HiddenImpacts!N346</f>
        <v/>
      </c>
    </row>
    <row r="351" spans="1:11" ht="30" customHeight="1" x14ac:dyDescent="0.2">
      <c r="A351" s="9" t="str">
        <f t="shared" si="18"/>
        <v/>
      </c>
      <c r="B351" s="531" t="str">
        <f t="shared" si="19"/>
        <v/>
      </c>
      <c r="C351" s="531"/>
      <c r="D351" s="16" t="str">
        <f>HiddenImpacts!D347</f>
        <v/>
      </c>
      <c r="E351" s="16" t="str">
        <f>HiddenImpacts!F347</f>
        <v/>
      </c>
      <c r="F351" s="16" t="str">
        <f>HiddenImpacts!H347</f>
        <v/>
      </c>
      <c r="G351" s="531" t="str">
        <f>HiddenImpacts!J347</f>
        <v/>
      </c>
      <c r="H351" s="531"/>
      <c r="I351" s="531" t="str">
        <f>HiddenImpacts!L347</f>
        <v/>
      </c>
      <c r="J351" s="531"/>
      <c r="K351" s="29" t="str">
        <f>HiddenImpacts!N347</f>
        <v/>
      </c>
    </row>
    <row r="352" spans="1:11" ht="30" customHeight="1" x14ac:dyDescent="0.2">
      <c r="A352" s="9" t="str">
        <f t="shared" si="18"/>
        <v/>
      </c>
      <c r="B352" s="531" t="str">
        <f t="shared" si="19"/>
        <v/>
      </c>
      <c r="C352" s="531"/>
      <c r="D352" s="16" t="str">
        <f>HiddenImpacts!D348</f>
        <v/>
      </c>
      <c r="E352" s="16" t="str">
        <f>HiddenImpacts!F348</f>
        <v/>
      </c>
      <c r="F352" s="16" t="str">
        <f>HiddenImpacts!H348</f>
        <v/>
      </c>
      <c r="G352" s="531" t="str">
        <f>HiddenImpacts!J348</f>
        <v/>
      </c>
      <c r="H352" s="531"/>
      <c r="I352" s="531" t="str">
        <f>HiddenImpacts!L348</f>
        <v/>
      </c>
      <c r="J352" s="531"/>
      <c r="K352" s="29" t="str">
        <f>HiddenImpacts!N348</f>
        <v/>
      </c>
    </row>
    <row r="353" spans="1:11" ht="30" customHeight="1" x14ac:dyDescent="0.2">
      <c r="A353" s="9" t="str">
        <f t="shared" si="18"/>
        <v/>
      </c>
      <c r="B353" s="531" t="str">
        <f t="shared" si="19"/>
        <v/>
      </c>
      <c r="C353" s="531"/>
      <c r="D353" s="16" t="str">
        <f>HiddenImpacts!D349</f>
        <v/>
      </c>
      <c r="E353" s="16" t="str">
        <f>HiddenImpacts!F349</f>
        <v/>
      </c>
      <c r="F353" s="16" t="str">
        <f>HiddenImpacts!H349</f>
        <v/>
      </c>
      <c r="G353" s="531" t="str">
        <f>HiddenImpacts!J349</f>
        <v/>
      </c>
      <c r="H353" s="531"/>
      <c r="I353" s="531" t="str">
        <f>HiddenImpacts!L349</f>
        <v/>
      </c>
      <c r="J353" s="531"/>
      <c r="K353" s="29" t="str">
        <f>HiddenImpacts!N349</f>
        <v/>
      </c>
    </row>
    <row r="354" spans="1:11" ht="30" customHeight="1" x14ac:dyDescent="0.2">
      <c r="A354" s="9" t="str">
        <f t="shared" si="18"/>
        <v/>
      </c>
      <c r="B354" s="531" t="str">
        <f t="shared" si="19"/>
        <v/>
      </c>
      <c r="C354" s="531"/>
      <c r="D354" s="16" t="str">
        <f>HiddenImpacts!D350</f>
        <v/>
      </c>
      <c r="E354" s="16" t="str">
        <f>HiddenImpacts!F350</f>
        <v/>
      </c>
      <c r="F354" s="16" t="str">
        <f>HiddenImpacts!H350</f>
        <v/>
      </c>
      <c r="G354" s="531" t="str">
        <f>HiddenImpacts!J350</f>
        <v/>
      </c>
      <c r="H354" s="531"/>
      <c r="I354" s="531" t="str">
        <f>HiddenImpacts!L350</f>
        <v/>
      </c>
      <c r="J354" s="531"/>
      <c r="K354" s="29" t="str">
        <f>HiddenImpacts!N350</f>
        <v/>
      </c>
    </row>
    <row r="355" spans="1:11" ht="30" customHeight="1" x14ac:dyDescent="0.2">
      <c r="A355" s="9" t="str">
        <f t="shared" si="18"/>
        <v/>
      </c>
      <c r="B355" s="531" t="str">
        <f t="shared" si="19"/>
        <v/>
      </c>
      <c r="C355" s="531"/>
      <c r="D355" s="16" t="str">
        <f>HiddenImpacts!D351</f>
        <v/>
      </c>
      <c r="E355" s="16" t="str">
        <f>HiddenImpacts!F351</f>
        <v/>
      </c>
      <c r="F355" s="16" t="str">
        <f>HiddenImpacts!H351</f>
        <v/>
      </c>
      <c r="G355" s="531" t="str">
        <f>HiddenImpacts!J351</f>
        <v/>
      </c>
      <c r="H355" s="531"/>
      <c r="I355" s="531" t="str">
        <f>HiddenImpacts!L351</f>
        <v/>
      </c>
      <c r="J355" s="531"/>
      <c r="K355" s="29" t="str">
        <f>HiddenImpacts!N351</f>
        <v/>
      </c>
    </row>
    <row r="356" spans="1:11" ht="30" customHeight="1" x14ac:dyDescent="0.2">
      <c r="A356" s="9" t="str">
        <f t="shared" si="18"/>
        <v/>
      </c>
      <c r="B356" s="531" t="str">
        <f t="shared" si="19"/>
        <v/>
      </c>
      <c r="C356" s="531"/>
      <c r="D356" s="16" t="str">
        <f>HiddenImpacts!D352</f>
        <v/>
      </c>
      <c r="E356" s="16" t="str">
        <f>HiddenImpacts!F352</f>
        <v/>
      </c>
      <c r="F356" s="16" t="str">
        <f>HiddenImpacts!H352</f>
        <v/>
      </c>
      <c r="G356" s="531" t="str">
        <f>HiddenImpacts!J352</f>
        <v/>
      </c>
      <c r="H356" s="531"/>
      <c r="I356" s="531" t="str">
        <f>HiddenImpacts!L352</f>
        <v/>
      </c>
      <c r="J356" s="531"/>
      <c r="K356" s="29" t="str">
        <f>HiddenImpacts!N352</f>
        <v/>
      </c>
    </row>
    <row r="357" spans="1:11" ht="30" customHeight="1" x14ac:dyDescent="0.2">
      <c r="A357" s="9" t="str">
        <f t="shared" si="18"/>
        <v/>
      </c>
      <c r="B357" s="531" t="str">
        <f t="shared" si="19"/>
        <v/>
      </c>
      <c r="C357" s="531"/>
      <c r="D357" s="16" t="str">
        <f>HiddenImpacts!D353</f>
        <v/>
      </c>
      <c r="E357" s="16" t="str">
        <f>HiddenImpacts!F353</f>
        <v/>
      </c>
      <c r="F357" s="16" t="str">
        <f>HiddenImpacts!H353</f>
        <v/>
      </c>
      <c r="G357" s="531" t="str">
        <f>HiddenImpacts!J353</f>
        <v/>
      </c>
      <c r="H357" s="531"/>
      <c r="I357" s="531" t="str">
        <f>HiddenImpacts!L353</f>
        <v/>
      </c>
      <c r="J357" s="531"/>
      <c r="K357" s="29" t="str">
        <f>HiddenImpacts!N353</f>
        <v/>
      </c>
    </row>
    <row r="358" spans="1:11" ht="30" customHeight="1" x14ac:dyDescent="0.2">
      <c r="A358" s="9" t="str">
        <f t="shared" si="18"/>
        <v/>
      </c>
      <c r="B358" s="531" t="str">
        <f t="shared" si="19"/>
        <v/>
      </c>
      <c r="C358" s="531"/>
      <c r="D358" s="16" t="str">
        <f>HiddenImpacts!D354</f>
        <v/>
      </c>
      <c r="E358" s="16" t="str">
        <f>HiddenImpacts!F354</f>
        <v/>
      </c>
      <c r="F358" s="16" t="str">
        <f>HiddenImpacts!H354</f>
        <v/>
      </c>
      <c r="G358" s="531" t="str">
        <f>HiddenImpacts!J354</f>
        <v/>
      </c>
      <c r="H358" s="531"/>
      <c r="I358" s="531" t="str">
        <f>HiddenImpacts!L354</f>
        <v/>
      </c>
      <c r="J358" s="531"/>
      <c r="K358" s="29" t="str">
        <f>HiddenImpacts!N354</f>
        <v/>
      </c>
    </row>
    <row r="359" spans="1:11" ht="30" customHeight="1" x14ac:dyDescent="0.2">
      <c r="A359" s="9" t="str">
        <f t="shared" si="18"/>
        <v/>
      </c>
      <c r="B359" s="531" t="str">
        <f t="shared" si="19"/>
        <v/>
      </c>
      <c r="C359" s="531"/>
      <c r="D359" s="16" t="str">
        <f>HiddenImpacts!D355</f>
        <v/>
      </c>
      <c r="E359" s="16" t="str">
        <f>HiddenImpacts!F355</f>
        <v/>
      </c>
      <c r="F359" s="16" t="str">
        <f>HiddenImpacts!H355</f>
        <v/>
      </c>
      <c r="G359" s="531" t="str">
        <f>HiddenImpacts!J355</f>
        <v/>
      </c>
      <c r="H359" s="531"/>
      <c r="I359" s="531" t="str">
        <f>HiddenImpacts!L355</f>
        <v/>
      </c>
      <c r="J359" s="531"/>
      <c r="K359" s="29" t="str">
        <f>HiddenImpacts!N355</f>
        <v/>
      </c>
    </row>
    <row r="360" spans="1:11" ht="30" customHeight="1" x14ac:dyDescent="0.2">
      <c r="A360" s="9" t="str">
        <f t="shared" si="18"/>
        <v/>
      </c>
      <c r="B360" s="531" t="str">
        <f t="shared" si="19"/>
        <v/>
      </c>
      <c r="C360" s="531"/>
      <c r="D360" s="16" t="str">
        <f>HiddenImpacts!D356</f>
        <v/>
      </c>
      <c r="E360" s="16" t="str">
        <f>HiddenImpacts!F356</f>
        <v/>
      </c>
      <c r="F360" s="16" t="str">
        <f>HiddenImpacts!H356</f>
        <v/>
      </c>
      <c r="G360" s="531" t="str">
        <f>HiddenImpacts!J356</f>
        <v/>
      </c>
      <c r="H360" s="531"/>
      <c r="I360" s="531" t="str">
        <f>HiddenImpacts!L356</f>
        <v/>
      </c>
      <c r="J360" s="531"/>
      <c r="K360" s="29" t="str">
        <f>HiddenImpacts!N356</f>
        <v/>
      </c>
    </row>
    <row r="361" spans="1:11" ht="30" customHeight="1" x14ac:dyDescent="0.2">
      <c r="A361" s="9" t="str">
        <f t="shared" si="18"/>
        <v/>
      </c>
      <c r="B361" s="531" t="str">
        <f t="shared" si="19"/>
        <v/>
      </c>
      <c r="C361" s="531"/>
      <c r="D361" s="16" t="str">
        <f>HiddenImpacts!D357</f>
        <v/>
      </c>
      <c r="E361" s="16" t="str">
        <f>HiddenImpacts!F357</f>
        <v/>
      </c>
      <c r="F361" s="16" t="str">
        <f>HiddenImpacts!H357</f>
        <v/>
      </c>
      <c r="G361" s="531" t="str">
        <f>HiddenImpacts!J357</f>
        <v/>
      </c>
      <c r="H361" s="531"/>
      <c r="I361" s="531" t="str">
        <f>HiddenImpacts!L357</f>
        <v/>
      </c>
      <c r="J361" s="531"/>
      <c r="K361" s="29" t="str">
        <f>HiddenImpacts!N357</f>
        <v/>
      </c>
    </row>
    <row r="362" spans="1:11" ht="30" customHeight="1" x14ac:dyDescent="0.2">
      <c r="A362" s="9" t="str">
        <f t="shared" si="18"/>
        <v/>
      </c>
      <c r="B362" s="531" t="str">
        <f t="shared" si="19"/>
        <v/>
      </c>
      <c r="C362" s="531"/>
      <c r="D362" s="16" t="str">
        <f>HiddenImpacts!D358</f>
        <v/>
      </c>
      <c r="E362" s="16" t="str">
        <f>HiddenImpacts!F358</f>
        <v/>
      </c>
      <c r="F362" s="16" t="str">
        <f>HiddenImpacts!H358</f>
        <v/>
      </c>
      <c r="G362" s="531" t="str">
        <f>HiddenImpacts!J358</f>
        <v/>
      </c>
      <c r="H362" s="531"/>
      <c r="I362" s="531" t="str">
        <f>HiddenImpacts!L358</f>
        <v/>
      </c>
      <c r="J362" s="531"/>
      <c r="K362" s="29" t="str">
        <f>HiddenImpacts!N358</f>
        <v/>
      </c>
    </row>
    <row r="363" spans="1:11" ht="30" customHeight="1" x14ac:dyDescent="0.2">
      <c r="A363" s="9" t="str">
        <f t="shared" si="18"/>
        <v/>
      </c>
      <c r="B363" s="531" t="str">
        <f t="shared" si="19"/>
        <v/>
      </c>
      <c r="C363" s="531"/>
      <c r="D363" s="16" t="str">
        <f>HiddenImpacts!D359</f>
        <v/>
      </c>
      <c r="E363" s="16" t="str">
        <f>HiddenImpacts!F359</f>
        <v/>
      </c>
      <c r="F363" s="16" t="str">
        <f>HiddenImpacts!H359</f>
        <v/>
      </c>
      <c r="G363" s="531" t="str">
        <f>HiddenImpacts!J359</f>
        <v/>
      </c>
      <c r="H363" s="531"/>
      <c r="I363" s="531" t="str">
        <f>HiddenImpacts!L359</f>
        <v/>
      </c>
      <c r="J363" s="531"/>
      <c r="K363" s="29" t="str">
        <f>HiddenImpacts!N359</f>
        <v/>
      </c>
    </row>
    <row r="364" spans="1:11" ht="30" customHeight="1" x14ac:dyDescent="0.2">
      <c r="A364" s="9" t="str">
        <f t="shared" si="18"/>
        <v/>
      </c>
      <c r="B364" s="531" t="str">
        <f t="shared" si="19"/>
        <v/>
      </c>
      <c r="C364" s="531"/>
      <c r="D364" s="16" t="str">
        <f>HiddenImpacts!D360</f>
        <v/>
      </c>
      <c r="E364" s="16" t="str">
        <f>HiddenImpacts!F360</f>
        <v/>
      </c>
      <c r="F364" s="16" t="str">
        <f>HiddenImpacts!H360</f>
        <v/>
      </c>
      <c r="G364" s="531" t="str">
        <f>HiddenImpacts!J360</f>
        <v/>
      </c>
      <c r="H364" s="531"/>
      <c r="I364" s="531" t="str">
        <f>HiddenImpacts!L360</f>
        <v/>
      </c>
      <c r="J364" s="531"/>
      <c r="K364" s="29" t="str">
        <f>HiddenImpacts!N360</f>
        <v/>
      </c>
    </row>
    <row r="365" spans="1:11" ht="30" customHeight="1" x14ac:dyDescent="0.2">
      <c r="A365" s="9" t="str">
        <f t="shared" si="18"/>
        <v/>
      </c>
      <c r="B365" s="531" t="str">
        <f t="shared" si="19"/>
        <v/>
      </c>
      <c r="C365" s="531"/>
      <c r="D365" s="16" t="str">
        <f>HiddenImpacts!D361</f>
        <v/>
      </c>
      <c r="E365" s="16" t="str">
        <f>HiddenImpacts!F361</f>
        <v/>
      </c>
      <c r="F365" s="16" t="str">
        <f>HiddenImpacts!H361</f>
        <v/>
      </c>
      <c r="G365" s="531" t="str">
        <f>HiddenImpacts!J361</f>
        <v/>
      </c>
      <c r="H365" s="531"/>
      <c r="I365" s="531" t="str">
        <f>HiddenImpacts!L361</f>
        <v/>
      </c>
      <c r="J365" s="531"/>
      <c r="K365" s="29" t="str">
        <f>HiddenImpacts!N361</f>
        <v/>
      </c>
    </row>
    <row r="366" spans="1:11" ht="30" customHeight="1" x14ac:dyDescent="0.2">
      <c r="A366" s="9" t="str">
        <f t="shared" si="18"/>
        <v/>
      </c>
      <c r="B366" s="531" t="str">
        <f t="shared" si="19"/>
        <v/>
      </c>
      <c r="C366" s="531"/>
      <c r="D366" s="16" t="str">
        <f>HiddenImpacts!D362</f>
        <v/>
      </c>
      <c r="E366" s="16" t="str">
        <f>HiddenImpacts!F362</f>
        <v/>
      </c>
      <c r="F366" s="16" t="str">
        <f>HiddenImpacts!H362</f>
        <v/>
      </c>
      <c r="G366" s="531" t="str">
        <f>HiddenImpacts!J362</f>
        <v/>
      </c>
      <c r="H366" s="531"/>
      <c r="I366" s="531" t="str">
        <f>HiddenImpacts!L362</f>
        <v/>
      </c>
      <c r="J366" s="531"/>
      <c r="K366" s="29" t="str">
        <f>HiddenImpacts!N362</f>
        <v/>
      </c>
    </row>
    <row r="367" spans="1:11" ht="30" customHeight="1" x14ac:dyDescent="0.2">
      <c r="A367" s="9" t="str">
        <f t="shared" si="18"/>
        <v/>
      </c>
      <c r="B367" s="531" t="str">
        <f t="shared" si="19"/>
        <v/>
      </c>
      <c r="C367" s="531"/>
      <c r="D367" s="16" t="str">
        <f>HiddenImpacts!D363</f>
        <v/>
      </c>
      <c r="E367" s="16" t="str">
        <f>HiddenImpacts!F363</f>
        <v/>
      </c>
      <c r="F367" s="16" t="str">
        <f>HiddenImpacts!H363</f>
        <v/>
      </c>
      <c r="G367" s="531" t="str">
        <f>HiddenImpacts!J363</f>
        <v/>
      </c>
      <c r="H367" s="531"/>
      <c r="I367" s="531" t="str">
        <f>HiddenImpacts!L363</f>
        <v/>
      </c>
      <c r="J367" s="531"/>
      <c r="K367" s="29" t="str">
        <f>HiddenImpacts!N363</f>
        <v/>
      </c>
    </row>
    <row r="368" spans="1:11" ht="30" customHeight="1" x14ac:dyDescent="0.2">
      <c r="A368" s="9" t="str">
        <f t="shared" si="18"/>
        <v/>
      </c>
      <c r="B368" s="531" t="str">
        <f t="shared" si="19"/>
        <v/>
      </c>
      <c r="C368" s="531"/>
      <c r="D368" s="16" t="str">
        <f>HiddenImpacts!D364</f>
        <v/>
      </c>
      <c r="E368" s="16" t="str">
        <f>HiddenImpacts!F364</f>
        <v/>
      </c>
      <c r="F368" s="16" t="str">
        <f>HiddenImpacts!H364</f>
        <v/>
      </c>
      <c r="G368" s="531" t="str">
        <f>HiddenImpacts!J364</f>
        <v/>
      </c>
      <c r="H368" s="531"/>
      <c r="I368" s="531" t="str">
        <f>HiddenImpacts!L364</f>
        <v/>
      </c>
      <c r="J368" s="531"/>
      <c r="K368" s="29" t="str">
        <f>HiddenImpacts!N364</f>
        <v/>
      </c>
    </row>
    <row r="369" spans="1:11" ht="30" customHeight="1" x14ac:dyDescent="0.2">
      <c r="A369" s="9" t="str">
        <f t="shared" si="18"/>
        <v/>
      </c>
      <c r="B369" s="531" t="str">
        <f t="shared" si="19"/>
        <v/>
      </c>
      <c r="C369" s="531"/>
      <c r="D369" s="16" t="str">
        <f>HiddenImpacts!D365</f>
        <v/>
      </c>
      <c r="E369" s="16" t="str">
        <f>HiddenImpacts!F365</f>
        <v/>
      </c>
      <c r="F369" s="16" t="str">
        <f>HiddenImpacts!H365</f>
        <v/>
      </c>
      <c r="G369" s="531" t="str">
        <f>HiddenImpacts!J365</f>
        <v/>
      </c>
      <c r="H369" s="531"/>
      <c r="I369" s="531" t="str">
        <f>HiddenImpacts!L365</f>
        <v/>
      </c>
      <c r="J369" s="531"/>
      <c r="K369" s="29" t="str">
        <f>HiddenImpacts!N365</f>
        <v/>
      </c>
    </row>
    <row r="370" spans="1:11" ht="30" customHeight="1" x14ac:dyDescent="0.2">
      <c r="A370" s="9" t="str">
        <f t="shared" si="18"/>
        <v/>
      </c>
      <c r="B370" s="531" t="str">
        <f t="shared" si="19"/>
        <v/>
      </c>
      <c r="C370" s="531"/>
      <c r="D370" s="16" t="str">
        <f>HiddenImpacts!D366</f>
        <v/>
      </c>
      <c r="E370" s="16" t="str">
        <f>HiddenImpacts!F366</f>
        <v/>
      </c>
      <c r="F370" s="16" t="str">
        <f>HiddenImpacts!H366</f>
        <v/>
      </c>
      <c r="G370" s="531" t="str">
        <f>HiddenImpacts!J366</f>
        <v/>
      </c>
      <c r="H370" s="531"/>
      <c r="I370" s="531" t="str">
        <f>HiddenImpacts!L366</f>
        <v/>
      </c>
      <c r="J370" s="531"/>
      <c r="K370" s="29" t="str">
        <f>HiddenImpacts!N366</f>
        <v/>
      </c>
    </row>
    <row r="371" spans="1:11" ht="30" customHeight="1" x14ac:dyDescent="0.2">
      <c r="A371" s="9" t="str">
        <f t="shared" si="18"/>
        <v/>
      </c>
      <c r="B371" s="531" t="str">
        <f t="shared" si="19"/>
        <v/>
      </c>
      <c r="C371" s="531"/>
      <c r="D371" s="16" t="str">
        <f>HiddenImpacts!D367</f>
        <v/>
      </c>
      <c r="E371" s="16" t="str">
        <f>HiddenImpacts!F367</f>
        <v/>
      </c>
      <c r="F371" s="16" t="str">
        <f>HiddenImpacts!H367</f>
        <v/>
      </c>
      <c r="G371" s="531" t="str">
        <f>HiddenImpacts!J367</f>
        <v/>
      </c>
      <c r="H371" s="531"/>
      <c r="I371" s="531" t="str">
        <f>HiddenImpacts!L367</f>
        <v/>
      </c>
      <c r="J371" s="531"/>
      <c r="K371" s="29" t="str">
        <f>HiddenImpacts!N367</f>
        <v/>
      </c>
    </row>
    <row r="372" spans="1:11" ht="30" customHeight="1" x14ac:dyDescent="0.2">
      <c r="A372" s="9" t="str">
        <f t="shared" si="18"/>
        <v/>
      </c>
      <c r="B372" s="531" t="str">
        <f t="shared" si="19"/>
        <v/>
      </c>
      <c r="C372" s="531"/>
      <c r="D372" s="16" t="str">
        <f>HiddenImpacts!D368</f>
        <v/>
      </c>
      <c r="E372" s="16" t="str">
        <f>HiddenImpacts!F368</f>
        <v/>
      </c>
      <c r="F372" s="16" t="str">
        <f>HiddenImpacts!H368</f>
        <v/>
      </c>
      <c r="G372" s="531" t="str">
        <f>HiddenImpacts!J368</f>
        <v/>
      </c>
      <c r="H372" s="531"/>
      <c r="I372" s="531" t="str">
        <f>HiddenImpacts!L368</f>
        <v/>
      </c>
      <c r="J372" s="531"/>
      <c r="K372" s="29" t="str">
        <f>HiddenImpacts!N368</f>
        <v/>
      </c>
    </row>
    <row r="373" spans="1:11" ht="30" customHeight="1" x14ac:dyDescent="0.2">
      <c r="A373" s="9" t="str">
        <f t="shared" si="18"/>
        <v/>
      </c>
      <c r="B373" s="531" t="str">
        <f t="shared" si="19"/>
        <v/>
      </c>
      <c r="C373" s="531"/>
      <c r="D373" s="16" t="str">
        <f>HiddenImpacts!D369</f>
        <v/>
      </c>
      <c r="E373" s="16" t="str">
        <f>HiddenImpacts!F369</f>
        <v/>
      </c>
      <c r="F373" s="16" t="str">
        <f>HiddenImpacts!H369</f>
        <v/>
      </c>
      <c r="G373" s="531" t="str">
        <f>HiddenImpacts!J369</f>
        <v/>
      </c>
      <c r="H373" s="531"/>
      <c r="I373" s="531" t="str">
        <f>HiddenImpacts!L369</f>
        <v/>
      </c>
      <c r="J373" s="531"/>
      <c r="K373" s="29" t="str">
        <f>HiddenImpacts!N369</f>
        <v/>
      </c>
    </row>
    <row r="374" spans="1:11" ht="30" customHeight="1" x14ac:dyDescent="0.2">
      <c r="A374" s="9" t="str">
        <f t="shared" si="18"/>
        <v/>
      </c>
      <c r="B374" s="531" t="str">
        <f t="shared" si="19"/>
        <v/>
      </c>
      <c r="C374" s="531"/>
      <c r="D374" s="16" t="str">
        <f>HiddenImpacts!D370</f>
        <v/>
      </c>
      <c r="E374" s="16" t="str">
        <f>HiddenImpacts!F370</f>
        <v/>
      </c>
      <c r="F374" s="16" t="str">
        <f>HiddenImpacts!H370</f>
        <v/>
      </c>
      <c r="G374" s="531" t="str">
        <f>HiddenImpacts!J370</f>
        <v/>
      </c>
      <c r="H374" s="531"/>
      <c r="I374" s="531" t="str">
        <f>HiddenImpacts!L370</f>
        <v/>
      </c>
      <c r="J374" s="531"/>
      <c r="K374" s="29" t="str">
        <f>HiddenImpacts!N370</f>
        <v/>
      </c>
    </row>
    <row r="375" spans="1:11" ht="30" customHeight="1" x14ac:dyDescent="0.2">
      <c r="A375" s="9" t="str">
        <f t="shared" si="18"/>
        <v/>
      </c>
      <c r="B375" s="531" t="str">
        <f t="shared" si="19"/>
        <v/>
      </c>
      <c r="C375" s="531"/>
      <c r="D375" s="16" t="str">
        <f>HiddenImpacts!D371</f>
        <v/>
      </c>
      <c r="E375" s="16" t="str">
        <f>HiddenImpacts!F371</f>
        <v/>
      </c>
      <c r="F375" s="16" t="str">
        <f>HiddenImpacts!H371</f>
        <v/>
      </c>
      <c r="G375" s="531" t="str">
        <f>HiddenImpacts!J371</f>
        <v/>
      </c>
      <c r="H375" s="531"/>
      <c r="I375" s="531" t="str">
        <f>HiddenImpacts!L371</f>
        <v/>
      </c>
      <c r="J375" s="531"/>
      <c r="K375" s="29" t="str">
        <f>HiddenImpacts!N371</f>
        <v/>
      </c>
    </row>
    <row r="376" spans="1:11" ht="30" customHeight="1" x14ac:dyDescent="0.2">
      <c r="A376" s="9" t="str">
        <f t="shared" si="18"/>
        <v/>
      </c>
      <c r="B376" s="531" t="str">
        <f t="shared" si="19"/>
        <v/>
      </c>
      <c r="C376" s="531"/>
      <c r="D376" s="16" t="str">
        <f>HiddenImpacts!D372</f>
        <v/>
      </c>
      <c r="E376" s="16" t="str">
        <f>HiddenImpacts!F372</f>
        <v/>
      </c>
      <c r="F376" s="16" t="str">
        <f>HiddenImpacts!H372</f>
        <v/>
      </c>
      <c r="G376" s="531" t="str">
        <f>HiddenImpacts!J372</f>
        <v/>
      </c>
      <c r="H376" s="531"/>
      <c r="I376" s="531" t="str">
        <f>HiddenImpacts!L372</f>
        <v/>
      </c>
      <c r="J376" s="531"/>
      <c r="K376" s="29" t="str">
        <f>HiddenImpacts!N372</f>
        <v/>
      </c>
    </row>
    <row r="377" spans="1:11" ht="30" customHeight="1" x14ac:dyDescent="0.2">
      <c r="A377" s="9" t="str">
        <f t="shared" si="18"/>
        <v/>
      </c>
      <c r="B377" s="531" t="str">
        <f t="shared" si="19"/>
        <v/>
      </c>
      <c r="C377" s="531"/>
      <c r="D377" s="16" t="str">
        <f>HiddenImpacts!D373</f>
        <v/>
      </c>
      <c r="E377" s="16" t="str">
        <f>HiddenImpacts!F373</f>
        <v/>
      </c>
      <c r="F377" s="16" t="str">
        <f>HiddenImpacts!H373</f>
        <v/>
      </c>
      <c r="G377" s="531" t="str">
        <f>HiddenImpacts!J373</f>
        <v/>
      </c>
      <c r="H377" s="531"/>
      <c r="I377" s="531" t="str">
        <f>HiddenImpacts!L373</f>
        <v/>
      </c>
      <c r="J377" s="531"/>
      <c r="K377" s="29" t="str">
        <f>HiddenImpacts!N373</f>
        <v/>
      </c>
    </row>
    <row r="378" spans="1:11" ht="30" customHeight="1" x14ac:dyDescent="0.2">
      <c r="A378" s="9" t="str">
        <f t="shared" si="18"/>
        <v/>
      </c>
      <c r="B378" s="531" t="str">
        <f t="shared" si="19"/>
        <v/>
      </c>
      <c r="C378" s="531"/>
      <c r="D378" s="16" t="str">
        <f>HiddenImpacts!D374</f>
        <v/>
      </c>
      <c r="E378" s="16" t="str">
        <f>HiddenImpacts!F374</f>
        <v/>
      </c>
      <c r="F378" s="16" t="str">
        <f>HiddenImpacts!H374</f>
        <v/>
      </c>
      <c r="G378" s="531" t="str">
        <f>HiddenImpacts!J374</f>
        <v/>
      </c>
      <c r="H378" s="531"/>
      <c r="I378" s="531" t="str">
        <f>HiddenImpacts!L374</f>
        <v/>
      </c>
      <c r="J378" s="531"/>
      <c r="K378" s="29" t="str">
        <f>HiddenImpacts!N374</f>
        <v/>
      </c>
    </row>
    <row r="379" spans="1:11" ht="30" customHeight="1" x14ac:dyDescent="0.2">
      <c r="A379" s="9" t="str">
        <f t="shared" si="18"/>
        <v/>
      </c>
      <c r="B379" s="531" t="str">
        <f t="shared" si="19"/>
        <v/>
      </c>
      <c r="C379" s="531"/>
      <c r="D379" s="16" t="str">
        <f>HiddenImpacts!D375</f>
        <v/>
      </c>
      <c r="E379" s="16" t="str">
        <f>HiddenImpacts!F375</f>
        <v/>
      </c>
      <c r="F379" s="16" t="str">
        <f>HiddenImpacts!H375</f>
        <v/>
      </c>
      <c r="G379" s="531" t="str">
        <f>HiddenImpacts!J375</f>
        <v/>
      </c>
      <c r="H379" s="531"/>
      <c r="I379" s="531" t="str">
        <f>HiddenImpacts!L375</f>
        <v/>
      </c>
      <c r="J379" s="531"/>
      <c r="K379" s="29" t="str">
        <f>HiddenImpacts!N375</f>
        <v/>
      </c>
    </row>
    <row r="380" spans="1:11" ht="30" customHeight="1" x14ac:dyDescent="0.2">
      <c r="A380" s="9" t="str">
        <f t="shared" si="18"/>
        <v/>
      </c>
      <c r="B380" s="531" t="str">
        <f t="shared" si="19"/>
        <v/>
      </c>
      <c r="C380" s="531"/>
      <c r="D380" s="16" t="str">
        <f>HiddenImpacts!D376</f>
        <v/>
      </c>
      <c r="E380" s="16" t="str">
        <f>HiddenImpacts!F376</f>
        <v/>
      </c>
      <c r="F380" s="16" t="str">
        <f>HiddenImpacts!H376</f>
        <v/>
      </c>
      <c r="G380" s="531" t="str">
        <f>HiddenImpacts!J376</f>
        <v/>
      </c>
      <c r="H380" s="531"/>
      <c r="I380" s="531" t="str">
        <f>HiddenImpacts!L376</f>
        <v/>
      </c>
      <c r="J380" s="531"/>
      <c r="K380" s="29" t="str">
        <f>HiddenImpacts!N376</f>
        <v/>
      </c>
    </row>
    <row r="381" spans="1:11" ht="30" customHeight="1" x14ac:dyDescent="0.2">
      <c r="A381" s="9" t="str">
        <f t="shared" si="18"/>
        <v/>
      </c>
      <c r="B381" s="531" t="str">
        <f t="shared" si="19"/>
        <v/>
      </c>
      <c r="C381" s="531"/>
      <c r="D381" s="16" t="str">
        <f>HiddenImpacts!D377</f>
        <v/>
      </c>
      <c r="E381" s="16" t="str">
        <f>HiddenImpacts!F377</f>
        <v/>
      </c>
      <c r="F381" s="16" t="str">
        <f>HiddenImpacts!H377</f>
        <v/>
      </c>
      <c r="G381" s="531" t="str">
        <f>HiddenImpacts!J377</f>
        <v/>
      </c>
      <c r="H381" s="531"/>
      <c r="I381" s="531" t="str">
        <f>HiddenImpacts!L377</f>
        <v/>
      </c>
      <c r="J381" s="531"/>
      <c r="K381" s="29" t="str">
        <f>HiddenImpacts!N377</f>
        <v/>
      </c>
    </row>
    <row r="382" spans="1:11" ht="30" customHeight="1" x14ac:dyDescent="0.2">
      <c r="A382" s="9" t="str">
        <f t="shared" si="18"/>
        <v/>
      </c>
      <c r="B382" s="531" t="str">
        <f t="shared" si="19"/>
        <v/>
      </c>
      <c r="C382" s="531"/>
      <c r="D382" s="16" t="str">
        <f>HiddenImpacts!D378</f>
        <v/>
      </c>
      <c r="E382" s="16" t="str">
        <f>HiddenImpacts!F378</f>
        <v/>
      </c>
      <c r="F382" s="16" t="str">
        <f>HiddenImpacts!H378</f>
        <v/>
      </c>
      <c r="G382" s="531" t="str">
        <f>HiddenImpacts!J378</f>
        <v/>
      </c>
      <c r="H382" s="531"/>
      <c r="I382" s="531" t="str">
        <f>HiddenImpacts!L378</f>
        <v/>
      </c>
      <c r="J382" s="531"/>
      <c r="K382" s="29" t="str">
        <f>HiddenImpacts!N378</f>
        <v/>
      </c>
    </row>
    <row r="383" spans="1:11" ht="30" customHeight="1" x14ac:dyDescent="0.2">
      <c r="A383" s="9" t="str">
        <f t="shared" si="18"/>
        <v/>
      </c>
      <c r="B383" s="531" t="str">
        <f t="shared" si="19"/>
        <v/>
      </c>
      <c r="C383" s="531"/>
      <c r="D383" s="16" t="str">
        <f>HiddenImpacts!D379</f>
        <v/>
      </c>
      <c r="E383" s="16" t="str">
        <f>HiddenImpacts!F379</f>
        <v/>
      </c>
      <c r="F383" s="16" t="str">
        <f>HiddenImpacts!H379</f>
        <v/>
      </c>
      <c r="G383" s="531" t="str">
        <f>HiddenImpacts!J379</f>
        <v/>
      </c>
      <c r="H383" s="531"/>
      <c r="I383" s="531" t="str">
        <f>HiddenImpacts!L379</f>
        <v/>
      </c>
      <c r="J383" s="531"/>
      <c r="K383" s="29" t="str">
        <f>HiddenImpacts!N379</f>
        <v/>
      </c>
    </row>
    <row r="384" spans="1:11" ht="30" customHeight="1" x14ac:dyDescent="0.2">
      <c r="A384" s="9" t="str">
        <f t="shared" si="18"/>
        <v/>
      </c>
      <c r="B384" s="531" t="str">
        <f t="shared" si="19"/>
        <v/>
      </c>
      <c r="C384" s="531"/>
      <c r="D384" s="16" t="str">
        <f>HiddenImpacts!D380</f>
        <v/>
      </c>
      <c r="E384" s="16" t="str">
        <f>HiddenImpacts!F380</f>
        <v/>
      </c>
      <c r="F384" s="16" t="str">
        <f>HiddenImpacts!H380</f>
        <v/>
      </c>
      <c r="G384" s="531" t="str">
        <f>HiddenImpacts!J380</f>
        <v/>
      </c>
      <c r="H384" s="531"/>
      <c r="I384" s="531" t="str">
        <f>HiddenImpacts!L380</f>
        <v/>
      </c>
      <c r="J384" s="531"/>
      <c r="K384" s="29" t="str">
        <f>HiddenImpacts!N380</f>
        <v/>
      </c>
    </row>
    <row r="385" spans="1:11" ht="30" customHeight="1" x14ac:dyDescent="0.2">
      <c r="A385" s="9" t="str">
        <f t="shared" si="18"/>
        <v/>
      </c>
      <c r="B385" s="531" t="str">
        <f t="shared" si="19"/>
        <v/>
      </c>
      <c r="C385" s="531"/>
      <c r="D385" s="16" t="str">
        <f>HiddenImpacts!D381</f>
        <v/>
      </c>
      <c r="E385" s="16" t="str">
        <f>HiddenImpacts!F381</f>
        <v/>
      </c>
      <c r="F385" s="16" t="str">
        <f>HiddenImpacts!H381</f>
        <v/>
      </c>
      <c r="G385" s="531" t="str">
        <f>HiddenImpacts!J381</f>
        <v/>
      </c>
      <c r="H385" s="531"/>
      <c r="I385" s="531" t="str">
        <f>HiddenImpacts!L381</f>
        <v/>
      </c>
      <c r="J385" s="531"/>
      <c r="K385" s="29" t="str">
        <f>HiddenImpacts!N381</f>
        <v/>
      </c>
    </row>
    <row r="386" spans="1:11" ht="30" customHeight="1" x14ac:dyDescent="0.2">
      <c r="A386" s="9" t="str">
        <f t="shared" si="18"/>
        <v/>
      </c>
      <c r="B386" s="531" t="str">
        <f t="shared" si="19"/>
        <v/>
      </c>
      <c r="C386" s="531"/>
      <c r="D386" s="16" t="str">
        <f>HiddenImpacts!D382</f>
        <v/>
      </c>
      <c r="E386" s="16" t="str">
        <f>HiddenImpacts!F382</f>
        <v/>
      </c>
      <c r="F386" s="16" t="str">
        <f>HiddenImpacts!H382</f>
        <v/>
      </c>
      <c r="G386" s="531" t="str">
        <f>HiddenImpacts!J382</f>
        <v/>
      </c>
      <c r="H386" s="531"/>
      <c r="I386" s="531" t="str">
        <f>HiddenImpacts!L382</f>
        <v/>
      </c>
      <c r="J386" s="531"/>
      <c r="K386" s="29" t="str">
        <f>HiddenImpacts!N382</f>
        <v/>
      </c>
    </row>
    <row r="387" spans="1:11" ht="30" customHeight="1" x14ac:dyDescent="0.2">
      <c r="A387" s="9" t="str">
        <f t="shared" si="18"/>
        <v/>
      </c>
      <c r="B387" s="531" t="str">
        <f t="shared" si="19"/>
        <v/>
      </c>
      <c r="C387" s="531"/>
      <c r="D387" s="16" t="str">
        <f>HiddenImpacts!D383</f>
        <v/>
      </c>
      <c r="E387" s="16" t="str">
        <f>HiddenImpacts!F383</f>
        <v/>
      </c>
      <c r="F387" s="16" t="str">
        <f>HiddenImpacts!H383</f>
        <v/>
      </c>
      <c r="G387" s="531" t="str">
        <f>HiddenImpacts!J383</f>
        <v/>
      </c>
      <c r="H387" s="531"/>
      <c r="I387" s="531" t="str">
        <f>HiddenImpacts!L383</f>
        <v/>
      </c>
      <c r="J387" s="531"/>
      <c r="K387" s="29" t="str">
        <f>HiddenImpacts!N383</f>
        <v/>
      </c>
    </row>
    <row r="388" spans="1:11" ht="30" customHeight="1" x14ac:dyDescent="0.2">
      <c r="A388" s="9" t="str">
        <f t="shared" si="18"/>
        <v/>
      </c>
      <c r="B388" s="531" t="str">
        <f t="shared" si="19"/>
        <v/>
      </c>
      <c r="C388" s="531"/>
      <c r="D388" s="16" t="str">
        <f>HiddenImpacts!D384</f>
        <v/>
      </c>
      <c r="E388" s="16" t="str">
        <f>HiddenImpacts!F384</f>
        <v/>
      </c>
      <c r="F388" s="16" t="str">
        <f>HiddenImpacts!H384</f>
        <v/>
      </c>
      <c r="G388" s="531" t="str">
        <f>HiddenImpacts!J384</f>
        <v/>
      </c>
      <c r="H388" s="531"/>
      <c r="I388" s="531" t="str">
        <f>HiddenImpacts!L384</f>
        <v/>
      </c>
      <c r="J388" s="531"/>
      <c r="K388" s="29" t="str">
        <f>HiddenImpacts!N384</f>
        <v/>
      </c>
    </row>
    <row r="389" spans="1:11" ht="30" customHeight="1" x14ac:dyDescent="0.2">
      <c r="A389" s="9" t="str">
        <f t="shared" si="18"/>
        <v/>
      </c>
      <c r="B389" s="531" t="str">
        <f t="shared" si="19"/>
        <v/>
      </c>
      <c r="C389" s="531"/>
      <c r="D389" s="16" t="str">
        <f>HiddenImpacts!D385</f>
        <v/>
      </c>
      <c r="E389" s="16" t="str">
        <f>HiddenImpacts!F385</f>
        <v/>
      </c>
      <c r="F389" s="16" t="str">
        <f>HiddenImpacts!H385</f>
        <v/>
      </c>
      <c r="G389" s="531" t="str">
        <f>HiddenImpacts!J385</f>
        <v/>
      </c>
      <c r="H389" s="531"/>
      <c r="I389" s="531" t="str">
        <f>HiddenImpacts!L385</f>
        <v/>
      </c>
      <c r="J389" s="531"/>
      <c r="K389" s="29" t="str">
        <f>HiddenImpacts!N385</f>
        <v/>
      </c>
    </row>
    <row r="390" spans="1:11" ht="30" customHeight="1" x14ac:dyDescent="0.2">
      <c r="A390" s="9" t="str">
        <f t="shared" si="18"/>
        <v/>
      </c>
      <c r="B390" s="531" t="str">
        <f t="shared" si="19"/>
        <v/>
      </c>
      <c r="C390" s="531"/>
      <c r="D390" s="16" t="str">
        <f>HiddenImpacts!D386</f>
        <v/>
      </c>
      <c r="E390" s="16" t="str">
        <f>HiddenImpacts!F386</f>
        <v/>
      </c>
      <c r="F390" s="16" t="str">
        <f>HiddenImpacts!H386</f>
        <v/>
      </c>
      <c r="G390" s="531" t="str">
        <f>HiddenImpacts!J386</f>
        <v/>
      </c>
      <c r="H390" s="531"/>
      <c r="I390" s="531" t="str">
        <f>HiddenImpacts!L386</f>
        <v/>
      </c>
      <c r="J390" s="531"/>
      <c r="K390" s="29" t="str">
        <f>HiddenImpacts!N386</f>
        <v/>
      </c>
    </row>
    <row r="391" spans="1:11" ht="30" customHeight="1" x14ac:dyDescent="0.2">
      <c r="A391" s="9" t="str">
        <f t="shared" si="18"/>
        <v/>
      </c>
      <c r="B391" s="531" t="str">
        <f t="shared" si="19"/>
        <v/>
      </c>
      <c r="C391" s="531"/>
      <c r="D391" s="16" t="str">
        <f>HiddenImpacts!D387</f>
        <v/>
      </c>
      <c r="E391" s="16" t="str">
        <f>HiddenImpacts!F387</f>
        <v/>
      </c>
      <c r="F391" s="16" t="str">
        <f>HiddenImpacts!H387</f>
        <v/>
      </c>
      <c r="G391" s="531" t="str">
        <f>HiddenImpacts!J387</f>
        <v/>
      </c>
      <c r="H391" s="531"/>
      <c r="I391" s="531" t="str">
        <f>HiddenImpacts!L387</f>
        <v/>
      </c>
      <c r="J391" s="531"/>
      <c r="K391" s="29" t="str">
        <f>HiddenImpacts!N387</f>
        <v/>
      </c>
    </row>
    <row r="392" spans="1:11" ht="30" customHeight="1" x14ac:dyDescent="0.2">
      <c r="A392" s="9" t="str">
        <f t="shared" si="18"/>
        <v/>
      </c>
      <c r="B392" s="531" t="str">
        <f t="shared" si="19"/>
        <v/>
      </c>
      <c r="C392" s="531"/>
      <c r="D392" s="16" t="str">
        <f>HiddenImpacts!D388</f>
        <v/>
      </c>
      <c r="E392" s="16" t="str">
        <f>HiddenImpacts!F388</f>
        <v/>
      </c>
      <c r="F392" s="16" t="str">
        <f>HiddenImpacts!H388</f>
        <v/>
      </c>
      <c r="G392" s="531" t="str">
        <f>HiddenImpacts!J388</f>
        <v/>
      </c>
      <c r="H392" s="531"/>
      <c r="I392" s="531" t="str">
        <f>HiddenImpacts!L388</f>
        <v/>
      </c>
      <c r="J392" s="531"/>
      <c r="K392" s="29" t="str">
        <f>HiddenImpacts!N388</f>
        <v/>
      </c>
    </row>
    <row r="393" spans="1:11" ht="30" customHeight="1" x14ac:dyDescent="0.2">
      <c r="A393" s="9" t="str">
        <f t="shared" si="18"/>
        <v/>
      </c>
      <c r="B393" s="531" t="str">
        <f t="shared" si="19"/>
        <v/>
      </c>
      <c r="C393" s="531"/>
      <c r="D393" s="16" t="str">
        <f>HiddenImpacts!D389</f>
        <v/>
      </c>
      <c r="E393" s="16" t="str">
        <f>HiddenImpacts!F389</f>
        <v/>
      </c>
      <c r="F393" s="16" t="str">
        <f>HiddenImpacts!H389</f>
        <v/>
      </c>
      <c r="G393" s="531" t="str">
        <f>HiddenImpacts!J389</f>
        <v/>
      </c>
      <c r="H393" s="531"/>
      <c r="I393" s="531" t="str">
        <f>HiddenImpacts!L389</f>
        <v/>
      </c>
      <c r="J393" s="531"/>
      <c r="K393" s="29" t="str">
        <f>HiddenImpacts!N389</f>
        <v/>
      </c>
    </row>
    <row r="394" spans="1:11" ht="30" customHeight="1" x14ac:dyDescent="0.2">
      <c r="A394" s="9" t="str">
        <f t="shared" si="18"/>
        <v/>
      </c>
      <c r="B394" s="531" t="str">
        <f t="shared" si="19"/>
        <v/>
      </c>
      <c r="C394" s="531"/>
      <c r="D394" s="16" t="str">
        <f>HiddenImpacts!D390</f>
        <v/>
      </c>
      <c r="E394" s="16" t="str">
        <f>HiddenImpacts!F390</f>
        <v/>
      </c>
      <c r="F394" s="16" t="str">
        <f>HiddenImpacts!H390</f>
        <v/>
      </c>
      <c r="G394" s="531" t="str">
        <f>HiddenImpacts!J390</f>
        <v/>
      </c>
      <c r="H394" s="531"/>
      <c r="I394" s="531" t="str">
        <f>HiddenImpacts!L390</f>
        <v/>
      </c>
      <c r="J394" s="531"/>
      <c r="K394" s="29" t="str">
        <f>HiddenImpacts!N390</f>
        <v/>
      </c>
    </row>
    <row r="395" spans="1:11" ht="30" customHeight="1" x14ac:dyDescent="0.2">
      <c r="A395" s="9" t="str">
        <f t="shared" si="18"/>
        <v/>
      </c>
      <c r="B395" s="531" t="str">
        <f t="shared" si="19"/>
        <v/>
      </c>
      <c r="C395" s="531"/>
      <c r="D395" s="16" t="str">
        <f>HiddenImpacts!D391</f>
        <v/>
      </c>
      <c r="E395" s="16" t="str">
        <f>HiddenImpacts!F391</f>
        <v/>
      </c>
      <c r="F395" s="16" t="str">
        <f>HiddenImpacts!H391</f>
        <v/>
      </c>
      <c r="G395" s="531" t="str">
        <f>HiddenImpacts!J391</f>
        <v/>
      </c>
      <c r="H395" s="531"/>
      <c r="I395" s="531" t="str">
        <f>HiddenImpacts!L391</f>
        <v/>
      </c>
      <c r="J395" s="531"/>
      <c r="K395" s="29" t="str">
        <f>HiddenImpacts!N391</f>
        <v/>
      </c>
    </row>
    <row r="396" spans="1:11" ht="30" customHeight="1" x14ac:dyDescent="0.2">
      <c r="A396" s="9" t="str">
        <f t="shared" si="18"/>
        <v/>
      </c>
      <c r="B396" s="531" t="str">
        <f t="shared" si="19"/>
        <v/>
      </c>
      <c r="C396" s="531"/>
      <c r="D396" s="16" t="str">
        <f>HiddenImpacts!D392</f>
        <v/>
      </c>
      <c r="E396" s="16" t="str">
        <f>HiddenImpacts!F392</f>
        <v/>
      </c>
      <c r="F396" s="16" t="str">
        <f>HiddenImpacts!H392</f>
        <v/>
      </c>
      <c r="G396" s="531" t="str">
        <f>HiddenImpacts!J392</f>
        <v/>
      </c>
      <c r="H396" s="531"/>
      <c r="I396" s="531" t="str">
        <f>HiddenImpacts!L392</f>
        <v/>
      </c>
      <c r="J396" s="531"/>
      <c r="K396" s="29" t="str">
        <f>HiddenImpacts!N392</f>
        <v/>
      </c>
    </row>
    <row r="397" spans="1:11" ht="30" customHeight="1" x14ac:dyDescent="0.2">
      <c r="A397" s="9" t="str">
        <f t="shared" si="18"/>
        <v/>
      </c>
      <c r="B397" s="531" t="str">
        <f t="shared" si="19"/>
        <v/>
      </c>
      <c r="C397" s="531"/>
      <c r="D397" s="16" t="str">
        <f>HiddenImpacts!D393</f>
        <v/>
      </c>
      <c r="E397" s="16" t="str">
        <f>HiddenImpacts!F393</f>
        <v/>
      </c>
      <c r="F397" s="16" t="str">
        <f>HiddenImpacts!H393</f>
        <v/>
      </c>
      <c r="G397" s="531" t="str">
        <f>HiddenImpacts!J393</f>
        <v/>
      </c>
      <c r="H397" s="531"/>
      <c r="I397" s="531" t="str">
        <f>HiddenImpacts!L393</f>
        <v/>
      </c>
      <c r="J397" s="531"/>
      <c r="K397" s="29" t="str">
        <f>HiddenImpacts!N393</f>
        <v/>
      </c>
    </row>
    <row r="398" spans="1:11" ht="30" customHeight="1" x14ac:dyDescent="0.2">
      <c r="A398" s="9" t="str">
        <f t="shared" si="18"/>
        <v/>
      </c>
      <c r="B398" s="531" t="str">
        <f t="shared" si="19"/>
        <v/>
      </c>
      <c r="C398" s="531"/>
      <c r="D398" s="16" t="str">
        <f>HiddenImpacts!D394</f>
        <v/>
      </c>
      <c r="E398" s="16" t="str">
        <f>HiddenImpacts!F394</f>
        <v/>
      </c>
      <c r="F398" s="16" t="str">
        <f>HiddenImpacts!H394</f>
        <v/>
      </c>
      <c r="G398" s="531" t="str">
        <f>HiddenImpacts!J394</f>
        <v/>
      </c>
      <c r="H398" s="531"/>
      <c r="I398" s="531" t="str">
        <f>HiddenImpacts!L394</f>
        <v/>
      </c>
      <c r="J398" s="531"/>
      <c r="K398" s="29" t="str">
        <f>HiddenImpacts!N394</f>
        <v/>
      </c>
    </row>
    <row r="399" spans="1:11" ht="30" customHeight="1" x14ac:dyDescent="0.2">
      <c r="A399" s="9" t="str">
        <f t="shared" si="18"/>
        <v/>
      </c>
      <c r="B399" s="531" t="str">
        <f t="shared" si="19"/>
        <v/>
      </c>
      <c r="C399" s="531"/>
      <c r="D399" s="16" t="str">
        <f>HiddenImpacts!D395</f>
        <v/>
      </c>
      <c r="E399" s="16" t="str">
        <f>HiddenImpacts!F395</f>
        <v/>
      </c>
      <c r="F399" s="16" t="str">
        <f>HiddenImpacts!H395</f>
        <v/>
      </c>
      <c r="G399" s="531" t="str">
        <f>HiddenImpacts!J395</f>
        <v/>
      </c>
      <c r="H399" s="531"/>
      <c r="I399" s="531" t="str">
        <f>HiddenImpacts!L395</f>
        <v/>
      </c>
      <c r="J399" s="531"/>
      <c r="K399" s="29" t="str">
        <f>HiddenImpacts!N395</f>
        <v/>
      </c>
    </row>
    <row r="400" spans="1:11" ht="30" customHeight="1" x14ac:dyDescent="0.2">
      <c r="A400" s="9" t="str">
        <f t="shared" si="18"/>
        <v/>
      </c>
      <c r="B400" s="531" t="str">
        <f t="shared" si="19"/>
        <v/>
      </c>
      <c r="C400" s="531"/>
      <c r="D400" s="16" t="str">
        <f>HiddenImpacts!D396</f>
        <v/>
      </c>
      <c r="E400" s="16" t="str">
        <f>HiddenImpacts!F396</f>
        <v/>
      </c>
      <c r="F400" s="16" t="str">
        <f>HiddenImpacts!H396</f>
        <v/>
      </c>
      <c r="G400" s="531" t="str">
        <f>HiddenImpacts!J396</f>
        <v/>
      </c>
      <c r="H400" s="531"/>
      <c r="I400" s="531" t="str">
        <f>HiddenImpacts!L396</f>
        <v/>
      </c>
      <c r="J400" s="531"/>
      <c r="K400" s="29" t="str">
        <f>HiddenImpacts!N396</f>
        <v/>
      </c>
    </row>
    <row r="401" spans="1:11" ht="30" customHeight="1" x14ac:dyDescent="0.2">
      <c r="A401" s="9" t="str">
        <f t="shared" si="18"/>
        <v/>
      </c>
      <c r="B401" s="531" t="str">
        <f t="shared" si="19"/>
        <v/>
      </c>
      <c r="C401" s="531"/>
      <c r="D401" s="16" t="str">
        <f>HiddenImpacts!D397</f>
        <v/>
      </c>
      <c r="E401" s="16" t="str">
        <f>HiddenImpacts!F397</f>
        <v/>
      </c>
      <c r="F401" s="16" t="str">
        <f>HiddenImpacts!H397</f>
        <v/>
      </c>
      <c r="G401" s="531" t="str">
        <f>HiddenImpacts!J397</f>
        <v/>
      </c>
      <c r="H401" s="531"/>
      <c r="I401" s="531" t="str">
        <f>HiddenImpacts!L397</f>
        <v/>
      </c>
      <c r="J401" s="531"/>
      <c r="K401" s="29" t="str">
        <f>HiddenImpacts!N397</f>
        <v/>
      </c>
    </row>
    <row r="402" spans="1:11" ht="30" customHeight="1" x14ac:dyDescent="0.2">
      <c r="A402" s="9" t="str">
        <f t="shared" si="18"/>
        <v/>
      </c>
      <c r="B402" s="531" t="str">
        <f t="shared" si="19"/>
        <v/>
      </c>
      <c r="C402" s="531"/>
      <c r="D402" s="16" t="str">
        <f>HiddenImpacts!D398</f>
        <v/>
      </c>
      <c r="E402" s="16" t="str">
        <f>HiddenImpacts!F398</f>
        <v/>
      </c>
      <c r="F402" s="16" t="str">
        <f>HiddenImpacts!H398</f>
        <v/>
      </c>
      <c r="G402" s="531" t="str">
        <f>HiddenImpacts!J398</f>
        <v/>
      </c>
      <c r="H402" s="531"/>
      <c r="I402" s="531" t="str">
        <f>HiddenImpacts!L398</f>
        <v/>
      </c>
      <c r="J402" s="531"/>
      <c r="K402" s="29" t="str">
        <f>HiddenImpacts!N398</f>
        <v/>
      </c>
    </row>
    <row r="403" spans="1:11" ht="30" customHeight="1" x14ac:dyDescent="0.2">
      <c r="A403" s="9" t="str">
        <f t="shared" si="18"/>
        <v/>
      </c>
      <c r="B403" s="531" t="str">
        <f t="shared" si="19"/>
        <v/>
      </c>
      <c r="C403" s="531"/>
      <c r="D403" s="16" t="str">
        <f>HiddenImpacts!D399</f>
        <v/>
      </c>
      <c r="E403" s="16" t="str">
        <f>HiddenImpacts!F399</f>
        <v/>
      </c>
      <c r="F403" s="16" t="str">
        <f>HiddenImpacts!H399</f>
        <v/>
      </c>
      <c r="G403" s="531" t="str">
        <f>HiddenImpacts!J399</f>
        <v/>
      </c>
      <c r="H403" s="531"/>
      <c r="I403" s="531" t="str">
        <f>HiddenImpacts!L399</f>
        <v/>
      </c>
      <c r="J403" s="531"/>
      <c r="K403" s="29" t="str">
        <f>HiddenImpacts!N399</f>
        <v/>
      </c>
    </row>
    <row r="404" spans="1:11" ht="30" customHeight="1" x14ac:dyDescent="0.2">
      <c r="A404" s="9" t="str">
        <f t="shared" si="18"/>
        <v/>
      </c>
      <c r="B404" s="531" t="str">
        <f t="shared" si="19"/>
        <v/>
      </c>
      <c r="C404" s="531"/>
      <c r="D404" s="16" t="str">
        <f>HiddenImpacts!D400</f>
        <v/>
      </c>
      <c r="E404" s="16" t="str">
        <f>HiddenImpacts!F400</f>
        <v/>
      </c>
      <c r="F404" s="16" t="str">
        <f>HiddenImpacts!H400</f>
        <v/>
      </c>
      <c r="G404" s="531" t="str">
        <f>HiddenImpacts!J400</f>
        <v/>
      </c>
      <c r="H404" s="531"/>
      <c r="I404" s="531" t="str">
        <f>HiddenImpacts!L400</f>
        <v/>
      </c>
      <c r="J404" s="531"/>
      <c r="K404" s="29" t="str">
        <f>HiddenImpacts!N400</f>
        <v/>
      </c>
    </row>
    <row r="405" spans="1:11" ht="30" customHeight="1" x14ac:dyDescent="0.2">
      <c r="A405" s="9" t="str">
        <f t="shared" si="18"/>
        <v/>
      </c>
      <c r="B405" s="531" t="str">
        <f t="shared" si="19"/>
        <v/>
      </c>
      <c r="C405" s="531"/>
      <c r="D405" s="16" t="str">
        <f>HiddenImpacts!D401</f>
        <v/>
      </c>
      <c r="E405" s="16" t="str">
        <f>HiddenImpacts!F401</f>
        <v/>
      </c>
      <c r="F405" s="16" t="str">
        <f>HiddenImpacts!H401</f>
        <v/>
      </c>
      <c r="G405" s="531" t="str">
        <f>HiddenImpacts!J401</f>
        <v/>
      </c>
      <c r="H405" s="531"/>
      <c r="I405" s="531" t="str">
        <f>HiddenImpacts!L401</f>
        <v/>
      </c>
      <c r="J405" s="531"/>
      <c r="K405" s="29" t="str">
        <f>HiddenImpacts!N401</f>
        <v/>
      </c>
    </row>
    <row r="406" spans="1:11" ht="30" customHeight="1" x14ac:dyDescent="0.2">
      <c r="A406" s="9" t="str">
        <f t="shared" si="18"/>
        <v/>
      </c>
      <c r="B406" s="531" t="str">
        <f t="shared" si="19"/>
        <v/>
      </c>
      <c r="C406" s="531"/>
      <c r="D406" s="16" t="str">
        <f>HiddenImpacts!D402</f>
        <v/>
      </c>
      <c r="E406" s="16" t="str">
        <f>HiddenImpacts!F402</f>
        <v/>
      </c>
      <c r="F406" s="16" t="str">
        <f>HiddenImpacts!H402</f>
        <v/>
      </c>
      <c r="G406" s="531" t="str">
        <f>HiddenImpacts!J402</f>
        <v/>
      </c>
      <c r="H406" s="531"/>
      <c r="I406" s="531" t="str">
        <f>HiddenImpacts!L402</f>
        <v/>
      </c>
      <c r="J406" s="531"/>
      <c r="K406" s="29" t="str">
        <f>HiddenImpacts!N402</f>
        <v/>
      </c>
    </row>
    <row r="407" spans="1:11" ht="30" customHeight="1" x14ac:dyDescent="0.2">
      <c r="A407" s="9" t="str">
        <f t="shared" ref="A407:A451" si="20">$A293</f>
        <v/>
      </c>
      <c r="B407" s="531" t="str">
        <f t="shared" ref="B407:B451" si="21">$B293</f>
        <v/>
      </c>
      <c r="C407" s="531"/>
      <c r="D407" s="16" t="str">
        <f>HiddenImpacts!D403</f>
        <v/>
      </c>
      <c r="E407" s="16" t="str">
        <f>HiddenImpacts!F403</f>
        <v/>
      </c>
      <c r="F407" s="16" t="str">
        <f>HiddenImpacts!H403</f>
        <v/>
      </c>
      <c r="G407" s="531" t="str">
        <f>HiddenImpacts!J403</f>
        <v/>
      </c>
      <c r="H407" s="531"/>
      <c r="I407" s="531" t="str">
        <f>HiddenImpacts!L403</f>
        <v/>
      </c>
      <c r="J407" s="531"/>
      <c r="K407" s="29" t="str">
        <f>HiddenImpacts!N403</f>
        <v/>
      </c>
    </row>
    <row r="408" spans="1:11" ht="30" customHeight="1" x14ac:dyDescent="0.2">
      <c r="A408" s="9" t="str">
        <f t="shared" si="20"/>
        <v/>
      </c>
      <c r="B408" s="531" t="str">
        <f t="shared" si="21"/>
        <v/>
      </c>
      <c r="C408" s="531"/>
      <c r="D408" s="16" t="str">
        <f>HiddenImpacts!D404</f>
        <v/>
      </c>
      <c r="E408" s="16" t="str">
        <f>HiddenImpacts!F404</f>
        <v/>
      </c>
      <c r="F408" s="16" t="str">
        <f>HiddenImpacts!H404</f>
        <v/>
      </c>
      <c r="G408" s="531" t="str">
        <f>HiddenImpacts!J404</f>
        <v/>
      </c>
      <c r="H408" s="531"/>
      <c r="I408" s="531" t="str">
        <f>HiddenImpacts!L404</f>
        <v/>
      </c>
      <c r="J408" s="531"/>
      <c r="K408" s="29" t="str">
        <f>HiddenImpacts!N404</f>
        <v/>
      </c>
    </row>
    <row r="409" spans="1:11" ht="30" customHeight="1" x14ac:dyDescent="0.2">
      <c r="A409" s="9" t="str">
        <f t="shared" si="20"/>
        <v/>
      </c>
      <c r="B409" s="531" t="str">
        <f t="shared" si="21"/>
        <v/>
      </c>
      <c r="C409" s="531"/>
      <c r="D409" s="16" t="str">
        <f>HiddenImpacts!D405</f>
        <v/>
      </c>
      <c r="E409" s="16" t="str">
        <f>HiddenImpacts!F405</f>
        <v/>
      </c>
      <c r="F409" s="16" t="str">
        <f>HiddenImpacts!H405</f>
        <v/>
      </c>
      <c r="G409" s="531" t="str">
        <f>HiddenImpacts!J405</f>
        <v/>
      </c>
      <c r="H409" s="531"/>
      <c r="I409" s="531" t="str">
        <f>HiddenImpacts!L405</f>
        <v/>
      </c>
      <c r="J409" s="531"/>
      <c r="K409" s="29" t="str">
        <f>HiddenImpacts!N405</f>
        <v/>
      </c>
    </row>
    <row r="410" spans="1:11" ht="30" customHeight="1" x14ac:dyDescent="0.2">
      <c r="A410" s="9" t="str">
        <f t="shared" si="20"/>
        <v/>
      </c>
      <c r="B410" s="531" t="str">
        <f t="shared" si="21"/>
        <v/>
      </c>
      <c r="C410" s="531"/>
      <c r="D410" s="16" t="str">
        <f>HiddenImpacts!D406</f>
        <v/>
      </c>
      <c r="E410" s="16" t="str">
        <f>HiddenImpacts!F406</f>
        <v/>
      </c>
      <c r="F410" s="16" t="str">
        <f>HiddenImpacts!H406</f>
        <v/>
      </c>
      <c r="G410" s="531" t="str">
        <f>HiddenImpacts!J406</f>
        <v/>
      </c>
      <c r="H410" s="531"/>
      <c r="I410" s="531" t="str">
        <f>HiddenImpacts!L406</f>
        <v/>
      </c>
      <c r="J410" s="531"/>
      <c r="K410" s="29" t="str">
        <f>HiddenImpacts!N406</f>
        <v/>
      </c>
    </row>
    <row r="411" spans="1:11" ht="30" customHeight="1" x14ac:dyDescent="0.2">
      <c r="A411" s="9" t="str">
        <f t="shared" si="20"/>
        <v/>
      </c>
      <c r="B411" s="531" t="str">
        <f t="shared" si="21"/>
        <v/>
      </c>
      <c r="C411" s="531"/>
      <c r="D411" s="16" t="str">
        <f>HiddenImpacts!D407</f>
        <v/>
      </c>
      <c r="E411" s="16" t="str">
        <f>HiddenImpacts!F407</f>
        <v/>
      </c>
      <c r="F411" s="16" t="str">
        <f>HiddenImpacts!H407</f>
        <v/>
      </c>
      <c r="G411" s="531" t="str">
        <f>HiddenImpacts!J407</f>
        <v/>
      </c>
      <c r="H411" s="531"/>
      <c r="I411" s="531" t="str">
        <f>HiddenImpacts!L407</f>
        <v/>
      </c>
      <c r="J411" s="531"/>
      <c r="K411" s="29" t="str">
        <f>HiddenImpacts!N407</f>
        <v/>
      </c>
    </row>
    <row r="412" spans="1:11" ht="30" customHeight="1" x14ac:dyDescent="0.2">
      <c r="A412" s="9" t="str">
        <f t="shared" si="20"/>
        <v/>
      </c>
      <c r="B412" s="531" t="str">
        <f t="shared" si="21"/>
        <v/>
      </c>
      <c r="C412" s="531"/>
      <c r="D412" s="16" t="str">
        <f>HiddenImpacts!D408</f>
        <v/>
      </c>
      <c r="E412" s="16" t="str">
        <f>HiddenImpacts!F408</f>
        <v/>
      </c>
      <c r="F412" s="16" t="str">
        <f>HiddenImpacts!H408</f>
        <v/>
      </c>
      <c r="G412" s="531" t="str">
        <f>HiddenImpacts!J408</f>
        <v/>
      </c>
      <c r="H412" s="531"/>
      <c r="I412" s="531" t="str">
        <f>HiddenImpacts!L408</f>
        <v/>
      </c>
      <c r="J412" s="531"/>
      <c r="K412" s="29" t="str">
        <f>HiddenImpacts!N408</f>
        <v/>
      </c>
    </row>
    <row r="413" spans="1:11" ht="30" customHeight="1" x14ac:dyDescent="0.2">
      <c r="A413" s="9" t="str">
        <f t="shared" si="20"/>
        <v/>
      </c>
      <c r="B413" s="531" t="str">
        <f t="shared" si="21"/>
        <v/>
      </c>
      <c r="C413" s="531"/>
      <c r="D413" s="16" t="str">
        <f>HiddenImpacts!D409</f>
        <v/>
      </c>
      <c r="E413" s="16" t="str">
        <f>HiddenImpacts!F409</f>
        <v/>
      </c>
      <c r="F413" s="16" t="str">
        <f>HiddenImpacts!H409</f>
        <v/>
      </c>
      <c r="G413" s="531" t="str">
        <f>HiddenImpacts!J409</f>
        <v/>
      </c>
      <c r="H413" s="531"/>
      <c r="I413" s="531" t="str">
        <f>HiddenImpacts!L409</f>
        <v/>
      </c>
      <c r="J413" s="531"/>
      <c r="K413" s="29" t="str">
        <f>HiddenImpacts!N409</f>
        <v/>
      </c>
    </row>
    <row r="414" spans="1:11" ht="30" customHeight="1" x14ac:dyDescent="0.2">
      <c r="A414" s="9" t="str">
        <f t="shared" si="20"/>
        <v/>
      </c>
      <c r="B414" s="531" t="str">
        <f t="shared" si="21"/>
        <v/>
      </c>
      <c r="C414" s="531"/>
      <c r="D414" s="16" t="str">
        <f>HiddenImpacts!D410</f>
        <v/>
      </c>
      <c r="E414" s="16" t="str">
        <f>HiddenImpacts!F410</f>
        <v/>
      </c>
      <c r="F414" s="16" t="str">
        <f>HiddenImpacts!H410</f>
        <v/>
      </c>
      <c r="G414" s="531" t="str">
        <f>HiddenImpacts!J410</f>
        <v/>
      </c>
      <c r="H414" s="531"/>
      <c r="I414" s="531" t="str">
        <f>HiddenImpacts!L410</f>
        <v/>
      </c>
      <c r="J414" s="531"/>
      <c r="K414" s="29" t="str">
        <f>HiddenImpacts!N410</f>
        <v/>
      </c>
    </row>
    <row r="415" spans="1:11" ht="30" customHeight="1" x14ac:dyDescent="0.2">
      <c r="A415" s="9" t="str">
        <f t="shared" si="20"/>
        <v/>
      </c>
      <c r="B415" s="531" t="str">
        <f t="shared" si="21"/>
        <v/>
      </c>
      <c r="C415" s="531"/>
      <c r="D415" s="16" t="str">
        <f>HiddenImpacts!D411</f>
        <v/>
      </c>
      <c r="E415" s="16" t="str">
        <f>HiddenImpacts!F411</f>
        <v/>
      </c>
      <c r="F415" s="16" t="str">
        <f>HiddenImpacts!H411</f>
        <v/>
      </c>
      <c r="G415" s="531" t="str">
        <f>HiddenImpacts!J411</f>
        <v/>
      </c>
      <c r="H415" s="531"/>
      <c r="I415" s="531" t="str">
        <f>HiddenImpacts!L411</f>
        <v/>
      </c>
      <c r="J415" s="531"/>
      <c r="K415" s="29" t="str">
        <f>HiddenImpacts!N411</f>
        <v/>
      </c>
    </row>
    <row r="416" spans="1:11" ht="30" customHeight="1" x14ac:dyDescent="0.2">
      <c r="A416" s="9" t="str">
        <f t="shared" si="20"/>
        <v/>
      </c>
      <c r="B416" s="531" t="str">
        <f t="shared" si="21"/>
        <v/>
      </c>
      <c r="C416" s="531"/>
      <c r="D416" s="16" t="str">
        <f>HiddenImpacts!D412</f>
        <v/>
      </c>
      <c r="E416" s="16" t="str">
        <f>HiddenImpacts!F412</f>
        <v/>
      </c>
      <c r="F416" s="16" t="str">
        <f>HiddenImpacts!H412</f>
        <v/>
      </c>
      <c r="G416" s="531" t="str">
        <f>HiddenImpacts!J412</f>
        <v/>
      </c>
      <c r="H416" s="531"/>
      <c r="I416" s="531" t="str">
        <f>HiddenImpacts!L412</f>
        <v/>
      </c>
      <c r="J416" s="531"/>
      <c r="K416" s="29" t="str">
        <f>HiddenImpacts!N412</f>
        <v/>
      </c>
    </row>
    <row r="417" spans="1:11" ht="30" customHeight="1" x14ac:dyDescent="0.2">
      <c r="A417" s="9" t="str">
        <f t="shared" si="20"/>
        <v/>
      </c>
      <c r="B417" s="531" t="str">
        <f t="shared" si="21"/>
        <v/>
      </c>
      <c r="C417" s="531"/>
      <c r="D417" s="16" t="str">
        <f>HiddenImpacts!D413</f>
        <v/>
      </c>
      <c r="E417" s="16" t="str">
        <f>HiddenImpacts!F413</f>
        <v/>
      </c>
      <c r="F417" s="16" t="str">
        <f>HiddenImpacts!H413</f>
        <v/>
      </c>
      <c r="G417" s="531" t="str">
        <f>HiddenImpacts!J413</f>
        <v/>
      </c>
      <c r="H417" s="531"/>
      <c r="I417" s="531" t="str">
        <f>HiddenImpacts!L413</f>
        <v/>
      </c>
      <c r="J417" s="531"/>
      <c r="K417" s="29" t="str">
        <f>HiddenImpacts!N413</f>
        <v/>
      </c>
    </row>
    <row r="418" spans="1:11" ht="30" customHeight="1" x14ac:dyDescent="0.2">
      <c r="A418" s="9" t="str">
        <f t="shared" si="20"/>
        <v/>
      </c>
      <c r="B418" s="531" t="str">
        <f t="shared" si="21"/>
        <v/>
      </c>
      <c r="C418" s="531"/>
      <c r="D418" s="16" t="str">
        <f>HiddenImpacts!D414</f>
        <v/>
      </c>
      <c r="E418" s="16" t="str">
        <f>HiddenImpacts!F414</f>
        <v/>
      </c>
      <c r="F418" s="16" t="str">
        <f>HiddenImpacts!H414</f>
        <v/>
      </c>
      <c r="G418" s="531" t="str">
        <f>HiddenImpacts!J414</f>
        <v/>
      </c>
      <c r="H418" s="531"/>
      <c r="I418" s="531" t="str">
        <f>HiddenImpacts!L414</f>
        <v/>
      </c>
      <c r="J418" s="531"/>
      <c r="K418" s="29" t="str">
        <f>HiddenImpacts!N414</f>
        <v/>
      </c>
    </row>
    <row r="419" spans="1:11" ht="30" customHeight="1" x14ac:dyDescent="0.2">
      <c r="A419" s="9" t="str">
        <f t="shared" si="20"/>
        <v/>
      </c>
      <c r="B419" s="531" t="str">
        <f t="shared" si="21"/>
        <v/>
      </c>
      <c r="C419" s="531"/>
      <c r="D419" s="16" t="str">
        <f>HiddenImpacts!D415</f>
        <v/>
      </c>
      <c r="E419" s="16" t="str">
        <f>HiddenImpacts!F415</f>
        <v/>
      </c>
      <c r="F419" s="16" t="str">
        <f>HiddenImpacts!H415</f>
        <v/>
      </c>
      <c r="G419" s="531" t="str">
        <f>HiddenImpacts!J415</f>
        <v/>
      </c>
      <c r="H419" s="531"/>
      <c r="I419" s="531" t="str">
        <f>HiddenImpacts!L415</f>
        <v/>
      </c>
      <c r="J419" s="531"/>
      <c r="K419" s="29" t="str">
        <f>HiddenImpacts!N415</f>
        <v/>
      </c>
    </row>
    <row r="420" spans="1:11" ht="30" customHeight="1" x14ac:dyDescent="0.2">
      <c r="A420" s="9" t="str">
        <f t="shared" si="20"/>
        <v/>
      </c>
      <c r="B420" s="531" t="str">
        <f t="shared" si="21"/>
        <v/>
      </c>
      <c r="C420" s="531"/>
      <c r="D420" s="16" t="str">
        <f>HiddenImpacts!D416</f>
        <v/>
      </c>
      <c r="E420" s="16" t="str">
        <f>HiddenImpacts!F416</f>
        <v/>
      </c>
      <c r="F420" s="16" t="str">
        <f>HiddenImpacts!H416</f>
        <v/>
      </c>
      <c r="G420" s="531" t="str">
        <f>HiddenImpacts!J416</f>
        <v/>
      </c>
      <c r="H420" s="531"/>
      <c r="I420" s="531" t="str">
        <f>HiddenImpacts!L416</f>
        <v/>
      </c>
      <c r="J420" s="531"/>
      <c r="K420" s="29" t="str">
        <f>HiddenImpacts!N416</f>
        <v/>
      </c>
    </row>
    <row r="421" spans="1:11" ht="30" customHeight="1" x14ac:dyDescent="0.2">
      <c r="A421" s="9" t="str">
        <f t="shared" si="20"/>
        <v/>
      </c>
      <c r="B421" s="531" t="str">
        <f t="shared" si="21"/>
        <v/>
      </c>
      <c r="C421" s="531"/>
      <c r="D421" s="16" t="str">
        <f>HiddenImpacts!D417</f>
        <v/>
      </c>
      <c r="E421" s="16" t="str">
        <f>HiddenImpacts!F417</f>
        <v/>
      </c>
      <c r="F421" s="16" t="str">
        <f>HiddenImpacts!H417</f>
        <v/>
      </c>
      <c r="G421" s="531" t="str">
        <f>HiddenImpacts!J417</f>
        <v/>
      </c>
      <c r="H421" s="531"/>
      <c r="I421" s="531" t="str">
        <f>HiddenImpacts!L417</f>
        <v/>
      </c>
      <c r="J421" s="531"/>
      <c r="K421" s="29" t="str">
        <f>HiddenImpacts!N417</f>
        <v/>
      </c>
    </row>
    <row r="422" spans="1:11" ht="30" customHeight="1" x14ac:dyDescent="0.2">
      <c r="A422" s="9" t="str">
        <f t="shared" si="20"/>
        <v/>
      </c>
      <c r="B422" s="531" t="str">
        <f t="shared" si="21"/>
        <v/>
      </c>
      <c r="C422" s="531"/>
      <c r="D422" s="16" t="str">
        <f>HiddenImpacts!D418</f>
        <v/>
      </c>
      <c r="E422" s="16" t="str">
        <f>HiddenImpacts!F418</f>
        <v/>
      </c>
      <c r="F422" s="16" t="str">
        <f>HiddenImpacts!H418</f>
        <v/>
      </c>
      <c r="G422" s="531" t="str">
        <f>HiddenImpacts!J418</f>
        <v/>
      </c>
      <c r="H422" s="531"/>
      <c r="I422" s="531" t="str">
        <f>HiddenImpacts!L418</f>
        <v/>
      </c>
      <c r="J422" s="531"/>
      <c r="K422" s="29" t="str">
        <f>HiddenImpacts!N418</f>
        <v/>
      </c>
    </row>
    <row r="423" spans="1:11" ht="30" customHeight="1" x14ac:dyDescent="0.2">
      <c r="A423" s="9" t="str">
        <f t="shared" si="20"/>
        <v/>
      </c>
      <c r="B423" s="531" t="str">
        <f t="shared" si="21"/>
        <v/>
      </c>
      <c r="C423" s="531"/>
      <c r="D423" s="16" t="str">
        <f>HiddenImpacts!D419</f>
        <v/>
      </c>
      <c r="E423" s="16" t="str">
        <f>HiddenImpacts!F419</f>
        <v/>
      </c>
      <c r="F423" s="16" t="str">
        <f>HiddenImpacts!H419</f>
        <v/>
      </c>
      <c r="G423" s="531" t="str">
        <f>HiddenImpacts!J419</f>
        <v/>
      </c>
      <c r="H423" s="531"/>
      <c r="I423" s="531" t="str">
        <f>HiddenImpacts!L419</f>
        <v/>
      </c>
      <c r="J423" s="531"/>
      <c r="K423" s="29" t="str">
        <f>HiddenImpacts!N419</f>
        <v/>
      </c>
    </row>
    <row r="424" spans="1:11" ht="30" customHeight="1" x14ac:dyDescent="0.2">
      <c r="A424" s="9" t="str">
        <f t="shared" si="20"/>
        <v/>
      </c>
      <c r="B424" s="531" t="str">
        <f t="shared" si="21"/>
        <v/>
      </c>
      <c r="C424" s="531"/>
      <c r="D424" s="16" t="str">
        <f>HiddenImpacts!D420</f>
        <v/>
      </c>
      <c r="E424" s="16" t="str">
        <f>HiddenImpacts!F420</f>
        <v/>
      </c>
      <c r="F424" s="16" t="str">
        <f>HiddenImpacts!H420</f>
        <v/>
      </c>
      <c r="G424" s="531" t="str">
        <f>HiddenImpacts!J420</f>
        <v/>
      </c>
      <c r="H424" s="531"/>
      <c r="I424" s="531" t="str">
        <f>HiddenImpacts!L420</f>
        <v/>
      </c>
      <c r="J424" s="531"/>
      <c r="K424" s="29" t="str">
        <f>HiddenImpacts!N420</f>
        <v/>
      </c>
    </row>
    <row r="425" spans="1:11" ht="30" customHeight="1" x14ac:dyDescent="0.2">
      <c r="A425" s="9" t="str">
        <f t="shared" si="20"/>
        <v/>
      </c>
      <c r="B425" s="531" t="str">
        <f t="shared" si="21"/>
        <v/>
      </c>
      <c r="C425" s="531"/>
      <c r="D425" s="16" t="str">
        <f>HiddenImpacts!D421</f>
        <v/>
      </c>
      <c r="E425" s="16" t="str">
        <f>HiddenImpacts!F421</f>
        <v/>
      </c>
      <c r="F425" s="16" t="str">
        <f>HiddenImpacts!H421</f>
        <v/>
      </c>
      <c r="G425" s="531" t="str">
        <f>HiddenImpacts!J421</f>
        <v/>
      </c>
      <c r="H425" s="531"/>
      <c r="I425" s="531" t="str">
        <f>HiddenImpacts!L421</f>
        <v/>
      </c>
      <c r="J425" s="531"/>
      <c r="K425" s="29" t="str">
        <f>HiddenImpacts!N421</f>
        <v/>
      </c>
    </row>
    <row r="426" spans="1:11" ht="30" customHeight="1" x14ac:dyDescent="0.2">
      <c r="A426" s="9" t="str">
        <f t="shared" si="20"/>
        <v/>
      </c>
      <c r="B426" s="531" t="str">
        <f t="shared" si="21"/>
        <v/>
      </c>
      <c r="C426" s="531"/>
      <c r="D426" s="16" t="str">
        <f>HiddenImpacts!D422</f>
        <v/>
      </c>
      <c r="E426" s="16" t="str">
        <f>HiddenImpacts!F422</f>
        <v/>
      </c>
      <c r="F426" s="16" t="str">
        <f>HiddenImpacts!H422</f>
        <v/>
      </c>
      <c r="G426" s="531" t="str">
        <f>HiddenImpacts!J422</f>
        <v/>
      </c>
      <c r="H426" s="531"/>
      <c r="I426" s="531" t="str">
        <f>HiddenImpacts!L422</f>
        <v/>
      </c>
      <c r="J426" s="531"/>
      <c r="K426" s="29" t="str">
        <f>HiddenImpacts!N422</f>
        <v/>
      </c>
    </row>
    <row r="427" spans="1:11" ht="30" customHeight="1" x14ac:dyDescent="0.2">
      <c r="A427" s="9" t="str">
        <f t="shared" si="20"/>
        <v/>
      </c>
      <c r="B427" s="531" t="str">
        <f t="shared" si="21"/>
        <v/>
      </c>
      <c r="C427" s="531"/>
      <c r="D427" s="16" t="str">
        <f>HiddenImpacts!D423</f>
        <v/>
      </c>
      <c r="E427" s="16" t="str">
        <f>HiddenImpacts!F423</f>
        <v/>
      </c>
      <c r="F427" s="16" t="str">
        <f>HiddenImpacts!H423</f>
        <v/>
      </c>
      <c r="G427" s="531" t="str">
        <f>HiddenImpacts!J423</f>
        <v/>
      </c>
      <c r="H427" s="531"/>
      <c r="I427" s="531" t="str">
        <f>HiddenImpacts!L423</f>
        <v/>
      </c>
      <c r="J427" s="531"/>
      <c r="K427" s="29" t="str">
        <f>HiddenImpacts!N423</f>
        <v/>
      </c>
    </row>
    <row r="428" spans="1:11" ht="30" customHeight="1" x14ac:dyDescent="0.2">
      <c r="A428" s="9" t="str">
        <f t="shared" si="20"/>
        <v/>
      </c>
      <c r="B428" s="531" t="str">
        <f t="shared" si="21"/>
        <v/>
      </c>
      <c r="C428" s="531"/>
      <c r="D428" s="16" t="str">
        <f>HiddenImpacts!D424</f>
        <v/>
      </c>
      <c r="E428" s="16" t="str">
        <f>HiddenImpacts!F424</f>
        <v/>
      </c>
      <c r="F428" s="16" t="str">
        <f>HiddenImpacts!H424</f>
        <v/>
      </c>
      <c r="G428" s="531" t="str">
        <f>HiddenImpacts!J424</f>
        <v/>
      </c>
      <c r="H428" s="531"/>
      <c r="I428" s="531" t="str">
        <f>HiddenImpacts!L424</f>
        <v/>
      </c>
      <c r="J428" s="531"/>
      <c r="K428" s="29" t="str">
        <f>HiddenImpacts!N424</f>
        <v/>
      </c>
    </row>
    <row r="429" spans="1:11" ht="30" customHeight="1" x14ac:dyDescent="0.2">
      <c r="A429" s="9" t="str">
        <f t="shared" si="20"/>
        <v/>
      </c>
      <c r="B429" s="531" t="str">
        <f t="shared" si="21"/>
        <v/>
      </c>
      <c r="C429" s="531"/>
      <c r="D429" s="16" t="str">
        <f>HiddenImpacts!D425</f>
        <v/>
      </c>
      <c r="E429" s="16" t="str">
        <f>HiddenImpacts!F425</f>
        <v/>
      </c>
      <c r="F429" s="16" t="str">
        <f>HiddenImpacts!H425</f>
        <v/>
      </c>
      <c r="G429" s="531" t="str">
        <f>HiddenImpacts!J425</f>
        <v/>
      </c>
      <c r="H429" s="531"/>
      <c r="I429" s="531" t="str">
        <f>HiddenImpacts!L425</f>
        <v/>
      </c>
      <c r="J429" s="531"/>
      <c r="K429" s="29" t="str">
        <f>HiddenImpacts!N425</f>
        <v/>
      </c>
    </row>
    <row r="430" spans="1:11" ht="30" customHeight="1" x14ac:dyDescent="0.2">
      <c r="A430" s="9" t="str">
        <f t="shared" si="20"/>
        <v/>
      </c>
      <c r="B430" s="531" t="str">
        <f t="shared" si="21"/>
        <v/>
      </c>
      <c r="C430" s="531"/>
      <c r="D430" s="16" t="str">
        <f>HiddenImpacts!D426</f>
        <v/>
      </c>
      <c r="E430" s="16" t="str">
        <f>HiddenImpacts!F426</f>
        <v/>
      </c>
      <c r="F430" s="16" t="str">
        <f>HiddenImpacts!H426</f>
        <v/>
      </c>
      <c r="G430" s="531" t="str">
        <f>HiddenImpacts!J426</f>
        <v/>
      </c>
      <c r="H430" s="531"/>
      <c r="I430" s="531" t="str">
        <f>HiddenImpacts!L426</f>
        <v/>
      </c>
      <c r="J430" s="531"/>
      <c r="K430" s="29" t="str">
        <f>HiddenImpacts!N426</f>
        <v/>
      </c>
    </row>
    <row r="431" spans="1:11" ht="30" customHeight="1" x14ac:dyDescent="0.2">
      <c r="A431" s="9" t="str">
        <f t="shared" si="20"/>
        <v/>
      </c>
      <c r="B431" s="531" t="str">
        <f t="shared" si="21"/>
        <v/>
      </c>
      <c r="C431" s="531"/>
      <c r="D431" s="16" t="str">
        <f>HiddenImpacts!D427</f>
        <v/>
      </c>
      <c r="E431" s="16" t="str">
        <f>HiddenImpacts!F427</f>
        <v/>
      </c>
      <c r="F431" s="16" t="str">
        <f>HiddenImpacts!H427</f>
        <v/>
      </c>
      <c r="G431" s="531" t="str">
        <f>HiddenImpacts!J427</f>
        <v/>
      </c>
      <c r="H431" s="531"/>
      <c r="I431" s="531" t="str">
        <f>HiddenImpacts!L427</f>
        <v/>
      </c>
      <c r="J431" s="531"/>
      <c r="K431" s="29" t="str">
        <f>HiddenImpacts!N427</f>
        <v/>
      </c>
    </row>
    <row r="432" spans="1:11" ht="30" customHeight="1" x14ac:dyDescent="0.2">
      <c r="A432" s="9" t="str">
        <f t="shared" si="20"/>
        <v/>
      </c>
      <c r="B432" s="531" t="str">
        <f t="shared" si="21"/>
        <v/>
      </c>
      <c r="C432" s="531"/>
      <c r="D432" s="16" t="str">
        <f>HiddenImpacts!D428</f>
        <v/>
      </c>
      <c r="E432" s="16" t="str">
        <f>HiddenImpacts!F428</f>
        <v/>
      </c>
      <c r="F432" s="16" t="str">
        <f>HiddenImpacts!H428</f>
        <v/>
      </c>
      <c r="G432" s="531" t="str">
        <f>HiddenImpacts!J428</f>
        <v/>
      </c>
      <c r="H432" s="531"/>
      <c r="I432" s="531" t="str">
        <f>HiddenImpacts!L428</f>
        <v/>
      </c>
      <c r="J432" s="531"/>
      <c r="K432" s="29" t="str">
        <f>HiddenImpacts!N428</f>
        <v/>
      </c>
    </row>
    <row r="433" spans="1:11" ht="30" customHeight="1" x14ac:dyDescent="0.2">
      <c r="A433" s="9" t="str">
        <f t="shared" si="20"/>
        <v/>
      </c>
      <c r="B433" s="531" t="str">
        <f t="shared" si="21"/>
        <v/>
      </c>
      <c r="C433" s="531"/>
      <c r="D433" s="16" t="str">
        <f>HiddenImpacts!D429</f>
        <v/>
      </c>
      <c r="E433" s="16" t="str">
        <f>HiddenImpacts!F429</f>
        <v/>
      </c>
      <c r="F433" s="16" t="str">
        <f>HiddenImpacts!H429</f>
        <v/>
      </c>
      <c r="G433" s="531" t="str">
        <f>HiddenImpacts!J429</f>
        <v/>
      </c>
      <c r="H433" s="531"/>
      <c r="I433" s="531" t="str">
        <f>HiddenImpacts!L429</f>
        <v/>
      </c>
      <c r="J433" s="531"/>
      <c r="K433" s="29" t="str">
        <f>HiddenImpacts!N429</f>
        <v/>
      </c>
    </row>
    <row r="434" spans="1:11" ht="30" customHeight="1" x14ac:dyDescent="0.2">
      <c r="A434" s="9" t="str">
        <f t="shared" si="20"/>
        <v/>
      </c>
      <c r="B434" s="531" t="str">
        <f t="shared" si="21"/>
        <v/>
      </c>
      <c r="C434" s="531"/>
      <c r="D434" s="16" t="str">
        <f>HiddenImpacts!D430</f>
        <v/>
      </c>
      <c r="E434" s="16" t="str">
        <f>HiddenImpacts!F430</f>
        <v/>
      </c>
      <c r="F434" s="16" t="str">
        <f>HiddenImpacts!H430</f>
        <v/>
      </c>
      <c r="G434" s="531" t="str">
        <f>HiddenImpacts!J430</f>
        <v/>
      </c>
      <c r="H434" s="531"/>
      <c r="I434" s="531" t="str">
        <f>HiddenImpacts!L430</f>
        <v/>
      </c>
      <c r="J434" s="531"/>
      <c r="K434" s="29" t="str">
        <f>HiddenImpacts!N430</f>
        <v/>
      </c>
    </row>
    <row r="435" spans="1:11" ht="30" customHeight="1" x14ac:dyDescent="0.2">
      <c r="A435" s="9" t="str">
        <f t="shared" si="20"/>
        <v/>
      </c>
      <c r="B435" s="531" t="str">
        <f t="shared" si="21"/>
        <v/>
      </c>
      <c r="C435" s="531"/>
      <c r="D435" s="16" t="str">
        <f>HiddenImpacts!D431</f>
        <v/>
      </c>
      <c r="E435" s="16" t="str">
        <f>HiddenImpacts!F431</f>
        <v/>
      </c>
      <c r="F435" s="16" t="str">
        <f>HiddenImpacts!H431</f>
        <v/>
      </c>
      <c r="G435" s="531" t="str">
        <f>HiddenImpacts!J431</f>
        <v/>
      </c>
      <c r="H435" s="531"/>
      <c r="I435" s="531" t="str">
        <f>HiddenImpacts!L431</f>
        <v/>
      </c>
      <c r="J435" s="531"/>
      <c r="K435" s="29" t="str">
        <f>HiddenImpacts!N431</f>
        <v/>
      </c>
    </row>
    <row r="436" spans="1:11" ht="30" customHeight="1" x14ac:dyDescent="0.2">
      <c r="A436" s="9" t="str">
        <f t="shared" si="20"/>
        <v/>
      </c>
      <c r="B436" s="531" t="str">
        <f t="shared" si="21"/>
        <v/>
      </c>
      <c r="C436" s="531"/>
      <c r="D436" s="16" t="str">
        <f>HiddenImpacts!D432</f>
        <v/>
      </c>
      <c r="E436" s="16" t="str">
        <f>HiddenImpacts!F432</f>
        <v/>
      </c>
      <c r="F436" s="16" t="str">
        <f>HiddenImpacts!H432</f>
        <v/>
      </c>
      <c r="G436" s="531" t="str">
        <f>HiddenImpacts!J432</f>
        <v/>
      </c>
      <c r="H436" s="531"/>
      <c r="I436" s="531" t="str">
        <f>HiddenImpacts!L432</f>
        <v/>
      </c>
      <c r="J436" s="531"/>
      <c r="K436" s="29" t="str">
        <f>HiddenImpacts!N432</f>
        <v/>
      </c>
    </row>
    <row r="437" spans="1:11" ht="30" customHeight="1" x14ac:dyDescent="0.2">
      <c r="A437" s="9" t="str">
        <f t="shared" si="20"/>
        <v/>
      </c>
      <c r="B437" s="531" t="str">
        <f t="shared" si="21"/>
        <v/>
      </c>
      <c r="C437" s="531"/>
      <c r="D437" s="16" t="str">
        <f>HiddenImpacts!D433</f>
        <v/>
      </c>
      <c r="E437" s="16" t="str">
        <f>HiddenImpacts!F433</f>
        <v/>
      </c>
      <c r="F437" s="16" t="str">
        <f>HiddenImpacts!H433</f>
        <v/>
      </c>
      <c r="G437" s="531" t="str">
        <f>HiddenImpacts!J433</f>
        <v/>
      </c>
      <c r="H437" s="531"/>
      <c r="I437" s="531" t="str">
        <f>HiddenImpacts!L433</f>
        <v/>
      </c>
      <c r="J437" s="531"/>
      <c r="K437" s="29" t="str">
        <f>HiddenImpacts!N433</f>
        <v/>
      </c>
    </row>
    <row r="438" spans="1:11" ht="30" customHeight="1" x14ac:dyDescent="0.2">
      <c r="A438" s="9" t="str">
        <f t="shared" si="20"/>
        <v/>
      </c>
      <c r="B438" s="531" t="str">
        <f t="shared" si="21"/>
        <v/>
      </c>
      <c r="C438" s="531"/>
      <c r="D438" s="16" t="str">
        <f>HiddenImpacts!D434</f>
        <v/>
      </c>
      <c r="E438" s="16" t="str">
        <f>HiddenImpacts!F434</f>
        <v/>
      </c>
      <c r="F438" s="16" t="str">
        <f>HiddenImpacts!H434</f>
        <v/>
      </c>
      <c r="G438" s="531" t="str">
        <f>HiddenImpacts!J434</f>
        <v/>
      </c>
      <c r="H438" s="531"/>
      <c r="I438" s="531" t="str">
        <f>HiddenImpacts!L434</f>
        <v/>
      </c>
      <c r="J438" s="531"/>
      <c r="K438" s="29" t="str">
        <f>HiddenImpacts!N434</f>
        <v/>
      </c>
    </row>
    <row r="439" spans="1:11" ht="30" customHeight="1" x14ac:dyDescent="0.2">
      <c r="A439" s="9" t="str">
        <f t="shared" si="20"/>
        <v/>
      </c>
      <c r="B439" s="531" t="str">
        <f t="shared" si="21"/>
        <v/>
      </c>
      <c r="C439" s="531"/>
      <c r="D439" s="16" t="str">
        <f>HiddenImpacts!D435</f>
        <v/>
      </c>
      <c r="E439" s="16" t="str">
        <f>HiddenImpacts!F435</f>
        <v/>
      </c>
      <c r="F439" s="16" t="str">
        <f>HiddenImpacts!H435</f>
        <v/>
      </c>
      <c r="G439" s="531" t="str">
        <f>HiddenImpacts!J435</f>
        <v/>
      </c>
      <c r="H439" s="531"/>
      <c r="I439" s="531" t="str">
        <f>HiddenImpacts!L435</f>
        <v/>
      </c>
      <c r="J439" s="531"/>
      <c r="K439" s="29" t="str">
        <f>HiddenImpacts!N435</f>
        <v/>
      </c>
    </row>
    <row r="440" spans="1:11" ht="30" customHeight="1" x14ac:dyDescent="0.2">
      <c r="A440" s="9" t="str">
        <f t="shared" si="20"/>
        <v/>
      </c>
      <c r="B440" s="531" t="str">
        <f t="shared" si="21"/>
        <v/>
      </c>
      <c r="C440" s="531"/>
      <c r="D440" s="16" t="str">
        <f>HiddenImpacts!D436</f>
        <v/>
      </c>
      <c r="E440" s="16" t="str">
        <f>HiddenImpacts!F436</f>
        <v/>
      </c>
      <c r="F440" s="16" t="str">
        <f>HiddenImpacts!H436</f>
        <v/>
      </c>
      <c r="G440" s="531" t="str">
        <f>HiddenImpacts!J436</f>
        <v/>
      </c>
      <c r="H440" s="531"/>
      <c r="I440" s="531" t="str">
        <f>HiddenImpacts!L436</f>
        <v/>
      </c>
      <c r="J440" s="531"/>
      <c r="K440" s="29" t="str">
        <f>HiddenImpacts!N436</f>
        <v/>
      </c>
    </row>
    <row r="441" spans="1:11" ht="30" customHeight="1" x14ac:dyDescent="0.2">
      <c r="A441" s="9" t="str">
        <f t="shared" si="20"/>
        <v/>
      </c>
      <c r="B441" s="531" t="str">
        <f t="shared" si="21"/>
        <v/>
      </c>
      <c r="C441" s="531"/>
      <c r="D441" s="16" t="str">
        <f>HiddenImpacts!D437</f>
        <v/>
      </c>
      <c r="E441" s="16" t="str">
        <f>HiddenImpacts!F437</f>
        <v/>
      </c>
      <c r="F441" s="16" t="str">
        <f>HiddenImpacts!H437</f>
        <v/>
      </c>
      <c r="G441" s="531" t="str">
        <f>HiddenImpacts!J437</f>
        <v/>
      </c>
      <c r="H441" s="531"/>
      <c r="I441" s="531" t="str">
        <f>HiddenImpacts!L437</f>
        <v/>
      </c>
      <c r="J441" s="531"/>
      <c r="K441" s="29" t="str">
        <f>HiddenImpacts!N437</f>
        <v/>
      </c>
    </row>
    <row r="442" spans="1:11" ht="30" customHeight="1" x14ac:dyDescent="0.2">
      <c r="A442" s="9" t="str">
        <f t="shared" si="20"/>
        <v/>
      </c>
      <c r="B442" s="531" t="str">
        <f t="shared" si="21"/>
        <v/>
      </c>
      <c r="C442" s="531"/>
      <c r="D442" s="16" t="str">
        <f>HiddenImpacts!D438</f>
        <v/>
      </c>
      <c r="E442" s="16" t="str">
        <f>HiddenImpacts!F438</f>
        <v/>
      </c>
      <c r="F442" s="16" t="str">
        <f>HiddenImpacts!H438</f>
        <v/>
      </c>
      <c r="G442" s="531" t="str">
        <f>HiddenImpacts!J438</f>
        <v/>
      </c>
      <c r="H442" s="531"/>
      <c r="I442" s="531" t="str">
        <f>HiddenImpacts!L438</f>
        <v/>
      </c>
      <c r="J442" s="531"/>
      <c r="K442" s="29" t="str">
        <f>HiddenImpacts!N438</f>
        <v/>
      </c>
    </row>
    <row r="443" spans="1:11" ht="30" customHeight="1" x14ac:dyDescent="0.2">
      <c r="A443" s="9" t="str">
        <f t="shared" si="20"/>
        <v/>
      </c>
      <c r="B443" s="531" t="str">
        <f t="shared" si="21"/>
        <v/>
      </c>
      <c r="C443" s="531"/>
      <c r="D443" s="16" t="str">
        <f>HiddenImpacts!D439</f>
        <v/>
      </c>
      <c r="E443" s="16" t="str">
        <f>HiddenImpacts!F439</f>
        <v/>
      </c>
      <c r="F443" s="16" t="str">
        <f>HiddenImpacts!H439</f>
        <v/>
      </c>
      <c r="G443" s="531" t="str">
        <f>HiddenImpacts!J439</f>
        <v/>
      </c>
      <c r="H443" s="531"/>
      <c r="I443" s="531" t="str">
        <f>HiddenImpacts!L439</f>
        <v/>
      </c>
      <c r="J443" s="531"/>
      <c r="K443" s="29" t="str">
        <f>HiddenImpacts!N439</f>
        <v/>
      </c>
    </row>
    <row r="444" spans="1:11" ht="30" customHeight="1" x14ac:dyDescent="0.2">
      <c r="A444" s="9" t="str">
        <f t="shared" si="20"/>
        <v/>
      </c>
      <c r="B444" s="531" t="str">
        <f t="shared" si="21"/>
        <v/>
      </c>
      <c r="C444" s="531"/>
      <c r="D444" s="16" t="str">
        <f>HiddenImpacts!D440</f>
        <v/>
      </c>
      <c r="E444" s="16" t="str">
        <f>HiddenImpacts!F440</f>
        <v/>
      </c>
      <c r="F444" s="16" t="str">
        <f>HiddenImpacts!H440</f>
        <v/>
      </c>
      <c r="G444" s="531" t="str">
        <f>HiddenImpacts!J440</f>
        <v/>
      </c>
      <c r="H444" s="531"/>
      <c r="I444" s="531" t="str">
        <f>HiddenImpacts!L440</f>
        <v/>
      </c>
      <c r="J444" s="531"/>
      <c r="K444" s="29" t="str">
        <f>HiddenImpacts!N440</f>
        <v/>
      </c>
    </row>
    <row r="445" spans="1:11" ht="30" customHeight="1" x14ac:dyDescent="0.2">
      <c r="A445" s="9" t="str">
        <f t="shared" si="20"/>
        <v/>
      </c>
      <c r="B445" s="531" t="str">
        <f t="shared" si="21"/>
        <v/>
      </c>
      <c r="C445" s="531"/>
      <c r="D445" s="16" t="str">
        <f>HiddenImpacts!D441</f>
        <v/>
      </c>
      <c r="E445" s="16" t="str">
        <f>HiddenImpacts!F441</f>
        <v/>
      </c>
      <c r="F445" s="16" t="str">
        <f>HiddenImpacts!H441</f>
        <v/>
      </c>
      <c r="G445" s="531" t="str">
        <f>HiddenImpacts!J441</f>
        <v/>
      </c>
      <c r="H445" s="531"/>
      <c r="I445" s="531" t="str">
        <f>HiddenImpacts!L441</f>
        <v/>
      </c>
      <c r="J445" s="531"/>
      <c r="K445" s="29" t="str">
        <f>HiddenImpacts!N441</f>
        <v/>
      </c>
    </row>
    <row r="446" spans="1:11" ht="30" customHeight="1" x14ac:dyDescent="0.2">
      <c r="A446" s="9" t="str">
        <f t="shared" si="20"/>
        <v/>
      </c>
      <c r="B446" s="531" t="str">
        <f t="shared" si="21"/>
        <v/>
      </c>
      <c r="C446" s="531"/>
      <c r="D446" s="16" t="str">
        <f>HiddenImpacts!D442</f>
        <v/>
      </c>
      <c r="E446" s="16" t="str">
        <f>HiddenImpacts!F442</f>
        <v/>
      </c>
      <c r="F446" s="16" t="str">
        <f>HiddenImpacts!H442</f>
        <v/>
      </c>
      <c r="G446" s="531" t="str">
        <f>HiddenImpacts!J442</f>
        <v/>
      </c>
      <c r="H446" s="531"/>
      <c r="I446" s="531" t="str">
        <f>HiddenImpacts!L442</f>
        <v/>
      </c>
      <c r="J446" s="531"/>
      <c r="K446" s="29" t="str">
        <f>HiddenImpacts!N442</f>
        <v/>
      </c>
    </row>
    <row r="447" spans="1:11" ht="30" customHeight="1" x14ac:dyDescent="0.2">
      <c r="A447" s="9" t="str">
        <f t="shared" si="20"/>
        <v/>
      </c>
      <c r="B447" s="531" t="str">
        <f t="shared" si="21"/>
        <v/>
      </c>
      <c r="C447" s="531"/>
      <c r="D447" s="16" t="str">
        <f>HiddenImpacts!D443</f>
        <v/>
      </c>
      <c r="E447" s="16" t="str">
        <f>HiddenImpacts!F443</f>
        <v/>
      </c>
      <c r="F447" s="16" t="str">
        <f>HiddenImpacts!H443</f>
        <v/>
      </c>
      <c r="G447" s="531" t="str">
        <f>HiddenImpacts!J443</f>
        <v/>
      </c>
      <c r="H447" s="531"/>
      <c r="I447" s="531" t="str">
        <f>HiddenImpacts!L443</f>
        <v/>
      </c>
      <c r="J447" s="531"/>
      <c r="K447" s="29" t="str">
        <f>HiddenImpacts!N443</f>
        <v/>
      </c>
    </row>
    <row r="448" spans="1:11" ht="30" customHeight="1" x14ac:dyDescent="0.2">
      <c r="A448" s="9" t="str">
        <f t="shared" si="20"/>
        <v/>
      </c>
      <c r="B448" s="531" t="str">
        <f t="shared" si="21"/>
        <v/>
      </c>
      <c r="C448" s="531"/>
      <c r="D448" s="16" t="str">
        <f>HiddenImpacts!D444</f>
        <v/>
      </c>
      <c r="E448" s="16" t="str">
        <f>HiddenImpacts!F444</f>
        <v/>
      </c>
      <c r="F448" s="16" t="str">
        <f>HiddenImpacts!H444</f>
        <v/>
      </c>
      <c r="G448" s="531" t="str">
        <f>HiddenImpacts!J444</f>
        <v/>
      </c>
      <c r="H448" s="531"/>
      <c r="I448" s="531" t="str">
        <f>HiddenImpacts!L444</f>
        <v/>
      </c>
      <c r="J448" s="531"/>
      <c r="K448" s="29" t="str">
        <f>HiddenImpacts!N444</f>
        <v/>
      </c>
    </row>
    <row r="449" spans="1:11" ht="30" customHeight="1" x14ac:dyDescent="0.2">
      <c r="A449" s="9" t="str">
        <f t="shared" si="20"/>
        <v/>
      </c>
      <c r="B449" s="531" t="str">
        <f t="shared" si="21"/>
        <v/>
      </c>
      <c r="C449" s="531"/>
      <c r="D449" s="16" t="str">
        <f>HiddenImpacts!D445</f>
        <v/>
      </c>
      <c r="E449" s="16" t="str">
        <f>HiddenImpacts!F445</f>
        <v/>
      </c>
      <c r="F449" s="16" t="str">
        <f>HiddenImpacts!H445</f>
        <v/>
      </c>
      <c r="G449" s="531" t="str">
        <f>HiddenImpacts!J445</f>
        <v/>
      </c>
      <c r="H449" s="531"/>
      <c r="I449" s="531" t="str">
        <f>HiddenImpacts!L445</f>
        <v/>
      </c>
      <c r="J449" s="531"/>
      <c r="K449" s="29" t="str">
        <f>HiddenImpacts!N445</f>
        <v/>
      </c>
    </row>
    <row r="450" spans="1:11" ht="30" customHeight="1" x14ac:dyDescent="0.2">
      <c r="A450" s="9" t="str">
        <f t="shared" si="20"/>
        <v/>
      </c>
      <c r="B450" s="531" t="str">
        <f t="shared" si="21"/>
        <v/>
      </c>
      <c r="C450" s="531"/>
      <c r="D450" s="16" t="str">
        <f>HiddenImpacts!D446</f>
        <v/>
      </c>
      <c r="E450" s="16" t="str">
        <f>HiddenImpacts!F446</f>
        <v/>
      </c>
      <c r="F450" s="16" t="str">
        <f>HiddenImpacts!H446</f>
        <v/>
      </c>
      <c r="G450" s="531" t="str">
        <f>HiddenImpacts!J446</f>
        <v/>
      </c>
      <c r="H450" s="531"/>
      <c r="I450" s="531" t="str">
        <f>HiddenImpacts!L446</f>
        <v/>
      </c>
      <c r="J450" s="531"/>
      <c r="K450" s="29" t="str">
        <f>HiddenImpacts!N446</f>
        <v/>
      </c>
    </row>
    <row r="451" spans="1:11" ht="30" customHeight="1" x14ac:dyDescent="0.2">
      <c r="A451" s="9" t="str">
        <f t="shared" si="20"/>
        <v/>
      </c>
      <c r="B451" s="531" t="str">
        <f t="shared" si="21"/>
        <v/>
      </c>
      <c r="C451" s="531"/>
      <c r="D451" s="16" t="str">
        <f>HiddenImpacts!D447</f>
        <v/>
      </c>
      <c r="E451" s="16" t="str">
        <f>HiddenImpacts!F447</f>
        <v/>
      </c>
      <c r="F451" s="16" t="str">
        <f>HiddenImpacts!H447</f>
        <v/>
      </c>
      <c r="G451" s="531" t="str">
        <f>HiddenImpacts!J447</f>
        <v/>
      </c>
      <c r="H451" s="531"/>
      <c r="I451" s="531" t="str">
        <f>HiddenImpacts!L447</f>
        <v/>
      </c>
      <c r="J451" s="531"/>
      <c r="K451" s="29" t="str">
        <f>HiddenImpacts!N447</f>
        <v/>
      </c>
    </row>
    <row r="452" spans="1:11" ht="14.25" customHeight="1" thickBot="1" x14ac:dyDescent="0.25">
      <c r="A452" s="683" t="s">
        <v>10053</v>
      </c>
      <c r="B452" s="684"/>
      <c r="C452" s="684"/>
      <c r="D452" s="684"/>
      <c r="E452" s="684"/>
      <c r="F452" s="684"/>
      <c r="G452" s="684"/>
      <c r="H452" s="684"/>
      <c r="I452" s="684"/>
      <c r="J452" s="684"/>
      <c r="K452" s="866"/>
    </row>
    <row r="453" spans="1:11" x14ac:dyDescent="0.2">
      <c r="A453" s="997" t="s">
        <v>130</v>
      </c>
      <c r="B453" s="997"/>
      <c r="C453" s="997"/>
      <c r="D453" s="997"/>
      <c r="E453" s="997"/>
      <c r="F453" s="997"/>
      <c r="G453" s="997"/>
      <c r="H453" s="997"/>
      <c r="I453" s="997"/>
      <c r="J453" s="997"/>
      <c r="K453" s="997"/>
    </row>
  </sheetData>
  <sheetProtection algorithmName="SHA-512" hashValue="3CbDjnJf4cSLkWYvuUQbaDb+nWd88QuGiDrged9ehNMvKBc1pHYLIPPALUGz4vsSFTkAY66AW8bITu/gEiTjLg==" saltValue="H1QhxUCN+7+V0OV6daR3BA==" spinCount="100000" sheet="1" objects="1" scenarios="1" formatColumns="0" formatRows="0"/>
  <mergeCells count="1039">
    <mergeCell ref="A47:D47"/>
    <mergeCell ref="A36:F36"/>
    <mergeCell ref="A37:F37"/>
    <mergeCell ref="A38:F38"/>
    <mergeCell ref="A39:F39"/>
    <mergeCell ref="A34:F34"/>
    <mergeCell ref="A35:F35"/>
    <mergeCell ref="A24:F24"/>
    <mergeCell ref="A25:F25"/>
    <mergeCell ref="A26:F26"/>
    <mergeCell ref="A27:F27"/>
    <mergeCell ref="A23:F23"/>
    <mergeCell ref="A14:D14"/>
    <mergeCell ref="A7:K7"/>
    <mergeCell ref="A8:K8"/>
    <mergeCell ref="A9:K9"/>
    <mergeCell ref="A10:K10"/>
    <mergeCell ref="A11:K11"/>
    <mergeCell ref="A12:K12"/>
    <mergeCell ref="A13:K13"/>
    <mergeCell ref="A44:K44"/>
    <mergeCell ref="A45:K45"/>
    <mergeCell ref="A46:K46"/>
    <mergeCell ref="A40:F40"/>
    <mergeCell ref="A41:F41"/>
    <mergeCell ref="A42:F42"/>
    <mergeCell ref="A43:F43"/>
    <mergeCell ref="A15:K15"/>
    <mergeCell ref="A64:D64"/>
    <mergeCell ref="A65:D65"/>
    <mergeCell ref="A62:D62"/>
    <mergeCell ref="A63:D63"/>
    <mergeCell ref="A60:D60"/>
    <mergeCell ref="A61:D61"/>
    <mergeCell ref="A58:D58"/>
    <mergeCell ref="A59:D59"/>
    <mergeCell ref="A56:D56"/>
    <mergeCell ref="A57:D57"/>
    <mergeCell ref="A54:D54"/>
    <mergeCell ref="A55:D55"/>
    <mergeCell ref="A52:D52"/>
    <mergeCell ref="A53:D53"/>
    <mergeCell ref="A50:D50"/>
    <mergeCell ref="A51:D51"/>
    <mergeCell ref="A48:D48"/>
    <mergeCell ref="A49:D49"/>
    <mergeCell ref="A82:D82"/>
    <mergeCell ref="A83:D83"/>
    <mergeCell ref="A80:D80"/>
    <mergeCell ref="A81:D81"/>
    <mergeCell ref="A78:D78"/>
    <mergeCell ref="A79:D79"/>
    <mergeCell ref="A76:D76"/>
    <mergeCell ref="A77:D77"/>
    <mergeCell ref="A74:D74"/>
    <mergeCell ref="A75:D75"/>
    <mergeCell ref="A72:D72"/>
    <mergeCell ref="A73:D73"/>
    <mergeCell ref="A70:D70"/>
    <mergeCell ref="A71:D71"/>
    <mergeCell ref="A68:D68"/>
    <mergeCell ref="A69:D69"/>
    <mergeCell ref="A66:D66"/>
    <mergeCell ref="A67:D67"/>
    <mergeCell ref="B123:E123"/>
    <mergeCell ref="B124:E124"/>
    <mergeCell ref="B125:E125"/>
    <mergeCell ref="B126:E126"/>
    <mergeCell ref="B127:E127"/>
    <mergeCell ref="B128:E128"/>
    <mergeCell ref="B117:E117"/>
    <mergeCell ref="B118:E118"/>
    <mergeCell ref="B119:E119"/>
    <mergeCell ref="B120:E120"/>
    <mergeCell ref="B121:E121"/>
    <mergeCell ref="B122:E122"/>
    <mergeCell ref="B114:E114"/>
    <mergeCell ref="B115:E115"/>
    <mergeCell ref="B116:E116"/>
    <mergeCell ref="A111:K111"/>
    <mergeCell ref="A112:K112"/>
    <mergeCell ref="A113:K113"/>
    <mergeCell ref="F114:G114"/>
    <mergeCell ref="F115:G115"/>
    <mergeCell ref="F116:G116"/>
    <mergeCell ref="F117:G117"/>
    <mergeCell ref="F118:G118"/>
    <mergeCell ref="F119:G119"/>
    <mergeCell ref="F120:G120"/>
    <mergeCell ref="H128:I128"/>
    <mergeCell ref="J123:K123"/>
    <mergeCell ref="J124:K124"/>
    <mergeCell ref="J125:K125"/>
    <mergeCell ref="J126:K126"/>
    <mergeCell ref="J127:K127"/>
    <mergeCell ref="J128:K128"/>
    <mergeCell ref="B141:E141"/>
    <mergeCell ref="B142:E142"/>
    <mergeCell ref="B143:E143"/>
    <mergeCell ref="B144:E144"/>
    <mergeCell ref="B145:E145"/>
    <mergeCell ref="B146:E146"/>
    <mergeCell ref="B135:E135"/>
    <mergeCell ref="B136:E136"/>
    <mergeCell ref="B137:E137"/>
    <mergeCell ref="B138:E138"/>
    <mergeCell ref="B139:E139"/>
    <mergeCell ref="B140:E140"/>
    <mergeCell ref="B129:E129"/>
    <mergeCell ref="B130:E130"/>
    <mergeCell ref="B131:E131"/>
    <mergeCell ref="B132:E132"/>
    <mergeCell ref="B133:E133"/>
    <mergeCell ref="B134:E134"/>
    <mergeCell ref="B159:E159"/>
    <mergeCell ref="B160:E160"/>
    <mergeCell ref="B161:E161"/>
    <mergeCell ref="B162:E162"/>
    <mergeCell ref="B163:E163"/>
    <mergeCell ref="B164:E164"/>
    <mergeCell ref="B153:E153"/>
    <mergeCell ref="B154:E154"/>
    <mergeCell ref="B155:E155"/>
    <mergeCell ref="B156:E156"/>
    <mergeCell ref="B157:E157"/>
    <mergeCell ref="B158:E158"/>
    <mergeCell ref="B147:E147"/>
    <mergeCell ref="B148:E148"/>
    <mergeCell ref="B149:E149"/>
    <mergeCell ref="B150:E150"/>
    <mergeCell ref="B151:E151"/>
    <mergeCell ref="B152:E152"/>
    <mergeCell ref="B177:E177"/>
    <mergeCell ref="B178:E178"/>
    <mergeCell ref="B179:E179"/>
    <mergeCell ref="B180:E180"/>
    <mergeCell ref="B181:E181"/>
    <mergeCell ref="B182:E182"/>
    <mergeCell ref="B171:E171"/>
    <mergeCell ref="B172:E172"/>
    <mergeCell ref="B173:E173"/>
    <mergeCell ref="B174:E174"/>
    <mergeCell ref="B175:E175"/>
    <mergeCell ref="B176:E176"/>
    <mergeCell ref="B165:E165"/>
    <mergeCell ref="B166:E166"/>
    <mergeCell ref="B167:E167"/>
    <mergeCell ref="B168:E168"/>
    <mergeCell ref="B169:E169"/>
    <mergeCell ref="B170:E170"/>
    <mergeCell ref="B195:E195"/>
    <mergeCell ref="B196:E196"/>
    <mergeCell ref="B197:E197"/>
    <mergeCell ref="B198:E198"/>
    <mergeCell ref="B199:E199"/>
    <mergeCell ref="B200:E200"/>
    <mergeCell ref="B189:E189"/>
    <mergeCell ref="B190:E190"/>
    <mergeCell ref="B191:E191"/>
    <mergeCell ref="B192:E192"/>
    <mergeCell ref="B193:E193"/>
    <mergeCell ref="B194:E194"/>
    <mergeCell ref="B183:E183"/>
    <mergeCell ref="B184:E184"/>
    <mergeCell ref="B185:E185"/>
    <mergeCell ref="B186:E186"/>
    <mergeCell ref="B187:E187"/>
    <mergeCell ref="B188:E188"/>
    <mergeCell ref="B213:E213"/>
    <mergeCell ref="B214:E214"/>
    <mergeCell ref="B215:E215"/>
    <mergeCell ref="B216:E216"/>
    <mergeCell ref="B217:E217"/>
    <mergeCell ref="B218:E218"/>
    <mergeCell ref="B207:E207"/>
    <mergeCell ref="B208:E208"/>
    <mergeCell ref="B209:E209"/>
    <mergeCell ref="B210:E210"/>
    <mergeCell ref="B211:E211"/>
    <mergeCell ref="B212:E212"/>
    <mergeCell ref="B201:E201"/>
    <mergeCell ref="B202:E202"/>
    <mergeCell ref="B203:E203"/>
    <mergeCell ref="B204:E204"/>
    <mergeCell ref="B205:E205"/>
    <mergeCell ref="B206:E206"/>
    <mergeCell ref="B238:C238"/>
    <mergeCell ref="B239:C239"/>
    <mergeCell ref="B240:C240"/>
    <mergeCell ref="B235:C235"/>
    <mergeCell ref="B236:C236"/>
    <mergeCell ref="B237:C237"/>
    <mergeCell ref="B232:C232"/>
    <mergeCell ref="B233:C233"/>
    <mergeCell ref="B234:C234"/>
    <mergeCell ref="B229:C229"/>
    <mergeCell ref="B230:C230"/>
    <mergeCell ref="B231:C231"/>
    <mergeCell ref="B227:C227"/>
    <mergeCell ref="B228:C228"/>
    <mergeCell ref="A225:K225"/>
    <mergeCell ref="A226:K226"/>
    <mergeCell ref="B219:E219"/>
    <mergeCell ref="B220:E220"/>
    <mergeCell ref="B221:E221"/>
    <mergeCell ref="B222:E222"/>
    <mergeCell ref="B223:E223"/>
    <mergeCell ref="B224:E224"/>
    <mergeCell ref="H224:I224"/>
    <mergeCell ref="B256:C256"/>
    <mergeCell ref="B257:C257"/>
    <mergeCell ref="B258:C258"/>
    <mergeCell ref="B253:C253"/>
    <mergeCell ref="B254:C254"/>
    <mergeCell ref="B255:C255"/>
    <mergeCell ref="B250:C250"/>
    <mergeCell ref="B251:C251"/>
    <mergeCell ref="B252:C252"/>
    <mergeCell ref="B247:C247"/>
    <mergeCell ref="B248:C248"/>
    <mergeCell ref="B249:C249"/>
    <mergeCell ref="B244:C244"/>
    <mergeCell ref="B245:C245"/>
    <mergeCell ref="B246:C246"/>
    <mergeCell ref="B241:C241"/>
    <mergeCell ref="B242:C242"/>
    <mergeCell ref="B243:C243"/>
    <mergeCell ref="B274:C274"/>
    <mergeCell ref="B275:C275"/>
    <mergeCell ref="B276:C276"/>
    <mergeCell ref="B271:C271"/>
    <mergeCell ref="B272:C272"/>
    <mergeCell ref="B273:C273"/>
    <mergeCell ref="B268:C268"/>
    <mergeCell ref="B269:C269"/>
    <mergeCell ref="B270:C270"/>
    <mergeCell ref="B265:C265"/>
    <mergeCell ref="B266:C266"/>
    <mergeCell ref="B267:C267"/>
    <mergeCell ref="B262:C262"/>
    <mergeCell ref="B263:C263"/>
    <mergeCell ref="B264:C264"/>
    <mergeCell ref="B259:C259"/>
    <mergeCell ref="B260:C260"/>
    <mergeCell ref="B261:C261"/>
    <mergeCell ref="B292:C292"/>
    <mergeCell ref="B293:C293"/>
    <mergeCell ref="B294:C294"/>
    <mergeCell ref="B289:C289"/>
    <mergeCell ref="B290:C290"/>
    <mergeCell ref="B291:C291"/>
    <mergeCell ref="B286:C286"/>
    <mergeCell ref="B287:C287"/>
    <mergeCell ref="B288:C288"/>
    <mergeCell ref="B283:C283"/>
    <mergeCell ref="B284:C284"/>
    <mergeCell ref="B285:C285"/>
    <mergeCell ref="B280:C280"/>
    <mergeCell ref="B281:C281"/>
    <mergeCell ref="B282:C282"/>
    <mergeCell ref="B277:C277"/>
    <mergeCell ref="B278:C278"/>
    <mergeCell ref="B279:C279"/>
    <mergeCell ref="B310:C310"/>
    <mergeCell ref="B311:C311"/>
    <mergeCell ref="B312:C312"/>
    <mergeCell ref="B307:C307"/>
    <mergeCell ref="B308:C308"/>
    <mergeCell ref="B309:C309"/>
    <mergeCell ref="B304:C304"/>
    <mergeCell ref="B305:C305"/>
    <mergeCell ref="B306:C306"/>
    <mergeCell ref="B301:C301"/>
    <mergeCell ref="B302:C302"/>
    <mergeCell ref="B303:C303"/>
    <mergeCell ref="B298:C298"/>
    <mergeCell ref="B299:C299"/>
    <mergeCell ref="B300:C300"/>
    <mergeCell ref="B295:C295"/>
    <mergeCell ref="B296:C296"/>
    <mergeCell ref="B297:C297"/>
    <mergeCell ref="B328:C328"/>
    <mergeCell ref="B329:C329"/>
    <mergeCell ref="B330:C330"/>
    <mergeCell ref="B325:C325"/>
    <mergeCell ref="B326:C326"/>
    <mergeCell ref="B327:C327"/>
    <mergeCell ref="B322:C322"/>
    <mergeCell ref="B323:C323"/>
    <mergeCell ref="B324:C324"/>
    <mergeCell ref="B319:C319"/>
    <mergeCell ref="B320:C320"/>
    <mergeCell ref="B321:C321"/>
    <mergeCell ref="B316:C316"/>
    <mergeCell ref="B317:C317"/>
    <mergeCell ref="B318:C318"/>
    <mergeCell ref="B313:C313"/>
    <mergeCell ref="B314:C314"/>
    <mergeCell ref="B315:C315"/>
    <mergeCell ref="I347:J347"/>
    <mergeCell ref="I348:J348"/>
    <mergeCell ref="B347:C347"/>
    <mergeCell ref="B346:C346"/>
    <mergeCell ref="I346:J346"/>
    <mergeCell ref="B345:C345"/>
    <mergeCell ref="B344:C344"/>
    <mergeCell ref="B343:C343"/>
    <mergeCell ref="B342:C342"/>
    <mergeCell ref="G341:H341"/>
    <mergeCell ref="B337:C337"/>
    <mergeCell ref="B341:C341"/>
    <mergeCell ref="B334:C334"/>
    <mergeCell ref="B335:C335"/>
    <mergeCell ref="B336:C336"/>
    <mergeCell ref="B331:C331"/>
    <mergeCell ref="B332:C332"/>
    <mergeCell ref="B333:C333"/>
    <mergeCell ref="G342:H342"/>
    <mergeCell ref="G343:H343"/>
    <mergeCell ref="G344:H344"/>
    <mergeCell ref="G345:H345"/>
    <mergeCell ref="G346:H346"/>
    <mergeCell ref="G347:H347"/>
    <mergeCell ref="A338:K338"/>
    <mergeCell ref="A339:K339"/>
    <mergeCell ref="A340:K340"/>
    <mergeCell ref="B356:C356"/>
    <mergeCell ref="I355:J355"/>
    <mergeCell ref="I356:J356"/>
    <mergeCell ref="B355:C355"/>
    <mergeCell ref="B354:C354"/>
    <mergeCell ref="I353:J353"/>
    <mergeCell ref="I354:J354"/>
    <mergeCell ref="B353:C353"/>
    <mergeCell ref="B352:C352"/>
    <mergeCell ref="I351:J351"/>
    <mergeCell ref="I352:J352"/>
    <mergeCell ref="B351:C351"/>
    <mergeCell ref="B350:C350"/>
    <mergeCell ref="I349:J349"/>
    <mergeCell ref="I350:J350"/>
    <mergeCell ref="B349:C349"/>
    <mergeCell ref="B348:C348"/>
    <mergeCell ref="G348:H348"/>
    <mergeCell ref="G349:H349"/>
    <mergeCell ref="G350:H350"/>
    <mergeCell ref="G351:H351"/>
    <mergeCell ref="G352:H352"/>
    <mergeCell ref="G353:H353"/>
    <mergeCell ref="I365:J365"/>
    <mergeCell ref="I366:J366"/>
    <mergeCell ref="B365:C365"/>
    <mergeCell ref="B364:C364"/>
    <mergeCell ref="I363:J363"/>
    <mergeCell ref="I364:J364"/>
    <mergeCell ref="B363:C363"/>
    <mergeCell ref="B362:C362"/>
    <mergeCell ref="I361:J361"/>
    <mergeCell ref="I362:J362"/>
    <mergeCell ref="B361:C361"/>
    <mergeCell ref="B360:C360"/>
    <mergeCell ref="I359:J359"/>
    <mergeCell ref="I360:J360"/>
    <mergeCell ref="B359:C359"/>
    <mergeCell ref="B358:C358"/>
    <mergeCell ref="I357:J357"/>
    <mergeCell ref="I358:J358"/>
    <mergeCell ref="B357:C357"/>
    <mergeCell ref="G357:H357"/>
    <mergeCell ref="G358:H358"/>
    <mergeCell ref="G359:H359"/>
    <mergeCell ref="B374:C374"/>
    <mergeCell ref="I373:J373"/>
    <mergeCell ref="I374:J374"/>
    <mergeCell ref="B373:C373"/>
    <mergeCell ref="B372:C372"/>
    <mergeCell ref="I371:J371"/>
    <mergeCell ref="I372:J372"/>
    <mergeCell ref="B371:C371"/>
    <mergeCell ref="B370:C370"/>
    <mergeCell ref="I369:J369"/>
    <mergeCell ref="I370:J370"/>
    <mergeCell ref="B369:C369"/>
    <mergeCell ref="B368:C368"/>
    <mergeCell ref="I367:J367"/>
    <mergeCell ref="I368:J368"/>
    <mergeCell ref="B367:C367"/>
    <mergeCell ref="B366:C366"/>
    <mergeCell ref="G372:H372"/>
    <mergeCell ref="G373:H373"/>
    <mergeCell ref="G374:H374"/>
    <mergeCell ref="G366:H366"/>
    <mergeCell ref="G367:H367"/>
    <mergeCell ref="G368:H368"/>
    <mergeCell ref="G369:H369"/>
    <mergeCell ref="G370:H370"/>
    <mergeCell ref="G371:H371"/>
    <mergeCell ref="I383:J383"/>
    <mergeCell ref="I384:J384"/>
    <mergeCell ref="B383:C383"/>
    <mergeCell ref="B382:C382"/>
    <mergeCell ref="I381:J381"/>
    <mergeCell ref="I382:J382"/>
    <mergeCell ref="B381:C381"/>
    <mergeCell ref="B380:C380"/>
    <mergeCell ref="I379:J379"/>
    <mergeCell ref="I380:J380"/>
    <mergeCell ref="B379:C379"/>
    <mergeCell ref="B378:C378"/>
    <mergeCell ref="I377:J377"/>
    <mergeCell ref="I378:J378"/>
    <mergeCell ref="B377:C377"/>
    <mergeCell ref="B376:C376"/>
    <mergeCell ref="I375:J375"/>
    <mergeCell ref="I376:J376"/>
    <mergeCell ref="B375:C375"/>
    <mergeCell ref="G378:H378"/>
    <mergeCell ref="G379:H379"/>
    <mergeCell ref="G380:H380"/>
    <mergeCell ref="G381:H381"/>
    <mergeCell ref="G382:H382"/>
    <mergeCell ref="G383:H383"/>
    <mergeCell ref="G375:H375"/>
    <mergeCell ref="G376:H376"/>
    <mergeCell ref="G377:H377"/>
    <mergeCell ref="B392:C392"/>
    <mergeCell ref="I391:J391"/>
    <mergeCell ref="I392:J392"/>
    <mergeCell ref="B391:C391"/>
    <mergeCell ref="B390:C390"/>
    <mergeCell ref="I389:J389"/>
    <mergeCell ref="I390:J390"/>
    <mergeCell ref="B389:C389"/>
    <mergeCell ref="B388:C388"/>
    <mergeCell ref="I387:J387"/>
    <mergeCell ref="I388:J388"/>
    <mergeCell ref="B387:C387"/>
    <mergeCell ref="B386:C386"/>
    <mergeCell ref="I385:J385"/>
    <mergeCell ref="I386:J386"/>
    <mergeCell ref="B385:C385"/>
    <mergeCell ref="B384:C384"/>
    <mergeCell ref="G390:H390"/>
    <mergeCell ref="G391:H391"/>
    <mergeCell ref="G392:H392"/>
    <mergeCell ref="G384:H384"/>
    <mergeCell ref="G385:H385"/>
    <mergeCell ref="G386:H386"/>
    <mergeCell ref="G387:H387"/>
    <mergeCell ref="G388:H388"/>
    <mergeCell ref="G389:H389"/>
    <mergeCell ref="I401:J401"/>
    <mergeCell ref="I402:J402"/>
    <mergeCell ref="B401:C401"/>
    <mergeCell ref="B400:C400"/>
    <mergeCell ref="I399:J399"/>
    <mergeCell ref="I400:J400"/>
    <mergeCell ref="B399:C399"/>
    <mergeCell ref="B398:C398"/>
    <mergeCell ref="I397:J397"/>
    <mergeCell ref="I398:J398"/>
    <mergeCell ref="B397:C397"/>
    <mergeCell ref="B396:C396"/>
    <mergeCell ref="I395:J395"/>
    <mergeCell ref="I396:J396"/>
    <mergeCell ref="B395:C395"/>
    <mergeCell ref="B394:C394"/>
    <mergeCell ref="I393:J393"/>
    <mergeCell ref="I394:J394"/>
    <mergeCell ref="B393:C393"/>
    <mergeCell ref="G396:H396"/>
    <mergeCell ref="G397:H397"/>
    <mergeCell ref="G398:H398"/>
    <mergeCell ref="G399:H399"/>
    <mergeCell ref="G400:H400"/>
    <mergeCell ref="G401:H401"/>
    <mergeCell ref="G393:H393"/>
    <mergeCell ref="G394:H394"/>
    <mergeCell ref="G395:H395"/>
    <mergeCell ref="B410:C410"/>
    <mergeCell ref="I409:J409"/>
    <mergeCell ref="I410:J410"/>
    <mergeCell ref="B409:C409"/>
    <mergeCell ref="B408:C408"/>
    <mergeCell ref="I407:J407"/>
    <mergeCell ref="I408:J408"/>
    <mergeCell ref="B407:C407"/>
    <mergeCell ref="B406:C406"/>
    <mergeCell ref="I405:J405"/>
    <mergeCell ref="I406:J406"/>
    <mergeCell ref="B405:C405"/>
    <mergeCell ref="B404:C404"/>
    <mergeCell ref="I403:J403"/>
    <mergeCell ref="I404:J404"/>
    <mergeCell ref="B403:C403"/>
    <mergeCell ref="B402:C402"/>
    <mergeCell ref="G408:H408"/>
    <mergeCell ref="G409:H409"/>
    <mergeCell ref="G410:H410"/>
    <mergeCell ref="G402:H402"/>
    <mergeCell ref="G403:H403"/>
    <mergeCell ref="G404:H404"/>
    <mergeCell ref="G405:H405"/>
    <mergeCell ref="G406:H406"/>
    <mergeCell ref="G407:H407"/>
    <mergeCell ref="I419:J419"/>
    <mergeCell ref="I420:J420"/>
    <mergeCell ref="B419:C419"/>
    <mergeCell ref="B418:C418"/>
    <mergeCell ref="I417:J417"/>
    <mergeCell ref="I418:J418"/>
    <mergeCell ref="B417:C417"/>
    <mergeCell ref="B416:C416"/>
    <mergeCell ref="I415:J415"/>
    <mergeCell ref="I416:J416"/>
    <mergeCell ref="B415:C415"/>
    <mergeCell ref="B414:C414"/>
    <mergeCell ref="I413:J413"/>
    <mergeCell ref="I414:J414"/>
    <mergeCell ref="B413:C413"/>
    <mergeCell ref="B412:C412"/>
    <mergeCell ref="I411:J411"/>
    <mergeCell ref="I412:J412"/>
    <mergeCell ref="B411:C411"/>
    <mergeCell ref="G414:H414"/>
    <mergeCell ref="G415:H415"/>
    <mergeCell ref="G416:H416"/>
    <mergeCell ref="G417:H417"/>
    <mergeCell ref="G418:H418"/>
    <mergeCell ref="G419:H419"/>
    <mergeCell ref="G411:H411"/>
    <mergeCell ref="G412:H412"/>
    <mergeCell ref="G413:H413"/>
    <mergeCell ref="B428:C428"/>
    <mergeCell ref="I427:J427"/>
    <mergeCell ref="I428:J428"/>
    <mergeCell ref="B427:C427"/>
    <mergeCell ref="B426:C426"/>
    <mergeCell ref="I425:J425"/>
    <mergeCell ref="I426:J426"/>
    <mergeCell ref="B425:C425"/>
    <mergeCell ref="B424:C424"/>
    <mergeCell ref="I423:J423"/>
    <mergeCell ref="I424:J424"/>
    <mergeCell ref="B423:C423"/>
    <mergeCell ref="B422:C422"/>
    <mergeCell ref="I421:J421"/>
    <mergeCell ref="I422:J422"/>
    <mergeCell ref="B421:C421"/>
    <mergeCell ref="B420:C420"/>
    <mergeCell ref="G425:H425"/>
    <mergeCell ref="I437:J437"/>
    <mergeCell ref="I438:J438"/>
    <mergeCell ref="B437:C437"/>
    <mergeCell ref="B436:C436"/>
    <mergeCell ref="I435:J435"/>
    <mergeCell ref="I436:J436"/>
    <mergeCell ref="B435:C435"/>
    <mergeCell ref="B434:C434"/>
    <mergeCell ref="I433:J433"/>
    <mergeCell ref="I434:J434"/>
    <mergeCell ref="B433:C433"/>
    <mergeCell ref="B432:C432"/>
    <mergeCell ref="I431:J431"/>
    <mergeCell ref="I432:J432"/>
    <mergeCell ref="B431:C431"/>
    <mergeCell ref="B430:C430"/>
    <mergeCell ref="I429:J429"/>
    <mergeCell ref="I430:J430"/>
    <mergeCell ref="B429:C429"/>
    <mergeCell ref="B446:C446"/>
    <mergeCell ref="I445:J445"/>
    <mergeCell ref="I446:J446"/>
    <mergeCell ref="B445:C445"/>
    <mergeCell ref="B444:C444"/>
    <mergeCell ref="I443:J443"/>
    <mergeCell ref="I444:J444"/>
    <mergeCell ref="B443:C443"/>
    <mergeCell ref="B442:C442"/>
    <mergeCell ref="I441:J441"/>
    <mergeCell ref="I442:J442"/>
    <mergeCell ref="B441:C441"/>
    <mergeCell ref="B440:C440"/>
    <mergeCell ref="I439:J439"/>
    <mergeCell ref="I440:J440"/>
    <mergeCell ref="B439:C439"/>
    <mergeCell ref="B438:C438"/>
    <mergeCell ref="A1:K1"/>
    <mergeCell ref="A2:K2"/>
    <mergeCell ref="A3:K3"/>
    <mergeCell ref="A4:K4"/>
    <mergeCell ref="A5:K5"/>
    <mergeCell ref="A6:K6"/>
    <mergeCell ref="A28:F28"/>
    <mergeCell ref="A29:F29"/>
    <mergeCell ref="A30:F30"/>
    <mergeCell ref="A31:F31"/>
    <mergeCell ref="A32:F32"/>
    <mergeCell ref="A33:F33"/>
    <mergeCell ref="A16:K16"/>
    <mergeCell ref="A17:K17"/>
    <mergeCell ref="A18:F18"/>
    <mergeCell ref="A19:F19"/>
    <mergeCell ref="A20:F20"/>
    <mergeCell ref="A21:F21"/>
    <mergeCell ref="A22:F22"/>
    <mergeCell ref="E59:H59"/>
    <mergeCell ref="E60:H60"/>
    <mergeCell ref="E61:H61"/>
    <mergeCell ref="E62:H62"/>
    <mergeCell ref="E63:H63"/>
    <mergeCell ref="E64:H64"/>
    <mergeCell ref="E53:H53"/>
    <mergeCell ref="E54:H54"/>
    <mergeCell ref="E55:H55"/>
    <mergeCell ref="E56:H56"/>
    <mergeCell ref="E57:H57"/>
    <mergeCell ref="E58:H58"/>
    <mergeCell ref="E47:H47"/>
    <mergeCell ref="E48:H48"/>
    <mergeCell ref="E49:H49"/>
    <mergeCell ref="E50:H50"/>
    <mergeCell ref="E51:H51"/>
    <mergeCell ref="E52:H52"/>
    <mergeCell ref="E77:H77"/>
    <mergeCell ref="E78:H78"/>
    <mergeCell ref="E79:H79"/>
    <mergeCell ref="E80:H80"/>
    <mergeCell ref="E81:H81"/>
    <mergeCell ref="E82:H82"/>
    <mergeCell ref="E71:H71"/>
    <mergeCell ref="E72:H72"/>
    <mergeCell ref="E73:H73"/>
    <mergeCell ref="E74:H74"/>
    <mergeCell ref="E75:H75"/>
    <mergeCell ref="E76:H76"/>
    <mergeCell ref="E65:H65"/>
    <mergeCell ref="E66:H66"/>
    <mergeCell ref="E67:H67"/>
    <mergeCell ref="E68:H68"/>
    <mergeCell ref="E69:H69"/>
    <mergeCell ref="E70:H70"/>
    <mergeCell ref="E89:H89"/>
    <mergeCell ref="E90:H90"/>
    <mergeCell ref="E91:H91"/>
    <mergeCell ref="E92:H92"/>
    <mergeCell ref="A93:K93"/>
    <mergeCell ref="A94:K94"/>
    <mergeCell ref="E83:H83"/>
    <mergeCell ref="E84:H84"/>
    <mergeCell ref="E85:H85"/>
    <mergeCell ref="E86:H86"/>
    <mergeCell ref="E87:H87"/>
    <mergeCell ref="E88:H88"/>
    <mergeCell ref="A92:D92"/>
    <mergeCell ref="A90:D90"/>
    <mergeCell ref="A91:D91"/>
    <mergeCell ref="A88:D88"/>
    <mergeCell ref="A89:D89"/>
    <mergeCell ref="A86:D86"/>
    <mergeCell ref="A87:D87"/>
    <mergeCell ref="A84:D84"/>
    <mergeCell ref="A85:D85"/>
    <mergeCell ref="F133:G133"/>
    <mergeCell ref="F134:G134"/>
    <mergeCell ref="F135:G135"/>
    <mergeCell ref="F136:G136"/>
    <mergeCell ref="F137:G137"/>
    <mergeCell ref="F138:G138"/>
    <mergeCell ref="F127:G127"/>
    <mergeCell ref="F128:G128"/>
    <mergeCell ref="F129:G129"/>
    <mergeCell ref="F130:G130"/>
    <mergeCell ref="F131:G131"/>
    <mergeCell ref="F132:G132"/>
    <mergeCell ref="F121:G121"/>
    <mergeCell ref="F122:G122"/>
    <mergeCell ref="F123:G123"/>
    <mergeCell ref="F124:G124"/>
    <mergeCell ref="F125:G125"/>
    <mergeCell ref="F126:G126"/>
    <mergeCell ref="F151:G151"/>
    <mergeCell ref="F152:G152"/>
    <mergeCell ref="F153:G153"/>
    <mergeCell ref="F154:G154"/>
    <mergeCell ref="F155:G155"/>
    <mergeCell ref="F156:G156"/>
    <mergeCell ref="F145:G145"/>
    <mergeCell ref="F146:G146"/>
    <mergeCell ref="F147:G147"/>
    <mergeCell ref="F148:G148"/>
    <mergeCell ref="F149:G149"/>
    <mergeCell ref="F150:G150"/>
    <mergeCell ref="F139:G139"/>
    <mergeCell ref="F140:G140"/>
    <mergeCell ref="F141:G141"/>
    <mergeCell ref="F142:G142"/>
    <mergeCell ref="F143:G143"/>
    <mergeCell ref="F144:G144"/>
    <mergeCell ref="F169:G169"/>
    <mergeCell ref="F170:G170"/>
    <mergeCell ref="F171:G171"/>
    <mergeCell ref="F172:G172"/>
    <mergeCell ref="F173:G173"/>
    <mergeCell ref="F174:G174"/>
    <mergeCell ref="F163:G163"/>
    <mergeCell ref="F164:G164"/>
    <mergeCell ref="F165:G165"/>
    <mergeCell ref="F166:G166"/>
    <mergeCell ref="F167:G167"/>
    <mergeCell ref="F168:G168"/>
    <mergeCell ref="F157:G157"/>
    <mergeCell ref="F158:G158"/>
    <mergeCell ref="F159:G159"/>
    <mergeCell ref="F160:G160"/>
    <mergeCell ref="F161:G161"/>
    <mergeCell ref="F162:G162"/>
    <mergeCell ref="F187:G187"/>
    <mergeCell ref="F188:G188"/>
    <mergeCell ref="F189:G189"/>
    <mergeCell ref="F190:G190"/>
    <mergeCell ref="F191:G191"/>
    <mergeCell ref="F192:G192"/>
    <mergeCell ref="F181:G181"/>
    <mergeCell ref="F182:G182"/>
    <mergeCell ref="F183:G183"/>
    <mergeCell ref="F184:G184"/>
    <mergeCell ref="F185:G185"/>
    <mergeCell ref="F186:G186"/>
    <mergeCell ref="F175:G175"/>
    <mergeCell ref="F176:G176"/>
    <mergeCell ref="F177:G177"/>
    <mergeCell ref="F178:G178"/>
    <mergeCell ref="F179:G179"/>
    <mergeCell ref="F180:G180"/>
    <mergeCell ref="F215:G215"/>
    <mergeCell ref="F216:G216"/>
    <mergeCell ref="F205:G205"/>
    <mergeCell ref="F206:G206"/>
    <mergeCell ref="F207:G207"/>
    <mergeCell ref="F208:G208"/>
    <mergeCell ref="F209:G209"/>
    <mergeCell ref="F210:G210"/>
    <mergeCell ref="F199:G199"/>
    <mergeCell ref="F200:G200"/>
    <mergeCell ref="F201:G201"/>
    <mergeCell ref="F202:G202"/>
    <mergeCell ref="F203:G203"/>
    <mergeCell ref="F204:G204"/>
    <mergeCell ref="F193:G193"/>
    <mergeCell ref="F194:G194"/>
    <mergeCell ref="F195:G195"/>
    <mergeCell ref="F196:G196"/>
    <mergeCell ref="F197:G197"/>
    <mergeCell ref="F198:G198"/>
    <mergeCell ref="H129:I129"/>
    <mergeCell ref="H130:I130"/>
    <mergeCell ref="H131:I131"/>
    <mergeCell ref="H132:I132"/>
    <mergeCell ref="H133:I133"/>
    <mergeCell ref="H122:I122"/>
    <mergeCell ref="H123:I123"/>
    <mergeCell ref="H124:I124"/>
    <mergeCell ref="H125:I125"/>
    <mergeCell ref="H126:I126"/>
    <mergeCell ref="H127:I127"/>
    <mergeCell ref="F223:G223"/>
    <mergeCell ref="F224:G224"/>
    <mergeCell ref="H114:I114"/>
    <mergeCell ref="H115:I115"/>
    <mergeCell ref="H116:I116"/>
    <mergeCell ref="H117:I117"/>
    <mergeCell ref="H118:I118"/>
    <mergeCell ref="H119:I119"/>
    <mergeCell ref="H120:I120"/>
    <mergeCell ref="H121:I121"/>
    <mergeCell ref="F217:G217"/>
    <mergeCell ref="F218:G218"/>
    <mergeCell ref="F219:G219"/>
    <mergeCell ref="F220:G220"/>
    <mergeCell ref="F221:G221"/>
    <mergeCell ref="F222:G222"/>
    <mergeCell ref="F211:G211"/>
    <mergeCell ref="F212:G212"/>
    <mergeCell ref="F213:G213"/>
    <mergeCell ref="F214:G214"/>
    <mergeCell ref="H146:I146"/>
    <mergeCell ref="H147:I147"/>
    <mergeCell ref="H148:I148"/>
    <mergeCell ref="H149:I149"/>
    <mergeCell ref="H150:I150"/>
    <mergeCell ref="H151:I151"/>
    <mergeCell ref="H140:I140"/>
    <mergeCell ref="H141:I141"/>
    <mergeCell ref="H142:I142"/>
    <mergeCell ref="H143:I143"/>
    <mergeCell ref="H144:I144"/>
    <mergeCell ref="H145:I145"/>
    <mergeCell ref="H134:I134"/>
    <mergeCell ref="H135:I135"/>
    <mergeCell ref="H136:I136"/>
    <mergeCell ref="H137:I137"/>
    <mergeCell ref="H138:I138"/>
    <mergeCell ref="H139:I139"/>
    <mergeCell ref="H164:I164"/>
    <mergeCell ref="H165:I165"/>
    <mergeCell ref="H166:I166"/>
    <mergeCell ref="H167:I167"/>
    <mergeCell ref="H168:I168"/>
    <mergeCell ref="H169:I169"/>
    <mergeCell ref="H158:I158"/>
    <mergeCell ref="H159:I159"/>
    <mergeCell ref="H160:I160"/>
    <mergeCell ref="H161:I161"/>
    <mergeCell ref="H162:I162"/>
    <mergeCell ref="H163:I163"/>
    <mergeCell ref="H152:I152"/>
    <mergeCell ref="H153:I153"/>
    <mergeCell ref="H154:I154"/>
    <mergeCell ref="H155:I155"/>
    <mergeCell ref="H156:I156"/>
    <mergeCell ref="H157:I157"/>
    <mergeCell ref="H182:I182"/>
    <mergeCell ref="H183:I183"/>
    <mergeCell ref="H184:I184"/>
    <mergeCell ref="H185:I185"/>
    <mergeCell ref="H186:I186"/>
    <mergeCell ref="H187:I187"/>
    <mergeCell ref="H176:I176"/>
    <mergeCell ref="H177:I177"/>
    <mergeCell ref="H178:I178"/>
    <mergeCell ref="H179:I179"/>
    <mergeCell ref="H180:I180"/>
    <mergeCell ref="H181:I181"/>
    <mergeCell ref="H170:I170"/>
    <mergeCell ref="H171:I171"/>
    <mergeCell ref="H172:I172"/>
    <mergeCell ref="H173:I173"/>
    <mergeCell ref="H174:I174"/>
    <mergeCell ref="H175:I175"/>
    <mergeCell ref="H210:I210"/>
    <mergeCell ref="H211:I211"/>
    <mergeCell ref="H200:I200"/>
    <mergeCell ref="H201:I201"/>
    <mergeCell ref="H202:I202"/>
    <mergeCell ref="H203:I203"/>
    <mergeCell ref="H204:I204"/>
    <mergeCell ref="H205:I205"/>
    <mergeCell ref="H194:I194"/>
    <mergeCell ref="H195:I195"/>
    <mergeCell ref="H196:I196"/>
    <mergeCell ref="H197:I197"/>
    <mergeCell ref="H198:I198"/>
    <mergeCell ref="H199:I199"/>
    <mergeCell ref="H188:I188"/>
    <mergeCell ref="H189:I189"/>
    <mergeCell ref="H190:I190"/>
    <mergeCell ref="H191:I191"/>
    <mergeCell ref="H192:I192"/>
    <mergeCell ref="H193:I193"/>
    <mergeCell ref="J114:K114"/>
    <mergeCell ref="J115:K115"/>
    <mergeCell ref="J116:K116"/>
    <mergeCell ref="J117:K117"/>
    <mergeCell ref="J118:K118"/>
    <mergeCell ref="J119:K119"/>
    <mergeCell ref="J120:K120"/>
    <mergeCell ref="J121:K121"/>
    <mergeCell ref="J122:K122"/>
    <mergeCell ref="H218:I218"/>
    <mergeCell ref="H219:I219"/>
    <mergeCell ref="H220:I220"/>
    <mergeCell ref="H221:I221"/>
    <mergeCell ref="H222:I222"/>
    <mergeCell ref="H223:I223"/>
    <mergeCell ref="H212:I212"/>
    <mergeCell ref="H213:I213"/>
    <mergeCell ref="H214:I214"/>
    <mergeCell ref="H215:I215"/>
    <mergeCell ref="H216:I216"/>
    <mergeCell ref="H217:I217"/>
    <mergeCell ref="H206:I206"/>
    <mergeCell ref="H207:I207"/>
    <mergeCell ref="H208:I208"/>
    <mergeCell ref="H209:I209"/>
    <mergeCell ref="J141:K141"/>
    <mergeCell ref="J142:K142"/>
    <mergeCell ref="J143:K143"/>
    <mergeCell ref="J144:K144"/>
    <mergeCell ref="J145:K145"/>
    <mergeCell ref="J146:K146"/>
    <mergeCell ref="J135:K135"/>
    <mergeCell ref="J136:K136"/>
    <mergeCell ref="J137:K137"/>
    <mergeCell ref="J138:K138"/>
    <mergeCell ref="J139:K139"/>
    <mergeCell ref="J140:K140"/>
    <mergeCell ref="J129:K129"/>
    <mergeCell ref="J130:K130"/>
    <mergeCell ref="J131:K131"/>
    <mergeCell ref="J132:K132"/>
    <mergeCell ref="J133:K133"/>
    <mergeCell ref="J134:K134"/>
    <mergeCell ref="J159:K159"/>
    <mergeCell ref="J160:K160"/>
    <mergeCell ref="J161:K161"/>
    <mergeCell ref="J162:K162"/>
    <mergeCell ref="J163:K163"/>
    <mergeCell ref="J164:K164"/>
    <mergeCell ref="J153:K153"/>
    <mergeCell ref="J154:K154"/>
    <mergeCell ref="J155:K155"/>
    <mergeCell ref="J156:K156"/>
    <mergeCell ref="J157:K157"/>
    <mergeCell ref="J158:K158"/>
    <mergeCell ref="J147:K147"/>
    <mergeCell ref="J148:K148"/>
    <mergeCell ref="J149:K149"/>
    <mergeCell ref="J150:K150"/>
    <mergeCell ref="J151:K151"/>
    <mergeCell ref="J152:K152"/>
    <mergeCell ref="J177:K177"/>
    <mergeCell ref="J178:K178"/>
    <mergeCell ref="J179:K179"/>
    <mergeCell ref="J180:K180"/>
    <mergeCell ref="J181:K181"/>
    <mergeCell ref="J182:K182"/>
    <mergeCell ref="J171:K171"/>
    <mergeCell ref="J172:K172"/>
    <mergeCell ref="J173:K173"/>
    <mergeCell ref="J174:K174"/>
    <mergeCell ref="J175:K175"/>
    <mergeCell ref="J176:K176"/>
    <mergeCell ref="J165:K165"/>
    <mergeCell ref="J166:K166"/>
    <mergeCell ref="J167:K167"/>
    <mergeCell ref="J168:K168"/>
    <mergeCell ref="J169:K169"/>
    <mergeCell ref="J170:K170"/>
    <mergeCell ref="J195:K195"/>
    <mergeCell ref="J196:K196"/>
    <mergeCell ref="J197:K197"/>
    <mergeCell ref="J198:K198"/>
    <mergeCell ref="J199:K199"/>
    <mergeCell ref="J200:K200"/>
    <mergeCell ref="J189:K189"/>
    <mergeCell ref="J190:K190"/>
    <mergeCell ref="J191:K191"/>
    <mergeCell ref="J192:K192"/>
    <mergeCell ref="J193:K193"/>
    <mergeCell ref="J194:K194"/>
    <mergeCell ref="J183:K183"/>
    <mergeCell ref="J184:K184"/>
    <mergeCell ref="J185:K185"/>
    <mergeCell ref="J186:K186"/>
    <mergeCell ref="J187:K187"/>
    <mergeCell ref="J188:K188"/>
    <mergeCell ref="J213:K213"/>
    <mergeCell ref="J214:K214"/>
    <mergeCell ref="J215:K215"/>
    <mergeCell ref="J216:K216"/>
    <mergeCell ref="J217:K217"/>
    <mergeCell ref="J218:K218"/>
    <mergeCell ref="J207:K207"/>
    <mergeCell ref="J208:K208"/>
    <mergeCell ref="J209:K209"/>
    <mergeCell ref="J210:K210"/>
    <mergeCell ref="J211:K211"/>
    <mergeCell ref="J212:K212"/>
    <mergeCell ref="J201:K201"/>
    <mergeCell ref="J202:K202"/>
    <mergeCell ref="J203:K203"/>
    <mergeCell ref="J204:K204"/>
    <mergeCell ref="J205:K205"/>
    <mergeCell ref="J206:K206"/>
    <mergeCell ref="A452:K452"/>
    <mergeCell ref="A453:K453"/>
    <mergeCell ref="I341:J341"/>
    <mergeCell ref="I342:J342"/>
    <mergeCell ref="I343:J343"/>
    <mergeCell ref="I344:J344"/>
    <mergeCell ref="I345:J345"/>
    <mergeCell ref="J219:K219"/>
    <mergeCell ref="J220:K220"/>
    <mergeCell ref="J221:K221"/>
    <mergeCell ref="J222:K222"/>
    <mergeCell ref="J223:K223"/>
    <mergeCell ref="J224:K224"/>
    <mergeCell ref="B451:C451"/>
    <mergeCell ref="I451:J451"/>
    <mergeCell ref="B450:C450"/>
    <mergeCell ref="I449:J449"/>
    <mergeCell ref="I450:J450"/>
    <mergeCell ref="B449:C449"/>
    <mergeCell ref="B448:C448"/>
    <mergeCell ref="I447:J447"/>
    <mergeCell ref="I448:J448"/>
    <mergeCell ref="B447:C447"/>
    <mergeCell ref="G360:H360"/>
    <mergeCell ref="G361:H361"/>
    <mergeCell ref="G362:H362"/>
    <mergeCell ref="G363:H363"/>
    <mergeCell ref="G364:H364"/>
    <mergeCell ref="G365:H365"/>
    <mergeCell ref="G354:H354"/>
    <mergeCell ref="G355:H355"/>
    <mergeCell ref="G356:H356"/>
    <mergeCell ref="G450:H450"/>
    <mergeCell ref="G451:H451"/>
    <mergeCell ref="E14:K14"/>
    <mergeCell ref="G444:H444"/>
    <mergeCell ref="G445:H445"/>
    <mergeCell ref="G446:H446"/>
    <mergeCell ref="G447:H447"/>
    <mergeCell ref="G448:H448"/>
    <mergeCell ref="G449:H449"/>
    <mergeCell ref="G438:H438"/>
    <mergeCell ref="G439:H439"/>
    <mergeCell ref="G440:H440"/>
    <mergeCell ref="G441:H441"/>
    <mergeCell ref="G442:H442"/>
    <mergeCell ref="G443:H443"/>
    <mergeCell ref="G432:H432"/>
    <mergeCell ref="G433:H433"/>
    <mergeCell ref="G434:H434"/>
    <mergeCell ref="G435:H435"/>
    <mergeCell ref="G436:H436"/>
    <mergeCell ref="G437:H437"/>
    <mergeCell ref="G426:H426"/>
    <mergeCell ref="G427:H427"/>
    <mergeCell ref="G428:H428"/>
    <mergeCell ref="G429:H429"/>
    <mergeCell ref="G430:H430"/>
    <mergeCell ref="G431:H431"/>
    <mergeCell ref="G420:H420"/>
    <mergeCell ref="G421:H421"/>
    <mergeCell ref="G422:H422"/>
    <mergeCell ref="G423:H423"/>
    <mergeCell ref="G424:H424"/>
  </mergeCells>
  <conditionalFormatting sqref="A19:K43">
    <cfRule type="expression" dxfId="107" priority="14">
      <formula>$M19</formula>
    </cfRule>
  </conditionalFormatting>
  <conditionalFormatting sqref="A48:K92">
    <cfRule type="expression" dxfId="106" priority="13">
      <formula>$M48</formula>
    </cfRule>
  </conditionalFormatting>
  <conditionalFormatting sqref="A115:K224">
    <cfRule type="expression" dxfId="105" priority="10">
      <formula>$A115=""</formula>
    </cfRule>
  </conditionalFormatting>
  <conditionalFormatting sqref="A228:K337">
    <cfRule type="expression" dxfId="104" priority="9">
      <formula>$A228=""</formula>
    </cfRule>
  </conditionalFormatting>
  <conditionalFormatting sqref="A342:K451">
    <cfRule type="expression" dxfId="103" priority="8">
      <formula>$A342=""</formula>
    </cfRule>
  </conditionalFormatting>
  <conditionalFormatting sqref="E14:K14">
    <cfRule type="notContainsText" dxfId="102" priority="2" operator="notContains" text="Yes">
      <formula>ISERROR(SEARCH("Yes",E14))</formula>
    </cfRule>
  </conditionalFormatting>
  <conditionalFormatting sqref="G342:J451">
    <cfRule type="beginsWith" dxfId="101" priority="4" operator="beginsWith" text="no">
      <formula>LEFT(G342,LEN("no"))="no"</formula>
    </cfRule>
  </conditionalFormatting>
  <conditionalFormatting sqref="I228:J337">
    <cfRule type="beginsWith" dxfId="100" priority="7" operator="beginsWith" text="No">
      <formula>LEFT(I228,LEN("No"))="No"</formula>
    </cfRule>
  </conditionalFormatting>
  <conditionalFormatting sqref="J96:K110">
    <cfRule type="expression" dxfId="98" priority="1">
      <formula>$J96="no"</formula>
    </cfRule>
  </conditionalFormatting>
  <conditionalFormatting sqref="K228:K337">
    <cfRule type="beginsWith" dxfId="97" priority="5" operator="beginsWith" text="proceed">
      <formula>LEFT(K228,LEN("proceed"))="proceed"</formula>
    </cfRule>
    <cfRule type="beginsWith" dxfId="96" priority="6" operator="beginsWith" text="revise">
      <formula>LEFT(K228,LEN("revise"))="revise"</formula>
    </cfRule>
  </conditionalFormatting>
  <conditionalFormatting sqref="K342:K451">
    <cfRule type="beginsWith" dxfId="95" priority="3" operator="beginsWith" text="revise">
      <formula>LEFT(K342,LEN("revise"))="revise"</formula>
    </cfRule>
  </conditionalFormatting>
  <dataValidations count="1">
    <dataValidation type="list" allowBlank="1" showErrorMessage="1" prompt="select yes or no" sqref="D228:E337" xr:uid="{F723C01C-5120-4B09-82CA-301760DE9F25}">
      <formula1>"Yes,No"</formula1>
    </dataValidation>
  </dataValidations>
  <hyperlinks>
    <hyperlink ref="A5:K5" location="Impacts!A13" display="I. Summary" xr:uid="{E0D8C3F8-FFF2-41DE-8CF3-D69D83F10CA3}"/>
    <hyperlink ref="A7:K7" location="Impacts!A45" display="III. Operating Scenarios for 1-hr, 3-hr, 8-hr, and 24-hr Averaging Periods" xr:uid="{7F06469E-256A-4B89-9AF9-18CD763FFE8B}"/>
    <hyperlink ref="A8:K8" location="Impacts!A94" display="IV. Project- and Site-wide Impacts for NAAQS and SPLS Pollutants" xr:uid="{EE3212F2-F490-491C-A099-2AE79F5AE886}"/>
    <hyperlink ref="A9:K9" location="Impacts!A114" display="V. Combined Short- and Long-term Concentrations for Non-criteria Pollutants" xr:uid="{D7CBB99C-C697-41CA-871D-54C9A5AFA6EF}"/>
    <hyperlink ref="A10:K10" location="Impacts!A227" display="VI. Project-wide Impacts Evaluation for Non-Criteria Pollutants" xr:uid="{03F7B650-5B91-40AA-B926-1EC9B84B7578}"/>
    <hyperlink ref="A11:K11" location="Impacts!A341" display="VII. Site-wide Impacts Evaluation for Non-criteria Pollutants" xr:uid="{4CE09980-E91A-40FA-8226-BE5BE85D2469}"/>
    <hyperlink ref="A6:K6" location="Impacts!A16" display="II. Unit Impact Multiplier for Each Source" xr:uid="{120DD3C3-EB73-4C9A-8959-4F694B7828A5}"/>
  </hyperlinks>
  <printOptions horizontalCentered="1"/>
  <pageMargins left="0.25" right="0.25" top="0.75" bottom="0.75" header="0.3" footer="0.3"/>
  <pageSetup scale="51" orientation="landscape" r:id="rId1"/>
  <headerFooter>
    <oddHeader>&amp;C&amp;"Calibri,Regular"Marine Loading RAP Application</oddHeader>
    <oddFooter>&amp;L&amp;"Calibri,Regular"Version 1.0&amp;C&amp;"Calibri,Regular"Sheet: &amp;A&amp;R&amp;"Calibri,Regular"Page &amp;P</oddFooter>
  </headerFooter>
  <cellWatches>
    <cellWatch r="G19"/>
    <cellWatch r="H19"/>
    <cellWatch r="I19"/>
    <cellWatch r="J19"/>
    <cellWatch r="K19"/>
  </cellWatches>
  <extLst>
    <ext xmlns:x14="http://schemas.microsoft.com/office/spreadsheetml/2009/9/main" uri="{78C0D931-6437-407d-A8EE-F0AAD7539E65}">
      <x14:conditionalFormattings>
        <x14:conditionalFormatting xmlns:xm="http://schemas.microsoft.com/office/excel/2006/main">
          <x14:cfRule type="expression" priority="12" id="{076DCC1B-20E9-41FD-B316-00BC0DE7373D}">
            <xm:f>'PI-1-MarineLoading'!$G$128&lt;&gt;"yes"</xm:f>
            <x14:dxf>
              <numFmt numFmtId="164" formatCode=";;;"/>
              <fill>
                <patternFill>
                  <bgColor theme="0" tint="-0.499984740745262"/>
                </patternFill>
              </fill>
            </x14:dxf>
          </x14:cfRule>
          <xm:sqref>J47:J92</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9C362-6EFB-445C-9E27-206E88171BA2}">
  <sheetPr codeName="Sheet2">
    <tabColor rgb="FFF0B8B7"/>
  </sheetPr>
  <dimension ref="A1:C4343"/>
  <sheetViews>
    <sheetView showGridLines="0" zoomScaleNormal="100" workbookViewId="0">
      <selection sqref="A1:B1"/>
    </sheetView>
  </sheetViews>
  <sheetFormatPr defaultColWidth="0" defaultRowHeight="14.25" zeroHeight="1" x14ac:dyDescent="0.2"/>
  <cols>
    <col min="1" max="1" width="30" customWidth="1"/>
    <col min="2" max="2" width="78.75" customWidth="1"/>
    <col min="3" max="3" width="2.625" customWidth="1"/>
    <col min="4" max="16384" width="9" hidden="1"/>
  </cols>
  <sheetData>
    <row r="1" spans="1:2" ht="8.25" customHeight="1" thickBot="1" x14ac:dyDescent="0.25">
      <c r="A1" s="478" t="s">
        <v>341</v>
      </c>
      <c r="B1" s="478"/>
    </row>
    <row r="2" spans="1:2" ht="18.75" thickBot="1" x14ac:dyDescent="0.25">
      <c r="A2" s="525" t="s">
        <v>320</v>
      </c>
      <c r="B2" s="525"/>
    </row>
    <row r="3" spans="1:2" ht="132.75" customHeight="1" thickBot="1" x14ac:dyDescent="0.25">
      <c r="A3" s="523" t="s">
        <v>10902</v>
      </c>
      <c r="B3" s="524"/>
    </row>
    <row r="4" spans="1:2" ht="15" thickBot="1" x14ac:dyDescent="0.25">
      <c r="A4" s="478" t="s">
        <v>1</v>
      </c>
      <c r="B4" s="478"/>
    </row>
    <row r="5" spans="1:2" ht="15.75" thickBot="1" x14ac:dyDescent="0.25">
      <c r="A5" s="377" t="s">
        <v>8751</v>
      </c>
      <c r="B5" s="377" t="s">
        <v>8752</v>
      </c>
    </row>
    <row r="6" spans="1:2" ht="28.5" x14ac:dyDescent="0.2">
      <c r="A6" s="153" t="s">
        <v>358</v>
      </c>
      <c r="B6" s="154" t="s">
        <v>357</v>
      </c>
    </row>
    <row r="7" spans="1:2" ht="28.5" x14ac:dyDescent="0.2">
      <c r="A7" s="153" t="s">
        <v>360</v>
      </c>
      <c r="B7" s="154" t="s">
        <v>359</v>
      </c>
    </row>
    <row r="8" spans="1:2" x14ac:dyDescent="0.2">
      <c r="A8" s="153" t="s">
        <v>362</v>
      </c>
      <c r="B8" s="154" t="s">
        <v>361</v>
      </c>
    </row>
    <row r="9" spans="1:2" x14ac:dyDescent="0.2">
      <c r="A9" s="153" t="s">
        <v>364</v>
      </c>
      <c r="B9" s="154" t="s">
        <v>363</v>
      </c>
    </row>
    <row r="10" spans="1:2" x14ac:dyDescent="0.2">
      <c r="A10" s="153" t="s">
        <v>366</v>
      </c>
      <c r="B10" s="154" t="s">
        <v>365</v>
      </c>
    </row>
    <row r="11" spans="1:2" x14ac:dyDescent="0.2">
      <c r="A11" s="153" t="s">
        <v>368</v>
      </c>
      <c r="B11" s="154" t="s">
        <v>367</v>
      </c>
    </row>
    <row r="12" spans="1:2" x14ac:dyDescent="0.2">
      <c r="A12" s="153" t="s">
        <v>370</v>
      </c>
      <c r="B12" s="154" t="s">
        <v>369</v>
      </c>
    </row>
    <row r="13" spans="1:2" x14ac:dyDescent="0.2">
      <c r="A13" s="153" t="s">
        <v>372</v>
      </c>
      <c r="B13" s="154" t="s">
        <v>371</v>
      </c>
    </row>
    <row r="14" spans="1:2" x14ac:dyDescent="0.2">
      <c r="A14" s="153" t="s">
        <v>374</v>
      </c>
      <c r="B14" s="154" t="s">
        <v>373</v>
      </c>
    </row>
    <row r="15" spans="1:2" x14ac:dyDescent="0.2">
      <c r="A15" s="153" t="s">
        <v>376</v>
      </c>
      <c r="B15" s="154" t="s">
        <v>375</v>
      </c>
    </row>
    <row r="16" spans="1:2" x14ac:dyDescent="0.2">
      <c r="A16" s="153" t="s">
        <v>378</v>
      </c>
      <c r="B16" s="154" t="s">
        <v>377</v>
      </c>
    </row>
    <row r="17" spans="1:2" x14ac:dyDescent="0.2">
      <c r="A17" s="153" t="s">
        <v>380</v>
      </c>
      <c r="B17" s="154" t="s">
        <v>379</v>
      </c>
    </row>
    <row r="18" spans="1:2" x14ac:dyDescent="0.2">
      <c r="A18" s="153" t="s">
        <v>382</v>
      </c>
      <c r="B18" s="154" t="s">
        <v>381</v>
      </c>
    </row>
    <row r="19" spans="1:2" x14ac:dyDescent="0.2">
      <c r="A19" s="153" t="s">
        <v>384</v>
      </c>
      <c r="B19" s="154" t="s">
        <v>383</v>
      </c>
    </row>
    <row r="20" spans="1:2" x14ac:dyDescent="0.2">
      <c r="A20" s="153" t="s">
        <v>386</v>
      </c>
      <c r="B20" s="154" t="s">
        <v>385</v>
      </c>
    </row>
    <row r="21" spans="1:2" x14ac:dyDescent="0.2">
      <c r="A21" s="153" t="s">
        <v>388</v>
      </c>
      <c r="B21" s="154" t="s">
        <v>387</v>
      </c>
    </row>
    <row r="22" spans="1:2" x14ac:dyDescent="0.2">
      <c r="A22" s="153" t="s">
        <v>390</v>
      </c>
      <c r="B22" s="154" t="s">
        <v>389</v>
      </c>
    </row>
    <row r="23" spans="1:2" x14ac:dyDescent="0.2">
      <c r="A23" s="153" t="s">
        <v>392</v>
      </c>
      <c r="B23" s="154" t="s">
        <v>391</v>
      </c>
    </row>
    <row r="24" spans="1:2" x14ac:dyDescent="0.2">
      <c r="A24" s="153" t="s">
        <v>394</v>
      </c>
      <c r="B24" s="154" t="s">
        <v>393</v>
      </c>
    </row>
    <row r="25" spans="1:2" x14ac:dyDescent="0.2">
      <c r="A25" s="153" t="s">
        <v>396</v>
      </c>
      <c r="B25" s="154" t="s">
        <v>395</v>
      </c>
    </row>
    <row r="26" spans="1:2" x14ac:dyDescent="0.2">
      <c r="A26" s="153" t="s">
        <v>398</v>
      </c>
      <c r="B26" s="154" t="s">
        <v>397</v>
      </c>
    </row>
    <row r="27" spans="1:2" x14ac:dyDescent="0.2">
      <c r="A27" s="153" t="s">
        <v>400</v>
      </c>
      <c r="B27" s="154" t="s">
        <v>399</v>
      </c>
    </row>
    <row r="28" spans="1:2" x14ac:dyDescent="0.2">
      <c r="A28" s="153" t="s">
        <v>402</v>
      </c>
      <c r="B28" s="154" t="s">
        <v>401</v>
      </c>
    </row>
    <row r="29" spans="1:2" x14ac:dyDescent="0.2">
      <c r="A29" s="153" t="s">
        <v>404</v>
      </c>
      <c r="B29" s="154" t="s">
        <v>403</v>
      </c>
    </row>
    <row r="30" spans="1:2" x14ac:dyDescent="0.2">
      <c r="A30" s="153" t="s">
        <v>406</v>
      </c>
      <c r="B30" s="154" t="s">
        <v>405</v>
      </c>
    </row>
    <row r="31" spans="1:2" x14ac:dyDescent="0.2">
      <c r="A31" s="153" t="s">
        <v>408</v>
      </c>
      <c r="B31" s="154" t="s">
        <v>407</v>
      </c>
    </row>
    <row r="32" spans="1:2" x14ac:dyDescent="0.2">
      <c r="A32" s="153" t="s">
        <v>410</v>
      </c>
      <c r="B32" s="154" t="s">
        <v>409</v>
      </c>
    </row>
    <row r="33" spans="1:2" x14ac:dyDescent="0.2">
      <c r="A33" s="153" t="s">
        <v>412</v>
      </c>
      <c r="B33" s="154" t="s">
        <v>411</v>
      </c>
    </row>
    <row r="34" spans="1:2" x14ac:dyDescent="0.2">
      <c r="A34" s="153" t="s">
        <v>414</v>
      </c>
      <c r="B34" s="154" t="s">
        <v>413</v>
      </c>
    </row>
    <row r="35" spans="1:2" x14ac:dyDescent="0.2">
      <c r="A35" s="153" t="s">
        <v>416</v>
      </c>
      <c r="B35" s="154" t="s">
        <v>415</v>
      </c>
    </row>
    <row r="36" spans="1:2" x14ac:dyDescent="0.2">
      <c r="A36" s="153" t="s">
        <v>418</v>
      </c>
      <c r="B36" s="154" t="s">
        <v>417</v>
      </c>
    </row>
    <row r="37" spans="1:2" x14ac:dyDescent="0.2">
      <c r="A37" s="153" t="s">
        <v>420</v>
      </c>
      <c r="B37" s="154" t="s">
        <v>419</v>
      </c>
    </row>
    <row r="38" spans="1:2" x14ac:dyDescent="0.2">
      <c r="A38" s="153" t="s">
        <v>422</v>
      </c>
      <c r="B38" s="154" t="s">
        <v>421</v>
      </c>
    </row>
    <row r="39" spans="1:2" x14ac:dyDescent="0.2">
      <c r="A39" s="153" t="s">
        <v>424</v>
      </c>
      <c r="B39" s="154" t="s">
        <v>423</v>
      </c>
    </row>
    <row r="40" spans="1:2" x14ac:dyDescent="0.2">
      <c r="A40" s="153" t="s">
        <v>426</v>
      </c>
      <c r="B40" s="154" t="s">
        <v>425</v>
      </c>
    </row>
    <row r="41" spans="1:2" x14ac:dyDescent="0.2">
      <c r="A41" s="153" t="s">
        <v>428</v>
      </c>
      <c r="B41" s="154" t="s">
        <v>427</v>
      </c>
    </row>
    <row r="42" spans="1:2" x14ac:dyDescent="0.2">
      <c r="A42" s="153" t="s">
        <v>430</v>
      </c>
      <c r="B42" s="154" t="s">
        <v>429</v>
      </c>
    </row>
    <row r="43" spans="1:2" x14ac:dyDescent="0.2">
      <c r="A43" s="153" t="s">
        <v>432</v>
      </c>
      <c r="B43" s="154" t="s">
        <v>431</v>
      </c>
    </row>
    <row r="44" spans="1:2" x14ac:dyDescent="0.2">
      <c r="A44" s="153" t="s">
        <v>434</v>
      </c>
      <c r="B44" s="154" t="s">
        <v>433</v>
      </c>
    </row>
    <row r="45" spans="1:2" x14ac:dyDescent="0.2">
      <c r="A45" s="153" t="s">
        <v>436</v>
      </c>
      <c r="B45" s="154" t="s">
        <v>435</v>
      </c>
    </row>
    <row r="46" spans="1:2" x14ac:dyDescent="0.2">
      <c r="A46" s="153" t="s">
        <v>438</v>
      </c>
      <c r="B46" s="154" t="s">
        <v>437</v>
      </c>
    </row>
    <row r="47" spans="1:2" x14ac:dyDescent="0.2">
      <c r="A47" s="153" t="s">
        <v>440</v>
      </c>
      <c r="B47" s="154" t="s">
        <v>439</v>
      </c>
    </row>
    <row r="48" spans="1:2" x14ac:dyDescent="0.2">
      <c r="A48" s="153" t="s">
        <v>442</v>
      </c>
      <c r="B48" s="154" t="s">
        <v>441</v>
      </c>
    </row>
    <row r="49" spans="1:2" x14ac:dyDescent="0.2">
      <c r="A49" s="153" t="s">
        <v>444</v>
      </c>
      <c r="B49" s="154" t="s">
        <v>443</v>
      </c>
    </row>
    <row r="50" spans="1:2" x14ac:dyDescent="0.2">
      <c r="A50" s="153" t="s">
        <v>446</v>
      </c>
      <c r="B50" s="154" t="s">
        <v>445</v>
      </c>
    </row>
    <row r="51" spans="1:2" x14ac:dyDescent="0.2">
      <c r="A51" s="153" t="s">
        <v>448</v>
      </c>
      <c r="B51" s="154" t="s">
        <v>447</v>
      </c>
    </row>
    <row r="52" spans="1:2" x14ac:dyDescent="0.2">
      <c r="A52" s="153" t="s">
        <v>450</v>
      </c>
      <c r="B52" s="154" t="s">
        <v>449</v>
      </c>
    </row>
    <row r="53" spans="1:2" x14ac:dyDescent="0.2">
      <c r="A53" s="153" t="s">
        <v>452</v>
      </c>
      <c r="B53" s="154" t="s">
        <v>451</v>
      </c>
    </row>
    <row r="54" spans="1:2" x14ac:dyDescent="0.2">
      <c r="A54" s="153" t="s">
        <v>454</v>
      </c>
      <c r="B54" s="154" t="s">
        <v>453</v>
      </c>
    </row>
    <row r="55" spans="1:2" x14ac:dyDescent="0.2">
      <c r="A55" s="153" t="s">
        <v>456</v>
      </c>
      <c r="B55" s="154" t="s">
        <v>455</v>
      </c>
    </row>
    <row r="56" spans="1:2" x14ac:dyDescent="0.2">
      <c r="A56" s="153" t="s">
        <v>458</v>
      </c>
      <c r="B56" s="154" t="s">
        <v>457</v>
      </c>
    </row>
    <row r="57" spans="1:2" x14ac:dyDescent="0.2">
      <c r="A57" s="153" t="s">
        <v>460</v>
      </c>
      <c r="B57" s="154" t="s">
        <v>459</v>
      </c>
    </row>
    <row r="58" spans="1:2" x14ac:dyDescent="0.2">
      <c r="A58" s="153" t="s">
        <v>462</v>
      </c>
      <c r="B58" s="154" t="s">
        <v>461</v>
      </c>
    </row>
    <row r="59" spans="1:2" x14ac:dyDescent="0.2">
      <c r="A59" s="153" t="s">
        <v>464</v>
      </c>
      <c r="B59" s="154" t="s">
        <v>463</v>
      </c>
    </row>
    <row r="60" spans="1:2" x14ac:dyDescent="0.2">
      <c r="A60" s="153" t="s">
        <v>9811</v>
      </c>
      <c r="B60" s="154" t="s">
        <v>9880</v>
      </c>
    </row>
    <row r="61" spans="1:2" x14ac:dyDescent="0.2">
      <c r="A61" s="153" t="s">
        <v>466</v>
      </c>
      <c r="B61" s="154" t="s">
        <v>465</v>
      </c>
    </row>
    <row r="62" spans="1:2" x14ac:dyDescent="0.2">
      <c r="A62" s="153" t="s">
        <v>9812</v>
      </c>
      <c r="B62" s="154" t="s">
        <v>9881</v>
      </c>
    </row>
    <row r="63" spans="1:2" x14ac:dyDescent="0.2">
      <c r="A63" s="153" t="s">
        <v>468</v>
      </c>
      <c r="B63" s="154" t="s">
        <v>467</v>
      </c>
    </row>
    <row r="64" spans="1:2" x14ac:dyDescent="0.2">
      <c r="A64" s="153" t="s">
        <v>470</v>
      </c>
      <c r="B64" s="154" t="s">
        <v>469</v>
      </c>
    </row>
    <row r="65" spans="1:2" x14ac:dyDescent="0.2">
      <c r="A65" s="153" t="s">
        <v>472</v>
      </c>
      <c r="B65" s="154" t="s">
        <v>471</v>
      </c>
    </row>
    <row r="66" spans="1:2" ht="28.5" x14ac:dyDescent="0.2">
      <c r="A66" s="153" t="s">
        <v>474</v>
      </c>
      <c r="B66" s="154" t="s">
        <v>473</v>
      </c>
    </row>
    <row r="67" spans="1:2" x14ac:dyDescent="0.2">
      <c r="A67" s="153" t="s">
        <v>476</v>
      </c>
      <c r="B67" s="154" t="s">
        <v>475</v>
      </c>
    </row>
    <row r="68" spans="1:2" x14ac:dyDescent="0.2">
      <c r="A68" s="153" t="s">
        <v>478</v>
      </c>
      <c r="B68" s="154" t="s">
        <v>477</v>
      </c>
    </row>
    <row r="69" spans="1:2" ht="28.5" x14ac:dyDescent="0.2">
      <c r="A69" s="153" t="s">
        <v>480</v>
      </c>
      <c r="B69" s="154" t="s">
        <v>479</v>
      </c>
    </row>
    <row r="70" spans="1:2" x14ac:dyDescent="0.2">
      <c r="A70" s="153" t="s">
        <v>482</v>
      </c>
      <c r="B70" s="154" t="s">
        <v>481</v>
      </c>
    </row>
    <row r="71" spans="1:2" x14ac:dyDescent="0.2">
      <c r="A71" s="153" t="s">
        <v>9813</v>
      </c>
      <c r="B71" s="154" t="s">
        <v>9882</v>
      </c>
    </row>
    <row r="72" spans="1:2" x14ac:dyDescent="0.2">
      <c r="A72" s="153" t="s">
        <v>484</v>
      </c>
      <c r="B72" s="154" t="s">
        <v>483</v>
      </c>
    </row>
    <row r="73" spans="1:2" x14ac:dyDescent="0.2">
      <c r="A73" s="153" t="s">
        <v>486</v>
      </c>
      <c r="B73" s="154" t="s">
        <v>485</v>
      </c>
    </row>
    <row r="74" spans="1:2" x14ac:dyDescent="0.2">
      <c r="A74" s="153" t="s">
        <v>488</v>
      </c>
      <c r="B74" s="154" t="s">
        <v>487</v>
      </c>
    </row>
    <row r="75" spans="1:2" x14ac:dyDescent="0.2">
      <c r="A75" s="153" t="s">
        <v>490</v>
      </c>
      <c r="B75" s="154" t="s">
        <v>489</v>
      </c>
    </row>
    <row r="76" spans="1:2" x14ac:dyDescent="0.2">
      <c r="A76" s="153" t="s">
        <v>492</v>
      </c>
      <c r="B76" s="154" t="s">
        <v>491</v>
      </c>
    </row>
    <row r="77" spans="1:2" x14ac:dyDescent="0.2">
      <c r="A77" s="153" t="s">
        <v>494</v>
      </c>
      <c r="B77" s="154" t="s">
        <v>493</v>
      </c>
    </row>
    <row r="78" spans="1:2" x14ac:dyDescent="0.2">
      <c r="A78" s="153" t="s">
        <v>496</v>
      </c>
      <c r="B78" s="154" t="s">
        <v>495</v>
      </c>
    </row>
    <row r="79" spans="1:2" x14ac:dyDescent="0.2">
      <c r="A79" s="153" t="s">
        <v>498</v>
      </c>
      <c r="B79" s="154" t="s">
        <v>497</v>
      </c>
    </row>
    <row r="80" spans="1:2" x14ac:dyDescent="0.2">
      <c r="A80" s="153" t="s">
        <v>500</v>
      </c>
      <c r="B80" s="154" t="s">
        <v>499</v>
      </c>
    </row>
    <row r="81" spans="1:2" x14ac:dyDescent="0.2">
      <c r="A81" s="153" t="s">
        <v>502</v>
      </c>
      <c r="B81" s="154" t="s">
        <v>501</v>
      </c>
    </row>
    <row r="82" spans="1:2" x14ac:dyDescent="0.2">
      <c r="A82" s="153" t="s">
        <v>9814</v>
      </c>
      <c r="B82" s="154" t="s">
        <v>503</v>
      </c>
    </row>
    <row r="83" spans="1:2" x14ac:dyDescent="0.2">
      <c r="A83" s="153" t="s">
        <v>505</v>
      </c>
      <c r="B83" s="154" t="s">
        <v>504</v>
      </c>
    </row>
    <row r="84" spans="1:2" x14ac:dyDescent="0.2">
      <c r="A84" s="153" t="s">
        <v>507</v>
      </c>
      <c r="B84" s="154" t="s">
        <v>506</v>
      </c>
    </row>
    <row r="85" spans="1:2" x14ac:dyDescent="0.2">
      <c r="A85" s="153" t="s">
        <v>509</v>
      </c>
      <c r="B85" s="154" t="s">
        <v>508</v>
      </c>
    </row>
    <row r="86" spans="1:2" x14ac:dyDescent="0.2">
      <c r="A86" s="153" t="s">
        <v>9815</v>
      </c>
      <c r="B86" s="154" t="s">
        <v>9883</v>
      </c>
    </row>
    <row r="87" spans="1:2" x14ac:dyDescent="0.2">
      <c r="A87" s="153" t="s">
        <v>511</v>
      </c>
      <c r="B87" s="154" t="s">
        <v>510</v>
      </c>
    </row>
    <row r="88" spans="1:2" x14ac:dyDescent="0.2">
      <c r="A88" s="153" t="s">
        <v>513</v>
      </c>
      <c r="B88" s="154" t="s">
        <v>512</v>
      </c>
    </row>
    <row r="89" spans="1:2" x14ac:dyDescent="0.2">
      <c r="A89" s="153" t="s">
        <v>515</v>
      </c>
      <c r="B89" s="154" t="s">
        <v>514</v>
      </c>
    </row>
    <row r="90" spans="1:2" x14ac:dyDescent="0.2">
      <c r="A90" s="153" t="s">
        <v>517</v>
      </c>
      <c r="B90" s="154" t="s">
        <v>516</v>
      </c>
    </row>
    <row r="91" spans="1:2" x14ac:dyDescent="0.2">
      <c r="A91" s="153" t="s">
        <v>519</v>
      </c>
      <c r="B91" s="154" t="s">
        <v>518</v>
      </c>
    </row>
    <row r="92" spans="1:2" x14ac:dyDescent="0.2">
      <c r="A92" s="153" t="s">
        <v>521</v>
      </c>
      <c r="B92" s="154" t="s">
        <v>520</v>
      </c>
    </row>
    <row r="93" spans="1:2" x14ac:dyDescent="0.2">
      <c r="A93" s="153" t="s">
        <v>523</v>
      </c>
      <c r="B93" s="154" t="s">
        <v>522</v>
      </c>
    </row>
    <row r="94" spans="1:2" x14ac:dyDescent="0.2">
      <c r="A94" s="153" t="s">
        <v>525</v>
      </c>
      <c r="B94" s="154" t="s">
        <v>524</v>
      </c>
    </row>
    <row r="95" spans="1:2" x14ac:dyDescent="0.2">
      <c r="A95" s="153" t="s">
        <v>527</v>
      </c>
      <c r="B95" s="154" t="s">
        <v>526</v>
      </c>
    </row>
    <row r="96" spans="1:2" x14ac:dyDescent="0.2">
      <c r="A96" s="153" t="s">
        <v>529</v>
      </c>
      <c r="B96" s="154" t="s">
        <v>528</v>
      </c>
    </row>
    <row r="97" spans="1:2" x14ac:dyDescent="0.2">
      <c r="A97" s="153" t="s">
        <v>531</v>
      </c>
      <c r="B97" s="154" t="s">
        <v>530</v>
      </c>
    </row>
    <row r="98" spans="1:2" x14ac:dyDescent="0.2">
      <c r="A98" s="153" t="s">
        <v>9816</v>
      </c>
      <c r="B98" s="154" t="s">
        <v>9884</v>
      </c>
    </row>
    <row r="99" spans="1:2" x14ac:dyDescent="0.2">
      <c r="A99" s="153" t="s">
        <v>533</v>
      </c>
      <c r="B99" s="154" t="s">
        <v>532</v>
      </c>
    </row>
    <row r="100" spans="1:2" x14ac:dyDescent="0.2">
      <c r="A100" s="153" t="s">
        <v>535</v>
      </c>
      <c r="B100" s="154" t="s">
        <v>534</v>
      </c>
    </row>
    <row r="101" spans="1:2" x14ac:dyDescent="0.2">
      <c r="A101" s="153" t="s">
        <v>537</v>
      </c>
      <c r="B101" s="154" t="s">
        <v>536</v>
      </c>
    </row>
    <row r="102" spans="1:2" x14ac:dyDescent="0.2">
      <c r="A102" s="153" t="s">
        <v>9817</v>
      </c>
      <c r="B102" s="154" t="s">
        <v>9885</v>
      </c>
    </row>
    <row r="103" spans="1:2" x14ac:dyDescent="0.2">
      <c r="A103" s="153" t="s">
        <v>539</v>
      </c>
      <c r="B103" s="154" t="s">
        <v>538</v>
      </c>
    </row>
    <row r="104" spans="1:2" x14ac:dyDescent="0.2">
      <c r="A104" s="153" t="s">
        <v>541</v>
      </c>
      <c r="B104" s="154" t="s">
        <v>540</v>
      </c>
    </row>
    <row r="105" spans="1:2" x14ac:dyDescent="0.2">
      <c r="A105" s="153" t="s">
        <v>543</v>
      </c>
      <c r="B105" s="154" t="s">
        <v>542</v>
      </c>
    </row>
    <row r="106" spans="1:2" x14ac:dyDescent="0.2">
      <c r="A106" s="153" t="s">
        <v>545</v>
      </c>
      <c r="B106" s="154" t="s">
        <v>544</v>
      </c>
    </row>
    <row r="107" spans="1:2" x14ac:dyDescent="0.2">
      <c r="A107" s="153" t="s">
        <v>547</v>
      </c>
      <c r="B107" s="154" t="s">
        <v>546</v>
      </c>
    </row>
    <row r="108" spans="1:2" x14ac:dyDescent="0.2">
      <c r="A108" s="153" t="s">
        <v>549</v>
      </c>
      <c r="B108" s="154" t="s">
        <v>548</v>
      </c>
    </row>
    <row r="109" spans="1:2" x14ac:dyDescent="0.2">
      <c r="A109" s="153" t="s">
        <v>551</v>
      </c>
      <c r="B109" s="154" t="s">
        <v>550</v>
      </c>
    </row>
    <row r="110" spans="1:2" x14ac:dyDescent="0.2">
      <c r="A110" s="153" t="s">
        <v>553</v>
      </c>
      <c r="B110" s="154" t="s">
        <v>552</v>
      </c>
    </row>
    <row r="111" spans="1:2" x14ac:dyDescent="0.2">
      <c r="A111" s="153" t="s">
        <v>555</v>
      </c>
      <c r="B111" s="154" t="s">
        <v>554</v>
      </c>
    </row>
    <row r="112" spans="1:2" x14ac:dyDescent="0.2">
      <c r="A112" s="153" t="s">
        <v>557</v>
      </c>
      <c r="B112" s="154" t="s">
        <v>556</v>
      </c>
    </row>
    <row r="113" spans="1:2" x14ac:dyDescent="0.2">
      <c r="A113" s="153" t="s">
        <v>559</v>
      </c>
      <c r="B113" s="154" t="s">
        <v>558</v>
      </c>
    </row>
    <row r="114" spans="1:2" x14ac:dyDescent="0.2">
      <c r="A114" s="153" t="s">
        <v>561</v>
      </c>
      <c r="B114" s="154" t="s">
        <v>560</v>
      </c>
    </row>
    <row r="115" spans="1:2" x14ac:dyDescent="0.2">
      <c r="A115" s="153" t="s">
        <v>563</v>
      </c>
      <c r="B115" s="154" t="s">
        <v>562</v>
      </c>
    </row>
    <row r="116" spans="1:2" x14ac:dyDescent="0.2">
      <c r="A116" s="153" t="s">
        <v>565</v>
      </c>
      <c r="B116" s="154" t="s">
        <v>564</v>
      </c>
    </row>
    <row r="117" spans="1:2" x14ac:dyDescent="0.2">
      <c r="A117" s="153" t="s">
        <v>567</v>
      </c>
      <c r="B117" s="154" t="s">
        <v>566</v>
      </c>
    </row>
    <row r="118" spans="1:2" x14ac:dyDescent="0.2">
      <c r="A118" s="153" t="s">
        <v>569</v>
      </c>
      <c r="B118" s="154" t="s">
        <v>568</v>
      </c>
    </row>
    <row r="119" spans="1:2" x14ac:dyDescent="0.2">
      <c r="A119" s="153" t="s">
        <v>571</v>
      </c>
      <c r="B119" s="154" t="s">
        <v>570</v>
      </c>
    </row>
    <row r="120" spans="1:2" x14ac:dyDescent="0.2">
      <c r="A120" s="153" t="s">
        <v>573</v>
      </c>
      <c r="B120" s="154" t="s">
        <v>572</v>
      </c>
    </row>
    <row r="121" spans="1:2" x14ac:dyDescent="0.2">
      <c r="A121" s="153" t="s">
        <v>575</v>
      </c>
      <c r="B121" s="154" t="s">
        <v>574</v>
      </c>
    </row>
    <row r="122" spans="1:2" x14ac:dyDescent="0.2">
      <c r="A122" s="153" t="s">
        <v>577</v>
      </c>
      <c r="B122" s="154" t="s">
        <v>576</v>
      </c>
    </row>
    <row r="123" spans="1:2" x14ac:dyDescent="0.2">
      <c r="A123" s="153" t="s">
        <v>579</v>
      </c>
      <c r="B123" s="154" t="s">
        <v>578</v>
      </c>
    </row>
    <row r="124" spans="1:2" x14ac:dyDescent="0.2">
      <c r="A124" s="153" t="s">
        <v>581</v>
      </c>
      <c r="B124" s="154" t="s">
        <v>580</v>
      </c>
    </row>
    <row r="125" spans="1:2" x14ac:dyDescent="0.2">
      <c r="A125" s="153" t="s">
        <v>583</v>
      </c>
      <c r="B125" s="154" t="s">
        <v>582</v>
      </c>
    </row>
    <row r="126" spans="1:2" x14ac:dyDescent="0.2">
      <c r="A126" s="153" t="s">
        <v>585</v>
      </c>
      <c r="B126" s="154" t="s">
        <v>584</v>
      </c>
    </row>
    <row r="127" spans="1:2" x14ac:dyDescent="0.2">
      <c r="A127" s="153" t="s">
        <v>587</v>
      </c>
      <c r="B127" s="154" t="s">
        <v>586</v>
      </c>
    </row>
    <row r="128" spans="1:2" x14ac:dyDescent="0.2">
      <c r="A128" s="153" t="s">
        <v>589</v>
      </c>
      <c r="B128" s="154" t="s">
        <v>588</v>
      </c>
    </row>
    <row r="129" spans="1:2" x14ac:dyDescent="0.2">
      <c r="A129" s="153" t="s">
        <v>591</v>
      </c>
      <c r="B129" s="154" t="s">
        <v>590</v>
      </c>
    </row>
    <row r="130" spans="1:2" x14ac:dyDescent="0.2">
      <c r="A130" s="153" t="s">
        <v>593</v>
      </c>
      <c r="B130" s="154" t="s">
        <v>592</v>
      </c>
    </row>
    <row r="131" spans="1:2" x14ac:dyDescent="0.2">
      <c r="A131" s="153" t="s">
        <v>595</v>
      </c>
      <c r="B131" s="154" t="s">
        <v>594</v>
      </c>
    </row>
    <row r="132" spans="1:2" x14ac:dyDescent="0.2">
      <c r="A132" s="153" t="s">
        <v>597</v>
      </c>
      <c r="B132" s="154" t="s">
        <v>596</v>
      </c>
    </row>
    <row r="133" spans="1:2" x14ac:dyDescent="0.2">
      <c r="A133" s="153" t="s">
        <v>599</v>
      </c>
      <c r="B133" s="154" t="s">
        <v>598</v>
      </c>
    </row>
    <row r="134" spans="1:2" x14ac:dyDescent="0.2">
      <c r="A134" s="153" t="s">
        <v>601</v>
      </c>
      <c r="B134" s="154" t="s">
        <v>600</v>
      </c>
    </row>
    <row r="135" spans="1:2" x14ac:dyDescent="0.2">
      <c r="A135" s="153" t="s">
        <v>603</v>
      </c>
      <c r="B135" s="154" t="s">
        <v>602</v>
      </c>
    </row>
    <row r="136" spans="1:2" x14ac:dyDescent="0.2">
      <c r="A136" s="153" t="s">
        <v>605</v>
      </c>
      <c r="B136" s="154" t="s">
        <v>604</v>
      </c>
    </row>
    <row r="137" spans="1:2" x14ac:dyDescent="0.2">
      <c r="A137" s="153" t="s">
        <v>607</v>
      </c>
      <c r="B137" s="154" t="s">
        <v>606</v>
      </c>
    </row>
    <row r="138" spans="1:2" x14ac:dyDescent="0.2">
      <c r="A138" s="153" t="s">
        <v>609</v>
      </c>
      <c r="B138" s="154" t="s">
        <v>608</v>
      </c>
    </row>
    <row r="139" spans="1:2" x14ac:dyDescent="0.2">
      <c r="A139" s="153" t="s">
        <v>611</v>
      </c>
      <c r="B139" s="154" t="s">
        <v>610</v>
      </c>
    </row>
    <row r="140" spans="1:2" x14ac:dyDescent="0.2">
      <c r="A140" s="153" t="s">
        <v>613</v>
      </c>
      <c r="B140" s="154" t="s">
        <v>612</v>
      </c>
    </row>
    <row r="141" spans="1:2" x14ac:dyDescent="0.2">
      <c r="A141" s="153" t="s">
        <v>615</v>
      </c>
      <c r="B141" s="154" t="s">
        <v>614</v>
      </c>
    </row>
    <row r="142" spans="1:2" x14ac:dyDescent="0.2">
      <c r="A142" s="153" t="s">
        <v>617</v>
      </c>
      <c r="B142" s="154" t="s">
        <v>616</v>
      </c>
    </row>
    <row r="143" spans="1:2" x14ac:dyDescent="0.2">
      <c r="A143" s="153" t="s">
        <v>619</v>
      </c>
      <c r="B143" s="154" t="s">
        <v>618</v>
      </c>
    </row>
    <row r="144" spans="1:2" x14ac:dyDescent="0.2">
      <c r="A144" s="153" t="s">
        <v>621</v>
      </c>
      <c r="B144" s="154" t="s">
        <v>620</v>
      </c>
    </row>
    <row r="145" spans="1:2" x14ac:dyDescent="0.2">
      <c r="A145" s="153" t="s">
        <v>623</v>
      </c>
      <c r="B145" s="154" t="s">
        <v>622</v>
      </c>
    </row>
    <row r="146" spans="1:2" x14ac:dyDescent="0.2">
      <c r="A146" s="153" t="s">
        <v>625</v>
      </c>
      <c r="B146" s="154" t="s">
        <v>624</v>
      </c>
    </row>
    <row r="147" spans="1:2" x14ac:dyDescent="0.2">
      <c r="A147" s="153" t="s">
        <v>627</v>
      </c>
      <c r="B147" s="154" t="s">
        <v>626</v>
      </c>
    </row>
    <row r="148" spans="1:2" x14ac:dyDescent="0.2">
      <c r="A148" s="153" t="s">
        <v>629</v>
      </c>
      <c r="B148" s="154" t="s">
        <v>628</v>
      </c>
    </row>
    <row r="149" spans="1:2" x14ac:dyDescent="0.2">
      <c r="A149" s="153" t="s">
        <v>631</v>
      </c>
      <c r="B149" s="154" t="s">
        <v>630</v>
      </c>
    </row>
    <row r="150" spans="1:2" x14ac:dyDescent="0.2">
      <c r="A150" s="153" t="s">
        <v>633</v>
      </c>
      <c r="B150" s="154" t="s">
        <v>632</v>
      </c>
    </row>
    <row r="151" spans="1:2" x14ac:dyDescent="0.2">
      <c r="A151" s="153" t="s">
        <v>635</v>
      </c>
      <c r="B151" s="154" t="s">
        <v>634</v>
      </c>
    </row>
    <row r="152" spans="1:2" x14ac:dyDescent="0.2">
      <c r="A152" s="153" t="s">
        <v>637</v>
      </c>
      <c r="B152" s="154" t="s">
        <v>636</v>
      </c>
    </row>
    <row r="153" spans="1:2" x14ac:dyDescent="0.2">
      <c r="A153" s="153" t="s">
        <v>639</v>
      </c>
      <c r="B153" s="154" t="s">
        <v>638</v>
      </c>
    </row>
    <row r="154" spans="1:2" x14ac:dyDescent="0.2">
      <c r="A154" s="153" t="s">
        <v>641</v>
      </c>
      <c r="B154" s="154" t="s">
        <v>640</v>
      </c>
    </row>
    <row r="155" spans="1:2" x14ac:dyDescent="0.2">
      <c r="A155" s="153" t="s">
        <v>643</v>
      </c>
      <c r="B155" s="154" t="s">
        <v>642</v>
      </c>
    </row>
    <row r="156" spans="1:2" x14ac:dyDescent="0.2">
      <c r="A156" s="153" t="s">
        <v>645</v>
      </c>
      <c r="B156" s="154" t="s">
        <v>644</v>
      </c>
    </row>
    <row r="157" spans="1:2" x14ac:dyDescent="0.2">
      <c r="A157" s="153" t="s">
        <v>647</v>
      </c>
      <c r="B157" s="154" t="s">
        <v>646</v>
      </c>
    </row>
    <row r="158" spans="1:2" x14ac:dyDescent="0.2">
      <c r="A158" s="153" t="s">
        <v>649</v>
      </c>
      <c r="B158" s="154" t="s">
        <v>648</v>
      </c>
    </row>
    <row r="159" spans="1:2" x14ac:dyDescent="0.2">
      <c r="A159" s="153" t="s">
        <v>651</v>
      </c>
      <c r="B159" s="154" t="s">
        <v>650</v>
      </c>
    </row>
    <row r="160" spans="1:2" x14ac:dyDescent="0.2">
      <c r="A160" s="153" t="s">
        <v>653</v>
      </c>
      <c r="B160" s="154" t="s">
        <v>652</v>
      </c>
    </row>
    <row r="161" spans="1:2" x14ac:dyDescent="0.2">
      <c r="A161" s="153" t="s">
        <v>655</v>
      </c>
      <c r="B161" s="154" t="s">
        <v>654</v>
      </c>
    </row>
    <row r="162" spans="1:2" x14ac:dyDescent="0.2">
      <c r="A162" s="153" t="s">
        <v>657</v>
      </c>
      <c r="B162" s="154" t="s">
        <v>656</v>
      </c>
    </row>
    <row r="163" spans="1:2" x14ac:dyDescent="0.2">
      <c r="A163" s="153" t="s">
        <v>659</v>
      </c>
      <c r="B163" s="154" t="s">
        <v>658</v>
      </c>
    </row>
    <row r="164" spans="1:2" x14ac:dyDescent="0.2">
      <c r="A164" s="153" t="s">
        <v>661</v>
      </c>
      <c r="B164" s="154" t="s">
        <v>660</v>
      </c>
    </row>
    <row r="165" spans="1:2" x14ac:dyDescent="0.2">
      <c r="A165" s="153" t="s">
        <v>663</v>
      </c>
      <c r="B165" s="154" t="s">
        <v>662</v>
      </c>
    </row>
    <row r="166" spans="1:2" x14ac:dyDescent="0.2">
      <c r="A166" s="153" t="s">
        <v>665</v>
      </c>
      <c r="B166" s="154" t="s">
        <v>664</v>
      </c>
    </row>
    <row r="167" spans="1:2" x14ac:dyDescent="0.2">
      <c r="A167" s="153" t="s">
        <v>667</v>
      </c>
      <c r="B167" s="154" t="s">
        <v>666</v>
      </c>
    </row>
    <row r="168" spans="1:2" x14ac:dyDescent="0.2">
      <c r="A168" s="153" t="s">
        <v>669</v>
      </c>
      <c r="B168" s="154" t="s">
        <v>668</v>
      </c>
    </row>
    <row r="169" spans="1:2" x14ac:dyDescent="0.2">
      <c r="A169" s="153" t="s">
        <v>671</v>
      </c>
      <c r="B169" s="154" t="s">
        <v>670</v>
      </c>
    </row>
    <row r="170" spans="1:2" x14ac:dyDescent="0.2">
      <c r="A170" s="153" t="s">
        <v>673</v>
      </c>
      <c r="B170" s="154" t="s">
        <v>672</v>
      </c>
    </row>
    <row r="171" spans="1:2" x14ac:dyDescent="0.2">
      <c r="A171" s="153" t="s">
        <v>675</v>
      </c>
      <c r="B171" s="154" t="s">
        <v>674</v>
      </c>
    </row>
    <row r="172" spans="1:2" x14ac:dyDescent="0.2">
      <c r="A172" s="153" t="s">
        <v>677</v>
      </c>
      <c r="B172" s="154" t="s">
        <v>676</v>
      </c>
    </row>
    <row r="173" spans="1:2" x14ac:dyDescent="0.2">
      <c r="A173" s="153" t="s">
        <v>679</v>
      </c>
      <c r="B173" s="154" t="s">
        <v>678</v>
      </c>
    </row>
    <row r="174" spans="1:2" x14ac:dyDescent="0.2">
      <c r="A174" s="153" t="s">
        <v>681</v>
      </c>
      <c r="B174" s="154" t="s">
        <v>680</v>
      </c>
    </row>
    <row r="175" spans="1:2" x14ac:dyDescent="0.2">
      <c r="A175" s="153" t="s">
        <v>683</v>
      </c>
      <c r="B175" s="154" t="s">
        <v>682</v>
      </c>
    </row>
    <row r="176" spans="1:2" x14ac:dyDescent="0.2">
      <c r="A176" s="153" t="s">
        <v>685</v>
      </c>
      <c r="B176" s="154" t="s">
        <v>684</v>
      </c>
    </row>
    <row r="177" spans="1:2" x14ac:dyDescent="0.2">
      <c r="A177" s="153" t="s">
        <v>687</v>
      </c>
      <c r="B177" s="154" t="s">
        <v>686</v>
      </c>
    </row>
    <row r="178" spans="1:2" x14ac:dyDescent="0.2">
      <c r="A178" s="153" t="s">
        <v>689</v>
      </c>
      <c r="B178" s="154" t="s">
        <v>688</v>
      </c>
    </row>
    <row r="179" spans="1:2" x14ac:dyDescent="0.2">
      <c r="A179" s="153" t="s">
        <v>691</v>
      </c>
      <c r="B179" s="154" t="s">
        <v>690</v>
      </c>
    </row>
    <row r="180" spans="1:2" x14ac:dyDescent="0.2">
      <c r="A180" s="153" t="s">
        <v>693</v>
      </c>
      <c r="B180" s="154" t="s">
        <v>692</v>
      </c>
    </row>
    <row r="181" spans="1:2" x14ac:dyDescent="0.2">
      <c r="A181" s="153" t="s">
        <v>695</v>
      </c>
      <c r="B181" s="154" t="s">
        <v>694</v>
      </c>
    </row>
    <row r="182" spans="1:2" x14ac:dyDescent="0.2">
      <c r="A182" s="153" t="s">
        <v>697</v>
      </c>
      <c r="B182" s="154" t="s">
        <v>696</v>
      </c>
    </row>
    <row r="183" spans="1:2" x14ac:dyDescent="0.2">
      <c r="A183" s="153" t="s">
        <v>699</v>
      </c>
      <c r="B183" s="154" t="s">
        <v>698</v>
      </c>
    </row>
    <row r="184" spans="1:2" x14ac:dyDescent="0.2">
      <c r="A184" s="153" t="s">
        <v>701</v>
      </c>
      <c r="B184" s="154" t="s">
        <v>700</v>
      </c>
    </row>
    <row r="185" spans="1:2" x14ac:dyDescent="0.2">
      <c r="A185" s="153" t="s">
        <v>703</v>
      </c>
      <c r="B185" s="154" t="s">
        <v>702</v>
      </c>
    </row>
    <row r="186" spans="1:2" x14ac:dyDescent="0.2">
      <c r="A186" s="153" t="s">
        <v>705</v>
      </c>
      <c r="B186" s="154" t="s">
        <v>704</v>
      </c>
    </row>
    <row r="187" spans="1:2" x14ac:dyDescent="0.2">
      <c r="A187" s="153" t="s">
        <v>707</v>
      </c>
      <c r="B187" s="154" t="s">
        <v>706</v>
      </c>
    </row>
    <row r="188" spans="1:2" x14ac:dyDescent="0.2">
      <c r="A188" s="153" t="s">
        <v>709</v>
      </c>
      <c r="B188" s="154" t="s">
        <v>708</v>
      </c>
    </row>
    <row r="189" spans="1:2" x14ac:dyDescent="0.2">
      <c r="A189" s="153" t="s">
        <v>711</v>
      </c>
      <c r="B189" s="154" t="s">
        <v>710</v>
      </c>
    </row>
    <row r="190" spans="1:2" x14ac:dyDescent="0.2">
      <c r="A190" s="153" t="s">
        <v>713</v>
      </c>
      <c r="B190" s="154" t="s">
        <v>712</v>
      </c>
    </row>
    <row r="191" spans="1:2" x14ac:dyDescent="0.2">
      <c r="A191" s="153" t="s">
        <v>715</v>
      </c>
      <c r="B191" s="154" t="s">
        <v>714</v>
      </c>
    </row>
    <row r="192" spans="1:2" x14ac:dyDescent="0.2">
      <c r="A192" s="153" t="s">
        <v>717</v>
      </c>
      <c r="B192" s="154" t="s">
        <v>716</v>
      </c>
    </row>
    <row r="193" spans="1:2" x14ac:dyDescent="0.2">
      <c r="A193" s="153" t="s">
        <v>719</v>
      </c>
      <c r="B193" s="154" t="s">
        <v>718</v>
      </c>
    </row>
    <row r="194" spans="1:2" x14ac:dyDescent="0.2">
      <c r="A194" s="153" t="s">
        <v>721</v>
      </c>
      <c r="B194" s="154" t="s">
        <v>720</v>
      </c>
    </row>
    <row r="195" spans="1:2" x14ac:dyDescent="0.2">
      <c r="A195" s="153" t="s">
        <v>723</v>
      </c>
      <c r="B195" s="154" t="s">
        <v>722</v>
      </c>
    </row>
    <row r="196" spans="1:2" x14ac:dyDescent="0.2">
      <c r="A196" s="153" t="s">
        <v>725</v>
      </c>
      <c r="B196" s="154" t="s">
        <v>724</v>
      </c>
    </row>
    <row r="197" spans="1:2" x14ac:dyDescent="0.2">
      <c r="A197" s="153" t="s">
        <v>727</v>
      </c>
      <c r="B197" s="154" t="s">
        <v>726</v>
      </c>
    </row>
    <row r="198" spans="1:2" x14ac:dyDescent="0.2">
      <c r="A198" s="153" t="s">
        <v>729</v>
      </c>
      <c r="B198" s="154" t="s">
        <v>728</v>
      </c>
    </row>
    <row r="199" spans="1:2" x14ac:dyDescent="0.2">
      <c r="A199" s="153" t="s">
        <v>731</v>
      </c>
      <c r="B199" s="154" t="s">
        <v>730</v>
      </c>
    </row>
    <row r="200" spans="1:2" x14ac:dyDescent="0.2">
      <c r="A200" s="153" t="s">
        <v>733</v>
      </c>
      <c r="B200" s="154" t="s">
        <v>732</v>
      </c>
    </row>
    <row r="201" spans="1:2" x14ac:dyDescent="0.2">
      <c r="A201" s="153" t="s">
        <v>735</v>
      </c>
      <c r="B201" s="154" t="s">
        <v>734</v>
      </c>
    </row>
    <row r="202" spans="1:2" x14ac:dyDescent="0.2">
      <c r="A202" s="153" t="s">
        <v>737</v>
      </c>
      <c r="B202" s="154" t="s">
        <v>736</v>
      </c>
    </row>
    <row r="203" spans="1:2" x14ac:dyDescent="0.2">
      <c r="A203" s="153" t="s">
        <v>739</v>
      </c>
      <c r="B203" s="154" t="s">
        <v>738</v>
      </c>
    </row>
    <row r="204" spans="1:2" x14ac:dyDescent="0.2">
      <c r="A204" s="153" t="s">
        <v>741</v>
      </c>
      <c r="B204" s="154" t="s">
        <v>740</v>
      </c>
    </row>
    <row r="205" spans="1:2" x14ac:dyDescent="0.2">
      <c r="A205" s="153" t="s">
        <v>743</v>
      </c>
      <c r="B205" s="154" t="s">
        <v>742</v>
      </c>
    </row>
    <row r="206" spans="1:2" x14ac:dyDescent="0.2">
      <c r="A206" s="153" t="s">
        <v>745</v>
      </c>
      <c r="B206" s="154" t="s">
        <v>744</v>
      </c>
    </row>
    <row r="207" spans="1:2" x14ac:dyDescent="0.2">
      <c r="A207" s="153" t="s">
        <v>747</v>
      </c>
      <c r="B207" s="154" t="s">
        <v>746</v>
      </c>
    </row>
    <row r="208" spans="1:2" x14ac:dyDescent="0.2">
      <c r="A208" s="153" t="s">
        <v>749</v>
      </c>
      <c r="B208" s="154" t="s">
        <v>748</v>
      </c>
    </row>
    <row r="209" spans="1:2" x14ac:dyDescent="0.2">
      <c r="A209" s="153" t="s">
        <v>751</v>
      </c>
      <c r="B209" s="154" t="s">
        <v>750</v>
      </c>
    </row>
    <row r="210" spans="1:2" x14ac:dyDescent="0.2">
      <c r="A210" s="153" t="s">
        <v>753</v>
      </c>
      <c r="B210" s="154" t="s">
        <v>752</v>
      </c>
    </row>
    <row r="211" spans="1:2" x14ac:dyDescent="0.2">
      <c r="A211" s="153" t="s">
        <v>755</v>
      </c>
      <c r="B211" s="154" t="s">
        <v>754</v>
      </c>
    </row>
    <row r="212" spans="1:2" x14ac:dyDescent="0.2">
      <c r="A212" s="153" t="s">
        <v>757</v>
      </c>
      <c r="B212" s="154" t="s">
        <v>756</v>
      </c>
    </row>
    <row r="213" spans="1:2" x14ac:dyDescent="0.2">
      <c r="A213" s="153" t="s">
        <v>759</v>
      </c>
      <c r="B213" s="154" t="s">
        <v>758</v>
      </c>
    </row>
    <row r="214" spans="1:2" x14ac:dyDescent="0.2">
      <c r="A214" s="153" t="s">
        <v>761</v>
      </c>
      <c r="B214" s="154" t="s">
        <v>760</v>
      </c>
    </row>
    <row r="215" spans="1:2" x14ac:dyDescent="0.2">
      <c r="A215" s="153" t="s">
        <v>763</v>
      </c>
      <c r="B215" s="154" t="s">
        <v>762</v>
      </c>
    </row>
    <row r="216" spans="1:2" x14ac:dyDescent="0.2">
      <c r="A216" s="153" t="s">
        <v>765</v>
      </c>
      <c r="B216" s="154" t="s">
        <v>764</v>
      </c>
    </row>
    <row r="217" spans="1:2" x14ac:dyDescent="0.2">
      <c r="A217" s="153" t="s">
        <v>767</v>
      </c>
      <c r="B217" s="154" t="s">
        <v>766</v>
      </c>
    </row>
    <row r="218" spans="1:2" x14ac:dyDescent="0.2">
      <c r="A218" s="153" t="s">
        <v>769</v>
      </c>
      <c r="B218" s="154" t="s">
        <v>768</v>
      </c>
    </row>
    <row r="219" spans="1:2" x14ac:dyDescent="0.2">
      <c r="A219" s="153" t="s">
        <v>771</v>
      </c>
      <c r="B219" s="154" t="s">
        <v>770</v>
      </c>
    </row>
    <row r="220" spans="1:2" x14ac:dyDescent="0.2">
      <c r="A220" s="153" t="s">
        <v>773</v>
      </c>
      <c r="B220" s="154" t="s">
        <v>772</v>
      </c>
    </row>
    <row r="221" spans="1:2" x14ac:dyDescent="0.2">
      <c r="A221" s="153" t="s">
        <v>775</v>
      </c>
      <c r="B221" s="154" t="s">
        <v>774</v>
      </c>
    </row>
    <row r="222" spans="1:2" x14ac:dyDescent="0.2">
      <c r="A222" s="153" t="s">
        <v>777</v>
      </c>
      <c r="B222" s="154" t="s">
        <v>776</v>
      </c>
    </row>
    <row r="223" spans="1:2" x14ac:dyDescent="0.2">
      <c r="A223" s="153" t="s">
        <v>779</v>
      </c>
      <c r="B223" s="154" t="s">
        <v>778</v>
      </c>
    </row>
    <row r="224" spans="1:2" x14ac:dyDescent="0.2">
      <c r="A224" s="153" t="s">
        <v>781</v>
      </c>
      <c r="B224" s="154" t="s">
        <v>780</v>
      </c>
    </row>
    <row r="225" spans="1:2" x14ac:dyDescent="0.2">
      <c r="A225" s="153" t="s">
        <v>783</v>
      </c>
      <c r="B225" s="154" t="s">
        <v>782</v>
      </c>
    </row>
    <row r="226" spans="1:2" x14ac:dyDescent="0.2">
      <c r="A226" s="153" t="s">
        <v>785</v>
      </c>
      <c r="B226" s="154" t="s">
        <v>784</v>
      </c>
    </row>
    <row r="227" spans="1:2" x14ac:dyDescent="0.2">
      <c r="A227" s="153" t="s">
        <v>787</v>
      </c>
      <c r="B227" s="154" t="s">
        <v>786</v>
      </c>
    </row>
    <row r="228" spans="1:2" x14ac:dyDescent="0.2">
      <c r="A228" s="153" t="s">
        <v>789</v>
      </c>
      <c r="B228" s="154" t="s">
        <v>788</v>
      </c>
    </row>
    <row r="229" spans="1:2" x14ac:dyDescent="0.2">
      <c r="A229" s="153" t="s">
        <v>791</v>
      </c>
      <c r="B229" s="154" t="s">
        <v>790</v>
      </c>
    </row>
    <row r="230" spans="1:2" x14ac:dyDescent="0.2">
      <c r="A230" s="153" t="s">
        <v>793</v>
      </c>
      <c r="B230" s="154" t="s">
        <v>792</v>
      </c>
    </row>
    <row r="231" spans="1:2" x14ac:dyDescent="0.2">
      <c r="A231" s="153" t="s">
        <v>795</v>
      </c>
      <c r="B231" s="154" t="s">
        <v>794</v>
      </c>
    </row>
    <row r="232" spans="1:2" x14ac:dyDescent="0.2">
      <c r="A232" s="153" t="s">
        <v>797</v>
      </c>
      <c r="B232" s="154" t="s">
        <v>796</v>
      </c>
    </row>
    <row r="233" spans="1:2" x14ac:dyDescent="0.2">
      <c r="A233" s="153" t="s">
        <v>799</v>
      </c>
      <c r="B233" s="154" t="s">
        <v>798</v>
      </c>
    </row>
    <row r="234" spans="1:2" x14ac:dyDescent="0.2">
      <c r="A234" s="153" t="s">
        <v>801</v>
      </c>
      <c r="B234" s="154" t="s">
        <v>800</v>
      </c>
    </row>
    <row r="235" spans="1:2" x14ac:dyDescent="0.2">
      <c r="A235" s="153" t="s">
        <v>803</v>
      </c>
      <c r="B235" s="154" t="s">
        <v>802</v>
      </c>
    </row>
    <row r="236" spans="1:2" x14ac:dyDescent="0.2">
      <c r="A236" s="153" t="s">
        <v>805</v>
      </c>
      <c r="B236" s="154" t="s">
        <v>804</v>
      </c>
    </row>
    <row r="237" spans="1:2" x14ac:dyDescent="0.2">
      <c r="A237" s="153" t="s">
        <v>807</v>
      </c>
      <c r="B237" s="154" t="s">
        <v>806</v>
      </c>
    </row>
    <row r="238" spans="1:2" x14ac:dyDescent="0.2">
      <c r="A238" s="153" t="s">
        <v>809</v>
      </c>
      <c r="B238" s="154" t="s">
        <v>808</v>
      </c>
    </row>
    <row r="239" spans="1:2" x14ac:dyDescent="0.2">
      <c r="A239" s="153" t="s">
        <v>811</v>
      </c>
      <c r="B239" s="154" t="s">
        <v>810</v>
      </c>
    </row>
    <row r="240" spans="1:2" x14ac:dyDescent="0.2">
      <c r="A240" s="153" t="s">
        <v>813</v>
      </c>
      <c r="B240" s="154" t="s">
        <v>812</v>
      </c>
    </row>
    <row r="241" spans="1:2" x14ac:dyDescent="0.2">
      <c r="A241" s="153" t="s">
        <v>815</v>
      </c>
      <c r="B241" s="154" t="s">
        <v>814</v>
      </c>
    </row>
    <row r="242" spans="1:2" x14ac:dyDescent="0.2">
      <c r="A242" s="153" t="s">
        <v>817</v>
      </c>
      <c r="B242" s="154" t="s">
        <v>816</v>
      </c>
    </row>
    <row r="243" spans="1:2" x14ac:dyDescent="0.2">
      <c r="A243" s="153" t="s">
        <v>819</v>
      </c>
      <c r="B243" s="154" t="s">
        <v>818</v>
      </c>
    </row>
    <row r="244" spans="1:2" x14ac:dyDescent="0.2">
      <c r="A244" s="153" t="s">
        <v>821</v>
      </c>
      <c r="B244" s="154" t="s">
        <v>820</v>
      </c>
    </row>
    <row r="245" spans="1:2" x14ac:dyDescent="0.2">
      <c r="A245" s="153" t="s">
        <v>823</v>
      </c>
      <c r="B245" s="154" t="s">
        <v>822</v>
      </c>
    </row>
    <row r="246" spans="1:2" x14ac:dyDescent="0.2">
      <c r="A246" s="153" t="s">
        <v>825</v>
      </c>
      <c r="B246" s="154" t="s">
        <v>824</v>
      </c>
    </row>
    <row r="247" spans="1:2" x14ac:dyDescent="0.2">
      <c r="A247" s="153" t="s">
        <v>827</v>
      </c>
      <c r="B247" s="154" t="s">
        <v>826</v>
      </c>
    </row>
    <row r="248" spans="1:2" x14ac:dyDescent="0.2">
      <c r="A248" s="153" t="s">
        <v>829</v>
      </c>
      <c r="B248" s="154" t="s">
        <v>828</v>
      </c>
    </row>
    <row r="249" spans="1:2" x14ac:dyDescent="0.2">
      <c r="A249" s="153" t="s">
        <v>831</v>
      </c>
      <c r="B249" s="154" t="s">
        <v>830</v>
      </c>
    </row>
    <row r="250" spans="1:2" x14ac:dyDescent="0.2">
      <c r="A250" s="153" t="s">
        <v>833</v>
      </c>
      <c r="B250" s="154" t="s">
        <v>832</v>
      </c>
    </row>
    <row r="251" spans="1:2" x14ac:dyDescent="0.2">
      <c r="A251" s="153" t="s">
        <v>835</v>
      </c>
      <c r="B251" s="154" t="s">
        <v>834</v>
      </c>
    </row>
    <row r="252" spans="1:2" ht="28.5" x14ac:dyDescent="0.2">
      <c r="A252" s="153" t="s">
        <v>837</v>
      </c>
      <c r="B252" s="154" t="s">
        <v>836</v>
      </c>
    </row>
    <row r="253" spans="1:2" x14ac:dyDescent="0.2">
      <c r="A253" s="153" t="s">
        <v>839</v>
      </c>
      <c r="B253" s="154" t="s">
        <v>838</v>
      </c>
    </row>
    <row r="254" spans="1:2" x14ac:dyDescent="0.2">
      <c r="A254" s="153" t="s">
        <v>841</v>
      </c>
      <c r="B254" s="154" t="s">
        <v>840</v>
      </c>
    </row>
    <row r="255" spans="1:2" x14ac:dyDescent="0.2">
      <c r="A255" s="153" t="s">
        <v>843</v>
      </c>
      <c r="B255" s="154" t="s">
        <v>842</v>
      </c>
    </row>
    <row r="256" spans="1:2" x14ac:dyDescent="0.2">
      <c r="A256" s="153" t="s">
        <v>845</v>
      </c>
      <c r="B256" s="154" t="s">
        <v>844</v>
      </c>
    </row>
    <row r="257" spans="1:2" x14ac:dyDescent="0.2">
      <c r="A257" s="153" t="s">
        <v>847</v>
      </c>
      <c r="B257" s="154" t="s">
        <v>846</v>
      </c>
    </row>
    <row r="258" spans="1:2" x14ac:dyDescent="0.2">
      <c r="A258" s="153" t="s">
        <v>849</v>
      </c>
      <c r="B258" s="154" t="s">
        <v>848</v>
      </c>
    </row>
    <row r="259" spans="1:2" x14ac:dyDescent="0.2">
      <c r="A259" s="153" t="s">
        <v>851</v>
      </c>
      <c r="B259" s="154" t="s">
        <v>850</v>
      </c>
    </row>
    <row r="260" spans="1:2" x14ac:dyDescent="0.2">
      <c r="A260" s="153" t="s">
        <v>853</v>
      </c>
      <c r="B260" s="154" t="s">
        <v>852</v>
      </c>
    </row>
    <row r="261" spans="1:2" x14ac:dyDescent="0.2">
      <c r="A261" s="153" t="s">
        <v>855</v>
      </c>
      <c r="B261" s="154" t="s">
        <v>854</v>
      </c>
    </row>
    <row r="262" spans="1:2" x14ac:dyDescent="0.2">
      <c r="A262" s="153" t="s">
        <v>857</v>
      </c>
      <c r="B262" s="154" t="s">
        <v>856</v>
      </c>
    </row>
    <row r="263" spans="1:2" x14ac:dyDescent="0.2">
      <c r="A263" s="153" t="s">
        <v>859</v>
      </c>
      <c r="B263" s="154" t="s">
        <v>858</v>
      </c>
    </row>
    <row r="264" spans="1:2" x14ac:dyDescent="0.2">
      <c r="A264" s="153" t="s">
        <v>861</v>
      </c>
      <c r="B264" s="154" t="s">
        <v>860</v>
      </c>
    </row>
    <row r="265" spans="1:2" x14ac:dyDescent="0.2">
      <c r="A265" s="153" t="s">
        <v>863</v>
      </c>
      <c r="B265" s="154" t="s">
        <v>862</v>
      </c>
    </row>
    <row r="266" spans="1:2" x14ac:dyDescent="0.2">
      <c r="A266" s="153" t="s">
        <v>865</v>
      </c>
      <c r="B266" s="154" t="s">
        <v>864</v>
      </c>
    </row>
    <row r="267" spans="1:2" x14ac:dyDescent="0.2">
      <c r="A267" s="153" t="s">
        <v>867</v>
      </c>
      <c r="B267" s="154" t="s">
        <v>866</v>
      </c>
    </row>
    <row r="268" spans="1:2" x14ac:dyDescent="0.2">
      <c r="A268" s="153" t="s">
        <v>869</v>
      </c>
      <c r="B268" s="154" t="s">
        <v>868</v>
      </c>
    </row>
    <row r="269" spans="1:2" x14ac:dyDescent="0.2">
      <c r="A269" s="153" t="s">
        <v>871</v>
      </c>
      <c r="B269" s="154" t="s">
        <v>870</v>
      </c>
    </row>
    <row r="270" spans="1:2" x14ac:dyDescent="0.2">
      <c r="A270" s="153" t="s">
        <v>873</v>
      </c>
      <c r="B270" s="154" t="s">
        <v>872</v>
      </c>
    </row>
    <row r="271" spans="1:2" x14ac:dyDescent="0.2">
      <c r="A271" s="153" t="s">
        <v>875</v>
      </c>
      <c r="B271" s="154" t="s">
        <v>874</v>
      </c>
    </row>
    <row r="272" spans="1:2" x14ac:dyDescent="0.2">
      <c r="A272" s="153" t="s">
        <v>877</v>
      </c>
      <c r="B272" s="154" t="s">
        <v>876</v>
      </c>
    </row>
    <row r="273" spans="1:2" x14ac:dyDescent="0.2">
      <c r="A273" s="153" t="s">
        <v>879</v>
      </c>
      <c r="B273" s="154" t="s">
        <v>878</v>
      </c>
    </row>
    <row r="274" spans="1:2" x14ac:dyDescent="0.2">
      <c r="A274" s="153" t="s">
        <v>881</v>
      </c>
      <c r="B274" s="154" t="s">
        <v>880</v>
      </c>
    </row>
    <row r="275" spans="1:2" x14ac:dyDescent="0.2">
      <c r="A275" s="153" t="s">
        <v>883</v>
      </c>
      <c r="B275" s="154" t="s">
        <v>882</v>
      </c>
    </row>
    <row r="276" spans="1:2" x14ac:dyDescent="0.2">
      <c r="A276" s="153" t="s">
        <v>885</v>
      </c>
      <c r="B276" s="154" t="s">
        <v>884</v>
      </c>
    </row>
    <row r="277" spans="1:2" x14ac:dyDescent="0.2">
      <c r="A277" s="153" t="s">
        <v>887</v>
      </c>
      <c r="B277" s="154" t="s">
        <v>886</v>
      </c>
    </row>
    <row r="278" spans="1:2" x14ac:dyDescent="0.2">
      <c r="A278" s="153" t="s">
        <v>889</v>
      </c>
      <c r="B278" s="154" t="s">
        <v>888</v>
      </c>
    </row>
    <row r="279" spans="1:2" x14ac:dyDescent="0.2">
      <c r="A279" s="153" t="s">
        <v>891</v>
      </c>
      <c r="B279" s="154" t="s">
        <v>890</v>
      </c>
    </row>
    <row r="280" spans="1:2" x14ac:dyDescent="0.2">
      <c r="A280" s="153" t="s">
        <v>893</v>
      </c>
      <c r="B280" s="154" t="s">
        <v>892</v>
      </c>
    </row>
    <row r="281" spans="1:2" x14ac:dyDescent="0.2">
      <c r="A281" s="153" t="s">
        <v>895</v>
      </c>
      <c r="B281" s="154" t="s">
        <v>894</v>
      </c>
    </row>
    <row r="282" spans="1:2" x14ac:dyDescent="0.2">
      <c r="A282" s="153" t="s">
        <v>897</v>
      </c>
      <c r="B282" s="154" t="s">
        <v>896</v>
      </c>
    </row>
    <row r="283" spans="1:2" x14ac:dyDescent="0.2">
      <c r="A283" s="153" t="s">
        <v>899</v>
      </c>
      <c r="B283" s="154" t="s">
        <v>898</v>
      </c>
    </row>
    <row r="284" spans="1:2" x14ac:dyDescent="0.2">
      <c r="A284" s="153" t="s">
        <v>901</v>
      </c>
      <c r="B284" s="154" t="s">
        <v>900</v>
      </c>
    </row>
    <row r="285" spans="1:2" x14ac:dyDescent="0.2">
      <c r="A285" s="153" t="s">
        <v>903</v>
      </c>
      <c r="B285" s="154" t="s">
        <v>902</v>
      </c>
    </row>
    <row r="286" spans="1:2" x14ac:dyDescent="0.2">
      <c r="A286" s="153" t="s">
        <v>905</v>
      </c>
      <c r="B286" s="154" t="s">
        <v>904</v>
      </c>
    </row>
    <row r="287" spans="1:2" x14ac:dyDescent="0.2">
      <c r="A287" s="153" t="s">
        <v>907</v>
      </c>
      <c r="B287" s="154" t="s">
        <v>906</v>
      </c>
    </row>
    <row r="288" spans="1:2" x14ac:dyDescent="0.2">
      <c r="A288" s="153" t="s">
        <v>909</v>
      </c>
      <c r="B288" s="154" t="s">
        <v>908</v>
      </c>
    </row>
    <row r="289" spans="1:2" x14ac:dyDescent="0.2">
      <c r="A289" s="153" t="s">
        <v>911</v>
      </c>
      <c r="B289" s="154" t="s">
        <v>910</v>
      </c>
    </row>
    <row r="290" spans="1:2" x14ac:dyDescent="0.2">
      <c r="A290" s="153" t="s">
        <v>913</v>
      </c>
      <c r="B290" s="154" t="s">
        <v>912</v>
      </c>
    </row>
    <row r="291" spans="1:2" x14ac:dyDescent="0.2">
      <c r="A291" s="153" t="s">
        <v>915</v>
      </c>
      <c r="B291" s="154" t="s">
        <v>914</v>
      </c>
    </row>
    <row r="292" spans="1:2" x14ac:dyDescent="0.2">
      <c r="A292" s="153" t="s">
        <v>917</v>
      </c>
      <c r="B292" s="154" t="s">
        <v>916</v>
      </c>
    </row>
    <row r="293" spans="1:2" x14ac:dyDescent="0.2">
      <c r="A293" s="153" t="s">
        <v>919</v>
      </c>
      <c r="B293" s="154" t="s">
        <v>918</v>
      </c>
    </row>
    <row r="294" spans="1:2" x14ac:dyDescent="0.2">
      <c r="A294" s="153" t="s">
        <v>921</v>
      </c>
      <c r="B294" s="154" t="s">
        <v>920</v>
      </c>
    </row>
    <row r="295" spans="1:2" x14ac:dyDescent="0.2">
      <c r="A295" s="153" t="s">
        <v>923</v>
      </c>
      <c r="B295" s="154" t="s">
        <v>922</v>
      </c>
    </row>
    <row r="296" spans="1:2" x14ac:dyDescent="0.2">
      <c r="A296" s="153" t="s">
        <v>925</v>
      </c>
      <c r="B296" s="154" t="s">
        <v>924</v>
      </c>
    </row>
    <row r="297" spans="1:2" x14ac:dyDescent="0.2">
      <c r="A297" s="153" t="s">
        <v>927</v>
      </c>
      <c r="B297" s="154" t="s">
        <v>926</v>
      </c>
    </row>
    <row r="298" spans="1:2" x14ac:dyDescent="0.2">
      <c r="A298" s="153" t="s">
        <v>929</v>
      </c>
      <c r="B298" s="154" t="s">
        <v>928</v>
      </c>
    </row>
    <row r="299" spans="1:2" x14ac:dyDescent="0.2">
      <c r="A299" s="153" t="s">
        <v>9818</v>
      </c>
      <c r="B299" s="154" t="s">
        <v>930</v>
      </c>
    </row>
    <row r="300" spans="1:2" x14ac:dyDescent="0.2">
      <c r="A300" s="153" t="s">
        <v>932</v>
      </c>
      <c r="B300" s="154" t="s">
        <v>931</v>
      </c>
    </row>
    <row r="301" spans="1:2" x14ac:dyDescent="0.2">
      <c r="A301" s="153" t="s">
        <v>934</v>
      </c>
      <c r="B301" s="154" t="s">
        <v>933</v>
      </c>
    </row>
    <row r="302" spans="1:2" x14ac:dyDescent="0.2">
      <c r="A302" s="153" t="s">
        <v>936</v>
      </c>
      <c r="B302" s="154" t="s">
        <v>935</v>
      </c>
    </row>
    <row r="303" spans="1:2" x14ac:dyDescent="0.2">
      <c r="A303" s="153" t="s">
        <v>938</v>
      </c>
      <c r="B303" s="154" t="s">
        <v>937</v>
      </c>
    </row>
    <row r="304" spans="1:2" x14ac:dyDescent="0.2">
      <c r="A304" s="153" t="s">
        <v>940</v>
      </c>
      <c r="B304" s="154" t="s">
        <v>939</v>
      </c>
    </row>
    <row r="305" spans="1:2" x14ac:dyDescent="0.2">
      <c r="A305" s="153" t="s">
        <v>942</v>
      </c>
      <c r="B305" s="154" t="s">
        <v>941</v>
      </c>
    </row>
    <row r="306" spans="1:2" x14ac:dyDescent="0.2">
      <c r="A306" s="153" t="s">
        <v>944</v>
      </c>
      <c r="B306" s="154" t="s">
        <v>943</v>
      </c>
    </row>
    <row r="307" spans="1:2" x14ac:dyDescent="0.2">
      <c r="A307" s="153" t="s">
        <v>946</v>
      </c>
      <c r="B307" s="154" t="s">
        <v>945</v>
      </c>
    </row>
    <row r="308" spans="1:2" x14ac:dyDescent="0.2">
      <c r="A308" s="153" t="s">
        <v>948</v>
      </c>
      <c r="B308" s="154" t="s">
        <v>947</v>
      </c>
    </row>
    <row r="309" spans="1:2" x14ac:dyDescent="0.2">
      <c r="A309" s="153" t="s">
        <v>950</v>
      </c>
      <c r="B309" s="154" t="s">
        <v>949</v>
      </c>
    </row>
    <row r="310" spans="1:2" x14ac:dyDescent="0.2">
      <c r="A310" s="153" t="s">
        <v>952</v>
      </c>
      <c r="B310" s="154" t="s">
        <v>951</v>
      </c>
    </row>
    <row r="311" spans="1:2" x14ac:dyDescent="0.2">
      <c r="A311" s="153" t="s">
        <v>954</v>
      </c>
      <c r="B311" s="154" t="s">
        <v>953</v>
      </c>
    </row>
    <row r="312" spans="1:2" x14ac:dyDescent="0.2">
      <c r="A312" s="153" t="s">
        <v>956</v>
      </c>
      <c r="B312" s="154" t="s">
        <v>955</v>
      </c>
    </row>
    <row r="313" spans="1:2" x14ac:dyDescent="0.2">
      <c r="A313" s="153" t="s">
        <v>958</v>
      </c>
      <c r="B313" s="154" t="s">
        <v>957</v>
      </c>
    </row>
    <row r="314" spans="1:2" x14ac:dyDescent="0.2">
      <c r="A314" s="153" t="s">
        <v>960</v>
      </c>
      <c r="B314" s="154" t="s">
        <v>959</v>
      </c>
    </row>
    <row r="315" spans="1:2" x14ac:dyDescent="0.2">
      <c r="A315" s="153" t="s">
        <v>962</v>
      </c>
      <c r="B315" s="154" t="s">
        <v>961</v>
      </c>
    </row>
    <row r="316" spans="1:2" x14ac:dyDescent="0.2">
      <c r="A316" s="153" t="s">
        <v>964</v>
      </c>
      <c r="B316" s="154" t="s">
        <v>963</v>
      </c>
    </row>
    <row r="317" spans="1:2" x14ac:dyDescent="0.2">
      <c r="A317" s="153" t="s">
        <v>966</v>
      </c>
      <c r="B317" s="154" t="s">
        <v>965</v>
      </c>
    </row>
    <row r="318" spans="1:2" x14ac:dyDescent="0.2">
      <c r="A318" s="153" t="s">
        <v>968</v>
      </c>
      <c r="B318" s="154" t="s">
        <v>967</v>
      </c>
    </row>
    <row r="319" spans="1:2" x14ac:dyDescent="0.2">
      <c r="A319" s="153" t="s">
        <v>970</v>
      </c>
      <c r="B319" s="154" t="s">
        <v>969</v>
      </c>
    </row>
    <row r="320" spans="1:2" x14ac:dyDescent="0.2">
      <c r="A320" s="153" t="s">
        <v>972</v>
      </c>
      <c r="B320" s="154" t="s">
        <v>971</v>
      </c>
    </row>
    <row r="321" spans="1:2" x14ac:dyDescent="0.2">
      <c r="A321" s="153" t="s">
        <v>974</v>
      </c>
      <c r="B321" s="154" t="s">
        <v>973</v>
      </c>
    </row>
    <row r="322" spans="1:2" x14ac:dyDescent="0.2">
      <c r="A322" s="153" t="s">
        <v>976</v>
      </c>
      <c r="B322" s="154" t="s">
        <v>975</v>
      </c>
    </row>
    <row r="323" spans="1:2" x14ac:dyDescent="0.2">
      <c r="A323" s="153" t="s">
        <v>978</v>
      </c>
      <c r="B323" s="154" t="s">
        <v>977</v>
      </c>
    </row>
    <row r="324" spans="1:2" x14ac:dyDescent="0.2">
      <c r="A324" s="153" t="s">
        <v>980</v>
      </c>
      <c r="B324" s="154" t="s">
        <v>979</v>
      </c>
    </row>
    <row r="325" spans="1:2" x14ac:dyDescent="0.2">
      <c r="A325" s="153" t="s">
        <v>982</v>
      </c>
      <c r="B325" s="154" t="s">
        <v>981</v>
      </c>
    </row>
    <row r="326" spans="1:2" x14ac:dyDescent="0.2">
      <c r="A326" s="153" t="s">
        <v>984</v>
      </c>
      <c r="B326" s="154" t="s">
        <v>983</v>
      </c>
    </row>
    <row r="327" spans="1:2" x14ac:dyDescent="0.2">
      <c r="A327" s="153" t="s">
        <v>986</v>
      </c>
      <c r="B327" s="154" t="s">
        <v>985</v>
      </c>
    </row>
    <row r="328" spans="1:2" x14ac:dyDescent="0.2">
      <c r="A328" s="153" t="s">
        <v>988</v>
      </c>
      <c r="B328" s="154" t="s">
        <v>987</v>
      </c>
    </row>
    <row r="329" spans="1:2" x14ac:dyDescent="0.2">
      <c r="A329" s="153" t="s">
        <v>990</v>
      </c>
      <c r="B329" s="154" t="s">
        <v>989</v>
      </c>
    </row>
    <row r="330" spans="1:2" x14ac:dyDescent="0.2">
      <c r="A330" s="153" t="s">
        <v>992</v>
      </c>
      <c r="B330" s="154" t="s">
        <v>991</v>
      </c>
    </row>
    <row r="331" spans="1:2" x14ac:dyDescent="0.2">
      <c r="A331" s="153" t="s">
        <v>994</v>
      </c>
      <c r="B331" s="154" t="s">
        <v>993</v>
      </c>
    </row>
    <row r="332" spans="1:2" x14ac:dyDescent="0.2">
      <c r="A332" s="153" t="s">
        <v>996</v>
      </c>
      <c r="B332" s="154" t="s">
        <v>995</v>
      </c>
    </row>
    <row r="333" spans="1:2" ht="28.5" x14ac:dyDescent="0.2">
      <c r="A333" s="153" t="s">
        <v>998</v>
      </c>
      <c r="B333" s="154" t="s">
        <v>997</v>
      </c>
    </row>
    <row r="334" spans="1:2" x14ac:dyDescent="0.2">
      <c r="A334" s="153" t="s">
        <v>1000</v>
      </c>
      <c r="B334" s="154" t="s">
        <v>999</v>
      </c>
    </row>
    <row r="335" spans="1:2" x14ac:dyDescent="0.2">
      <c r="A335" s="153" t="s">
        <v>1002</v>
      </c>
      <c r="B335" s="154" t="s">
        <v>1001</v>
      </c>
    </row>
    <row r="336" spans="1:2" x14ac:dyDescent="0.2">
      <c r="A336" s="153" t="s">
        <v>1004</v>
      </c>
      <c r="B336" s="154" t="s">
        <v>1003</v>
      </c>
    </row>
    <row r="337" spans="1:2" x14ac:dyDescent="0.2">
      <c r="A337" s="153" t="s">
        <v>1006</v>
      </c>
      <c r="B337" s="154" t="s">
        <v>1005</v>
      </c>
    </row>
    <row r="338" spans="1:2" x14ac:dyDescent="0.2">
      <c r="A338" s="153" t="s">
        <v>1008</v>
      </c>
      <c r="B338" s="154" t="s">
        <v>1007</v>
      </c>
    </row>
    <row r="339" spans="1:2" x14ac:dyDescent="0.2">
      <c r="A339" s="153" t="s">
        <v>1010</v>
      </c>
      <c r="B339" s="154" t="s">
        <v>1009</v>
      </c>
    </row>
    <row r="340" spans="1:2" x14ac:dyDescent="0.2">
      <c r="A340" s="153" t="s">
        <v>1012</v>
      </c>
      <c r="B340" s="154" t="s">
        <v>1011</v>
      </c>
    </row>
    <row r="341" spans="1:2" x14ac:dyDescent="0.2">
      <c r="A341" s="153" t="s">
        <v>1014</v>
      </c>
      <c r="B341" s="154" t="s">
        <v>1013</v>
      </c>
    </row>
    <row r="342" spans="1:2" x14ac:dyDescent="0.2">
      <c r="A342" s="153" t="s">
        <v>1016</v>
      </c>
      <c r="B342" s="154" t="s">
        <v>1015</v>
      </c>
    </row>
    <row r="343" spans="1:2" x14ac:dyDescent="0.2">
      <c r="A343" s="153" t="s">
        <v>1018</v>
      </c>
      <c r="B343" s="154" t="s">
        <v>1017</v>
      </c>
    </row>
    <row r="344" spans="1:2" x14ac:dyDescent="0.2">
      <c r="A344" s="153" t="s">
        <v>1020</v>
      </c>
      <c r="B344" s="154" t="s">
        <v>1019</v>
      </c>
    </row>
    <row r="345" spans="1:2" x14ac:dyDescent="0.2">
      <c r="A345" s="153" t="s">
        <v>1022</v>
      </c>
      <c r="B345" s="154" t="s">
        <v>1021</v>
      </c>
    </row>
    <row r="346" spans="1:2" x14ac:dyDescent="0.2">
      <c r="A346" s="153" t="s">
        <v>1024</v>
      </c>
      <c r="B346" s="154" t="s">
        <v>1023</v>
      </c>
    </row>
    <row r="347" spans="1:2" x14ac:dyDescent="0.2">
      <c r="A347" s="153" t="s">
        <v>1026</v>
      </c>
      <c r="B347" s="154" t="s">
        <v>1025</v>
      </c>
    </row>
    <row r="348" spans="1:2" x14ac:dyDescent="0.2">
      <c r="A348" s="153" t="s">
        <v>1028</v>
      </c>
      <c r="B348" s="154" t="s">
        <v>1027</v>
      </c>
    </row>
    <row r="349" spans="1:2" x14ac:dyDescent="0.2">
      <c r="A349" s="153" t="s">
        <v>1030</v>
      </c>
      <c r="B349" s="154" t="s">
        <v>1029</v>
      </c>
    </row>
    <row r="350" spans="1:2" x14ac:dyDescent="0.2">
      <c r="A350" s="153" t="s">
        <v>1032</v>
      </c>
      <c r="B350" s="154" t="s">
        <v>1031</v>
      </c>
    </row>
    <row r="351" spans="1:2" x14ac:dyDescent="0.2">
      <c r="A351" s="153" t="s">
        <v>1034</v>
      </c>
      <c r="B351" s="154" t="s">
        <v>1033</v>
      </c>
    </row>
    <row r="352" spans="1:2" x14ac:dyDescent="0.2">
      <c r="A352" s="153" t="s">
        <v>1036</v>
      </c>
      <c r="B352" s="154" t="s">
        <v>1035</v>
      </c>
    </row>
    <row r="353" spans="1:2" x14ac:dyDescent="0.2">
      <c r="A353" s="153" t="s">
        <v>1038</v>
      </c>
      <c r="B353" s="154" t="s">
        <v>1037</v>
      </c>
    </row>
    <row r="354" spans="1:2" x14ac:dyDescent="0.2">
      <c r="A354" s="153" t="s">
        <v>1040</v>
      </c>
      <c r="B354" s="154" t="s">
        <v>1039</v>
      </c>
    </row>
    <row r="355" spans="1:2" x14ac:dyDescent="0.2">
      <c r="A355" s="153" t="s">
        <v>1042</v>
      </c>
      <c r="B355" s="154" t="s">
        <v>1041</v>
      </c>
    </row>
    <row r="356" spans="1:2" x14ac:dyDescent="0.2">
      <c r="A356" s="153" t="s">
        <v>1044</v>
      </c>
      <c r="B356" s="154" t="s">
        <v>1043</v>
      </c>
    </row>
    <row r="357" spans="1:2" x14ac:dyDescent="0.2">
      <c r="A357" s="153" t="s">
        <v>1046</v>
      </c>
      <c r="B357" s="154" t="s">
        <v>1045</v>
      </c>
    </row>
    <row r="358" spans="1:2" x14ac:dyDescent="0.2">
      <c r="A358" s="153" t="s">
        <v>1048</v>
      </c>
      <c r="B358" s="154" t="s">
        <v>1047</v>
      </c>
    </row>
    <row r="359" spans="1:2" x14ac:dyDescent="0.2">
      <c r="A359" s="153" t="s">
        <v>1050</v>
      </c>
      <c r="B359" s="154" t="s">
        <v>1049</v>
      </c>
    </row>
    <row r="360" spans="1:2" x14ac:dyDescent="0.2">
      <c r="A360" s="153" t="s">
        <v>1052</v>
      </c>
      <c r="B360" s="154" t="s">
        <v>1051</v>
      </c>
    </row>
    <row r="361" spans="1:2" x14ac:dyDescent="0.2">
      <c r="A361" s="153" t="s">
        <v>1054</v>
      </c>
      <c r="B361" s="154" t="s">
        <v>1053</v>
      </c>
    </row>
    <row r="362" spans="1:2" x14ac:dyDescent="0.2">
      <c r="A362" s="153" t="s">
        <v>1056</v>
      </c>
      <c r="B362" s="154" t="s">
        <v>1055</v>
      </c>
    </row>
    <row r="363" spans="1:2" x14ac:dyDescent="0.2">
      <c r="A363" s="153" t="s">
        <v>1058</v>
      </c>
      <c r="B363" s="154" t="s">
        <v>1057</v>
      </c>
    </row>
    <row r="364" spans="1:2" x14ac:dyDescent="0.2">
      <c r="A364" s="153" t="s">
        <v>1060</v>
      </c>
      <c r="B364" s="154" t="s">
        <v>1059</v>
      </c>
    </row>
    <row r="365" spans="1:2" x14ac:dyDescent="0.2">
      <c r="A365" s="153" t="s">
        <v>1062</v>
      </c>
      <c r="B365" s="154" t="s">
        <v>1061</v>
      </c>
    </row>
    <row r="366" spans="1:2" x14ac:dyDescent="0.2">
      <c r="A366" s="153" t="s">
        <v>1064</v>
      </c>
      <c r="B366" s="154" t="s">
        <v>1063</v>
      </c>
    </row>
    <row r="367" spans="1:2" x14ac:dyDescent="0.2">
      <c r="A367" s="153" t="s">
        <v>1065</v>
      </c>
      <c r="B367" s="154" t="s">
        <v>9886</v>
      </c>
    </row>
    <row r="368" spans="1:2" x14ac:dyDescent="0.2">
      <c r="A368" s="153" t="s">
        <v>1067</v>
      </c>
      <c r="B368" s="154" t="s">
        <v>1066</v>
      </c>
    </row>
    <row r="369" spans="1:2" x14ac:dyDescent="0.2">
      <c r="A369" s="153" t="s">
        <v>1069</v>
      </c>
      <c r="B369" s="154" t="s">
        <v>1068</v>
      </c>
    </row>
    <row r="370" spans="1:2" x14ac:dyDescent="0.2">
      <c r="A370" s="153" t="s">
        <v>1071</v>
      </c>
      <c r="B370" s="154" t="s">
        <v>1070</v>
      </c>
    </row>
    <row r="371" spans="1:2" x14ac:dyDescent="0.2">
      <c r="A371" s="153" t="s">
        <v>1073</v>
      </c>
      <c r="B371" s="154" t="s">
        <v>1072</v>
      </c>
    </row>
    <row r="372" spans="1:2" x14ac:dyDescent="0.2">
      <c r="A372" s="153" t="s">
        <v>1075</v>
      </c>
      <c r="B372" s="154" t="s">
        <v>1074</v>
      </c>
    </row>
    <row r="373" spans="1:2" x14ac:dyDescent="0.2">
      <c r="A373" s="153" t="s">
        <v>1077</v>
      </c>
      <c r="B373" s="154" t="s">
        <v>1076</v>
      </c>
    </row>
    <row r="374" spans="1:2" x14ac:dyDescent="0.2">
      <c r="A374" s="153" t="s">
        <v>1079</v>
      </c>
      <c r="B374" s="154" t="s">
        <v>1078</v>
      </c>
    </row>
    <row r="375" spans="1:2" x14ac:dyDescent="0.2">
      <c r="A375" s="153" t="s">
        <v>1081</v>
      </c>
      <c r="B375" s="154" t="s">
        <v>1080</v>
      </c>
    </row>
    <row r="376" spans="1:2" x14ac:dyDescent="0.2">
      <c r="A376" s="153" t="s">
        <v>1083</v>
      </c>
      <c r="B376" s="154" t="s">
        <v>1082</v>
      </c>
    </row>
    <row r="377" spans="1:2" x14ac:dyDescent="0.2">
      <c r="A377" s="153" t="s">
        <v>1085</v>
      </c>
      <c r="B377" s="154" t="s">
        <v>1084</v>
      </c>
    </row>
    <row r="378" spans="1:2" x14ac:dyDescent="0.2">
      <c r="A378" s="153" t="s">
        <v>1087</v>
      </c>
      <c r="B378" s="154" t="s">
        <v>1086</v>
      </c>
    </row>
    <row r="379" spans="1:2" x14ac:dyDescent="0.2">
      <c r="A379" s="153" t="s">
        <v>1089</v>
      </c>
      <c r="B379" s="154" t="s">
        <v>1088</v>
      </c>
    </row>
    <row r="380" spans="1:2" x14ac:dyDescent="0.2">
      <c r="A380" s="153" t="s">
        <v>1091</v>
      </c>
      <c r="B380" s="154" t="s">
        <v>1090</v>
      </c>
    </row>
    <row r="381" spans="1:2" x14ac:dyDescent="0.2">
      <c r="A381" s="153" t="s">
        <v>1093</v>
      </c>
      <c r="B381" s="154" t="s">
        <v>1092</v>
      </c>
    </row>
    <row r="382" spans="1:2" x14ac:dyDescent="0.2">
      <c r="A382" s="153" t="s">
        <v>9819</v>
      </c>
      <c r="B382" s="154" t="s">
        <v>1094</v>
      </c>
    </row>
    <row r="383" spans="1:2" x14ac:dyDescent="0.2">
      <c r="A383" s="153" t="s">
        <v>1096</v>
      </c>
      <c r="B383" s="154" t="s">
        <v>1095</v>
      </c>
    </row>
    <row r="384" spans="1:2" x14ac:dyDescent="0.2">
      <c r="A384" s="153" t="s">
        <v>1098</v>
      </c>
      <c r="B384" s="154" t="s">
        <v>1097</v>
      </c>
    </row>
    <row r="385" spans="1:2" x14ac:dyDescent="0.2">
      <c r="A385" s="153" t="s">
        <v>1100</v>
      </c>
      <c r="B385" s="154" t="s">
        <v>1099</v>
      </c>
    </row>
    <row r="386" spans="1:2" x14ac:dyDescent="0.2">
      <c r="A386" s="153" t="s">
        <v>1102</v>
      </c>
      <c r="B386" s="154" t="s">
        <v>1101</v>
      </c>
    </row>
    <row r="387" spans="1:2" x14ac:dyDescent="0.2">
      <c r="A387" s="153" t="s">
        <v>1104</v>
      </c>
      <c r="B387" s="154" t="s">
        <v>1103</v>
      </c>
    </row>
    <row r="388" spans="1:2" x14ac:dyDescent="0.2">
      <c r="A388" s="153" t="s">
        <v>9820</v>
      </c>
      <c r="B388" s="154" t="s">
        <v>1105</v>
      </c>
    </row>
    <row r="389" spans="1:2" x14ac:dyDescent="0.2">
      <c r="A389" s="153" t="s">
        <v>1107</v>
      </c>
      <c r="B389" s="154" t="s">
        <v>1106</v>
      </c>
    </row>
    <row r="390" spans="1:2" x14ac:dyDescent="0.2">
      <c r="A390" s="153" t="s">
        <v>1109</v>
      </c>
      <c r="B390" s="154" t="s">
        <v>1108</v>
      </c>
    </row>
    <row r="391" spans="1:2" x14ac:dyDescent="0.2">
      <c r="A391" s="153" t="s">
        <v>1111</v>
      </c>
      <c r="B391" s="154" t="s">
        <v>1110</v>
      </c>
    </row>
    <row r="392" spans="1:2" x14ac:dyDescent="0.2">
      <c r="A392" s="153" t="s">
        <v>1113</v>
      </c>
      <c r="B392" s="154" t="s">
        <v>1112</v>
      </c>
    </row>
    <row r="393" spans="1:2" x14ac:dyDescent="0.2">
      <c r="A393" s="153" t="s">
        <v>1115</v>
      </c>
      <c r="B393" s="154" t="s">
        <v>1114</v>
      </c>
    </row>
    <row r="394" spans="1:2" x14ac:dyDescent="0.2">
      <c r="A394" s="153" t="s">
        <v>1117</v>
      </c>
      <c r="B394" s="154" t="s">
        <v>1116</v>
      </c>
    </row>
    <row r="395" spans="1:2" x14ac:dyDescent="0.2">
      <c r="A395" s="153" t="s">
        <v>1119</v>
      </c>
      <c r="B395" s="154" t="s">
        <v>1118</v>
      </c>
    </row>
    <row r="396" spans="1:2" x14ac:dyDescent="0.2">
      <c r="A396" s="153" t="s">
        <v>1121</v>
      </c>
      <c r="B396" s="154" t="s">
        <v>1120</v>
      </c>
    </row>
    <row r="397" spans="1:2" x14ac:dyDescent="0.2">
      <c r="A397" s="153" t="s">
        <v>1123</v>
      </c>
      <c r="B397" s="154" t="s">
        <v>1122</v>
      </c>
    </row>
    <row r="398" spans="1:2" x14ac:dyDescent="0.2">
      <c r="A398" s="153" t="s">
        <v>9821</v>
      </c>
      <c r="B398" s="154" t="s">
        <v>1124</v>
      </c>
    </row>
    <row r="399" spans="1:2" x14ac:dyDescent="0.2">
      <c r="A399" s="153" t="s">
        <v>1126</v>
      </c>
      <c r="B399" s="154" t="s">
        <v>1125</v>
      </c>
    </row>
    <row r="400" spans="1:2" x14ac:dyDescent="0.2">
      <c r="A400" s="153" t="s">
        <v>1128</v>
      </c>
      <c r="B400" s="154" t="s">
        <v>1127</v>
      </c>
    </row>
    <row r="401" spans="1:2" x14ac:dyDescent="0.2">
      <c r="A401" s="153" t="s">
        <v>9822</v>
      </c>
      <c r="B401" s="154" t="s">
        <v>1129</v>
      </c>
    </row>
    <row r="402" spans="1:2" x14ac:dyDescent="0.2">
      <c r="A402" s="153" t="s">
        <v>9823</v>
      </c>
      <c r="B402" s="154" t="s">
        <v>1130</v>
      </c>
    </row>
    <row r="403" spans="1:2" x14ac:dyDescent="0.2">
      <c r="A403" s="153" t="s">
        <v>1132</v>
      </c>
      <c r="B403" s="154" t="s">
        <v>1131</v>
      </c>
    </row>
    <row r="404" spans="1:2" x14ac:dyDescent="0.2">
      <c r="A404" s="153" t="s">
        <v>9824</v>
      </c>
      <c r="B404" s="154" t="s">
        <v>1133</v>
      </c>
    </row>
    <row r="405" spans="1:2" x14ac:dyDescent="0.2">
      <c r="A405" s="153" t="s">
        <v>1135</v>
      </c>
      <c r="B405" s="154" t="s">
        <v>1134</v>
      </c>
    </row>
    <row r="406" spans="1:2" x14ac:dyDescent="0.2">
      <c r="A406" s="153" t="s">
        <v>1137</v>
      </c>
      <c r="B406" s="154" t="s">
        <v>1136</v>
      </c>
    </row>
    <row r="407" spans="1:2" x14ac:dyDescent="0.2">
      <c r="A407" s="153" t="s">
        <v>1139</v>
      </c>
      <c r="B407" s="154" t="s">
        <v>1138</v>
      </c>
    </row>
    <row r="408" spans="1:2" x14ac:dyDescent="0.2">
      <c r="A408" s="153" t="s">
        <v>1141</v>
      </c>
      <c r="B408" s="154" t="s">
        <v>1140</v>
      </c>
    </row>
    <row r="409" spans="1:2" x14ac:dyDescent="0.2">
      <c r="A409" s="153" t="s">
        <v>1143</v>
      </c>
      <c r="B409" s="154" t="s">
        <v>1142</v>
      </c>
    </row>
    <row r="410" spans="1:2" x14ac:dyDescent="0.2">
      <c r="A410" s="153" t="s">
        <v>1145</v>
      </c>
      <c r="B410" s="154" t="s">
        <v>1144</v>
      </c>
    </row>
    <row r="411" spans="1:2" ht="28.5" x14ac:dyDescent="0.2">
      <c r="A411" s="153" t="s">
        <v>1147</v>
      </c>
      <c r="B411" s="154" t="s">
        <v>1146</v>
      </c>
    </row>
    <row r="412" spans="1:2" x14ac:dyDescent="0.2">
      <c r="A412" s="153" t="s">
        <v>1149</v>
      </c>
      <c r="B412" s="154" t="s">
        <v>1148</v>
      </c>
    </row>
    <row r="413" spans="1:2" x14ac:dyDescent="0.2">
      <c r="A413" s="153" t="s">
        <v>1151</v>
      </c>
      <c r="B413" s="154" t="s">
        <v>1150</v>
      </c>
    </row>
    <row r="414" spans="1:2" x14ac:dyDescent="0.2">
      <c r="A414" s="153" t="s">
        <v>1153</v>
      </c>
      <c r="B414" s="154" t="s">
        <v>1152</v>
      </c>
    </row>
    <row r="415" spans="1:2" x14ac:dyDescent="0.2">
      <c r="A415" s="153" t="s">
        <v>1155</v>
      </c>
      <c r="B415" s="154" t="s">
        <v>1154</v>
      </c>
    </row>
    <row r="416" spans="1:2" x14ac:dyDescent="0.2">
      <c r="A416" s="153" t="s">
        <v>1157</v>
      </c>
      <c r="B416" s="154" t="s">
        <v>1156</v>
      </c>
    </row>
    <row r="417" spans="1:2" x14ac:dyDescent="0.2">
      <c r="A417" s="153" t="s">
        <v>1159</v>
      </c>
      <c r="B417" s="154" t="s">
        <v>1158</v>
      </c>
    </row>
    <row r="418" spans="1:2" x14ac:dyDescent="0.2">
      <c r="A418" s="153" t="s">
        <v>1161</v>
      </c>
      <c r="B418" s="154" t="s">
        <v>1160</v>
      </c>
    </row>
    <row r="419" spans="1:2" x14ac:dyDescent="0.2">
      <c r="A419" s="153" t="s">
        <v>1163</v>
      </c>
      <c r="B419" s="154" t="s">
        <v>1162</v>
      </c>
    </row>
    <row r="420" spans="1:2" x14ac:dyDescent="0.2">
      <c r="A420" s="153" t="s">
        <v>1165</v>
      </c>
      <c r="B420" s="154" t="s">
        <v>1164</v>
      </c>
    </row>
    <row r="421" spans="1:2" x14ac:dyDescent="0.2">
      <c r="A421" s="153" t="s">
        <v>1167</v>
      </c>
      <c r="B421" s="154" t="s">
        <v>1166</v>
      </c>
    </row>
    <row r="422" spans="1:2" x14ac:dyDescent="0.2">
      <c r="A422" s="153" t="s">
        <v>1169</v>
      </c>
      <c r="B422" s="154" t="s">
        <v>1168</v>
      </c>
    </row>
    <row r="423" spans="1:2" x14ac:dyDescent="0.2">
      <c r="A423" s="153" t="s">
        <v>1171</v>
      </c>
      <c r="B423" s="154" t="s">
        <v>1170</v>
      </c>
    </row>
    <row r="424" spans="1:2" x14ac:dyDescent="0.2">
      <c r="A424" s="153" t="s">
        <v>1173</v>
      </c>
      <c r="B424" s="154" t="s">
        <v>1172</v>
      </c>
    </row>
    <row r="425" spans="1:2" x14ac:dyDescent="0.2">
      <c r="A425" s="153" t="s">
        <v>1175</v>
      </c>
      <c r="B425" s="154" t="s">
        <v>1174</v>
      </c>
    </row>
    <row r="426" spans="1:2" x14ac:dyDescent="0.2">
      <c r="A426" s="153" t="s">
        <v>1177</v>
      </c>
      <c r="B426" s="154" t="s">
        <v>1176</v>
      </c>
    </row>
    <row r="427" spans="1:2" x14ac:dyDescent="0.2">
      <c r="A427" s="153" t="s">
        <v>1179</v>
      </c>
      <c r="B427" s="154" t="s">
        <v>1178</v>
      </c>
    </row>
    <row r="428" spans="1:2" x14ac:dyDescent="0.2">
      <c r="A428" s="153" t="s">
        <v>1181</v>
      </c>
      <c r="B428" s="154" t="s">
        <v>1180</v>
      </c>
    </row>
    <row r="429" spans="1:2" x14ac:dyDescent="0.2">
      <c r="A429" s="153" t="s">
        <v>1183</v>
      </c>
      <c r="B429" s="154" t="s">
        <v>1182</v>
      </c>
    </row>
    <row r="430" spans="1:2" x14ac:dyDescent="0.2">
      <c r="A430" s="153" t="s">
        <v>1185</v>
      </c>
      <c r="B430" s="154" t="s">
        <v>1184</v>
      </c>
    </row>
    <row r="431" spans="1:2" x14ac:dyDescent="0.2">
      <c r="A431" s="153" t="s">
        <v>1187</v>
      </c>
      <c r="B431" s="154" t="s">
        <v>1186</v>
      </c>
    </row>
    <row r="432" spans="1:2" x14ac:dyDescent="0.2">
      <c r="A432" s="153" t="s">
        <v>1189</v>
      </c>
      <c r="B432" s="154" t="s">
        <v>1188</v>
      </c>
    </row>
    <row r="433" spans="1:2" x14ac:dyDescent="0.2">
      <c r="A433" s="153" t="s">
        <v>1191</v>
      </c>
      <c r="B433" s="154" t="s">
        <v>1190</v>
      </c>
    </row>
    <row r="434" spans="1:2" x14ac:dyDescent="0.2">
      <c r="A434" s="153" t="s">
        <v>1193</v>
      </c>
      <c r="B434" s="154" t="s">
        <v>1192</v>
      </c>
    </row>
    <row r="435" spans="1:2" x14ac:dyDescent="0.2">
      <c r="A435" s="153" t="s">
        <v>1195</v>
      </c>
      <c r="B435" s="154" t="s">
        <v>1194</v>
      </c>
    </row>
    <row r="436" spans="1:2" x14ac:dyDescent="0.2">
      <c r="A436" s="153" t="s">
        <v>1197</v>
      </c>
      <c r="B436" s="154" t="s">
        <v>1196</v>
      </c>
    </row>
    <row r="437" spans="1:2" x14ac:dyDescent="0.2">
      <c r="A437" s="153" t="s">
        <v>1199</v>
      </c>
      <c r="B437" s="154" t="s">
        <v>1198</v>
      </c>
    </row>
    <row r="438" spans="1:2" x14ac:dyDescent="0.2">
      <c r="A438" s="153" t="s">
        <v>1201</v>
      </c>
      <c r="B438" s="154" t="s">
        <v>1200</v>
      </c>
    </row>
    <row r="439" spans="1:2" x14ac:dyDescent="0.2">
      <c r="A439" s="153" t="s">
        <v>1203</v>
      </c>
      <c r="B439" s="154" t="s">
        <v>1202</v>
      </c>
    </row>
    <row r="440" spans="1:2" x14ac:dyDescent="0.2">
      <c r="A440" s="153" t="s">
        <v>1205</v>
      </c>
      <c r="B440" s="154" t="s">
        <v>1204</v>
      </c>
    </row>
    <row r="441" spans="1:2" x14ac:dyDescent="0.2">
      <c r="A441" s="153" t="s">
        <v>1207</v>
      </c>
      <c r="B441" s="154" t="s">
        <v>1206</v>
      </c>
    </row>
    <row r="442" spans="1:2" x14ac:dyDescent="0.2">
      <c r="A442" s="153" t="s">
        <v>1209</v>
      </c>
      <c r="B442" s="154" t="s">
        <v>1208</v>
      </c>
    </row>
    <row r="443" spans="1:2" x14ac:dyDescent="0.2">
      <c r="A443" s="153" t="s">
        <v>1211</v>
      </c>
      <c r="B443" s="154" t="s">
        <v>1210</v>
      </c>
    </row>
    <row r="444" spans="1:2" x14ac:dyDescent="0.2">
      <c r="A444" s="153" t="s">
        <v>1213</v>
      </c>
      <c r="B444" s="154" t="s">
        <v>1212</v>
      </c>
    </row>
    <row r="445" spans="1:2" x14ac:dyDescent="0.2">
      <c r="A445" s="153" t="s">
        <v>1215</v>
      </c>
      <c r="B445" s="154" t="s">
        <v>1214</v>
      </c>
    </row>
    <row r="446" spans="1:2" x14ac:dyDescent="0.2">
      <c r="A446" s="153" t="s">
        <v>1217</v>
      </c>
      <c r="B446" s="154" t="s">
        <v>1216</v>
      </c>
    </row>
    <row r="447" spans="1:2" x14ac:dyDescent="0.2">
      <c r="A447" s="153" t="s">
        <v>1219</v>
      </c>
      <c r="B447" s="154" t="s">
        <v>1218</v>
      </c>
    </row>
    <row r="448" spans="1:2" x14ac:dyDescent="0.2">
      <c r="A448" s="153" t="s">
        <v>1221</v>
      </c>
      <c r="B448" s="154" t="s">
        <v>1220</v>
      </c>
    </row>
    <row r="449" spans="1:2" x14ac:dyDescent="0.2">
      <c r="A449" s="153" t="s">
        <v>9825</v>
      </c>
      <c r="B449" s="154" t="s">
        <v>1222</v>
      </c>
    </row>
    <row r="450" spans="1:2" x14ac:dyDescent="0.2">
      <c r="A450" s="153" t="s">
        <v>1224</v>
      </c>
      <c r="B450" s="154" t="s">
        <v>1223</v>
      </c>
    </row>
    <row r="451" spans="1:2" x14ac:dyDescent="0.2">
      <c r="A451" s="153" t="s">
        <v>1226</v>
      </c>
      <c r="B451" s="154" t="s">
        <v>1225</v>
      </c>
    </row>
    <row r="452" spans="1:2" x14ac:dyDescent="0.2">
      <c r="A452" s="153" t="s">
        <v>1228</v>
      </c>
      <c r="B452" s="154" t="s">
        <v>1227</v>
      </c>
    </row>
    <row r="453" spans="1:2" x14ac:dyDescent="0.2">
      <c r="A453" s="153" t="s">
        <v>1230</v>
      </c>
      <c r="B453" s="154" t="s">
        <v>1229</v>
      </c>
    </row>
    <row r="454" spans="1:2" x14ac:dyDescent="0.2">
      <c r="A454" s="153" t="s">
        <v>1232</v>
      </c>
      <c r="B454" s="154" t="s">
        <v>1231</v>
      </c>
    </row>
    <row r="455" spans="1:2" x14ac:dyDescent="0.2">
      <c r="A455" s="153" t="s">
        <v>9826</v>
      </c>
      <c r="B455" s="154" t="s">
        <v>1233</v>
      </c>
    </row>
    <row r="456" spans="1:2" x14ac:dyDescent="0.2">
      <c r="A456" s="153" t="s">
        <v>1235</v>
      </c>
      <c r="B456" s="154" t="s">
        <v>1234</v>
      </c>
    </row>
    <row r="457" spans="1:2" x14ac:dyDescent="0.2">
      <c r="A457" s="153" t="s">
        <v>9827</v>
      </c>
      <c r="B457" s="154" t="s">
        <v>1236</v>
      </c>
    </row>
    <row r="458" spans="1:2" x14ac:dyDescent="0.2">
      <c r="A458" s="153" t="s">
        <v>9828</v>
      </c>
      <c r="B458" s="154" t="s">
        <v>1237</v>
      </c>
    </row>
    <row r="459" spans="1:2" x14ac:dyDescent="0.2">
      <c r="A459" s="153" t="s">
        <v>1239</v>
      </c>
      <c r="B459" s="154" t="s">
        <v>1238</v>
      </c>
    </row>
    <row r="460" spans="1:2" x14ac:dyDescent="0.2">
      <c r="A460" s="153" t="s">
        <v>1241</v>
      </c>
      <c r="B460" s="154" t="s">
        <v>1240</v>
      </c>
    </row>
    <row r="461" spans="1:2" x14ac:dyDescent="0.2">
      <c r="A461" s="153" t="s">
        <v>1243</v>
      </c>
      <c r="B461" s="154" t="s">
        <v>1242</v>
      </c>
    </row>
    <row r="462" spans="1:2" x14ac:dyDescent="0.2">
      <c r="A462" s="153" t="s">
        <v>9829</v>
      </c>
      <c r="B462" s="154" t="s">
        <v>1244</v>
      </c>
    </row>
    <row r="463" spans="1:2" x14ac:dyDescent="0.2">
      <c r="A463" s="153" t="s">
        <v>9830</v>
      </c>
      <c r="B463" s="154" t="s">
        <v>1245</v>
      </c>
    </row>
    <row r="464" spans="1:2" x14ac:dyDescent="0.2">
      <c r="A464" s="153" t="s">
        <v>9831</v>
      </c>
      <c r="B464" s="154" t="s">
        <v>1246</v>
      </c>
    </row>
    <row r="465" spans="1:2" x14ac:dyDescent="0.2">
      <c r="A465" s="153" t="s">
        <v>1248</v>
      </c>
      <c r="B465" s="154" t="s">
        <v>1247</v>
      </c>
    </row>
    <row r="466" spans="1:2" x14ac:dyDescent="0.2">
      <c r="A466" s="153" t="s">
        <v>1250</v>
      </c>
      <c r="B466" s="154" t="s">
        <v>1249</v>
      </c>
    </row>
    <row r="467" spans="1:2" x14ac:dyDescent="0.2">
      <c r="A467" s="153" t="s">
        <v>1252</v>
      </c>
      <c r="B467" s="154" t="s">
        <v>1251</v>
      </c>
    </row>
    <row r="468" spans="1:2" x14ac:dyDescent="0.2">
      <c r="A468" s="153" t="s">
        <v>1254</v>
      </c>
      <c r="B468" s="154" t="s">
        <v>1253</v>
      </c>
    </row>
    <row r="469" spans="1:2" x14ac:dyDescent="0.2">
      <c r="A469" s="153" t="s">
        <v>1256</v>
      </c>
      <c r="B469" s="154" t="s">
        <v>1255</v>
      </c>
    </row>
    <row r="470" spans="1:2" x14ac:dyDescent="0.2">
      <c r="A470" s="153" t="s">
        <v>1258</v>
      </c>
      <c r="B470" s="154" t="s">
        <v>1257</v>
      </c>
    </row>
    <row r="471" spans="1:2" x14ac:dyDescent="0.2">
      <c r="A471" s="153" t="s">
        <v>1260</v>
      </c>
      <c r="B471" s="154" t="s">
        <v>1259</v>
      </c>
    </row>
    <row r="472" spans="1:2" x14ac:dyDescent="0.2">
      <c r="A472" s="153" t="s">
        <v>1262</v>
      </c>
      <c r="B472" s="154" t="s">
        <v>1261</v>
      </c>
    </row>
    <row r="473" spans="1:2" x14ac:dyDescent="0.2">
      <c r="A473" s="153" t="s">
        <v>1264</v>
      </c>
      <c r="B473" s="154" t="s">
        <v>1263</v>
      </c>
    </row>
    <row r="474" spans="1:2" x14ac:dyDescent="0.2">
      <c r="A474" s="153" t="s">
        <v>1266</v>
      </c>
      <c r="B474" s="154" t="s">
        <v>1265</v>
      </c>
    </row>
    <row r="475" spans="1:2" x14ac:dyDescent="0.2">
      <c r="A475" s="153" t="s">
        <v>1268</v>
      </c>
      <c r="B475" s="154" t="s">
        <v>1267</v>
      </c>
    </row>
    <row r="476" spans="1:2" x14ac:dyDescent="0.2">
      <c r="A476" s="153" t="s">
        <v>1270</v>
      </c>
      <c r="B476" s="154" t="s">
        <v>1269</v>
      </c>
    </row>
    <row r="477" spans="1:2" x14ac:dyDescent="0.2">
      <c r="A477" s="153" t="s">
        <v>1272</v>
      </c>
      <c r="B477" s="154" t="s">
        <v>1271</v>
      </c>
    </row>
    <row r="478" spans="1:2" x14ac:dyDescent="0.2">
      <c r="A478" s="153" t="s">
        <v>1274</v>
      </c>
      <c r="B478" s="154" t="s">
        <v>1273</v>
      </c>
    </row>
    <row r="479" spans="1:2" x14ac:dyDescent="0.2">
      <c r="A479" s="153" t="s">
        <v>1065</v>
      </c>
      <c r="B479" s="154" t="s">
        <v>1275</v>
      </c>
    </row>
    <row r="480" spans="1:2" x14ac:dyDescent="0.2">
      <c r="A480" s="153" t="s">
        <v>1277</v>
      </c>
      <c r="B480" s="154" t="s">
        <v>1276</v>
      </c>
    </row>
    <row r="481" spans="1:2" x14ac:dyDescent="0.2">
      <c r="A481" s="153" t="s">
        <v>9832</v>
      </c>
      <c r="B481" s="154" t="s">
        <v>1278</v>
      </c>
    </row>
    <row r="482" spans="1:2" x14ac:dyDescent="0.2">
      <c r="A482" s="153" t="s">
        <v>9833</v>
      </c>
      <c r="B482" s="154" t="s">
        <v>1279</v>
      </c>
    </row>
    <row r="483" spans="1:2" x14ac:dyDescent="0.2">
      <c r="A483" s="153" t="s">
        <v>1281</v>
      </c>
      <c r="B483" s="154" t="s">
        <v>1280</v>
      </c>
    </row>
    <row r="484" spans="1:2" x14ac:dyDescent="0.2">
      <c r="A484" s="153" t="s">
        <v>1283</v>
      </c>
      <c r="B484" s="154" t="s">
        <v>1282</v>
      </c>
    </row>
    <row r="485" spans="1:2" x14ac:dyDescent="0.2">
      <c r="A485" s="153" t="s">
        <v>1285</v>
      </c>
      <c r="B485" s="154" t="s">
        <v>1284</v>
      </c>
    </row>
    <row r="486" spans="1:2" x14ac:dyDescent="0.2">
      <c r="A486" s="153" t="s">
        <v>1287</v>
      </c>
      <c r="B486" s="154" t="s">
        <v>1286</v>
      </c>
    </row>
    <row r="487" spans="1:2" x14ac:dyDescent="0.2">
      <c r="A487" s="153" t="s">
        <v>1289</v>
      </c>
      <c r="B487" s="154" t="s">
        <v>1288</v>
      </c>
    </row>
    <row r="488" spans="1:2" x14ac:dyDescent="0.2">
      <c r="A488" s="153" t="s">
        <v>1291</v>
      </c>
      <c r="B488" s="154" t="s">
        <v>1290</v>
      </c>
    </row>
    <row r="489" spans="1:2" x14ac:dyDescent="0.2">
      <c r="A489" s="153" t="s">
        <v>1293</v>
      </c>
      <c r="B489" s="154" t="s">
        <v>1292</v>
      </c>
    </row>
    <row r="490" spans="1:2" x14ac:dyDescent="0.2">
      <c r="A490" s="153" t="s">
        <v>1295</v>
      </c>
      <c r="B490" s="154" t="s">
        <v>1294</v>
      </c>
    </row>
    <row r="491" spans="1:2" x14ac:dyDescent="0.2">
      <c r="A491" s="153" t="s">
        <v>1297</v>
      </c>
      <c r="B491" s="154" t="s">
        <v>1296</v>
      </c>
    </row>
    <row r="492" spans="1:2" x14ac:dyDescent="0.2">
      <c r="A492" s="153" t="s">
        <v>1299</v>
      </c>
      <c r="B492" s="154" t="s">
        <v>1298</v>
      </c>
    </row>
    <row r="493" spans="1:2" x14ac:dyDescent="0.2">
      <c r="A493" s="153" t="s">
        <v>1301</v>
      </c>
      <c r="B493" s="154" t="s">
        <v>1300</v>
      </c>
    </row>
    <row r="494" spans="1:2" x14ac:dyDescent="0.2">
      <c r="A494" s="153" t="s">
        <v>1303</v>
      </c>
      <c r="B494" s="154" t="s">
        <v>1302</v>
      </c>
    </row>
    <row r="495" spans="1:2" x14ac:dyDescent="0.2">
      <c r="A495" s="153" t="s">
        <v>1305</v>
      </c>
      <c r="B495" s="154" t="s">
        <v>1304</v>
      </c>
    </row>
    <row r="496" spans="1:2" x14ac:dyDescent="0.2">
      <c r="A496" s="153" t="s">
        <v>1307</v>
      </c>
      <c r="B496" s="154" t="s">
        <v>1306</v>
      </c>
    </row>
    <row r="497" spans="1:2" x14ac:dyDescent="0.2">
      <c r="A497" s="153" t="s">
        <v>1309</v>
      </c>
      <c r="B497" s="154" t="s">
        <v>1308</v>
      </c>
    </row>
    <row r="498" spans="1:2" x14ac:dyDescent="0.2">
      <c r="A498" s="153" t="s">
        <v>1311</v>
      </c>
      <c r="B498" s="154" t="s">
        <v>1310</v>
      </c>
    </row>
    <row r="499" spans="1:2" x14ac:dyDescent="0.2">
      <c r="A499" s="153" t="s">
        <v>1313</v>
      </c>
      <c r="B499" s="154" t="s">
        <v>1312</v>
      </c>
    </row>
    <row r="500" spans="1:2" x14ac:dyDescent="0.2">
      <c r="A500" s="153" t="s">
        <v>1315</v>
      </c>
      <c r="B500" s="154" t="s">
        <v>1314</v>
      </c>
    </row>
    <row r="501" spans="1:2" x14ac:dyDescent="0.2">
      <c r="A501" s="153" t="s">
        <v>1317</v>
      </c>
      <c r="B501" s="154" t="s">
        <v>1316</v>
      </c>
    </row>
    <row r="502" spans="1:2" x14ac:dyDescent="0.2">
      <c r="A502" s="153" t="s">
        <v>1319</v>
      </c>
      <c r="B502" s="154" t="s">
        <v>1318</v>
      </c>
    </row>
    <row r="503" spans="1:2" x14ac:dyDescent="0.2">
      <c r="A503" s="153" t="s">
        <v>1321</v>
      </c>
      <c r="B503" s="154" t="s">
        <v>1320</v>
      </c>
    </row>
    <row r="504" spans="1:2" x14ac:dyDescent="0.2">
      <c r="A504" s="153" t="s">
        <v>1323</v>
      </c>
      <c r="B504" s="154" t="s">
        <v>1322</v>
      </c>
    </row>
    <row r="505" spans="1:2" x14ac:dyDescent="0.2">
      <c r="A505" s="153" t="s">
        <v>1325</v>
      </c>
      <c r="B505" s="154" t="s">
        <v>1324</v>
      </c>
    </row>
    <row r="506" spans="1:2" x14ac:dyDescent="0.2">
      <c r="A506" s="153" t="s">
        <v>1327</v>
      </c>
      <c r="B506" s="154" t="s">
        <v>1326</v>
      </c>
    </row>
    <row r="507" spans="1:2" x14ac:dyDescent="0.2">
      <c r="A507" s="153" t="s">
        <v>1329</v>
      </c>
      <c r="B507" s="154" t="s">
        <v>1328</v>
      </c>
    </row>
    <row r="508" spans="1:2" x14ac:dyDescent="0.2">
      <c r="A508" s="153" t="s">
        <v>1331</v>
      </c>
      <c r="B508" s="154" t="s">
        <v>1330</v>
      </c>
    </row>
    <row r="509" spans="1:2" x14ac:dyDescent="0.2">
      <c r="A509" s="153" t="s">
        <v>1333</v>
      </c>
      <c r="B509" s="154" t="s">
        <v>1332</v>
      </c>
    </row>
    <row r="510" spans="1:2" x14ac:dyDescent="0.2">
      <c r="A510" s="153" t="s">
        <v>1335</v>
      </c>
      <c r="B510" s="154" t="s">
        <v>1334</v>
      </c>
    </row>
    <row r="511" spans="1:2" x14ac:dyDescent="0.2">
      <c r="A511" s="153" t="s">
        <v>1337</v>
      </c>
      <c r="B511" s="154" t="s">
        <v>1336</v>
      </c>
    </row>
    <row r="512" spans="1:2" x14ac:dyDescent="0.2">
      <c r="A512" s="153" t="s">
        <v>1339</v>
      </c>
      <c r="B512" s="154" t="s">
        <v>1338</v>
      </c>
    </row>
    <row r="513" spans="1:2" x14ac:dyDescent="0.2">
      <c r="A513" s="153" t="s">
        <v>1341</v>
      </c>
      <c r="B513" s="154" t="s">
        <v>1340</v>
      </c>
    </row>
    <row r="514" spans="1:2" x14ac:dyDescent="0.2">
      <c r="A514" s="153" t="s">
        <v>1343</v>
      </c>
      <c r="B514" s="154" t="s">
        <v>1342</v>
      </c>
    </row>
    <row r="515" spans="1:2" x14ac:dyDescent="0.2">
      <c r="A515" s="153" t="s">
        <v>1345</v>
      </c>
      <c r="B515" s="154" t="s">
        <v>1344</v>
      </c>
    </row>
    <row r="516" spans="1:2" x14ac:dyDescent="0.2">
      <c r="A516" s="153" t="s">
        <v>1065</v>
      </c>
      <c r="B516" s="154" t="s">
        <v>1346</v>
      </c>
    </row>
    <row r="517" spans="1:2" x14ac:dyDescent="0.2">
      <c r="A517" s="153" t="s">
        <v>1065</v>
      </c>
      <c r="B517" s="154" t="s">
        <v>1347</v>
      </c>
    </row>
    <row r="518" spans="1:2" x14ac:dyDescent="0.2">
      <c r="A518" s="153" t="s">
        <v>1349</v>
      </c>
      <c r="B518" s="154" t="s">
        <v>1348</v>
      </c>
    </row>
    <row r="519" spans="1:2" x14ac:dyDescent="0.2">
      <c r="A519" s="153" t="s">
        <v>1351</v>
      </c>
      <c r="B519" s="154" t="s">
        <v>1350</v>
      </c>
    </row>
    <row r="520" spans="1:2" x14ac:dyDescent="0.2">
      <c r="A520" s="153" t="s">
        <v>1353</v>
      </c>
      <c r="B520" s="154" t="s">
        <v>1352</v>
      </c>
    </row>
    <row r="521" spans="1:2" x14ac:dyDescent="0.2">
      <c r="A521" s="153" t="s">
        <v>1355</v>
      </c>
      <c r="B521" s="154" t="s">
        <v>1354</v>
      </c>
    </row>
    <row r="522" spans="1:2" x14ac:dyDescent="0.2">
      <c r="A522" s="153" t="s">
        <v>1357</v>
      </c>
      <c r="B522" s="154" t="s">
        <v>1356</v>
      </c>
    </row>
    <row r="523" spans="1:2" x14ac:dyDescent="0.2">
      <c r="A523" s="153" t="s">
        <v>1359</v>
      </c>
      <c r="B523" s="154" t="s">
        <v>1358</v>
      </c>
    </row>
    <row r="524" spans="1:2" x14ac:dyDescent="0.2">
      <c r="A524" s="153" t="s">
        <v>1361</v>
      </c>
      <c r="B524" s="154" t="s">
        <v>1360</v>
      </c>
    </row>
    <row r="525" spans="1:2" x14ac:dyDescent="0.2">
      <c r="A525" s="153" t="s">
        <v>9834</v>
      </c>
      <c r="B525" s="154" t="s">
        <v>1362</v>
      </c>
    </row>
    <row r="526" spans="1:2" x14ac:dyDescent="0.2">
      <c r="A526" s="153" t="s">
        <v>1364</v>
      </c>
      <c r="B526" s="154" t="s">
        <v>1363</v>
      </c>
    </row>
    <row r="527" spans="1:2" x14ac:dyDescent="0.2">
      <c r="A527" s="153" t="s">
        <v>1366</v>
      </c>
      <c r="B527" s="154" t="s">
        <v>1365</v>
      </c>
    </row>
    <row r="528" spans="1:2" x14ac:dyDescent="0.2">
      <c r="A528" s="153" t="s">
        <v>1368</v>
      </c>
      <c r="B528" s="154" t="s">
        <v>1367</v>
      </c>
    </row>
    <row r="529" spans="1:2" x14ac:dyDescent="0.2">
      <c r="A529" s="153" t="s">
        <v>1370</v>
      </c>
      <c r="B529" s="154" t="s">
        <v>1369</v>
      </c>
    </row>
    <row r="530" spans="1:2" x14ac:dyDescent="0.2">
      <c r="A530" s="153" t="s">
        <v>1372</v>
      </c>
      <c r="B530" s="154" t="s">
        <v>1371</v>
      </c>
    </row>
    <row r="531" spans="1:2" x14ac:dyDescent="0.2">
      <c r="A531" s="153" t="s">
        <v>1374</v>
      </c>
      <c r="B531" s="154" t="s">
        <v>1373</v>
      </c>
    </row>
    <row r="532" spans="1:2" x14ac:dyDescent="0.2">
      <c r="A532" s="153" t="s">
        <v>1376</v>
      </c>
      <c r="B532" s="154" t="s">
        <v>1375</v>
      </c>
    </row>
    <row r="533" spans="1:2" x14ac:dyDescent="0.2">
      <c r="A533" s="153" t="s">
        <v>1378</v>
      </c>
      <c r="B533" s="154" t="s">
        <v>1377</v>
      </c>
    </row>
    <row r="534" spans="1:2" x14ac:dyDescent="0.2">
      <c r="A534" s="153" t="s">
        <v>1380</v>
      </c>
      <c r="B534" s="154" t="s">
        <v>1379</v>
      </c>
    </row>
    <row r="535" spans="1:2" x14ac:dyDescent="0.2">
      <c r="A535" s="153" t="s">
        <v>1382</v>
      </c>
      <c r="B535" s="154" t="s">
        <v>1381</v>
      </c>
    </row>
    <row r="536" spans="1:2" x14ac:dyDescent="0.2">
      <c r="A536" s="153" t="s">
        <v>1384</v>
      </c>
      <c r="B536" s="154" t="s">
        <v>1383</v>
      </c>
    </row>
    <row r="537" spans="1:2" x14ac:dyDescent="0.2">
      <c r="A537" s="153" t="s">
        <v>1386</v>
      </c>
      <c r="B537" s="154" t="s">
        <v>1385</v>
      </c>
    </row>
    <row r="538" spans="1:2" x14ac:dyDescent="0.2">
      <c r="A538" s="153" t="s">
        <v>1388</v>
      </c>
      <c r="B538" s="154" t="s">
        <v>1387</v>
      </c>
    </row>
    <row r="539" spans="1:2" x14ac:dyDescent="0.2">
      <c r="A539" s="153" t="s">
        <v>1390</v>
      </c>
      <c r="B539" s="154" t="s">
        <v>1389</v>
      </c>
    </row>
    <row r="540" spans="1:2" x14ac:dyDescent="0.2">
      <c r="A540" s="153" t="s">
        <v>1392</v>
      </c>
      <c r="B540" s="154" t="s">
        <v>1391</v>
      </c>
    </row>
    <row r="541" spans="1:2" ht="28.5" x14ac:dyDescent="0.2">
      <c r="A541" s="153" t="s">
        <v>1394</v>
      </c>
      <c r="B541" s="154" t="s">
        <v>1393</v>
      </c>
    </row>
    <row r="542" spans="1:2" x14ac:dyDescent="0.2">
      <c r="A542" s="153" t="s">
        <v>1396</v>
      </c>
      <c r="B542" s="154" t="s">
        <v>1395</v>
      </c>
    </row>
    <row r="543" spans="1:2" x14ac:dyDescent="0.2">
      <c r="A543" s="153" t="s">
        <v>1398</v>
      </c>
      <c r="B543" s="154" t="s">
        <v>1397</v>
      </c>
    </row>
    <row r="544" spans="1:2" x14ac:dyDescent="0.2">
      <c r="A544" s="153" t="s">
        <v>1400</v>
      </c>
      <c r="B544" s="154" t="s">
        <v>1399</v>
      </c>
    </row>
    <row r="545" spans="1:2" x14ac:dyDescent="0.2">
      <c r="A545" s="153" t="s">
        <v>1402</v>
      </c>
      <c r="B545" s="154" t="s">
        <v>1401</v>
      </c>
    </row>
    <row r="546" spans="1:2" x14ac:dyDescent="0.2">
      <c r="A546" s="153" t="s">
        <v>1404</v>
      </c>
      <c r="B546" s="154" t="s">
        <v>1403</v>
      </c>
    </row>
    <row r="547" spans="1:2" x14ac:dyDescent="0.2">
      <c r="A547" s="153" t="s">
        <v>1406</v>
      </c>
      <c r="B547" s="154" t="s">
        <v>1405</v>
      </c>
    </row>
    <row r="548" spans="1:2" x14ac:dyDescent="0.2">
      <c r="A548" s="153" t="s">
        <v>1408</v>
      </c>
      <c r="B548" s="154" t="s">
        <v>1407</v>
      </c>
    </row>
    <row r="549" spans="1:2" x14ac:dyDescent="0.2">
      <c r="A549" s="153" t="s">
        <v>1410</v>
      </c>
      <c r="B549" s="154" t="s">
        <v>1409</v>
      </c>
    </row>
    <row r="550" spans="1:2" x14ac:dyDescent="0.2">
      <c r="A550" s="153" t="s">
        <v>1412</v>
      </c>
      <c r="B550" s="154" t="s">
        <v>1411</v>
      </c>
    </row>
    <row r="551" spans="1:2" x14ac:dyDescent="0.2">
      <c r="A551" s="153" t="s">
        <v>1414</v>
      </c>
      <c r="B551" s="154" t="s">
        <v>1413</v>
      </c>
    </row>
    <row r="552" spans="1:2" x14ac:dyDescent="0.2">
      <c r="A552" s="153" t="s">
        <v>1416</v>
      </c>
      <c r="B552" s="154" t="s">
        <v>1415</v>
      </c>
    </row>
    <row r="553" spans="1:2" x14ac:dyDescent="0.2">
      <c r="A553" s="153" t="s">
        <v>1418</v>
      </c>
      <c r="B553" s="154" t="s">
        <v>1417</v>
      </c>
    </row>
    <row r="554" spans="1:2" x14ac:dyDescent="0.2">
      <c r="A554" s="153" t="s">
        <v>1420</v>
      </c>
      <c r="B554" s="154" t="s">
        <v>1419</v>
      </c>
    </row>
    <row r="555" spans="1:2" x14ac:dyDescent="0.2">
      <c r="A555" s="153" t="s">
        <v>1422</v>
      </c>
      <c r="B555" s="154" t="s">
        <v>1421</v>
      </c>
    </row>
    <row r="556" spans="1:2" x14ac:dyDescent="0.2">
      <c r="A556" s="153" t="s">
        <v>1424</v>
      </c>
      <c r="B556" s="154" t="s">
        <v>1423</v>
      </c>
    </row>
    <row r="557" spans="1:2" x14ac:dyDescent="0.2">
      <c r="A557" s="153" t="s">
        <v>1426</v>
      </c>
      <c r="B557" s="154" t="s">
        <v>1425</v>
      </c>
    </row>
    <row r="558" spans="1:2" ht="28.5" x14ac:dyDescent="0.2">
      <c r="A558" s="153" t="s">
        <v>1428</v>
      </c>
      <c r="B558" s="154" t="s">
        <v>1427</v>
      </c>
    </row>
    <row r="559" spans="1:2" ht="28.5" x14ac:dyDescent="0.2">
      <c r="A559" s="153" t="s">
        <v>1430</v>
      </c>
      <c r="B559" s="154" t="s">
        <v>1429</v>
      </c>
    </row>
    <row r="560" spans="1:2" x14ac:dyDescent="0.2">
      <c r="A560" s="153" t="s">
        <v>1432</v>
      </c>
      <c r="B560" s="154" t="s">
        <v>1431</v>
      </c>
    </row>
    <row r="561" spans="1:2" x14ac:dyDescent="0.2">
      <c r="A561" s="153" t="s">
        <v>1434</v>
      </c>
      <c r="B561" s="154" t="s">
        <v>1433</v>
      </c>
    </row>
    <row r="562" spans="1:2" x14ac:dyDescent="0.2">
      <c r="A562" s="153" t="s">
        <v>1436</v>
      </c>
      <c r="B562" s="154" t="s">
        <v>1435</v>
      </c>
    </row>
    <row r="563" spans="1:2" x14ac:dyDescent="0.2">
      <c r="A563" s="153" t="s">
        <v>1438</v>
      </c>
      <c r="B563" s="154" t="s">
        <v>1437</v>
      </c>
    </row>
    <row r="564" spans="1:2" x14ac:dyDescent="0.2">
      <c r="A564" s="153" t="s">
        <v>9835</v>
      </c>
      <c r="B564" s="154" t="s">
        <v>1439</v>
      </c>
    </row>
    <row r="565" spans="1:2" x14ac:dyDescent="0.2">
      <c r="A565" s="153" t="s">
        <v>1441</v>
      </c>
      <c r="B565" s="154" t="s">
        <v>1440</v>
      </c>
    </row>
    <row r="566" spans="1:2" x14ac:dyDescent="0.2">
      <c r="A566" s="153" t="s">
        <v>1443</v>
      </c>
      <c r="B566" s="154" t="s">
        <v>1442</v>
      </c>
    </row>
    <row r="567" spans="1:2" x14ac:dyDescent="0.2">
      <c r="A567" s="153" t="s">
        <v>1445</v>
      </c>
      <c r="B567" s="154" t="s">
        <v>1444</v>
      </c>
    </row>
    <row r="568" spans="1:2" x14ac:dyDescent="0.2">
      <c r="A568" s="153" t="s">
        <v>1447</v>
      </c>
      <c r="B568" s="154" t="s">
        <v>1446</v>
      </c>
    </row>
    <row r="569" spans="1:2" x14ac:dyDescent="0.2">
      <c r="A569" s="153" t="s">
        <v>1449</v>
      </c>
      <c r="B569" s="154" t="s">
        <v>1448</v>
      </c>
    </row>
    <row r="570" spans="1:2" x14ac:dyDescent="0.2">
      <c r="A570" s="153" t="s">
        <v>1451</v>
      </c>
      <c r="B570" s="154" t="s">
        <v>1450</v>
      </c>
    </row>
    <row r="571" spans="1:2" x14ac:dyDescent="0.2">
      <c r="A571" s="153" t="s">
        <v>1453</v>
      </c>
      <c r="B571" s="154" t="s">
        <v>1452</v>
      </c>
    </row>
    <row r="572" spans="1:2" x14ac:dyDescent="0.2">
      <c r="A572" s="153" t="s">
        <v>1455</v>
      </c>
      <c r="B572" s="154" t="s">
        <v>1454</v>
      </c>
    </row>
    <row r="573" spans="1:2" x14ac:dyDescent="0.2">
      <c r="A573" s="153" t="s">
        <v>1457</v>
      </c>
      <c r="B573" s="154" t="s">
        <v>1456</v>
      </c>
    </row>
    <row r="574" spans="1:2" x14ac:dyDescent="0.2">
      <c r="A574" s="153" t="s">
        <v>1459</v>
      </c>
      <c r="B574" s="154" t="s">
        <v>1458</v>
      </c>
    </row>
    <row r="575" spans="1:2" x14ac:dyDescent="0.2">
      <c r="A575" s="153" t="s">
        <v>1461</v>
      </c>
      <c r="B575" s="154" t="s">
        <v>1460</v>
      </c>
    </row>
    <row r="576" spans="1:2" ht="28.5" x14ac:dyDescent="0.2">
      <c r="A576" s="153" t="s">
        <v>1463</v>
      </c>
      <c r="B576" s="154" t="s">
        <v>1462</v>
      </c>
    </row>
    <row r="577" spans="1:2" x14ac:dyDescent="0.2">
      <c r="A577" s="153" t="s">
        <v>1465</v>
      </c>
      <c r="B577" s="154" t="s">
        <v>1464</v>
      </c>
    </row>
    <row r="578" spans="1:2" x14ac:dyDescent="0.2">
      <c r="A578" s="153" t="s">
        <v>1467</v>
      </c>
      <c r="B578" s="154" t="s">
        <v>1466</v>
      </c>
    </row>
    <row r="579" spans="1:2" x14ac:dyDescent="0.2">
      <c r="A579" s="153" t="s">
        <v>1469</v>
      </c>
      <c r="B579" s="154" t="s">
        <v>1468</v>
      </c>
    </row>
    <row r="580" spans="1:2" x14ac:dyDescent="0.2">
      <c r="A580" s="153" t="s">
        <v>1471</v>
      </c>
      <c r="B580" s="154" t="s">
        <v>1470</v>
      </c>
    </row>
    <row r="581" spans="1:2" x14ac:dyDescent="0.2">
      <c r="A581" s="153" t="s">
        <v>1473</v>
      </c>
      <c r="B581" s="154" t="s">
        <v>1472</v>
      </c>
    </row>
    <row r="582" spans="1:2" x14ac:dyDescent="0.2">
      <c r="A582" s="153" t="s">
        <v>1475</v>
      </c>
      <c r="B582" s="154" t="s">
        <v>1474</v>
      </c>
    </row>
    <row r="583" spans="1:2" x14ac:dyDescent="0.2">
      <c r="A583" s="153" t="s">
        <v>1477</v>
      </c>
      <c r="B583" s="154" t="s">
        <v>1476</v>
      </c>
    </row>
    <row r="584" spans="1:2" x14ac:dyDescent="0.2">
      <c r="A584" s="153" t="s">
        <v>1479</v>
      </c>
      <c r="B584" s="154" t="s">
        <v>1478</v>
      </c>
    </row>
    <row r="585" spans="1:2" ht="28.5" x14ac:dyDescent="0.2">
      <c r="A585" s="153" t="s">
        <v>9836</v>
      </c>
      <c r="B585" s="154" t="s">
        <v>1480</v>
      </c>
    </row>
    <row r="586" spans="1:2" x14ac:dyDescent="0.2">
      <c r="A586" s="153" t="s">
        <v>1482</v>
      </c>
      <c r="B586" s="154" t="s">
        <v>1481</v>
      </c>
    </row>
    <row r="587" spans="1:2" x14ac:dyDescent="0.2">
      <c r="A587" s="153" t="s">
        <v>1484</v>
      </c>
      <c r="B587" s="154" t="s">
        <v>1483</v>
      </c>
    </row>
    <row r="588" spans="1:2" x14ac:dyDescent="0.2">
      <c r="A588" s="153" t="s">
        <v>1486</v>
      </c>
      <c r="B588" s="154" t="s">
        <v>1485</v>
      </c>
    </row>
    <row r="589" spans="1:2" x14ac:dyDescent="0.2">
      <c r="A589" s="153" t="s">
        <v>1488</v>
      </c>
      <c r="B589" s="154" t="s">
        <v>1487</v>
      </c>
    </row>
    <row r="590" spans="1:2" x14ac:dyDescent="0.2">
      <c r="A590" s="153" t="s">
        <v>1490</v>
      </c>
      <c r="B590" s="154" t="s">
        <v>1489</v>
      </c>
    </row>
    <row r="591" spans="1:2" x14ac:dyDescent="0.2">
      <c r="A591" s="153" t="s">
        <v>1492</v>
      </c>
      <c r="B591" s="154" t="s">
        <v>1491</v>
      </c>
    </row>
    <row r="592" spans="1:2" x14ac:dyDescent="0.2">
      <c r="A592" s="153" t="s">
        <v>1494</v>
      </c>
      <c r="B592" s="154" t="s">
        <v>1493</v>
      </c>
    </row>
    <row r="593" spans="1:2" x14ac:dyDescent="0.2">
      <c r="A593" s="153" t="s">
        <v>1496</v>
      </c>
      <c r="B593" s="154" t="s">
        <v>1495</v>
      </c>
    </row>
    <row r="594" spans="1:2" x14ac:dyDescent="0.2">
      <c r="A594" s="153" t="s">
        <v>1498</v>
      </c>
      <c r="B594" s="154" t="s">
        <v>1497</v>
      </c>
    </row>
    <row r="595" spans="1:2" ht="28.5" x14ac:dyDescent="0.2">
      <c r="A595" s="153" t="s">
        <v>1500</v>
      </c>
      <c r="B595" s="154" t="s">
        <v>1499</v>
      </c>
    </row>
    <row r="596" spans="1:2" ht="28.5" x14ac:dyDescent="0.2">
      <c r="A596" s="153" t="s">
        <v>1502</v>
      </c>
      <c r="B596" s="154" t="s">
        <v>1501</v>
      </c>
    </row>
    <row r="597" spans="1:2" x14ac:dyDescent="0.2">
      <c r="A597" s="153" t="s">
        <v>1504</v>
      </c>
      <c r="B597" s="154" t="s">
        <v>1503</v>
      </c>
    </row>
    <row r="598" spans="1:2" x14ac:dyDescent="0.2">
      <c r="A598" s="153" t="s">
        <v>1506</v>
      </c>
      <c r="B598" s="154" t="s">
        <v>1505</v>
      </c>
    </row>
    <row r="599" spans="1:2" x14ac:dyDescent="0.2">
      <c r="A599" s="153" t="s">
        <v>1508</v>
      </c>
      <c r="B599" s="154" t="s">
        <v>1507</v>
      </c>
    </row>
    <row r="600" spans="1:2" x14ac:dyDescent="0.2">
      <c r="A600" s="153" t="s">
        <v>1510</v>
      </c>
      <c r="B600" s="154" t="s">
        <v>1509</v>
      </c>
    </row>
    <row r="601" spans="1:2" x14ac:dyDescent="0.2">
      <c r="A601" s="153" t="s">
        <v>1512</v>
      </c>
      <c r="B601" s="154" t="s">
        <v>1511</v>
      </c>
    </row>
    <row r="602" spans="1:2" x14ac:dyDescent="0.2">
      <c r="A602" s="153" t="s">
        <v>1514</v>
      </c>
      <c r="B602" s="154" t="s">
        <v>1513</v>
      </c>
    </row>
    <row r="603" spans="1:2" x14ac:dyDescent="0.2">
      <c r="A603" s="153" t="s">
        <v>1516</v>
      </c>
      <c r="B603" s="154" t="s">
        <v>1515</v>
      </c>
    </row>
    <row r="604" spans="1:2" x14ac:dyDescent="0.2">
      <c r="A604" s="153" t="s">
        <v>1518</v>
      </c>
      <c r="B604" s="154" t="s">
        <v>1517</v>
      </c>
    </row>
    <row r="605" spans="1:2" x14ac:dyDescent="0.2">
      <c r="A605" s="153" t="s">
        <v>1520</v>
      </c>
      <c r="B605" s="154" t="s">
        <v>1519</v>
      </c>
    </row>
    <row r="606" spans="1:2" x14ac:dyDescent="0.2">
      <c r="A606" s="153" t="s">
        <v>1522</v>
      </c>
      <c r="B606" s="154" t="s">
        <v>1521</v>
      </c>
    </row>
    <row r="607" spans="1:2" x14ac:dyDescent="0.2">
      <c r="A607" s="153" t="s">
        <v>1524</v>
      </c>
      <c r="B607" s="154" t="s">
        <v>1523</v>
      </c>
    </row>
    <row r="608" spans="1:2" x14ac:dyDescent="0.2">
      <c r="A608" s="153" t="s">
        <v>1526</v>
      </c>
      <c r="B608" s="154" t="s">
        <v>1525</v>
      </c>
    </row>
    <row r="609" spans="1:2" x14ac:dyDescent="0.2">
      <c r="A609" s="153" t="s">
        <v>1528</v>
      </c>
      <c r="B609" s="154" t="s">
        <v>1527</v>
      </c>
    </row>
    <row r="610" spans="1:2" x14ac:dyDescent="0.2">
      <c r="A610" s="153" t="s">
        <v>1530</v>
      </c>
      <c r="B610" s="154" t="s">
        <v>1529</v>
      </c>
    </row>
    <row r="611" spans="1:2" x14ac:dyDescent="0.2">
      <c r="A611" s="153" t="s">
        <v>1532</v>
      </c>
      <c r="B611" s="154" t="s">
        <v>1531</v>
      </c>
    </row>
    <row r="612" spans="1:2" x14ac:dyDescent="0.2">
      <c r="A612" s="153" t="s">
        <v>1534</v>
      </c>
      <c r="B612" s="154" t="s">
        <v>1533</v>
      </c>
    </row>
    <row r="613" spans="1:2" x14ac:dyDescent="0.2">
      <c r="A613" s="153" t="s">
        <v>1536</v>
      </c>
      <c r="B613" s="154" t="s">
        <v>1535</v>
      </c>
    </row>
    <row r="614" spans="1:2" x14ac:dyDescent="0.2">
      <c r="A614" s="153" t="s">
        <v>1538</v>
      </c>
      <c r="B614" s="154" t="s">
        <v>1537</v>
      </c>
    </row>
    <row r="615" spans="1:2" x14ac:dyDescent="0.2">
      <c r="A615" s="153" t="s">
        <v>1540</v>
      </c>
      <c r="B615" s="154" t="s">
        <v>1539</v>
      </c>
    </row>
    <row r="616" spans="1:2" x14ac:dyDescent="0.2">
      <c r="A616" s="153" t="s">
        <v>1542</v>
      </c>
      <c r="B616" s="154" t="s">
        <v>1541</v>
      </c>
    </row>
    <row r="617" spans="1:2" x14ac:dyDescent="0.2">
      <c r="A617" s="153" t="s">
        <v>1544</v>
      </c>
      <c r="B617" s="154" t="s">
        <v>1543</v>
      </c>
    </row>
    <row r="618" spans="1:2" x14ac:dyDescent="0.2">
      <c r="A618" s="153" t="s">
        <v>1546</v>
      </c>
      <c r="B618" s="154" t="s">
        <v>1545</v>
      </c>
    </row>
    <row r="619" spans="1:2" x14ac:dyDescent="0.2">
      <c r="A619" s="153" t="s">
        <v>1548</v>
      </c>
      <c r="B619" s="154" t="s">
        <v>1547</v>
      </c>
    </row>
    <row r="620" spans="1:2" x14ac:dyDescent="0.2">
      <c r="A620" s="153" t="s">
        <v>1550</v>
      </c>
      <c r="B620" s="154" t="s">
        <v>1549</v>
      </c>
    </row>
    <row r="621" spans="1:2" x14ac:dyDescent="0.2">
      <c r="A621" s="153" t="s">
        <v>1552</v>
      </c>
      <c r="B621" s="154" t="s">
        <v>1551</v>
      </c>
    </row>
    <row r="622" spans="1:2" x14ac:dyDescent="0.2">
      <c r="A622" s="153" t="s">
        <v>1554</v>
      </c>
      <c r="B622" s="154" t="s">
        <v>1553</v>
      </c>
    </row>
    <row r="623" spans="1:2" x14ac:dyDescent="0.2">
      <c r="A623" s="153" t="s">
        <v>1556</v>
      </c>
      <c r="B623" s="154" t="s">
        <v>1555</v>
      </c>
    </row>
    <row r="624" spans="1:2" x14ac:dyDescent="0.2">
      <c r="A624" s="153" t="s">
        <v>1558</v>
      </c>
      <c r="B624" s="154" t="s">
        <v>1557</v>
      </c>
    </row>
    <row r="625" spans="1:2" x14ac:dyDescent="0.2">
      <c r="A625" s="153" t="s">
        <v>1560</v>
      </c>
      <c r="B625" s="154" t="s">
        <v>1559</v>
      </c>
    </row>
    <row r="626" spans="1:2" x14ac:dyDescent="0.2">
      <c r="A626" s="153" t="s">
        <v>1562</v>
      </c>
      <c r="B626" s="154" t="s">
        <v>1561</v>
      </c>
    </row>
    <row r="627" spans="1:2" x14ac:dyDescent="0.2">
      <c r="A627" s="153" t="s">
        <v>1564</v>
      </c>
      <c r="B627" s="154" t="s">
        <v>1563</v>
      </c>
    </row>
    <row r="628" spans="1:2" x14ac:dyDescent="0.2">
      <c r="A628" s="153" t="s">
        <v>1566</v>
      </c>
      <c r="B628" s="154" t="s">
        <v>1565</v>
      </c>
    </row>
    <row r="629" spans="1:2" x14ac:dyDescent="0.2">
      <c r="A629" s="153" t="s">
        <v>1568</v>
      </c>
      <c r="B629" s="154" t="s">
        <v>1567</v>
      </c>
    </row>
    <row r="630" spans="1:2" x14ac:dyDescent="0.2">
      <c r="A630" s="153" t="s">
        <v>1570</v>
      </c>
      <c r="B630" s="154" t="s">
        <v>1569</v>
      </c>
    </row>
    <row r="631" spans="1:2" x14ac:dyDescent="0.2">
      <c r="A631" s="153" t="s">
        <v>1572</v>
      </c>
      <c r="B631" s="154" t="s">
        <v>1571</v>
      </c>
    </row>
    <row r="632" spans="1:2" x14ac:dyDescent="0.2">
      <c r="A632" s="153" t="s">
        <v>1574</v>
      </c>
      <c r="B632" s="154" t="s">
        <v>1573</v>
      </c>
    </row>
    <row r="633" spans="1:2" x14ac:dyDescent="0.2">
      <c r="A633" s="153" t="s">
        <v>1576</v>
      </c>
      <c r="B633" s="154" t="s">
        <v>1575</v>
      </c>
    </row>
    <row r="634" spans="1:2" x14ac:dyDescent="0.2">
      <c r="A634" s="153" t="s">
        <v>1578</v>
      </c>
      <c r="B634" s="154" t="s">
        <v>1577</v>
      </c>
    </row>
    <row r="635" spans="1:2" x14ac:dyDescent="0.2">
      <c r="A635" s="153" t="s">
        <v>1580</v>
      </c>
      <c r="B635" s="154" t="s">
        <v>1579</v>
      </c>
    </row>
    <row r="636" spans="1:2" x14ac:dyDescent="0.2">
      <c r="A636" s="153" t="s">
        <v>1582</v>
      </c>
      <c r="B636" s="154" t="s">
        <v>1581</v>
      </c>
    </row>
    <row r="637" spans="1:2" x14ac:dyDescent="0.2">
      <c r="A637" s="153" t="s">
        <v>1584</v>
      </c>
      <c r="B637" s="154" t="s">
        <v>1583</v>
      </c>
    </row>
    <row r="638" spans="1:2" x14ac:dyDescent="0.2">
      <c r="A638" s="153" t="s">
        <v>1586</v>
      </c>
      <c r="B638" s="154" t="s">
        <v>1585</v>
      </c>
    </row>
    <row r="639" spans="1:2" x14ac:dyDescent="0.2">
      <c r="A639" s="153" t="s">
        <v>1588</v>
      </c>
      <c r="B639" s="154" t="s">
        <v>1587</v>
      </c>
    </row>
    <row r="640" spans="1:2" x14ac:dyDescent="0.2">
      <c r="A640" s="153" t="s">
        <v>1590</v>
      </c>
      <c r="B640" s="154" t="s">
        <v>1589</v>
      </c>
    </row>
    <row r="641" spans="1:2" x14ac:dyDescent="0.2">
      <c r="A641" s="153" t="s">
        <v>1592</v>
      </c>
      <c r="B641" s="154" t="s">
        <v>1591</v>
      </c>
    </row>
    <row r="642" spans="1:2" x14ac:dyDescent="0.2">
      <c r="A642" s="153" t="s">
        <v>1594</v>
      </c>
      <c r="B642" s="154" t="s">
        <v>1593</v>
      </c>
    </row>
    <row r="643" spans="1:2" x14ac:dyDescent="0.2">
      <c r="A643" s="153" t="s">
        <v>1596</v>
      </c>
      <c r="B643" s="154" t="s">
        <v>1595</v>
      </c>
    </row>
    <row r="644" spans="1:2" x14ac:dyDescent="0.2">
      <c r="A644" s="153" t="s">
        <v>1598</v>
      </c>
      <c r="B644" s="154" t="s">
        <v>1597</v>
      </c>
    </row>
    <row r="645" spans="1:2" x14ac:dyDescent="0.2">
      <c r="A645" s="153" t="s">
        <v>1600</v>
      </c>
      <c r="B645" s="154" t="s">
        <v>1599</v>
      </c>
    </row>
    <row r="646" spans="1:2" x14ac:dyDescent="0.2">
      <c r="A646" s="153" t="s">
        <v>1602</v>
      </c>
      <c r="B646" s="154" t="s">
        <v>1601</v>
      </c>
    </row>
    <row r="647" spans="1:2" x14ac:dyDescent="0.2">
      <c r="A647" s="153" t="s">
        <v>1604</v>
      </c>
      <c r="B647" s="154" t="s">
        <v>1603</v>
      </c>
    </row>
    <row r="648" spans="1:2" x14ac:dyDescent="0.2">
      <c r="A648" s="153" t="s">
        <v>1606</v>
      </c>
      <c r="B648" s="154" t="s">
        <v>1605</v>
      </c>
    </row>
    <row r="649" spans="1:2" x14ac:dyDescent="0.2">
      <c r="A649" s="153" t="s">
        <v>1608</v>
      </c>
      <c r="B649" s="154" t="s">
        <v>1607</v>
      </c>
    </row>
    <row r="650" spans="1:2" x14ac:dyDescent="0.2">
      <c r="A650" s="153" t="s">
        <v>1610</v>
      </c>
      <c r="B650" s="154" t="s">
        <v>1609</v>
      </c>
    </row>
    <row r="651" spans="1:2" x14ac:dyDescent="0.2">
      <c r="A651" s="153" t="s">
        <v>1612</v>
      </c>
      <c r="B651" s="154" t="s">
        <v>1611</v>
      </c>
    </row>
    <row r="652" spans="1:2" x14ac:dyDescent="0.2">
      <c r="A652" s="153" t="s">
        <v>1614</v>
      </c>
      <c r="B652" s="154" t="s">
        <v>1613</v>
      </c>
    </row>
    <row r="653" spans="1:2" x14ac:dyDescent="0.2">
      <c r="A653" s="153" t="s">
        <v>1616</v>
      </c>
      <c r="B653" s="154" t="s">
        <v>1615</v>
      </c>
    </row>
    <row r="654" spans="1:2" x14ac:dyDescent="0.2">
      <c r="A654" s="153" t="s">
        <v>1618</v>
      </c>
      <c r="B654" s="154" t="s">
        <v>1617</v>
      </c>
    </row>
    <row r="655" spans="1:2" x14ac:dyDescent="0.2">
      <c r="A655" s="153" t="s">
        <v>1620</v>
      </c>
      <c r="B655" s="154" t="s">
        <v>1619</v>
      </c>
    </row>
    <row r="656" spans="1:2" x14ac:dyDescent="0.2">
      <c r="A656" s="153" t="s">
        <v>1622</v>
      </c>
      <c r="B656" s="154" t="s">
        <v>1621</v>
      </c>
    </row>
    <row r="657" spans="1:2" x14ac:dyDescent="0.2">
      <c r="A657" s="153" t="s">
        <v>1624</v>
      </c>
      <c r="B657" s="154" t="s">
        <v>1623</v>
      </c>
    </row>
    <row r="658" spans="1:2" x14ac:dyDescent="0.2">
      <c r="A658" s="153" t="s">
        <v>1626</v>
      </c>
      <c r="B658" s="154" t="s">
        <v>1625</v>
      </c>
    </row>
    <row r="659" spans="1:2" x14ac:dyDescent="0.2">
      <c r="A659" s="153" t="s">
        <v>1628</v>
      </c>
      <c r="B659" s="154" t="s">
        <v>1627</v>
      </c>
    </row>
    <row r="660" spans="1:2" x14ac:dyDescent="0.2">
      <c r="A660" s="153" t="s">
        <v>1630</v>
      </c>
      <c r="B660" s="154" t="s">
        <v>1629</v>
      </c>
    </row>
    <row r="661" spans="1:2" x14ac:dyDescent="0.2">
      <c r="A661" s="153" t="s">
        <v>1632</v>
      </c>
      <c r="B661" s="154" t="s">
        <v>1631</v>
      </c>
    </row>
    <row r="662" spans="1:2" x14ac:dyDescent="0.2">
      <c r="A662" s="153" t="s">
        <v>1634</v>
      </c>
      <c r="B662" s="154" t="s">
        <v>1633</v>
      </c>
    </row>
    <row r="663" spans="1:2" x14ac:dyDescent="0.2">
      <c r="A663" s="153" t="s">
        <v>1636</v>
      </c>
      <c r="B663" s="154" t="s">
        <v>1635</v>
      </c>
    </row>
    <row r="664" spans="1:2" x14ac:dyDescent="0.2">
      <c r="A664" s="153" t="s">
        <v>1638</v>
      </c>
      <c r="B664" s="154" t="s">
        <v>1637</v>
      </c>
    </row>
    <row r="665" spans="1:2" x14ac:dyDescent="0.2">
      <c r="A665" s="153" t="s">
        <v>1640</v>
      </c>
      <c r="B665" s="154" t="s">
        <v>1639</v>
      </c>
    </row>
    <row r="666" spans="1:2" x14ac:dyDescent="0.2">
      <c r="A666" s="153" t="s">
        <v>1642</v>
      </c>
      <c r="B666" s="154" t="s">
        <v>1641</v>
      </c>
    </row>
    <row r="667" spans="1:2" x14ac:dyDescent="0.2">
      <c r="A667" s="153" t="s">
        <v>1644</v>
      </c>
      <c r="B667" s="154" t="s">
        <v>1643</v>
      </c>
    </row>
    <row r="668" spans="1:2" x14ac:dyDescent="0.2">
      <c r="A668" s="153" t="s">
        <v>1646</v>
      </c>
      <c r="B668" s="154" t="s">
        <v>1645</v>
      </c>
    </row>
    <row r="669" spans="1:2" x14ac:dyDescent="0.2">
      <c r="A669" s="153" t="s">
        <v>1648</v>
      </c>
      <c r="B669" s="154" t="s">
        <v>1647</v>
      </c>
    </row>
    <row r="670" spans="1:2" x14ac:dyDescent="0.2">
      <c r="A670" s="153" t="s">
        <v>1650</v>
      </c>
      <c r="B670" s="154" t="s">
        <v>1649</v>
      </c>
    </row>
    <row r="671" spans="1:2" x14ac:dyDescent="0.2">
      <c r="A671" s="153" t="s">
        <v>1652</v>
      </c>
      <c r="B671" s="154" t="s">
        <v>1651</v>
      </c>
    </row>
    <row r="672" spans="1:2" x14ac:dyDescent="0.2">
      <c r="A672" s="153" t="s">
        <v>1654</v>
      </c>
      <c r="B672" s="154" t="s">
        <v>1653</v>
      </c>
    </row>
    <row r="673" spans="1:2" x14ac:dyDescent="0.2">
      <c r="A673" s="153" t="s">
        <v>1656</v>
      </c>
      <c r="B673" s="154" t="s">
        <v>1655</v>
      </c>
    </row>
    <row r="674" spans="1:2" x14ac:dyDescent="0.2">
      <c r="A674" s="153" t="s">
        <v>1658</v>
      </c>
      <c r="B674" s="154" t="s">
        <v>1657</v>
      </c>
    </row>
    <row r="675" spans="1:2" x14ac:dyDescent="0.2">
      <c r="A675" s="153" t="s">
        <v>1660</v>
      </c>
      <c r="B675" s="154" t="s">
        <v>1659</v>
      </c>
    </row>
    <row r="676" spans="1:2" x14ac:dyDescent="0.2">
      <c r="A676" s="153" t="s">
        <v>1662</v>
      </c>
      <c r="B676" s="154" t="s">
        <v>1661</v>
      </c>
    </row>
    <row r="677" spans="1:2" x14ac:dyDescent="0.2">
      <c r="A677" s="153" t="s">
        <v>1664</v>
      </c>
      <c r="B677" s="154" t="s">
        <v>1663</v>
      </c>
    </row>
    <row r="678" spans="1:2" x14ac:dyDescent="0.2">
      <c r="A678" s="153" t="s">
        <v>1666</v>
      </c>
      <c r="B678" s="154" t="s">
        <v>1665</v>
      </c>
    </row>
    <row r="679" spans="1:2" x14ac:dyDescent="0.2">
      <c r="A679" s="153" t="s">
        <v>1668</v>
      </c>
      <c r="B679" s="154" t="s">
        <v>1667</v>
      </c>
    </row>
    <row r="680" spans="1:2" x14ac:dyDescent="0.2">
      <c r="A680" s="153" t="s">
        <v>1670</v>
      </c>
      <c r="B680" s="154" t="s">
        <v>1669</v>
      </c>
    </row>
    <row r="681" spans="1:2" x14ac:dyDescent="0.2">
      <c r="A681" s="153" t="s">
        <v>1672</v>
      </c>
      <c r="B681" s="154" t="s">
        <v>1671</v>
      </c>
    </row>
    <row r="682" spans="1:2" x14ac:dyDescent="0.2">
      <c r="A682" s="153" t="s">
        <v>1674</v>
      </c>
      <c r="B682" s="154" t="s">
        <v>1673</v>
      </c>
    </row>
    <row r="683" spans="1:2" x14ac:dyDescent="0.2">
      <c r="A683" s="153" t="s">
        <v>1676</v>
      </c>
      <c r="B683" s="154" t="s">
        <v>1675</v>
      </c>
    </row>
    <row r="684" spans="1:2" x14ac:dyDescent="0.2">
      <c r="A684" s="153" t="s">
        <v>1678</v>
      </c>
      <c r="B684" s="154" t="s">
        <v>1677</v>
      </c>
    </row>
    <row r="685" spans="1:2" x14ac:dyDescent="0.2">
      <c r="A685" s="153" t="s">
        <v>1680</v>
      </c>
      <c r="B685" s="154" t="s">
        <v>1679</v>
      </c>
    </row>
    <row r="686" spans="1:2" x14ac:dyDescent="0.2">
      <c r="A686" s="153" t="s">
        <v>1682</v>
      </c>
      <c r="B686" s="154" t="s">
        <v>1681</v>
      </c>
    </row>
    <row r="687" spans="1:2" x14ac:dyDescent="0.2">
      <c r="A687" s="153" t="s">
        <v>1684</v>
      </c>
      <c r="B687" s="154" t="s">
        <v>1683</v>
      </c>
    </row>
    <row r="688" spans="1:2" x14ac:dyDescent="0.2">
      <c r="A688" s="153" t="s">
        <v>1686</v>
      </c>
      <c r="B688" s="154" t="s">
        <v>1685</v>
      </c>
    </row>
    <row r="689" spans="1:2" x14ac:dyDescent="0.2">
      <c r="A689" s="153" t="s">
        <v>1688</v>
      </c>
      <c r="B689" s="154" t="s">
        <v>1687</v>
      </c>
    </row>
    <row r="690" spans="1:2" x14ac:dyDescent="0.2">
      <c r="A690" s="153" t="s">
        <v>1690</v>
      </c>
      <c r="B690" s="154" t="s">
        <v>1689</v>
      </c>
    </row>
    <row r="691" spans="1:2" x14ac:dyDescent="0.2">
      <c r="A691" s="153" t="s">
        <v>1692</v>
      </c>
      <c r="B691" s="154" t="s">
        <v>1691</v>
      </c>
    </row>
    <row r="692" spans="1:2" x14ac:dyDescent="0.2">
      <c r="A692" s="153" t="s">
        <v>1694</v>
      </c>
      <c r="B692" s="154" t="s">
        <v>1693</v>
      </c>
    </row>
    <row r="693" spans="1:2" x14ac:dyDescent="0.2">
      <c r="A693" s="153" t="s">
        <v>1696</v>
      </c>
      <c r="B693" s="154" t="s">
        <v>1695</v>
      </c>
    </row>
    <row r="694" spans="1:2" x14ac:dyDescent="0.2">
      <c r="A694" s="153" t="s">
        <v>1698</v>
      </c>
      <c r="B694" s="154" t="s">
        <v>1697</v>
      </c>
    </row>
    <row r="695" spans="1:2" x14ac:dyDescent="0.2">
      <c r="A695" s="153" t="s">
        <v>1700</v>
      </c>
      <c r="B695" s="154" t="s">
        <v>1699</v>
      </c>
    </row>
    <row r="696" spans="1:2" x14ac:dyDescent="0.2">
      <c r="A696" s="153" t="s">
        <v>1702</v>
      </c>
      <c r="B696" s="154" t="s">
        <v>1701</v>
      </c>
    </row>
    <row r="697" spans="1:2" x14ac:dyDescent="0.2">
      <c r="A697" s="153" t="s">
        <v>1704</v>
      </c>
      <c r="B697" s="154" t="s">
        <v>1703</v>
      </c>
    </row>
    <row r="698" spans="1:2" x14ac:dyDescent="0.2">
      <c r="A698" s="153" t="s">
        <v>1706</v>
      </c>
      <c r="B698" s="154" t="s">
        <v>1705</v>
      </c>
    </row>
    <row r="699" spans="1:2" x14ac:dyDescent="0.2">
      <c r="A699" s="153" t="s">
        <v>1708</v>
      </c>
      <c r="B699" s="154" t="s">
        <v>1707</v>
      </c>
    </row>
    <row r="700" spans="1:2" x14ac:dyDescent="0.2">
      <c r="A700" s="153" t="s">
        <v>1710</v>
      </c>
      <c r="B700" s="154" t="s">
        <v>1709</v>
      </c>
    </row>
    <row r="701" spans="1:2" x14ac:dyDescent="0.2">
      <c r="A701" s="153" t="s">
        <v>1712</v>
      </c>
      <c r="B701" s="154" t="s">
        <v>1711</v>
      </c>
    </row>
    <row r="702" spans="1:2" x14ac:dyDescent="0.2">
      <c r="A702" s="153" t="s">
        <v>1714</v>
      </c>
      <c r="B702" s="154" t="s">
        <v>1713</v>
      </c>
    </row>
    <row r="703" spans="1:2" x14ac:dyDescent="0.2">
      <c r="A703" s="153" t="s">
        <v>1716</v>
      </c>
      <c r="B703" s="154" t="s">
        <v>1715</v>
      </c>
    </row>
    <row r="704" spans="1:2" x14ac:dyDescent="0.2">
      <c r="A704" s="153" t="s">
        <v>1718</v>
      </c>
      <c r="B704" s="154" t="s">
        <v>1717</v>
      </c>
    </row>
    <row r="705" spans="1:2" x14ac:dyDescent="0.2">
      <c r="A705" s="153" t="s">
        <v>1720</v>
      </c>
      <c r="B705" s="154" t="s">
        <v>1719</v>
      </c>
    </row>
    <row r="706" spans="1:2" x14ac:dyDescent="0.2">
      <c r="A706" s="153" t="s">
        <v>1722</v>
      </c>
      <c r="B706" s="154" t="s">
        <v>1721</v>
      </c>
    </row>
    <row r="707" spans="1:2" x14ac:dyDescent="0.2">
      <c r="A707" s="153" t="s">
        <v>1724</v>
      </c>
      <c r="B707" s="154" t="s">
        <v>1723</v>
      </c>
    </row>
    <row r="708" spans="1:2" x14ac:dyDescent="0.2">
      <c r="A708" s="153" t="s">
        <v>1726</v>
      </c>
      <c r="B708" s="154" t="s">
        <v>1725</v>
      </c>
    </row>
    <row r="709" spans="1:2" x14ac:dyDescent="0.2">
      <c r="A709" s="153" t="s">
        <v>1728</v>
      </c>
      <c r="B709" s="154" t="s">
        <v>1727</v>
      </c>
    </row>
    <row r="710" spans="1:2" x14ac:dyDescent="0.2">
      <c r="A710" s="153" t="s">
        <v>1730</v>
      </c>
      <c r="B710" s="154" t="s">
        <v>1729</v>
      </c>
    </row>
    <row r="711" spans="1:2" x14ac:dyDescent="0.2">
      <c r="A711" s="153" t="s">
        <v>1732</v>
      </c>
      <c r="B711" s="154" t="s">
        <v>1731</v>
      </c>
    </row>
    <row r="712" spans="1:2" x14ac:dyDescent="0.2">
      <c r="A712" s="153" t="s">
        <v>1734</v>
      </c>
      <c r="B712" s="154" t="s">
        <v>1733</v>
      </c>
    </row>
    <row r="713" spans="1:2" x14ac:dyDescent="0.2">
      <c r="A713" s="153" t="s">
        <v>1736</v>
      </c>
      <c r="B713" s="154" t="s">
        <v>1735</v>
      </c>
    </row>
    <row r="714" spans="1:2" x14ac:dyDescent="0.2">
      <c r="A714" s="153" t="s">
        <v>1738</v>
      </c>
      <c r="B714" s="154" t="s">
        <v>1737</v>
      </c>
    </row>
    <row r="715" spans="1:2" x14ac:dyDescent="0.2">
      <c r="A715" s="153" t="s">
        <v>1740</v>
      </c>
      <c r="B715" s="154" t="s">
        <v>1739</v>
      </c>
    </row>
    <row r="716" spans="1:2" x14ac:dyDescent="0.2">
      <c r="A716" s="153" t="s">
        <v>1742</v>
      </c>
      <c r="B716" s="154" t="s">
        <v>1741</v>
      </c>
    </row>
    <row r="717" spans="1:2" x14ac:dyDescent="0.2">
      <c r="A717" s="153" t="s">
        <v>1744</v>
      </c>
      <c r="B717" s="154" t="s">
        <v>1743</v>
      </c>
    </row>
    <row r="718" spans="1:2" x14ac:dyDescent="0.2">
      <c r="A718" s="153" t="s">
        <v>1746</v>
      </c>
      <c r="B718" s="154" t="s">
        <v>1745</v>
      </c>
    </row>
    <row r="719" spans="1:2" x14ac:dyDescent="0.2">
      <c r="A719" s="153" t="s">
        <v>1748</v>
      </c>
      <c r="B719" s="154" t="s">
        <v>1747</v>
      </c>
    </row>
    <row r="720" spans="1:2" x14ac:dyDescent="0.2">
      <c r="A720" s="153" t="s">
        <v>1750</v>
      </c>
      <c r="B720" s="154" t="s">
        <v>1749</v>
      </c>
    </row>
    <row r="721" spans="1:2" x14ac:dyDescent="0.2">
      <c r="A721" s="153" t="s">
        <v>1752</v>
      </c>
      <c r="B721" s="154" t="s">
        <v>1751</v>
      </c>
    </row>
    <row r="722" spans="1:2" x14ac:dyDescent="0.2">
      <c r="A722" s="153" t="s">
        <v>1754</v>
      </c>
      <c r="B722" s="154" t="s">
        <v>1753</v>
      </c>
    </row>
    <row r="723" spans="1:2" x14ac:dyDescent="0.2">
      <c r="A723" s="153" t="s">
        <v>1756</v>
      </c>
      <c r="B723" s="154" t="s">
        <v>1755</v>
      </c>
    </row>
    <row r="724" spans="1:2" x14ac:dyDescent="0.2">
      <c r="A724" s="153" t="s">
        <v>1758</v>
      </c>
      <c r="B724" s="154" t="s">
        <v>1757</v>
      </c>
    </row>
    <row r="725" spans="1:2" x14ac:dyDescent="0.2">
      <c r="A725" s="153" t="s">
        <v>1760</v>
      </c>
      <c r="B725" s="154" t="s">
        <v>1759</v>
      </c>
    </row>
    <row r="726" spans="1:2" x14ac:dyDescent="0.2">
      <c r="A726" s="153" t="s">
        <v>1762</v>
      </c>
      <c r="B726" s="154" t="s">
        <v>1761</v>
      </c>
    </row>
    <row r="727" spans="1:2" x14ac:dyDescent="0.2">
      <c r="A727" s="153" t="s">
        <v>1764</v>
      </c>
      <c r="B727" s="154" t="s">
        <v>1763</v>
      </c>
    </row>
    <row r="728" spans="1:2" x14ac:dyDescent="0.2">
      <c r="A728" s="153" t="s">
        <v>1766</v>
      </c>
      <c r="B728" s="154" t="s">
        <v>1765</v>
      </c>
    </row>
    <row r="729" spans="1:2" x14ac:dyDescent="0.2">
      <c r="A729" s="153" t="s">
        <v>1768</v>
      </c>
      <c r="B729" s="154" t="s">
        <v>1767</v>
      </c>
    </row>
    <row r="730" spans="1:2" x14ac:dyDescent="0.2">
      <c r="A730" s="153" t="s">
        <v>1770</v>
      </c>
      <c r="B730" s="154" t="s">
        <v>1769</v>
      </c>
    </row>
    <row r="731" spans="1:2" x14ac:dyDescent="0.2">
      <c r="A731" s="153" t="s">
        <v>1772</v>
      </c>
      <c r="B731" s="154" t="s">
        <v>1771</v>
      </c>
    </row>
    <row r="732" spans="1:2" x14ac:dyDescent="0.2">
      <c r="A732" s="153" t="s">
        <v>1774</v>
      </c>
      <c r="B732" s="154" t="s">
        <v>1773</v>
      </c>
    </row>
    <row r="733" spans="1:2" x14ac:dyDescent="0.2">
      <c r="A733" s="153" t="s">
        <v>1776</v>
      </c>
      <c r="B733" s="154" t="s">
        <v>1775</v>
      </c>
    </row>
    <row r="734" spans="1:2" x14ac:dyDescent="0.2">
      <c r="A734" s="153" t="s">
        <v>1778</v>
      </c>
      <c r="B734" s="154" t="s">
        <v>1777</v>
      </c>
    </row>
    <row r="735" spans="1:2" x14ac:dyDescent="0.2">
      <c r="A735" s="153" t="s">
        <v>9837</v>
      </c>
      <c r="B735" s="154" t="s">
        <v>1779</v>
      </c>
    </row>
    <row r="736" spans="1:2" x14ac:dyDescent="0.2">
      <c r="A736" s="153" t="s">
        <v>1781</v>
      </c>
      <c r="B736" s="154" t="s">
        <v>1780</v>
      </c>
    </row>
    <row r="737" spans="1:2" x14ac:dyDescent="0.2">
      <c r="A737" s="153" t="s">
        <v>1783</v>
      </c>
      <c r="B737" s="154" t="s">
        <v>1782</v>
      </c>
    </row>
    <row r="738" spans="1:2" x14ac:dyDescent="0.2">
      <c r="A738" s="153" t="s">
        <v>1785</v>
      </c>
      <c r="B738" s="154" t="s">
        <v>1784</v>
      </c>
    </row>
    <row r="739" spans="1:2" x14ac:dyDescent="0.2">
      <c r="A739" s="153" t="s">
        <v>1787</v>
      </c>
      <c r="B739" s="154" t="s">
        <v>1786</v>
      </c>
    </row>
    <row r="740" spans="1:2" x14ac:dyDescent="0.2">
      <c r="A740" s="153" t="s">
        <v>1789</v>
      </c>
      <c r="B740" s="154" t="s">
        <v>1788</v>
      </c>
    </row>
    <row r="741" spans="1:2" x14ac:dyDescent="0.2">
      <c r="A741" s="153" t="s">
        <v>1791</v>
      </c>
      <c r="B741" s="154" t="s">
        <v>1790</v>
      </c>
    </row>
    <row r="742" spans="1:2" x14ac:dyDescent="0.2">
      <c r="A742" s="153" t="s">
        <v>1793</v>
      </c>
      <c r="B742" s="154" t="s">
        <v>1792</v>
      </c>
    </row>
    <row r="743" spans="1:2" x14ac:dyDescent="0.2">
      <c r="A743" s="153" t="s">
        <v>1795</v>
      </c>
      <c r="B743" s="154" t="s">
        <v>1794</v>
      </c>
    </row>
    <row r="744" spans="1:2" ht="28.5" x14ac:dyDescent="0.2">
      <c r="A744" s="153" t="s">
        <v>1797</v>
      </c>
      <c r="B744" s="154" t="s">
        <v>1796</v>
      </c>
    </row>
    <row r="745" spans="1:2" x14ac:dyDescent="0.2">
      <c r="A745" s="153" t="s">
        <v>1799</v>
      </c>
      <c r="B745" s="154" t="s">
        <v>1798</v>
      </c>
    </row>
    <row r="746" spans="1:2" x14ac:dyDescent="0.2">
      <c r="A746" s="153" t="s">
        <v>1801</v>
      </c>
      <c r="B746" s="154" t="s">
        <v>1800</v>
      </c>
    </row>
    <row r="747" spans="1:2" x14ac:dyDescent="0.2">
      <c r="A747" s="153" t="s">
        <v>1803</v>
      </c>
      <c r="B747" s="154" t="s">
        <v>1802</v>
      </c>
    </row>
    <row r="748" spans="1:2" x14ac:dyDescent="0.2">
      <c r="A748" s="153" t="s">
        <v>1805</v>
      </c>
      <c r="B748" s="154" t="s">
        <v>1804</v>
      </c>
    </row>
    <row r="749" spans="1:2" x14ac:dyDescent="0.2">
      <c r="A749" s="153" t="s">
        <v>1807</v>
      </c>
      <c r="B749" s="154" t="s">
        <v>1806</v>
      </c>
    </row>
    <row r="750" spans="1:2" x14ac:dyDescent="0.2">
      <c r="A750" s="153" t="s">
        <v>1809</v>
      </c>
      <c r="B750" s="154" t="s">
        <v>1808</v>
      </c>
    </row>
    <row r="751" spans="1:2" x14ac:dyDescent="0.2">
      <c r="A751" s="153" t="s">
        <v>1811</v>
      </c>
      <c r="B751" s="154" t="s">
        <v>1810</v>
      </c>
    </row>
    <row r="752" spans="1:2" x14ac:dyDescent="0.2">
      <c r="A752" s="153" t="s">
        <v>1813</v>
      </c>
      <c r="B752" s="154" t="s">
        <v>1812</v>
      </c>
    </row>
    <row r="753" spans="1:2" x14ac:dyDescent="0.2">
      <c r="A753" s="153" t="s">
        <v>1815</v>
      </c>
      <c r="B753" s="154" t="s">
        <v>1814</v>
      </c>
    </row>
    <row r="754" spans="1:2" x14ac:dyDescent="0.2">
      <c r="A754" s="153" t="s">
        <v>1817</v>
      </c>
      <c r="B754" s="154" t="s">
        <v>1816</v>
      </c>
    </row>
    <row r="755" spans="1:2" x14ac:dyDescent="0.2">
      <c r="A755" s="153" t="s">
        <v>1819</v>
      </c>
      <c r="B755" s="154" t="s">
        <v>1818</v>
      </c>
    </row>
    <row r="756" spans="1:2" x14ac:dyDescent="0.2">
      <c r="A756" s="153" t="s">
        <v>1821</v>
      </c>
      <c r="B756" s="154" t="s">
        <v>1820</v>
      </c>
    </row>
    <row r="757" spans="1:2" x14ac:dyDescent="0.2">
      <c r="A757" s="153" t="s">
        <v>1823</v>
      </c>
      <c r="B757" s="154" t="s">
        <v>1822</v>
      </c>
    </row>
    <row r="758" spans="1:2" x14ac:dyDescent="0.2">
      <c r="A758" s="153" t="s">
        <v>1825</v>
      </c>
      <c r="B758" s="154" t="s">
        <v>1824</v>
      </c>
    </row>
    <row r="759" spans="1:2" x14ac:dyDescent="0.2">
      <c r="A759" s="153" t="s">
        <v>1827</v>
      </c>
      <c r="B759" s="154" t="s">
        <v>1826</v>
      </c>
    </row>
    <row r="760" spans="1:2" x14ac:dyDescent="0.2">
      <c r="A760" s="153" t="s">
        <v>1829</v>
      </c>
      <c r="B760" s="154" t="s">
        <v>1828</v>
      </c>
    </row>
    <row r="761" spans="1:2" x14ac:dyDescent="0.2">
      <c r="A761" s="153" t="s">
        <v>1831</v>
      </c>
      <c r="B761" s="154" t="s">
        <v>1830</v>
      </c>
    </row>
    <row r="762" spans="1:2" x14ac:dyDescent="0.2">
      <c r="A762" s="153" t="s">
        <v>1833</v>
      </c>
      <c r="B762" s="154" t="s">
        <v>1832</v>
      </c>
    </row>
    <row r="763" spans="1:2" x14ac:dyDescent="0.2">
      <c r="A763" s="153" t="s">
        <v>1835</v>
      </c>
      <c r="B763" s="154" t="s">
        <v>1834</v>
      </c>
    </row>
    <row r="764" spans="1:2" x14ac:dyDescent="0.2">
      <c r="A764" s="153" t="s">
        <v>1837</v>
      </c>
      <c r="B764" s="154" t="s">
        <v>1836</v>
      </c>
    </row>
    <row r="765" spans="1:2" x14ac:dyDescent="0.2">
      <c r="A765" s="153" t="s">
        <v>1839</v>
      </c>
      <c r="B765" s="154" t="s">
        <v>1838</v>
      </c>
    </row>
    <row r="766" spans="1:2" x14ac:dyDescent="0.2">
      <c r="A766" s="153" t="s">
        <v>1841</v>
      </c>
      <c r="B766" s="154" t="s">
        <v>1840</v>
      </c>
    </row>
    <row r="767" spans="1:2" x14ac:dyDescent="0.2">
      <c r="A767" s="153" t="s">
        <v>1843</v>
      </c>
      <c r="B767" s="154" t="s">
        <v>1842</v>
      </c>
    </row>
    <row r="768" spans="1:2" x14ac:dyDescent="0.2">
      <c r="A768" s="153" t="s">
        <v>1845</v>
      </c>
      <c r="B768" s="154" t="s">
        <v>1844</v>
      </c>
    </row>
    <row r="769" spans="1:2" x14ac:dyDescent="0.2">
      <c r="A769" s="153" t="s">
        <v>1847</v>
      </c>
      <c r="B769" s="154" t="s">
        <v>1846</v>
      </c>
    </row>
    <row r="770" spans="1:2" x14ac:dyDescent="0.2">
      <c r="A770" s="153" t="s">
        <v>1849</v>
      </c>
      <c r="B770" s="154" t="s">
        <v>1848</v>
      </c>
    </row>
    <row r="771" spans="1:2" x14ac:dyDescent="0.2">
      <c r="A771" s="153" t="s">
        <v>1851</v>
      </c>
      <c r="B771" s="154" t="s">
        <v>1850</v>
      </c>
    </row>
    <row r="772" spans="1:2" x14ac:dyDescent="0.2">
      <c r="A772" s="153" t="s">
        <v>1853</v>
      </c>
      <c r="B772" s="154" t="s">
        <v>1852</v>
      </c>
    </row>
    <row r="773" spans="1:2" x14ac:dyDescent="0.2">
      <c r="A773" s="153" t="s">
        <v>1855</v>
      </c>
      <c r="B773" s="154" t="s">
        <v>1854</v>
      </c>
    </row>
    <row r="774" spans="1:2" x14ac:dyDescent="0.2">
      <c r="A774" s="153" t="s">
        <v>1857</v>
      </c>
      <c r="B774" s="154" t="s">
        <v>1856</v>
      </c>
    </row>
    <row r="775" spans="1:2" x14ac:dyDescent="0.2">
      <c r="A775" s="153" t="s">
        <v>1859</v>
      </c>
      <c r="B775" s="154" t="s">
        <v>1858</v>
      </c>
    </row>
    <row r="776" spans="1:2" x14ac:dyDescent="0.2">
      <c r="A776" s="153" t="s">
        <v>1861</v>
      </c>
      <c r="B776" s="154" t="s">
        <v>1860</v>
      </c>
    </row>
    <row r="777" spans="1:2" x14ac:dyDescent="0.2">
      <c r="A777" s="153" t="s">
        <v>1863</v>
      </c>
      <c r="B777" s="154" t="s">
        <v>1862</v>
      </c>
    </row>
    <row r="778" spans="1:2" x14ac:dyDescent="0.2">
      <c r="A778" s="153" t="s">
        <v>1865</v>
      </c>
      <c r="B778" s="154" t="s">
        <v>1864</v>
      </c>
    </row>
    <row r="779" spans="1:2" x14ac:dyDescent="0.2">
      <c r="A779" s="153" t="s">
        <v>1867</v>
      </c>
      <c r="B779" s="154" t="s">
        <v>1866</v>
      </c>
    </row>
    <row r="780" spans="1:2" x14ac:dyDescent="0.2">
      <c r="A780" s="153" t="s">
        <v>1869</v>
      </c>
      <c r="B780" s="154" t="s">
        <v>1868</v>
      </c>
    </row>
    <row r="781" spans="1:2" x14ac:dyDescent="0.2">
      <c r="A781" s="153" t="s">
        <v>1871</v>
      </c>
      <c r="B781" s="154" t="s">
        <v>1870</v>
      </c>
    </row>
    <row r="782" spans="1:2" x14ac:dyDescent="0.2">
      <c r="A782" s="153" t="s">
        <v>1873</v>
      </c>
      <c r="B782" s="154" t="s">
        <v>1872</v>
      </c>
    </row>
    <row r="783" spans="1:2" x14ac:dyDescent="0.2">
      <c r="A783" s="153" t="s">
        <v>1875</v>
      </c>
      <c r="B783" s="154" t="s">
        <v>1874</v>
      </c>
    </row>
    <row r="784" spans="1:2" x14ac:dyDescent="0.2">
      <c r="A784" s="153" t="s">
        <v>1877</v>
      </c>
      <c r="B784" s="154" t="s">
        <v>1876</v>
      </c>
    </row>
    <row r="785" spans="1:2" x14ac:dyDescent="0.2">
      <c r="A785" s="153" t="s">
        <v>1879</v>
      </c>
      <c r="B785" s="154" t="s">
        <v>1878</v>
      </c>
    </row>
    <row r="786" spans="1:2" x14ac:dyDescent="0.2">
      <c r="A786" s="153" t="s">
        <v>1881</v>
      </c>
      <c r="B786" s="154" t="s">
        <v>1880</v>
      </c>
    </row>
    <row r="787" spans="1:2" x14ac:dyDescent="0.2">
      <c r="A787" s="153" t="s">
        <v>1883</v>
      </c>
      <c r="B787" s="154" t="s">
        <v>1882</v>
      </c>
    </row>
    <row r="788" spans="1:2" x14ac:dyDescent="0.2">
      <c r="A788" s="153" t="s">
        <v>1885</v>
      </c>
      <c r="B788" s="154" t="s">
        <v>1884</v>
      </c>
    </row>
    <row r="789" spans="1:2" x14ac:dyDescent="0.2">
      <c r="A789" s="153" t="s">
        <v>1887</v>
      </c>
      <c r="B789" s="154" t="s">
        <v>1886</v>
      </c>
    </row>
    <row r="790" spans="1:2" x14ac:dyDescent="0.2">
      <c r="A790" s="153" t="s">
        <v>1889</v>
      </c>
      <c r="B790" s="154" t="s">
        <v>1888</v>
      </c>
    </row>
    <row r="791" spans="1:2" x14ac:dyDescent="0.2">
      <c r="A791" s="153" t="s">
        <v>1891</v>
      </c>
      <c r="B791" s="154" t="s">
        <v>1890</v>
      </c>
    </row>
    <row r="792" spans="1:2" x14ac:dyDescent="0.2">
      <c r="A792" s="153" t="s">
        <v>1893</v>
      </c>
      <c r="B792" s="154" t="s">
        <v>1892</v>
      </c>
    </row>
    <row r="793" spans="1:2" x14ac:dyDescent="0.2">
      <c r="A793" s="153" t="s">
        <v>1895</v>
      </c>
      <c r="B793" s="154" t="s">
        <v>1894</v>
      </c>
    </row>
    <row r="794" spans="1:2" x14ac:dyDescent="0.2">
      <c r="A794" s="153" t="s">
        <v>1897</v>
      </c>
      <c r="B794" s="154" t="s">
        <v>1896</v>
      </c>
    </row>
    <row r="795" spans="1:2" x14ac:dyDescent="0.2">
      <c r="A795" s="153" t="s">
        <v>1899</v>
      </c>
      <c r="B795" s="154" t="s">
        <v>1898</v>
      </c>
    </row>
    <row r="796" spans="1:2" x14ac:dyDescent="0.2">
      <c r="A796" s="153" t="s">
        <v>1901</v>
      </c>
      <c r="B796" s="154" t="s">
        <v>1900</v>
      </c>
    </row>
    <row r="797" spans="1:2" x14ac:dyDescent="0.2">
      <c r="A797" s="153" t="s">
        <v>1903</v>
      </c>
      <c r="B797" s="154" t="s">
        <v>1902</v>
      </c>
    </row>
    <row r="798" spans="1:2" x14ac:dyDescent="0.2">
      <c r="A798" s="153" t="s">
        <v>1905</v>
      </c>
      <c r="B798" s="154" t="s">
        <v>1904</v>
      </c>
    </row>
    <row r="799" spans="1:2" x14ac:dyDescent="0.2">
      <c r="A799" s="153" t="s">
        <v>1907</v>
      </c>
      <c r="B799" s="154" t="s">
        <v>1906</v>
      </c>
    </row>
    <row r="800" spans="1:2" x14ac:dyDescent="0.2">
      <c r="A800" s="153" t="s">
        <v>1909</v>
      </c>
      <c r="B800" s="154" t="s">
        <v>1908</v>
      </c>
    </row>
    <row r="801" spans="1:2" x14ac:dyDescent="0.2">
      <c r="A801" s="153" t="s">
        <v>1911</v>
      </c>
      <c r="B801" s="154" t="s">
        <v>1910</v>
      </c>
    </row>
    <row r="802" spans="1:2" x14ac:dyDescent="0.2">
      <c r="A802" s="153" t="s">
        <v>1913</v>
      </c>
      <c r="B802" s="154" t="s">
        <v>1912</v>
      </c>
    </row>
    <row r="803" spans="1:2" x14ac:dyDescent="0.2">
      <c r="A803" s="153" t="s">
        <v>1915</v>
      </c>
      <c r="B803" s="154" t="s">
        <v>1914</v>
      </c>
    </row>
    <row r="804" spans="1:2" x14ac:dyDescent="0.2">
      <c r="A804" s="153" t="s">
        <v>1917</v>
      </c>
      <c r="B804" s="154" t="s">
        <v>1916</v>
      </c>
    </row>
    <row r="805" spans="1:2" x14ac:dyDescent="0.2">
      <c r="A805" s="153" t="s">
        <v>1919</v>
      </c>
      <c r="B805" s="154" t="s">
        <v>1918</v>
      </c>
    </row>
    <row r="806" spans="1:2" x14ac:dyDescent="0.2">
      <c r="A806" s="153" t="s">
        <v>1921</v>
      </c>
      <c r="B806" s="154" t="s">
        <v>1920</v>
      </c>
    </row>
    <row r="807" spans="1:2" x14ac:dyDescent="0.2">
      <c r="A807" s="153" t="s">
        <v>1923</v>
      </c>
      <c r="B807" s="154" t="s">
        <v>1922</v>
      </c>
    </row>
    <row r="808" spans="1:2" x14ac:dyDescent="0.2">
      <c r="A808" s="153" t="s">
        <v>1925</v>
      </c>
      <c r="B808" s="154" t="s">
        <v>1924</v>
      </c>
    </row>
    <row r="809" spans="1:2" x14ac:dyDescent="0.2">
      <c r="A809" s="153" t="s">
        <v>1927</v>
      </c>
      <c r="B809" s="154" t="s">
        <v>1926</v>
      </c>
    </row>
    <row r="810" spans="1:2" x14ac:dyDescent="0.2">
      <c r="A810" s="153" t="s">
        <v>1929</v>
      </c>
      <c r="B810" s="154" t="s">
        <v>1928</v>
      </c>
    </row>
    <row r="811" spans="1:2" x14ac:dyDescent="0.2">
      <c r="A811" s="153" t="s">
        <v>1931</v>
      </c>
      <c r="B811" s="154" t="s">
        <v>1930</v>
      </c>
    </row>
    <row r="812" spans="1:2" x14ac:dyDescent="0.2">
      <c r="A812" s="153" t="s">
        <v>1933</v>
      </c>
      <c r="B812" s="154" t="s">
        <v>1932</v>
      </c>
    </row>
    <row r="813" spans="1:2" x14ac:dyDescent="0.2">
      <c r="A813" s="153" t="s">
        <v>1935</v>
      </c>
      <c r="B813" s="154" t="s">
        <v>1934</v>
      </c>
    </row>
    <row r="814" spans="1:2" x14ac:dyDescent="0.2">
      <c r="A814" s="153" t="s">
        <v>1937</v>
      </c>
      <c r="B814" s="154" t="s">
        <v>1936</v>
      </c>
    </row>
    <row r="815" spans="1:2" x14ac:dyDescent="0.2">
      <c r="A815" s="153" t="s">
        <v>1939</v>
      </c>
      <c r="B815" s="154" t="s">
        <v>1938</v>
      </c>
    </row>
    <row r="816" spans="1:2" x14ac:dyDescent="0.2">
      <c r="A816" s="153" t="s">
        <v>1941</v>
      </c>
      <c r="B816" s="154" t="s">
        <v>1940</v>
      </c>
    </row>
    <row r="817" spans="1:2" x14ac:dyDescent="0.2">
      <c r="A817" s="153" t="s">
        <v>1943</v>
      </c>
      <c r="B817" s="154" t="s">
        <v>1942</v>
      </c>
    </row>
    <row r="818" spans="1:2" x14ac:dyDescent="0.2">
      <c r="A818" s="153" t="s">
        <v>1945</v>
      </c>
      <c r="B818" s="154" t="s">
        <v>1944</v>
      </c>
    </row>
    <row r="819" spans="1:2" x14ac:dyDescent="0.2">
      <c r="A819" s="153" t="s">
        <v>1947</v>
      </c>
      <c r="B819" s="154" t="s">
        <v>1946</v>
      </c>
    </row>
    <row r="820" spans="1:2" x14ac:dyDescent="0.2">
      <c r="A820" s="153" t="s">
        <v>1949</v>
      </c>
      <c r="B820" s="154" t="s">
        <v>1948</v>
      </c>
    </row>
    <row r="821" spans="1:2" x14ac:dyDescent="0.2">
      <c r="A821" s="153" t="s">
        <v>1951</v>
      </c>
      <c r="B821" s="154" t="s">
        <v>1950</v>
      </c>
    </row>
    <row r="822" spans="1:2" x14ac:dyDescent="0.2">
      <c r="A822" s="153" t="s">
        <v>1953</v>
      </c>
      <c r="B822" s="154" t="s">
        <v>1952</v>
      </c>
    </row>
    <row r="823" spans="1:2" x14ac:dyDescent="0.2">
      <c r="A823" s="153" t="s">
        <v>1955</v>
      </c>
      <c r="B823" s="154" t="s">
        <v>1954</v>
      </c>
    </row>
    <row r="824" spans="1:2" x14ac:dyDescent="0.2">
      <c r="A824" s="153" t="s">
        <v>1957</v>
      </c>
      <c r="B824" s="154" t="s">
        <v>1956</v>
      </c>
    </row>
    <row r="825" spans="1:2" x14ac:dyDescent="0.2">
      <c r="A825" s="153" t="s">
        <v>1959</v>
      </c>
      <c r="B825" s="154" t="s">
        <v>1958</v>
      </c>
    </row>
    <row r="826" spans="1:2" x14ac:dyDescent="0.2">
      <c r="A826" s="153" t="s">
        <v>1960</v>
      </c>
      <c r="B826" s="154" t="s">
        <v>1958</v>
      </c>
    </row>
    <row r="827" spans="1:2" x14ac:dyDescent="0.2">
      <c r="A827" s="153" t="s">
        <v>1962</v>
      </c>
      <c r="B827" s="154" t="s">
        <v>1961</v>
      </c>
    </row>
    <row r="828" spans="1:2" x14ac:dyDescent="0.2">
      <c r="A828" s="153" t="s">
        <v>1964</v>
      </c>
      <c r="B828" s="154" t="s">
        <v>1963</v>
      </c>
    </row>
    <row r="829" spans="1:2" x14ac:dyDescent="0.2">
      <c r="A829" s="153" t="s">
        <v>1966</v>
      </c>
      <c r="B829" s="154" t="s">
        <v>1965</v>
      </c>
    </row>
    <row r="830" spans="1:2" x14ac:dyDescent="0.2">
      <c r="A830" s="153" t="s">
        <v>1968</v>
      </c>
      <c r="B830" s="154" t="s">
        <v>1967</v>
      </c>
    </row>
    <row r="831" spans="1:2" x14ac:dyDescent="0.2">
      <c r="A831" s="153" t="s">
        <v>1970</v>
      </c>
      <c r="B831" s="154" t="s">
        <v>1969</v>
      </c>
    </row>
    <row r="832" spans="1:2" x14ac:dyDescent="0.2">
      <c r="A832" s="153" t="s">
        <v>1972</v>
      </c>
      <c r="B832" s="154" t="s">
        <v>1971</v>
      </c>
    </row>
    <row r="833" spans="1:2" x14ac:dyDescent="0.2">
      <c r="A833" s="153" t="s">
        <v>1974</v>
      </c>
      <c r="B833" s="154" t="s">
        <v>1973</v>
      </c>
    </row>
    <row r="834" spans="1:2" x14ac:dyDescent="0.2">
      <c r="A834" s="153" t="s">
        <v>1976</v>
      </c>
      <c r="B834" s="154" t="s">
        <v>1975</v>
      </c>
    </row>
    <row r="835" spans="1:2" x14ac:dyDescent="0.2">
      <c r="A835" s="153" t="s">
        <v>1978</v>
      </c>
      <c r="B835" s="154" t="s">
        <v>1977</v>
      </c>
    </row>
    <row r="836" spans="1:2" x14ac:dyDescent="0.2">
      <c r="A836" s="153" t="s">
        <v>1980</v>
      </c>
      <c r="B836" s="154" t="s">
        <v>1979</v>
      </c>
    </row>
    <row r="837" spans="1:2" x14ac:dyDescent="0.2">
      <c r="A837" s="153" t="s">
        <v>1982</v>
      </c>
      <c r="B837" s="154" t="s">
        <v>1981</v>
      </c>
    </row>
    <row r="838" spans="1:2" x14ac:dyDescent="0.2">
      <c r="A838" s="153" t="s">
        <v>1984</v>
      </c>
      <c r="B838" s="154" t="s">
        <v>1983</v>
      </c>
    </row>
    <row r="839" spans="1:2" x14ac:dyDescent="0.2">
      <c r="A839" s="153" t="s">
        <v>1986</v>
      </c>
      <c r="B839" s="154" t="s">
        <v>1985</v>
      </c>
    </row>
    <row r="840" spans="1:2" x14ac:dyDescent="0.2">
      <c r="A840" s="153" t="s">
        <v>1988</v>
      </c>
      <c r="B840" s="154" t="s">
        <v>1987</v>
      </c>
    </row>
    <row r="841" spans="1:2" x14ac:dyDescent="0.2">
      <c r="A841" s="153" t="s">
        <v>1990</v>
      </c>
      <c r="B841" s="154" t="s">
        <v>1989</v>
      </c>
    </row>
    <row r="842" spans="1:2" x14ac:dyDescent="0.2">
      <c r="A842" s="153" t="s">
        <v>1992</v>
      </c>
      <c r="B842" s="154" t="s">
        <v>1991</v>
      </c>
    </row>
    <row r="843" spans="1:2" x14ac:dyDescent="0.2">
      <c r="A843" s="153" t="s">
        <v>1994</v>
      </c>
      <c r="B843" s="154" t="s">
        <v>1993</v>
      </c>
    </row>
    <row r="844" spans="1:2" x14ac:dyDescent="0.2">
      <c r="A844" s="153" t="s">
        <v>1996</v>
      </c>
      <c r="B844" s="154" t="s">
        <v>1995</v>
      </c>
    </row>
    <row r="845" spans="1:2" x14ac:dyDescent="0.2">
      <c r="A845" s="153" t="s">
        <v>1998</v>
      </c>
      <c r="B845" s="154" t="s">
        <v>1997</v>
      </c>
    </row>
    <row r="846" spans="1:2" x14ac:dyDescent="0.2">
      <c r="A846" s="153" t="s">
        <v>2000</v>
      </c>
      <c r="B846" s="154" t="s">
        <v>1999</v>
      </c>
    </row>
    <row r="847" spans="1:2" x14ac:dyDescent="0.2">
      <c r="A847" s="153" t="s">
        <v>2002</v>
      </c>
      <c r="B847" s="154" t="s">
        <v>2001</v>
      </c>
    </row>
    <row r="848" spans="1:2" x14ac:dyDescent="0.2">
      <c r="A848" s="153" t="s">
        <v>2004</v>
      </c>
      <c r="B848" s="154" t="s">
        <v>2003</v>
      </c>
    </row>
    <row r="849" spans="1:2" x14ac:dyDescent="0.2">
      <c r="A849" s="153" t="s">
        <v>2006</v>
      </c>
      <c r="B849" s="154" t="s">
        <v>2005</v>
      </c>
    </row>
    <row r="850" spans="1:2" x14ac:dyDescent="0.2">
      <c r="A850" s="153" t="s">
        <v>2008</v>
      </c>
      <c r="B850" s="154" t="s">
        <v>2007</v>
      </c>
    </row>
    <row r="851" spans="1:2" x14ac:dyDescent="0.2">
      <c r="A851" s="153" t="s">
        <v>2010</v>
      </c>
      <c r="B851" s="154" t="s">
        <v>2009</v>
      </c>
    </row>
    <row r="852" spans="1:2" x14ac:dyDescent="0.2">
      <c r="A852" s="153" t="s">
        <v>2012</v>
      </c>
      <c r="B852" s="154" t="s">
        <v>2011</v>
      </c>
    </row>
    <row r="853" spans="1:2" x14ac:dyDescent="0.2">
      <c r="A853" s="153" t="s">
        <v>2014</v>
      </c>
      <c r="B853" s="154" t="s">
        <v>2013</v>
      </c>
    </row>
    <row r="854" spans="1:2" x14ac:dyDescent="0.2">
      <c r="A854" s="153" t="s">
        <v>2016</v>
      </c>
      <c r="B854" s="154" t="s">
        <v>2015</v>
      </c>
    </row>
    <row r="855" spans="1:2" x14ac:dyDescent="0.2">
      <c r="A855" s="153" t="s">
        <v>2018</v>
      </c>
      <c r="B855" s="154" t="s">
        <v>2017</v>
      </c>
    </row>
    <row r="856" spans="1:2" x14ac:dyDescent="0.2">
      <c r="A856" s="153" t="s">
        <v>2020</v>
      </c>
      <c r="B856" s="154" t="s">
        <v>2019</v>
      </c>
    </row>
    <row r="857" spans="1:2" x14ac:dyDescent="0.2">
      <c r="A857" s="153" t="s">
        <v>2022</v>
      </c>
      <c r="B857" s="154" t="s">
        <v>2021</v>
      </c>
    </row>
    <row r="858" spans="1:2" x14ac:dyDescent="0.2">
      <c r="A858" s="153" t="s">
        <v>2024</v>
      </c>
      <c r="B858" s="154" t="s">
        <v>2023</v>
      </c>
    </row>
    <row r="859" spans="1:2" x14ac:dyDescent="0.2">
      <c r="A859" s="153" t="s">
        <v>2026</v>
      </c>
      <c r="B859" s="154" t="s">
        <v>2025</v>
      </c>
    </row>
    <row r="860" spans="1:2" x14ac:dyDescent="0.2">
      <c r="A860" s="153" t="s">
        <v>2028</v>
      </c>
      <c r="B860" s="154" t="s">
        <v>2027</v>
      </c>
    </row>
    <row r="861" spans="1:2" x14ac:dyDescent="0.2">
      <c r="A861" s="153" t="s">
        <v>2030</v>
      </c>
      <c r="B861" s="154" t="s">
        <v>2029</v>
      </c>
    </row>
    <row r="862" spans="1:2" x14ac:dyDescent="0.2">
      <c r="A862" s="153" t="s">
        <v>2032</v>
      </c>
      <c r="B862" s="154" t="s">
        <v>2031</v>
      </c>
    </row>
    <row r="863" spans="1:2" x14ac:dyDescent="0.2">
      <c r="A863" s="153" t="s">
        <v>2034</v>
      </c>
      <c r="B863" s="154" t="s">
        <v>2033</v>
      </c>
    </row>
    <row r="864" spans="1:2" x14ac:dyDescent="0.2">
      <c r="A864" s="153" t="s">
        <v>2036</v>
      </c>
      <c r="B864" s="154" t="s">
        <v>2035</v>
      </c>
    </row>
    <row r="865" spans="1:2" x14ac:dyDescent="0.2">
      <c r="A865" s="153" t="s">
        <v>2038</v>
      </c>
      <c r="B865" s="154" t="s">
        <v>2037</v>
      </c>
    </row>
    <row r="866" spans="1:2" x14ac:dyDescent="0.2">
      <c r="A866" s="153" t="s">
        <v>2040</v>
      </c>
      <c r="B866" s="154" t="s">
        <v>2039</v>
      </c>
    </row>
    <row r="867" spans="1:2" x14ac:dyDescent="0.2">
      <c r="A867" s="153" t="s">
        <v>2042</v>
      </c>
      <c r="B867" s="154" t="s">
        <v>2041</v>
      </c>
    </row>
    <row r="868" spans="1:2" x14ac:dyDescent="0.2">
      <c r="A868" s="153" t="s">
        <v>2044</v>
      </c>
      <c r="B868" s="154" t="s">
        <v>2043</v>
      </c>
    </row>
    <row r="869" spans="1:2" x14ac:dyDescent="0.2">
      <c r="A869" s="153" t="s">
        <v>2046</v>
      </c>
      <c r="B869" s="154" t="s">
        <v>2045</v>
      </c>
    </row>
    <row r="870" spans="1:2" x14ac:dyDescent="0.2">
      <c r="A870" s="153" t="s">
        <v>2048</v>
      </c>
      <c r="B870" s="154" t="s">
        <v>2047</v>
      </c>
    </row>
    <row r="871" spans="1:2" x14ac:dyDescent="0.2">
      <c r="A871" s="153" t="s">
        <v>2050</v>
      </c>
      <c r="B871" s="154" t="s">
        <v>2049</v>
      </c>
    </row>
    <row r="872" spans="1:2" x14ac:dyDescent="0.2">
      <c r="A872" s="153" t="s">
        <v>2052</v>
      </c>
      <c r="B872" s="154" t="s">
        <v>2051</v>
      </c>
    </row>
    <row r="873" spans="1:2" x14ac:dyDescent="0.2">
      <c r="A873" s="153" t="s">
        <v>2054</v>
      </c>
      <c r="B873" s="154" t="s">
        <v>2053</v>
      </c>
    </row>
    <row r="874" spans="1:2" x14ac:dyDescent="0.2">
      <c r="A874" s="153" t="s">
        <v>2056</v>
      </c>
      <c r="B874" s="154" t="s">
        <v>2055</v>
      </c>
    </row>
    <row r="875" spans="1:2" x14ac:dyDescent="0.2">
      <c r="A875" s="153" t="s">
        <v>2058</v>
      </c>
      <c r="B875" s="154" t="s">
        <v>2057</v>
      </c>
    </row>
    <row r="876" spans="1:2" x14ac:dyDescent="0.2">
      <c r="A876" s="153" t="s">
        <v>2060</v>
      </c>
      <c r="B876" s="154" t="s">
        <v>2059</v>
      </c>
    </row>
    <row r="877" spans="1:2" x14ac:dyDescent="0.2">
      <c r="A877" s="153" t="s">
        <v>2062</v>
      </c>
      <c r="B877" s="154" t="s">
        <v>2061</v>
      </c>
    </row>
    <row r="878" spans="1:2" x14ac:dyDescent="0.2">
      <c r="A878" s="153" t="s">
        <v>2064</v>
      </c>
      <c r="B878" s="154" t="s">
        <v>2063</v>
      </c>
    </row>
    <row r="879" spans="1:2" x14ac:dyDescent="0.2">
      <c r="A879" s="153" t="s">
        <v>2066</v>
      </c>
      <c r="B879" s="154" t="s">
        <v>2065</v>
      </c>
    </row>
    <row r="880" spans="1:2" x14ac:dyDescent="0.2">
      <c r="A880" s="153" t="s">
        <v>2068</v>
      </c>
      <c r="B880" s="154" t="s">
        <v>2067</v>
      </c>
    </row>
    <row r="881" spans="1:2" x14ac:dyDescent="0.2">
      <c r="A881" s="153" t="s">
        <v>2070</v>
      </c>
      <c r="B881" s="154" t="s">
        <v>2069</v>
      </c>
    </row>
    <row r="882" spans="1:2" x14ac:dyDescent="0.2">
      <c r="A882" s="153" t="s">
        <v>2072</v>
      </c>
      <c r="B882" s="154" t="s">
        <v>2071</v>
      </c>
    </row>
    <row r="883" spans="1:2" x14ac:dyDescent="0.2">
      <c r="A883" s="153" t="s">
        <v>2074</v>
      </c>
      <c r="B883" s="154" t="s">
        <v>2073</v>
      </c>
    </row>
    <row r="884" spans="1:2" x14ac:dyDescent="0.2">
      <c r="A884" s="153" t="s">
        <v>2076</v>
      </c>
      <c r="B884" s="154" t="s">
        <v>2075</v>
      </c>
    </row>
    <row r="885" spans="1:2" x14ac:dyDescent="0.2">
      <c r="A885" s="153" t="s">
        <v>2078</v>
      </c>
      <c r="B885" s="154" t="s">
        <v>2077</v>
      </c>
    </row>
    <row r="886" spans="1:2" x14ac:dyDescent="0.2">
      <c r="A886" s="153" t="s">
        <v>2080</v>
      </c>
      <c r="B886" s="154" t="s">
        <v>2079</v>
      </c>
    </row>
    <row r="887" spans="1:2" x14ac:dyDescent="0.2">
      <c r="A887" s="153" t="s">
        <v>2082</v>
      </c>
      <c r="B887" s="154" t="s">
        <v>2081</v>
      </c>
    </row>
    <row r="888" spans="1:2" x14ac:dyDescent="0.2">
      <c r="A888" s="153" t="s">
        <v>2084</v>
      </c>
      <c r="B888" s="154" t="s">
        <v>2083</v>
      </c>
    </row>
    <row r="889" spans="1:2" x14ac:dyDescent="0.2">
      <c r="A889" s="153" t="s">
        <v>2086</v>
      </c>
      <c r="B889" s="154" t="s">
        <v>2085</v>
      </c>
    </row>
    <row r="890" spans="1:2" x14ac:dyDescent="0.2">
      <c r="A890" s="153" t="s">
        <v>2088</v>
      </c>
      <c r="B890" s="154" t="s">
        <v>2087</v>
      </c>
    </row>
    <row r="891" spans="1:2" x14ac:dyDescent="0.2">
      <c r="A891" s="153" t="s">
        <v>2090</v>
      </c>
      <c r="B891" s="154" t="s">
        <v>2089</v>
      </c>
    </row>
    <row r="892" spans="1:2" x14ac:dyDescent="0.2">
      <c r="A892" s="153" t="s">
        <v>2092</v>
      </c>
      <c r="B892" s="154" t="s">
        <v>2091</v>
      </c>
    </row>
    <row r="893" spans="1:2" x14ac:dyDescent="0.2">
      <c r="A893" s="153" t="s">
        <v>2094</v>
      </c>
      <c r="B893" s="154" t="s">
        <v>2093</v>
      </c>
    </row>
    <row r="894" spans="1:2" x14ac:dyDescent="0.2">
      <c r="A894" s="153" t="s">
        <v>2096</v>
      </c>
      <c r="B894" s="154" t="s">
        <v>2095</v>
      </c>
    </row>
    <row r="895" spans="1:2" x14ac:dyDescent="0.2">
      <c r="A895" s="153" t="s">
        <v>2098</v>
      </c>
      <c r="B895" s="154" t="s">
        <v>2097</v>
      </c>
    </row>
    <row r="896" spans="1:2" ht="28.5" x14ac:dyDescent="0.2">
      <c r="A896" s="153" t="s">
        <v>2100</v>
      </c>
      <c r="B896" s="154" t="s">
        <v>2099</v>
      </c>
    </row>
    <row r="897" spans="1:2" x14ac:dyDescent="0.2">
      <c r="A897" s="153" t="s">
        <v>2102</v>
      </c>
      <c r="B897" s="154" t="s">
        <v>2101</v>
      </c>
    </row>
    <row r="898" spans="1:2" x14ac:dyDescent="0.2">
      <c r="A898" s="153" t="s">
        <v>2104</v>
      </c>
      <c r="B898" s="154" t="s">
        <v>2103</v>
      </c>
    </row>
    <row r="899" spans="1:2" x14ac:dyDescent="0.2">
      <c r="A899" s="153" t="s">
        <v>2106</v>
      </c>
      <c r="B899" s="154" t="s">
        <v>2105</v>
      </c>
    </row>
    <row r="900" spans="1:2" x14ac:dyDescent="0.2">
      <c r="A900" s="153" t="s">
        <v>2108</v>
      </c>
      <c r="B900" s="154" t="s">
        <v>2107</v>
      </c>
    </row>
    <row r="901" spans="1:2" x14ac:dyDescent="0.2">
      <c r="A901" s="153" t="s">
        <v>2110</v>
      </c>
      <c r="B901" s="154" t="s">
        <v>2109</v>
      </c>
    </row>
    <row r="902" spans="1:2" x14ac:dyDescent="0.2">
      <c r="A902" s="153" t="s">
        <v>2112</v>
      </c>
      <c r="B902" s="154" t="s">
        <v>2111</v>
      </c>
    </row>
    <row r="903" spans="1:2" x14ac:dyDescent="0.2">
      <c r="A903" s="153" t="s">
        <v>2114</v>
      </c>
      <c r="B903" s="154" t="s">
        <v>2113</v>
      </c>
    </row>
    <row r="904" spans="1:2" x14ac:dyDescent="0.2">
      <c r="A904" s="153" t="s">
        <v>2116</v>
      </c>
      <c r="B904" s="154" t="s">
        <v>2115</v>
      </c>
    </row>
    <row r="905" spans="1:2" x14ac:dyDescent="0.2">
      <c r="A905" s="153" t="s">
        <v>2118</v>
      </c>
      <c r="B905" s="154" t="s">
        <v>2117</v>
      </c>
    </row>
    <row r="906" spans="1:2" x14ac:dyDescent="0.2">
      <c r="A906" s="153" t="s">
        <v>2120</v>
      </c>
      <c r="B906" s="154" t="s">
        <v>2119</v>
      </c>
    </row>
    <row r="907" spans="1:2" x14ac:dyDescent="0.2">
      <c r="A907" s="153" t="s">
        <v>2122</v>
      </c>
      <c r="B907" s="154" t="s">
        <v>2121</v>
      </c>
    </row>
    <row r="908" spans="1:2" x14ac:dyDescent="0.2">
      <c r="A908" s="153" t="s">
        <v>2124</v>
      </c>
      <c r="B908" s="154" t="s">
        <v>2123</v>
      </c>
    </row>
    <row r="909" spans="1:2" x14ac:dyDescent="0.2">
      <c r="A909" s="153" t="s">
        <v>2126</v>
      </c>
      <c r="B909" s="154" t="s">
        <v>2125</v>
      </c>
    </row>
    <row r="910" spans="1:2" x14ac:dyDescent="0.2">
      <c r="A910" s="153" t="s">
        <v>2128</v>
      </c>
      <c r="B910" s="154" t="s">
        <v>2127</v>
      </c>
    </row>
    <row r="911" spans="1:2" x14ac:dyDescent="0.2">
      <c r="A911" s="153" t="s">
        <v>2130</v>
      </c>
      <c r="B911" s="154" t="s">
        <v>2129</v>
      </c>
    </row>
    <row r="912" spans="1:2" x14ac:dyDescent="0.2">
      <c r="A912" s="153" t="s">
        <v>2132</v>
      </c>
      <c r="B912" s="154" t="s">
        <v>2131</v>
      </c>
    </row>
    <row r="913" spans="1:2" x14ac:dyDescent="0.2">
      <c r="A913" s="153" t="s">
        <v>2134</v>
      </c>
      <c r="B913" s="154" t="s">
        <v>2133</v>
      </c>
    </row>
    <row r="914" spans="1:2" x14ac:dyDescent="0.2">
      <c r="A914" s="153" t="s">
        <v>2136</v>
      </c>
      <c r="B914" s="154" t="s">
        <v>2135</v>
      </c>
    </row>
    <row r="915" spans="1:2" x14ac:dyDescent="0.2">
      <c r="A915" s="153" t="s">
        <v>2138</v>
      </c>
      <c r="B915" s="154" t="s">
        <v>2137</v>
      </c>
    </row>
    <row r="916" spans="1:2" x14ac:dyDescent="0.2">
      <c r="A916" s="153" t="s">
        <v>2140</v>
      </c>
      <c r="B916" s="154" t="s">
        <v>2139</v>
      </c>
    </row>
    <row r="917" spans="1:2" x14ac:dyDescent="0.2">
      <c r="A917" s="153" t="s">
        <v>2142</v>
      </c>
      <c r="B917" s="154" t="s">
        <v>2141</v>
      </c>
    </row>
    <row r="918" spans="1:2" x14ac:dyDescent="0.2">
      <c r="A918" s="153" t="s">
        <v>1065</v>
      </c>
      <c r="B918" s="154" t="s">
        <v>2143</v>
      </c>
    </row>
    <row r="919" spans="1:2" x14ac:dyDescent="0.2">
      <c r="A919" s="153" t="s">
        <v>2145</v>
      </c>
      <c r="B919" s="154" t="s">
        <v>2144</v>
      </c>
    </row>
    <row r="920" spans="1:2" x14ac:dyDescent="0.2">
      <c r="A920" s="153" t="s">
        <v>2147</v>
      </c>
      <c r="B920" s="154" t="s">
        <v>2146</v>
      </c>
    </row>
    <row r="921" spans="1:2" x14ac:dyDescent="0.2">
      <c r="A921" s="153" t="s">
        <v>2149</v>
      </c>
      <c r="B921" s="154" t="s">
        <v>2148</v>
      </c>
    </row>
    <row r="922" spans="1:2" x14ac:dyDescent="0.2">
      <c r="A922" s="153" t="s">
        <v>2151</v>
      </c>
      <c r="B922" s="154" t="s">
        <v>2150</v>
      </c>
    </row>
    <row r="923" spans="1:2" x14ac:dyDescent="0.2">
      <c r="A923" s="153" t="s">
        <v>2153</v>
      </c>
      <c r="B923" s="154" t="s">
        <v>2152</v>
      </c>
    </row>
    <row r="924" spans="1:2" x14ac:dyDescent="0.2">
      <c r="A924" s="153" t="s">
        <v>2155</v>
      </c>
      <c r="B924" s="154" t="s">
        <v>2154</v>
      </c>
    </row>
    <row r="925" spans="1:2" x14ac:dyDescent="0.2">
      <c r="A925" s="153" t="s">
        <v>2157</v>
      </c>
      <c r="B925" s="154" t="s">
        <v>2156</v>
      </c>
    </row>
    <row r="926" spans="1:2" x14ac:dyDescent="0.2">
      <c r="A926" s="153" t="s">
        <v>2159</v>
      </c>
      <c r="B926" s="154" t="s">
        <v>2158</v>
      </c>
    </row>
    <row r="927" spans="1:2" x14ac:dyDescent="0.2">
      <c r="A927" s="153" t="s">
        <v>2161</v>
      </c>
      <c r="B927" s="154" t="s">
        <v>2160</v>
      </c>
    </row>
    <row r="928" spans="1:2" x14ac:dyDescent="0.2">
      <c r="A928" s="153" t="s">
        <v>2163</v>
      </c>
      <c r="B928" s="154" t="s">
        <v>2162</v>
      </c>
    </row>
    <row r="929" spans="1:2" x14ac:dyDescent="0.2">
      <c r="A929" s="153" t="s">
        <v>2165</v>
      </c>
      <c r="B929" s="154" t="s">
        <v>2164</v>
      </c>
    </row>
    <row r="930" spans="1:2" x14ac:dyDescent="0.2">
      <c r="A930" s="153" t="s">
        <v>2167</v>
      </c>
      <c r="B930" s="154" t="s">
        <v>2166</v>
      </c>
    </row>
    <row r="931" spans="1:2" x14ac:dyDescent="0.2">
      <c r="A931" s="153" t="s">
        <v>2169</v>
      </c>
      <c r="B931" s="154" t="s">
        <v>2168</v>
      </c>
    </row>
    <row r="932" spans="1:2" x14ac:dyDescent="0.2">
      <c r="A932" s="153" t="s">
        <v>2171</v>
      </c>
      <c r="B932" s="154" t="s">
        <v>2170</v>
      </c>
    </row>
    <row r="933" spans="1:2" x14ac:dyDescent="0.2">
      <c r="A933" s="153" t="s">
        <v>9838</v>
      </c>
      <c r="B933" s="154" t="s">
        <v>2172</v>
      </c>
    </row>
    <row r="934" spans="1:2" x14ac:dyDescent="0.2">
      <c r="A934" s="153" t="s">
        <v>2174</v>
      </c>
      <c r="B934" s="154" t="s">
        <v>2173</v>
      </c>
    </row>
    <row r="935" spans="1:2" x14ac:dyDescent="0.2">
      <c r="A935" s="153" t="s">
        <v>2176</v>
      </c>
      <c r="B935" s="154" t="s">
        <v>2175</v>
      </c>
    </row>
    <row r="936" spans="1:2" x14ac:dyDescent="0.2">
      <c r="A936" s="153" t="s">
        <v>2178</v>
      </c>
      <c r="B936" s="154" t="s">
        <v>2177</v>
      </c>
    </row>
    <row r="937" spans="1:2" x14ac:dyDescent="0.2">
      <c r="A937" s="153" t="s">
        <v>2180</v>
      </c>
      <c r="B937" s="154" t="s">
        <v>2179</v>
      </c>
    </row>
    <row r="938" spans="1:2" x14ac:dyDescent="0.2">
      <c r="A938" s="153" t="s">
        <v>2182</v>
      </c>
      <c r="B938" s="154" t="s">
        <v>2181</v>
      </c>
    </row>
    <row r="939" spans="1:2" x14ac:dyDescent="0.2">
      <c r="A939" s="153" t="s">
        <v>2184</v>
      </c>
      <c r="B939" s="154" t="s">
        <v>2183</v>
      </c>
    </row>
    <row r="940" spans="1:2" x14ac:dyDescent="0.2">
      <c r="A940" s="153" t="s">
        <v>2186</v>
      </c>
      <c r="B940" s="154" t="s">
        <v>2185</v>
      </c>
    </row>
    <row r="941" spans="1:2" x14ac:dyDescent="0.2">
      <c r="A941" s="153" t="s">
        <v>2188</v>
      </c>
      <c r="B941" s="154" t="s">
        <v>2187</v>
      </c>
    </row>
    <row r="942" spans="1:2" x14ac:dyDescent="0.2">
      <c r="A942" s="153" t="s">
        <v>2190</v>
      </c>
      <c r="B942" s="154" t="s">
        <v>2189</v>
      </c>
    </row>
    <row r="943" spans="1:2" x14ac:dyDescent="0.2">
      <c r="A943" s="153" t="s">
        <v>2192</v>
      </c>
      <c r="B943" s="154" t="s">
        <v>2191</v>
      </c>
    </row>
    <row r="944" spans="1:2" x14ac:dyDescent="0.2">
      <c r="A944" s="153" t="s">
        <v>2194</v>
      </c>
      <c r="B944" s="154" t="s">
        <v>2193</v>
      </c>
    </row>
    <row r="945" spans="1:2" x14ac:dyDescent="0.2">
      <c r="A945" s="153" t="s">
        <v>2196</v>
      </c>
      <c r="B945" s="154" t="s">
        <v>2195</v>
      </c>
    </row>
    <row r="946" spans="1:2" x14ac:dyDescent="0.2">
      <c r="A946" s="153" t="s">
        <v>2198</v>
      </c>
      <c r="B946" s="154" t="s">
        <v>2197</v>
      </c>
    </row>
    <row r="947" spans="1:2" x14ac:dyDescent="0.2">
      <c r="A947" s="153" t="s">
        <v>2200</v>
      </c>
      <c r="B947" s="154" t="s">
        <v>2199</v>
      </c>
    </row>
    <row r="948" spans="1:2" x14ac:dyDescent="0.2">
      <c r="A948" s="153" t="s">
        <v>2202</v>
      </c>
      <c r="B948" s="154" t="s">
        <v>2201</v>
      </c>
    </row>
    <row r="949" spans="1:2" x14ac:dyDescent="0.2">
      <c r="A949" s="153" t="s">
        <v>2204</v>
      </c>
      <c r="B949" s="154" t="s">
        <v>2203</v>
      </c>
    </row>
    <row r="950" spans="1:2" x14ac:dyDescent="0.2">
      <c r="A950" s="153" t="s">
        <v>2206</v>
      </c>
      <c r="B950" s="154" t="s">
        <v>2205</v>
      </c>
    </row>
    <row r="951" spans="1:2" x14ac:dyDescent="0.2">
      <c r="A951" s="153" t="s">
        <v>2208</v>
      </c>
      <c r="B951" s="154" t="s">
        <v>2207</v>
      </c>
    </row>
    <row r="952" spans="1:2" x14ac:dyDescent="0.2">
      <c r="A952" s="153" t="s">
        <v>2210</v>
      </c>
      <c r="B952" s="154" t="s">
        <v>2209</v>
      </c>
    </row>
    <row r="953" spans="1:2" x14ac:dyDescent="0.2">
      <c r="A953" s="153" t="s">
        <v>2212</v>
      </c>
      <c r="B953" s="154" t="s">
        <v>2211</v>
      </c>
    </row>
    <row r="954" spans="1:2" x14ac:dyDescent="0.2">
      <c r="A954" s="153" t="s">
        <v>2214</v>
      </c>
      <c r="B954" s="154" t="s">
        <v>2213</v>
      </c>
    </row>
    <row r="955" spans="1:2" x14ac:dyDescent="0.2">
      <c r="A955" s="153" t="s">
        <v>2216</v>
      </c>
      <c r="B955" s="154" t="s">
        <v>2215</v>
      </c>
    </row>
    <row r="956" spans="1:2" x14ac:dyDescent="0.2">
      <c r="A956" s="153" t="s">
        <v>2218</v>
      </c>
      <c r="B956" s="154" t="s">
        <v>2217</v>
      </c>
    </row>
    <row r="957" spans="1:2" x14ac:dyDescent="0.2">
      <c r="A957" s="153" t="s">
        <v>2220</v>
      </c>
      <c r="B957" s="154" t="s">
        <v>2219</v>
      </c>
    </row>
    <row r="958" spans="1:2" x14ac:dyDescent="0.2">
      <c r="A958" s="153" t="s">
        <v>2222</v>
      </c>
      <c r="B958" s="154" t="s">
        <v>2221</v>
      </c>
    </row>
    <row r="959" spans="1:2" x14ac:dyDescent="0.2">
      <c r="A959" s="153" t="s">
        <v>2224</v>
      </c>
      <c r="B959" s="154" t="s">
        <v>2223</v>
      </c>
    </row>
    <row r="960" spans="1:2" x14ac:dyDescent="0.2">
      <c r="A960" s="153" t="s">
        <v>2226</v>
      </c>
      <c r="B960" s="154" t="s">
        <v>2225</v>
      </c>
    </row>
    <row r="961" spans="1:2" x14ac:dyDescent="0.2">
      <c r="A961" s="153" t="s">
        <v>2228</v>
      </c>
      <c r="B961" s="154" t="s">
        <v>2227</v>
      </c>
    </row>
    <row r="962" spans="1:2" x14ac:dyDescent="0.2">
      <c r="A962" s="153" t="s">
        <v>2230</v>
      </c>
      <c r="B962" s="154" t="s">
        <v>2229</v>
      </c>
    </row>
    <row r="963" spans="1:2" x14ac:dyDescent="0.2">
      <c r="A963" s="153" t="s">
        <v>2232</v>
      </c>
      <c r="B963" s="154" t="s">
        <v>2231</v>
      </c>
    </row>
    <row r="964" spans="1:2" x14ac:dyDescent="0.2">
      <c r="A964" s="153" t="s">
        <v>2234</v>
      </c>
      <c r="B964" s="154" t="s">
        <v>2233</v>
      </c>
    </row>
    <row r="965" spans="1:2" x14ac:dyDescent="0.2">
      <c r="A965" s="153" t="s">
        <v>2236</v>
      </c>
      <c r="B965" s="154" t="s">
        <v>2235</v>
      </c>
    </row>
    <row r="966" spans="1:2" x14ac:dyDescent="0.2">
      <c r="A966" s="153" t="s">
        <v>2238</v>
      </c>
      <c r="B966" s="154" t="s">
        <v>2237</v>
      </c>
    </row>
    <row r="967" spans="1:2" x14ac:dyDescent="0.2">
      <c r="A967" s="153" t="s">
        <v>2240</v>
      </c>
      <c r="B967" s="154" t="s">
        <v>2239</v>
      </c>
    </row>
    <row r="968" spans="1:2" x14ac:dyDescent="0.2">
      <c r="A968" s="153" t="s">
        <v>2242</v>
      </c>
      <c r="B968" s="154" t="s">
        <v>2241</v>
      </c>
    </row>
    <row r="969" spans="1:2" x14ac:dyDescent="0.2">
      <c r="A969" s="153" t="s">
        <v>2244</v>
      </c>
      <c r="B969" s="154" t="s">
        <v>2243</v>
      </c>
    </row>
    <row r="970" spans="1:2" x14ac:dyDescent="0.2">
      <c r="A970" s="153" t="s">
        <v>2246</v>
      </c>
      <c r="B970" s="154" t="s">
        <v>2245</v>
      </c>
    </row>
    <row r="971" spans="1:2" x14ac:dyDescent="0.2">
      <c r="A971" s="153" t="s">
        <v>2248</v>
      </c>
      <c r="B971" s="154" t="s">
        <v>2247</v>
      </c>
    </row>
    <row r="972" spans="1:2" x14ac:dyDescent="0.2">
      <c r="A972" s="153" t="s">
        <v>2250</v>
      </c>
      <c r="B972" s="154" t="s">
        <v>2249</v>
      </c>
    </row>
    <row r="973" spans="1:2" x14ac:dyDescent="0.2">
      <c r="A973" s="153" t="s">
        <v>2252</v>
      </c>
      <c r="B973" s="154" t="s">
        <v>2251</v>
      </c>
    </row>
    <row r="974" spans="1:2" x14ac:dyDescent="0.2">
      <c r="A974" s="153" t="s">
        <v>2254</v>
      </c>
      <c r="B974" s="154" t="s">
        <v>2253</v>
      </c>
    </row>
    <row r="975" spans="1:2" x14ac:dyDescent="0.2">
      <c r="A975" s="153" t="s">
        <v>2256</v>
      </c>
      <c r="B975" s="154" t="s">
        <v>2255</v>
      </c>
    </row>
    <row r="976" spans="1:2" x14ac:dyDescent="0.2">
      <c r="A976" s="153" t="s">
        <v>2258</v>
      </c>
      <c r="B976" s="154" t="s">
        <v>2257</v>
      </c>
    </row>
    <row r="977" spans="1:2" x14ac:dyDescent="0.2">
      <c r="A977" s="153" t="s">
        <v>2260</v>
      </c>
      <c r="B977" s="154" t="s">
        <v>2259</v>
      </c>
    </row>
    <row r="978" spans="1:2" x14ac:dyDescent="0.2">
      <c r="A978" s="153" t="s">
        <v>2262</v>
      </c>
      <c r="B978" s="154" t="s">
        <v>2261</v>
      </c>
    </row>
    <row r="979" spans="1:2" x14ac:dyDescent="0.2">
      <c r="A979" s="153" t="s">
        <v>2264</v>
      </c>
      <c r="B979" s="154" t="s">
        <v>2263</v>
      </c>
    </row>
    <row r="980" spans="1:2" x14ac:dyDescent="0.2">
      <c r="A980" s="153" t="s">
        <v>2266</v>
      </c>
      <c r="B980" s="154" t="s">
        <v>2265</v>
      </c>
    </row>
    <row r="981" spans="1:2" x14ac:dyDescent="0.2">
      <c r="A981" s="153" t="s">
        <v>2268</v>
      </c>
      <c r="B981" s="154" t="s">
        <v>2267</v>
      </c>
    </row>
    <row r="982" spans="1:2" x14ac:dyDescent="0.2">
      <c r="A982" s="153" t="s">
        <v>2270</v>
      </c>
      <c r="B982" s="154" t="s">
        <v>2269</v>
      </c>
    </row>
    <row r="983" spans="1:2" x14ac:dyDescent="0.2">
      <c r="A983" s="153" t="s">
        <v>2272</v>
      </c>
      <c r="B983" s="154" t="s">
        <v>2271</v>
      </c>
    </row>
    <row r="984" spans="1:2" x14ac:dyDescent="0.2">
      <c r="A984" s="153" t="s">
        <v>2274</v>
      </c>
      <c r="B984" s="154" t="s">
        <v>2273</v>
      </c>
    </row>
    <row r="985" spans="1:2" x14ac:dyDescent="0.2">
      <c r="A985" s="153" t="s">
        <v>2276</v>
      </c>
      <c r="B985" s="154" t="s">
        <v>2275</v>
      </c>
    </row>
    <row r="986" spans="1:2" x14ac:dyDescent="0.2">
      <c r="A986" s="153" t="s">
        <v>2278</v>
      </c>
      <c r="B986" s="154" t="s">
        <v>2277</v>
      </c>
    </row>
    <row r="987" spans="1:2" x14ac:dyDescent="0.2">
      <c r="A987" s="153" t="s">
        <v>2280</v>
      </c>
      <c r="B987" s="154" t="s">
        <v>2279</v>
      </c>
    </row>
    <row r="988" spans="1:2" x14ac:dyDescent="0.2">
      <c r="A988" s="153" t="s">
        <v>2282</v>
      </c>
      <c r="B988" s="154" t="s">
        <v>2281</v>
      </c>
    </row>
    <row r="989" spans="1:2" x14ac:dyDescent="0.2">
      <c r="A989" s="153" t="s">
        <v>2284</v>
      </c>
      <c r="B989" s="154" t="s">
        <v>2283</v>
      </c>
    </row>
    <row r="990" spans="1:2" x14ac:dyDescent="0.2">
      <c r="A990" s="153" t="s">
        <v>2286</v>
      </c>
      <c r="B990" s="154" t="s">
        <v>2285</v>
      </c>
    </row>
    <row r="991" spans="1:2" ht="28.5" x14ac:dyDescent="0.2">
      <c r="A991" s="153" t="s">
        <v>2288</v>
      </c>
      <c r="B991" s="154" t="s">
        <v>2287</v>
      </c>
    </row>
    <row r="992" spans="1:2" x14ac:dyDescent="0.2">
      <c r="A992" s="153" t="s">
        <v>2290</v>
      </c>
      <c r="B992" s="154" t="s">
        <v>2289</v>
      </c>
    </row>
    <row r="993" spans="1:2" x14ac:dyDescent="0.2">
      <c r="A993" s="153" t="s">
        <v>2292</v>
      </c>
      <c r="B993" s="154" t="s">
        <v>2291</v>
      </c>
    </row>
    <row r="994" spans="1:2" x14ac:dyDescent="0.2">
      <c r="A994" s="153" t="s">
        <v>2294</v>
      </c>
      <c r="B994" s="154" t="s">
        <v>2293</v>
      </c>
    </row>
    <row r="995" spans="1:2" x14ac:dyDescent="0.2">
      <c r="A995" s="153" t="s">
        <v>2296</v>
      </c>
      <c r="B995" s="154" t="s">
        <v>2295</v>
      </c>
    </row>
    <row r="996" spans="1:2" x14ac:dyDescent="0.2">
      <c r="A996" s="153" t="s">
        <v>2298</v>
      </c>
      <c r="B996" s="154" t="s">
        <v>2297</v>
      </c>
    </row>
    <row r="997" spans="1:2" x14ac:dyDescent="0.2">
      <c r="A997" s="153" t="s">
        <v>2300</v>
      </c>
      <c r="B997" s="154" t="s">
        <v>2299</v>
      </c>
    </row>
    <row r="998" spans="1:2" x14ac:dyDescent="0.2">
      <c r="A998" s="153" t="s">
        <v>2302</v>
      </c>
      <c r="B998" s="154" t="s">
        <v>2301</v>
      </c>
    </row>
    <row r="999" spans="1:2" x14ac:dyDescent="0.2">
      <c r="A999" s="153" t="s">
        <v>2304</v>
      </c>
      <c r="B999" s="154" t="s">
        <v>2303</v>
      </c>
    </row>
    <row r="1000" spans="1:2" x14ac:dyDescent="0.2">
      <c r="A1000" s="153" t="s">
        <v>2306</v>
      </c>
      <c r="B1000" s="154" t="s">
        <v>2305</v>
      </c>
    </row>
    <row r="1001" spans="1:2" x14ac:dyDescent="0.2">
      <c r="A1001" s="153" t="s">
        <v>2308</v>
      </c>
      <c r="B1001" s="154" t="s">
        <v>2307</v>
      </c>
    </row>
    <row r="1002" spans="1:2" x14ac:dyDescent="0.2">
      <c r="A1002" s="153" t="s">
        <v>2310</v>
      </c>
      <c r="B1002" s="154" t="s">
        <v>2309</v>
      </c>
    </row>
    <row r="1003" spans="1:2" x14ac:dyDescent="0.2">
      <c r="A1003" s="153" t="s">
        <v>2312</v>
      </c>
      <c r="B1003" s="154" t="s">
        <v>2311</v>
      </c>
    </row>
    <row r="1004" spans="1:2" x14ac:dyDescent="0.2">
      <c r="A1004" s="153" t="s">
        <v>2314</v>
      </c>
      <c r="B1004" s="154" t="s">
        <v>2313</v>
      </c>
    </row>
    <row r="1005" spans="1:2" x14ac:dyDescent="0.2">
      <c r="A1005" s="153" t="s">
        <v>2316</v>
      </c>
      <c r="B1005" s="154" t="s">
        <v>2315</v>
      </c>
    </row>
    <row r="1006" spans="1:2" x14ac:dyDescent="0.2">
      <c r="A1006" s="153" t="s">
        <v>2318</v>
      </c>
      <c r="B1006" s="154" t="s">
        <v>2317</v>
      </c>
    </row>
    <row r="1007" spans="1:2" x14ac:dyDescent="0.2">
      <c r="A1007" s="153" t="s">
        <v>2320</v>
      </c>
      <c r="B1007" s="154" t="s">
        <v>2319</v>
      </c>
    </row>
    <row r="1008" spans="1:2" x14ac:dyDescent="0.2">
      <c r="A1008" s="153" t="s">
        <v>2322</v>
      </c>
      <c r="B1008" s="154" t="s">
        <v>2321</v>
      </c>
    </row>
    <row r="1009" spans="1:2" x14ac:dyDescent="0.2">
      <c r="A1009" s="153" t="s">
        <v>2324</v>
      </c>
      <c r="B1009" s="154" t="s">
        <v>2323</v>
      </c>
    </row>
    <row r="1010" spans="1:2" x14ac:dyDescent="0.2">
      <c r="A1010" s="153" t="s">
        <v>2326</v>
      </c>
      <c r="B1010" s="154" t="s">
        <v>2325</v>
      </c>
    </row>
    <row r="1011" spans="1:2" x14ac:dyDescent="0.2">
      <c r="A1011" s="153" t="s">
        <v>2328</v>
      </c>
      <c r="B1011" s="154" t="s">
        <v>2327</v>
      </c>
    </row>
    <row r="1012" spans="1:2" x14ac:dyDescent="0.2">
      <c r="A1012" s="153" t="s">
        <v>2330</v>
      </c>
      <c r="B1012" s="154" t="s">
        <v>2329</v>
      </c>
    </row>
    <row r="1013" spans="1:2" x14ac:dyDescent="0.2">
      <c r="A1013" s="153" t="s">
        <v>2332</v>
      </c>
      <c r="B1013" s="154" t="s">
        <v>2331</v>
      </c>
    </row>
    <row r="1014" spans="1:2" x14ac:dyDescent="0.2">
      <c r="A1014" s="153" t="s">
        <v>2334</v>
      </c>
      <c r="B1014" s="154" t="s">
        <v>2333</v>
      </c>
    </row>
    <row r="1015" spans="1:2" x14ac:dyDescent="0.2">
      <c r="A1015" s="153" t="s">
        <v>2336</v>
      </c>
      <c r="B1015" s="154" t="s">
        <v>2335</v>
      </c>
    </row>
    <row r="1016" spans="1:2" x14ac:dyDescent="0.2">
      <c r="A1016" s="153" t="s">
        <v>2338</v>
      </c>
      <c r="B1016" s="154" t="s">
        <v>2337</v>
      </c>
    </row>
    <row r="1017" spans="1:2" x14ac:dyDescent="0.2">
      <c r="A1017" s="153" t="s">
        <v>2340</v>
      </c>
      <c r="B1017" s="154" t="s">
        <v>2339</v>
      </c>
    </row>
    <row r="1018" spans="1:2" x14ac:dyDescent="0.2">
      <c r="A1018" s="153" t="s">
        <v>2342</v>
      </c>
      <c r="B1018" s="154" t="s">
        <v>2341</v>
      </c>
    </row>
    <row r="1019" spans="1:2" x14ac:dyDescent="0.2">
      <c r="A1019" s="153" t="s">
        <v>2344</v>
      </c>
      <c r="B1019" s="154" t="s">
        <v>2343</v>
      </c>
    </row>
    <row r="1020" spans="1:2" x14ac:dyDescent="0.2">
      <c r="A1020" s="153" t="s">
        <v>2346</v>
      </c>
      <c r="B1020" s="154" t="s">
        <v>2345</v>
      </c>
    </row>
    <row r="1021" spans="1:2" x14ac:dyDescent="0.2">
      <c r="A1021" s="153" t="s">
        <v>2348</v>
      </c>
      <c r="B1021" s="154" t="s">
        <v>2347</v>
      </c>
    </row>
    <row r="1022" spans="1:2" x14ac:dyDescent="0.2">
      <c r="A1022" s="153" t="s">
        <v>2350</v>
      </c>
      <c r="B1022" s="154" t="s">
        <v>2349</v>
      </c>
    </row>
    <row r="1023" spans="1:2" x14ac:dyDescent="0.2">
      <c r="A1023" s="153" t="s">
        <v>2352</v>
      </c>
      <c r="B1023" s="154" t="s">
        <v>2351</v>
      </c>
    </row>
    <row r="1024" spans="1:2" x14ac:dyDescent="0.2">
      <c r="A1024" s="153" t="s">
        <v>2354</v>
      </c>
      <c r="B1024" s="154" t="s">
        <v>2353</v>
      </c>
    </row>
    <row r="1025" spans="1:2" x14ac:dyDescent="0.2">
      <c r="A1025" s="153" t="s">
        <v>2356</v>
      </c>
      <c r="B1025" s="154" t="s">
        <v>2355</v>
      </c>
    </row>
    <row r="1026" spans="1:2" x14ac:dyDescent="0.2">
      <c r="A1026" s="153" t="s">
        <v>2358</v>
      </c>
      <c r="B1026" s="154" t="s">
        <v>2357</v>
      </c>
    </row>
    <row r="1027" spans="1:2" x14ac:dyDescent="0.2">
      <c r="A1027" s="153" t="s">
        <v>2360</v>
      </c>
      <c r="B1027" s="154" t="s">
        <v>2359</v>
      </c>
    </row>
    <row r="1028" spans="1:2" x14ac:dyDescent="0.2">
      <c r="A1028" s="153" t="s">
        <v>2362</v>
      </c>
      <c r="B1028" s="154" t="s">
        <v>2361</v>
      </c>
    </row>
    <row r="1029" spans="1:2" x14ac:dyDescent="0.2">
      <c r="A1029" s="153" t="s">
        <v>2364</v>
      </c>
      <c r="B1029" s="154" t="s">
        <v>2363</v>
      </c>
    </row>
    <row r="1030" spans="1:2" x14ac:dyDescent="0.2">
      <c r="A1030" s="153" t="s">
        <v>2366</v>
      </c>
      <c r="B1030" s="154" t="s">
        <v>2365</v>
      </c>
    </row>
    <row r="1031" spans="1:2" x14ac:dyDescent="0.2">
      <c r="A1031" s="153" t="s">
        <v>2368</v>
      </c>
      <c r="B1031" s="154" t="s">
        <v>2367</v>
      </c>
    </row>
    <row r="1032" spans="1:2" x14ac:dyDescent="0.2">
      <c r="A1032" s="153" t="s">
        <v>2370</v>
      </c>
      <c r="B1032" s="154" t="s">
        <v>2369</v>
      </c>
    </row>
    <row r="1033" spans="1:2" x14ac:dyDescent="0.2">
      <c r="A1033" s="153" t="s">
        <v>2372</v>
      </c>
      <c r="B1033" s="154" t="s">
        <v>2371</v>
      </c>
    </row>
    <row r="1034" spans="1:2" x14ac:dyDescent="0.2">
      <c r="A1034" s="153" t="s">
        <v>2374</v>
      </c>
      <c r="B1034" s="154" t="s">
        <v>2373</v>
      </c>
    </row>
    <row r="1035" spans="1:2" x14ac:dyDescent="0.2">
      <c r="A1035" s="153" t="s">
        <v>2376</v>
      </c>
      <c r="B1035" s="154" t="s">
        <v>2375</v>
      </c>
    </row>
    <row r="1036" spans="1:2" x14ac:dyDescent="0.2">
      <c r="A1036" s="153" t="s">
        <v>2378</v>
      </c>
      <c r="B1036" s="154" t="s">
        <v>2377</v>
      </c>
    </row>
    <row r="1037" spans="1:2" x14ac:dyDescent="0.2">
      <c r="A1037" s="153" t="s">
        <v>2380</v>
      </c>
      <c r="B1037" s="154" t="s">
        <v>2379</v>
      </c>
    </row>
    <row r="1038" spans="1:2" x14ac:dyDescent="0.2">
      <c r="A1038" s="153" t="s">
        <v>2382</v>
      </c>
      <c r="B1038" s="154" t="s">
        <v>2381</v>
      </c>
    </row>
    <row r="1039" spans="1:2" x14ac:dyDescent="0.2">
      <c r="A1039" s="153" t="s">
        <v>2384</v>
      </c>
      <c r="B1039" s="154" t="s">
        <v>2383</v>
      </c>
    </row>
    <row r="1040" spans="1:2" x14ac:dyDescent="0.2">
      <c r="A1040" s="153" t="s">
        <v>2386</v>
      </c>
      <c r="B1040" s="154" t="s">
        <v>2385</v>
      </c>
    </row>
    <row r="1041" spans="1:2" x14ac:dyDescent="0.2">
      <c r="A1041" s="153" t="s">
        <v>2388</v>
      </c>
      <c r="B1041" s="154" t="s">
        <v>2387</v>
      </c>
    </row>
    <row r="1042" spans="1:2" x14ac:dyDescent="0.2">
      <c r="A1042" s="153" t="s">
        <v>2390</v>
      </c>
      <c r="B1042" s="154" t="s">
        <v>2389</v>
      </c>
    </row>
    <row r="1043" spans="1:2" x14ac:dyDescent="0.2">
      <c r="A1043" s="153" t="s">
        <v>2392</v>
      </c>
      <c r="B1043" s="154" t="s">
        <v>2391</v>
      </c>
    </row>
    <row r="1044" spans="1:2" ht="28.5" x14ac:dyDescent="0.2">
      <c r="A1044" s="153" t="s">
        <v>2394</v>
      </c>
      <c r="B1044" s="154" t="s">
        <v>2393</v>
      </c>
    </row>
    <row r="1045" spans="1:2" x14ac:dyDescent="0.2">
      <c r="A1045" s="153" t="s">
        <v>2396</v>
      </c>
      <c r="B1045" s="154" t="s">
        <v>2395</v>
      </c>
    </row>
    <row r="1046" spans="1:2" x14ac:dyDescent="0.2">
      <c r="A1046" s="153" t="s">
        <v>2398</v>
      </c>
      <c r="B1046" s="154" t="s">
        <v>2397</v>
      </c>
    </row>
    <row r="1047" spans="1:2" x14ac:dyDescent="0.2">
      <c r="A1047" s="153" t="s">
        <v>2400</v>
      </c>
      <c r="B1047" s="154" t="s">
        <v>2399</v>
      </c>
    </row>
    <row r="1048" spans="1:2" x14ac:dyDescent="0.2">
      <c r="A1048" s="153" t="s">
        <v>2402</v>
      </c>
      <c r="B1048" s="154" t="s">
        <v>2401</v>
      </c>
    </row>
    <row r="1049" spans="1:2" x14ac:dyDescent="0.2">
      <c r="A1049" s="153" t="s">
        <v>2404</v>
      </c>
      <c r="B1049" s="154" t="s">
        <v>2403</v>
      </c>
    </row>
    <row r="1050" spans="1:2" x14ac:dyDescent="0.2">
      <c r="A1050" s="153" t="s">
        <v>9839</v>
      </c>
      <c r="B1050" s="154" t="s">
        <v>2405</v>
      </c>
    </row>
    <row r="1051" spans="1:2" x14ac:dyDescent="0.2">
      <c r="A1051" s="153" t="s">
        <v>2407</v>
      </c>
      <c r="B1051" s="154" t="s">
        <v>2406</v>
      </c>
    </row>
    <row r="1052" spans="1:2" x14ac:dyDescent="0.2">
      <c r="A1052" s="153" t="s">
        <v>2409</v>
      </c>
      <c r="B1052" s="154" t="s">
        <v>2408</v>
      </c>
    </row>
    <row r="1053" spans="1:2" x14ac:dyDescent="0.2">
      <c r="A1053" s="153" t="s">
        <v>2411</v>
      </c>
      <c r="B1053" s="154" t="s">
        <v>2410</v>
      </c>
    </row>
    <row r="1054" spans="1:2" x14ac:dyDescent="0.2">
      <c r="A1054" s="153" t="s">
        <v>2413</v>
      </c>
      <c r="B1054" s="154" t="s">
        <v>2412</v>
      </c>
    </row>
    <row r="1055" spans="1:2" x14ac:dyDescent="0.2">
      <c r="A1055" s="153" t="s">
        <v>2415</v>
      </c>
      <c r="B1055" s="154" t="s">
        <v>2414</v>
      </c>
    </row>
    <row r="1056" spans="1:2" x14ac:dyDescent="0.2">
      <c r="A1056" s="153" t="s">
        <v>2417</v>
      </c>
      <c r="B1056" s="154" t="s">
        <v>2416</v>
      </c>
    </row>
    <row r="1057" spans="1:2" x14ac:dyDescent="0.2">
      <c r="A1057" s="153" t="s">
        <v>2419</v>
      </c>
      <c r="B1057" s="154" t="s">
        <v>2418</v>
      </c>
    </row>
    <row r="1058" spans="1:2" x14ac:dyDescent="0.2">
      <c r="A1058" s="153" t="s">
        <v>2421</v>
      </c>
      <c r="B1058" s="154" t="s">
        <v>2420</v>
      </c>
    </row>
    <row r="1059" spans="1:2" x14ac:dyDescent="0.2">
      <c r="A1059" s="153" t="s">
        <v>2423</v>
      </c>
      <c r="B1059" s="154" t="s">
        <v>2422</v>
      </c>
    </row>
    <row r="1060" spans="1:2" x14ac:dyDescent="0.2">
      <c r="A1060" s="153" t="s">
        <v>2425</v>
      </c>
      <c r="B1060" s="154" t="s">
        <v>2424</v>
      </c>
    </row>
    <row r="1061" spans="1:2" x14ac:dyDescent="0.2">
      <c r="A1061" s="153" t="s">
        <v>2427</v>
      </c>
      <c r="B1061" s="154" t="s">
        <v>2426</v>
      </c>
    </row>
    <row r="1062" spans="1:2" x14ac:dyDescent="0.2">
      <c r="A1062" s="153" t="s">
        <v>2429</v>
      </c>
      <c r="B1062" s="154" t="s">
        <v>2428</v>
      </c>
    </row>
    <row r="1063" spans="1:2" x14ac:dyDescent="0.2">
      <c r="A1063" s="153" t="s">
        <v>2431</v>
      </c>
      <c r="B1063" s="154" t="s">
        <v>2430</v>
      </c>
    </row>
    <row r="1064" spans="1:2" x14ac:dyDescent="0.2">
      <c r="A1064" s="153" t="s">
        <v>2433</v>
      </c>
      <c r="B1064" s="154" t="s">
        <v>2432</v>
      </c>
    </row>
    <row r="1065" spans="1:2" x14ac:dyDescent="0.2">
      <c r="A1065" s="153" t="s">
        <v>2435</v>
      </c>
      <c r="B1065" s="154" t="s">
        <v>2434</v>
      </c>
    </row>
    <row r="1066" spans="1:2" x14ac:dyDescent="0.2">
      <c r="A1066" s="153" t="s">
        <v>2437</v>
      </c>
      <c r="B1066" s="154" t="s">
        <v>2436</v>
      </c>
    </row>
    <row r="1067" spans="1:2" x14ac:dyDescent="0.2">
      <c r="A1067" s="153" t="s">
        <v>2439</v>
      </c>
      <c r="B1067" s="154" t="s">
        <v>2438</v>
      </c>
    </row>
    <row r="1068" spans="1:2" x14ac:dyDescent="0.2">
      <c r="A1068" s="153" t="s">
        <v>2441</v>
      </c>
      <c r="B1068" s="154" t="s">
        <v>2440</v>
      </c>
    </row>
    <row r="1069" spans="1:2" x14ac:dyDescent="0.2">
      <c r="A1069" s="153" t="s">
        <v>2443</v>
      </c>
      <c r="B1069" s="154" t="s">
        <v>2442</v>
      </c>
    </row>
    <row r="1070" spans="1:2" x14ac:dyDescent="0.2">
      <c r="A1070" s="153" t="s">
        <v>2445</v>
      </c>
      <c r="B1070" s="154" t="s">
        <v>2444</v>
      </c>
    </row>
    <row r="1071" spans="1:2" x14ac:dyDescent="0.2">
      <c r="A1071" s="153" t="s">
        <v>2447</v>
      </c>
      <c r="B1071" s="154" t="s">
        <v>2446</v>
      </c>
    </row>
    <row r="1072" spans="1:2" x14ac:dyDescent="0.2">
      <c r="A1072" s="153" t="s">
        <v>2449</v>
      </c>
      <c r="B1072" s="154" t="s">
        <v>2448</v>
      </c>
    </row>
    <row r="1073" spans="1:2" x14ac:dyDescent="0.2">
      <c r="A1073" s="153" t="s">
        <v>2451</v>
      </c>
      <c r="B1073" s="154" t="s">
        <v>2450</v>
      </c>
    </row>
    <row r="1074" spans="1:2" x14ac:dyDescent="0.2">
      <c r="A1074" s="153" t="s">
        <v>2453</v>
      </c>
      <c r="B1074" s="154" t="s">
        <v>2452</v>
      </c>
    </row>
    <row r="1075" spans="1:2" x14ac:dyDescent="0.2">
      <c r="A1075" s="153" t="s">
        <v>2455</v>
      </c>
      <c r="B1075" s="154" t="s">
        <v>2454</v>
      </c>
    </row>
    <row r="1076" spans="1:2" x14ac:dyDescent="0.2">
      <c r="A1076" s="153" t="s">
        <v>2457</v>
      </c>
      <c r="B1076" s="154" t="s">
        <v>2456</v>
      </c>
    </row>
    <row r="1077" spans="1:2" ht="28.5" x14ac:dyDescent="0.2">
      <c r="A1077" s="153" t="s">
        <v>2459</v>
      </c>
      <c r="B1077" s="154" t="s">
        <v>2458</v>
      </c>
    </row>
    <row r="1078" spans="1:2" x14ac:dyDescent="0.2">
      <c r="A1078" s="153" t="s">
        <v>2461</v>
      </c>
      <c r="B1078" s="154" t="s">
        <v>2460</v>
      </c>
    </row>
    <row r="1079" spans="1:2" x14ac:dyDescent="0.2">
      <c r="A1079" s="153" t="s">
        <v>2463</v>
      </c>
      <c r="B1079" s="154" t="s">
        <v>2462</v>
      </c>
    </row>
    <row r="1080" spans="1:2" x14ac:dyDescent="0.2">
      <c r="A1080" s="153" t="s">
        <v>2465</v>
      </c>
      <c r="B1080" s="154" t="s">
        <v>2464</v>
      </c>
    </row>
    <row r="1081" spans="1:2" x14ac:dyDescent="0.2">
      <c r="A1081" s="153" t="s">
        <v>2467</v>
      </c>
      <c r="B1081" s="154" t="s">
        <v>2466</v>
      </c>
    </row>
    <row r="1082" spans="1:2" x14ac:dyDescent="0.2">
      <c r="A1082" s="153" t="s">
        <v>2469</v>
      </c>
      <c r="B1082" s="154" t="s">
        <v>2468</v>
      </c>
    </row>
    <row r="1083" spans="1:2" x14ac:dyDescent="0.2">
      <c r="A1083" s="153" t="s">
        <v>1065</v>
      </c>
      <c r="B1083" s="154" t="s">
        <v>2470</v>
      </c>
    </row>
    <row r="1084" spans="1:2" x14ac:dyDescent="0.2">
      <c r="A1084" s="153" t="s">
        <v>2472</v>
      </c>
      <c r="B1084" s="154" t="s">
        <v>2471</v>
      </c>
    </row>
    <row r="1085" spans="1:2" x14ac:dyDescent="0.2">
      <c r="A1085" s="153" t="s">
        <v>2474</v>
      </c>
      <c r="B1085" s="154" t="s">
        <v>2473</v>
      </c>
    </row>
    <row r="1086" spans="1:2" x14ac:dyDescent="0.2">
      <c r="A1086" s="153" t="s">
        <v>2476</v>
      </c>
      <c r="B1086" s="154" t="s">
        <v>2475</v>
      </c>
    </row>
    <row r="1087" spans="1:2" x14ac:dyDescent="0.2">
      <c r="A1087" s="153" t="s">
        <v>2478</v>
      </c>
      <c r="B1087" s="154" t="s">
        <v>2477</v>
      </c>
    </row>
    <row r="1088" spans="1:2" x14ac:dyDescent="0.2">
      <c r="A1088" s="153" t="s">
        <v>2480</v>
      </c>
      <c r="B1088" s="154" t="s">
        <v>2479</v>
      </c>
    </row>
    <row r="1089" spans="1:2" x14ac:dyDescent="0.2">
      <c r="A1089" s="153" t="s">
        <v>2482</v>
      </c>
      <c r="B1089" s="154" t="s">
        <v>2481</v>
      </c>
    </row>
    <row r="1090" spans="1:2" x14ac:dyDescent="0.2">
      <c r="A1090" s="153" t="s">
        <v>2484</v>
      </c>
      <c r="B1090" s="154" t="s">
        <v>2483</v>
      </c>
    </row>
    <row r="1091" spans="1:2" x14ac:dyDescent="0.2">
      <c r="A1091" s="153" t="s">
        <v>2486</v>
      </c>
      <c r="B1091" s="154" t="s">
        <v>2485</v>
      </c>
    </row>
    <row r="1092" spans="1:2" x14ac:dyDescent="0.2">
      <c r="A1092" s="153" t="s">
        <v>2488</v>
      </c>
      <c r="B1092" s="154" t="s">
        <v>2487</v>
      </c>
    </row>
    <row r="1093" spans="1:2" x14ac:dyDescent="0.2">
      <c r="A1093" s="153" t="s">
        <v>2490</v>
      </c>
      <c r="B1093" s="154" t="s">
        <v>2489</v>
      </c>
    </row>
    <row r="1094" spans="1:2" x14ac:dyDescent="0.2">
      <c r="A1094" s="153" t="s">
        <v>2492</v>
      </c>
      <c r="B1094" s="154" t="s">
        <v>2491</v>
      </c>
    </row>
    <row r="1095" spans="1:2" x14ac:dyDescent="0.2">
      <c r="A1095" s="153" t="s">
        <v>2494</v>
      </c>
      <c r="B1095" s="154" t="s">
        <v>2493</v>
      </c>
    </row>
    <row r="1096" spans="1:2" x14ac:dyDescent="0.2">
      <c r="A1096" s="153" t="s">
        <v>2496</v>
      </c>
      <c r="B1096" s="154" t="s">
        <v>2495</v>
      </c>
    </row>
    <row r="1097" spans="1:2" x14ac:dyDescent="0.2">
      <c r="A1097" s="153" t="s">
        <v>2498</v>
      </c>
      <c r="B1097" s="154" t="s">
        <v>2497</v>
      </c>
    </row>
    <row r="1098" spans="1:2" x14ac:dyDescent="0.2">
      <c r="A1098" s="153" t="s">
        <v>2500</v>
      </c>
      <c r="B1098" s="154" t="s">
        <v>2499</v>
      </c>
    </row>
    <row r="1099" spans="1:2" x14ac:dyDescent="0.2">
      <c r="A1099" s="153" t="s">
        <v>2502</v>
      </c>
      <c r="B1099" s="154" t="s">
        <v>2501</v>
      </c>
    </row>
    <row r="1100" spans="1:2" x14ac:dyDescent="0.2">
      <c r="A1100" s="153" t="s">
        <v>2504</v>
      </c>
      <c r="B1100" s="154" t="s">
        <v>2503</v>
      </c>
    </row>
    <row r="1101" spans="1:2" x14ac:dyDescent="0.2">
      <c r="A1101" s="153" t="s">
        <v>2506</v>
      </c>
      <c r="B1101" s="154" t="s">
        <v>2505</v>
      </c>
    </row>
    <row r="1102" spans="1:2" x14ac:dyDescent="0.2">
      <c r="A1102" s="153" t="s">
        <v>2508</v>
      </c>
      <c r="B1102" s="154" t="s">
        <v>2507</v>
      </c>
    </row>
    <row r="1103" spans="1:2" x14ac:dyDescent="0.2">
      <c r="A1103" s="153" t="s">
        <v>2510</v>
      </c>
      <c r="B1103" s="154" t="s">
        <v>2509</v>
      </c>
    </row>
    <row r="1104" spans="1:2" x14ac:dyDescent="0.2">
      <c r="A1104" s="153" t="s">
        <v>2512</v>
      </c>
      <c r="B1104" s="154" t="s">
        <v>2511</v>
      </c>
    </row>
    <row r="1105" spans="1:2" x14ac:dyDescent="0.2">
      <c r="A1105" s="153" t="s">
        <v>2514</v>
      </c>
      <c r="B1105" s="154" t="s">
        <v>2513</v>
      </c>
    </row>
    <row r="1106" spans="1:2" x14ac:dyDescent="0.2">
      <c r="A1106" s="153" t="s">
        <v>2516</v>
      </c>
      <c r="B1106" s="154" t="s">
        <v>2515</v>
      </c>
    </row>
    <row r="1107" spans="1:2" x14ac:dyDescent="0.2">
      <c r="A1107" s="153" t="s">
        <v>2518</v>
      </c>
      <c r="B1107" s="154" t="s">
        <v>2517</v>
      </c>
    </row>
    <row r="1108" spans="1:2" x14ac:dyDescent="0.2">
      <c r="A1108" s="153" t="s">
        <v>2520</v>
      </c>
      <c r="B1108" s="154" t="s">
        <v>2519</v>
      </c>
    </row>
    <row r="1109" spans="1:2" x14ac:dyDescent="0.2">
      <c r="A1109" s="153" t="s">
        <v>2522</v>
      </c>
      <c r="B1109" s="154" t="s">
        <v>2521</v>
      </c>
    </row>
    <row r="1110" spans="1:2" x14ac:dyDescent="0.2">
      <c r="A1110" s="153" t="s">
        <v>2524</v>
      </c>
      <c r="B1110" s="154" t="s">
        <v>2523</v>
      </c>
    </row>
    <row r="1111" spans="1:2" x14ac:dyDescent="0.2">
      <c r="A1111" s="153" t="s">
        <v>2526</v>
      </c>
      <c r="B1111" s="154" t="s">
        <v>2525</v>
      </c>
    </row>
    <row r="1112" spans="1:2" x14ac:dyDescent="0.2">
      <c r="A1112" s="153" t="s">
        <v>2528</v>
      </c>
      <c r="B1112" s="154" t="s">
        <v>2527</v>
      </c>
    </row>
    <row r="1113" spans="1:2" x14ac:dyDescent="0.2">
      <c r="A1113" s="153" t="s">
        <v>2530</v>
      </c>
      <c r="B1113" s="154" t="s">
        <v>2529</v>
      </c>
    </row>
    <row r="1114" spans="1:2" x14ac:dyDescent="0.2">
      <c r="A1114" s="153" t="s">
        <v>2532</v>
      </c>
      <c r="B1114" s="154" t="s">
        <v>2531</v>
      </c>
    </row>
    <row r="1115" spans="1:2" x14ac:dyDescent="0.2">
      <c r="A1115" s="153" t="s">
        <v>2534</v>
      </c>
      <c r="B1115" s="154" t="s">
        <v>2533</v>
      </c>
    </row>
    <row r="1116" spans="1:2" x14ac:dyDescent="0.2">
      <c r="A1116" s="153" t="s">
        <v>2536</v>
      </c>
      <c r="B1116" s="154" t="s">
        <v>2535</v>
      </c>
    </row>
    <row r="1117" spans="1:2" x14ac:dyDescent="0.2">
      <c r="A1117" s="153" t="s">
        <v>2538</v>
      </c>
      <c r="B1117" s="154" t="s">
        <v>2537</v>
      </c>
    </row>
    <row r="1118" spans="1:2" x14ac:dyDescent="0.2">
      <c r="A1118" s="153" t="s">
        <v>2540</v>
      </c>
      <c r="B1118" s="154" t="s">
        <v>2539</v>
      </c>
    </row>
    <row r="1119" spans="1:2" x14ac:dyDescent="0.2">
      <c r="A1119" s="153" t="s">
        <v>2542</v>
      </c>
      <c r="B1119" s="154" t="s">
        <v>2541</v>
      </c>
    </row>
    <row r="1120" spans="1:2" x14ac:dyDescent="0.2">
      <c r="A1120" s="153" t="s">
        <v>2544</v>
      </c>
      <c r="B1120" s="154" t="s">
        <v>2543</v>
      </c>
    </row>
    <row r="1121" spans="1:2" x14ac:dyDescent="0.2">
      <c r="A1121" s="153" t="s">
        <v>2546</v>
      </c>
      <c r="B1121" s="154" t="s">
        <v>2545</v>
      </c>
    </row>
    <row r="1122" spans="1:2" x14ac:dyDescent="0.2">
      <c r="A1122" s="153" t="s">
        <v>2548</v>
      </c>
      <c r="B1122" s="154" t="s">
        <v>2547</v>
      </c>
    </row>
    <row r="1123" spans="1:2" x14ac:dyDescent="0.2">
      <c r="A1123" s="153" t="s">
        <v>2550</v>
      </c>
      <c r="B1123" s="154" t="s">
        <v>2549</v>
      </c>
    </row>
    <row r="1124" spans="1:2" x14ac:dyDescent="0.2">
      <c r="A1124" s="153" t="s">
        <v>2552</v>
      </c>
      <c r="B1124" s="154" t="s">
        <v>2551</v>
      </c>
    </row>
    <row r="1125" spans="1:2" x14ac:dyDescent="0.2">
      <c r="A1125" s="153" t="s">
        <v>2554</v>
      </c>
      <c r="B1125" s="154" t="s">
        <v>2553</v>
      </c>
    </row>
    <row r="1126" spans="1:2" x14ac:dyDescent="0.2">
      <c r="A1126" s="153" t="s">
        <v>2556</v>
      </c>
      <c r="B1126" s="154" t="s">
        <v>2555</v>
      </c>
    </row>
    <row r="1127" spans="1:2" x14ac:dyDescent="0.2">
      <c r="A1127" s="153" t="s">
        <v>2558</v>
      </c>
      <c r="B1127" s="154" t="s">
        <v>2557</v>
      </c>
    </row>
    <row r="1128" spans="1:2" x14ac:dyDescent="0.2">
      <c r="A1128" s="153" t="s">
        <v>2560</v>
      </c>
      <c r="B1128" s="154" t="s">
        <v>2559</v>
      </c>
    </row>
    <row r="1129" spans="1:2" x14ac:dyDescent="0.2">
      <c r="A1129" s="153" t="s">
        <v>2562</v>
      </c>
      <c r="B1129" s="154" t="s">
        <v>2561</v>
      </c>
    </row>
    <row r="1130" spans="1:2" x14ac:dyDescent="0.2">
      <c r="A1130" s="153" t="s">
        <v>2564</v>
      </c>
      <c r="B1130" s="154" t="s">
        <v>2563</v>
      </c>
    </row>
    <row r="1131" spans="1:2" x14ac:dyDescent="0.2">
      <c r="A1131" s="153" t="s">
        <v>2566</v>
      </c>
      <c r="B1131" s="154" t="s">
        <v>2565</v>
      </c>
    </row>
    <row r="1132" spans="1:2" x14ac:dyDescent="0.2">
      <c r="A1132" s="153" t="s">
        <v>2568</v>
      </c>
      <c r="B1132" s="154" t="s">
        <v>2567</v>
      </c>
    </row>
    <row r="1133" spans="1:2" x14ac:dyDescent="0.2">
      <c r="A1133" s="153" t="s">
        <v>2570</v>
      </c>
      <c r="B1133" s="154" t="s">
        <v>2569</v>
      </c>
    </row>
    <row r="1134" spans="1:2" x14ac:dyDescent="0.2">
      <c r="A1134" s="153" t="s">
        <v>2572</v>
      </c>
      <c r="B1134" s="154" t="s">
        <v>2571</v>
      </c>
    </row>
    <row r="1135" spans="1:2" x14ac:dyDescent="0.2">
      <c r="A1135" s="153" t="s">
        <v>2574</v>
      </c>
      <c r="B1135" s="154" t="s">
        <v>2573</v>
      </c>
    </row>
    <row r="1136" spans="1:2" x14ac:dyDescent="0.2">
      <c r="A1136" s="153" t="s">
        <v>2576</v>
      </c>
      <c r="B1136" s="154" t="s">
        <v>2575</v>
      </c>
    </row>
    <row r="1137" spans="1:2" x14ac:dyDescent="0.2">
      <c r="A1137" s="153" t="s">
        <v>2578</v>
      </c>
      <c r="B1137" s="154" t="s">
        <v>2577</v>
      </c>
    </row>
    <row r="1138" spans="1:2" x14ac:dyDescent="0.2">
      <c r="A1138" s="153" t="s">
        <v>2580</v>
      </c>
      <c r="B1138" s="154" t="s">
        <v>2579</v>
      </c>
    </row>
    <row r="1139" spans="1:2" x14ac:dyDescent="0.2">
      <c r="A1139" s="153" t="s">
        <v>2582</v>
      </c>
      <c r="B1139" s="154" t="s">
        <v>2581</v>
      </c>
    </row>
    <row r="1140" spans="1:2" x14ac:dyDescent="0.2">
      <c r="A1140" s="153" t="s">
        <v>2584</v>
      </c>
      <c r="B1140" s="154" t="s">
        <v>2583</v>
      </c>
    </row>
    <row r="1141" spans="1:2" x14ac:dyDescent="0.2">
      <c r="A1141" s="153" t="s">
        <v>2586</v>
      </c>
      <c r="B1141" s="154" t="s">
        <v>2585</v>
      </c>
    </row>
    <row r="1142" spans="1:2" x14ac:dyDescent="0.2">
      <c r="A1142" s="153" t="s">
        <v>2588</v>
      </c>
      <c r="B1142" s="154" t="s">
        <v>2587</v>
      </c>
    </row>
    <row r="1143" spans="1:2" x14ac:dyDescent="0.2">
      <c r="A1143" s="153" t="s">
        <v>2590</v>
      </c>
      <c r="B1143" s="154" t="s">
        <v>2589</v>
      </c>
    </row>
    <row r="1144" spans="1:2" x14ac:dyDescent="0.2">
      <c r="A1144" s="153" t="s">
        <v>2592</v>
      </c>
      <c r="B1144" s="154" t="s">
        <v>2591</v>
      </c>
    </row>
    <row r="1145" spans="1:2" x14ac:dyDescent="0.2">
      <c r="A1145" s="153" t="s">
        <v>2594</v>
      </c>
      <c r="B1145" s="154" t="s">
        <v>2593</v>
      </c>
    </row>
    <row r="1146" spans="1:2" x14ac:dyDescent="0.2">
      <c r="A1146" s="153" t="s">
        <v>2596</v>
      </c>
      <c r="B1146" s="154" t="s">
        <v>2595</v>
      </c>
    </row>
    <row r="1147" spans="1:2" x14ac:dyDescent="0.2">
      <c r="A1147" s="153" t="s">
        <v>2598</v>
      </c>
      <c r="B1147" s="154" t="s">
        <v>2597</v>
      </c>
    </row>
    <row r="1148" spans="1:2" x14ac:dyDescent="0.2">
      <c r="A1148" s="153" t="s">
        <v>2600</v>
      </c>
      <c r="B1148" s="154" t="s">
        <v>2599</v>
      </c>
    </row>
    <row r="1149" spans="1:2" x14ac:dyDescent="0.2">
      <c r="A1149" s="153" t="s">
        <v>2602</v>
      </c>
      <c r="B1149" s="154" t="s">
        <v>2601</v>
      </c>
    </row>
    <row r="1150" spans="1:2" x14ac:dyDescent="0.2">
      <c r="A1150" s="153" t="s">
        <v>2604</v>
      </c>
      <c r="B1150" s="154" t="s">
        <v>2603</v>
      </c>
    </row>
    <row r="1151" spans="1:2" x14ac:dyDescent="0.2">
      <c r="A1151" s="153" t="s">
        <v>2606</v>
      </c>
      <c r="B1151" s="154" t="s">
        <v>2605</v>
      </c>
    </row>
    <row r="1152" spans="1:2" x14ac:dyDescent="0.2">
      <c r="A1152" s="153" t="s">
        <v>2608</v>
      </c>
      <c r="B1152" s="154" t="s">
        <v>2607</v>
      </c>
    </row>
    <row r="1153" spans="1:2" x14ac:dyDescent="0.2">
      <c r="A1153" s="153" t="s">
        <v>2610</v>
      </c>
      <c r="B1153" s="154" t="s">
        <v>2609</v>
      </c>
    </row>
    <row r="1154" spans="1:2" x14ac:dyDescent="0.2">
      <c r="A1154" s="153" t="s">
        <v>2612</v>
      </c>
      <c r="B1154" s="154" t="s">
        <v>2611</v>
      </c>
    </row>
    <row r="1155" spans="1:2" x14ac:dyDescent="0.2">
      <c r="A1155" s="153" t="s">
        <v>2614</v>
      </c>
      <c r="B1155" s="154" t="s">
        <v>2613</v>
      </c>
    </row>
    <row r="1156" spans="1:2" x14ac:dyDescent="0.2">
      <c r="A1156" s="153" t="s">
        <v>2616</v>
      </c>
      <c r="B1156" s="154" t="s">
        <v>2615</v>
      </c>
    </row>
    <row r="1157" spans="1:2" x14ac:dyDescent="0.2">
      <c r="A1157" s="153" t="s">
        <v>2618</v>
      </c>
      <c r="B1157" s="154" t="s">
        <v>2617</v>
      </c>
    </row>
    <row r="1158" spans="1:2" x14ac:dyDescent="0.2">
      <c r="A1158" s="153" t="s">
        <v>2620</v>
      </c>
      <c r="B1158" s="154" t="s">
        <v>2619</v>
      </c>
    </row>
    <row r="1159" spans="1:2" x14ac:dyDescent="0.2">
      <c r="A1159" s="153" t="s">
        <v>2622</v>
      </c>
      <c r="B1159" s="154" t="s">
        <v>2621</v>
      </c>
    </row>
    <row r="1160" spans="1:2" x14ac:dyDescent="0.2">
      <c r="A1160" s="153" t="s">
        <v>2624</v>
      </c>
      <c r="B1160" s="154" t="s">
        <v>2623</v>
      </c>
    </row>
    <row r="1161" spans="1:2" x14ac:dyDescent="0.2">
      <c r="A1161" s="153" t="s">
        <v>2626</v>
      </c>
      <c r="B1161" s="154" t="s">
        <v>2625</v>
      </c>
    </row>
    <row r="1162" spans="1:2" x14ac:dyDescent="0.2">
      <c r="A1162" s="153" t="s">
        <v>2628</v>
      </c>
      <c r="B1162" s="154" t="s">
        <v>2627</v>
      </c>
    </row>
    <row r="1163" spans="1:2" x14ac:dyDescent="0.2">
      <c r="A1163" s="153" t="s">
        <v>2630</v>
      </c>
      <c r="B1163" s="154" t="s">
        <v>2629</v>
      </c>
    </row>
    <row r="1164" spans="1:2" x14ac:dyDescent="0.2">
      <c r="A1164" s="153" t="s">
        <v>2632</v>
      </c>
      <c r="B1164" s="154" t="s">
        <v>2631</v>
      </c>
    </row>
    <row r="1165" spans="1:2" x14ac:dyDescent="0.2">
      <c r="A1165" s="153" t="s">
        <v>2634</v>
      </c>
      <c r="B1165" s="154" t="s">
        <v>2633</v>
      </c>
    </row>
    <row r="1166" spans="1:2" x14ac:dyDescent="0.2">
      <c r="A1166" s="153" t="s">
        <v>2636</v>
      </c>
      <c r="B1166" s="154" t="s">
        <v>2635</v>
      </c>
    </row>
    <row r="1167" spans="1:2" x14ac:dyDescent="0.2">
      <c r="A1167" s="153" t="s">
        <v>2638</v>
      </c>
      <c r="B1167" s="154" t="s">
        <v>2637</v>
      </c>
    </row>
    <row r="1168" spans="1:2" x14ac:dyDescent="0.2">
      <c r="A1168" s="153" t="s">
        <v>2640</v>
      </c>
      <c r="B1168" s="154" t="s">
        <v>2639</v>
      </c>
    </row>
    <row r="1169" spans="1:2" x14ac:dyDescent="0.2">
      <c r="A1169" s="153" t="s">
        <v>2642</v>
      </c>
      <c r="B1169" s="154" t="s">
        <v>2641</v>
      </c>
    </row>
    <row r="1170" spans="1:2" x14ac:dyDescent="0.2">
      <c r="A1170" s="153" t="s">
        <v>2644</v>
      </c>
      <c r="B1170" s="154" t="s">
        <v>2643</v>
      </c>
    </row>
    <row r="1171" spans="1:2" x14ac:dyDescent="0.2">
      <c r="A1171" s="153" t="s">
        <v>2646</v>
      </c>
      <c r="B1171" s="154" t="s">
        <v>2645</v>
      </c>
    </row>
    <row r="1172" spans="1:2" x14ac:dyDescent="0.2">
      <c r="A1172" s="153" t="s">
        <v>2648</v>
      </c>
      <c r="B1172" s="154" t="s">
        <v>2647</v>
      </c>
    </row>
    <row r="1173" spans="1:2" x14ac:dyDescent="0.2">
      <c r="A1173" s="153" t="s">
        <v>2650</v>
      </c>
      <c r="B1173" s="154" t="s">
        <v>2649</v>
      </c>
    </row>
    <row r="1174" spans="1:2" x14ac:dyDescent="0.2">
      <c r="A1174" s="153" t="s">
        <v>2652</v>
      </c>
      <c r="B1174" s="154" t="s">
        <v>2651</v>
      </c>
    </row>
    <row r="1175" spans="1:2" x14ac:dyDescent="0.2">
      <c r="A1175" s="153" t="s">
        <v>2654</v>
      </c>
      <c r="B1175" s="154" t="s">
        <v>2653</v>
      </c>
    </row>
    <row r="1176" spans="1:2" x14ac:dyDescent="0.2">
      <c r="A1176" s="153" t="s">
        <v>2656</v>
      </c>
      <c r="B1176" s="154" t="s">
        <v>2655</v>
      </c>
    </row>
    <row r="1177" spans="1:2" x14ac:dyDescent="0.2">
      <c r="A1177" s="153" t="s">
        <v>2658</v>
      </c>
      <c r="B1177" s="154" t="s">
        <v>2657</v>
      </c>
    </row>
    <row r="1178" spans="1:2" x14ac:dyDescent="0.2">
      <c r="A1178" s="153" t="s">
        <v>2660</v>
      </c>
      <c r="B1178" s="154" t="s">
        <v>2659</v>
      </c>
    </row>
    <row r="1179" spans="1:2" x14ac:dyDescent="0.2">
      <c r="A1179" s="153" t="s">
        <v>2662</v>
      </c>
      <c r="B1179" s="154" t="s">
        <v>2661</v>
      </c>
    </row>
    <row r="1180" spans="1:2" x14ac:dyDescent="0.2">
      <c r="A1180" s="153" t="s">
        <v>2664</v>
      </c>
      <c r="B1180" s="154" t="s">
        <v>2663</v>
      </c>
    </row>
    <row r="1181" spans="1:2" x14ac:dyDescent="0.2">
      <c r="A1181" s="153" t="s">
        <v>2666</v>
      </c>
      <c r="B1181" s="154" t="s">
        <v>2665</v>
      </c>
    </row>
    <row r="1182" spans="1:2" x14ac:dyDescent="0.2">
      <c r="A1182" s="153" t="s">
        <v>2668</v>
      </c>
      <c r="B1182" s="154" t="s">
        <v>2667</v>
      </c>
    </row>
    <row r="1183" spans="1:2" x14ac:dyDescent="0.2">
      <c r="A1183" s="153" t="s">
        <v>2670</v>
      </c>
      <c r="B1183" s="154" t="s">
        <v>2669</v>
      </c>
    </row>
    <row r="1184" spans="1:2" x14ac:dyDescent="0.2">
      <c r="A1184" s="153" t="s">
        <v>2672</v>
      </c>
      <c r="B1184" s="154" t="s">
        <v>2671</v>
      </c>
    </row>
    <row r="1185" spans="1:2" x14ac:dyDescent="0.2">
      <c r="A1185" s="153" t="s">
        <v>2674</v>
      </c>
      <c r="B1185" s="154" t="s">
        <v>2673</v>
      </c>
    </row>
    <row r="1186" spans="1:2" x14ac:dyDescent="0.2">
      <c r="A1186" s="153" t="s">
        <v>2676</v>
      </c>
      <c r="B1186" s="154" t="s">
        <v>2675</v>
      </c>
    </row>
    <row r="1187" spans="1:2" x14ac:dyDescent="0.2">
      <c r="A1187" s="153" t="s">
        <v>2678</v>
      </c>
      <c r="B1187" s="154" t="s">
        <v>2677</v>
      </c>
    </row>
    <row r="1188" spans="1:2" x14ac:dyDescent="0.2">
      <c r="A1188" s="153" t="s">
        <v>2680</v>
      </c>
      <c r="B1188" s="154" t="s">
        <v>2679</v>
      </c>
    </row>
    <row r="1189" spans="1:2" x14ac:dyDescent="0.2">
      <c r="A1189" s="153" t="s">
        <v>2682</v>
      </c>
      <c r="B1189" s="154" t="s">
        <v>2681</v>
      </c>
    </row>
    <row r="1190" spans="1:2" x14ac:dyDescent="0.2">
      <c r="A1190" s="153" t="s">
        <v>2684</v>
      </c>
      <c r="B1190" s="154" t="s">
        <v>2683</v>
      </c>
    </row>
    <row r="1191" spans="1:2" x14ac:dyDescent="0.2">
      <c r="A1191" s="153" t="s">
        <v>2686</v>
      </c>
      <c r="B1191" s="154" t="s">
        <v>2685</v>
      </c>
    </row>
    <row r="1192" spans="1:2" x14ac:dyDescent="0.2">
      <c r="A1192" s="153" t="s">
        <v>2688</v>
      </c>
      <c r="B1192" s="154" t="s">
        <v>2687</v>
      </c>
    </row>
    <row r="1193" spans="1:2" x14ac:dyDescent="0.2">
      <c r="A1193" s="153" t="s">
        <v>2690</v>
      </c>
      <c r="B1193" s="154" t="s">
        <v>2689</v>
      </c>
    </row>
    <row r="1194" spans="1:2" x14ac:dyDescent="0.2">
      <c r="A1194" s="153" t="s">
        <v>2692</v>
      </c>
      <c r="B1194" s="154" t="s">
        <v>2691</v>
      </c>
    </row>
    <row r="1195" spans="1:2" x14ac:dyDescent="0.2">
      <c r="A1195" s="153" t="s">
        <v>2694</v>
      </c>
      <c r="B1195" s="154" t="s">
        <v>2693</v>
      </c>
    </row>
    <row r="1196" spans="1:2" x14ac:dyDescent="0.2">
      <c r="A1196" s="153" t="s">
        <v>2696</v>
      </c>
      <c r="B1196" s="154" t="s">
        <v>2695</v>
      </c>
    </row>
    <row r="1197" spans="1:2" x14ac:dyDescent="0.2">
      <c r="A1197" s="153" t="s">
        <v>2698</v>
      </c>
      <c r="B1197" s="154" t="s">
        <v>2697</v>
      </c>
    </row>
    <row r="1198" spans="1:2" x14ac:dyDescent="0.2">
      <c r="A1198" s="153" t="s">
        <v>2700</v>
      </c>
      <c r="B1198" s="154" t="s">
        <v>2699</v>
      </c>
    </row>
    <row r="1199" spans="1:2" x14ac:dyDescent="0.2">
      <c r="A1199" s="153" t="s">
        <v>2702</v>
      </c>
      <c r="B1199" s="154" t="s">
        <v>2701</v>
      </c>
    </row>
    <row r="1200" spans="1:2" x14ac:dyDescent="0.2">
      <c r="A1200" s="153" t="s">
        <v>2704</v>
      </c>
      <c r="B1200" s="154" t="s">
        <v>2703</v>
      </c>
    </row>
    <row r="1201" spans="1:2" x14ac:dyDescent="0.2">
      <c r="A1201" s="153" t="s">
        <v>2706</v>
      </c>
      <c r="B1201" s="154" t="s">
        <v>2705</v>
      </c>
    </row>
    <row r="1202" spans="1:2" x14ac:dyDescent="0.2">
      <c r="A1202" s="153" t="s">
        <v>2708</v>
      </c>
      <c r="B1202" s="154" t="s">
        <v>2707</v>
      </c>
    </row>
    <row r="1203" spans="1:2" x14ac:dyDescent="0.2">
      <c r="A1203" s="153" t="s">
        <v>2710</v>
      </c>
      <c r="B1203" s="154" t="s">
        <v>2709</v>
      </c>
    </row>
    <row r="1204" spans="1:2" x14ac:dyDescent="0.2">
      <c r="A1204" s="153" t="s">
        <v>2712</v>
      </c>
      <c r="B1204" s="154" t="s">
        <v>2711</v>
      </c>
    </row>
    <row r="1205" spans="1:2" x14ac:dyDescent="0.2">
      <c r="A1205" s="153" t="s">
        <v>2714</v>
      </c>
      <c r="B1205" s="154" t="s">
        <v>2713</v>
      </c>
    </row>
    <row r="1206" spans="1:2" x14ac:dyDescent="0.2">
      <c r="A1206" s="153" t="s">
        <v>2716</v>
      </c>
      <c r="B1206" s="154" t="s">
        <v>2715</v>
      </c>
    </row>
    <row r="1207" spans="1:2" x14ac:dyDescent="0.2">
      <c r="A1207" s="153" t="s">
        <v>2718</v>
      </c>
      <c r="B1207" s="154" t="s">
        <v>2717</v>
      </c>
    </row>
    <row r="1208" spans="1:2" x14ac:dyDescent="0.2">
      <c r="A1208" s="153" t="s">
        <v>2720</v>
      </c>
      <c r="B1208" s="154" t="s">
        <v>2719</v>
      </c>
    </row>
    <row r="1209" spans="1:2" x14ac:dyDescent="0.2">
      <c r="A1209" s="153" t="s">
        <v>2722</v>
      </c>
      <c r="B1209" s="154" t="s">
        <v>2721</v>
      </c>
    </row>
    <row r="1210" spans="1:2" x14ac:dyDescent="0.2">
      <c r="A1210" s="153" t="s">
        <v>2724</v>
      </c>
      <c r="B1210" s="154" t="s">
        <v>2723</v>
      </c>
    </row>
    <row r="1211" spans="1:2" x14ac:dyDescent="0.2">
      <c r="A1211" s="153" t="s">
        <v>2726</v>
      </c>
      <c r="B1211" s="154" t="s">
        <v>2725</v>
      </c>
    </row>
    <row r="1212" spans="1:2" x14ac:dyDescent="0.2">
      <c r="A1212" s="153" t="s">
        <v>2728</v>
      </c>
      <c r="B1212" s="154" t="s">
        <v>2727</v>
      </c>
    </row>
    <row r="1213" spans="1:2" x14ac:dyDescent="0.2">
      <c r="A1213" s="153" t="s">
        <v>2730</v>
      </c>
      <c r="B1213" s="154" t="s">
        <v>2729</v>
      </c>
    </row>
    <row r="1214" spans="1:2" x14ac:dyDescent="0.2">
      <c r="A1214" s="153" t="s">
        <v>2732</v>
      </c>
      <c r="B1214" s="154" t="s">
        <v>2731</v>
      </c>
    </row>
    <row r="1215" spans="1:2" x14ac:dyDescent="0.2">
      <c r="A1215" s="153" t="s">
        <v>2734</v>
      </c>
      <c r="B1215" s="154" t="s">
        <v>2733</v>
      </c>
    </row>
    <row r="1216" spans="1:2" x14ac:dyDescent="0.2">
      <c r="A1216" s="153" t="s">
        <v>2736</v>
      </c>
      <c r="B1216" s="154" t="s">
        <v>2735</v>
      </c>
    </row>
    <row r="1217" spans="1:2" x14ac:dyDescent="0.2">
      <c r="A1217" s="153" t="s">
        <v>2738</v>
      </c>
      <c r="B1217" s="154" t="s">
        <v>2737</v>
      </c>
    </row>
    <row r="1218" spans="1:2" x14ac:dyDescent="0.2">
      <c r="A1218" s="153" t="s">
        <v>2740</v>
      </c>
      <c r="B1218" s="154" t="s">
        <v>2739</v>
      </c>
    </row>
    <row r="1219" spans="1:2" x14ac:dyDescent="0.2">
      <c r="A1219" s="153" t="s">
        <v>2742</v>
      </c>
      <c r="B1219" s="154" t="s">
        <v>2741</v>
      </c>
    </row>
    <row r="1220" spans="1:2" x14ac:dyDescent="0.2">
      <c r="A1220" s="153" t="s">
        <v>2744</v>
      </c>
      <c r="B1220" s="154" t="s">
        <v>2743</v>
      </c>
    </row>
    <row r="1221" spans="1:2" x14ac:dyDescent="0.2">
      <c r="A1221" s="153" t="s">
        <v>2746</v>
      </c>
      <c r="B1221" s="154" t="s">
        <v>2745</v>
      </c>
    </row>
    <row r="1222" spans="1:2" x14ac:dyDescent="0.2">
      <c r="A1222" s="153" t="s">
        <v>2748</v>
      </c>
      <c r="B1222" s="154" t="s">
        <v>2747</v>
      </c>
    </row>
    <row r="1223" spans="1:2" x14ac:dyDescent="0.2">
      <c r="A1223" s="153" t="s">
        <v>2750</v>
      </c>
      <c r="B1223" s="154" t="s">
        <v>2749</v>
      </c>
    </row>
    <row r="1224" spans="1:2" x14ac:dyDescent="0.2">
      <c r="A1224" s="153" t="s">
        <v>2752</v>
      </c>
      <c r="B1224" s="154" t="s">
        <v>2751</v>
      </c>
    </row>
    <row r="1225" spans="1:2" x14ac:dyDescent="0.2">
      <c r="A1225" s="153" t="s">
        <v>2754</v>
      </c>
      <c r="B1225" s="154" t="s">
        <v>2753</v>
      </c>
    </row>
    <row r="1226" spans="1:2" x14ac:dyDescent="0.2">
      <c r="A1226" s="153" t="s">
        <v>2756</v>
      </c>
      <c r="B1226" s="154" t="s">
        <v>2755</v>
      </c>
    </row>
    <row r="1227" spans="1:2" x14ac:dyDescent="0.2">
      <c r="A1227" s="153" t="s">
        <v>2758</v>
      </c>
      <c r="B1227" s="154" t="s">
        <v>2757</v>
      </c>
    </row>
    <row r="1228" spans="1:2" x14ac:dyDescent="0.2">
      <c r="A1228" s="153" t="s">
        <v>2760</v>
      </c>
      <c r="B1228" s="154" t="s">
        <v>2759</v>
      </c>
    </row>
    <row r="1229" spans="1:2" x14ac:dyDescent="0.2">
      <c r="A1229" s="153" t="s">
        <v>2762</v>
      </c>
      <c r="B1229" s="154" t="s">
        <v>2761</v>
      </c>
    </row>
    <row r="1230" spans="1:2" x14ac:dyDescent="0.2">
      <c r="A1230" s="153" t="s">
        <v>2764</v>
      </c>
      <c r="B1230" s="154" t="s">
        <v>2763</v>
      </c>
    </row>
    <row r="1231" spans="1:2" x14ac:dyDescent="0.2">
      <c r="A1231" s="153" t="s">
        <v>2766</v>
      </c>
      <c r="B1231" s="154" t="s">
        <v>2765</v>
      </c>
    </row>
    <row r="1232" spans="1:2" x14ac:dyDescent="0.2">
      <c r="A1232" s="153" t="s">
        <v>2768</v>
      </c>
      <c r="B1232" s="154" t="s">
        <v>2767</v>
      </c>
    </row>
    <row r="1233" spans="1:2" ht="28.5" x14ac:dyDescent="0.2">
      <c r="A1233" s="153" t="s">
        <v>2770</v>
      </c>
      <c r="B1233" s="154" t="s">
        <v>2769</v>
      </c>
    </row>
    <row r="1234" spans="1:2" x14ac:dyDescent="0.2">
      <c r="A1234" s="153" t="s">
        <v>2772</v>
      </c>
      <c r="B1234" s="154" t="s">
        <v>2771</v>
      </c>
    </row>
    <row r="1235" spans="1:2" x14ac:dyDescent="0.2">
      <c r="A1235" s="153" t="s">
        <v>2774</v>
      </c>
      <c r="B1235" s="154" t="s">
        <v>2773</v>
      </c>
    </row>
    <row r="1236" spans="1:2" x14ac:dyDescent="0.2">
      <c r="A1236" s="153" t="s">
        <v>2776</v>
      </c>
      <c r="B1236" s="154" t="s">
        <v>2775</v>
      </c>
    </row>
    <row r="1237" spans="1:2" x14ac:dyDescent="0.2">
      <c r="A1237" s="153" t="s">
        <v>2778</v>
      </c>
      <c r="B1237" s="154" t="s">
        <v>2777</v>
      </c>
    </row>
    <row r="1238" spans="1:2" x14ac:dyDescent="0.2">
      <c r="A1238" s="153" t="s">
        <v>2780</v>
      </c>
      <c r="B1238" s="154" t="s">
        <v>2779</v>
      </c>
    </row>
    <row r="1239" spans="1:2" x14ac:dyDescent="0.2">
      <c r="A1239" s="153" t="s">
        <v>2782</v>
      </c>
      <c r="B1239" s="154" t="s">
        <v>2781</v>
      </c>
    </row>
    <row r="1240" spans="1:2" x14ac:dyDescent="0.2">
      <c r="A1240" s="153" t="s">
        <v>2784</v>
      </c>
      <c r="B1240" s="154" t="s">
        <v>2783</v>
      </c>
    </row>
    <row r="1241" spans="1:2" x14ac:dyDescent="0.2">
      <c r="A1241" s="153" t="s">
        <v>2786</v>
      </c>
      <c r="B1241" s="154" t="s">
        <v>2785</v>
      </c>
    </row>
    <row r="1242" spans="1:2" x14ac:dyDescent="0.2">
      <c r="A1242" s="153" t="s">
        <v>2788</v>
      </c>
      <c r="B1242" s="154" t="s">
        <v>2787</v>
      </c>
    </row>
    <row r="1243" spans="1:2" x14ac:dyDescent="0.2">
      <c r="A1243" s="153" t="s">
        <v>2790</v>
      </c>
      <c r="B1243" s="154" t="s">
        <v>2789</v>
      </c>
    </row>
    <row r="1244" spans="1:2" x14ac:dyDescent="0.2">
      <c r="A1244" s="153" t="s">
        <v>2792</v>
      </c>
      <c r="B1244" s="154" t="s">
        <v>2791</v>
      </c>
    </row>
    <row r="1245" spans="1:2" x14ac:dyDescent="0.2">
      <c r="A1245" s="153" t="s">
        <v>2794</v>
      </c>
      <c r="B1245" s="154" t="s">
        <v>2793</v>
      </c>
    </row>
    <row r="1246" spans="1:2" x14ac:dyDescent="0.2">
      <c r="A1246" s="153" t="s">
        <v>2796</v>
      </c>
      <c r="B1246" s="154" t="s">
        <v>2795</v>
      </c>
    </row>
    <row r="1247" spans="1:2" x14ac:dyDescent="0.2">
      <c r="A1247" s="153" t="s">
        <v>2798</v>
      </c>
      <c r="B1247" s="154" t="s">
        <v>2797</v>
      </c>
    </row>
    <row r="1248" spans="1:2" x14ac:dyDescent="0.2">
      <c r="A1248" s="153" t="s">
        <v>2800</v>
      </c>
      <c r="B1248" s="154" t="s">
        <v>2799</v>
      </c>
    </row>
    <row r="1249" spans="1:2" x14ac:dyDescent="0.2">
      <c r="A1249" s="153" t="s">
        <v>2802</v>
      </c>
      <c r="B1249" s="154" t="s">
        <v>2801</v>
      </c>
    </row>
    <row r="1250" spans="1:2" x14ac:dyDescent="0.2">
      <c r="A1250" s="153" t="s">
        <v>2804</v>
      </c>
      <c r="B1250" s="154" t="s">
        <v>2803</v>
      </c>
    </row>
    <row r="1251" spans="1:2" x14ac:dyDescent="0.2">
      <c r="A1251" s="153" t="s">
        <v>2806</v>
      </c>
      <c r="B1251" s="154" t="s">
        <v>2805</v>
      </c>
    </row>
    <row r="1252" spans="1:2" x14ac:dyDescent="0.2">
      <c r="A1252" s="153" t="s">
        <v>2808</v>
      </c>
      <c r="B1252" s="154" t="s">
        <v>2807</v>
      </c>
    </row>
    <row r="1253" spans="1:2" x14ac:dyDescent="0.2">
      <c r="A1253" s="153" t="s">
        <v>2810</v>
      </c>
      <c r="B1253" s="154" t="s">
        <v>2809</v>
      </c>
    </row>
    <row r="1254" spans="1:2" x14ac:dyDescent="0.2">
      <c r="A1254" s="153" t="s">
        <v>2812</v>
      </c>
      <c r="B1254" s="154" t="s">
        <v>2811</v>
      </c>
    </row>
    <row r="1255" spans="1:2" x14ac:dyDescent="0.2">
      <c r="A1255" s="153" t="s">
        <v>2814</v>
      </c>
      <c r="B1255" s="154" t="s">
        <v>2813</v>
      </c>
    </row>
    <row r="1256" spans="1:2" x14ac:dyDescent="0.2">
      <c r="A1256" s="153" t="s">
        <v>2816</v>
      </c>
      <c r="B1256" s="154" t="s">
        <v>2815</v>
      </c>
    </row>
    <row r="1257" spans="1:2" x14ac:dyDescent="0.2">
      <c r="A1257" s="153" t="s">
        <v>2818</v>
      </c>
      <c r="B1257" s="154" t="s">
        <v>2817</v>
      </c>
    </row>
    <row r="1258" spans="1:2" x14ac:dyDescent="0.2">
      <c r="A1258" s="153" t="s">
        <v>2820</v>
      </c>
      <c r="B1258" s="154" t="s">
        <v>2819</v>
      </c>
    </row>
    <row r="1259" spans="1:2" x14ac:dyDescent="0.2">
      <c r="A1259" s="153" t="s">
        <v>2822</v>
      </c>
      <c r="B1259" s="154" t="s">
        <v>2821</v>
      </c>
    </row>
    <row r="1260" spans="1:2" x14ac:dyDescent="0.2">
      <c r="A1260" s="153" t="s">
        <v>2824</v>
      </c>
      <c r="B1260" s="154" t="s">
        <v>2823</v>
      </c>
    </row>
    <row r="1261" spans="1:2" x14ac:dyDescent="0.2">
      <c r="A1261" s="153" t="s">
        <v>2826</v>
      </c>
      <c r="B1261" s="154" t="s">
        <v>2825</v>
      </c>
    </row>
    <row r="1262" spans="1:2" x14ac:dyDescent="0.2">
      <c r="A1262" s="153" t="s">
        <v>2828</v>
      </c>
      <c r="B1262" s="154" t="s">
        <v>2827</v>
      </c>
    </row>
    <row r="1263" spans="1:2" x14ac:dyDescent="0.2">
      <c r="A1263" s="153" t="s">
        <v>2830</v>
      </c>
      <c r="B1263" s="154" t="s">
        <v>2829</v>
      </c>
    </row>
    <row r="1264" spans="1:2" x14ac:dyDescent="0.2">
      <c r="A1264" s="153" t="s">
        <v>2832</v>
      </c>
      <c r="B1264" s="154" t="s">
        <v>2831</v>
      </c>
    </row>
    <row r="1265" spans="1:2" x14ac:dyDescent="0.2">
      <c r="A1265" s="153" t="s">
        <v>2834</v>
      </c>
      <c r="B1265" s="154" t="s">
        <v>2833</v>
      </c>
    </row>
    <row r="1266" spans="1:2" x14ac:dyDescent="0.2">
      <c r="A1266" s="153" t="s">
        <v>2836</v>
      </c>
      <c r="B1266" s="154" t="s">
        <v>2835</v>
      </c>
    </row>
    <row r="1267" spans="1:2" x14ac:dyDescent="0.2">
      <c r="A1267" s="153" t="s">
        <v>2838</v>
      </c>
      <c r="B1267" s="154" t="s">
        <v>2837</v>
      </c>
    </row>
    <row r="1268" spans="1:2" x14ac:dyDescent="0.2">
      <c r="A1268" s="153" t="s">
        <v>2840</v>
      </c>
      <c r="B1268" s="154" t="s">
        <v>2839</v>
      </c>
    </row>
    <row r="1269" spans="1:2" x14ac:dyDescent="0.2">
      <c r="A1269" s="153" t="s">
        <v>2842</v>
      </c>
      <c r="B1269" s="154" t="s">
        <v>2841</v>
      </c>
    </row>
    <row r="1270" spans="1:2" x14ac:dyDescent="0.2">
      <c r="A1270" s="153" t="s">
        <v>2844</v>
      </c>
      <c r="B1270" s="154" t="s">
        <v>2843</v>
      </c>
    </row>
    <row r="1271" spans="1:2" x14ac:dyDescent="0.2">
      <c r="A1271" s="153" t="s">
        <v>2846</v>
      </c>
      <c r="B1271" s="154" t="s">
        <v>2845</v>
      </c>
    </row>
    <row r="1272" spans="1:2" x14ac:dyDescent="0.2">
      <c r="A1272" s="153" t="s">
        <v>2848</v>
      </c>
      <c r="B1272" s="154" t="s">
        <v>2847</v>
      </c>
    </row>
    <row r="1273" spans="1:2" x14ac:dyDescent="0.2">
      <c r="A1273" s="153" t="s">
        <v>2850</v>
      </c>
      <c r="B1273" s="154" t="s">
        <v>2849</v>
      </c>
    </row>
    <row r="1274" spans="1:2" x14ac:dyDescent="0.2">
      <c r="A1274" s="153" t="s">
        <v>2852</v>
      </c>
      <c r="B1274" s="154" t="s">
        <v>2851</v>
      </c>
    </row>
    <row r="1275" spans="1:2" x14ac:dyDescent="0.2">
      <c r="A1275" s="153" t="s">
        <v>2854</v>
      </c>
      <c r="B1275" s="154" t="s">
        <v>2853</v>
      </c>
    </row>
    <row r="1276" spans="1:2" x14ac:dyDescent="0.2">
      <c r="A1276" s="153" t="s">
        <v>2856</v>
      </c>
      <c r="B1276" s="154" t="s">
        <v>2855</v>
      </c>
    </row>
    <row r="1277" spans="1:2" x14ac:dyDescent="0.2">
      <c r="A1277" s="153" t="s">
        <v>2858</v>
      </c>
      <c r="B1277" s="154" t="s">
        <v>2857</v>
      </c>
    </row>
    <row r="1278" spans="1:2" x14ac:dyDescent="0.2">
      <c r="A1278" s="153" t="s">
        <v>2860</v>
      </c>
      <c r="B1278" s="154" t="s">
        <v>2859</v>
      </c>
    </row>
    <row r="1279" spans="1:2" x14ac:dyDescent="0.2">
      <c r="A1279" s="153" t="s">
        <v>2862</v>
      </c>
      <c r="B1279" s="154" t="s">
        <v>2861</v>
      </c>
    </row>
    <row r="1280" spans="1:2" x14ac:dyDescent="0.2">
      <c r="A1280" s="153" t="s">
        <v>2864</v>
      </c>
      <c r="B1280" s="154" t="s">
        <v>2863</v>
      </c>
    </row>
    <row r="1281" spans="1:2" x14ac:dyDescent="0.2">
      <c r="A1281" s="153" t="s">
        <v>2866</v>
      </c>
      <c r="B1281" s="154" t="s">
        <v>2865</v>
      </c>
    </row>
    <row r="1282" spans="1:2" x14ac:dyDescent="0.2">
      <c r="A1282" s="153" t="s">
        <v>2868</v>
      </c>
      <c r="B1282" s="154" t="s">
        <v>2867</v>
      </c>
    </row>
    <row r="1283" spans="1:2" x14ac:dyDescent="0.2">
      <c r="A1283" s="153" t="s">
        <v>2870</v>
      </c>
      <c r="B1283" s="154" t="s">
        <v>2869</v>
      </c>
    </row>
    <row r="1284" spans="1:2" x14ac:dyDescent="0.2">
      <c r="A1284" s="153" t="s">
        <v>2872</v>
      </c>
      <c r="B1284" s="154" t="s">
        <v>2871</v>
      </c>
    </row>
    <row r="1285" spans="1:2" x14ac:dyDescent="0.2">
      <c r="A1285" s="153" t="s">
        <v>2874</v>
      </c>
      <c r="B1285" s="154" t="s">
        <v>2873</v>
      </c>
    </row>
    <row r="1286" spans="1:2" x14ac:dyDescent="0.2">
      <c r="A1286" s="153" t="s">
        <v>2876</v>
      </c>
      <c r="B1286" s="154" t="s">
        <v>2875</v>
      </c>
    </row>
    <row r="1287" spans="1:2" x14ac:dyDescent="0.2">
      <c r="A1287" s="153" t="s">
        <v>2878</v>
      </c>
      <c r="B1287" s="154" t="s">
        <v>2877</v>
      </c>
    </row>
    <row r="1288" spans="1:2" x14ac:dyDescent="0.2">
      <c r="A1288" s="153" t="s">
        <v>2880</v>
      </c>
      <c r="B1288" s="154" t="s">
        <v>2879</v>
      </c>
    </row>
    <row r="1289" spans="1:2" x14ac:dyDescent="0.2">
      <c r="A1289" s="153" t="s">
        <v>2882</v>
      </c>
      <c r="B1289" s="154" t="s">
        <v>2881</v>
      </c>
    </row>
    <row r="1290" spans="1:2" x14ac:dyDescent="0.2">
      <c r="A1290" s="153" t="s">
        <v>2884</v>
      </c>
      <c r="B1290" s="154" t="s">
        <v>2883</v>
      </c>
    </row>
    <row r="1291" spans="1:2" x14ac:dyDescent="0.2">
      <c r="A1291" s="153" t="s">
        <v>2886</v>
      </c>
      <c r="B1291" s="154" t="s">
        <v>2885</v>
      </c>
    </row>
    <row r="1292" spans="1:2" x14ac:dyDescent="0.2">
      <c r="A1292" s="153" t="s">
        <v>2888</v>
      </c>
      <c r="B1292" s="154" t="s">
        <v>2887</v>
      </c>
    </row>
    <row r="1293" spans="1:2" x14ac:dyDescent="0.2">
      <c r="A1293" s="153" t="s">
        <v>2890</v>
      </c>
      <c r="B1293" s="154" t="s">
        <v>2889</v>
      </c>
    </row>
    <row r="1294" spans="1:2" x14ac:dyDescent="0.2">
      <c r="A1294" s="153" t="s">
        <v>2892</v>
      </c>
      <c r="B1294" s="154" t="s">
        <v>2891</v>
      </c>
    </row>
    <row r="1295" spans="1:2" x14ac:dyDescent="0.2">
      <c r="A1295" s="153" t="s">
        <v>2894</v>
      </c>
      <c r="B1295" s="154" t="s">
        <v>2893</v>
      </c>
    </row>
    <row r="1296" spans="1:2" x14ac:dyDescent="0.2">
      <c r="A1296" s="153" t="s">
        <v>2896</v>
      </c>
      <c r="B1296" s="154" t="s">
        <v>2895</v>
      </c>
    </row>
    <row r="1297" spans="1:2" x14ac:dyDescent="0.2">
      <c r="A1297" s="153" t="s">
        <v>2898</v>
      </c>
      <c r="B1297" s="154" t="s">
        <v>2897</v>
      </c>
    </row>
    <row r="1298" spans="1:2" x14ac:dyDescent="0.2">
      <c r="A1298" s="153" t="s">
        <v>2900</v>
      </c>
      <c r="B1298" s="154" t="s">
        <v>2899</v>
      </c>
    </row>
    <row r="1299" spans="1:2" x14ac:dyDescent="0.2">
      <c r="A1299" s="153" t="s">
        <v>2902</v>
      </c>
      <c r="B1299" s="154" t="s">
        <v>2901</v>
      </c>
    </row>
    <row r="1300" spans="1:2" x14ac:dyDescent="0.2">
      <c r="A1300" s="153" t="s">
        <v>2904</v>
      </c>
      <c r="B1300" s="154" t="s">
        <v>2903</v>
      </c>
    </row>
    <row r="1301" spans="1:2" x14ac:dyDescent="0.2">
      <c r="A1301" s="153" t="s">
        <v>2906</v>
      </c>
      <c r="B1301" s="154" t="s">
        <v>2905</v>
      </c>
    </row>
    <row r="1302" spans="1:2" x14ac:dyDescent="0.2">
      <c r="A1302" s="153" t="s">
        <v>2908</v>
      </c>
      <c r="B1302" s="154" t="s">
        <v>2907</v>
      </c>
    </row>
    <row r="1303" spans="1:2" x14ac:dyDescent="0.2">
      <c r="A1303" s="153" t="s">
        <v>2910</v>
      </c>
      <c r="B1303" s="154" t="s">
        <v>2909</v>
      </c>
    </row>
    <row r="1304" spans="1:2" x14ac:dyDescent="0.2">
      <c r="A1304" s="153" t="s">
        <v>2912</v>
      </c>
      <c r="B1304" s="154" t="s">
        <v>2911</v>
      </c>
    </row>
    <row r="1305" spans="1:2" x14ac:dyDescent="0.2">
      <c r="A1305" s="153" t="s">
        <v>2914</v>
      </c>
      <c r="B1305" s="154" t="s">
        <v>2913</v>
      </c>
    </row>
    <row r="1306" spans="1:2" x14ac:dyDescent="0.2">
      <c r="A1306" s="153" t="s">
        <v>2916</v>
      </c>
      <c r="B1306" s="154" t="s">
        <v>2915</v>
      </c>
    </row>
    <row r="1307" spans="1:2" x14ac:dyDescent="0.2">
      <c r="A1307" s="153" t="s">
        <v>2918</v>
      </c>
      <c r="B1307" s="154" t="s">
        <v>2917</v>
      </c>
    </row>
    <row r="1308" spans="1:2" x14ac:dyDescent="0.2">
      <c r="A1308" s="153" t="s">
        <v>2920</v>
      </c>
      <c r="B1308" s="154" t="s">
        <v>2919</v>
      </c>
    </row>
    <row r="1309" spans="1:2" x14ac:dyDescent="0.2">
      <c r="A1309" s="153" t="s">
        <v>2922</v>
      </c>
      <c r="B1309" s="154" t="s">
        <v>2921</v>
      </c>
    </row>
    <row r="1310" spans="1:2" x14ac:dyDescent="0.2">
      <c r="A1310" s="153" t="s">
        <v>2924</v>
      </c>
      <c r="B1310" s="154" t="s">
        <v>2923</v>
      </c>
    </row>
    <row r="1311" spans="1:2" x14ac:dyDescent="0.2">
      <c r="A1311" s="153" t="s">
        <v>2926</v>
      </c>
      <c r="B1311" s="154" t="s">
        <v>2925</v>
      </c>
    </row>
    <row r="1312" spans="1:2" x14ac:dyDescent="0.2">
      <c r="A1312" s="153" t="s">
        <v>2928</v>
      </c>
      <c r="B1312" s="154" t="s">
        <v>2927</v>
      </c>
    </row>
    <row r="1313" spans="1:2" x14ac:dyDescent="0.2">
      <c r="A1313" s="153" t="s">
        <v>9840</v>
      </c>
      <c r="B1313" s="154" t="s">
        <v>2929</v>
      </c>
    </row>
    <row r="1314" spans="1:2" x14ac:dyDescent="0.2">
      <c r="A1314" s="153" t="s">
        <v>9841</v>
      </c>
      <c r="B1314" s="154" t="s">
        <v>2930</v>
      </c>
    </row>
    <row r="1315" spans="1:2" x14ac:dyDescent="0.2">
      <c r="A1315" s="153" t="s">
        <v>2932</v>
      </c>
      <c r="B1315" s="154" t="s">
        <v>2931</v>
      </c>
    </row>
    <row r="1316" spans="1:2" x14ac:dyDescent="0.2">
      <c r="A1316" s="153" t="s">
        <v>2934</v>
      </c>
      <c r="B1316" s="154" t="s">
        <v>2933</v>
      </c>
    </row>
    <row r="1317" spans="1:2" x14ac:dyDescent="0.2">
      <c r="A1317" s="153" t="s">
        <v>2936</v>
      </c>
      <c r="B1317" s="154" t="s">
        <v>2935</v>
      </c>
    </row>
    <row r="1318" spans="1:2" x14ac:dyDescent="0.2">
      <c r="A1318" s="153" t="s">
        <v>2938</v>
      </c>
      <c r="B1318" s="154" t="s">
        <v>2937</v>
      </c>
    </row>
    <row r="1319" spans="1:2" x14ac:dyDescent="0.2">
      <c r="A1319" s="153" t="s">
        <v>2940</v>
      </c>
      <c r="B1319" s="154" t="s">
        <v>2939</v>
      </c>
    </row>
    <row r="1320" spans="1:2" x14ac:dyDescent="0.2">
      <c r="A1320" s="153" t="s">
        <v>2942</v>
      </c>
      <c r="B1320" s="154" t="s">
        <v>2941</v>
      </c>
    </row>
    <row r="1321" spans="1:2" x14ac:dyDescent="0.2">
      <c r="A1321" s="153" t="s">
        <v>2944</v>
      </c>
      <c r="B1321" s="154" t="s">
        <v>2943</v>
      </c>
    </row>
    <row r="1322" spans="1:2" x14ac:dyDescent="0.2">
      <c r="A1322" s="153" t="s">
        <v>2946</v>
      </c>
      <c r="B1322" s="154" t="s">
        <v>2945</v>
      </c>
    </row>
    <row r="1323" spans="1:2" x14ac:dyDescent="0.2">
      <c r="A1323" s="153" t="s">
        <v>1065</v>
      </c>
      <c r="B1323" s="154" t="s">
        <v>2947</v>
      </c>
    </row>
    <row r="1324" spans="1:2" x14ac:dyDescent="0.2">
      <c r="A1324" s="153" t="s">
        <v>1065</v>
      </c>
      <c r="B1324" s="154" t="s">
        <v>2948</v>
      </c>
    </row>
    <row r="1325" spans="1:2" x14ac:dyDescent="0.2">
      <c r="A1325" s="153" t="s">
        <v>2950</v>
      </c>
      <c r="B1325" s="154" t="s">
        <v>2949</v>
      </c>
    </row>
    <row r="1326" spans="1:2" x14ac:dyDescent="0.2">
      <c r="A1326" s="153" t="s">
        <v>2952</v>
      </c>
      <c r="B1326" s="154" t="s">
        <v>2951</v>
      </c>
    </row>
    <row r="1327" spans="1:2" x14ac:dyDescent="0.2">
      <c r="A1327" s="153" t="s">
        <v>2954</v>
      </c>
      <c r="B1327" s="154" t="s">
        <v>2953</v>
      </c>
    </row>
    <row r="1328" spans="1:2" x14ac:dyDescent="0.2">
      <c r="A1328" s="153" t="s">
        <v>2956</v>
      </c>
      <c r="B1328" s="154" t="s">
        <v>2955</v>
      </c>
    </row>
    <row r="1329" spans="1:2" x14ac:dyDescent="0.2">
      <c r="A1329" s="153" t="s">
        <v>2958</v>
      </c>
      <c r="B1329" s="154" t="s">
        <v>2957</v>
      </c>
    </row>
    <row r="1330" spans="1:2" x14ac:dyDescent="0.2">
      <c r="A1330" s="153" t="s">
        <v>2960</v>
      </c>
      <c r="B1330" s="154" t="s">
        <v>2959</v>
      </c>
    </row>
    <row r="1331" spans="1:2" x14ac:dyDescent="0.2">
      <c r="A1331" s="153" t="s">
        <v>2962</v>
      </c>
      <c r="B1331" s="154" t="s">
        <v>2961</v>
      </c>
    </row>
    <row r="1332" spans="1:2" x14ac:dyDescent="0.2">
      <c r="A1332" s="153" t="s">
        <v>2964</v>
      </c>
      <c r="B1332" s="154" t="s">
        <v>2963</v>
      </c>
    </row>
    <row r="1333" spans="1:2" x14ac:dyDescent="0.2">
      <c r="A1333" s="153" t="s">
        <v>2966</v>
      </c>
      <c r="B1333" s="154" t="s">
        <v>2965</v>
      </c>
    </row>
    <row r="1334" spans="1:2" x14ac:dyDescent="0.2">
      <c r="A1334" s="153" t="s">
        <v>2968</v>
      </c>
      <c r="B1334" s="154" t="s">
        <v>2967</v>
      </c>
    </row>
    <row r="1335" spans="1:2" x14ac:dyDescent="0.2">
      <c r="A1335" s="153" t="s">
        <v>2970</v>
      </c>
      <c r="B1335" s="154" t="s">
        <v>2969</v>
      </c>
    </row>
    <row r="1336" spans="1:2" x14ac:dyDescent="0.2">
      <c r="A1336" s="153" t="s">
        <v>2972</v>
      </c>
      <c r="B1336" s="154" t="s">
        <v>2971</v>
      </c>
    </row>
    <row r="1337" spans="1:2" x14ac:dyDescent="0.2">
      <c r="A1337" s="153" t="s">
        <v>2974</v>
      </c>
      <c r="B1337" s="154" t="s">
        <v>2973</v>
      </c>
    </row>
    <row r="1338" spans="1:2" x14ac:dyDescent="0.2">
      <c r="A1338" s="153" t="s">
        <v>2976</v>
      </c>
      <c r="B1338" s="154" t="s">
        <v>2975</v>
      </c>
    </row>
    <row r="1339" spans="1:2" x14ac:dyDescent="0.2">
      <c r="A1339" s="153" t="s">
        <v>2978</v>
      </c>
      <c r="B1339" s="154" t="s">
        <v>2977</v>
      </c>
    </row>
    <row r="1340" spans="1:2" x14ac:dyDescent="0.2">
      <c r="A1340" s="153" t="s">
        <v>2980</v>
      </c>
      <c r="B1340" s="154" t="s">
        <v>2979</v>
      </c>
    </row>
    <row r="1341" spans="1:2" x14ac:dyDescent="0.2">
      <c r="A1341" s="153" t="s">
        <v>2982</v>
      </c>
      <c r="B1341" s="154" t="s">
        <v>2981</v>
      </c>
    </row>
    <row r="1342" spans="1:2" x14ac:dyDescent="0.2">
      <c r="A1342" s="153" t="s">
        <v>2984</v>
      </c>
      <c r="B1342" s="154" t="s">
        <v>2983</v>
      </c>
    </row>
    <row r="1343" spans="1:2" x14ac:dyDescent="0.2">
      <c r="A1343" s="153" t="s">
        <v>2986</v>
      </c>
      <c r="B1343" s="154" t="s">
        <v>2985</v>
      </c>
    </row>
    <row r="1344" spans="1:2" x14ac:dyDescent="0.2">
      <c r="A1344" s="153" t="s">
        <v>2988</v>
      </c>
      <c r="B1344" s="154" t="s">
        <v>2987</v>
      </c>
    </row>
    <row r="1345" spans="1:2" x14ac:dyDescent="0.2">
      <c r="A1345" s="153" t="s">
        <v>2990</v>
      </c>
      <c r="B1345" s="154" t="s">
        <v>2989</v>
      </c>
    </row>
    <row r="1346" spans="1:2" x14ac:dyDescent="0.2">
      <c r="A1346" s="153" t="s">
        <v>2992</v>
      </c>
      <c r="B1346" s="154" t="s">
        <v>2991</v>
      </c>
    </row>
    <row r="1347" spans="1:2" x14ac:dyDescent="0.2">
      <c r="A1347" s="153" t="s">
        <v>2994</v>
      </c>
      <c r="B1347" s="154" t="s">
        <v>2993</v>
      </c>
    </row>
    <row r="1348" spans="1:2" x14ac:dyDescent="0.2">
      <c r="A1348" s="153" t="s">
        <v>2996</v>
      </c>
      <c r="B1348" s="154" t="s">
        <v>2995</v>
      </c>
    </row>
    <row r="1349" spans="1:2" x14ac:dyDescent="0.2">
      <c r="A1349" s="153" t="s">
        <v>2998</v>
      </c>
      <c r="B1349" s="154" t="s">
        <v>2997</v>
      </c>
    </row>
    <row r="1350" spans="1:2" x14ac:dyDescent="0.2">
      <c r="A1350" s="153" t="s">
        <v>3000</v>
      </c>
      <c r="B1350" s="154" t="s">
        <v>2999</v>
      </c>
    </row>
    <row r="1351" spans="1:2" x14ac:dyDescent="0.2">
      <c r="A1351" s="153" t="s">
        <v>3002</v>
      </c>
      <c r="B1351" s="154" t="s">
        <v>3001</v>
      </c>
    </row>
    <row r="1352" spans="1:2" x14ac:dyDescent="0.2">
      <c r="A1352" s="153" t="s">
        <v>3004</v>
      </c>
      <c r="B1352" s="154" t="s">
        <v>3003</v>
      </c>
    </row>
    <row r="1353" spans="1:2" x14ac:dyDescent="0.2">
      <c r="A1353" s="153" t="s">
        <v>3006</v>
      </c>
      <c r="B1353" s="154" t="s">
        <v>3005</v>
      </c>
    </row>
    <row r="1354" spans="1:2" x14ac:dyDescent="0.2">
      <c r="A1354" s="153" t="s">
        <v>3008</v>
      </c>
      <c r="B1354" s="154" t="s">
        <v>3007</v>
      </c>
    </row>
    <row r="1355" spans="1:2" x14ac:dyDescent="0.2">
      <c r="A1355" s="153" t="s">
        <v>3010</v>
      </c>
      <c r="B1355" s="154" t="s">
        <v>3009</v>
      </c>
    </row>
    <row r="1356" spans="1:2" x14ac:dyDescent="0.2">
      <c r="A1356" s="153" t="s">
        <v>3012</v>
      </c>
      <c r="B1356" s="154" t="s">
        <v>3011</v>
      </c>
    </row>
    <row r="1357" spans="1:2" x14ac:dyDescent="0.2">
      <c r="A1357" s="153" t="s">
        <v>3014</v>
      </c>
      <c r="B1357" s="154" t="s">
        <v>3013</v>
      </c>
    </row>
    <row r="1358" spans="1:2" x14ac:dyDescent="0.2">
      <c r="A1358" s="153" t="s">
        <v>3016</v>
      </c>
      <c r="B1358" s="154" t="s">
        <v>3015</v>
      </c>
    </row>
    <row r="1359" spans="1:2" x14ac:dyDescent="0.2">
      <c r="A1359" s="153" t="s">
        <v>3018</v>
      </c>
      <c r="B1359" s="154" t="s">
        <v>3017</v>
      </c>
    </row>
    <row r="1360" spans="1:2" x14ac:dyDescent="0.2">
      <c r="A1360" s="153" t="s">
        <v>3020</v>
      </c>
      <c r="B1360" s="154" t="s">
        <v>3019</v>
      </c>
    </row>
    <row r="1361" spans="1:2" x14ac:dyDescent="0.2">
      <c r="A1361" s="153" t="s">
        <v>3022</v>
      </c>
      <c r="B1361" s="154" t="s">
        <v>3021</v>
      </c>
    </row>
    <row r="1362" spans="1:2" x14ac:dyDescent="0.2">
      <c r="A1362" s="153" t="s">
        <v>3024</v>
      </c>
      <c r="B1362" s="154" t="s">
        <v>3023</v>
      </c>
    </row>
    <row r="1363" spans="1:2" x14ac:dyDescent="0.2">
      <c r="A1363" s="153" t="s">
        <v>3026</v>
      </c>
      <c r="B1363" s="154" t="s">
        <v>3025</v>
      </c>
    </row>
    <row r="1364" spans="1:2" x14ac:dyDescent="0.2">
      <c r="A1364" s="153" t="s">
        <v>3028</v>
      </c>
      <c r="B1364" s="154" t="s">
        <v>3027</v>
      </c>
    </row>
    <row r="1365" spans="1:2" x14ac:dyDescent="0.2">
      <c r="A1365" s="153" t="s">
        <v>3030</v>
      </c>
      <c r="B1365" s="154" t="s">
        <v>3029</v>
      </c>
    </row>
    <row r="1366" spans="1:2" ht="28.5" x14ac:dyDescent="0.2">
      <c r="A1366" s="153" t="s">
        <v>3032</v>
      </c>
      <c r="B1366" s="154" t="s">
        <v>3031</v>
      </c>
    </row>
    <row r="1367" spans="1:2" x14ac:dyDescent="0.2">
      <c r="A1367" s="153" t="s">
        <v>3034</v>
      </c>
      <c r="B1367" s="154" t="s">
        <v>3033</v>
      </c>
    </row>
    <row r="1368" spans="1:2" x14ac:dyDescent="0.2">
      <c r="A1368" s="153" t="s">
        <v>3036</v>
      </c>
      <c r="B1368" s="154" t="s">
        <v>3035</v>
      </c>
    </row>
    <row r="1369" spans="1:2" x14ac:dyDescent="0.2">
      <c r="A1369" s="153" t="s">
        <v>3038</v>
      </c>
      <c r="B1369" s="154" t="s">
        <v>3037</v>
      </c>
    </row>
    <row r="1370" spans="1:2" x14ac:dyDescent="0.2">
      <c r="A1370" s="153" t="s">
        <v>3040</v>
      </c>
      <c r="B1370" s="154" t="s">
        <v>3039</v>
      </c>
    </row>
    <row r="1371" spans="1:2" x14ac:dyDescent="0.2">
      <c r="A1371" s="153" t="s">
        <v>3042</v>
      </c>
      <c r="B1371" s="154" t="s">
        <v>3041</v>
      </c>
    </row>
    <row r="1372" spans="1:2" x14ac:dyDescent="0.2">
      <c r="A1372" s="153" t="s">
        <v>3044</v>
      </c>
      <c r="B1372" s="154" t="s">
        <v>3043</v>
      </c>
    </row>
    <row r="1373" spans="1:2" x14ac:dyDescent="0.2">
      <c r="A1373" s="153" t="s">
        <v>3046</v>
      </c>
      <c r="B1373" s="154" t="s">
        <v>3045</v>
      </c>
    </row>
    <row r="1374" spans="1:2" x14ac:dyDescent="0.2">
      <c r="A1374" s="153" t="s">
        <v>3048</v>
      </c>
      <c r="B1374" s="154" t="s">
        <v>3047</v>
      </c>
    </row>
    <row r="1375" spans="1:2" x14ac:dyDescent="0.2">
      <c r="A1375" s="153" t="s">
        <v>3050</v>
      </c>
      <c r="B1375" s="154" t="s">
        <v>3049</v>
      </c>
    </row>
    <row r="1376" spans="1:2" x14ac:dyDescent="0.2">
      <c r="A1376" s="153" t="s">
        <v>3052</v>
      </c>
      <c r="B1376" s="154" t="s">
        <v>3051</v>
      </c>
    </row>
    <row r="1377" spans="1:2" x14ac:dyDescent="0.2">
      <c r="A1377" s="153" t="s">
        <v>3054</v>
      </c>
      <c r="B1377" s="154" t="s">
        <v>3053</v>
      </c>
    </row>
    <row r="1378" spans="1:2" ht="28.5" x14ac:dyDescent="0.2">
      <c r="A1378" s="153" t="s">
        <v>3056</v>
      </c>
      <c r="B1378" s="154" t="s">
        <v>3055</v>
      </c>
    </row>
    <row r="1379" spans="1:2" ht="28.5" x14ac:dyDescent="0.2">
      <c r="A1379" s="153" t="s">
        <v>3058</v>
      </c>
      <c r="B1379" s="154" t="s">
        <v>3057</v>
      </c>
    </row>
    <row r="1380" spans="1:2" ht="28.5" x14ac:dyDescent="0.2">
      <c r="A1380" s="153" t="s">
        <v>3060</v>
      </c>
      <c r="B1380" s="154" t="s">
        <v>3059</v>
      </c>
    </row>
    <row r="1381" spans="1:2" x14ac:dyDescent="0.2">
      <c r="A1381" s="153" t="s">
        <v>3062</v>
      </c>
      <c r="B1381" s="154" t="s">
        <v>3061</v>
      </c>
    </row>
    <row r="1382" spans="1:2" ht="28.5" x14ac:dyDescent="0.2">
      <c r="A1382" s="153" t="s">
        <v>3064</v>
      </c>
      <c r="B1382" s="154" t="s">
        <v>3063</v>
      </c>
    </row>
    <row r="1383" spans="1:2" x14ac:dyDescent="0.2">
      <c r="A1383" s="153" t="s">
        <v>3066</v>
      </c>
      <c r="B1383" s="154" t="s">
        <v>3065</v>
      </c>
    </row>
    <row r="1384" spans="1:2" x14ac:dyDescent="0.2">
      <c r="A1384" s="153" t="s">
        <v>3068</v>
      </c>
      <c r="B1384" s="154" t="s">
        <v>3067</v>
      </c>
    </row>
    <row r="1385" spans="1:2" x14ac:dyDescent="0.2">
      <c r="A1385" s="153" t="s">
        <v>3070</v>
      </c>
      <c r="B1385" s="154" t="s">
        <v>3069</v>
      </c>
    </row>
    <row r="1386" spans="1:2" x14ac:dyDescent="0.2">
      <c r="A1386" s="153" t="s">
        <v>3072</v>
      </c>
      <c r="B1386" s="154" t="s">
        <v>3071</v>
      </c>
    </row>
    <row r="1387" spans="1:2" x14ac:dyDescent="0.2">
      <c r="A1387" s="153" t="s">
        <v>3074</v>
      </c>
      <c r="B1387" s="154" t="s">
        <v>3073</v>
      </c>
    </row>
    <row r="1388" spans="1:2" x14ac:dyDescent="0.2">
      <c r="A1388" s="153" t="s">
        <v>3076</v>
      </c>
      <c r="B1388" s="154" t="s">
        <v>3075</v>
      </c>
    </row>
    <row r="1389" spans="1:2" x14ac:dyDescent="0.2">
      <c r="A1389" s="153" t="s">
        <v>3078</v>
      </c>
      <c r="B1389" s="154" t="s">
        <v>3077</v>
      </c>
    </row>
    <row r="1390" spans="1:2" x14ac:dyDescent="0.2">
      <c r="A1390" s="153" t="s">
        <v>3080</v>
      </c>
      <c r="B1390" s="154" t="s">
        <v>3079</v>
      </c>
    </row>
    <row r="1391" spans="1:2" x14ac:dyDescent="0.2">
      <c r="A1391" s="153" t="s">
        <v>3082</v>
      </c>
      <c r="B1391" s="154" t="s">
        <v>3081</v>
      </c>
    </row>
    <row r="1392" spans="1:2" x14ac:dyDescent="0.2">
      <c r="A1392" s="153" t="s">
        <v>3084</v>
      </c>
      <c r="B1392" s="154" t="s">
        <v>3083</v>
      </c>
    </row>
    <row r="1393" spans="1:2" x14ac:dyDescent="0.2">
      <c r="A1393" s="153" t="s">
        <v>3086</v>
      </c>
      <c r="B1393" s="154" t="s">
        <v>3085</v>
      </c>
    </row>
    <row r="1394" spans="1:2" x14ac:dyDescent="0.2">
      <c r="A1394" s="153" t="s">
        <v>3088</v>
      </c>
      <c r="B1394" s="154" t="s">
        <v>3087</v>
      </c>
    </row>
    <row r="1395" spans="1:2" x14ac:dyDescent="0.2">
      <c r="A1395" s="153" t="s">
        <v>3090</v>
      </c>
      <c r="B1395" s="154" t="s">
        <v>3089</v>
      </c>
    </row>
    <row r="1396" spans="1:2" x14ac:dyDescent="0.2">
      <c r="A1396" s="153" t="s">
        <v>3092</v>
      </c>
      <c r="B1396" s="154" t="s">
        <v>3091</v>
      </c>
    </row>
    <row r="1397" spans="1:2" x14ac:dyDescent="0.2">
      <c r="A1397" s="153" t="s">
        <v>3094</v>
      </c>
      <c r="B1397" s="154" t="s">
        <v>3093</v>
      </c>
    </row>
    <row r="1398" spans="1:2" x14ac:dyDescent="0.2">
      <c r="A1398" s="153" t="s">
        <v>3096</v>
      </c>
      <c r="B1398" s="154" t="s">
        <v>3095</v>
      </c>
    </row>
    <row r="1399" spans="1:2" x14ac:dyDescent="0.2">
      <c r="A1399" s="153" t="s">
        <v>3098</v>
      </c>
      <c r="B1399" s="154" t="s">
        <v>3097</v>
      </c>
    </row>
    <row r="1400" spans="1:2" x14ac:dyDescent="0.2">
      <c r="A1400" s="153" t="s">
        <v>3100</v>
      </c>
      <c r="B1400" s="154" t="s">
        <v>3099</v>
      </c>
    </row>
    <row r="1401" spans="1:2" x14ac:dyDescent="0.2">
      <c r="A1401" s="153" t="s">
        <v>3102</v>
      </c>
      <c r="B1401" s="154" t="s">
        <v>3101</v>
      </c>
    </row>
    <row r="1402" spans="1:2" x14ac:dyDescent="0.2">
      <c r="A1402" s="153" t="s">
        <v>3104</v>
      </c>
      <c r="B1402" s="154" t="s">
        <v>3103</v>
      </c>
    </row>
    <row r="1403" spans="1:2" x14ac:dyDescent="0.2">
      <c r="A1403" s="153" t="s">
        <v>3106</v>
      </c>
      <c r="B1403" s="154" t="s">
        <v>3105</v>
      </c>
    </row>
    <row r="1404" spans="1:2" x14ac:dyDescent="0.2">
      <c r="A1404" s="153" t="s">
        <v>3108</v>
      </c>
      <c r="B1404" s="154" t="s">
        <v>3107</v>
      </c>
    </row>
    <row r="1405" spans="1:2" x14ac:dyDescent="0.2">
      <c r="A1405" s="153" t="s">
        <v>3110</v>
      </c>
      <c r="B1405" s="154" t="s">
        <v>3109</v>
      </c>
    </row>
    <row r="1406" spans="1:2" x14ac:dyDescent="0.2">
      <c r="A1406" s="153" t="s">
        <v>3112</v>
      </c>
      <c r="B1406" s="154" t="s">
        <v>3111</v>
      </c>
    </row>
    <row r="1407" spans="1:2" x14ac:dyDescent="0.2">
      <c r="A1407" s="153" t="s">
        <v>3114</v>
      </c>
      <c r="B1407" s="154" t="s">
        <v>3113</v>
      </c>
    </row>
    <row r="1408" spans="1:2" x14ac:dyDescent="0.2">
      <c r="A1408" s="153" t="s">
        <v>3116</v>
      </c>
      <c r="B1408" s="154" t="s">
        <v>3115</v>
      </c>
    </row>
    <row r="1409" spans="1:2" x14ac:dyDescent="0.2">
      <c r="A1409" s="153" t="s">
        <v>3118</v>
      </c>
      <c r="B1409" s="154" t="s">
        <v>3117</v>
      </c>
    </row>
    <row r="1410" spans="1:2" x14ac:dyDescent="0.2">
      <c r="A1410" s="153" t="s">
        <v>3120</v>
      </c>
      <c r="B1410" s="154" t="s">
        <v>3119</v>
      </c>
    </row>
    <row r="1411" spans="1:2" x14ac:dyDescent="0.2">
      <c r="A1411" s="153" t="s">
        <v>3122</v>
      </c>
      <c r="B1411" s="154" t="s">
        <v>3121</v>
      </c>
    </row>
    <row r="1412" spans="1:2" x14ac:dyDescent="0.2">
      <c r="A1412" s="153" t="s">
        <v>3124</v>
      </c>
      <c r="B1412" s="154" t="s">
        <v>3123</v>
      </c>
    </row>
    <row r="1413" spans="1:2" x14ac:dyDescent="0.2">
      <c r="A1413" s="153" t="s">
        <v>9450</v>
      </c>
      <c r="B1413" s="154" t="s">
        <v>3125</v>
      </c>
    </row>
    <row r="1414" spans="1:2" ht="28.5" x14ac:dyDescent="0.2">
      <c r="A1414" s="153" t="s">
        <v>9451</v>
      </c>
      <c r="B1414" s="154" t="s">
        <v>3126</v>
      </c>
    </row>
    <row r="1415" spans="1:2" ht="28.5" x14ac:dyDescent="0.2">
      <c r="A1415" s="153" t="s">
        <v>3128</v>
      </c>
      <c r="B1415" s="154" t="s">
        <v>3127</v>
      </c>
    </row>
    <row r="1416" spans="1:2" x14ac:dyDescent="0.2">
      <c r="A1416" s="153" t="s">
        <v>3130</v>
      </c>
      <c r="B1416" s="154" t="s">
        <v>3129</v>
      </c>
    </row>
    <row r="1417" spans="1:2" x14ac:dyDescent="0.2">
      <c r="A1417" s="153" t="s">
        <v>3132</v>
      </c>
      <c r="B1417" s="154" t="s">
        <v>3131</v>
      </c>
    </row>
    <row r="1418" spans="1:2" x14ac:dyDescent="0.2">
      <c r="A1418" s="153" t="s">
        <v>3134</v>
      </c>
      <c r="B1418" s="154" t="s">
        <v>3133</v>
      </c>
    </row>
    <row r="1419" spans="1:2" x14ac:dyDescent="0.2">
      <c r="A1419" s="153" t="s">
        <v>3136</v>
      </c>
      <c r="B1419" s="154" t="s">
        <v>3135</v>
      </c>
    </row>
    <row r="1420" spans="1:2" x14ac:dyDescent="0.2">
      <c r="A1420" s="153" t="s">
        <v>3138</v>
      </c>
      <c r="B1420" s="154" t="s">
        <v>3137</v>
      </c>
    </row>
    <row r="1421" spans="1:2" x14ac:dyDescent="0.2">
      <c r="A1421" s="153" t="s">
        <v>3140</v>
      </c>
      <c r="B1421" s="154" t="s">
        <v>3139</v>
      </c>
    </row>
    <row r="1422" spans="1:2" x14ac:dyDescent="0.2">
      <c r="A1422" s="153" t="s">
        <v>3142</v>
      </c>
      <c r="B1422" s="154" t="s">
        <v>3141</v>
      </c>
    </row>
    <row r="1423" spans="1:2" x14ac:dyDescent="0.2">
      <c r="A1423" s="153" t="s">
        <v>3144</v>
      </c>
      <c r="B1423" s="154" t="s">
        <v>3143</v>
      </c>
    </row>
    <row r="1424" spans="1:2" x14ac:dyDescent="0.2">
      <c r="A1424" s="153" t="s">
        <v>3146</v>
      </c>
      <c r="B1424" s="154" t="s">
        <v>3145</v>
      </c>
    </row>
    <row r="1425" spans="1:2" x14ac:dyDescent="0.2">
      <c r="A1425" s="153" t="s">
        <v>3148</v>
      </c>
      <c r="B1425" s="154" t="s">
        <v>3147</v>
      </c>
    </row>
    <row r="1426" spans="1:2" x14ac:dyDescent="0.2">
      <c r="A1426" s="153" t="s">
        <v>1065</v>
      </c>
      <c r="B1426" s="154" t="s">
        <v>3149</v>
      </c>
    </row>
    <row r="1427" spans="1:2" x14ac:dyDescent="0.2">
      <c r="A1427" s="153" t="s">
        <v>3151</v>
      </c>
      <c r="B1427" s="154" t="s">
        <v>3150</v>
      </c>
    </row>
    <row r="1428" spans="1:2" x14ac:dyDescent="0.2">
      <c r="A1428" s="153" t="s">
        <v>3153</v>
      </c>
      <c r="B1428" s="154" t="s">
        <v>3152</v>
      </c>
    </row>
    <row r="1429" spans="1:2" x14ac:dyDescent="0.2">
      <c r="A1429" s="153" t="s">
        <v>3155</v>
      </c>
      <c r="B1429" s="154" t="s">
        <v>3154</v>
      </c>
    </row>
    <row r="1430" spans="1:2" x14ac:dyDescent="0.2">
      <c r="A1430" s="153" t="s">
        <v>3157</v>
      </c>
      <c r="B1430" s="154" t="s">
        <v>3156</v>
      </c>
    </row>
    <row r="1431" spans="1:2" x14ac:dyDescent="0.2">
      <c r="A1431" s="153" t="s">
        <v>3159</v>
      </c>
      <c r="B1431" s="154" t="s">
        <v>3158</v>
      </c>
    </row>
    <row r="1432" spans="1:2" x14ac:dyDescent="0.2">
      <c r="A1432" s="153" t="s">
        <v>3161</v>
      </c>
      <c r="B1432" s="154" t="s">
        <v>3160</v>
      </c>
    </row>
    <row r="1433" spans="1:2" x14ac:dyDescent="0.2">
      <c r="A1433" s="153" t="s">
        <v>1065</v>
      </c>
      <c r="B1433" s="154" t="s">
        <v>9887</v>
      </c>
    </row>
    <row r="1434" spans="1:2" x14ac:dyDescent="0.2">
      <c r="A1434" s="153" t="s">
        <v>1065</v>
      </c>
      <c r="B1434" s="154" t="s">
        <v>3162</v>
      </c>
    </row>
    <row r="1435" spans="1:2" x14ac:dyDescent="0.2">
      <c r="A1435" s="153" t="s">
        <v>1065</v>
      </c>
      <c r="B1435" s="154" t="s">
        <v>3163</v>
      </c>
    </row>
    <row r="1436" spans="1:2" x14ac:dyDescent="0.2">
      <c r="A1436" s="153" t="s">
        <v>1065</v>
      </c>
      <c r="B1436" s="154" t="s">
        <v>3164</v>
      </c>
    </row>
    <row r="1437" spans="1:2" x14ac:dyDescent="0.2">
      <c r="A1437" s="153" t="s">
        <v>3166</v>
      </c>
      <c r="B1437" s="154" t="s">
        <v>3165</v>
      </c>
    </row>
    <row r="1438" spans="1:2" x14ac:dyDescent="0.2">
      <c r="A1438" s="153" t="s">
        <v>3168</v>
      </c>
      <c r="B1438" s="154" t="s">
        <v>3167</v>
      </c>
    </row>
    <row r="1439" spans="1:2" x14ac:dyDescent="0.2">
      <c r="A1439" s="153" t="s">
        <v>3170</v>
      </c>
      <c r="B1439" s="154" t="s">
        <v>3169</v>
      </c>
    </row>
    <row r="1440" spans="1:2" x14ac:dyDescent="0.2">
      <c r="A1440" s="153" t="s">
        <v>3172</v>
      </c>
      <c r="B1440" s="154" t="s">
        <v>3171</v>
      </c>
    </row>
    <row r="1441" spans="1:2" x14ac:dyDescent="0.2">
      <c r="A1441" s="153" t="s">
        <v>3174</v>
      </c>
      <c r="B1441" s="154" t="s">
        <v>3173</v>
      </c>
    </row>
    <row r="1442" spans="1:2" x14ac:dyDescent="0.2">
      <c r="A1442" s="153" t="s">
        <v>3176</v>
      </c>
      <c r="B1442" s="154" t="s">
        <v>3175</v>
      </c>
    </row>
    <row r="1443" spans="1:2" x14ac:dyDescent="0.2">
      <c r="A1443" s="153" t="s">
        <v>3178</v>
      </c>
      <c r="B1443" s="154" t="s">
        <v>3177</v>
      </c>
    </row>
    <row r="1444" spans="1:2" x14ac:dyDescent="0.2">
      <c r="A1444" s="153" t="s">
        <v>3180</v>
      </c>
      <c r="B1444" s="154" t="s">
        <v>3179</v>
      </c>
    </row>
    <row r="1445" spans="1:2" x14ac:dyDescent="0.2">
      <c r="A1445" s="153" t="s">
        <v>3182</v>
      </c>
      <c r="B1445" s="154" t="s">
        <v>3181</v>
      </c>
    </row>
    <row r="1446" spans="1:2" x14ac:dyDescent="0.2">
      <c r="A1446" s="153" t="s">
        <v>3184</v>
      </c>
      <c r="B1446" s="154" t="s">
        <v>3183</v>
      </c>
    </row>
    <row r="1447" spans="1:2" x14ac:dyDescent="0.2">
      <c r="A1447" s="153" t="s">
        <v>3186</v>
      </c>
      <c r="B1447" s="154" t="s">
        <v>3185</v>
      </c>
    </row>
    <row r="1448" spans="1:2" x14ac:dyDescent="0.2">
      <c r="A1448" s="153" t="s">
        <v>3188</v>
      </c>
      <c r="B1448" s="154" t="s">
        <v>3187</v>
      </c>
    </row>
    <row r="1449" spans="1:2" x14ac:dyDescent="0.2">
      <c r="A1449" s="153" t="s">
        <v>3190</v>
      </c>
      <c r="B1449" s="154" t="s">
        <v>3189</v>
      </c>
    </row>
    <row r="1450" spans="1:2" x14ac:dyDescent="0.2">
      <c r="A1450" s="153" t="s">
        <v>3192</v>
      </c>
      <c r="B1450" s="154" t="s">
        <v>3191</v>
      </c>
    </row>
    <row r="1451" spans="1:2" x14ac:dyDescent="0.2">
      <c r="A1451" s="153" t="s">
        <v>3194</v>
      </c>
      <c r="B1451" s="154" t="s">
        <v>3193</v>
      </c>
    </row>
    <row r="1452" spans="1:2" x14ac:dyDescent="0.2">
      <c r="A1452" s="153" t="s">
        <v>3196</v>
      </c>
      <c r="B1452" s="154" t="s">
        <v>3195</v>
      </c>
    </row>
    <row r="1453" spans="1:2" x14ac:dyDescent="0.2">
      <c r="A1453" s="153" t="s">
        <v>3198</v>
      </c>
      <c r="B1453" s="154" t="s">
        <v>3197</v>
      </c>
    </row>
    <row r="1454" spans="1:2" x14ac:dyDescent="0.2">
      <c r="A1454" s="153" t="s">
        <v>3200</v>
      </c>
      <c r="B1454" s="154" t="s">
        <v>3199</v>
      </c>
    </row>
    <row r="1455" spans="1:2" x14ac:dyDescent="0.2">
      <c r="A1455" s="153" t="s">
        <v>3202</v>
      </c>
      <c r="B1455" s="154" t="s">
        <v>3201</v>
      </c>
    </row>
    <row r="1456" spans="1:2" x14ac:dyDescent="0.2">
      <c r="A1456" s="153" t="s">
        <v>3204</v>
      </c>
      <c r="B1456" s="154" t="s">
        <v>3203</v>
      </c>
    </row>
    <row r="1457" spans="1:2" x14ac:dyDescent="0.2">
      <c r="A1457" s="153" t="s">
        <v>3206</v>
      </c>
      <c r="B1457" s="154" t="s">
        <v>3205</v>
      </c>
    </row>
    <row r="1458" spans="1:2" x14ac:dyDescent="0.2">
      <c r="A1458" s="153" t="s">
        <v>3208</v>
      </c>
      <c r="B1458" s="154" t="s">
        <v>3207</v>
      </c>
    </row>
    <row r="1459" spans="1:2" x14ac:dyDescent="0.2">
      <c r="A1459" s="153" t="s">
        <v>3210</v>
      </c>
      <c r="B1459" s="154" t="s">
        <v>3209</v>
      </c>
    </row>
    <row r="1460" spans="1:2" x14ac:dyDescent="0.2">
      <c r="A1460" s="153" t="s">
        <v>3212</v>
      </c>
      <c r="B1460" s="154" t="s">
        <v>3211</v>
      </c>
    </row>
    <row r="1461" spans="1:2" x14ac:dyDescent="0.2">
      <c r="A1461" s="153" t="s">
        <v>3214</v>
      </c>
      <c r="B1461" s="154" t="s">
        <v>3213</v>
      </c>
    </row>
    <row r="1462" spans="1:2" x14ac:dyDescent="0.2">
      <c r="A1462" s="153" t="s">
        <v>3216</v>
      </c>
      <c r="B1462" s="154" t="s">
        <v>3215</v>
      </c>
    </row>
    <row r="1463" spans="1:2" x14ac:dyDescent="0.2">
      <c r="A1463" s="153" t="s">
        <v>3218</v>
      </c>
      <c r="B1463" s="154" t="s">
        <v>3217</v>
      </c>
    </row>
    <row r="1464" spans="1:2" x14ac:dyDescent="0.2">
      <c r="A1464" s="153" t="s">
        <v>3220</v>
      </c>
      <c r="B1464" s="154" t="s">
        <v>3219</v>
      </c>
    </row>
    <row r="1465" spans="1:2" x14ac:dyDescent="0.2">
      <c r="A1465" s="153" t="s">
        <v>3222</v>
      </c>
      <c r="B1465" s="154" t="s">
        <v>3221</v>
      </c>
    </row>
    <row r="1466" spans="1:2" x14ac:dyDescent="0.2">
      <c r="A1466" s="153" t="s">
        <v>3224</v>
      </c>
      <c r="B1466" s="154" t="s">
        <v>3223</v>
      </c>
    </row>
    <row r="1467" spans="1:2" x14ac:dyDescent="0.2">
      <c r="A1467" s="153" t="s">
        <v>3226</v>
      </c>
      <c r="B1467" s="154" t="s">
        <v>3225</v>
      </c>
    </row>
    <row r="1468" spans="1:2" x14ac:dyDescent="0.2">
      <c r="A1468" s="153" t="s">
        <v>3228</v>
      </c>
      <c r="B1468" s="154" t="s">
        <v>3227</v>
      </c>
    </row>
    <row r="1469" spans="1:2" x14ac:dyDescent="0.2">
      <c r="A1469" s="153" t="s">
        <v>3230</v>
      </c>
      <c r="B1469" s="154" t="s">
        <v>3229</v>
      </c>
    </row>
    <row r="1470" spans="1:2" x14ac:dyDescent="0.2">
      <c r="A1470" s="153" t="s">
        <v>3232</v>
      </c>
      <c r="B1470" s="154" t="s">
        <v>3231</v>
      </c>
    </row>
    <row r="1471" spans="1:2" x14ac:dyDescent="0.2">
      <c r="A1471" s="153" t="s">
        <v>3234</v>
      </c>
      <c r="B1471" s="154" t="s">
        <v>3233</v>
      </c>
    </row>
    <row r="1472" spans="1:2" x14ac:dyDescent="0.2">
      <c r="A1472" s="153" t="s">
        <v>3236</v>
      </c>
      <c r="B1472" s="154" t="s">
        <v>3235</v>
      </c>
    </row>
    <row r="1473" spans="1:2" x14ac:dyDescent="0.2">
      <c r="A1473" s="153" t="s">
        <v>3238</v>
      </c>
      <c r="B1473" s="154" t="s">
        <v>3237</v>
      </c>
    </row>
    <row r="1474" spans="1:2" x14ac:dyDescent="0.2">
      <c r="A1474" s="153" t="s">
        <v>1065</v>
      </c>
      <c r="B1474" s="154" t="s">
        <v>3239</v>
      </c>
    </row>
    <row r="1475" spans="1:2" x14ac:dyDescent="0.2">
      <c r="A1475" s="153" t="s">
        <v>3241</v>
      </c>
      <c r="B1475" s="154" t="s">
        <v>3240</v>
      </c>
    </row>
    <row r="1476" spans="1:2" x14ac:dyDescent="0.2">
      <c r="A1476" s="153" t="s">
        <v>1065</v>
      </c>
      <c r="B1476" s="154" t="s">
        <v>3242</v>
      </c>
    </row>
    <row r="1477" spans="1:2" x14ac:dyDescent="0.2">
      <c r="A1477" s="153" t="s">
        <v>1065</v>
      </c>
      <c r="B1477" s="154" t="s">
        <v>3243</v>
      </c>
    </row>
    <row r="1478" spans="1:2" x14ac:dyDescent="0.2">
      <c r="A1478" s="153" t="s">
        <v>1065</v>
      </c>
      <c r="B1478" s="154" t="s">
        <v>3244</v>
      </c>
    </row>
    <row r="1479" spans="1:2" x14ac:dyDescent="0.2">
      <c r="A1479" s="153" t="s">
        <v>3246</v>
      </c>
      <c r="B1479" s="154" t="s">
        <v>3245</v>
      </c>
    </row>
    <row r="1480" spans="1:2" x14ac:dyDescent="0.2">
      <c r="A1480" s="153" t="s">
        <v>3248</v>
      </c>
      <c r="B1480" s="154" t="s">
        <v>3247</v>
      </c>
    </row>
    <row r="1481" spans="1:2" x14ac:dyDescent="0.2">
      <c r="A1481" s="153" t="s">
        <v>3250</v>
      </c>
      <c r="B1481" s="154" t="s">
        <v>3249</v>
      </c>
    </row>
    <row r="1482" spans="1:2" x14ac:dyDescent="0.2">
      <c r="A1482" s="153" t="s">
        <v>3252</v>
      </c>
      <c r="B1482" s="154" t="s">
        <v>3251</v>
      </c>
    </row>
    <row r="1483" spans="1:2" x14ac:dyDescent="0.2">
      <c r="A1483" s="153" t="s">
        <v>3254</v>
      </c>
      <c r="B1483" s="154" t="s">
        <v>3253</v>
      </c>
    </row>
    <row r="1484" spans="1:2" x14ac:dyDescent="0.2">
      <c r="A1484" s="153" t="s">
        <v>3256</v>
      </c>
      <c r="B1484" s="154" t="s">
        <v>3255</v>
      </c>
    </row>
    <row r="1485" spans="1:2" x14ac:dyDescent="0.2">
      <c r="A1485" s="153" t="s">
        <v>3258</v>
      </c>
      <c r="B1485" s="154" t="s">
        <v>3257</v>
      </c>
    </row>
    <row r="1486" spans="1:2" x14ac:dyDescent="0.2">
      <c r="A1486" s="153" t="s">
        <v>1065</v>
      </c>
      <c r="B1486" s="154" t="s">
        <v>3259</v>
      </c>
    </row>
    <row r="1487" spans="1:2" x14ac:dyDescent="0.2">
      <c r="A1487" s="153" t="s">
        <v>1065</v>
      </c>
      <c r="B1487" s="154" t="s">
        <v>3260</v>
      </c>
    </row>
    <row r="1488" spans="1:2" x14ac:dyDescent="0.2">
      <c r="A1488" s="153" t="s">
        <v>1065</v>
      </c>
      <c r="B1488" s="154" t="s">
        <v>3261</v>
      </c>
    </row>
    <row r="1489" spans="1:2" x14ac:dyDescent="0.2">
      <c r="A1489" s="153" t="s">
        <v>1065</v>
      </c>
      <c r="B1489" s="154" t="s">
        <v>3262</v>
      </c>
    </row>
    <row r="1490" spans="1:2" x14ac:dyDescent="0.2">
      <c r="A1490" s="153" t="s">
        <v>3264</v>
      </c>
      <c r="B1490" s="154" t="s">
        <v>3263</v>
      </c>
    </row>
    <row r="1491" spans="1:2" x14ac:dyDescent="0.2">
      <c r="A1491" s="153" t="s">
        <v>3266</v>
      </c>
      <c r="B1491" s="154" t="s">
        <v>3265</v>
      </c>
    </row>
    <row r="1492" spans="1:2" x14ac:dyDescent="0.2">
      <c r="A1492" s="153" t="s">
        <v>3268</v>
      </c>
      <c r="B1492" s="154" t="s">
        <v>3267</v>
      </c>
    </row>
    <row r="1493" spans="1:2" x14ac:dyDescent="0.2">
      <c r="A1493" s="153" t="s">
        <v>9842</v>
      </c>
      <c r="B1493" s="154" t="s">
        <v>3269</v>
      </c>
    </row>
    <row r="1494" spans="1:2" x14ac:dyDescent="0.2">
      <c r="A1494" s="153" t="s">
        <v>9843</v>
      </c>
      <c r="B1494" s="154" t="s">
        <v>3270</v>
      </c>
    </row>
    <row r="1495" spans="1:2" x14ac:dyDescent="0.2">
      <c r="A1495" s="153" t="s">
        <v>3272</v>
      </c>
      <c r="B1495" s="154" t="s">
        <v>3271</v>
      </c>
    </row>
    <row r="1496" spans="1:2" x14ac:dyDescent="0.2">
      <c r="A1496" s="153" t="s">
        <v>3274</v>
      </c>
      <c r="B1496" s="154" t="s">
        <v>3273</v>
      </c>
    </row>
    <row r="1497" spans="1:2" x14ac:dyDescent="0.2">
      <c r="A1497" s="153" t="s">
        <v>3276</v>
      </c>
      <c r="B1497" s="154" t="s">
        <v>3275</v>
      </c>
    </row>
    <row r="1498" spans="1:2" x14ac:dyDescent="0.2">
      <c r="A1498" s="153" t="s">
        <v>3278</v>
      </c>
      <c r="B1498" s="154" t="s">
        <v>3277</v>
      </c>
    </row>
    <row r="1499" spans="1:2" x14ac:dyDescent="0.2">
      <c r="A1499" s="153" t="s">
        <v>1065</v>
      </c>
      <c r="B1499" s="154" t="s">
        <v>3279</v>
      </c>
    </row>
    <row r="1500" spans="1:2" x14ac:dyDescent="0.2">
      <c r="A1500" s="153" t="s">
        <v>1065</v>
      </c>
      <c r="B1500" s="154" t="s">
        <v>9888</v>
      </c>
    </row>
    <row r="1501" spans="1:2" x14ac:dyDescent="0.2">
      <c r="A1501" s="153" t="s">
        <v>3281</v>
      </c>
      <c r="B1501" s="154" t="s">
        <v>3280</v>
      </c>
    </row>
    <row r="1502" spans="1:2" x14ac:dyDescent="0.2">
      <c r="A1502" s="153" t="s">
        <v>1065</v>
      </c>
      <c r="B1502" s="154" t="s">
        <v>3282</v>
      </c>
    </row>
    <row r="1503" spans="1:2" x14ac:dyDescent="0.2">
      <c r="A1503" s="153" t="s">
        <v>3284</v>
      </c>
      <c r="B1503" s="154" t="s">
        <v>3283</v>
      </c>
    </row>
    <row r="1504" spans="1:2" x14ac:dyDescent="0.2">
      <c r="A1504" s="153" t="s">
        <v>1065</v>
      </c>
      <c r="B1504" s="154" t="s">
        <v>3285</v>
      </c>
    </row>
    <row r="1505" spans="1:2" x14ac:dyDescent="0.2">
      <c r="A1505" s="153" t="s">
        <v>3287</v>
      </c>
      <c r="B1505" s="154" t="s">
        <v>3286</v>
      </c>
    </row>
    <row r="1506" spans="1:2" x14ac:dyDescent="0.2">
      <c r="A1506" s="153" t="s">
        <v>3289</v>
      </c>
      <c r="B1506" s="154" t="s">
        <v>3288</v>
      </c>
    </row>
    <row r="1507" spans="1:2" x14ac:dyDescent="0.2">
      <c r="A1507" s="153" t="s">
        <v>3291</v>
      </c>
      <c r="B1507" s="154" t="s">
        <v>3290</v>
      </c>
    </row>
    <row r="1508" spans="1:2" x14ac:dyDescent="0.2">
      <c r="A1508" s="153" t="s">
        <v>3293</v>
      </c>
      <c r="B1508" s="154" t="s">
        <v>3292</v>
      </c>
    </row>
    <row r="1509" spans="1:2" x14ac:dyDescent="0.2">
      <c r="A1509" s="153" t="s">
        <v>1065</v>
      </c>
      <c r="B1509" s="154" t="s">
        <v>9889</v>
      </c>
    </row>
    <row r="1510" spans="1:2" x14ac:dyDescent="0.2">
      <c r="A1510" s="153" t="s">
        <v>1065</v>
      </c>
      <c r="B1510" s="154" t="s">
        <v>9890</v>
      </c>
    </row>
    <row r="1511" spans="1:2" x14ac:dyDescent="0.2">
      <c r="A1511" s="153" t="s">
        <v>1065</v>
      </c>
      <c r="B1511" s="154" t="s">
        <v>9891</v>
      </c>
    </row>
    <row r="1512" spans="1:2" x14ac:dyDescent="0.2">
      <c r="A1512" s="153" t="s">
        <v>1065</v>
      </c>
      <c r="B1512" s="154" t="s">
        <v>9892</v>
      </c>
    </row>
    <row r="1513" spans="1:2" x14ac:dyDescent="0.2">
      <c r="A1513" s="153" t="s">
        <v>1065</v>
      </c>
      <c r="B1513" s="154" t="s">
        <v>3294</v>
      </c>
    </row>
    <row r="1514" spans="1:2" x14ac:dyDescent="0.2">
      <c r="A1514" s="153" t="s">
        <v>1065</v>
      </c>
      <c r="B1514" s="154" t="s">
        <v>3295</v>
      </c>
    </row>
    <row r="1515" spans="1:2" x14ac:dyDescent="0.2">
      <c r="A1515" s="153" t="s">
        <v>3297</v>
      </c>
      <c r="B1515" s="154" t="s">
        <v>3296</v>
      </c>
    </row>
    <row r="1516" spans="1:2" x14ac:dyDescent="0.2">
      <c r="A1516" s="153" t="s">
        <v>1065</v>
      </c>
      <c r="B1516" s="154" t="s">
        <v>3298</v>
      </c>
    </row>
    <row r="1517" spans="1:2" x14ac:dyDescent="0.2">
      <c r="A1517" s="153" t="s">
        <v>1065</v>
      </c>
      <c r="B1517" s="154" t="s">
        <v>3299</v>
      </c>
    </row>
    <row r="1518" spans="1:2" x14ac:dyDescent="0.2">
      <c r="A1518" s="153" t="s">
        <v>1065</v>
      </c>
      <c r="B1518" s="154" t="s">
        <v>3300</v>
      </c>
    </row>
    <row r="1519" spans="1:2" x14ac:dyDescent="0.2">
      <c r="A1519" s="153" t="s">
        <v>3302</v>
      </c>
      <c r="B1519" s="154" t="s">
        <v>3301</v>
      </c>
    </row>
    <row r="1520" spans="1:2" x14ac:dyDescent="0.2">
      <c r="A1520" s="153" t="s">
        <v>3304</v>
      </c>
      <c r="B1520" s="154" t="s">
        <v>3303</v>
      </c>
    </row>
    <row r="1521" spans="1:2" x14ac:dyDescent="0.2">
      <c r="A1521" s="153" t="s">
        <v>1065</v>
      </c>
      <c r="B1521" s="154" t="s">
        <v>3305</v>
      </c>
    </row>
    <row r="1522" spans="1:2" x14ac:dyDescent="0.2">
      <c r="A1522" s="153" t="s">
        <v>3307</v>
      </c>
      <c r="B1522" s="154" t="s">
        <v>3306</v>
      </c>
    </row>
    <row r="1523" spans="1:2" x14ac:dyDescent="0.2">
      <c r="A1523" s="153" t="s">
        <v>1065</v>
      </c>
      <c r="B1523" s="154" t="s">
        <v>3308</v>
      </c>
    </row>
    <row r="1524" spans="1:2" x14ac:dyDescent="0.2">
      <c r="A1524" s="153" t="s">
        <v>1065</v>
      </c>
      <c r="B1524" s="154" t="s">
        <v>3309</v>
      </c>
    </row>
    <row r="1525" spans="1:2" x14ac:dyDescent="0.2">
      <c r="A1525" s="153" t="s">
        <v>3311</v>
      </c>
      <c r="B1525" s="154" t="s">
        <v>3310</v>
      </c>
    </row>
    <row r="1526" spans="1:2" x14ac:dyDescent="0.2">
      <c r="A1526" s="153" t="s">
        <v>3313</v>
      </c>
      <c r="B1526" s="154" t="s">
        <v>3312</v>
      </c>
    </row>
    <row r="1527" spans="1:2" x14ac:dyDescent="0.2">
      <c r="A1527" s="153" t="s">
        <v>3315</v>
      </c>
      <c r="B1527" s="154" t="s">
        <v>3314</v>
      </c>
    </row>
    <row r="1528" spans="1:2" x14ac:dyDescent="0.2">
      <c r="A1528" s="153" t="s">
        <v>3317</v>
      </c>
      <c r="B1528" s="154" t="s">
        <v>3316</v>
      </c>
    </row>
    <row r="1529" spans="1:2" x14ac:dyDescent="0.2">
      <c r="A1529" s="153" t="s">
        <v>3319</v>
      </c>
      <c r="B1529" s="154" t="s">
        <v>3318</v>
      </c>
    </row>
    <row r="1530" spans="1:2" x14ac:dyDescent="0.2">
      <c r="A1530" s="153" t="s">
        <v>3321</v>
      </c>
      <c r="B1530" s="154" t="s">
        <v>3320</v>
      </c>
    </row>
    <row r="1531" spans="1:2" x14ac:dyDescent="0.2">
      <c r="A1531" s="153" t="s">
        <v>3323</v>
      </c>
      <c r="B1531" s="154" t="s">
        <v>3322</v>
      </c>
    </row>
    <row r="1532" spans="1:2" x14ac:dyDescent="0.2">
      <c r="A1532" s="153" t="s">
        <v>3325</v>
      </c>
      <c r="B1532" s="154" t="s">
        <v>3324</v>
      </c>
    </row>
    <row r="1533" spans="1:2" x14ac:dyDescent="0.2">
      <c r="A1533" s="153" t="s">
        <v>3327</v>
      </c>
      <c r="B1533" s="154" t="s">
        <v>3326</v>
      </c>
    </row>
    <row r="1534" spans="1:2" x14ac:dyDescent="0.2">
      <c r="A1534" s="153" t="s">
        <v>3329</v>
      </c>
      <c r="B1534" s="154" t="s">
        <v>3328</v>
      </c>
    </row>
    <row r="1535" spans="1:2" x14ac:dyDescent="0.2">
      <c r="A1535" s="153" t="s">
        <v>3331</v>
      </c>
      <c r="B1535" s="154" t="s">
        <v>3330</v>
      </c>
    </row>
    <row r="1536" spans="1:2" x14ac:dyDescent="0.2">
      <c r="A1536" s="153" t="s">
        <v>3333</v>
      </c>
      <c r="B1536" s="154" t="s">
        <v>3332</v>
      </c>
    </row>
    <row r="1537" spans="1:2" x14ac:dyDescent="0.2">
      <c r="A1537" s="153" t="s">
        <v>3335</v>
      </c>
      <c r="B1537" s="154" t="s">
        <v>3334</v>
      </c>
    </row>
    <row r="1538" spans="1:2" x14ac:dyDescent="0.2">
      <c r="A1538" s="153" t="s">
        <v>3337</v>
      </c>
      <c r="B1538" s="154" t="s">
        <v>3336</v>
      </c>
    </row>
    <row r="1539" spans="1:2" x14ac:dyDescent="0.2">
      <c r="A1539" s="153" t="s">
        <v>3339</v>
      </c>
      <c r="B1539" s="154" t="s">
        <v>3338</v>
      </c>
    </row>
    <row r="1540" spans="1:2" x14ac:dyDescent="0.2">
      <c r="A1540" s="153" t="s">
        <v>3341</v>
      </c>
      <c r="B1540" s="154" t="s">
        <v>3340</v>
      </c>
    </row>
    <row r="1541" spans="1:2" x14ac:dyDescent="0.2">
      <c r="A1541" s="153" t="s">
        <v>3343</v>
      </c>
      <c r="B1541" s="154" t="s">
        <v>3342</v>
      </c>
    </row>
    <row r="1542" spans="1:2" x14ac:dyDescent="0.2">
      <c r="A1542" s="153" t="s">
        <v>3345</v>
      </c>
      <c r="B1542" s="154" t="s">
        <v>3344</v>
      </c>
    </row>
    <row r="1543" spans="1:2" x14ac:dyDescent="0.2">
      <c r="A1543" s="153" t="s">
        <v>3347</v>
      </c>
      <c r="B1543" s="154" t="s">
        <v>3346</v>
      </c>
    </row>
    <row r="1544" spans="1:2" x14ac:dyDescent="0.2">
      <c r="A1544" s="153" t="s">
        <v>3349</v>
      </c>
      <c r="B1544" s="154" t="s">
        <v>3348</v>
      </c>
    </row>
    <row r="1545" spans="1:2" x14ac:dyDescent="0.2">
      <c r="A1545" s="153" t="s">
        <v>3351</v>
      </c>
      <c r="B1545" s="154" t="s">
        <v>3350</v>
      </c>
    </row>
    <row r="1546" spans="1:2" ht="28.5" x14ac:dyDescent="0.2">
      <c r="A1546" s="153" t="s">
        <v>3353</v>
      </c>
      <c r="B1546" s="154" t="s">
        <v>3352</v>
      </c>
    </row>
    <row r="1547" spans="1:2" ht="28.5" x14ac:dyDescent="0.2">
      <c r="A1547" s="153" t="s">
        <v>3355</v>
      </c>
      <c r="B1547" s="154" t="s">
        <v>3354</v>
      </c>
    </row>
    <row r="1548" spans="1:2" x14ac:dyDescent="0.2">
      <c r="A1548" s="153" t="s">
        <v>3357</v>
      </c>
      <c r="B1548" s="154" t="s">
        <v>3356</v>
      </c>
    </row>
    <row r="1549" spans="1:2" ht="28.5" x14ac:dyDescent="0.2">
      <c r="A1549" s="153" t="s">
        <v>3359</v>
      </c>
      <c r="B1549" s="154" t="s">
        <v>3358</v>
      </c>
    </row>
    <row r="1550" spans="1:2" ht="28.5" x14ac:dyDescent="0.2">
      <c r="A1550" s="153" t="s">
        <v>3361</v>
      </c>
      <c r="B1550" s="154" t="s">
        <v>3360</v>
      </c>
    </row>
    <row r="1551" spans="1:2" x14ac:dyDescent="0.2">
      <c r="A1551" s="153" t="s">
        <v>3363</v>
      </c>
      <c r="B1551" s="154" t="s">
        <v>3362</v>
      </c>
    </row>
    <row r="1552" spans="1:2" ht="42.75" x14ac:dyDescent="0.2">
      <c r="A1552" s="153" t="s">
        <v>3365</v>
      </c>
      <c r="B1552" s="154" t="s">
        <v>3364</v>
      </c>
    </row>
    <row r="1553" spans="1:2" x14ac:dyDescent="0.2">
      <c r="A1553" s="153" t="s">
        <v>3367</v>
      </c>
      <c r="B1553" s="154" t="s">
        <v>3366</v>
      </c>
    </row>
    <row r="1554" spans="1:2" x14ac:dyDescent="0.2">
      <c r="A1554" s="153" t="s">
        <v>3369</v>
      </c>
      <c r="B1554" s="154" t="s">
        <v>3368</v>
      </c>
    </row>
    <row r="1555" spans="1:2" x14ac:dyDescent="0.2">
      <c r="A1555" s="153" t="s">
        <v>3371</v>
      </c>
      <c r="B1555" s="154" t="s">
        <v>3370</v>
      </c>
    </row>
    <row r="1556" spans="1:2" x14ac:dyDescent="0.2">
      <c r="A1556" s="153" t="s">
        <v>3373</v>
      </c>
      <c r="B1556" s="154" t="s">
        <v>3372</v>
      </c>
    </row>
    <row r="1557" spans="1:2" x14ac:dyDescent="0.2">
      <c r="A1557" s="153" t="s">
        <v>3375</v>
      </c>
      <c r="B1557" s="154" t="s">
        <v>3374</v>
      </c>
    </row>
    <row r="1558" spans="1:2" x14ac:dyDescent="0.2">
      <c r="A1558" s="153" t="s">
        <v>3377</v>
      </c>
      <c r="B1558" s="154" t="s">
        <v>3376</v>
      </c>
    </row>
    <row r="1559" spans="1:2" x14ac:dyDescent="0.2">
      <c r="A1559" s="153" t="s">
        <v>3379</v>
      </c>
      <c r="B1559" s="154" t="s">
        <v>3378</v>
      </c>
    </row>
    <row r="1560" spans="1:2" x14ac:dyDescent="0.2">
      <c r="A1560" s="153" t="s">
        <v>3381</v>
      </c>
      <c r="B1560" s="154" t="s">
        <v>3380</v>
      </c>
    </row>
    <row r="1561" spans="1:2" ht="28.5" x14ac:dyDescent="0.2">
      <c r="A1561" s="153" t="s">
        <v>3383</v>
      </c>
      <c r="B1561" s="154" t="s">
        <v>3382</v>
      </c>
    </row>
    <row r="1562" spans="1:2" ht="28.5" x14ac:dyDescent="0.2">
      <c r="A1562" s="153" t="s">
        <v>3385</v>
      </c>
      <c r="B1562" s="154" t="s">
        <v>3384</v>
      </c>
    </row>
    <row r="1563" spans="1:2" x14ac:dyDescent="0.2">
      <c r="A1563" s="153" t="s">
        <v>3387</v>
      </c>
      <c r="B1563" s="154" t="s">
        <v>3386</v>
      </c>
    </row>
    <row r="1564" spans="1:2" x14ac:dyDescent="0.2">
      <c r="A1564" s="153" t="s">
        <v>3389</v>
      </c>
      <c r="B1564" s="154" t="s">
        <v>3388</v>
      </c>
    </row>
    <row r="1565" spans="1:2" x14ac:dyDescent="0.2">
      <c r="A1565" s="153" t="s">
        <v>3391</v>
      </c>
      <c r="B1565" s="154" t="s">
        <v>3390</v>
      </c>
    </row>
    <row r="1566" spans="1:2" x14ac:dyDescent="0.2">
      <c r="A1566" s="153" t="s">
        <v>3393</v>
      </c>
      <c r="B1566" s="154" t="s">
        <v>3392</v>
      </c>
    </row>
    <row r="1567" spans="1:2" x14ac:dyDescent="0.2">
      <c r="A1567" s="153" t="s">
        <v>3395</v>
      </c>
      <c r="B1567" s="154" t="s">
        <v>3394</v>
      </c>
    </row>
    <row r="1568" spans="1:2" x14ac:dyDescent="0.2">
      <c r="A1568" s="153" t="s">
        <v>3397</v>
      </c>
      <c r="B1568" s="154" t="s">
        <v>3396</v>
      </c>
    </row>
    <row r="1569" spans="1:2" x14ac:dyDescent="0.2">
      <c r="A1569" s="153" t="s">
        <v>3399</v>
      </c>
      <c r="B1569" s="154" t="s">
        <v>3398</v>
      </c>
    </row>
    <row r="1570" spans="1:2" x14ac:dyDescent="0.2">
      <c r="A1570" s="153" t="s">
        <v>3401</v>
      </c>
      <c r="B1570" s="154" t="s">
        <v>3400</v>
      </c>
    </row>
    <row r="1571" spans="1:2" x14ac:dyDescent="0.2">
      <c r="A1571" s="153" t="s">
        <v>3403</v>
      </c>
      <c r="B1571" s="154" t="s">
        <v>3402</v>
      </c>
    </row>
    <row r="1572" spans="1:2" x14ac:dyDescent="0.2">
      <c r="A1572" s="153" t="s">
        <v>3405</v>
      </c>
      <c r="B1572" s="154" t="s">
        <v>3404</v>
      </c>
    </row>
    <row r="1573" spans="1:2" x14ac:dyDescent="0.2">
      <c r="A1573" s="153" t="s">
        <v>3407</v>
      </c>
      <c r="B1573" s="154" t="s">
        <v>3406</v>
      </c>
    </row>
    <row r="1574" spans="1:2" x14ac:dyDescent="0.2">
      <c r="A1574" s="153" t="s">
        <v>1065</v>
      </c>
      <c r="B1574" s="154" t="s">
        <v>3408</v>
      </c>
    </row>
    <row r="1575" spans="1:2" ht="28.5" x14ac:dyDescent="0.2">
      <c r="A1575" s="153" t="s">
        <v>3410</v>
      </c>
      <c r="B1575" s="154" t="s">
        <v>3409</v>
      </c>
    </row>
    <row r="1576" spans="1:2" x14ac:dyDescent="0.2">
      <c r="A1576" s="153" t="s">
        <v>3412</v>
      </c>
      <c r="B1576" s="154" t="s">
        <v>3411</v>
      </c>
    </row>
    <row r="1577" spans="1:2" x14ac:dyDescent="0.2">
      <c r="A1577" s="153" t="s">
        <v>3414</v>
      </c>
      <c r="B1577" s="154" t="s">
        <v>3413</v>
      </c>
    </row>
    <row r="1578" spans="1:2" x14ac:dyDescent="0.2">
      <c r="A1578" s="153" t="s">
        <v>3416</v>
      </c>
      <c r="B1578" s="154" t="s">
        <v>3415</v>
      </c>
    </row>
    <row r="1579" spans="1:2" x14ac:dyDescent="0.2">
      <c r="A1579" s="153" t="s">
        <v>3418</v>
      </c>
      <c r="B1579" s="154" t="s">
        <v>3417</v>
      </c>
    </row>
    <row r="1580" spans="1:2" x14ac:dyDescent="0.2">
      <c r="A1580" s="153" t="s">
        <v>3420</v>
      </c>
      <c r="B1580" s="154" t="s">
        <v>3419</v>
      </c>
    </row>
    <row r="1581" spans="1:2" x14ac:dyDescent="0.2">
      <c r="A1581" s="153" t="s">
        <v>3422</v>
      </c>
      <c r="B1581" s="154" t="s">
        <v>3421</v>
      </c>
    </row>
    <row r="1582" spans="1:2" x14ac:dyDescent="0.2">
      <c r="A1582" s="153" t="s">
        <v>1065</v>
      </c>
      <c r="B1582" s="154" t="s">
        <v>9893</v>
      </c>
    </row>
    <row r="1583" spans="1:2" x14ac:dyDescent="0.2">
      <c r="A1583" s="153" t="s">
        <v>1065</v>
      </c>
      <c r="B1583" s="154" t="s">
        <v>9894</v>
      </c>
    </row>
    <row r="1584" spans="1:2" x14ac:dyDescent="0.2">
      <c r="A1584" s="153" t="s">
        <v>1065</v>
      </c>
      <c r="B1584" s="154" t="s">
        <v>9895</v>
      </c>
    </row>
    <row r="1585" spans="1:2" x14ac:dyDescent="0.2">
      <c r="A1585" s="153" t="s">
        <v>1065</v>
      </c>
      <c r="B1585" s="154" t="s">
        <v>3423</v>
      </c>
    </row>
    <row r="1586" spans="1:2" x14ac:dyDescent="0.2">
      <c r="A1586" s="153" t="s">
        <v>1065</v>
      </c>
      <c r="B1586" s="154" t="s">
        <v>3424</v>
      </c>
    </row>
    <row r="1587" spans="1:2" ht="28.5" x14ac:dyDescent="0.2">
      <c r="A1587" s="153" t="s">
        <v>3426</v>
      </c>
      <c r="B1587" s="154" t="s">
        <v>3425</v>
      </c>
    </row>
    <row r="1588" spans="1:2" x14ac:dyDescent="0.2">
      <c r="A1588" s="153" t="s">
        <v>3428</v>
      </c>
      <c r="B1588" s="154" t="s">
        <v>3427</v>
      </c>
    </row>
    <row r="1589" spans="1:2" x14ac:dyDescent="0.2">
      <c r="A1589" s="153" t="s">
        <v>3430</v>
      </c>
      <c r="B1589" s="154" t="s">
        <v>3429</v>
      </c>
    </row>
    <row r="1590" spans="1:2" x14ac:dyDescent="0.2">
      <c r="A1590" s="153" t="s">
        <v>3432</v>
      </c>
      <c r="B1590" s="154" t="s">
        <v>3431</v>
      </c>
    </row>
    <row r="1591" spans="1:2" x14ac:dyDescent="0.2">
      <c r="A1591" s="153" t="s">
        <v>3434</v>
      </c>
      <c r="B1591" s="154" t="s">
        <v>3433</v>
      </c>
    </row>
    <row r="1592" spans="1:2" x14ac:dyDescent="0.2">
      <c r="A1592" s="153" t="s">
        <v>3436</v>
      </c>
      <c r="B1592" s="154" t="s">
        <v>3435</v>
      </c>
    </row>
    <row r="1593" spans="1:2" x14ac:dyDescent="0.2">
      <c r="A1593" s="153" t="s">
        <v>3438</v>
      </c>
      <c r="B1593" s="154" t="s">
        <v>3437</v>
      </c>
    </row>
    <row r="1594" spans="1:2" x14ac:dyDescent="0.2">
      <c r="A1594" s="153" t="s">
        <v>3440</v>
      </c>
      <c r="B1594" s="154" t="s">
        <v>3439</v>
      </c>
    </row>
    <row r="1595" spans="1:2" x14ac:dyDescent="0.2">
      <c r="A1595" s="153" t="s">
        <v>3442</v>
      </c>
      <c r="B1595" s="154" t="s">
        <v>3441</v>
      </c>
    </row>
    <row r="1596" spans="1:2" x14ac:dyDescent="0.2">
      <c r="A1596" s="153" t="s">
        <v>3444</v>
      </c>
      <c r="B1596" s="154" t="s">
        <v>3443</v>
      </c>
    </row>
    <row r="1597" spans="1:2" x14ac:dyDescent="0.2">
      <c r="A1597" s="153" t="s">
        <v>3446</v>
      </c>
      <c r="B1597" s="154" t="s">
        <v>3445</v>
      </c>
    </row>
    <row r="1598" spans="1:2" x14ac:dyDescent="0.2">
      <c r="A1598" s="153" t="s">
        <v>3448</v>
      </c>
      <c r="B1598" s="154" t="s">
        <v>3447</v>
      </c>
    </row>
    <row r="1599" spans="1:2" x14ac:dyDescent="0.2">
      <c r="A1599" s="153" t="s">
        <v>1065</v>
      </c>
      <c r="B1599" s="154" t="s">
        <v>3449</v>
      </c>
    </row>
    <row r="1600" spans="1:2" x14ac:dyDescent="0.2">
      <c r="A1600" s="153" t="s">
        <v>1065</v>
      </c>
      <c r="B1600" s="154" t="s">
        <v>3450</v>
      </c>
    </row>
    <row r="1601" spans="1:2" x14ac:dyDescent="0.2">
      <c r="A1601" s="153" t="s">
        <v>3452</v>
      </c>
      <c r="B1601" s="154" t="s">
        <v>3451</v>
      </c>
    </row>
    <row r="1602" spans="1:2" x14ac:dyDescent="0.2">
      <c r="A1602" s="153" t="s">
        <v>3454</v>
      </c>
      <c r="B1602" s="154" t="s">
        <v>3453</v>
      </c>
    </row>
    <row r="1603" spans="1:2" x14ac:dyDescent="0.2">
      <c r="A1603" s="153" t="s">
        <v>3456</v>
      </c>
      <c r="B1603" s="154" t="s">
        <v>3455</v>
      </c>
    </row>
    <row r="1604" spans="1:2" x14ac:dyDescent="0.2">
      <c r="A1604" s="153" t="s">
        <v>3458</v>
      </c>
      <c r="B1604" s="154" t="s">
        <v>3457</v>
      </c>
    </row>
    <row r="1605" spans="1:2" x14ac:dyDescent="0.2">
      <c r="A1605" s="153" t="s">
        <v>3460</v>
      </c>
      <c r="B1605" s="154" t="s">
        <v>3459</v>
      </c>
    </row>
    <row r="1606" spans="1:2" x14ac:dyDescent="0.2">
      <c r="A1606" s="153" t="s">
        <v>3462</v>
      </c>
      <c r="B1606" s="154" t="s">
        <v>3461</v>
      </c>
    </row>
    <row r="1607" spans="1:2" x14ac:dyDescent="0.2">
      <c r="A1607" s="153" t="s">
        <v>3464</v>
      </c>
      <c r="B1607" s="154" t="s">
        <v>3463</v>
      </c>
    </row>
    <row r="1608" spans="1:2" x14ac:dyDescent="0.2">
      <c r="A1608" s="153" t="s">
        <v>3466</v>
      </c>
      <c r="B1608" s="154" t="s">
        <v>3465</v>
      </c>
    </row>
    <row r="1609" spans="1:2" x14ac:dyDescent="0.2">
      <c r="A1609" s="153" t="s">
        <v>3468</v>
      </c>
      <c r="B1609" s="154" t="s">
        <v>3467</v>
      </c>
    </row>
    <row r="1610" spans="1:2" x14ac:dyDescent="0.2">
      <c r="A1610" s="153" t="s">
        <v>3470</v>
      </c>
      <c r="B1610" s="154" t="s">
        <v>3469</v>
      </c>
    </row>
    <row r="1611" spans="1:2" x14ac:dyDescent="0.2">
      <c r="A1611" s="153" t="s">
        <v>3472</v>
      </c>
      <c r="B1611" s="154" t="s">
        <v>3471</v>
      </c>
    </row>
    <row r="1612" spans="1:2" x14ac:dyDescent="0.2">
      <c r="A1612" s="153" t="s">
        <v>3474</v>
      </c>
      <c r="B1612" s="154" t="s">
        <v>3473</v>
      </c>
    </row>
    <row r="1613" spans="1:2" x14ac:dyDescent="0.2">
      <c r="A1613" s="153" t="s">
        <v>3476</v>
      </c>
      <c r="B1613" s="154" t="s">
        <v>3475</v>
      </c>
    </row>
    <row r="1614" spans="1:2" x14ac:dyDescent="0.2">
      <c r="A1614" s="153" t="s">
        <v>3478</v>
      </c>
      <c r="B1614" s="154" t="s">
        <v>3477</v>
      </c>
    </row>
    <row r="1615" spans="1:2" x14ac:dyDescent="0.2">
      <c r="A1615" s="153" t="s">
        <v>9452</v>
      </c>
      <c r="B1615" s="154" t="s">
        <v>3479</v>
      </c>
    </row>
    <row r="1616" spans="1:2" ht="28.5" x14ac:dyDescent="0.2">
      <c r="A1616" s="153" t="s">
        <v>9453</v>
      </c>
      <c r="B1616" s="154" t="s">
        <v>3480</v>
      </c>
    </row>
    <row r="1617" spans="1:2" ht="28.5" x14ac:dyDescent="0.2">
      <c r="A1617" s="153" t="s">
        <v>3482</v>
      </c>
      <c r="B1617" s="154" t="s">
        <v>3481</v>
      </c>
    </row>
    <row r="1618" spans="1:2" x14ac:dyDescent="0.2">
      <c r="A1618" s="153" t="s">
        <v>3484</v>
      </c>
      <c r="B1618" s="154" t="s">
        <v>3483</v>
      </c>
    </row>
    <row r="1619" spans="1:2" x14ac:dyDescent="0.2">
      <c r="A1619" s="153" t="s">
        <v>9454</v>
      </c>
      <c r="B1619" s="154" t="s">
        <v>3485</v>
      </c>
    </row>
    <row r="1620" spans="1:2" ht="28.5" x14ac:dyDescent="0.2">
      <c r="A1620" s="153" t="s">
        <v>9844</v>
      </c>
      <c r="B1620" s="154" t="s">
        <v>3486</v>
      </c>
    </row>
    <row r="1621" spans="1:2" ht="28.5" x14ac:dyDescent="0.2">
      <c r="A1621" s="153" t="s">
        <v>3488</v>
      </c>
      <c r="B1621" s="154" t="s">
        <v>3487</v>
      </c>
    </row>
    <row r="1622" spans="1:2" x14ac:dyDescent="0.2">
      <c r="A1622" s="153" t="s">
        <v>9455</v>
      </c>
      <c r="B1622" s="154" t="s">
        <v>3489</v>
      </c>
    </row>
    <row r="1623" spans="1:2" ht="28.5" x14ac:dyDescent="0.2">
      <c r="A1623" s="153" t="s">
        <v>9456</v>
      </c>
      <c r="B1623" s="154" t="s">
        <v>3490</v>
      </c>
    </row>
    <row r="1624" spans="1:2" ht="28.5" x14ac:dyDescent="0.2">
      <c r="A1624" s="153" t="s">
        <v>3492</v>
      </c>
      <c r="B1624" s="154" t="s">
        <v>3491</v>
      </c>
    </row>
    <row r="1625" spans="1:2" x14ac:dyDescent="0.2">
      <c r="A1625" s="153" t="s">
        <v>3494</v>
      </c>
      <c r="B1625" s="154" t="s">
        <v>3493</v>
      </c>
    </row>
    <row r="1626" spans="1:2" x14ac:dyDescent="0.2">
      <c r="A1626" s="153" t="s">
        <v>3496</v>
      </c>
      <c r="B1626" s="154" t="s">
        <v>3495</v>
      </c>
    </row>
    <row r="1627" spans="1:2" x14ac:dyDescent="0.2">
      <c r="A1627" s="153" t="s">
        <v>3498</v>
      </c>
      <c r="B1627" s="154" t="s">
        <v>3497</v>
      </c>
    </row>
    <row r="1628" spans="1:2" x14ac:dyDescent="0.2">
      <c r="A1628" s="153" t="s">
        <v>3500</v>
      </c>
      <c r="B1628" s="154" t="s">
        <v>3499</v>
      </c>
    </row>
    <row r="1629" spans="1:2" x14ac:dyDescent="0.2">
      <c r="A1629" s="153" t="s">
        <v>3502</v>
      </c>
      <c r="B1629" s="154" t="s">
        <v>3501</v>
      </c>
    </row>
    <row r="1630" spans="1:2" x14ac:dyDescent="0.2">
      <c r="A1630" s="153" t="s">
        <v>3504</v>
      </c>
      <c r="B1630" s="154" t="s">
        <v>3503</v>
      </c>
    </row>
    <row r="1631" spans="1:2" x14ac:dyDescent="0.2">
      <c r="A1631" s="153" t="s">
        <v>3506</v>
      </c>
      <c r="B1631" s="154" t="s">
        <v>3505</v>
      </c>
    </row>
    <row r="1632" spans="1:2" x14ac:dyDescent="0.2">
      <c r="A1632" s="153" t="s">
        <v>3508</v>
      </c>
      <c r="B1632" s="154" t="s">
        <v>3507</v>
      </c>
    </row>
    <row r="1633" spans="1:2" x14ac:dyDescent="0.2">
      <c r="A1633" s="153" t="s">
        <v>3510</v>
      </c>
      <c r="B1633" s="154" t="s">
        <v>3509</v>
      </c>
    </row>
    <row r="1634" spans="1:2" x14ac:dyDescent="0.2">
      <c r="A1634" s="153" t="s">
        <v>3512</v>
      </c>
      <c r="B1634" s="154" t="s">
        <v>3511</v>
      </c>
    </row>
    <row r="1635" spans="1:2" x14ac:dyDescent="0.2">
      <c r="A1635" s="153" t="s">
        <v>3514</v>
      </c>
      <c r="B1635" s="154" t="s">
        <v>3513</v>
      </c>
    </row>
    <row r="1636" spans="1:2" x14ac:dyDescent="0.2">
      <c r="A1636" s="153" t="s">
        <v>3516</v>
      </c>
      <c r="B1636" s="154" t="s">
        <v>3515</v>
      </c>
    </row>
    <row r="1637" spans="1:2" x14ac:dyDescent="0.2">
      <c r="A1637" s="153" t="s">
        <v>3518</v>
      </c>
      <c r="B1637" s="154" t="s">
        <v>3517</v>
      </c>
    </row>
    <row r="1638" spans="1:2" x14ac:dyDescent="0.2">
      <c r="A1638" s="153" t="s">
        <v>3520</v>
      </c>
      <c r="B1638" s="154" t="s">
        <v>3519</v>
      </c>
    </row>
    <row r="1639" spans="1:2" x14ac:dyDescent="0.2">
      <c r="A1639" s="153" t="s">
        <v>1065</v>
      </c>
      <c r="B1639" s="154" t="s">
        <v>3521</v>
      </c>
    </row>
    <row r="1640" spans="1:2" x14ac:dyDescent="0.2">
      <c r="A1640" s="153" t="s">
        <v>3523</v>
      </c>
      <c r="B1640" s="154" t="s">
        <v>3522</v>
      </c>
    </row>
    <row r="1641" spans="1:2" x14ac:dyDescent="0.2">
      <c r="A1641" s="153" t="s">
        <v>1065</v>
      </c>
      <c r="B1641" s="154" t="s">
        <v>9896</v>
      </c>
    </row>
    <row r="1642" spans="1:2" x14ac:dyDescent="0.2">
      <c r="A1642" s="153" t="s">
        <v>1065</v>
      </c>
      <c r="B1642" s="154" t="s">
        <v>9897</v>
      </c>
    </row>
    <row r="1643" spans="1:2" x14ac:dyDescent="0.2">
      <c r="A1643" s="153" t="s">
        <v>1065</v>
      </c>
      <c r="B1643" s="154" t="s">
        <v>9898</v>
      </c>
    </row>
    <row r="1644" spans="1:2" x14ac:dyDescent="0.2">
      <c r="A1644" s="153" t="s">
        <v>3525</v>
      </c>
      <c r="B1644" s="154" t="s">
        <v>3524</v>
      </c>
    </row>
    <row r="1645" spans="1:2" x14ac:dyDescent="0.2">
      <c r="A1645" s="153" t="s">
        <v>3527</v>
      </c>
      <c r="B1645" s="154" t="s">
        <v>3526</v>
      </c>
    </row>
    <row r="1646" spans="1:2" x14ac:dyDescent="0.2">
      <c r="A1646" s="153" t="s">
        <v>3529</v>
      </c>
      <c r="B1646" s="154" t="s">
        <v>3528</v>
      </c>
    </row>
    <row r="1647" spans="1:2" x14ac:dyDescent="0.2">
      <c r="A1647" s="153" t="s">
        <v>3531</v>
      </c>
      <c r="B1647" s="154" t="s">
        <v>3530</v>
      </c>
    </row>
    <row r="1648" spans="1:2" x14ac:dyDescent="0.2">
      <c r="A1648" s="153" t="s">
        <v>3533</v>
      </c>
      <c r="B1648" s="154" t="s">
        <v>3532</v>
      </c>
    </row>
    <row r="1649" spans="1:2" x14ac:dyDescent="0.2">
      <c r="A1649" s="153" t="s">
        <v>3535</v>
      </c>
      <c r="B1649" s="154" t="s">
        <v>3534</v>
      </c>
    </row>
    <row r="1650" spans="1:2" x14ac:dyDescent="0.2">
      <c r="A1650" s="153" t="s">
        <v>1065</v>
      </c>
      <c r="B1650" s="154" t="s">
        <v>3536</v>
      </c>
    </row>
    <row r="1651" spans="1:2" x14ac:dyDescent="0.2">
      <c r="A1651" s="153" t="s">
        <v>3538</v>
      </c>
      <c r="B1651" s="154" t="s">
        <v>3537</v>
      </c>
    </row>
    <row r="1652" spans="1:2" x14ac:dyDescent="0.2">
      <c r="A1652" s="153" t="s">
        <v>3540</v>
      </c>
      <c r="B1652" s="154" t="s">
        <v>3539</v>
      </c>
    </row>
    <row r="1653" spans="1:2" x14ac:dyDescent="0.2">
      <c r="A1653" s="153" t="s">
        <v>3542</v>
      </c>
      <c r="B1653" s="154" t="s">
        <v>3541</v>
      </c>
    </row>
    <row r="1654" spans="1:2" x14ac:dyDescent="0.2">
      <c r="A1654" s="153" t="s">
        <v>3544</v>
      </c>
      <c r="B1654" s="154" t="s">
        <v>3543</v>
      </c>
    </row>
    <row r="1655" spans="1:2" x14ac:dyDescent="0.2">
      <c r="A1655" s="153" t="s">
        <v>1065</v>
      </c>
      <c r="B1655" s="154" t="s">
        <v>3545</v>
      </c>
    </row>
    <row r="1656" spans="1:2" x14ac:dyDescent="0.2">
      <c r="A1656" s="153" t="s">
        <v>3547</v>
      </c>
      <c r="B1656" s="154" t="s">
        <v>3546</v>
      </c>
    </row>
    <row r="1657" spans="1:2" x14ac:dyDescent="0.2">
      <c r="A1657" s="153" t="s">
        <v>3549</v>
      </c>
      <c r="B1657" s="154" t="s">
        <v>3548</v>
      </c>
    </row>
    <row r="1658" spans="1:2" x14ac:dyDescent="0.2">
      <c r="A1658" s="153" t="s">
        <v>3551</v>
      </c>
      <c r="B1658" s="154" t="s">
        <v>3550</v>
      </c>
    </row>
    <row r="1659" spans="1:2" x14ac:dyDescent="0.2">
      <c r="A1659" s="153" t="s">
        <v>3553</v>
      </c>
      <c r="B1659" s="154" t="s">
        <v>3552</v>
      </c>
    </row>
    <row r="1660" spans="1:2" x14ac:dyDescent="0.2">
      <c r="A1660" s="153" t="s">
        <v>3555</v>
      </c>
      <c r="B1660" s="154" t="s">
        <v>3554</v>
      </c>
    </row>
    <row r="1661" spans="1:2" x14ac:dyDescent="0.2">
      <c r="A1661" s="153" t="s">
        <v>3557</v>
      </c>
      <c r="B1661" s="154" t="s">
        <v>3556</v>
      </c>
    </row>
    <row r="1662" spans="1:2" x14ac:dyDescent="0.2">
      <c r="A1662" s="153" t="s">
        <v>3559</v>
      </c>
      <c r="B1662" s="154" t="s">
        <v>3558</v>
      </c>
    </row>
    <row r="1663" spans="1:2" x14ac:dyDescent="0.2">
      <c r="A1663" s="153" t="s">
        <v>3561</v>
      </c>
      <c r="B1663" s="154" t="s">
        <v>3560</v>
      </c>
    </row>
    <row r="1664" spans="1:2" x14ac:dyDescent="0.2">
      <c r="A1664" s="153" t="s">
        <v>3563</v>
      </c>
      <c r="B1664" s="154" t="s">
        <v>3562</v>
      </c>
    </row>
    <row r="1665" spans="1:2" x14ac:dyDescent="0.2">
      <c r="A1665" s="153" t="s">
        <v>3565</v>
      </c>
      <c r="B1665" s="154" t="s">
        <v>3564</v>
      </c>
    </row>
    <row r="1666" spans="1:2" x14ac:dyDescent="0.2">
      <c r="A1666" s="153" t="s">
        <v>3567</v>
      </c>
      <c r="B1666" s="154" t="s">
        <v>3566</v>
      </c>
    </row>
    <row r="1667" spans="1:2" x14ac:dyDescent="0.2">
      <c r="A1667" s="153" t="s">
        <v>3568</v>
      </c>
      <c r="B1667" s="154" t="s">
        <v>3566</v>
      </c>
    </row>
    <row r="1668" spans="1:2" x14ac:dyDescent="0.2">
      <c r="A1668" s="153" t="s">
        <v>3570</v>
      </c>
      <c r="B1668" s="154" t="s">
        <v>3569</v>
      </c>
    </row>
    <row r="1669" spans="1:2" x14ac:dyDescent="0.2">
      <c r="A1669" s="153" t="s">
        <v>3572</v>
      </c>
      <c r="B1669" s="154" t="s">
        <v>3571</v>
      </c>
    </row>
    <row r="1670" spans="1:2" x14ac:dyDescent="0.2">
      <c r="A1670" s="153" t="s">
        <v>3574</v>
      </c>
      <c r="B1670" s="154" t="s">
        <v>3573</v>
      </c>
    </row>
    <row r="1671" spans="1:2" x14ac:dyDescent="0.2">
      <c r="A1671" s="153" t="s">
        <v>3576</v>
      </c>
      <c r="B1671" s="154" t="s">
        <v>3575</v>
      </c>
    </row>
    <row r="1672" spans="1:2" x14ac:dyDescent="0.2">
      <c r="A1672" s="153" t="s">
        <v>3578</v>
      </c>
      <c r="B1672" s="154" t="s">
        <v>3577</v>
      </c>
    </row>
    <row r="1673" spans="1:2" x14ac:dyDescent="0.2">
      <c r="A1673" s="153" t="s">
        <v>3580</v>
      </c>
      <c r="B1673" s="154" t="s">
        <v>3579</v>
      </c>
    </row>
    <row r="1674" spans="1:2" x14ac:dyDescent="0.2">
      <c r="A1674" s="153" t="s">
        <v>3582</v>
      </c>
      <c r="B1674" s="154" t="s">
        <v>3581</v>
      </c>
    </row>
    <row r="1675" spans="1:2" x14ac:dyDescent="0.2">
      <c r="A1675" s="153" t="s">
        <v>3584</v>
      </c>
      <c r="B1675" s="154" t="s">
        <v>3583</v>
      </c>
    </row>
    <row r="1676" spans="1:2" x14ac:dyDescent="0.2">
      <c r="A1676" s="153" t="s">
        <v>3586</v>
      </c>
      <c r="B1676" s="154" t="s">
        <v>3585</v>
      </c>
    </row>
    <row r="1677" spans="1:2" x14ac:dyDescent="0.2">
      <c r="A1677" s="153" t="s">
        <v>3588</v>
      </c>
      <c r="B1677" s="154" t="s">
        <v>3587</v>
      </c>
    </row>
    <row r="1678" spans="1:2" x14ac:dyDescent="0.2">
      <c r="A1678" s="153" t="s">
        <v>3590</v>
      </c>
      <c r="B1678" s="154" t="s">
        <v>3589</v>
      </c>
    </row>
    <row r="1679" spans="1:2" x14ac:dyDescent="0.2">
      <c r="A1679" s="153" t="s">
        <v>3592</v>
      </c>
      <c r="B1679" s="154" t="s">
        <v>3591</v>
      </c>
    </row>
    <row r="1680" spans="1:2" x14ac:dyDescent="0.2">
      <c r="A1680" s="153" t="s">
        <v>3594</v>
      </c>
      <c r="B1680" s="154" t="s">
        <v>3593</v>
      </c>
    </row>
    <row r="1681" spans="1:2" x14ac:dyDescent="0.2">
      <c r="A1681" s="153" t="s">
        <v>3596</v>
      </c>
      <c r="B1681" s="154" t="s">
        <v>3595</v>
      </c>
    </row>
    <row r="1682" spans="1:2" x14ac:dyDescent="0.2">
      <c r="A1682" s="153" t="s">
        <v>3598</v>
      </c>
      <c r="B1682" s="154" t="s">
        <v>3597</v>
      </c>
    </row>
    <row r="1683" spans="1:2" x14ac:dyDescent="0.2">
      <c r="A1683" s="153" t="s">
        <v>3600</v>
      </c>
      <c r="B1683" s="154" t="s">
        <v>3599</v>
      </c>
    </row>
    <row r="1684" spans="1:2" x14ac:dyDescent="0.2">
      <c r="A1684" s="153" t="s">
        <v>3602</v>
      </c>
      <c r="B1684" s="154" t="s">
        <v>3601</v>
      </c>
    </row>
    <row r="1685" spans="1:2" x14ac:dyDescent="0.2">
      <c r="A1685" s="153" t="s">
        <v>3604</v>
      </c>
      <c r="B1685" s="154" t="s">
        <v>3603</v>
      </c>
    </row>
    <row r="1686" spans="1:2" x14ac:dyDescent="0.2">
      <c r="A1686" s="153" t="s">
        <v>3606</v>
      </c>
      <c r="B1686" s="154" t="s">
        <v>3605</v>
      </c>
    </row>
    <row r="1687" spans="1:2" x14ac:dyDescent="0.2">
      <c r="A1687" s="153" t="s">
        <v>3608</v>
      </c>
      <c r="B1687" s="154" t="s">
        <v>3607</v>
      </c>
    </row>
    <row r="1688" spans="1:2" x14ac:dyDescent="0.2">
      <c r="A1688" s="153" t="s">
        <v>3610</v>
      </c>
      <c r="B1688" s="154" t="s">
        <v>3609</v>
      </c>
    </row>
    <row r="1689" spans="1:2" x14ac:dyDescent="0.2">
      <c r="A1689" s="153" t="s">
        <v>3612</v>
      </c>
      <c r="B1689" s="154" t="s">
        <v>3611</v>
      </c>
    </row>
    <row r="1690" spans="1:2" x14ac:dyDescent="0.2">
      <c r="A1690" s="153" t="s">
        <v>3614</v>
      </c>
      <c r="B1690" s="154" t="s">
        <v>3613</v>
      </c>
    </row>
    <row r="1691" spans="1:2" x14ac:dyDescent="0.2">
      <c r="A1691" s="153" t="s">
        <v>3616</v>
      </c>
      <c r="B1691" s="154" t="s">
        <v>3615</v>
      </c>
    </row>
    <row r="1692" spans="1:2" x14ac:dyDescent="0.2">
      <c r="A1692" s="153" t="s">
        <v>3618</v>
      </c>
      <c r="B1692" s="154" t="s">
        <v>3617</v>
      </c>
    </row>
    <row r="1693" spans="1:2" x14ac:dyDescent="0.2">
      <c r="A1693" s="153" t="s">
        <v>3620</v>
      </c>
      <c r="B1693" s="154" t="s">
        <v>3619</v>
      </c>
    </row>
    <row r="1694" spans="1:2" x14ac:dyDescent="0.2">
      <c r="A1694" s="153" t="s">
        <v>3622</v>
      </c>
      <c r="B1694" s="154" t="s">
        <v>3621</v>
      </c>
    </row>
    <row r="1695" spans="1:2" x14ac:dyDescent="0.2">
      <c r="A1695" s="153" t="s">
        <v>3624</v>
      </c>
      <c r="B1695" s="154" t="s">
        <v>3623</v>
      </c>
    </row>
    <row r="1696" spans="1:2" x14ac:dyDescent="0.2">
      <c r="A1696" s="153" t="s">
        <v>3626</v>
      </c>
      <c r="B1696" s="154" t="s">
        <v>3625</v>
      </c>
    </row>
    <row r="1697" spans="1:2" x14ac:dyDescent="0.2">
      <c r="A1697" s="153" t="s">
        <v>3628</v>
      </c>
      <c r="B1697" s="154" t="s">
        <v>3627</v>
      </c>
    </row>
    <row r="1698" spans="1:2" x14ac:dyDescent="0.2">
      <c r="A1698" s="153" t="s">
        <v>3630</v>
      </c>
      <c r="B1698" s="154" t="s">
        <v>3629</v>
      </c>
    </row>
    <row r="1699" spans="1:2" x14ac:dyDescent="0.2">
      <c r="A1699" s="153" t="s">
        <v>3632</v>
      </c>
      <c r="B1699" s="154" t="s">
        <v>3631</v>
      </c>
    </row>
    <row r="1700" spans="1:2" x14ac:dyDescent="0.2">
      <c r="A1700" s="153" t="s">
        <v>3634</v>
      </c>
      <c r="B1700" s="154" t="s">
        <v>3633</v>
      </c>
    </row>
    <row r="1701" spans="1:2" x14ac:dyDescent="0.2">
      <c r="A1701" s="153" t="s">
        <v>3636</v>
      </c>
      <c r="B1701" s="154" t="s">
        <v>3635</v>
      </c>
    </row>
    <row r="1702" spans="1:2" x14ac:dyDescent="0.2">
      <c r="A1702" s="153" t="s">
        <v>3638</v>
      </c>
      <c r="B1702" s="154" t="s">
        <v>3637</v>
      </c>
    </row>
    <row r="1703" spans="1:2" x14ac:dyDescent="0.2">
      <c r="A1703" s="153" t="s">
        <v>3640</v>
      </c>
      <c r="B1703" s="154" t="s">
        <v>3639</v>
      </c>
    </row>
    <row r="1704" spans="1:2" x14ac:dyDescent="0.2">
      <c r="A1704" s="153" t="s">
        <v>3642</v>
      </c>
      <c r="B1704" s="154" t="s">
        <v>3641</v>
      </c>
    </row>
    <row r="1705" spans="1:2" x14ac:dyDescent="0.2">
      <c r="A1705" s="153" t="s">
        <v>3644</v>
      </c>
      <c r="B1705" s="154" t="s">
        <v>3643</v>
      </c>
    </row>
    <row r="1706" spans="1:2" x14ac:dyDescent="0.2">
      <c r="A1706" s="153" t="s">
        <v>3646</v>
      </c>
      <c r="B1706" s="154" t="s">
        <v>3645</v>
      </c>
    </row>
    <row r="1707" spans="1:2" x14ac:dyDescent="0.2">
      <c r="A1707" s="153" t="s">
        <v>3648</v>
      </c>
      <c r="B1707" s="154" t="s">
        <v>3647</v>
      </c>
    </row>
    <row r="1708" spans="1:2" x14ac:dyDescent="0.2">
      <c r="A1708" s="153" t="s">
        <v>3650</v>
      </c>
      <c r="B1708" s="154" t="s">
        <v>3649</v>
      </c>
    </row>
    <row r="1709" spans="1:2" x14ac:dyDescent="0.2">
      <c r="A1709" s="153" t="s">
        <v>3652</v>
      </c>
      <c r="B1709" s="154" t="s">
        <v>3651</v>
      </c>
    </row>
    <row r="1710" spans="1:2" x14ac:dyDescent="0.2">
      <c r="A1710" s="153" t="s">
        <v>3654</v>
      </c>
      <c r="B1710" s="154" t="s">
        <v>3653</v>
      </c>
    </row>
    <row r="1711" spans="1:2" x14ac:dyDescent="0.2">
      <c r="A1711" s="153" t="s">
        <v>3656</v>
      </c>
      <c r="B1711" s="154" t="s">
        <v>3655</v>
      </c>
    </row>
    <row r="1712" spans="1:2" x14ac:dyDescent="0.2">
      <c r="A1712" s="153" t="s">
        <v>3658</v>
      </c>
      <c r="B1712" s="154" t="s">
        <v>3657</v>
      </c>
    </row>
    <row r="1713" spans="1:2" x14ac:dyDescent="0.2">
      <c r="A1713" s="153" t="s">
        <v>3660</v>
      </c>
      <c r="B1713" s="154" t="s">
        <v>3659</v>
      </c>
    </row>
    <row r="1714" spans="1:2" x14ac:dyDescent="0.2">
      <c r="A1714" s="153" t="s">
        <v>3662</v>
      </c>
      <c r="B1714" s="154" t="s">
        <v>3661</v>
      </c>
    </row>
    <row r="1715" spans="1:2" x14ac:dyDescent="0.2">
      <c r="A1715" s="153" t="s">
        <v>3664</v>
      </c>
      <c r="B1715" s="154" t="s">
        <v>3663</v>
      </c>
    </row>
    <row r="1716" spans="1:2" x14ac:dyDescent="0.2">
      <c r="A1716" s="153" t="s">
        <v>3666</v>
      </c>
      <c r="B1716" s="154" t="s">
        <v>3665</v>
      </c>
    </row>
    <row r="1717" spans="1:2" x14ac:dyDescent="0.2">
      <c r="A1717" s="153" t="s">
        <v>3668</v>
      </c>
      <c r="B1717" s="154" t="s">
        <v>3667</v>
      </c>
    </row>
    <row r="1718" spans="1:2" x14ac:dyDescent="0.2">
      <c r="A1718" s="153" t="s">
        <v>3670</v>
      </c>
      <c r="B1718" s="154" t="s">
        <v>3669</v>
      </c>
    </row>
    <row r="1719" spans="1:2" x14ac:dyDescent="0.2">
      <c r="A1719" s="153" t="s">
        <v>3672</v>
      </c>
      <c r="B1719" s="154" t="s">
        <v>3671</v>
      </c>
    </row>
    <row r="1720" spans="1:2" x14ac:dyDescent="0.2">
      <c r="A1720" s="153" t="s">
        <v>3674</v>
      </c>
      <c r="B1720" s="154" t="s">
        <v>3673</v>
      </c>
    </row>
    <row r="1721" spans="1:2" x14ac:dyDescent="0.2">
      <c r="A1721" s="153" t="s">
        <v>3676</v>
      </c>
      <c r="B1721" s="154" t="s">
        <v>3675</v>
      </c>
    </row>
    <row r="1722" spans="1:2" x14ac:dyDescent="0.2">
      <c r="A1722" s="153" t="s">
        <v>3678</v>
      </c>
      <c r="B1722" s="154" t="s">
        <v>3677</v>
      </c>
    </row>
    <row r="1723" spans="1:2" x14ac:dyDescent="0.2">
      <c r="A1723" s="153" t="s">
        <v>3680</v>
      </c>
      <c r="B1723" s="154" t="s">
        <v>3679</v>
      </c>
    </row>
    <row r="1724" spans="1:2" x14ac:dyDescent="0.2">
      <c r="A1724" s="153" t="s">
        <v>3682</v>
      </c>
      <c r="B1724" s="154" t="s">
        <v>3681</v>
      </c>
    </row>
    <row r="1725" spans="1:2" x14ac:dyDescent="0.2">
      <c r="A1725" s="153" t="s">
        <v>3684</v>
      </c>
      <c r="B1725" s="154" t="s">
        <v>3683</v>
      </c>
    </row>
    <row r="1726" spans="1:2" x14ac:dyDescent="0.2">
      <c r="A1726" s="153" t="s">
        <v>3686</v>
      </c>
      <c r="B1726" s="154" t="s">
        <v>3685</v>
      </c>
    </row>
    <row r="1727" spans="1:2" x14ac:dyDescent="0.2">
      <c r="A1727" s="153" t="s">
        <v>3688</v>
      </c>
      <c r="B1727" s="154" t="s">
        <v>3687</v>
      </c>
    </row>
    <row r="1728" spans="1:2" x14ac:dyDescent="0.2">
      <c r="A1728" s="153" t="s">
        <v>3690</v>
      </c>
      <c r="B1728" s="154" t="s">
        <v>3689</v>
      </c>
    </row>
    <row r="1729" spans="1:2" x14ac:dyDescent="0.2">
      <c r="A1729" s="153" t="s">
        <v>3692</v>
      </c>
      <c r="B1729" s="154" t="s">
        <v>3691</v>
      </c>
    </row>
    <row r="1730" spans="1:2" x14ac:dyDescent="0.2">
      <c r="A1730" s="153" t="s">
        <v>3694</v>
      </c>
      <c r="B1730" s="154" t="s">
        <v>3693</v>
      </c>
    </row>
    <row r="1731" spans="1:2" x14ac:dyDescent="0.2">
      <c r="A1731" s="153" t="s">
        <v>3696</v>
      </c>
      <c r="B1731" s="154" t="s">
        <v>3695</v>
      </c>
    </row>
    <row r="1732" spans="1:2" x14ac:dyDescent="0.2">
      <c r="A1732" s="153" t="s">
        <v>3698</v>
      </c>
      <c r="B1732" s="154" t="s">
        <v>3697</v>
      </c>
    </row>
    <row r="1733" spans="1:2" x14ac:dyDescent="0.2">
      <c r="A1733" s="153" t="s">
        <v>3700</v>
      </c>
      <c r="B1733" s="154" t="s">
        <v>3699</v>
      </c>
    </row>
    <row r="1734" spans="1:2" x14ac:dyDescent="0.2">
      <c r="A1734" s="153" t="s">
        <v>3702</v>
      </c>
      <c r="B1734" s="154" t="s">
        <v>3701</v>
      </c>
    </row>
    <row r="1735" spans="1:2" x14ac:dyDescent="0.2">
      <c r="A1735" s="153" t="s">
        <v>3704</v>
      </c>
      <c r="B1735" s="154" t="s">
        <v>3703</v>
      </c>
    </row>
    <row r="1736" spans="1:2" x14ac:dyDescent="0.2">
      <c r="A1736" s="153" t="s">
        <v>3706</v>
      </c>
      <c r="B1736" s="154" t="s">
        <v>3705</v>
      </c>
    </row>
    <row r="1737" spans="1:2" x14ac:dyDescent="0.2">
      <c r="A1737" s="153" t="s">
        <v>9845</v>
      </c>
      <c r="B1737" s="154" t="s">
        <v>3707</v>
      </c>
    </row>
    <row r="1738" spans="1:2" x14ac:dyDescent="0.2">
      <c r="A1738" s="153" t="s">
        <v>3709</v>
      </c>
      <c r="B1738" s="154" t="s">
        <v>3708</v>
      </c>
    </row>
    <row r="1739" spans="1:2" x14ac:dyDescent="0.2">
      <c r="A1739" s="153" t="s">
        <v>3711</v>
      </c>
      <c r="B1739" s="154" t="s">
        <v>3710</v>
      </c>
    </row>
    <row r="1740" spans="1:2" x14ac:dyDescent="0.2">
      <c r="A1740" s="153" t="s">
        <v>3713</v>
      </c>
      <c r="B1740" s="154" t="s">
        <v>3712</v>
      </c>
    </row>
    <row r="1741" spans="1:2" x14ac:dyDescent="0.2">
      <c r="A1741" s="153" t="s">
        <v>3715</v>
      </c>
      <c r="B1741" s="154" t="s">
        <v>3714</v>
      </c>
    </row>
    <row r="1742" spans="1:2" x14ac:dyDescent="0.2">
      <c r="A1742" s="153" t="s">
        <v>3717</v>
      </c>
      <c r="B1742" s="154" t="s">
        <v>3716</v>
      </c>
    </row>
    <row r="1743" spans="1:2" x14ac:dyDescent="0.2">
      <c r="A1743" s="153" t="s">
        <v>3719</v>
      </c>
      <c r="B1743" s="154" t="s">
        <v>3718</v>
      </c>
    </row>
    <row r="1744" spans="1:2" x14ac:dyDescent="0.2">
      <c r="A1744" s="153" t="s">
        <v>3721</v>
      </c>
      <c r="B1744" s="154" t="s">
        <v>3720</v>
      </c>
    </row>
    <row r="1745" spans="1:2" x14ac:dyDescent="0.2">
      <c r="A1745" s="153" t="s">
        <v>3723</v>
      </c>
      <c r="B1745" s="154" t="s">
        <v>3722</v>
      </c>
    </row>
    <row r="1746" spans="1:2" x14ac:dyDescent="0.2">
      <c r="A1746" s="153" t="s">
        <v>3725</v>
      </c>
      <c r="B1746" s="154" t="s">
        <v>3724</v>
      </c>
    </row>
    <row r="1747" spans="1:2" x14ac:dyDescent="0.2">
      <c r="A1747" s="153" t="s">
        <v>1065</v>
      </c>
      <c r="B1747" s="154" t="s">
        <v>9899</v>
      </c>
    </row>
    <row r="1748" spans="1:2" x14ac:dyDescent="0.2">
      <c r="A1748" s="153" t="s">
        <v>1065</v>
      </c>
      <c r="B1748" s="154" t="s">
        <v>3726</v>
      </c>
    </row>
    <row r="1749" spans="1:2" x14ac:dyDescent="0.2">
      <c r="A1749" s="153" t="s">
        <v>3728</v>
      </c>
      <c r="B1749" s="154" t="s">
        <v>3727</v>
      </c>
    </row>
    <row r="1750" spans="1:2" x14ac:dyDescent="0.2">
      <c r="A1750" s="153" t="s">
        <v>3730</v>
      </c>
      <c r="B1750" s="154" t="s">
        <v>3729</v>
      </c>
    </row>
    <row r="1751" spans="1:2" x14ac:dyDescent="0.2">
      <c r="A1751" s="153" t="s">
        <v>9457</v>
      </c>
      <c r="B1751" s="154" t="s">
        <v>3731</v>
      </c>
    </row>
    <row r="1752" spans="1:2" ht="28.5" x14ac:dyDescent="0.2">
      <c r="A1752" s="153" t="s">
        <v>9458</v>
      </c>
      <c r="B1752" s="154" t="s">
        <v>3732</v>
      </c>
    </row>
    <row r="1753" spans="1:2" ht="28.5" x14ac:dyDescent="0.2">
      <c r="A1753" s="153" t="s">
        <v>3734</v>
      </c>
      <c r="B1753" s="154" t="s">
        <v>3733</v>
      </c>
    </row>
    <row r="1754" spans="1:2" x14ac:dyDescent="0.2">
      <c r="A1754" s="153" t="s">
        <v>3736</v>
      </c>
      <c r="B1754" s="154" t="s">
        <v>3735</v>
      </c>
    </row>
    <row r="1755" spans="1:2" x14ac:dyDescent="0.2">
      <c r="A1755" s="153" t="s">
        <v>3738</v>
      </c>
      <c r="B1755" s="154" t="s">
        <v>3737</v>
      </c>
    </row>
    <row r="1756" spans="1:2" x14ac:dyDescent="0.2">
      <c r="A1756" s="153" t="s">
        <v>3740</v>
      </c>
      <c r="B1756" s="154" t="s">
        <v>3739</v>
      </c>
    </row>
    <row r="1757" spans="1:2" x14ac:dyDescent="0.2">
      <c r="A1757" s="153" t="s">
        <v>3742</v>
      </c>
      <c r="B1757" s="154" t="s">
        <v>3741</v>
      </c>
    </row>
    <row r="1758" spans="1:2" x14ac:dyDescent="0.2">
      <c r="A1758" s="153" t="s">
        <v>3744</v>
      </c>
      <c r="B1758" s="154" t="s">
        <v>3743</v>
      </c>
    </row>
    <row r="1759" spans="1:2" x14ac:dyDescent="0.2">
      <c r="A1759" s="153" t="s">
        <v>3746</v>
      </c>
      <c r="B1759" s="154" t="s">
        <v>3745</v>
      </c>
    </row>
    <row r="1760" spans="1:2" x14ac:dyDescent="0.2">
      <c r="A1760" s="153" t="s">
        <v>3748</v>
      </c>
      <c r="B1760" s="154" t="s">
        <v>3747</v>
      </c>
    </row>
    <row r="1761" spans="1:2" x14ac:dyDescent="0.2">
      <c r="A1761" s="153" t="s">
        <v>3750</v>
      </c>
      <c r="B1761" s="154" t="s">
        <v>3749</v>
      </c>
    </row>
    <row r="1762" spans="1:2" x14ac:dyDescent="0.2">
      <c r="A1762" s="153" t="s">
        <v>3752</v>
      </c>
      <c r="B1762" s="154" t="s">
        <v>3751</v>
      </c>
    </row>
    <row r="1763" spans="1:2" x14ac:dyDescent="0.2">
      <c r="A1763" s="153" t="s">
        <v>3754</v>
      </c>
      <c r="B1763" s="154" t="s">
        <v>3753</v>
      </c>
    </row>
    <row r="1764" spans="1:2" x14ac:dyDescent="0.2">
      <c r="A1764" s="153" t="s">
        <v>3756</v>
      </c>
      <c r="B1764" s="154" t="s">
        <v>3755</v>
      </c>
    </row>
    <row r="1765" spans="1:2" x14ac:dyDescent="0.2">
      <c r="A1765" s="153" t="s">
        <v>3758</v>
      </c>
      <c r="B1765" s="154" t="s">
        <v>3757</v>
      </c>
    </row>
    <row r="1766" spans="1:2" x14ac:dyDescent="0.2">
      <c r="A1766" s="153" t="s">
        <v>3760</v>
      </c>
      <c r="B1766" s="154" t="s">
        <v>3759</v>
      </c>
    </row>
    <row r="1767" spans="1:2" x14ac:dyDescent="0.2">
      <c r="A1767" s="153" t="s">
        <v>3762</v>
      </c>
      <c r="B1767" s="154" t="s">
        <v>3761</v>
      </c>
    </row>
    <row r="1768" spans="1:2" x14ac:dyDescent="0.2">
      <c r="A1768" s="153" t="s">
        <v>3764</v>
      </c>
      <c r="B1768" s="154" t="s">
        <v>3763</v>
      </c>
    </row>
    <row r="1769" spans="1:2" x14ac:dyDescent="0.2">
      <c r="A1769" s="153" t="s">
        <v>3766</v>
      </c>
      <c r="B1769" s="154" t="s">
        <v>3765</v>
      </c>
    </row>
    <row r="1770" spans="1:2" x14ac:dyDescent="0.2">
      <c r="A1770" s="153" t="s">
        <v>3768</v>
      </c>
      <c r="B1770" s="154" t="s">
        <v>3767</v>
      </c>
    </row>
    <row r="1771" spans="1:2" x14ac:dyDescent="0.2">
      <c r="A1771" s="153" t="s">
        <v>3770</v>
      </c>
      <c r="B1771" s="154" t="s">
        <v>3769</v>
      </c>
    </row>
    <row r="1772" spans="1:2" x14ac:dyDescent="0.2">
      <c r="A1772" s="153" t="s">
        <v>3772</v>
      </c>
      <c r="B1772" s="154" t="s">
        <v>3771</v>
      </c>
    </row>
    <row r="1773" spans="1:2" x14ac:dyDescent="0.2">
      <c r="A1773" s="153" t="s">
        <v>3774</v>
      </c>
      <c r="B1773" s="154" t="s">
        <v>3773</v>
      </c>
    </row>
    <row r="1774" spans="1:2" x14ac:dyDescent="0.2">
      <c r="A1774" s="153" t="s">
        <v>3776</v>
      </c>
      <c r="B1774" s="154" t="s">
        <v>3775</v>
      </c>
    </row>
    <row r="1775" spans="1:2" x14ac:dyDescent="0.2">
      <c r="A1775" s="153" t="s">
        <v>3778</v>
      </c>
      <c r="B1775" s="154" t="s">
        <v>3777</v>
      </c>
    </row>
    <row r="1776" spans="1:2" x14ac:dyDescent="0.2">
      <c r="A1776" s="153" t="s">
        <v>3780</v>
      </c>
      <c r="B1776" s="154" t="s">
        <v>3779</v>
      </c>
    </row>
    <row r="1777" spans="1:2" x14ac:dyDescent="0.2">
      <c r="A1777" s="153" t="s">
        <v>3782</v>
      </c>
      <c r="B1777" s="154" t="s">
        <v>3781</v>
      </c>
    </row>
    <row r="1778" spans="1:2" x14ac:dyDescent="0.2">
      <c r="A1778" s="153" t="s">
        <v>3784</v>
      </c>
      <c r="B1778" s="154" t="s">
        <v>3783</v>
      </c>
    </row>
    <row r="1779" spans="1:2" x14ac:dyDescent="0.2">
      <c r="A1779" s="153" t="s">
        <v>3786</v>
      </c>
      <c r="B1779" s="154" t="s">
        <v>3785</v>
      </c>
    </row>
    <row r="1780" spans="1:2" x14ac:dyDescent="0.2">
      <c r="A1780" s="153" t="s">
        <v>3788</v>
      </c>
      <c r="B1780" s="154" t="s">
        <v>3787</v>
      </c>
    </row>
    <row r="1781" spans="1:2" x14ac:dyDescent="0.2">
      <c r="A1781" s="153" t="s">
        <v>3790</v>
      </c>
      <c r="B1781" s="154" t="s">
        <v>3789</v>
      </c>
    </row>
    <row r="1782" spans="1:2" x14ac:dyDescent="0.2">
      <c r="A1782" s="153" t="s">
        <v>3792</v>
      </c>
      <c r="B1782" s="154" t="s">
        <v>3791</v>
      </c>
    </row>
    <row r="1783" spans="1:2" x14ac:dyDescent="0.2">
      <c r="A1783" s="153" t="s">
        <v>3794</v>
      </c>
      <c r="B1783" s="154" t="s">
        <v>3793</v>
      </c>
    </row>
    <row r="1784" spans="1:2" x14ac:dyDescent="0.2">
      <c r="A1784" s="153" t="s">
        <v>3796</v>
      </c>
      <c r="B1784" s="154" t="s">
        <v>3795</v>
      </c>
    </row>
    <row r="1785" spans="1:2" x14ac:dyDescent="0.2">
      <c r="A1785" s="153" t="s">
        <v>3798</v>
      </c>
      <c r="B1785" s="154" t="s">
        <v>3797</v>
      </c>
    </row>
    <row r="1786" spans="1:2" x14ac:dyDescent="0.2">
      <c r="A1786" s="153" t="s">
        <v>3800</v>
      </c>
      <c r="B1786" s="154" t="s">
        <v>3799</v>
      </c>
    </row>
    <row r="1787" spans="1:2" x14ac:dyDescent="0.2">
      <c r="A1787" s="153" t="s">
        <v>3802</v>
      </c>
      <c r="B1787" s="154" t="s">
        <v>3801</v>
      </c>
    </row>
    <row r="1788" spans="1:2" x14ac:dyDescent="0.2">
      <c r="A1788" s="153" t="s">
        <v>3804</v>
      </c>
      <c r="B1788" s="154" t="s">
        <v>3803</v>
      </c>
    </row>
    <row r="1789" spans="1:2" x14ac:dyDescent="0.2">
      <c r="A1789" s="153" t="s">
        <v>3806</v>
      </c>
      <c r="B1789" s="154" t="s">
        <v>3805</v>
      </c>
    </row>
    <row r="1790" spans="1:2" x14ac:dyDescent="0.2">
      <c r="A1790" s="153" t="s">
        <v>3808</v>
      </c>
      <c r="B1790" s="154" t="s">
        <v>3807</v>
      </c>
    </row>
    <row r="1791" spans="1:2" x14ac:dyDescent="0.2">
      <c r="A1791" s="153" t="s">
        <v>3810</v>
      </c>
      <c r="B1791" s="154" t="s">
        <v>3809</v>
      </c>
    </row>
    <row r="1792" spans="1:2" x14ac:dyDescent="0.2">
      <c r="A1792" s="153" t="s">
        <v>3812</v>
      </c>
      <c r="B1792" s="154" t="s">
        <v>3811</v>
      </c>
    </row>
    <row r="1793" spans="1:2" x14ac:dyDescent="0.2">
      <c r="A1793" s="153" t="s">
        <v>3814</v>
      </c>
      <c r="B1793" s="154" t="s">
        <v>3813</v>
      </c>
    </row>
    <row r="1794" spans="1:2" x14ac:dyDescent="0.2">
      <c r="A1794" s="153" t="s">
        <v>3816</v>
      </c>
      <c r="B1794" s="154" t="s">
        <v>3815</v>
      </c>
    </row>
    <row r="1795" spans="1:2" x14ac:dyDescent="0.2">
      <c r="A1795" s="153" t="s">
        <v>3818</v>
      </c>
      <c r="B1795" s="154" t="s">
        <v>3817</v>
      </c>
    </row>
    <row r="1796" spans="1:2" x14ac:dyDescent="0.2">
      <c r="A1796" s="153" t="s">
        <v>3820</v>
      </c>
      <c r="B1796" s="154" t="s">
        <v>3819</v>
      </c>
    </row>
    <row r="1797" spans="1:2" x14ac:dyDescent="0.2">
      <c r="A1797" s="153" t="s">
        <v>3822</v>
      </c>
      <c r="B1797" s="154" t="s">
        <v>3821</v>
      </c>
    </row>
    <row r="1798" spans="1:2" x14ac:dyDescent="0.2">
      <c r="A1798" s="153" t="s">
        <v>3824</v>
      </c>
      <c r="B1798" s="154" t="s">
        <v>3823</v>
      </c>
    </row>
    <row r="1799" spans="1:2" x14ac:dyDescent="0.2">
      <c r="A1799" s="153" t="s">
        <v>3826</v>
      </c>
      <c r="B1799" s="154" t="s">
        <v>3825</v>
      </c>
    </row>
    <row r="1800" spans="1:2" x14ac:dyDescent="0.2">
      <c r="A1800" s="153" t="s">
        <v>3828</v>
      </c>
      <c r="B1800" s="154" t="s">
        <v>3827</v>
      </c>
    </row>
    <row r="1801" spans="1:2" x14ac:dyDescent="0.2">
      <c r="A1801" s="153" t="s">
        <v>3830</v>
      </c>
      <c r="B1801" s="154" t="s">
        <v>3829</v>
      </c>
    </row>
    <row r="1802" spans="1:2" x14ac:dyDescent="0.2">
      <c r="A1802" s="153" t="s">
        <v>3832</v>
      </c>
      <c r="B1802" s="154" t="s">
        <v>3831</v>
      </c>
    </row>
    <row r="1803" spans="1:2" x14ac:dyDescent="0.2">
      <c r="A1803" s="153" t="s">
        <v>3834</v>
      </c>
      <c r="B1803" s="154" t="s">
        <v>3833</v>
      </c>
    </row>
    <row r="1804" spans="1:2" x14ac:dyDescent="0.2">
      <c r="A1804" s="153" t="s">
        <v>3836</v>
      </c>
      <c r="B1804" s="154" t="s">
        <v>3835</v>
      </c>
    </row>
    <row r="1805" spans="1:2" x14ac:dyDescent="0.2">
      <c r="A1805" s="153" t="s">
        <v>3838</v>
      </c>
      <c r="B1805" s="154" t="s">
        <v>3837</v>
      </c>
    </row>
    <row r="1806" spans="1:2" x14ac:dyDescent="0.2">
      <c r="A1806" s="153" t="s">
        <v>3840</v>
      </c>
      <c r="B1806" s="154" t="s">
        <v>3839</v>
      </c>
    </row>
    <row r="1807" spans="1:2" x14ac:dyDescent="0.2">
      <c r="A1807" s="153" t="s">
        <v>3842</v>
      </c>
      <c r="B1807" s="154" t="s">
        <v>3841</v>
      </c>
    </row>
    <row r="1808" spans="1:2" x14ac:dyDescent="0.2">
      <c r="A1808" s="153" t="s">
        <v>3844</v>
      </c>
      <c r="B1808" s="154" t="s">
        <v>3843</v>
      </c>
    </row>
    <row r="1809" spans="1:2" x14ac:dyDescent="0.2">
      <c r="A1809" s="153" t="s">
        <v>3846</v>
      </c>
      <c r="B1809" s="154" t="s">
        <v>3845</v>
      </c>
    </row>
    <row r="1810" spans="1:2" x14ac:dyDescent="0.2">
      <c r="A1810" s="153" t="s">
        <v>3848</v>
      </c>
      <c r="B1810" s="154" t="s">
        <v>3847</v>
      </c>
    </row>
    <row r="1811" spans="1:2" x14ac:dyDescent="0.2">
      <c r="A1811" s="153" t="s">
        <v>3850</v>
      </c>
      <c r="B1811" s="154" t="s">
        <v>3849</v>
      </c>
    </row>
    <row r="1812" spans="1:2" x14ac:dyDescent="0.2">
      <c r="A1812" s="153" t="s">
        <v>3852</v>
      </c>
      <c r="B1812" s="154" t="s">
        <v>3851</v>
      </c>
    </row>
    <row r="1813" spans="1:2" x14ac:dyDescent="0.2">
      <c r="A1813" s="153" t="s">
        <v>3854</v>
      </c>
      <c r="B1813" s="154" t="s">
        <v>3853</v>
      </c>
    </row>
    <row r="1814" spans="1:2" x14ac:dyDescent="0.2">
      <c r="A1814" s="153" t="s">
        <v>3856</v>
      </c>
      <c r="B1814" s="154" t="s">
        <v>3855</v>
      </c>
    </row>
    <row r="1815" spans="1:2" x14ac:dyDescent="0.2">
      <c r="A1815" s="153" t="s">
        <v>3858</v>
      </c>
      <c r="B1815" s="154" t="s">
        <v>3857</v>
      </c>
    </row>
    <row r="1816" spans="1:2" x14ac:dyDescent="0.2">
      <c r="A1816" s="153" t="s">
        <v>3860</v>
      </c>
      <c r="B1816" s="154" t="s">
        <v>3859</v>
      </c>
    </row>
    <row r="1817" spans="1:2" x14ac:dyDescent="0.2">
      <c r="A1817" s="153" t="s">
        <v>3862</v>
      </c>
      <c r="B1817" s="154" t="s">
        <v>3861</v>
      </c>
    </row>
    <row r="1818" spans="1:2" x14ac:dyDescent="0.2">
      <c r="A1818" s="153" t="s">
        <v>3864</v>
      </c>
      <c r="B1818" s="154" t="s">
        <v>3863</v>
      </c>
    </row>
    <row r="1819" spans="1:2" x14ac:dyDescent="0.2">
      <c r="A1819" s="153" t="s">
        <v>1065</v>
      </c>
      <c r="B1819" s="154" t="s">
        <v>3865</v>
      </c>
    </row>
    <row r="1820" spans="1:2" x14ac:dyDescent="0.2">
      <c r="A1820" s="153" t="s">
        <v>9459</v>
      </c>
      <c r="B1820" s="154" t="s">
        <v>3866</v>
      </c>
    </row>
    <row r="1821" spans="1:2" ht="28.5" x14ac:dyDescent="0.2">
      <c r="A1821" s="153" t="s">
        <v>9460</v>
      </c>
      <c r="B1821" s="154" t="s">
        <v>3867</v>
      </c>
    </row>
    <row r="1822" spans="1:2" ht="28.5" x14ac:dyDescent="0.2">
      <c r="A1822" s="153" t="s">
        <v>3869</v>
      </c>
      <c r="B1822" s="154" t="s">
        <v>3868</v>
      </c>
    </row>
    <row r="1823" spans="1:2" x14ac:dyDescent="0.2">
      <c r="A1823" s="153" t="s">
        <v>3871</v>
      </c>
      <c r="B1823" s="154" t="s">
        <v>3870</v>
      </c>
    </row>
    <row r="1824" spans="1:2" x14ac:dyDescent="0.2">
      <c r="A1824" s="153" t="s">
        <v>3873</v>
      </c>
      <c r="B1824" s="154" t="s">
        <v>3872</v>
      </c>
    </row>
    <row r="1825" spans="1:2" x14ac:dyDescent="0.2">
      <c r="A1825" s="153" t="s">
        <v>3875</v>
      </c>
      <c r="B1825" s="154" t="s">
        <v>3874</v>
      </c>
    </row>
    <row r="1826" spans="1:2" x14ac:dyDescent="0.2">
      <c r="A1826" s="153" t="s">
        <v>3877</v>
      </c>
      <c r="B1826" s="154" t="s">
        <v>3876</v>
      </c>
    </row>
    <row r="1827" spans="1:2" x14ac:dyDescent="0.2">
      <c r="A1827" s="153" t="s">
        <v>3879</v>
      </c>
      <c r="B1827" s="154" t="s">
        <v>3878</v>
      </c>
    </row>
    <row r="1828" spans="1:2" x14ac:dyDescent="0.2">
      <c r="A1828" s="153" t="s">
        <v>3881</v>
      </c>
      <c r="B1828" s="154" t="s">
        <v>3880</v>
      </c>
    </row>
    <row r="1829" spans="1:2" x14ac:dyDescent="0.2">
      <c r="A1829" s="153" t="s">
        <v>3883</v>
      </c>
      <c r="B1829" s="154" t="s">
        <v>3882</v>
      </c>
    </row>
    <row r="1830" spans="1:2" x14ac:dyDescent="0.2">
      <c r="A1830" s="153" t="s">
        <v>3885</v>
      </c>
      <c r="B1830" s="154" t="s">
        <v>3884</v>
      </c>
    </row>
    <row r="1831" spans="1:2" x14ac:dyDescent="0.2">
      <c r="A1831" s="153" t="s">
        <v>3887</v>
      </c>
      <c r="B1831" s="154" t="s">
        <v>3886</v>
      </c>
    </row>
    <row r="1832" spans="1:2" x14ac:dyDescent="0.2">
      <c r="A1832" s="153" t="s">
        <v>3889</v>
      </c>
      <c r="B1832" s="154" t="s">
        <v>3888</v>
      </c>
    </row>
    <row r="1833" spans="1:2" x14ac:dyDescent="0.2">
      <c r="A1833" s="153" t="s">
        <v>3891</v>
      </c>
      <c r="B1833" s="154" t="s">
        <v>3890</v>
      </c>
    </row>
    <row r="1834" spans="1:2" x14ac:dyDescent="0.2">
      <c r="A1834" s="153" t="s">
        <v>3893</v>
      </c>
      <c r="B1834" s="154" t="s">
        <v>3892</v>
      </c>
    </row>
    <row r="1835" spans="1:2" x14ac:dyDescent="0.2">
      <c r="A1835" s="153" t="s">
        <v>3895</v>
      </c>
      <c r="B1835" s="154" t="s">
        <v>3894</v>
      </c>
    </row>
    <row r="1836" spans="1:2" x14ac:dyDescent="0.2">
      <c r="A1836" s="153" t="s">
        <v>3897</v>
      </c>
      <c r="B1836" s="154" t="s">
        <v>3896</v>
      </c>
    </row>
    <row r="1837" spans="1:2" x14ac:dyDescent="0.2">
      <c r="A1837" s="153" t="s">
        <v>3899</v>
      </c>
      <c r="B1837" s="154" t="s">
        <v>3898</v>
      </c>
    </row>
    <row r="1838" spans="1:2" x14ac:dyDescent="0.2">
      <c r="A1838" s="153" t="s">
        <v>3901</v>
      </c>
      <c r="B1838" s="154" t="s">
        <v>3900</v>
      </c>
    </row>
    <row r="1839" spans="1:2" x14ac:dyDescent="0.2">
      <c r="A1839" s="153" t="s">
        <v>3903</v>
      </c>
      <c r="B1839" s="154" t="s">
        <v>3902</v>
      </c>
    </row>
    <row r="1840" spans="1:2" x14ac:dyDescent="0.2">
      <c r="A1840" s="153" t="s">
        <v>3905</v>
      </c>
      <c r="B1840" s="154" t="s">
        <v>3904</v>
      </c>
    </row>
    <row r="1841" spans="1:2" x14ac:dyDescent="0.2">
      <c r="A1841" s="153" t="s">
        <v>1065</v>
      </c>
      <c r="B1841" s="154" t="s">
        <v>9900</v>
      </c>
    </row>
    <row r="1842" spans="1:2" x14ac:dyDescent="0.2">
      <c r="A1842" s="153" t="s">
        <v>9846</v>
      </c>
      <c r="B1842" s="154" t="s">
        <v>3906</v>
      </c>
    </row>
    <row r="1843" spans="1:2" ht="28.5" x14ac:dyDescent="0.2">
      <c r="A1843" s="153" t="s">
        <v>9461</v>
      </c>
      <c r="B1843" s="154" t="s">
        <v>3907</v>
      </c>
    </row>
    <row r="1844" spans="1:2" ht="28.5" x14ac:dyDescent="0.2">
      <c r="A1844" s="153" t="s">
        <v>3909</v>
      </c>
      <c r="B1844" s="154" t="s">
        <v>3908</v>
      </c>
    </row>
    <row r="1845" spans="1:2" x14ac:dyDescent="0.2">
      <c r="A1845" s="153" t="s">
        <v>3911</v>
      </c>
      <c r="B1845" s="154" t="s">
        <v>3910</v>
      </c>
    </row>
    <row r="1846" spans="1:2" x14ac:dyDescent="0.2">
      <c r="A1846" s="153" t="s">
        <v>3913</v>
      </c>
      <c r="B1846" s="154" t="s">
        <v>3912</v>
      </c>
    </row>
    <row r="1847" spans="1:2" x14ac:dyDescent="0.2">
      <c r="A1847" s="153" t="s">
        <v>1065</v>
      </c>
      <c r="B1847" s="154" t="s">
        <v>9901</v>
      </c>
    </row>
    <row r="1848" spans="1:2" x14ac:dyDescent="0.2">
      <c r="A1848" s="153" t="s">
        <v>3915</v>
      </c>
      <c r="B1848" s="154" t="s">
        <v>3914</v>
      </c>
    </row>
    <row r="1849" spans="1:2" x14ac:dyDescent="0.2">
      <c r="A1849" s="153" t="s">
        <v>3917</v>
      </c>
      <c r="B1849" s="154" t="s">
        <v>3916</v>
      </c>
    </row>
    <row r="1850" spans="1:2" x14ac:dyDescent="0.2">
      <c r="A1850" s="153" t="s">
        <v>3919</v>
      </c>
      <c r="B1850" s="154" t="s">
        <v>3918</v>
      </c>
    </row>
    <row r="1851" spans="1:2" x14ac:dyDescent="0.2">
      <c r="A1851" s="153" t="s">
        <v>1065</v>
      </c>
      <c r="B1851" s="154" t="s">
        <v>9902</v>
      </c>
    </row>
    <row r="1852" spans="1:2" x14ac:dyDescent="0.2">
      <c r="A1852" s="153" t="s">
        <v>3921</v>
      </c>
      <c r="B1852" s="154" t="s">
        <v>3920</v>
      </c>
    </row>
    <row r="1853" spans="1:2" x14ac:dyDescent="0.2">
      <c r="A1853" s="153" t="s">
        <v>3923</v>
      </c>
      <c r="B1853" s="154" t="s">
        <v>3922</v>
      </c>
    </row>
    <row r="1854" spans="1:2" x14ac:dyDescent="0.2">
      <c r="A1854" s="153" t="s">
        <v>3925</v>
      </c>
      <c r="B1854" s="154" t="s">
        <v>3924</v>
      </c>
    </row>
    <row r="1855" spans="1:2" x14ac:dyDescent="0.2">
      <c r="A1855" s="153" t="s">
        <v>3927</v>
      </c>
      <c r="B1855" s="154" t="s">
        <v>3926</v>
      </c>
    </row>
    <row r="1856" spans="1:2" x14ac:dyDescent="0.2">
      <c r="A1856" s="153" t="s">
        <v>3929</v>
      </c>
      <c r="B1856" s="154" t="s">
        <v>3928</v>
      </c>
    </row>
    <row r="1857" spans="1:2" x14ac:dyDescent="0.2">
      <c r="A1857" s="153" t="s">
        <v>3931</v>
      </c>
      <c r="B1857" s="154" t="s">
        <v>3930</v>
      </c>
    </row>
    <row r="1858" spans="1:2" x14ac:dyDescent="0.2">
      <c r="A1858" s="153" t="s">
        <v>9847</v>
      </c>
      <c r="B1858" s="154" t="s">
        <v>3932</v>
      </c>
    </row>
    <row r="1859" spans="1:2" x14ac:dyDescent="0.2">
      <c r="A1859" s="153" t="s">
        <v>3934</v>
      </c>
      <c r="B1859" s="154" t="s">
        <v>3933</v>
      </c>
    </row>
    <row r="1860" spans="1:2" x14ac:dyDescent="0.2">
      <c r="A1860" s="153" t="s">
        <v>3936</v>
      </c>
      <c r="B1860" s="154" t="s">
        <v>3935</v>
      </c>
    </row>
    <row r="1861" spans="1:2" x14ac:dyDescent="0.2">
      <c r="A1861" s="153" t="s">
        <v>3938</v>
      </c>
      <c r="B1861" s="154" t="s">
        <v>3937</v>
      </c>
    </row>
    <row r="1862" spans="1:2" x14ac:dyDescent="0.2">
      <c r="A1862" s="153" t="s">
        <v>3940</v>
      </c>
      <c r="B1862" s="154" t="s">
        <v>3939</v>
      </c>
    </row>
    <row r="1863" spans="1:2" x14ac:dyDescent="0.2">
      <c r="A1863" s="153" t="s">
        <v>3942</v>
      </c>
      <c r="B1863" s="154" t="s">
        <v>3941</v>
      </c>
    </row>
    <row r="1864" spans="1:2" x14ac:dyDescent="0.2">
      <c r="A1864" s="153" t="s">
        <v>3944</v>
      </c>
      <c r="B1864" s="154" t="s">
        <v>3943</v>
      </c>
    </row>
    <row r="1865" spans="1:2" x14ac:dyDescent="0.2">
      <c r="A1865" s="153" t="s">
        <v>3946</v>
      </c>
      <c r="B1865" s="154" t="s">
        <v>3945</v>
      </c>
    </row>
    <row r="1866" spans="1:2" x14ac:dyDescent="0.2">
      <c r="A1866" s="153" t="s">
        <v>3948</v>
      </c>
      <c r="B1866" s="154" t="s">
        <v>3947</v>
      </c>
    </row>
    <row r="1867" spans="1:2" x14ac:dyDescent="0.2">
      <c r="A1867" s="153" t="s">
        <v>3950</v>
      </c>
      <c r="B1867" s="154" t="s">
        <v>3949</v>
      </c>
    </row>
    <row r="1868" spans="1:2" x14ac:dyDescent="0.2">
      <c r="A1868" s="153" t="s">
        <v>3952</v>
      </c>
      <c r="B1868" s="154" t="s">
        <v>3951</v>
      </c>
    </row>
    <row r="1869" spans="1:2" x14ac:dyDescent="0.2">
      <c r="A1869" s="153" t="s">
        <v>3954</v>
      </c>
      <c r="B1869" s="154" t="s">
        <v>3953</v>
      </c>
    </row>
    <row r="1870" spans="1:2" x14ac:dyDescent="0.2">
      <c r="A1870" s="153" t="s">
        <v>3956</v>
      </c>
      <c r="B1870" s="154" t="s">
        <v>3955</v>
      </c>
    </row>
    <row r="1871" spans="1:2" x14ac:dyDescent="0.2">
      <c r="A1871" s="153" t="s">
        <v>3958</v>
      </c>
      <c r="B1871" s="154" t="s">
        <v>3957</v>
      </c>
    </row>
    <row r="1872" spans="1:2" x14ac:dyDescent="0.2">
      <c r="A1872" s="153" t="s">
        <v>3960</v>
      </c>
      <c r="B1872" s="154" t="s">
        <v>3959</v>
      </c>
    </row>
    <row r="1873" spans="1:2" x14ac:dyDescent="0.2">
      <c r="A1873" s="153" t="s">
        <v>3962</v>
      </c>
      <c r="B1873" s="154" t="s">
        <v>3961</v>
      </c>
    </row>
    <row r="1874" spans="1:2" x14ac:dyDescent="0.2">
      <c r="A1874" s="153" t="s">
        <v>3964</v>
      </c>
      <c r="B1874" s="154" t="s">
        <v>3963</v>
      </c>
    </row>
    <row r="1875" spans="1:2" x14ac:dyDescent="0.2">
      <c r="A1875" s="153" t="s">
        <v>3966</v>
      </c>
      <c r="B1875" s="154" t="s">
        <v>3965</v>
      </c>
    </row>
    <row r="1876" spans="1:2" x14ac:dyDescent="0.2">
      <c r="A1876" s="153" t="s">
        <v>3968</v>
      </c>
      <c r="B1876" s="154" t="s">
        <v>3967</v>
      </c>
    </row>
    <row r="1877" spans="1:2" x14ac:dyDescent="0.2">
      <c r="A1877" s="153" t="s">
        <v>3970</v>
      </c>
      <c r="B1877" s="154" t="s">
        <v>3969</v>
      </c>
    </row>
    <row r="1878" spans="1:2" x14ac:dyDescent="0.2">
      <c r="A1878" s="153" t="s">
        <v>3972</v>
      </c>
      <c r="B1878" s="154" t="s">
        <v>3971</v>
      </c>
    </row>
    <row r="1879" spans="1:2" x14ac:dyDescent="0.2">
      <c r="A1879" s="153" t="s">
        <v>3974</v>
      </c>
      <c r="B1879" s="154" t="s">
        <v>3973</v>
      </c>
    </row>
    <row r="1880" spans="1:2" x14ac:dyDescent="0.2">
      <c r="A1880" s="153" t="s">
        <v>3976</v>
      </c>
      <c r="B1880" s="154" t="s">
        <v>3975</v>
      </c>
    </row>
    <row r="1881" spans="1:2" x14ac:dyDescent="0.2">
      <c r="A1881" s="153" t="s">
        <v>3978</v>
      </c>
      <c r="B1881" s="154" t="s">
        <v>3977</v>
      </c>
    </row>
    <row r="1882" spans="1:2" x14ac:dyDescent="0.2">
      <c r="A1882" s="153" t="s">
        <v>3980</v>
      </c>
      <c r="B1882" s="154" t="s">
        <v>3979</v>
      </c>
    </row>
    <row r="1883" spans="1:2" x14ac:dyDescent="0.2">
      <c r="A1883" s="153" t="s">
        <v>3982</v>
      </c>
      <c r="B1883" s="154" t="s">
        <v>3981</v>
      </c>
    </row>
    <row r="1884" spans="1:2" x14ac:dyDescent="0.2">
      <c r="A1884" s="153" t="s">
        <v>3984</v>
      </c>
      <c r="B1884" s="154" t="s">
        <v>3983</v>
      </c>
    </row>
    <row r="1885" spans="1:2" x14ac:dyDescent="0.2">
      <c r="A1885" s="153" t="s">
        <v>3986</v>
      </c>
      <c r="B1885" s="154" t="s">
        <v>3985</v>
      </c>
    </row>
    <row r="1886" spans="1:2" x14ac:dyDescent="0.2">
      <c r="A1886" s="153" t="s">
        <v>3988</v>
      </c>
      <c r="B1886" s="154" t="s">
        <v>3987</v>
      </c>
    </row>
    <row r="1887" spans="1:2" x14ac:dyDescent="0.2">
      <c r="A1887" s="153" t="s">
        <v>3990</v>
      </c>
      <c r="B1887" s="154" t="s">
        <v>3989</v>
      </c>
    </row>
    <row r="1888" spans="1:2" x14ac:dyDescent="0.2">
      <c r="A1888" s="153" t="s">
        <v>3992</v>
      </c>
      <c r="B1888" s="154" t="s">
        <v>3991</v>
      </c>
    </row>
    <row r="1889" spans="1:2" x14ac:dyDescent="0.2">
      <c r="A1889" s="153" t="s">
        <v>3994</v>
      </c>
      <c r="B1889" s="154" t="s">
        <v>3993</v>
      </c>
    </row>
    <row r="1890" spans="1:2" x14ac:dyDescent="0.2">
      <c r="A1890" s="153" t="s">
        <v>3996</v>
      </c>
      <c r="B1890" s="154" t="s">
        <v>3995</v>
      </c>
    </row>
    <row r="1891" spans="1:2" x14ac:dyDescent="0.2">
      <c r="A1891" s="153" t="s">
        <v>3998</v>
      </c>
      <c r="B1891" s="154" t="s">
        <v>3997</v>
      </c>
    </row>
    <row r="1892" spans="1:2" x14ac:dyDescent="0.2">
      <c r="A1892" s="153" t="s">
        <v>4000</v>
      </c>
      <c r="B1892" s="154" t="s">
        <v>3999</v>
      </c>
    </row>
    <row r="1893" spans="1:2" x14ac:dyDescent="0.2">
      <c r="A1893" s="153" t="s">
        <v>4002</v>
      </c>
      <c r="B1893" s="154" t="s">
        <v>4001</v>
      </c>
    </row>
    <row r="1894" spans="1:2" x14ac:dyDescent="0.2">
      <c r="A1894" s="153" t="s">
        <v>4004</v>
      </c>
      <c r="B1894" s="154" t="s">
        <v>4003</v>
      </c>
    </row>
    <row r="1895" spans="1:2" x14ac:dyDescent="0.2">
      <c r="A1895" s="153" t="s">
        <v>4006</v>
      </c>
      <c r="B1895" s="154" t="s">
        <v>4005</v>
      </c>
    </row>
    <row r="1896" spans="1:2" x14ac:dyDescent="0.2">
      <c r="A1896" s="153" t="s">
        <v>4008</v>
      </c>
      <c r="B1896" s="154" t="s">
        <v>4007</v>
      </c>
    </row>
    <row r="1897" spans="1:2" x14ac:dyDescent="0.2">
      <c r="A1897" s="153" t="s">
        <v>4010</v>
      </c>
      <c r="B1897" s="154" t="s">
        <v>4009</v>
      </c>
    </row>
    <row r="1898" spans="1:2" x14ac:dyDescent="0.2">
      <c r="A1898" s="153" t="s">
        <v>4012</v>
      </c>
      <c r="B1898" s="154" t="s">
        <v>4011</v>
      </c>
    </row>
    <row r="1899" spans="1:2" x14ac:dyDescent="0.2">
      <c r="A1899" s="153" t="s">
        <v>4014</v>
      </c>
      <c r="B1899" s="154" t="s">
        <v>4013</v>
      </c>
    </row>
    <row r="1900" spans="1:2" x14ac:dyDescent="0.2">
      <c r="A1900" s="153" t="s">
        <v>4016</v>
      </c>
      <c r="B1900" s="154" t="s">
        <v>4015</v>
      </c>
    </row>
    <row r="1901" spans="1:2" x14ac:dyDescent="0.2">
      <c r="A1901" s="153" t="s">
        <v>4018</v>
      </c>
      <c r="B1901" s="154" t="s">
        <v>4017</v>
      </c>
    </row>
    <row r="1902" spans="1:2" x14ac:dyDescent="0.2">
      <c r="A1902" s="153" t="s">
        <v>4020</v>
      </c>
      <c r="B1902" s="154" t="s">
        <v>4019</v>
      </c>
    </row>
    <row r="1903" spans="1:2" x14ac:dyDescent="0.2">
      <c r="A1903" s="153" t="s">
        <v>4022</v>
      </c>
      <c r="B1903" s="154" t="s">
        <v>4021</v>
      </c>
    </row>
    <row r="1904" spans="1:2" x14ac:dyDescent="0.2">
      <c r="A1904" s="153" t="s">
        <v>4024</v>
      </c>
      <c r="B1904" s="154" t="s">
        <v>4023</v>
      </c>
    </row>
    <row r="1905" spans="1:2" x14ac:dyDescent="0.2">
      <c r="A1905" s="153" t="s">
        <v>4026</v>
      </c>
      <c r="B1905" s="154" t="s">
        <v>4025</v>
      </c>
    </row>
    <row r="1906" spans="1:2" x14ac:dyDescent="0.2">
      <c r="A1906" s="153" t="s">
        <v>4028</v>
      </c>
      <c r="B1906" s="154" t="s">
        <v>4027</v>
      </c>
    </row>
    <row r="1907" spans="1:2" x14ac:dyDescent="0.2">
      <c r="A1907" s="153" t="s">
        <v>4030</v>
      </c>
      <c r="B1907" s="154" t="s">
        <v>4029</v>
      </c>
    </row>
    <row r="1908" spans="1:2" x14ac:dyDescent="0.2">
      <c r="A1908" s="153" t="s">
        <v>4032</v>
      </c>
      <c r="B1908" s="154" t="s">
        <v>4031</v>
      </c>
    </row>
    <row r="1909" spans="1:2" x14ac:dyDescent="0.2">
      <c r="A1909" s="153" t="s">
        <v>4034</v>
      </c>
      <c r="B1909" s="154" t="s">
        <v>4033</v>
      </c>
    </row>
    <row r="1910" spans="1:2" x14ac:dyDescent="0.2">
      <c r="A1910" s="153" t="s">
        <v>4036</v>
      </c>
      <c r="B1910" s="154" t="s">
        <v>4035</v>
      </c>
    </row>
    <row r="1911" spans="1:2" x14ac:dyDescent="0.2">
      <c r="A1911" s="153" t="s">
        <v>4038</v>
      </c>
      <c r="B1911" s="154" t="s">
        <v>4037</v>
      </c>
    </row>
    <row r="1912" spans="1:2" x14ac:dyDescent="0.2">
      <c r="A1912" s="153" t="s">
        <v>4040</v>
      </c>
      <c r="B1912" s="154" t="s">
        <v>4039</v>
      </c>
    </row>
    <row r="1913" spans="1:2" x14ac:dyDescent="0.2">
      <c r="A1913" s="153" t="s">
        <v>4042</v>
      </c>
      <c r="B1913" s="154" t="s">
        <v>4041</v>
      </c>
    </row>
    <row r="1914" spans="1:2" x14ac:dyDescent="0.2">
      <c r="A1914" s="153" t="s">
        <v>4044</v>
      </c>
      <c r="B1914" s="154" t="s">
        <v>4043</v>
      </c>
    </row>
    <row r="1915" spans="1:2" x14ac:dyDescent="0.2">
      <c r="A1915" s="153" t="s">
        <v>4046</v>
      </c>
      <c r="B1915" s="154" t="s">
        <v>4045</v>
      </c>
    </row>
    <row r="1916" spans="1:2" x14ac:dyDescent="0.2">
      <c r="A1916" s="153" t="s">
        <v>4048</v>
      </c>
      <c r="B1916" s="154" t="s">
        <v>4047</v>
      </c>
    </row>
    <row r="1917" spans="1:2" x14ac:dyDescent="0.2">
      <c r="A1917" s="153" t="s">
        <v>4050</v>
      </c>
      <c r="B1917" s="154" t="s">
        <v>4049</v>
      </c>
    </row>
    <row r="1918" spans="1:2" x14ac:dyDescent="0.2">
      <c r="A1918" s="153" t="s">
        <v>4052</v>
      </c>
      <c r="B1918" s="154" t="s">
        <v>4051</v>
      </c>
    </row>
    <row r="1919" spans="1:2" x14ac:dyDescent="0.2">
      <c r="A1919" s="153" t="s">
        <v>9848</v>
      </c>
      <c r="B1919" s="154" t="s">
        <v>4053</v>
      </c>
    </row>
    <row r="1920" spans="1:2" x14ac:dyDescent="0.2">
      <c r="A1920" s="153" t="s">
        <v>4055</v>
      </c>
      <c r="B1920" s="154" t="s">
        <v>4054</v>
      </c>
    </row>
    <row r="1921" spans="1:2" x14ac:dyDescent="0.2">
      <c r="A1921" s="153" t="s">
        <v>4057</v>
      </c>
      <c r="B1921" s="154" t="s">
        <v>4056</v>
      </c>
    </row>
    <row r="1922" spans="1:2" x14ac:dyDescent="0.2">
      <c r="A1922" s="153" t="s">
        <v>4059</v>
      </c>
      <c r="B1922" s="154" t="s">
        <v>4058</v>
      </c>
    </row>
    <row r="1923" spans="1:2" x14ac:dyDescent="0.2">
      <c r="A1923" s="153" t="s">
        <v>4061</v>
      </c>
      <c r="B1923" s="154" t="s">
        <v>4060</v>
      </c>
    </row>
    <row r="1924" spans="1:2" x14ac:dyDescent="0.2">
      <c r="A1924" s="153" t="s">
        <v>4063</v>
      </c>
      <c r="B1924" s="154" t="s">
        <v>4062</v>
      </c>
    </row>
    <row r="1925" spans="1:2" x14ac:dyDescent="0.2">
      <c r="A1925" s="153" t="s">
        <v>4065</v>
      </c>
      <c r="B1925" s="154" t="s">
        <v>4064</v>
      </c>
    </row>
    <row r="1926" spans="1:2" x14ac:dyDescent="0.2">
      <c r="A1926" s="153" t="s">
        <v>4067</v>
      </c>
      <c r="B1926" s="154" t="s">
        <v>4066</v>
      </c>
    </row>
    <row r="1927" spans="1:2" x14ac:dyDescent="0.2">
      <c r="A1927" s="153" t="s">
        <v>4069</v>
      </c>
      <c r="B1927" s="154" t="s">
        <v>4068</v>
      </c>
    </row>
    <row r="1928" spans="1:2" x14ac:dyDescent="0.2">
      <c r="A1928" s="153" t="s">
        <v>4071</v>
      </c>
      <c r="B1928" s="154" t="s">
        <v>4070</v>
      </c>
    </row>
    <row r="1929" spans="1:2" x14ac:dyDescent="0.2">
      <c r="A1929" s="153" t="s">
        <v>4073</v>
      </c>
      <c r="B1929" s="154" t="s">
        <v>4072</v>
      </c>
    </row>
    <row r="1930" spans="1:2" x14ac:dyDescent="0.2">
      <c r="A1930" s="153" t="s">
        <v>4075</v>
      </c>
      <c r="B1930" s="154" t="s">
        <v>4074</v>
      </c>
    </row>
    <row r="1931" spans="1:2" x14ac:dyDescent="0.2">
      <c r="A1931" s="153" t="s">
        <v>4077</v>
      </c>
      <c r="B1931" s="154" t="s">
        <v>4076</v>
      </c>
    </row>
    <row r="1932" spans="1:2" x14ac:dyDescent="0.2">
      <c r="A1932" s="153" t="s">
        <v>4079</v>
      </c>
      <c r="B1932" s="154" t="s">
        <v>4078</v>
      </c>
    </row>
    <row r="1933" spans="1:2" x14ac:dyDescent="0.2">
      <c r="A1933" s="153" t="s">
        <v>4081</v>
      </c>
      <c r="B1933" s="154" t="s">
        <v>4080</v>
      </c>
    </row>
    <row r="1934" spans="1:2" x14ac:dyDescent="0.2">
      <c r="A1934" s="153" t="s">
        <v>4083</v>
      </c>
      <c r="B1934" s="154" t="s">
        <v>4082</v>
      </c>
    </row>
    <row r="1935" spans="1:2" x14ac:dyDescent="0.2">
      <c r="A1935" s="153" t="s">
        <v>4085</v>
      </c>
      <c r="B1935" s="154" t="s">
        <v>4084</v>
      </c>
    </row>
    <row r="1936" spans="1:2" x14ac:dyDescent="0.2">
      <c r="A1936" s="153" t="s">
        <v>4087</v>
      </c>
      <c r="B1936" s="154" t="s">
        <v>4086</v>
      </c>
    </row>
    <row r="1937" spans="1:2" x14ac:dyDescent="0.2">
      <c r="A1937" s="153" t="s">
        <v>4089</v>
      </c>
      <c r="B1937" s="154" t="s">
        <v>4088</v>
      </c>
    </row>
    <row r="1938" spans="1:2" x14ac:dyDescent="0.2">
      <c r="A1938" s="153" t="s">
        <v>4091</v>
      </c>
      <c r="B1938" s="154" t="s">
        <v>4090</v>
      </c>
    </row>
    <row r="1939" spans="1:2" x14ac:dyDescent="0.2">
      <c r="A1939" s="153" t="s">
        <v>4093</v>
      </c>
      <c r="B1939" s="154" t="s">
        <v>4092</v>
      </c>
    </row>
    <row r="1940" spans="1:2" x14ac:dyDescent="0.2">
      <c r="A1940" s="153" t="s">
        <v>4095</v>
      </c>
      <c r="B1940" s="154" t="s">
        <v>4094</v>
      </c>
    </row>
    <row r="1941" spans="1:2" x14ac:dyDescent="0.2">
      <c r="A1941" s="153" t="s">
        <v>4097</v>
      </c>
      <c r="B1941" s="154" t="s">
        <v>4096</v>
      </c>
    </row>
    <row r="1942" spans="1:2" x14ac:dyDescent="0.2">
      <c r="A1942" s="153" t="s">
        <v>4099</v>
      </c>
      <c r="B1942" s="154" t="s">
        <v>4098</v>
      </c>
    </row>
    <row r="1943" spans="1:2" x14ac:dyDescent="0.2">
      <c r="A1943" s="153" t="s">
        <v>4101</v>
      </c>
      <c r="B1943" s="154" t="s">
        <v>4100</v>
      </c>
    </row>
    <row r="1944" spans="1:2" x14ac:dyDescent="0.2">
      <c r="A1944" s="153" t="s">
        <v>4103</v>
      </c>
      <c r="B1944" s="154" t="s">
        <v>4102</v>
      </c>
    </row>
    <row r="1945" spans="1:2" x14ac:dyDescent="0.2">
      <c r="A1945" s="153" t="s">
        <v>4105</v>
      </c>
      <c r="B1945" s="154" t="s">
        <v>4104</v>
      </c>
    </row>
    <row r="1946" spans="1:2" x14ac:dyDescent="0.2">
      <c r="A1946" s="153" t="s">
        <v>4107</v>
      </c>
      <c r="B1946" s="154" t="s">
        <v>4106</v>
      </c>
    </row>
    <row r="1947" spans="1:2" x14ac:dyDescent="0.2">
      <c r="A1947" s="153" t="s">
        <v>4109</v>
      </c>
      <c r="B1947" s="154" t="s">
        <v>4108</v>
      </c>
    </row>
    <row r="1948" spans="1:2" x14ac:dyDescent="0.2">
      <c r="A1948" s="153" t="s">
        <v>4111</v>
      </c>
      <c r="B1948" s="154" t="s">
        <v>4110</v>
      </c>
    </row>
    <row r="1949" spans="1:2" x14ac:dyDescent="0.2">
      <c r="A1949" s="153" t="s">
        <v>1065</v>
      </c>
      <c r="B1949" s="154" t="s">
        <v>4112</v>
      </c>
    </row>
    <row r="1950" spans="1:2" x14ac:dyDescent="0.2">
      <c r="A1950" s="153" t="s">
        <v>1065</v>
      </c>
      <c r="B1950" s="154" t="s">
        <v>4113</v>
      </c>
    </row>
    <row r="1951" spans="1:2" x14ac:dyDescent="0.2">
      <c r="A1951" s="153" t="s">
        <v>4115</v>
      </c>
      <c r="B1951" s="154" t="s">
        <v>4114</v>
      </c>
    </row>
    <row r="1952" spans="1:2" x14ac:dyDescent="0.2">
      <c r="A1952" s="153" t="s">
        <v>4117</v>
      </c>
      <c r="B1952" s="154" t="s">
        <v>4116</v>
      </c>
    </row>
    <row r="1953" spans="1:2" x14ac:dyDescent="0.2">
      <c r="A1953" s="153" t="s">
        <v>4119</v>
      </c>
      <c r="B1953" s="154" t="s">
        <v>4118</v>
      </c>
    </row>
    <row r="1954" spans="1:2" x14ac:dyDescent="0.2">
      <c r="A1954" s="153" t="s">
        <v>9849</v>
      </c>
      <c r="B1954" s="154" t="s">
        <v>4120</v>
      </c>
    </row>
    <row r="1955" spans="1:2" x14ac:dyDescent="0.2">
      <c r="A1955" s="153" t="s">
        <v>4122</v>
      </c>
      <c r="B1955" s="154" t="s">
        <v>4121</v>
      </c>
    </row>
    <row r="1956" spans="1:2" x14ac:dyDescent="0.2">
      <c r="A1956" s="153" t="s">
        <v>4124</v>
      </c>
      <c r="B1956" s="154" t="s">
        <v>4123</v>
      </c>
    </row>
    <row r="1957" spans="1:2" x14ac:dyDescent="0.2">
      <c r="A1957" s="153" t="s">
        <v>4126</v>
      </c>
      <c r="B1957" s="154" t="s">
        <v>4125</v>
      </c>
    </row>
    <row r="1958" spans="1:2" x14ac:dyDescent="0.2">
      <c r="A1958" s="153" t="s">
        <v>4128</v>
      </c>
      <c r="B1958" s="154" t="s">
        <v>4127</v>
      </c>
    </row>
    <row r="1959" spans="1:2" x14ac:dyDescent="0.2">
      <c r="A1959" s="153" t="s">
        <v>4130</v>
      </c>
      <c r="B1959" s="154" t="s">
        <v>4129</v>
      </c>
    </row>
    <row r="1960" spans="1:2" x14ac:dyDescent="0.2">
      <c r="A1960" s="153" t="s">
        <v>9850</v>
      </c>
      <c r="B1960" s="154" t="s">
        <v>4131</v>
      </c>
    </row>
    <row r="1961" spans="1:2" x14ac:dyDescent="0.2">
      <c r="A1961" s="153" t="s">
        <v>4133</v>
      </c>
      <c r="B1961" s="154" t="s">
        <v>4132</v>
      </c>
    </row>
    <row r="1962" spans="1:2" x14ac:dyDescent="0.2">
      <c r="A1962" s="153" t="s">
        <v>4135</v>
      </c>
      <c r="B1962" s="154" t="s">
        <v>4134</v>
      </c>
    </row>
    <row r="1963" spans="1:2" x14ac:dyDescent="0.2">
      <c r="A1963" s="153" t="s">
        <v>1065</v>
      </c>
      <c r="B1963" s="154" t="s">
        <v>4136</v>
      </c>
    </row>
    <row r="1964" spans="1:2" x14ac:dyDescent="0.2">
      <c r="A1964" s="153" t="s">
        <v>4138</v>
      </c>
      <c r="B1964" s="154" t="s">
        <v>4137</v>
      </c>
    </row>
    <row r="1965" spans="1:2" x14ac:dyDescent="0.2">
      <c r="A1965" s="153" t="s">
        <v>4140</v>
      </c>
      <c r="B1965" s="154" t="s">
        <v>4139</v>
      </c>
    </row>
    <row r="1966" spans="1:2" x14ac:dyDescent="0.2">
      <c r="A1966" s="153" t="s">
        <v>4142</v>
      </c>
      <c r="B1966" s="154" t="s">
        <v>4141</v>
      </c>
    </row>
    <row r="1967" spans="1:2" x14ac:dyDescent="0.2">
      <c r="A1967" s="153" t="s">
        <v>1065</v>
      </c>
      <c r="B1967" s="154" t="s">
        <v>4143</v>
      </c>
    </row>
    <row r="1968" spans="1:2" x14ac:dyDescent="0.2">
      <c r="A1968" s="153" t="s">
        <v>4145</v>
      </c>
      <c r="B1968" s="154" t="s">
        <v>4144</v>
      </c>
    </row>
    <row r="1969" spans="1:2" x14ac:dyDescent="0.2">
      <c r="A1969" s="153" t="s">
        <v>4147</v>
      </c>
      <c r="B1969" s="154" t="s">
        <v>4146</v>
      </c>
    </row>
    <row r="1970" spans="1:2" x14ac:dyDescent="0.2">
      <c r="A1970" s="153" t="s">
        <v>4149</v>
      </c>
      <c r="B1970" s="154" t="s">
        <v>4148</v>
      </c>
    </row>
    <row r="1971" spans="1:2" x14ac:dyDescent="0.2">
      <c r="A1971" s="153" t="s">
        <v>4151</v>
      </c>
      <c r="B1971" s="154" t="s">
        <v>4150</v>
      </c>
    </row>
    <row r="1972" spans="1:2" x14ac:dyDescent="0.2">
      <c r="A1972" s="153" t="s">
        <v>4153</v>
      </c>
      <c r="B1972" s="154" t="s">
        <v>4152</v>
      </c>
    </row>
    <row r="1973" spans="1:2" x14ac:dyDescent="0.2">
      <c r="A1973" s="153" t="s">
        <v>4155</v>
      </c>
      <c r="B1973" s="154" t="s">
        <v>4154</v>
      </c>
    </row>
    <row r="1974" spans="1:2" x14ac:dyDescent="0.2">
      <c r="A1974" s="153" t="s">
        <v>4157</v>
      </c>
      <c r="B1974" s="154" t="s">
        <v>4156</v>
      </c>
    </row>
    <row r="1975" spans="1:2" x14ac:dyDescent="0.2">
      <c r="A1975" s="153" t="s">
        <v>4159</v>
      </c>
      <c r="B1975" s="154" t="s">
        <v>4158</v>
      </c>
    </row>
    <row r="1976" spans="1:2" x14ac:dyDescent="0.2">
      <c r="A1976" s="153" t="s">
        <v>4161</v>
      </c>
      <c r="B1976" s="154" t="s">
        <v>4160</v>
      </c>
    </row>
    <row r="1977" spans="1:2" x14ac:dyDescent="0.2">
      <c r="A1977" s="153" t="s">
        <v>4163</v>
      </c>
      <c r="B1977" s="154" t="s">
        <v>4162</v>
      </c>
    </row>
    <row r="1978" spans="1:2" x14ac:dyDescent="0.2">
      <c r="A1978" s="153" t="s">
        <v>1065</v>
      </c>
      <c r="B1978" s="154" t="s">
        <v>4164</v>
      </c>
    </row>
    <row r="1979" spans="1:2" x14ac:dyDescent="0.2">
      <c r="A1979" s="153" t="s">
        <v>1065</v>
      </c>
      <c r="B1979" s="154" t="s">
        <v>4165</v>
      </c>
    </row>
    <row r="1980" spans="1:2" x14ac:dyDescent="0.2">
      <c r="A1980" s="153" t="s">
        <v>4167</v>
      </c>
      <c r="B1980" s="154" t="s">
        <v>4166</v>
      </c>
    </row>
    <row r="1981" spans="1:2" x14ac:dyDescent="0.2">
      <c r="A1981" s="153" t="s">
        <v>4169</v>
      </c>
      <c r="B1981" s="154" t="s">
        <v>4168</v>
      </c>
    </row>
    <row r="1982" spans="1:2" x14ac:dyDescent="0.2">
      <c r="A1982" s="153" t="s">
        <v>4171</v>
      </c>
      <c r="B1982" s="154" t="s">
        <v>4170</v>
      </c>
    </row>
    <row r="1983" spans="1:2" x14ac:dyDescent="0.2">
      <c r="A1983" s="153" t="s">
        <v>4173</v>
      </c>
      <c r="B1983" s="154" t="s">
        <v>4172</v>
      </c>
    </row>
    <row r="1984" spans="1:2" x14ac:dyDescent="0.2">
      <c r="A1984" s="153" t="s">
        <v>1065</v>
      </c>
      <c r="B1984" s="154" t="s">
        <v>4174</v>
      </c>
    </row>
    <row r="1985" spans="1:2" x14ac:dyDescent="0.2">
      <c r="A1985" s="153" t="s">
        <v>1065</v>
      </c>
      <c r="B1985" s="154" t="s">
        <v>4175</v>
      </c>
    </row>
    <row r="1986" spans="1:2" x14ac:dyDescent="0.2">
      <c r="A1986" s="153" t="s">
        <v>4177</v>
      </c>
      <c r="B1986" s="154" t="s">
        <v>4176</v>
      </c>
    </row>
    <row r="1987" spans="1:2" x14ac:dyDescent="0.2">
      <c r="A1987" s="153" t="s">
        <v>4179</v>
      </c>
      <c r="B1987" s="154" t="s">
        <v>4178</v>
      </c>
    </row>
    <row r="1988" spans="1:2" x14ac:dyDescent="0.2">
      <c r="A1988" s="153" t="s">
        <v>4181</v>
      </c>
      <c r="B1988" s="154" t="s">
        <v>4180</v>
      </c>
    </row>
    <row r="1989" spans="1:2" x14ac:dyDescent="0.2">
      <c r="A1989" s="153" t="s">
        <v>4183</v>
      </c>
      <c r="B1989" s="154" t="s">
        <v>4182</v>
      </c>
    </row>
    <row r="1990" spans="1:2" x14ac:dyDescent="0.2">
      <c r="A1990" s="153" t="s">
        <v>4185</v>
      </c>
      <c r="B1990" s="154" t="s">
        <v>4184</v>
      </c>
    </row>
    <row r="1991" spans="1:2" x14ac:dyDescent="0.2">
      <c r="A1991" s="153" t="s">
        <v>1065</v>
      </c>
      <c r="B1991" s="154" t="s">
        <v>4186</v>
      </c>
    </row>
    <row r="1992" spans="1:2" x14ac:dyDescent="0.2">
      <c r="A1992" s="153" t="s">
        <v>4188</v>
      </c>
      <c r="B1992" s="154" t="s">
        <v>4187</v>
      </c>
    </row>
    <row r="1993" spans="1:2" x14ac:dyDescent="0.2">
      <c r="A1993" s="153" t="s">
        <v>4190</v>
      </c>
      <c r="B1993" s="154" t="s">
        <v>4189</v>
      </c>
    </row>
    <row r="1994" spans="1:2" x14ac:dyDescent="0.2">
      <c r="A1994" s="153" t="s">
        <v>4192</v>
      </c>
      <c r="B1994" s="154" t="s">
        <v>4191</v>
      </c>
    </row>
    <row r="1995" spans="1:2" x14ac:dyDescent="0.2">
      <c r="A1995" s="153" t="s">
        <v>4194</v>
      </c>
      <c r="B1995" s="154" t="s">
        <v>4193</v>
      </c>
    </row>
    <row r="1996" spans="1:2" x14ac:dyDescent="0.2">
      <c r="A1996" s="153" t="s">
        <v>4196</v>
      </c>
      <c r="B1996" s="154" t="s">
        <v>4195</v>
      </c>
    </row>
    <row r="1997" spans="1:2" x14ac:dyDescent="0.2">
      <c r="A1997" s="153" t="s">
        <v>4198</v>
      </c>
      <c r="B1997" s="154" t="s">
        <v>4197</v>
      </c>
    </row>
    <row r="1998" spans="1:2" x14ac:dyDescent="0.2">
      <c r="A1998" s="153" t="s">
        <v>4200</v>
      </c>
      <c r="B1998" s="154" t="s">
        <v>4199</v>
      </c>
    </row>
    <row r="1999" spans="1:2" x14ac:dyDescent="0.2">
      <c r="A1999" s="153" t="s">
        <v>4202</v>
      </c>
      <c r="B1999" s="154" t="s">
        <v>4201</v>
      </c>
    </row>
    <row r="2000" spans="1:2" x14ac:dyDescent="0.2">
      <c r="A2000" s="153" t="s">
        <v>4204</v>
      </c>
      <c r="B2000" s="154" t="s">
        <v>4203</v>
      </c>
    </row>
    <row r="2001" spans="1:2" x14ac:dyDescent="0.2">
      <c r="A2001" s="153" t="s">
        <v>1065</v>
      </c>
      <c r="B2001" s="154" t="s">
        <v>4205</v>
      </c>
    </row>
    <row r="2002" spans="1:2" x14ac:dyDescent="0.2">
      <c r="A2002" s="153" t="s">
        <v>4207</v>
      </c>
      <c r="B2002" s="154" t="s">
        <v>4206</v>
      </c>
    </row>
    <row r="2003" spans="1:2" x14ac:dyDescent="0.2">
      <c r="A2003" s="153" t="s">
        <v>4209</v>
      </c>
      <c r="B2003" s="154" t="s">
        <v>4208</v>
      </c>
    </row>
    <row r="2004" spans="1:2" x14ac:dyDescent="0.2">
      <c r="A2004" s="153" t="s">
        <v>4211</v>
      </c>
      <c r="B2004" s="154" t="s">
        <v>4210</v>
      </c>
    </row>
    <row r="2005" spans="1:2" x14ac:dyDescent="0.2">
      <c r="A2005" s="153" t="s">
        <v>4213</v>
      </c>
      <c r="B2005" s="154" t="s">
        <v>4212</v>
      </c>
    </row>
    <row r="2006" spans="1:2" x14ac:dyDescent="0.2">
      <c r="A2006" s="153" t="s">
        <v>4215</v>
      </c>
      <c r="B2006" s="154" t="s">
        <v>4214</v>
      </c>
    </row>
    <row r="2007" spans="1:2" x14ac:dyDescent="0.2">
      <c r="A2007" s="153" t="s">
        <v>4217</v>
      </c>
      <c r="B2007" s="154" t="s">
        <v>4216</v>
      </c>
    </row>
    <row r="2008" spans="1:2" x14ac:dyDescent="0.2">
      <c r="A2008" s="153" t="s">
        <v>4219</v>
      </c>
      <c r="B2008" s="154" t="s">
        <v>4218</v>
      </c>
    </row>
    <row r="2009" spans="1:2" x14ac:dyDescent="0.2">
      <c r="A2009" s="153" t="s">
        <v>4221</v>
      </c>
      <c r="B2009" s="154" t="s">
        <v>4220</v>
      </c>
    </row>
    <row r="2010" spans="1:2" x14ac:dyDescent="0.2">
      <c r="A2010" s="153" t="s">
        <v>4223</v>
      </c>
      <c r="B2010" s="154" t="s">
        <v>4222</v>
      </c>
    </row>
    <row r="2011" spans="1:2" x14ac:dyDescent="0.2">
      <c r="A2011" s="153" t="s">
        <v>4225</v>
      </c>
      <c r="B2011" s="154" t="s">
        <v>4224</v>
      </c>
    </row>
    <row r="2012" spans="1:2" x14ac:dyDescent="0.2">
      <c r="A2012" s="153" t="s">
        <v>4227</v>
      </c>
      <c r="B2012" s="154" t="s">
        <v>4226</v>
      </c>
    </row>
    <row r="2013" spans="1:2" x14ac:dyDescent="0.2">
      <c r="A2013" s="153" t="s">
        <v>4229</v>
      </c>
      <c r="B2013" s="154" t="s">
        <v>4228</v>
      </c>
    </row>
    <row r="2014" spans="1:2" x14ac:dyDescent="0.2">
      <c r="A2014" s="153" t="s">
        <v>4231</v>
      </c>
      <c r="B2014" s="154" t="s">
        <v>4230</v>
      </c>
    </row>
    <row r="2015" spans="1:2" x14ac:dyDescent="0.2">
      <c r="A2015" s="153" t="s">
        <v>4233</v>
      </c>
      <c r="B2015" s="154" t="s">
        <v>4232</v>
      </c>
    </row>
    <row r="2016" spans="1:2" x14ac:dyDescent="0.2">
      <c r="A2016" s="153" t="s">
        <v>4235</v>
      </c>
      <c r="B2016" s="154" t="s">
        <v>4234</v>
      </c>
    </row>
    <row r="2017" spans="1:2" x14ac:dyDescent="0.2">
      <c r="A2017" s="153" t="s">
        <v>4237</v>
      </c>
      <c r="B2017" s="154" t="s">
        <v>4236</v>
      </c>
    </row>
    <row r="2018" spans="1:2" x14ac:dyDescent="0.2">
      <c r="A2018" s="153" t="s">
        <v>4239</v>
      </c>
      <c r="B2018" s="154" t="s">
        <v>4238</v>
      </c>
    </row>
    <row r="2019" spans="1:2" x14ac:dyDescent="0.2">
      <c r="A2019" s="153" t="s">
        <v>4241</v>
      </c>
      <c r="B2019" s="154" t="s">
        <v>4240</v>
      </c>
    </row>
    <row r="2020" spans="1:2" x14ac:dyDescent="0.2">
      <c r="A2020" s="153" t="s">
        <v>4243</v>
      </c>
      <c r="B2020" s="154" t="s">
        <v>4242</v>
      </c>
    </row>
    <row r="2021" spans="1:2" x14ac:dyDescent="0.2">
      <c r="A2021" s="153" t="s">
        <v>4245</v>
      </c>
      <c r="B2021" s="154" t="s">
        <v>4244</v>
      </c>
    </row>
    <row r="2022" spans="1:2" x14ac:dyDescent="0.2">
      <c r="A2022" s="153" t="s">
        <v>4247</v>
      </c>
      <c r="B2022" s="154" t="s">
        <v>4246</v>
      </c>
    </row>
    <row r="2023" spans="1:2" x14ac:dyDescent="0.2">
      <c r="A2023" s="153" t="s">
        <v>4249</v>
      </c>
      <c r="B2023" s="154" t="s">
        <v>4248</v>
      </c>
    </row>
    <row r="2024" spans="1:2" x14ac:dyDescent="0.2">
      <c r="A2024" s="153" t="s">
        <v>4251</v>
      </c>
      <c r="B2024" s="154" t="s">
        <v>4250</v>
      </c>
    </row>
    <row r="2025" spans="1:2" x14ac:dyDescent="0.2">
      <c r="A2025" s="153" t="s">
        <v>4253</v>
      </c>
      <c r="B2025" s="154" t="s">
        <v>4252</v>
      </c>
    </row>
    <row r="2026" spans="1:2" x14ac:dyDescent="0.2">
      <c r="A2026" s="153" t="s">
        <v>4255</v>
      </c>
      <c r="B2026" s="154" t="s">
        <v>4254</v>
      </c>
    </row>
    <row r="2027" spans="1:2" x14ac:dyDescent="0.2">
      <c r="A2027" s="153" t="s">
        <v>4257</v>
      </c>
      <c r="B2027" s="154" t="s">
        <v>4256</v>
      </c>
    </row>
    <row r="2028" spans="1:2" x14ac:dyDescent="0.2">
      <c r="A2028" s="153" t="s">
        <v>4259</v>
      </c>
      <c r="B2028" s="154" t="s">
        <v>4258</v>
      </c>
    </row>
    <row r="2029" spans="1:2" x14ac:dyDescent="0.2">
      <c r="A2029" s="153" t="s">
        <v>4261</v>
      </c>
      <c r="B2029" s="154" t="s">
        <v>4260</v>
      </c>
    </row>
    <row r="2030" spans="1:2" x14ac:dyDescent="0.2">
      <c r="A2030" s="153" t="s">
        <v>4263</v>
      </c>
      <c r="B2030" s="154" t="s">
        <v>4262</v>
      </c>
    </row>
    <row r="2031" spans="1:2" x14ac:dyDescent="0.2">
      <c r="A2031" s="153" t="s">
        <v>4265</v>
      </c>
      <c r="B2031" s="154" t="s">
        <v>4264</v>
      </c>
    </row>
    <row r="2032" spans="1:2" x14ac:dyDescent="0.2">
      <c r="A2032" s="153" t="s">
        <v>4267</v>
      </c>
      <c r="B2032" s="154" t="s">
        <v>4266</v>
      </c>
    </row>
    <row r="2033" spans="1:2" x14ac:dyDescent="0.2">
      <c r="A2033" s="153" t="s">
        <v>4269</v>
      </c>
      <c r="B2033" s="154" t="s">
        <v>4268</v>
      </c>
    </row>
    <row r="2034" spans="1:2" x14ac:dyDescent="0.2">
      <c r="A2034" s="153" t="s">
        <v>4271</v>
      </c>
      <c r="B2034" s="154" t="s">
        <v>4270</v>
      </c>
    </row>
    <row r="2035" spans="1:2" x14ac:dyDescent="0.2">
      <c r="A2035" s="153" t="s">
        <v>4273</v>
      </c>
      <c r="B2035" s="154" t="s">
        <v>4272</v>
      </c>
    </row>
    <row r="2036" spans="1:2" x14ac:dyDescent="0.2">
      <c r="A2036" s="153" t="s">
        <v>4275</v>
      </c>
      <c r="B2036" s="154" t="s">
        <v>4274</v>
      </c>
    </row>
    <row r="2037" spans="1:2" x14ac:dyDescent="0.2">
      <c r="A2037" s="153" t="s">
        <v>4277</v>
      </c>
      <c r="B2037" s="154" t="s">
        <v>4276</v>
      </c>
    </row>
    <row r="2038" spans="1:2" x14ac:dyDescent="0.2">
      <c r="A2038" s="153" t="s">
        <v>4279</v>
      </c>
      <c r="B2038" s="154" t="s">
        <v>4278</v>
      </c>
    </row>
    <row r="2039" spans="1:2" x14ac:dyDescent="0.2">
      <c r="A2039" s="153" t="s">
        <v>4281</v>
      </c>
      <c r="B2039" s="154" t="s">
        <v>4280</v>
      </c>
    </row>
    <row r="2040" spans="1:2" x14ac:dyDescent="0.2">
      <c r="A2040" s="153" t="s">
        <v>4283</v>
      </c>
      <c r="B2040" s="154" t="s">
        <v>4282</v>
      </c>
    </row>
    <row r="2041" spans="1:2" x14ac:dyDescent="0.2">
      <c r="A2041" s="153" t="s">
        <v>4285</v>
      </c>
      <c r="B2041" s="154" t="s">
        <v>4284</v>
      </c>
    </row>
    <row r="2042" spans="1:2" x14ac:dyDescent="0.2">
      <c r="A2042" s="153" t="s">
        <v>4287</v>
      </c>
      <c r="B2042" s="154" t="s">
        <v>4286</v>
      </c>
    </row>
    <row r="2043" spans="1:2" x14ac:dyDescent="0.2">
      <c r="A2043" s="153" t="s">
        <v>4289</v>
      </c>
      <c r="B2043" s="154" t="s">
        <v>4288</v>
      </c>
    </row>
    <row r="2044" spans="1:2" x14ac:dyDescent="0.2">
      <c r="A2044" s="153" t="s">
        <v>4291</v>
      </c>
      <c r="B2044" s="154" t="s">
        <v>4290</v>
      </c>
    </row>
    <row r="2045" spans="1:2" x14ac:dyDescent="0.2">
      <c r="A2045" s="153" t="s">
        <v>4293</v>
      </c>
      <c r="B2045" s="154" t="s">
        <v>4292</v>
      </c>
    </row>
    <row r="2046" spans="1:2" x14ac:dyDescent="0.2">
      <c r="A2046" s="153" t="s">
        <v>4295</v>
      </c>
      <c r="B2046" s="154" t="s">
        <v>4294</v>
      </c>
    </row>
    <row r="2047" spans="1:2" x14ac:dyDescent="0.2">
      <c r="A2047" s="153" t="s">
        <v>4297</v>
      </c>
      <c r="B2047" s="154" t="s">
        <v>4296</v>
      </c>
    </row>
    <row r="2048" spans="1:2" x14ac:dyDescent="0.2">
      <c r="A2048" s="153" t="s">
        <v>4299</v>
      </c>
      <c r="B2048" s="154" t="s">
        <v>4298</v>
      </c>
    </row>
    <row r="2049" spans="1:2" x14ac:dyDescent="0.2">
      <c r="A2049" s="153" t="s">
        <v>4301</v>
      </c>
      <c r="B2049" s="154" t="s">
        <v>4300</v>
      </c>
    </row>
    <row r="2050" spans="1:2" x14ac:dyDescent="0.2">
      <c r="A2050" s="153" t="s">
        <v>4303</v>
      </c>
      <c r="B2050" s="154" t="s">
        <v>4302</v>
      </c>
    </row>
    <row r="2051" spans="1:2" x14ac:dyDescent="0.2">
      <c r="A2051" s="153" t="s">
        <v>4305</v>
      </c>
      <c r="B2051" s="154" t="s">
        <v>4304</v>
      </c>
    </row>
    <row r="2052" spans="1:2" x14ac:dyDescent="0.2">
      <c r="A2052" s="153" t="s">
        <v>4307</v>
      </c>
      <c r="B2052" s="154" t="s">
        <v>4306</v>
      </c>
    </row>
    <row r="2053" spans="1:2" x14ac:dyDescent="0.2">
      <c r="A2053" s="153" t="s">
        <v>1065</v>
      </c>
      <c r="B2053" s="154" t="s">
        <v>4308</v>
      </c>
    </row>
    <row r="2054" spans="1:2" x14ac:dyDescent="0.2">
      <c r="A2054" s="153" t="s">
        <v>4310</v>
      </c>
      <c r="B2054" s="154" t="s">
        <v>4309</v>
      </c>
    </row>
    <row r="2055" spans="1:2" x14ac:dyDescent="0.2">
      <c r="A2055" s="153" t="s">
        <v>4312</v>
      </c>
      <c r="B2055" s="154" t="s">
        <v>4311</v>
      </c>
    </row>
    <row r="2056" spans="1:2" x14ac:dyDescent="0.2">
      <c r="A2056" s="153" t="s">
        <v>4314</v>
      </c>
      <c r="B2056" s="154" t="s">
        <v>4313</v>
      </c>
    </row>
    <row r="2057" spans="1:2" x14ac:dyDescent="0.2">
      <c r="A2057" s="153" t="s">
        <v>4316</v>
      </c>
      <c r="B2057" s="154" t="s">
        <v>4315</v>
      </c>
    </row>
    <row r="2058" spans="1:2" x14ac:dyDescent="0.2">
      <c r="A2058" s="153" t="s">
        <v>4318</v>
      </c>
      <c r="B2058" s="154" t="s">
        <v>4317</v>
      </c>
    </row>
    <row r="2059" spans="1:2" x14ac:dyDescent="0.2">
      <c r="A2059" s="153" t="s">
        <v>4320</v>
      </c>
      <c r="B2059" s="154" t="s">
        <v>4319</v>
      </c>
    </row>
    <row r="2060" spans="1:2" x14ac:dyDescent="0.2">
      <c r="A2060" s="153" t="s">
        <v>4322</v>
      </c>
      <c r="B2060" s="154" t="s">
        <v>4321</v>
      </c>
    </row>
    <row r="2061" spans="1:2" x14ac:dyDescent="0.2">
      <c r="A2061" s="153" t="s">
        <v>4324</v>
      </c>
      <c r="B2061" s="154" t="s">
        <v>4323</v>
      </c>
    </row>
    <row r="2062" spans="1:2" x14ac:dyDescent="0.2">
      <c r="A2062" s="153" t="s">
        <v>4326</v>
      </c>
      <c r="B2062" s="154" t="s">
        <v>4325</v>
      </c>
    </row>
    <row r="2063" spans="1:2" x14ac:dyDescent="0.2">
      <c r="A2063" s="153" t="s">
        <v>4328</v>
      </c>
      <c r="B2063" s="154" t="s">
        <v>4327</v>
      </c>
    </row>
    <row r="2064" spans="1:2" x14ac:dyDescent="0.2">
      <c r="A2064" s="153" t="s">
        <v>4330</v>
      </c>
      <c r="B2064" s="154" t="s">
        <v>4329</v>
      </c>
    </row>
    <row r="2065" spans="1:2" x14ac:dyDescent="0.2">
      <c r="A2065" s="153" t="s">
        <v>4332</v>
      </c>
      <c r="B2065" s="154" t="s">
        <v>4331</v>
      </c>
    </row>
    <row r="2066" spans="1:2" x14ac:dyDescent="0.2">
      <c r="A2066" s="153" t="s">
        <v>4334</v>
      </c>
      <c r="B2066" s="154" t="s">
        <v>4333</v>
      </c>
    </row>
    <row r="2067" spans="1:2" x14ac:dyDescent="0.2">
      <c r="A2067" s="153" t="s">
        <v>1065</v>
      </c>
      <c r="B2067" s="154" t="s">
        <v>4335</v>
      </c>
    </row>
    <row r="2068" spans="1:2" x14ac:dyDescent="0.2">
      <c r="A2068" s="153" t="s">
        <v>4337</v>
      </c>
      <c r="B2068" s="154" t="s">
        <v>4336</v>
      </c>
    </row>
    <row r="2069" spans="1:2" x14ac:dyDescent="0.2">
      <c r="A2069" s="153" t="s">
        <v>4339</v>
      </c>
      <c r="B2069" s="154" t="s">
        <v>4338</v>
      </c>
    </row>
    <row r="2070" spans="1:2" x14ac:dyDescent="0.2">
      <c r="A2070" s="153" t="s">
        <v>4341</v>
      </c>
      <c r="B2070" s="154" t="s">
        <v>4340</v>
      </c>
    </row>
    <row r="2071" spans="1:2" x14ac:dyDescent="0.2">
      <c r="A2071" s="153" t="s">
        <v>4343</v>
      </c>
      <c r="B2071" s="154" t="s">
        <v>4342</v>
      </c>
    </row>
    <row r="2072" spans="1:2" x14ac:dyDescent="0.2">
      <c r="A2072" s="153" t="s">
        <v>1065</v>
      </c>
      <c r="B2072" s="154" t="s">
        <v>4344</v>
      </c>
    </row>
    <row r="2073" spans="1:2" x14ac:dyDescent="0.2">
      <c r="A2073" s="153" t="s">
        <v>4346</v>
      </c>
      <c r="B2073" s="154" t="s">
        <v>4345</v>
      </c>
    </row>
    <row r="2074" spans="1:2" x14ac:dyDescent="0.2">
      <c r="A2074" s="153" t="s">
        <v>4348</v>
      </c>
      <c r="B2074" s="154" t="s">
        <v>4347</v>
      </c>
    </row>
    <row r="2075" spans="1:2" x14ac:dyDescent="0.2">
      <c r="A2075" s="153" t="s">
        <v>4350</v>
      </c>
      <c r="B2075" s="154" t="s">
        <v>4349</v>
      </c>
    </row>
    <row r="2076" spans="1:2" x14ac:dyDescent="0.2">
      <c r="A2076" s="153" t="s">
        <v>4352</v>
      </c>
      <c r="B2076" s="154" t="s">
        <v>4351</v>
      </c>
    </row>
    <row r="2077" spans="1:2" x14ac:dyDescent="0.2">
      <c r="A2077" s="153" t="s">
        <v>1065</v>
      </c>
      <c r="B2077" s="154" t="s">
        <v>4353</v>
      </c>
    </row>
    <row r="2078" spans="1:2" x14ac:dyDescent="0.2">
      <c r="A2078" s="153" t="s">
        <v>4355</v>
      </c>
      <c r="B2078" s="154" t="s">
        <v>4354</v>
      </c>
    </row>
    <row r="2079" spans="1:2" x14ac:dyDescent="0.2">
      <c r="A2079" s="153" t="s">
        <v>1065</v>
      </c>
      <c r="B2079" s="154" t="s">
        <v>4356</v>
      </c>
    </row>
    <row r="2080" spans="1:2" x14ac:dyDescent="0.2">
      <c r="A2080" s="153" t="s">
        <v>1065</v>
      </c>
      <c r="B2080" s="154" t="s">
        <v>4357</v>
      </c>
    </row>
    <row r="2081" spans="1:2" x14ac:dyDescent="0.2">
      <c r="A2081" s="153" t="s">
        <v>4359</v>
      </c>
      <c r="B2081" s="154" t="s">
        <v>4358</v>
      </c>
    </row>
    <row r="2082" spans="1:2" x14ac:dyDescent="0.2">
      <c r="A2082" s="153" t="s">
        <v>4361</v>
      </c>
      <c r="B2082" s="154" t="s">
        <v>4360</v>
      </c>
    </row>
    <row r="2083" spans="1:2" x14ac:dyDescent="0.2">
      <c r="A2083" s="153" t="s">
        <v>4363</v>
      </c>
      <c r="B2083" s="154" t="s">
        <v>4362</v>
      </c>
    </row>
    <row r="2084" spans="1:2" x14ac:dyDescent="0.2">
      <c r="A2084" s="153" t="s">
        <v>4365</v>
      </c>
      <c r="B2084" s="154" t="s">
        <v>4364</v>
      </c>
    </row>
    <row r="2085" spans="1:2" x14ac:dyDescent="0.2">
      <c r="A2085" s="153" t="s">
        <v>4367</v>
      </c>
      <c r="B2085" s="154" t="s">
        <v>4366</v>
      </c>
    </row>
    <row r="2086" spans="1:2" x14ac:dyDescent="0.2">
      <c r="A2086" s="153" t="s">
        <v>4369</v>
      </c>
      <c r="B2086" s="154" t="s">
        <v>4368</v>
      </c>
    </row>
    <row r="2087" spans="1:2" x14ac:dyDescent="0.2">
      <c r="A2087" s="153" t="s">
        <v>4371</v>
      </c>
      <c r="B2087" s="154" t="s">
        <v>4370</v>
      </c>
    </row>
    <row r="2088" spans="1:2" x14ac:dyDescent="0.2">
      <c r="A2088" s="153" t="s">
        <v>4373</v>
      </c>
      <c r="B2088" s="154" t="s">
        <v>4372</v>
      </c>
    </row>
    <row r="2089" spans="1:2" x14ac:dyDescent="0.2">
      <c r="A2089" s="153" t="s">
        <v>4375</v>
      </c>
      <c r="B2089" s="154" t="s">
        <v>4374</v>
      </c>
    </row>
    <row r="2090" spans="1:2" x14ac:dyDescent="0.2">
      <c r="A2090" s="153" t="s">
        <v>4377</v>
      </c>
      <c r="B2090" s="154" t="s">
        <v>4376</v>
      </c>
    </row>
    <row r="2091" spans="1:2" x14ac:dyDescent="0.2">
      <c r="A2091" s="153" t="s">
        <v>4379</v>
      </c>
      <c r="B2091" s="154" t="s">
        <v>4378</v>
      </c>
    </row>
    <row r="2092" spans="1:2" x14ac:dyDescent="0.2">
      <c r="A2092" s="153" t="s">
        <v>4381</v>
      </c>
      <c r="B2092" s="154" t="s">
        <v>4380</v>
      </c>
    </row>
    <row r="2093" spans="1:2" x14ac:dyDescent="0.2">
      <c r="A2093" s="153" t="s">
        <v>4383</v>
      </c>
      <c r="B2093" s="154" t="s">
        <v>4382</v>
      </c>
    </row>
    <row r="2094" spans="1:2" x14ac:dyDescent="0.2">
      <c r="A2094" s="153" t="s">
        <v>4385</v>
      </c>
      <c r="B2094" s="154" t="s">
        <v>4384</v>
      </c>
    </row>
    <row r="2095" spans="1:2" x14ac:dyDescent="0.2">
      <c r="A2095" s="153" t="s">
        <v>4387</v>
      </c>
      <c r="B2095" s="154" t="s">
        <v>4386</v>
      </c>
    </row>
    <row r="2096" spans="1:2" x14ac:dyDescent="0.2">
      <c r="A2096" s="153" t="s">
        <v>4389</v>
      </c>
      <c r="B2096" s="154" t="s">
        <v>4388</v>
      </c>
    </row>
    <row r="2097" spans="1:2" x14ac:dyDescent="0.2">
      <c r="A2097" s="153" t="s">
        <v>4391</v>
      </c>
      <c r="B2097" s="154" t="s">
        <v>4390</v>
      </c>
    </row>
    <row r="2098" spans="1:2" x14ac:dyDescent="0.2">
      <c r="A2098" s="153" t="s">
        <v>4393</v>
      </c>
      <c r="B2098" s="154" t="s">
        <v>4392</v>
      </c>
    </row>
    <row r="2099" spans="1:2" x14ac:dyDescent="0.2">
      <c r="A2099" s="153" t="s">
        <v>4395</v>
      </c>
      <c r="B2099" s="154" t="s">
        <v>4394</v>
      </c>
    </row>
    <row r="2100" spans="1:2" x14ac:dyDescent="0.2">
      <c r="A2100" s="153" t="s">
        <v>4397</v>
      </c>
      <c r="B2100" s="154" t="s">
        <v>4396</v>
      </c>
    </row>
    <row r="2101" spans="1:2" x14ac:dyDescent="0.2">
      <c r="A2101" s="153" t="s">
        <v>4399</v>
      </c>
      <c r="B2101" s="154" t="s">
        <v>4398</v>
      </c>
    </row>
    <row r="2102" spans="1:2" x14ac:dyDescent="0.2">
      <c r="A2102" s="153" t="s">
        <v>4401</v>
      </c>
      <c r="B2102" s="154" t="s">
        <v>4400</v>
      </c>
    </row>
    <row r="2103" spans="1:2" x14ac:dyDescent="0.2">
      <c r="A2103" s="153" t="s">
        <v>4403</v>
      </c>
      <c r="B2103" s="154" t="s">
        <v>4402</v>
      </c>
    </row>
    <row r="2104" spans="1:2" x14ac:dyDescent="0.2">
      <c r="A2104" s="153" t="s">
        <v>4405</v>
      </c>
      <c r="B2104" s="154" t="s">
        <v>4404</v>
      </c>
    </row>
    <row r="2105" spans="1:2" x14ac:dyDescent="0.2">
      <c r="A2105" s="153" t="s">
        <v>4407</v>
      </c>
      <c r="B2105" s="154" t="s">
        <v>4406</v>
      </c>
    </row>
    <row r="2106" spans="1:2" x14ac:dyDescent="0.2">
      <c r="A2106" s="153" t="s">
        <v>4409</v>
      </c>
      <c r="B2106" s="154" t="s">
        <v>4408</v>
      </c>
    </row>
    <row r="2107" spans="1:2" x14ac:dyDescent="0.2">
      <c r="A2107" s="153" t="s">
        <v>4411</v>
      </c>
      <c r="B2107" s="154" t="s">
        <v>4410</v>
      </c>
    </row>
    <row r="2108" spans="1:2" x14ac:dyDescent="0.2">
      <c r="A2108" s="153" t="s">
        <v>4413</v>
      </c>
      <c r="B2108" s="154" t="s">
        <v>4412</v>
      </c>
    </row>
    <row r="2109" spans="1:2" x14ac:dyDescent="0.2">
      <c r="A2109" s="153" t="s">
        <v>4415</v>
      </c>
      <c r="B2109" s="154" t="s">
        <v>4414</v>
      </c>
    </row>
    <row r="2110" spans="1:2" x14ac:dyDescent="0.2">
      <c r="A2110" s="153" t="s">
        <v>4417</v>
      </c>
      <c r="B2110" s="154" t="s">
        <v>4416</v>
      </c>
    </row>
    <row r="2111" spans="1:2" x14ac:dyDescent="0.2">
      <c r="A2111" s="153" t="s">
        <v>4419</v>
      </c>
      <c r="B2111" s="154" t="s">
        <v>4418</v>
      </c>
    </row>
    <row r="2112" spans="1:2" x14ac:dyDescent="0.2">
      <c r="A2112" s="153" t="s">
        <v>4421</v>
      </c>
      <c r="B2112" s="154" t="s">
        <v>4420</v>
      </c>
    </row>
    <row r="2113" spans="1:2" x14ac:dyDescent="0.2">
      <c r="A2113" s="153" t="s">
        <v>4423</v>
      </c>
      <c r="B2113" s="154" t="s">
        <v>4422</v>
      </c>
    </row>
    <row r="2114" spans="1:2" x14ac:dyDescent="0.2">
      <c r="A2114" s="153" t="s">
        <v>4425</v>
      </c>
      <c r="B2114" s="154" t="s">
        <v>4424</v>
      </c>
    </row>
    <row r="2115" spans="1:2" x14ac:dyDescent="0.2">
      <c r="A2115" s="153" t="s">
        <v>4427</v>
      </c>
      <c r="B2115" s="154" t="s">
        <v>4426</v>
      </c>
    </row>
    <row r="2116" spans="1:2" x14ac:dyDescent="0.2">
      <c r="A2116" s="153" t="s">
        <v>4429</v>
      </c>
      <c r="B2116" s="154" t="s">
        <v>4428</v>
      </c>
    </row>
    <row r="2117" spans="1:2" x14ac:dyDescent="0.2">
      <c r="A2117" s="153" t="s">
        <v>4431</v>
      </c>
      <c r="B2117" s="154" t="s">
        <v>4430</v>
      </c>
    </row>
    <row r="2118" spans="1:2" x14ac:dyDescent="0.2">
      <c r="A2118" s="153" t="s">
        <v>4433</v>
      </c>
      <c r="B2118" s="154" t="s">
        <v>4432</v>
      </c>
    </row>
    <row r="2119" spans="1:2" x14ac:dyDescent="0.2">
      <c r="A2119" s="153" t="s">
        <v>4435</v>
      </c>
      <c r="B2119" s="154" t="s">
        <v>4434</v>
      </c>
    </row>
    <row r="2120" spans="1:2" x14ac:dyDescent="0.2">
      <c r="A2120" s="153" t="s">
        <v>4437</v>
      </c>
      <c r="B2120" s="154" t="s">
        <v>4436</v>
      </c>
    </row>
    <row r="2121" spans="1:2" x14ac:dyDescent="0.2">
      <c r="A2121" s="153" t="s">
        <v>4439</v>
      </c>
      <c r="B2121" s="154" t="s">
        <v>4438</v>
      </c>
    </row>
    <row r="2122" spans="1:2" x14ac:dyDescent="0.2">
      <c r="A2122" s="153" t="s">
        <v>4441</v>
      </c>
      <c r="B2122" s="154" t="s">
        <v>4440</v>
      </c>
    </row>
    <row r="2123" spans="1:2" x14ac:dyDescent="0.2">
      <c r="A2123" s="153" t="s">
        <v>4443</v>
      </c>
      <c r="B2123" s="154" t="s">
        <v>4442</v>
      </c>
    </row>
    <row r="2124" spans="1:2" x14ac:dyDescent="0.2">
      <c r="A2124" s="153" t="s">
        <v>4445</v>
      </c>
      <c r="B2124" s="154" t="s">
        <v>4444</v>
      </c>
    </row>
    <row r="2125" spans="1:2" x14ac:dyDescent="0.2">
      <c r="A2125" s="153" t="s">
        <v>4447</v>
      </c>
      <c r="B2125" s="154" t="s">
        <v>4446</v>
      </c>
    </row>
    <row r="2126" spans="1:2" x14ac:dyDescent="0.2">
      <c r="A2126" s="153" t="s">
        <v>4449</v>
      </c>
      <c r="B2126" s="154" t="s">
        <v>4448</v>
      </c>
    </row>
    <row r="2127" spans="1:2" x14ac:dyDescent="0.2">
      <c r="A2127" s="153" t="s">
        <v>4451</v>
      </c>
      <c r="B2127" s="154" t="s">
        <v>4450</v>
      </c>
    </row>
    <row r="2128" spans="1:2" x14ac:dyDescent="0.2">
      <c r="A2128" s="153" t="s">
        <v>4453</v>
      </c>
      <c r="B2128" s="154" t="s">
        <v>4452</v>
      </c>
    </row>
    <row r="2129" spans="1:2" x14ac:dyDescent="0.2">
      <c r="A2129" s="153" t="s">
        <v>4455</v>
      </c>
      <c r="B2129" s="154" t="s">
        <v>4454</v>
      </c>
    </row>
    <row r="2130" spans="1:2" x14ac:dyDescent="0.2">
      <c r="A2130" s="153" t="s">
        <v>4457</v>
      </c>
      <c r="B2130" s="154" t="s">
        <v>4456</v>
      </c>
    </row>
    <row r="2131" spans="1:2" x14ac:dyDescent="0.2">
      <c r="A2131" s="153" t="s">
        <v>4459</v>
      </c>
      <c r="B2131" s="154" t="s">
        <v>4458</v>
      </c>
    </row>
    <row r="2132" spans="1:2" x14ac:dyDescent="0.2">
      <c r="A2132" s="153" t="s">
        <v>4461</v>
      </c>
      <c r="B2132" s="154" t="s">
        <v>4460</v>
      </c>
    </row>
    <row r="2133" spans="1:2" x14ac:dyDescent="0.2">
      <c r="A2133" s="153" t="s">
        <v>4463</v>
      </c>
      <c r="B2133" s="154" t="s">
        <v>4462</v>
      </c>
    </row>
    <row r="2134" spans="1:2" x14ac:dyDescent="0.2">
      <c r="A2134" s="153" t="s">
        <v>4465</v>
      </c>
      <c r="B2134" s="154" t="s">
        <v>4464</v>
      </c>
    </row>
    <row r="2135" spans="1:2" x14ac:dyDescent="0.2">
      <c r="A2135" s="153" t="s">
        <v>4467</v>
      </c>
      <c r="B2135" s="154" t="s">
        <v>4466</v>
      </c>
    </row>
    <row r="2136" spans="1:2" x14ac:dyDescent="0.2">
      <c r="A2136" s="153" t="s">
        <v>4469</v>
      </c>
      <c r="B2136" s="154" t="s">
        <v>4468</v>
      </c>
    </row>
    <row r="2137" spans="1:2" x14ac:dyDescent="0.2">
      <c r="A2137" s="153" t="s">
        <v>4471</v>
      </c>
      <c r="B2137" s="154" t="s">
        <v>4470</v>
      </c>
    </row>
    <row r="2138" spans="1:2" x14ac:dyDescent="0.2">
      <c r="A2138" s="153" t="s">
        <v>4473</v>
      </c>
      <c r="B2138" s="154" t="s">
        <v>4472</v>
      </c>
    </row>
    <row r="2139" spans="1:2" x14ac:dyDescent="0.2">
      <c r="A2139" s="153" t="s">
        <v>4475</v>
      </c>
      <c r="B2139" s="154" t="s">
        <v>4474</v>
      </c>
    </row>
    <row r="2140" spans="1:2" x14ac:dyDescent="0.2">
      <c r="A2140" s="153" t="s">
        <v>4477</v>
      </c>
      <c r="B2140" s="154" t="s">
        <v>4476</v>
      </c>
    </row>
    <row r="2141" spans="1:2" x14ac:dyDescent="0.2">
      <c r="A2141" s="153" t="s">
        <v>4479</v>
      </c>
      <c r="B2141" s="154" t="s">
        <v>4478</v>
      </c>
    </row>
    <row r="2142" spans="1:2" x14ac:dyDescent="0.2">
      <c r="A2142" s="153" t="s">
        <v>4481</v>
      </c>
      <c r="B2142" s="154" t="s">
        <v>4480</v>
      </c>
    </row>
    <row r="2143" spans="1:2" x14ac:dyDescent="0.2">
      <c r="A2143" s="153" t="s">
        <v>4483</v>
      </c>
      <c r="B2143" s="154" t="s">
        <v>4482</v>
      </c>
    </row>
    <row r="2144" spans="1:2" x14ac:dyDescent="0.2">
      <c r="A2144" s="153" t="s">
        <v>4485</v>
      </c>
      <c r="B2144" s="154" t="s">
        <v>4484</v>
      </c>
    </row>
    <row r="2145" spans="1:2" x14ac:dyDescent="0.2">
      <c r="A2145" s="153" t="s">
        <v>4487</v>
      </c>
      <c r="B2145" s="154" t="s">
        <v>4486</v>
      </c>
    </row>
    <row r="2146" spans="1:2" x14ac:dyDescent="0.2">
      <c r="A2146" s="153" t="s">
        <v>4489</v>
      </c>
      <c r="B2146" s="154" t="s">
        <v>4488</v>
      </c>
    </row>
    <row r="2147" spans="1:2" x14ac:dyDescent="0.2">
      <c r="A2147" s="153" t="s">
        <v>4491</v>
      </c>
      <c r="B2147" s="154" t="s">
        <v>4490</v>
      </c>
    </row>
    <row r="2148" spans="1:2" x14ac:dyDescent="0.2">
      <c r="A2148" s="153" t="s">
        <v>9851</v>
      </c>
      <c r="B2148" s="154" t="s">
        <v>4492</v>
      </c>
    </row>
    <row r="2149" spans="1:2" x14ac:dyDescent="0.2">
      <c r="A2149" s="153" t="s">
        <v>4494</v>
      </c>
      <c r="B2149" s="154" t="s">
        <v>4493</v>
      </c>
    </row>
    <row r="2150" spans="1:2" x14ac:dyDescent="0.2">
      <c r="A2150" s="153" t="s">
        <v>4496</v>
      </c>
      <c r="B2150" s="154" t="s">
        <v>4495</v>
      </c>
    </row>
    <row r="2151" spans="1:2" x14ac:dyDescent="0.2">
      <c r="A2151" s="153" t="s">
        <v>4498</v>
      </c>
      <c r="B2151" s="154" t="s">
        <v>4497</v>
      </c>
    </row>
    <row r="2152" spans="1:2" x14ac:dyDescent="0.2">
      <c r="A2152" s="153" t="s">
        <v>4500</v>
      </c>
      <c r="B2152" s="154" t="s">
        <v>4499</v>
      </c>
    </row>
    <row r="2153" spans="1:2" x14ac:dyDescent="0.2">
      <c r="A2153" s="153" t="s">
        <v>4502</v>
      </c>
      <c r="B2153" s="154" t="s">
        <v>4501</v>
      </c>
    </row>
    <row r="2154" spans="1:2" x14ac:dyDescent="0.2">
      <c r="A2154" s="153" t="s">
        <v>4504</v>
      </c>
      <c r="B2154" s="154" t="s">
        <v>4503</v>
      </c>
    </row>
    <row r="2155" spans="1:2" x14ac:dyDescent="0.2">
      <c r="A2155" s="153" t="s">
        <v>4506</v>
      </c>
      <c r="B2155" s="154" t="s">
        <v>4505</v>
      </c>
    </row>
    <row r="2156" spans="1:2" x14ac:dyDescent="0.2">
      <c r="A2156" s="153" t="s">
        <v>4508</v>
      </c>
      <c r="B2156" s="154" t="s">
        <v>4507</v>
      </c>
    </row>
    <row r="2157" spans="1:2" x14ac:dyDescent="0.2">
      <c r="A2157" s="153" t="s">
        <v>4510</v>
      </c>
      <c r="B2157" s="154" t="s">
        <v>4509</v>
      </c>
    </row>
    <row r="2158" spans="1:2" x14ac:dyDescent="0.2">
      <c r="A2158" s="153" t="s">
        <v>4512</v>
      </c>
      <c r="B2158" s="154" t="s">
        <v>4511</v>
      </c>
    </row>
    <row r="2159" spans="1:2" x14ac:dyDescent="0.2">
      <c r="A2159" s="153" t="s">
        <v>4514</v>
      </c>
      <c r="B2159" s="154" t="s">
        <v>4513</v>
      </c>
    </row>
    <row r="2160" spans="1:2" x14ac:dyDescent="0.2">
      <c r="A2160" s="153" t="s">
        <v>4516</v>
      </c>
      <c r="B2160" s="154" t="s">
        <v>4515</v>
      </c>
    </row>
    <row r="2161" spans="1:2" x14ac:dyDescent="0.2">
      <c r="A2161" s="153" t="s">
        <v>4518</v>
      </c>
      <c r="B2161" s="154" t="s">
        <v>4517</v>
      </c>
    </row>
    <row r="2162" spans="1:2" x14ac:dyDescent="0.2">
      <c r="A2162" s="153" t="s">
        <v>4520</v>
      </c>
      <c r="B2162" s="154" t="s">
        <v>4519</v>
      </c>
    </row>
    <row r="2163" spans="1:2" x14ac:dyDescent="0.2">
      <c r="A2163" s="153" t="s">
        <v>4522</v>
      </c>
      <c r="B2163" s="154" t="s">
        <v>4521</v>
      </c>
    </row>
    <row r="2164" spans="1:2" x14ac:dyDescent="0.2">
      <c r="A2164" s="153" t="s">
        <v>4524</v>
      </c>
      <c r="B2164" s="154" t="s">
        <v>4523</v>
      </c>
    </row>
    <row r="2165" spans="1:2" x14ac:dyDescent="0.2">
      <c r="A2165" s="153" t="s">
        <v>4526</v>
      </c>
      <c r="B2165" s="154" t="s">
        <v>4525</v>
      </c>
    </row>
    <row r="2166" spans="1:2" x14ac:dyDescent="0.2">
      <c r="A2166" s="153" t="s">
        <v>4528</v>
      </c>
      <c r="B2166" s="154" t="s">
        <v>4527</v>
      </c>
    </row>
    <row r="2167" spans="1:2" x14ac:dyDescent="0.2">
      <c r="A2167" s="153" t="s">
        <v>4530</v>
      </c>
      <c r="B2167" s="154" t="s">
        <v>4529</v>
      </c>
    </row>
    <row r="2168" spans="1:2" x14ac:dyDescent="0.2">
      <c r="A2168" s="153" t="s">
        <v>4532</v>
      </c>
      <c r="B2168" s="154" t="s">
        <v>4531</v>
      </c>
    </row>
    <row r="2169" spans="1:2" x14ac:dyDescent="0.2">
      <c r="A2169" s="153" t="s">
        <v>4534</v>
      </c>
      <c r="B2169" s="154" t="s">
        <v>4533</v>
      </c>
    </row>
    <row r="2170" spans="1:2" x14ac:dyDescent="0.2">
      <c r="A2170" s="153" t="s">
        <v>4536</v>
      </c>
      <c r="B2170" s="154" t="s">
        <v>4535</v>
      </c>
    </row>
    <row r="2171" spans="1:2" x14ac:dyDescent="0.2">
      <c r="A2171" s="153" t="s">
        <v>4538</v>
      </c>
      <c r="B2171" s="154" t="s">
        <v>4537</v>
      </c>
    </row>
    <row r="2172" spans="1:2" x14ac:dyDescent="0.2">
      <c r="A2172" s="153" t="s">
        <v>4540</v>
      </c>
      <c r="B2172" s="154" t="s">
        <v>4539</v>
      </c>
    </row>
    <row r="2173" spans="1:2" x14ac:dyDescent="0.2">
      <c r="A2173" s="153" t="s">
        <v>4542</v>
      </c>
      <c r="B2173" s="154" t="s">
        <v>4541</v>
      </c>
    </row>
    <row r="2174" spans="1:2" x14ac:dyDescent="0.2">
      <c r="A2174" s="153" t="s">
        <v>4544</v>
      </c>
      <c r="B2174" s="154" t="s">
        <v>4543</v>
      </c>
    </row>
    <row r="2175" spans="1:2" x14ac:dyDescent="0.2">
      <c r="A2175" s="153" t="s">
        <v>4546</v>
      </c>
      <c r="B2175" s="154" t="s">
        <v>4545</v>
      </c>
    </row>
    <row r="2176" spans="1:2" x14ac:dyDescent="0.2">
      <c r="A2176" s="153" t="s">
        <v>4548</v>
      </c>
      <c r="B2176" s="154" t="s">
        <v>4547</v>
      </c>
    </row>
    <row r="2177" spans="1:2" x14ac:dyDescent="0.2">
      <c r="A2177" s="153" t="s">
        <v>9852</v>
      </c>
      <c r="B2177" s="154" t="s">
        <v>4549</v>
      </c>
    </row>
    <row r="2178" spans="1:2" x14ac:dyDescent="0.2">
      <c r="A2178" s="153" t="s">
        <v>4551</v>
      </c>
      <c r="B2178" s="154" t="s">
        <v>4550</v>
      </c>
    </row>
    <row r="2179" spans="1:2" x14ac:dyDescent="0.2">
      <c r="A2179" s="153" t="s">
        <v>4553</v>
      </c>
      <c r="B2179" s="154" t="s">
        <v>4552</v>
      </c>
    </row>
    <row r="2180" spans="1:2" x14ac:dyDescent="0.2">
      <c r="A2180" s="153" t="s">
        <v>4555</v>
      </c>
      <c r="B2180" s="154" t="s">
        <v>4554</v>
      </c>
    </row>
    <row r="2181" spans="1:2" x14ac:dyDescent="0.2">
      <c r="A2181" s="153" t="s">
        <v>4557</v>
      </c>
      <c r="B2181" s="154" t="s">
        <v>4556</v>
      </c>
    </row>
    <row r="2182" spans="1:2" x14ac:dyDescent="0.2">
      <c r="A2182" s="153" t="s">
        <v>4559</v>
      </c>
      <c r="B2182" s="154" t="s">
        <v>4558</v>
      </c>
    </row>
    <row r="2183" spans="1:2" x14ac:dyDescent="0.2">
      <c r="A2183" s="153" t="s">
        <v>4561</v>
      </c>
      <c r="B2183" s="154" t="s">
        <v>4560</v>
      </c>
    </row>
    <row r="2184" spans="1:2" x14ac:dyDescent="0.2">
      <c r="A2184" s="153" t="s">
        <v>4563</v>
      </c>
      <c r="B2184" s="154" t="s">
        <v>4562</v>
      </c>
    </row>
    <row r="2185" spans="1:2" x14ac:dyDescent="0.2">
      <c r="A2185" s="153" t="s">
        <v>4565</v>
      </c>
      <c r="B2185" s="154" t="s">
        <v>4564</v>
      </c>
    </row>
    <row r="2186" spans="1:2" x14ac:dyDescent="0.2">
      <c r="A2186" s="153" t="s">
        <v>4567</v>
      </c>
      <c r="B2186" s="154" t="s">
        <v>4566</v>
      </c>
    </row>
    <row r="2187" spans="1:2" x14ac:dyDescent="0.2">
      <c r="A2187" s="153" t="s">
        <v>9853</v>
      </c>
      <c r="B2187" s="154" t="s">
        <v>4568</v>
      </c>
    </row>
    <row r="2188" spans="1:2" x14ac:dyDescent="0.2">
      <c r="A2188" s="153" t="s">
        <v>4570</v>
      </c>
      <c r="B2188" s="154" t="s">
        <v>4569</v>
      </c>
    </row>
    <row r="2189" spans="1:2" x14ac:dyDescent="0.2">
      <c r="A2189" s="153" t="s">
        <v>4572</v>
      </c>
      <c r="B2189" s="154" t="s">
        <v>4571</v>
      </c>
    </row>
    <row r="2190" spans="1:2" x14ac:dyDescent="0.2">
      <c r="A2190" s="153" t="s">
        <v>4574</v>
      </c>
      <c r="B2190" s="154" t="s">
        <v>4573</v>
      </c>
    </row>
    <row r="2191" spans="1:2" x14ac:dyDescent="0.2">
      <c r="A2191" s="153" t="s">
        <v>4576</v>
      </c>
      <c r="B2191" s="154" t="s">
        <v>4575</v>
      </c>
    </row>
    <row r="2192" spans="1:2" x14ac:dyDescent="0.2">
      <c r="A2192" s="153" t="s">
        <v>4578</v>
      </c>
      <c r="B2192" s="154" t="s">
        <v>4577</v>
      </c>
    </row>
    <row r="2193" spans="1:2" x14ac:dyDescent="0.2">
      <c r="A2193" s="153" t="s">
        <v>9854</v>
      </c>
      <c r="B2193" s="154" t="s">
        <v>4579</v>
      </c>
    </row>
    <row r="2194" spans="1:2" x14ac:dyDescent="0.2">
      <c r="A2194" s="153" t="s">
        <v>9855</v>
      </c>
      <c r="B2194" s="154" t="s">
        <v>4580</v>
      </c>
    </row>
    <row r="2195" spans="1:2" x14ac:dyDescent="0.2">
      <c r="A2195" s="153" t="s">
        <v>4582</v>
      </c>
      <c r="B2195" s="154" t="s">
        <v>4581</v>
      </c>
    </row>
    <row r="2196" spans="1:2" x14ac:dyDescent="0.2">
      <c r="A2196" s="153" t="s">
        <v>4584</v>
      </c>
      <c r="B2196" s="154" t="s">
        <v>4583</v>
      </c>
    </row>
    <row r="2197" spans="1:2" x14ac:dyDescent="0.2">
      <c r="A2197" s="153" t="s">
        <v>4586</v>
      </c>
      <c r="B2197" s="154" t="s">
        <v>4585</v>
      </c>
    </row>
    <row r="2198" spans="1:2" x14ac:dyDescent="0.2">
      <c r="A2198" s="153" t="s">
        <v>9856</v>
      </c>
      <c r="B2198" s="154" t="s">
        <v>4587</v>
      </c>
    </row>
    <row r="2199" spans="1:2" x14ac:dyDescent="0.2">
      <c r="A2199" s="153" t="s">
        <v>4589</v>
      </c>
      <c r="B2199" s="154" t="s">
        <v>4588</v>
      </c>
    </row>
    <row r="2200" spans="1:2" x14ac:dyDescent="0.2">
      <c r="A2200" s="153" t="s">
        <v>4591</v>
      </c>
      <c r="B2200" s="154" t="s">
        <v>4590</v>
      </c>
    </row>
    <row r="2201" spans="1:2" x14ac:dyDescent="0.2">
      <c r="A2201" s="153" t="s">
        <v>4593</v>
      </c>
      <c r="B2201" s="154" t="s">
        <v>4592</v>
      </c>
    </row>
    <row r="2202" spans="1:2" x14ac:dyDescent="0.2">
      <c r="A2202" s="153" t="s">
        <v>4595</v>
      </c>
      <c r="B2202" s="154" t="s">
        <v>4594</v>
      </c>
    </row>
    <row r="2203" spans="1:2" x14ac:dyDescent="0.2">
      <c r="A2203" s="153" t="s">
        <v>4597</v>
      </c>
      <c r="B2203" s="154" t="s">
        <v>4596</v>
      </c>
    </row>
    <row r="2204" spans="1:2" x14ac:dyDescent="0.2">
      <c r="A2204" s="153" t="s">
        <v>4599</v>
      </c>
      <c r="B2204" s="154" t="s">
        <v>4598</v>
      </c>
    </row>
    <row r="2205" spans="1:2" x14ac:dyDescent="0.2">
      <c r="A2205" s="153" t="s">
        <v>4601</v>
      </c>
      <c r="B2205" s="154" t="s">
        <v>4600</v>
      </c>
    </row>
    <row r="2206" spans="1:2" x14ac:dyDescent="0.2">
      <c r="A2206" s="153" t="s">
        <v>4603</v>
      </c>
      <c r="B2206" s="154" t="s">
        <v>4602</v>
      </c>
    </row>
    <row r="2207" spans="1:2" x14ac:dyDescent="0.2">
      <c r="A2207" s="153" t="s">
        <v>1065</v>
      </c>
      <c r="B2207" s="154" t="s">
        <v>4604</v>
      </c>
    </row>
    <row r="2208" spans="1:2" x14ac:dyDescent="0.2">
      <c r="A2208" s="153" t="s">
        <v>4606</v>
      </c>
      <c r="B2208" s="154" t="s">
        <v>4605</v>
      </c>
    </row>
    <row r="2209" spans="1:2" x14ac:dyDescent="0.2">
      <c r="A2209" s="153" t="s">
        <v>4608</v>
      </c>
      <c r="B2209" s="154" t="s">
        <v>4607</v>
      </c>
    </row>
    <row r="2210" spans="1:2" x14ac:dyDescent="0.2">
      <c r="A2210" s="153" t="s">
        <v>9857</v>
      </c>
      <c r="B2210" s="154" t="s">
        <v>4609</v>
      </c>
    </row>
    <row r="2211" spans="1:2" x14ac:dyDescent="0.2">
      <c r="A2211" s="153" t="s">
        <v>4611</v>
      </c>
      <c r="B2211" s="154" t="s">
        <v>4610</v>
      </c>
    </row>
    <row r="2212" spans="1:2" x14ac:dyDescent="0.2">
      <c r="A2212" s="153" t="s">
        <v>4613</v>
      </c>
      <c r="B2212" s="154" t="s">
        <v>4612</v>
      </c>
    </row>
    <row r="2213" spans="1:2" x14ac:dyDescent="0.2">
      <c r="A2213" s="153" t="s">
        <v>4615</v>
      </c>
      <c r="B2213" s="154" t="s">
        <v>4614</v>
      </c>
    </row>
    <row r="2214" spans="1:2" x14ac:dyDescent="0.2">
      <c r="A2214" s="153" t="s">
        <v>4617</v>
      </c>
      <c r="B2214" s="154" t="s">
        <v>4616</v>
      </c>
    </row>
    <row r="2215" spans="1:2" x14ac:dyDescent="0.2">
      <c r="A2215" s="153" t="s">
        <v>4619</v>
      </c>
      <c r="B2215" s="154" t="s">
        <v>4618</v>
      </c>
    </row>
    <row r="2216" spans="1:2" x14ac:dyDescent="0.2">
      <c r="A2216" s="153" t="s">
        <v>4621</v>
      </c>
      <c r="B2216" s="154" t="s">
        <v>4620</v>
      </c>
    </row>
    <row r="2217" spans="1:2" x14ac:dyDescent="0.2">
      <c r="A2217" s="153" t="s">
        <v>9858</v>
      </c>
      <c r="B2217" s="154" t="s">
        <v>4622</v>
      </c>
    </row>
    <row r="2218" spans="1:2" x14ac:dyDescent="0.2">
      <c r="A2218" s="153" t="s">
        <v>4624</v>
      </c>
      <c r="B2218" s="154" t="s">
        <v>4623</v>
      </c>
    </row>
    <row r="2219" spans="1:2" x14ac:dyDescent="0.2">
      <c r="A2219" s="153" t="s">
        <v>4626</v>
      </c>
      <c r="B2219" s="154" t="s">
        <v>4625</v>
      </c>
    </row>
    <row r="2220" spans="1:2" x14ac:dyDescent="0.2">
      <c r="A2220" s="153" t="s">
        <v>4628</v>
      </c>
      <c r="B2220" s="154" t="s">
        <v>4627</v>
      </c>
    </row>
    <row r="2221" spans="1:2" x14ac:dyDescent="0.2">
      <c r="A2221" s="153" t="s">
        <v>4630</v>
      </c>
      <c r="B2221" s="154" t="s">
        <v>4629</v>
      </c>
    </row>
    <row r="2222" spans="1:2" x14ac:dyDescent="0.2">
      <c r="A2222" s="153" t="s">
        <v>4632</v>
      </c>
      <c r="B2222" s="154" t="s">
        <v>4631</v>
      </c>
    </row>
    <row r="2223" spans="1:2" x14ac:dyDescent="0.2">
      <c r="A2223" s="153" t="s">
        <v>4634</v>
      </c>
      <c r="B2223" s="154" t="s">
        <v>4633</v>
      </c>
    </row>
    <row r="2224" spans="1:2" x14ac:dyDescent="0.2">
      <c r="A2224" s="153" t="s">
        <v>4636</v>
      </c>
      <c r="B2224" s="154" t="s">
        <v>4635</v>
      </c>
    </row>
    <row r="2225" spans="1:2" x14ac:dyDescent="0.2">
      <c r="A2225" s="153" t="s">
        <v>4638</v>
      </c>
      <c r="B2225" s="154" t="s">
        <v>4637</v>
      </c>
    </row>
    <row r="2226" spans="1:2" x14ac:dyDescent="0.2">
      <c r="A2226" s="153" t="s">
        <v>4640</v>
      </c>
      <c r="B2226" s="154" t="s">
        <v>4639</v>
      </c>
    </row>
    <row r="2227" spans="1:2" x14ac:dyDescent="0.2">
      <c r="A2227" s="153" t="s">
        <v>1065</v>
      </c>
      <c r="B2227" s="154" t="s">
        <v>4641</v>
      </c>
    </row>
    <row r="2228" spans="1:2" x14ac:dyDescent="0.2">
      <c r="A2228" s="153" t="s">
        <v>4643</v>
      </c>
      <c r="B2228" s="154" t="s">
        <v>4642</v>
      </c>
    </row>
    <row r="2229" spans="1:2" x14ac:dyDescent="0.2">
      <c r="A2229" s="153" t="s">
        <v>4645</v>
      </c>
      <c r="B2229" s="154" t="s">
        <v>4644</v>
      </c>
    </row>
    <row r="2230" spans="1:2" x14ac:dyDescent="0.2">
      <c r="A2230" s="153" t="s">
        <v>4647</v>
      </c>
      <c r="B2230" s="154" t="s">
        <v>4646</v>
      </c>
    </row>
    <row r="2231" spans="1:2" x14ac:dyDescent="0.2">
      <c r="A2231" s="153" t="s">
        <v>4649</v>
      </c>
      <c r="B2231" s="154" t="s">
        <v>4648</v>
      </c>
    </row>
    <row r="2232" spans="1:2" x14ac:dyDescent="0.2">
      <c r="A2232" s="153" t="s">
        <v>4651</v>
      </c>
      <c r="B2232" s="154" t="s">
        <v>4650</v>
      </c>
    </row>
    <row r="2233" spans="1:2" x14ac:dyDescent="0.2">
      <c r="A2233" s="153" t="s">
        <v>4653</v>
      </c>
      <c r="B2233" s="154" t="s">
        <v>4652</v>
      </c>
    </row>
    <row r="2234" spans="1:2" x14ac:dyDescent="0.2">
      <c r="A2234" s="153" t="s">
        <v>4655</v>
      </c>
      <c r="B2234" s="154" t="s">
        <v>4654</v>
      </c>
    </row>
    <row r="2235" spans="1:2" x14ac:dyDescent="0.2">
      <c r="A2235" s="153" t="s">
        <v>4657</v>
      </c>
      <c r="B2235" s="154" t="s">
        <v>4656</v>
      </c>
    </row>
    <row r="2236" spans="1:2" x14ac:dyDescent="0.2">
      <c r="A2236" s="153" t="s">
        <v>4659</v>
      </c>
      <c r="B2236" s="154" t="s">
        <v>4658</v>
      </c>
    </row>
    <row r="2237" spans="1:2" x14ac:dyDescent="0.2">
      <c r="A2237" s="153" t="s">
        <v>4661</v>
      </c>
      <c r="B2237" s="154" t="s">
        <v>4660</v>
      </c>
    </row>
    <row r="2238" spans="1:2" x14ac:dyDescent="0.2">
      <c r="A2238" s="153" t="s">
        <v>4663</v>
      </c>
      <c r="B2238" s="154" t="s">
        <v>4662</v>
      </c>
    </row>
    <row r="2239" spans="1:2" x14ac:dyDescent="0.2">
      <c r="A2239" s="153" t="s">
        <v>4665</v>
      </c>
      <c r="B2239" s="154" t="s">
        <v>4664</v>
      </c>
    </row>
    <row r="2240" spans="1:2" x14ac:dyDescent="0.2">
      <c r="A2240" s="153" t="s">
        <v>4667</v>
      </c>
      <c r="B2240" s="154" t="s">
        <v>4666</v>
      </c>
    </row>
    <row r="2241" spans="1:2" x14ac:dyDescent="0.2">
      <c r="A2241" s="153" t="s">
        <v>4669</v>
      </c>
      <c r="B2241" s="154" t="s">
        <v>4668</v>
      </c>
    </row>
    <row r="2242" spans="1:2" x14ac:dyDescent="0.2">
      <c r="A2242" s="153" t="s">
        <v>4671</v>
      </c>
      <c r="B2242" s="154" t="s">
        <v>4670</v>
      </c>
    </row>
    <row r="2243" spans="1:2" x14ac:dyDescent="0.2">
      <c r="A2243" s="153" t="s">
        <v>4673</v>
      </c>
      <c r="B2243" s="154" t="s">
        <v>4672</v>
      </c>
    </row>
    <row r="2244" spans="1:2" x14ac:dyDescent="0.2">
      <c r="A2244" s="153" t="s">
        <v>4675</v>
      </c>
      <c r="B2244" s="154" t="s">
        <v>4674</v>
      </c>
    </row>
    <row r="2245" spans="1:2" x14ac:dyDescent="0.2">
      <c r="A2245" s="153" t="s">
        <v>4677</v>
      </c>
      <c r="B2245" s="154" t="s">
        <v>4676</v>
      </c>
    </row>
    <row r="2246" spans="1:2" x14ac:dyDescent="0.2">
      <c r="A2246" s="153" t="s">
        <v>4679</v>
      </c>
      <c r="B2246" s="154" t="s">
        <v>4678</v>
      </c>
    </row>
    <row r="2247" spans="1:2" x14ac:dyDescent="0.2">
      <c r="A2247" s="153" t="s">
        <v>4681</v>
      </c>
      <c r="B2247" s="154" t="s">
        <v>4680</v>
      </c>
    </row>
    <row r="2248" spans="1:2" x14ac:dyDescent="0.2">
      <c r="A2248" s="153" t="s">
        <v>1065</v>
      </c>
      <c r="B2248" s="154" t="s">
        <v>4682</v>
      </c>
    </row>
    <row r="2249" spans="1:2" x14ac:dyDescent="0.2">
      <c r="A2249" s="153" t="s">
        <v>4684</v>
      </c>
      <c r="B2249" s="154" t="s">
        <v>4683</v>
      </c>
    </row>
    <row r="2250" spans="1:2" x14ac:dyDescent="0.2">
      <c r="A2250" s="153" t="s">
        <v>4686</v>
      </c>
      <c r="B2250" s="154" t="s">
        <v>4685</v>
      </c>
    </row>
    <row r="2251" spans="1:2" x14ac:dyDescent="0.2">
      <c r="A2251" s="153" t="s">
        <v>4688</v>
      </c>
      <c r="B2251" s="154" t="s">
        <v>4687</v>
      </c>
    </row>
    <row r="2252" spans="1:2" x14ac:dyDescent="0.2">
      <c r="A2252" s="153" t="s">
        <v>4690</v>
      </c>
      <c r="B2252" s="154" t="s">
        <v>4689</v>
      </c>
    </row>
    <row r="2253" spans="1:2" x14ac:dyDescent="0.2">
      <c r="A2253" s="153" t="s">
        <v>4692</v>
      </c>
      <c r="B2253" s="154" t="s">
        <v>4691</v>
      </c>
    </row>
    <row r="2254" spans="1:2" x14ac:dyDescent="0.2">
      <c r="A2254" s="153" t="s">
        <v>4694</v>
      </c>
      <c r="B2254" s="154" t="s">
        <v>4693</v>
      </c>
    </row>
    <row r="2255" spans="1:2" x14ac:dyDescent="0.2">
      <c r="A2255" s="153" t="s">
        <v>4696</v>
      </c>
      <c r="B2255" s="154" t="s">
        <v>4695</v>
      </c>
    </row>
    <row r="2256" spans="1:2" x14ac:dyDescent="0.2">
      <c r="A2256" s="153" t="s">
        <v>4698</v>
      </c>
      <c r="B2256" s="154" t="s">
        <v>4697</v>
      </c>
    </row>
    <row r="2257" spans="1:2" x14ac:dyDescent="0.2">
      <c r="A2257" s="153" t="s">
        <v>4700</v>
      </c>
      <c r="B2257" s="154" t="s">
        <v>4699</v>
      </c>
    </row>
    <row r="2258" spans="1:2" x14ac:dyDescent="0.2">
      <c r="A2258" s="153" t="s">
        <v>4702</v>
      </c>
      <c r="B2258" s="154" t="s">
        <v>4701</v>
      </c>
    </row>
    <row r="2259" spans="1:2" x14ac:dyDescent="0.2">
      <c r="A2259" s="153" t="s">
        <v>4704</v>
      </c>
      <c r="B2259" s="154" t="s">
        <v>4703</v>
      </c>
    </row>
    <row r="2260" spans="1:2" x14ac:dyDescent="0.2">
      <c r="A2260" s="153" t="s">
        <v>4706</v>
      </c>
      <c r="B2260" s="154" t="s">
        <v>4705</v>
      </c>
    </row>
    <row r="2261" spans="1:2" x14ac:dyDescent="0.2">
      <c r="A2261" s="153" t="s">
        <v>4708</v>
      </c>
      <c r="B2261" s="154" t="s">
        <v>4707</v>
      </c>
    </row>
    <row r="2262" spans="1:2" x14ac:dyDescent="0.2">
      <c r="A2262" s="153" t="s">
        <v>4710</v>
      </c>
      <c r="B2262" s="154" t="s">
        <v>4709</v>
      </c>
    </row>
    <row r="2263" spans="1:2" x14ac:dyDescent="0.2">
      <c r="A2263" s="153" t="s">
        <v>4712</v>
      </c>
      <c r="B2263" s="154" t="s">
        <v>4711</v>
      </c>
    </row>
    <row r="2264" spans="1:2" x14ac:dyDescent="0.2">
      <c r="A2264" s="153" t="s">
        <v>1065</v>
      </c>
      <c r="B2264" s="154" t="s">
        <v>4713</v>
      </c>
    </row>
    <row r="2265" spans="1:2" x14ac:dyDescent="0.2">
      <c r="A2265" s="153" t="s">
        <v>4715</v>
      </c>
      <c r="B2265" s="154" t="s">
        <v>4714</v>
      </c>
    </row>
    <row r="2266" spans="1:2" x14ac:dyDescent="0.2">
      <c r="A2266" s="153" t="s">
        <v>4717</v>
      </c>
      <c r="B2266" s="154" t="s">
        <v>4716</v>
      </c>
    </row>
    <row r="2267" spans="1:2" x14ac:dyDescent="0.2">
      <c r="A2267" s="153" t="s">
        <v>4719</v>
      </c>
      <c r="B2267" s="154" t="s">
        <v>4718</v>
      </c>
    </row>
    <row r="2268" spans="1:2" x14ac:dyDescent="0.2">
      <c r="A2268" s="153" t="s">
        <v>4721</v>
      </c>
      <c r="B2268" s="154" t="s">
        <v>4720</v>
      </c>
    </row>
    <row r="2269" spans="1:2" x14ac:dyDescent="0.2">
      <c r="A2269" s="153" t="s">
        <v>9859</v>
      </c>
      <c r="B2269" s="154" t="s">
        <v>4722</v>
      </c>
    </row>
    <row r="2270" spans="1:2" x14ac:dyDescent="0.2">
      <c r="A2270" s="153" t="s">
        <v>4724</v>
      </c>
      <c r="B2270" s="154" t="s">
        <v>4723</v>
      </c>
    </row>
    <row r="2271" spans="1:2" x14ac:dyDescent="0.2">
      <c r="A2271" s="153" t="s">
        <v>4726</v>
      </c>
      <c r="B2271" s="154" t="s">
        <v>4725</v>
      </c>
    </row>
    <row r="2272" spans="1:2" x14ac:dyDescent="0.2">
      <c r="A2272" s="153" t="s">
        <v>4728</v>
      </c>
      <c r="B2272" s="154" t="s">
        <v>4727</v>
      </c>
    </row>
    <row r="2273" spans="1:2" x14ac:dyDescent="0.2">
      <c r="A2273" s="153" t="s">
        <v>4730</v>
      </c>
      <c r="B2273" s="154" t="s">
        <v>4729</v>
      </c>
    </row>
    <row r="2274" spans="1:2" x14ac:dyDescent="0.2">
      <c r="A2274" s="153" t="s">
        <v>4732</v>
      </c>
      <c r="B2274" s="154" t="s">
        <v>4731</v>
      </c>
    </row>
    <row r="2275" spans="1:2" x14ac:dyDescent="0.2">
      <c r="A2275" s="153" t="s">
        <v>4734</v>
      </c>
      <c r="B2275" s="154" t="s">
        <v>4733</v>
      </c>
    </row>
    <row r="2276" spans="1:2" x14ac:dyDescent="0.2">
      <c r="A2276" s="153" t="s">
        <v>4736</v>
      </c>
      <c r="B2276" s="154" t="s">
        <v>4735</v>
      </c>
    </row>
    <row r="2277" spans="1:2" x14ac:dyDescent="0.2">
      <c r="A2277" s="153" t="s">
        <v>4738</v>
      </c>
      <c r="B2277" s="154" t="s">
        <v>4737</v>
      </c>
    </row>
    <row r="2278" spans="1:2" x14ac:dyDescent="0.2">
      <c r="A2278" s="153" t="s">
        <v>4740</v>
      </c>
      <c r="B2278" s="154" t="s">
        <v>4739</v>
      </c>
    </row>
    <row r="2279" spans="1:2" x14ac:dyDescent="0.2">
      <c r="A2279" s="153" t="s">
        <v>4742</v>
      </c>
      <c r="B2279" s="154" t="s">
        <v>4741</v>
      </c>
    </row>
    <row r="2280" spans="1:2" x14ac:dyDescent="0.2">
      <c r="A2280" s="153" t="s">
        <v>4744</v>
      </c>
      <c r="B2280" s="154" t="s">
        <v>4743</v>
      </c>
    </row>
    <row r="2281" spans="1:2" x14ac:dyDescent="0.2">
      <c r="A2281" s="153" t="s">
        <v>4746</v>
      </c>
      <c r="B2281" s="154" t="s">
        <v>4745</v>
      </c>
    </row>
    <row r="2282" spans="1:2" x14ac:dyDescent="0.2">
      <c r="A2282" s="153" t="s">
        <v>4748</v>
      </c>
      <c r="B2282" s="154" t="s">
        <v>4747</v>
      </c>
    </row>
    <row r="2283" spans="1:2" ht="28.5" x14ac:dyDescent="0.2">
      <c r="A2283" s="153" t="s">
        <v>9860</v>
      </c>
      <c r="B2283" s="154" t="s">
        <v>9903</v>
      </c>
    </row>
    <row r="2284" spans="1:2" x14ac:dyDescent="0.2">
      <c r="A2284" s="153" t="s">
        <v>9861</v>
      </c>
      <c r="B2284" s="154" t="s">
        <v>4749</v>
      </c>
    </row>
    <row r="2285" spans="1:2" x14ac:dyDescent="0.2">
      <c r="A2285" s="153" t="s">
        <v>4751</v>
      </c>
      <c r="B2285" s="154" t="s">
        <v>4750</v>
      </c>
    </row>
    <row r="2286" spans="1:2" x14ac:dyDescent="0.2">
      <c r="A2286" s="153" t="s">
        <v>9862</v>
      </c>
      <c r="B2286" s="154" t="s">
        <v>9904</v>
      </c>
    </row>
    <row r="2287" spans="1:2" x14ac:dyDescent="0.2">
      <c r="A2287" s="153" t="s">
        <v>4753</v>
      </c>
      <c r="B2287" s="154" t="s">
        <v>4752</v>
      </c>
    </row>
    <row r="2288" spans="1:2" x14ac:dyDescent="0.2">
      <c r="A2288" s="153" t="s">
        <v>4755</v>
      </c>
      <c r="B2288" s="154" t="s">
        <v>4754</v>
      </c>
    </row>
    <row r="2289" spans="1:2" x14ac:dyDescent="0.2">
      <c r="A2289" s="153" t="s">
        <v>4757</v>
      </c>
      <c r="B2289" s="154" t="s">
        <v>4756</v>
      </c>
    </row>
    <row r="2290" spans="1:2" x14ac:dyDescent="0.2">
      <c r="A2290" s="153" t="s">
        <v>4759</v>
      </c>
      <c r="B2290" s="154" t="s">
        <v>4758</v>
      </c>
    </row>
    <row r="2291" spans="1:2" x14ac:dyDescent="0.2">
      <c r="A2291" s="153" t="s">
        <v>4761</v>
      </c>
      <c r="B2291" s="154" t="s">
        <v>4760</v>
      </c>
    </row>
    <row r="2292" spans="1:2" x14ac:dyDescent="0.2">
      <c r="A2292" s="153" t="s">
        <v>4763</v>
      </c>
      <c r="B2292" s="154" t="s">
        <v>4762</v>
      </c>
    </row>
    <row r="2293" spans="1:2" x14ac:dyDescent="0.2">
      <c r="A2293" s="153" t="s">
        <v>4765</v>
      </c>
      <c r="B2293" s="154" t="s">
        <v>4764</v>
      </c>
    </row>
    <row r="2294" spans="1:2" x14ac:dyDescent="0.2">
      <c r="A2294" s="153" t="s">
        <v>4767</v>
      </c>
      <c r="B2294" s="154" t="s">
        <v>4766</v>
      </c>
    </row>
    <row r="2295" spans="1:2" x14ac:dyDescent="0.2">
      <c r="A2295" s="153" t="s">
        <v>4769</v>
      </c>
      <c r="B2295" s="154" t="s">
        <v>4768</v>
      </c>
    </row>
    <row r="2296" spans="1:2" x14ac:dyDescent="0.2">
      <c r="A2296" s="153" t="s">
        <v>4771</v>
      </c>
      <c r="B2296" s="154" t="s">
        <v>4770</v>
      </c>
    </row>
    <row r="2297" spans="1:2" x14ac:dyDescent="0.2">
      <c r="A2297" s="153" t="s">
        <v>4773</v>
      </c>
      <c r="B2297" s="154" t="s">
        <v>4772</v>
      </c>
    </row>
    <row r="2298" spans="1:2" x14ac:dyDescent="0.2">
      <c r="A2298" s="153" t="s">
        <v>4775</v>
      </c>
      <c r="B2298" s="154" t="s">
        <v>4774</v>
      </c>
    </row>
    <row r="2299" spans="1:2" x14ac:dyDescent="0.2">
      <c r="A2299" s="153" t="s">
        <v>9863</v>
      </c>
      <c r="B2299" s="154" t="s">
        <v>9905</v>
      </c>
    </row>
    <row r="2300" spans="1:2" x14ac:dyDescent="0.2">
      <c r="A2300" s="153" t="s">
        <v>4777</v>
      </c>
      <c r="B2300" s="154" t="s">
        <v>4776</v>
      </c>
    </row>
    <row r="2301" spans="1:2" x14ac:dyDescent="0.2">
      <c r="A2301" s="153" t="s">
        <v>4779</v>
      </c>
      <c r="B2301" s="154" t="s">
        <v>4778</v>
      </c>
    </row>
    <row r="2302" spans="1:2" x14ac:dyDescent="0.2">
      <c r="A2302" s="153" t="s">
        <v>4781</v>
      </c>
      <c r="B2302" s="154" t="s">
        <v>4780</v>
      </c>
    </row>
    <row r="2303" spans="1:2" x14ac:dyDescent="0.2">
      <c r="A2303" s="153" t="s">
        <v>4783</v>
      </c>
      <c r="B2303" s="154" t="s">
        <v>4782</v>
      </c>
    </row>
    <row r="2304" spans="1:2" x14ac:dyDescent="0.2">
      <c r="A2304" s="153" t="s">
        <v>4785</v>
      </c>
      <c r="B2304" s="154" t="s">
        <v>4784</v>
      </c>
    </row>
    <row r="2305" spans="1:2" x14ac:dyDescent="0.2">
      <c r="A2305" s="153" t="s">
        <v>4787</v>
      </c>
      <c r="B2305" s="154" t="s">
        <v>4786</v>
      </c>
    </row>
    <row r="2306" spans="1:2" x14ac:dyDescent="0.2">
      <c r="A2306" s="153" t="s">
        <v>4789</v>
      </c>
      <c r="B2306" s="154" t="s">
        <v>4788</v>
      </c>
    </row>
    <row r="2307" spans="1:2" x14ac:dyDescent="0.2">
      <c r="A2307" s="153" t="s">
        <v>4791</v>
      </c>
      <c r="B2307" s="154" t="s">
        <v>4790</v>
      </c>
    </row>
    <row r="2308" spans="1:2" x14ac:dyDescent="0.2">
      <c r="A2308" s="153" t="s">
        <v>4793</v>
      </c>
      <c r="B2308" s="154" t="s">
        <v>4792</v>
      </c>
    </row>
    <row r="2309" spans="1:2" x14ac:dyDescent="0.2">
      <c r="A2309" s="153" t="s">
        <v>4795</v>
      </c>
      <c r="B2309" s="154" t="s">
        <v>4794</v>
      </c>
    </row>
    <row r="2310" spans="1:2" x14ac:dyDescent="0.2">
      <c r="A2310" s="153" t="s">
        <v>4797</v>
      </c>
      <c r="B2310" s="154" t="s">
        <v>4796</v>
      </c>
    </row>
    <row r="2311" spans="1:2" x14ac:dyDescent="0.2">
      <c r="A2311" s="153" t="s">
        <v>4799</v>
      </c>
      <c r="B2311" s="154" t="s">
        <v>4798</v>
      </c>
    </row>
    <row r="2312" spans="1:2" ht="28.5" x14ac:dyDescent="0.2">
      <c r="A2312" s="153" t="s">
        <v>4801</v>
      </c>
      <c r="B2312" s="154" t="s">
        <v>4800</v>
      </c>
    </row>
    <row r="2313" spans="1:2" x14ac:dyDescent="0.2">
      <c r="A2313" s="153" t="s">
        <v>4803</v>
      </c>
      <c r="B2313" s="154" t="s">
        <v>4802</v>
      </c>
    </row>
    <row r="2314" spans="1:2" x14ac:dyDescent="0.2">
      <c r="A2314" s="153" t="s">
        <v>4805</v>
      </c>
      <c r="B2314" s="154" t="s">
        <v>4804</v>
      </c>
    </row>
    <row r="2315" spans="1:2" x14ac:dyDescent="0.2">
      <c r="A2315" s="153" t="s">
        <v>4807</v>
      </c>
      <c r="B2315" s="154" t="s">
        <v>4806</v>
      </c>
    </row>
    <row r="2316" spans="1:2" x14ac:dyDescent="0.2">
      <c r="A2316" s="153" t="s">
        <v>4809</v>
      </c>
      <c r="B2316" s="154" t="s">
        <v>4808</v>
      </c>
    </row>
    <row r="2317" spans="1:2" x14ac:dyDescent="0.2">
      <c r="A2317" s="153" t="s">
        <v>1065</v>
      </c>
      <c r="B2317" s="154" t="s">
        <v>4810</v>
      </c>
    </row>
    <row r="2318" spans="1:2" x14ac:dyDescent="0.2">
      <c r="A2318" s="153" t="s">
        <v>4812</v>
      </c>
      <c r="B2318" s="154" t="s">
        <v>4811</v>
      </c>
    </row>
    <row r="2319" spans="1:2" x14ac:dyDescent="0.2">
      <c r="A2319" s="153" t="s">
        <v>4814</v>
      </c>
      <c r="B2319" s="154" t="s">
        <v>4813</v>
      </c>
    </row>
    <row r="2320" spans="1:2" x14ac:dyDescent="0.2">
      <c r="A2320" s="153" t="s">
        <v>4816</v>
      </c>
      <c r="B2320" s="154" t="s">
        <v>4815</v>
      </c>
    </row>
    <row r="2321" spans="1:2" x14ac:dyDescent="0.2">
      <c r="A2321" s="153" t="s">
        <v>4818</v>
      </c>
      <c r="B2321" s="154" t="s">
        <v>4817</v>
      </c>
    </row>
    <row r="2322" spans="1:2" x14ac:dyDescent="0.2">
      <c r="A2322" s="153" t="s">
        <v>4820</v>
      </c>
      <c r="B2322" s="154" t="s">
        <v>4819</v>
      </c>
    </row>
    <row r="2323" spans="1:2" x14ac:dyDescent="0.2">
      <c r="A2323" s="153" t="s">
        <v>4822</v>
      </c>
      <c r="B2323" s="154" t="s">
        <v>4821</v>
      </c>
    </row>
    <row r="2324" spans="1:2" x14ac:dyDescent="0.2">
      <c r="A2324" s="153" t="s">
        <v>4824</v>
      </c>
      <c r="B2324" s="154" t="s">
        <v>4823</v>
      </c>
    </row>
    <row r="2325" spans="1:2" x14ac:dyDescent="0.2">
      <c r="A2325" s="153" t="s">
        <v>4826</v>
      </c>
      <c r="B2325" s="154" t="s">
        <v>4825</v>
      </c>
    </row>
    <row r="2326" spans="1:2" x14ac:dyDescent="0.2">
      <c r="A2326" s="153" t="s">
        <v>4828</v>
      </c>
      <c r="B2326" s="154" t="s">
        <v>4827</v>
      </c>
    </row>
    <row r="2327" spans="1:2" x14ac:dyDescent="0.2">
      <c r="A2327" s="153" t="s">
        <v>4830</v>
      </c>
      <c r="B2327" s="154" t="s">
        <v>4829</v>
      </c>
    </row>
    <row r="2328" spans="1:2" x14ac:dyDescent="0.2">
      <c r="A2328" s="153" t="s">
        <v>4832</v>
      </c>
      <c r="B2328" s="154" t="s">
        <v>4831</v>
      </c>
    </row>
    <row r="2329" spans="1:2" x14ac:dyDescent="0.2">
      <c r="A2329" s="153" t="s">
        <v>4834</v>
      </c>
      <c r="B2329" s="154" t="s">
        <v>4833</v>
      </c>
    </row>
    <row r="2330" spans="1:2" ht="28.5" x14ac:dyDescent="0.2">
      <c r="A2330" s="153" t="s">
        <v>4836</v>
      </c>
      <c r="B2330" s="154" t="s">
        <v>4835</v>
      </c>
    </row>
    <row r="2331" spans="1:2" x14ac:dyDescent="0.2">
      <c r="A2331" s="153" t="s">
        <v>4838</v>
      </c>
      <c r="B2331" s="154" t="s">
        <v>4837</v>
      </c>
    </row>
    <row r="2332" spans="1:2" x14ac:dyDescent="0.2">
      <c r="A2332" s="153" t="s">
        <v>4840</v>
      </c>
      <c r="B2332" s="154" t="s">
        <v>4839</v>
      </c>
    </row>
    <row r="2333" spans="1:2" x14ac:dyDescent="0.2">
      <c r="A2333" s="153" t="s">
        <v>4842</v>
      </c>
      <c r="B2333" s="154" t="s">
        <v>4841</v>
      </c>
    </row>
    <row r="2334" spans="1:2" x14ac:dyDescent="0.2">
      <c r="A2334" s="153" t="s">
        <v>4844</v>
      </c>
      <c r="B2334" s="154" t="s">
        <v>4843</v>
      </c>
    </row>
    <row r="2335" spans="1:2" x14ac:dyDescent="0.2">
      <c r="A2335" s="153" t="s">
        <v>4846</v>
      </c>
      <c r="B2335" s="154" t="s">
        <v>4845</v>
      </c>
    </row>
    <row r="2336" spans="1:2" x14ac:dyDescent="0.2">
      <c r="A2336" s="153" t="s">
        <v>4848</v>
      </c>
      <c r="B2336" s="154" t="s">
        <v>4847</v>
      </c>
    </row>
    <row r="2337" spans="1:2" x14ac:dyDescent="0.2">
      <c r="A2337" s="153" t="s">
        <v>1065</v>
      </c>
      <c r="B2337" s="154" t="s">
        <v>4849</v>
      </c>
    </row>
    <row r="2338" spans="1:2" x14ac:dyDescent="0.2">
      <c r="A2338" s="153" t="s">
        <v>1065</v>
      </c>
      <c r="B2338" s="154" t="s">
        <v>9906</v>
      </c>
    </row>
    <row r="2339" spans="1:2" x14ac:dyDescent="0.2">
      <c r="A2339" s="153" t="s">
        <v>4851</v>
      </c>
      <c r="B2339" s="154" t="s">
        <v>4850</v>
      </c>
    </row>
    <row r="2340" spans="1:2" x14ac:dyDescent="0.2">
      <c r="A2340" s="153" t="s">
        <v>4853</v>
      </c>
      <c r="B2340" s="154" t="s">
        <v>4852</v>
      </c>
    </row>
    <row r="2341" spans="1:2" x14ac:dyDescent="0.2">
      <c r="A2341" s="153" t="s">
        <v>4855</v>
      </c>
      <c r="B2341" s="154" t="s">
        <v>4854</v>
      </c>
    </row>
    <row r="2342" spans="1:2" x14ac:dyDescent="0.2">
      <c r="A2342" s="153" t="s">
        <v>4857</v>
      </c>
      <c r="B2342" s="154" t="s">
        <v>4856</v>
      </c>
    </row>
    <row r="2343" spans="1:2" x14ac:dyDescent="0.2">
      <c r="A2343" s="153" t="s">
        <v>4859</v>
      </c>
      <c r="B2343" s="154" t="s">
        <v>4858</v>
      </c>
    </row>
    <row r="2344" spans="1:2" x14ac:dyDescent="0.2">
      <c r="A2344" s="153" t="s">
        <v>4861</v>
      </c>
      <c r="B2344" s="154" t="s">
        <v>4860</v>
      </c>
    </row>
    <row r="2345" spans="1:2" x14ac:dyDescent="0.2">
      <c r="A2345" s="153" t="s">
        <v>1065</v>
      </c>
      <c r="B2345" s="154" t="s">
        <v>4862</v>
      </c>
    </row>
    <row r="2346" spans="1:2" x14ac:dyDescent="0.2">
      <c r="A2346" s="153" t="s">
        <v>4864</v>
      </c>
      <c r="B2346" s="154" t="s">
        <v>4863</v>
      </c>
    </row>
    <row r="2347" spans="1:2" x14ac:dyDescent="0.2">
      <c r="A2347" s="153" t="s">
        <v>4866</v>
      </c>
      <c r="B2347" s="154" t="s">
        <v>4865</v>
      </c>
    </row>
    <row r="2348" spans="1:2" x14ac:dyDescent="0.2">
      <c r="A2348" s="153" t="s">
        <v>4868</v>
      </c>
      <c r="B2348" s="154" t="s">
        <v>4867</v>
      </c>
    </row>
    <row r="2349" spans="1:2" x14ac:dyDescent="0.2">
      <c r="A2349" s="153" t="s">
        <v>4870</v>
      </c>
      <c r="B2349" s="154" t="s">
        <v>4869</v>
      </c>
    </row>
    <row r="2350" spans="1:2" x14ac:dyDescent="0.2">
      <c r="A2350" s="153" t="s">
        <v>4872</v>
      </c>
      <c r="B2350" s="154" t="s">
        <v>4871</v>
      </c>
    </row>
    <row r="2351" spans="1:2" x14ac:dyDescent="0.2">
      <c r="A2351" s="153" t="s">
        <v>4874</v>
      </c>
      <c r="B2351" s="154" t="s">
        <v>4873</v>
      </c>
    </row>
    <row r="2352" spans="1:2" x14ac:dyDescent="0.2">
      <c r="A2352" s="153" t="s">
        <v>4876</v>
      </c>
      <c r="B2352" s="154" t="s">
        <v>4875</v>
      </c>
    </row>
    <row r="2353" spans="1:2" x14ac:dyDescent="0.2">
      <c r="A2353" s="153" t="s">
        <v>4878</v>
      </c>
      <c r="B2353" s="154" t="s">
        <v>4877</v>
      </c>
    </row>
    <row r="2354" spans="1:2" x14ac:dyDescent="0.2">
      <c r="A2354" s="153" t="s">
        <v>4880</v>
      </c>
      <c r="B2354" s="154" t="s">
        <v>4879</v>
      </c>
    </row>
    <row r="2355" spans="1:2" x14ac:dyDescent="0.2">
      <c r="A2355" s="153" t="s">
        <v>4882</v>
      </c>
      <c r="B2355" s="154" t="s">
        <v>4881</v>
      </c>
    </row>
    <row r="2356" spans="1:2" x14ac:dyDescent="0.2">
      <c r="A2356" s="153" t="s">
        <v>4884</v>
      </c>
      <c r="B2356" s="154" t="s">
        <v>4883</v>
      </c>
    </row>
    <row r="2357" spans="1:2" x14ac:dyDescent="0.2">
      <c r="A2357" s="153" t="s">
        <v>4886</v>
      </c>
      <c r="B2357" s="154" t="s">
        <v>4885</v>
      </c>
    </row>
    <row r="2358" spans="1:2" x14ac:dyDescent="0.2">
      <c r="A2358" s="153" t="s">
        <v>4888</v>
      </c>
      <c r="B2358" s="154" t="s">
        <v>4887</v>
      </c>
    </row>
    <row r="2359" spans="1:2" x14ac:dyDescent="0.2">
      <c r="A2359" s="153" t="s">
        <v>4890</v>
      </c>
      <c r="B2359" s="154" t="s">
        <v>4889</v>
      </c>
    </row>
    <row r="2360" spans="1:2" x14ac:dyDescent="0.2">
      <c r="A2360" s="153" t="s">
        <v>4892</v>
      </c>
      <c r="B2360" s="154" t="s">
        <v>4891</v>
      </c>
    </row>
    <row r="2361" spans="1:2" x14ac:dyDescent="0.2">
      <c r="A2361" s="153" t="s">
        <v>4894</v>
      </c>
      <c r="B2361" s="154" t="s">
        <v>4893</v>
      </c>
    </row>
    <row r="2362" spans="1:2" x14ac:dyDescent="0.2">
      <c r="A2362" s="153" t="s">
        <v>4896</v>
      </c>
      <c r="B2362" s="154" t="s">
        <v>4895</v>
      </c>
    </row>
    <row r="2363" spans="1:2" x14ac:dyDescent="0.2">
      <c r="A2363" s="153" t="s">
        <v>4898</v>
      </c>
      <c r="B2363" s="154" t="s">
        <v>4897</v>
      </c>
    </row>
    <row r="2364" spans="1:2" x14ac:dyDescent="0.2">
      <c r="A2364" s="153" t="s">
        <v>4900</v>
      </c>
      <c r="B2364" s="154" t="s">
        <v>4899</v>
      </c>
    </row>
    <row r="2365" spans="1:2" x14ac:dyDescent="0.2">
      <c r="A2365" s="153" t="s">
        <v>4902</v>
      </c>
      <c r="B2365" s="154" t="s">
        <v>4901</v>
      </c>
    </row>
    <row r="2366" spans="1:2" x14ac:dyDescent="0.2">
      <c r="A2366" s="153" t="s">
        <v>4904</v>
      </c>
      <c r="B2366" s="154" t="s">
        <v>4903</v>
      </c>
    </row>
    <row r="2367" spans="1:2" x14ac:dyDescent="0.2">
      <c r="A2367" s="153" t="s">
        <v>4906</v>
      </c>
      <c r="B2367" s="154" t="s">
        <v>4905</v>
      </c>
    </row>
    <row r="2368" spans="1:2" x14ac:dyDescent="0.2">
      <c r="A2368" s="153" t="s">
        <v>4908</v>
      </c>
      <c r="B2368" s="154" t="s">
        <v>4907</v>
      </c>
    </row>
    <row r="2369" spans="1:2" x14ac:dyDescent="0.2">
      <c r="A2369" s="153" t="s">
        <v>4910</v>
      </c>
      <c r="B2369" s="154" t="s">
        <v>4909</v>
      </c>
    </row>
    <row r="2370" spans="1:2" x14ac:dyDescent="0.2">
      <c r="A2370" s="153" t="s">
        <v>4912</v>
      </c>
      <c r="B2370" s="154" t="s">
        <v>4911</v>
      </c>
    </row>
    <row r="2371" spans="1:2" x14ac:dyDescent="0.2">
      <c r="A2371" s="153" t="s">
        <v>4914</v>
      </c>
      <c r="B2371" s="154" t="s">
        <v>4913</v>
      </c>
    </row>
    <row r="2372" spans="1:2" x14ac:dyDescent="0.2">
      <c r="A2372" s="153" t="s">
        <v>4916</v>
      </c>
      <c r="B2372" s="154" t="s">
        <v>4915</v>
      </c>
    </row>
    <row r="2373" spans="1:2" x14ac:dyDescent="0.2">
      <c r="A2373" s="153" t="s">
        <v>4918</v>
      </c>
      <c r="B2373" s="154" t="s">
        <v>4917</v>
      </c>
    </row>
    <row r="2374" spans="1:2" x14ac:dyDescent="0.2">
      <c r="A2374" s="153" t="s">
        <v>4920</v>
      </c>
      <c r="B2374" s="154" t="s">
        <v>4919</v>
      </c>
    </row>
    <row r="2375" spans="1:2" x14ac:dyDescent="0.2">
      <c r="A2375" s="153" t="s">
        <v>4922</v>
      </c>
      <c r="B2375" s="154" t="s">
        <v>4921</v>
      </c>
    </row>
    <row r="2376" spans="1:2" ht="28.5" x14ac:dyDescent="0.2">
      <c r="A2376" s="153" t="s">
        <v>9864</v>
      </c>
      <c r="B2376" s="154" t="s">
        <v>4923</v>
      </c>
    </row>
    <row r="2377" spans="1:2" x14ac:dyDescent="0.2">
      <c r="A2377" s="153" t="s">
        <v>4925</v>
      </c>
      <c r="B2377" s="154" t="s">
        <v>4924</v>
      </c>
    </row>
    <row r="2378" spans="1:2" x14ac:dyDescent="0.2">
      <c r="A2378" s="153" t="s">
        <v>4927</v>
      </c>
      <c r="B2378" s="154" t="s">
        <v>4926</v>
      </c>
    </row>
    <row r="2379" spans="1:2" x14ac:dyDescent="0.2">
      <c r="A2379" s="153" t="s">
        <v>1065</v>
      </c>
      <c r="B2379" s="154" t="s">
        <v>4928</v>
      </c>
    </row>
    <row r="2380" spans="1:2" x14ac:dyDescent="0.2">
      <c r="A2380" s="153" t="s">
        <v>4930</v>
      </c>
      <c r="B2380" s="154" t="s">
        <v>4929</v>
      </c>
    </row>
    <row r="2381" spans="1:2" x14ac:dyDescent="0.2">
      <c r="A2381" s="153" t="s">
        <v>4932</v>
      </c>
      <c r="B2381" s="154" t="s">
        <v>4931</v>
      </c>
    </row>
    <row r="2382" spans="1:2" x14ac:dyDescent="0.2">
      <c r="A2382" s="153" t="s">
        <v>1065</v>
      </c>
      <c r="B2382" s="154" t="s">
        <v>9907</v>
      </c>
    </row>
    <row r="2383" spans="1:2" x14ac:dyDescent="0.2">
      <c r="A2383" s="153" t="s">
        <v>4934</v>
      </c>
      <c r="B2383" s="154" t="s">
        <v>4933</v>
      </c>
    </row>
    <row r="2384" spans="1:2" x14ac:dyDescent="0.2">
      <c r="A2384" s="153" t="s">
        <v>4936</v>
      </c>
      <c r="B2384" s="154" t="s">
        <v>4935</v>
      </c>
    </row>
    <row r="2385" spans="1:2" x14ac:dyDescent="0.2">
      <c r="A2385" s="153" t="s">
        <v>4938</v>
      </c>
      <c r="B2385" s="154" t="s">
        <v>4937</v>
      </c>
    </row>
    <row r="2386" spans="1:2" x14ac:dyDescent="0.2">
      <c r="A2386" s="153" t="s">
        <v>4940</v>
      </c>
      <c r="B2386" s="154" t="s">
        <v>4939</v>
      </c>
    </row>
    <row r="2387" spans="1:2" x14ac:dyDescent="0.2">
      <c r="A2387" s="153" t="s">
        <v>4942</v>
      </c>
      <c r="B2387" s="154" t="s">
        <v>4941</v>
      </c>
    </row>
    <row r="2388" spans="1:2" x14ac:dyDescent="0.2">
      <c r="A2388" s="153" t="s">
        <v>4944</v>
      </c>
      <c r="B2388" s="154" t="s">
        <v>4943</v>
      </c>
    </row>
    <row r="2389" spans="1:2" x14ac:dyDescent="0.2">
      <c r="A2389" s="153" t="s">
        <v>4946</v>
      </c>
      <c r="B2389" s="154" t="s">
        <v>4945</v>
      </c>
    </row>
    <row r="2390" spans="1:2" x14ac:dyDescent="0.2">
      <c r="A2390" s="153" t="s">
        <v>4948</v>
      </c>
      <c r="B2390" s="154" t="s">
        <v>4947</v>
      </c>
    </row>
    <row r="2391" spans="1:2" x14ac:dyDescent="0.2">
      <c r="A2391" s="153" t="s">
        <v>4950</v>
      </c>
      <c r="B2391" s="154" t="s">
        <v>4949</v>
      </c>
    </row>
    <row r="2392" spans="1:2" x14ac:dyDescent="0.2">
      <c r="A2392" s="153" t="s">
        <v>1065</v>
      </c>
      <c r="B2392" s="154" t="s">
        <v>4951</v>
      </c>
    </row>
    <row r="2393" spans="1:2" ht="28.5" x14ac:dyDescent="0.2">
      <c r="A2393" s="153" t="s">
        <v>4953</v>
      </c>
      <c r="B2393" s="154" t="s">
        <v>4952</v>
      </c>
    </row>
    <row r="2394" spans="1:2" x14ac:dyDescent="0.2">
      <c r="A2394" s="153" t="s">
        <v>4955</v>
      </c>
      <c r="B2394" s="154" t="s">
        <v>4954</v>
      </c>
    </row>
    <row r="2395" spans="1:2" x14ac:dyDescent="0.2">
      <c r="A2395" s="153" t="s">
        <v>4957</v>
      </c>
      <c r="B2395" s="154" t="s">
        <v>4956</v>
      </c>
    </row>
    <row r="2396" spans="1:2" x14ac:dyDescent="0.2">
      <c r="A2396" s="153" t="s">
        <v>4959</v>
      </c>
      <c r="B2396" s="154" t="s">
        <v>4958</v>
      </c>
    </row>
    <row r="2397" spans="1:2" x14ac:dyDescent="0.2">
      <c r="A2397" s="153" t="s">
        <v>4961</v>
      </c>
      <c r="B2397" s="154" t="s">
        <v>4960</v>
      </c>
    </row>
    <row r="2398" spans="1:2" x14ac:dyDescent="0.2">
      <c r="A2398" s="153" t="s">
        <v>4963</v>
      </c>
      <c r="B2398" s="154" t="s">
        <v>4962</v>
      </c>
    </row>
    <row r="2399" spans="1:2" x14ac:dyDescent="0.2">
      <c r="A2399" s="153" t="s">
        <v>4965</v>
      </c>
      <c r="B2399" s="154" t="s">
        <v>4964</v>
      </c>
    </row>
    <row r="2400" spans="1:2" x14ac:dyDescent="0.2">
      <c r="A2400" s="153" t="s">
        <v>4967</v>
      </c>
      <c r="B2400" s="154" t="s">
        <v>4966</v>
      </c>
    </row>
    <row r="2401" spans="1:2" x14ac:dyDescent="0.2">
      <c r="A2401" s="153" t="s">
        <v>4969</v>
      </c>
      <c r="B2401" s="154" t="s">
        <v>4968</v>
      </c>
    </row>
    <row r="2402" spans="1:2" x14ac:dyDescent="0.2">
      <c r="A2402" s="153" t="s">
        <v>4971</v>
      </c>
      <c r="B2402" s="154" t="s">
        <v>4970</v>
      </c>
    </row>
    <row r="2403" spans="1:2" x14ac:dyDescent="0.2">
      <c r="A2403" s="153" t="s">
        <v>4973</v>
      </c>
      <c r="B2403" s="154" t="s">
        <v>4972</v>
      </c>
    </row>
    <row r="2404" spans="1:2" x14ac:dyDescent="0.2">
      <c r="A2404" s="153" t="s">
        <v>4975</v>
      </c>
      <c r="B2404" s="154" t="s">
        <v>4974</v>
      </c>
    </row>
    <row r="2405" spans="1:2" x14ac:dyDescent="0.2">
      <c r="A2405" s="153" t="s">
        <v>4977</v>
      </c>
      <c r="B2405" s="154" t="s">
        <v>4976</v>
      </c>
    </row>
    <row r="2406" spans="1:2" x14ac:dyDescent="0.2">
      <c r="A2406" s="153" t="s">
        <v>4979</v>
      </c>
      <c r="B2406" s="154" t="s">
        <v>4978</v>
      </c>
    </row>
    <row r="2407" spans="1:2" x14ac:dyDescent="0.2">
      <c r="A2407" s="153" t="s">
        <v>4981</v>
      </c>
      <c r="B2407" s="154" t="s">
        <v>4980</v>
      </c>
    </row>
    <row r="2408" spans="1:2" x14ac:dyDescent="0.2">
      <c r="A2408" s="153" t="s">
        <v>4983</v>
      </c>
      <c r="B2408" s="154" t="s">
        <v>4982</v>
      </c>
    </row>
    <row r="2409" spans="1:2" x14ac:dyDescent="0.2">
      <c r="A2409" s="153" t="s">
        <v>4985</v>
      </c>
      <c r="B2409" s="154" t="s">
        <v>4984</v>
      </c>
    </row>
    <row r="2410" spans="1:2" x14ac:dyDescent="0.2">
      <c r="A2410" s="153" t="s">
        <v>4987</v>
      </c>
      <c r="B2410" s="154" t="s">
        <v>4986</v>
      </c>
    </row>
    <row r="2411" spans="1:2" x14ac:dyDescent="0.2">
      <c r="A2411" s="153" t="s">
        <v>4989</v>
      </c>
      <c r="B2411" s="154" t="s">
        <v>4988</v>
      </c>
    </row>
    <row r="2412" spans="1:2" x14ac:dyDescent="0.2">
      <c r="A2412" s="153" t="s">
        <v>4991</v>
      </c>
      <c r="B2412" s="154" t="s">
        <v>4990</v>
      </c>
    </row>
    <row r="2413" spans="1:2" x14ac:dyDescent="0.2">
      <c r="A2413" s="153" t="s">
        <v>4993</v>
      </c>
      <c r="B2413" s="154" t="s">
        <v>4992</v>
      </c>
    </row>
    <row r="2414" spans="1:2" x14ac:dyDescent="0.2">
      <c r="A2414" s="153" t="s">
        <v>4995</v>
      </c>
      <c r="B2414" s="154" t="s">
        <v>4994</v>
      </c>
    </row>
    <row r="2415" spans="1:2" x14ac:dyDescent="0.2">
      <c r="A2415" s="153" t="s">
        <v>4997</v>
      </c>
      <c r="B2415" s="154" t="s">
        <v>4996</v>
      </c>
    </row>
    <row r="2416" spans="1:2" x14ac:dyDescent="0.2">
      <c r="A2416" s="153" t="s">
        <v>4999</v>
      </c>
      <c r="B2416" s="154" t="s">
        <v>4998</v>
      </c>
    </row>
    <row r="2417" spans="1:2" x14ac:dyDescent="0.2">
      <c r="A2417" s="153" t="s">
        <v>5001</v>
      </c>
      <c r="B2417" s="154" t="s">
        <v>5000</v>
      </c>
    </row>
    <row r="2418" spans="1:2" x14ac:dyDescent="0.2">
      <c r="A2418" s="153" t="s">
        <v>5003</v>
      </c>
      <c r="B2418" s="154" t="s">
        <v>5002</v>
      </c>
    </row>
    <row r="2419" spans="1:2" x14ac:dyDescent="0.2">
      <c r="A2419" s="153" t="s">
        <v>5005</v>
      </c>
      <c r="B2419" s="154" t="s">
        <v>5004</v>
      </c>
    </row>
    <row r="2420" spans="1:2" x14ac:dyDescent="0.2">
      <c r="A2420" s="153" t="s">
        <v>5007</v>
      </c>
      <c r="B2420" s="154" t="s">
        <v>5006</v>
      </c>
    </row>
    <row r="2421" spans="1:2" x14ac:dyDescent="0.2">
      <c r="A2421" s="153" t="s">
        <v>5009</v>
      </c>
      <c r="B2421" s="154" t="s">
        <v>5008</v>
      </c>
    </row>
    <row r="2422" spans="1:2" x14ac:dyDescent="0.2">
      <c r="A2422" s="153" t="s">
        <v>5011</v>
      </c>
      <c r="B2422" s="154" t="s">
        <v>5010</v>
      </c>
    </row>
    <row r="2423" spans="1:2" x14ac:dyDescent="0.2">
      <c r="A2423" s="153" t="s">
        <v>5013</v>
      </c>
      <c r="B2423" s="154" t="s">
        <v>5012</v>
      </c>
    </row>
    <row r="2424" spans="1:2" x14ac:dyDescent="0.2">
      <c r="A2424" s="153" t="s">
        <v>5015</v>
      </c>
      <c r="B2424" s="154" t="s">
        <v>5014</v>
      </c>
    </row>
    <row r="2425" spans="1:2" x14ac:dyDescent="0.2">
      <c r="A2425" s="153" t="s">
        <v>5017</v>
      </c>
      <c r="B2425" s="154" t="s">
        <v>5016</v>
      </c>
    </row>
    <row r="2426" spans="1:2" x14ac:dyDescent="0.2">
      <c r="A2426" s="153" t="s">
        <v>5019</v>
      </c>
      <c r="B2426" s="154" t="s">
        <v>5018</v>
      </c>
    </row>
    <row r="2427" spans="1:2" x14ac:dyDescent="0.2">
      <c r="A2427" s="153" t="s">
        <v>5021</v>
      </c>
      <c r="B2427" s="154" t="s">
        <v>5020</v>
      </c>
    </row>
    <row r="2428" spans="1:2" x14ac:dyDescent="0.2">
      <c r="A2428" s="153" t="s">
        <v>5023</v>
      </c>
      <c r="B2428" s="154" t="s">
        <v>5022</v>
      </c>
    </row>
    <row r="2429" spans="1:2" x14ac:dyDescent="0.2">
      <c r="A2429" s="153" t="s">
        <v>5025</v>
      </c>
      <c r="B2429" s="154" t="s">
        <v>5024</v>
      </c>
    </row>
    <row r="2430" spans="1:2" x14ac:dyDescent="0.2">
      <c r="A2430" s="153" t="s">
        <v>5027</v>
      </c>
      <c r="B2430" s="154" t="s">
        <v>5026</v>
      </c>
    </row>
    <row r="2431" spans="1:2" x14ac:dyDescent="0.2">
      <c r="A2431" s="153" t="s">
        <v>5029</v>
      </c>
      <c r="B2431" s="154" t="s">
        <v>5028</v>
      </c>
    </row>
    <row r="2432" spans="1:2" x14ac:dyDescent="0.2">
      <c r="A2432" s="153" t="s">
        <v>5031</v>
      </c>
      <c r="B2432" s="154" t="s">
        <v>5030</v>
      </c>
    </row>
    <row r="2433" spans="1:2" x14ac:dyDescent="0.2">
      <c r="A2433" s="153" t="s">
        <v>5033</v>
      </c>
      <c r="B2433" s="154" t="s">
        <v>5032</v>
      </c>
    </row>
    <row r="2434" spans="1:2" x14ac:dyDescent="0.2">
      <c r="A2434" s="153" t="s">
        <v>5035</v>
      </c>
      <c r="B2434" s="154" t="s">
        <v>5034</v>
      </c>
    </row>
    <row r="2435" spans="1:2" x14ac:dyDescent="0.2">
      <c r="A2435" s="153" t="s">
        <v>5037</v>
      </c>
      <c r="B2435" s="154" t="s">
        <v>5036</v>
      </c>
    </row>
    <row r="2436" spans="1:2" x14ac:dyDescent="0.2">
      <c r="A2436" s="153" t="s">
        <v>5039</v>
      </c>
      <c r="B2436" s="154" t="s">
        <v>5038</v>
      </c>
    </row>
    <row r="2437" spans="1:2" x14ac:dyDescent="0.2">
      <c r="A2437" s="153" t="s">
        <v>5041</v>
      </c>
      <c r="B2437" s="154" t="s">
        <v>5040</v>
      </c>
    </row>
    <row r="2438" spans="1:2" x14ac:dyDescent="0.2">
      <c r="A2438" s="153" t="s">
        <v>5043</v>
      </c>
      <c r="B2438" s="154" t="s">
        <v>5042</v>
      </c>
    </row>
    <row r="2439" spans="1:2" x14ac:dyDescent="0.2">
      <c r="A2439" s="153" t="s">
        <v>5045</v>
      </c>
      <c r="B2439" s="154" t="s">
        <v>5044</v>
      </c>
    </row>
    <row r="2440" spans="1:2" x14ac:dyDescent="0.2">
      <c r="A2440" s="153" t="s">
        <v>5047</v>
      </c>
      <c r="B2440" s="154" t="s">
        <v>5046</v>
      </c>
    </row>
    <row r="2441" spans="1:2" x14ac:dyDescent="0.2">
      <c r="A2441" s="153" t="s">
        <v>5049</v>
      </c>
      <c r="B2441" s="154" t="s">
        <v>5048</v>
      </c>
    </row>
    <row r="2442" spans="1:2" x14ac:dyDescent="0.2">
      <c r="A2442" s="153" t="s">
        <v>5051</v>
      </c>
      <c r="B2442" s="154" t="s">
        <v>5050</v>
      </c>
    </row>
    <row r="2443" spans="1:2" x14ac:dyDescent="0.2">
      <c r="A2443" s="153" t="s">
        <v>5053</v>
      </c>
      <c r="B2443" s="154" t="s">
        <v>5052</v>
      </c>
    </row>
    <row r="2444" spans="1:2" x14ac:dyDescent="0.2">
      <c r="A2444" s="153" t="s">
        <v>5055</v>
      </c>
      <c r="B2444" s="154" t="s">
        <v>5054</v>
      </c>
    </row>
    <row r="2445" spans="1:2" x14ac:dyDescent="0.2">
      <c r="A2445" s="153" t="s">
        <v>5057</v>
      </c>
      <c r="B2445" s="154" t="s">
        <v>5056</v>
      </c>
    </row>
    <row r="2446" spans="1:2" x14ac:dyDescent="0.2">
      <c r="A2446" s="153" t="s">
        <v>5059</v>
      </c>
      <c r="B2446" s="154" t="s">
        <v>5058</v>
      </c>
    </row>
    <row r="2447" spans="1:2" x14ac:dyDescent="0.2">
      <c r="A2447" s="153" t="s">
        <v>5061</v>
      </c>
      <c r="B2447" s="154" t="s">
        <v>5060</v>
      </c>
    </row>
    <row r="2448" spans="1:2" x14ac:dyDescent="0.2">
      <c r="A2448" s="153" t="s">
        <v>5063</v>
      </c>
      <c r="B2448" s="154" t="s">
        <v>5062</v>
      </c>
    </row>
    <row r="2449" spans="1:2" x14ac:dyDescent="0.2">
      <c r="A2449" s="153" t="s">
        <v>5065</v>
      </c>
      <c r="B2449" s="154" t="s">
        <v>5064</v>
      </c>
    </row>
    <row r="2450" spans="1:2" x14ac:dyDescent="0.2">
      <c r="A2450" s="153" t="s">
        <v>5067</v>
      </c>
      <c r="B2450" s="154" t="s">
        <v>5066</v>
      </c>
    </row>
    <row r="2451" spans="1:2" x14ac:dyDescent="0.2">
      <c r="A2451" s="153" t="s">
        <v>5069</v>
      </c>
      <c r="B2451" s="154" t="s">
        <v>5068</v>
      </c>
    </row>
    <row r="2452" spans="1:2" x14ac:dyDescent="0.2">
      <c r="A2452" s="153" t="s">
        <v>5071</v>
      </c>
      <c r="B2452" s="154" t="s">
        <v>5070</v>
      </c>
    </row>
    <row r="2453" spans="1:2" x14ac:dyDescent="0.2">
      <c r="A2453" s="153" t="s">
        <v>5073</v>
      </c>
      <c r="B2453" s="154" t="s">
        <v>5072</v>
      </c>
    </row>
    <row r="2454" spans="1:2" x14ac:dyDescent="0.2">
      <c r="A2454" s="153" t="s">
        <v>5075</v>
      </c>
      <c r="B2454" s="154" t="s">
        <v>5074</v>
      </c>
    </row>
    <row r="2455" spans="1:2" x14ac:dyDescent="0.2">
      <c r="A2455" s="153" t="s">
        <v>5077</v>
      </c>
      <c r="B2455" s="154" t="s">
        <v>5076</v>
      </c>
    </row>
    <row r="2456" spans="1:2" x14ac:dyDescent="0.2">
      <c r="A2456" s="153" t="s">
        <v>5079</v>
      </c>
      <c r="B2456" s="154" t="s">
        <v>5078</v>
      </c>
    </row>
    <row r="2457" spans="1:2" x14ac:dyDescent="0.2">
      <c r="A2457" s="153" t="s">
        <v>5081</v>
      </c>
      <c r="B2457" s="154" t="s">
        <v>5080</v>
      </c>
    </row>
    <row r="2458" spans="1:2" x14ac:dyDescent="0.2">
      <c r="A2458" s="153" t="s">
        <v>5083</v>
      </c>
      <c r="B2458" s="154" t="s">
        <v>5082</v>
      </c>
    </row>
    <row r="2459" spans="1:2" x14ac:dyDescent="0.2">
      <c r="A2459" s="153" t="s">
        <v>5085</v>
      </c>
      <c r="B2459" s="154" t="s">
        <v>5084</v>
      </c>
    </row>
    <row r="2460" spans="1:2" x14ac:dyDescent="0.2">
      <c r="A2460" s="153" t="s">
        <v>5087</v>
      </c>
      <c r="B2460" s="154" t="s">
        <v>5086</v>
      </c>
    </row>
    <row r="2461" spans="1:2" x14ac:dyDescent="0.2">
      <c r="A2461" s="153" t="s">
        <v>5089</v>
      </c>
      <c r="B2461" s="154" t="s">
        <v>5088</v>
      </c>
    </row>
    <row r="2462" spans="1:2" x14ac:dyDescent="0.2">
      <c r="A2462" s="153" t="s">
        <v>5091</v>
      </c>
      <c r="B2462" s="154" t="s">
        <v>5090</v>
      </c>
    </row>
    <row r="2463" spans="1:2" x14ac:dyDescent="0.2">
      <c r="A2463" s="153" t="s">
        <v>5093</v>
      </c>
      <c r="B2463" s="154" t="s">
        <v>5092</v>
      </c>
    </row>
    <row r="2464" spans="1:2" x14ac:dyDescent="0.2">
      <c r="A2464" s="153" t="s">
        <v>5095</v>
      </c>
      <c r="B2464" s="154" t="s">
        <v>5094</v>
      </c>
    </row>
    <row r="2465" spans="1:2" x14ac:dyDescent="0.2">
      <c r="A2465" s="153" t="s">
        <v>5097</v>
      </c>
      <c r="B2465" s="154" t="s">
        <v>5096</v>
      </c>
    </row>
    <row r="2466" spans="1:2" x14ac:dyDescent="0.2">
      <c r="A2466" s="153" t="s">
        <v>5099</v>
      </c>
      <c r="B2466" s="154" t="s">
        <v>5098</v>
      </c>
    </row>
    <row r="2467" spans="1:2" x14ac:dyDescent="0.2">
      <c r="A2467" s="153" t="s">
        <v>5101</v>
      </c>
      <c r="B2467" s="154" t="s">
        <v>5100</v>
      </c>
    </row>
    <row r="2468" spans="1:2" x14ac:dyDescent="0.2">
      <c r="A2468" s="153" t="s">
        <v>5103</v>
      </c>
      <c r="B2468" s="154" t="s">
        <v>5102</v>
      </c>
    </row>
    <row r="2469" spans="1:2" x14ac:dyDescent="0.2">
      <c r="A2469" s="153" t="s">
        <v>5105</v>
      </c>
      <c r="B2469" s="154" t="s">
        <v>5104</v>
      </c>
    </row>
    <row r="2470" spans="1:2" x14ac:dyDescent="0.2">
      <c r="A2470" s="153" t="s">
        <v>5107</v>
      </c>
      <c r="B2470" s="154" t="s">
        <v>5106</v>
      </c>
    </row>
    <row r="2471" spans="1:2" x14ac:dyDescent="0.2">
      <c r="A2471" s="153" t="s">
        <v>5109</v>
      </c>
      <c r="B2471" s="154" t="s">
        <v>5108</v>
      </c>
    </row>
    <row r="2472" spans="1:2" x14ac:dyDescent="0.2">
      <c r="A2472" s="153" t="s">
        <v>5111</v>
      </c>
      <c r="B2472" s="154" t="s">
        <v>5110</v>
      </c>
    </row>
    <row r="2473" spans="1:2" x14ac:dyDescent="0.2">
      <c r="A2473" s="153" t="s">
        <v>5113</v>
      </c>
      <c r="B2473" s="154" t="s">
        <v>5112</v>
      </c>
    </row>
    <row r="2474" spans="1:2" x14ac:dyDescent="0.2">
      <c r="A2474" s="153" t="s">
        <v>5115</v>
      </c>
      <c r="B2474" s="154" t="s">
        <v>5114</v>
      </c>
    </row>
    <row r="2475" spans="1:2" x14ac:dyDescent="0.2">
      <c r="A2475" s="153" t="s">
        <v>5117</v>
      </c>
      <c r="B2475" s="154" t="s">
        <v>5116</v>
      </c>
    </row>
    <row r="2476" spans="1:2" x14ac:dyDescent="0.2">
      <c r="A2476" s="153" t="s">
        <v>5119</v>
      </c>
      <c r="B2476" s="154" t="s">
        <v>5118</v>
      </c>
    </row>
    <row r="2477" spans="1:2" x14ac:dyDescent="0.2">
      <c r="A2477" s="153" t="s">
        <v>5121</v>
      </c>
      <c r="B2477" s="154" t="s">
        <v>5120</v>
      </c>
    </row>
    <row r="2478" spans="1:2" x14ac:dyDescent="0.2">
      <c r="A2478" s="153" t="s">
        <v>5123</v>
      </c>
      <c r="B2478" s="154" t="s">
        <v>5122</v>
      </c>
    </row>
    <row r="2479" spans="1:2" x14ac:dyDescent="0.2">
      <c r="A2479" s="153" t="s">
        <v>5125</v>
      </c>
      <c r="B2479" s="154" t="s">
        <v>5124</v>
      </c>
    </row>
    <row r="2480" spans="1:2" x14ac:dyDescent="0.2">
      <c r="A2480" s="153" t="s">
        <v>5127</v>
      </c>
      <c r="B2480" s="154" t="s">
        <v>5126</v>
      </c>
    </row>
    <row r="2481" spans="1:2" x14ac:dyDescent="0.2">
      <c r="A2481" s="153" t="s">
        <v>5129</v>
      </c>
      <c r="B2481" s="154" t="s">
        <v>5128</v>
      </c>
    </row>
    <row r="2482" spans="1:2" x14ac:dyDescent="0.2">
      <c r="A2482" s="153" t="s">
        <v>5131</v>
      </c>
      <c r="B2482" s="154" t="s">
        <v>5130</v>
      </c>
    </row>
    <row r="2483" spans="1:2" x14ac:dyDescent="0.2">
      <c r="A2483" s="153" t="s">
        <v>5133</v>
      </c>
      <c r="B2483" s="154" t="s">
        <v>5132</v>
      </c>
    </row>
    <row r="2484" spans="1:2" x14ac:dyDescent="0.2">
      <c r="A2484" s="153" t="s">
        <v>5135</v>
      </c>
      <c r="B2484" s="154" t="s">
        <v>5134</v>
      </c>
    </row>
    <row r="2485" spans="1:2" x14ac:dyDescent="0.2">
      <c r="A2485" s="153" t="s">
        <v>5137</v>
      </c>
      <c r="B2485" s="154" t="s">
        <v>5136</v>
      </c>
    </row>
    <row r="2486" spans="1:2" x14ac:dyDescent="0.2">
      <c r="A2486" s="153" t="s">
        <v>5139</v>
      </c>
      <c r="B2486" s="154" t="s">
        <v>5138</v>
      </c>
    </row>
    <row r="2487" spans="1:2" x14ac:dyDescent="0.2">
      <c r="A2487" s="153" t="s">
        <v>5141</v>
      </c>
      <c r="B2487" s="154" t="s">
        <v>5140</v>
      </c>
    </row>
    <row r="2488" spans="1:2" x14ac:dyDescent="0.2">
      <c r="A2488" s="153" t="s">
        <v>5143</v>
      </c>
      <c r="B2488" s="154" t="s">
        <v>5142</v>
      </c>
    </row>
    <row r="2489" spans="1:2" x14ac:dyDescent="0.2">
      <c r="A2489" s="153" t="s">
        <v>5145</v>
      </c>
      <c r="B2489" s="154" t="s">
        <v>5144</v>
      </c>
    </row>
    <row r="2490" spans="1:2" x14ac:dyDescent="0.2">
      <c r="A2490" s="153" t="s">
        <v>5147</v>
      </c>
      <c r="B2490" s="154" t="s">
        <v>5146</v>
      </c>
    </row>
    <row r="2491" spans="1:2" x14ac:dyDescent="0.2">
      <c r="A2491" s="153" t="s">
        <v>5149</v>
      </c>
      <c r="B2491" s="154" t="s">
        <v>5148</v>
      </c>
    </row>
    <row r="2492" spans="1:2" x14ac:dyDescent="0.2">
      <c r="A2492" s="153" t="s">
        <v>5151</v>
      </c>
      <c r="B2492" s="154" t="s">
        <v>5150</v>
      </c>
    </row>
    <row r="2493" spans="1:2" x14ac:dyDescent="0.2">
      <c r="A2493" s="153" t="s">
        <v>5153</v>
      </c>
      <c r="B2493" s="154" t="s">
        <v>5152</v>
      </c>
    </row>
    <row r="2494" spans="1:2" x14ac:dyDescent="0.2">
      <c r="A2494" s="153" t="s">
        <v>5155</v>
      </c>
      <c r="B2494" s="154" t="s">
        <v>5154</v>
      </c>
    </row>
    <row r="2495" spans="1:2" x14ac:dyDescent="0.2">
      <c r="A2495" s="153" t="s">
        <v>5157</v>
      </c>
      <c r="B2495" s="154" t="s">
        <v>5156</v>
      </c>
    </row>
    <row r="2496" spans="1:2" x14ac:dyDescent="0.2">
      <c r="A2496" s="153" t="s">
        <v>5159</v>
      </c>
      <c r="B2496" s="154" t="s">
        <v>5158</v>
      </c>
    </row>
    <row r="2497" spans="1:2" x14ac:dyDescent="0.2">
      <c r="A2497" s="153" t="s">
        <v>5161</v>
      </c>
      <c r="B2497" s="154" t="s">
        <v>5160</v>
      </c>
    </row>
    <row r="2498" spans="1:2" x14ac:dyDescent="0.2">
      <c r="A2498" s="153" t="s">
        <v>5163</v>
      </c>
      <c r="B2498" s="154" t="s">
        <v>5162</v>
      </c>
    </row>
    <row r="2499" spans="1:2" x14ac:dyDescent="0.2">
      <c r="A2499" s="153" t="s">
        <v>5165</v>
      </c>
      <c r="B2499" s="154" t="s">
        <v>5164</v>
      </c>
    </row>
    <row r="2500" spans="1:2" x14ac:dyDescent="0.2">
      <c r="A2500" s="153" t="s">
        <v>5167</v>
      </c>
      <c r="B2500" s="154" t="s">
        <v>5166</v>
      </c>
    </row>
    <row r="2501" spans="1:2" x14ac:dyDescent="0.2">
      <c r="A2501" s="153" t="s">
        <v>5169</v>
      </c>
      <c r="B2501" s="154" t="s">
        <v>5168</v>
      </c>
    </row>
    <row r="2502" spans="1:2" x14ac:dyDescent="0.2">
      <c r="A2502" s="153" t="s">
        <v>5171</v>
      </c>
      <c r="B2502" s="154" t="s">
        <v>5170</v>
      </c>
    </row>
    <row r="2503" spans="1:2" x14ac:dyDescent="0.2">
      <c r="A2503" s="153" t="s">
        <v>1065</v>
      </c>
      <c r="B2503" s="154" t="s">
        <v>5172</v>
      </c>
    </row>
    <row r="2504" spans="1:2" x14ac:dyDescent="0.2">
      <c r="A2504" s="153" t="s">
        <v>1065</v>
      </c>
      <c r="B2504" s="154" t="s">
        <v>9908</v>
      </c>
    </row>
    <row r="2505" spans="1:2" x14ac:dyDescent="0.2">
      <c r="A2505" s="153" t="s">
        <v>5174</v>
      </c>
      <c r="B2505" s="154" t="s">
        <v>5173</v>
      </c>
    </row>
    <row r="2506" spans="1:2" x14ac:dyDescent="0.2">
      <c r="A2506" s="153" t="s">
        <v>5176</v>
      </c>
      <c r="B2506" s="154" t="s">
        <v>5175</v>
      </c>
    </row>
    <row r="2507" spans="1:2" x14ac:dyDescent="0.2">
      <c r="A2507" s="153" t="s">
        <v>5178</v>
      </c>
      <c r="B2507" s="154" t="s">
        <v>5177</v>
      </c>
    </row>
    <row r="2508" spans="1:2" x14ac:dyDescent="0.2">
      <c r="A2508" s="153" t="s">
        <v>5180</v>
      </c>
      <c r="B2508" s="154" t="s">
        <v>5179</v>
      </c>
    </row>
    <row r="2509" spans="1:2" x14ac:dyDescent="0.2">
      <c r="A2509" s="153" t="s">
        <v>5182</v>
      </c>
      <c r="B2509" s="154" t="s">
        <v>5181</v>
      </c>
    </row>
    <row r="2510" spans="1:2" x14ac:dyDescent="0.2">
      <c r="A2510" s="153" t="s">
        <v>5184</v>
      </c>
      <c r="B2510" s="154" t="s">
        <v>5183</v>
      </c>
    </row>
    <row r="2511" spans="1:2" x14ac:dyDescent="0.2">
      <c r="A2511" s="153" t="s">
        <v>5186</v>
      </c>
      <c r="B2511" s="154" t="s">
        <v>5185</v>
      </c>
    </row>
    <row r="2512" spans="1:2" x14ac:dyDescent="0.2">
      <c r="A2512" s="153" t="s">
        <v>5188</v>
      </c>
      <c r="B2512" s="154" t="s">
        <v>5187</v>
      </c>
    </row>
    <row r="2513" spans="1:2" x14ac:dyDescent="0.2">
      <c r="A2513" s="153" t="s">
        <v>5190</v>
      </c>
      <c r="B2513" s="154" t="s">
        <v>5189</v>
      </c>
    </row>
    <row r="2514" spans="1:2" x14ac:dyDescent="0.2">
      <c r="A2514" s="153" t="s">
        <v>5192</v>
      </c>
      <c r="B2514" s="154" t="s">
        <v>5191</v>
      </c>
    </row>
    <row r="2515" spans="1:2" ht="28.5" x14ac:dyDescent="0.2">
      <c r="A2515" s="153" t="s">
        <v>5194</v>
      </c>
      <c r="B2515" s="154" t="s">
        <v>5193</v>
      </c>
    </row>
    <row r="2516" spans="1:2" x14ac:dyDescent="0.2">
      <c r="A2516" s="153" t="s">
        <v>5196</v>
      </c>
      <c r="B2516" s="154" t="s">
        <v>5195</v>
      </c>
    </row>
    <row r="2517" spans="1:2" x14ac:dyDescent="0.2">
      <c r="A2517" s="153" t="s">
        <v>5198</v>
      </c>
      <c r="B2517" s="154" t="s">
        <v>5197</v>
      </c>
    </row>
    <row r="2518" spans="1:2" ht="28.5" x14ac:dyDescent="0.2">
      <c r="A2518" s="153" t="s">
        <v>5200</v>
      </c>
      <c r="B2518" s="154" t="s">
        <v>5199</v>
      </c>
    </row>
    <row r="2519" spans="1:2" x14ac:dyDescent="0.2">
      <c r="A2519" s="153" t="s">
        <v>5202</v>
      </c>
      <c r="B2519" s="154" t="s">
        <v>5201</v>
      </c>
    </row>
    <row r="2520" spans="1:2" x14ac:dyDescent="0.2">
      <c r="A2520" s="153" t="s">
        <v>5204</v>
      </c>
      <c r="B2520" s="154" t="s">
        <v>5203</v>
      </c>
    </row>
    <row r="2521" spans="1:2" x14ac:dyDescent="0.2">
      <c r="A2521" s="153" t="s">
        <v>5206</v>
      </c>
      <c r="B2521" s="154" t="s">
        <v>5205</v>
      </c>
    </row>
    <row r="2522" spans="1:2" ht="28.5" x14ac:dyDescent="0.2">
      <c r="A2522" s="153" t="s">
        <v>5208</v>
      </c>
      <c r="B2522" s="154" t="s">
        <v>5207</v>
      </c>
    </row>
    <row r="2523" spans="1:2" x14ac:dyDescent="0.2">
      <c r="A2523" s="153" t="s">
        <v>5210</v>
      </c>
      <c r="B2523" s="154" t="s">
        <v>5209</v>
      </c>
    </row>
    <row r="2524" spans="1:2" ht="28.5" x14ac:dyDescent="0.2">
      <c r="A2524" s="153" t="s">
        <v>5212</v>
      </c>
      <c r="B2524" s="154" t="s">
        <v>5211</v>
      </c>
    </row>
    <row r="2525" spans="1:2" x14ac:dyDescent="0.2">
      <c r="A2525" s="153" t="s">
        <v>5214</v>
      </c>
      <c r="B2525" s="154" t="s">
        <v>5213</v>
      </c>
    </row>
    <row r="2526" spans="1:2" x14ac:dyDescent="0.2">
      <c r="A2526" s="153" t="s">
        <v>5216</v>
      </c>
      <c r="B2526" s="154" t="s">
        <v>5215</v>
      </c>
    </row>
    <row r="2527" spans="1:2" ht="28.5" x14ac:dyDescent="0.2">
      <c r="A2527" s="153" t="s">
        <v>5218</v>
      </c>
      <c r="B2527" s="154" t="s">
        <v>5217</v>
      </c>
    </row>
    <row r="2528" spans="1:2" x14ac:dyDescent="0.2">
      <c r="A2528" s="153" t="s">
        <v>5220</v>
      </c>
      <c r="B2528" s="154" t="s">
        <v>5219</v>
      </c>
    </row>
    <row r="2529" spans="1:2" x14ac:dyDescent="0.2">
      <c r="A2529" s="153" t="s">
        <v>5222</v>
      </c>
      <c r="B2529" s="154" t="s">
        <v>5221</v>
      </c>
    </row>
    <row r="2530" spans="1:2" x14ac:dyDescent="0.2">
      <c r="A2530" s="153" t="s">
        <v>5224</v>
      </c>
      <c r="B2530" s="154" t="s">
        <v>5223</v>
      </c>
    </row>
    <row r="2531" spans="1:2" x14ac:dyDescent="0.2">
      <c r="A2531" s="153" t="s">
        <v>5226</v>
      </c>
      <c r="B2531" s="154" t="s">
        <v>5225</v>
      </c>
    </row>
    <row r="2532" spans="1:2" ht="28.5" x14ac:dyDescent="0.2">
      <c r="A2532" s="153" t="s">
        <v>5228</v>
      </c>
      <c r="B2532" s="154" t="s">
        <v>5227</v>
      </c>
    </row>
    <row r="2533" spans="1:2" ht="28.5" x14ac:dyDescent="0.2">
      <c r="A2533" s="153" t="s">
        <v>5230</v>
      </c>
      <c r="B2533" s="154" t="s">
        <v>5229</v>
      </c>
    </row>
    <row r="2534" spans="1:2" ht="28.5" x14ac:dyDescent="0.2">
      <c r="A2534" s="153" t="s">
        <v>5232</v>
      </c>
      <c r="B2534" s="154" t="s">
        <v>5231</v>
      </c>
    </row>
    <row r="2535" spans="1:2" ht="28.5" x14ac:dyDescent="0.2">
      <c r="A2535" s="153" t="s">
        <v>5234</v>
      </c>
      <c r="B2535" s="154" t="s">
        <v>5233</v>
      </c>
    </row>
    <row r="2536" spans="1:2" x14ac:dyDescent="0.2">
      <c r="A2536" s="153" t="s">
        <v>5236</v>
      </c>
      <c r="B2536" s="154" t="s">
        <v>5235</v>
      </c>
    </row>
    <row r="2537" spans="1:2" ht="28.5" x14ac:dyDescent="0.2">
      <c r="A2537" s="153" t="s">
        <v>5238</v>
      </c>
      <c r="B2537" s="154" t="s">
        <v>5237</v>
      </c>
    </row>
    <row r="2538" spans="1:2" ht="28.5" x14ac:dyDescent="0.2">
      <c r="A2538" s="153" t="s">
        <v>5240</v>
      </c>
      <c r="B2538" s="154" t="s">
        <v>5239</v>
      </c>
    </row>
    <row r="2539" spans="1:2" x14ac:dyDescent="0.2">
      <c r="A2539" s="153" t="s">
        <v>5242</v>
      </c>
      <c r="B2539" s="154" t="s">
        <v>5241</v>
      </c>
    </row>
    <row r="2540" spans="1:2" ht="28.5" x14ac:dyDescent="0.2">
      <c r="A2540" s="153" t="s">
        <v>5244</v>
      </c>
      <c r="B2540" s="154" t="s">
        <v>5243</v>
      </c>
    </row>
    <row r="2541" spans="1:2" x14ac:dyDescent="0.2">
      <c r="A2541" s="153" t="s">
        <v>5246</v>
      </c>
      <c r="B2541" s="154" t="s">
        <v>5245</v>
      </c>
    </row>
    <row r="2542" spans="1:2" ht="28.5" x14ac:dyDescent="0.2">
      <c r="A2542" s="153" t="s">
        <v>5248</v>
      </c>
      <c r="B2542" s="154" t="s">
        <v>5247</v>
      </c>
    </row>
    <row r="2543" spans="1:2" x14ac:dyDescent="0.2">
      <c r="A2543" s="153" t="s">
        <v>5250</v>
      </c>
      <c r="B2543" s="154" t="s">
        <v>5249</v>
      </c>
    </row>
    <row r="2544" spans="1:2" x14ac:dyDescent="0.2">
      <c r="A2544" s="153" t="s">
        <v>5252</v>
      </c>
      <c r="B2544" s="154" t="s">
        <v>5251</v>
      </c>
    </row>
    <row r="2545" spans="1:2" x14ac:dyDescent="0.2">
      <c r="A2545" s="153" t="s">
        <v>5254</v>
      </c>
      <c r="B2545" s="154" t="s">
        <v>5253</v>
      </c>
    </row>
    <row r="2546" spans="1:2" x14ac:dyDescent="0.2">
      <c r="A2546" s="153" t="s">
        <v>5256</v>
      </c>
      <c r="B2546" s="154" t="s">
        <v>5255</v>
      </c>
    </row>
    <row r="2547" spans="1:2" x14ac:dyDescent="0.2">
      <c r="A2547" s="153" t="s">
        <v>5258</v>
      </c>
      <c r="B2547" s="154" t="s">
        <v>5257</v>
      </c>
    </row>
    <row r="2548" spans="1:2" x14ac:dyDescent="0.2">
      <c r="A2548" s="153" t="s">
        <v>5260</v>
      </c>
      <c r="B2548" s="154" t="s">
        <v>5259</v>
      </c>
    </row>
    <row r="2549" spans="1:2" x14ac:dyDescent="0.2">
      <c r="A2549" s="153" t="s">
        <v>5262</v>
      </c>
      <c r="B2549" s="154" t="s">
        <v>5261</v>
      </c>
    </row>
    <row r="2550" spans="1:2" x14ac:dyDescent="0.2">
      <c r="A2550" s="153" t="s">
        <v>5264</v>
      </c>
      <c r="B2550" s="154" t="s">
        <v>5263</v>
      </c>
    </row>
    <row r="2551" spans="1:2" x14ac:dyDescent="0.2">
      <c r="A2551" s="153" t="s">
        <v>5266</v>
      </c>
      <c r="B2551" s="154" t="s">
        <v>5265</v>
      </c>
    </row>
    <row r="2552" spans="1:2" ht="42.75" x14ac:dyDescent="0.2">
      <c r="A2552" s="153" t="s">
        <v>5268</v>
      </c>
      <c r="B2552" s="154" t="s">
        <v>5267</v>
      </c>
    </row>
    <row r="2553" spans="1:2" x14ac:dyDescent="0.2">
      <c r="A2553" s="153" t="s">
        <v>5270</v>
      </c>
      <c r="B2553" s="154" t="s">
        <v>5269</v>
      </c>
    </row>
    <row r="2554" spans="1:2" x14ac:dyDescent="0.2">
      <c r="A2554" s="153" t="s">
        <v>5272</v>
      </c>
      <c r="B2554" s="154" t="s">
        <v>5271</v>
      </c>
    </row>
    <row r="2555" spans="1:2" x14ac:dyDescent="0.2">
      <c r="A2555" s="153" t="s">
        <v>5274</v>
      </c>
      <c r="B2555" s="154" t="s">
        <v>5273</v>
      </c>
    </row>
    <row r="2556" spans="1:2" ht="28.5" x14ac:dyDescent="0.2">
      <c r="A2556" s="153" t="s">
        <v>5276</v>
      </c>
      <c r="B2556" s="154" t="s">
        <v>5275</v>
      </c>
    </row>
    <row r="2557" spans="1:2" x14ac:dyDescent="0.2">
      <c r="A2557" s="153" t="s">
        <v>5278</v>
      </c>
      <c r="B2557" s="154" t="s">
        <v>5277</v>
      </c>
    </row>
    <row r="2558" spans="1:2" x14ac:dyDescent="0.2">
      <c r="A2558" s="153" t="s">
        <v>5280</v>
      </c>
      <c r="B2558" s="154" t="s">
        <v>5279</v>
      </c>
    </row>
    <row r="2559" spans="1:2" x14ac:dyDescent="0.2">
      <c r="A2559" s="153" t="s">
        <v>5282</v>
      </c>
      <c r="B2559" s="154" t="s">
        <v>5281</v>
      </c>
    </row>
    <row r="2560" spans="1:2" ht="28.5" x14ac:dyDescent="0.2">
      <c r="A2560" s="153" t="s">
        <v>5284</v>
      </c>
      <c r="B2560" s="154" t="s">
        <v>5283</v>
      </c>
    </row>
    <row r="2561" spans="1:2" x14ac:dyDescent="0.2">
      <c r="A2561" s="153" t="s">
        <v>5286</v>
      </c>
      <c r="B2561" s="154" t="s">
        <v>5285</v>
      </c>
    </row>
    <row r="2562" spans="1:2" ht="28.5" x14ac:dyDescent="0.2">
      <c r="A2562" s="153" t="s">
        <v>5288</v>
      </c>
      <c r="B2562" s="154" t="s">
        <v>5287</v>
      </c>
    </row>
    <row r="2563" spans="1:2" x14ac:dyDescent="0.2">
      <c r="A2563" s="153" t="s">
        <v>5290</v>
      </c>
      <c r="B2563" s="154" t="s">
        <v>5289</v>
      </c>
    </row>
    <row r="2564" spans="1:2" x14ac:dyDescent="0.2">
      <c r="A2564" s="153" t="s">
        <v>5292</v>
      </c>
      <c r="B2564" s="154" t="s">
        <v>5291</v>
      </c>
    </row>
    <row r="2565" spans="1:2" x14ac:dyDescent="0.2">
      <c r="A2565" s="153" t="s">
        <v>5294</v>
      </c>
      <c r="B2565" s="154" t="s">
        <v>5293</v>
      </c>
    </row>
    <row r="2566" spans="1:2" x14ac:dyDescent="0.2">
      <c r="A2566" s="153" t="s">
        <v>5296</v>
      </c>
      <c r="B2566" s="154" t="s">
        <v>5295</v>
      </c>
    </row>
    <row r="2567" spans="1:2" x14ac:dyDescent="0.2">
      <c r="A2567" s="153" t="s">
        <v>5298</v>
      </c>
      <c r="B2567" s="154" t="s">
        <v>5297</v>
      </c>
    </row>
    <row r="2568" spans="1:2" x14ac:dyDescent="0.2">
      <c r="A2568" s="153" t="s">
        <v>5300</v>
      </c>
      <c r="B2568" s="154" t="s">
        <v>5299</v>
      </c>
    </row>
    <row r="2569" spans="1:2" x14ac:dyDescent="0.2">
      <c r="A2569" s="153" t="s">
        <v>5302</v>
      </c>
      <c r="B2569" s="154" t="s">
        <v>5301</v>
      </c>
    </row>
    <row r="2570" spans="1:2" x14ac:dyDescent="0.2">
      <c r="A2570" s="153" t="s">
        <v>5304</v>
      </c>
      <c r="B2570" s="154" t="s">
        <v>5303</v>
      </c>
    </row>
    <row r="2571" spans="1:2" x14ac:dyDescent="0.2">
      <c r="A2571" s="153" t="s">
        <v>5306</v>
      </c>
      <c r="B2571" s="154" t="s">
        <v>5305</v>
      </c>
    </row>
    <row r="2572" spans="1:2" x14ac:dyDescent="0.2">
      <c r="A2572" s="153" t="s">
        <v>5308</v>
      </c>
      <c r="B2572" s="154" t="s">
        <v>5307</v>
      </c>
    </row>
    <row r="2573" spans="1:2" x14ac:dyDescent="0.2">
      <c r="A2573" s="153" t="s">
        <v>5310</v>
      </c>
      <c r="B2573" s="154" t="s">
        <v>5309</v>
      </c>
    </row>
    <row r="2574" spans="1:2" x14ac:dyDescent="0.2">
      <c r="A2574" s="153" t="s">
        <v>5312</v>
      </c>
      <c r="B2574" s="154" t="s">
        <v>5311</v>
      </c>
    </row>
    <row r="2575" spans="1:2" x14ac:dyDescent="0.2">
      <c r="A2575" s="153" t="s">
        <v>5314</v>
      </c>
      <c r="B2575" s="154" t="s">
        <v>5313</v>
      </c>
    </row>
    <row r="2576" spans="1:2" x14ac:dyDescent="0.2">
      <c r="A2576" s="153" t="s">
        <v>5316</v>
      </c>
      <c r="B2576" s="154" t="s">
        <v>5315</v>
      </c>
    </row>
    <row r="2577" spans="1:2" x14ac:dyDescent="0.2">
      <c r="A2577" s="153" t="s">
        <v>5318</v>
      </c>
      <c r="B2577" s="154" t="s">
        <v>5317</v>
      </c>
    </row>
    <row r="2578" spans="1:2" x14ac:dyDescent="0.2">
      <c r="A2578" s="153" t="s">
        <v>5320</v>
      </c>
      <c r="B2578" s="154" t="s">
        <v>5319</v>
      </c>
    </row>
    <row r="2579" spans="1:2" x14ac:dyDescent="0.2">
      <c r="A2579" s="153" t="s">
        <v>5322</v>
      </c>
      <c r="B2579" s="154" t="s">
        <v>5321</v>
      </c>
    </row>
    <row r="2580" spans="1:2" x14ac:dyDescent="0.2">
      <c r="A2580" s="153" t="s">
        <v>5324</v>
      </c>
      <c r="B2580" s="154" t="s">
        <v>5323</v>
      </c>
    </row>
    <row r="2581" spans="1:2" ht="28.5" x14ac:dyDescent="0.2">
      <c r="A2581" s="153" t="s">
        <v>5326</v>
      </c>
      <c r="B2581" s="154" t="s">
        <v>5325</v>
      </c>
    </row>
    <row r="2582" spans="1:2" x14ac:dyDescent="0.2">
      <c r="A2582" s="153" t="s">
        <v>5328</v>
      </c>
      <c r="B2582" s="154" t="s">
        <v>5327</v>
      </c>
    </row>
    <row r="2583" spans="1:2" x14ac:dyDescent="0.2">
      <c r="A2583" s="153" t="s">
        <v>5330</v>
      </c>
      <c r="B2583" s="154" t="s">
        <v>5329</v>
      </c>
    </row>
    <row r="2584" spans="1:2" x14ac:dyDescent="0.2">
      <c r="A2584" s="153" t="s">
        <v>5332</v>
      </c>
      <c r="B2584" s="154" t="s">
        <v>5331</v>
      </c>
    </row>
    <row r="2585" spans="1:2" x14ac:dyDescent="0.2">
      <c r="A2585" s="153" t="s">
        <v>5334</v>
      </c>
      <c r="B2585" s="154" t="s">
        <v>5333</v>
      </c>
    </row>
    <row r="2586" spans="1:2" ht="28.5" x14ac:dyDescent="0.2">
      <c r="A2586" s="153" t="s">
        <v>5336</v>
      </c>
      <c r="B2586" s="154" t="s">
        <v>5335</v>
      </c>
    </row>
    <row r="2587" spans="1:2" x14ac:dyDescent="0.2">
      <c r="A2587" s="153" t="s">
        <v>5338</v>
      </c>
      <c r="B2587" s="154" t="s">
        <v>5337</v>
      </c>
    </row>
    <row r="2588" spans="1:2" ht="28.5" x14ac:dyDescent="0.2">
      <c r="A2588" s="153" t="s">
        <v>5340</v>
      </c>
      <c r="B2588" s="154" t="s">
        <v>5339</v>
      </c>
    </row>
    <row r="2589" spans="1:2" x14ac:dyDescent="0.2">
      <c r="A2589" s="153" t="s">
        <v>5342</v>
      </c>
      <c r="B2589" s="154" t="s">
        <v>5341</v>
      </c>
    </row>
    <row r="2590" spans="1:2" x14ac:dyDescent="0.2">
      <c r="A2590" s="153" t="s">
        <v>5344</v>
      </c>
      <c r="B2590" s="154" t="s">
        <v>5343</v>
      </c>
    </row>
    <row r="2591" spans="1:2" ht="28.5" x14ac:dyDescent="0.2">
      <c r="A2591" s="153" t="s">
        <v>5346</v>
      </c>
      <c r="B2591" s="154" t="s">
        <v>5345</v>
      </c>
    </row>
    <row r="2592" spans="1:2" ht="28.5" x14ac:dyDescent="0.2">
      <c r="A2592" s="153" t="s">
        <v>5348</v>
      </c>
      <c r="B2592" s="154" t="s">
        <v>5347</v>
      </c>
    </row>
    <row r="2593" spans="1:2" ht="28.5" x14ac:dyDescent="0.2">
      <c r="A2593" s="153" t="s">
        <v>5350</v>
      </c>
      <c r="B2593" s="154" t="s">
        <v>5349</v>
      </c>
    </row>
    <row r="2594" spans="1:2" x14ac:dyDescent="0.2">
      <c r="A2594" s="153" t="s">
        <v>5352</v>
      </c>
      <c r="B2594" s="154" t="s">
        <v>5351</v>
      </c>
    </row>
    <row r="2595" spans="1:2" ht="28.5" x14ac:dyDescent="0.2">
      <c r="A2595" s="153" t="s">
        <v>5354</v>
      </c>
      <c r="B2595" s="154" t="s">
        <v>5353</v>
      </c>
    </row>
    <row r="2596" spans="1:2" x14ac:dyDescent="0.2">
      <c r="A2596" s="153" t="s">
        <v>5356</v>
      </c>
      <c r="B2596" s="154" t="s">
        <v>5355</v>
      </c>
    </row>
    <row r="2597" spans="1:2" x14ac:dyDescent="0.2">
      <c r="A2597" s="153" t="s">
        <v>5358</v>
      </c>
      <c r="B2597" s="154" t="s">
        <v>5357</v>
      </c>
    </row>
    <row r="2598" spans="1:2" x14ac:dyDescent="0.2">
      <c r="A2598" s="153" t="s">
        <v>5360</v>
      </c>
      <c r="B2598" s="154" t="s">
        <v>5359</v>
      </c>
    </row>
    <row r="2599" spans="1:2" x14ac:dyDescent="0.2">
      <c r="A2599" s="153" t="s">
        <v>5362</v>
      </c>
      <c r="B2599" s="154" t="s">
        <v>5361</v>
      </c>
    </row>
    <row r="2600" spans="1:2" x14ac:dyDescent="0.2">
      <c r="A2600" s="153" t="s">
        <v>1065</v>
      </c>
      <c r="B2600" s="154" t="s">
        <v>5363</v>
      </c>
    </row>
    <row r="2601" spans="1:2" x14ac:dyDescent="0.2">
      <c r="A2601" s="153" t="s">
        <v>1065</v>
      </c>
      <c r="B2601" s="154" t="s">
        <v>9909</v>
      </c>
    </row>
    <row r="2602" spans="1:2" x14ac:dyDescent="0.2">
      <c r="A2602" s="153" t="s">
        <v>1065</v>
      </c>
      <c r="B2602" s="154" t="s">
        <v>9910</v>
      </c>
    </row>
    <row r="2603" spans="1:2" x14ac:dyDescent="0.2">
      <c r="A2603" s="153" t="s">
        <v>1065</v>
      </c>
      <c r="B2603" s="154" t="s">
        <v>5364</v>
      </c>
    </row>
    <row r="2604" spans="1:2" x14ac:dyDescent="0.2">
      <c r="A2604" s="153" t="s">
        <v>1065</v>
      </c>
      <c r="B2604" s="154" t="s">
        <v>9911</v>
      </c>
    </row>
    <row r="2605" spans="1:2" x14ac:dyDescent="0.2">
      <c r="A2605" s="153" t="s">
        <v>5366</v>
      </c>
      <c r="B2605" s="154" t="s">
        <v>5365</v>
      </c>
    </row>
    <row r="2606" spans="1:2" x14ac:dyDescent="0.2">
      <c r="A2606" s="153" t="s">
        <v>5368</v>
      </c>
      <c r="B2606" s="154" t="s">
        <v>5367</v>
      </c>
    </row>
    <row r="2607" spans="1:2" x14ac:dyDescent="0.2">
      <c r="A2607" s="153" t="s">
        <v>5370</v>
      </c>
      <c r="B2607" s="154" t="s">
        <v>5369</v>
      </c>
    </row>
    <row r="2608" spans="1:2" x14ac:dyDescent="0.2">
      <c r="A2608" s="153" t="s">
        <v>5372</v>
      </c>
      <c r="B2608" s="154" t="s">
        <v>5371</v>
      </c>
    </row>
    <row r="2609" spans="1:2" x14ac:dyDescent="0.2">
      <c r="A2609" s="153" t="s">
        <v>5374</v>
      </c>
      <c r="B2609" s="154" t="s">
        <v>5373</v>
      </c>
    </row>
    <row r="2610" spans="1:2" x14ac:dyDescent="0.2">
      <c r="A2610" s="153" t="s">
        <v>5376</v>
      </c>
      <c r="B2610" s="154" t="s">
        <v>5375</v>
      </c>
    </row>
    <row r="2611" spans="1:2" x14ac:dyDescent="0.2">
      <c r="A2611" s="153" t="s">
        <v>5378</v>
      </c>
      <c r="B2611" s="154" t="s">
        <v>5377</v>
      </c>
    </row>
    <row r="2612" spans="1:2" x14ac:dyDescent="0.2">
      <c r="A2612" s="153" t="s">
        <v>5380</v>
      </c>
      <c r="B2612" s="154" t="s">
        <v>5379</v>
      </c>
    </row>
    <row r="2613" spans="1:2" x14ac:dyDescent="0.2">
      <c r="A2613" s="153" t="s">
        <v>5382</v>
      </c>
      <c r="B2613" s="154" t="s">
        <v>5381</v>
      </c>
    </row>
    <row r="2614" spans="1:2" x14ac:dyDescent="0.2">
      <c r="A2614" s="153" t="s">
        <v>9462</v>
      </c>
      <c r="B2614" s="154" t="s">
        <v>5383</v>
      </c>
    </row>
    <row r="2615" spans="1:2" ht="28.5" x14ac:dyDescent="0.2">
      <c r="A2615" s="153" t="s">
        <v>9463</v>
      </c>
      <c r="B2615" s="154" t="s">
        <v>5384</v>
      </c>
    </row>
    <row r="2616" spans="1:2" ht="28.5" x14ac:dyDescent="0.2">
      <c r="A2616" s="153" t="s">
        <v>5386</v>
      </c>
      <c r="B2616" s="154" t="s">
        <v>5385</v>
      </c>
    </row>
    <row r="2617" spans="1:2" x14ac:dyDescent="0.2">
      <c r="A2617" s="153" t="s">
        <v>5388</v>
      </c>
      <c r="B2617" s="154" t="s">
        <v>5387</v>
      </c>
    </row>
    <row r="2618" spans="1:2" x14ac:dyDescent="0.2">
      <c r="A2618" s="153" t="s">
        <v>5390</v>
      </c>
      <c r="B2618" s="154" t="s">
        <v>5389</v>
      </c>
    </row>
    <row r="2619" spans="1:2" x14ac:dyDescent="0.2">
      <c r="A2619" s="153" t="s">
        <v>9464</v>
      </c>
      <c r="B2619" s="154" t="s">
        <v>5391</v>
      </c>
    </row>
    <row r="2620" spans="1:2" ht="28.5" x14ac:dyDescent="0.2">
      <c r="A2620" s="153" t="s">
        <v>9465</v>
      </c>
      <c r="B2620" s="154" t="s">
        <v>5392</v>
      </c>
    </row>
    <row r="2621" spans="1:2" ht="28.5" x14ac:dyDescent="0.2">
      <c r="A2621" s="153" t="s">
        <v>5394</v>
      </c>
      <c r="B2621" s="154" t="s">
        <v>5393</v>
      </c>
    </row>
    <row r="2622" spans="1:2" x14ac:dyDescent="0.2">
      <c r="A2622" s="153" t="s">
        <v>9466</v>
      </c>
      <c r="B2622" s="154" t="s">
        <v>5395</v>
      </c>
    </row>
    <row r="2623" spans="1:2" ht="28.5" x14ac:dyDescent="0.2">
      <c r="A2623" s="153" t="s">
        <v>9467</v>
      </c>
      <c r="B2623" s="154" t="s">
        <v>5396</v>
      </c>
    </row>
    <row r="2624" spans="1:2" ht="28.5" x14ac:dyDescent="0.2">
      <c r="A2624" s="153" t="s">
        <v>5398</v>
      </c>
      <c r="B2624" s="154" t="s">
        <v>5397</v>
      </c>
    </row>
    <row r="2625" spans="1:2" x14ac:dyDescent="0.2">
      <c r="A2625" s="153" t="s">
        <v>9468</v>
      </c>
      <c r="B2625" s="154" t="s">
        <v>5399</v>
      </c>
    </row>
    <row r="2626" spans="1:2" ht="28.5" x14ac:dyDescent="0.2">
      <c r="A2626" s="153" t="s">
        <v>9469</v>
      </c>
      <c r="B2626" s="154" t="s">
        <v>5400</v>
      </c>
    </row>
    <row r="2627" spans="1:2" ht="28.5" x14ac:dyDescent="0.2">
      <c r="A2627" s="153" t="s">
        <v>5402</v>
      </c>
      <c r="B2627" s="154" t="s">
        <v>5401</v>
      </c>
    </row>
    <row r="2628" spans="1:2" x14ac:dyDescent="0.2">
      <c r="A2628" s="153" t="s">
        <v>9470</v>
      </c>
      <c r="B2628" s="154" t="s">
        <v>5403</v>
      </c>
    </row>
    <row r="2629" spans="1:2" ht="28.5" x14ac:dyDescent="0.2">
      <c r="A2629" s="153" t="s">
        <v>9471</v>
      </c>
      <c r="B2629" s="154" t="s">
        <v>5404</v>
      </c>
    </row>
    <row r="2630" spans="1:2" ht="28.5" x14ac:dyDescent="0.2">
      <c r="A2630" s="153" t="s">
        <v>5406</v>
      </c>
      <c r="B2630" s="154" t="s">
        <v>5405</v>
      </c>
    </row>
    <row r="2631" spans="1:2" x14ac:dyDescent="0.2">
      <c r="A2631" s="153" t="s">
        <v>5408</v>
      </c>
      <c r="B2631" s="154" t="s">
        <v>5407</v>
      </c>
    </row>
    <row r="2632" spans="1:2" x14ac:dyDescent="0.2">
      <c r="A2632" s="153" t="s">
        <v>5410</v>
      </c>
      <c r="B2632" s="154" t="s">
        <v>5409</v>
      </c>
    </row>
    <row r="2633" spans="1:2" x14ac:dyDescent="0.2">
      <c r="A2633" s="153" t="s">
        <v>5412</v>
      </c>
      <c r="B2633" s="154" t="s">
        <v>5411</v>
      </c>
    </row>
    <row r="2634" spans="1:2" x14ac:dyDescent="0.2">
      <c r="A2634" s="153" t="s">
        <v>1065</v>
      </c>
      <c r="B2634" s="154" t="s">
        <v>5413</v>
      </c>
    </row>
    <row r="2635" spans="1:2" x14ac:dyDescent="0.2">
      <c r="A2635" s="153" t="s">
        <v>5415</v>
      </c>
      <c r="B2635" s="154" t="s">
        <v>5414</v>
      </c>
    </row>
    <row r="2636" spans="1:2" x14ac:dyDescent="0.2">
      <c r="A2636" s="153" t="s">
        <v>5417</v>
      </c>
      <c r="B2636" s="154" t="s">
        <v>5416</v>
      </c>
    </row>
    <row r="2637" spans="1:2" x14ac:dyDescent="0.2">
      <c r="A2637" s="153" t="s">
        <v>5419</v>
      </c>
      <c r="B2637" s="154" t="s">
        <v>5418</v>
      </c>
    </row>
    <row r="2638" spans="1:2" x14ac:dyDescent="0.2">
      <c r="A2638" s="153" t="s">
        <v>1065</v>
      </c>
      <c r="B2638" s="154" t="s">
        <v>5420</v>
      </c>
    </row>
    <row r="2639" spans="1:2" x14ac:dyDescent="0.2">
      <c r="A2639" s="153" t="s">
        <v>1065</v>
      </c>
      <c r="B2639" s="154" t="s">
        <v>5421</v>
      </c>
    </row>
    <row r="2640" spans="1:2" x14ac:dyDescent="0.2">
      <c r="A2640" s="153" t="s">
        <v>1065</v>
      </c>
      <c r="B2640" s="154" t="s">
        <v>5422</v>
      </c>
    </row>
    <row r="2641" spans="1:2" x14ac:dyDescent="0.2">
      <c r="A2641" s="153" t="s">
        <v>1065</v>
      </c>
      <c r="B2641" s="154" t="s">
        <v>5423</v>
      </c>
    </row>
    <row r="2642" spans="1:2" x14ac:dyDescent="0.2">
      <c r="A2642" s="153" t="s">
        <v>5425</v>
      </c>
      <c r="B2642" s="154" t="s">
        <v>5424</v>
      </c>
    </row>
    <row r="2643" spans="1:2" x14ac:dyDescent="0.2">
      <c r="A2643" s="153" t="s">
        <v>5427</v>
      </c>
      <c r="B2643" s="154" t="s">
        <v>5426</v>
      </c>
    </row>
    <row r="2644" spans="1:2" x14ac:dyDescent="0.2">
      <c r="A2644" s="153" t="s">
        <v>5429</v>
      </c>
      <c r="B2644" s="154" t="s">
        <v>5428</v>
      </c>
    </row>
    <row r="2645" spans="1:2" x14ac:dyDescent="0.2">
      <c r="A2645" s="153" t="s">
        <v>1065</v>
      </c>
      <c r="B2645" s="154" t="s">
        <v>5430</v>
      </c>
    </row>
    <row r="2646" spans="1:2" x14ac:dyDescent="0.2">
      <c r="A2646" s="153" t="s">
        <v>1065</v>
      </c>
      <c r="B2646" s="154" t="s">
        <v>5431</v>
      </c>
    </row>
    <row r="2647" spans="1:2" x14ac:dyDescent="0.2">
      <c r="A2647" s="153" t="s">
        <v>5433</v>
      </c>
      <c r="B2647" s="154" t="s">
        <v>5432</v>
      </c>
    </row>
    <row r="2648" spans="1:2" x14ac:dyDescent="0.2">
      <c r="A2648" s="153" t="s">
        <v>5435</v>
      </c>
      <c r="B2648" s="154" t="s">
        <v>5434</v>
      </c>
    </row>
    <row r="2649" spans="1:2" x14ac:dyDescent="0.2">
      <c r="A2649" s="153" t="s">
        <v>5437</v>
      </c>
      <c r="B2649" s="154" t="s">
        <v>5436</v>
      </c>
    </row>
    <row r="2650" spans="1:2" x14ac:dyDescent="0.2">
      <c r="A2650" s="153" t="s">
        <v>5439</v>
      </c>
      <c r="B2650" s="154" t="s">
        <v>5438</v>
      </c>
    </row>
    <row r="2651" spans="1:2" x14ac:dyDescent="0.2">
      <c r="A2651" s="153" t="s">
        <v>5441</v>
      </c>
      <c r="B2651" s="154" t="s">
        <v>5440</v>
      </c>
    </row>
    <row r="2652" spans="1:2" x14ac:dyDescent="0.2">
      <c r="A2652" s="153" t="s">
        <v>5443</v>
      </c>
      <c r="B2652" s="154" t="s">
        <v>5442</v>
      </c>
    </row>
    <row r="2653" spans="1:2" x14ac:dyDescent="0.2">
      <c r="A2653" s="153" t="s">
        <v>5445</v>
      </c>
      <c r="B2653" s="154" t="s">
        <v>5444</v>
      </c>
    </row>
    <row r="2654" spans="1:2" x14ac:dyDescent="0.2">
      <c r="A2654" s="153" t="s">
        <v>5447</v>
      </c>
      <c r="B2654" s="154" t="s">
        <v>5446</v>
      </c>
    </row>
    <row r="2655" spans="1:2" x14ac:dyDescent="0.2">
      <c r="A2655" s="153" t="s">
        <v>5449</v>
      </c>
      <c r="B2655" s="154" t="s">
        <v>5448</v>
      </c>
    </row>
    <row r="2656" spans="1:2" x14ac:dyDescent="0.2">
      <c r="A2656" s="153" t="s">
        <v>5451</v>
      </c>
      <c r="B2656" s="154" t="s">
        <v>5450</v>
      </c>
    </row>
    <row r="2657" spans="1:2" x14ac:dyDescent="0.2">
      <c r="A2657" s="153" t="s">
        <v>5453</v>
      </c>
      <c r="B2657" s="154" t="s">
        <v>5452</v>
      </c>
    </row>
    <row r="2658" spans="1:2" x14ac:dyDescent="0.2">
      <c r="A2658" s="153" t="s">
        <v>5455</v>
      </c>
      <c r="B2658" s="154" t="s">
        <v>5454</v>
      </c>
    </row>
    <row r="2659" spans="1:2" x14ac:dyDescent="0.2">
      <c r="A2659" s="153" t="s">
        <v>5457</v>
      </c>
      <c r="B2659" s="154" t="s">
        <v>5456</v>
      </c>
    </row>
    <row r="2660" spans="1:2" x14ac:dyDescent="0.2">
      <c r="A2660" s="153" t="s">
        <v>5459</v>
      </c>
      <c r="B2660" s="154" t="s">
        <v>5458</v>
      </c>
    </row>
    <row r="2661" spans="1:2" x14ac:dyDescent="0.2">
      <c r="A2661" s="153" t="s">
        <v>5461</v>
      </c>
      <c r="B2661" s="154" t="s">
        <v>5460</v>
      </c>
    </row>
    <row r="2662" spans="1:2" x14ac:dyDescent="0.2">
      <c r="A2662" s="153" t="s">
        <v>5463</v>
      </c>
      <c r="B2662" s="154" t="s">
        <v>5462</v>
      </c>
    </row>
    <row r="2663" spans="1:2" x14ac:dyDescent="0.2">
      <c r="A2663" s="153" t="s">
        <v>5464</v>
      </c>
      <c r="B2663" s="154" t="s">
        <v>290</v>
      </c>
    </row>
    <row r="2664" spans="1:2" x14ac:dyDescent="0.2">
      <c r="A2664" s="153" t="s">
        <v>5466</v>
      </c>
      <c r="B2664" s="154" t="s">
        <v>5465</v>
      </c>
    </row>
    <row r="2665" spans="1:2" x14ac:dyDescent="0.2">
      <c r="A2665" s="153" t="s">
        <v>1065</v>
      </c>
      <c r="B2665" s="154" t="s">
        <v>9912</v>
      </c>
    </row>
    <row r="2666" spans="1:2" x14ac:dyDescent="0.2">
      <c r="A2666" s="153" t="s">
        <v>5468</v>
      </c>
      <c r="B2666" s="154" t="s">
        <v>5467</v>
      </c>
    </row>
    <row r="2667" spans="1:2" x14ac:dyDescent="0.2">
      <c r="A2667" s="153" t="s">
        <v>5470</v>
      </c>
      <c r="B2667" s="154" t="s">
        <v>5469</v>
      </c>
    </row>
    <row r="2668" spans="1:2" x14ac:dyDescent="0.2">
      <c r="A2668" s="153" t="s">
        <v>5472</v>
      </c>
      <c r="B2668" s="154" t="s">
        <v>5471</v>
      </c>
    </row>
    <row r="2669" spans="1:2" x14ac:dyDescent="0.2">
      <c r="A2669" s="153" t="s">
        <v>5474</v>
      </c>
      <c r="B2669" s="154" t="s">
        <v>5473</v>
      </c>
    </row>
    <row r="2670" spans="1:2" x14ac:dyDescent="0.2">
      <c r="A2670" s="153" t="s">
        <v>5476</v>
      </c>
      <c r="B2670" s="154" t="s">
        <v>5475</v>
      </c>
    </row>
    <row r="2671" spans="1:2" x14ac:dyDescent="0.2">
      <c r="A2671" s="153" t="s">
        <v>5478</v>
      </c>
      <c r="B2671" s="154" t="s">
        <v>5477</v>
      </c>
    </row>
    <row r="2672" spans="1:2" x14ac:dyDescent="0.2">
      <c r="A2672" s="153" t="s">
        <v>5480</v>
      </c>
      <c r="B2672" s="154" t="s">
        <v>5479</v>
      </c>
    </row>
    <row r="2673" spans="1:2" x14ac:dyDescent="0.2">
      <c r="A2673" s="153" t="s">
        <v>5482</v>
      </c>
      <c r="B2673" s="154" t="s">
        <v>5481</v>
      </c>
    </row>
    <row r="2674" spans="1:2" x14ac:dyDescent="0.2">
      <c r="A2674" s="153" t="s">
        <v>5484</v>
      </c>
      <c r="B2674" s="154" t="s">
        <v>5483</v>
      </c>
    </row>
    <row r="2675" spans="1:2" x14ac:dyDescent="0.2">
      <c r="A2675" s="153" t="s">
        <v>5486</v>
      </c>
      <c r="B2675" s="154" t="s">
        <v>5485</v>
      </c>
    </row>
    <row r="2676" spans="1:2" x14ac:dyDescent="0.2">
      <c r="A2676" s="153" t="s">
        <v>5488</v>
      </c>
      <c r="B2676" s="154" t="s">
        <v>5487</v>
      </c>
    </row>
    <row r="2677" spans="1:2" x14ac:dyDescent="0.2">
      <c r="A2677" s="153" t="s">
        <v>5490</v>
      </c>
      <c r="B2677" s="154" t="s">
        <v>5489</v>
      </c>
    </row>
    <row r="2678" spans="1:2" x14ac:dyDescent="0.2">
      <c r="A2678" s="153" t="s">
        <v>5492</v>
      </c>
      <c r="B2678" s="154" t="s">
        <v>5491</v>
      </c>
    </row>
    <row r="2679" spans="1:2" x14ac:dyDescent="0.2">
      <c r="A2679" s="153" t="s">
        <v>5494</v>
      </c>
      <c r="B2679" s="154" t="s">
        <v>5493</v>
      </c>
    </row>
    <row r="2680" spans="1:2" x14ac:dyDescent="0.2">
      <c r="A2680" s="153" t="s">
        <v>5496</v>
      </c>
      <c r="B2680" s="154" t="s">
        <v>5495</v>
      </c>
    </row>
    <row r="2681" spans="1:2" x14ac:dyDescent="0.2">
      <c r="A2681" s="153" t="s">
        <v>5498</v>
      </c>
      <c r="B2681" s="154" t="s">
        <v>5497</v>
      </c>
    </row>
    <row r="2682" spans="1:2" x14ac:dyDescent="0.2">
      <c r="A2682" s="153" t="s">
        <v>5500</v>
      </c>
      <c r="B2682" s="154" t="s">
        <v>5499</v>
      </c>
    </row>
    <row r="2683" spans="1:2" x14ac:dyDescent="0.2">
      <c r="A2683" s="153" t="s">
        <v>5502</v>
      </c>
      <c r="B2683" s="154" t="s">
        <v>5501</v>
      </c>
    </row>
    <row r="2684" spans="1:2" x14ac:dyDescent="0.2">
      <c r="A2684" s="153" t="s">
        <v>5504</v>
      </c>
      <c r="B2684" s="154" t="s">
        <v>5503</v>
      </c>
    </row>
    <row r="2685" spans="1:2" x14ac:dyDescent="0.2">
      <c r="A2685" s="153" t="s">
        <v>1065</v>
      </c>
      <c r="B2685" s="154" t="s">
        <v>5505</v>
      </c>
    </row>
    <row r="2686" spans="1:2" x14ac:dyDescent="0.2">
      <c r="A2686" s="153" t="s">
        <v>5507</v>
      </c>
      <c r="B2686" s="154" t="s">
        <v>5506</v>
      </c>
    </row>
    <row r="2687" spans="1:2" x14ac:dyDescent="0.2">
      <c r="A2687" s="153" t="s">
        <v>5509</v>
      </c>
      <c r="B2687" s="154" t="s">
        <v>5508</v>
      </c>
    </row>
    <row r="2688" spans="1:2" x14ac:dyDescent="0.2">
      <c r="A2688" s="153" t="s">
        <v>5511</v>
      </c>
      <c r="B2688" s="154" t="s">
        <v>5510</v>
      </c>
    </row>
    <row r="2689" spans="1:2" x14ac:dyDescent="0.2">
      <c r="A2689" s="153" t="s">
        <v>5513</v>
      </c>
      <c r="B2689" s="154" t="s">
        <v>5512</v>
      </c>
    </row>
    <row r="2690" spans="1:2" x14ac:dyDescent="0.2">
      <c r="A2690" s="153" t="s">
        <v>5515</v>
      </c>
      <c r="B2690" s="154" t="s">
        <v>5514</v>
      </c>
    </row>
    <row r="2691" spans="1:2" x14ac:dyDescent="0.2">
      <c r="A2691" s="153" t="s">
        <v>5517</v>
      </c>
      <c r="B2691" s="154" t="s">
        <v>5516</v>
      </c>
    </row>
    <row r="2692" spans="1:2" x14ac:dyDescent="0.2">
      <c r="A2692" s="153" t="s">
        <v>5519</v>
      </c>
      <c r="B2692" s="154" t="s">
        <v>5518</v>
      </c>
    </row>
    <row r="2693" spans="1:2" x14ac:dyDescent="0.2">
      <c r="A2693" s="153" t="s">
        <v>5521</v>
      </c>
      <c r="B2693" s="154" t="s">
        <v>5520</v>
      </c>
    </row>
    <row r="2694" spans="1:2" x14ac:dyDescent="0.2">
      <c r="A2694" s="153" t="s">
        <v>5523</v>
      </c>
      <c r="B2694" s="154" t="s">
        <v>5522</v>
      </c>
    </row>
    <row r="2695" spans="1:2" x14ac:dyDescent="0.2">
      <c r="A2695" s="153" t="s">
        <v>5525</v>
      </c>
      <c r="B2695" s="154" t="s">
        <v>5524</v>
      </c>
    </row>
    <row r="2696" spans="1:2" x14ac:dyDescent="0.2">
      <c r="A2696" s="153" t="s">
        <v>9472</v>
      </c>
      <c r="B2696" s="154" t="s">
        <v>5526</v>
      </c>
    </row>
    <row r="2697" spans="1:2" ht="28.5" x14ac:dyDescent="0.2">
      <c r="A2697" s="153" t="s">
        <v>9473</v>
      </c>
      <c r="B2697" s="154" t="s">
        <v>5527</v>
      </c>
    </row>
    <row r="2698" spans="1:2" ht="42.75" x14ac:dyDescent="0.2">
      <c r="A2698" s="153" t="s">
        <v>5529</v>
      </c>
      <c r="B2698" s="154" t="s">
        <v>5528</v>
      </c>
    </row>
    <row r="2699" spans="1:2" x14ac:dyDescent="0.2">
      <c r="A2699" s="153" t="s">
        <v>5531</v>
      </c>
      <c r="B2699" s="154" t="s">
        <v>5530</v>
      </c>
    </row>
    <row r="2700" spans="1:2" x14ac:dyDescent="0.2">
      <c r="A2700" s="153" t="s">
        <v>5533</v>
      </c>
      <c r="B2700" s="154" t="s">
        <v>5532</v>
      </c>
    </row>
    <row r="2701" spans="1:2" x14ac:dyDescent="0.2">
      <c r="A2701" s="153" t="s">
        <v>5535</v>
      </c>
      <c r="B2701" s="154" t="s">
        <v>5534</v>
      </c>
    </row>
    <row r="2702" spans="1:2" x14ac:dyDescent="0.2">
      <c r="A2702" s="153" t="s">
        <v>5537</v>
      </c>
      <c r="B2702" s="154" t="s">
        <v>5536</v>
      </c>
    </row>
    <row r="2703" spans="1:2" x14ac:dyDescent="0.2">
      <c r="A2703" s="153" t="s">
        <v>5539</v>
      </c>
      <c r="B2703" s="154" t="s">
        <v>5538</v>
      </c>
    </row>
    <row r="2704" spans="1:2" x14ac:dyDescent="0.2">
      <c r="A2704" s="153" t="s">
        <v>1065</v>
      </c>
      <c r="B2704" s="154" t="s">
        <v>5540</v>
      </c>
    </row>
    <row r="2705" spans="1:2" x14ac:dyDescent="0.2">
      <c r="A2705" s="153" t="s">
        <v>5542</v>
      </c>
      <c r="B2705" s="154" t="s">
        <v>5541</v>
      </c>
    </row>
    <row r="2706" spans="1:2" x14ac:dyDescent="0.2">
      <c r="A2706" s="153" t="s">
        <v>5544</v>
      </c>
      <c r="B2706" s="154" t="s">
        <v>5543</v>
      </c>
    </row>
    <row r="2707" spans="1:2" x14ac:dyDescent="0.2">
      <c r="A2707" s="153" t="s">
        <v>5546</v>
      </c>
      <c r="B2707" s="154" t="s">
        <v>5545</v>
      </c>
    </row>
    <row r="2708" spans="1:2" x14ac:dyDescent="0.2">
      <c r="A2708" s="153" t="s">
        <v>5548</v>
      </c>
      <c r="B2708" s="154" t="s">
        <v>5547</v>
      </c>
    </row>
    <row r="2709" spans="1:2" x14ac:dyDescent="0.2">
      <c r="A2709" s="153" t="s">
        <v>5550</v>
      </c>
      <c r="B2709" s="154" t="s">
        <v>5549</v>
      </c>
    </row>
    <row r="2710" spans="1:2" x14ac:dyDescent="0.2">
      <c r="A2710" s="153" t="s">
        <v>5552</v>
      </c>
      <c r="B2710" s="154" t="s">
        <v>5551</v>
      </c>
    </row>
    <row r="2711" spans="1:2" x14ac:dyDescent="0.2">
      <c r="A2711" s="153" t="s">
        <v>5554</v>
      </c>
      <c r="B2711" s="154" t="s">
        <v>5553</v>
      </c>
    </row>
    <row r="2712" spans="1:2" x14ac:dyDescent="0.2">
      <c r="A2712" s="153" t="s">
        <v>5556</v>
      </c>
      <c r="B2712" s="154" t="s">
        <v>5555</v>
      </c>
    </row>
    <row r="2713" spans="1:2" x14ac:dyDescent="0.2">
      <c r="A2713" s="153" t="s">
        <v>5558</v>
      </c>
      <c r="B2713" s="154" t="s">
        <v>5557</v>
      </c>
    </row>
    <row r="2714" spans="1:2" x14ac:dyDescent="0.2">
      <c r="A2714" s="153" t="s">
        <v>5560</v>
      </c>
      <c r="B2714" s="154" t="s">
        <v>5559</v>
      </c>
    </row>
    <row r="2715" spans="1:2" x14ac:dyDescent="0.2">
      <c r="A2715" s="153" t="s">
        <v>5562</v>
      </c>
      <c r="B2715" s="154" t="s">
        <v>5561</v>
      </c>
    </row>
    <row r="2716" spans="1:2" x14ac:dyDescent="0.2">
      <c r="A2716" s="153" t="s">
        <v>5564</v>
      </c>
      <c r="B2716" s="154" t="s">
        <v>5563</v>
      </c>
    </row>
    <row r="2717" spans="1:2" x14ac:dyDescent="0.2">
      <c r="A2717" s="153" t="s">
        <v>5566</v>
      </c>
      <c r="B2717" s="154" t="s">
        <v>5565</v>
      </c>
    </row>
    <row r="2718" spans="1:2" x14ac:dyDescent="0.2">
      <c r="A2718" s="153" t="s">
        <v>5568</v>
      </c>
      <c r="B2718" s="154" t="s">
        <v>5567</v>
      </c>
    </row>
    <row r="2719" spans="1:2" x14ac:dyDescent="0.2">
      <c r="A2719" s="153" t="s">
        <v>5570</v>
      </c>
      <c r="B2719" s="154" t="s">
        <v>5569</v>
      </c>
    </row>
    <row r="2720" spans="1:2" x14ac:dyDescent="0.2">
      <c r="A2720" s="153" t="s">
        <v>5572</v>
      </c>
      <c r="B2720" s="154" t="s">
        <v>5571</v>
      </c>
    </row>
    <row r="2721" spans="1:2" x14ac:dyDescent="0.2">
      <c r="A2721" s="153" t="s">
        <v>5574</v>
      </c>
      <c r="B2721" s="154" t="s">
        <v>5573</v>
      </c>
    </row>
    <row r="2722" spans="1:2" x14ac:dyDescent="0.2">
      <c r="A2722" s="153" t="s">
        <v>5576</v>
      </c>
      <c r="B2722" s="154" t="s">
        <v>5575</v>
      </c>
    </row>
    <row r="2723" spans="1:2" x14ac:dyDescent="0.2">
      <c r="A2723" s="153" t="s">
        <v>5578</v>
      </c>
      <c r="B2723" s="154" t="s">
        <v>5577</v>
      </c>
    </row>
    <row r="2724" spans="1:2" x14ac:dyDescent="0.2">
      <c r="A2724" s="153" t="s">
        <v>5580</v>
      </c>
      <c r="B2724" s="154" t="s">
        <v>5579</v>
      </c>
    </row>
    <row r="2725" spans="1:2" x14ac:dyDescent="0.2">
      <c r="A2725" s="153" t="s">
        <v>5582</v>
      </c>
      <c r="B2725" s="154" t="s">
        <v>5581</v>
      </c>
    </row>
    <row r="2726" spans="1:2" x14ac:dyDescent="0.2">
      <c r="A2726" s="153" t="s">
        <v>5584</v>
      </c>
      <c r="B2726" s="154" t="s">
        <v>5583</v>
      </c>
    </row>
    <row r="2727" spans="1:2" x14ac:dyDescent="0.2">
      <c r="A2727" s="153" t="s">
        <v>5586</v>
      </c>
      <c r="B2727" s="154" t="s">
        <v>5585</v>
      </c>
    </row>
    <row r="2728" spans="1:2" x14ac:dyDescent="0.2">
      <c r="A2728" s="153" t="s">
        <v>5588</v>
      </c>
      <c r="B2728" s="154" t="s">
        <v>5587</v>
      </c>
    </row>
    <row r="2729" spans="1:2" x14ac:dyDescent="0.2">
      <c r="A2729" s="153" t="s">
        <v>5590</v>
      </c>
      <c r="B2729" s="154" t="s">
        <v>5589</v>
      </c>
    </row>
    <row r="2730" spans="1:2" x14ac:dyDescent="0.2">
      <c r="A2730" s="153" t="s">
        <v>5592</v>
      </c>
      <c r="B2730" s="154" t="s">
        <v>5591</v>
      </c>
    </row>
    <row r="2731" spans="1:2" x14ac:dyDescent="0.2">
      <c r="A2731" s="153" t="s">
        <v>5594</v>
      </c>
      <c r="B2731" s="154" t="s">
        <v>5593</v>
      </c>
    </row>
    <row r="2732" spans="1:2" x14ac:dyDescent="0.2">
      <c r="A2732" s="153" t="s">
        <v>5596</v>
      </c>
      <c r="B2732" s="154" t="s">
        <v>5595</v>
      </c>
    </row>
    <row r="2733" spans="1:2" x14ac:dyDescent="0.2">
      <c r="A2733" s="153" t="s">
        <v>5598</v>
      </c>
      <c r="B2733" s="154" t="s">
        <v>5597</v>
      </c>
    </row>
    <row r="2734" spans="1:2" x14ac:dyDescent="0.2">
      <c r="A2734" s="153" t="s">
        <v>5600</v>
      </c>
      <c r="B2734" s="154" t="s">
        <v>5599</v>
      </c>
    </row>
    <row r="2735" spans="1:2" x14ac:dyDescent="0.2">
      <c r="A2735" s="153" t="s">
        <v>5602</v>
      </c>
      <c r="B2735" s="154" t="s">
        <v>5601</v>
      </c>
    </row>
    <row r="2736" spans="1:2" x14ac:dyDescent="0.2">
      <c r="A2736" s="153" t="s">
        <v>5604</v>
      </c>
      <c r="B2736" s="154" t="s">
        <v>5603</v>
      </c>
    </row>
    <row r="2737" spans="1:2" x14ac:dyDescent="0.2">
      <c r="A2737" s="153" t="s">
        <v>5606</v>
      </c>
      <c r="B2737" s="154" t="s">
        <v>5605</v>
      </c>
    </row>
    <row r="2738" spans="1:2" x14ac:dyDescent="0.2">
      <c r="A2738" s="153" t="s">
        <v>5608</v>
      </c>
      <c r="B2738" s="154" t="s">
        <v>5607</v>
      </c>
    </row>
    <row r="2739" spans="1:2" x14ac:dyDescent="0.2">
      <c r="A2739" s="153" t="s">
        <v>5610</v>
      </c>
      <c r="B2739" s="154" t="s">
        <v>5609</v>
      </c>
    </row>
    <row r="2740" spans="1:2" x14ac:dyDescent="0.2">
      <c r="A2740" s="153" t="s">
        <v>9865</v>
      </c>
      <c r="B2740" s="154" t="s">
        <v>5611</v>
      </c>
    </row>
    <row r="2741" spans="1:2" x14ac:dyDescent="0.2">
      <c r="A2741" s="153" t="s">
        <v>9866</v>
      </c>
      <c r="B2741" s="154" t="s">
        <v>5612</v>
      </c>
    </row>
    <row r="2742" spans="1:2" ht="28.5" x14ac:dyDescent="0.2">
      <c r="A2742" s="153" t="s">
        <v>5614</v>
      </c>
      <c r="B2742" s="154" t="s">
        <v>5613</v>
      </c>
    </row>
    <row r="2743" spans="1:2" x14ac:dyDescent="0.2">
      <c r="A2743" s="153" t="s">
        <v>5616</v>
      </c>
      <c r="B2743" s="154" t="s">
        <v>5615</v>
      </c>
    </row>
    <row r="2744" spans="1:2" x14ac:dyDescent="0.2">
      <c r="A2744" s="153" t="s">
        <v>5618</v>
      </c>
      <c r="B2744" s="154" t="s">
        <v>5617</v>
      </c>
    </row>
    <row r="2745" spans="1:2" x14ac:dyDescent="0.2">
      <c r="A2745" s="153" t="s">
        <v>5620</v>
      </c>
      <c r="B2745" s="154" t="s">
        <v>5619</v>
      </c>
    </row>
    <row r="2746" spans="1:2" x14ac:dyDescent="0.2">
      <c r="A2746" s="153" t="s">
        <v>5622</v>
      </c>
      <c r="B2746" s="154" t="s">
        <v>5621</v>
      </c>
    </row>
    <row r="2747" spans="1:2" x14ac:dyDescent="0.2">
      <c r="A2747" s="153" t="s">
        <v>5624</v>
      </c>
      <c r="B2747" s="154" t="s">
        <v>5623</v>
      </c>
    </row>
    <row r="2748" spans="1:2" x14ac:dyDescent="0.2">
      <c r="A2748" s="153" t="s">
        <v>5626</v>
      </c>
      <c r="B2748" s="154" t="s">
        <v>5625</v>
      </c>
    </row>
    <row r="2749" spans="1:2" x14ac:dyDescent="0.2">
      <c r="A2749" s="153" t="s">
        <v>5628</v>
      </c>
      <c r="B2749" s="154" t="s">
        <v>5627</v>
      </c>
    </row>
    <row r="2750" spans="1:2" x14ac:dyDescent="0.2">
      <c r="A2750" s="153" t="s">
        <v>5630</v>
      </c>
      <c r="B2750" s="154" t="s">
        <v>5629</v>
      </c>
    </row>
    <row r="2751" spans="1:2" x14ac:dyDescent="0.2">
      <c r="A2751" s="153" t="s">
        <v>5632</v>
      </c>
      <c r="B2751" s="154" t="s">
        <v>5631</v>
      </c>
    </row>
    <row r="2752" spans="1:2" x14ac:dyDescent="0.2">
      <c r="A2752" s="153" t="s">
        <v>5634</v>
      </c>
      <c r="B2752" s="154" t="s">
        <v>5633</v>
      </c>
    </row>
    <row r="2753" spans="1:2" x14ac:dyDescent="0.2">
      <c r="A2753" s="153" t="s">
        <v>5636</v>
      </c>
      <c r="B2753" s="154" t="s">
        <v>5635</v>
      </c>
    </row>
    <row r="2754" spans="1:2" x14ac:dyDescent="0.2">
      <c r="A2754" s="153" t="s">
        <v>5638</v>
      </c>
      <c r="B2754" s="154" t="s">
        <v>5637</v>
      </c>
    </row>
    <row r="2755" spans="1:2" x14ac:dyDescent="0.2">
      <c r="A2755" s="153" t="s">
        <v>5640</v>
      </c>
      <c r="B2755" s="154" t="s">
        <v>5639</v>
      </c>
    </row>
    <row r="2756" spans="1:2" x14ac:dyDescent="0.2">
      <c r="A2756" s="153" t="s">
        <v>5642</v>
      </c>
      <c r="B2756" s="154" t="s">
        <v>5641</v>
      </c>
    </row>
    <row r="2757" spans="1:2" x14ac:dyDescent="0.2">
      <c r="A2757" s="153" t="s">
        <v>5644</v>
      </c>
      <c r="B2757" s="154" t="s">
        <v>5643</v>
      </c>
    </row>
    <row r="2758" spans="1:2" x14ac:dyDescent="0.2">
      <c r="A2758" s="153" t="s">
        <v>5646</v>
      </c>
      <c r="B2758" s="154" t="s">
        <v>5645</v>
      </c>
    </row>
    <row r="2759" spans="1:2" x14ac:dyDescent="0.2">
      <c r="A2759" s="153" t="s">
        <v>1065</v>
      </c>
      <c r="B2759" s="154" t="s">
        <v>5647</v>
      </c>
    </row>
    <row r="2760" spans="1:2" x14ac:dyDescent="0.2">
      <c r="A2760" s="153" t="s">
        <v>5649</v>
      </c>
      <c r="B2760" s="154" t="s">
        <v>5648</v>
      </c>
    </row>
    <row r="2761" spans="1:2" x14ac:dyDescent="0.2">
      <c r="A2761" s="153" t="s">
        <v>5651</v>
      </c>
      <c r="B2761" s="154" t="s">
        <v>5650</v>
      </c>
    </row>
    <row r="2762" spans="1:2" x14ac:dyDescent="0.2">
      <c r="A2762" s="153" t="s">
        <v>1065</v>
      </c>
      <c r="B2762" s="154" t="s">
        <v>5652</v>
      </c>
    </row>
    <row r="2763" spans="1:2" x14ac:dyDescent="0.2">
      <c r="A2763" s="153" t="s">
        <v>5654</v>
      </c>
      <c r="B2763" s="154" t="s">
        <v>5653</v>
      </c>
    </row>
    <row r="2764" spans="1:2" x14ac:dyDescent="0.2">
      <c r="A2764" s="153" t="s">
        <v>5656</v>
      </c>
      <c r="B2764" s="154" t="s">
        <v>5655</v>
      </c>
    </row>
    <row r="2765" spans="1:2" x14ac:dyDescent="0.2">
      <c r="A2765" s="153" t="s">
        <v>5658</v>
      </c>
      <c r="B2765" s="154" t="s">
        <v>5657</v>
      </c>
    </row>
    <row r="2766" spans="1:2" x14ac:dyDescent="0.2">
      <c r="A2766" s="153" t="s">
        <v>5660</v>
      </c>
      <c r="B2766" s="154" t="s">
        <v>5659</v>
      </c>
    </row>
    <row r="2767" spans="1:2" x14ac:dyDescent="0.2">
      <c r="A2767" s="153" t="s">
        <v>5662</v>
      </c>
      <c r="B2767" s="154" t="s">
        <v>5661</v>
      </c>
    </row>
    <row r="2768" spans="1:2" x14ac:dyDescent="0.2">
      <c r="A2768" s="153" t="s">
        <v>5664</v>
      </c>
      <c r="B2768" s="154" t="s">
        <v>5663</v>
      </c>
    </row>
    <row r="2769" spans="1:2" x14ac:dyDescent="0.2">
      <c r="A2769" s="153" t="s">
        <v>5666</v>
      </c>
      <c r="B2769" s="154" t="s">
        <v>5665</v>
      </c>
    </row>
    <row r="2770" spans="1:2" x14ac:dyDescent="0.2">
      <c r="A2770" s="153" t="s">
        <v>5668</v>
      </c>
      <c r="B2770" s="154" t="s">
        <v>5667</v>
      </c>
    </row>
    <row r="2771" spans="1:2" x14ac:dyDescent="0.2">
      <c r="A2771" s="153" t="s">
        <v>5670</v>
      </c>
      <c r="B2771" s="154" t="s">
        <v>5669</v>
      </c>
    </row>
    <row r="2772" spans="1:2" x14ac:dyDescent="0.2">
      <c r="A2772" s="153" t="s">
        <v>5672</v>
      </c>
      <c r="B2772" s="154" t="s">
        <v>5671</v>
      </c>
    </row>
    <row r="2773" spans="1:2" x14ac:dyDescent="0.2">
      <c r="A2773" s="153" t="s">
        <v>5674</v>
      </c>
      <c r="B2773" s="154" t="s">
        <v>5673</v>
      </c>
    </row>
    <row r="2774" spans="1:2" x14ac:dyDescent="0.2">
      <c r="A2774" s="153" t="s">
        <v>5676</v>
      </c>
      <c r="B2774" s="154" t="s">
        <v>5675</v>
      </c>
    </row>
    <row r="2775" spans="1:2" x14ac:dyDescent="0.2">
      <c r="A2775" s="153" t="s">
        <v>5678</v>
      </c>
      <c r="B2775" s="154" t="s">
        <v>5677</v>
      </c>
    </row>
    <row r="2776" spans="1:2" x14ac:dyDescent="0.2">
      <c r="A2776" s="153" t="s">
        <v>5680</v>
      </c>
      <c r="B2776" s="154" t="s">
        <v>5679</v>
      </c>
    </row>
    <row r="2777" spans="1:2" x14ac:dyDescent="0.2">
      <c r="A2777" s="153" t="s">
        <v>9474</v>
      </c>
      <c r="B2777" s="154" t="s">
        <v>5681</v>
      </c>
    </row>
    <row r="2778" spans="1:2" ht="28.5" x14ac:dyDescent="0.2">
      <c r="A2778" s="153" t="s">
        <v>9475</v>
      </c>
      <c r="B2778" s="154" t="s">
        <v>5682</v>
      </c>
    </row>
    <row r="2779" spans="1:2" ht="28.5" x14ac:dyDescent="0.2">
      <c r="A2779" s="153" t="s">
        <v>5684</v>
      </c>
      <c r="B2779" s="154" t="s">
        <v>5683</v>
      </c>
    </row>
    <row r="2780" spans="1:2" x14ac:dyDescent="0.2">
      <c r="A2780" s="153" t="s">
        <v>5686</v>
      </c>
      <c r="B2780" s="154" t="s">
        <v>5685</v>
      </c>
    </row>
    <row r="2781" spans="1:2" x14ac:dyDescent="0.2">
      <c r="A2781" s="153" t="s">
        <v>5688</v>
      </c>
      <c r="B2781" s="154" t="s">
        <v>5687</v>
      </c>
    </row>
    <row r="2782" spans="1:2" x14ac:dyDescent="0.2">
      <c r="A2782" s="153" t="s">
        <v>5690</v>
      </c>
      <c r="B2782" s="154" t="s">
        <v>5689</v>
      </c>
    </row>
    <row r="2783" spans="1:2" x14ac:dyDescent="0.2">
      <c r="A2783" s="153" t="s">
        <v>5692</v>
      </c>
      <c r="B2783" s="154" t="s">
        <v>5691</v>
      </c>
    </row>
    <row r="2784" spans="1:2" x14ac:dyDescent="0.2">
      <c r="A2784" s="153" t="s">
        <v>5694</v>
      </c>
      <c r="B2784" s="154" t="s">
        <v>5693</v>
      </c>
    </row>
    <row r="2785" spans="1:2" x14ac:dyDescent="0.2">
      <c r="A2785" s="153" t="s">
        <v>5696</v>
      </c>
      <c r="B2785" s="154" t="s">
        <v>5695</v>
      </c>
    </row>
    <row r="2786" spans="1:2" x14ac:dyDescent="0.2">
      <c r="A2786" s="153" t="s">
        <v>5698</v>
      </c>
      <c r="B2786" s="154" t="s">
        <v>5697</v>
      </c>
    </row>
    <row r="2787" spans="1:2" x14ac:dyDescent="0.2">
      <c r="A2787" s="153" t="s">
        <v>5700</v>
      </c>
      <c r="B2787" s="154" t="s">
        <v>5699</v>
      </c>
    </row>
    <row r="2788" spans="1:2" x14ac:dyDescent="0.2">
      <c r="A2788" s="153" t="s">
        <v>5702</v>
      </c>
      <c r="B2788" s="154" t="s">
        <v>5701</v>
      </c>
    </row>
    <row r="2789" spans="1:2" x14ac:dyDescent="0.2">
      <c r="A2789" s="153" t="s">
        <v>5704</v>
      </c>
      <c r="B2789" s="154" t="s">
        <v>5703</v>
      </c>
    </row>
    <row r="2790" spans="1:2" x14ac:dyDescent="0.2">
      <c r="A2790" s="153" t="s">
        <v>5706</v>
      </c>
      <c r="B2790" s="154" t="s">
        <v>5705</v>
      </c>
    </row>
    <row r="2791" spans="1:2" x14ac:dyDescent="0.2">
      <c r="A2791" s="153" t="s">
        <v>5708</v>
      </c>
      <c r="B2791" s="154" t="s">
        <v>5707</v>
      </c>
    </row>
    <row r="2792" spans="1:2" x14ac:dyDescent="0.2">
      <c r="A2792" s="153" t="s">
        <v>5710</v>
      </c>
      <c r="B2792" s="154" t="s">
        <v>5709</v>
      </c>
    </row>
    <row r="2793" spans="1:2" x14ac:dyDescent="0.2">
      <c r="A2793" s="153" t="s">
        <v>5712</v>
      </c>
      <c r="B2793" s="154" t="s">
        <v>5711</v>
      </c>
    </row>
    <row r="2794" spans="1:2" x14ac:dyDescent="0.2">
      <c r="A2794" s="153" t="s">
        <v>5714</v>
      </c>
      <c r="B2794" s="154" t="s">
        <v>5713</v>
      </c>
    </row>
    <row r="2795" spans="1:2" x14ac:dyDescent="0.2">
      <c r="A2795" s="153" t="s">
        <v>5716</v>
      </c>
      <c r="B2795" s="154" t="s">
        <v>5715</v>
      </c>
    </row>
    <row r="2796" spans="1:2" x14ac:dyDescent="0.2">
      <c r="A2796" s="153" t="s">
        <v>5718</v>
      </c>
      <c r="B2796" s="154" t="s">
        <v>5717</v>
      </c>
    </row>
    <row r="2797" spans="1:2" x14ac:dyDescent="0.2">
      <c r="A2797" s="153" t="s">
        <v>5720</v>
      </c>
      <c r="B2797" s="154" t="s">
        <v>5719</v>
      </c>
    </row>
    <row r="2798" spans="1:2" x14ac:dyDescent="0.2">
      <c r="A2798" s="153" t="s">
        <v>5722</v>
      </c>
      <c r="B2798" s="154" t="s">
        <v>5721</v>
      </c>
    </row>
    <row r="2799" spans="1:2" x14ac:dyDescent="0.2">
      <c r="A2799" s="153" t="s">
        <v>5724</v>
      </c>
      <c r="B2799" s="154" t="s">
        <v>5723</v>
      </c>
    </row>
    <row r="2800" spans="1:2" x14ac:dyDescent="0.2">
      <c r="A2800" s="153" t="s">
        <v>5726</v>
      </c>
      <c r="B2800" s="154" t="s">
        <v>5725</v>
      </c>
    </row>
    <row r="2801" spans="1:2" x14ac:dyDescent="0.2">
      <c r="A2801" s="153" t="s">
        <v>5728</v>
      </c>
      <c r="B2801" s="154" t="s">
        <v>5727</v>
      </c>
    </row>
    <row r="2802" spans="1:2" x14ac:dyDescent="0.2">
      <c r="A2802" s="153" t="s">
        <v>5730</v>
      </c>
      <c r="B2802" s="154" t="s">
        <v>5729</v>
      </c>
    </row>
    <row r="2803" spans="1:2" x14ac:dyDescent="0.2">
      <c r="A2803" s="153" t="s">
        <v>5732</v>
      </c>
      <c r="B2803" s="154" t="s">
        <v>5731</v>
      </c>
    </row>
    <row r="2804" spans="1:2" x14ac:dyDescent="0.2">
      <c r="A2804" s="153" t="s">
        <v>5734</v>
      </c>
      <c r="B2804" s="154" t="s">
        <v>5733</v>
      </c>
    </row>
    <row r="2805" spans="1:2" x14ac:dyDescent="0.2">
      <c r="A2805" s="153" t="s">
        <v>5736</v>
      </c>
      <c r="B2805" s="154" t="s">
        <v>5735</v>
      </c>
    </row>
    <row r="2806" spans="1:2" x14ac:dyDescent="0.2">
      <c r="A2806" s="153" t="s">
        <v>5738</v>
      </c>
      <c r="B2806" s="154" t="s">
        <v>5737</v>
      </c>
    </row>
    <row r="2807" spans="1:2" x14ac:dyDescent="0.2">
      <c r="A2807" s="153" t="s">
        <v>5740</v>
      </c>
      <c r="B2807" s="154" t="s">
        <v>5739</v>
      </c>
    </row>
    <row r="2808" spans="1:2" x14ac:dyDescent="0.2">
      <c r="A2808" s="153" t="s">
        <v>5742</v>
      </c>
      <c r="B2808" s="154" t="s">
        <v>5741</v>
      </c>
    </row>
    <row r="2809" spans="1:2" x14ac:dyDescent="0.2">
      <c r="A2809" s="153" t="s">
        <v>1065</v>
      </c>
      <c r="B2809" s="154" t="s">
        <v>5743</v>
      </c>
    </row>
    <row r="2810" spans="1:2" x14ac:dyDescent="0.2">
      <c r="A2810" s="153" t="s">
        <v>5745</v>
      </c>
      <c r="B2810" s="154" t="s">
        <v>5744</v>
      </c>
    </row>
    <row r="2811" spans="1:2" x14ac:dyDescent="0.2">
      <c r="A2811" s="153" t="s">
        <v>5747</v>
      </c>
      <c r="B2811" s="154" t="s">
        <v>5746</v>
      </c>
    </row>
    <row r="2812" spans="1:2" x14ac:dyDescent="0.2">
      <c r="A2812" s="153" t="s">
        <v>5749</v>
      </c>
      <c r="B2812" s="154" t="s">
        <v>5748</v>
      </c>
    </row>
    <row r="2813" spans="1:2" x14ac:dyDescent="0.2">
      <c r="A2813" s="153" t="s">
        <v>5751</v>
      </c>
      <c r="B2813" s="154" t="s">
        <v>5750</v>
      </c>
    </row>
    <row r="2814" spans="1:2" x14ac:dyDescent="0.2">
      <c r="A2814" s="153" t="s">
        <v>5753</v>
      </c>
      <c r="B2814" s="154" t="s">
        <v>5752</v>
      </c>
    </row>
    <row r="2815" spans="1:2" x14ac:dyDescent="0.2">
      <c r="A2815" s="153" t="s">
        <v>5755</v>
      </c>
      <c r="B2815" s="154" t="s">
        <v>5754</v>
      </c>
    </row>
    <row r="2816" spans="1:2" x14ac:dyDescent="0.2">
      <c r="A2816" s="153" t="s">
        <v>5757</v>
      </c>
      <c r="B2816" s="154" t="s">
        <v>5756</v>
      </c>
    </row>
    <row r="2817" spans="1:2" x14ac:dyDescent="0.2">
      <c r="A2817" s="153" t="s">
        <v>5759</v>
      </c>
      <c r="B2817" s="154" t="s">
        <v>5758</v>
      </c>
    </row>
    <row r="2818" spans="1:2" x14ac:dyDescent="0.2">
      <c r="A2818" s="153" t="s">
        <v>5761</v>
      </c>
      <c r="B2818" s="154" t="s">
        <v>5760</v>
      </c>
    </row>
    <row r="2819" spans="1:2" x14ac:dyDescent="0.2">
      <c r="A2819" s="153" t="s">
        <v>1065</v>
      </c>
      <c r="B2819" s="154" t="s">
        <v>9913</v>
      </c>
    </row>
    <row r="2820" spans="1:2" x14ac:dyDescent="0.2">
      <c r="A2820" s="153" t="s">
        <v>5763</v>
      </c>
      <c r="B2820" s="154" t="s">
        <v>5762</v>
      </c>
    </row>
    <row r="2821" spans="1:2" x14ac:dyDescent="0.2">
      <c r="A2821" s="153" t="s">
        <v>5765</v>
      </c>
      <c r="B2821" s="154" t="s">
        <v>5764</v>
      </c>
    </row>
    <row r="2822" spans="1:2" x14ac:dyDescent="0.2">
      <c r="A2822" s="153" t="s">
        <v>5767</v>
      </c>
      <c r="B2822" s="154" t="s">
        <v>5766</v>
      </c>
    </row>
    <row r="2823" spans="1:2" x14ac:dyDescent="0.2">
      <c r="A2823" s="153" t="s">
        <v>5769</v>
      </c>
      <c r="B2823" s="154" t="s">
        <v>5768</v>
      </c>
    </row>
    <row r="2824" spans="1:2" x14ac:dyDescent="0.2">
      <c r="A2824" s="153" t="s">
        <v>5771</v>
      </c>
      <c r="B2824" s="154" t="s">
        <v>5770</v>
      </c>
    </row>
    <row r="2825" spans="1:2" x14ac:dyDescent="0.2">
      <c r="A2825" s="153" t="s">
        <v>5773</v>
      </c>
      <c r="B2825" s="154" t="s">
        <v>5772</v>
      </c>
    </row>
    <row r="2826" spans="1:2" x14ac:dyDescent="0.2">
      <c r="A2826" s="153" t="s">
        <v>5775</v>
      </c>
      <c r="B2826" s="154" t="s">
        <v>5774</v>
      </c>
    </row>
    <row r="2827" spans="1:2" x14ac:dyDescent="0.2">
      <c r="A2827" s="153" t="s">
        <v>5777</v>
      </c>
      <c r="B2827" s="154" t="s">
        <v>5776</v>
      </c>
    </row>
    <row r="2828" spans="1:2" x14ac:dyDescent="0.2">
      <c r="A2828" s="153" t="s">
        <v>5779</v>
      </c>
      <c r="B2828" s="154" t="s">
        <v>5778</v>
      </c>
    </row>
    <row r="2829" spans="1:2" x14ac:dyDescent="0.2">
      <c r="A2829" s="153" t="s">
        <v>5781</v>
      </c>
      <c r="B2829" s="154" t="s">
        <v>5780</v>
      </c>
    </row>
    <row r="2830" spans="1:2" x14ac:dyDescent="0.2">
      <c r="A2830" s="153" t="s">
        <v>5783</v>
      </c>
      <c r="B2830" s="154" t="s">
        <v>5782</v>
      </c>
    </row>
    <row r="2831" spans="1:2" x14ac:dyDescent="0.2">
      <c r="A2831" s="153" t="s">
        <v>5785</v>
      </c>
      <c r="B2831" s="154" t="s">
        <v>5784</v>
      </c>
    </row>
    <row r="2832" spans="1:2" x14ac:dyDescent="0.2">
      <c r="A2832" s="153" t="s">
        <v>5787</v>
      </c>
      <c r="B2832" s="154" t="s">
        <v>5786</v>
      </c>
    </row>
    <row r="2833" spans="1:2" x14ac:dyDescent="0.2">
      <c r="A2833" s="153" t="s">
        <v>5789</v>
      </c>
      <c r="B2833" s="154" t="s">
        <v>5788</v>
      </c>
    </row>
    <row r="2834" spans="1:2" x14ac:dyDescent="0.2">
      <c r="A2834" s="153" t="s">
        <v>5791</v>
      </c>
      <c r="B2834" s="154" t="s">
        <v>5790</v>
      </c>
    </row>
    <row r="2835" spans="1:2" x14ac:dyDescent="0.2">
      <c r="A2835" s="153" t="s">
        <v>5793</v>
      </c>
      <c r="B2835" s="154" t="s">
        <v>5792</v>
      </c>
    </row>
    <row r="2836" spans="1:2" x14ac:dyDescent="0.2">
      <c r="A2836" s="153" t="s">
        <v>5795</v>
      </c>
      <c r="B2836" s="154" t="s">
        <v>5794</v>
      </c>
    </row>
    <row r="2837" spans="1:2" x14ac:dyDescent="0.2">
      <c r="A2837" s="153" t="s">
        <v>5797</v>
      </c>
      <c r="B2837" s="154" t="s">
        <v>5796</v>
      </c>
    </row>
    <row r="2838" spans="1:2" x14ac:dyDescent="0.2">
      <c r="A2838" s="153" t="s">
        <v>5799</v>
      </c>
      <c r="B2838" s="154" t="s">
        <v>5798</v>
      </c>
    </row>
    <row r="2839" spans="1:2" x14ac:dyDescent="0.2">
      <c r="A2839" s="153" t="s">
        <v>5801</v>
      </c>
      <c r="B2839" s="154" t="s">
        <v>5800</v>
      </c>
    </row>
    <row r="2840" spans="1:2" x14ac:dyDescent="0.2">
      <c r="A2840" s="153" t="s">
        <v>5803</v>
      </c>
      <c r="B2840" s="154" t="s">
        <v>5802</v>
      </c>
    </row>
    <row r="2841" spans="1:2" x14ac:dyDescent="0.2">
      <c r="A2841" s="153" t="s">
        <v>5805</v>
      </c>
      <c r="B2841" s="154" t="s">
        <v>5804</v>
      </c>
    </row>
    <row r="2842" spans="1:2" x14ac:dyDescent="0.2">
      <c r="A2842" s="153" t="s">
        <v>5807</v>
      </c>
      <c r="B2842" s="154" t="s">
        <v>5806</v>
      </c>
    </row>
    <row r="2843" spans="1:2" x14ac:dyDescent="0.2">
      <c r="A2843" s="153" t="s">
        <v>5809</v>
      </c>
      <c r="B2843" s="154" t="s">
        <v>5808</v>
      </c>
    </row>
    <row r="2844" spans="1:2" x14ac:dyDescent="0.2">
      <c r="A2844" s="153" t="s">
        <v>5811</v>
      </c>
      <c r="B2844" s="154" t="s">
        <v>5810</v>
      </c>
    </row>
    <row r="2845" spans="1:2" x14ac:dyDescent="0.2">
      <c r="A2845" s="153" t="s">
        <v>5813</v>
      </c>
      <c r="B2845" s="154" t="s">
        <v>5812</v>
      </c>
    </row>
    <row r="2846" spans="1:2" x14ac:dyDescent="0.2">
      <c r="A2846" s="153" t="s">
        <v>5815</v>
      </c>
      <c r="B2846" s="154" t="s">
        <v>5814</v>
      </c>
    </row>
    <row r="2847" spans="1:2" x14ac:dyDescent="0.2">
      <c r="A2847" s="153" t="s">
        <v>5817</v>
      </c>
      <c r="B2847" s="154" t="s">
        <v>5816</v>
      </c>
    </row>
    <row r="2848" spans="1:2" x14ac:dyDescent="0.2">
      <c r="A2848" s="153" t="s">
        <v>5819</v>
      </c>
      <c r="B2848" s="154" t="s">
        <v>5818</v>
      </c>
    </row>
    <row r="2849" spans="1:2" x14ac:dyDescent="0.2">
      <c r="A2849" s="153" t="s">
        <v>5821</v>
      </c>
      <c r="B2849" s="154" t="s">
        <v>5820</v>
      </c>
    </row>
    <row r="2850" spans="1:2" x14ac:dyDescent="0.2">
      <c r="A2850" s="153" t="s">
        <v>5823</v>
      </c>
      <c r="B2850" s="154" t="s">
        <v>5822</v>
      </c>
    </row>
    <row r="2851" spans="1:2" x14ac:dyDescent="0.2">
      <c r="A2851" s="153" t="s">
        <v>5825</v>
      </c>
      <c r="B2851" s="154" t="s">
        <v>5824</v>
      </c>
    </row>
    <row r="2852" spans="1:2" x14ac:dyDescent="0.2">
      <c r="A2852" s="153" t="s">
        <v>5827</v>
      </c>
      <c r="B2852" s="154" t="s">
        <v>5826</v>
      </c>
    </row>
    <row r="2853" spans="1:2" x14ac:dyDescent="0.2">
      <c r="A2853" s="153" t="s">
        <v>5829</v>
      </c>
      <c r="B2853" s="154" t="s">
        <v>5828</v>
      </c>
    </row>
    <row r="2854" spans="1:2" x14ac:dyDescent="0.2">
      <c r="A2854" s="153" t="s">
        <v>5831</v>
      </c>
      <c r="B2854" s="154" t="s">
        <v>5830</v>
      </c>
    </row>
    <row r="2855" spans="1:2" x14ac:dyDescent="0.2">
      <c r="A2855" s="153" t="s">
        <v>5833</v>
      </c>
      <c r="B2855" s="154" t="s">
        <v>5832</v>
      </c>
    </row>
    <row r="2856" spans="1:2" x14ac:dyDescent="0.2">
      <c r="A2856" s="153" t="s">
        <v>5835</v>
      </c>
      <c r="B2856" s="154" t="s">
        <v>5834</v>
      </c>
    </row>
    <row r="2857" spans="1:2" x14ac:dyDescent="0.2">
      <c r="A2857" s="153" t="s">
        <v>5837</v>
      </c>
      <c r="B2857" s="154" t="s">
        <v>5836</v>
      </c>
    </row>
    <row r="2858" spans="1:2" x14ac:dyDescent="0.2">
      <c r="A2858" s="153" t="s">
        <v>5839</v>
      </c>
      <c r="B2858" s="154" t="s">
        <v>5838</v>
      </c>
    </row>
    <row r="2859" spans="1:2" x14ac:dyDescent="0.2">
      <c r="A2859" s="153" t="s">
        <v>5841</v>
      </c>
      <c r="B2859" s="154" t="s">
        <v>5840</v>
      </c>
    </row>
    <row r="2860" spans="1:2" x14ac:dyDescent="0.2">
      <c r="A2860" s="153" t="s">
        <v>5843</v>
      </c>
      <c r="B2860" s="154" t="s">
        <v>5842</v>
      </c>
    </row>
    <row r="2861" spans="1:2" x14ac:dyDescent="0.2">
      <c r="A2861" s="153" t="s">
        <v>5845</v>
      </c>
      <c r="B2861" s="154" t="s">
        <v>5844</v>
      </c>
    </row>
    <row r="2862" spans="1:2" x14ac:dyDescent="0.2">
      <c r="A2862" s="153" t="s">
        <v>5847</v>
      </c>
      <c r="B2862" s="154" t="s">
        <v>5846</v>
      </c>
    </row>
    <row r="2863" spans="1:2" x14ac:dyDescent="0.2">
      <c r="A2863" s="153" t="s">
        <v>5849</v>
      </c>
      <c r="B2863" s="154" t="s">
        <v>5848</v>
      </c>
    </row>
    <row r="2864" spans="1:2" x14ac:dyDescent="0.2">
      <c r="A2864" s="153" t="s">
        <v>5851</v>
      </c>
      <c r="B2864" s="154" t="s">
        <v>5850</v>
      </c>
    </row>
    <row r="2865" spans="1:2" x14ac:dyDescent="0.2">
      <c r="A2865" s="153" t="s">
        <v>5853</v>
      </c>
      <c r="B2865" s="154" t="s">
        <v>5852</v>
      </c>
    </row>
    <row r="2866" spans="1:2" x14ac:dyDescent="0.2">
      <c r="A2866" s="153" t="s">
        <v>5855</v>
      </c>
      <c r="B2866" s="154" t="s">
        <v>5854</v>
      </c>
    </row>
    <row r="2867" spans="1:2" x14ac:dyDescent="0.2">
      <c r="A2867" s="153" t="s">
        <v>5857</v>
      </c>
      <c r="B2867" s="154" t="s">
        <v>5856</v>
      </c>
    </row>
    <row r="2868" spans="1:2" x14ac:dyDescent="0.2">
      <c r="A2868" s="153" t="s">
        <v>5859</v>
      </c>
      <c r="B2868" s="154" t="s">
        <v>5858</v>
      </c>
    </row>
    <row r="2869" spans="1:2" x14ac:dyDescent="0.2">
      <c r="A2869" s="153" t="s">
        <v>5861</v>
      </c>
      <c r="B2869" s="154" t="s">
        <v>5860</v>
      </c>
    </row>
    <row r="2870" spans="1:2" x14ac:dyDescent="0.2">
      <c r="A2870" s="153" t="s">
        <v>5863</v>
      </c>
      <c r="B2870" s="154" t="s">
        <v>5862</v>
      </c>
    </row>
    <row r="2871" spans="1:2" x14ac:dyDescent="0.2">
      <c r="A2871" s="153" t="s">
        <v>5865</v>
      </c>
      <c r="B2871" s="154" t="s">
        <v>5864</v>
      </c>
    </row>
    <row r="2872" spans="1:2" x14ac:dyDescent="0.2">
      <c r="A2872" s="153" t="s">
        <v>5867</v>
      </c>
      <c r="B2872" s="154" t="s">
        <v>5866</v>
      </c>
    </row>
    <row r="2873" spans="1:2" x14ac:dyDescent="0.2">
      <c r="A2873" s="153" t="s">
        <v>5869</v>
      </c>
      <c r="B2873" s="154" t="s">
        <v>5868</v>
      </c>
    </row>
    <row r="2874" spans="1:2" x14ac:dyDescent="0.2">
      <c r="A2874" s="153" t="s">
        <v>5871</v>
      </c>
      <c r="B2874" s="154" t="s">
        <v>5870</v>
      </c>
    </row>
    <row r="2875" spans="1:2" x14ac:dyDescent="0.2">
      <c r="A2875" s="153" t="s">
        <v>5873</v>
      </c>
      <c r="B2875" s="154" t="s">
        <v>5872</v>
      </c>
    </row>
    <row r="2876" spans="1:2" x14ac:dyDescent="0.2">
      <c r="A2876" s="153" t="s">
        <v>5875</v>
      </c>
      <c r="B2876" s="154" t="s">
        <v>5874</v>
      </c>
    </row>
    <row r="2877" spans="1:2" x14ac:dyDescent="0.2">
      <c r="A2877" s="153" t="s">
        <v>5877</v>
      </c>
      <c r="B2877" s="154" t="s">
        <v>5876</v>
      </c>
    </row>
    <row r="2878" spans="1:2" x14ac:dyDescent="0.2">
      <c r="A2878" s="153" t="s">
        <v>5879</v>
      </c>
      <c r="B2878" s="154" t="s">
        <v>5878</v>
      </c>
    </row>
    <row r="2879" spans="1:2" x14ac:dyDescent="0.2">
      <c r="A2879" s="153" t="s">
        <v>5881</v>
      </c>
      <c r="B2879" s="154" t="s">
        <v>5880</v>
      </c>
    </row>
    <row r="2880" spans="1:2" x14ac:dyDescent="0.2">
      <c r="A2880" s="153" t="s">
        <v>5883</v>
      </c>
      <c r="B2880" s="154" t="s">
        <v>5882</v>
      </c>
    </row>
    <row r="2881" spans="1:2" x14ac:dyDescent="0.2">
      <c r="A2881" s="153" t="s">
        <v>5885</v>
      </c>
      <c r="B2881" s="154" t="s">
        <v>5884</v>
      </c>
    </row>
    <row r="2882" spans="1:2" x14ac:dyDescent="0.2">
      <c r="A2882" s="153" t="s">
        <v>5887</v>
      </c>
      <c r="B2882" s="154" t="s">
        <v>5886</v>
      </c>
    </row>
    <row r="2883" spans="1:2" x14ac:dyDescent="0.2">
      <c r="A2883" s="153" t="s">
        <v>5889</v>
      </c>
      <c r="B2883" s="154" t="s">
        <v>5888</v>
      </c>
    </row>
    <row r="2884" spans="1:2" x14ac:dyDescent="0.2">
      <c r="A2884" s="153" t="s">
        <v>5891</v>
      </c>
      <c r="B2884" s="154" t="s">
        <v>5890</v>
      </c>
    </row>
    <row r="2885" spans="1:2" x14ac:dyDescent="0.2">
      <c r="A2885" s="153" t="s">
        <v>5893</v>
      </c>
      <c r="B2885" s="154" t="s">
        <v>5892</v>
      </c>
    </row>
    <row r="2886" spans="1:2" x14ac:dyDescent="0.2">
      <c r="A2886" s="153" t="s">
        <v>5895</v>
      </c>
      <c r="B2886" s="154" t="s">
        <v>5894</v>
      </c>
    </row>
    <row r="2887" spans="1:2" x14ac:dyDescent="0.2">
      <c r="A2887" s="153" t="s">
        <v>5897</v>
      </c>
      <c r="B2887" s="154" t="s">
        <v>5896</v>
      </c>
    </row>
    <row r="2888" spans="1:2" x14ac:dyDescent="0.2">
      <c r="A2888" s="153" t="s">
        <v>5899</v>
      </c>
      <c r="B2888" s="154" t="s">
        <v>5898</v>
      </c>
    </row>
    <row r="2889" spans="1:2" x14ac:dyDescent="0.2">
      <c r="A2889" s="153" t="s">
        <v>5901</v>
      </c>
      <c r="B2889" s="154" t="s">
        <v>5900</v>
      </c>
    </row>
    <row r="2890" spans="1:2" x14ac:dyDescent="0.2">
      <c r="A2890" s="153" t="s">
        <v>5903</v>
      </c>
      <c r="B2890" s="154" t="s">
        <v>5902</v>
      </c>
    </row>
    <row r="2891" spans="1:2" x14ac:dyDescent="0.2">
      <c r="A2891" s="153" t="s">
        <v>5905</v>
      </c>
      <c r="B2891" s="154" t="s">
        <v>5904</v>
      </c>
    </row>
    <row r="2892" spans="1:2" x14ac:dyDescent="0.2">
      <c r="A2892" s="153" t="s">
        <v>5907</v>
      </c>
      <c r="B2892" s="154" t="s">
        <v>5906</v>
      </c>
    </row>
    <row r="2893" spans="1:2" x14ac:dyDescent="0.2">
      <c r="A2893" s="153" t="s">
        <v>5909</v>
      </c>
      <c r="B2893" s="154" t="s">
        <v>5908</v>
      </c>
    </row>
    <row r="2894" spans="1:2" x14ac:dyDescent="0.2">
      <c r="A2894" s="153" t="s">
        <v>5911</v>
      </c>
      <c r="B2894" s="154" t="s">
        <v>5910</v>
      </c>
    </row>
    <row r="2895" spans="1:2" x14ac:dyDescent="0.2">
      <c r="A2895" s="153" t="s">
        <v>5913</v>
      </c>
      <c r="B2895" s="154" t="s">
        <v>5912</v>
      </c>
    </row>
    <row r="2896" spans="1:2" x14ac:dyDescent="0.2">
      <c r="A2896" s="153" t="s">
        <v>5915</v>
      </c>
      <c r="B2896" s="154" t="s">
        <v>5914</v>
      </c>
    </row>
    <row r="2897" spans="1:2" x14ac:dyDescent="0.2">
      <c r="A2897" s="153" t="s">
        <v>5917</v>
      </c>
      <c r="B2897" s="154" t="s">
        <v>5916</v>
      </c>
    </row>
    <row r="2898" spans="1:2" x14ac:dyDescent="0.2">
      <c r="A2898" s="153" t="s">
        <v>5919</v>
      </c>
      <c r="B2898" s="154" t="s">
        <v>5918</v>
      </c>
    </row>
    <row r="2899" spans="1:2" x14ac:dyDescent="0.2">
      <c r="A2899" s="153" t="s">
        <v>5921</v>
      </c>
      <c r="B2899" s="154" t="s">
        <v>5920</v>
      </c>
    </row>
    <row r="2900" spans="1:2" x14ac:dyDescent="0.2">
      <c r="A2900" s="153" t="s">
        <v>5923</v>
      </c>
      <c r="B2900" s="154" t="s">
        <v>5922</v>
      </c>
    </row>
    <row r="2901" spans="1:2" x14ac:dyDescent="0.2">
      <c r="A2901" s="153" t="s">
        <v>5925</v>
      </c>
      <c r="B2901" s="154" t="s">
        <v>5924</v>
      </c>
    </row>
    <row r="2902" spans="1:2" x14ac:dyDescent="0.2">
      <c r="A2902" s="153" t="s">
        <v>5927</v>
      </c>
      <c r="B2902" s="154" t="s">
        <v>5926</v>
      </c>
    </row>
    <row r="2903" spans="1:2" x14ac:dyDescent="0.2">
      <c r="A2903" s="153" t="s">
        <v>5929</v>
      </c>
      <c r="B2903" s="154" t="s">
        <v>5928</v>
      </c>
    </row>
    <row r="2904" spans="1:2" x14ac:dyDescent="0.2">
      <c r="A2904" s="153" t="s">
        <v>5931</v>
      </c>
      <c r="B2904" s="154" t="s">
        <v>5930</v>
      </c>
    </row>
    <row r="2905" spans="1:2" x14ac:dyDescent="0.2">
      <c r="A2905" s="153" t="s">
        <v>5933</v>
      </c>
      <c r="B2905" s="154" t="s">
        <v>5932</v>
      </c>
    </row>
    <row r="2906" spans="1:2" x14ac:dyDescent="0.2">
      <c r="A2906" s="153" t="s">
        <v>5935</v>
      </c>
      <c r="B2906" s="154" t="s">
        <v>5934</v>
      </c>
    </row>
    <row r="2907" spans="1:2" x14ac:dyDescent="0.2">
      <c r="A2907" s="153" t="s">
        <v>5937</v>
      </c>
      <c r="B2907" s="154" t="s">
        <v>5936</v>
      </c>
    </row>
    <row r="2908" spans="1:2" x14ac:dyDescent="0.2">
      <c r="A2908" s="153" t="s">
        <v>5939</v>
      </c>
      <c r="B2908" s="154" t="s">
        <v>5938</v>
      </c>
    </row>
    <row r="2909" spans="1:2" x14ac:dyDescent="0.2">
      <c r="A2909" s="153" t="s">
        <v>5941</v>
      </c>
      <c r="B2909" s="154" t="s">
        <v>5940</v>
      </c>
    </row>
    <row r="2910" spans="1:2" x14ac:dyDescent="0.2">
      <c r="A2910" s="153" t="s">
        <v>5943</v>
      </c>
      <c r="B2910" s="154" t="s">
        <v>5942</v>
      </c>
    </row>
    <row r="2911" spans="1:2" x14ac:dyDescent="0.2">
      <c r="A2911" s="153" t="s">
        <v>5945</v>
      </c>
      <c r="B2911" s="154" t="s">
        <v>5944</v>
      </c>
    </row>
    <row r="2912" spans="1:2" x14ac:dyDescent="0.2">
      <c r="A2912" s="153" t="s">
        <v>5947</v>
      </c>
      <c r="B2912" s="154" t="s">
        <v>5946</v>
      </c>
    </row>
    <row r="2913" spans="1:2" x14ac:dyDescent="0.2">
      <c r="A2913" s="153" t="s">
        <v>5949</v>
      </c>
      <c r="B2913" s="154" t="s">
        <v>5948</v>
      </c>
    </row>
    <row r="2914" spans="1:2" x14ac:dyDescent="0.2">
      <c r="A2914" s="153" t="s">
        <v>5951</v>
      </c>
      <c r="B2914" s="154" t="s">
        <v>5950</v>
      </c>
    </row>
    <row r="2915" spans="1:2" x14ac:dyDescent="0.2">
      <c r="A2915" s="153" t="s">
        <v>5953</v>
      </c>
      <c r="B2915" s="154" t="s">
        <v>5952</v>
      </c>
    </row>
    <row r="2916" spans="1:2" x14ac:dyDescent="0.2">
      <c r="A2916" s="153" t="s">
        <v>5955</v>
      </c>
      <c r="B2916" s="154" t="s">
        <v>5954</v>
      </c>
    </row>
    <row r="2917" spans="1:2" x14ac:dyDescent="0.2">
      <c r="A2917" s="153" t="s">
        <v>5957</v>
      </c>
      <c r="B2917" s="154" t="s">
        <v>5956</v>
      </c>
    </row>
    <row r="2918" spans="1:2" x14ac:dyDescent="0.2">
      <c r="A2918" s="153" t="s">
        <v>5959</v>
      </c>
      <c r="B2918" s="154" t="s">
        <v>5958</v>
      </c>
    </row>
    <row r="2919" spans="1:2" x14ac:dyDescent="0.2">
      <c r="A2919" s="153" t="s">
        <v>5961</v>
      </c>
      <c r="B2919" s="154" t="s">
        <v>5960</v>
      </c>
    </row>
    <row r="2920" spans="1:2" x14ac:dyDescent="0.2">
      <c r="A2920" s="153" t="s">
        <v>5963</v>
      </c>
      <c r="B2920" s="154" t="s">
        <v>5962</v>
      </c>
    </row>
    <row r="2921" spans="1:2" x14ac:dyDescent="0.2">
      <c r="A2921" s="153" t="s">
        <v>1065</v>
      </c>
      <c r="B2921" s="154" t="s">
        <v>5964</v>
      </c>
    </row>
    <row r="2922" spans="1:2" x14ac:dyDescent="0.2">
      <c r="A2922" s="153" t="s">
        <v>5966</v>
      </c>
      <c r="B2922" s="154" t="s">
        <v>5965</v>
      </c>
    </row>
    <row r="2923" spans="1:2" x14ac:dyDescent="0.2">
      <c r="A2923" s="153" t="s">
        <v>5968</v>
      </c>
      <c r="B2923" s="154" t="s">
        <v>5967</v>
      </c>
    </row>
    <row r="2924" spans="1:2" x14ac:dyDescent="0.2">
      <c r="A2924" s="153" t="s">
        <v>5970</v>
      </c>
      <c r="B2924" s="154" t="s">
        <v>5969</v>
      </c>
    </row>
    <row r="2925" spans="1:2" x14ac:dyDescent="0.2">
      <c r="A2925" s="153" t="s">
        <v>5972</v>
      </c>
      <c r="B2925" s="154" t="s">
        <v>5971</v>
      </c>
    </row>
    <row r="2926" spans="1:2" x14ac:dyDescent="0.2">
      <c r="A2926" s="153" t="s">
        <v>1065</v>
      </c>
      <c r="B2926" s="154" t="s">
        <v>5973</v>
      </c>
    </row>
    <row r="2927" spans="1:2" x14ac:dyDescent="0.2">
      <c r="A2927" s="153" t="s">
        <v>5975</v>
      </c>
      <c r="B2927" s="154" t="s">
        <v>5974</v>
      </c>
    </row>
    <row r="2928" spans="1:2" x14ac:dyDescent="0.2">
      <c r="A2928" s="153" t="s">
        <v>5977</v>
      </c>
      <c r="B2928" s="154" t="s">
        <v>5976</v>
      </c>
    </row>
    <row r="2929" spans="1:2" x14ac:dyDescent="0.2">
      <c r="A2929" s="153" t="s">
        <v>1065</v>
      </c>
      <c r="B2929" s="154" t="s">
        <v>5978</v>
      </c>
    </row>
    <row r="2930" spans="1:2" x14ac:dyDescent="0.2">
      <c r="A2930" s="153" t="s">
        <v>5980</v>
      </c>
      <c r="B2930" s="154" t="s">
        <v>5979</v>
      </c>
    </row>
    <row r="2931" spans="1:2" x14ac:dyDescent="0.2">
      <c r="A2931" s="153" t="s">
        <v>5982</v>
      </c>
      <c r="B2931" s="154" t="s">
        <v>5981</v>
      </c>
    </row>
    <row r="2932" spans="1:2" x14ac:dyDescent="0.2">
      <c r="A2932" s="153" t="s">
        <v>5984</v>
      </c>
      <c r="B2932" s="154" t="s">
        <v>5983</v>
      </c>
    </row>
    <row r="2933" spans="1:2" x14ac:dyDescent="0.2">
      <c r="A2933" s="153" t="s">
        <v>5986</v>
      </c>
      <c r="B2933" s="154" t="s">
        <v>5985</v>
      </c>
    </row>
    <row r="2934" spans="1:2" x14ac:dyDescent="0.2">
      <c r="A2934" s="153" t="s">
        <v>5988</v>
      </c>
      <c r="B2934" s="154" t="s">
        <v>5987</v>
      </c>
    </row>
    <row r="2935" spans="1:2" x14ac:dyDescent="0.2">
      <c r="A2935" s="153" t="s">
        <v>5990</v>
      </c>
      <c r="B2935" s="154" t="s">
        <v>5989</v>
      </c>
    </row>
    <row r="2936" spans="1:2" x14ac:dyDescent="0.2">
      <c r="A2936" s="153" t="s">
        <v>5992</v>
      </c>
      <c r="B2936" s="154" t="s">
        <v>5991</v>
      </c>
    </row>
    <row r="2937" spans="1:2" x14ac:dyDescent="0.2">
      <c r="A2937" s="153" t="s">
        <v>5994</v>
      </c>
      <c r="B2937" s="154" t="s">
        <v>5993</v>
      </c>
    </row>
    <row r="2938" spans="1:2" x14ac:dyDescent="0.2">
      <c r="A2938" s="153" t="s">
        <v>5996</v>
      </c>
      <c r="B2938" s="154" t="s">
        <v>5995</v>
      </c>
    </row>
    <row r="2939" spans="1:2" x14ac:dyDescent="0.2">
      <c r="A2939" s="153" t="s">
        <v>5998</v>
      </c>
      <c r="B2939" s="154" t="s">
        <v>5997</v>
      </c>
    </row>
    <row r="2940" spans="1:2" x14ac:dyDescent="0.2">
      <c r="A2940" s="153" t="s">
        <v>6000</v>
      </c>
      <c r="B2940" s="154" t="s">
        <v>5999</v>
      </c>
    </row>
    <row r="2941" spans="1:2" x14ac:dyDescent="0.2">
      <c r="A2941" s="153" t="s">
        <v>6002</v>
      </c>
      <c r="B2941" s="154" t="s">
        <v>6001</v>
      </c>
    </row>
    <row r="2942" spans="1:2" x14ac:dyDescent="0.2">
      <c r="A2942" s="153" t="s">
        <v>6004</v>
      </c>
      <c r="B2942" s="154" t="s">
        <v>6003</v>
      </c>
    </row>
    <row r="2943" spans="1:2" x14ac:dyDescent="0.2">
      <c r="A2943" s="153" t="s">
        <v>6006</v>
      </c>
      <c r="B2943" s="154" t="s">
        <v>6005</v>
      </c>
    </row>
    <row r="2944" spans="1:2" x14ac:dyDescent="0.2">
      <c r="A2944" s="153" t="s">
        <v>6008</v>
      </c>
      <c r="B2944" s="154" t="s">
        <v>6007</v>
      </c>
    </row>
    <row r="2945" spans="1:2" x14ac:dyDescent="0.2">
      <c r="A2945" s="153" t="s">
        <v>6010</v>
      </c>
      <c r="B2945" s="154" t="s">
        <v>6009</v>
      </c>
    </row>
    <row r="2946" spans="1:2" x14ac:dyDescent="0.2">
      <c r="A2946" s="153" t="s">
        <v>6012</v>
      </c>
      <c r="B2946" s="154" t="s">
        <v>6011</v>
      </c>
    </row>
    <row r="2947" spans="1:2" x14ac:dyDescent="0.2">
      <c r="A2947" s="153" t="s">
        <v>6014</v>
      </c>
      <c r="B2947" s="154" t="s">
        <v>6013</v>
      </c>
    </row>
    <row r="2948" spans="1:2" x14ac:dyDescent="0.2">
      <c r="A2948" s="153" t="s">
        <v>6016</v>
      </c>
      <c r="B2948" s="154" t="s">
        <v>6015</v>
      </c>
    </row>
    <row r="2949" spans="1:2" x14ac:dyDescent="0.2">
      <c r="A2949" s="153" t="s">
        <v>6018</v>
      </c>
      <c r="B2949" s="154" t="s">
        <v>6017</v>
      </c>
    </row>
    <row r="2950" spans="1:2" x14ac:dyDescent="0.2">
      <c r="A2950" s="153" t="s">
        <v>6020</v>
      </c>
      <c r="B2950" s="154" t="s">
        <v>6019</v>
      </c>
    </row>
    <row r="2951" spans="1:2" x14ac:dyDescent="0.2">
      <c r="A2951" s="153" t="s">
        <v>6022</v>
      </c>
      <c r="B2951" s="154" t="s">
        <v>6021</v>
      </c>
    </row>
    <row r="2952" spans="1:2" x14ac:dyDescent="0.2">
      <c r="A2952" s="153" t="s">
        <v>6024</v>
      </c>
      <c r="B2952" s="154" t="s">
        <v>6023</v>
      </c>
    </row>
    <row r="2953" spans="1:2" x14ac:dyDescent="0.2">
      <c r="A2953" s="153" t="s">
        <v>6026</v>
      </c>
      <c r="B2953" s="154" t="s">
        <v>6025</v>
      </c>
    </row>
    <row r="2954" spans="1:2" x14ac:dyDescent="0.2">
      <c r="A2954" s="153" t="s">
        <v>6028</v>
      </c>
      <c r="B2954" s="154" t="s">
        <v>6027</v>
      </c>
    </row>
    <row r="2955" spans="1:2" x14ac:dyDescent="0.2">
      <c r="A2955" s="153" t="s">
        <v>6030</v>
      </c>
      <c r="B2955" s="154" t="s">
        <v>6029</v>
      </c>
    </row>
    <row r="2956" spans="1:2" x14ac:dyDescent="0.2">
      <c r="A2956" s="153" t="s">
        <v>6032</v>
      </c>
      <c r="B2956" s="154" t="s">
        <v>6031</v>
      </c>
    </row>
    <row r="2957" spans="1:2" x14ac:dyDescent="0.2">
      <c r="A2957" s="153" t="s">
        <v>6034</v>
      </c>
      <c r="B2957" s="154" t="s">
        <v>6033</v>
      </c>
    </row>
    <row r="2958" spans="1:2" x14ac:dyDescent="0.2">
      <c r="A2958" s="153" t="s">
        <v>6036</v>
      </c>
      <c r="B2958" s="154" t="s">
        <v>6035</v>
      </c>
    </row>
    <row r="2959" spans="1:2" x14ac:dyDescent="0.2">
      <c r="A2959" s="153" t="s">
        <v>6038</v>
      </c>
      <c r="B2959" s="154" t="s">
        <v>6037</v>
      </c>
    </row>
    <row r="2960" spans="1:2" x14ac:dyDescent="0.2">
      <c r="A2960" s="153" t="s">
        <v>6040</v>
      </c>
      <c r="B2960" s="154" t="s">
        <v>6039</v>
      </c>
    </row>
    <row r="2961" spans="1:2" x14ac:dyDescent="0.2">
      <c r="A2961" s="153" t="s">
        <v>6042</v>
      </c>
      <c r="B2961" s="154" t="s">
        <v>6041</v>
      </c>
    </row>
    <row r="2962" spans="1:2" x14ac:dyDescent="0.2">
      <c r="A2962" s="153" t="s">
        <v>6044</v>
      </c>
      <c r="B2962" s="154" t="s">
        <v>6043</v>
      </c>
    </row>
    <row r="2963" spans="1:2" x14ac:dyDescent="0.2">
      <c r="A2963" s="153" t="s">
        <v>6046</v>
      </c>
      <c r="B2963" s="154" t="s">
        <v>6045</v>
      </c>
    </row>
    <row r="2964" spans="1:2" x14ac:dyDescent="0.2">
      <c r="A2964" s="153" t="s">
        <v>1065</v>
      </c>
      <c r="B2964" s="154" t="s">
        <v>6047</v>
      </c>
    </row>
    <row r="2965" spans="1:2" x14ac:dyDescent="0.2">
      <c r="A2965" s="153" t="s">
        <v>6049</v>
      </c>
      <c r="B2965" s="154" t="s">
        <v>6048</v>
      </c>
    </row>
    <row r="2966" spans="1:2" x14ac:dyDescent="0.2">
      <c r="A2966" s="153" t="s">
        <v>6051</v>
      </c>
      <c r="B2966" s="154" t="s">
        <v>6050</v>
      </c>
    </row>
    <row r="2967" spans="1:2" x14ac:dyDescent="0.2">
      <c r="A2967" s="153" t="s">
        <v>6053</v>
      </c>
      <c r="B2967" s="154" t="s">
        <v>6052</v>
      </c>
    </row>
    <row r="2968" spans="1:2" x14ac:dyDescent="0.2">
      <c r="A2968" s="153" t="s">
        <v>6055</v>
      </c>
      <c r="B2968" s="154" t="s">
        <v>6054</v>
      </c>
    </row>
    <row r="2969" spans="1:2" x14ac:dyDescent="0.2">
      <c r="A2969" s="153" t="s">
        <v>6057</v>
      </c>
      <c r="B2969" s="154" t="s">
        <v>6056</v>
      </c>
    </row>
    <row r="2970" spans="1:2" x14ac:dyDescent="0.2">
      <c r="A2970" s="153" t="s">
        <v>6059</v>
      </c>
      <c r="B2970" s="154" t="s">
        <v>6058</v>
      </c>
    </row>
    <row r="2971" spans="1:2" x14ac:dyDescent="0.2">
      <c r="A2971" s="153" t="s">
        <v>1065</v>
      </c>
      <c r="B2971" s="154" t="s">
        <v>6060</v>
      </c>
    </row>
    <row r="2972" spans="1:2" x14ac:dyDescent="0.2">
      <c r="A2972" s="153" t="s">
        <v>1065</v>
      </c>
      <c r="B2972" s="154" t="s">
        <v>6061</v>
      </c>
    </row>
    <row r="2973" spans="1:2" x14ac:dyDescent="0.2">
      <c r="A2973" s="153" t="s">
        <v>6063</v>
      </c>
      <c r="B2973" s="154" t="s">
        <v>6062</v>
      </c>
    </row>
    <row r="2974" spans="1:2" x14ac:dyDescent="0.2">
      <c r="A2974" s="153" t="s">
        <v>6065</v>
      </c>
      <c r="B2974" s="154" t="s">
        <v>6064</v>
      </c>
    </row>
    <row r="2975" spans="1:2" x14ac:dyDescent="0.2">
      <c r="A2975" s="153" t="s">
        <v>6067</v>
      </c>
      <c r="B2975" s="154" t="s">
        <v>6066</v>
      </c>
    </row>
    <row r="2976" spans="1:2" x14ac:dyDescent="0.2">
      <c r="A2976" s="153" t="s">
        <v>6069</v>
      </c>
      <c r="B2976" s="154" t="s">
        <v>6068</v>
      </c>
    </row>
    <row r="2977" spans="1:2" ht="28.5" x14ac:dyDescent="0.2">
      <c r="A2977" s="153" t="s">
        <v>6071</v>
      </c>
      <c r="B2977" s="154" t="s">
        <v>6070</v>
      </c>
    </row>
    <row r="2978" spans="1:2" x14ac:dyDescent="0.2">
      <c r="A2978" s="153" t="s">
        <v>6073</v>
      </c>
      <c r="B2978" s="154" t="s">
        <v>6072</v>
      </c>
    </row>
    <row r="2979" spans="1:2" x14ac:dyDescent="0.2">
      <c r="A2979" s="153" t="s">
        <v>6075</v>
      </c>
      <c r="B2979" s="154" t="s">
        <v>6074</v>
      </c>
    </row>
    <row r="2980" spans="1:2" x14ac:dyDescent="0.2">
      <c r="A2980" s="153" t="s">
        <v>6077</v>
      </c>
      <c r="B2980" s="154" t="s">
        <v>6076</v>
      </c>
    </row>
    <row r="2981" spans="1:2" x14ac:dyDescent="0.2">
      <c r="A2981" s="153" t="s">
        <v>6079</v>
      </c>
      <c r="B2981" s="154" t="s">
        <v>6078</v>
      </c>
    </row>
    <row r="2982" spans="1:2" x14ac:dyDescent="0.2">
      <c r="A2982" s="153" t="s">
        <v>1065</v>
      </c>
      <c r="B2982" s="154" t="s">
        <v>6080</v>
      </c>
    </row>
    <row r="2983" spans="1:2" x14ac:dyDescent="0.2">
      <c r="A2983" s="153" t="s">
        <v>6082</v>
      </c>
      <c r="B2983" s="154" t="s">
        <v>6081</v>
      </c>
    </row>
    <row r="2984" spans="1:2" x14ac:dyDescent="0.2">
      <c r="A2984" s="153" t="s">
        <v>9476</v>
      </c>
      <c r="B2984" s="154" t="s">
        <v>6083</v>
      </c>
    </row>
    <row r="2985" spans="1:2" ht="28.5" x14ac:dyDescent="0.2">
      <c r="A2985" s="153" t="s">
        <v>9477</v>
      </c>
      <c r="B2985" s="154" t="s">
        <v>6084</v>
      </c>
    </row>
    <row r="2986" spans="1:2" ht="28.5" x14ac:dyDescent="0.2">
      <c r="A2986" s="153" t="s">
        <v>6086</v>
      </c>
      <c r="B2986" s="154" t="s">
        <v>6085</v>
      </c>
    </row>
    <row r="2987" spans="1:2" x14ac:dyDescent="0.2">
      <c r="A2987" s="153" t="s">
        <v>6088</v>
      </c>
      <c r="B2987" s="154" t="s">
        <v>6087</v>
      </c>
    </row>
    <row r="2988" spans="1:2" x14ac:dyDescent="0.2">
      <c r="A2988" s="153" t="s">
        <v>6090</v>
      </c>
      <c r="B2988" s="154" t="s">
        <v>6089</v>
      </c>
    </row>
    <row r="2989" spans="1:2" x14ac:dyDescent="0.2">
      <c r="A2989" s="153" t="s">
        <v>6092</v>
      </c>
      <c r="B2989" s="154" t="s">
        <v>6091</v>
      </c>
    </row>
    <row r="2990" spans="1:2" x14ac:dyDescent="0.2">
      <c r="A2990" s="153" t="s">
        <v>6094</v>
      </c>
      <c r="B2990" s="154" t="s">
        <v>6093</v>
      </c>
    </row>
    <row r="2991" spans="1:2" x14ac:dyDescent="0.2">
      <c r="A2991" s="153" t="s">
        <v>6096</v>
      </c>
      <c r="B2991" s="154" t="s">
        <v>6095</v>
      </c>
    </row>
    <row r="2992" spans="1:2" x14ac:dyDescent="0.2">
      <c r="A2992" s="153" t="s">
        <v>6098</v>
      </c>
      <c r="B2992" s="154" t="s">
        <v>6097</v>
      </c>
    </row>
    <row r="2993" spans="1:2" x14ac:dyDescent="0.2">
      <c r="A2993" s="153" t="s">
        <v>6100</v>
      </c>
      <c r="B2993" s="154" t="s">
        <v>6099</v>
      </c>
    </row>
    <row r="2994" spans="1:2" x14ac:dyDescent="0.2">
      <c r="A2994" s="153" t="s">
        <v>6102</v>
      </c>
      <c r="B2994" s="154" t="s">
        <v>6101</v>
      </c>
    </row>
    <row r="2995" spans="1:2" x14ac:dyDescent="0.2">
      <c r="A2995" s="153" t="s">
        <v>6104</v>
      </c>
      <c r="B2995" s="154" t="s">
        <v>6103</v>
      </c>
    </row>
    <row r="2996" spans="1:2" x14ac:dyDescent="0.2">
      <c r="A2996" s="153" t="s">
        <v>6106</v>
      </c>
      <c r="B2996" s="154" t="s">
        <v>6105</v>
      </c>
    </row>
    <row r="2997" spans="1:2" x14ac:dyDescent="0.2">
      <c r="A2997" s="153" t="s">
        <v>6108</v>
      </c>
      <c r="B2997" s="154" t="s">
        <v>6107</v>
      </c>
    </row>
    <row r="2998" spans="1:2" x14ac:dyDescent="0.2">
      <c r="A2998" s="153" t="s">
        <v>6110</v>
      </c>
      <c r="B2998" s="154" t="s">
        <v>6109</v>
      </c>
    </row>
    <row r="2999" spans="1:2" x14ac:dyDescent="0.2">
      <c r="A2999" s="153" t="s">
        <v>1065</v>
      </c>
      <c r="B2999" s="154" t="s">
        <v>6111</v>
      </c>
    </row>
    <row r="3000" spans="1:2" x14ac:dyDescent="0.2">
      <c r="A3000" s="153" t="s">
        <v>6113</v>
      </c>
      <c r="B3000" s="154" t="s">
        <v>6112</v>
      </c>
    </row>
    <row r="3001" spans="1:2" x14ac:dyDescent="0.2">
      <c r="A3001" s="153" t="s">
        <v>6115</v>
      </c>
      <c r="B3001" s="154" t="s">
        <v>6114</v>
      </c>
    </row>
    <row r="3002" spans="1:2" x14ac:dyDescent="0.2">
      <c r="A3002" s="153" t="s">
        <v>1065</v>
      </c>
      <c r="B3002" s="154" t="s">
        <v>6116</v>
      </c>
    </row>
    <row r="3003" spans="1:2" x14ac:dyDescent="0.2">
      <c r="A3003" s="153" t="s">
        <v>1065</v>
      </c>
      <c r="B3003" s="154" t="s">
        <v>6117</v>
      </c>
    </row>
    <row r="3004" spans="1:2" x14ac:dyDescent="0.2">
      <c r="A3004" s="153" t="s">
        <v>6119</v>
      </c>
      <c r="B3004" s="154" t="s">
        <v>6118</v>
      </c>
    </row>
    <row r="3005" spans="1:2" x14ac:dyDescent="0.2">
      <c r="A3005" s="153" t="s">
        <v>6121</v>
      </c>
      <c r="B3005" s="154" t="s">
        <v>6120</v>
      </c>
    </row>
    <row r="3006" spans="1:2" x14ac:dyDescent="0.2">
      <c r="A3006" s="153" t="s">
        <v>6123</v>
      </c>
      <c r="B3006" s="154" t="s">
        <v>6122</v>
      </c>
    </row>
    <row r="3007" spans="1:2" x14ac:dyDescent="0.2">
      <c r="A3007" s="153" t="s">
        <v>6125</v>
      </c>
      <c r="B3007" s="154" t="s">
        <v>6124</v>
      </c>
    </row>
    <row r="3008" spans="1:2" x14ac:dyDescent="0.2">
      <c r="A3008" s="153" t="s">
        <v>6127</v>
      </c>
      <c r="B3008" s="154" t="s">
        <v>6126</v>
      </c>
    </row>
    <row r="3009" spans="1:2" x14ac:dyDescent="0.2">
      <c r="A3009" s="153" t="s">
        <v>6129</v>
      </c>
      <c r="B3009" s="154" t="s">
        <v>6128</v>
      </c>
    </row>
    <row r="3010" spans="1:2" x14ac:dyDescent="0.2">
      <c r="A3010" s="153" t="s">
        <v>6131</v>
      </c>
      <c r="B3010" s="154" t="s">
        <v>6130</v>
      </c>
    </row>
    <row r="3011" spans="1:2" x14ac:dyDescent="0.2">
      <c r="A3011" s="153" t="s">
        <v>6133</v>
      </c>
      <c r="B3011" s="154" t="s">
        <v>6132</v>
      </c>
    </row>
    <row r="3012" spans="1:2" x14ac:dyDescent="0.2">
      <c r="A3012" s="153" t="s">
        <v>6135</v>
      </c>
      <c r="B3012" s="154" t="s">
        <v>6134</v>
      </c>
    </row>
    <row r="3013" spans="1:2" x14ac:dyDescent="0.2">
      <c r="A3013" s="153" t="s">
        <v>6137</v>
      </c>
      <c r="B3013" s="154" t="s">
        <v>6136</v>
      </c>
    </row>
    <row r="3014" spans="1:2" x14ac:dyDescent="0.2">
      <c r="A3014" s="153" t="s">
        <v>6139</v>
      </c>
      <c r="B3014" s="154" t="s">
        <v>6138</v>
      </c>
    </row>
    <row r="3015" spans="1:2" x14ac:dyDescent="0.2">
      <c r="A3015" s="153" t="s">
        <v>6141</v>
      </c>
      <c r="B3015" s="154" t="s">
        <v>6140</v>
      </c>
    </row>
    <row r="3016" spans="1:2" x14ac:dyDescent="0.2">
      <c r="A3016" s="153" t="s">
        <v>6143</v>
      </c>
      <c r="B3016" s="154" t="s">
        <v>6142</v>
      </c>
    </row>
    <row r="3017" spans="1:2" x14ac:dyDescent="0.2">
      <c r="A3017" s="153" t="s">
        <v>6145</v>
      </c>
      <c r="B3017" s="154" t="s">
        <v>6144</v>
      </c>
    </row>
    <row r="3018" spans="1:2" x14ac:dyDescent="0.2">
      <c r="A3018" s="153" t="s">
        <v>6147</v>
      </c>
      <c r="B3018" s="154" t="s">
        <v>6146</v>
      </c>
    </row>
    <row r="3019" spans="1:2" x14ac:dyDescent="0.2">
      <c r="A3019" s="153" t="s">
        <v>6149</v>
      </c>
      <c r="B3019" s="154" t="s">
        <v>6148</v>
      </c>
    </row>
    <row r="3020" spans="1:2" x14ac:dyDescent="0.2">
      <c r="A3020" s="153" t="s">
        <v>6151</v>
      </c>
      <c r="B3020" s="154" t="s">
        <v>6150</v>
      </c>
    </row>
    <row r="3021" spans="1:2" x14ac:dyDescent="0.2">
      <c r="A3021" s="153" t="s">
        <v>6153</v>
      </c>
      <c r="B3021" s="154" t="s">
        <v>6152</v>
      </c>
    </row>
    <row r="3022" spans="1:2" x14ac:dyDescent="0.2">
      <c r="A3022" s="153" t="s">
        <v>6155</v>
      </c>
      <c r="B3022" s="154" t="s">
        <v>6154</v>
      </c>
    </row>
    <row r="3023" spans="1:2" x14ac:dyDescent="0.2">
      <c r="A3023" s="153" t="s">
        <v>6157</v>
      </c>
      <c r="B3023" s="154" t="s">
        <v>6156</v>
      </c>
    </row>
    <row r="3024" spans="1:2" x14ac:dyDescent="0.2">
      <c r="A3024" s="153" t="s">
        <v>6159</v>
      </c>
      <c r="B3024" s="154" t="s">
        <v>6158</v>
      </c>
    </row>
    <row r="3025" spans="1:2" x14ac:dyDescent="0.2">
      <c r="A3025" s="153" t="s">
        <v>6161</v>
      </c>
      <c r="B3025" s="154" t="s">
        <v>6160</v>
      </c>
    </row>
    <row r="3026" spans="1:2" x14ac:dyDescent="0.2">
      <c r="A3026" s="153" t="s">
        <v>6163</v>
      </c>
      <c r="B3026" s="154" t="s">
        <v>6162</v>
      </c>
    </row>
    <row r="3027" spans="1:2" x14ac:dyDescent="0.2">
      <c r="A3027" s="153" t="s">
        <v>6165</v>
      </c>
      <c r="B3027" s="154" t="s">
        <v>6164</v>
      </c>
    </row>
    <row r="3028" spans="1:2" x14ac:dyDescent="0.2">
      <c r="A3028" s="153" t="s">
        <v>6167</v>
      </c>
      <c r="B3028" s="154" t="s">
        <v>6166</v>
      </c>
    </row>
    <row r="3029" spans="1:2" x14ac:dyDescent="0.2">
      <c r="A3029" s="153" t="s">
        <v>6169</v>
      </c>
      <c r="B3029" s="154" t="s">
        <v>6168</v>
      </c>
    </row>
    <row r="3030" spans="1:2" x14ac:dyDescent="0.2">
      <c r="A3030" s="153" t="s">
        <v>6171</v>
      </c>
      <c r="B3030" s="154" t="s">
        <v>6170</v>
      </c>
    </row>
    <row r="3031" spans="1:2" x14ac:dyDescent="0.2">
      <c r="A3031" s="153" t="s">
        <v>6173</v>
      </c>
      <c r="B3031" s="154" t="s">
        <v>6172</v>
      </c>
    </row>
    <row r="3032" spans="1:2" x14ac:dyDescent="0.2">
      <c r="A3032" s="153" t="s">
        <v>6175</v>
      </c>
      <c r="B3032" s="154" t="s">
        <v>6174</v>
      </c>
    </row>
    <row r="3033" spans="1:2" x14ac:dyDescent="0.2">
      <c r="A3033" s="153" t="s">
        <v>6177</v>
      </c>
      <c r="B3033" s="154" t="s">
        <v>6176</v>
      </c>
    </row>
    <row r="3034" spans="1:2" x14ac:dyDescent="0.2">
      <c r="A3034" s="153" t="s">
        <v>6179</v>
      </c>
      <c r="B3034" s="154" t="s">
        <v>6178</v>
      </c>
    </row>
    <row r="3035" spans="1:2" x14ac:dyDescent="0.2">
      <c r="A3035" s="153" t="s">
        <v>6181</v>
      </c>
      <c r="B3035" s="154" t="s">
        <v>6180</v>
      </c>
    </row>
    <row r="3036" spans="1:2" x14ac:dyDescent="0.2">
      <c r="A3036" s="153" t="s">
        <v>6183</v>
      </c>
      <c r="B3036" s="154" t="s">
        <v>6182</v>
      </c>
    </row>
    <row r="3037" spans="1:2" x14ac:dyDescent="0.2">
      <c r="A3037" s="153" t="s">
        <v>6185</v>
      </c>
      <c r="B3037" s="154" t="s">
        <v>6184</v>
      </c>
    </row>
    <row r="3038" spans="1:2" x14ac:dyDescent="0.2">
      <c r="A3038" s="153" t="s">
        <v>6187</v>
      </c>
      <c r="B3038" s="154" t="s">
        <v>6186</v>
      </c>
    </row>
    <row r="3039" spans="1:2" x14ac:dyDescent="0.2">
      <c r="A3039" s="153" t="s">
        <v>6189</v>
      </c>
      <c r="B3039" s="154" t="s">
        <v>6188</v>
      </c>
    </row>
    <row r="3040" spans="1:2" x14ac:dyDescent="0.2">
      <c r="A3040" s="153" t="s">
        <v>6191</v>
      </c>
      <c r="B3040" s="154" t="s">
        <v>6190</v>
      </c>
    </row>
    <row r="3041" spans="1:2" x14ac:dyDescent="0.2">
      <c r="A3041" s="153" t="s">
        <v>6193</v>
      </c>
      <c r="B3041" s="154" t="s">
        <v>6192</v>
      </c>
    </row>
    <row r="3042" spans="1:2" x14ac:dyDescent="0.2">
      <c r="A3042" s="153" t="s">
        <v>6195</v>
      </c>
      <c r="B3042" s="154" t="s">
        <v>6194</v>
      </c>
    </row>
    <row r="3043" spans="1:2" x14ac:dyDescent="0.2">
      <c r="A3043" s="153" t="s">
        <v>6197</v>
      </c>
      <c r="B3043" s="154" t="s">
        <v>6196</v>
      </c>
    </row>
    <row r="3044" spans="1:2" x14ac:dyDescent="0.2">
      <c r="A3044" s="153" t="s">
        <v>6199</v>
      </c>
      <c r="B3044" s="154" t="s">
        <v>6198</v>
      </c>
    </row>
    <row r="3045" spans="1:2" x14ac:dyDescent="0.2">
      <c r="A3045" s="153" t="s">
        <v>1065</v>
      </c>
      <c r="B3045" s="154" t="s">
        <v>6200</v>
      </c>
    </row>
    <row r="3046" spans="1:2" x14ac:dyDescent="0.2">
      <c r="A3046" s="153" t="s">
        <v>6202</v>
      </c>
      <c r="B3046" s="154" t="s">
        <v>6201</v>
      </c>
    </row>
    <row r="3047" spans="1:2" x14ac:dyDescent="0.2">
      <c r="A3047" s="153" t="s">
        <v>6204</v>
      </c>
      <c r="B3047" s="154" t="s">
        <v>6203</v>
      </c>
    </row>
    <row r="3048" spans="1:2" x14ac:dyDescent="0.2">
      <c r="A3048" s="153" t="s">
        <v>6206</v>
      </c>
      <c r="B3048" s="154" t="s">
        <v>6205</v>
      </c>
    </row>
    <row r="3049" spans="1:2" x14ac:dyDescent="0.2">
      <c r="A3049" s="153" t="s">
        <v>6208</v>
      </c>
      <c r="B3049" s="154" t="s">
        <v>6207</v>
      </c>
    </row>
    <row r="3050" spans="1:2" x14ac:dyDescent="0.2">
      <c r="A3050" s="153" t="s">
        <v>6210</v>
      </c>
      <c r="B3050" s="154" t="s">
        <v>6209</v>
      </c>
    </row>
    <row r="3051" spans="1:2" x14ac:dyDescent="0.2">
      <c r="A3051" s="153" t="s">
        <v>6212</v>
      </c>
      <c r="B3051" s="154" t="s">
        <v>6211</v>
      </c>
    </row>
    <row r="3052" spans="1:2" x14ac:dyDescent="0.2">
      <c r="A3052" s="153" t="s">
        <v>6214</v>
      </c>
      <c r="B3052" s="154" t="s">
        <v>6213</v>
      </c>
    </row>
    <row r="3053" spans="1:2" x14ac:dyDescent="0.2">
      <c r="A3053" s="153" t="s">
        <v>6216</v>
      </c>
      <c r="B3053" s="154" t="s">
        <v>6215</v>
      </c>
    </row>
    <row r="3054" spans="1:2" x14ac:dyDescent="0.2">
      <c r="A3054" s="153" t="s">
        <v>6218</v>
      </c>
      <c r="B3054" s="154" t="s">
        <v>6217</v>
      </c>
    </row>
    <row r="3055" spans="1:2" x14ac:dyDescent="0.2">
      <c r="A3055" s="153" t="s">
        <v>6220</v>
      </c>
      <c r="B3055" s="154" t="s">
        <v>6219</v>
      </c>
    </row>
    <row r="3056" spans="1:2" x14ac:dyDescent="0.2">
      <c r="A3056" s="153" t="s">
        <v>6222</v>
      </c>
      <c r="B3056" s="154" t="s">
        <v>6221</v>
      </c>
    </row>
    <row r="3057" spans="1:2" x14ac:dyDescent="0.2">
      <c r="A3057" s="153" t="s">
        <v>6224</v>
      </c>
      <c r="B3057" s="154" t="s">
        <v>6223</v>
      </c>
    </row>
    <row r="3058" spans="1:2" x14ac:dyDescent="0.2">
      <c r="A3058" s="153" t="s">
        <v>6226</v>
      </c>
      <c r="B3058" s="154" t="s">
        <v>6225</v>
      </c>
    </row>
    <row r="3059" spans="1:2" x14ac:dyDescent="0.2">
      <c r="A3059" s="153" t="s">
        <v>6228</v>
      </c>
      <c r="B3059" s="154" t="s">
        <v>6227</v>
      </c>
    </row>
    <row r="3060" spans="1:2" x14ac:dyDescent="0.2">
      <c r="A3060" s="153" t="s">
        <v>6230</v>
      </c>
      <c r="B3060" s="154" t="s">
        <v>6229</v>
      </c>
    </row>
    <row r="3061" spans="1:2" x14ac:dyDescent="0.2">
      <c r="A3061" s="153" t="s">
        <v>6232</v>
      </c>
      <c r="B3061" s="154" t="s">
        <v>6231</v>
      </c>
    </row>
    <row r="3062" spans="1:2" x14ac:dyDescent="0.2">
      <c r="A3062" s="153" t="s">
        <v>6234</v>
      </c>
      <c r="B3062" s="154" t="s">
        <v>6233</v>
      </c>
    </row>
    <row r="3063" spans="1:2" x14ac:dyDescent="0.2">
      <c r="A3063" s="153" t="s">
        <v>6236</v>
      </c>
      <c r="B3063" s="154" t="s">
        <v>6235</v>
      </c>
    </row>
    <row r="3064" spans="1:2" x14ac:dyDescent="0.2">
      <c r="A3064" s="153" t="s">
        <v>6238</v>
      </c>
      <c r="B3064" s="154" t="s">
        <v>6237</v>
      </c>
    </row>
    <row r="3065" spans="1:2" x14ac:dyDescent="0.2">
      <c r="A3065" s="153" t="s">
        <v>6240</v>
      </c>
      <c r="B3065" s="154" t="s">
        <v>6239</v>
      </c>
    </row>
    <row r="3066" spans="1:2" x14ac:dyDescent="0.2">
      <c r="A3066" s="153" t="s">
        <v>6242</v>
      </c>
      <c r="B3066" s="154" t="s">
        <v>6241</v>
      </c>
    </row>
    <row r="3067" spans="1:2" x14ac:dyDescent="0.2">
      <c r="A3067" s="153" t="s">
        <v>6244</v>
      </c>
      <c r="B3067" s="154" t="s">
        <v>6243</v>
      </c>
    </row>
    <row r="3068" spans="1:2" x14ac:dyDescent="0.2">
      <c r="A3068" s="153" t="s">
        <v>6246</v>
      </c>
      <c r="B3068" s="154" t="s">
        <v>6245</v>
      </c>
    </row>
    <row r="3069" spans="1:2" x14ac:dyDescent="0.2">
      <c r="A3069" s="153" t="s">
        <v>6248</v>
      </c>
      <c r="B3069" s="154" t="s">
        <v>6247</v>
      </c>
    </row>
    <row r="3070" spans="1:2" x14ac:dyDescent="0.2">
      <c r="A3070" s="153" t="s">
        <v>6250</v>
      </c>
      <c r="B3070" s="154" t="s">
        <v>6249</v>
      </c>
    </row>
    <row r="3071" spans="1:2" x14ac:dyDescent="0.2">
      <c r="A3071" s="153" t="s">
        <v>6252</v>
      </c>
      <c r="B3071" s="154" t="s">
        <v>6251</v>
      </c>
    </row>
    <row r="3072" spans="1:2" x14ac:dyDescent="0.2">
      <c r="A3072" s="153" t="s">
        <v>6254</v>
      </c>
      <c r="B3072" s="154" t="s">
        <v>6253</v>
      </c>
    </row>
    <row r="3073" spans="1:2" x14ac:dyDescent="0.2">
      <c r="A3073" s="153" t="s">
        <v>6256</v>
      </c>
      <c r="B3073" s="154" t="s">
        <v>6255</v>
      </c>
    </row>
    <row r="3074" spans="1:2" x14ac:dyDescent="0.2">
      <c r="A3074" s="153" t="s">
        <v>6258</v>
      </c>
      <c r="B3074" s="154" t="s">
        <v>6257</v>
      </c>
    </row>
    <row r="3075" spans="1:2" x14ac:dyDescent="0.2">
      <c r="A3075" s="153" t="s">
        <v>6260</v>
      </c>
      <c r="B3075" s="154" t="s">
        <v>6259</v>
      </c>
    </row>
    <row r="3076" spans="1:2" x14ac:dyDescent="0.2">
      <c r="A3076" s="153" t="s">
        <v>6262</v>
      </c>
      <c r="B3076" s="154" t="s">
        <v>6261</v>
      </c>
    </row>
    <row r="3077" spans="1:2" x14ac:dyDescent="0.2">
      <c r="A3077" s="153" t="s">
        <v>6264</v>
      </c>
      <c r="B3077" s="154" t="s">
        <v>6263</v>
      </c>
    </row>
    <row r="3078" spans="1:2" x14ac:dyDescent="0.2">
      <c r="A3078" s="153" t="s">
        <v>6266</v>
      </c>
      <c r="B3078" s="154" t="s">
        <v>6265</v>
      </c>
    </row>
    <row r="3079" spans="1:2" x14ac:dyDescent="0.2">
      <c r="A3079" s="153" t="s">
        <v>6268</v>
      </c>
      <c r="B3079" s="154" t="s">
        <v>6267</v>
      </c>
    </row>
    <row r="3080" spans="1:2" x14ac:dyDescent="0.2">
      <c r="A3080" s="153" t="s">
        <v>6270</v>
      </c>
      <c r="B3080" s="154" t="s">
        <v>6269</v>
      </c>
    </row>
    <row r="3081" spans="1:2" x14ac:dyDescent="0.2">
      <c r="A3081" s="153" t="s">
        <v>6272</v>
      </c>
      <c r="B3081" s="154" t="s">
        <v>6271</v>
      </c>
    </row>
    <row r="3082" spans="1:2" x14ac:dyDescent="0.2">
      <c r="A3082" s="153" t="s">
        <v>6274</v>
      </c>
      <c r="B3082" s="154" t="s">
        <v>6273</v>
      </c>
    </row>
    <row r="3083" spans="1:2" x14ac:dyDescent="0.2">
      <c r="A3083" s="153" t="s">
        <v>6276</v>
      </c>
      <c r="B3083" s="154" t="s">
        <v>6275</v>
      </c>
    </row>
    <row r="3084" spans="1:2" x14ac:dyDescent="0.2">
      <c r="A3084" s="153" t="s">
        <v>6278</v>
      </c>
      <c r="B3084" s="154" t="s">
        <v>6277</v>
      </c>
    </row>
    <row r="3085" spans="1:2" x14ac:dyDescent="0.2">
      <c r="A3085" s="153" t="s">
        <v>6280</v>
      </c>
      <c r="B3085" s="154" t="s">
        <v>6279</v>
      </c>
    </row>
    <row r="3086" spans="1:2" x14ac:dyDescent="0.2">
      <c r="A3086" s="153" t="s">
        <v>6282</v>
      </c>
      <c r="B3086" s="154" t="s">
        <v>6281</v>
      </c>
    </row>
    <row r="3087" spans="1:2" x14ac:dyDescent="0.2">
      <c r="A3087" s="153" t="s">
        <v>6284</v>
      </c>
      <c r="B3087" s="154" t="s">
        <v>6283</v>
      </c>
    </row>
    <row r="3088" spans="1:2" x14ac:dyDescent="0.2">
      <c r="A3088" s="153" t="s">
        <v>6286</v>
      </c>
      <c r="B3088" s="154" t="s">
        <v>6285</v>
      </c>
    </row>
    <row r="3089" spans="1:2" x14ac:dyDescent="0.2">
      <c r="A3089" s="153" t="s">
        <v>6288</v>
      </c>
      <c r="B3089" s="154" t="s">
        <v>6287</v>
      </c>
    </row>
    <row r="3090" spans="1:2" x14ac:dyDescent="0.2">
      <c r="A3090" s="153" t="s">
        <v>6290</v>
      </c>
      <c r="B3090" s="154" t="s">
        <v>6289</v>
      </c>
    </row>
    <row r="3091" spans="1:2" x14ac:dyDescent="0.2">
      <c r="A3091" s="153" t="s">
        <v>6292</v>
      </c>
      <c r="B3091" s="154" t="s">
        <v>6291</v>
      </c>
    </row>
    <row r="3092" spans="1:2" x14ac:dyDescent="0.2">
      <c r="A3092" s="153" t="s">
        <v>6294</v>
      </c>
      <c r="B3092" s="154" t="s">
        <v>6293</v>
      </c>
    </row>
    <row r="3093" spans="1:2" x14ac:dyDescent="0.2">
      <c r="A3093" s="153" t="s">
        <v>6296</v>
      </c>
      <c r="B3093" s="154" t="s">
        <v>6295</v>
      </c>
    </row>
    <row r="3094" spans="1:2" x14ac:dyDescent="0.2">
      <c r="A3094" s="153" t="s">
        <v>6298</v>
      </c>
      <c r="B3094" s="154" t="s">
        <v>6297</v>
      </c>
    </row>
    <row r="3095" spans="1:2" x14ac:dyDescent="0.2">
      <c r="A3095" s="153" t="s">
        <v>6300</v>
      </c>
      <c r="B3095" s="154" t="s">
        <v>6299</v>
      </c>
    </row>
    <row r="3096" spans="1:2" x14ac:dyDescent="0.2">
      <c r="A3096" s="153" t="s">
        <v>6302</v>
      </c>
      <c r="B3096" s="154" t="s">
        <v>6301</v>
      </c>
    </row>
    <row r="3097" spans="1:2" x14ac:dyDescent="0.2">
      <c r="A3097" s="153" t="s">
        <v>6304</v>
      </c>
      <c r="B3097" s="154" t="s">
        <v>6303</v>
      </c>
    </row>
    <row r="3098" spans="1:2" x14ac:dyDescent="0.2">
      <c r="A3098" s="153" t="s">
        <v>6306</v>
      </c>
      <c r="B3098" s="154" t="s">
        <v>6305</v>
      </c>
    </row>
    <row r="3099" spans="1:2" x14ac:dyDescent="0.2">
      <c r="A3099" s="153" t="s">
        <v>6308</v>
      </c>
      <c r="B3099" s="154" t="s">
        <v>6307</v>
      </c>
    </row>
    <row r="3100" spans="1:2" x14ac:dyDescent="0.2">
      <c r="A3100" s="153" t="s">
        <v>6310</v>
      </c>
      <c r="B3100" s="154" t="s">
        <v>6309</v>
      </c>
    </row>
    <row r="3101" spans="1:2" x14ac:dyDescent="0.2">
      <c r="A3101" s="153" t="s">
        <v>6312</v>
      </c>
      <c r="B3101" s="154" t="s">
        <v>6311</v>
      </c>
    </row>
    <row r="3102" spans="1:2" x14ac:dyDescent="0.2">
      <c r="A3102" s="153" t="s">
        <v>6314</v>
      </c>
      <c r="B3102" s="154" t="s">
        <v>6313</v>
      </c>
    </row>
    <row r="3103" spans="1:2" x14ac:dyDescent="0.2">
      <c r="A3103" s="153" t="s">
        <v>6316</v>
      </c>
      <c r="B3103" s="154" t="s">
        <v>6315</v>
      </c>
    </row>
    <row r="3104" spans="1:2" x14ac:dyDescent="0.2">
      <c r="A3104" s="153" t="s">
        <v>6318</v>
      </c>
      <c r="B3104" s="154" t="s">
        <v>6317</v>
      </c>
    </row>
    <row r="3105" spans="1:2" x14ac:dyDescent="0.2">
      <c r="A3105" s="153" t="s">
        <v>6320</v>
      </c>
      <c r="B3105" s="154" t="s">
        <v>6319</v>
      </c>
    </row>
    <row r="3106" spans="1:2" x14ac:dyDescent="0.2">
      <c r="A3106" s="153" t="s">
        <v>6322</v>
      </c>
      <c r="B3106" s="154" t="s">
        <v>6321</v>
      </c>
    </row>
    <row r="3107" spans="1:2" x14ac:dyDescent="0.2">
      <c r="A3107" s="153" t="s">
        <v>6324</v>
      </c>
      <c r="B3107" s="154" t="s">
        <v>6323</v>
      </c>
    </row>
    <row r="3108" spans="1:2" x14ac:dyDescent="0.2">
      <c r="A3108" s="153" t="s">
        <v>6326</v>
      </c>
      <c r="B3108" s="154" t="s">
        <v>6325</v>
      </c>
    </row>
    <row r="3109" spans="1:2" x14ac:dyDescent="0.2">
      <c r="A3109" s="153" t="s">
        <v>6328</v>
      </c>
      <c r="B3109" s="154" t="s">
        <v>6327</v>
      </c>
    </row>
    <row r="3110" spans="1:2" x14ac:dyDescent="0.2">
      <c r="A3110" s="153" t="s">
        <v>6330</v>
      </c>
      <c r="B3110" s="154" t="s">
        <v>6329</v>
      </c>
    </row>
    <row r="3111" spans="1:2" x14ac:dyDescent="0.2">
      <c r="A3111" s="153" t="s">
        <v>6332</v>
      </c>
      <c r="B3111" s="154" t="s">
        <v>6331</v>
      </c>
    </row>
    <row r="3112" spans="1:2" x14ac:dyDescent="0.2">
      <c r="A3112" s="153" t="s">
        <v>6334</v>
      </c>
      <c r="B3112" s="154" t="s">
        <v>6333</v>
      </c>
    </row>
    <row r="3113" spans="1:2" x14ac:dyDescent="0.2">
      <c r="A3113" s="153" t="s">
        <v>6336</v>
      </c>
      <c r="B3113" s="154" t="s">
        <v>6335</v>
      </c>
    </row>
    <row r="3114" spans="1:2" x14ac:dyDescent="0.2">
      <c r="A3114" s="153" t="s">
        <v>6338</v>
      </c>
      <c r="B3114" s="154" t="s">
        <v>6337</v>
      </c>
    </row>
    <row r="3115" spans="1:2" x14ac:dyDescent="0.2">
      <c r="A3115" s="153" t="s">
        <v>6340</v>
      </c>
      <c r="B3115" s="154" t="s">
        <v>6339</v>
      </c>
    </row>
    <row r="3116" spans="1:2" ht="28.5" x14ac:dyDescent="0.2">
      <c r="A3116" s="153" t="s">
        <v>6342</v>
      </c>
      <c r="B3116" s="154" t="s">
        <v>6341</v>
      </c>
    </row>
    <row r="3117" spans="1:2" x14ac:dyDescent="0.2">
      <c r="A3117" s="153" t="s">
        <v>6344</v>
      </c>
      <c r="B3117" s="154" t="s">
        <v>6343</v>
      </c>
    </row>
    <row r="3118" spans="1:2" x14ac:dyDescent="0.2">
      <c r="A3118" s="153" t="s">
        <v>6346</v>
      </c>
      <c r="B3118" s="154" t="s">
        <v>6345</v>
      </c>
    </row>
    <row r="3119" spans="1:2" x14ac:dyDescent="0.2">
      <c r="A3119" s="153" t="s">
        <v>6348</v>
      </c>
      <c r="B3119" s="154" t="s">
        <v>6347</v>
      </c>
    </row>
    <row r="3120" spans="1:2" x14ac:dyDescent="0.2">
      <c r="A3120" s="153" t="s">
        <v>6350</v>
      </c>
      <c r="B3120" s="154" t="s">
        <v>6349</v>
      </c>
    </row>
    <row r="3121" spans="1:2" ht="28.5" x14ac:dyDescent="0.2">
      <c r="A3121" s="153" t="s">
        <v>6352</v>
      </c>
      <c r="B3121" s="154" t="s">
        <v>6351</v>
      </c>
    </row>
    <row r="3122" spans="1:2" x14ac:dyDescent="0.2">
      <c r="A3122" s="153" t="s">
        <v>6354</v>
      </c>
      <c r="B3122" s="154" t="s">
        <v>6353</v>
      </c>
    </row>
    <row r="3123" spans="1:2" x14ac:dyDescent="0.2">
      <c r="A3123" s="153" t="s">
        <v>6356</v>
      </c>
      <c r="B3123" s="154" t="s">
        <v>6355</v>
      </c>
    </row>
    <row r="3124" spans="1:2" x14ac:dyDescent="0.2">
      <c r="A3124" s="153" t="s">
        <v>6358</v>
      </c>
      <c r="B3124" s="154" t="s">
        <v>6357</v>
      </c>
    </row>
    <row r="3125" spans="1:2" x14ac:dyDescent="0.2">
      <c r="A3125" s="153" t="s">
        <v>6360</v>
      </c>
      <c r="B3125" s="154" t="s">
        <v>6359</v>
      </c>
    </row>
    <row r="3126" spans="1:2" x14ac:dyDescent="0.2">
      <c r="A3126" s="153" t="s">
        <v>6362</v>
      </c>
      <c r="B3126" s="154" t="s">
        <v>6361</v>
      </c>
    </row>
    <row r="3127" spans="1:2" x14ac:dyDescent="0.2">
      <c r="A3127" s="153" t="s">
        <v>6364</v>
      </c>
      <c r="B3127" s="154" t="s">
        <v>6363</v>
      </c>
    </row>
    <row r="3128" spans="1:2" x14ac:dyDescent="0.2">
      <c r="A3128" s="153" t="s">
        <v>6366</v>
      </c>
      <c r="B3128" s="154" t="s">
        <v>6365</v>
      </c>
    </row>
    <row r="3129" spans="1:2" x14ac:dyDescent="0.2">
      <c r="A3129" s="153" t="s">
        <v>6368</v>
      </c>
      <c r="B3129" s="154" t="s">
        <v>6367</v>
      </c>
    </row>
    <row r="3130" spans="1:2" x14ac:dyDescent="0.2">
      <c r="A3130" s="153" t="s">
        <v>6370</v>
      </c>
      <c r="B3130" s="154" t="s">
        <v>6369</v>
      </c>
    </row>
    <row r="3131" spans="1:2" x14ac:dyDescent="0.2">
      <c r="A3131" s="153" t="s">
        <v>6372</v>
      </c>
      <c r="B3131" s="154" t="s">
        <v>6371</v>
      </c>
    </row>
    <row r="3132" spans="1:2" x14ac:dyDescent="0.2">
      <c r="A3132" s="153" t="s">
        <v>6374</v>
      </c>
      <c r="B3132" s="154" t="s">
        <v>6373</v>
      </c>
    </row>
    <row r="3133" spans="1:2" x14ac:dyDescent="0.2">
      <c r="A3133" s="153" t="s">
        <v>6376</v>
      </c>
      <c r="B3133" s="154" t="s">
        <v>6375</v>
      </c>
    </row>
    <row r="3134" spans="1:2" x14ac:dyDescent="0.2">
      <c r="A3134" s="153" t="s">
        <v>6378</v>
      </c>
      <c r="B3134" s="154" t="s">
        <v>6377</v>
      </c>
    </row>
    <row r="3135" spans="1:2" x14ac:dyDescent="0.2">
      <c r="A3135" s="153" t="s">
        <v>6380</v>
      </c>
      <c r="B3135" s="154" t="s">
        <v>6379</v>
      </c>
    </row>
    <row r="3136" spans="1:2" x14ac:dyDescent="0.2">
      <c r="A3136" s="153" t="s">
        <v>6382</v>
      </c>
      <c r="B3136" s="154" t="s">
        <v>6381</v>
      </c>
    </row>
    <row r="3137" spans="1:2" x14ac:dyDescent="0.2">
      <c r="A3137" s="153" t="s">
        <v>6384</v>
      </c>
      <c r="B3137" s="154" t="s">
        <v>6383</v>
      </c>
    </row>
    <row r="3138" spans="1:2" x14ac:dyDescent="0.2">
      <c r="A3138" s="153" t="s">
        <v>6386</v>
      </c>
      <c r="B3138" s="154" t="s">
        <v>6385</v>
      </c>
    </row>
    <row r="3139" spans="1:2" x14ac:dyDescent="0.2">
      <c r="A3139" s="153" t="s">
        <v>6388</v>
      </c>
      <c r="B3139" s="154" t="s">
        <v>6387</v>
      </c>
    </row>
    <row r="3140" spans="1:2" x14ac:dyDescent="0.2">
      <c r="A3140" s="153" t="s">
        <v>6390</v>
      </c>
      <c r="B3140" s="154" t="s">
        <v>6389</v>
      </c>
    </row>
    <row r="3141" spans="1:2" x14ac:dyDescent="0.2">
      <c r="A3141" s="153" t="s">
        <v>6392</v>
      </c>
      <c r="B3141" s="154" t="s">
        <v>6391</v>
      </c>
    </row>
    <row r="3142" spans="1:2" x14ac:dyDescent="0.2">
      <c r="A3142" s="153" t="s">
        <v>6394</v>
      </c>
      <c r="B3142" s="154" t="s">
        <v>6393</v>
      </c>
    </row>
    <row r="3143" spans="1:2" x14ac:dyDescent="0.2">
      <c r="A3143" s="153" t="s">
        <v>6396</v>
      </c>
      <c r="B3143" s="154" t="s">
        <v>6395</v>
      </c>
    </row>
    <row r="3144" spans="1:2" x14ac:dyDescent="0.2">
      <c r="A3144" s="153" t="s">
        <v>6398</v>
      </c>
      <c r="B3144" s="154" t="s">
        <v>6397</v>
      </c>
    </row>
    <row r="3145" spans="1:2" x14ac:dyDescent="0.2">
      <c r="A3145" s="153" t="s">
        <v>6400</v>
      </c>
      <c r="B3145" s="154" t="s">
        <v>6399</v>
      </c>
    </row>
    <row r="3146" spans="1:2" x14ac:dyDescent="0.2">
      <c r="A3146" s="153" t="s">
        <v>6402</v>
      </c>
      <c r="B3146" s="154" t="s">
        <v>6401</v>
      </c>
    </row>
    <row r="3147" spans="1:2" x14ac:dyDescent="0.2">
      <c r="A3147" s="153" t="s">
        <v>6404</v>
      </c>
      <c r="B3147" s="154" t="s">
        <v>6403</v>
      </c>
    </row>
    <row r="3148" spans="1:2" x14ac:dyDescent="0.2">
      <c r="A3148" s="153" t="s">
        <v>6406</v>
      </c>
      <c r="B3148" s="154" t="s">
        <v>6405</v>
      </c>
    </row>
    <row r="3149" spans="1:2" x14ac:dyDescent="0.2">
      <c r="A3149" s="153" t="s">
        <v>1065</v>
      </c>
      <c r="B3149" s="154" t="s">
        <v>6407</v>
      </c>
    </row>
    <row r="3150" spans="1:2" x14ac:dyDescent="0.2">
      <c r="A3150" s="153" t="s">
        <v>6409</v>
      </c>
      <c r="B3150" s="154" t="s">
        <v>6408</v>
      </c>
    </row>
    <row r="3151" spans="1:2" x14ac:dyDescent="0.2">
      <c r="A3151" s="153" t="s">
        <v>6411</v>
      </c>
      <c r="B3151" s="154" t="s">
        <v>6410</v>
      </c>
    </row>
    <row r="3152" spans="1:2" x14ac:dyDescent="0.2">
      <c r="A3152" s="153" t="s">
        <v>1065</v>
      </c>
      <c r="B3152" s="154" t="s">
        <v>6412</v>
      </c>
    </row>
    <row r="3153" spans="1:2" x14ac:dyDescent="0.2">
      <c r="A3153" s="153" t="s">
        <v>6414</v>
      </c>
      <c r="B3153" s="154" t="s">
        <v>6413</v>
      </c>
    </row>
    <row r="3154" spans="1:2" x14ac:dyDescent="0.2">
      <c r="A3154" s="153" t="s">
        <v>6416</v>
      </c>
      <c r="B3154" s="154" t="s">
        <v>6415</v>
      </c>
    </row>
    <row r="3155" spans="1:2" x14ac:dyDescent="0.2">
      <c r="A3155" s="153" t="s">
        <v>6418</v>
      </c>
      <c r="B3155" s="154" t="s">
        <v>6417</v>
      </c>
    </row>
    <row r="3156" spans="1:2" x14ac:dyDescent="0.2">
      <c r="A3156" s="153" t="s">
        <v>6420</v>
      </c>
      <c r="B3156" s="154" t="s">
        <v>6419</v>
      </c>
    </row>
    <row r="3157" spans="1:2" x14ac:dyDescent="0.2">
      <c r="A3157" s="153" t="s">
        <v>6422</v>
      </c>
      <c r="B3157" s="154" t="s">
        <v>6421</v>
      </c>
    </row>
    <row r="3158" spans="1:2" x14ac:dyDescent="0.2">
      <c r="A3158" s="153" t="s">
        <v>6424</v>
      </c>
      <c r="B3158" s="154" t="s">
        <v>6423</v>
      </c>
    </row>
    <row r="3159" spans="1:2" x14ac:dyDescent="0.2">
      <c r="A3159" s="153" t="s">
        <v>6426</v>
      </c>
      <c r="B3159" s="154" t="s">
        <v>6425</v>
      </c>
    </row>
    <row r="3160" spans="1:2" x14ac:dyDescent="0.2">
      <c r="A3160" s="153" t="s">
        <v>6428</v>
      </c>
      <c r="B3160" s="154" t="s">
        <v>6427</v>
      </c>
    </row>
    <row r="3161" spans="1:2" x14ac:dyDescent="0.2">
      <c r="A3161" s="153" t="s">
        <v>6430</v>
      </c>
      <c r="B3161" s="154" t="s">
        <v>6429</v>
      </c>
    </row>
    <row r="3162" spans="1:2" x14ac:dyDescent="0.2">
      <c r="A3162" s="153" t="s">
        <v>6432</v>
      </c>
      <c r="B3162" s="154" t="s">
        <v>6431</v>
      </c>
    </row>
    <row r="3163" spans="1:2" x14ac:dyDescent="0.2">
      <c r="A3163" s="153" t="s">
        <v>6434</v>
      </c>
      <c r="B3163" s="154" t="s">
        <v>6433</v>
      </c>
    </row>
    <row r="3164" spans="1:2" x14ac:dyDescent="0.2">
      <c r="A3164" s="153" t="s">
        <v>6436</v>
      </c>
      <c r="B3164" s="154" t="s">
        <v>6435</v>
      </c>
    </row>
    <row r="3165" spans="1:2" x14ac:dyDescent="0.2">
      <c r="A3165" s="153" t="s">
        <v>1065</v>
      </c>
      <c r="B3165" s="154" t="s">
        <v>6437</v>
      </c>
    </row>
    <row r="3166" spans="1:2" x14ac:dyDescent="0.2">
      <c r="A3166" s="153" t="s">
        <v>1065</v>
      </c>
      <c r="B3166" s="154" t="s">
        <v>6438</v>
      </c>
    </row>
    <row r="3167" spans="1:2" x14ac:dyDescent="0.2">
      <c r="A3167" s="153" t="s">
        <v>6440</v>
      </c>
      <c r="B3167" s="154" t="s">
        <v>6439</v>
      </c>
    </row>
    <row r="3168" spans="1:2" x14ac:dyDescent="0.2">
      <c r="A3168" s="153" t="s">
        <v>6442</v>
      </c>
      <c r="B3168" s="154" t="s">
        <v>6441</v>
      </c>
    </row>
    <row r="3169" spans="1:2" x14ac:dyDescent="0.2">
      <c r="A3169" s="153" t="s">
        <v>6444</v>
      </c>
      <c r="B3169" s="154" t="s">
        <v>6443</v>
      </c>
    </row>
    <row r="3170" spans="1:2" x14ac:dyDescent="0.2">
      <c r="A3170" s="153" t="s">
        <v>6446</v>
      </c>
      <c r="B3170" s="154" t="s">
        <v>6445</v>
      </c>
    </row>
    <row r="3171" spans="1:2" x14ac:dyDescent="0.2">
      <c r="A3171" s="153" t="s">
        <v>6448</v>
      </c>
      <c r="B3171" s="154" t="s">
        <v>6447</v>
      </c>
    </row>
    <row r="3172" spans="1:2" x14ac:dyDescent="0.2">
      <c r="A3172" s="153" t="s">
        <v>6450</v>
      </c>
      <c r="B3172" s="154" t="s">
        <v>6449</v>
      </c>
    </row>
    <row r="3173" spans="1:2" x14ac:dyDescent="0.2">
      <c r="A3173" s="153" t="s">
        <v>6452</v>
      </c>
      <c r="B3173" s="154" t="s">
        <v>6451</v>
      </c>
    </row>
    <row r="3174" spans="1:2" x14ac:dyDescent="0.2">
      <c r="A3174" s="153" t="s">
        <v>6454</v>
      </c>
      <c r="B3174" s="154" t="s">
        <v>6453</v>
      </c>
    </row>
    <row r="3175" spans="1:2" x14ac:dyDescent="0.2">
      <c r="A3175" s="153" t="s">
        <v>6456</v>
      </c>
      <c r="B3175" s="154" t="s">
        <v>6455</v>
      </c>
    </row>
    <row r="3176" spans="1:2" x14ac:dyDescent="0.2">
      <c r="A3176" s="153" t="s">
        <v>6458</v>
      </c>
      <c r="B3176" s="154" t="s">
        <v>6457</v>
      </c>
    </row>
    <row r="3177" spans="1:2" x14ac:dyDescent="0.2">
      <c r="A3177" s="153" t="s">
        <v>6460</v>
      </c>
      <c r="B3177" s="154" t="s">
        <v>6459</v>
      </c>
    </row>
    <row r="3178" spans="1:2" x14ac:dyDescent="0.2">
      <c r="A3178" s="153" t="s">
        <v>6462</v>
      </c>
      <c r="B3178" s="154" t="s">
        <v>6461</v>
      </c>
    </row>
    <row r="3179" spans="1:2" x14ac:dyDescent="0.2">
      <c r="A3179" s="153" t="s">
        <v>6464</v>
      </c>
      <c r="B3179" s="154" t="s">
        <v>6463</v>
      </c>
    </row>
    <row r="3180" spans="1:2" x14ac:dyDescent="0.2">
      <c r="A3180" s="153" t="s">
        <v>6466</v>
      </c>
      <c r="B3180" s="154" t="s">
        <v>6465</v>
      </c>
    </row>
    <row r="3181" spans="1:2" x14ac:dyDescent="0.2">
      <c r="A3181" s="153" t="s">
        <v>6468</v>
      </c>
      <c r="B3181" s="154" t="s">
        <v>6467</v>
      </c>
    </row>
    <row r="3182" spans="1:2" x14ac:dyDescent="0.2">
      <c r="A3182" s="153" t="s">
        <v>6470</v>
      </c>
      <c r="B3182" s="154" t="s">
        <v>6469</v>
      </c>
    </row>
    <row r="3183" spans="1:2" x14ac:dyDescent="0.2">
      <c r="A3183" s="153" t="s">
        <v>6472</v>
      </c>
      <c r="B3183" s="154" t="s">
        <v>6471</v>
      </c>
    </row>
    <row r="3184" spans="1:2" x14ac:dyDescent="0.2">
      <c r="A3184" s="153" t="s">
        <v>6474</v>
      </c>
      <c r="B3184" s="154" t="s">
        <v>6473</v>
      </c>
    </row>
    <row r="3185" spans="1:2" x14ac:dyDescent="0.2">
      <c r="A3185" s="153" t="s">
        <v>6476</v>
      </c>
      <c r="B3185" s="154" t="s">
        <v>6475</v>
      </c>
    </row>
    <row r="3186" spans="1:2" x14ac:dyDescent="0.2">
      <c r="A3186" s="153" t="s">
        <v>6478</v>
      </c>
      <c r="B3186" s="154" t="s">
        <v>6477</v>
      </c>
    </row>
    <row r="3187" spans="1:2" x14ac:dyDescent="0.2">
      <c r="A3187" s="153" t="s">
        <v>6480</v>
      </c>
      <c r="B3187" s="154" t="s">
        <v>6479</v>
      </c>
    </row>
    <row r="3188" spans="1:2" x14ac:dyDescent="0.2">
      <c r="A3188" s="153" t="s">
        <v>6482</v>
      </c>
      <c r="B3188" s="154" t="s">
        <v>6481</v>
      </c>
    </row>
    <row r="3189" spans="1:2" x14ac:dyDescent="0.2">
      <c r="A3189" s="153" t="s">
        <v>6484</v>
      </c>
      <c r="B3189" s="154" t="s">
        <v>6483</v>
      </c>
    </row>
    <row r="3190" spans="1:2" x14ac:dyDescent="0.2">
      <c r="A3190" s="153" t="s">
        <v>6486</v>
      </c>
      <c r="B3190" s="154" t="s">
        <v>6485</v>
      </c>
    </row>
    <row r="3191" spans="1:2" x14ac:dyDescent="0.2">
      <c r="A3191" s="153" t="s">
        <v>6488</v>
      </c>
      <c r="B3191" s="154" t="s">
        <v>6487</v>
      </c>
    </row>
    <row r="3192" spans="1:2" x14ac:dyDescent="0.2">
      <c r="A3192" s="153" t="s">
        <v>6490</v>
      </c>
      <c r="B3192" s="154" t="s">
        <v>6489</v>
      </c>
    </row>
    <row r="3193" spans="1:2" x14ac:dyDescent="0.2">
      <c r="A3193" s="153" t="s">
        <v>6492</v>
      </c>
      <c r="B3193" s="154" t="s">
        <v>6491</v>
      </c>
    </row>
    <row r="3194" spans="1:2" x14ac:dyDescent="0.2">
      <c r="A3194" s="153" t="s">
        <v>6494</v>
      </c>
      <c r="B3194" s="154" t="s">
        <v>6493</v>
      </c>
    </row>
    <row r="3195" spans="1:2" x14ac:dyDescent="0.2">
      <c r="A3195" s="153" t="s">
        <v>6496</v>
      </c>
      <c r="B3195" s="154" t="s">
        <v>6495</v>
      </c>
    </row>
    <row r="3196" spans="1:2" x14ac:dyDescent="0.2">
      <c r="A3196" s="153" t="s">
        <v>6498</v>
      </c>
      <c r="B3196" s="154" t="s">
        <v>6497</v>
      </c>
    </row>
    <row r="3197" spans="1:2" x14ac:dyDescent="0.2">
      <c r="A3197" s="153" t="s">
        <v>6500</v>
      </c>
      <c r="B3197" s="154" t="s">
        <v>6499</v>
      </c>
    </row>
    <row r="3198" spans="1:2" x14ac:dyDescent="0.2">
      <c r="A3198" s="153" t="s">
        <v>6502</v>
      </c>
      <c r="B3198" s="154" t="s">
        <v>6501</v>
      </c>
    </row>
    <row r="3199" spans="1:2" x14ac:dyDescent="0.2">
      <c r="A3199" s="153" t="s">
        <v>6504</v>
      </c>
      <c r="B3199" s="154" t="s">
        <v>6503</v>
      </c>
    </row>
    <row r="3200" spans="1:2" x14ac:dyDescent="0.2">
      <c r="A3200" s="153" t="s">
        <v>6506</v>
      </c>
      <c r="B3200" s="154" t="s">
        <v>6505</v>
      </c>
    </row>
    <row r="3201" spans="1:2" x14ac:dyDescent="0.2">
      <c r="A3201" s="153" t="s">
        <v>6508</v>
      </c>
      <c r="B3201" s="154" t="s">
        <v>6507</v>
      </c>
    </row>
    <row r="3202" spans="1:2" x14ac:dyDescent="0.2">
      <c r="A3202" s="153" t="s">
        <v>6510</v>
      </c>
      <c r="B3202" s="154" t="s">
        <v>6509</v>
      </c>
    </row>
    <row r="3203" spans="1:2" x14ac:dyDescent="0.2">
      <c r="A3203" s="153" t="s">
        <v>6512</v>
      </c>
      <c r="B3203" s="154" t="s">
        <v>6511</v>
      </c>
    </row>
    <row r="3204" spans="1:2" x14ac:dyDescent="0.2">
      <c r="A3204" s="153" t="s">
        <v>6514</v>
      </c>
      <c r="B3204" s="154" t="s">
        <v>6513</v>
      </c>
    </row>
    <row r="3205" spans="1:2" x14ac:dyDescent="0.2">
      <c r="A3205" s="153" t="s">
        <v>6516</v>
      </c>
      <c r="B3205" s="154" t="s">
        <v>6515</v>
      </c>
    </row>
    <row r="3206" spans="1:2" ht="28.5" x14ac:dyDescent="0.2">
      <c r="A3206" s="153" t="s">
        <v>6518</v>
      </c>
      <c r="B3206" s="154" t="s">
        <v>6517</v>
      </c>
    </row>
    <row r="3207" spans="1:2" x14ac:dyDescent="0.2">
      <c r="A3207" s="153" t="s">
        <v>6520</v>
      </c>
      <c r="B3207" s="154" t="s">
        <v>6519</v>
      </c>
    </row>
    <row r="3208" spans="1:2" x14ac:dyDescent="0.2">
      <c r="A3208" s="153" t="s">
        <v>6522</v>
      </c>
      <c r="B3208" s="154" t="s">
        <v>6521</v>
      </c>
    </row>
    <row r="3209" spans="1:2" x14ac:dyDescent="0.2">
      <c r="A3209" s="153" t="s">
        <v>6524</v>
      </c>
      <c r="B3209" s="154" t="s">
        <v>6523</v>
      </c>
    </row>
    <row r="3210" spans="1:2" x14ac:dyDescent="0.2">
      <c r="A3210" s="153" t="s">
        <v>6526</v>
      </c>
      <c r="B3210" s="154" t="s">
        <v>6525</v>
      </c>
    </row>
    <row r="3211" spans="1:2" x14ac:dyDescent="0.2">
      <c r="A3211" s="153" t="s">
        <v>6528</v>
      </c>
      <c r="B3211" s="154" t="s">
        <v>6527</v>
      </c>
    </row>
    <row r="3212" spans="1:2" x14ac:dyDescent="0.2">
      <c r="A3212" s="153" t="s">
        <v>6530</v>
      </c>
      <c r="B3212" s="154" t="s">
        <v>6529</v>
      </c>
    </row>
    <row r="3213" spans="1:2" x14ac:dyDescent="0.2">
      <c r="A3213" s="153" t="s">
        <v>6532</v>
      </c>
      <c r="B3213" s="154" t="s">
        <v>6531</v>
      </c>
    </row>
    <row r="3214" spans="1:2" x14ac:dyDescent="0.2">
      <c r="A3214" s="153" t="s">
        <v>6534</v>
      </c>
      <c r="B3214" s="154" t="s">
        <v>6533</v>
      </c>
    </row>
    <row r="3215" spans="1:2" x14ac:dyDescent="0.2">
      <c r="A3215" s="153" t="s">
        <v>6536</v>
      </c>
      <c r="B3215" s="154" t="s">
        <v>6535</v>
      </c>
    </row>
    <row r="3216" spans="1:2" x14ac:dyDescent="0.2">
      <c r="A3216" s="153" t="s">
        <v>6538</v>
      </c>
      <c r="B3216" s="154" t="s">
        <v>6537</v>
      </c>
    </row>
    <row r="3217" spans="1:2" x14ac:dyDescent="0.2">
      <c r="A3217" s="153" t="s">
        <v>6540</v>
      </c>
      <c r="B3217" s="154" t="s">
        <v>6539</v>
      </c>
    </row>
    <row r="3218" spans="1:2" x14ac:dyDescent="0.2">
      <c r="A3218" s="153" t="s">
        <v>6542</v>
      </c>
      <c r="B3218" s="154" t="s">
        <v>6541</v>
      </c>
    </row>
    <row r="3219" spans="1:2" x14ac:dyDescent="0.2">
      <c r="A3219" s="153" t="s">
        <v>6544</v>
      </c>
      <c r="B3219" s="154" t="s">
        <v>6543</v>
      </c>
    </row>
    <row r="3220" spans="1:2" x14ac:dyDescent="0.2">
      <c r="A3220" s="153" t="s">
        <v>6546</v>
      </c>
      <c r="B3220" s="154" t="s">
        <v>6545</v>
      </c>
    </row>
    <row r="3221" spans="1:2" x14ac:dyDescent="0.2">
      <c r="A3221" s="153" t="s">
        <v>6548</v>
      </c>
      <c r="B3221" s="154" t="s">
        <v>6547</v>
      </c>
    </row>
    <row r="3222" spans="1:2" x14ac:dyDescent="0.2">
      <c r="A3222" s="153" t="s">
        <v>6550</v>
      </c>
      <c r="B3222" s="154" t="s">
        <v>6549</v>
      </c>
    </row>
    <row r="3223" spans="1:2" x14ac:dyDescent="0.2">
      <c r="A3223" s="153" t="s">
        <v>6552</v>
      </c>
      <c r="B3223" s="154" t="s">
        <v>6551</v>
      </c>
    </row>
    <row r="3224" spans="1:2" x14ac:dyDescent="0.2">
      <c r="A3224" s="153" t="s">
        <v>6554</v>
      </c>
      <c r="B3224" s="154" t="s">
        <v>6553</v>
      </c>
    </row>
    <row r="3225" spans="1:2" x14ac:dyDescent="0.2">
      <c r="A3225" s="153" t="s">
        <v>6556</v>
      </c>
      <c r="B3225" s="154" t="s">
        <v>6555</v>
      </c>
    </row>
    <row r="3226" spans="1:2" x14ac:dyDescent="0.2">
      <c r="A3226" s="153" t="s">
        <v>6558</v>
      </c>
      <c r="B3226" s="154" t="s">
        <v>6557</v>
      </c>
    </row>
    <row r="3227" spans="1:2" x14ac:dyDescent="0.2">
      <c r="A3227" s="153" t="s">
        <v>6560</v>
      </c>
      <c r="B3227" s="154" t="s">
        <v>6559</v>
      </c>
    </row>
    <row r="3228" spans="1:2" x14ac:dyDescent="0.2">
      <c r="A3228" s="153" t="s">
        <v>6562</v>
      </c>
      <c r="B3228" s="154" t="s">
        <v>6561</v>
      </c>
    </row>
    <row r="3229" spans="1:2" x14ac:dyDescent="0.2">
      <c r="A3229" s="153" t="s">
        <v>6564</v>
      </c>
      <c r="B3229" s="154" t="s">
        <v>6563</v>
      </c>
    </row>
    <row r="3230" spans="1:2" x14ac:dyDescent="0.2">
      <c r="A3230" s="153" t="s">
        <v>6566</v>
      </c>
      <c r="B3230" s="154" t="s">
        <v>6565</v>
      </c>
    </row>
    <row r="3231" spans="1:2" x14ac:dyDescent="0.2">
      <c r="A3231" s="153" t="s">
        <v>6568</v>
      </c>
      <c r="B3231" s="154" t="s">
        <v>6567</v>
      </c>
    </row>
    <row r="3232" spans="1:2" x14ac:dyDescent="0.2">
      <c r="A3232" s="153" t="s">
        <v>6570</v>
      </c>
      <c r="B3232" s="154" t="s">
        <v>6569</v>
      </c>
    </row>
    <row r="3233" spans="1:2" x14ac:dyDescent="0.2">
      <c r="A3233" s="153" t="s">
        <v>6572</v>
      </c>
      <c r="B3233" s="154" t="s">
        <v>6571</v>
      </c>
    </row>
    <row r="3234" spans="1:2" x14ac:dyDescent="0.2">
      <c r="A3234" s="153" t="s">
        <v>6574</v>
      </c>
      <c r="B3234" s="154" t="s">
        <v>6573</v>
      </c>
    </row>
    <row r="3235" spans="1:2" x14ac:dyDescent="0.2">
      <c r="A3235" s="153" t="s">
        <v>6576</v>
      </c>
      <c r="B3235" s="154" t="s">
        <v>6575</v>
      </c>
    </row>
    <row r="3236" spans="1:2" x14ac:dyDescent="0.2">
      <c r="A3236" s="153" t="s">
        <v>6578</v>
      </c>
      <c r="B3236" s="154" t="s">
        <v>6577</v>
      </c>
    </row>
    <row r="3237" spans="1:2" x14ac:dyDescent="0.2">
      <c r="A3237" s="153" t="s">
        <v>6580</v>
      </c>
      <c r="B3237" s="154" t="s">
        <v>6579</v>
      </c>
    </row>
    <row r="3238" spans="1:2" x14ac:dyDescent="0.2">
      <c r="A3238" s="153" t="s">
        <v>6582</v>
      </c>
      <c r="B3238" s="154" t="s">
        <v>6581</v>
      </c>
    </row>
    <row r="3239" spans="1:2" x14ac:dyDescent="0.2">
      <c r="A3239" s="153" t="s">
        <v>6584</v>
      </c>
      <c r="B3239" s="154" t="s">
        <v>6583</v>
      </c>
    </row>
    <row r="3240" spans="1:2" x14ac:dyDescent="0.2">
      <c r="A3240" s="153" t="s">
        <v>6586</v>
      </c>
      <c r="B3240" s="154" t="s">
        <v>6585</v>
      </c>
    </row>
    <row r="3241" spans="1:2" x14ac:dyDescent="0.2">
      <c r="A3241" s="153" t="s">
        <v>6588</v>
      </c>
      <c r="B3241" s="154" t="s">
        <v>6587</v>
      </c>
    </row>
    <row r="3242" spans="1:2" x14ac:dyDescent="0.2">
      <c r="A3242" s="153" t="s">
        <v>6590</v>
      </c>
      <c r="B3242" s="154" t="s">
        <v>6589</v>
      </c>
    </row>
    <row r="3243" spans="1:2" x14ac:dyDescent="0.2">
      <c r="A3243" s="153" t="s">
        <v>6592</v>
      </c>
      <c r="B3243" s="154" t="s">
        <v>6591</v>
      </c>
    </row>
    <row r="3244" spans="1:2" x14ac:dyDescent="0.2">
      <c r="A3244" s="153" t="s">
        <v>6594</v>
      </c>
      <c r="B3244" s="154" t="s">
        <v>6593</v>
      </c>
    </row>
    <row r="3245" spans="1:2" x14ac:dyDescent="0.2">
      <c r="A3245" s="153" t="s">
        <v>6596</v>
      </c>
      <c r="B3245" s="154" t="s">
        <v>6595</v>
      </c>
    </row>
    <row r="3246" spans="1:2" x14ac:dyDescent="0.2">
      <c r="A3246" s="153" t="s">
        <v>6598</v>
      </c>
      <c r="B3246" s="154" t="s">
        <v>6597</v>
      </c>
    </row>
    <row r="3247" spans="1:2" x14ac:dyDescent="0.2">
      <c r="A3247" s="153" t="s">
        <v>6600</v>
      </c>
      <c r="B3247" s="154" t="s">
        <v>6599</v>
      </c>
    </row>
    <row r="3248" spans="1:2" x14ac:dyDescent="0.2">
      <c r="A3248" s="153" t="s">
        <v>6602</v>
      </c>
      <c r="B3248" s="154" t="s">
        <v>6601</v>
      </c>
    </row>
    <row r="3249" spans="1:2" x14ac:dyDescent="0.2">
      <c r="A3249" s="153" t="s">
        <v>6604</v>
      </c>
      <c r="B3249" s="154" t="s">
        <v>6603</v>
      </c>
    </row>
    <row r="3250" spans="1:2" x14ac:dyDescent="0.2">
      <c r="A3250" s="153" t="s">
        <v>6606</v>
      </c>
      <c r="B3250" s="154" t="s">
        <v>6605</v>
      </c>
    </row>
    <row r="3251" spans="1:2" x14ac:dyDescent="0.2">
      <c r="A3251" s="153" t="s">
        <v>6608</v>
      </c>
      <c r="B3251" s="154" t="s">
        <v>6607</v>
      </c>
    </row>
    <row r="3252" spans="1:2" x14ac:dyDescent="0.2">
      <c r="A3252" s="153" t="s">
        <v>6610</v>
      </c>
      <c r="B3252" s="154" t="s">
        <v>6609</v>
      </c>
    </row>
    <row r="3253" spans="1:2" x14ac:dyDescent="0.2">
      <c r="A3253" s="153" t="s">
        <v>6612</v>
      </c>
      <c r="B3253" s="154" t="s">
        <v>6611</v>
      </c>
    </row>
    <row r="3254" spans="1:2" x14ac:dyDescent="0.2">
      <c r="A3254" s="153" t="s">
        <v>6614</v>
      </c>
      <c r="B3254" s="154" t="s">
        <v>6613</v>
      </c>
    </row>
    <row r="3255" spans="1:2" x14ac:dyDescent="0.2">
      <c r="A3255" s="153" t="s">
        <v>6616</v>
      </c>
      <c r="B3255" s="154" t="s">
        <v>6615</v>
      </c>
    </row>
    <row r="3256" spans="1:2" x14ac:dyDescent="0.2">
      <c r="A3256" s="153" t="s">
        <v>6618</v>
      </c>
      <c r="B3256" s="154" t="s">
        <v>6617</v>
      </c>
    </row>
    <row r="3257" spans="1:2" x14ac:dyDescent="0.2">
      <c r="A3257" s="153" t="s">
        <v>6620</v>
      </c>
      <c r="B3257" s="154" t="s">
        <v>6619</v>
      </c>
    </row>
    <row r="3258" spans="1:2" x14ac:dyDescent="0.2">
      <c r="A3258" s="153" t="s">
        <v>6622</v>
      </c>
      <c r="B3258" s="154" t="s">
        <v>6621</v>
      </c>
    </row>
    <row r="3259" spans="1:2" x14ac:dyDescent="0.2">
      <c r="A3259" s="153" t="s">
        <v>6624</v>
      </c>
      <c r="B3259" s="154" t="s">
        <v>6623</v>
      </c>
    </row>
    <row r="3260" spans="1:2" x14ac:dyDescent="0.2">
      <c r="A3260" s="153" t="s">
        <v>6626</v>
      </c>
      <c r="B3260" s="154" t="s">
        <v>6625</v>
      </c>
    </row>
    <row r="3261" spans="1:2" x14ac:dyDescent="0.2">
      <c r="A3261" s="153" t="s">
        <v>6628</v>
      </c>
      <c r="B3261" s="154" t="s">
        <v>6627</v>
      </c>
    </row>
    <row r="3262" spans="1:2" x14ac:dyDescent="0.2">
      <c r="A3262" s="153" t="s">
        <v>6630</v>
      </c>
      <c r="B3262" s="154" t="s">
        <v>6629</v>
      </c>
    </row>
    <row r="3263" spans="1:2" x14ac:dyDescent="0.2">
      <c r="A3263" s="153" t="s">
        <v>6632</v>
      </c>
      <c r="B3263" s="154" t="s">
        <v>6631</v>
      </c>
    </row>
    <row r="3264" spans="1:2" x14ac:dyDescent="0.2">
      <c r="A3264" s="153" t="s">
        <v>6634</v>
      </c>
      <c r="B3264" s="154" t="s">
        <v>6633</v>
      </c>
    </row>
    <row r="3265" spans="1:2" x14ac:dyDescent="0.2">
      <c r="A3265" s="153" t="s">
        <v>6636</v>
      </c>
      <c r="B3265" s="154" t="s">
        <v>6635</v>
      </c>
    </row>
    <row r="3266" spans="1:2" x14ac:dyDescent="0.2">
      <c r="A3266" s="153" t="s">
        <v>6638</v>
      </c>
      <c r="B3266" s="154" t="s">
        <v>6637</v>
      </c>
    </row>
    <row r="3267" spans="1:2" x14ac:dyDescent="0.2">
      <c r="A3267" s="153" t="s">
        <v>6640</v>
      </c>
      <c r="B3267" s="154" t="s">
        <v>6639</v>
      </c>
    </row>
    <row r="3268" spans="1:2" x14ac:dyDescent="0.2">
      <c r="A3268" s="153" t="s">
        <v>6642</v>
      </c>
      <c r="B3268" s="154" t="s">
        <v>6641</v>
      </c>
    </row>
    <row r="3269" spans="1:2" x14ac:dyDescent="0.2">
      <c r="A3269" s="153" t="s">
        <v>6644</v>
      </c>
      <c r="B3269" s="154" t="s">
        <v>6643</v>
      </c>
    </row>
    <row r="3270" spans="1:2" x14ac:dyDescent="0.2">
      <c r="A3270" s="153" t="s">
        <v>6646</v>
      </c>
      <c r="B3270" s="154" t="s">
        <v>6645</v>
      </c>
    </row>
    <row r="3271" spans="1:2" x14ac:dyDescent="0.2">
      <c r="A3271" s="153" t="s">
        <v>9867</v>
      </c>
      <c r="B3271" s="154" t="s">
        <v>6647</v>
      </c>
    </row>
    <row r="3272" spans="1:2" x14ac:dyDescent="0.2">
      <c r="A3272" s="153" t="s">
        <v>6649</v>
      </c>
      <c r="B3272" s="154" t="s">
        <v>6648</v>
      </c>
    </row>
    <row r="3273" spans="1:2" x14ac:dyDescent="0.2">
      <c r="A3273" s="153" t="s">
        <v>6651</v>
      </c>
      <c r="B3273" s="154" t="s">
        <v>6650</v>
      </c>
    </row>
    <row r="3274" spans="1:2" x14ac:dyDescent="0.2">
      <c r="A3274" s="153" t="s">
        <v>6653</v>
      </c>
      <c r="B3274" s="154" t="s">
        <v>6652</v>
      </c>
    </row>
    <row r="3275" spans="1:2" x14ac:dyDescent="0.2">
      <c r="A3275" s="153" t="s">
        <v>6655</v>
      </c>
      <c r="B3275" s="154" t="s">
        <v>6654</v>
      </c>
    </row>
    <row r="3276" spans="1:2" x14ac:dyDescent="0.2">
      <c r="A3276" s="153" t="s">
        <v>6657</v>
      </c>
      <c r="B3276" s="154" t="s">
        <v>6656</v>
      </c>
    </row>
    <row r="3277" spans="1:2" x14ac:dyDescent="0.2">
      <c r="A3277" s="153" t="s">
        <v>6659</v>
      </c>
      <c r="B3277" s="154" t="s">
        <v>6658</v>
      </c>
    </row>
    <row r="3278" spans="1:2" x14ac:dyDescent="0.2">
      <c r="A3278" s="153" t="s">
        <v>6661</v>
      </c>
      <c r="B3278" s="154" t="s">
        <v>6660</v>
      </c>
    </row>
    <row r="3279" spans="1:2" x14ac:dyDescent="0.2">
      <c r="A3279" s="153" t="s">
        <v>6663</v>
      </c>
      <c r="B3279" s="154" t="s">
        <v>6662</v>
      </c>
    </row>
    <row r="3280" spans="1:2" x14ac:dyDescent="0.2">
      <c r="A3280" s="153" t="s">
        <v>6665</v>
      </c>
      <c r="B3280" s="154" t="s">
        <v>6664</v>
      </c>
    </row>
    <row r="3281" spans="1:2" x14ac:dyDescent="0.2">
      <c r="A3281" s="153" t="s">
        <v>6667</v>
      </c>
      <c r="B3281" s="154" t="s">
        <v>6666</v>
      </c>
    </row>
    <row r="3282" spans="1:2" x14ac:dyDescent="0.2">
      <c r="A3282" s="153" t="s">
        <v>6669</v>
      </c>
      <c r="B3282" s="154" t="s">
        <v>6668</v>
      </c>
    </row>
    <row r="3283" spans="1:2" x14ac:dyDescent="0.2">
      <c r="A3283" s="153" t="s">
        <v>6671</v>
      </c>
      <c r="B3283" s="154" t="s">
        <v>6670</v>
      </c>
    </row>
    <row r="3284" spans="1:2" x14ac:dyDescent="0.2">
      <c r="A3284" s="153" t="s">
        <v>6673</v>
      </c>
      <c r="B3284" s="154" t="s">
        <v>6672</v>
      </c>
    </row>
    <row r="3285" spans="1:2" x14ac:dyDescent="0.2">
      <c r="A3285" s="153" t="s">
        <v>6675</v>
      </c>
      <c r="B3285" s="154" t="s">
        <v>6674</v>
      </c>
    </row>
    <row r="3286" spans="1:2" x14ac:dyDescent="0.2">
      <c r="A3286" s="153" t="s">
        <v>6677</v>
      </c>
      <c r="B3286" s="154" t="s">
        <v>6676</v>
      </c>
    </row>
    <row r="3287" spans="1:2" x14ac:dyDescent="0.2">
      <c r="A3287" s="153" t="s">
        <v>6679</v>
      </c>
      <c r="B3287" s="154" t="s">
        <v>6678</v>
      </c>
    </row>
    <row r="3288" spans="1:2" x14ac:dyDescent="0.2">
      <c r="A3288" s="153" t="s">
        <v>6681</v>
      </c>
      <c r="B3288" s="154" t="s">
        <v>6680</v>
      </c>
    </row>
    <row r="3289" spans="1:2" x14ac:dyDescent="0.2">
      <c r="A3289" s="153" t="s">
        <v>6683</v>
      </c>
      <c r="B3289" s="154" t="s">
        <v>6682</v>
      </c>
    </row>
    <row r="3290" spans="1:2" x14ac:dyDescent="0.2">
      <c r="A3290" s="153" t="s">
        <v>6685</v>
      </c>
      <c r="B3290" s="154" t="s">
        <v>6684</v>
      </c>
    </row>
    <row r="3291" spans="1:2" x14ac:dyDescent="0.2">
      <c r="A3291" s="153" t="s">
        <v>6687</v>
      </c>
      <c r="B3291" s="154" t="s">
        <v>6686</v>
      </c>
    </row>
    <row r="3292" spans="1:2" x14ac:dyDescent="0.2">
      <c r="A3292" s="153" t="s">
        <v>6689</v>
      </c>
      <c r="B3292" s="154" t="s">
        <v>6688</v>
      </c>
    </row>
    <row r="3293" spans="1:2" x14ac:dyDescent="0.2">
      <c r="A3293" s="153" t="s">
        <v>6691</v>
      </c>
      <c r="B3293" s="154" t="s">
        <v>6690</v>
      </c>
    </row>
    <row r="3294" spans="1:2" x14ac:dyDescent="0.2">
      <c r="A3294" s="153" t="s">
        <v>6693</v>
      </c>
      <c r="B3294" s="154" t="s">
        <v>6692</v>
      </c>
    </row>
    <row r="3295" spans="1:2" x14ac:dyDescent="0.2">
      <c r="A3295" s="153" t="s">
        <v>6695</v>
      </c>
      <c r="B3295" s="154" t="s">
        <v>6694</v>
      </c>
    </row>
    <row r="3296" spans="1:2" x14ac:dyDescent="0.2">
      <c r="A3296" s="153" t="s">
        <v>6697</v>
      </c>
      <c r="B3296" s="154" t="s">
        <v>6696</v>
      </c>
    </row>
    <row r="3297" spans="1:2" x14ac:dyDescent="0.2">
      <c r="A3297" s="153" t="s">
        <v>6699</v>
      </c>
      <c r="B3297" s="154" t="s">
        <v>6698</v>
      </c>
    </row>
    <row r="3298" spans="1:2" x14ac:dyDescent="0.2">
      <c r="A3298" s="153" t="s">
        <v>6701</v>
      </c>
      <c r="B3298" s="154" t="s">
        <v>6700</v>
      </c>
    </row>
    <row r="3299" spans="1:2" x14ac:dyDescent="0.2">
      <c r="A3299" s="153" t="s">
        <v>6703</v>
      </c>
      <c r="B3299" s="154" t="s">
        <v>6702</v>
      </c>
    </row>
    <row r="3300" spans="1:2" x14ac:dyDescent="0.2">
      <c r="A3300" s="153" t="s">
        <v>6705</v>
      </c>
      <c r="B3300" s="154" t="s">
        <v>6704</v>
      </c>
    </row>
    <row r="3301" spans="1:2" x14ac:dyDescent="0.2">
      <c r="A3301" s="153" t="s">
        <v>6707</v>
      </c>
      <c r="B3301" s="154" t="s">
        <v>6706</v>
      </c>
    </row>
    <row r="3302" spans="1:2" x14ac:dyDescent="0.2">
      <c r="A3302" s="153" t="s">
        <v>6709</v>
      </c>
      <c r="B3302" s="154" t="s">
        <v>6708</v>
      </c>
    </row>
    <row r="3303" spans="1:2" x14ac:dyDescent="0.2">
      <c r="A3303" s="153" t="s">
        <v>6711</v>
      </c>
      <c r="B3303" s="154" t="s">
        <v>6710</v>
      </c>
    </row>
    <row r="3304" spans="1:2" x14ac:dyDescent="0.2">
      <c r="A3304" s="153" t="s">
        <v>6713</v>
      </c>
      <c r="B3304" s="154" t="s">
        <v>6712</v>
      </c>
    </row>
    <row r="3305" spans="1:2" x14ac:dyDescent="0.2">
      <c r="A3305" s="153" t="s">
        <v>6715</v>
      </c>
      <c r="B3305" s="154" t="s">
        <v>6714</v>
      </c>
    </row>
    <row r="3306" spans="1:2" x14ac:dyDescent="0.2">
      <c r="A3306" s="153" t="s">
        <v>6717</v>
      </c>
      <c r="B3306" s="154" t="s">
        <v>6716</v>
      </c>
    </row>
    <row r="3307" spans="1:2" x14ac:dyDescent="0.2">
      <c r="A3307" s="153" t="s">
        <v>6719</v>
      </c>
      <c r="B3307" s="154" t="s">
        <v>6718</v>
      </c>
    </row>
    <row r="3308" spans="1:2" x14ac:dyDescent="0.2">
      <c r="A3308" s="153" t="s">
        <v>6721</v>
      </c>
      <c r="B3308" s="154" t="s">
        <v>6720</v>
      </c>
    </row>
    <row r="3309" spans="1:2" x14ac:dyDescent="0.2">
      <c r="A3309" s="153" t="s">
        <v>6723</v>
      </c>
      <c r="B3309" s="154" t="s">
        <v>6722</v>
      </c>
    </row>
    <row r="3310" spans="1:2" x14ac:dyDescent="0.2">
      <c r="A3310" s="153" t="s">
        <v>6725</v>
      </c>
      <c r="B3310" s="154" t="s">
        <v>6724</v>
      </c>
    </row>
    <row r="3311" spans="1:2" x14ac:dyDescent="0.2">
      <c r="A3311" s="153" t="s">
        <v>6727</v>
      </c>
      <c r="B3311" s="154" t="s">
        <v>6726</v>
      </c>
    </row>
    <row r="3312" spans="1:2" x14ac:dyDescent="0.2">
      <c r="A3312" s="153" t="s">
        <v>6729</v>
      </c>
      <c r="B3312" s="154" t="s">
        <v>6728</v>
      </c>
    </row>
    <row r="3313" spans="1:2" x14ac:dyDescent="0.2">
      <c r="A3313" s="153" t="s">
        <v>6731</v>
      </c>
      <c r="B3313" s="154" t="s">
        <v>6730</v>
      </c>
    </row>
    <row r="3314" spans="1:2" x14ac:dyDescent="0.2">
      <c r="A3314" s="153" t="s">
        <v>6733</v>
      </c>
      <c r="B3314" s="154" t="s">
        <v>6732</v>
      </c>
    </row>
    <row r="3315" spans="1:2" x14ac:dyDescent="0.2">
      <c r="A3315" s="153" t="s">
        <v>6735</v>
      </c>
      <c r="B3315" s="154" t="s">
        <v>6734</v>
      </c>
    </row>
    <row r="3316" spans="1:2" x14ac:dyDescent="0.2">
      <c r="A3316" s="153" t="s">
        <v>6737</v>
      </c>
      <c r="B3316" s="154" t="s">
        <v>6736</v>
      </c>
    </row>
    <row r="3317" spans="1:2" x14ac:dyDescent="0.2">
      <c r="A3317" s="153" t="s">
        <v>6739</v>
      </c>
      <c r="B3317" s="154" t="s">
        <v>6738</v>
      </c>
    </row>
    <row r="3318" spans="1:2" x14ac:dyDescent="0.2">
      <c r="A3318" s="153" t="s">
        <v>6741</v>
      </c>
      <c r="B3318" s="154" t="s">
        <v>6740</v>
      </c>
    </row>
    <row r="3319" spans="1:2" x14ac:dyDescent="0.2">
      <c r="A3319" s="153" t="s">
        <v>6743</v>
      </c>
      <c r="B3319" s="154" t="s">
        <v>6742</v>
      </c>
    </row>
    <row r="3320" spans="1:2" x14ac:dyDescent="0.2">
      <c r="A3320" s="153" t="s">
        <v>6745</v>
      </c>
      <c r="B3320" s="154" t="s">
        <v>6744</v>
      </c>
    </row>
    <row r="3321" spans="1:2" x14ac:dyDescent="0.2">
      <c r="A3321" s="153" t="s">
        <v>6747</v>
      </c>
      <c r="B3321" s="154" t="s">
        <v>6746</v>
      </c>
    </row>
    <row r="3322" spans="1:2" x14ac:dyDescent="0.2">
      <c r="A3322" s="153" t="s">
        <v>6749</v>
      </c>
      <c r="B3322" s="154" t="s">
        <v>6748</v>
      </c>
    </row>
    <row r="3323" spans="1:2" x14ac:dyDescent="0.2">
      <c r="A3323" s="153" t="s">
        <v>6751</v>
      </c>
      <c r="B3323" s="154" t="s">
        <v>6750</v>
      </c>
    </row>
    <row r="3324" spans="1:2" x14ac:dyDescent="0.2">
      <c r="A3324" s="153" t="s">
        <v>6753</v>
      </c>
      <c r="B3324" s="154" t="s">
        <v>6752</v>
      </c>
    </row>
    <row r="3325" spans="1:2" x14ac:dyDescent="0.2">
      <c r="A3325" s="153" t="s">
        <v>6755</v>
      </c>
      <c r="B3325" s="154" t="s">
        <v>6754</v>
      </c>
    </row>
    <row r="3326" spans="1:2" x14ac:dyDescent="0.2">
      <c r="A3326" s="153" t="s">
        <v>6757</v>
      </c>
      <c r="B3326" s="154" t="s">
        <v>6756</v>
      </c>
    </row>
    <row r="3327" spans="1:2" x14ac:dyDescent="0.2">
      <c r="A3327" s="153" t="s">
        <v>6759</v>
      </c>
      <c r="B3327" s="154" t="s">
        <v>6758</v>
      </c>
    </row>
    <row r="3328" spans="1:2" x14ac:dyDescent="0.2">
      <c r="A3328" s="153" t="s">
        <v>6761</v>
      </c>
      <c r="B3328" s="154" t="s">
        <v>6760</v>
      </c>
    </row>
    <row r="3329" spans="1:2" x14ac:dyDescent="0.2">
      <c r="A3329" s="153" t="s">
        <v>6763</v>
      </c>
      <c r="B3329" s="154" t="s">
        <v>6762</v>
      </c>
    </row>
    <row r="3330" spans="1:2" x14ac:dyDescent="0.2">
      <c r="A3330" s="153" t="s">
        <v>6765</v>
      </c>
      <c r="B3330" s="154" t="s">
        <v>6764</v>
      </c>
    </row>
    <row r="3331" spans="1:2" x14ac:dyDescent="0.2">
      <c r="A3331" s="153" t="s">
        <v>6767</v>
      </c>
      <c r="B3331" s="154" t="s">
        <v>6766</v>
      </c>
    </row>
    <row r="3332" spans="1:2" x14ac:dyDescent="0.2">
      <c r="A3332" s="153" t="s">
        <v>6769</v>
      </c>
      <c r="B3332" s="154" t="s">
        <v>6768</v>
      </c>
    </row>
    <row r="3333" spans="1:2" x14ac:dyDescent="0.2">
      <c r="A3333" s="153" t="s">
        <v>6771</v>
      </c>
      <c r="B3333" s="154" t="s">
        <v>6770</v>
      </c>
    </row>
    <row r="3334" spans="1:2" x14ac:dyDescent="0.2">
      <c r="A3334" s="153" t="s">
        <v>6773</v>
      </c>
      <c r="B3334" s="154" t="s">
        <v>6772</v>
      </c>
    </row>
    <row r="3335" spans="1:2" x14ac:dyDescent="0.2">
      <c r="A3335" s="153" t="s">
        <v>6775</v>
      </c>
      <c r="B3335" s="154" t="s">
        <v>6774</v>
      </c>
    </row>
    <row r="3336" spans="1:2" x14ac:dyDescent="0.2">
      <c r="A3336" s="153" t="s">
        <v>6777</v>
      </c>
      <c r="B3336" s="154" t="s">
        <v>6776</v>
      </c>
    </row>
    <row r="3337" spans="1:2" x14ac:dyDescent="0.2">
      <c r="A3337" s="153" t="s">
        <v>6779</v>
      </c>
      <c r="B3337" s="154" t="s">
        <v>6778</v>
      </c>
    </row>
    <row r="3338" spans="1:2" x14ac:dyDescent="0.2">
      <c r="A3338" s="153" t="s">
        <v>6781</v>
      </c>
      <c r="B3338" s="154" t="s">
        <v>6780</v>
      </c>
    </row>
    <row r="3339" spans="1:2" x14ac:dyDescent="0.2">
      <c r="A3339" s="153" t="s">
        <v>6783</v>
      </c>
      <c r="B3339" s="154" t="s">
        <v>6782</v>
      </c>
    </row>
    <row r="3340" spans="1:2" x14ac:dyDescent="0.2">
      <c r="A3340" s="153" t="s">
        <v>6785</v>
      </c>
      <c r="B3340" s="154" t="s">
        <v>6784</v>
      </c>
    </row>
    <row r="3341" spans="1:2" x14ac:dyDescent="0.2">
      <c r="A3341" s="153" t="s">
        <v>6787</v>
      </c>
      <c r="B3341" s="154" t="s">
        <v>6786</v>
      </c>
    </row>
    <row r="3342" spans="1:2" x14ac:dyDescent="0.2">
      <c r="A3342" s="153" t="s">
        <v>6789</v>
      </c>
      <c r="B3342" s="154" t="s">
        <v>6788</v>
      </c>
    </row>
    <row r="3343" spans="1:2" x14ac:dyDescent="0.2">
      <c r="A3343" s="153" t="s">
        <v>6791</v>
      </c>
      <c r="B3343" s="154" t="s">
        <v>6790</v>
      </c>
    </row>
    <row r="3344" spans="1:2" x14ac:dyDescent="0.2">
      <c r="A3344" s="153" t="s">
        <v>6793</v>
      </c>
      <c r="B3344" s="154" t="s">
        <v>6792</v>
      </c>
    </row>
    <row r="3345" spans="1:2" x14ac:dyDescent="0.2">
      <c r="A3345" s="153" t="s">
        <v>6795</v>
      </c>
      <c r="B3345" s="154" t="s">
        <v>6794</v>
      </c>
    </row>
    <row r="3346" spans="1:2" x14ac:dyDescent="0.2">
      <c r="A3346" s="153" t="s">
        <v>6797</v>
      </c>
      <c r="B3346" s="154" t="s">
        <v>6796</v>
      </c>
    </row>
    <row r="3347" spans="1:2" x14ac:dyDescent="0.2">
      <c r="A3347" s="153" t="s">
        <v>6799</v>
      </c>
      <c r="B3347" s="154" t="s">
        <v>6798</v>
      </c>
    </row>
    <row r="3348" spans="1:2" x14ac:dyDescent="0.2">
      <c r="A3348" s="153" t="s">
        <v>6801</v>
      </c>
      <c r="B3348" s="154" t="s">
        <v>6800</v>
      </c>
    </row>
    <row r="3349" spans="1:2" x14ac:dyDescent="0.2">
      <c r="A3349" s="153" t="s">
        <v>6803</v>
      </c>
      <c r="B3349" s="154" t="s">
        <v>6802</v>
      </c>
    </row>
    <row r="3350" spans="1:2" x14ac:dyDescent="0.2">
      <c r="A3350" s="153" t="s">
        <v>6805</v>
      </c>
      <c r="B3350" s="154" t="s">
        <v>6804</v>
      </c>
    </row>
    <row r="3351" spans="1:2" x14ac:dyDescent="0.2">
      <c r="A3351" s="153" t="s">
        <v>6807</v>
      </c>
      <c r="B3351" s="154" t="s">
        <v>6806</v>
      </c>
    </row>
    <row r="3352" spans="1:2" x14ac:dyDescent="0.2">
      <c r="A3352" s="153" t="s">
        <v>6809</v>
      </c>
      <c r="B3352" s="154" t="s">
        <v>6808</v>
      </c>
    </row>
    <row r="3353" spans="1:2" x14ac:dyDescent="0.2">
      <c r="A3353" s="153" t="s">
        <v>6811</v>
      </c>
      <c r="B3353" s="154" t="s">
        <v>6810</v>
      </c>
    </row>
    <row r="3354" spans="1:2" x14ac:dyDescent="0.2">
      <c r="A3354" s="153" t="s">
        <v>6813</v>
      </c>
      <c r="B3354" s="154" t="s">
        <v>6812</v>
      </c>
    </row>
    <row r="3355" spans="1:2" x14ac:dyDescent="0.2">
      <c r="A3355" s="153" t="s">
        <v>6815</v>
      </c>
      <c r="B3355" s="154" t="s">
        <v>6814</v>
      </c>
    </row>
    <row r="3356" spans="1:2" x14ac:dyDescent="0.2">
      <c r="A3356" s="153" t="s">
        <v>6817</v>
      </c>
      <c r="B3356" s="154" t="s">
        <v>6816</v>
      </c>
    </row>
    <row r="3357" spans="1:2" x14ac:dyDescent="0.2">
      <c r="A3357" s="153" t="s">
        <v>6819</v>
      </c>
      <c r="B3357" s="154" t="s">
        <v>6818</v>
      </c>
    </row>
    <row r="3358" spans="1:2" x14ac:dyDescent="0.2">
      <c r="A3358" s="153" t="s">
        <v>6821</v>
      </c>
      <c r="B3358" s="154" t="s">
        <v>6820</v>
      </c>
    </row>
    <row r="3359" spans="1:2" x14ac:dyDescent="0.2">
      <c r="A3359" s="153" t="s">
        <v>6823</v>
      </c>
      <c r="B3359" s="154" t="s">
        <v>6822</v>
      </c>
    </row>
    <row r="3360" spans="1:2" x14ac:dyDescent="0.2">
      <c r="A3360" s="153" t="s">
        <v>6825</v>
      </c>
      <c r="B3360" s="154" t="s">
        <v>6824</v>
      </c>
    </row>
    <row r="3361" spans="1:2" x14ac:dyDescent="0.2">
      <c r="A3361" s="153" t="s">
        <v>6827</v>
      </c>
      <c r="B3361" s="154" t="s">
        <v>6826</v>
      </c>
    </row>
    <row r="3362" spans="1:2" x14ac:dyDescent="0.2">
      <c r="A3362" s="153" t="s">
        <v>6829</v>
      </c>
      <c r="B3362" s="154" t="s">
        <v>6828</v>
      </c>
    </row>
    <row r="3363" spans="1:2" x14ac:dyDescent="0.2">
      <c r="A3363" s="153" t="s">
        <v>6831</v>
      </c>
      <c r="B3363" s="154" t="s">
        <v>6830</v>
      </c>
    </row>
    <row r="3364" spans="1:2" x14ac:dyDescent="0.2">
      <c r="A3364" s="153" t="s">
        <v>6833</v>
      </c>
      <c r="B3364" s="154" t="s">
        <v>6832</v>
      </c>
    </row>
    <row r="3365" spans="1:2" x14ac:dyDescent="0.2">
      <c r="A3365" s="153" t="s">
        <v>6835</v>
      </c>
      <c r="B3365" s="154" t="s">
        <v>6834</v>
      </c>
    </row>
    <row r="3366" spans="1:2" x14ac:dyDescent="0.2">
      <c r="A3366" s="153" t="s">
        <v>6837</v>
      </c>
      <c r="B3366" s="154" t="s">
        <v>6836</v>
      </c>
    </row>
    <row r="3367" spans="1:2" x14ac:dyDescent="0.2">
      <c r="A3367" s="153" t="s">
        <v>6839</v>
      </c>
      <c r="B3367" s="154" t="s">
        <v>6838</v>
      </c>
    </row>
    <row r="3368" spans="1:2" x14ac:dyDescent="0.2">
      <c r="A3368" s="153" t="s">
        <v>6841</v>
      </c>
      <c r="B3368" s="154" t="s">
        <v>6840</v>
      </c>
    </row>
    <row r="3369" spans="1:2" x14ac:dyDescent="0.2">
      <c r="A3369" s="153" t="s">
        <v>9868</v>
      </c>
      <c r="B3369" s="154" t="s">
        <v>6842</v>
      </c>
    </row>
    <row r="3370" spans="1:2" x14ac:dyDescent="0.2">
      <c r="A3370" s="153" t="s">
        <v>6844</v>
      </c>
      <c r="B3370" s="154" t="s">
        <v>6843</v>
      </c>
    </row>
    <row r="3371" spans="1:2" x14ac:dyDescent="0.2">
      <c r="A3371" s="153" t="s">
        <v>6846</v>
      </c>
      <c r="B3371" s="154" t="s">
        <v>6845</v>
      </c>
    </row>
    <row r="3372" spans="1:2" x14ac:dyDescent="0.2">
      <c r="A3372" s="153" t="s">
        <v>6848</v>
      </c>
      <c r="B3372" s="154" t="s">
        <v>6847</v>
      </c>
    </row>
    <row r="3373" spans="1:2" x14ac:dyDescent="0.2">
      <c r="A3373" s="153" t="s">
        <v>6850</v>
      </c>
      <c r="B3373" s="154" t="s">
        <v>6849</v>
      </c>
    </row>
    <row r="3374" spans="1:2" x14ac:dyDescent="0.2">
      <c r="A3374" s="153" t="s">
        <v>6852</v>
      </c>
      <c r="B3374" s="154" t="s">
        <v>6851</v>
      </c>
    </row>
    <row r="3375" spans="1:2" x14ac:dyDescent="0.2">
      <c r="A3375" s="153" t="s">
        <v>6854</v>
      </c>
      <c r="B3375" s="154" t="s">
        <v>6853</v>
      </c>
    </row>
    <row r="3376" spans="1:2" x14ac:dyDescent="0.2">
      <c r="A3376" s="153" t="s">
        <v>6856</v>
      </c>
      <c r="B3376" s="154" t="s">
        <v>6855</v>
      </c>
    </row>
    <row r="3377" spans="1:2" x14ac:dyDescent="0.2">
      <c r="A3377" s="153" t="s">
        <v>6858</v>
      </c>
      <c r="B3377" s="154" t="s">
        <v>6857</v>
      </c>
    </row>
    <row r="3378" spans="1:2" x14ac:dyDescent="0.2">
      <c r="A3378" s="153" t="s">
        <v>6860</v>
      </c>
      <c r="B3378" s="154" t="s">
        <v>6859</v>
      </c>
    </row>
    <row r="3379" spans="1:2" x14ac:dyDescent="0.2">
      <c r="A3379" s="153" t="s">
        <v>6862</v>
      </c>
      <c r="B3379" s="154" t="s">
        <v>6861</v>
      </c>
    </row>
    <row r="3380" spans="1:2" x14ac:dyDescent="0.2">
      <c r="A3380" s="153" t="s">
        <v>6864</v>
      </c>
      <c r="B3380" s="154" t="s">
        <v>6863</v>
      </c>
    </row>
    <row r="3381" spans="1:2" x14ac:dyDescent="0.2">
      <c r="A3381" s="153" t="s">
        <v>6866</v>
      </c>
      <c r="B3381" s="154" t="s">
        <v>6865</v>
      </c>
    </row>
    <row r="3382" spans="1:2" x14ac:dyDescent="0.2">
      <c r="A3382" s="153" t="s">
        <v>9869</v>
      </c>
      <c r="B3382" s="154" t="s">
        <v>6867</v>
      </c>
    </row>
    <row r="3383" spans="1:2" x14ac:dyDescent="0.2">
      <c r="A3383" s="153" t="s">
        <v>6869</v>
      </c>
      <c r="B3383" s="154" t="s">
        <v>6868</v>
      </c>
    </row>
    <row r="3384" spans="1:2" x14ac:dyDescent="0.2">
      <c r="A3384" s="153" t="s">
        <v>6871</v>
      </c>
      <c r="B3384" s="154" t="s">
        <v>6870</v>
      </c>
    </row>
    <row r="3385" spans="1:2" x14ac:dyDescent="0.2">
      <c r="A3385" s="153" t="s">
        <v>6873</v>
      </c>
      <c r="B3385" s="154" t="s">
        <v>6872</v>
      </c>
    </row>
    <row r="3386" spans="1:2" x14ac:dyDescent="0.2">
      <c r="A3386" s="153" t="s">
        <v>6875</v>
      </c>
      <c r="B3386" s="154" t="s">
        <v>6874</v>
      </c>
    </row>
    <row r="3387" spans="1:2" x14ac:dyDescent="0.2">
      <c r="A3387" s="153" t="s">
        <v>6877</v>
      </c>
      <c r="B3387" s="154" t="s">
        <v>6876</v>
      </c>
    </row>
    <row r="3388" spans="1:2" x14ac:dyDescent="0.2">
      <c r="A3388" s="153" t="s">
        <v>6879</v>
      </c>
      <c r="B3388" s="154" t="s">
        <v>6878</v>
      </c>
    </row>
    <row r="3389" spans="1:2" x14ac:dyDescent="0.2">
      <c r="A3389" s="153" t="s">
        <v>6881</v>
      </c>
      <c r="B3389" s="154" t="s">
        <v>6880</v>
      </c>
    </row>
    <row r="3390" spans="1:2" x14ac:dyDescent="0.2">
      <c r="A3390" s="153" t="s">
        <v>6883</v>
      </c>
      <c r="B3390" s="154" t="s">
        <v>6882</v>
      </c>
    </row>
    <row r="3391" spans="1:2" ht="28.5" x14ac:dyDescent="0.2">
      <c r="A3391" s="153" t="s">
        <v>6885</v>
      </c>
      <c r="B3391" s="154" t="s">
        <v>6884</v>
      </c>
    </row>
    <row r="3392" spans="1:2" x14ac:dyDescent="0.2">
      <c r="A3392" s="153" t="s">
        <v>6887</v>
      </c>
      <c r="B3392" s="154" t="s">
        <v>6886</v>
      </c>
    </row>
    <row r="3393" spans="1:2" x14ac:dyDescent="0.2">
      <c r="A3393" s="153" t="s">
        <v>6889</v>
      </c>
      <c r="B3393" s="154" t="s">
        <v>6888</v>
      </c>
    </row>
    <row r="3394" spans="1:2" x14ac:dyDescent="0.2">
      <c r="A3394" s="153" t="s">
        <v>6891</v>
      </c>
      <c r="B3394" s="154" t="s">
        <v>6890</v>
      </c>
    </row>
    <row r="3395" spans="1:2" x14ac:dyDescent="0.2">
      <c r="A3395" s="153" t="s">
        <v>6893</v>
      </c>
      <c r="B3395" s="154" t="s">
        <v>6892</v>
      </c>
    </row>
    <row r="3396" spans="1:2" x14ac:dyDescent="0.2">
      <c r="A3396" s="153" t="s">
        <v>6895</v>
      </c>
      <c r="B3396" s="154" t="s">
        <v>6894</v>
      </c>
    </row>
    <row r="3397" spans="1:2" ht="28.5" x14ac:dyDescent="0.2">
      <c r="A3397" s="153" t="s">
        <v>6897</v>
      </c>
      <c r="B3397" s="154" t="s">
        <v>6896</v>
      </c>
    </row>
    <row r="3398" spans="1:2" x14ac:dyDescent="0.2">
      <c r="A3398" s="153" t="s">
        <v>6899</v>
      </c>
      <c r="B3398" s="154" t="s">
        <v>6898</v>
      </c>
    </row>
    <row r="3399" spans="1:2" x14ac:dyDescent="0.2">
      <c r="A3399" s="153" t="s">
        <v>6901</v>
      </c>
      <c r="B3399" s="154" t="s">
        <v>6900</v>
      </c>
    </row>
    <row r="3400" spans="1:2" x14ac:dyDescent="0.2">
      <c r="A3400" s="153" t="s">
        <v>6903</v>
      </c>
      <c r="B3400" s="154" t="s">
        <v>6902</v>
      </c>
    </row>
    <row r="3401" spans="1:2" x14ac:dyDescent="0.2">
      <c r="A3401" s="153" t="s">
        <v>6905</v>
      </c>
      <c r="B3401" s="154" t="s">
        <v>6904</v>
      </c>
    </row>
    <row r="3402" spans="1:2" x14ac:dyDescent="0.2">
      <c r="A3402" s="153" t="s">
        <v>6907</v>
      </c>
      <c r="B3402" s="154" t="s">
        <v>6906</v>
      </c>
    </row>
    <row r="3403" spans="1:2" x14ac:dyDescent="0.2">
      <c r="A3403" s="153" t="s">
        <v>6909</v>
      </c>
      <c r="B3403" s="154" t="s">
        <v>6908</v>
      </c>
    </row>
    <row r="3404" spans="1:2" x14ac:dyDescent="0.2">
      <c r="A3404" s="153" t="s">
        <v>6911</v>
      </c>
      <c r="B3404" s="154" t="s">
        <v>6910</v>
      </c>
    </row>
    <row r="3405" spans="1:2" x14ac:dyDescent="0.2">
      <c r="A3405" s="153" t="s">
        <v>6913</v>
      </c>
      <c r="B3405" s="154" t="s">
        <v>6912</v>
      </c>
    </row>
    <row r="3406" spans="1:2" x14ac:dyDescent="0.2">
      <c r="A3406" s="153" t="s">
        <v>6915</v>
      </c>
      <c r="B3406" s="154" t="s">
        <v>6914</v>
      </c>
    </row>
    <row r="3407" spans="1:2" x14ac:dyDescent="0.2">
      <c r="A3407" s="153" t="s">
        <v>6917</v>
      </c>
      <c r="B3407" s="154" t="s">
        <v>6916</v>
      </c>
    </row>
    <row r="3408" spans="1:2" x14ac:dyDescent="0.2">
      <c r="A3408" s="153" t="s">
        <v>6919</v>
      </c>
      <c r="B3408" s="154" t="s">
        <v>6918</v>
      </c>
    </row>
    <row r="3409" spans="1:2" x14ac:dyDescent="0.2">
      <c r="A3409" s="153" t="s">
        <v>6921</v>
      </c>
      <c r="B3409" s="154" t="s">
        <v>6920</v>
      </c>
    </row>
    <row r="3410" spans="1:2" x14ac:dyDescent="0.2">
      <c r="A3410" s="153" t="s">
        <v>6923</v>
      </c>
      <c r="B3410" s="154" t="s">
        <v>6922</v>
      </c>
    </row>
    <row r="3411" spans="1:2" x14ac:dyDescent="0.2">
      <c r="A3411" s="153" t="s">
        <v>6925</v>
      </c>
      <c r="B3411" s="154" t="s">
        <v>6924</v>
      </c>
    </row>
    <row r="3412" spans="1:2" x14ac:dyDescent="0.2">
      <c r="A3412" s="153" t="s">
        <v>6927</v>
      </c>
      <c r="B3412" s="154" t="s">
        <v>6926</v>
      </c>
    </row>
    <row r="3413" spans="1:2" x14ac:dyDescent="0.2">
      <c r="A3413" s="153" t="s">
        <v>6929</v>
      </c>
      <c r="B3413" s="154" t="s">
        <v>6928</v>
      </c>
    </row>
    <row r="3414" spans="1:2" x14ac:dyDescent="0.2">
      <c r="A3414" s="153" t="s">
        <v>6931</v>
      </c>
      <c r="B3414" s="154" t="s">
        <v>6930</v>
      </c>
    </row>
    <row r="3415" spans="1:2" x14ac:dyDescent="0.2">
      <c r="A3415" s="153" t="s">
        <v>6933</v>
      </c>
      <c r="B3415" s="154" t="s">
        <v>6932</v>
      </c>
    </row>
    <row r="3416" spans="1:2" x14ac:dyDescent="0.2">
      <c r="A3416" s="153" t="s">
        <v>6935</v>
      </c>
      <c r="B3416" s="154" t="s">
        <v>6934</v>
      </c>
    </row>
    <row r="3417" spans="1:2" x14ac:dyDescent="0.2">
      <c r="A3417" s="153" t="s">
        <v>6937</v>
      </c>
      <c r="B3417" s="154" t="s">
        <v>6936</v>
      </c>
    </row>
    <row r="3418" spans="1:2" x14ac:dyDescent="0.2">
      <c r="A3418" s="153" t="s">
        <v>6939</v>
      </c>
      <c r="B3418" s="154" t="s">
        <v>6938</v>
      </c>
    </row>
    <row r="3419" spans="1:2" x14ac:dyDescent="0.2">
      <c r="A3419" s="153" t="s">
        <v>6941</v>
      </c>
      <c r="B3419" s="154" t="s">
        <v>6940</v>
      </c>
    </row>
    <row r="3420" spans="1:2" x14ac:dyDescent="0.2">
      <c r="A3420" s="153" t="s">
        <v>6943</v>
      </c>
      <c r="B3420" s="154" t="s">
        <v>6942</v>
      </c>
    </row>
    <row r="3421" spans="1:2" x14ac:dyDescent="0.2">
      <c r="A3421" s="153" t="s">
        <v>6945</v>
      </c>
      <c r="B3421" s="154" t="s">
        <v>6944</v>
      </c>
    </row>
    <row r="3422" spans="1:2" x14ac:dyDescent="0.2">
      <c r="A3422" s="153" t="s">
        <v>1065</v>
      </c>
      <c r="B3422" s="154" t="s">
        <v>6946</v>
      </c>
    </row>
    <row r="3423" spans="1:2" x14ac:dyDescent="0.2">
      <c r="A3423" s="153" t="s">
        <v>6948</v>
      </c>
      <c r="B3423" s="154" t="s">
        <v>6947</v>
      </c>
    </row>
    <row r="3424" spans="1:2" x14ac:dyDescent="0.2">
      <c r="A3424" s="153" t="s">
        <v>6950</v>
      </c>
      <c r="B3424" s="154" t="s">
        <v>6949</v>
      </c>
    </row>
    <row r="3425" spans="1:2" x14ac:dyDescent="0.2">
      <c r="A3425" s="153" t="s">
        <v>6952</v>
      </c>
      <c r="B3425" s="154" t="s">
        <v>6951</v>
      </c>
    </row>
    <row r="3426" spans="1:2" x14ac:dyDescent="0.2">
      <c r="A3426" s="153" t="s">
        <v>6954</v>
      </c>
      <c r="B3426" s="154" t="s">
        <v>6953</v>
      </c>
    </row>
    <row r="3427" spans="1:2" x14ac:dyDescent="0.2">
      <c r="A3427" s="153" t="s">
        <v>6956</v>
      </c>
      <c r="B3427" s="154" t="s">
        <v>6955</v>
      </c>
    </row>
    <row r="3428" spans="1:2" x14ac:dyDescent="0.2">
      <c r="A3428" s="153" t="s">
        <v>6958</v>
      </c>
      <c r="B3428" s="154" t="s">
        <v>6957</v>
      </c>
    </row>
    <row r="3429" spans="1:2" x14ac:dyDescent="0.2">
      <c r="A3429" s="153" t="s">
        <v>6960</v>
      </c>
      <c r="B3429" s="154" t="s">
        <v>6959</v>
      </c>
    </row>
    <row r="3430" spans="1:2" x14ac:dyDescent="0.2">
      <c r="A3430" s="153" t="s">
        <v>6962</v>
      </c>
      <c r="B3430" s="154" t="s">
        <v>6961</v>
      </c>
    </row>
    <row r="3431" spans="1:2" x14ac:dyDescent="0.2">
      <c r="A3431" s="153" t="s">
        <v>6964</v>
      </c>
      <c r="B3431" s="154" t="s">
        <v>6963</v>
      </c>
    </row>
    <row r="3432" spans="1:2" x14ac:dyDescent="0.2">
      <c r="A3432" s="153" t="s">
        <v>6966</v>
      </c>
      <c r="B3432" s="154" t="s">
        <v>6965</v>
      </c>
    </row>
    <row r="3433" spans="1:2" x14ac:dyDescent="0.2">
      <c r="A3433" s="153" t="s">
        <v>6968</v>
      </c>
      <c r="B3433" s="154" t="s">
        <v>6967</v>
      </c>
    </row>
    <row r="3434" spans="1:2" x14ac:dyDescent="0.2">
      <c r="A3434" s="153" t="s">
        <v>6970</v>
      </c>
      <c r="B3434" s="154" t="s">
        <v>6969</v>
      </c>
    </row>
    <row r="3435" spans="1:2" x14ac:dyDescent="0.2">
      <c r="A3435" s="153" t="s">
        <v>6972</v>
      </c>
      <c r="B3435" s="154" t="s">
        <v>6971</v>
      </c>
    </row>
    <row r="3436" spans="1:2" x14ac:dyDescent="0.2">
      <c r="A3436" s="153" t="s">
        <v>6974</v>
      </c>
      <c r="B3436" s="154" t="s">
        <v>6973</v>
      </c>
    </row>
    <row r="3437" spans="1:2" x14ac:dyDescent="0.2">
      <c r="A3437" s="153" t="s">
        <v>1065</v>
      </c>
      <c r="B3437" s="154" t="s">
        <v>6975</v>
      </c>
    </row>
    <row r="3438" spans="1:2" x14ac:dyDescent="0.2">
      <c r="A3438" s="153" t="s">
        <v>6977</v>
      </c>
      <c r="B3438" s="154" t="s">
        <v>6976</v>
      </c>
    </row>
    <row r="3439" spans="1:2" x14ac:dyDescent="0.2">
      <c r="A3439" s="153" t="s">
        <v>6979</v>
      </c>
      <c r="B3439" s="154" t="s">
        <v>6978</v>
      </c>
    </row>
    <row r="3440" spans="1:2" x14ac:dyDescent="0.2">
      <c r="A3440" s="153" t="s">
        <v>6981</v>
      </c>
      <c r="B3440" s="154" t="s">
        <v>6980</v>
      </c>
    </row>
    <row r="3441" spans="1:2" x14ac:dyDescent="0.2">
      <c r="A3441" s="153" t="s">
        <v>6983</v>
      </c>
      <c r="B3441" s="154" t="s">
        <v>6982</v>
      </c>
    </row>
    <row r="3442" spans="1:2" x14ac:dyDescent="0.2">
      <c r="A3442" s="153" t="s">
        <v>9870</v>
      </c>
      <c r="B3442" s="154" t="s">
        <v>6984</v>
      </c>
    </row>
    <row r="3443" spans="1:2" x14ac:dyDescent="0.2">
      <c r="A3443" s="153" t="s">
        <v>6986</v>
      </c>
      <c r="B3443" s="154" t="s">
        <v>6985</v>
      </c>
    </row>
    <row r="3444" spans="1:2" x14ac:dyDescent="0.2">
      <c r="A3444" s="153" t="s">
        <v>1065</v>
      </c>
      <c r="B3444" s="154" t="s">
        <v>6987</v>
      </c>
    </row>
    <row r="3445" spans="1:2" x14ac:dyDescent="0.2">
      <c r="A3445" s="153" t="s">
        <v>6989</v>
      </c>
      <c r="B3445" s="154" t="s">
        <v>6988</v>
      </c>
    </row>
    <row r="3446" spans="1:2" x14ac:dyDescent="0.2">
      <c r="A3446" s="153" t="s">
        <v>6991</v>
      </c>
      <c r="B3446" s="154" t="s">
        <v>6990</v>
      </c>
    </row>
    <row r="3447" spans="1:2" x14ac:dyDescent="0.2">
      <c r="A3447" s="153" t="s">
        <v>6993</v>
      </c>
      <c r="B3447" s="154" t="s">
        <v>6992</v>
      </c>
    </row>
    <row r="3448" spans="1:2" x14ac:dyDescent="0.2">
      <c r="A3448" s="153" t="s">
        <v>6995</v>
      </c>
      <c r="B3448" s="154" t="s">
        <v>6994</v>
      </c>
    </row>
    <row r="3449" spans="1:2" x14ac:dyDescent="0.2">
      <c r="A3449" s="153" t="s">
        <v>6997</v>
      </c>
      <c r="B3449" s="154" t="s">
        <v>6996</v>
      </c>
    </row>
    <row r="3450" spans="1:2" x14ac:dyDescent="0.2">
      <c r="A3450" s="153" t="s">
        <v>6999</v>
      </c>
      <c r="B3450" s="154" t="s">
        <v>6998</v>
      </c>
    </row>
    <row r="3451" spans="1:2" x14ac:dyDescent="0.2">
      <c r="A3451" s="153" t="s">
        <v>7001</v>
      </c>
      <c r="B3451" s="154" t="s">
        <v>7000</v>
      </c>
    </row>
    <row r="3452" spans="1:2" x14ac:dyDescent="0.2">
      <c r="A3452" s="153" t="s">
        <v>7003</v>
      </c>
      <c r="B3452" s="154" t="s">
        <v>7002</v>
      </c>
    </row>
    <row r="3453" spans="1:2" x14ac:dyDescent="0.2">
      <c r="A3453" s="153" t="s">
        <v>1065</v>
      </c>
      <c r="B3453" s="154" t="s">
        <v>7004</v>
      </c>
    </row>
    <row r="3454" spans="1:2" x14ac:dyDescent="0.2">
      <c r="A3454" s="153" t="s">
        <v>1065</v>
      </c>
      <c r="B3454" s="154" t="s">
        <v>7005</v>
      </c>
    </row>
    <row r="3455" spans="1:2" x14ac:dyDescent="0.2">
      <c r="A3455" s="153" t="s">
        <v>1065</v>
      </c>
      <c r="B3455" s="154" t="s">
        <v>7006</v>
      </c>
    </row>
    <row r="3456" spans="1:2" x14ac:dyDescent="0.2">
      <c r="A3456" s="153" t="s">
        <v>1065</v>
      </c>
      <c r="B3456" s="154" t="s">
        <v>9914</v>
      </c>
    </row>
    <row r="3457" spans="1:2" x14ac:dyDescent="0.2">
      <c r="A3457" s="153" t="s">
        <v>1065</v>
      </c>
      <c r="B3457" s="154" t="s">
        <v>7007</v>
      </c>
    </row>
    <row r="3458" spans="1:2" x14ac:dyDescent="0.2">
      <c r="A3458" s="153" t="s">
        <v>7009</v>
      </c>
      <c r="B3458" s="154" t="s">
        <v>7008</v>
      </c>
    </row>
    <row r="3459" spans="1:2" x14ac:dyDescent="0.2">
      <c r="A3459" s="153" t="s">
        <v>7011</v>
      </c>
      <c r="B3459" s="154" t="s">
        <v>7010</v>
      </c>
    </row>
    <row r="3460" spans="1:2" x14ac:dyDescent="0.2">
      <c r="A3460" s="153" t="s">
        <v>7013</v>
      </c>
      <c r="B3460" s="154" t="s">
        <v>7012</v>
      </c>
    </row>
    <row r="3461" spans="1:2" x14ac:dyDescent="0.2">
      <c r="A3461" s="153" t="s">
        <v>7015</v>
      </c>
      <c r="B3461" s="154" t="s">
        <v>7014</v>
      </c>
    </row>
    <row r="3462" spans="1:2" x14ac:dyDescent="0.2">
      <c r="A3462" s="153" t="s">
        <v>7017</v>
      </c>
      <c r="B3462" s="154" t="s">
        <v>7016</v>
      </c>
    </row>
    <row r="3463" spans="1:2" x14ac:dyDescent="0.2">
      <c r="A3463" s="153" t="s">
        <v>7019</v>
      </c>
      <c r="B3463" s="154" t="s">
        <v>7018</v>
      </c>
    </row>
    <row r="3464" spans="1:2" x14ac:dyDescent="0.2">
      <c r="A3464" s="153" t="s">
        <v>7021</v>
      </c>
      <c r="B3464" s="154" t="s">
        <v>7020</v>
      </c>
    </row>
    <row r="3465" spans="1:2" x14ac:dyDescent="0.2">
      <c r="A3465" s="153" t="s">
        <v>7023</v>
      </c>
      <c r="B3465" s="154" t="s">
        <v>7022</v>
      </c>
    </row>
    <row r="3466" spans="1:2" x14ac:dyDescent="0.2">
      <c r="A3466" s="153" t="s">
        <v>1065</v>
      </c>
      <c r="B3466" s="154" t="s">
        <v>7024</v>
      </c>
    </row>
    <row r="3467" spans="1:2" x14ac:dyDescent="0.2">
      <c r="A3467" s="153" t="s">
        <v>7026</v>
      </c>
      <c r="B3467" s="154" t="s">
        <v>7025</v>
      </c>
    </row>
    <row r="3468" spans="1:2" x14ac:dyDescent="0.2">
      <c r="A3468" s="153" t="s">
        <v>7028</v>
      </c>
      <c r="B3468" s="154" t="s">
        <v>7027</v>
      </c>
    </row>
    <row r="3469" spans="1:2" x14ac:dyDescent="0.2">
      <c r="A3469" s="153" t="s">
        <v>7030</v>
      </c>
      <c r="B3469" s="154" t="s">
        <v>7029</v>
      </c>
    </row>
    <row r="3470" spans="1:2" x14ac:dyDescent="0.2">
      <c r="A3470" s="153" t="s">
        <v>7032</v>
      </c>
      <c r="B3470" s="154" t="s">
        <v>7031</v>
      </c>
    </row>
    <row r="3471" spans="1:2" x14ac:dyDescent="0.2">
      <c r="A3471" s="153" t="s">
        <v>7034</v>
      </c>
      <c r="B3471" s="154" t="s">
        <v>7033</v>
      </c>
    </row>
    <row r="3472" spans="1:2" x14ac:dyDescent="0.2">
      <c r="A3472" s="153" t="s">
        <v>7036</v>
      </c>
      <c r="B3472" s="154" t="s">
        <v>7035</v>
      </c>
    </row>
    <row r="3473" spans="1:2" x14ac:dyDescent="0.2">
      <c r="A3473" s="153" t="s">
        <v>7038</v>
      </c>
      <c r="B3473" s="154" t="s">
        <v>7037</v>
      </c>
    </row>
    <row r="3474" spans="1:2" x14ac:dyDescent="0.2">
      <c r="A3474" s="153" t="s">
        <v>1065</v>
      </c>
      <c r="B3474" s="154" t="s">
        <v>9915</v>
      </c>
    </row>
    <row r="3475" spans="1:2" x14ac:dyDescent="0.2">
      <c r="A3475" s="153" t="s">
        <v>7040</v>
      </c>
      <c r="B3475" s="154" t="s">
        <v>7039</v>
      </c>
    </row>
    <row r="3476" spans="1:2" x14ac:dyDescent="0.2">
      <c r="A3476" s="153" t="s">
        <v>7042</v>
      </c>
      <c r="B3476" s="154" t="s">
        <v>7041</v>
      </c>
    </row>
    <row r="3477" spans="1:2" x14ac:dyDescent="0.2">
      <c r="A3477" s="153" t="s">
        <v>7044</v>
      </c>
      <c r="B3477" s="154" t="s">
        <v>7043</v>
      </c>
    </row>
    <row r="3478" spans="1:2" x14ac:dyDescent="0.2">
      <c r="A3478" s="153" t="s">
        <v>1065</v>
      </c>
      <c r="B3478" s="154" t="s">
        <v>7045</v>
      </c>
    </row>
    <row r="3479" spans="1:2" x14ac:dyDescent="0.2">
      <c r="A3479" s="153" t="s">
        <v>7047</v>
      </c>
      <c r="B3479" s="154" t="s">
        <v>7046</v>
      </c>
    </row>
    <row r="3480" spans="1:2" x14ac:dyDescent="0.2">
      <c r="A3480" s="153" t="s">
        <v>1065</v>
      </c>
      <c r="B3480" s="154" t="s">
        <v>9916</v>
      </c>
    </row>
    <row r="3481" spans="1:2" x14ac:dyDescent="0.2">
      <c r="A3481" s="153" t="s">
        <v>7049</v>
      </c>
      <c r="B3481" s="154" t="s">
        <v>7048</v>
      </c>
    </row>
    <row r="3482" spans="1:2" x14ac:dyDescent="0.2">
      <c r="A3482" s="153" t="s">
        <v>7051</v>
      </c>
      <c r="B3482" s="154" t="s">
        <v>7050</v>
      </c>
    </row>
    <row r="3483" spans="1:2" x14ac:dyDescent="0.2">
      <c r="A3483" s="153" t="s">
        <v>7053</v>
      </c>
      <c r="B3483" s="154" t="s">
        <v>7052</v>
      </c>
    </row>
    <row r="3484" spans="1:2" x14ac:dyDescent="0.2">
      <c r="A3484" s="153" t="s">
        <v>7055</v>
      </c>
      <c r="B3484" s="154" t="s">
        <v>7054</v>
      </c>
    </row>
    <row r="3485" spans="1:2" x14ac:dyDescent="0.2">
      <c r="A3485" s="153" t="s">
        <v>7057</v>
      </c>
      <c r="B3485" s="154" t="s">
        <v>7056</v>
      </c>
    </row>
    <row r="3486" spans="1:2" x14ac:dyDescent="0.2">
      <c r="A3486" s="153" t="s">
        <v>7059</v>
      </c>
      <c r="B3486" s="154" t="s">
        <v>7058</v>
      </c>
    </row>
    <row r="3487" spans="1:2" x14ac:dyDescent="0.2">
      <c r="A3487" s="153" t="s">
        <v>7061</v>
      </c>
      <c r="B3487" s="154" t="s">
        <v>7060</v>
      </c>
    </row>
    <row r="3488" spans="1:2" x14ac:dyDescent="0.2">
      <c r="A3488" s="153" t="s">
        <v>7063</v>
      </c>
      <c r="B3488" s="154" t="s">
        <v>7062</v>
      </c>
    </row>
    <row r="3489" spans="1:2" x14ac:dyDescent="0.2">
      <c r="A3489" s="153" t="s">
        <v>7065</v>
      </c>
      <c r="B3489" s="154" t="s">
        <v>7064</v>
      </c>
    </row>
    <row r="3490" spans="1:2" x14ac:dyDescent="0.2">
      <c r="A3490" s="153" t="s">
        <v>7067</v>
      </c>
      <c r="B3490" s="154" t="s">
        <v>7066</v>
      </c>
    </row>
    <row r="3491" spans="1:2" x14ac:dyDescent="0.2">
      <c r="A3491" s="153" t="s">
        <v>1065</v>
      </c>
      <c r="B3491" s="154" t="s">
        <v>7068</v>
      </c>
    </row>
    <row r="3492" spans="1:2" x14ac:dyDescent="0.2">
      <c r="A3492" s="153" t="s">
        <v>7070</v>
      </c>
      <c r="B3492" s="154" t="s">
        <v>7069</v>
      </c>
    </row>
    <row r="3493" spans="1:2" x14ac:dyDescent="0.2">
      <c r="A3493" s="153" t="s">
        <v>7072</v>
      </c>
      <c r="B3493" s="154" t="s">
        <v>7071</v>
      </c>
    </row>
    <row r="3494" spans="1:2" x14ac:dyDescent="0.2">
      <c r="A3494" s="153" t="s">
        <v>7074</v>
      </c>
      <c r="B3494" s="154" t="s">
        <v>7073</v>
      </c>
    </row>
    <row r="3495" spans="1:2" x14ac:dyDescent="0.2">
      <c r="A3495" s="153" t="s">
        <v>7076</v>
      </c>
      <c r="B3495" s="154" t="s">
        <v>7075</v>
      </c>
    </row>
    <row r="3496" spans="1:2" x14ac:dyDescent="0.2">
      <c r="A3496" s="153" t="s">
        <v>7078</v>
      </c>
      <c r="B3496" s="154" t="s">
        <v>7077</v>
      </c>
    </row>
    <row r="3497" spans="1:2" x14ac:dyDescent="0.2">
      <c r="A3497" s="153" t="s">
        <v>7080</v>
      </c>
      <c r="B3497" s="154" t="s">
        <v>7079</v>
      </c>
    </row>
    <row r="3498" spans="1:2" x14ac:dyDescent="0.2">
      <c r="A3498" s="153" t="s">
        <v>7082</v>
      </c>
      <c r="B3498" s="154" t="s">
        <v>7081</v>
      </c>
    </row>
    <row r="3499" spans="1:2" x14ac:dyDescent="0.2">
      <c r="A3499" s="153" t="s">
        <v>7084</v>
      </c>
      <c r="B3499" s="154" t="s">
        <v>7083</v>
      </c>
    </row>
    <row r="3500" spans="1:2" x14ac:dyDescent="0.2">
      <c r="A3500" s="153" t="s">
        <v>7086</v>
      </c>
      <c r="B3500" s="154" t="s">
        <v>7085</v>
      </c>
    </row>
    <row r="3501" spans="1:2" x14ac:dyDescent="0.2">
      <c r="A3501" s="153" t="s">
        <v>7088</v>
      </c>
      <c r="B3501" s="154" t="s">
        <v>7087</v>
      </c>
    </row>
    <row r="3502" spans="1:2" x14ac:dyDescent="0.2">
      <c r="A3502" s="153" t="s">
        <v>7090</v>
      </c>
      <c r="B3502" s="154" t="s">
        <v>7089</v>
      </c>
    </row>
    <row r="3503" spans="1:2" x14ac:dyDescent="0.2">
      <c r="A3503" s="153" t="s">
        <v>7092</v>
      </c>
      <c r="B3503" s="154" t="s">
        <v>7091</v>
      </c>
    </row>
    <row r="3504" spans="1:2" x14ac:dyDescent="0.2">
      <c r="A3504" s="153" t="s">
        <v>7094</v>
      </c>
      <c r="B3504" s="154" t="s">
        <v>7093</v>
      </c>
    </row>
    <row r="3505" spans="1:2" x14ac:dyDescent="0.2">
      <c r="A3505" s="153" t="s">
        <v>7096</v>
      </c>
      <c r="B3505" s="154" t="s">
        <v>7095</v>
      </c>
    </row>
    <row r="3506" spans="1:2" x14ac:dyDescent="0.2">
      <c r="A3506" s="153" t="s">
        <v>7098</v>
      </c>
      <c r="B3506" s="154" t="s">
        <v>7097</v>
      </c>
    </row>
    <row r="3507" spans="1:2" x14ac:dyDescent="0.2">
      <c r="A3507" s="153" t="s">
        <v>7100</v>
      </c>
      <c r="B3507" s="154" t="s">
        <v>7099</v>
      </c>
    </row>
    <row r="3508" spans="1:2" x14ac:dyDescent="0.2">
      <c r="A3508" s="153" t="s">
        <v>7102</v>
      </c>
      <c r="B3508" s="154" t="s">
        <v>7101</v>
      </c>
    </row>
    <row r="3509" spans="1:2" x14ac:dyDescent="0.2">
      <c r="A3509" s="153" t="s">
        <v>7104</v>
      </c>
      <c r="B3509" s="154" t="s">
        <v>7103</v>
      </c>
    </row>
    <row r="3510" spans="1:2" x14ac:dyDescent="0.2">
      <c r="A3510" s="153" t="s">
        <v>7106</v>
      </c>
      <c r="B3510" s="154" t="s">
        <v>7105</v>
      </c>
    </row>
    <row r="3511" spans="1:2" x14ac:dyDescent="0.2">
      <c r="A3511" s="153" t="s">
        <v>7108</v>
      </c>
      <c r="B3511" s="154" t="s">
        <v>7107</v>
      </c>
    </row>
    <row r="3512" spans="1:2" x14ac:dyDescent="0.2">
      <c r="A3512" s="153" t="s">
        <v>7110</v>
      </c>
      <c r="B3512" s="154" t="s">
        <v>7109</v>
      </c>
    </row>
    <row r="3513" spans="1:2" x14ac:dyDescent="0.2">
      <c r="A3513" s="153" t="s">
        <v>7112</v>
      </c>
      <c r="B3513" s="154" t="s">
        <v>7111</v>
      </c>
    </row>
    <row r="3514" spans="1:2" x14ac:dyDescent="0.2">
      <c r="A3514" s="153" t="s">
        <v>7114</v>
      </c>
      <c r="B3514" s="154" t="s">
        <v>7113</v>
      </c>
    </row>
    <row r="3515" spans="1:2" x14ac:dyDescent="0.2">
      <c r="A3515" s="153" t="s">
        <v>7116</v>
      </c>
      <c r="B3515" s="154" t="s">
        <v>7115</v>
      </c>
    </row>
    <row r="3516" spans="1:2" x14ac:dyDescent="0.2">
      <c r="A3516" s="153" t="s">
        <v>1065</v>
      </c>
      <c r="B3516" s="154" t="s">
        <v>7117</v>
      </c>
    </row>
    <row r="3517" spans="1:2" x14ac:dyDescent="0.2">
      <c r="A3517" s="153" t="s">
        <v>7119</v>
      </c>
      <c r="B3517" s="154" t="s">
        <v>7118</v>
      </c>
    </row>
    <row r="3518" spans="1:2" x14ac:dyDescent="0.2">
      <c r="A3518" s="153" t="s">
        <v>7121</v>
      </c>
      <c r="B3518" s="154" t="s">
        <v>7120</v>
      </c>
    </row>
    <row r="3519" spans="1:2" x14ac:dyDescent="0.2">
      <c r="A3519" s="153" t="s">
        <v>7123</v>
      </c>
      <c r="B3519" s="154" t="s">
        <v>7122</v>
      </c>
    </row>
    <row r="3520" spans="1:2" x14ac:dyDescent="0.2">
      <c r="A3520" s="153" t="s">
        <v>7125</v>
      </c>
      <c r="B3520" s="154" t="s">
        <v>7124</v>
      </c>
    </row>
    <row r="3521" spans="1:2" x14ac:dyDescent="0.2">
      <c r="A3521" s="153" t="s">
        <v>7127</v>
      </c>
      <c r="B3521" s="154" t="s">
        <v>7126</v>
      </c>
    </row>
    <row r="3522" spans="1:2" x14ac:dyDescent="0.2">
      <c r="A3522" s="153" t="s">
        <v>7129</v>
      </c>
      <c r="B3522" s="154" t="s">
        <v>7128</v>
      </c>
    </row>
    <row r="3523" spans="1:2" x14ac:dyDescent="0.2">
      <c r="A3523" s="153" t="s">
        <v>7131</v>
      </c>
      <c r="B3523" s="154" t="s">
        <v>7130</v>
      </c>
    </row>
    <row r="3524" spans="1:2" x14ac:dyDescent="0.2">
      <c r="A3524" s="153" t="s">
        <v>7133</v>
      </c>
      <c r="B3524" s="154" t="s">
        <v>7132</v>
      </c>
    </row>
    <row r="3525" spans="1:2" x14ac:dyDescent="0.2">
      <c r="A3525" s="153" t="s">
        <v>7135</v>
      </c>
      <c r="B3525" s="154" t="s">
        <v>7134</v>
      </c>
    </row>
    <row r="3526" spans="1:2" x14ac:dyDescent="0.2">
      <c r="A3526" s="153" t="s">
        <v>7137</v>
      </c>
      <c r="B3526" s="154" t="s">
        <v>7136</v>
      </c>
    </row>
    <row r="3527" spans="1:2" x14ac:dyDescent="0.2">
      <c r="A3527" s="153" t="s">
        <v>7139</v>
      </c>
      <c r="B3527" s="154" t="s">
        <v>7138</v>
      </c>
    </row>
    <row r="3528" spans="1:2" x14ac:dyDescent="0.2">
      <c r="A3528" s="153" t="s">
        <v>7141</v>
      </c>
      <c r="B3528" s="154" t="s">
        <v>7140</v>
      </c>
    </row>
    <row r="3529" spans="1:2" x14ac:dyDescent="0.2">
      <c r="A3529" s="153" t="s">
        <v>7143</v>
      </c>
      <c r="B3529" s="154" t="s">
        <v>7142</v>
      </c>
    </row>
    <row r="3530" spans="1:2" x14ac:dyDescent="0.2">
      <c r="A3530" s="153" t="s">
        <v>7145</v>
      </c>
      <c r="B3530" s="154" t="s">
        <v>7144</v>
      </c>
    </row>
    <row r="3531" spans="1:2" x14ac:dyDescent="0.2">
      <c r="A3531" s="153" t="s">
        <v>7147</v>
      </c>
      <c r="B3531" s="154" t="s">
        <v>7146</v>
      </c>
    </row>
    <row r="3532" spans="1:2" x14ac:dyDescent="0.2">
      <c r="A3532" s="153" t="s">
        <v>7149</v>
      </c>
      <c r="B3532" s="154" t="s">
        <v>7148</v>
      </c>
    </row>
    <row r="3533" spans="1:2" x14ac:dyDescent="0.2">
      <c r="A3533" s="153" t="s">
        <v>7151</v>
      </c>
      <c r="B3533" s="154" t="s">
        <v>7150</v>
      </c>
    </row>
    <row r="3534" spans="1:2" x14ac:dyDescent="0.2">
      <c r="A3534" s="153" t="s">
        <v>7153</v>
      </c>
      <c r="B3534" s="154" t="s">
        <v>7152</v>
      </c>
    </row>
    <row r="3535" spans="1:2" x14ac:dyDescent="0.2">
      <c r="A3535" s="153" t="s">
        <v>7155</v>
      </c>
      <c r="B3535" s="154" t="s">
        <v>7154</v>
      </c>
    </row>
    <row r="3536" spans="1:2" x14ac:dyDescent="0.2">
      <c r="A3536" s="153" t="s">
        <v>7157</v>
      </c>
      <c r="B3536" s="154" t="s">
        <v>7156</v>
      </c>
    </row>
    <row r="3537" spans="1:2" x14ac:dyDescent="0.2">
      <c r="A3537" s="153" t="s">
        <v>7159</v>
      </c>
      <c r="B3537" s="154" t="s">
        <v>7158</v>
      </c>
    </row>
    <row r="3538" spans="1:2" x14ac:dyDescent="0.2">
      <c r="A3538" s="153" t="s">
        <v>7161</v>
      </c>
      <c r="B3538" s="154" t="s">
        <v>7160</v>
      </c>
    </row>
    <row r="3539" spans="1:2" x14ac:dyDescent="0.2">
      <c r="A3539" s="153" t="s">
        <v>7163</v>
      </c>
      <c r="B3539" s="154" t="s">
        <v>7162</v>
      </c>
    </row>
    <row r="3540" spans="1:2" x14ac:dyDescent="0.2">
      <c r="A3540" s="153" t="s">
        <v>7165</v>
      </c>
      <c r="B3540" s="154" t="s">
        <v>7164</v>
      </c>
    </row>
    <row r="3541" spans="1:2" x14ac:dyDescent="0.2">
      <c r="A3541" s="153" t="s">
        <v>9478</v>
      </c>
      <c r="B3541" s="154" t="s">
        <v>7166</v>
      </c>
    </row>
    <row r="3542" spans="1:2" ht="28.5" x14ac:dyDescent="0.2">
      <c r="A3542" s="153" t="s">
        <v>9479</v>
      </c>
      <c r="B3542" s="154" t="s">
        <v>7167</v>
      </c>
    </row>
    <row r="3543" spans="1:2" ht="28.5" x14ac:dyDescent="0.2">
      <c r="A3543" s="153" t="s">
        <v>7169</v>
      </c>
      <c r="B3543" s="154" t="s">
        <v>7168</v>
      </c>
    </row>
    <row r="3544" spans="1:2" x14ac:dyDescent="0.2">
      <c r="A3544" s="153" t="s">
        <v>1065</v>
      </c>
      <c r="B3544" s="154" t="s">
        <v>7170</v>
      </c>
    </row>
    <row r="3545" spans="1:2" x14ac:dyDescent="0.2">
      <c r="A3545" s="153" t="s">
        <v>7172</v>
      </c>
      <c r="B3545" s="154" t="s">
        <v>7171</v>
      </c>
    </row>
    <row r="3546" spans="1:2" x14ac:dyDescent="0.2">
      <c r="A3546" s="153" t="s">
        <v>9871</v>
      </c>
      <c r="B3546" s="154" t="s">
        <v>7173</v>
      </c>
    </row>
    <row r="3547" spans="1:2" x14ac:dyDescent="0.2">
      <c r="A3547" s="153" t="s">
        <v>7175</v>
      </c>
      <c r="B3547" s="154" t="s">
        <v>7174</v>
      </c>
    </row>
    <row r="3548" spans="1:2" x14ac:dyDescent="0.2">
      <c r="A3548" s="153" t="s">
        <v>7177</v>
      </c>
      <c r="B3548" s="154" t="s">
        <v>7176</v>
      </c>
    </row>
    <row r="3549" spans="1:2" x14ac:dyDescent="0.2">
      <c r="A3549" s="153" t="s">
        <v>7179</v>
      </c>
      <c r="B3549" s="154" t="s">
        <v>7178</v>
      </c>
    </row>
    <row r="3550" spans="1:2" x14ac:dyDescent="0.2">
      <c r="A3550" s="153" t="s">
        <v>7181</v>
      </c>
      <c r="B3550" s="154" t="s">
        <v>7180</v>
      </c>
    </row>
    <row r="3551" spans="1:2" x14ac:dyDescent="0.2">
      <c r="A3551" s="153" t="s">
        <v>7183</v>
      </c>
      <c r="B3551" s="154" t="s">
        <v>7182</v>
      </c>
    </row>
    <row r="3552" spans="1:2" x14ac:dyDescent="0.2">
      <c r="A3552" s="153" t="s">
        <v>7185</v>
      </c>
      <c r="B3552" s="154" t="s">
        <v>7184</v>
      </c>
    </row>
    <row r="3553" spans="1:2" x14ac:dyDescent="0.2">
      <c r="A3553" s="153" t="s">
        <v>7187</v>
      </c>
      <c r="B3553" s="154" t="s">
        <v>7186</v>
      </c>
    </row>
    <row r="3554" spans="1:2" x14ac:dyDescent="0.2">
      <c r="A3554" s="153" t="s">
        <v>7189</v>
      </c>
      <c r="B3554" s="154" t="s">
        <v>7188</v>
      </c>
    </row>
    <row r="3555" spans="1:2" x14ac:dyDescent="0.2">
      <c r="A3555" s="153" t="s">
        <v>7191</v>
      </c>
      <c r="B3555" s="154" t="s">
        <v>7190</v>
      </c>
    </row>
    <row r="3556" spans="1:2" x14ac:dyDescent="0.2">
      <c r="A3556" s="153" t="s">
        <v>7193</v>
      </c>
      <c r="B3556" s="154" t="s">
        <v>7192</v>
      </c>
    </row>
    <row r="3557" spans="1:2" x14ac:dyDescent="0.2">
      <c r="A3557" s="153" t="s">
        <v>7195</v>
      </c>
      <c r="B3557" s="154" t="s">
        <v>7194</v>
      </c>
    </row>
    <row r="3558" spans="1:2" x14ac:dyDescent="0.2">
      <c r="A3558" s="153" t="s">
        <v>7197</v>
      </c>
      <c r="B3558" s="154" t="s">
        <v>7196</v>
      </c>
    </row>
    <row r="3559" spans="1:2" x14ac:dyDescent="0.2">
      <c r="A3559" s="153" t="s">
        <v>7199</v>
      </c>
      <c r="B3559" s="154" t="s">
        <v>7198</v>
      </c>
    </row>
    <row r="3560" spans="1:2" x14ac:dyDescent="0.2">
      <c r="A3560" s="153" t="s">
        <v>7201</v>
      </c>
      <c r="B3560" s="154" t="s">
        <v>7200</v>
      </c>
    </row>
    <row r="3561" spans="1:2" x14ac:dyDescent="0.2">
      <c r="A3561" s="153" t="s">
        <v>7203</v>
      </c>
      <c r="B3561" s="154" t="s">
        <v>7202</v>
      </c>
    </row>
    <row r="3562" spans="1:2" x14ac:dyDescent="0.2">
      <c r="A3562" s="153" t="s">
        <v>7205</v>
      </c>
      <c r="B3562" s="154" t="s">
        <v>7204</v>
      </c>
    </row>
    <row r="3563" spans="1:2" x14ac:dyDescent="0.2">
      <c r="A3563" s="153" t="s">
        <v>7207</v>
      </c>
      <c r="B3563" s="154" t="s">
        <v>7206</v>
      </c>
    </row>
    <row r="3564" spans="1:2" x14ac:dyDescent="0.2">
      <c r="A3564" s="153" t="s">
        <v>7209</v>
      </c>
      <c r="B3564" s="154" t="s">
        <v>7208</v>
      </c>
    </row>
    <row r="3565" spans="1:2" x14ac:dyDescent="0.2">
      <c r="A3565" s="153" t="s">
        <v>7211</v>
      </c>
      <c r="B3565" s="154" t="s">
        <v>7210</v>
      </c>
    </row>
    <row r="3566" spans="1:2" x14ac:dyDescent="0.2">
      <c r="A3566" s="153" t="s">
        <v>7213</v>
      </c>
      <c r="B3566" s="154" t="s">
        <v>7212</v>
      </c>
    </row>
    <row r="3567" spans="1:2" x14ac:dyDescent="0.2">
      <c r="A3567" s="153" t="s">
        <v>7215</v>
      </c>
      <c r="B3567" s="154" t="s">
        <v>7214</v>
      </c>
    </row>
    <row r="3568" spans="1:2" x14ac:dyDescent="0.2">
      <c r="A3568" s="153" t="s">
        <v>7217</v>
      </c>
      <c r="B3568" s="154" t="s">
        <v>7216</v>
      </c>
    </row>
    <row r="3569" spans="1:2" x14ac:dyDescent="0.2">
      <c r="A3569" s="153" t="s">
        <v>7219</v>
      </c>
      <c r="B3569" s="154" t="s">
        <v>7218</v>
      </c>
    </row>
    <row r="3570" spans="1:2" x14ac:dyDescent="0.2">
      <c r="A3570" s="153" t="s">
        <v>7221</v>
      </c>
      <c r="B3570" s="154" t="s">
        <v>7220</v>
      </c>
    </row>
    <row r="3571" spans="1:2" x14ac:dyDescent="0.2">
      <c r="A3571" s="153" t="s">
        <v>7223</v>
      </c>
      <c r="B3571" s="154" t="s">
        <v>7222</v>
      </c>
    </row>
    <row r="3572" spans="1:2" x14ac:dyDescent="0.2">
      <c r="A3572" s="153" t="s">
        <v>7225</v>
      </c>
      <c r="B3572" s="154" t="s">
        <v>7224</v>
      </c>
    </row>
    <row r="3573" spans="1:2" x14ac:dyDescent="0.2">
      <c r="A3573" s="153" t="s">
        <v>7227</v>
      </c>
      <c r="B3573" s="154" t="s">
        <v>7226</v>
      </c>
    </row>
    <row r="3574" spans="1:2" x14ac:dyDescent="0.2">
      <c r="A3574" s="153" t="s">
        <v>7229</v>
      </c>
      <c r="B3574" s="154" t="s">
        <v>7228</v>
      </c>
    </row>
    <row r="3575" spans="1:2" x14ac:dyDescent="0.2">
      <c r="A3575" s="153" t="s">
        <v>7231</v>
      </c>
      <c r="B3575" s="154" t="s">
        <v>7230</v>
      </c>
    </row>
    <row r="3576" spans="1:2" x14ac:dyDescent="0.2">
      <c r="A3576" s="153" t="s">
        <v>7233</v>
      </c>
      <c r="B3576" s="154" t="s">
        <v>7232</v>
      </c>
    </row>
    <row r="3577" spans="1:2" x14ac:dyDescent="0.2">
      <c r="A3577" s="153" t="s">
        <v>7235</v>
      </c>
      <c r="B3577" s="154" t="s">
        <v>7234</v>
      </c>
    </row>
    <row r="3578" spans="1:2" x14ac:dyDescent="0.2">
      <c r="A3578" s="153" t="s">
        <v>1065</v>
      </c>
      <c r="B3578" s="154" t="s">
        <v>7236</v>
      </c>
    </row>
    <row r="3579" spans="1:2" x14ac:dyDescent="0.2">
      <c r="A3579" s="153" t="s">
        <v>7238</v>
      </c>
      <c r="B3579" s="154" t="s">
        <v>7237</v>
      </c>
    </row>
    <row r="3580" spans="1:2" x14ac:dyDescent="0.2">
      <c r="A3580" s="153" t="s">
        <v>7240</v>
      </c>
      <c r="B3580" s="154" t="s">
        <v>7239</v>
      </c>
    </row>
    <row r="3581" spans="1:2" x14ac:dyDescent="0.2">
      <c r="A3581" s="153" t="s">
        <v>7242</v>
      </c>
      <c r="B3581" s="154" t="s">
        <v>7241</v>
      </c>
    </row>
    <row r="3582" spans="1:2" x14ac:dyDescent="0.2">
      <c r="A3582" s="153" t="s">
        <v>7244</v>
      </c>
      <c r="B3582" s="154" t="s">
        <v>7243</v>
      </c>
    </row>
    <row r="3583" spans="1:2" x14ac:dyDescent="0.2">
      <c r="A3583" s="153" t="s">
        <v>7246</v>
      </c>
      <c r="B3583" s="154" t="s">
        <v>7245</v>
      </c>
    </row>
    <row r="3584" spans="1:2" x14ac:dyDescent="0.2">
      <c r="A3584" s="153" t="s">
        <v>7248</v>
      </c>
      <c r="B3584" s="154" t="s">
        <v>7247</v>
      </c>
    </row>
    <row r="3585" spans="1:2" x14ac:dyDescent="0.2">
      <c r="A3585" s="153" t="s">
        <v>7250</v>
      </c>
      <c r="B3585" s="154" t="s">
        <v>7249</v>
      </c>
    </row>
    <row r="3586" spans="1:2" x14ac:dyDescent="0.2">
      <c r="A3586" s="153" t="s">
        <v>7252</v>
      </c>
      <c r="B3586" s="154" t="s">
        <v>7251</v>
      </c>
    </row>
    <row r="3587" spans="1:2" x14ac:dyDescent="0.2">
      <c r="A3587" s="153" t="s">
        <v>7254</v>
      </c>
      <c r="B3587" s="154" t="s">
        <v>7253</v>
      </c>
    </row>
    <row r="3588" spans="1:2" x14ac:dyDescent="0.2">
      <c r="A3588" s="153" t="s">
        <v>7256</v>
      </c>
      <c r="B3588" s="154" t="s">
        <v>7255</v>
      </c>
    </row>
    <row r="3589" spans="1:2" x14ac:dyDescent="0.2">
      <c r="A3589" s="153" t="s">
        <v>7258</v>
      </c>
      <c r="B3589" s="154" t="s">
        <v>7257</v>
      </c>
    </row>
    <row r="3590" spans="1:2" x14ac:dyDescent="0.2">
      <c r="A3590" s="153" t="s">
        <v>7260</v>
      </c>
      <c r="B3590" s="154" t="s">
        <v>7259</v>
      </c>
    </row>
    <row r="3591" spans="1:2" x14ac:dyDescent="0.2">
      <c r="A3591" s="153" t="s">
        <v>7262</v>
      </c>
      <c r="B3591" s="154" t="s">
        <v>7261</v>
      </c>
    </row>
    <row r="3592" spans="1:2" x14ac:dyDescent="0.2">
      <c r="A3592" s="153" t="s">
        <v>7264</v>
      </c>
      <c r="B3592" s="154" t="s">
        <v>7263</v>
      </c>
    </row>
    <row r="3593" spans="1:2" x14ac:dyDescent="0.2">
      <c r="A3593" s="153" t="s">
        <v>7266</v>
      </c>
      <c r="B3593" s="154" t="s">
        <v>7265</v>
      </c>
    </row>
    <row r="3594" spans="1:2" x14ac:dyDescent="0.2">
      <c r="A3594" s="153" t="s">
        <v>7268</v>
      </c>
      <c r="B3594" s="154" t="s">
        <v>7267</v>
      </c>
    </row>
    <row r="3595" spans="1:2" x14ac:dyDescent="0.2">
      <c r="A3595" s="153" t="s">
        <v>7270</v>
      </c>
      <c r="B3595" s="154" t="s">
        <v>7269</v>
      </c>
    </row>
    <row r="3596" spans="1:2" x14ac:dyDescent="0.2">
      <c r="A3596" s="153" t="s">
        <v>7272</v>
      </c>
      <c r="B3596" s="154" t="s">
        <v>7271</v>
      </c>
    </row>
    <row r="3597" spans="1:2" x14ac:dyDescent="0.2">
      <c r="A3597" s="153" t="s">
        <v>7274</v>
      </c>
      <c r="B3597" s="154" t="s">
        <v>7273</v>
      </c>
    </row>
    <row r="3598" spans="1:2" x14ac:dyDescent="0.2">
      <c r="A3598" s="153" t="s">
        <v>7276</v>
      </c>
      <c r="B3598" s="154" t="s">
        <v>7275</v>
      </c>
    </row>
    <row r="3599" spans="1:2" x14ac:dyDescent="0.2">
      <c r="A3599" s="153" t="s">
        <v>7278</v>
      </c>
      <c r="B3599" s="154" t="s">
        <v>7277</v>
      </c>
    </row>
    <row r="3600" spans="1:2" x14ac:dyDescent="0.2">
      <c r="A3600" s="153" t="s">
        <v>1065</v>
      </c>
      <c r="B3600" s="154" t="s">
        <v>7279</v>
      </c>
    </row>
    <row r="3601" spans="1:2" x14ac:dyDescent="0.2">
      <c r="A3601" s="153" t="s">
        <v>7281</v>
      </c>
      <c r="B3601" s="154" t="s">
        <v>7280</v>
      </c>
    </row>
    <row r="3602" spans="1:2" x14ac:dyDescent="0.2">
      <c r="A3602" s="153" t="s">
        <v>7283</v>
      </c>
      <c r="B3602" s="154" t="s">
        <v>7282</v>
      </c>
    </row>
    <row r="3603" spans="1:2" x14ac:dyDescent="0.2">
      <c r="A3603" s="153" t="s">
        <v>7285</v>
      </c>
      <c r="B3603" s="154" t="s">
        <v>7284</v>
      </c>
    </row>
    <row r="3604" spans="1:2" x14ac:dyDescent="0.2">
      <c r="A3604" s="153" t="s">
        <v>7287</v>
      </c>
      <c r="B3604" s="154" t="s">
        <v>7286</v>
      </c>
    </row>
    <row r="3605" spans="1:2" x14ac:dyDescent="0.2">
      <c r="A3605" s="153" t="s">
        <v>7289</v>
      </c>
      <c r="B3605" s="154" t="s">
        <v>7288</v>
      </c>
    </row>
    <row r="3606" spans="1:2" x14ac:dyDescent="0.2">
      <c r="A3606" s="153" t="s">
        <v>7291</v>
      </c>
      <c r="B3606" s="154" t="s">
        <v>7290</v>
      </c>
    </row>
    <row r="3607" spans="1:2" x14ac:dyDescent="0.2">
      <c r="A3607" s="153" t="s">
        <v>7293</v>
      </c>
      <c r="B3607" s="154" t="s">
        <v>7292</v>
      </c>
    </row>
    <row r="3608" spans="1:2" x14ac:dyDescent="0.2">
      <c r="A3608" s="153" t="s">
        <v>7295</v>
      </c>
      <c r="B3608" s="154" t="s">
        <v>7294</v>
      </c>
    </row>
    <row r="3609" spans="1:2" x14ac:dyDescent="0.2">
      <c r="A3609" s="153" t="s">
        <v>7297</v>
      </c>
      <c r="B3609" s="154" t="s">
        <v>7296</v>
      </c>
    </row>
    <row r="3610" spans="1:2" x14ac:dyDescent="0.2">
      <c r="A3610" s="153" t="s">
        <v>7299</v>
      </c>
      <c r="B3610" s="154" t="s">
        <v>7298</v>
      </c>
    </row>
    <row r="3611" spans="1:2" x14ac:dyDescent="0.2">
      <c r="A3611" s="153" t="s">
        <v>7301</v>
      </c>
      <c r="B3611" s="154" t="s">
        <v>7300</v>
      </c>
    </row>
    <row r="3612" spans="1:2" x14ac:dyDescent="0.2">
      <c r="A3612" s="153" t="s">
        <v>9480</v>
      </c>
      <c r="B3612" s="154" t="s">
        <v>7302</v>
      </c>
    </row>
    <row r="3613" spans="1:2" ht="28.5" x14ac:dyDescent="0.2">
      <c r="A3613" s="153" t="s">
        <v>9481</v>
      </c>
      <c r="B3613" s="154" t="s">
        <v>7303</v>
      </c>
    </row>
    <row r="3614" spans="1:2" ht="28.5" x14ac:dyDescent="0.2">
      <c r="A3614" s="153" t="s">
        <v>7305</v>
      </c>
      <c r="B3614" s="154" t="s">
        <v>7304</v>
      </c>
    </row>
    <row r="3615" spans="1:2" x14ac:dyDescent="0.2">
      <c r="A3615" s="153" t="s">
        <v>7307</v>
      </c>
      <c r="B3615" s="154" t="s">
        <v>7306</v>
      </c>
    </row>
    <row r="3616" spans="1:2" x14ac:dyDescent="0.2">
      <c r="A3616" s="153" t="s">
        <v>1065</v>
      </c>
      <c r="B3616" s="154" t="s">
        <v>7308</v>
      </c>
    </row>
    <row r="3617" spans="1:2" x14ac:dyDescent="0.2">
      <c r="A3617" s="153" t="s">
        <v>7310</v>
      </c>
      <c r="B3617" s="154" t="s">
        <v>7309</v>
      </c>
    </row>
    <row r="3618" spans="1:2" x14ac:dyDescent="0.2">
      <c r="A3618" s="153" t="s">
        <v>7312</v>
      </c>
      <c r="B3618" s="154" t="s">
        <v>7311</v>
      </c>
    </row>
    <row r="3619" spans="1:2" x14ac:dyDescent="0.2">
      <c r="A3619" s="153" t="s">
        <v>7314</v>
      </c>
      <c r="B3619" s="154" t="s">
        <v>7313</v>
      </c>
    </row>
    <row r="3620" spans="1:2" x14ac:dyDescent="0.2">
      <c r="A3620" s="153" t="s">
        <v>7316</v>
      </c>
      <c r="B3620" s="154" t="s">
        <v>7315</v>
      </c>
    </row>
    <row r="3621" spans="1:2" x14ac:dyDescent="0.2">
      <c r="A3621" s="153" t="s">
        <v>7318</v>
      </c>
      <c r="B3621" s="154" t="s">
        <v>7317</v>
      </c>
    </row>
    <row r="3622" spans="1:2" x14ac:dyDescent="0.2">
      <c r="A3622" s="153" t="s">
        <v>7320</v>
      </c>
      <c r="B3622" s="154" t="s">
        <v>7319</v>
      </c>
    </row>
    <row r="3623" spans="1:2" x14ac:dyDescent="0.2">
      <c r="A3623" s="153" t="s">
        <v>7322</v>
      </c>
      <c r="B3623" s="154" t="s">
        <v>7321</v>
      </c>
    </row>
    <row r="3624" spans="1:2" x14ac:dyDescent="0.2">
      <c r="A3624" s="153" t="s">
        <v>7324</v>
      </c>
      <c r="B3624" s="154" t="s">
        <v>7323</v>
      </c>
    </row>
    <row r="3625" spans="1:2" x14ac:dyDescent="0.2">
      <c r="A3625" s="153" t="s">
        <v>7326</v>
      </c>
      <c r="B3625" s="154" t="s">
        <v>7325</v>
      </c>
    </row>
    <row r="3626" spans="1:2" x14ac:dyDescent="0.2">
      <c r="A3626" s="153" t="s">
        <v>7328</v>
      </c>
      <c r="B3626" s="154" t="s">
        <v>7327</v>
      </c>
    </row>
    <row r="3627" spans="1:2" x14ac:dyDescent="0.2">
      <c r="A3627" s="153" t="s">
        <v>7330</v>
      </c>
      <c r="B3627" s="154" t="s">
        <v>7329</v>
      </c>
    </row>
    <row r="3628" spans="1:2" x14ac:dyDescent="0.2">
      <c r="A3628" s="153" t="s">
        <v>7332</v>
      </c>
      <c r="B3628" s="154" t="s">
        <v>7331</v>
      </c>
    </row>
    <row r="3629" spans="1:2" x14ac:dyDescent="0.2">
      <c r="A3629" s="153" t="s">
        <v>7334</v>
      </c>
      <c r="B3629" s="154" t="s">
        <v>7333</v>
      </c>
    </row>
    <row r="3630" spans="1:2" x14ac:dyDescent="0.2">
      <c r="A3630" s="153" t="s">
        <v>7336</v>
      </c>
      <c r="B3630" s="154" t="s">
        <v>7335</v>
      </c>
    </row>
    <row r="3631" spans="1:2" x14ac:dyDescent="0.2">
      <c r="A3631" s="153" t="s">
        <v>7338</v>
      </c>
      <c r="B3631" s="154" t="s">
        <v>7337</v>
      </c>
    </row>
    <row r="3632" spans="1:2" x14ac:dyDescent="0.2">
      <c r="A3632" s="153" t="s">
        <v>7340</v>
      </c>
      <c r="B3632" s="154" t="s">
        <v>7339</v>
      </c>
    </row>
    <row r="3633" spans="1:2" x14ac:dyDescent="0.2">
      <c r="A3633" s="153" t="s">
        <v>7342</v>
      </c>
      <c r="B3633" s="154" t="s">
        <v>7341</v>
      </c>
    </row>
    <row r="3634" spans="1:2" x14ac:dyDescent="0.2">
      <c r="A3634" s="153" t="s">
        <v>7344</v>
      </c>
      <c r="B3634" s="154" t="s">
        <v>7343</v>
      </c>
    </row>
    <row r="3635" spans="1:2" x14ac:dyDescent="0.2">
      <c r="A3635" s="153" t="s">
        <v>7346</v>
      </c>
      <c r="B3635" s="154" t="s">
        <v>7345</v>
      </c>
    </row>
    <row r="3636" spans="1:2" x14ac:dyDescent="0.2">
      <c r="A3636" s="153" t="s">
        <v>7348</v>
      </c>
      <c r="B3636" s="154" t="s">
        <v>7347</v>
      </c>
    </row>
    <row r="3637" spans="1:2" x14ac:dyDescent="0.2">
      <c r="A3637" s="153" t="s">
        <v>7350</v>
      </c>
      <c r="B3637" s="154" t="s">
        <v>7349</v>
      </c>
    </row>
    <row r="3638" spans="1:2" x14ac:dyDescent="0.2">
      <c r="A3638" s="153" t="s">
        <v>7352</v>
      </c>
      <c r="B3638" s="154" t="s">
        <v>7351</v>
      </c>
    </row>
    <row r="3639" spans="1:2" x14ac:dyDescent="0.2">
      <c r="A3639" s="153" t="s">
        <v>7354</v>
      </c>
      <c r="B3639" s="154" t="s">
        <v>7353</v>
      </c>
    </row>
    <row r="3640" spans="1:2" x14ac:dyDescent="0.2">
      <c r="A3640" s="153" t="s">
        <v>7356</v>
      </c>
      <c r="B3640" s="154" t="s">
        <v>7355</v>
      </c>
    </row>
    <row r="3641" spans="1:2" x14ac:dyDescent="0.2">
      <c r="A3641" s="153" t="s">
        <v>7358</v>
      </c>
      <c r="B3641" s="154" t="s">
        <v>7357</v>
      </c>
    </row>
    <row r="3642" spans="1:2" x14ac:dyDescent="0.2">
      <c r="A3642" s="153" t="s">
        <v>7360</v>
      </c>
      <c r="B3642" s="154" t="s">
        <v>7359</v>
      </c>
    </row>
    <row r="3643" spans="1:2" x14ac:dyDescent="0.2">
      <c r="A3643" s="153" t="s">
        <v>7362</v>
      </c>
      <c r="B3643" s="154" t="s">
        <v>7361</v>
      </c>
    </row>
    <row r="3644" spans="1:2" x14ac:dyDescent="0.2">
      <c r="A3644" s="153" t="s">
        <v>7364</v>
      </c>
      <c r="B3644" s="154" t="s">
        <v>7363</v>
      </c>
    </row>
    <row r="3645" spans="1:2" x14ac:dyDescent="0.2">
      <c r="A3645" s="153" t="s">
        <v>7366</v>
      </c>
      <c r="B3645" s="154" t="s">
        <v>7365</v>
      </c>
    </row>
    <row r="3646" spans="1:2" x14ac:dyDescent="0.2">
      <c r="A3646" s="153" t="s">
        <v>7368</v>
      </c>
      <c r="B3646" s="154" t="s">
        <v>7367</v>
      </c>
    </row>
    <row r="3647" spans="1:2" x14ac:dyDescent="0.2">
      <c r="A3647" s="153" t="s">
        <v>7370</v>
      </c>
      <c r="B3647" s="154" t="s">
        <v>7369</v>
      </c>
    </row>
    <row r="3648" spans="1:2" x14ac:dyDescent="0.2">
      <c r="A3648" s="153" t="s">
        <v>7372</v>
      </c>
      <c r="B3648" s="154" t="s">
        <v>7371</v>
      </c>
    </row>
    <row r="3649" spans="1:2" x14ac:dyDescent="0.2">
      <c r="A3649" s="153" t="s">
        <v>7374</v>
      </c>
      <c r="B3649" s="154" t="s">
        <v>7373</v>
      </c>
    </row>
    <row r="3650" spans="1:2" x14ac:dyDescent="0.2">
      <c r="A3650" s="153" t="s">
        <v>7376</v>
      </c>
      <c r="B3650" s="154" t="s">
        <v>7375</v>
      </c>
    </row>
    <row r="3651" spans="1:2" x14ac:dyDescent="0.2">
      <c r="A3651" s="153" t="s">
        <v>7378</v>
      </c>
      <c r="B3651" s="154" t="s">
        <v>7377</v>
      </c>
    </row>
    <row r="3652" spans="1:2" x14ac:dyDescent="0.2">
      <c r="A3652" s="153" t="s">
        <v>7380</v>
      </c>
      <c r="B3652" s="154" t="s">
        <v>7379</v>
      </c>
    </row>
    <row r="3653" spans="1:2" x14ac:dyDescent="0.2">
      <c r="A3653" s="153" t="s">
        <v>7382</v>
      </c>
      <c r="B3653" s="154" t="s">
        <v>7381</v>
      </c>
    </row>
    <row r="3654" spans="1:2" x14ac:dyDescent="0.2">
      <c r="A3654" s="153" t="s">
        <v>7384</v>
      </c>
      <c r="B3654" s="154" t="s">
        <v>7383</v>
      </c>
    </row>
    <row r="3655" spans="1:2" x14ac:dyDescent="0.2">
      <c r="A3655" s="153" t="s">
        <v>7386</v>
      </c>
      <c r="B3655" s="154" t="s">
        <v>7385</v>
      </c>
    </row>
    <row r="3656" spans="1:2" x14ac:dyDescent="0.2">
      <c r="A3656" s="153" t="s">
        <v>7388</v>
      </c>
      <c r="B3656" s="154" t="s">
        <v>7387</v>
      </c>
    </row>
    <row r="3657" spans="1:2" x14ac:dyDescent="0.2">
      <c r="A3657" s="153" t="s">
        <v>7390</v>
      </c>
      <c r="B3657" s="154" t="s">
        <v>7389</v>
      </c>
    </row>
    <row r="3658" spans="1:2" x14ac:dyDescent="0.2">
      <c r="A3658" s="153" t="s">
        <v>9872</v>
      </c>
      <c r="B3658" s="154" t="s">
        <v>7391</v>
      </c>
    </row>
    <row r="3659" spans="1:2" ht="28.5" x14ac:dyDescent="0.2">
      <c r="A3659" s="153" t="s">
        <v>7393</v>
      </c>
      <c r="B3659" s="154" t="s">
        <v>7392</v>
      </c>
    </row>
    <row r="3660" spans="1:2" x14ac:dyDescent="0.2">
      <c r="A3660" s="153" t="s">
        <v>7395</v>
      </c>
      <c r="B3660" s="154" t="s">
        <v>7394</v>
      </c>
    </row>
    <row r="3661" spans="1:2" x14ac:dyDescent="0.2">
      <c r="A3661" s="153" t="s">
        <v>7397</v>
      </c>
      <c r="B3661" s="154" t="s">
        <v>7396</v>
      </c>
    </row>
    <row r="3662" spans="1:2" x14ac:dyDescent="0.2">
      <c r="A3662" s="153" t="s">
        <v>7399</v>
      </c>
      <c r="B3662" s="154" t="s">
        <v>7398</v>
      </c>
    </row>
    <row r="3663" spans="1:2" ht="28.5" x14ac:dyDescent="0.2">
      <c r="A3663" s="153" t="s">
        <v>7401</v>
      </c>
      <c r="B3663" s="154" t="s">
        <v>7400</v>
      </c>
    </row>
    <row r="3664" spans="1:2" x14ac:dyDescent="0.2">
      <c r="A3664" s="153" t="s">
        <v>1065</v>
      </c>
      <c r="B3664" s="154" t="s">
        <v>9917</v>
      </c>
    </row>
    <row r="3665" spans="1:2" x14ac:dyDescent="0.2">
      <c r="A3665" s="153" t="s">
        <v>1065</v>
      </c>
      <c r="B3665" s="154" t="s">
        <v>7402</v>
      </c>
    </row>
    <row r="3666" spans="1:2" x14ac:dyDescent="0.2">
      <c r="A3666" s="153" t="s">
        <v>7404</v>
      </c>
      <c r="B3666" s="154" t="s">
        <v>7403</v>
      </c>
    </row>
    <row r="3667" spans="1:2" x14ac:dyDescent="0.2">
      <c r="A3667" s="153" t="s">
        <v>7406</v>
      </c>
      <c r="B3667" s="154" t="s">
        <v>7405</v>
      </c>
    </row>
    <row r="3668" spans="1:2" x14ac:dyDescent="0.2">
      <c r="A3668" s="153" t="s">
        <v>1065</v>
      </c>
      <c r="B3668" s="154" t="s">
        <v>7407</v>
      </c>
    </row>
    <row r="3669" spans="1:2" x14ac:dyDescent="0.2">
      <c r="A3669" s="153" t="s">
        <v>1065</v>
      </c>
      <c r="B3669" s="154" t="s">
        <v>7408</v>
      </c>
    </row>
    <row r="3670" spans="1:2" x14ac:dyDescent="0.2">
      <c r="A3670" s="153" t="s">
        <v>1065</v>
      </c>
      <c r="B3670" s="154" t="s">
        <v>7409</v>
      </c>
    </row>
    <row r="3671" spans="1:2" x14ac:dyDescent="0.2">
      <c r="A3671" s="153" t="s">
        <v>7411</v>
      </c>
      <c r="B3671" s="154" t="s">
        <v>7410</v>
      </c>
    </row>
    <row r="3672" spans="1:2" x14ac:dyDescent="0.2">
      <c r="A3672" s="153" t="s">
        <v>7413</v>
      </c>
      <c r="B3672" s="154" t="s">
        <v>7412</v>
      </c>
    </row>
    <row r="3673" spans="1:2" x14ac:dyDescent="0.2">
      <c r="A3673" s="153" t="s">
        <v>7415</v>
      </c>
      <c r="B3673" s="154" t="s">
        <v>7414</v>
      </c>
    </row>
    <row r="3674" spans="1:2" x14ac:dyDescent="0.2">
      <c r="A3674" s="153" t="s">
        <v>1065</v>
      </c>
      <c r="B3674" s="154" t="s">
        <v>7416</v>
      </c>
    </row>
    <row r="3675" spans="1:2" x14ac:dyDescent="0.2">
      <c r="A3675" s="153" t="s">
        <v>7418</v>
      </c>
      <c r="B3675" s="154" t="s">
        <v>7417</v>
      </c>
    </row>
    <row r="3676" spans="1:2" x14ac:dyDescent="0.2">
      <c r="A3676" s="153" t="s">
        <v>7420</v>
      </c>
      <c r="B3676" s="154" t="s">
        <v>7419</v>
      </c>
    </row>
    <row r="3677" spans="1:2" x14ac:dyDescent="0.2">
      <c r="A3677" s="153" t="s">
        <v>1065</v>
      </c>
      <c r="B3677" s="154" t="s">
        <v>9918</v>
      </c>
    </row>
    <row r="3678" spans="1:2" x14ac:dyDescent="0.2">
      <c r="A3678" s="153" t="s">
        <v>7422</v>
      </c>
      <c r="B3678" s="154" t="s">
        <v>7421</v>
      </c>
    </row>
    <row r="3679" spans="1:2" x14ac:dyDescent="0.2">
      <c r="A3679" s="153" t="s">
        <v>7424</v>
      </c>
      <c r="B3679" s="154" t="s">
        <v>7423</v>
      </c>
    </row>
    <row r="3680" spans="1:2" x14ac:dyDescent="0.2">
      <c r="A3680" s="153" t="s">
        <v>1065</v>
      </c>
      <c r="B3680" s="154" t="s">
        <v>7425</v>
      </c>
    </row>
    <row r="3681" spans="1:2" x14ac:dyDescent="0.2">
      <c r="A3681" s="153" t="s">
        <v>7427</v>
      </c>
      <c r="B3681" s="154" t="s">
        <v>7426</v>
      </c>
    </row>
    <row r="3682" spans="1:2" x14ac:dyDescent="0.2">
      <c r="A3682" s="153" t="s">
        <v>7429</v>
      </c>
      <c r="B3682" s="154" t="s">
        <v>7428</v>
      </c>
    </row>
    <row r="3683" spans="1:2" x14ac:dyDescent="0.2">
      <c r="A3683" s="153" t="s">
        <v>7431</v>
      </c>
      <c r="B3683" s="154" t="s">
        <v>7430</v>
      </c>
    </row>
    <row r="3684" spans="1:2" x14ac:dyDescent="0.2">
      <c r="A3684" s="153" t="s">
        <v>7433</v>
      </c>
      <c r="B3684" s="154" t="s">
        <v>7432</v>
      </c>
    </row>
    <row r="3685" spans="1:2" x14ac:dyDescent="0.2">
      <c r="A3685" s="153" t="s">
        <v>7435</v>
      </c>
      <c r="B3685" s="154" t="s">
        <v>7434</v>
      </c>
    </row>
    <row r="3686" spans="1:2" x14ac:dyDescent="0.2">
      <c r="A3686" s="153" t="s">
        <v>7437</v>
      </c>
      <c r="B3686" s="154" t="s">
        <v>7436</v>
      </c>
    </row>
    <row r="3687" spans="1:2" x14ac:dyDescent="0.2">
      <c r="A3687" s="153" t="s">
        <v>7439</v>
      </c>
      <c r="B3687" s="154" t="s">
        <v>7438</v>
      </c>
    </row>
    <row r="3688" spans="1:2" x14ac:dyDescent="0.2">
      <c r="A3688" s="153" t="s">
        <v>7441</v>
      </c>
      <c r="B3688" s="154" t="s">
        <v>7440</v>
      </c>
    </row>
    <row r="3689" spans="1:2" x14ac:dyDescent="0.2">
      <c r="A3689" s="153" t="s">
        <v>7443</v>
      </c>
      <c r="B3689" s="154" t="s">
        <v>7442</v>
      </c>
    </row>
    <row r="3690" spans="1:2" x14ac:dyDescent="0.2">
      <c r="A3690" s="153" t="s">
        <v>7445</v>
      </c>
      <c r="B3690" s="154" t="s">
        <v>7444</v>
      </c>
    </row>
    <row r="3691" spans="1:2" x14ac:dyDescent="0.2">
      <c r="A3691" s="153" t="s">
        <v>7447</v>
      </c>
      <c r="B3691" s="154" t="s">
        <v>7446</v>
      </c>
    </row>
    <row r="3692" spans="1:2" x14ac:dyDescent="0.2">
      <c r="A3692" s="153" t="s">
        <v>7449</v>
      </c>
      <c r="B3692" s="154" t="s">
        <v>7448</v>
      </c>
    </row>
    <row r="3693" spans="1:2" x14ac:dyDescent="0.2">
      <c r="A3693" s="153" t="s">
        <v>7451</v>
      </c>
      <c r="B3693" s="154" t="s">
        <v>7450</v>
      </c>
    </row>
    <row r="3694" spans="1:2" x14ac:dyDescent="0.2">
      <c r="A3694" s="153" t="s">
        <v>7453</v>
      </c>
      <c r="B3694" s="154" t="s">
        <v>7452</v>
      </c>
    </row>
    <row r="3695" spans="1:2" x14ac:dyDescent="0.2">
      <c r="A3695" s="153" t="s">
        <v>7455</v>
      </c>
      <c r="B3695" s="154" t="s">
        <v>7454</v>
      </c>
    </row>
    <row r="3696" spans="1:2" x14ac:dyDescent="0.2">
      <c r="A3696" s="153" t="s">
        <v>7457</v>
      </c>
      <c r="B3696" s="154" t="s">
        <v>7456</v>
      </c>
    </row>
    <row r="3697" spans="1:2" x14ac:dyDescent="0.2">
      <c r="A3697" s="153" t="s">
        <v>1065</v>
      </c>
      <c r="B3697" s="154" t="s">
        <v>7458</v>
      </c>
    </row>
    <row r="3698" spans="1:2" x14ac:dyDescent="0.2">
      <c r="A3698" s="153" t="s">
        <v>7460</v>
      </c>
      <c r="B3698" s="154" t="s">
        <v>7459</v>
      </c>
    </row>
    <row r="3699" spans="1:2" x14ac:dyDescent="0.2">
      <c r="A3699" s="153" t="s">
        <v>1065</v>
      </c>
      <c r="B3699" s="154" t="s">
        <v>7461</v>
      </c>
    </row>
    <row r="3700" spans="1:2" x14ac:dyDescent="0.2">
      <c r="A3700" s="153" t="s">
        <v>7463</v>
      </c>
      <c r="B3700" s="154" t="s">
        <v>7462</v>
      </c>
    </row>
    <row r="3701" spans="1:2" x14ac:dyDescent="0.2">
      <c r="A3701" s="153" t="s">
        <v>7465</v>
      </c>
      <c r="B3701" s="154" t="s">
        <v>7464</v>
      </c>
    </row>
    <row r="3702" spans="1:2" x14ac:dyDescent="0.2">
      <c r="A3702" s="153" t="s">
        <v>7467</v>
      </c>
      <c r="B3702" s="154" t="s">
        <v>7466</v>
      </c>
    </row>
    <row r="3703" spans="1:2" x14ac:dyDescent="0.2">
      <c r="A3703" s="153" t="s">
        <v>7469</v>
      </c>
      <c r="B3703" s="154" t="s">
        <v>7468</v>
      </c>
    </row>
    <row r="3704" spans="1:2" x14ac:dyDescent="0.2">
      <c r="A3704" s="153" t="s">
        <v>7471</v>
      </c>
      <c r="B3704" s="154" t="s">
        <v>7470</v>
      </c>
    </row>
    <row r="3705" spans="1:2" x14ac:dyDescent="0.2">
      <c r="A3705" s="153" t="s">
        <v>7473</v>
      </c>
      <c r="B3705" s="154" t="s">
        <v>7472</v>
      </c>
    </row>
    <row r="3706" spans="1:2" x14ac:dyDescent="0.2">
      <c r="A3706" s="153" t="s">
        <v>7475</v>
      </c>
      <c r="B3706" s="154" t="s">
        <v>7474</v>
      </c>
    </row>
    <row r="3707" spans="1:2" x14ac:dyDescent="0.2">
      <c r="A3707" s="153" t="s">
        <v>1065</v>
      </c>
      <c r="B3707" s="154" t="s">
        <v>7476</v>
      </c>
    </row>
    <row r="3708" spans="1:2" x14ac:dyDescent="0.2">
      <c r="A3708" s="153" t="s">
        <v>1065</v>
      </c>
      <c r="B3708" s="154" t="s">
        <v>7477</v>
      </c>
    </row>
    <row r="3709" spans="1:2" x14ac:dyDescent="0.2">
      <c r="A3709" s="153" t="s">
        <v>7479</v>
      </c>
      <c r="B3709" s="154" t="s">
        <v>7478</v>
      </c>
    </row>
    <row r="3710" spans="1:2" x14ac:dyDescent="0.2">
      <c r="A3710" s="153" t="s">
        <v>7481</v>
      </c>
      <c r="B3710" s="154" t="s">
        <v>7480</v>
      </c>
    </row>
    <row r="3711" spans="1:2" x14ac:dyDescent="0.2">
      <c r="A3711" s="153" t="s">
        <v>7483</v>
      </c>
      <c r="B3711" s="154" t="s">
        <v>7482</v>
      </c>
    </row>
    <row r="3712" spans="1:2" x14ac:dyDescent="0.2">
      <c r="A3712" s="153" t="s">
        <v>7485</v>
      </c>
      <c r="B3712" s="154" t="s">
        <v>7484</v>
      </c>
    </row>
    <row r="3713" spans="1:2" x14ac:dyDescent="0.2">
      <c r="A3713" s="153" t="s">
        <v>7487</v>
      </c>
      <c r="B3713" s="154" t="s">
        <v>7486</v>
      </c>
    </row>
    <row r="3714" spans="1:2" x14ac:dyDescent="0.2">
      <c r="A3714" s="153" t="s">
        <v>7489</v>
      </c>
      <c r="B3714" s="154" t="s">
        <v>7488</v>
      </c>
    </row>
    <row r="3715" spans="1:2" x14ac:dyDescent="0.2">
      <c r="A3715" s="153" t="s">
        <v>7491</v>
      </c>
      <c r="B3715" s="154" t="s">
        <v>7490</v>
      </c>
    </row>
    <row r="3716" spans="1:2" x14ac:dyDescent="0.2">
      <c r="A3716" s="153" t="s">
        <v>7493</v>
      </c>
      <c r="B3716" s="154" t="s">
        <v>7492</v>
      </c>
    </row>
    <row r="3717" spans="1:2" x14ac:dyDescent="0.2">
      <c r="A3717" s="153" t="s">
        <v>7495</v>
      </c>
      <c r="B3717" s="154" t="s">
        <v>7494</v>
      </c>
    </row>
    <row r="3718" spans="1:2" x14ac:dyDescent="0.2">
      <c r="A3718" s="153" t="s">
        <v>7497</v>
      </c>
      <c r="B3718" s="154" t="s">
        <v>7496</v>
      </c>
    </row>
    <row r="3719" spans="1:2" x14ac:dyDescent="0.2">
      <c r="A3719" s="153" t="s">
        <v>7499</v>
      </c>
      <c r="B3719" s="154" t="s">
        <v>7498</v>
      </c>
    </row>
    <row r="3720" spans="1:2" x14ac:dyDescent="0.2">
      <c r="A3720" s="153" t="s">
        <v>1065</v>
      </c>
      <c r="B3720" s="154" t="s">
        <v>7500</v>
      </c>
    </row>
    <row r="3721" spans="1:2" x14ac:dyDescent="0.2">
      <c r="A3721" s="153" t="s">
        <v>7502</v>
      </c>
      <c r="B3721" s="154" t="s">
        <v>7501</v>
      </c>
    </row>
    <row r="3722" spans="1:2" ht="28.5" x14ac:dyDescent="0.2">
      <c r="A3722" s="153" t="s">
        <v>7504</v>
      </c>
      <c r="B3722" s="154" t="s">
        <v>7503</v>
      </c>
    </row>
    <row r="3723" spans="1:2" x14ac:dyDescent="0.2">
      <c r="A3723" s="153" t="s">
        <v>7506</v>
      </c>
      <c r="B3723" s="154" t="s">
        <v>7505</v>
      </c>
    </row>
    <row r="3724" spans="1:2" x14ac:dyDescent="0.2">
      <c r="A3724" s="153" t="s">
        <v>7508</v>
      </c>
      <c r="B3724" s="154" t="s">
        <v>7507</v>
      </c>
    </row>
    <row r="3725" spans="1:2" x14ac:dyDescent="0.2">
      <c r="A3725" s="153" t="s">
        <v>7510</v>
      </c>
      <c r="B3725" s="154" t="s">
        <v>7509</v>
      </c>
    </row>
    <row r="3726" spans="1:2" x14ac:dyDescent="0.2">
      <c r="A3726" s="153" t="s">
        <v>7512</v>
      </c>
      <c r="B3726" s="154" t="s">
        <v>7511</v>
      </c>
    </row>
    <row r="3727" spans="1:2" x14ac:dyDescent="0.2">
      <c r="A3727" s="153" t="s">
        <v>9482</v>
      </c>
      <c r="B3727" s="154" t="s">
        <v>7513</v>
      </c>
    </row>
    <row r="3728" spans="1:2" ht="28.5" x14ac:dyDescent="0.2">
      <c r="A3728" s="153" t="s">
        <v>9483</v>
      </c>
      <c r="B3728" s="154" t="s">
        <v>7514</v>
      </c>
    </row>
    <row r="3729" spans="1:2" ht="28.5" x14ac:dyDescent="0.2">
      <c r="A3729" s="153" t="s">
        <v>7516</v>
      </c>
      <c r="B3729" s="154" t="s">
        <v>7515</v>
      </c>
    </row>
    <row r="3730" spans="1:2" x14ac:dyDescent="0.2">
      <c r="A3730" s="153" t="s">
        <v>9484</v>
      </c>
      <c r="B3730" s="154" t="s">
        <v>7517</v>
      </c>
    </row>
    <row r="3731" spans="1:2" ht="28.5" x14ac:dyDescent="0.2">
      <c r="A3731" s="153" t="s">
        <v>9485</v>
      </c>
      <c r="B3731" s="154" t="s">
        <v>7518</v>
      </c>
    </row>
    <row r="3732" spans="1:2" ht="28.5" x14ac:dyDescent="0.2">
      <c r="A3732" s="153" t="s">
        <v>7520</v>
      </c>
      <c r="B3732" s="154" t="s">
        <v>7519</v>
      </c>
    </row>
    <row r="3733" spans="1:2" x14ac:dyDescent="0.2">
      <c r="A3733" s="153" t="s">
        <v>7522</v>
      </c>
      <c r="B3733" s="154" t="s">
        <v>7521</v>
      </c>
    </row>
    <row r="3734" spans="1:2" x14ac:dyDescent="0.2">
      <c r="A3734" s="153" t="s">
        <v>7524</v>
      </c>
      <c r="B3734" s="154" t="s">
        <v>7523</v>
      </c>
    </row>
    <row r="3735" spans="1:2" x14ac:dyDescent="0.2">
      <c r="A3735" s="153" t="s">
        <v>7526</v>
      </c>
      <c r="B3735" s="154" t="s">
        <v>7525</v>
      </c>
    </row>
    <row r="3736" spans="1:2" x14ac:dyDescent="0.2">
      <c r="A3736" s="153" t="s">
        <v>7528</v>
      </c>
      <c r="B3736" s="154" t="s">
        <v>7527</v>
      </c>
    </row>
    <row r="3737" spans="1:2" x14ac:dyDescent="0.2">
      <c r="A3737" s="153" t="s">
        <v>7530</v>
      </c>
      <c r="B3737" s="154" t="s">
        <v>7529</v>
      </c>
    </row>
    <row r="3738" spans="1:2" x14ac:dyDescent="0.2">
      <c r="A3738" s="153" t="s">
        <v>7532</v>
      </c>
      <c r="B3738" s="154" t="s">
        <v>7531</v>
      </c>
    </row>
    <row r="3739" spans="1:2" x14ac:dyDescent="0.2">
      <c r="A3739" s="153" t="s">
        <v>7534</v>
      </c>
      <c r="B3739" s="154" t="s">
        <v>7533</v>
      </c>
    </row>
    <row r="3740" spans="1:2" x14ac:dyDescent="0.2">
      <c r="A3740" s="153" t="s">
        <v>7536</v>
      </c>
      <c r="B3740" s="154" t="s">
        <v>7535</v>
      </c>
    </row>
    <row r="3741" spans="1:2" x14ac:dyDescent="0.2">
      <c r="A3741" s="153" t="s">
        <v>7538</v>
      </c>
      <c r="B3741" s="154" t="s">
        <v>7537</v>
      </c>
    </row>
    <row r="3742" spans="1:2" x14ac:dyDescent="0.2">
      <c r="A3742" s="153" t="s">
        <v>7540</v>
      </c>
      <c r="B3742" s="154" t="s">
        <v>7539</v>
      </c>
    </row>
    <row r="3743" spans="1:2" x14ac:dyDescent="0.2">
      <c r="A3743" s="153" t="s">
        <v>7542</v>
      </c>
      <c r="B3743" s="154" t="s">
        <v>7541</v>
      </c>
    </row>
    <row r="3744" spans="1:2" x14ac:dyDescent="0.2">
      <c r="A3744" s="153" t="s">
        <v>7544</v>
      </c>
      <c r="B3744" s="154" t="s">
        <v>7543</v>
      </c>
    </row>
    <row r="3745" spans="1:2" x14ac:dyDescent="0.2">
      <c r="A3745" s="153" t="s">
        <v>7546</v>
      </c>
      <c r="B3745" s="154" t="s">
        <v>7545</v>
      </c>
    </row>
    <row r="3746" spans="1:2" x14ac:dyDescent="0.2">
      <c r="A3746" s="153" t="s">
        <v>7548</v>
      </c>
      <c r="B3746" s="154" t="s">
        <v>7547</v>
      </c>
    </row>
    <row r="3747" spans="1:2" x14ac:dyDescent="0.2">
      <c r="A3747" s="153" t="s">
        <v>7550</v>
      </c>
      <c r="B3747" s="154" t="s">
        <v>7549</v>
      </c>
    </row>
    <row r="3748" spans="1:2" x14ac:dyDescent="0.2">
      <c r="A3748" s="153" t="s">
        <v>7552</v>
      </c>
      <c r="B3748" s="154" t="s">
        <v>7551</v>
      </c>
    </row>
    <row r="3749" spans="1:2" x14ac:dyDescent="0.2">
      <c r="A3749" s="153" t="s">
        <v>7554</v>
      </c>
      <c r="B3749" s="154" t="s">
        <v>7553</v>
      </c>
    </row>
    <row r="3750" spans="1:2" x14ac:dyDescent="0.2">
      <c r="A3750" s="153" t="s">
        <v>7556</v>
      </c>
      <c r="B3750" s="154" t="s">
        <v>7555</v>
      </c>
    </row>
    <row r="3751" spans="1:2" x14ac:dyDescent="0.2">
      <c r="A3751" s="153" t="s">
        <v>1065</v>
      </c>
      <c r="B3751" s="154" t="s">
        <v>7557</v>
      </c>
    </row>
    <row r="3752" spans="1:2" x14ac:dyDescent="0.2">
      <c r="A3752" s="153" t="s">
        <v>7559</v>
      </c>
      <c r="B3752" s="154" t="s">
        <v>7558</v>
      </c>
    </row>
    <row r="3753" spans="1:2" x14ac:dyDescent="0.2">
      <c r="A3753" s="153" t="s">
        <v>7561</v>
      </c>
      <c r="B3753" s="154" t="s">
        <v>7560</v>
      </c>
    </row>
    <row r="3754" spans="1:2" x14ac:dyDescent="0.2">
      <c r="A3754" s="153" t="s">
        <v>1065</v>
      </c>
      <c r="B3754" s="154" t="s">
        <v>7562</v>
      </c>
    </row>
    <row r="3755" spans="1:2" x14ac:dyDescent="0.2">
      <c r="A3755" s="153" t="s">
        <v>7564</v>
      </c>
      <c r="B3755" s="154" t="s">
        <v>7563</v>
      </c>
    </row>
    <row r="3756" spans="1:2" x14ac:dyDescent="0.2">
      <c r="A3756" s="153" t="s">
        <v>7566</v>
      </c>
      <c r="B3756" s="154" t="s">
        <v>7565</v>
      </c>
    </row>
    <row r="3757" spans="1:2" x14ac:dyDescent="0.2">
      <c r="A3757" s="153" t="s">
        <v>7568</v>
      </c>
      <c r="B3757" s="154" t="s">
        <v>7567</v>
      </c>
    </row>
    <row r="3758" spans="1:2" x14ac:dyDescent="0.2">
      <c r="A3758" s="153" t="s">
        <v>7570</v>
      </c>
      <c r="B3758" s="154" t="s">
        <v>7569</v>
      </c>
    </row>
    <row r="3759" spans="1:2" x14ac:dyDescent="0.2">
      <c r="A3759" s="153" t="s">
        <v>7572</v>
      </c>
      <c r="B3759" s="154" t="s">
        <v>7571</v>
      </c>
    </row>
    <row r="3760" spans="1:2" x14ac:dyDescent="0.2">
      <c r="A3760" s="153" t="s">
        <v>1065</v>
      </c>
      <c r="B3760" s="154" t="s">
        <v>7573</v>
      </c>
    </row>
    <row r="3761" spans="1:2" x14ac:dyDescent="0.2">
      <c r="A3761" s="153" t="s">
        <v>7575</v>
      </c>
      <c r="B3761" s="154" t="s">
        <v>7574</v>
      </c>
    </row>
    <row r="3762" spans="1:2" x14ac:dyDescent="0.2">
      <c r="A3762" s="153" t="s">
        <v>7577</v>
      </c>
      <c r="B3762" s="154" t="s">
        <v>7576</v>
      </c>
    </row>
    <row r="3763" spans="1:2" x14ac:dyDescent="0.2">
      <c r="A3763" s="153" t="s">
        <v>7579</v>
      </c>
      <c r="B3763" s="154" t="s">
        <v>7578</v>
      </c>
    </row>
    <row r="3764" spans="1:2" x14ac:dyDescent="0.2">
      <c r="A3764" s="153" t="s">
        <v>7581</v>
      </c>
      <c r="B3764" s="154" t="s">
        <v>7580</v>
      </c>
    </row>
    <row r="3765" spans="1:2" x14ac:dyDescent="0.2">
      <c r="A3765" s="153" t="s">
        <v>7583</v>
      </c>
      <c r="B3765" s="154" t="s">
        <v>7582</v>
      </c>
    </row>
    <row r="3766" spans="1:2" x14ac:dyDescent="0.2">
      <c r="A3766" s="153" t="s">
        <v>7585</v>
      </c>
      <c r="B3766" s="154" t="s">
        <v>7584</v>
      </c>
    </row>
    <row r="3767" spans="1:2" x14ac:dyDescent="0.2">
      <c r="A3767" s="153" t="s">
        <v>1065</v>
      </c>
      <c r="B3767" s="154" t="s">
        <v>7586</v>
      </c>
    </row>
    <row r="3768" spans="1:2" x14ac:dyDescent="0.2">
      <c r="A3768" s="153" t="s">
        <v>7588</v>
      </c>
      <c r="B3768" s="154" t="s">
        <v>7587</v>
      </c>
    </row>
    <row r="3769" spans="1:2" x14ac:dyDescent="0.2">
      <c r="A3769" s="153" t="s">
        <v>7590</v>
      </c>
      <c r="B3769" s="154" t="s">
        <v>7589</v>
      </c>
    </row>
    <row r="3770" spans="1:2" x14ac:dyDescent="0.2">
      <c r="A3770" s="153" t="s">
        <v>7592</v>
      </c>
      <c r="B3770" s="154" t="s">
        <v>7591</v>
      </c>
    </row>
    <row r="3771" spans="1:2" x14ac:dyDescent="0.2">
      <c r="A3771" s="153" t="s">
        <v>7594</v>
      </c>
      <c r="B3771" s="154" t="s">
        <v>7593</v>
      </c>
    </row>
    <row r="3772" spans="1:2" x14ac:dyDescent="0.2">
      <c r="A3772" s="153" t="s">
        <v>7596</v>
      </c>
      <c r="B3772" s="154" t="s">
        <v>7595</v>
      </c>
    </row>
    <row r="3773" spans="1:2" x14ac:dyDescent="0.2">
      <c r="A3773" s="153" t="s">
        <v>7598</v>
      </c>
      <c r="B3773" s="154" t="s">
        <v>7597</v>
      </c>
    </row>
    <row r="3774" spans="1:2" x14ac:dyDescent="0.2">
      <c r="A3774" s="153" t="s">
        <v>7600</v>
      </c>
      <c r="B3774" s="154" t="s">
        <v>7599</v>
      </c>
    </row>
    <row r="3775" spans="1:2" x14ac:dyDescent="0.2">
      <c r="A3775" s="153" t="s">
        <v>7602</v>
      </c>
      <c r="B3775" s="154" t="s">
        <v>7601</v>
      </c>
    </row>
    <row r="3776" spans="1:2" x14ac:dyDescent="0.2">
      <c r="A3776" s="153" t="s">
        <v>7604</v>
      </c>
      <c r="B3776" s="154" t="s">
        <v>7603</v>
      </c>
    </row>
    <row r="3777" spans="1:2" x14ac:dyDescent="0.2">
      <c r="A3777" s="153" t="s">
        <v>7606</v>
      </c>
      <c r="B3777" s="154" t="s">
        <v>7605</v>
      </c>
    </row>
    <row r="3778" spans="1:2" x14ac:dyDescent="0.2">
      <c r="A3778" s="153" t="s">
        <v>7608</v>
      </c>
      <c r="B3778" s="154" t="s">
        <v>7607</v>
      </c>
    </row>
    <row r="3779" spans="1:2" x14ac:dyDescent="0.2">
      <c r="A3779" s="153" t="s">
        <v>7610</v>
      </c>
      <c r="B3779" s="154" t="s">
        <v>7609</v>
      </c>
    </row>
    <row r="3780" spans="1:2" x14ac:dyDescent="0.2">
      <c r="A3780" s="153" t="s">
        <v>7612</v>
      </c>
      <c r="B3780" s="154" t="s">
        <v>7611</v>
      </c>
    </row>
    <row r="3781" spans="1:2" x14ac:dyDescent="0.2">
      <c r="A3781" s="153" t="s">
        <v>1065</v>
      </c>
      <c r="B3781" s="154" t="s">
        <v>7613</v>
      </c>
    </row>
    <row r="3782" spans="1:2" x14ac:dyDescent="0.2">
      <c r="A3782" s="153" t="s">
        <v>7615</v>
      </c>
      <c r="B3782" s="154" t="s">
        <v>7614</v>
      </c>
    </row>
    <row r="3783" spans="1:2" x14ac:dyDescent="0.2">
      <c r="A3783" s="153" t="s">
        <v>7617</v>
      </c>
      <c r="B3783" s="154" t="s">
        <v>7616</v>
      </c>
    </row>
    <row r="3784" spans="1:2" x14ac:dyDescent="0.2">
      <c r="A3784" s="153" t="s">
        <v>7619</v>
      </c>
      <c r="B3784" s="154" t="s">
        <v>7618</v>
      </c>
    </row>
    <row r="3785" spans="1:2" x14ac:dyDescent="0.2">
      <c r="A3785" s="153" t="s">
        <v>7621</v>
      </c>
      <c r="B3785" s="154" t="s">
        <v>7620</v>
      </c>
    </row>
    <row r="3786" spans="1:2" x14ac:dyDescent="0.2">
      <c r="A3786" s="153" t="s">
        <v>7623</v>
      </c>
      <c r="B3786" s="154" t="s">
        <v>7622</v>
      </c>
    </row>
    <row r="3787" spans="1:2" x14ac:dyDescent="0.2">
      <c r="A3787" s="153" t="s">
        <v>7625</v>
      </c>
      <c r="B3787" s="154" t="s">
        <v>7624</v>
      </c>
    </row>
    <row r="3788" spans="1:2" x14ac:dyDescent="0.2">
      <c r="A3788" s="153" t="s">
        <v>7627</v>
      </c>
      <c r="B3788" s="154" t="s">
        <v>7626</v>
      </c>
    </row>
    <row r="3789" spans="1:2" x14ac:dyDescent="0.2">
      <c r="A3789" s="153" t="s">
        <v>7629</v>
      </c>
      <c r="B3789" s="154" t="s">
        <v>7628</v>
      </c>
    </row>
    <row r="3790" spans="1:2" x14ac:dyDescent="0.2">
      <c r="A3790" s="153" t="s">
        <v>7631</v>
      </c>
      <c r="B3790" s="154" t="s">
        <v>7630</v>
      </c>
    </row>
    <row r="3791" spans="1:2" x14ac:dyDescent="0.2">
      <c r="A3791" s="153" t="s">
        <v>7633</v>
      </c>
      <c r="B3791" s="154" t="s">
        <v>7632</v>
      </c>
    </row>
    <row r="3792" spans="1:2" x14ac:dyDescent="0.2">
      <c r="A3792" s="153" t="s">
        <v>7635</v>
      </c>
      <c r="B3792" s="154" t="s">
        <v>7634</v>
      </c>
    </row>
    <row r="3793" spans="1:2" x14ac:dyDescent="0.2">
      <c r="A3793" s="153" t="s">
        <v>7637</v>
      </c>
      <c r="B3793" s="154" t="s">
        <v>7636</v>
      </c>
    </row>
    <row r="3794" spans="1:2" x14ac:dyDescent="0.2">
      <c r="A3794" s="153" t="s">
        <v>7639</v>
      </c>
      <c r="B3794" s="154" t="s">
        <v>7638</v>
      </c>
    </row>
    <row r="3795" spans="1:2" x14ac:dyDescent="0.2">
      <c r="A3795" s="153" t="s">
        <v>7641</v>
      </c>
      <c r="B3795" s="154" t="s">
        <v>7640</v>
      </c>
    </row>
    <row r="3796" spans="1:2" x14ac:dyDescent="0.2">
      <c r="A3796" s="153" t="s">
        <v>9873</v>
      </c>
      <c r="B3796" s="154" t="s">
        <v>7642</v>
      </c>
    </row>
    <row r="3797" spans="1:2" x14ac:dyDescent="0.2">
      <c r="A3797" s="153" t="s">
        <v>7644</v>
      </c>
      <c r="B3797" s="154" t="s">
        <v>7643</v>
      </c>
    </row>
    <row r="3798" spans="1:2" x14ac:dyDescent="0.2">
      <c r="A3798" s="153" t="s">
        <v>7646</v>
      </c>
      <c r="B3798" s="154" t="s">
        <v>7645</v>
      </c>
    </row>
    <row r="3799" spans="1:2" x14ac:dyDescent="0.2">
      <c r="A3799" s="153" t="s">
        <v>7648</v>
      </c>
      <c r="B3799" s="154" t="s">
        <v>7647</v>
      </c>
    </row>
    <row r="3800" spans="1:2" x14ac:dyDescent="0.2">
      <c r="A3800" s="153" t="s">
        <v>7650</v>
      </c>
      <c r="B3800" s="154" t="s">
        <v>7649</v>
      </c>
    </row>
    <row r="3801" spans="1:2" x14ac:dyDescent="0.2">
      <c r="A3801" s="153" t="s">
        <v>7652</v>
      </c>
      <c r="B3801" s="154" t="s">
        <v>7651</v>
      </c>
    </row>
    <row r="3802" spans="1:2" x14ac:dyDescent="0.2">
      <c r="A3802" s="153" t="s">
        <v>7654</v>
      </c>
      <c r="B3802" s="154" t="s">
        <v>7653</v>
      </c>
    </row>
    <row r="3803" spans="1:2" x14ac:dyDescent="0.2">
      <c r="A3803" s="153" t="s">
        <v>7656</v>
      </c>
      <c r="B3803" s="154" t="s">
        <v>7655</v>
      </c>
    </row>
    <row r="3804" spans="1:2" x14ac:dyDescent="0.2">
      <c r="A3804" s="153" t="s">
        <v>1065</v>
      </c>
      <c r="B3804" s="154" t="s">
        <v>7657</v>
      </c>
    </row>
    <row r="3805" spans="1:2" x14ac:dyDescent="0.2">
      <c r="A3805" s="153" t="s">
        <v>7659</v>
      </c>
      <c r="B3805" s="154" t="s">
        <v>7658</v>
      </c>
    </row>
    <row r="3806" spans="1:2" x14ac:dyDescent="0.2">
      <c r="A3806" s="153" t="s">
        <v>1065</v>
      </c>
      <c r="B3806" s="154" t="s">
        <v>7660</v>
      </c>
    </row>
    <row r="3807" spans="1:2" x14ac:dyDescent="0.2">
      <c r="A3807" s="153" t="s">
        <v>7662</v>
      </c>
      <c r="B3807" s="154" t="s">
        <v>7661</v>
      </c>
    </row>
    <row r="3808" spans="1:2" x14ac:dyDescent="0.2">
      <c r="A3808" s="153" t="s">
        <v>7664</v>
      </c>
      <c r="B3808" s="154" t="s">
        <v>7663</v>
      </c>
    </row>
    <row r="3809" spans="1:2" x14ac:dyDescent="0.2">
      <c r="A3809" s="153" t="s">
        <v>7666</v>
      </c>
      <c r="B3809" s="154" t="s">
        <v>7665</v>
      </c>
    </row>
    <row r="3810" spans="1:2" x14ac:dyDescent="0.2">
      <c r="A3810" s="153" t="s">
        <v>7668</v>
      </c>
      <c r="B3810" s="154" t="s">
        <v>7667</v>
      </c>
    </row>
    <row r="3811" spans="1:2" x14ac:dyDescent="0.2">
      <c r="A3811" s="153" t="s">
        <v>1065</v>
      </c>
      <c r="B3811" s="154" t="s">
        <v>7669</v>
      </c>
    </row>
    <row r="3812" spans="1:2" x14ac:dyDescent="0.2">
      <c r="A3812" s="153" t="s">
        <v>7671</v>
      </c>
      <c r="B3812" s="154" t="s">
        <v>7670</v>
      </c>
    </row>
    <row r="3813" spans="1:2" x14ac:dyDescent="0.2">
      <c r="A3813" s="153" t="s">
        <v>7673</v>
      </c>
      <c r="B3813" s="154" t="s">
        <v>7672</v>
      </c>
    </row>
    <row r="3814" spans="1:2" x14ac:dyDescent="0.2">
      <c r="A3814" s="153" t="s">
        <v>7675</v>
      </c>
      <c r="B3814" s="154" t="s">
        <v>7674</v>
      </c>
    </row>
    <row r="3815" spans="1:2" x14ac:dyDescent="0.2">
      <c r="A3815" s="153" t="s">
        <v>7677</v>
      </c>
      <c r="B3815" s="154" t="s">
        <v>7676</v>
      </c>
    </row>
    <row r="3816" spans="1:2" x14ac:dyDescent="0.2">
      <c r="A3816" s="153" t="s">
        <v>7679</v>
      </c>
      <c r="B3816" s="154" t="s">
        <v>7678</v>
      </c>
    </row>
    <row r="3817" spans="1:2" x14ac:dyDescent="0.2">
      <c r="A3817" s="153" t="s">
        <v>7681</v>
      </c>
      <c r="B3817" s="154" t="s">
        <v>7680</v>
      </c>
    </row>
    <row r="3818" spans="1:2" x14ac:dyDescent="0.2">
      <c r="A3818" s="153" t="s">
        <v>7683</v>
      </c>
      <c r="B3818" s="154" t="s">
        <v>7682</v>
      </c>
    </row>
    <row r="3819" spans="1:2" x14ac:dyDescent="0.2">
      <c r="A3819" s="153" t="s">
        <v>7685</v>
      </c>
      <c r="B3819" s="154" t="s">
        <v>7684</v>
      </c>
    </row>
    <row r="3820" spans="1:2" x14ac:dyDescent="0.2">
      <c r="A3820" s="153" t="s">
        <v>7687</v>
      </c>
      <c r="B3820" s="154" t="s">
        <v>7686</v>
      </c>
    </row>
    <row r="3821" spans="1:2" x14ac:dyDescent="0.2">
      <c r="A3821" s="153" t="s">
        <v>7689</v>
      </c>
      <c r="B3821" s="154" t="s">
        <v>7688</v>
      </c>
    </row>
    <row r="3822" spans="1:2" x14ac:dyDescent="0.2">
      <c r="A3822" s="153" t="s">
        <v>7691</v>
      </c>
      <c r="B3822" s="154" t="s">
        <v>7690</v>
      </c>
    </row>
    <row r="3823" spans="1:2" x14ac:dyDescent="0.2">
      <c r="A3823" s="153" t="s">
        <v>7693</v>
      </c>
      <c r="B3823" s="154" t="s">
        <v>7692</v>
      </c>
    </row>
    <row r="3824" spans="1:2" x14ac:dyDescent="0.2">
      <c r="A3824" s="153" t="s">
        <v>7695</v>
      </c>
      <c r="B3824" s="154" t="s">
        <v>7694</v>
      </c>
    </row>
    <row r="3825" spans="1:2" x14ac:dyDescent="0.2">
      <c r="A3825" s="153" t="s">
        <v>1065</v>
      </c>
      <c r="B3825" s="154" t="s">
        <v>7696</v>
      </c>
    </row>
    <row r="3826" spans="1:2" x14ac:dyDescent="0.2">
      <c r="A3826" s="153" t="s">
        <v>1065</v>
      </c>
      <c r="B3826" s="154" t="s">
        <v>7697</v>
      </c>
    </row>
    <row r="3827" spans="1:2" x14ac:dyDescent="0.2">
      <c r="A3827" s="153" t="s">
        <v>7699</v>
      </c>
      <c r="B3827" s="154" t="s">
        <v>7698</v>
      </c>
    </row>
    <row r="3828" spans="1:2" x14ac:dyDescent="0.2">
      <c r="A3828" s="153" t="s">
        <v>1065</v>
      </c>
      <c r="B3828" s="154" t="s">
        <v>7700</v>
      </c>
    </row>
    <row r="3829" spans="1:2" x14ac:dyDescent="0.2">
      <c r="A3829" s="153" t="s">
        <v>7702</v>
      </c>
      <c r="B3829" s="154" t="s">
        <v>7701</v>
      </c>
    </row>
    <row r="3830" spans="1:2" x14ac:dyDescent="0.2">
      <c r="A3830" s="153" t="s">
        <v>7704</v>
      </c>
      <c r="B3830" s="154" t="s">
        <v>7703</v>
      </c>
    </row>
    <row r="3831" spans="1:2" x14ac:dyDescent="0.2">
      <c r="A3831" s="153" t="s">
        <v>7706</v>
      </c>
      <c r="B3831" s="154" t="s">
        <v>7705</v>
      </c>
    </row>
    <row r="3832" spans="1:2" x14ac:dyDescent="0.2">
      <c r="A3832" s="153" t="s">
        <v>7708</v>
      </c>
      <c r="B3832" s="154" t="s">
        <v>7707</v>
      </c>
    </row>
    <row r="3833" spans="1:2" x14ac:dyDescent="0.2">
      <c r="A3833" s="153" t="s">
        <v>7710</v>
      </c>
      <c r="B3833" s="154" t="s">
        <v>7709</v>
      </c>
    </row>
    <row r="3834" spans="1:2" x14ac:dyDescent="0.2">
      <c r="A3834" s="153" t="s">
        <v>7712</v>
      </c>
      <c r="B3834" s="154" t="s">
        <v>7711</v>
      </c>
    </row>
    <row r="3835" spans="1:2" x14ac:dyDescent="0.2">
      <c r="A3835" s="153" t="s">
        <v>7714</v>
      </c>
      <c r="B3835" s="154" t="s">
        <v>7713</v>
      </c>
    </row>
    <row r="3836" spans="1:2" x14ac:dyDescent="0.2">
      <c r="A3836" s="153" t="s">
        <v>7716</v>
      </c>
      <c r="B3836" s="154" t="s">
        <v>7715</v>
      </c>
    </row>
    <row r="3837" spans="1:2" x14ac:dyDescent="0.2">
      <c r="A3837" s="153" t="s">
        <v>7718</v>
      </c>
      <c r="B3837" s="154" t="s">
        <v>7717</v>
      </c>
    </row>
    <row r="3838" spans="1:2" x14ac:dyDescent="0.2">
      <c r="A3838" s="153" t="s">
        <v>7720</v>
      </c>
      <c r="B3838" s="154" t="s">
        <v>7719</v>
      </c>
    </row>
    <row r="3839" spans="1:2" x14ac:dyDescent="0.2">
      <c r="A3839" s="153" t="s">
        <v>7722</v>
      </c>
      <c r="B3839" s="154" t="s">
        <v>7721</v>
      </c>
    </row>
    <row r="3840" spans="1:2" x14ac:dyDescent="0.2">
      <c r="A3840" s="153" t="s">
        <v>7724</v>
      </c>
      <c r="B3840" s="154" t="s">
        <v>7723</v>
      </c>
    </row>
    <row r="3841" spans="1:2" x14ac:dyDescent="0.2">
      <c r="A3841" s="153" t="s">
        <v>7726</v>
      </c>
      <c r="B3841" s="154" t="s">
        <v>7725</v>
      </c>
    </row>
    <row r="3842" spans="1:2" x14ac:dyDescent="0.2">
      <c r="A3842" s="153" t="s">
        <v>7728</v>
      </c>
      <c r="B3842" s="154" t="s">
        <v>7727</v>
      </c>
    </row>
    <row r="3843" spans="1:2" x14ac:dyDescent="0.2">
      <c r="A3843" s="153" t="s">
        <v>7730</v>
      </c>
      <c r="B3843" s="154" t="s">
        <v>7729</v>
      </c>
    </row>
    <row r="3844" spans="1:2" x14ac:dyDescent="0.2">
      <c r="A3844" s="153" t="s">
        <v>7732</v>
      </c>
      <c r="B3844" s="154" t="s">
        <v>7731</v>
      </c>
    </row>
    <row r="3845" spans="1:2" x14ac:dyDescent="0.2">
      <c r="A3845" s="153" t="s">
        <v>7734</v>
      </c>
      <c r="B3845" s="154" t="s">
        <v>7733</v>
      </c>
    </row>
    <row r="3846" spans="1:2" x14ac:dyDescent="0.2">
      <c r="A3846" s="153" t="s">
        <v>7736</v>
      </c>
      <c r="B3846" s="154" t="s">
        <v>7735</v>
      </c>
    </row>
    <row r="3847" spans="1:2" x14ac:dyDescent="0.2">
      <c r="A3847" s="153" t="s">
        <v>7738</v>
      </c>
      <c r="B3847" s="154" t="s">
        <v>7737</v>
      </c>
    </row>
    <row r="3848" spans="1:2" x14ac:dyDescent="0.2">
      <c r="A3848" s="153" t="s">
        <v>7740</v>
      </c>
      <c r="B3848" s="154" t="s">
        <v>7739</v>
      </c>
    </row>
    <row r="3849" spans="1:2" x14ac:dyDescent="0.2">
      <c r="A3849" s="153" t="s">
        <v>7742</v>
      </c>
      <c r="B3849" s="154" t="s">
        <v>7741</v>
      </c>
    </row>
    <row r="3850" spans="1:2" x14ac:dyDescent="0.2">
      <c r="A3850" s="153" t="s">
        <v>9486</v>
      </c>
      <c r="B3850" s="154" t="s">
        <v>7743</v>
      </c>
    </row>
    <row r="3851" spans="1:2" ht="28.5" x14ac:dyDescent="0.2">
      <c r="A3851" s="153" t="s">
        <v>9487</v>
      </c>
      <c r="B3851" s="154" t="s">
        <v>7744</v>
      </c>
    </row>
    <row r="3852" spans="1:2" ht="28.5" x14ac:dyDescent="0.2">
      <c r="A3852" s="153" t="s">
        <v>7746</v>
      </c>
      <c r="B3852" s="154" t="s">
        <v>7745</v>
      </c>
    </row>
    <row r="3853" spans="1:2" x14ac:dyDescent="0.2">
      <c r="A3853" s="153" t="s">
        <v>9488</v>
      </c>
      <c r="B3853" s="154" t="s">
        <v>7747</v>
      </c>
    </row>
    <row r="3854" spans="1:2" ht="28.5" x14ac:dyDescent="0.2">
      <c r="A3854" s="153" t="s">
        <v>9489</v>
      </c>
      <c r="B3854" s="154" t="s">
        <v>7748</v>
      </c>
    </row>
    <row r="3855" spans="1:2" ht="28.5" x14ac:dyDescent="0.2">
      <c r="A3855" s="153" t="s">
        <v>7750</v>
      </c>
      <c r="B3855" s="154" t="s">
        <v>7749</v>
      </c>
    </row>
    <row r="3856" spans="1:2" x14ac:dyDescent="0.2">
      <c r="A3856" s="153" t="s">
        <v>7752</v>
      </c>
      <c r="B3856" s="154" t="s">
        <v>7751</v>
      </c>
    </row>
    <row r="3857" spans="1:2" x14ac:dyDescent="0.2">
      <c r="A3857" s="153" t="s">
        <v>7754</v>
      </c>
      <c r="B3857" s="154" t="s">
        <v>7753</v>
      </c>
    </row>
    <row r="3858" spans="1:2" x14ac:dyDescent="0.2">
      <c r="A3858" s="153" t="s">
        <v>7756</v>
      </c>
      <c r="B3858" s="154" t="s">
        <v>7755</v>
      </c>
    </row>
    <row r="3859" spans="1:2" x14ac:dyDescent="0.2">
      <c r="A3859" s="153" t="s">
        <v>9490</v>
      </c>
      <c r="B3859" s="154" t="s">
        <v>7757</v>
      </c>
    </row>
    <row r="3860" spans="1:2" ht="28.5" x14ac:dyDescent="0.2">
      <c r="A3860" s="153" t="s">
        <v>9491</v>
      </c>
      <c r="B3860" s="154" t="s">
        <v>7758</v>
      </c>
    </row>
    <row r="3861" spans="1:2" ht="28.5" x14ac:dyDescent="0.2">
      <c r="A3861" s="153" t="s">
        <v>7760</v>
      </c>
      <c r="B3861" s="154" t="s">
        <v>7759</v>
      </c>
    </row>
    <row r="3862" spans="1:2" x14ac:dyDescent="0.2">
      <c r="A3862" s="153" t="s">
        <v>7762</v>
      </c>
      <c r="B3862" s="154" t="s">
        <v>7761</v>
      </c>
    </row>
    <row r="3863" spans="1:2" x14ac:dyDescent="0.2">
      <c r="A3863" s="153" t="s">
        <v>1065</v>
      </c>
      <c r="B3863" s="154" t="s">
        <v>9919</v>
      </c>
    </row>
    <row r="3864" spans="1:2" x14ac:dyDescent="0.2">
      <c r="A3864" s="153" t="s">
        <v>7764</v>
      </c>
      <c r="B3864" s="154" t="s">
        <v>7763</v>
      </c>
    </row>
    <row r="3865" spans="1:2" ht="28.5" x14ac:dyDescent="0.2">
      <c r="A3865" s="153" t="s">
        <v>7766</v>
      </c>
      <c r="B3865" s="154" t="s">
        <v>7765</v>
      </c>
    </row>
    <row r="3866" spans="1:2" x14ac:dyDescent="0.2">
      <c r="A3866" s="153" t="s">
        <v>7768</v>
      </c>
      <c r="B3866" s="154" t="s">
        <v>7767</v>
      </c>
    </row>
    <row r="3867" spans="1:2" ht="28.5" x14ac:dyDescent="0.2">
      <c r="A3867" s="153" t="s">
        <v>7770</v>
      </c>
      <c r="B3867" s="154" t="s">
        <v>7769</v>
      </c>
    </row>
    <row r="3868" spans="1:2" x14ac:dyDescent="0.2">
      <c r="A3868" s="153" t="s">
        <v>7772</v>
      </c>
      <c r="B3868" s="154" t="s">
        <v>7771</v>
      </c>
    </row>
    <row r="3869" spans="1:2" x14ac:dyDescent="0.2">
      <c r="A3869" s="153" t="s">
        <v>7774</v>
      </c>
      <c r="B3869" s="154" t="s">
        <v>7773</v>
      </c>
    </row>
    <row r="3870" spans="1:2" ht="28.5" x14ac:dyDescent="0.2">
      <c r="A3870" s="153" t="s">
        <v>7776</v>
      </c>
      <c r="B3870" s="154" t="s">
        <v>7775</v>
      </c>
    </row>
    <row r="3871" spans="1:2" ht="28.5" x14ac:dyDescent="0.2">
      <c r="A3871" s="153" t="s">
        <v>7778</v>
      </c>
      <c r="B3871" s="154" t="s">
        <v>7777</v>
      </c>
    </row>
    <row r="3872" spans="1:2" ht="28.5" x14ac:dyDescent="0.2">
      <c r="A3872" s="153" t="s">
        <v>7780</v>
      </c>
      <c r="B3872" s="154" t="s">
        <v>7779</v>
      </c>
    </row>
    <row r="3873" spans="1:2" x14ac:dyDescent="0.2">
      <c r="A3873" s="153" t="s">
        <v>7782</v>
      </c>
      <c r="B3873" s="154" t="s">
        <v>7781</v>
      </c>
    </row>
    <row r="3874" spans="1:2" x14ac:dyDescent="0.2">
      <c r="A3874" s="153" t="s">
        <v>7784</v>
      </c>
      <c r="B3874" s="154" t="s">
        <v>7783</v>
      </c>
    </row>
    <row r="3875" spans="1:2" x14ac:dyDescent="0.2">
      <c r="A3875" s="153" t="s">
        <v>7786</v>
      </c>
      <c r="B3875" s="154" t="s">
        <v>7785</v>
      </c>
    </row>
    <row r="3876" spans="1:2" x14ac:dyDescent="0.2">
      <c r="A3876" s="153" t="s">
        <v>1065</v>
      </c>
      <c r="B3876" s="154" t="s">
        <v>9920</v>
      </c>
    </row>
    <row r="3877" spans="1:2" x14ac:dyDescent="0.2">
      <c r="A3877" s="153" t="s">
        <v>7788</v>
      </c>
      <c r="B3877" s="154" t="s">
        <v>7787</v>
      </c>
    </row>
    <row r="3878" spans="1:2" x14ac:dyDescent="0.2">
      <c r="A3878" s="153" t="s">
        <v>7790</v>
      </c>
      <c r="B3878" s="154" t="s">
        <v>7789</v>
      </c>
    </row>
    <row r="3879" spans="1:2" x14ac:dyDescent="0.2">
      <c r="A3879" s="153" t="s">
        <v>7792</v>
      </c>
      <c r="B3879" s="154" t="s">
        <v>7791</v>
      </c>
    </row>
    <row r="3880" spans="1:2" x14ac:dyDescent="0.2">
      <c r="A3880" s="153" t="s">
        <v>7794</v>
      </c>
      <c r="B3880" s="154" t="s">
        <v>7793</v>
      </c>
    </row>
    <row r="3881" spans="1:2" x14ac:dyDescent="0.2">
      <c r="A3881" s="153" t="s">
        <v>7796</v>
      </c>
      <c r="B3881" s="154" t="s">
        <v>7795</v>
      </c>
    </row>
    <row r="3882" spans="1:2" x14ac:dyDescent="0.2">
      <c r="A3882" s="153" t="s">
        <v>9492</v>
      </c>
      <c r="B3882" s="154" t="s">
        <v>7797</v>
      </c>
    </row>
    <row r="3883" spans="1:2" ht="28.5" x14ac:dyDescent="0.2">
      <c r="A3883" s="153" t="s">
        <v>9493</v>
      </c>
      <c r="B3883" s="154" t="s">
        <v>7798</v>
      </c>
    </row>
    <row r="3884" spans="1:2" ht="28.5" x14ac:dyDescent="0.2">
      <c r="A3884" s="153" t="s">
        <v>7800</v>
      </c>
      <c r="B3884" s="154" t="s">
        <v>7799</v>
      </c>
    </row>
    <row r="3885" spans="1:2" x14ac:dyDescent="0.2">
      <c r="A3885" s="153" t="s">
        <v>7802</v>
      </c>
      <c r="B3885" s="154" t="s">
        <v>7801</v>
      </c>
    </row>
    <row r="3886" spans="1:2" x14ac:dyDescent="0.2">
      <c r="A3886" s="153" t="s">
        <v>7804</v>
      </c>
      <c r="B3886" s="154" t="s">
        <v>7803</v>
      </c>
    </row>
    <row r="3887" spans="1:2" x14ac:dyDescent="0.2">
      <c r="A3887" s="153" t="s">
        <v>7806</v>
      </c>
      <c r="B3887" s="154" t="s">
        <v>7805</v>
      </c>
    </row>
    <row r="3888" spans="1:2" x14ac:dyDescent="0.2">
      <c r="A3888" s="153" t="s">
        <v>7808</v>
      </c>
      <c r="B3888" s="154" t="s">
        <v>7807</v>
      </c>
    </row>
    <row r="3889" spans="1:2" x14ac:dyDescent="0.2">
      <c r="A3889" s="153" t="s">
        <v>7810</v>
      </c>
      <c r="B3889" s="154" t="s">
        <v>7809</v>
      </c>
    </row>
    <row r="3890" spans="1:2" x14ac:dyDescent="0.2">
      <c r="A3890" s="153" t="s">
        <v>7812</v>
      </c>
      <c r="B3890" s="154" t="s">
        <v>7811</v>
      </c>
    </row>
    <row r="3891" spans="1:2" x14ac:dyDescent="0.2">
      <c r="A3891" s="153" t="s">
        <v>9494</v>
      </c>
      <c r="B3891" s="154" t="s">
        <v>7813</v>
      </c>
    </row>
    <row r="3892" spans="1:2" ht="28.5" x14ac:dyDescent="0.2">
      <c r="A3892" s="153" t="s">
        <v>9495</v>
      </c>
      <c r="B3892" s="154" t="s">
        <v>7814</v>
      </c>
    </row>
    <row r="3893" spans="1:2" ht="28.5" x14ac:dyDescent="0.2">
      <c r="A3893" s="153" t="s">
        <v>7816</v>
      </c>
      <c r="B3893" s="154" t="s">
        <v>7815</v>
      </c>
    </row>
    <row r="3894" spans="1:2" x14ac:dyDescent="0.2">
      <c r="A3894" s="153" t="s">
        <v>9496</v>
      </c>
      <c r="B3894" s="154" t="s">
        <v>7817</v>
      </c>
    </row>
    <row r="3895" spans="1:2" ht="28.5" x14ac:dyDescent="0.2">
      <c r="A3895" s="153" t="s">
        <v>9497</v>
      </c>
      <c r="B3895" s="154" t="s">
        <v>7818</v>
      </c>
    </row>
    <row r="3896" spans="1:2" ht="28.5" x14ac:dyDescent="0.2">
      <c r="A3896" s="153" t="s">
        <v>7820</v>
      </c>
      <c r="B3896" s="154" t="s">
        <v>7819</v>
      </c>
    </row>
    <row r="3897" spans="1:2" x14ac:dyDescent="0.2">
      <c r="A3897" s="153" t="s">
        <v>7822</v>
      </c>
      <c r="B3897" s="154" t="s">
        <v>7821</v>
      </c>
    </row>
    <row r="3898" spans="1:2" x14ac:dyDescent="0.2">
      <c r="A3898" s="153" t="s">
        <v>7824</v>
      </c>
      <c r="B3898" s="154" t="s">
        <v>7823</v>
      </c>
    </row>
    <row r="3899" spans="1:2" x14ac:dyDescent="0.2">
      <c r="A3899" s="153" t="s">
        <v>7826</v>
      </c>
      <c r="B3899" s="154" t="s">
        <v>7825</v>
      </c>
    </row>
    <row r="3900" spans="1:2" x14ac:dyDescent="0.2">
      <c r="A3900" s="153" t="s">
        <v>7828</v>
      </c>
      <c r="B3900" s="154" t="s">
        <v>7827</v>
      </c>
    </row>
    <row r="3901" spans="1:2" x14ac:dyDescent="0.2">
      <c r="A3901" s="153" t="s">
        <v>7830</v>
      </c>
      <c r="B3901" s="154" t="s">
        <v>7829</v>
      </c>
    </row>
    <row r="3902" spans="1:2" x14ac:dyDescent="0.2">
      <c r="A3902" s="153" t="s">
        <v>7832</v>
      </c>
      <c r="B3902" s="154" t="s">
        <v>7831</v>
      </c>
    </row>
    <row r="3903" spans="1:2" x14ac:dyDescent="0.2">
      <c r="A3903" s="153" t="s">
        <v>7834</v>
      </c>
      <c r="B3903" s="154" t="s">
        <v>7833</v>
      </c>
    </row>
    <row r="3904" spans="1:2" x14ac:dyDescent="0.2">
      <c r="A3904" s="153" t="s">
        <v>9498</v>
      </c>
      <c r="B3904" s="154" t="s">
        <v>7835</v>
      </c>
    </row>
    <row r="3905" spans="1:2" ht="28.5" x14ac:dyDescent="0.2">
      <c r="A3905" s="153" t="s">
        <v>9499</v>
      </c>
      <c r="B3905" s="154" t="s">
        <v>7836</v>
      </c>
    </row>
    <row r="3906" spans="1:2" ht="28.5" x14ac:dyDescent="0.2">
      <c r="A3906" s="153" t="s">
        <v>7838</v>
      </c>
      <c r="B3906" s="154" t="s">
        <v>7837</v>
      </c>
    </row>
    <row r="3907" spans="1:2" x14ac:dyDescent="0.2">
      <c r="A3907" s="153" t="s">
        <v>7840</v>
      </c>
      <c r="B3907" s="154" t="s">
        <v>7839</v>
      </c>
    </row>
    <row r="3908" spans="1:2" x14ac:dyDescent="0.2">
      <c r="A3908" s="153" t="s">
        <v>1065</v>
      </c>
      <c r="B3908" s="154" t="s">
        <v>7841</v>
      </c>
    </row>
    <row r="3909" spans="1:2" x14ac:dyDescent="0.2">
      <c r="A3909" s="153" t="s">
        <v>1065</v>
      </c>
      <c r="B3909" s="154" t="s">
        <v>7842</v>
      </c>
    </row>
    <row r="3910" spans="1:2" x14ac:dyDescent="0.2">
      <c r="A3910" s="153" t="s">
        <v>1065</v>
      </c>
      <c r="B3910" s="154" t="s">
        <v>7843</v>
      </c>
    </row>
    <row r="3911" spans="1:2" x14ac:dyDescent="0.2">
      <c r="A3911" s="153" t="s">
        <v>7845</v>
      </c>
      <c r="B3911" s="154" t="s">
        <v>7844</v>
      </c>
    </row>
    <row r="3912" spans="1:2" x14ac:dyDescent="0.2">
      <c r="A3912" s="153" t="s">
        <v>7847</v>
      </c>
      <c r="B3912" s="154" t="s">
        <v>7846</v>
      </c>
    </row>
    <row r="3913" spans="1:2" x14ac:dyDescent="0.2">
      <c r="A3913" s="153" t="s">
        <v>7849</v>
      </c>
      <c r="B3913" s="154" t="s">
        <v>7848</v>
      </c>
    </row>
    <row r="3914" spans="1:2" x14ac:dyDescent="0.2">
      <c r="A3914" s="153" t="s">
        <v>7851</v>
      </c>
      <c r="B3914" s="154" t="s">
        <v>7850</v>
      </c>
    </row>
    <row r="3915" spans="1:2" x14ac:dyDescent="0.2">
      <c r="A3915" s="153" t="s">
        <v>7853</v>
      </c>
      <c r="B3915" s="154" t="s">
        <v>7852</v>
      </c>
    </row>
    <row r="3916" spans="1:2" x14ac:dyDescent="0.2">
      <c r="A3916" s="153" t="s">
        <v>7855</v>
      </c>
      <c r="B3916" s="154" t="s">
        <v>7854</v>
      </c>
    </row>
    <row r="3917" spans="1:2" x14ac:dyDescent="0.2">
      <c r="A3917" s="153" t="s">
        <v>7857</v>
      </c>
      <c r="B3917" s="154" t="s">
        <v>7856</v>
      </c>
    </row>
    <row r="3918" spans="1:2" x14ac:dyDescent="0.2">
      <c r="A3918" s="153" t="s">
        <v>7859</v>
      </c>
      <c r="B3918" s="154" t="s">
        <v>7858</v>
      </c>
    </row>
    <row r="3919" spans="1:2" x14ac:dyDescent="0.2">
      <c r="A3919" s="153" t="s">
        <v>7861</v>
      </c>
      <c r="B3919" s="154" t="s">
        <v>7860</v>
      </c>
    </row>
    <row r="3920" spans="1:2" x14ac:dyDescent="0.2">
      <c r="A3920" s="153" t="s">
        <v>7863</v>
      </c>
      <c r="B3920" s="154" t="s">
        <v>7862</v>
      </c>
    </row>
    <row r="3921" spans="1:2" x14ac:dyDescent="0.2">
      <c r="A3921" s="153" t="s">
        <v>7865</v>
      </c>
      <c r="B3921" s="154" t="s">
        <v>7864</v>
      </c>
    </row>
    <row r="3922" spans="1:2" x14ac:dyDescent="0.2">
      <c r="A3922" s="153" t="s">
        <v>7867</v>
      </c>
      <c r="B3922" s="154" t="s">
        <v>7866</v>
      </c>
    </row>
    <row r="3923" spans="1:2" x14ac:dyDescent="0.2">
      <c r="A3923" s="153" t="s">
        <v>7869</v>
      </c>
      <c r="B3923" s="154" t="s">
        <v>7868</v>
      </c>
    </row>
    <row r="3924" spans="1:2" x14ac:dyDescent="0.2">
      <c r="A3924" s="153" t="s">
        <v>7871</v>
      </c>
      <c r="B3924" s="154" t="s">
        <v>7870</v>
      </c>
    </row>
    <row r="3925" spans="1:2" x14ac:dyDescent="0.2">
      <c r="A3925" s="153" t="s">
        <v>7873</v>
      </c>
      <c r="B3925" s="154" t="s">
        <v>7872</v>
      </c>
    </row>
    <row r="3926" spans="1:2" x14ac:dyDescent="0.2">
      <c r="A3926" s="153" t="s">
        <v>7875</v>
      </c>
      <c r="B3926" s="154" t="s">
        <v>7874</v>
      </c>
    </row>
    <row r="3927" spans="1:2" x14ac:dyDescent="0.2">
      <c r="A3927" s="153" t="s">
        <v>1065</v>
      </c>
      <c r="B3927" s="154" t="s">
        <v>9921</v>
      </c>
    </row>
    <row r="3928" spans="1:2" x14ac:dyDescent="0.2">
      <c r="A3928" s="153" t="s">
        <v>7877</v>
      </c>
      <c r="B3928" s="154" t="s">
        <v>7876</v>
      </c>
    </row>
    <row r="3929" spans="1:2" x14ac:dyDescent="0.2">
      <c r="A3929" s="153" t="s">
        <v>7879</v>
      </c>
      <c r="B3929" s="154" t="s">
        <v>7878</v>
      </c>
    </row>
    <row r="3930" spans="1:2" x14ac:dyDescent="0.2">
      <c r="A3930" s="153" t="s">
        <v>7881</v>
      </c>
      <c r="B3930" s="154" t="s">
        <v>7880</v>
      </c>
    </row>
    <row r="3931" spans="1:2" x14ac:dyDescent="0.2">
      <c r="A3931" s="153" t="s">
        <v>7883</v>
      </c>
      <c r="B3931" s="154" t="s">
        <v>7882</v>
      </c>
    </row>
    <row r="3932" spans="1:2" x14ac:dyDescent="0.2">
      <c r="A3932" s="153" t="s">
        <v>7885</v>
      </c>
      <c r="B3932" s="154" t="s">
        <v>7884</v>
      </c>
    </row>
    <row r="3933" spans="1:2" x14ac:dyDescent="0.2">
      <c r="A3933" s="153" t="s">
        <v>7887</v>
      </c>
      <c r="B3933" s="154" t="s">
        <v>7886</v>
      </c>
    </row>
    <row r="3934" spans="1:2" x14ac:dyDescent="0.2">
      <c r="A3934" s="153" t="s">
        <v>7889</v>
      </c>
      <c r="B3934" s="154" t="s">
        <v>7888</v>
      </c>
    </row>
    <row r="3935" spans="1:2" x14ac:dyDescent="0.2">
      <c r="A3935" s="153" t="s">
        <v>7891</v>
      </c>
      <c r="B3935" s="154" t="s">
        <v>7890</v>
      </c>
    </row>
    <row r="3936" spans="1:2" x14ac:dyDescent="0.2">
      <c r="A3936" s="153" t="s">
        <v>7893</v>
      </c>
      <c r="B3936" s="154" t="s">
        <v>7892</v>
      </c>
    </row>
    <row r="3937" spans="1:2" x14ac:dyDescent="0.2">
      <c r="A3937" s="153" t="s">
        <v>7895</v>
      </c>
      <c r="B3937" s="154" t="s">
        <v>7894</v>
      </c>
    </row>
    <row r="3938" spans="1:2" x14ac:dyDescent="0.2">
      <c r="A3938" s="153" t="s">
        <v>7897</v>
      </c>
      <c r="B3938" s="154" t="s">
        <v>7896</v>
      </c>
    </row>
    <row r="3939" spans="1:2" x14ac:dyDescent="0.2">
      <c r="A3939" s="153" t="s">
        <v>7899</v>
      </c>
      <c r="B3939" s="154" t="s">
        <v>7898</v>
      </c>
    </row>
    <row r="3940" spans="1:2" x14ac:dyDescent="0.2">
      <c r="A3940" s="153" t="s">
        <v>7901</v>
      </c>
      <c r="B3940" s="154" t="s">
        <v>7900</v>
      </c>
    </row>
    <row r="3941" spans="1:2" x14ac:dyDescent="0.2">
      <c r="A3941" s="153" t="s">
        <v>7903</v>
      </c>
      <c r="B3941" s="154" t="s">
        <v>7902</v>
      </c>
    </row>
    <row r="3942" spans="1:2" x14ac:dyDescent="0.2">
      <c r="A3942" s="153" t="s">
        <v>7905</v>
      </c>
      <c r="B3942" s="154" t="s">
        <v>7904</v>
      </c>
    </row>
    <row r="3943" spans="1:2" x14ac:dyDescent="0.2">
      <c r="A3943" s="153" t="s">
        <v>7907</v>
      </c>
      <c r="B3943" s="154" t="s">
        <v>7906</v>
      </c>
    </row>
    <row r="3944" spans="1:2" x14ac:dyDescent="0.2">
      <c r="A3944" s="153" t="s">
        <v>7909</v>
      </c>
      <c r="B3944" s="154" t="s">
        <v>7908</v>
      </c>
    </row>
    <row r="3945" spans="1:2" x14ac:dyDescent="0.2">
      <c r="A3945" s="153" t="s">
        <v>7911</v>
      </c>
      <c r="B3945" s="154" t="s">
        <v>7910</v>
      </c>
    </row>
    <row r="3946" spans="1:2" x14ac:dyDescent="0.2">
      <c r="A3946" s="153" t="s">
        <v>1065</v>
      </c>
      <c r="B3946" s="154" t="s">
        <v>7912</v>
      </c>
    </row>
    <row r="3947" spans="1:2" x14ac:dyDescent="0.2">
      <c r="A3947" s="153" t="s">
        <v>7914</v>
      </c>
      <c r="B3947" s="154" t="s">
        <v>7913</v>
      </c>
    </row>
    <row r="3948" spans="1:2" x14ac:dyDescent="0.2">
      <c r="A3948" s="153" t="s">
        <v>7916</v>
      </c>
      <c r="B3948" s="154" t="s">
        <v>7915</v>
      </c>
    </row>
    <row r="3949" spans="1:2" x14ac:dyDescent="0.2">
      <c r="A3949" s="153" t="s">
        <v>1065</v>
      </c>
      <c r="B3949" s="154" t="s">
        <v>7917</v>
      </c>
    </row>
    <row r="3950" spans="1:2" x14ac:dyDescent="0.2">
      <c r="A3950" s="153" t="s">
        <v>7919</v>
      </c>
      <c r="B3950" s="154" t="s">
        <v>7918</v>
      </c>
    </row>
    <row r="3951" spans="1:2" x14ac:dyDescent="0.2">
      <c r="A3951" s="153" t="s">
        <v>7921</v>
      </c>
      <c r="B3951" s="154" t="s">
        <v>7920</v>
      </c>
    </row>
    <row r="3952" spans="1:2" x14ac:dyDescent="0.2">
      <c r="A3952" s="153" t="s">
        <v>7923</v>
      </c>
      <c r="B3952" s="154" t="s">
        <v>7922</v>
      </c>
    </row>
    <row r="3953" spans="1:2" x14ac:dyDescent="0.2">
      <c r="A3953" s="153" t="s">
        <v>9874</v>
      </c>
      <c r="B3953" s="154" t="s">
        <v>7924</v>
      </c>
    </row>
    <row r="3954" spans="1:2" x14ac:dyDescent="0.2">
      <c r="A3954" s="153" t="s">
        <v>7926</v>
      </c>
      <c r="B3954" s="154" t="s">
        <v>7925</v>
      </c>
    </row>
    <row r="3955" spans="1:2" x14ac:dyDescent="0.2">
      <c r="A3955" s="153" t="s">
        <v>1065</v>
      </c>
      <c r="B3955" s="154" t="s">
        <v>9922</v>
      </c>
    </row>
    <row r="3956" spans="1:2" x14ac:dyDescent="0.2">
      <c r="A3956" s="153" t="s">
        <v>7928</v>
      </c>
      <c r="B3956" s="154" t="s">
        <v>7927</v>
      </c>
    </row>
    <row r="3957" spans="1:2" x14ac:dyDescent="0.2">
      <c r="A3957" s="153" t="s">
        <v>7930</v>
      </c>
      <c r="B3957" s="154" t="s">
        <v>7929</v>
      </c>
    </row>
    <row r="3958" spans="1:2" x14ac:dyDescent="0.2">
      <c r="A3958" s="153" t="s">
        <v>7932</v>
      </c>
      <c r="B3958" s="154" t="s">
        <v>7931</v>
      </c>
    </row>
    <row r="3959" spans="1:2" x14ac:dyDescent="0.2">
      <c r="A3959" s="153" t="s">
        <v>7934</v>
      </c>
      <c r="B3959" s="154" t="s">
        <v>7933</v>
      </c>
    </row>
    <row r="3960" spans="1:2" x14ac:dyDescent="0.2">
      <c r="A3960" s="153" t="s">
        <v>7936</v>
      </c>
      <c r="B3960" s="154" t="s">
        <v>7935</v>
      </c>
    </row>
    <row r="3961" spans="1:2" x14ac:dyDescent="0.2">
      <c r="A3961" s="153" t="s">
        <v>1065</v>
      </c>
      <c r="B3961" s="154" t="s">
        <v>7937</v>
      </c>
    </row>
    <row r="3962" spans="1:2" x14ac:dyDescent="0.2">
      <c r="A3962" s="153" t="s">
        <v>7939</v>
      </c>
      <c r="B3962" s="154" t="s">
        <v>7938</v>
      </c>
    </row>
    <row r="3963" spans="1:2" x14ac:dyDescent="0.2">
      <c r="A3963" s="153" t="s">
        <v>7941</v>
      </c>
      <c r="B3963" s="154" t="s">
        <v>7940</v>
      </c>
    </row>
    <row r="3964" spans="1:2" x14ac:dyDescent="0.2">
      <c r="A3964" s="153" t="s">
        <v>7943</v>
      </c>
      <c r="B3964" s="154" t="s">
        <v>7942</v>
      </c>
    </row>
    <row r="3965" spans="1:2" x14ac:dyDescent="0.2">
      <c r="A3965" s="153" t="s">
        <v>7945</v>
      </c>
      <c r="B3965" s="154" t="s">
        <v>7944</v>
      </c>
    </row>
    <row r="3966" spans="1:2" x14ac:dyDescent="0.2">
      <c r="A3966" s="153" t="s">
        <v>7947</v>
      </c>
      <c r="B3966" s="154" t="s">
        <v>7946</v>
      </c>
    </row>
    <row r="3967" spans="1:2" x14ac:dyDescent="0.2">
      <c r="A3967" s="153" t="s">
        <v>7949</v>
      </c>
      <c r="B3967" s="154" t="s">
        <v>7948</v>
      </c>
    </row>
    <row r="3968" spans="1:2" x14ac:dyDescent="0.2">
      <c r="A3968" s="153" t="s">
        <v>7951</v>
      </c>
      <c r="B3968" s="154" t="s">
        <v>7950</v>
      </c>
    </row>
    <row r="3969" spans="1:2" x14ac:dyDescent="0.2">
      <c r="A3969" s="153" t="s">
        <v>7953</v>
      </c>
      <c r="B3969" s="154" t="s">
        <v>7952</v>
      </c>
    </row>
    <row r="3970" spans="1:2" x14ac:dyDescent="0.2">
      <c r="A3970" s="153" t="s">
        <v>9500</v>
      </c>
      <c r="B3970" s="154" t="s">
        <v>7954</v>
      </c>
    </row>
    <row r="3971" spans="1:2" ht="28.5" x14ac:dyDescent="0.2">
      <c r="A3971" s="153" t="s">
        <v>9501</v>
      </c>
      <c r="B3971" s="154" t="s">
        <v>7955</v>
      </c>
    </row>
    <row r="3972" spans="1:2" ht="28.5" x14ac:dyDescent="0.2">
      <c r="A3972" s="153" t="s">
        <v>7957</v>
      </c>
      <c r="B3972" s="154" t="s">
        <v>7956</v>
      </c>
    </row>
    <row r="3973" spans="1:2" x14ac:dyDescent="0.2">
      <c r="A3973" s="153" t="s">
        <v>9502</v>
      </c>
      <c r="B3973" s="154" t="s">
        <v>7958</v>
      </c>
    </row>
    <row r="3974" spans="1:2" ht="28.5" x14ac:dyDescent="0.2">
      <c r="A3974" s="153" t="s">
        <v>9503</v>
      </c>
      <c r="B3974" s="154" t="s">
        <v>7959</v>
      </c>
    </row>
    <row r="3975" spans="1:2" ht="28.5" x14ac:dyDescent="0.2">
      <c r="A3975" s="153" t="s">
        <v>7961</v>
      </c>
      <c r="B3975" s="154" t="s">
        <v>7960</v>
      </c>
    </row>
    <row r="3976" spans="1:2" x14ac:dyDescent="0.2">
      <c r="A3976" s="153" t="s">
        <v>7963</v>
      </c>
      <c r="B3976" s="154" t="s">
        <v>7962</v>
      </c>
    </row>
    <row r="3977" spans="1:2" x14ac:dyDescent="0.2">
      <c r="A3977" s="153" t="s">
        <v>7965</v>
      </c>
      <c r="B3977" s="154" t="s">
        <v>7964</v>
      </c>
    </row>
    <row r="3978" spans="1:2" x14ac:dyDescent="0.2">
      <c r="A3978" s="153" t="s">
        <v>7967</v>
      </c>
      <c r="B3978" s="154" t="s">
        <v>7966</v>
      </c>
    </row>
    <row r="3979" spans="1:2" x14ac:dyDescent="0.2">
      <c r="A3979" s="153" t="s">
        <v>7969</v>
      </c>
      <c r="B3979" s="154" t="s">
        <v>7968</v>
      </c>
    </row>
    <row r="3980" spans="1:2" x14ac:dyDescent="0.2">
      <c r="A3980" s="153" t="s">
        <v>7971</v>
      </c>
      <c r="B3980" s="154" t="s">
        <v>7970</v>
      </c>
    </row>
    <row r="3981" spans="1:2" x14ac:dyDescent="0.2">
      <c r="A3981" s="153" t="s">
        <v>7973</v>
      </c>
      <c r="B3981" s="154" t="s">
        <v>7972</v>
      </c>
    </row>
    <row r="3982" spans="1:2" x14ac:dyDescent="0.2">
      <c r="A3982" s="153" t="s">
        <v>7975</v>
      </c>
      <c r="B3982" s="154" t="s">
        <v>7974</v>
      </c>
    </row>
    <row r="3983" spans="1:2" x14ac:dyDescent="0.2">
      <c r="A3983" s="153" t="s">
        <v>7977</v>
      </c>
      <c r="B3983" s="154" t="s">
        <v>7976</v>
      </c>
    </row>
    <row r="3984" spans="1:2" x14ac:dyDescent="0.2">
      <c r="A3984" s="153" t="s">
        <v>1065</v>
      </c>
      <c r="B3984" s="154" t="s">
        <v>9923</v>
      </c>
    </row>
    <row r="3985" spans="1:2" x14ac:dyDescent="0.2">
      <c r="A3985" s="153" t="s">
        <v>1065</v>
      </c>
      <c r="B3985" s="154" t="s">
        <v>7978</v>
      </c>
    </row>
    <row r="3986" spans="1:2" x14ac:dyDescent="0.2">
      <c r="A3986" s="153" t="s">
        <v>7980</v>
      </c>
      <c r="B3986" s="154" t="s">
        <v>7979</v>
      </c>
    </row>
    <row r="3987" spans="1:2" x14ac:dyDescent="0.2">
      <c r="A3987" s="153" t="s">
        <v>7982</v>
      </c>
      <c r="B3987" s="154" t="s">
        <v>7981</v>
      </c>
    </row>
    <row r="3988" spans="1:2" x14ac:dyDescent="0.2">
      <c r="A3988" s="153" t="s">
        <v>7984</v>
      </c>
      <c r="B3988" s="154" t="s">
        <v>7983</v>
      </c>
    </row>
    <row r="3989" spans="1:2" x14ac:dyDescent="0.2">
      <c r="A3989" s="153" t="s">
        <v>7986</v>
      </c>
      <c r="B3989" s="154" t="s">
        <v>7985</v>
      </c>
    </row>
    <row r="3990" spans="1:2" x14ac:dyDescent="0.2">
      <c r="A3990" s="153" t="s">
        <v>7988</v>
      </c>
      <c r="B3990" s="154" t="s">
        <v>7987</v>
      </c>
    </row>
    <row r="3991" spans="1:2" x14ac:dyDescent="0.2">
      <c r="A3991" s="153" t="s">
        <v>7990</v>
      </c>
      <c r="B3991" s="154" t="s">
        <v>7989</v>
      </c>
    </row>
    <row r="3992" spans="1:2" x14ac:dyDescent="0.2">
      <c r="A3992" s="153" t="s">
        <v>7992</v>
      </c>
      <c r="B3992" s="154" t="s">
        <v>7991</v>
      </c>
    </row>
    <row r="3993" spans="1:2" x14ac:dyDescent="0.2">
      <c r="A3993" s="153" t="s">
        <v>7994</v>
      </c>
      <c r="B3993" s="154" t="s">
        <v>7993</v>
      </c>
    </row>
    <row r="3994" spans="1:2" x14ac:dyDescent="0.2">
      <c r="A3994" s="153" t="s">
        <v>7996</v>
      </c>
      <c r="B3994" s="154" t="s">
        <v>7995</v>
      </c>
    </row>
    <row r="3995" spans="1:2" x14ac:dyDescent="0.2">
      <c r="A3995" s="153" t="s">
        <v>7998</v>
      </c>
      <c r="B3995" s="154" t="s">
        <v>7997</v>
      </c>
    </row>
    <row r="3996" spans="1:2" x14ac:dyDescent="0.2">
      <c r="A3996" s="153" t="s">
        <v>8000</v>
      </c>
      <c r="B3996" s="154" t="s">
        <v>7999</v>
      </c>
    </row>
    <row r="3997" spans="1:2" x14ac:dyDescent="0.2">
      <c r="A3997" s="153" t="s">
        <v>8002</v>
      </c>
      <c r="B3997" s="154" t="s">
        <v>8001</v>
      </c>
    </row>
    <row r="3998" spans="1:2" x14ac:dyDescent="0.2">
      <c r="A3998" s="153" t="s">
        <v>8004</v>
      </c>
      <c r="B3998" s="154" t="s">
        <v>8003</v>
      </c>
    </row>
    <row r="3999" spans="1:2" x14ac:dyDescent="0.2">
      <c r="A3999" s="153" t="s">
        <v>8006</v>
      </c>
      <c r="B3999" s="154" t="s">
        <v>8005</v>
      </c>
    </row>
    <row r="4000" spans="1:2" x14ac:dyDescent="0.2">
      <c r="A4000" s="153" t="s">
        <v>8008</v>
      </c>
      <c r="B4000" s="154" t="s">
        <v>8007</v>
      </c>
    </row>
    <row r="4001" spans="1:2" x14ac:dyDescent="0.2">
      <c r="A4001" s="153" t="s">
        <v>1065</v>
      </c>
      <c r="B4001" s="154" t="s">
        <v>8009</v>
      </c>
    </row>
    <row r="4002" spans="1:2" x14ac:dyDescent="0.2">
      <c r="A4002" s="153" t="s">
        <v>8011</v>
      </c>
      <c r="B4002" s="154" t="s">
        <v>8010</v>
      </c>
    </row>
    <row r="4003" spans="1:2" x14ac:dyDescent="0.2">
      <c r="A4003" s="153" t="s">
        <v>8013</v>
      </c>
      <c r="B4003" s="154" t="s">
        <v>8012</v>
      </c>
    </row>
    <row r="4004" spans="1:2" x14ac:dyDescent="0.2">
      <c r="A4004" s="153" t="s">
        <v>8015</v>
      </c>
      <c r="B4004" s="154" t="s">
        <v>8014</v>
      </c>
    </row>
    <row r="4005" spans="1:2" x14ac:dyDescent="0.2">
      <c r="A4005" s="153" t="s">
        <v>8017</v>
      </c>
      <c r="B4005" s="154" t="s">
        <v>8016</v>
      </c>
    </row>
    <row r="4006" spans="1:2" x14ac:dyDescent="0.2">
      <c r="A4006" s="153" t="s">
        <v>8019</v>
      </c>
      <c r="B4006" s="154" t="s">
        <v>8018</v>
      </c>
    </row>
    <row r="4007" spans="1:2" x14ac:dyDescent="0.2">
      <c r="A4007" s="153" t="s">
        <v>8021</v>
      </c>
      <c r="B4007" s="154" t="s">
        <v>8020</v>
      </c>
    </row>
    <row r="4008" spans="1:2" x14ac:dyDescent="0.2">
      <c r="A4008" s="153" t="s">
        <v>8023</v>
      </c>
      <c r="B4008" s="154" t="s">
        <v>8022</v>
      </c>
    </row>
    <row r="4009" spans="1:2" x14ac:dyDescent="0.2">
      <c r="A4009" s="153" t="s">
        <v>8025</v>
      </c>
      <c r="B4009" s="154" t="s">
        <v>8024</v>
      </c>
    </row>
    <row r="4010" spans="1:2" x14ac:dyDescent="0.2">
      <c r="A4010" s="153" t="s">
        <v>8027</v>
      </c>
      <c r="B4010" s="154" t="s">
        <v>8026</v>
      </c>
    </row>
    <row r="4011" spans="1:2" x14ac:dyDescent="0.2">
      <c r="A4011" s="153" t="s">
        <v>8029</v>
      </c>
      <c r="B4011" s="154" t="s">
        <v>8028</v>
      </c>
    </row>
    <row r="4012" spans="1:2" x14ac:dyDescent="0.2">
      <c r="A4012" s="153" t="s">
        <v>8031</v>
      </c>
      <c r="B4012" s="154" t="s">
        <v>8030</v>
      </c>
    </row>
    <row r="4013" spans="1:2" x14ac:dyDescent="0.2">
      <c r="A4013" s="153" t="s">
        <v>8033</v>
      </c>
      <c r="B4013" s="154" t="s">
        <v>8032</v>
      </c>
    </row>
    <row r="4014" spans="1:2" x14ac:dyDescent="0.2">
      <c r="A4014" s="153" t="s">
        <v>8035</v>
      </c>
      <c r="B4014" s="154" t="s">
        <v>8034</v>
      </c>
    </row>
    <row r="4015" spans="1:2" x14ac:dyDescent="0.2">
      <c r="A4015" s="153" t="s">
        <v>8037</v>
      </c>
      <c r="B4015" s="154" t="s">
        <v>8036</v>
      </c>
    </row>
    <row r="4016" spans="1:2" x14ac:dyDescent="0.2">
      <c r="A4016" s="153" t="s">
        <v>8039</v>
      </c>
      <c r="B4016" s="154" t="s">
        <v>8038</v>
      </c>
    </row>
    <row r="4017" spans="1:2" x14ac:dyDescent="0.2">
      <c r="A4017" s="153" t="s">
        <v>8041</v>
      </c>
      <c r="B4017" s="154" t="s">
        <v>8040</v>
      </c>
    </row>
    <row r="4018" spans="1:2" x14ac:dyDescent="0.2">
      <c r="A4018" s="153" t="s">
        <v>8043</v>
      </c>
      <c r="B4018" s="154" t="s">
        <v>8042</v>
      </c>
    </row>
    <row r="4019" spans="1:2" x14ac:dyDescent="0.2">
      <c r="A4019" s="153" t="s">
        <v>8045</v>
      </c>
      <c r="B4019" s="154" t="s">
        <v>8044</v>
      </c>
    </row>
    <row r="4020" spans="1:2" x14ac:dyDescent="0.2">
      <c r="A4020" s="153" t="s">
        <v>8047</v>
      </c>
      <c r="B4020" s="154" t="s">
        <v>8046</v>
      </c>
    </row>
    <row r="4021" spans="1:2" x14ac:dyDescent="0.2">
      <c r="A4021" s="153" t="s">
        <v>8049</v>
      </c>
      <c r="B4021" s="154" t="s">
        <v>8048</v>
      </c>
    </row>
    <row r="4022" spans="1:2" x14ac:dyDescent="0.2">
      <c r="A4022" s="153" t="s">
        <v>8051</v>
      </c>
      <c r="B4022" s="154" t="s">
        <v>8050</v>
      </c>
    </row>
    <row r="4023" spans="1:2" x14ac:dyDescent="0.2">
      <c r="A4023" s="153" t="s">
        <v>8053</v>
      </c>
      <c r="B4023" s="154" t="s">
        <v>8052</v>
      </c>
    </row>
    <row r="4024" spans="1:2" x14ac:dyDescent="0.2">
      <c r="A4024" s="153" t="s">
        <v>8055</v>
      </c>
      <c r="B4024" s="154" t="s">
        <v>8054</v>
      </c>
    </row>
    <row r="4025" spans="1:2" x14ac:dyDescent="0.2">
      <c r="A4025" s="153" t="s">
        <v>8057</v>
      </c>
      <c r="B4025" s="154" t="s">
        <v>8056</v>
      </c>
    </row>
    <row r="4026" spans="1:2" x14ac:dyDescent="0.2">
      <c r="A4026" s="153" t="s">
        <v>8059</v>
      </c>
      <c r="B4026" s="154" t="s">
        <v>8058</v>
      </c>
    </row>
    <row r="4027" spans="1:2" x14ac:dyDescent="0.2">
      <c r="A4027" s="153" t="s">
        <v>8061</v>
      </c>
      <c r="B4027" s="154" t="s">
        <v>8060</v>
      </c>
    </row>
    <row r="4028" spans="1:2" x14ac:dyDescent="0.2">
      <c r="A4028" s="153" t="s">
        <v>8063</v>
      </c>
      <c r="B4028" s="154" t="s">
        <v>8062</v>
      </c>
    </row>
    <row r="4029" spans="1:2" x14ac:dyDescent="0.2">
      <c r="A4029" s="153" t="s">
        <v>8065</v>
      </c>
      <c r="B4029" s="154" t="s">
        <v>8064</v>
      </c>
    </row>
    <row r="4030" spans="1:2" x14ac:dyDescent="0.2">
      <c r="A4030" s="153" t="s">
        <v>8067</v>
      </c>
      <c r="B4030" s="154" t="s">
        <v>8066</v>
      </c>
    </row>
    <row r="4031" spans="1:2" x14ac:dyDescent="0.2">
      <c r="A4031" s="153" t="s">
        <v>8069</v>
      </c>
      <c r="B4031" s="154" t="s">
        <v>8068</v>
      </c>
    </row>
    <row r="4032" spans="1:2" x14ac:dyDescent="0.2">
      <c r="A4032" s="153" t="s">
        <v>8071</v>
      </c>
      <c r="B4032" s="154" t="s">
        <v>8070</v>
      </c>
    </row>
    <row r="4033" spans="1:2" x14ac:dyDescent="0.2">
      <c r="A4033" s="153" t="s">
        <v>8073</v>
      </c>
      <c r="B4033" s="154" t="s">
        <v>8072</v>
      </c>
    </row>
    <row r="4034" spans="1:2" x14ac:dyDescent="0.2">
      <c r="A4034" s="153" t="s">
        <v>8075</v>
      </c>
      <c r="B4034" s="154" t="s">
        <v>8074</v>
      </c>
    </row>
    <row r="4035" spans="1:2" x14ac:dyDescent="0.2">
      <c r="A4035" s="153" t="s">
        <v>8077</v>
      </c>
      <c r="B4035" s="154" t="s">
        <v>8076</v>
      </c>
    </row>
    <row r="4036" spans="1:2" x14ac:dyDescent="0.2">
      <c r="A4036" s="153" t="s">
        <v>8079</v>
      </c>
      <c r="B4036" s="154" t="s">
        <v>8078</v>
      </c>
    </row>
    <row r="4037" spans="1:2" x14ac:dyDescent="0.2">
      <c r="A4037" s="153" t="s">
        <v>8081</v>
      </c>
      <c r="B4037" s="154" t="s">
        <v>8080</v>
      </c>
    </row>
    <row r="4038" spans="1:2" x14ac:dyDescent="0.2">
      <c r="A4038" s="153" t="s">
        <v>8083</v>
      </c>
      <c r="B4038" s="154" t="s">
        <v>8082</v>
      </c>
    </row>
    <row r="4039" spans="1:2" x14ac:dyDescent="0.2">
      <c r="A4039" s="153" t="s">
        <v>8085</v>
      </c>
      <c r="B4039" s="154" t="s">
        <v>8084</v>
      </c>
    </row>
    <row r="4040" spans="1:2" x14ac:dyDescent="0.2">
      <c r="A4040" s="153" t="s">
        <v>1065</v>
      </c>
      <c r="B4040" s="154" t="s">
        <v>8086</v>
      </c>
    </row>
    <row r="4041" spans="1:2" x14ac:dyDescent="0.2">
      <c r="A4041" s="153" t="s">
        <v>8088</v>
      </c>
      <c r="B4041" s="154" t="s">
        <v>8087</v>
      </c>
    </row>
    <row r="4042" spans="1:2" x14ac:dyDescent="0.2">
      <c r="A4042" s="153" t="s">
        <v>8090</v>
      </c>
      <c r="B4042" s="154" t="s">
        <v>8089</v>
      </c>
    </row>
    <row r="4043" spans="1:2" x14ac:dyDescent="0.2">
      <c r="A4043" s="153" t="s">
        <v>8092</v>
      </c>
      <c r="B4043" s="154" t="s">
        <v>8091</v>
      </c>
    </row>
    <row r="4044" spans="1:2" x14ac:dyDescent="0.2">
      <c r="A4044" s="153" t="s">
        <v>8094</v>
      </c>
      <c r="B4044" s="154" t="s">
        <v>8093</v>
      </c>
    </row>
    <row r="4045" spans="1:2" x14ac:dyDescent="0.2">
      <c r="A4045" s="153" t="s">
        <v>8096</v>
      </c>
      <c r="B4045" s="154" t="s">
        <v>8095</v>
      </c>
    </row>
    <row r="4046" spans="1:2" x14ac:dyDescent="0.2">
      <c r="A4046" s="153" t="s">
        <v>8098</v>
      </c>
      <c r="B4046" s="154" t="s">
        <v>8097</v>
      </c>
    </row>
    <row r="4047" spans="1:2" x14ac:dyDescent="0.2">
      <c r="A4047" s="153" t="s">
        <v>1065</v>
      </c>
      <c r="B4047" s="154" t="s">
        <v>9924</v>
      </c>
    </row>
    <row r="4048" spans="1:2" x14ac:dyDescent="0.2">
      <c r="A4048" s="153" t="s">
        <v>8100</v>
      </c>
      <c r="B4048" s="154" t="s">
        <v>8099</v>
      </c>
    </row>
    <row r="4049" spans="1:2" x14ac:dyDescent="0.2">
      <c r="A4049" s="153" t="s">
        <v>8102</v>
      </c>
      <c r="B4049" s="154" t="s">
        <v>8101</v>
      </c>
    </row>
    <row r="4050" spans="1:2" x14ac:dyDescent="0.2">
      <c r="A4050" s="153" t="s">
        <v>8104</v>
      </c>
      <c r="B4050" s="154" t="s">
        <v>8103</v>
      </c>
    </row>
    <row r="4051" spans="1:2" x14ac:dyDescent="0.2">
      <c r="A4051" s="153" t="s">
        <v>8106</v>
      </c>
      <c r="B4051" s="154" t="s">
        <v>8105</v>
      </c>
    </row>
    <row r="4052" spans="1:2" x14ac:dyDescent="0.2">
      <c r="A4052" s="153" t="s">
        <v>8108</v>
      </c>
      <c r="B4052" s="154" t="s">
        <v>8107</v>
      </c>
    </row>
    <row r="4053" spans="1:2" x14ac:dyDescent="0.2">
      <c r="A4053" s="153" t="s">
        <v>8110</v>
      </c>
      <c r="B4053" s="154" t="s">
        <v>8109</v>
      </c>
    </row>
    <row r="4054" spans="1:2" x14ac:dyDescent="0.2">
      <c r="A4054" s="153" t="s">
        <v>8112</v>
      </c>
      <c r="B4054" s="154" t="s">
        <v>8111</v>
      </c>
    </row>
    <row r="4055" spans="1:2" x14ac:dyDescent="0.2">
      <c r="A4055" s="153" t="s">
        <v>8114</v>
      </c>
      <c r="B4055" s="154" t="s">
        <v>8113</v>
      </c>
    </row>
    <row r="4056" spans="1:2" x14ac:dyDescent="0.2">
      <c r="A4056" s="153" t="s">
        <v>8116</v>
      </c>
      <c r="B4056" s="154" t="s">
        <v>8115</v>
      </c>
    </row>
    <row r="4057" spans="1:2" x14ac:dyDescent="0.2">
      <c r="A4057" s="153" t="s">
        <v>8118</v>
      </c>
      <c r="B4057" s="154" t="s">
        <v>8117</v>
      </c>
    </row>
    <row r="4058" spans="1:2" x14ac:dyDescent="0.2">
      <c r="A4058" s="153" t="s">
        <v>8120</v>
      </c>
      <c r="B4058" s="154" t="s">
        <v>8119</v>
      </c>
    </row>
    <row r="4059" spans="1:2" x14ac:dyDescent="0.2">
      <c r="A4059" s="153" t="s">
        <v>8122</v>
      </c>
      <c r="B4059" s="154" t="s">
        <v>8121</v>
      </c>
    </row>
    <row r="4060" spans="1:2" x14ac:dyDescent="0.2">
      <c r="A4060" s="153" t="s">
        <v>8124</v>
      </c>
      <c r="B4060" s="154" t="s">
        <v>8123</v>
      </c>
    </row>
    <row r="4061" spans="1:2" x14ac:dyDescent="0.2">
      <c r="A4061" s="153" t="s">
        <v>8126</v>
      </c>
      <c r="B4061" s="154" t="s">
        <v>8125</v>
      </c>
    </row>
    <row r="4062" spans="1:2" x14ac:dyDescent="0.2">
      <c r="A4062" s="153" t="s">
        <v>9875</v>
      </c>
      <c r="B4062" s="154" t="s">
        <v>8127</v>
      </c>
    </row>
    <row r="4063" spans="1:2" x14ac:dyDescent="0.2">
      <c r="A4063" s="153" t="s">
        <v>8129</v>
      </c>
      <c r="B4063" s="154" t="s">
        <v>8128</v>
      </c>
    </row>
    <row r="4064" spans="1:2" x14ac:dyDescent="0.2">
      <c r="A4064" s="153" t="s">
        <v>8131</v>
      </c>
      <c r="B4064" s="154" t="s">
        <v>8130</v>
      </c>
    </row>
    <row r="4065" spans="1:2" x14ac:dyDescent="0.2">
      <c r="A4065" s="153" t="s">
        <v>8133</v>
      </c>
      <c r="B4065" s="154" t="s">
        <v>8132</v>
      </c>
    </row>
    <row r="4066" spans="1:2" x14ac:dyDescent="0.2">
      <c r="A4066" s="153" t="s">
        <v>8135</v>
      </c>
      <c r="B4066" s="154" t="s">
        <v>8134</v>
      </c>
    </row>
    <row r="4067" spans="1:2" x14ac:dyDescent="0.2">
      <c r="A4067" s="153" t="s">
        <v>8137</v>
      </c>
      <c r="B4067" s="154" t="s">
        <v>8136</v>
      </c>
    </row>
    <row r="4068" spans="1:2" x14ac:dyDescent="0.2">
      <c r="A4068" s="153" t="s">
        <v>8139</v>
      </c>
      <c r="B4068" s="154" t="s">
        <v>8138</v>
      </c>
    </row>
    <row r="4069" spans="1:2" x14ac:dyDescent="0.2">
      <c r="A4069" s="153" t="s">
        <v>8141</v>
      </c>
      <c r="B4069" s="154" t="s">
        <v>8140</v>
      </c>
    </row>
    <row r="4070" spans="1:2" x14ac:dyDescent="0.2">
      <c r="A4070" s="153" t="s">
        <v>8143</v>
      </c>
      <c r="B4070" s="154" t="s">
        <v>8142</v>
      </c>
    </row>
    <row r="4071" spans="1:2" x14ac:dyDescent="0.2">
      <c r="A4071" s="153" t="s">
        <v>8145</v>
      </c>
      <c r="B4071" s="154" t="s">
        <v>8144</v>
      </c>
    </row>
    <row r="4072" spans="1:2" x14ac:dyDescent="0.2">
      <c r="A4072" s="153" t="s">
        <v>8147</v>
      </c>
      <c r="B4072" s="154" t="s">
        <v>8146</v>
      </c>
    </row>
    <row r="4073" spans="1:2" x14ac:dyDescent="0.2">
      <c r="A4073" s="153" t="s">
        <v>8149</v>
      </c>
      <c r="B4073" s="154" t="s">
        <v>8148</v>
      </c>
    </row>
    <row r="4074" spans="1:2" x14ac:dyDescent="0.2">
      <c r="A4074" s="153" t="s">
        <v>8151</v>
      </c>
      <c r="B4074" s="154" t="s">
        <v>8150</v>
      </c>
    </row>
    <row r="4075" spans="1:2" x14ac:dyDescent="0.2">
      <c r="A4075" s="153" t="s">
        <v>8153</v>
      </c>
      <c r="B4075" s="154" t="s">
        <v>8152</v>
      </c>
    </row>
    <row r="4076" spans="1:2" x14ac:dyDescent="0.2">
      <c r="A4076" s="153" t="s">
        <v>8155</v>
      </c>
      <c r="B4076" s="154" t="s">
        <v>8154</v>
      </c>
    </row>
    <row r="4077" spans="1:2" x14ac:dyDescent="0.2">
      <c r="A4077" s="153" t="s">
        <v>8157</v>
      </c>
      <c r="B4077" s="154" t="s">
        <v>8156</v>
      </c>
    </row>
    <row r="4078" spans="1:2" x14ac:dyDescent="0.2">
      <c r="A4078" s="153" t="s">
        <v>8159</v>
      </c>
      <c r="B4078" s="154" t="s">
        <v>8158</v>
      </c>
    </row>
    <row r="4079" spans="1:2" x14ac:dyDescent="0.2">
      <c r="A4079" s="153" t="s">
        <v>8161</v>
      </c>
      <c r="B4079" s="154" t="s">
        <v>8160</v>
      </c>
    </row>
    <row r="4080" spans="1:2" x14ac:dyDescent="0.2">
      <c r="A4080" s="153" t="s">
        <v>8163</v>
      </c>
      <c r="B4080" s="154" t="s">
        <v>8162</v>
      </c>
    </row>
    <row r="4081" spans="1:2" x14ac:dyDescent="0.2">
      <c r="A4081" s="153" t="s">
        <v>8165</v>
      </c>
      <c r="B4081" s="154" t="s">
        <v>8164</v>
      </c>
    </row>
    <row r="4082" spans="1:2" x14ac:dyDescent="0.2">
      <c r="A4082" s="153" t="s">
        <v>8167</v>
      </c>
      <c r="B4082" s="154" t="s">
        <v>8166</v>
      </c>
    </row>
    <row r="4083" spans="1:2" x14ac:dyDescent="0.2">
      <c r="A4083" s="153" t="s">
        <v>8169</v>
      </c>
      <c r="B4083" s="154" t="s">
        <v>8168</v>
      </c>
    </row>
    <row r="4084" spans="1:2" x14ac:dyDescent="0.2">
      <c r="A4084" s="153" t="s">
        <v>8171</v>
      </c>
      <c r="B4084" s="154" t="s">
        <v>8170</v>
      </c>
    </row>
    <row r="4085" spans="1:2" x14ac:dyDescent="0.2">
      <c r="A4085" s="153" t="s">
        <v>8173</v>
      </c>
      <c r="B4085" s="154" t="s">
        <v>8172</v>
      </c>
    </row>
    <row r="4086" spans="1:2" x14ac:dyDescent="0.2">
      <c r="A4086" s="153" t="s">
        <v>8175</v>
      </c>
      <c r="B4086" s="154" t="s">
        <v>8174</v>
      </c>
    </row>
    <row r="4087" spans="1:2" x14ac:dyDescent="0.2">
      <c r="A4087" s="153" t="s">
        <v>8177</v>
      </c>
      <c r="B4087" s="154" t="s">
        <v>8176</v>
      </c>
    </row>
    <row r="4088" spans="1:2" x14ac:dyDescent="0.2">
      <c r="A4088" s="153" t="s">
        <v>8179</v>
      </c>
      <c r="B4088" s="154" t="s">
        <v>8178</v>
      </c>
    </row>
    <row r="4089" spans="1:2" x14ac:dyDescent="0.2">
      <c r="A4089" s="153" t="s">
        <v>8181</v>
      </c>
      <c r="B4089" s="154" t="s">
        <v>8180</v>
      </c>
    </row>
    <row r="4090" spans="1:2" x14ac:dyDescent="0.2">
      <c r="A4090" s="153" t="s">
        <v>8183</v>
      </c>
      <c r="B4090" s="154" t="s">
        <v>8182</v>
      </c>
    </row>
    <row r="4091" spans="1:2" x14ac:dyDescent="0.2">
      <c r="A4091" s="153" t="s">
        <v>8185</v>
      </c>
      <c r="B4091" s="154" t="s">
        <v>8184</v>
      </c>
    </row>
    <row r="4092" spans="1:2" x14ac:dyDescent="0.2">
      <c r="A4092" s="153" t="s">
        <v>8187</v>
      </c>
      <c r="B4092" s="154" t="s">
        <v>8186</v>
      </c>
    </row>
    <row r="4093" spans="1:2" x14ac:dyDescent="0.2">
      <c r="A4093" s="153" t="s">
        <v>8189</v>
      </c>
      <c r="B4093" s="154" t="s">
        <v>8188</v>
      </c>
    </row>
    <row r="4094" spans="1:2" x14ac:dyDescent="0.2">
      <c r="A4094" s="153" t="s">
        <v>8191</v>
      </c>
      <c r="B4094" s="154" t="s">
        <v>8190</v>
      </c>
    </row>
    <row r="4095" spans="1:2" x14ac:dyDescent="0.2">
      <c r="A4095" s="153" t="s">
        <v>8193</v>
      </c>
      <c r="B4095" s="154" t="s">
        <v>8192</v>
      </c>
    </row>
    <row r="4096" spans="1:2" x14ac:dyDescent="0.2">
      <c r="A4096" s="153" t="s">
        <v>8195</v>
      </c>
      <c r="B4096" s="154" t="s">
        <v>8194</v>
      </c>
    </row>
    <row r="4097" spans="1:2" x14ac:dyDescent="0.2">
      <c r="A4097" s="153" t="s">
        <v>8197</v>
      </c>
      <c r="B4097" s="154" t="s">
        <v>8196</v>
      </c>
    </row>
    <row r="4098" spans="1:2" x14ac:dyDescent="0.2">
      <c r="A4098" s="153" t="s">
        <v>8199</v>
      </c>
      <c r="B4098" s="154" t="s">
        <v>8198</v>
      </c>
    </row>
    <row r="4099" spans="1:2" x14ac:dyDescent="0.2">
      <c r="A4099" s="153" t="s">
        <v>8201</v>
      </c>
      <c r="B4099" s="154" t="s">
        <v>8200</v>
      </c>
    </row>
    <row r="4100" spans="1:2" x14ac:dyDescent="0.2">
      <c r="A4100" s="153" t="s">
        <v>8203</v>
      </c>
      <c r="B4100" s="154" t="s">
        <v>8202</v>
      </c>
    </row>
    <row r="4101" spans="1:2" x14ac:dyDescent="0.2">
      <c r="A4101" s="153" t="s">
        <v>8205</v>
      </c>
      <c r="B4101" s="154" t="s">
        <v>8204</v>
      </c>
    </row>
    <row r="4102" spans="1:2" x14ac:dyDescent="0.2">
      <c r="A4102" s="153" t="s">
        <v>8207</v>
      </c>
      <c r="B4102" s="154" t="s">
        <v>8206</v>
      </c>
    </row>
    <row r="4103" spans="1:2" x14ac:dyDescent="0.2">
      <c r="A4103" s="153" t="s">
        <v>8209</v>
      </c>
      <c r="B4103" s="154" t="s">
        <v>8208</v>
      </c>
    </row>
    <row r="4104" spans="1:2" x14ac:dyDescent="0.2">
      <c r="A4104" s="153" t="s">
        <v>8211</v>
      </c>
      <c r="B4104" s="154" t="s">
        <v>8210</v>
      </c>
    </row>
    <row r="4105" spans="1:2" x14ac:dyDescent="0.2">
      <c r="A4105" s="153" t="s">
        <v>8213</v>
      </c>
      <c r="B4105" s="154" t="s">
        <v>8212</v>
      </c>
    </row>
    <row r="4106" spans="1:2" x14ac:dyDescent="0.2">
      <c r="A4106" s="153" t="s">
        <v>8215</v>
      </c>
      <c r="B4106" s="154" t="s">
        <v>8214</v>
      </c>
    </row>
    <row r="4107" spans="1:2" x14ac:dyDescent="0.2">
      <c r="A4107" s="153" t="s">
        <v>8217</v>
      </c>
      <c r="B4107" s="154" t="s">
        <v>8216</v>
      </c>
    </row>
    <row r="4108" spans="1:2" x14ac:dyDescent="0.2">
      <c r="A4108" s="153" t="s">
        <v>8219</v>
      </c>
      <c r="B4108" s="154" t="s">
        <v>8218</v>
      </c>
    </row>
    <row r="4109" spans="1:2" x14ac:dyDescent="0.2">
      <c r="A4109" s="153" t="s">
        <v>9876</v>
      </c>
      <c r="B4109" s="154" t="s">
        <v>8220</v>
      </c>
    </row>
    <row r="4110" spans="1:2" x14ac:dyDescent="0.2">
      <c r="A4110" s="153" t="s">
        <v>8222</v>
      </c>
      <c r="B4110" s="154" t="s">
        <v>8221</v>
      </c>
    </row>
    <row r="4111" spans="1:2" x14ac:dyDescent="0.2">
      <c r="A4111" s="153" t="s">
        <v>8224</v>
      </c>
      <c r="B4111" s="154" t="s">
        <v>8223</v>
      </c>
    </row>
    <row r="4112" spans="1:2" x14ac:dyDescent="0.2">
      <c r="A4112" s="153" t="s">
        <v>8226</v>
      </c>
      <c r="B4112" s="154" t="s">
        <v>8225</v>
      </c>
    </row>
    <row r="4113" spans="1:2" x14ac:dyDescent="0.2">
      <c r="A4113" s="153" t="s">
        <v>8228</v>
      </c>
      <c r="B4113" s="154" t="s">
        <v>8227</v>
      </c>
    </row>
    <row r="4114" spans="1:2" x14ac:dyDescent="0.2">
      <c r="A4114" s="153" t="s">
        <v>8230</v>
      </c>
      <c r="B4114" s="154" t="s">
        <v>8229</v>
      </c>
    </row>
    <row r="4115" spans="1:2" x14ac:dyDescent="0.2">
      <c r="A4115" s="153" t="s">
        <v>8232</v>
      </c>
      <c r="B4115" s="154" t="s">
        <v>8231</v>
      </c>
    </row>
    <row r="4116" spans="1:2" x14ac:dyDescent="0.2">
      <c r="A4116" s="153" t="s">
        <v>8234</v>
      </c>
      <c r="B4116" s="154" t="s">
        <v>8233</v>
      </c>
    </row>
    <row r="4117" spans="1:2" x14ac:dyDescent="0.2">
      <c r="A4117" s="153" t="s">
        <v>8236</v>
      </c>
      <c r="B4117" s="154" t="s">
        <v>8235</v>
      </c>
    </row>
    <row r="4118" spans="1:2" x14ac:dyDescent="0.2">
      <c r="A4118" s="153" t="s">
        <v>8238</v>
      </c>
      <c r="B4118" s="154" t="s">
        <v>8237</v>
      </c>
    </row>
    <row r="4119" spans="1:2" x14ac:dyDescent="0.2">
      <c r="A4119" s="153" t="s">
        <v>8240</v>
      </c>
      <c r="B4119" s="154" t="s">
        <v>8239</v>
      </c>
    </row>
    <row r="4120" spans="1:2" x14ac:dyDescent="0.2">
      <c r="A4120" s="153" t="s">
        <v>8242</v>
      </c>
      <c r="B4120" s="154" t="s">
        <v>8241</v>
      </c>
    </row>
    <row r="4121" spans="1:2" x14ac:dyDescent="0.2">
      <c r="A4121" s="153" t="s">
        <v>8244</v>
      </c>
      <c r="B4121" s="154" t="s">
        <v>8243</v>
      </c>
    </row>
    <row r="4122" spans="1:2" x14ac:dyDescent="0.2">
      <c r="A4122" s="153" t="s">
        <v>8245</v>
      </c>
      <c r="B4122" s="154" t="s">
        <v>8243</v>
      </c>
    </row>
    <row r="4123" spans="1:2" x14ac:dyDescent="0.2">
      <c r="A4123" s="153" t="s">
        <v>8247</v>
      </c>
      <c r="B4123" s="154" t="s">
        <v>8246</v>
      </c>
    </row>
    <row r="4124" spans="1:2" x14ac:dyDescent="0.2">
      <c r="A4124" s="153" t="s">
        <v>8249</v>
      </c>
      <c r="B4124" s="154" t="s">
        <v>8248</v>
      </c>
    </row>
    <row r="4125" spans="1:2" x14ac:dyDescent="0.2">
      <c r="A4125" s="153" t="s">
        <v>8251</v>
      </c>
      <c r="B4125" s="154" t="s">
        <v>8250</v>
      </c>
    </row>
    <row r="4126" spans="1:2" x14ac:dyDescent="0.2">
      <c r="A4126" s="153" t="s">
        <v>8253</v>
      </c>
      <c r="B4126" s="154" t="s">
        <v>8252</v>
      </c>
    </row>
    <row r="4127" spans="1:2" x14ac:dyDescent="0.2">
      <c r="A4127" s="153" t="s">
        <v>8255</v>
      </c>
      <c r="B4127" s="154" t="s">
        <v>8254</v>
      </c>
    </row>
    <row r="4128" spans="1:2" x14ac:dyDescent="0.2">
      <c r="A4128" s="153" t="s">
        <v>8257</v>
      </c>
      <c r="B4128" s="154" t="s">
        <v>8256</v>
      </c>
    </row>
    <row r="4129" spans="1:2" x14ac:dyDescent="0.2">
      <c r="A4129" s="153" t="s">
        <v>8259</v>
      </c>
      <c r="B4129" s="154" t="s">
        <v>8258</v>
      </c>
    </row>
    <row r="4130" spans="1:2" x14ac:dyDescent="0.2">
      <c r="A4130" s="153" t="s">
        <v>8261</v>
      </c>
      <c r="B4130" s="154" t="s">
        <v>8260</v>
      </c>
    </row>
    <row r="4131" spans="1:2" x14ac:dyDescent="0.2">
      <c r="A4131" s="153" t="s">
        <v>8263</v>
      </c>
      <c r="B4131" s="154" t="s">
        <v>8262</v>
      </c>
    </row>
    <row r="4132" spans="1:2" x14ac:dyDescent="0.2">
      <c r="A4132" s="153" t="s">
        <v>8265</v>
      </c>
      <c r="B4132" s="154" t="s">
        <v>8264</v>
      </c>
    </row>
    <row r="4133" spans="1:2" x14ac:dyDescent="0.2">
      <c r="A4133" s="153" t="s">
        <v>8267</v>
      </c>
      <c r="B4133" s="154" t="s">
        <v>8266</v>
      </c>
    </row>
    <row r="4134" spans="1:2" x14ac:dyDescent="0.2">
      <c r="A4134" s="153" t="s">
        <v>8269</v>
      </c>
      <c r="B4134" s="154" t="s">
        <v>8268</v>
      </c>
    </row>
    <row r="4135" spans="1:2" x14ac:dyDescent="0.2">
      <c r="A4135" s="153" t="s">
        <v>8271</v>
      </c>
      <c r="B4135" s="154" t="s">
        <v>8270</v>
      </c>
    </row>
    <row r="4136" spans="1:2" x14ac:dyDescent="0.2">
      <c r="A4136" s="153" t="s">
        <v>8273</v>
      </c>
      <c r="B4136" s="154" t="s">
        <v>8272</v>
      </c>
    </row>
    <row r="4137" spans="1:2" x14ac:dyDescent="0.2">
      <c r="A4137" s="153" t="s">
        <v>8275</v>
      </c>
      <c r="B4137" s="154" t="s">
        <v>8274</v>
      </c>
    </row>
    <row r="4138" spans="1:2" x14ac:dyDescent="0.2">
      <c r="A4138" s="153" t="s">
        <v>8277</v>
      </c>
      <c r="B4138" s="154" t="s">
        <v>8276</v>
      </c>
    </row>
    <row r="4139" spans="1:2" x14ac:dyDescent="0.2">
      <c r="A4139" s="153" t="s">
        <v>8279</v>
      </c>
      <c r="B4139" s="154" t="s">
        <v>8278</v>
      </c>
    </row>
    <row r="4140" spans="1:2" x14ac:dyDescent="0.2">
      <c r="A4140" s="153" t="s">
        <v>8281</v>
      </c>
      <c r="B4140" s="154" t="s">
        <v>8280</v>
      </c>
    </row>
    <row r="4141" spans="1:2" x14ac:dyDescent="0.2">
      <c r="A4141" s="153" t="s">
        <v>8283</v>
      </c>
      <c r="B4141" s="154" t="s">
        <v>8282</v>
      </c>
    </row>
    <row r="4142" spans="1:2" x14ac:dyDescent="0.2">
      <c r="A4142" s="153" t="s">
        <v>8285</v>
      </c>
      <c r="B4142" s="154" t="s">
        <v>8284</v>
      </c>
    </row>
    <row r="4143" spans="1:2" x14ac:dyDescent="0.2">
      <c r="A4143" s="153" t="s">
        <v>1065</v>
      </c>
      <c r="B4143" s="154" t="s">
        <v>8286</v>
      </c>
    </row>
    <row r="4144" spans="1:2" x14ac:dyDescent="0.2">
      <c r="A4144" s="153" t="s">
        <v>8288</v>
      </c>
      <c r="B4144" s="154" t="s">
        <v>8287</v>
      </c>
    </row>
    <row r="4145" spans="1:2" x14ac:dyDescent="0.2">
      <c r="A4145" s="153" t="s">
        <v>8290</v>
      </c>
      <c r="B4145" s="154" t="s">
        <v>8289</v>
      </c>
    </row>
    <row r="4146" spans="1:2" x14ac:dyDescent="0.2">
      <c r="A4146" s="153" t="s">
        <v>8292</v>
      </c>
      <c r="B4146" s="154" t="s">
        <v>8291</v>
      </c>
    </row>
    <row r="4147" spans="1:2" x14ac:dyDescent="0.2">
      <c r="A4147" s="153" t="s">
        <v>8294</v>
      </c>
      <c r="B4147" s="154" t="s">
        <v>8293</v>
      </c>
    </row>
    <row r="4148" spans="1:2" x14ac:dyDescent="0.2">
      <c r="A4148" s="153" t="s">
        <v>9877</v>
      </c>
      <c r="B4148" s="154" t="s">
        <v>8295</v>
      </c>
    </row>
    <row r="4149" spans="1:2" x14ac:dyDescent="0.2">
      <c r="A4149" s="153" t="s">
        <v>8297</v>
      </c>
      <c r="B4149" s="154" t="s">
        <v>8296</v>
      </c>
    </row>
    <row r="4150" spans="1:2" x14ac:dyDescent="0.2">
      <c r="A4150" s="153" t="s">
        <v>8299</v>
      </c>
      <c r="B4150" s="154" t="s">
        <v>8298</v>
      </c>
    </row>
    <row r="4151" spans="1:2" x14ac:dyDescent="0.2">
      <c r="A4151" s="153" t="s">
        <v>8301</v>
      </c>
      <c r="B4151" s="154" t="s">
        <v>8300</v>
      </c>
    </row>
    <row r="4152" spans="1:2" x14ac:dyDescent="0.2">
      <c r="A4152" s="153" t="s">
        <v>8303</v>
      </c>
      <c r="B4152" s="154" t="s">
        <v>8302</v>
      </c>
    </row>
    <row r="4153" spans="1:2" x14ac:dyDescent="0.2">
      <c r="A4153" s="153" t="s">
        <v>8305</v>
      </c>
      <c r="B4153" s="154" t="s">
        <v>8304</v>
      </c>
    </row>
    <row r="4154" spans="1:2" x14ac:dyDescent="0.2">
      <c r="A4154" s="153" t="s">
        <v>8307</v>
      </c>
      <c r="B4154" s="154" t="s">
        <v>8306</v>
      </c>
    </row>
    <row r="4155" spans="1:2" x14ac:dyDescent="0.2">
      <c r="A4155" s="153" t="s">
        <v>8309</v>
      </c>
      <c r="B4155" s="154" t="s">
        <v>8308</v>
      </c>
    </row>
    <row r="4156" spans="1:2" x14ac:dyDescent="0.2">
      <c r="A4156" s="153" t="s">
        <v>8311</v>
      </c>
      <c r="B4156" s="154" t="s">
        <v>8310</v>
      </c>
    </row>
    <row r="4157" spans="1:2" x14ac:dyDescent="0.2">
      <c r="A4157" s="153" t="s">
        <v>8313</v>
      </c>
      <c r="B4157" s="154" t="s">
        <v>8312</v>
      </c>
    </row>
    <row r="4158" spans="1:2" x14ac:dyDescent="0.2">
      <c r="A4158" s="153" t="s">
        <v>8315</v>
      </c>
      <c r="B4158" s="154" t="s">
        <v>8314</v>
      </c>
    </row>
    <row r="4159" spans="1:2" x14ac:dyDescent="0.2">
      <c r="A4159" s="153" t="s">
        <v>8317</v>
      </c>
      <c r="B4159" s="154" t="s">
        <v>8316</v>
      </c>
    </row>
    <row r="4160" spans="1:2" x14ac:dyDescent="0.2">
      <c r="A4160" s="153" t="s">
        <v>8319</v>
      </c>
      <c r="B4160" s="154" t="s">
        <v>8318</v>
      </c>
    </row>
    <row r="4161" spans="1:2" x14ac:dyDescent="0.2">
      <c r="A4161" s="153" t="s">
        <v>8321</v>
      </c>
      <c r="B4161" s="154" t="s">
        <v>8320</v>
      </c>
    </row>
    <row r="4162" spans="1:2" x14ac:dyDescent="0.2">
      <c r="A4162" s="153" t="s">
        <v>8323</v>
      </c>
      <c r="B4162" s="154" t="s">
        <v>8322</v>
      </c>
    </row>
    <row r="4163" spans="1:2" x14ac:dyDescent="0.2">
      <c r="A4163" s="153" t="s">
        <v>8325</v>
      </c>
      <c r="B4163" s="154" t="s">
        <v>8324</v>
      </c>
    </row>
    <row r="4164" spans="1:2" x14ac:dyDescent="0.2">
      <c r="A4164" s="153" t="s">
        <v>8327</v>
      </c>
      <c r="B4164" s="154" t="s">
        <v>8326</v>
      </c>
    </row>
    <row r="4165" spans="1:2" x14ac:dyDescent="0.2">
      <c r="A4165" s="153" t="s">
        <v>8329</v>
      </c>
      <c r="B4165" s="154" t="s">
        <v>8328</v>
      </c>
    </row>
    <row r="4166" spans="1:2" x14ac:dyDescent="0.2">
      <c r="A4166" s="153" t="s">
        <v>8331</v>
      </c>
      <c r="B4166" s="154" t="s">
        <v>8330</v>
      </c>
    </row>
    <row r="4167" spans="1:2" x14ac:dyDescent="0.2">
      <c r="A4167" s="153" t="s">
        <v>8333</v>
      </c>
      <c r="B4167" s="154" t="s">
        <v>8332</v>
      </c>
    </row>
    <row r="4168" spans="1:2" x14ac:dyDescent="0.2">
      <c r="A4168" s="153" t="s">
        <v>8335</v>
      </c>
      <c r="B4168" s="154" t="s">
        <v>8334</v>
      </c>
    </row>
    <row r="4169" spans="1:2" x14ac:dyDescent="0.2">
      <c r="A4169" s="153" t="s">
        <v>8337</v>
      </c>
      <c r="B4169" s="154" t="s">
        <v>8336</v>
      </c>
    </row>
    <row r="4170" spans="1:2" x14ac:dyDescent="0.2">
      <c r="A4170" s="153" t="s">
        <v>8339</v>
      </c>
      <c r="B4170" s="154" t="s">
        <v>8338</v>
      </c>
    </row>
    <row r="4171" spans="1:2" x14ac:dyDescent="0.2">
      <c r="A4171" s="153" t="s">
        <v>8341</v>
      </c>
      <c r="B4171" s="154" t="s">
        <v>8340</v>
      </c>
    </row>
    <row r="4172" spans="1:2" x14ac:dyDescent="0.2">
      <c r="A4172" s="153" t="s">
        <v>8343</v>
      </c>
      <c r="B4172" s="154" t="s">
        <v>8342</v>
      </c>
    </row>
    <row r="4173" spans="1:2" x14ac:dyDescent="0.2">
      <c r="A4173" s="153" t="s">
        <v>8345</v>
      </c>
      <c r="B4173" s="154" t="s">
        <v>8344</v>
      </c>
    </row>
    <row r="4174" spans="1:2" x14ac:dyDescent="0.2">
      <c r="A4174" s="153" t="s">
        <v>8347</v>
      </c>
      <c r="B4174" s="154" t="s">
        <v>8346</v>
      </c>
    </row>
    <row r="4175" spans="1:2" x14ac:dyDescent="0.2">
      <c r="A4175" s="153" t="s">
        <v>8349</v>
      </c>
      <c r="B4175" s="154" t="s">
        <v>8348</v>
      </c>
    </row>
    <row r="4176" spans="1:2" x14ac:dyDescent="0.2">
      <c r="A4176" s="153" t="s">
        <v>8351</v>
      </c>
      <c r="B4176" s="154" t="s">
        <v>8350</v>
      </c>
    </row>
    <row r="4177" spans="1:2" x14ac:dyDescent="0.2">
      <c r="A4177" s="153" t="s">
        <v>8353</v>
      </c>
      <c r="B4177" s="154" t="s">
        <v>8352</v>
      </c>
    </row>
    <row r="4178" spans="1:2" x14ac:dyDescent="0.2">
      <c r="A4178" s="153" t="s">
        <v>8355</v>
      </c>
      <c r="B4178" s="154" t="s">
        <v>8354</v>
      </c>
    </row>
    <row r="4179" spans="1:2" x14ac:dyDescent="0.2">
      <c r="A4179" s="153" t="s">
        <v>8357</v>
      </c>
      <c r="B4179" s="154" t="s">
        <v>8356</v>
      </c>
    </row>
    <row r="4180" spans="1:2" x14ac:dyDescent="0.2">
      <c r="A4180" s="153" t="s">
        <v>8359</v>
      </c>
      <c r="B4180" s="154" t="s">
        <v>8358</v>
      </c>
    </row>
    <row r="4181" spans="1:2" x14ac:dyDescent="0.2">
      <c r="A4181" s="153" t="s">
        <v>8361</v>
      </c>
      <c r="B4181" s="154" t="s">
        <v>8360</v>
      </c>
    </row>
    <row r="4182" spans="1:2" x14ac:dyDescent="0.2">
      <c r="A4182" s="153" t="s">
        <v>8363</v>
      </c>
      <c r="B4182" s="154" t="s">
        <v>8362</v>
      </c>
    </row>
    <row r="4183" spans="1:2" x14ac:dyDescent="0.2">
      <c r="A4183" s="153" t="s">
        <v>8365</v>
      </c>
      <c r="B4183" s="154" t="s">
        <v>8364</v>
      </c>
    </row>
    <row r="4184" spans="1:2" x14ac:dyDescent="0.2">
      <c r="A4184" s="153" t="s">
        <v>8367</v>
      </c>
      <c r="B4184" s="154" t="s">
        <v>8366</v>
      </c>
    </row>
    <row r="4185" spans="1:2" x14ac:dyDescent="0.2">
      <c r="A4185" s="153" t="s">
        <v>8369</v>
      </c>
      <c r="B4185" s="154" t="s">
        <v>8368</v>
      </c>
    </row>
    <row r="4186" spans="1:2" x14ac:dyDescent="0.2">
      <c r="A4186" s="153" t="s">
        <v>8371</v>
      </c>
      <c r="B4186" s="154" t="s">
        <v>8370</v>
      </c>
    </row>
    <row r="4187" spans="1:2" x14ac:dyDescent="0.2">
      <c r="A4187" s="153" t="s">
        <v>8373</v>
      </c>
      <c r="B4187" s="154" t="s">
        <v>8372</v>
      </c>
    </row>
    <row r="4188" spans="1:2" x14ac:dyDescent="0.2">
      <c r="A4188" s="153" t="s">
        <v>8375</v>
      </c>
      <c r="B4188" s="154" t="s">
        <v>8374</v>
      </c>
    </row>
    <row r="4189" spans="1:2" x14ac:dyDescent="0.2">
      <c r="A4189" s="153" t="s">
        <v>8377</v>
      </c>
      <c r="B4189" s="154" t="s">
        <v>8376</v>
      </c>
    </row>
    <row r="4190" spans="1:2" x14ac:dyDescent="0.2">
      <c r="A4190" s="153" t="s">
        <v>8379</v>
      </c>
      <c r="B4190" s="154" t="s">
        <v>8378</v>
      </c>
    </row>
    <row r="4191" spans="1:2" x14ac:dyDescent="0.2">
      <c r="A4191" s="153" t="s">
        <v>8381</v>
      </c>
      <c r="B4191" s="154" t="s">
        <v>8380</v>
      </c>
    </row>
    <row r="4192" spans="1:2" x14ac:dyDescent="0.2">
      <c r="A4192" s="153" t="s">
        <v>8383</v>
      </c>
      <c r="B4192" s="154" t="s">
        <v>8382</v>
      </c>
    </row>
    <row r="4193" spans="1:2" x14ac:dyDescent="0.2">
      <c r="A4193" s="153" t="s">
        <v>8385</v>
      </c>
      <c r="B4193" s="154" t="s">
        <v>8384</v>
      </c>
    </row>
    <row r="4194" spans="1:2" x14ac:dyDescent="0.2">
      <c r="A4194" s="153" t="s">
        <v>8387</v>
      </c>
      <c r="B4194" s="154" t="s">
        <v>8386</v>
      </c>
    </row>
    <row r="4195" spans="1:2" x14ac:dyDescent="0.2">
      <c r="A4195" s="153" t="s">
        <v>8389</v>
      </c>
      <c r="B4195" s="154" t="s">
        <v>8388</v>
      </c>
    </row>
    <row r="4196" spans="1:2" x14ac:dyDescent="0.2">
      <c r="A4196" s="153" t="s">
        <v>8391</v>
      </c>
      <c r="B4196" s="154" t="s">
        <v>8390</v>
      </c>
    </row>
    <row r="4197" spans="1:2" x14ac:dyDescent="0.2">
      <c r="A4197" s="153" t="s">
        <v>8393</v>
      </c>
      <c r="B4197" s="154" t="s">
        <v>8392</v>
      </c>
    </row>
    <row r="4198" spans="1:2" x14ac:dyDescent="0.2">
      <c r="A4198" s="153" t="s">
        <v>9504</v>
      </c>
      <c r="B4198" s="154" t="s">
        <v>8394</v>
      </c>
    </row>
    <row r="4199" spans="1:2" ht="28.5" x14ac:dyDescent="0.2">
      <c r="A4199" s="153" t="s">
        <v>9505</v>
      </c>
      <c r="B4199" s="154" t="s">
        <v>8395</v>
      </c>
    </row>
    <row r="4200" spans="1:2" ht="28.5" x14ac:dyDescent="0.2">
      <c r="A4200" s="153" t="s">
        <v>8397</v>
      </c>
      <c r="B4200" s="154" t="s">
        <v>8396</v>
      </c>
    </row>
    <row r="4201" spans="1:2" x14ac:dyDescent="0.2">
      <c r="A4201" s="153" t="s">
        <v>8399</v>
      </c>
      <c r="B4201" s="154" t="s">
        <v>8398</v>
      </c>
    </row>
    <row r="4202" spans="1:2" x14ac:dyDescent="0.2">
      <c r="A4202" s="153" t="s">
        <v>8401</v>
      </c>
      <c r="B4202" s="154" t="s">
        <v>8400</v>
      </c>
    </row>
    <row r="4203" spans="1:2" x14ac:dyDescent="0.2">
      <c r="A4203" s="153" t="s">
        <v>8403</v>
      </c>
      <c r="B4203" s="154" t="s">
        <v>8402</v>
      </c>
    </row>
    <row r="4204" spans="1:2" x14ac:dyDescent="0.2">
      <c r="A4204" s="153" t="s">
        <v>8405</v>
      </c>
      <c r="B4204" s="154" t="s">
        <v>8404</v>
      </c>
    </row>
    <row r="4205" spans="1:2" x14ac:dyDescent="0.2">
      <c r="A4205" s="153" t="s">
        <v>8407</v>
      </c>
      <c r="B4205" s="154" t="s">
        <v>8406</v>
      </c>
    </row>
    <row r="4206" spans="1:2" x14ac:dyDescent="0.2">
      <c r="A4206" s="153" t="s">
        <v>8409</v>
      </c>
      <c r="B4206" s="154" t="s">
        <v>8408</v>
      </c>
    </row>
    <row r="4207" spans="1:2" x14ac:dyDescent="0.2">
      <c r="A4207" s="153" t="s">
        <v>8411</v>
      </c>
      <c r="B4207" s="154" t="s">
        <v>8410</v>
      </c>
    </row>
    <row r="4208" spans="1:2" x14ac:dyDescent="0.2">
      <c r="A4208" s="153" t="s">
        <v>8413</v>
      </c>
      <c r="B4208" s="154" t="s">
        <v>8412</v>
      </c>
    </row>
    <row r="4209" spans="1:2" x14ac:dyDescent="0.2">
      <c r="A4209" s="153" t="s">
        <v>8415</v>
      </c>
      <c r="B4209" s="154" t="s">
        <v>8414</v>
      </c>
    </row>
    <row r="4210" spans="1:2" x14ac:dyDescent="0.2">
      <c r="A4210" s="153" t="s">
        <v>8417</v>
      </c>
      <c r="B4210" s="154" t="s">
        <v>8416</v>
      </c>
    </row>
    <row r="4211" spans="1:2" x14ac:dyDescent="0.2">
      <c r="A4211" s="153" t="s">
        <v>8419</v>
      </c>
      <c r="B4211" s="154" t="s">
        <v>8418</v>
      </c>
    </row>
    <row r="4212" spans="1:2" x14ac:dyDescent="0.2">
      <c r="A4212" s="153" t="s">
        <v>8421</v>
      </c>
      <c r="B4212" s="154" t="s">
        <v>8420</v>
      </c>
    </row>
    <row r="4213" spans="1:2" x14ac:dyDescent="0.2">
      <c r="A4213" s="153" t="s">
        <v>8423</v>
      </c>
      <c r="B4213" s="154" t="s">
        <v>8422</v>
      </c>
    </row>
    <row r="4214" spans="1:2" x14ac:dyDescent="0.2">
      <c r="A4214" s="153" t="s">
        <v>8425</v>
      </c>
      <c r="B4214" s="154" t="s">
        <v>8424</v>
      </c>
    </row>
    <row r="4215" spans="1:2" x14ac:dyDescent="0.2">
      <c r="A4215" s="153" t="s">
        <v>8427</v>
      </c>
      <c r="B4215" s="154" t="s">
        <v>8426</v>
      </c>
    </row>
    <row r="4216" spans="1:2" x14ac:dyDescent="0.2">
      <c r="A4216" s="153" t="s">
        <v>8429</v>
      </c>
      <c r="B4216" s="154" t="s">
        <v>8428</v>
      </c>
    </row>
    <row r="4217" spans="1:2" x14ac:dyDescent="0.2">
      <c r="A4217" s="153" t="s">
        <v>8431</v>
      </c>
      <c r="B4217" s="154" t="s">
        <v>8430</v>
      </c>
    </row>
    <row r="4218" spans="1:2" x14ac:dyDescent="0.2">
      <c r="A4218" s="153" t="s">
        <v>8433</v>
      </c>
      <c r="B4218" s="154" t="s">
        <v>8432</v>
      </c>
    </row>
    <row r="4219" spans="1:2" x14ac:dyDescent="0.2">
      <c r="A4219" s="153" t="s">
        <v>8435</v>
      </c>
      <c r="B4219" s="154" t="s">
        <v>8434</v>
      </c>
    </row>
    <row r="4220" spans="1:2" x14ac:dyDescent="0.2">
      <c r="A4220" s="153" t="s">
        <v>8437</v>
      </c>
      <c r="B4220" s="154" t="s">
        <v>8436</v>
      </c>
    </row>
    <row r="4221" spans="1:2" x14ac:dyDescent="0.2">
      <c r="A4221" s="153" t="s">
        <v>8439</v>
      </c>
      <c r="B4221" s="154" t="s">
        <v>8438</v>
      </c>
    </row>
    <row r="4222" spans="1:2" x14ac:dyDescent="0.2">
      <c r="A4222" s="153" t="s">
        <v>8441</v>
      </c>
      <c r="B4222" s="154" t="s">
        <v>8440</v>
      </c>
    </row>
    <row r="4223" spans="1:2" x14ac:dyDescent="0.2">
      <c r="A4223" s="153" t="s">
        <v>8443</v>
      </c>
      <c r="B4223" s="154" t="s">
        <v>8442</v>
      </c>
    </row>
    <row r="4224" spans="1:2" x14ac:dyDescent="0.2">
      <c r="A4224" s="153" t="s">
        <v>8445</v>
      </c>
      <c r="B4224" s="154" t="s">
        <v>8444</v>
      </c>
    </row>
    <row r="4225" spans="1:2" x14ac:dyDescent="0.2">
      <c r="A4225" s="153" t="s">
        <v>8447</v>
      </c>
      <c r="B4225" s="154" t="s">
        <v>8446</v>
      </c>
    </row>
    <row r="4226" spans="1:2" x14ac:dyDescent="0.2">
      <c r="A4226" s="153" t="s">
        <v>8449</v>
      </c>
      <c r="B4226" s="154" t="s">
        <v>8448</v>
      </c>
    </row>
    <row r="4227" spans="1:2" x14ac:dyDescent="0.2">
      <c r="A4227" s="153" t="s">
        <v>8451</v>
      </c>
      <c r="B4227" s="154" t="s">
        <v>8450</v>
      </c>
    </row>
    <row r="4228" spans="1:2" x14ac:dyDescent="0.2">
      <c r="A4228" s="153" t="s">
        <v>8453</v>
      </c>
      <c r="B4228" s="154" t="s">
        <v>8452</v>
      </c>
    </row>
    <row r="4229" spans="1:2" x14ac:dyDescent="0.2">
      <c r="A4229" s="153" t="s">
        <v>8455</v>
      </c>
      <c r="B4229" s="154" t="s">
        <v>8454</v>
      </c>
    </row>
    <row r="4230" spans="1:2" x14ac:dyDescent="0.2">
      <c r="A4230" s="153" t="s">
        <v>8457</v>
      </c>
      <c r="B4230" s="154" t="s">
        <v>8456</v>
      </c>
    </row>
    <row r="4231" spans="1:2" x14ac:dyDescent="0.2">
      <c r="A4231" s="153" t="s">
        <v>8459</v>
      </c>
      <c r="B4231" s="154" t="s">
        <v>8458</v>
      </c>
    </row>
    <row r="4232" spans="1:2" x14ac:dyDescent="0.2">
      <c r="A4232" s="153" t="s">
        <v>8461</v>
      </c>
      <c r="B4232" s="154" t="s">
        <v>8460</v>
      </c>
    </row>
    <row r="4233" spans="1:2" x14ac:dyDescent="0.2">
      <c r="A4233" s="153" t="s">
        <v>8463</v>
      </c>
      <c r="B4233" s="154" t="s">
        <v>8462</v>
      </c>
    </row>
    <row r="4234" spans="1:2" x14ac:dyDescent="0.2">
      <c r="A4234" s="153" t="s">
        <v>8465</v>
      </c>
      <c r="B4234" s="154" t="s">
        <v>8464</v>
      </c>
    </row>
    <row r="4235" spans="1:2" x14ac:dyDescent="0.2">
      <c r="A4235" s="153" t="s">
        <v>8467</v>
      </c>
      <c r="B4235" s="154" t="s">
        <v>8466</v>
      </c>
    </row>
    <row r="4236" spans="1:2" x14ac:dyDescent="0.2">
      <c r="A4236" s="153" t="s">
        <v>8469</v>
      </c>
      <c r="B4236" s="154" t="s">
        <v>8468</v>
      </c>
    </row>
    <row r="4237" spans="1:2" x14ac:dyDescent="0.2">
      <c r="A4237" s="153" t="s">
        <v>8471</v>
      </c>
      <c r="B4237" s="154" t="s">
        <v>8470</v>
      </c>
    </row>
    <row r="4238" spans="1:2" x14ac:dyDescent="0.2">
      <c r="A4238" s="153" t="s">
        <v>8473</v>
      </c>
      <c r="B4238" s="154" t="s">
        <v>8472</v>
      </c>
    </row>
    <row r="4239" spans="1:2" x14ac:dyDescent="0.2">
      <c r="A4239" s="153" t="s">
        <v>8475</v>
      </c>
      <c r="B4239" s="154" t="s">
        <v>8474</v>
      </c>
    </row>
    <row r="4240" spans="1:2" x14ac:dyDescent="0.2">
      <c r="A4240" s="153" t="s">
        <v>8477</v>
      </c>
      <c r="B4240" s="154" t="s">
        <v>8476</v>
      </c>
    </row>
    <row r="4241" spans="1:2" x14ac:dyDescent="0.2">
      <c r="A4241" s="153" t="s">
        <v>8479</v>
      </c>
      <c r="B4241" s="154" t="s">
        <v>8478</v>
      </c>
    </row>
    <row r="4242" spans="1:2" x14ac:dyDescent="0.2">
      <c r="A4242" s="153" t="s">
        <v>8481</v>
      </c>
      <c r="B4242" s="154" t="s">
        <v>8480</v>
      </c>
    </row>
    <row r="4243" spans="1:2" x14ac:dyDescent="0.2">
      <c r="A4243" s="153" t="s">
        <v>8483</v>
      </c>
      <c r="B4243" s="154" t="s">
        <v>8482</v>
      </c>
    </row>
    <row r="4244" spans="1:2" x14ac:dyDescent="0.2">
      <c r="A4244" s="153" t="s">
        <v>8485</v>
      </c>
      <c r="B4244" s="154" t="s">
        <v>8484</v>
      </c>
    </row>
    <row r="4245" spans="1:2" x14ac:dyDescent="0.2">
      <c r="A4245" s="153" t="s">
        <v>8487</v>
      </c>
      <c r="B4245" s="154" t="s">
        <v>8486</v>
      </c>
    </row>
    <row r="4246" spans="1:2" x14ac:dyDescent="0.2">
      <c r="A4246" s="153" t="s">
        <v>8489</v>
      </c>
      <c r="B4246" s="154" t="s">
        <v>8488</v>
      </c>
    </row>
    <row r="4247" spans="1:2" x14ac:dyDescent="0.2">
      <c r="A4247" s="153" t="s">
        <v>8491</v>
      </c>
      <c r="B4247" s="154" t="s">
        <v>8490</v>
      </c>
    </row>
    <row r="4248" spans="1:2" x14ac:dyDescent="0.2">
      <c r="A4248" s="153" t="s">
        <v>8493</v>
      </c>
      <c r="B4248" s="154" t="s">
        <v>8492</v>
      </c>
    </row>
    <row r="4249" spans="1:2" x14ac:dyDescent="0.2">
      <c r="A4249" s="153" t="s">
        <v>8495</v>
      </c>
      <c r="B4249" s="154" t="s">
        <v>8494</v>
      </c>
    </row>
    <row r="4250" spans="1:2" x14ac:dyDescent="0.2">
      <c r="A4250" s="153" t="s">
        <v>8497</v>
      </c>
      <c r="B4250" s="154" t="s">
        <v>8496</v>
      </c>
    </row>
    <row r="4251" spans="1:2" x14ac:dyDescent="0.2">
      <c r="A4251" s="153" t="s">
        <v>8499</v>
      </c>
      <c r="B4251" s="154" t="s">
        <v>8498</v>
      </c>
    </row>
    <row r="4252" spans="1:2" x14ac:dyDescent="0.2">
      <c r="A4252" s="153" t="s">
        <v>8501</v>
      </c>
      <c r="B4252" s="154" t="s">
        <v>8500</v>
      </c>
    </row>
    <row r="4253" spans="1:2" x14ac:dyDescent="0.2">
      <c r="A4253" s="153" t="s">
        <v>8503</v>
      </c>
      <c r="B4253" s="154" t="s">
        <v>8502</v>
      </c>
    </row>
    <row r="4254" spans="1:2" x14ac:dyDescent="0.2">
      <c r="A4254" s="153" t="s">
        <v>8505</v>
      </c>
      <c r="B4254" s="154" t="s">
        <v>8504</v>
      </c>
    </row>
    <row r="4255" spans="1:2" x14ac:dyDescent="0.2">
      <c r="A4255" s="153" t="s">
        <v>8507</v>
      </c>
      <c r="B4255" s="154" t="s">
        <v>8506</v>
      </c>
    </row>
    <row r="4256" spans="1:2" x14ac:dyDescent="0.2">
      <c r="A4256" s="153" t="s">
        <v>8509</v>
      </c>
      <c r="B4256" s="154" t="s">
        <v>8508</v>
      </c>
    </row>
    <row r="4257" spans="1:2" x14ac:dyDescent="0.2">
      <c r="A4257" s="153" t="s">
        <v>8511</v>
      </c>
      <c r="B4257" s="154" t="s">
        <v>8510</v>
      </c>
    </row>
    <row r="4258" spans="1:2" x14ac:dyDescent="0.2">
      <c r="A4258" s="153" t="s">
        <v>8513</v>
      </c>
      <c r="B4258" s="154" t="s">
        <v>8512</v>
      </c>
    </row>
    <row r="4259" spans="1:2" x14ac:dyDescent="0.2">
      <c r="A4259" s="153" t="s">
        <v>8515</v>
      </c>
      <c r="B4259" s="154" t="s">
        <v>8514</v>
      </c>
    </row>
    <row r="4260" spans="1:2" x14ac:dyDescent="0.2">
      <c r="A4260" s="153" t="s">
        <v>9878</v>
      </c>
      <c r="B4260" s="154" t="s">
        <v>8516</v>
      </c>
    </row>
    <row r="4261" spans="1:2" x14ac:dyDescent="0.2">
      <c r="A4261" s="153" t="s">
        <v>8518</v>
      </c>
      <c r="B4261" s="154" t="s">
        <v>8517</v>
      </c>
    </row>
    <row r="4262" spans="1:2" x14ac:dyDescent="0.2">
      <c r="A4262" s="153" t="s">
        <v>8520</v>
      </c>
      <c r="B4262" s="154" t="s">
        <v>8519</v>
      </c>
    </row>
    <row r="4263" spans="1:2" x14ac:dyDescent="0.2">
      <c r="A4263" s="153" t="s">
        <v>8522</v>
      </c>
      <c r="B4263" s="154" t="s">
        <v>8521</v>
      </c>
    </row>
    <row r="4264" spans="1:2" x14ac:dyDescent="0.2">
      <c r="A4264" s="153" t="s">
        <v>8524</v>
      </c>
      <c r="B4264" s="154" t="s">
        <v>8523</v>
      </c>
    </row>
    <row r="4265" spans="1:2" x14ac:dyDescent="0.2">
      <c r="A4265" s="153" t="s">
        <v>8526</v>
      </c>
      <c r="B4265" s="154" t="s">
        <v>8525</v>
      </c>
    </row>
    <row r="4266" spans="1:2" x14ac:dyDescent="0.2">
      <c r="A4266" s="153" t="s">
        <v>1065</v>
      </c>
      <c r="B4266" s="154" t="s">
        <v>8527</v>
      </c>
    </row>
    <row r="4267" spans="1:2" x14ac:dyDescent="0.2">
      <c r="A4267" s="153" t="s">
        <v>1065</v>
      </c>
      <c r="B4267" s="154" t="s">
        <v>8528</v>
      </c>
    </row>
    <row r="4268" spans="1:2" x14ac:dyDescent="0.2">
      <c r="A4268" s="153" t="s">
        <v>8530</v>
      </c>
      <c r="B4268" s="154" t="s">
        <v>8529</v>
      </c>
    </row>
    <row r="4269" spans="1:2" x14ac:dyDescent="0.2">
      <c r="A4269" s="153" t="s">
        <v>8532</v>
      </c>
      <c r="B4269" s="154" t="s">
        <v>8531</v>
      </c>
    </row>
    <row r="4270" spans="1:2" x14ac:dyDescent="0.2">
      <c r="A4270" s="153" t="s">
        <v>8534</v>
      </c>
      <c r="B4270" s="154" t="s">
        <v>8533</v>
      </c>
    </row>
    <row r="4271" spans="1:2" x14ac:dyDescent="0.2">
      <c r="A4271" s="153" t="s">
        <v>8536</v>
      </c>
      <c r="B4271" s="154" t="s">
        <v>8535</v>
      </c>
    </row>
    <row r="4272" spans="1:2" x14ac:dyDescent="0.2">
      <c r="A4272" s="153" t="s">
        <v>8538</v>
      </c>
      <c r="B4272" s="154" t="s">
        <v>8537</v>
      </c>
    </row>
    <row r="4273" spans="1:2" x14ac:dyDescent="0.2">
      <c r="A4273" s="153" t="s">
        <v>8540</v>
      </c>
      <c r="B4273" s="154" t="s">
        <v>8539</v>
      </c>
    </row>
    <row r="4274" spans="1:2" x14ac:dyDescent="0.2">
      <c r="A4274" s="153" t="s">
        <v>8542</v>
      </c>
      <c r="B4274" s="154" t="s">
        <v>8541</v>
      </c>
    </row>
    <row r="4275" spans="1:2" x14ac:dyDescent="0.2">
      <c r="A4275" s="153" t="s">
        <v>8544</v>
      </c>
      <c r="B4275" s="154" t="s">
        <v>8543</v>
      </c>
    </row>
    <row r="4276" spans="1:2" x14ac:dyDescent="0.2">
      <c r="A4276" s="153" t="s">
        <v>8546</v>
      </c>
      <c r="B4276" s="154" t="s">
        <v>8545</v>
      </c>
    </row>
    <row r="4277" spans="1:2" x14ac:dyDescent="0.2">
      <c r="A4277" s="153" t="s">
        <v>8548</v>
      </c>
      <c r="B4277" s="154" t="s">
        <v>8547</v>
      </c>
    </row>
    <row r="4278" spans="1:2" x14ac:dyDescent="0.2">
      <c r="A4278" s="153" t="s">
        <v>8550</v>
      </c>
      <c r="B4278" s="154" t="s">
        <v>8549</v>
      </c>
    </row>
    <row r="4279" spans="1:2" x14ac:dyDescent="0.2">
      <c r="A4279" s="153" t="s">
        <v>8552</v>
      </c>
      <c r="B4279" s="154" t="s">
        <v>8551</v>
      </c>
    </row>
    <row r="4280" spans="1:2" x14ac:dyDescent="0.2">
      <c r="A4280" s="153" t="s">
        <v>8554</v>
      </c>
      <c r="B4280" s="154" t="s">
        <v>8553</v>
      </c>
    </row>
    <row r="4281" spans="1:2" x14ac:dyDescent="0.2">
      <c r="A4281" s="153" t="s">
        <v>8556</v>
      </c>
      <c r="B4281" s="154" t="s">
        <v>8555</v>
      </c>
    </row>
    <row r="4282" spans="1:2" x14ac:dyDescent="0.2">
      <c r="A4282" s="153" t="s">
        <v>8558</v>
      </c>
      <c r="B4282" s="154" t="s">
        <v>8557</v>
      </c>
    </row>
    <row r="4283" spans="1:2" x14ac:dyDescent="0.2">
      <c r="A4283" s="153" t="s">
        <v>9506</v>
      </c>
      <c r="B4283" s="154" t="s">
        <v>8559</v>
      </c>
    </row>
    <row r="4284" spans="1:2" ht="28.5" x14ac:dyDescent="0.2">
      <c r="A4284" s="153" t="s">
        <v>9507</v>
      </c>
      <c r="B4284" s="154" t="s">
        <v>8560</v>
      </c>
    </row>
    <row r="4285" spans="1:2" ht="28.5" x14ac:dyDescent="0.2">
      <c r="A4285" s="153" t="s">
        <v>8562</v>
      </c>
      <c r="B4285" s="154" t="s">
        <v>8561</v>
      </c>
    </row>
    <row r="4286" spans="1:2" x14ac:dyDescent="0.2">
      <c r="A4286" s="153" t="s">
        <v>8564</v>
      </c>
      <c r="B4286" s="154" t="s">
        <v>8563</v>
      </c>
    </row>
    <row r="4287" spans="1:2" x14ac:dyDescent="0.2">
      <c r="A4287" s="153" t="s">
        <v>8566</v>
      </c>
      <c r="B4287" s="154" t="s">
        <v>8565</v>
      </c>
    </row>
    <row r="4288" spans="1:2" x14ac:dyDescent="0.2">
      <c r="A4288" s="153" t="s">
        <v>8568</v>
      </c>
      <c r="B4288" s="154" t="s">
        <v>8567</v>
      </c>
    </row>
    <row r="4289" spans="1:2" x14ac:dyDescent="0.2">
      <c r="A4289" s="153" t="s">
        <v>8570</v>
      </c>
      <c r="B4289" s="154" t="s">
        <v>8569</v>
      </c>
    </row>
    <row r="4290" spans="1:2" x14ac:dyDescent="0.2">
      <c r="A4290" s="153" t="s">
        <v>8572</v>
      </c>
      <c r="B4290" s="154" t="s">
        <v>8571</v>
      </c>
    </row>
    <row r="4291" spans="1:2" x14ac:dyDescent="0.2">
      <c r="A4291" s="153" t="s">
        <v>8574</v>
      </c>
      <c r="B4291" s="154" t="s">
        <v>8573</v>
      </c>
    </row>
    <row r="4292" spans="1:2" x14ac:dyDescent="0.2">
      <c r="A4292" s="153" t="s">
        <v>8576</v>
      </c>
      <c r="B4292" s="154" t="s">
        <v>8575</v>
      </c>
    </row>
    <row r="4293" spans="1:2" x14ac:dyDescent="0.2">
      <c r="A4293" s="153" t="s">
        <v>8578</v>
      </c>
      <c r="B4293" s="154" t="s">
        <v>8577</v>
      </c>
    </row>
    <row r="4294" spans="1:2" x14ac:dyDescent="0.2">
      <c r="A4294" s="153" t="s">
        <v>8580</v>
      </c>
      <c r="B4294" s="154" t="s">
        <v>8579</v>
      </c>
    </row>
    <row r="4295" spans="1:2" x14ac:dyDescent="0.2">
      <c r="A4295" s="153" t="s">
        <v>8582</v>
      </c>
      <c r="B4295" s="154" t="s">
        <v>8581</v>
      </c>
    </row>
    <row r="4296" spans="1:2" x14ac:dyDescent="0.2">
      <c r="A4296" s="153" t="s">
        <v>8584</v>
      </c>
      <c r="B4296" s="154" t="s">
        <v>8583</v>
      </c>
    </row>
    <row r="4297" spans="1:2" x14ac:dyDescent="0.2">
      <c r="A4297" s="153" t="s">
        <v>9508</v>
      </c>
      <c r="B4297" s="154" t="s">
        <v>8585</v>
      </c>
    </row>
    <row r="4298" spans="1:2" ht="28.5" x14ac:dyDescent="0.2">
      <c r="A4298" s="153" t="s">
        <v>9509</v>
      </c>
      <c r="B4298" s="154" t="s">
        <v>8586</v>
      </c>
    </row>
    <row r="4299" spans="1:2" ht="28.5" x14ac:dyDescent="0.2">
      <c r="A4299" s="153" t="s">
        <v>8588</v>
      </c>
      <c r="B4299" s="154" t="s">
        <v>8587</v>
      </c>
    </row>
    <row r="4300" spans="1:2" x14ac:dyDescent="0.2">
      <c r="A4300" s="153" t="s">
        <v>8590</v>
      </c>
      <c r="B4300" s="154" t="s">
        <v>8589</v>
      </c>
    </row>
    <row r="4301" spans="1:2" x14ac:dyDescent="0.2">
      <c r="A4301" s="153" t="s">
        <v>8592</v>
      </c>
      <c r="B4301" s="154" t="s">
        <v>8591</v>
      </c>
    </row>
    <row r="4302" spans="1:2" x14ac:dyDescent="0.2">
      <c r="A4302" s="153" t="s">
        <v>8594</v>
      </c>
      <c r="B4302" s="154" t="s">
        <v>8593</v>
      </c>
    </row>
    <row r="4303" spans="1:2" x14ac:dyDescent="0.2">
      <c r="A4303" s="153" t="s">
        <v>8596</v>
      </c>
      <c r="B4303" s="154" t="s">
        <v>8595</v>
      </c>
    </row>
    <row r="4304" spans="1:2" x14ac:dyDescent="0.2">
      <c r="A4304" s="153" t="s">
        <v>8598</v>
      </c>
      <c r="B4304" s="154" t="s">
        <v>8597</v>
      </c>
    </row>
    <row r="4305" spans="1:2" x14ac:dyDescent="0.2">
      <c r="A4305" s="153" t="s">
        <v>8600</v>
      </c>
      <c r="B4305" s="154" t="s">
        <v>8599</v>
      </c>
    </row>
    <row r="4306" spans="1:2" x14ac:dyDescent="0.2">
      <c r="A4306" s="153" t="s">
        <v>8602</v>
      </c>
      <c r="B4306" s="154" t="s">
        <v>8601</v>
      </c>
    </row>
    <row r="4307" spans="1:2" x14ac:dyDescent="0.2">
      <c r="A4307" s="153" t="s">
        <v>8604</v>
      </c>
      <c r="B4307" s="154" t="s">
        <v>8603</v>
      </c>
    </row>
    <row r="4308" spans="1:2" x14ac:dyDescent="0.2">
      <c r="A4308" s="153" t="s">
        <v>8606</v>
      </c>
      <c r="B4308" s="154" t="s">
        <v>8605</v>
      </c>
    </row>
    <row r="4309" spans="1:2" x14ac:dyDescent="0.2">
      <c r="A4309" s="153" t="s">
        <v>8608</v>
      </c>
      <c r="B4309" s="154" t="s">
        <v>8607</v>
      </c>
    </row>
    <row r="4310" spans="1:2" x14ac:dyDescent="0.2">
      <c r="A4310" s="153" t="s">
        <v>8610</v>
      </c>
      <c r="B4310" s="154" t="s">
        <v>8609</v>
      </c>
    </row>
    <row r="4311" spans="1:2" x14ac:dyDescent="0.2">
      <c r="A4311" s="153" t="s">
        <v>8612</v>
      </c>
      <c r="B4311" s="154" t="s">
        <v>8611</v>
      </c>
    </row>
    <row r="4312" spans="1:2" x14ac:dyDescent="0.2">
      <c r="A4312" s="153" t="s">
        <v>8614</v>
      </c>
      <c r="B4312" s="154" t="s">
        <v>8613</v>
      </c>
    </row>
    <row r="4313" spans="1:2" x14ac:dyDescent="0.2">
      <c r="A4313" s="153" t="s">
        <v>8616</v>
      </c>
      <c r="B4313" s="154" t="s">
        <v>8615</v>
      </c>
    </row>
    <row r="4314" spans="1:2" x14ac:dyDescent="0.2">
      <c r="A4314" s="153" t="s">
        <v>8618</v>
      </c>
      <c r="B4314" s="154" t="s">
        <v>8617</v>
      </c>
    </row>
    <row r="4315" spans="1:2" x14ac:dyDescent="0.2">
      <c r="A4315" s="153" t="s">
        <v>9879</v>
      </c>
      <c r="B4315" s="154" t="s">
        <v>8619</v>
      </c>
    </row>
    <row r="4316" spans="1:2" x14ac:dyDescent="0.2">
      <c r="A4316" s="153" t="s">
        <v>8621</v>
      </c>
      <c r="B4316" s="154" t="s">
        <v>8620</v>
      </c>
    </row>
    <row r="4317" spans="1:2" x14ac:dyDescent="0.2">
      <c r="A4317" s="153" t="s">
        <v>8623</v>
      </c>
      <c r="B4317" s="154" t="s">
        <v>8622</v>
      </c>
    </row>
    <row r="4318" spans="1:2" x14ac:dyDescent="0.2">
      <c r="A4318" s="153" t="s">
        <v>8625</v>
      </c>
      <c r="B4318" s="154" t="s">
        <v>8624</v>
      </c>
    </row>
    <row r="4319" spans="1:2" x14ac:dyDescent="0.2">
      <c r="A4319" s="153" t="s">
        <v>8627</v>
      </c>
      <c r="B4319" s="154" t="s">
        <v>8626</v>
      </c>
    </row>
    <row r="4320" spans="1:2" x14ac:dyDescent="0.2">
      <c r="A4320" s="153" t="s">
        <v>1065</v>
      </c>
      <c r="B4320" s="154" t="s">
        <v>8628</v>
      </c>
    </row>
    <row r="4321" spans="1:2" x14ac:dyDescent="0.2">
      <c r="A4321" s="153" t="s">
        <v>8630</v>
      </c>
      <c r="B4321" s="154" t="s">
        <v>8629</v>
      </c>
    </row>
    <row r="4322" spans="1:2" x14ac:dyDescent="0.2">
      <c r="A4322" s="153" t="s">
        <v>8632</v>
      </c>
      <c r="B4322" s="154" t="s">
        <v>8631</v>
      </c>
    </row>
    <row r="4323" spans="1:2" x14ac:dyDescent="0.2">
      <c r="A4323" s="153" t="s">
        <v>8634</v>
      </c>
      <c r="B4323" s="154" t="s">
        <v>8633</v>
      </c>
    </row>
    <row r="4324" spans="1:2" x14ac:dyDescent="0.2">
      <c r="A4324" s="153" t="s">
        <v>8636</v>
      </c>
      <c r="B4324" s="154" t="s">
        <v>8635</v>
      </c>
    </row>
    <row r="4325" spans="1:2" x14ac:dyDescent="0.2">
      <c r="A4325" s="153" t="s">
        <v>8638</v>
      </c>
      <c r="B4325" s="154" t="s">
        <v>8637</v>
      </c>
    </row>
    <row r="4326" spans="1:2" x14ac:dyDescent="0.2">
      <c r="A4326" s="153" t="s">
        <v>8640</v>
      </c>
      <c r="B4326" s="154" t="s">
        <v>8639</v>
      </c>
    </row>
    <row r="4327" spans="1:2" x14ac:dyDescent="0.2">
      <c r="A4327" s="153" t="s">
        <v>8642</v>
      </c>
      <c r="B4327" s="154" t="s">
        <v>8641</v>
      </c>
    </row>
    <row r="4328" spans="1:2" x14ac:dyDescent="0.2">
      <c r="A4328" s="153" t="s">
        <v>8644</v>
      </c>
      <c r="B4328" s="154" t="s">
        <v>8643</v>
      </c>
    </row>
    <row r="4329" spans="1:2" x14ac:dyDescent="0.2">
      <c r="A4329" s="153" t="s">
        <v>8646</v>
      </c>
      <c r="B4329" s="154" t="s">
        <v>8645</v>
      </c>
    </row>
    <row r="4330" spans="1:2" x14ac:dyDescent="0.2">
      <c r="A4330" s="153" t="s">
        <v>8648</v>
      </c>
      <c r="B4330" s="154" t="s">
        <v>8647</v>
      </c>
    </row>
    <row r="4331" spans="1:2" x14ac:dyDescent="0.2">
      <c r="A4331" s="153" t="s">
        <v>8650</v>
      </c>
      <c r="B4331" s="154" t="s">
        <v>8649</v>
      </c>
    </row>
    <row r="4332" spans="1:2" x14ac:dyDescent="0.2">
      <c r="A4332" s="153" t="s">
        <v>8652</v>
      </c>
      <c r="B4332" s="154" t="s">
        <v>8651</v>
      </c>
    </row>
    <row r="4333" spans="1:2" x14ac:dyDescent="0.2">
      <c r="A4333" s="153" t="s">
        <v>8654</v>
      </c>
      <c r="B4333" s="154" t="s">
        <v>8653</v>
      </c>
    </row>
    <row r="4334" spans="1:2" x14ac:dyDescent="0.2">
      <c r="A4334" s="153" t="s">
        <v>8656</v>
      </c>
      <c r="B4334" s="154" t="s">
        <v>8655</v>
      </c>
    </row>
    <row r="4335" spans="1:2" x14ac:dyDescent="0.2">
      <c r="A4335" s="153" t="s">
        <v>8658</v>
      </c>
      <c r="B4335" s="154" t="s">
        <v>8657</v>
      </c>
    </row>
    <row r="4336" spans="1:2" x14ac:dyDescent="0.2">
      <c r="A4336" s="153" t="s">
        <v>8660</v>
      </c>
      <c r="B4336" s="154" t="s">
        <v>8659</v>
      </c>
    </row>
    <row r="4337" spans="1:2" x14ac:dyDescent="0.2">
      <c r="A4337" s="153" t="s">
        <v>8662</v>
      </c>
      <c r="B4337" s="154" t="s">
        <v>8661</v>
      </c>
    </row>
    <row r="4338" spans="1:2" x14ac:dyDescent="0.2">
      <c r="A4338" s="153" t="s">
        <v>8664</v>
      </c>
      <c r="B4338" s="154" t="s">
        <v>8663</v>
      </c>
    </row>
    <row r="4339" spans="1:2" x14ac:dyDescent="0.2">
      <c r="A4339" s="153" t="s">
        <v>8666</v>
      </c>
      <c r="B4339" s="154" t="s">
        <v>8665</v>
      </c>
    </row>
    <row r="4340" spans="1:2" x14ac:dyDescent="0.2">
      <c r="A4340" s="153" t="s">
        <v>8668</v>
      </c>
      <c r="B4340" s="154" t="s">
        <v>8667</v>
      </c>
    </row>
    <row r="4341" spans="1:2" ht="15" thickBot="1" x14ac:dyDescent="0.25">
      <c r="A4341" s="153" t="s">
        <v>8670</v>
      </c>
      <c r="B4341" s="154" t="s">
        <v>8669</v>
      </c>
    </row>
    <row r="4342" spans="1:2" x14ac:dyDescent="0.2">
      <c r="A4342" s="526" t="s">
        <v>11119</v>
      </c>
      <c r="B4342" s="527"/>
    </row>
    <row r="4343" spans="1:2" hidden="1" x14ac:dyDescent="0.2">
      <c r="A4343" s="522"/>
      <c r="B4343" s="522"/>
    </row>
  </sheetData>
  <sheetProtection algorithmName="SHA-512" hashValue="iENNzfxxoQ62Zjq25S9E/wF5C4qH04fTcCZm/C1Odp3wugmkOz1B4Wr5a2y8/SjKDg2jN7wv2TYsXRgOHtJj6A==" saltValue="OGrX67Lf2KzmvpJsyBAD9A==" spinCount="100000" sheet="1" formatColumns="0" formatRows="0" autoFilter="0"/>
  <autoFilter ref="A5:B4341" xr:uid="{89F3112B-BCE6-4966-93A8-879F1AE504EF}"/>
  <mergeCells count="6">
    <mergeCell ref="A4343:B4343"/>
    <mergeCell ref="A3:B3"/>
    <mergeCell ref="A2:B2"/>
    <mergeCell ref="A1:B1"/>
    <mergeCell ref="A4:B4"/>
    <mergeCell ref="A4342:B4342"/>
  </mergeCells>
  <dataValidations disablePrompts="1" count="1">
    <dataValidation allowBlank="1" showInputMessage="1" showErrorMessage="1" prompt="this cell is intentionally left blank" sqref="A4342:B4342" xr:uid="{3BAD25DB-5B81-4CF6-98E0-1B810626943B}"/>
  </dataValidations>
  <printOptions horizontalCentered="1"/>
  <pageMargins left="0.7" right="0.7" top="0.75" bottom="0.75" header="0.3" footer="0.3"/>
  <pageSetup scale="75" fitToHeight="0" orientation="portrait" r:id="rId1"/>
  <headerFooter>
    <oddHeader>&amp;C&amp;"Calibri,Regular"Marine Loading RAP Application</oddHeader>
    <oddFooter>&amp;L&amp;"Calibri,Regular"Version 1.0&amp;C&amp;"Calibri,Regular"Sheet: &amp;A&amp;R&amp;"Calibri,Regular"Page &amp;P</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DA906-6EFF-4F8A-AAA7-FCFFE98EBC92}">
  <sheetPr codeName="Sheet30">
    <tabColor theme="8" tint="0.39997558519241921"/>
  </sheetPr>
  <dimension ref="A1:H52"/>
  <sheetViews>
    <sheetView showGridLines="0" zoomScaleNormal="100" workbookViewId="0">
      <selection sqref="A1:G1"/>
    </sheetView>
  </sheetViews>
  <sheetFormatPr defaultColWidth="0" defaultRowHeight="14.25" zeroHeight="1" x14ac:dyDescent="0.2"/>
  <cols>
    <col min="1" max="7" width="14.75" customWidth="1"/>
    <col min="8" max="8" width="2.625" customWidth="1"/>
    <col min="9" max="16384" width="9" hidden="1"/>
  </cols>
  <sheetData>
    <row r="1" spans="1:7" ht="8.25" customHeight="1" thickBot="1" x14ac:dyDescent="0.25">
      <c r="A1" s="478" t="s">
        <v>0</v>
      </c>
      <c r="B1" s="478"/>
      <c r="C1" s="478"/>
      <c r="D1" s="478"/>
      <c r="E1" s="478"/>
      <c r="F1" s="478"/>
      <c r="G1" s="478"/>
    </row>
    <row r="2" spans="1:7" ht="18.75" thickBot="1" x14ac:dyDescent="0.25">
      <c r="A2" s="525" t="s">
        <v>131</v>
      </c>
      <c r="B2" s="525"/>
      <c r="C2" s="525"/>
      <c r="D2" s="525"/>
      <c r="E2" s="525"/>
      <c r="F2" s="525"/>
      <c r="G2" s="525"/>
    </row>
    <row r="3" spans="1:7" ht="144" customHeight="1" x14ac:dyDescent="0.2">
      <c r="A3" s="1066" t="s">
        <v>9808</v>
      </c>
      <c r="B3" s="1067"/>
      <c r="C3" s="1067"/>
      <c r="D3" s="1067"/>
      <c r="E3" s="1067"/>
      <c r="F3" s="1067"/>
      <c r="G3" s="1068"/>
    </row>
    <row r="4" spans="1:7" x14ac:dyDescent="0.2">
      <c r="A4" s="1063" t="s">
        <v>132</v>
      </c>
      <c r="B4" s="1064"/>
      <c r="C4" s="1064"/>
      <c r="D4" s="1064"/>
      <c r="E4" s="1064"/>
      <c r="F4" s="1064"/>
      <c r="G4" s="1065"/>
    </row>
    <row r="5" spans="1:7" ht="89.25" customHeight="1" thickBot="1" x14ac:dyDescent="0.25">
      <c r="A5" s="492" t="s">
        <v>8674</v>
      </c>
      <c r="B5" s="493"/>
      <c r="C5" s="493"/>
      <c r="D5" s="493"/>
      <c r="E5" s="493"/>
      <c r="F5" s="493"/>
      <c r="G5" s="494"/>
    </row>
    <row r="6" spans="1:7" ht="15" thickBot="1" x14ac:dyDescent="0.25">
      <c r="A6" s="478" t="s">
        <v>1</v>
      </c>
      <c r="B6" s="478"/>
      <c r="C6" s="478"/>
      <c r="D6" s="478"/>
      <c r="E6" s="478"/>
      <c r="F6" s="478"/>
      <c r="G6" s="478"/>
    </row>
    <row r="7" spans="1:7" ht="15.75" thickBot="1" x14ac:dyDescent="0.25">
      <c r="A7" s="479" t="s">
        <v>133</v>
      </c>
      <c r="B7" s="479"/>
      <c r="C7" s="479"/>
      <c r="D7" s="479"/>
      <c r="E7" s="479"/>
      <c r="F7" s="479"/>
      <c r="G7" s="479"/>
    </row>
    <row r="8" spans="1:7" ht="31.5" customHeight="1" x14ac:dyDescent="0.2">
      <c r="A8" s="884" t="s">
        <v>9158</v>
      </c>
      <c r="B8" s="885"/>
      <c r="C8" s="885"/>
      <c r="D8" s="885"/>
      <c r="E8" s="885"/>
      <c r="F8" s="885"/>
      <c r="G8" s="108"/>
    </row>
    <row r="9" spans="1:7" ht="31.5" customHeight="1" x14ac:dyDescent="0.2">
      <c r="A9" s="530" t="s">
        <v>8675</v>
      </c>
      <c r="B9" s="531"/>
      <c r="C9" s="531"/>
      <c r="D9" s="531"/>
      <c r="E9" s="531"/>
      <c r="F9" s="531"/>
      <c r="G9" s="38"/>
    </row>
    <row r="10" spans="1:7" ht="15" thickBot="1" x14ac:dyDescent="0.25">
      <c r="A10" s="483" t="s">
        <v>9159</v>
      </c>
      <c r="B10" s="484"/>
      <c r="C10" s="484"/>
      <c r="D10" s="484"/>
      <c r="E10" s="484"/>
      <c r="F10" s="484"/>
      <c r="G10" s="39"/>
    </row>
    <row r="11" spans="1:7" ht="15" thickBot="1" x14ac:dyDescent="0.25">
      <c r="A11" s="478" t="s">
        <v>1</v>
      </c>
      <c r="B11" s="478"/>
      <c r="C11" s="478"/>
      <c r="D11" s="478"/>
      <c r="E11" s="478"/>
      <c r="F11" s="478"/>
      <c r="G11" s="478"/>
    </row>
    <row r="12" spans="1:7" ht="15.75" thickBot="1" x14ac:dyDescent="0.25">
      <c r="A12" s="479" t="s">
        <v>134</v>
      </c>
      <c r="B12" s="479"/>
      <c r="C12" s="479"/>
      <c r="D12" s="479"/>
      <c r="E12" s="479"/>
      <c r="F12" s="479"/>
      <c r="G12" s="479"/>
    </row>
    <row r="13" spans="1:7" ht="15" x14ac:dyDescent="0.2">
      <c r="A13" s="564" t="s">
        <v>135</v>
      </c>
      <c r="B13" s="563"/>
      <c r="C13" s="563"/>
      <c r="D13" s="563"/>
      <c r="E13" s="563"/>
      <c r="F13" s="563" t="s">
        <v>143</v>
      </c>
      <c r="G13" s="847"/>
    </row>
    <row r="14" spans="1:7" ht="30.75" customHeight="1" x14ac:dyDescent="0.2">
      <c r="A14" s="530" t="s">
        <v>136</v>
      </c>
      <c r="B14" s="531"/>
      <c r="C14" s="531"/>
      <c r="D14" s="531"/>
      <c r="E14" s="531"/>
      <c r="F14" s="1041"/>
      <c r="G14" s="1042"/>
    </row>
    <row r="15" spans="1:7" ht="48" customHeight="1" x14ac:dyDescent="0.2">
      <c r="A15" s="530" t="s">
        <v>137</v>
      </c>
      <c r="B15" s="531"/>
      <c r="C15" s="531"/>
      <c r="D15" s="531"/>
      <c r="E15" s="531"/>
      <c r="F15" s="1041"/>
      <c r="G15" s="1042"/>
    </row>
    <row r="16" spans="1:7" x14ac:dyDescent="0.2">
      <c r="A16" s="528" t="s">
        <v>138</v>
      </c>
      <c r="B16" s="529"/>
      <c r="C16" s="529"/>
      <c r="D16" s="529"/>
      <c r="E16" s="529"/>
      <c r="F16" s="1041"/>
      <c r="G16" s="1042"/>
    </row>
    <row r="17" spans="1:7" ht="30.75" customHeight="1" x14ac:dyDescent="0.2">
      <c r="A17" s="530" t="s">
        <v>139</v>
      </c>
      <c r="B17" s="531"/>
      <c r="C17" s="531"/>
      <c r="D17" s="531"/>
      <c r="E17" s="531"/>
      <c r="F17" s="1041"/>
      <c r="G17" s="1042"/>
    </row>
    <row r="18" spans="1:7" ht="48" customHeight="1" x14ac:dyDescent="0.2">
      <c r="A18" s="530" t="s">
        <v>140</v>
      </c>
      <c r="B18" s="531"/>
      <c r="C18" s="531"/>
      <c r="D18" s="531"/>
      <c r="E18" s="531"/>
      <c r="F18" s="1041"/>
      <c r="G18" s="1042"/>
    </row>
    <row r="19" spans="1:7" ht="30.75" customHeight="1" x14ac:dyDescent="0.2">
      <c r="A19" s="530" t="s">
        <v>9809</v>
      </c>
      <c r="B19" s="531"/>
      <c r="C19" s="531"/>
      <c r="D19" s="531"/>
      <c r="E19" s="531"/>
      <c r="F19" s="1041"/>
      <c r="G19" s="1042"/>
    </row>
    <row r="20" spans="1:7" x14ac:dyDescent="0.2">
      <c r="A20" s="528" t="s">
        <v>141</v>
      </c>
      <c r="B20" s="529"/>
      <c r="C20" s="529"/>
      <c r="D20" s="529"/>
      <c r="E20" s="529"/>
      <c r="F20" s="1041"/>
      <c r="G20" s="1042"/>
    </row>
    <row r="21" spans="1:7" ht="15" thickBot="1" x14ac:dyDescent="0.25">
      <c r="A21" s="548" t="s">
        <v>142</v>
      </c>
      <c r="B21" s="549"/>
      <c r="C21" s="549"/>
      <c r="D21" s="549"/>
      <c r="E21" s="549"/>
      <c r="F21" s="1061">
        <f>SUM(F14:G20)</f>
        <v>0</v>
      </c>
      <c r="G21" s="1062"/>
    </row>
    <row r="22" spans="1:7" ht="15" thickBot="1" x14ac:dyDescent="0.25">
      <c r="A22" s="478" t="s">
        <v>1</v>
      </c>
      <c r="B22" s="478"/>
      <c r="C22" s="478"/>
      <c r="D22" s="478"/>
      <c r="E22" s="478"/>
      <c r="F22" s="478"/>
      <c r="G22" s="478"/>
    </row>
    <row r="23" spans="1:7" ht="15.75" thickBot="1" x14ac:dyDescent="0.25">
      <c r="A23" s="479" t="s">
        <v>144</v>
      </c>
      <c r="B23" s="479"/>
      <c r="C23" s="479"/>
      <c r="D23" s="479"/>
      <c r="E23" s="479"/>
      <c r="F23" s="479"/>
      <c r="G23" s="479"/>
    </row>
    <row r="24" spans="1:7" ht="15" x14ac:dyDescent="0.2">
      <c r="A24" s="564" t="s">
        <v>135</v>
      </c>
      <c r="B24" s="563"/>
      <c r="C24" s="563"/>
      <c r="D24" s="563"/>
      <c r="E24" s="563"/>
      <c r="F24" s="563" t="s">
        <v>143</v>
      </c>
      <c r="G24" s="847"/>
    </row>
    <row r="25" spans="1:7" x14ac:dyDescent="0.2">
      <c r="A25" s="528" t="s">
        <v>145</v>
      </c>
      <c r="B25" s="529"/>
      <c r="C25" s="529"/>
      <c r="D25" s="529"/>
      <c r="E25" s="529"/>
      <c r="F25" s="1041"/>
      <c r="G25" s="1042"/>
    </row>
    <row r="26" spans="1:7" ht="32.25" customHeight="1" x14ac:dyDescent="0.2">
      <c r="A26" s="530" t="s">
        <v>146</v>
      </c>
      <c r="B26" s="531"/>
      <c r="C26" s="531"/>
      <c r="D26" s="531"/>
      <c r="E26" s="531"/>
      <c r="F26" s="1041"/>
      <c r="G26" s="1042"/>
    </row>
    <row r="27" spans="1:7" x14ac:dyDescent="0.2">
      <c r="A27" s="528" t="s">
        <v>147</v>
      </c>
      <c r="B27" s="529"/>
      <c r="C27" s="529"/>
      <c r="D27" s="529"/>
      <c r="E27" s="529"/>
      <c r="F27" s="1041"/>
      <c r="G27" s="1042"/>
    </row>
    <row r="28" spans="1:7" ht="15" thickBot="1" x14ac:dyDescent="0.25">
      <c r="A28" s="548" t="s">
        <v>142</v>
      </c>
      <c r="B28" s="549"/>
      <c r="C28" s="549"/>
      <c r="D28" s="549"/>
      <c r="E28" s="549"/>
      <c r="F28" s="1061">
        <f>SUM(F25:G27)</f>
        <v>0</v>
      </c>
      <c r="G28" s="1062"/>
    </row>
    <row r="29" spans="1:7" ht="15" thickBot="1" x14ac:dyDescent="0.25">
      <c r="A29" s="1059" t="s">
        <v>1</v>
      </c>
      <c r="B29" s="906"/>
      <c r="C29" s="906"/>
      <c r="D29" s="906"/>
      <c r="E29" s="906"/>
      <c r="F29" s="906"/>
      <c r="G29" s="1060"/>
    </row>
    <row r="30" spans="1:7" ht="15.75" thickBot="1" x14ac:dyDescent="0.25">
      <c r="A30" s="479" t="s">
        <v>148</v>
      </c>
      <c r="B30" s="479"/>
      <c r="C30" s="479"/>
      <c r="D30" s="479"/>
      <c r="E30" s="479"/>
      <c r="F30" s="479"/>
      <c r="G30" s="479"/>
    </row>
    <row r="31" spans="1:7" ht="64.5" customHeight="1" thickBot="1" x14ac:dyDescent="0.25">
      <c r="A31" s="1056" t="s">
        <v>10893</v>
      </c>
      <c r="B31" s="1057"/>
      <c r="C31" s="1057"/>
      <c r="D31" s="1057"/>
      <c r="E31" s="1057"/>
      <c r="F31" s="1057"/>
      <c r="G31" s="1058"/>
    </row>
    <row r="32" spans="1:7" ht="15" x14ac:dyDescent="0.2">
      <c r="A32" s="539" t="s">
        <v>8676</v>
      </c>
      <c r="B32" s="540"/>
      <c r="C32" s="540"/>
      <c r="D32" s="540" t="s">
        <v>8677</v>
      </c>
      <c r="E32" s="540"/>
      <c r="F32" s="540"/>
      <c r="G32" s="541"/>
    </row>
    <row r="33" spans="1:7" x14ac:dyDescent="0.2">
      <c r="A33" s="528" t="s">
        <v>149</v>
      </c>
      <c r="B33" s="529"/>
      <c r="C33" s="529"/>
      <c r="D33" s="529" t="s">
        <v>152</v>
      </c>
      <c r="E33" s="529"/>
      <c r="F33" s="529"/>
      <c r="G33" s="714"/>
    </row>
    <row r="34" spans="1:7" x14ac:dyDescent="0.2">
      <c r="A34" s="528" t="s">
        <v>150</v>
      </c>
      <c r="B34" s="529"/>
      <c r="C34" s="529"/>
      <c r="D34" s="529" t="s">
        <v>153</v>
      </c>
      <c r="E34" s="529"/>
      <c r="F34" s="529"/>
      <c r="G34" s="714"/>
    </row>
    <row r="35" spans="1:7" ht="15" thickBot="1" x14ac:dyDescent="0.25">
      <c r="A35" s="548" t="s">
        <v>151</v>
      </c>
      <c r="B35" s="549"/>
      <c r="C35" s="549"/>
      <c r="D35" s="549" t="s">
        <v>154</v>
      </c>
      <c r="E35" s="549"/>
      <c r="F35" s="549"/>
      <c r="G35" s="550"/>
    </row>
    <row r="36" spans="1:7" ht="15" thickBot="1" x14ac:dyDescent="0.25">
      <c r="A36" s="1043" t="s">
        <v>1</v>
      </c>
      <c r="B36" s="478"/>
      <c r="C36" s="478"/>
      <c r="D36" s="478"/>
      <c r="E36" s="478"/>
      <c r="F36" s="478"/>
      <c r="G36" s="1044"/>
    </row>
    <row r="37" spans="1:7" x14ac:dyDescent="0.2">
      <c r="A37" s="605" t="s">
        <v>155</v>
      </c>
      <c r="B37" s="606"/>
      <c r="C37" s="606"/>
      <c r="D37" s="1051">
        <f>SUM(F21,F28)</f>
        <v>0</v>
      </c>
      <c r="E37" s="1051"/>
      <c r="F37" s="1051"/>
      <c r="G37" s="1052"/>
    </row>
    <row r="38" spans="1:7" x14ac:dyDescent="0.2">
      <c r="A38" s="528" t="s">
        <v>156</v>
      </c>
      <c r="B38" s="529"/>
      <c r="C38" s="529"/>
      <c r="D38" s="1048" t="str">
        <f>IF(G8="Yes",900,IF($G$8="","",
IF($G$9="Yes",75000,
IF($D$37&lt;300000,900,
IF($D$37*0.003&gt;=75000,75000,
IF($D$37&gt;25000000,75000,0.003*$D$37))))))</f>
        <v/>
      </c>
      <c r="E38" s="1049"/>
      <c r="F38" s="1049"/>
      <c r="G38" s="1050"/>
    </row>
    <row r="39" spans="1:7" s="8" customFormat="1" ht="45" customHeight="1" x14ac:dyDescent="0.2">
      <c r="A39" s="692" t="s">
        <v>157</v>
      </c>
      <c r="B39" s="693"/>
      <c r="C39" s="694"/>
      <c r="D39" s="1053"/>
      <c r="E39" s="1054"/>
      <c r="F39" s="1054"/>
      <c r="G39" s="1055"/>
    </row>
    <row r="40" spans="1:7" ht="15" thickBot="1" x14ac:dyDescent="0.25">
      <c r="A40" s="587" t="s">
        <v>8686</v>
      </c>
      <c r="B40" s="588"/>
      <c r="C40" s="589"/>
      <c r="D40" s="1045"/>
      <c r="E40" s="1046"/>
      <c r="F40" s="1046"/>
      <c r="G40" s="1047"/>
    </row>
    <row r="41" spans="1:7" ht="15" thickBot="1" x14ac:dyDescent="0.25">
      <c r="A41" s="478" t="s">
        <v>1</v>
      </c>
      <c r="B41" s="478"/>
      <c r="C41" s="478"/>
      <c r="D41" s="478"/>
      <c r="E41" s="478"/>
      <c r="F41" s="478"/>
      <c r="G41" s="478"/>
    </row>
    <row r="42" spans="1:7" ht="15.75" thickBot="1" x14ac:dyDescent="0.25">
      <c r="A42" s="479" t="s">
        <v>158</v>
      </c>
      <c r="B42" s="479"/>
      <c r="C42" s="479"/>
      <c r="D42" s="479"/>
      <c r="E42" s="479"/>
      <c r="F42" s="479"/>
      <c r="G42" s="479"/>
    </row>
    <row r="43" spans="1:7" x14ac:dyDescent="0.2">
      <c r="A43" s="528" t="s">
        <v>159</v>
      </c>
      <c r="B43" s="529"/>
      <c r="C43" s="529"/>
      <c r="D43" s="529"/>
      <c r="E43" s="529"/>
      <c r="F43" s="579"/>
      <c r="G43" s="580"/>
    </row>
    <row r="44" spans="1:7" x14ac:dyDescent="0.2">
      <c r="A44" s="528" t="s">
        <v>9267</v>
      </c>
      <c r="B44" s="529"/>
      <c r="C44" s="529"/>
      <c r="D44" s="529"/>
      <c r="E44" s="529"/>
      <c r="F44" s="1041"/>
      <c r="G44" s="1042"/>
    </row>
    <row r="45" spans="1:7" ht="30" customHeight="1" x14ac:dyDescent="0.2">
      <c r="A45" s="530" t="s">
        <v>9268</v>
      </c>
      <c r="B45" s="531"/>
      <c r="C45" s="531"/>
      <c r="D45" s="531"/>
      <c r="E45" s="531"/>
      <c r="F45" s="579"/>
      <c r="G45" s="580"/>
    </row>
    <row r="46" spans="1:7" ht="35.25" customHeight="1" thickBot="1" x14ac:dyDescent="0.25">
      <c r="A46" s="548" t="s">
        <v>160</v>
      </c>
      <c r="B46" s="549"/>
      <c r="C46" s="549"/>
      <c r="D46" s="549"/>
      <c r="E46" s="549"/>
      <c r="F46" s="575"/>
      <c r="G46" s="576"/>
    </row>
    <row r="47" spans="1:7" ht="15" thickBot="1" x14ac:dyDescent="0.25">
      <c r="A47" s="478" t="s">
        <v>1</v>
      </c>
      <c r="B47" s="478"/>
      <c r="C47" s="478"/>
      <c r="D47" s="478"/>
      <c r="E47" s="478"/>
      <c r="F47" s="478"/>
      <c r="G47" s="478"/>
    </row>
    <row r="48" spans="1:7" ht="15.75" thickBot="1" x14ac:dyDescent="0.25">
      <c r="A48" s="479" t="s">
        <v>161</v>
      </c>
      <c r="B48" s="479"/>
      <c r="C48" s="479"/>
      <c r="D48" s="479"/>
      <c r="E48" s="479"/>
      <c r="F48" s="479"/>
      <c r="G48" s="479"/>
    </row>
    <row r="49" spans="1:7" x14ac:dyDescent="0.2">
      <c r="A49" s="528" t="s">
        <v>162</v>
      </c>
      <c r="B49" s="529"/>
      <c r="C49" s="529"/>
      <c r="D49" s="529"/>
      <c r="E49" s="529"/>
      <c r="F49" s="579"/>
      <c r="G49" s="580"/>
    </row>
    <row r="50" spans="1:7" ht="33.75" customHeight="1" x14ac:dyDescent="0.2">
      <c r="A50" s="530" t="s">
        <v>163</v>
      </c>
      <c r="B50" s="531"/>
      <c r="C50" s="531"/>
      <c r="D50" s="531"/>
      <c r="E50" s="531"/>
      <c r="F50" s="579"/>
      <c r="G50" s="580"/>
    </row>
    <row r="51" spans="1:7" ht="33.75" customHeight="1" thickBot="1" x14ac:dyDescent="0.25">
      <c r="A51" s="483" t="s">
        <v>164</v>
      </c>
      <c r="B51" s="484"/>
      <c r="C51" s="484"/>
      <c r="D51" s="484"/>
      <c r="E51" s="484"/>
      <c r="F51" s="549" t="str">
        <f>IF(AND($F$49="YES",$F$50="NO"),"Yes",
IF(OR($F$49="NO",AND($F$49="YES",$F$50="YES")),"No",""))</f>
        <v/>
      </c>
      <c r="G51" s="550"/>
    </row>
    <row r="52" spans="1:7" x14ac:dyDescent="0.2">
      <c r="A52" s="478" t="s">
        <v>130</v>
      </c>
      <c r="B52" s="478"/>
      <c r="C52" s="478"/>
      <c r="D52" s="478"/>
      <c r="E52" s="478"/>
      <c r="F52" s="478"/>
      <c r="G52" s="478"/>
    </row>
  </sheetData>
  <sheetProtection algorithmName="SHA-512" hashValue="02kv35Gwfr9oZF0vIaAR77cq5PpwsvXKRYElBailPyb/AcPrPnf59VDiu4HmvUraw8YUH38s6CuHUxsawuxLXg==" saltValue="jdtrG9xaBCthoYcPsnQ/eg==" spinCount="100000" sheet="1" objects="1" scenarios="1" formatColumns="0" formatRows="0"/>
  <mergeCells count="81">
    <mergeCell ref="F18:G18"/>
    <mergeCell ref="A1:G1"/>
    <mergeCell ref="A11:G11"/>
    <mergeCell ref="A9:F9"/>
    <mergeCell ref="A8:F8"/>
    <mergeCell ref="A7:G7"/>
    <mergeCell ref="A6:G6"/>
    <mergeCell ref="A5:G5"/>
    <mergeCell ref="A4:G4"/>
    <mergeCell ref="A3:G3"/>
    <mergeCell ref="A2:G2"/>
    <mergeCell ref="A18:E18"/>
    <mergeCell ref="A17:E17"/>
    <mergeCell ref="A16:E16"/>
    <mergeCell ref="A14:E14"/>
    <mergeCell ref="A13:E13"/>
    <mergeCell ref="A22:G22"/>
    <mergeCell ref="A21:E21"/>
    <mergeCell ref="F21:G21"/>
    <mergeCell ref="F20:G20"/>
    <mergeCell ref="F19:G19"/>
    <mergeCell ref="A20:E20"/>
    <mergeCell ref="A19:E19"/>
    <mergeCell ref="F13:G13"/>
    <mergeCell ref="A12:G12"/>
    <mergeCell ref="F17:G17"/>
    <mergeCell ref="F16:G16"/>
    <mergeCell ref="F15:G15"/>
    <mergeCell ref="F14:G14"/>
    <mergeCell ref="A15:E15"/>
    <mergeCell ref="D32:G32"/>
    <mergeCell ref="A32:C32"/>
    <mergeCell ref="A31:G31"/>
    <mergeCell ref="A30:G30"/>
    <mergeCell ref="A23:G23"/>
    <mergeCell ref="A29:G29"/>
    <mergeCell ref="F28:G28"/>
    <mergeCell ref="F27:G27"/>
    <mergeCell ref="A28:E28"/>
    <mergeCell ref="A27:E27"/>
    <mergeCell ref="F26:G26"/>
    <mergeCell ref="F25:G25"/>
    <mergeCell ref="A24:E24"/>
    <mergeCell ref="A25:E25"/>
    <mergeCell ref="F24:G24"/>
    <mergeCell ref="A26:E26"/>
    <mergeCell ref="A34:C34"/>
    <mergeCell ref="A33:C33"/>
    <mergeCell ref="D35:G35"/>
    <mergeCell ref="D34:G34"/>
    <mergeCell ref="A41:G41"/>
    <mergeCell ref="D40:G40"/>
    <mergeCell ref="A40:C40"/>
    <mergeCell ref="D38:G38"/>
    <mergeCell ref="D37:G37"/>
    <mergeCell ref="A38:C38"/>
    <mergeCell ref="A37:C37"/>
    <mergeCell ref="D33:G33"/>
    <mergeCell ref="A39:C39"/>
    <mergeCell ref="D39:G39"/>
    <mergeCell ref="A45:E45"/>
    <mergeCell ref="A44:E44"/>
    <mergeCell ref="A43:E43"/>
    <mergeCell ref="A36:G36"/>
    <mergeCell ref="A35:C35"/>
    <mergeCell ref="A10:F10"/>
    <mergeCell ref="A52:G52"/>
    <mergeCell ref="A48:G48"/>
    <mergeCell ref="A42:G42"/>
    <mergeCell ref="F49:G49"/>
    <mergeCell ref="F50:G50"/>
    <mergeCell ref="F51:G51"/>
    <mergeCell ref="A51:E51"/>
    <mergeCell ref="A50:E50"/>
    <mergeCell ref="A49:E49"/>
    <mergeCell ref="A47:G47"/>
    <mergeCell ref="F43:G43"/>
    <mergeCell ref="F44:G44"/>
    <mergeCell ref="F45:G45"/>
    <mergeCell ref="F46:G46"/>
    <mergeCell ref="A46:E46"/>
  </mergeCells>
  <conditionalFormatting sqref="A9:G29 A31:G37">
    <cfRule type="expression" dxfId="94" priority="2">
      <formula>$G$8="yes"</formula>
    </cfRule>
  </conditionalFormatting>
  <conditionalFormatting sqref="A12:G29 A31:G37">
    <cfRule type="expression" dxfId="93" priority="4">
      <formula>$G$9="Yes"</formula>
    </cfRule>
  </conditionalFormatting>
  <conditionalFormatting sqref="A39:G40">
    <cfRule type="expression" dxfId="92" priority="1">
      <formula>$G$10="no"</formula>
    </cfRule>
  </conditionalFormatting>
  <dataValidations count="7">
    <dataValidation type="list" allowBlank="1" showErrorMessage="1" prompt="select yes or no" sqref="G8:G10 F43:G43 F49:G50" xr:uid="{95B51084-8F8D-4781-B416-45D87B08837C}">
      <formula1>"Yes,No"</formula1>
    </dataValidation>
    <dataValidation type="decimal" errorStyle="warning" operator="equal" showErrorMessage="1" errorTitle="Fee amount error" error="Fee amount should match the value in cell D38 or, if a fee exemption applies, cell D40." promptTitle="Fee amount" prompt="Enter fee amount here." sqref="F44:G44" xr:uid="{1B56397B-E571-40D8-8099-5C6E0E90F8AC}">
      <formula1>IF($D$40="",$D$38,$D$40)</formula1>
    </dataValidation>
    <dataValidation type="list" allowBlank="1" showInputMessage="1" showErrorMessage="1" sqref="D10:F10" xr:uid="{96C5DDEF-BBCD-4FBC-9635-FBA9FF3840A3}">
      <formula1>"minor initial or amendment,fee reduction or exemption"</formula1>
    </dataValidation>
    <dataValidation allowBlank="1" showErrorMessage="1" prompt="enter the amount" sqref="F14:G20 F25:G27" xr:uid="{8E91FD9D-9A4D-4D1D-8825-0CB0646AD209}"/>
    <dataValidation allowBlank="1" showErrorMessage="1" prompt="If a fee exemption or reduction applies, describe how this facility qualifies for an exemption or reduction. Include the actual fee amount." sqref="D39:G39" xr:uid="{923CD994-8D5C-4894-819F-3DF114C7087D}"/>
    <dataValidation allowBlank="1" showErrorMessage="1" prompt="enter the check number" sqref="F45:G45" xr:uid="{4FCDC3DB-102E-44AF-A452-CC72ECE9007B}"/>
    <dataValidation allowBlank="1" showErrorMessage="1" prompt="enter the company name as it appears on the check" sqref="F46:G46" xr:uid="{871A0A78-9572-4960-BF98-0494C206FC64}"/>
  </dataValidations>
  <hyperlinks>
    <hyperlink ref="A4" r:id="rId1" xr:uid="{E10CE691-B818-4B58-BC63-85BAF3DD6805}"/>
  </hyperlinks>
  <printOptions horizontalCentered="1"/>
  <pageMargins left="0.7" right="0.7" top="0.75" bottom="0.75" header="0.3" footer="0.3"/>
  <pageSetup scale="79" orientation="portrait" r:id="rId2"/>
  <headerFooter>
    <oddHeader>&amp;C&amp;"Calibri,Regular"Marine Loading RAP Application</oddHeader>
    <oddFooter>&amp;L&amp;"Calibri,Regular"Version 1.0&amp;C&amp;"Calibri,Regular"Sheet: &amp;A&amp;R&amp;"Calibri,Regular"Page &amp;P</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BE2F16-3ACE-45B2-A2D7-AFEB8972BAD4}">
  <sheetPr codeName="Sheet31">
    <tabColor theme="8" tint="0.39997558519241921"/>
  </sheetPr>
  <dimension ref="A1:H90"/>
  <sheetViews>
    <sheetView showGridLines="0" zoomScaleNormal="100" workbookViewId="0">
      <selection sqref="A1:G1"/>
    </sheetView>
  </sheetViews>
  <sheetFormatPr defaultColWidth="0" defaultRowHeight="14.25" zeroHeight="1" x14ac:dyDescent="0.2"/>
  <cols>
    <col min="1" max="1" width="20" customWidth="1"/>
    <col min="2" max="2" width="17.25" customWidth="1"/>
    <col min="3" max="3" width="16.625" customWidth="1"/>
    <col min="4" max="4" width="17.5" customWidth="1"/>
    <col min="5" max="5" width="15.75" customWidth="1"/>
    <col min="6" max="6" width="13.5" customWidth="1"/>
    <col min="7" max="7" width="14.875" customWidth="1"/>
    <col min="8" max="8" width="2.625" customWidth="1"/>
    <col min="9" max="16384" width="9" hidden="1"/>
  </cols>
  <sheetData>
    <row r="1" spans="1:7" ht="8.25" customHeight="1" thickBot="1" x14ac:dyDescent="0.25">
      <c r="A1" s="478" t="s">
        <v>0</v>
      </c>
      <c r="B1" s="478"/>
      <c r="C1" s="478"/>
      <c r="D1" s="478"/>
      <c r="E1" s="478"/>
      <c r="F1" s="478"/>
      <c r="G1" s="478"/>
    </row>
    <row r="2" spans="1:7" ht="18.75" thickBot="1" x14ac:dyDescent="0.25">
      <c r="A2" s="525" t="s">
        <v>9048</v>
      </c>
      <c r="B2" s="525"/>
      <c r="C2" s="525"/>
      <c r="D2" s="525"/>
      <c r="E2" s="525"/>
      <c r="F2" s="525"/>
      <c r="G2" s="525"/>
    </row>
    <row r="3" spans="1:7" ht="144" customHeight="1" x14ac:dyDescent="0.2">
      <c r="A3" s="475" t="s">
        <v>9440</v>
      </c>
      <c r="B3" s="476"/>
      <c r="C3" s="476"/>
      <c r="D3" s="476"/>
      <c r="E3" s="476"/>
      <c r="F3" s="476"/>
      <c r="G3" s="477"/>
    </row>
    <row r="4" spans="1:7" ht="20.25" customHeight="1" x14ac:dyDescent="0.2">
      <c r="A4" s="1071" t="s">
        <v>9049</v>
      </c>
      <c r="B4" s="1072"/>
      <c r="C4" s="1072"/>
      <c r="D4" s="1072"/>
      <c r="E4" s="1072"/>
      <c r="F4" s="1072"/>
      <c r="G4" s="1073"/>
    </row>
    <row r="5" spans="1:7" ht="91.5" customHeight="1" thickBot="1" x14ac:dyDescent="0.25">
      <c r="A5" s="707" t="s">
        <v>9085</v>
      </c>
      <c r="B5" s="469"/>
      <c r="C5" s="469"/>
      <c r="D5" s="469"/>
      <c r="E5" s="469"/>
      <c r="F5" s="469"/>
      <c r="G5" s="470"/>
    </row>
    <row r="6" spans="1:7" ht="15" thickBot="1" x14ac:dyDescent="0.25">
      <c r="A6" s="478" t="s">
        <v>1</v>
      </c>
      <c r="B6" s="478"/>
      <c r="C6" s="478"/>
      <c r="D6" s="478"/>
      <c r="E6" s="478"/>
      <c r="F6" s="478"/>
      <c r="G6" s="478"/>
    </row>
    <row r="7" spans="1:7" ht="15.75" thickBot="1" x14ac:dyDescent="0.25">
      <c r="A7" s="474" t="s">
        <v>9050</v>
      </c>
      <c r="B7" s="474"/>
      <c r="C7" s="474"/>
      <c r="D7" s="474"/>
      <c r="E7" s="474"/>
      <c r="F7" s="474"/>
      <c r="G7" s="474"/>
    </row>
    <row r="8" spans="1:7" ht="15" x14ac:dyDescent="0.2">
      <c r="A8" s="1074" t="s">
        <v>9051</v>
      </c>
      <c r="B8" s="898"/>
      <c r="C8" s="898"/>
      <c r="D8" s="898"/>
      <c r="E8" s="898"/>
      <c r="F8" s="898"/>
      <c r="G8" s="1075"/>
    </row>
    <row r="9" spans="1:7" x14ac:dyDescent="0.2">
      <c r="A9" s="530" t="s">
        <v>9052</v>
      </c>
      <c r="B9" s="531"/>
      <c r="C9" s="531"/>
      <c r="D9" s="531"/>
      <c r="E9" s="531"/>
      <c r="F9" s="531"/>
      <c r="G9" s="29" t="str">
        <f>IF('PI-1-MarineLoading'!G112="initial","Yes",IF('PI-1-MarineLoading'!G112="amendment","No",""))</f>
        <v/>
      </c>
    </row>
    <row r="10" spans="1:7" x14ac:dyDescent="0.2">
      <c r="A10" s="530" t="s">
        <v>10838</v>
      </c>
      <c r="B10" s="531"/>
      <c r="C10" s="531"/>
      <c r="D10" s="531"/>
      <c r="E10" s="531"/>
      <c r="F10" s="531"/>
      <c r="G10" s="29" t="str">
        <f>IF('PI-1-MarineLoading'!G112="amendment","Yes",IF('PI-1-MarineLoading'!G112="initial","No",""))</f>
        <v/>
      </c>
    </row>
    <row r="11" spans="1:7" x14ac:dyDescent="0.2">
      <c r="A11" s="530" t="s">
        <v>9053</v>
      </c>
      <c r="B11" s="531"/>
      <c r="C11" s="531"/>
      <c r="D11" s="531"/>
      <c r="E11" s="531"/>
      <c r="F11" s="531"/>
      <c r="G11" s="45"/>
    </row>
    <row r="12" spans="1:7" x14ac:dyDescent="0.2">
      <c r="A12" s="530" t="s">
        <v>9054</v>
      </c>
      <c r="B12" s="531"/>
      <c r="C12" s="531"/>
      <c r="D12" s="531"/>
      <c r="E12" s="531"/>
      <c r="F12" s="531"/>
      <c r="G12" s="45"/>
    </row>
    <row r="13" spans="1:7" ht="15" x14ac:dyDescent="0.2">
      <c r="A13" s="545" t="s">
        <v>9369</v>
      </c>
      <c r="B13" s="546"/>
      <c r="C13" s="546"/>
      <c r="D13" s="546"/>
      <c r="E13" s="546"/>
      <c r="F13" s="546"/>
      <c r="G13" s="547"/>
    </row>
    <row r="14" spans="1:7" ht="75" customHeight="1" x14ac:dyDescent="0.2">
      <c r="A14" s="530" t="s">
        <v>9086</v>
      </c>
      <c r="B14" s="531"/>
      <c r="C14" s="531"/>
      <c r="D14" s="531"/>
      <c r="E14" s="531"/>
      <c r="F14" s="531"/>
      <c r="G14" s="538"/>
    </row>
    <row r="15" spans="1:7" ht="75" customHeight="1" thickBot="1" x14ac:dyDescent="0.25">
      <c r="A15" s="480" t="s">
        <v>10847</v>
      </c>
      <c r="B15" s="481"/>
      <c r="C15" s="705"/>
      <c r="D15" s="705"/>
      <c r="E15" s="705"/>
      <c r="F15" s="705"/>
      <c r="G15" s="706"/>
    </row>
    <row r="16" spans="1:7" ht="34.5" customHeight="1" thickBot="1" x14ac:dyDescent="0.25">
      <c r="A16" s="1070" t="s">
        <v>178</v>
      </c>
      <c r="B16" s="1069"/>
      <c r="C16" s="1069" t="s">
        <v>9061</v>
      </c>
      <c r="D16" s="1069"/>
      <c r="E16" s="1069" t="s">
        <v>9055</v>
      </c>
      <c r="F16" s="1069"/>
      <c r="G16" s="145" t="s">
        <v>9056</v>
      </c>
    </row>
    <row r="17" spans="1:7" ht="18" customHeight="1" x14ac:dyDescent="0.2">
      <c r="A17" s="571" t="s">
        <v>229</v>
      </c>
      <c r="B17" s="572"/>
      <c r="C17" s="572">
        <f>EmissionSummary!Q77</f>
        <v>0</v>
      </c>
      <c r="D17" s="572"/>
      <c r="E17" s="572">
        <v>10</v>
      </c>
      <c r="F17" s="572"/>
      <c r="G17" s="143" t="str">
        <f t="shared" ref="G17:G25" si="0">IF(C17&gt;E17,"Yes","No")</f>
        <v>No</v>
      </c>
    </row>
    <row r="18" spans="1:7" ht="18" customHeight="1" x14ac:dyDescent="0.2">
      <c r="A18" s="530" t="s">
        <v>263</v>
      </c>
      <c r="B18" s="531"/>
      <c r="C18" s="531">
        <f>EmissionSummary!I77</f>
        <v>0</v>
      </c>
      <c r="D18" s="531"/>
      <c r="E18" s="531">
        <v>5</v>
      </c>
      <c r="F18" s="531"/>
      <c r="G18" s="29" t="str">
        <f t="shared" si="0"/>
        <v>No</v>
      </c>
    </row>
    <row r="19" spans="1:7" ht="18" customHeight="1" x14ac:dyDescent="0.2">
      <c r="A19" s="530" t="s">
        <v>9057</v>
      </c>
      <c r="B19" s="531"/>
      <c r="C19" s="531">
        <f>EmissionSummary!K77</f>
        <v>0</v>
      </c>
      <c r="D19" s="531"/>
      <c r="E19" s="531">
        <v>5</v>
      </c>
      <c r="F19" s="531"/>
      <c r="G19" s="29" t="str">
        <f t="shared" si="0"/>
        <v>No</v>
      </c>
    </row>
    <row r="20" spans="1:7" ht="18" customHeight="1" x14ac:dyDescent="0.2">
      <c r="A20" s="530" t="s">
        <v>9058</v>
      </c>
      <c r="B20" s="531"/>
      <c r="C20" s="531">
        <f>EmissionSummary!M77</f>
        <v>0</v>
      </c>
      <c r="D20" s="531"/>
      <c r="E20" s="531">
        <v>5</v>
      </c>
      <c r="F20" s="531"/>
      <c r="G20" s="29" t="str">
        <f t="shared" si="0"/>
        <v>No</v>
      </c>
    </row>
    <row r="21" spans="1:7" ht="18" customHeight="1" x14ac:dyDescent="0.2">
      <c r="A21" s="530" t="s">
        <v>9059</v>
      </c>
      <c r="B21" s="531"/>
      <c r="C21" s="531">
        <f>EmissionSummary!E77</f>
        <v>0</v>
      </c>
      <c r="D21" s="531"/>
      <c r="E21" s="531">
        <v>5</v>
      </c>
      <c r="F21" s="531"/>
      <c r="G21" s="29" t="str">
        <f t="shared" si="0"/>
        <v>No</v>
      </c>
    </row>
    <row r="22" spans="1:7" ht="18" customHeight="1" x14ac:dyDescent="0.2">
      <c r="A22" s="530" t="s">
        <v>262</v>
      </c>
      <c r="B22" s="531"/>
      <c r="C22" s="531">
        <f>EmissionSummary!G77</f>
        <v>0</v>
      </c>
      <c r="D22" s="531"/>
      <c r="E22" s="531">
        <v>50</v>
      </c>
      <c r="F22" s="531"/>
      <c r="G22" s="29" t="str">
        <f t="shared" si="0"/>
        <v>No</v>
      </c>
    </row>
    <row r="23" spans="1:7" ht="18" customHeight="1" x14ac:dyDescent="0.2">
      <c r="A23" s="530" t="s">
        <v>9060</v>
      </c>
      <c r="B23" s="531"/>
      <c r="C23" s="531">
        <f>EmissionSummary!O77</f>
        <v>0</v>
      </c>
      <c r="D23" s="531"/>
      <c r="E23" s="531">
        <v>10</v>
      </c>
      <c r="F23" s="531"/>
      <c r="G23" s="29" t="str">
        <f t="shared" si="0"/>
        <v>No</v>
      </c>
    </row>
    <row r="24" spans="1:7" ht="18" customHeight="1" x14ac:dyDescent="0.2">
      <c r="A24" s="530" t="s">
        <v>267</v>
      </c>
      <c r="B24" s="531"/>
      <c r="C24" s="531">
        <f>EmissionSummary!S77</f>
        <v>0</v>
      </c>
      <c r="D24" s="531"/>
      <c r="E24" s="531">
        <v>5</v>
      </c>
      <c r="F24" s="531"/>
      <c r="G24" s="29" t="str">
        <f t="shared" si="0"/>
        <v>No</v>
      </c>
    </row>
    <row r="25" spans="1:7" ht="18" customHeight="1" x14ac:dyDescent="0.2">
      <c r="A25" s="530" t="s">
        <v>9092</v>
      </c>
      <c r="B25" s="531"/>
      <c r="C25" s="531">
        <f>EmissionSummary!U77</f>
        <v>0</v>
      </c>
      <c r="D25" s="531"/>
      <c r="E25" s="531">
        <v>5</v>
      </c>
      <c r="F25" s="531"/>
      <c r="G25" s="29" t="str">
        <f t="shared" si="0"/>
        <v>No</v>
      </c>
    </row>
    <row r="26" spans="1:7" x14ac:dyDescent="0.2">
      <c r="A26" s="571" t="s">
        <v>9062</v>
      </c>
      <c r="B26" s="572"/>
      <c r="C26" s="572"/>
      <c r="D26" s="572"/>
      <c r="E26" s="572"/>
      <c r="F26" s="572"/>
      <c r="G26" s="637"/>
    </row>
    <row r="27" spans="1:7" ht="30" customHeight="1" x14ac:dyDescent="0.2">
      <c r="A27" s="530" t="s">
        <v>11122</v>
      </c>
      <c r="B27" s="531"/>
      <c r="C27" s="531"/>
      <c r="D27" s="531"/>
      <c r="E27" s="531"/>
      <c r="F27" s="689" t="str">
        <f>IF(COUNTIF(G17:G25,"Yes")+COUNTIF(G9:G9,"Yes")+COUNTIF(G11:G12,"Yes")&gt;=1,"Yes","No")</f>
        <v>No</v>
      </c>
      <c r="G27" s="691"/>
    </row>
    <row r="28" spans="1:7" ht="32.25" customHeight="1" thickBot="1" x14ac:dyDescent="0.25">
      <c r="A28" s="483" t="s">
        <v>9269</v>
      </c>
      <c r="B28" s="484"/>
      <c r="C28" s="484"/>
      <c r="D28" s="484"/>
      <c r="E28" s="484"/>
      <c r="F28" s="621"/>
      <c r="G28" s="623"/>
    </row>
    <row r="29" spans="1:7" ht="15" thickBot="1" x14ac:dyDescent="0.25">
      <c r="A29" s="478" t="s">
        <v>1</v>
      </c>
      <c r="B29" s="478"/>
      <c r="C29" s="478"/>
      <c r="D29" s="478"/>
      <c r="E29" s="478"/>
      <c r="F29" s="478"/>
      <c r="G29" s="478"/>
    </row>
    <row r="30" spans="1:7" ht="15.75" thickBot="1" x14ac:dyDescent="0.25">
      <c r="A30" s="474" t="s">
        <v>9063</v>
      </c>
      <c r="B30" s="474"/>
      <c r="C30" s="474"/>
      <c r="D30" s="474"/>
      <c r="E30" s="474"/>
      <c r="F30" s="474"/>
      <c r="G30" s="474"/>
    </row>
    <row r="31" spans="1:7" ht="15" thickBot="1" x14ac:dyDescent="0.25">
      <c r="A31" s="523" t="s">
        <v>9064</v>
      </c>
      <c r="B31" s="602"/>
      <c r="C31" s="602"/>
      <c r="D31" s="602"/>
      <c r="E31" s="602"/>
      <c r="F31" s="602"/>
      <c r="G31" s="524"/>
    </row>
    <row r="32" spans="1:7" ht="15" x14ac:dyDescent="0.2">
      <c r="A32" s="1076" t="s">
        <v>9065</v>
      </c>
      <c r="B32" s="1077"/>
      <c r="C32" s="1077"/>
      <c r="D32" s="1077"/>
      <c r="E32" s="1077"/>
      <c r="F32" s="1077"/>
      <c r="G32" s="1078"/>
    </row>
    <row r="33" spans="1:7" ht="47.25" customHeight="1" x14ac:dyDescent="0.2">
      <c r="A33" s="530" t="s">
        <v>9087</v>
      </c>
      <c r="B33" s="531"/>
      <c r="C33" s="531"/>
      <c r="D33" s="531"/>
      <c r="E33" s="531"/>
      <c r="F33" s="531"/>
      <c r="G33" s="538"/>
    </row>
    <row r="34" spans="1:7" x14ac:dyDescent="0.2">
      <c r="A34" s="530" t="s">
        <v>11</v>
      </c>
      <c r="B34" s="531"/>
      <c r="C34" s="615"/>
      <c r="D34" s="615"/>
      <c r="E34" s="615"/>
      <c r="F34" s="615"/>
      <c r="G34" s="616"/>
    </row>
    <row r="35" spans="1:7" x14ac:dyDescent="0.2">
      <c r="A35" s="530" t="s">
        <v>12</v>
      </c>
      <c r="B35" s="531"/>
      <c r="C35" s="615"/>
      <c r="D35" s="615"/>
      <c r="E35" s="615"/>
      <c r="F35" s="615"/>
      <c r="G35" s="616"/>
    </row>
    <row r="36" spans="1:7" x14ac:dyDescent="0.2">
      <c r="A36" s="530" t="s">
        <v>13</v>
      </c>
      <c r="B36" s="531"/>
      <c r="C36" s="615"/>
      <c r="D36" s="615"/>
      <c r="E36" s="615"/>
      <c r="F36" s="615"/>
      <c r="G36" s="616"/>
    </row>
    <row r="37" spans="1:7" x14ac:dyDescent="0.2">
      <c r="A37" s="530" t="s">
        <v>14</v>
      </c>
      <c r="B37" s="531"/>
      <c r="C37" s="615"/>
      <c r="D37" s="615"/>
      <c r="E37" s="615"/>
      <c r="F37" s="615"/>
      <c r="G37" s="616"/>
    </row>
    <row r="38" spans="1:7" x14ac:dyDescent="0.2">
      <c r="A38" s="530" t="s">
        <v>9066</v>
      </c>
      <c r="B38" s="531"/>
      <c r="C38" s="615"/>
      <c r="D38" s="615"/>
      <c r="E38" s="615"/>
      <c r="F38" s="615"/>
      <c r="G38" s="616"/>
    </row>
    <row r="39" spans="1:7" x14ac:dyDescent="0.2">
      <c r="A39" s="530" t="s">
        <v>15</v>
      </c>
      <c r="B39" s="531"/>
      <c r="C39" s="615"/>
      <c r="D39" s="615"/>
      <c r="E39" s="615"/>
      <c r="F39" s="615"/>
      <c r="G39" s="616"/>
    </row>
    <row r="40" spans="1:7" x14ac:dyDescent="0.2">
      <c r="A40" s="530" t="s">
        <v>16</v>
      </c>
      <c r="B40" s="531"/>
      <c r="C40" s="615"/>
      <c r="D40" s="615"/>
      <c r="E40" s="615"/>
      <c r="F40" s="615"/>
      <c r="G40" s="616"/>
    </row>
    <row r="41" spans="1:7" x14ac:dyDescent="0.2">
      <c r="A41" s="530" t="s">
        <v>17</v>
      </c>
      <c r="B41" s="531"/>
      <c r="C41" s="615"/>
      <c r="D41" s="615"/>
      <c r="E41" s="615"/>
      <c r="F41" s="615"/>
      <c r="G41" s="616"/>
    </row>
    <row r="42" spans="1:7" x14ac:dyDescent="0.2">
      <c r="A42" s="530" t="s">
        <v>18</v>
      </c>
      <c r="B42" s="531"/>
      <c r="C42" s="615"/>
      <c r="D42" s="615"/>
      <c r="E42" s="615"/>
      <c r="F42" s="615"/>
      <c r="G42" s="616"/>
    </row>
    <row r="43" spans="1:7" x14ac:dyDescent="0.2">
      <c r="A43" s="530" t="s">
        <v>19</v>
      </c>
      <c r="B43" s="531"/>
      <c r="C43" s="615"/>
      <c r="D43" s="615"/>
      <c r="E43" s="615"/>
      <c r="F43" s="615"/>
      <c r="G43" s="616"/>
    </row>
    <row r="44" spans="1:7" x14ac:dyDescent="0.2">
      <c r="A44" s="530" t="s">
        <v>20</v>
      </c>
      <c r="B44" s="531"/>
      <c r="C44" s="615"/>
      <c r="D44" s="615"/>
      <c r="E44" s="615"/>
      <c r="F44" s="615"/>
      <c r="G44" s="616"/>
    </row>
    <row r="45" spans="1:7" x14ac:dyDescent="0.2">
      <c r="A45" s="530" t="s">
        <v>21</v>
      </c>
      <c r="B45" s="531"/>
      <c r="C45" s="615"/>
      <c r="D45" s="615"/>
      <c r="E45" s="615"/>
      <c r="F45" s="615"/>
      <c r="G45" s="616"/>
    </row>
    <row r="46" spans="1:7" x14ac:dyDescent="0.2">
      <c r="A46" s="530" t="s">
        <v>22</v>
      </c>
      <c r="B46" s="531"/>
      <c r="C46" s="615"/>
      <c r="D46" s="615"/>
      <c r="E46" s="615"/>
      <c r="F46" s="615"/>
      <c r="G46" s="616"/>
    </row>
    <row r="47" spans="1:7" ht="30.75" customHeight="1" x14ac:dyDescent="0.2">
      <c r="A47" s="530" t="s">
        <v>9088</v>
      </c>
      <c r="B47" s="531"/>
      <c r="C47" s="531"/>
      <c r="D47" s="531"/>
      <c r="E47" s="531"/>
      <c r="F47" s="531"/>
      <c r="G47" s="538"/>
    </row>
    <row r="48" spans="1:7" x14ac:dyDescent="0.2">
      <c r="A48" s="530" t="s">
        <v>11</v>
      </c>
      <c r="B48" s="531"/>
      <c r="C48" s="615"/>
      <c r="D48" s="615"/>
      <c r="E48" s="615"/>
      <c r="F48" s="615"/>
      <c r="G48" s="616"/>
    </row>
    <row r="49" spans="1:7" x14ac:dyDescent="0.2">
      <c r="A49" s="530" t="s">
        <v>12</v>
      </c>
      <c r="B49" s="531"/>
      <c r="C49" s="615"/>
      <c r="D49" s="615"/>
      <c r="E49" s="615"/>
      <c r="F49" s="615"/>
      <c r="G49" s="616"/>
    </row>
    <row r="50" spans="1:7" x14ac:dyDescent="0.2">
      <c r="A50" s="530" t="s">
        <v>13</v>
      </c>
      <c r="B50" s="531"/>
      <c r="C50" s="615"/>
      <c r="D50" s="615"/>
      <c r="E50" s="615"/>
      <c r="F50" s="615"/>
      <c r="G50" s="616"/>
    </row>
    <row r="51" spans="1:7" x14ac:dyDescent="0.2">
      <c r="A51" s="530" t="s">
        <v>14</v>
      </c>
      <c r="B51" s="531"/>
      <c r="C51" s="615"/>
      <c r="D51" s="615"/>
      <c r="E51" s="615"/>
      <c r="F51" s="615"/>
      <c r="G51" s="616"/>
    </row>
    <row r="52" spans="1:7" x14ac:dyDescent="0.2">
      <c r="A52" s="530" t="s">
        <v>9066</v>
      </c>
      <c r="B52" s="531"/>
      <c r="C52" s="615"/>
      <c r="D52" s="615"/>
      <c r="E52" s="615"/>
      <c r="F52" s="615"/>
      <c r="G52" s="616"/>
    </row>
    <row r="53" spans="1:7" x14ac:dyDescent="0.2">
      <c r="A53" s="530" t="s">
        <v>15</v>
      </c>
      <c r="B53" s="531"/>
      <c r="C53" s="615"/>
      <c r="D53" s="615"/>
      <c r="E53" s="615"/>
      <c r="F53" s="615"/>
      <c r="G53" s="616"/>
    </row>
    <row r="54" spans="1:7" x14ac:dyDescent="0.2">
      <c r="A54" s="530" t="s">
        <v>16</v>
      </c>
      <c r="B54" s="531"/>
      <c r="C54" s="615"/>
      <c r="D54" s="615"/>
      <c r="E54" s="615"/>
      <c r="F54" s="615"/>
      <c r="G54" s="616"/>
    </row>
    <row r="55" spans="1:7" x14ac:dyDescent="0.2">
      <c r="A55" s="530" t="s">
        <v>17</v>
      </c>
      <c r="B55" s="531"/>
      <c r="C55" s="615"/>
      <c r="D55" s="615"/>
      <c r="E55" s="615"/>
      <c r="F55" s="615"/>
      <c r="G55" s="616"/>
    </row>
    <row r="56" spans="1:7" x14ac:dyDescent="0.2">
      <c r="A56" s="530" t="s">
        <v>18</v>
      </c>
      <c r="B56" s="531"/>
      <c r="C56" s="615"/>
      <c r="D56" s="615"/>
      <c r="E56" s="615"/>
      <c r="F56" s="615"/>
      <c r="G56" s="616"/>
    </row>
    <row r="57" spans="1:7" x14ac:dyDescent="0.2">
      <c r="A57" s="530" t="s">
        <v>19</v>
      </c>
      <c r="B57" s="531"/>
      <c r="C57" s="615"/>
      <c r="D57" s="615"/>
      <c r="E57" s="615"/>
      <c r="F57" s="615"/>
      <c r="G57" s="616"/>
    </row>
    <row r="58" spans="1:7" x14ac:dyDescent="0.2">
      <c r="A58" s="530" t="s">
        <v>20</v>
      </c>
      <c r="B58" s="531"/>
      <c r="C58" s="615"/>
      <c r="D58" s="615"/>
      <c r="E58" s="615"/>
      <c r="F58" s="615"/>
      <c r="G58" s="616"/>
    </row>
    <row r="59" spans="1:7" x14ac:dyDescent="0.2">
      <c r="A59" s="530" t="s">
        <v>21</v>
      </c>
      <c r="B59" s="531"/>
      <c r="C59" s="615"/>
      <c r="D59" s="615"/>
      <c r="E59" s="615"/>
      <c r="F59" s="615"/>
      <c r="G59" s="616"/>
    </row>
    <row r="60" spans="1:7" ht="15" thickBot="1" x14ac:dyDescent="0.25">
      <c r="A60" s="480" t="s">
        <v>22</v>
      </c>
      <c r="B60" s="481"/>
      <c r="C60" s="705"/>
      <c r="D60" s="705"/>
      <c r="E60" s="705"/>
      <c r="F60" s="705"/>
      <c r="G60" s="706"/>
    </row>
    <row r="61" spans="1:7" ht="201.75" customHeight="1" x14ac:dyDescent="0.2">
      <c r="A61" s="884" t="s">
        <v>9084</v>
      </c>
      <c r="B61" s="885"/>
      <c r="C61" s="885"/>
      <c r="D61" s="885"/>
      <c r="E61" s="885"/>
      <c r="F61" s="885"/>
      <c r="G61" s="893"/>
    </row>
    <row r="62" spans="1:7" x14ac:dyDescent="0.2">
      <c r="A62" s="571" t="s">
        <v>9067</v>
      </c>
      <c r="B62" s="572"/>
      <c r="C62" s="1079"/>
      <c r="D62" s="1079"/>
      <c r="E62" s="1079"/>
      <c r="F62" s="1079"/>
      <c r="G62" s="1080"/>
    </row>
    <row r="63" spans="1:7" x14ac:dyDescent="0.2">
      <c r="A63" s="530" t="s">
        <v>9068</v>
      </c>
      <c r="B63" s="531"/>
      <c r="C63" s="615"/>
      <c r="D63" s="615"/>
      <c r="E63" s="615"/>
      <c r="F63" s="615"/>
      <c r="G63" s="616"/>
    </row>
    <row r="64" spans="1:7" x14ac:dyDescent="0.2">
      <c r="A64" s="530" t="s">
        <v>16</v>
      </c>
      <c r="B64" s="531"/>
      <c r="C64" s="615"/>
      <c r="D64" s="615"/>
      <c r="E64" s="615"/>
      <c r="F64" s="615"/>
      <c r="G64" s="616"/>
    </row>
    <row r="65" spans="1:7" x14ac:dyDescent="0.2">
      <c r="A65" s="530" t="s">
        <v>17</v>
      </c>
      <c r="B65" s="531"/>
      <c r="C65" s="615"/>
      <c r="D65" s="615"/>
      <c r="E65" s="615"/>
      <c r="F65" s="615"/>
      <c r="G65" s="616"/>
    </row>
    <row r="66" spans="1:7" x14ac:dyDescent="0.2">
      <c r="A66" s="530" t="s">
        <v>19</v>
      </c>
      <c r="B66" s="531"/>
      <c r="C66" s="615"/>
      <c r="D66" s="615"/>
      <c r="E66" s="615"/>
      <c r="F66" s="615"/>
      <c r="G66" s="616"/>
    </row>
    <row r="67" spans="1:7" x14ac:dyDescent="0.2">
      <c r="A67" s="530" t="s">
        <v>9069</v>
      </c>
      <c r="B67" s="531"/>
      <c r="C67" s="615"/>
      <c r="D67" s="615"/>
      <c r="E67" s="615"/>
      <c r="F67" s="615"/>
      <c r="G67" s="616"/>
    </row>
    <row r="68" spans="1:7" ht="31.5" customHeight="1" thickBot="1" x14ac:dyDescent="0.25">
      <c r="A68" s="530" t="s">
        <v>9070</v>
      </c>
      <c r="B68" s="531"/>
      <c r="C68" s="531"/>
      <c r="D68" s="531"/>
      <c r="E68" s="615"/>
      <c r="F68" s="615"/>
      <c r="G68" s="616"/>
    </row>
    <row r="69" spans="1:7" ht="91.5" customHeight="1" x14ac:dyDescent="0.2">
      <c r="A69" s="884" t="s">
        <v>9089</v>
      </c>
      <c r="B69" s="885"/>
      <c r="C69" s="885"/>
      <c r="D69" s="885"/>
      <c r="E69" s="885"/>
      <c r="F69" s="885"/>
      <c r="G69" s="893"/>
    </row>
    <row r="70" spans="1:7" x14ac:dyDescent="0.2">
      <c r="A70" s="530" t="s">
        <v>9071</v>
      </c>
      <c r="B70" s="531"/>
      <c r="C70" s="531"/>
      <c r="D70" s="531"/>
      <c r="E70" s="615"/>
      <c r="F70" s="615"/>
      <c r="G70" s="616"/>
    </row>
    <row r="71" spans="1:7" ht="29.25" customHeight="1" x14ac:dyDescent="0.2">
      <c r="A71" s="530" t="s">
        <v>9072</v>
      </c>
      <c r="B71" s="531"/>
      <c r="C71" s="531"/>
      <c r="D71" s="531"/>
      <c r="E71" s="615"/>
      <c r="F71" s="615"/>
      <c r="G71" s="616"/>
    </row>
    <row r="72" spans="1:7" ht="29.25" customHeight="1" x14ac:dyDescent="0.2">
      <c r="A72" s="692" t="s">
        <v>9073</v>
      </c>
      <c r="B72" s="693"/>
      <c r="C72" s="693"/>
      <c r="D72" s="694"/>
      <c r="E72" s="968"/>
      <c r="F72" s="969"/>
      <c r="G72" s="970"/>
    </row>
    <row r="73" spans="1:7" x14ac:dyDescent="0.2">
      <c r="A73" s="465" t="s">
        <v>9074</v>
      </c>
      <c r="B73" s="466"/>
      <c r="C73" s="466"/>
      <c r="D73" s="695"/>
      <c r="E73" s="968"/>
      <c r="F73" s="969"/>
      <c r="G73" s="970"/>
    </row>
    <row r="74" spans="1:7" x14ac:dyDescent="0.2">
      <c r="A74" s="465" t="s">
        <v>9075</v>
      </c>
      <c r="B74" s="466"/>
      <c r="C74" s="466"/>
      <c r="D74" s="695"/>
      <c r="E74" s="968"/>
      <c r="F74" s="969"/>
      <c r="G74" s="970"/>
    </row>
    <row r="75" spans="1:7" ht="15" thickBot="1" x14ac:dyDescent="0.25">
      <c r="A75" s="707" t="s">
        <v>9076</v>
      </c>
      <c r="B75" s="469"/>
      <c r="C75" s="469"/>
      <c r="D75" s="708"/>
      <c r="E75" s="621"/>
      <c r="F75" s="622"/>
      <c r="G75" s="623"/>
    </row>
    <row r="76" spans="1:7" ht="15" thickBot="1" x14ac:dyDescent="0.25">
      <c r="A76" s="560" t="s">
        <v>1</v>
      </c>
      <c r="B76" s="560"/>
      <c r="C76" s="560"/>
      <c r="D76" s="560"/>
      <c r="E76" s="560"/>
      <c r="F76" s="560"/>
      <c r="G76" s="560"/>
    </row>
    <row r="77" spans="1:7" ht="15.75" thickBot="1" x14ac:dyDescent="0.25">
      <c r="A77" s="981" t="s">
        <v>9077</v>
      </c>
      <c r="B77" s="982"/>
      <c r="C77" s="982"/>
      <c r="D77" s="982"/>
      <c r="E77" s="982"/>
      <c r="F77" s="982"/>
      <c r="G77" s="983"/>
    </row>
    <row r="78" spans="1:7" ht="45.75" customHeight="1" x14ac:dyDescent="0.2">
      <c r="A78" s="631" t="s">
        <v>9078</v>
      </c>
      <c r="B78" s="632"/>
      <c r="C78" s="632"/>
      <c r="D78" s="632"/>
      <c r="E78" s="632"/>
      <c r="F78" s="632"/>
      <c r="G78" s="633"/>
    </row>
    <row r="79" spans="1:7" ht="30.75" customHeight="1" x14ac:dyDescent="0.2">
      <c r="A79" s="744" t="s">
        <v>9079</v>
      </c>
      <c r="B79" s="690"/>
      <c r="C79" s="690"/>
      <c r="D79" s="690"/>
      <c r="E79" s="690"/>
      <c r="F79" s="758"/>
      <c r="G79" s="45"/>
    </row>
    <row r="80" spans="1:7" x14ac:dyDescent="0.2">
      <c r="A80" s="744" t="s">
        <v>9080</v>
      </c>
      <c r="B80" s="690"/>
      <c r="C80" s="690"/>
      <c r="D80" s="690"/>
      <c r="E80" s="690"/>
      <c r="F80" s="758"/>
      <c r="G80" s="45"/>
    </row>
    <row r="81" spans="1:7" x14ac:dyDescent="0.2">
      <c r="A81" s="744" t="s">
        <v>9081</v>
      </c>
      <c r="B81" s="690"/>
      <c r="C81" s="690"/>
      <c r="D81" s="690"/>
      <c r="E81" s="690"/>
      <c r="F81" s="758"/>
      <c r="G81" s="45"/>
    </row>
    <row r="82" spans="1:7" x14ac:dyDescent="0.2">
      <c r="A82" s="744" t="s">
        <v>9082</v>
      </c>
      <c r="B82" s="690"/>
      <c r="C82" s="690"/>
      <c r="D82" s="690"/>
      <c r="E82" s="690"/>
      <c r="F82" s="758"/>
      <c r="G82" s="45"/>
    </row>
    <row r="83" spans="1:7" ht="15.75" thickBot="1" x14ac:dyDescent="0.25">
      <c r="A83" s="1086" t="s">
        <v>9083</v>
      </c>
      <c r="B83" s="1087"/>
      <c r="C83" s="1087"/>
      <c r="D83" s="1087"/>
      <c r="E83" s="1087"/>
      <c r="F83" s="1088"/>
      <c r="G83" s="109" t="str">
        <f>IF(OR(G79="no",G80="Yes",G81="Yes",G82="Yes"),"No",IF(AND(G79="yes",G80="no",G81="no",G82="no"),"Yes",""))</f>
        <v/>
      </c>
    </row>
    <row r="84" spans="1:7" ht="15" customHeight="1" thickBot="1" x14ac:dyDescent="0.25">
      <c r="A84" s="560" t="s">
        <v>1</v>
      </c>
      <c r="B84" s="560"/>
      <c r="C84" s="560"/>
      <c r="D84" s="560"/>
      <c r="E84" s="560"/>
      <c r="F84" s="560"/>
      <c r="G84" s="560"/>
    </row>
    <row r="85" spans="1:7" ht="15.75" thickBot="1" x14ac:dyDescent="0.25">
      <c r="A85" s="1081" t="s">
        <v>11121</v>
      </c>
      <c r="B85" s="1082"/>
      <c r="C85" s="1082"/>
      <c r="D85" s="1082"/>
      <c r="E85" s="1082"/>
      <c r="F85" s="1082"/>
      <c r="G85" s="1083"/>
    </row>
    <row r="86" spans="1:7" ht="30" customHeight="1" x14ac:dyDescent="0.2">
      <c r="A86" s="475" t="s">
        <v>11025</v>
      </c>
      <c r="B86" s="476"/>
      <c r="C86" s="476"/>
      <c r="D86" s="476"/>
      <c r="E86" s="476"/>
      <c r="F86" s="476"/>
      <c r="G86" s="477"/>
    </row>
    <row r="87" spans="1:7" ht="17.100000000000001" customHeight="1" thickBot="1" x14ac:dyDescent="0.25">
      <c r="A87" s="1071" t="s">
        <v>11026</v>
      </c>
      <c r="B87" s="1084"/>
      <c r="C87" s="1084"/>
      <c r="D87" s="1084"/>
      <c r="E87" s="1084"/>
      <c r="F87" s="1084"/>
      <c r="G87" s="1085"/>
    </row>
    <row r="88" spans="1:7" x14ac:dyDescent="0.2">
      <c r="A88" s="884" t="s">
        <v>11027</v>
      </c>
      <c r="B88" s="885"/>
      <c r="C88" s="885"/>
      <c r="D88" s="885"/>
      <c r="E88" s="885"/>
      <c r="F88" s="885"/>
      <c r="G88" s="338"/>
    </row>
    <row r="89" spans="1:7" ht="15" thickBot="1" x14ac:dyDescent="0.25">
      <c r="A89" s="483" t="s">
        <v>11028</v>
      </c>
      <c r="B89" s="484"/>
      <c r="C89" s="484"/>
      <c r="D89" s="484"/>
      <c r="E89" s="484"/>
      <c r="F89" s="484"/>
      <c r="G89" s="103"/>
    </row>
    <row r="90" spans="1:7" x14ac:dyDescent="0.2">
      <c r="A90" s="478" t="s">
        <v>130</v>
      </c>
      <c r="B90" s="478"/>
      <c r="C90" s="478"/>
      <c r="D90" s="478"/>
      <c r="E90" s="478"/>
      <c r="F90" s="478"/>
      <c r="G90" s="478"/>
    </row>
  </sheetData>
  <sheetProtection algorithmName="SHA-512" hashValue="bCatCnqLtPqg/OxtwA3wEfgveLFGwiLgceHDdt7pdQnJT7UxFeAFY5Hi7lvU3ntvf/WkquZ6ltrhsSYpvrXyzQ==" saltValue="NHbzyn7cVwRYhGjS82pxqA==" spinCount="100000" sheet="1" objects="1" scenarios="1" formatColumns="0" formatRows="0"/>
  <mergeCells count="152">
    <mergeCell ref="A84:G84"/>
    <mergeCell ref="A85:G85"/>
    <mergeCell ref="A86:G86"/>
    <mergeCell ref="A87:G87"/>
    <mergeCell ref="A88:F88"/>
    <mergeCell ref="A89:F89"/>
    <mergeCell ref="A80:F80"/>
    <mergeCell ref="A81:F81"/>
    <mergeCell ref="A82:F82"/>
    <mergeCell ref="A83:F83"/>
    <mergeCell ref="A90:G90"/>
    <mergeCell ref="F27:G27"/>
    <mergeCell ref="F28:G28"/>
    <mergeCell ref="A75:D75"/>
    <mergeCell ref="E75:G75"/>
    <mergeCell ref="A76:G76"/>
    <mergeCell ref="A77:G77"/>
    <mergeCell ref="A78:G78"/>
    <mergeCell ref="A79:F79"/>
    <mergeCell ref="A72:D72"/>
    <mergeCell ref="E72:G72"/>
    <mergeCell ref="A73:D73"/>
    <mergeCell ref="E73:G73"/>
    <mergeCell ref="A74:D74"/>
    <mergeCell ref="E74:G74"/>
    <mergeCell ref="A69:G69"/>
    <mergeCell ref="A70:D70"/>
    <mergeCell ref="E70:G70"/>
    <mergeCell ref="A71:D71"/>
    <mergeCell ref="E71:G71"/>
    <mergeCell ref="A66:B66"/>
    <mergeCell ref="C66:G66"/>
    <mergeCell ref="A67:B67"/>
    <mergeCell ref="C67:G67"/>
    <mergeCell ref="A68:D68"/>
    <mergeCell ref="E68:G68"/>
    <mergeCell ref="A63:B63"/>
    <mergeCell ref="C63:G63"/>
    <mergeCell ref="A64:B64"/>
    <mergeCell ref="C64:G64"/>
    <mergeCell ref="A65:B65"/>
    <mergeCell ref="C65:G65"/>
    <mergeCell ref="A59:B59"/>
    <mergeCell ref="C59:G59"/>
    <mergeCell ref="A60:B60"/>
    <mergeCell ref="C60:G60"/>
    <mergeCell ref="A61:G61"/>
    <mergeCell ref="A62:B62"/>
    <mergeCell ref="C62:G62"/>
    <mergeCell ref="A56:B56"/>
    <mergeCell ref="C56:G56"/>
    <mergeCell ref="A57:B57"/>
    <mergeCell ref="C57:G57"/>
    <mergeCell ref="A58:B58"/>
    <mergeCell ref="C58:G58"/>
    <mergeCell ref="A53:B53"/>
    <mergeCell ref="C53:G53"/>
    <mergeCell ref="A54:B54"/>
    <mergeCell ref="C54:G54"/>
    <mergeCell ref="A55:B55"/>
    <mergeCell ref="C55:G55"/>
    <mergeCell ref="A50:B50"/>
    <mergeCell ref="C50:G50"/>
    <mergeCell ref="A51:B51"/>
    <mergeCell ref="C51:G51"/>
    <mergeCell ref="A52:B52"/>
    <mergeCell ref="C52:G52"/>
    <mergeCell ref="A47:G47"/>
    <mergeCell ref="A48:B48"/>
    <mergeCell ref="C48:G48"/>
    <mergeCell ref="A49:B49"/>
    <mergeCell ref="C49:G49"/>
    <mergeCell ref="A45:B45"/>
    <mergeCell ref="A46:B46"/>
    <mergeCell ref="A40:B40"/>
    <mergeCell ref="A41:B41"/>
    <mergeCell ref="C38:G38"/>
    <mergeCell ref="A36:B36"/>
    <mergeCell ref="A37:B37"/>
    <mergeCell ref="A38:B38"/>
    <mergeCell ref="A39:B39"/>
    <mergeCell ref="C45:G45"/>
    <mergeCell ref="C46:G46"/>
    <mergeCell ref="C39:G39"/>
    <mergeCell ref="C40:G40"/>
    <mergeCell ref="C41:G41"/>
    <mergeCell ref="C42:G42"/>
    <mergeCell ref="C43:G43"/>
    <mergeCell ref="C44:G44"/>
    <mergeCell ref="A42:B42"/>
    <mergeCell ref="A43:B43"/>
    <mergeCell ref="A44:B44"/>
    <mergeCell ref="A35:B35"/>
    <mergeCell ref="A26:G26"/>
    <mergeCell ref="A27:E27"/>
    <mergeCell ref="A28:E28"/>
    <mergeCell ref="A29:G29"/>
    <mergeCell ref="C34:G34"/>
    <mergeCell ref="C35:G35"/>
    <mergeCell ref="C36:G36"/>
    <mergeCell ref="C37:G37"/>
    <mergeCell ref="A31:G31"/>
    <mergeCell ref="A32:G32"/>
    <mergeCell ref="A33:G33"/>
    <mergeCell ref="A34:B34"/>
    <mergeCell ref="E21:F21"/>
    <mergeCell ref="A30:G30"/>
    <mergeCell ref="A24:B24"/>
    <mergeCell ref="A25:B25"/>
    <mergeCell ref="E22:F22"/>
    <mergeCell ref="E23:F23"/>
    <mergeCell ref="E24:F24"/>
    <mergeCell ref="E25:F25"/>
    <mergeCell ref="C24:D24"/>
    <mergeCell ref="C25:D25"/>
    <mergeCell ref="C21:D21"/>
    <mergeCell ref="C22:D22"/>
    <mergeCell ref="C23:D23"/>
    <mergeCell ref="A21:B21"/>
    <mergeCell ref="A22:B22"/>
    <mergeCell ref="A23:B23"/>
    <mergeCell ref="A1:G1"/>
    <mergeCell ref="A2:G2"/>
    <mergeCell ref="A3:G3"/>
    <mergeCell ref="A4:G4"/>
    <mergeCell ref="A5:G5"/>
    <mergeCell ref="A6:G6"/>
    <mergeCell ref="A13:G13"/>
    <mergeCell ref="A14:G14"/>
    <mergeCell ref="A15:B15"/>
    <mergeCell ref="C15:G15"/>
    <mergeCell ref="A7:G7"/>
    <mergeCell ref="A8:G8"/>
    <mergeCell ref="A9:F9"/>
    <mergeCell ref="A10:F10"/>
    <mergeCell ref="A11:F11"/>
    <mergeCell ref="A12:F12"/>
    <mergeCell ref="E16:F16"/>
    <mergeCell ref="E17:F17"/>
    <mergeCell ref="E18:F18"/>
    <mergeCell ref="E19:F19"/>
    <mergeCell ref="E20:F20"/>
    <mergeCell ref="C20:D20"/>
    <mergeCell ref="A16:B16"/>
    <mergeCell ref="A17:B17"/>
    <mergeCell ref="A18:B18"/>
    <mergeCell ref="A19:B19"/>
    <mergeCell ref="A20:B20"/>
    <mergeCell ref="C16:D16"/>
    <mergeCell ref="C17:D17"/>
    <mergeCell ref="C18:D18"/>
    <mergeCell ref="C19:D19"/>
  </mergeCells>
  <conditionalFormatting sqref="A11:G12">
    <cfRule type="expression" dxfId="91" priority="10">
      <formula>$G$10="no"</formula>
    </cfRule>
  </conditionalFormatting>
  <conditionalFormatting sqref="A72:G75">
    <cfRule type="expression" dxfId="90" priority="3">
      <formula>AND($E$70="no",$E$71="no")</formula>
    </cfRule>
  </conditionalFormatting>
  <conditionalFormatting sqref="A80:G82">
    <cfRule type="expression" dxfId="89" priority="7">
      <formula>$G$79="no"</formula>
    </cfRule>
  </conditionalFormatting>
  <conditionalFormatting sqref="A81:G82">
    <cfRule type="expression" dxfId="88" priority="6">
      <formula>$G$80="Yes"</formula>
    </cfRule>
  </conditionalFormatting>
  <conditionalFormatting sqref="A82:G82">
    <cfRule type="expression" dxfId="87" priority="5">
      <formula>$G$81="yes"</formula>
    </cfRule>
  </conditionalFormatting>
  <conditionalFormatting sqref="A85:G89">
    <cfRule type="expression" dxfId="86" priority="1">
      <formula>AND($F$27="NO",$C$35="")</formula>
    </cfRule>
  </conditionalFormatting>
  <conditionalFormatting sqref="A89:G89">
    <cfRule type="expression" dxfId="85" priority="2">
      <formula>AND($E$70="NO",$E$71="NO")</formula>
    </cfRule>
  </conditionalFormatting>
  <conditionalFormatting sqref="E16:E25 G16:G25 A26">
    <cfRule type="expression" dxfId="84" priority="8">
      <formula>$G$9="yes"</formula>
    </cfRule>
  </conditionalFormatting>
  <conditionalFormatting sqref="E68:G68">
    <cfRule type="expression" dxfId="83" priority="13">
      <formula>$E$68="no"</formula>
    </cfRule>
  </conditionalFormatting>
  <conditionalFormatting sqref="F27:G27">
    <cfRule type="expression" dxfId="82" priority="12">
      <formula>$F41="yes"</formula>
    </cfRule>
  </conditionalFormatting>
  <conditionalFormatting sqref="G17:G25">
    <cfRule type="expression" dxfId="81" priority="11">
      <formula>$G17="yes"</formula>
    </cfRule>
  </conditionalFormatting>
  <dataValidations count="39">
    <dataValidation type="list" allowBlank="1" showErrorMessage="1" prompt="select yes or no" sqref="G11:G12 F28:G28 E70:G71 E68:G68" xr:uid="{2B50A8B8-F0E7-4E56-9E9D-93884F5D2061}">
      <formula1>"Yes,No"</formula1>
    </dataValidation>
    <dataValidation allowBlank="1" showErrorMessage="1" prompt="If you do not think the table below accurately represents public notice applicability increases for your project, provide discussion here (1000 characters)" sqref="C15:G15" xr:uid="{3B1A3A4B-64AA-4108-B7CF-904CA4E4B696}"/>
    <dataValidation allowBlank="1" showErrorMessage="1" prompt="enter prefix of the person responsible for publishing" sqref="C34:G34" xr:uid="{E61D32ED-5D0A-47A6-9C2E-0718D09855AD}"/>
    <dataValidation allowBlank="1" showErrorMessage="1" prompt="enter first name of the person responsible for publishing" sqref="C35:G35" xr:uid="{886C6C70-D8CC-4B7B-869E-4422C47EFFCD}"/>
    <dataValidation allowBlank="1" showErrorMessage="1" prompt="enter last name of the person responsible for publishing" sqref="C36:G36" xr:uid="{4FDE1476-85D7-4AD9-AA3B-502F235FB2B8}"/>
    <dataValidation allowBlank="1" showErrorMessage="1" prompt="enter title of the person responsible for publishing" sqref="C37:G37" xr:uid="{13FAD1DD-7F63-47AB-8BC1-2F4DC29C0AAE}"/>
    <dataValidation allowBlank="1" showErrorMessage="1" prompt="enter company name of the person responsible for publishing" sqref="C38:G38" xr:uid="{ED81A6A2-56D9-4BD7-9F6F-08927F817429}"/>
    <dataValidation allowBlank="1" showErrorMessage="1" prompt="enter mailing address of the person responsible for publishing" sqref="C39:G39" xr:uid="{479863E6-40DE-44C5-92C7-CDF443FFAE81}"/>
    <dataValidation allowBlank="1" showErrorMessage="1" prompt="enter address line 2 of the person responsible for publishing" sqref="C40:G40" xr:uid="{E6F1732E-BCC3-43CF-BC0B-1047DBAD9386}"/>
    <dataValidation allowBlank="1" showErrorMessage="1" prompt="enter city of the person responsible for publishing" sqref="C41:G41" xr:uid="{0A4F8986-5615-430B-B2A6-C52405802519}"/>
    <dataValidation allowBlank="1" showErrorMessage="1" prompt="enter state of the person responsible for publishing" sqref="C42:G42" xr:uid="{C27DCC66-526F-439C-9CD7-64F22468EC14}"/>
    <dataValidation allowBlank="1" showErrorMessage="1" prompt="enter zip code of the person responsible for publishing" sqref="C43:G43" xr:uid="{52B1973D-76D2-4DD6-8E3C-728C6FAEFC80}"/>
    <dataValidation allowBlank="1" showErrorMessage="1" prompt="enter telephone number of the person responsible for publishing" sqref="C44:G44" xr:uid="{02699DAA-41AC-49AC-A63C-A47751FBAEBD}"/>
    <dataValidation allowBlank="1" showErrorMessage="1" prompt="enter fax number of the person responsible for publishing" sqref="C45:G45" xr:uid="{0C348BF4-6E9C-47D5-8932-3082935EF6BA}"/>
    <dataValidation allowBlank="1" showErrorMessage="1" prompt="enter email number of the person responsible for publishing" sqref="C46:G46" xr:uid="{532A3B96-DA6C-4FA8-9DAC-8ED4203278BB}"/>
    <dataValidation allowBlank="1" showErrorMessage="1" prompt="enter prefix of the technical contact" sqref="C48:G48" xr:uid="{894FF938-A185-4CF3-AC51-8B2D8720055F}"/>
    <dataValidation allowBlank="1" showErrorMessage="1" prompt="enter first name of the technical contact" sqref="C49:G49" xr:uid="{5ED2F7BE-F75C-4FF1-AAA3-CF7BCA33FC98}"/>
    <dataValidation allowBlank="1" showErrorMessage="1" prompt="enter last name of the technical contact" sqref="C50:G50" xr:uid="{B6E1BB28-765A-42B6-B713-8FAD3221BBED}"/>
    <dataValidation allowBlank="1" showErrorMessage="1" prompt="enter title of the technical contact" sqref="C51:G51" xr:uid="{DECB26DD-2D52-47DA-8408-DA54D42CB7B7}"/>
    <dataValidation allowBlank="1" showErrorMessage="1" prompt="enter company name of the technical contact" sqref="C52:G52" xr:uid="{5FE35653-74E2-4FAA-B989-7E1B2C24110D}"/>
    <dataValidation allowBlank="1" showErrorMessage="1" prompt="enter mailing address of the technical contact" sqref="C53:G53" xr:uid="{E2163011-B37C-47DF-BDB6-7EDAC7732A59}"/>
    <dataValidation allowBlank="1" showErrorMessage="1" prompt="enter address line 2 of the technical contact" sqref="C54:G54" xr:uid="{539A2847-C451-4639-B96B-08917003946D}"/>
    <dataValidation allowBlank="1" showErrorMessage="1" prompt="enter city of the technical contact" sqref="C55:G55" xr:uid="{A10F697B-8701-4524-8539-0B7FB94EE884}"/>
    <dataValidation allowBlank="1" showErrorMessage="1" prompt="enter state of the technical contact" sqref="C56:G56" xr:uid="{088F3603-5AAA-429E-B8E8-D977F9734BD0}"/>
    <dataValidation allowBlank="1" showErrorMessage="1" prompt="enter zip code of the technical contact" sqref="C57:G57" xr:uid="{6A0EEA4B-1FF5-4986-A353-83C3F171A05D}"/>
    <dataValidation allowBlank="1" showErrorMessage="1" prompt="enter phone number of the technical contact" sqref="C58:G58" xr:uid="{9A411DBE-647F-4879-B9FA-DF512E91DF3C}"/>
    <dataValidation allowBlank="1" showErrorMessage="1" prompt="enter fax number of the technical contact" sqref="C59:G59" xr:uid="{8CA455B1-6DEC-4FF2-A423-04F9E2159F57}"/>
    <dataValidation allowBlank="1" showErrorMessage="1" prompt="enter email address of the technical contact" sqref="C60:G60" xr:uid="{F0A6C79E-1F92-4F88-AD12-B0A820630921}"/>
    <dataValidation allowBlank="1" showErrorMessage="1" prompt="enter the name of the public place" sqref="C62:G62" xr:uid="{8D988DC3-0F27-4ED8-9621-2E3EFD9CBB00}"/>
    <dataValidation allowBlank="1" showErrorMessage="1" prompt="enter the physical address" sqref="C63:G63" xr:uid="{923934FD-B51B-44F9-9F54-0502958F62F4}"/>
    <dataValidation allowBlank="1" showErrorMessage="1" prompt="enter the public place address line 2" sqref="C64:G64" xr:uid="{D05E485B-15CD-475B-9B96-9110488E5CCC}"/>
    <dataValidation allowBlank="1" showErrorMessage="1" prompt="enter the public place city" sqref="C65:G65" xr:uid="{69BDF08B-E10A-4E22-87ED-F50B7B3921A5}"/>
    <dataValidation allowBlank="1" showErrorMessage="1" prompt="enter the public place zip code" sqref="C66:G66" xr:uid="{68D1BAA2-7CD3-4E1B-B16B-C8A99352937A}"/>
    <dataValidation allowBlank="1" showErrorMessage="1" prompt="enter the public place county" sqref="C67:G67" xr:uid="{B8EB5A5C-4A10-4845-9D92-D9F2F7E8436D}"/>
    <dataValidation allowBlank="1" showErrorMessage="1" prompt="enter the language" sqref="E72:G75" xr:uid="{99309BBB-1D08-4B24-97D7-48F284C58B6A}"/>
    <dataValidation type="list" allowBlank="1" showErrorMessage="1" prompt="enter yes or no" sqref="G79:G82" xr:uid="{4CAB5FC6-E4E2-4423-81C8-ECD297E75121}">
      <formula1>"Yes,No"</formula1>
    </dataValidation>
    <dataValidation allowBlank="1" showErrorMessage="1" sqref="G83" xr:uid="{8474C31B-A639-4DA2-B646-9E4BDE2B15B4}"/>
    <dataValidation type="list" allowBlank="1" showErrorMessage="1" prompt="Is a Plain Language Summary in an alternative language as required by 30 TAC § 39.426(c) provided with the application? Select &quot;Yes&quot;." sqref="G89" xr:uid="{662D07D1-4768-436B-BB65-D06CD352DA1B}">
      <formula1>"Yes"</formula1>
    </dataValidation>
    <dataValidation type="list" allowBlank="1" showErrorMessage="1" prompt="Is a Plain Language Summary as required by 30 TAC § 39.405(k) provided with the application? Select &quot;Yes&quot;." sqref="G88" xr:uid="{6BE89981-8595-4686-8842-1699D765727E}">
      <formula1>"Yes"</formula1>
    </dataValidation>
  </dataValidations>
  <hyperlinks>
    <hyperlink ref="A4" r:id="rId1" xr:uid="{B5A0A981-AC92-4113-8497-CF598FE2D5B3}"/>
    <hyperlink ref="A87" r:id="rId2" xr:uid="{FEB7872E-AE01-4AB9-B82D-2892AC003C46}"/>
  </hyperlinks>
  <printOptions horizontalCentered="1"/>
  <pageMargins left="0.7" right="0.7" top="0.75" bottom="0.75" header="0.3" footer="0.3"/>
  <pageSetup scale="70" orientation="portrait" r:id="rId3"/>
  <headerFooter>
    <oddHeader>&amp;C&amp;"Calibri,Regular"Marine Loading RAP Application</oddHeader>
    <oddFooter>&amp;L&amp;"Calibri,Regular"Version 1.0&amp;C&amp;"Calibri,Regular"Sheet: &amp;A&amp;R&amp;"Calibri,Regular"Page &amp;P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19697-1B90-4482-B622-2FBC753E3A32}">
  <sheetPr codeName="Sheet32">
    <tabColor theme="8" tint="0.39997558519241921"/>
  </sheetPr>
  <dimension ref="A1:T32"/>
  <sheetViews>
    <sheetView showGridLines="0" zoomScaleNormal="100" workbookViewId="0">
      <selection sqref="A1:J1"/>
    </sheetView>
  </sheetViews>
  <sheetFormatPr defaultColWidth="0" defaultRowHeight="14.25" zeroHeight="1" x14ac:dyDescent="0.2"/>
  <cols>
    <col min="1" max="1" width="31.75" customWidth="1"/>
    <col min="2" max="9" width="16.75" customWidth="1"/>
    <col min="10" max="10" width="16.625" customWidth="1"/>
    <col min="11" max="11" width="2.625" customWidth="1"/>
    <col min="12" max="20" width="9" style="341" hidden="1" customWidth="1"/>
    <col min="21" max="16384" width="9" hidden="1"/>
  </cols>
  <sheetData>
    <row r="1" spans="1:20" ht="8.25" customHeight="1" thickBot="1" x14ac:dyDescent="0.25">
      <c r="A1" s="522" t="s">
        <v>0</v>
      </c>
      <c r="B1" s="522"/>
      <c r="C1" s="522"/>
      <c r="D1" s="522"/>
      <c r="E1" s="522"/>
      <c r="F1" s="522"/>
      <c r="G1" s="522"/>
      <c r="H1" s="522"/>
      <c r="I1" s="522"/>
      <c r="J1" s="522"/>
    </row>
    <row r="2" spans="1:20" ht="18.75" thickBot="1" x14ac:dyDescent="0.3">
      <c r="A2" s="1089" t="s">
        <v>9090</v>
      </c>
      <c r="B2" s="1090"/>
      <c r="C2" s="1090"/>
      <c r="D2" s="1090"/>
      <c r="E2" s="1090"/>
      <c r="F2" s="1090"/>
      <c r="G2" s="1090"/>
      <c r="H2" s="1090"/>
      <c r="I2" s="1090"/>
      <c r="J2" s="1091"/>
    </row>
    <row r="3" spans="1:20" ht="242.25" customHeight="1" thickBot="1" x14ac:dyDescent="0.25">
      <c r="A3" s="1092" t="s">
        <v>10894</v>
      </c>
      <c r="B3" s="1093"/>
      <c r="C3" s="1093"/>
      <c r="D3" s="1093"/>
      <c r="E3" s="1093"/>
      <c r="F3" s="1093"/>
      <c r="G3" s="1093"/>
      <c r="H3" s="1093"/>
      <c r="I3" s="1093"/>
      <c r="J3" s="1094"/>
    </row>
    <row r="4" spans="1:20" ht="15" thickBot="1" x14ac:dyDescent="0.25">
      <c r="A4" s="1095" t="s">
        <v>9091</v>
      </c>
      <c r="B4" s="522"/>
      <c r="C4" s="522"/>
      <c r="D4" s="522"/>
      <c r="E4" s="522"/>
      <c r="F4" s="522"/>
      <c r="G4" s="522"/>
      <c r="H4" s="522"/>
      <c r="I4" s="522"/>
      <c r="J4" s="522"/>
    </row>
    <row r="5" spans="1:20" ht="15.75" thickBot="1" x14ac:dyDescent="0.3">
      <c r="A5" s="32" t="s">
        <v>178</v>
      </c>
      <c r="B5" s="33" t="s">
        <v>261</v>
      </c>
      <c r="C5" s="33" t="s">
        <v>262</v>
      </c>
      <c r="D5" s="33" t="s">
        <v>263</v>
      </c>
      <c r="E5" s="33" t="s">
        <v>264</v>
      </c>
      <c r="F5" s="33" t="s">
        <v>265</v>
      </c>
      <c r="G5" s="33" t="s">
        <v>266</v>
      </c>
      <c r="H5" s="33" t="s">
        <v>229</v>
      </c>
      <c r="I5" s="33" t="s">
        <v>267</v>
      </c>
      <c r="J5" s="34" t="s">
        <v>9092</v>
      </c>
      <c r="L5" s="342" t="s">
        <v>261</v>
      </c>
      <c r="M5" s="342" t="s">
        <v>262</v>
      </c>
      <c r="N5" s="342" t="s">
        <v>263</v>
      </c>
      <c r="O5" s="342" t="s">
        <v>264</v>
      </c>
      <c r="P5" s="342" t="s">
        <v>265</v>
      </c>
      <c r="Q5" s="342" t="s">
        <v>266</v>
      </c>
      <c r="R5" s="342" t="s">
        <v>229</v>
      </c>
      <c r="S5" s="342" t="s">
        <v>267</v>
      </c>
      <c r="T5" s="343" t="s">
        <v>9092</v>
      </c>
    </row>
    <row r="6" spans="1:20" ht="43.5" thickBot="1" x14ac:dyDescent="0.25">
      <c r="A6" s="31" t="s">
        <v>9093</v>
      </c>
      <c r="B6" s="35"/>
      <c r="C6" s="35"/>
      <c r="D6" s="35"/>
      <c r="E6" s="35"/>
      <c r="F6" s="35"/>
      <c r="G6" s="35"/>
      <c r="H6" s="35"/>
      <c r="I6" s="35"/>
      <c r="J6" s="36"/>
      <c r="L6" s="344"/>
      <c r="M6" s="344"/>
      <c r="N6" s="344"/>
      <c r="O6" s="344"/>
      <c r="P6" s="344"/>
      <c r="Q6" s="344"/>
      <c r="R6" s="344"/>
      <c r="S6" s="344"/>
      <c r="T6" s="345"/>
    </row>
    <row r="7" spans="1:20" ht="28.5" x14ac:dyDescent="0.2">
      <c r="A7" s="119" t="s">
        <v>9094</v>
      </c>
      <c r="B7" s="337"/>
      <c r="C7" s="337"/>
      <c r="D7" s="337"/>
      <c r="E7" s="337"/>
      <c r="F7" s="337"/>
      <c r="G7" s="337"/>
      <c r="H7" s="337"/>
      <c r="I7" s="337"/>
      <c r="J7" s="338"/>
      <c r="L7" s="346"/>
      <c r="M7" s="346"/>
      <c r="N7" s="346"/>
      <c r="O7" s="346"/>
      <c r="P7" s="346"/>
      <c r="Q7" s="346"/>
      <c r="R7" s="346"/>
      <c r="S7" s="346"/>
      <c r="T7" s="347"/>
    </row>
    <row r="8" spans="1:20" ht="28.5" customHeight="1" x14ac:dyDescent="0.2">
      <c r="A8" s="30" t="s">
        <v>9146</v>
      </c>
      <c r="B8" s="118" t="s">
        <v>9091</v>
      </c>
      <c r="C8" s="118" t="s">
        <v>9091</v>
      </c>
      <c r="D8" s="118" t="s">
        <v>9091</v>
      </c>
      <c r="E8" s="118" t="s">
        <v>9091</v>
      </c>
      <c r="F8" s="118" t="s">
        <v>9091</v>
      </c>
      <c r="G8" s="118" t="s">
        <v>9091</v>
      </c>
      <c r="H8" s="42"/>
      <c r="I8" s="42"/>
      <c r="J8" s="45"/>
      <c r="L8" s="348"/>
      <c r="M8" s="348"/>
      <c r="N8" s="348"/>
      <c r="O8" s="348"/>
      <c r="P8" s="348"/>
      <c r="Q8" s="348"/>
      <c r="R8" s="349" t="b">
        <f>IF(H8&gt;EmissionSummary!P44+EmissionSummary!P45+EmissionSummary!P46,TRUE,FALSE)</f>
        <v>0</v>
      </c>
      <c r="S8" s="349" t="b">
        <f>IF(I8&gt;EmissionSummary!R44+EmissionSummary!R45+EmissionSummary!R46,TRUE,FALSE)</f>
        <v>0</v>
      </c>
      <c r="T8" s="349" t="b">
        <f>IF(J8&gt;EmissionSummary!T44+EmissionSummary!T45+EmissionSummary!T46,TRUE,FALSE)</f>
        <v>0</v>
      </c>
    </row>
    <row r="9" spans="1:20" ht="28.5" customHeight="1" x14ac:dyDescent="0.2">
      <c r="A9" s="30" t="s">
        <v>10060</v>
      </c>
      <c r="B9" s="118" t="s">
        <v>9091</v>
      </c>
      <c r="C9" s="118" t="s">
        <v>9091</v>
      </c>
      <c r="D9" s="118" t="s">
        <v>9091</v>
      </c>
      <c r="E9" s="118" t="s">
        <v>9091</v>
      </c>
      <c r="F9" s="118" t="s">
        <v>9091</v>
      </c>
      <c r="G9" s="118" t="s">
        <v>9091</v>
      </c>
      <c r="H9" s="42"/>
      <c r="I9" s="42"/>
      <c r="J9" s="45"/>
      <c r="L9" s="348"/>
      <c r="M9" s="348"/>
      <c r="N9" s="348"/>
      <c r="O9" s="348"/>
      <c r="P9" s="348"/>
      <c r="Q9" s="348"/>
      <c r="R9" s="349" t="b">
        <f>IF(H9&gt;EmissionSummary!P47+EmissionSummary!P48+EmissionSummary!P49,TRUE,FALSE)</f>
        <v>0</v>
      </c>
      <c r="S9" s="349" t="b">
        <f>IF(I9&gt;EmissionSummary!R47+EmissionSummary!R48+EmissionSummary!R49,TRUE,FALSE)</f>
        <v>0</v>
      </c>
      <c r="T9" s="349" t="b">
        <f>IF(J9&gt;EmissionSummary!T47+EmissionSummary!T48+EmissionSummary!T49,TRUE,FALSE)</f>
        <v>0</v>
      </c>
    </row>
    <row r="10" spans="1:20" ht="28.5" customHeight="1" x14ac:dyDescent="0.2">
      <c r="A10" s="30" t="s">
        <v>9147</v>
      </c>
      <c r="B10" s="118" t="s">
        <v>9091</v>
      </c>
      <c r="C10" s="118" t="s">
        <v>9091</v>
      </c>
      <c r="D10" s="118" t="s">
        <v>9091</v>
      </c>
      <c r="E10" s="118" t="s">
        <v>9091</v>
      </c>
      <c r="F10" s="118" t="s">
        <v>9091</v>
      </c>
      <c r="G10" s="118" t="s">
        <v>9091</v>
      </c>
      <c r="H10" s="42"/>
      <c r="I10" s="42"/>
      <c r="J10" s="45"/>
      <c r="L10" s="348"/>
      <c r="M10" s="348"/>
      <c r="N10" s="348"/>
      <c r="O10" s="348"/>
      <c r="P10" s="348"/>
      <c r="Q10" s="348"/>
      <c r="R10" s="349" t="b">
        <f>IF(H10&gt;EmissionSummary!P50+EmissionSummary!P51+EmissionSummary!P52,TRUE,FALSE)</f>
        <v>0</v>
      </c>
      <c r="S10" s="349" t="b">
        <f>IF(I10&gt;EmissionSummary!R50+EmissionSummary!R51+EmissionSummary!R52,TRUE,FALSE)</f>
        <v>0</v>
      </c>
      <c r="T10" s="349" t="b">
        <f>IF(J10&gt;EmissionSummary!T50+EmissionSummary!T51+EmissionSummary!T52,TRUE,FALSE)</f>
        <v>0</v>
      </c>
    </row>
    <row r="11" spans="1:20" ht="28.5" customHeight="1" x14ac:dyDescent="0.2">
      <c r="A11" s="30" t="s">
        <v>9148</v>
      </c>
      <c r="B11" s="118" t="s">
        <v>9091</v>
      </c>
      <c r="C11" s="118" t="s">
        <v>9091</v>
      </c>
      <c r="D11" s="118" t="s">
        <v>9091</v>
      </c>
      <c r="E11" s="118" t="s">
        <v>9091</v>
      </c>
      <c r="F11" s="118" t="s">
        <v>9091</v>
      </c>
      <c r="G11" s="118" t="s">
        <v>9091</v>
      </c>
      <c r="H11" s="42"/>
      <c r="I11" s="42"/>
      <c r="J11" s="45"/>
      <c r="L11" s="348"/>
      <c r="M11" s="348"/>
      <c r="N11" s="348"/>
      <c r="O11" s="348"/>
      <c r="P11" s="348"/>
      <c r="Q11" s="348"/>
      <c r="R11" s="349" t="b">
        <f>IF(H11&gt;EmissionSummary!P53+EmissionSummary!P54+EmissionSummary!P55,TRUE,FALSE)</f>
        <v>0</v>
      </c>
      <c r="S11" s="349" t="b">
        <f>IF(I11&gt;EmissionSummary!R53+EmissionSummary!R54+EmissionSummary!R55,TRUE,FALSE)</f>
        <v>0</v>
      </c>
      <c r="T11" s="349" t="b">
        <f>IF(J11&gt;EmissionSummary!T53+EmissionSummary!T54+EmissionSummary!T55,TRUE,FALSE)</f>
        <v>0</v>
      </c>
    </row>
    <row r="12" spans="1:20" ht="28.5" customHeight="1" x14ac:dyDescent="0.2">
      <c r="A12" s="30" t="s">
        <v>9149</v>
      </c>
      <c r="B12" s="118" t="s">
        <v>9091</v>
      </c>
      <c r="C12" s="118" t="s">
        <v>9091</v>
      </c>
      <c r="D12" s="118" t="s">
        <v>9091</v>
      </c>
      <c r="E12" s="118" t="s">
        <v>9091</v>
      </c>
      <c r="F12" s="118" t="s">
        <v>9091</v>
      </c>
      <c r="G12" s="118" t="s">
        <v>9091</v>
      </c>
      <c r="H12" s="42"/>
      <c r="I12" s="42"/>
      <c r="J12" s="45"/>
      <c r="L12" s="348"/>
      <c r="M12" s="348"/>
      <c r="N12" s="348"/>
      <c r="O12" s="348"/>
      <c r="P12" s="348"/>
      <c r="Q12" s="348"/>
      <c r="R12" s="349" t="b">
        <f>IF(H12&gt;EmissionSummary!P56+EmissionSummary!P57+EmissionSummary!P58,TRUE,FALSE)</f>
        <v>0</v>
      </c>
      <c r="S12" s="349" t="b">
        <f>IF(I12&gt;EmissionSummary!R56+EmissionSummary!R57+EmissionSummary!R58,TRUE,FALSE)</f>
        <v>0</v>
      </c>
      <c r="T12" s="349" t="b">
        <f>IF(J12&gt;EmissionSummary!T56+EmissionSummary!T57+EmissionSummary!T58,TRUE,FALSE)</f>
        <v>0</v>
      </c>
    </row>
    <row r="13" spans="1:20" ht="28.5" customHeight="1" x14ac:dyDescent="0.2">
      <c r="A13" s="30" t="s">
        <v>9154</v>
      </c>
      <c r="B13" s="118" t="s">
        <v>9091</v>
      </c>
      <c r="C13" s="118" t="s">
        <v>9091</v>
      </c>
      <c r="D13" s="118" t="s">
        <v>9091</v>
      </c>
      <c r="E13" s="118" t="s">
        <v>9091</v>
      </c>
      <c r="F13" s="118" t="s">
        <v>9091</v>
      </c>
      <c r="G13" s="118" t="s">
        <v>9091</v>
      </c>
      <c r="H13" s="42"/>
      <c r="I13" s="42"/>
      <c r="J13" s="45"/>
      <c r="L13" s="348"/>
      <c r="M13" s="348"/>
      <c r="N13" s="348"/>
      <c r="O13" s="348"/>
      <c r="P13" s="348"/>
      <c r="Q13" s="348"/>
      <c r="R13" s="349" t="b">
        <f>IF(H13&gt;EmissionSummary!P59,TRUE,FALSE)</f>
        <v>0</v>
      </c>
      <c r="S13" s="349" t="b">
        <f>IF(I13&gt;EmissionSummary!R59,TRUE,FALSE)</f>
        <v>0</v>
      </c>
      <c r="T13" s="349" t="b">
        <f>IF(J13&gt;EmissionSummary!T59,TRUE,FALSE)</f>
        <v>0</v>
      </c>
    </row>
    <row r="14" spans="1:20" ht="28.5" customHeight="1" x14ac:dyDescent="0.2">
      <c r="A14" s="30" t="s">
        <v>9153</v>
      </c>
      <c r="B14" s="118" t="s">
        <v>9091</v>
      </c>
      <c r="C14" s="118" t="s">
        <v>9091</v>
      </c>
      <c r="D14" s="118" t="s">
        <v>9091</v>
      </c>
      <c r="E14" s="118" t="s">
        <v>9091</v>
      </c>
      <c r="F14" s="118" t="s">
        <v>9091</v>
      </c>
      <c r="G14" s="118" t="s">
        <v>9091</v>
      </c>
      <c r="H14" s="42"/>
      <c r="I14" s="42"/>
      <c r="J14" s="45"/>
      <c r="L14" s="348"/>
      <c r="M14" s="348"/>
      <c r="N14" s="348"/>
      <c r="O14" s="348"/>
      <c r="P14" s="348"/>
      <c r="Q14" s="348"/>
      <c r="R14" s="349" t="b">
        <f>IF(H14&gt;EmissionSummary!P60,TRUE,FALSE)</f>
        <v>0</v>
      </c>
      <c r="S14" s="349" t="b">
        <f>IF(I14&gt;EmissionSummary!R60,TRUE,FALSE)</f>
        <v>0</v>
      </c>
      <c r="T14" s="349" t="b">
        <f>IF(J14&gt;EmissionSummary!T60,TRUE,FALSE)</f>
        <v>0</v>
      </c>
    </row>
    <row r="15" spans="1:20" ht="28.5" customHeight="1" x14ac:dyDescent="0.2">
      <c r="A15" s="30" t="s">
        <v>9152</v>
      </c>
      <c r="B15" s="118" t="s">
        <v>9091</v>
      </c>
      <c r="C15" s="118" t="s">
        <v>9091</v>
      </c>
      <c r="D15" s="118" t="s">
        <v>9091</v>
      </c>
      <c r="E15" s="118" t="s">
        <v>9091</v>
      </c>
      <c r="F15" s="118" t="s">
        <v>9091</v>
      </c>
      <c r="G15" s="118" t="s">
        <v>9091</v>
      </c>
      <c r="H15" s="42"/>
      <c r="I15" s="42"/>
      <c r="J15" s="45"/>
      <c r="L15" s="348"/>
      <c r="M15" s="348"/>
      <c r="N15" s="348"/>
      <c r="O15" s="348"/>
      <c r="P15" s="348"/>
      <c r="Q15" s="348"/>
      <c r="R15" s="349" t="b">
        <f>IF(H15&gt;EmissionSummary!P61,TRUE,FALSE)</f>
        <v>0</v>
      </c>
      <c r="S15" s="349" t="b">
        <f>IF(I15&gt;EmissionSummary!R61,TRUE,FALSE)</f>
        <v>0</v>
      </c>
      <c r="T15" s="349" t="b">
        <f>IF(J15&gt;EmissionSummary!T61,TRUE,FALSE)</f>
        <v>0</v>
      </c>
    </row>
    <row r="16" spans="1:20" ht="28.5" customHeight="1" x14ac:dyDescent="0.2">
      <c r="A16" s="30" t="s">
        <v>9441</v>
      </c>
      <c r="B16" s="118" t="s">
        <v>9091</v>
      </c>
      <c r="C16" s="118" t="s">
        <v>9091</v>
      </c>
      <c r="D16" s="118" t="s">
        <v>9091</v>
      </c>
      <c r="E16" s="118" t="s">
        <v>9091</v>
      </c>
      <c r="F16" s="118" t="s">
        <v>9091</v>
      </c>
      <c r="G16" s="118" t="s">
        <v>9091</v>
      </c>
      <c r="H16" s="42"/>
      <c r="I16" s="42"/>
      <c r="J16" s="45"/>
      <c r="L16" s="348"/>
      <c r="M16" s="348"/>
      <c r="N16" s="348"/>
      <c r="O16" s="348"/>
      <c r="P16" s="348"/>
      <c r="Q16" s="348"/>
      <c r="R16" s="349" t="b">
        <f>IF(H16&gt;EmissionSummary!P62,TRUE,FALSE)</f>
        <v>0</v>
      </c>
      <c r="S16" s="349" t="b">
        <f>IF(I16&gt;EmissionSummary!R62,TRUE,FALSE)</f>
        <v>0</v>
      </c>
      <c r="T16" s="349" t="b">
        <f>IF(J16&gt;EmissionSummary!T62,TRUE,FALSE)</f>
        <v>0</v>
      </c>
    </row>
    <row r="17" spans="1:20" ht="28.5" customHeight="1" x14ac:dyDescent="0.2">
      <c r="A17" s="30" t="s">
        <v>9442</v>
      </c>
      <c r="B17" s="118" t="s">
        <v>9091</v>
      </c>
      <c r="C17" s="118" t="s">
        <v>9091</v>
      </c>
      <c r="D17" s="118" t="s">
        <v>9091</v>
      </c>
      <c r="E17" s="118" t="s">
        <v>9091</v>
      </c>
      <c r="F17" s="118" t="s">
        <v>9091</v>
      </c>
      <c r="G17" s="118" t="s">
        <v>9091</v>
      </c>
      <c r="H17" s="42"/>
      <c r="I17" s="42"/>
      <c r="J17" s="45"/>
      <c r="L17" s="348"/>
      <c r="M17" s="348"/>
      <c r="N17" s="348"/>
      <c r="O17" s="348"/>
      <c r="P17" s="348"/>
      <c r="Q17" s="348"/>
      <c r="R17" s="349" t="b">
        <f>IF(H17&gt;EmissionSummary!P63,TRUE,FALSE)</f>
        <v>0</v>
      </c>
      <c r="S17" s="349" t="b">
        <f>IF(I17&gt;EmissionSummary!R63,TRUE,FALSE)</f>
        <v>0</v>
      </c>
      <c r="T17" s="349" t="b">
        <f>IF(J17&gt;EmissionSummary!T63,TRUE,FALSE)</f>
        <v>0</v>
      </c>
    </row>
    <row r="18" spans="1:20" ht="28.5" customHeight="1" x14ac:dyDescent="0.2">
      <c r="A18" s="30" t="s">
        <v>9095</v>
      </c>
      <c r="B18" s="42"/>
      <c r="C18" s="42"/>
      <c r="D18" s="118" t="s">
        <v>9091</v>
      </c>
      <c r="E18" s="118" t="s">
        <v>9091</v>
      </c>
      <c r="F18" s="118" t="s">
        <v>9091</v>
      </c>
      <c r="G18" s="42"/>
      <c r="H18" s="42"/>
      <c r="I18" s="42"/>
      <c r="J18" s="120" t="s">
        <v>9091</v>
      </c>
      <c r="L18" s="349" t="b">
        <f>IF(B18&gt;EmissionSummary!D64,TRUE,FALSE)</f>
        <v>0</v>
      </c>
      <c r="M18" s="349" t="b">
        <f>IF(C18&gt;EmissionSummary!F64,TRUE,FALSE)</f>
        <v>0</v>
      </c>
      <c r="N18" s="348"/>
      <c r="O18" s="348"/>
      <c r="P18" s="348"/>
      <c r="Q18" s="349" t="b">
        <f>IF(G18&gt;EmissionSummary!N64,TRUE,FALSE)</f>
        <v>0</v>
      </c>
      <c r="R18" s="349" t="b">
        <f>IF(H18&gt;EmissionSummary!P64,TRUE,FALSE)</f>
        <v>0</v>
      </c>
      <c r="S18" s="349" t="b">
        <f>IF(I18&gt;EmissionSummary!R64,TRUE,FALSE)</f>
        <v>0</v>
      </c>
      <c r="T18" s="350"/>
    </row>
    <row r="19" spans="1:20" ht="28.5" customHeight="1" x14ac:dyDescent="0.2">
      <c r="A19" s="30" t="s">
        <v>9096</v>
      </c>
      <c r="B19" s="42"/>
      <c r="C19" s="42"/>
      <c r="D19" s="42"/>
      <c r="E19" s="42"/>
      <c r="F19" s="42"/>
      <c r="G19" s="42"/>
      <c r="H19" s="42"/>
      <c r="I19" s="42"/>
      <c r="J19" s="120" t="s">
        <v>9091</v>
      </c>
      <c r="L19" s="349" t="b">
        <f>IF(B19&gt;EmissionSummary!D65,TRUE,FALSE)</f>
        <v>0</v>
      </c>
      <c r="M19" s="349" t="b">
        <f>IF(C19&gt;EmissionSummary!F65,TRUE,FALSE)</f>
        <v>0</v>
      </c>
      <c r="N19" s="349" t="b">
        <f>IF(D19&gt;EmissionSummary!H65,TRUE,FALSE)</f>
        <v>0</v>
      </c>
      <c r="O19" s="349" t="b">
        <f>IF(E19&gt;EmissionSummary!J65,TRUE,FALSE)</f>
        <v>0</v>
      </c>
      <c r="P19" s="349" t="b">
        <f>IF(F19&gt;EmissionSummary!L65,TRUE,FALSE)</f>
        <v>0</v>
      </c>
      <c r="Q19" s="349" t="b">
        <f>IF(G19&gt;EmissionSummary!N65,TRUE,FALSE)</f>
        <v>0</v>
      </c>
      <c r="R19" s="349" t="b">
        <f>IF(H19&gt;EmissionSummary!P65,TRUE,FALSE)</f>
        <v>0</v>
      </c>
      <c r="S19" s="349" t="b">
        <f>IF(I19&gt;EmissionSummary!R65,TRUE,FALSE)</f>
        <v>0</v>
      </c>
      <c r="T19" s="350"/>
    </row>
    <row r="20" spans="1:20" ht="28.5" customHeight="1" x14ac:dyDescent="0.2">
      <c r="A20" s="30" t="s">
        <v>9144</v>
      </c>
      <c r="B20" s="42"/>
      <c r="C20" s="42"/>
      <c r="D20" s="42"/>
      <c r="E20" s="42"/>
      <c r="F20" s="42"/>
      <c r="G20" s="42"/>
      <c r="H20" s="42"/>
      <c r="I20" s="42"/>
      <c r="J20" s="120" t="s">
        <v>9091</v>
      </c>
      <c r="L20" s="349" t="b">
        <f>IF(B20&gt;EmissionSummary!D66,TRUE,FALSE)</f>
        <v>0</v>
      </c>
      <c r="M20" s="349" t="b">
        <f>IF(C20&gt;EmissionSummary!F66,TRUE,FALSE)</f>
        <v>0</v>
      </c>
      <c r="N20" s="349" t="b">
        <f>IF(D20&gt;EmissionSummary!H66,TRUE,FALSE)</f>
        <v>0</v>
      </c>
      <c r="O20" s="349" t="b">
        <f>IF(E20&gt;EmissionSummary!J66,TRUE,FALSE)</f>
        <v>0</v>
      </c>
      <c r="P20" s="349" t="b">
        <f>IF(F20&gt;EmissionSummary!L66,TRUE,FALSE)</f>
        <v>0</v>
      </c>
      <c r="Q20" s="349" t="b">
        <f>IF(G20&gt;EmissionSummary!N66,TRUE,FALSE)</f>
        <v>0</v>
      </c>
      <c r="R20" s="349" t="b">
        <f>IF(H20&gt;EmissionSummary!P66,TRUE,FALSE)</f>
        <v>0</v>
      </c>
      <c r="S20" s="349" t="b">
        <f>IF(I20&gt;EmissionSummary!R66,TRUE,FALSE)</f>
        <v>0</v>
      </c>
      <c r="T20" s="350"/>
    </row>
    <row r="21" spans="1:20" ht="28.5" customHeight="1" x14ac:dyDescent="0.2">
      <c r="A21" s="30" t="s">
        <v>9097</v>
      </c>
      <c r="B21" s="118" t="s">
        <v>9091</v>
      </c>
      <c r="C21" s="118" t="s">
        <v>9091</v>
      </c>
      <c r="D21" s="118" t="s">
        <v>9091</v>
      </c>
      <c r="E21" s="118" t="s">
        <v>9091</v>
      </c>
      <c r="F21" s="118" t="s">
        <v>9091</v>
      </c>
      <c r="G21" s="118" t="s">
        <v>9091</v>
      </c>
      <c r="H21" s="42"/>
      <c r="I21" s="42"/>
      <c r="J21" s="340"/>
      <c r="L21" s="351"/>
      <c r="M21" s="348"/>
      <c r="N21" s="348"/>
      <c r="O21" s="348"/>
      <c r="P21" s="348"/>
      <c r="Q21" s="348"/>
      <c r="R21" s="349" t="b">
        <f>IF(H21&gt;EmissionSummary!P67,TRUE,FALSE)</f>
        <v>0</v>
      </c>
      <c r="S21" s="349" t="b">
        <f>IF(I21&gt;EmissionSummary!R67,TRUE,FALSE)</f>
        <v>0</v>
      </c>
      <c r="T21" s="349" t="b">
        <f>IF(J21&gt;EmissionSummary!T67,TRUE,FALSE)</f>
        <v>0</v>
      </c>
    </row>
    <row r="22" spans="1:20" ht="28.5" customHeight="1" x14ac:dyDescent="0.2">
      <c r="A22" s="30" t="s">
        <v>9098</v>
      </c>
      <c r="B22" s="42"/>
      <c r="C22" s="42"/>
      <c r="D22" s="42"/>
      <c r="E22" s="42"/>
      <c r="F22" s="42"/>
      <c r="G22" s="42"/>
      <c r="H22" s="42"/>
      <c r="I22" s="118" t="s">
        <v>9091</v>
      </c>
      <c r="J22" s="120" t="s">
        <v>9091</v>
      </c>
      <c r="L22" s="349" t="b">
        <f>IF(B22&gt;EmissionSummary!D68,TRUE,FALSE)</f>
        <v>0</v>
      </c>
      <c r="M22" s="349" t="b">
        <f>IF(C22&gt;EmissionSummary!F68,TRUE,FALSE)</f>
        <v>0</v>
      </c>
      <c r="N22" s="349" t="b">
        <f>IF(D22&gt;EmissionSummary!H68,TRUE,FALSE)</f>
        <v>0</v>
      </c>
      <c r="O22" s="349" t="b">
        <f>IF(E22&gt;EmissionSummary!J68,TRUE,FALSE)</f>
        <v>0</v>
      </c>
      <c r="P22" s="349" t="b">
        <f>IF(F22&gt;EmissionSummary!L68,TRUE,FALSE)</f>
        <v>0</v>
      </c>
      <c r="Q22" s="349" t="b">
        <f>IF(G22&gt;EmissionSummary!N68,TRUE,FALSE)</f>
        <v>0</v>
      </c>
      <c r="R22" s="349" t="b">
        <f>IF(H22&gt;EmissionSummary!P68,TRUE,FALSE)</f>
        <v>0</v>
      </c>
      <c r="S22" s="348"/>
      <c r="T22" s="350"/>
    </row>
    <row r="23" spans="1:20" ht="28.5" customHeight="1" x14ac:dyDescent="0.2">
      <c r="A23" s="30" t="s">
        <v>9099</v>
      </c>
      <c r="B23" s="42"/>
      <c r="C23" s="42"/>
      <c r="D23" s="42"/>
      <c r="E23" s="42"/>
      <c r="F23" s="42"/>
      <c r="G23" s="42"/>
      <c r="H23" s="42"/>
      <c r="I23" s="118" t="s">
        <v>9091</v>
      </c>
      <c r="J23" s="120" t="s">
        <v>9091</v>
      </c>
      <c r="L23" s="349" t="b">
        <f>IF(B23&gt;EmissionSummary!D69,TRUE,FALSE)</f>
        <v>0</v>
      </c>
      <c r="M23" s="349" t="b">
        <f>IF(C23&gt;EmissionSummary!F69,TRUE,FALSE)</f>
        <v>0</v>
      </c>
      <c r="N23" s="349" t="b">
        <f>IF(D23&gt;EmissionSummary!H69,TRUE,FALSE)</f>
        <v>0</v>
      </c>
      <c r="O23" s="349" t="b">
        <f>IF(E23&gt;EmissionSummary!J69,TRUE,FALSE)</f>
        <v>0</v>
      </c>
      <c r="P23" s="349" t="b">
        <f>IF(F23&gt;EmissionSummary!L69,TRUE,FALSE)</f>
        <v>0</v>
      </c>
      <c r="Q23" s="349" t="b">
        <f>IF(G23&gt;EmissionSummary!N69,TRUE,FALSE)</f>
        <v>0</v>
      </c>
      <c r="R23" s="349" t="b">
        <f>IF(H23&gt;EmissionSummary!P69,TRUE,FALSE)</f>
        <v>0</v>
      </c>
      <c r="S23" s="348"/>
      <c r="T23" s="350"/>
    </row>
    <row r="24" spans="1:20" ht="28.5" customHeight="1" x14ac:dyDescent="0.2">
      <c r="A24" s="30" t="s">
        <v>9150</v>
      </c>
      <c r="B24" s="42"/>
      <c r="C24" s="42"/>
      <c r="D24" s="42"/>
      <c r="E24" s="42"/>
      <c r="F24" s="42"/>
      <c r="G24" s="42"/>
      <c r="H24" s="42"/>
      <c r="I24" s="390"/>
      <c r="J24" s="120" t="s">
        <v>9091</v>
      </c>
      <c r="L24" s="349" t="b">
        <f>IF(B24&gt;EmissionSummary!D70,TRUE,FALSE)</f>
        <v>0</v>
      </c>
      <c r="M24" s="349" t="b">
        <f>IF(C24&gt;EmissionSummary!F70,TRUE,FALSE)</f>
        <v>0</v>
      </c>
      <c r="N24" s="349" t="b">
        <f>IF(D24&gt;EmissionSummary!H70,TRUE,FALSE)</f>
        <v>0</v>
      </c>
      <c r="O24" s="349" t="b">
        <f>IF(E24&gt;EmissionSummary!J70,TRUE,FALSE)</f>
        <v>0</v>
      </c>
      <c r="P24" s="349" t="b">
        <f>IF(F24&gt;EmissionSummary!L70,TRUE,FALSE)</f>
        <v>0</v>
      </c>
      <c r="Q24" s="349" t="b">
        <f>IF(G24&gt;EmissionSummary!N70,TRUE,FALSE)</f>
        <v>0</v>
      </c>
      <c r="R24" s="349" t="b">
        <f>IF(H24&gt;EmissionSummary!P70,TRUE,FALSE)</f>
        <v>0</v>
      </c>
      <c r="S24" s="349" t="b">
        <f>IF(I24&gt;EmissionSummary!R70,TRUE,FALSE)</f>
        <v>0</v>
      </c>
      <c r="T24" s="350"/>
    </row>
    <row r="25" spans="1:20" ht="28.5" customHeight="1" x14ac:dyDescent="0.2">
      <c r="A25" s="30" t="s">
        <v>9151</v>
      </c>
      <c r="B25" s="42"/>
      <c r="C25" s="42"/>
      <c r="D25" s="42"/>
      <c r="E25" s="42"/>
      <c r="F25" s="42"/>
      <c r="G25" s="42"/>
      <c r="H25" s="42"/>
      <c r="I25" s="390"/>
      <c r="J25" s="120" t="s">
        <v>9091</v>
      </c>
      <c r="L25" s="349" t="b">
        <f>IF(B25&gt;EmissionSummary!D71,TRUE,FALSE)</f>
        <v>0</v>
      </c>
      <c r="M25" s="349" t="b">
        <f>IF(C25&gt;EmissionSummary!F71,TRUE,FALSE)</f>
        <v>0</v>
      </c>
      <c r="N25" s="349" t="b">
        <f>IF(D25&gt;EmissionSummary!H71,TRUE,FALSE)</f>
        <v>0</v>
      </c>
      <c r="O25" s="349" t="b">
        <f>IF(E25&gt;EmissionSummary!J71,TRUE,FALSE)</f>
        <v>0</v>
      </c>
      <c r="P25" s="349" t="b">
        <f>IF(F25&gt;EmissionSummary!L71,TRUE,FALSE)</f>
        <v>0</v>
      </c>
      <c r="Q25" s="349" t="b">
        <f>IF(G25&gt;EmissionSummary!N71,TRUE,FALSE)</f>
        <v>0</v>
      </c>
      <c r="R25" s="349" t="b">
        <f>IF(H25&gt;EmissionSummary!P71,TRUE,FALSE)</f>
        <v>0</v>
      </c>
      <c r="S25" s="349" t="b">
        <f>IF(I25&gt;EmissionSummary!R71,TRUE,FALSE)</f>
        <v>0</v>
      </c>
      <c r="T25" s="350"/>
    </row>
    <row r="26" spans="1:20" ht="28.5" customHeight="1" x14ac:dyDescent="0.2">
      <c r="A26" s="30" t="s">
        <v>9100</v>
      </c>
      <c r="B26" s="354" t="s">
        <v>9091</v>
      </c>
      <c r="C26" s="286"/>
      <c r="D26" s="286"/>
      <c r="E26" s="286"/>
      <c r="F26" s="286"/>
      <c r="G26" s="286"/>
      <c r="H26" s="42"/>
      <c r="I26" s="390"/>
      <c r="J26" s="45"/>
      <c r="L26" s="351"/>
      <c r="M26" s="351"/>
      <c r="N26" s="351"/>
      <c r="O26" s="351"/>
      <c r="P26" s="351"/>
      <c r="Q26" s="351"/>
      <c r="R26" s="349" t="b">
        <f>IF(H26&gt;EmissionSummary!P72,TRUE,FALSE)</f>
        <v>0</v>
      </c>
      <c r="S26" s="349" t="b">
        <f>IF(I26&gt;EmissionSummary!R72,TRUE,FALSE)</f>
        <v>0</v>
      </c>
      <c r="T26" s="349" t="b">
        <f>IF(J26&gt;EmissionSummary!T72,TRUE,FALSE)</f>
        <v>0</v>
      </c>
    </row>
    <row r="27" spans="1:20" ht="42" customHeight="1" x14ac:dyDescent="0.2">
      <c r="A27" s="30" t="s">
        <v>10447</v>
      </c>
      <c r="B27" s="42"/>
      <c r="C27" s="42"/>
      <c r="D27" s="42"/>
      <c r="E27" s="42"/>
      <c r="F27" s="42"/>
      <c r="G27" s="42"/>
      <c r="H27" s="42"/>
      <c r="I27" s="390"/>
      <c r="J27" s="287"/>
      <c r="L27" s="349" t="b">
        <f>IF(B27&gt;EmissionSummary!D73,TRUE,FALSE)</f>
        <v>0</v>
      </c>
      <c r="M27" s="349" t="b">
        <f>IF(C27&gt;EmissionSummary!F73,TRUE,FALSE)</f>
        <v>0</v>
      </c>
      <c r="N27" s="349" t="b">
        <f>IF(D27&gt;EmissionSummary!H73,TRUE,FALSE)</f>
        <v>0</v>
      </c>
      <c r="O27" s="349" t="b">
        <f>IF(E27&gt;EmissionSummary!J73,TRUE,FALSE)</f>
        <v>0</v>
      </c>
      <c r="P27" s="349" t="b">
        <f>IF(F27&gt;EmissionSummary!L73,TRUE,FALSE)</f>
        <v>0</v>
      </c>
      <c r="Q27" s="349" t="b">
        <f>IF(G27&gt;EmissionSummary!N73,TRUE,FALSE)</f>
        <v>0</v>
      </c>
      <c r="R27" s="349" t="b">
        <f>IF(H27&gt;EmissionSummary!P73,TRUE,FALSE)</f>
        <v>0</v>
      </c>
      <c r="S27" s="349" t="b">
        <f>IF(I27&gt;EmissionSummary!R73,TRUE,FALSE)</f>
        <v>0</v>
      </c>
      <c r="T27" s="352"/>
    </row>
    <row r="28" spans="1:20" ht="28.5" customHeight="1" x14ac:dyDescent="0.2">
      <c r="A28" s="30" t="s">
        <v>10057</v>
      </c>
      <c r="B28" s="42"/>
      <c r="C28" s="42"/>
      <c r="D28" s="286"/>
      <c r="E28" s="286"/>
      <c r="F28" s="286"/>
      <c r="G28" s="42"/>
      <c r="H28" s="42"/>
      <c r="I28" s="390"/>
      <c r="J28" s="287"/>
      <c r="L28" s="349" t="b">
        <f>IF(B28&gt;EmissionSummary!D74,TRUE,FALSE)</f>
        <v>0</v>
      </c>
      <c r="M28" s="349" t="b">
        <f>IF(C28&gt;EmissionSummary!F74,TRUE,FALSE)</f>
        <v>0</v>
      </c>
      <c r="N28" s="351"/>
      <c r="O28" s="351"/>
      <c r="P28" s="351"/>
      <c r="Q28" s="349" t="b">
        <f>IF(G28&gt;EmissionSummary!N74,TRUE,FALSE)</f>
        <v>0</v>
      </c>
      <c r="R28" s="349" t="b">
        <f>IF(H28&gt;EmissionSummary!P74,TRUE,FALSE)</f>
        <v>0</v>
      </c>
      <c r="S28" s="349" t="b">
        <f>IF(I28&gt;EmissionSummary!R74,TRUE,FALSE)</f>
        <v>0</v>
      </c>
      <c r="T28" s="352"/>
    </row>
    <row r="29" spans="1:20" ht="28.5" customHeight="1" x14ac:dyDescent="0.2">
      <c r="A29" s="30" t="s">
        <v>10059</v>
      </c>
      <c r="B29" s="42"/>
      <c r="C29" s="42"/>
      <c r="D29" s="42"/>
      <c r="E29" s="42"/>
      <c r="F29" s="42"/>
      <c r="G29" s="42"/>
      <c r="H29" s="42"/>
      <c r="I29" s="390"/>
      <c r="J29" s="287"/>
      <c r="L29" s="349" t="b">
        <f>IF(B29&gt;EmissionSummary!D75,TRUE,FALSE)</f>
        <v>0</v>
      </c>
      <c r="M29" s="349" t="b">
        <f>IF(C29&gt;EmissionSummary!F75,TRUE,FALSE)</f>
        <v>0</v>
      </c>
      <c r="N29" s="349" t="b">
        <f>IF(D29&gt;EmissionSummary!H75,TRUE,FALSE)</f>
        <v>0</v>
      </c>
      <c r="O29" s="349" t="b">
        <f>IF(E29&gt;EmissionSummary!J75,TRUE,FALSE)</f>
        <v>0</v>
      </c>
      <c r="P29" s="349" t="b">
        <f>IF(F29&gt;EmissionSummary!L75,TRUE,FALSE)</f>
        <v>0</v>
      </c>
      <c r="Q29" s="349" t="b">
        <f>IF(G29&gt;EmissionSummary!N75,TRUE,FALSE)</f>
        <v>0</v>
      </c>
      <c r="R29" s="349" t="b">
        <f>IF(H29&gt;EmissionSummary!P75,TRUE,FALSE)</f>
        <v>0</v>
      </c>
      <c r="S29" s="349" t="b">
        <f>IF(I29&gt;EmissionSummary!R75,TRUE,FALSE)</f>
        <v>0</v>
      </c>
      <c r="T29" s="352"/>
    </row>
    <row r="30" spans="1:20" ht="28.5" customHeight="1" thickBot="1" x14ac:dyDescent="0.25">
      <c r="A30" s="121" t="s">
        <v>10058</v>
      </c>
      <c r="B30" s="159"/>
      <c r="C30" s="159"/>
      <c r="D30" s="159"/>
      <c r="E30" s="159"/>
      <c r="F30" s="159"/>
      <c r="G30" s="159"/>
      <c r="H30" s="159"/>
      <c r="I30" s="391"/>
      <c r="J30" s="339"/>
      <c r="L30" s="349" t="b">
        <f>IF(B30&gt;EmissionSummary!D76,TRUE,FALSE)</f>
        <v>0</v>
      </c>
      <c r="M30" s="349" t="b">
        <f>IF(C30&gt;EmissionSummary!F76,TRUE,FALSE)</f>
        <v>0</v>
      </c>
      <c r="N30" s="349" t="b">
        <f>IF(D30&gt;EmissionSummary!H76,TRUE,FALSE)</f>
        <v>0</v>
      </c>
      <c r="O30" s="349" t="b">
        <f>IF(E30&gt;EmissionSummary!J76,TRUE,FALSE)</f>
        <v>0</v>
      </c>
      <c r="P30" s="349" t="b">
        <f>IF(F30&gt;EmissionSummary!L76,TRUE,FALSE)</f>
        <v>0</v>
      </c>
      <c r="Q30" s="349" t="b">
        <f>IF(G30&gt;EmissionSummary!N76,TRUE,FALSE)</f>
        <v>0</v>
      </c>
      <c r="R30" s="349" t="b">
        <f>IF(H30&gt;EmissionSummary!P76,TRUE,FALSE)</f>
        <v>0</v>
      </c>
      <c r="S30" s="349" t="b">
        <f>IF(I30&gt;EmissionSummary!R76,TRUE,FALSE)</f>
        <v>0</v>
      </c>
      <c r="T30" s="353"/>
    </row>
    <row r="31" spans="1:20" ht="15.75" thickBot="1" x14ac:dyDescent="0.3">
      <c r="A31" s="355" t="s">
        <v>9101</v>
      </c>
      <c r="B31" s="33">
        <f t="shared" ref="B31:J31" si="0">SUM(B8:B30)</f>
        <v>0</v>
      </c>
      <c r="C31" s="33">
        <f t="shared" si="0"/>
        <v>0</v>
      </c>
      <c r="D31" s="33">
        <f t="shared" si="0"/>
        <v>0</v>
      </c>
      <c r="E31" s="33">
        <f t="shared" si="0"/>
        <v>0</v>
      </c>
      <c r="F31" s="33">
        <f t="shared" si="0"/>
        <v>0</v>
      </c>
      <c r="G31" s="33">
        <f t="shared" si="0"/>
        <v>0</v>
      </c>
      <c r="H31" s="33">
        <f t="shared" si="0"/>
        <v>0</v>
      </c>
      <c r="I31" s="33">
        <f t="shared" si="0"/>
        <v>0</v>
      </c>
      <c r="J31" s="34">
        <f t="shared" si="0"/>
        <v>0</v>
      </c>
    </row>
    <row r="32" spans="1:20" x14ac:dyDescent="0.2">
      <c r="A32" s="522" t="s">
        <v>130</v>
      </c>
      <c r="B32" s="522"/>
      <c r="C32" s="522"/>
      <c r="D32" s="522"/>
      <c r="E32" s="522"/>
      <c r="F32" s="522"/>
      <c r="G32" s="522"/>
      <c r="H32" s="522"/>
      <c r="I32" s="522"/>
      <c r="J32" s="522"/>
    </row>
  </sheetData>
  <sheetProtection algorithmName="SHA-512" hashValue="/GfzyV5LAbk7kbQHR6X+bD8rQcu9gP6bxMRcFecK3za8zHwJJXt1K35W9RFI2eF1WiR7aUs08YVZIeBjAQPm5Q==" saltValue="wKLwdZ5LoaF94UlNTiyiNw==" spinCount="100000" sheet="1" objects="1" scenarios="1" formatColumns="0" formatRows="0"/>
  <mergeCells count="5">
    <mergeCell ref="A32:J32"/>
    <mergeCell ref="A1:J1"/>
    <mergeCell ref="A2:J2"/>
    <mergeCell ref="A3:J3"/>
    <mergeCell ref="A4:J4"/>
  </mergeCells>
  <phoneticPr fontId="26" type="noConversion"/>
  <conditionalFormatting sqref="B18:B30">
    <cfRule type="expression" dxfId="72" priority="9">
      <formula>$L18=TRUE</formula>
    </cfRule>
  </conditionalFormatting>
  <conditionalFormatting sqref="B31:J31">
    <cfRule type="expression" dxfId="71" priority="2154">
      <formula>B$31&gt;B$6</formula>
    </cfRule>
  </conditionalFormatting>
  <conditionalFormatting sqref="C18:C30">
    <cfRule type="expression" dxfId="69" priority="8">
      <formula>$M18=TRUE</formula>
    </cfRule>
  </conditionalFormatting>
  <conditionalFormatting sqref="D19:D30">
    <cfRule type="expression" dxfId="67" priority="7">
      <formula>$N19=TRUE</formula>
    </cfRule>
  </conditionalFormatting>
  <conditionalFormatting sqref="E19:E30">
    <cfRule type="expression" dxfId="65" priority="6">
      <formula>$O19=TRUE</formula>
    </cfRule>
  </conditionalFormatting>
  <conditionalFormatting sqref="F19:F30">
    <cfRule type="expression" dxfId="63" priority="5">
      <formula>$P19=TRUE</formula>
    </cfRule>
  </conditionalFormatting>
  <conditionalFormatting sqref="G18:G30">
    <cfRule type="expression" dxfId="61" priority="4">
      <formula>$Q18=TRUE</formula>
    </cfRule>
  </conditionalFormatting>
  <conditionalFormatting sqref="H8:H30">
    <cfRule type="expression" dxfId="59" priority="3">
      <formula>$R8=TRUE</formula>
    </cfRule>
  </conditionalFormatting>
  <conditionalFormatting sqref="I8:I30">
    <cfRule type="expression" dxfId="56" priority="2">
      <formula>$S8=TRUE</formula>
    </cfRule>
  </conditionalFormatting>
  <conditionalFormatting sqref="J8:J30">
    <cfRule type="expression" dxfId="53" priority="1">
      <formula>$T8=TRUE</formula>
    </cfRule>
  </conditionalFormatting>
  <dataValidations xWindow="851" yWindow="412" count="7">
    <dataValidation allowBlank="1" showInputMessage="1" showErrorMessage="1" prompt="Enter the current sitewide PTE in tpy" sqref="L6:T6" xr:uid="{0FB16A69-A120-4E05-9D7B-5139127F965E}"/>
    <dataValidation allowBlank="1" showInputMessage="1" showErrorMessage="1" prompt="Enter the baseline years" sqref="L7:T7" xr:uid="{E05A9890-F913-4B07-99A3-FABECD8B9130}"/>
    <dataValidation allowBlank="1" showInputMessage="1" showErrorMessage="1" prompt="Enter the baseline emission rate" sqref="T21 S24:S30 T26:T30 S8:S21 L21:L30 R8:R30 L18:M20 M22:Q30 Q18:Q20 T8:T17 N19:P20" xr:uid="{CA72293B-57E0-452E-BAC1-BD9C1353FD41}"/>
    <dataValidation allowBlank="1" showErrorMessage="1" prompt="Enter the current sitewide PTE in tpy" sqref="B6:J6" xr:uid="{59193DF8-A0D7-4703-BFB7-308A3419E549}"/>
    <dataValidation allowBlank="1" showErrorMessage="1" prompt="Enter the baseline years" sqref="B7:J7" xr:uid="{620EFB19-1A0B-4062-8BEE-F33148B056E4}"/>
    <dataValidation allowBlank="1" showErrorMessage="1" prompt="Enter the baseline emission rate" sqref="H9:J9 H10:J10 H11:J11 H12:J12 H13:J13 H14:J14 H15:J15 H16:J16 H17:J17 B26:J26 B18:C18 G18:I18 B19:I19 B20:I20 H21:I21 B22:H22 B23 C23 D23 E23 F23 G23 H23 B24:H24 B25:H25 B27:J27 B28:J28 B29:J29 B30:J30 H8:J8" xr:uid="{DD5FA0E0-A90B-448C-AE56-5DC0B27058EA}"/>
    <dataValidation allowBlank="1" showErrorMessage="1" sqref="I23" xr:uid="{1B17F842-D96F-46F8-81CE-8FE12C5926EF}"/>
  </dataValidations>
  <printOptions horizontalCentered="1"/>
  <pageMargins left="0.7" right="0.7" top="0.75" bottom="0.75" header="0.3" footer="0.3"/>
  <pageSetup scale="60" orientation="landscape" r:id="rId1"/>
  <headerFooter>
    <oddHeader>&amp;C&amp;"Calibri,Regular"Marine Loading RAP Application</oddHeader>
    <oddFooter>&amp;L&amp;"Calibri,Regular"Version 1.0&amp;C&amp;"Calibri,Regular"Sheet: &amp;A&amp;R&amp;"Calibri,Regular"Page &amp;P</oddFooter>
  </headerFooter>
  <extLst>
    <ext xmlns:x14="http://schemas.microsoft.com/office/spreadsheetml/2009/9/main" uri="{78C0D931-6437-407d-A8EE-F0AAD7539E65}">
      <x14:conditionalFormattings>
        <x14:conditionalFormatting xmlns:xm="http://schemas.microsoft.com/office/excel/2006/main">
          <x14:cfRule type="expression" priority="73" id="{DF1B037A-3F19-4668-8A2C-DEE51ED88689}">
            <xm:f>'PI-1-MarineLoading'!$D$80="yes"</xm:f>
            <x14:dxf>
              <numFmt numFmtId="164" formatCode=";;;"/>
              <fill>
                <patternFill>
                  <bgColor theme="0" tint="-0.499984740745262"/>
                </patternFill>
              </fill>
            </x14:dxf>
          </x14:cfRule>
          <xm:sqref>A5:J31 L5:T30 A1:A4</xm:sqref>
        </x14:conditionalFormatting>
        <x14:conditionalFormatting xmlns:xm="http://schemas.microsoft.com/office/excel/2006/main">
          <x14:cfRule type="expression" priority="37" id="{FB744B4B-E1DA-449E-A709-03FF17D8FB9D}">
            <xm:f>EmissionSummary!$C$44=""</xm:f>
            <x14:dxf>
              <numFmt numFmtId="164" formatCode=";;;"/>
              <fill>
                <patternFill>
                  <bgColor theme="0" tint="-0.499984740745262"/>
                </patternFill>
              </fill>
            </x14:dxf>
          </x14:cfRule>
          <xm:sqref>A8:J8 R9:T12</xm:sqref>
        </x14:conditionalFormatting>
        <x14:conditionalFormatting xmlns:xm="http://schemas.microsoft.com/office/excel/2006/main">
          <x14:cfRule type="expression" priority="36" id="{41C7511C-5C99-4D06-9356-B9E35927809A}">
            <xm:f>EmissionSummary!$C$47=""</xm:f>
            <x14:dxf>
              <numFmt numFmtId="164" formatCode=";;;"/>
              <fill>
                <patternFill>
                  <bgColor theme="0" tint="-0.499984740745262"/>
                </patternFill>
              </fill>
            </x14:dxf>
          </x14:cfRule>
          <xm:sqref>A9:J9</xm:sqref>
        </x14:conditionalFormatting>
        <x14:conditionalFormatting xmlns:xm="http://schemas.microsoft.com/office/excel/2006/main">
          <x14:cfRule type="expression" priority="35" id="{33A94D49-DBB4-41BA-99C2-6B53E408D2A9}">
            <xm:f>EmissionSummary!$C$50=""</xm:f>
            <x14:dxf>
              <numFmt numFmtId="164" formatCode=";;;"/>
              <fill>
                <patternFill>
                  <bgColor theme="0" tint="-0.499984740745262"/>
                </patternFill>
              </fill>
            </x14:dxf>
          </x14:cfRule>
          <xm:sqref>A10:J10 L10:Q10 S10:T10 R11:T11</xm:sqref>
        </x14:conditionalFormatting>
        <x14:conditionalFormatting xmlns:xm="http://schemas.microsoft.com/office/excel/2006/main">
          <x14:cfRule type="expression" priority="34" id="{52728DAB-E482-4057-9F5C-D2FE70FCF521}">
            <xm:f>EmissionSummary!$C$53=""</xm:f>
            <x14:dxf>
              <numFmt numFmtId="164" formatCode=";;;"/>
              <fill>
                <patternFill>
                  <bgColor theme="0" tint="-0.499984740745262"/>
                </patternFill>
              </fill>
            </x14:dxf>
          </x14:cfRule>
          <xm:sqref>A11:J11 L11:Q11 S11:T11 R12:T12</xm:sqref>
        </x14:conditionalFormatting>
        <x14:conditionalFormatting xmlns:xm="http://schemas.microsoft.com/office/excel/2006/main">
          <x14:cfRule type="expression" priority="33" id="{292B598A-8AB1-4663-982A-FB15D623F8E5}">
            <xm:f>EmissionSummary!$C$56=""</xm:f>
            <x14:dxf>
              <numFmt numFmtId="164" formatCode=";;;"/>
              <fill>
                <patternFill>
                  <bgColor theme="0" tint="-0.499984740745262"/>
                </patternFill>
              </fill>
            </x14:dxf>
          </x14:cfRule>
          <xm:sqref>A12:J12</xm:sqref>
        </x14:conditionalFormatting>
        <x14:conditionalFormatting xmlns:xm="http://schemas.microsoft.com/office/excel/2006/main">
          <x14:cfRule type="expression" priority="32" id="{AA39F9D4-3452-41BA-8038-EF43382167C0}">
            <xm:f>EmissionSummary!$C59=""</xm:f>
            <x14:dxf>
              <numFmt numFmtId="164" formatCode=";;;"/>
              <fill>
                <patternFill>
                  <bgColor theme="0" tint="-0.499984740745262"/>
                </patternFill>
              </fill>
            </x14:dxf>
          </x14:cfRule>
          <xm:sqref>A13:J30 L13:T30</xm:sqref>
        </x14:conditionalFormatting>
        <x14:conditionalFormatting xmlns:xm="http://schemas.microsoft.com/office/excel/2006/main">
          <x14:cfRule type="expression" priority="71" id="{5B92CB81-8656-4A98-8234-69A5A9BAC29D}">
            <xm:f>AND($B$6&lt;&gt;"",$B$6&lt;EmissionSummary!$D$77)</xm:f>
            <x14:dxf>
              <fill>
                <patternFill>
                  <bgColor rgb="FFE6B8B7"/>
                </patternFill>
              </fill>
            </x14:dxf>
          </x14:cfRule>
          <xm:sqref>B6</xm:sqref>
        </x14:conditionalFormatting>
        <x14:conditionalFormatting xmlns:xm="http://schemas.microsoft.com/office/excel/2006/main">
          <x14:cfRule type="expression" priority="70" id="{E50AC468-4EAC-4561-AF28-AF4F79260361}">
            <xm:f>AND($C$6&lt;&gt;"",$C$6&lt;EmissionSummary!$F$77)</xm:f>
            <x14:dxf>
              <fill>
                <patternFill>
                  <bgColor rgb="FFE6B8B7"/>
                </patternFill>
              </fill>
            </x14:dxf>
          </x14:cfRule>
          <xm:sqref>C6</xm:sqref>
        </x14:conditionalFormatting>
        <x14:conditionalFormatting xmlns:xm="http://schemas.microsoft.com/office/excel/2006/main">
          <x14:cfRule type="expression" priority="69" id="{D0DE8D71-AE58-4A33-AD72-957F1771FAEB}">
            <xm:f>AND($D$6&lt;&gt;"",$D$6&lt;EmissionSummary!$H$77)</xm:f>
            <x14:dxf>
              <fill>
                <patternFill>
                  <bgColor rgb="FFE6B8B7"/>
                </patternFill>
              </fill>
            </x14:dxf>
          </x14:cfRule>
          <xm:sqref>D6</xm:sqref>
        </x14:conditionalFormatting>
        <x14:conditionalFormatting xmlns:xm="http://schemas.microsoft.com/office/excel/2006/main">
          <x14:cfRule type="expression" priority="68" id="{9D56FD6B-5ED7-43C7-8BA7-63558F22F8B2}">
            <xm:f>AND($E$6&lt;&gt;"",$E$6&lt;EmissionSummary!$J$77)</xm:f>
            <x14:dxf>
              <fill>
                <patternFill>
                  <bgColor rgb="FFE6B8B7"/>
                </patternFill>
              </fill>
            </x14:dxf>
          </x14:cfRule>
          <xm:sqref>E6</xm:sqref>
        </x14:conditionalFormatting>
        <x14:conditionalFormatting xmlns:xm="http://schemas.microsoft.com/office/excel/2006/main">
          <x14:cfRule type="expression" priority="67" id="{EC752B71-B01F-4C83-BDCF-DEBC9C037781}">
            <xm:f>AND($F$6&lt;&gt;"",$F$6&lt;EmissionSummary!$L$77)</xm:f>
            <x14:dxf>
              <fill>
                <patternFill>
                  <bgColor rgb="FFE6B8B7"/>
                </patternFill>
              </fill>
            </x14:dxf>
          </x14:cfRule>
          <xm:sqref>F6</xm:sqref>
        </x14:conditionalFormatting>
        <x14:conditionalFormatting xmlns:xm="http://schemas.microsoft.com/office/excel/2006/main">
          <x14:cfRule type="expression" priority="66" id="{812AF9F6-41E1-4C84-B0FB-A34604F3F510}">
            <xm:f>AND($G$6&lt;&gt;"",$G$6&lt;EmissionSummary!$N$77)</xm:f>
            <x14:dxf>
              <fill>
                <patternFill>
                  <bgColor rgb="FFE6B8B7"/>
                </patternFill>
              </fill>
            </x14:dxf>
          </x14:cfRule>
          <xm:sqref>G6</xm:sqref>
        </x14:conditionalFormatting>
        <x14:conditionalFormatting xmlns:xm="http://schemas.microsoft.com/office/excel/2006/main">
          <x14:cfRule type="expression" priority="65" id="{FB3E50FA-BDB9-4A83-B3DB-90EE23784668}">
            <xm:f>AND($H$6&lt;&gt;"",$H$6&lt;EmissionSummary!$P$77)</xm:f>
            <x14:dxf>
              <fill>
                <patternFill>
                  <bgColor rgb="FFE6B8B7"/>
                </patternFill>
              </fill>
            </x14:dxf>
          </x14:cfRule>
          <xm:sqref>H6</xm:sqref>
        </x14:conditionalFormatting>
        <x14:conditionalFormatting xmlns:xm="http://schemas.microsoft.com/office/excel/2006/main">
          <x14:cfRule type="expression" priority="64" id="{2E2FDA4C-6560-4409-89C2-52867F775CCC}">
            <xm:f>AND($I$6&lt;&gt;"",$I$6&lt;EmissionSummary!$R$77)</xm:f>
            <x14:dxf>
              <fill>
                <patternFill>
                  <bgColor rgb="FFE6B8B7"/>
                </patternFill>
              </fill>
            </x14:dxf>
          </x14:cfRule>
          <xm:sqref>I6</xm:sqref>
        </x14:conditionalFormatting>
        <x14:conditionalFormatting xmlns:xm="http://schemas.microsoft.com/office/excel/2006/main">
          <x14:cfRule type="expression" priority="30" id="{F8D1C31C-451E-4841-8BAC-D346BF4BCC7F}">
            <xm:f>$I$8&gt;EmissionSummary!$R$44+EmissionSummary!$R$45+EmissionSummary!$R$46</xm:f>
            <x14:dxf>
              <fill>
                <patternFill>
                  <bgColor rgb="FFFAB8B7"/>
                </patternFill>
              </fill>
            </x14:dxf>
          </x14:cfRule>
          <xm:sqref>I8</xm:sqref>
        </x14:conditionalFormatting>
        <x14:conditionalFormatting xmlns:xm="http://schemas.microsoft.com/office/excel/2006/main">
          <x14:cfRule type="expression" priority="63" id="{142B1710-B59A-4ABD-9A64-76F186AB8764}">
            <xm:f>AND($J$6&lt;&gt;"",$J$6&lt;EmissionSummary!$T$77)</xm:f>
            <x14:dxf>
              <fill>
                <patternFill>
                  <bgColor rgb="FFE6B8B7"/>
                </patternFill>
              </fill>
            </x14:dxf>
          </x14:cfRule>
          <xm:sqref>J6</xm:sqref>
        </x14:conditionalFormatting>
        <x14:conditionalFormatting xmlns:xm="http://schemas.microsoft.com/office/excel/2006/main">
          <x14:cfRule type="expression" priority="29" id="{CFEB4D80-C94B-405A-89EF-EE5923109C57}">
            <xm:f>$J$8&gt;EmissionSummary!$T$44+EmissionSummary!$T$45+EmissionSummary!$T$46</xm:f>
            <x14:dxf>
              <fill>
                <patternFill>
                  <bgColor rgb="FFFAB8B7"/>
                </patternFill>
              </fill>
            </x14:dxf>
          </x14:cfRule>
          <xm:sqref>J8</xm:sqref>
        </x14:conditionalFormatting>
        <x14:conditionalFormatting xmlns:xm="http://schemas.microsoft.com/office/excel/2006/main">
          <x14:cfRule type="expression" priority="27" id="{3D0687BB-7303-4953-98D0-F9243717314C}">
            <xm:f>AND($B$6&lt;&gt;"",$B$6&lt;EmissionSummary!$D$77)</xm:f>
            <x14:dxf>
              <fill>
                <patternFill>
                  <bgColor rgb="FFE6B8B7"/>
                </patternFill>
              </fill>
            </x14:dxf>
          </x14:cfRule>
          <xm:sqref>L6</xm:sqref>
        </x14:conditionalFormatting>
        <x14:conditionalFormatting xmlns:xm="http://schemas.microsoft.com/office/excel/2006/main">
          <x14:cfRule type="expression" priority="18" id="{40C02276-7858-465A-BF74-536E97542B9D}">
            <xm:f>EmissionSummary!$C$44=""</xm:f>
            <x14:dxf>
              <numFmt numFmtId="164" formatCode=";;;"/>
              <fill>
                <patternFill>
                  <bgColor theme="0" tint="-0.499984740745262"/>
                </patternFill>
              </fill>
            </x14:dxf>
          </x14:cfRule>
          <xm:sqref>L8:T8</xm:sqref>
        </x14:conditionalFormatting>
        <x14:conditionalFormatting xmlns:xm="http://schemas.microsoft.com/office/excel/2006/main">
          <x14:cfRule type="expression" priority="17" id="{4FC173D6-A0F3-4871-9255-F3DD98413375}">
            <xm:f>EmissionSummary!$C$47=""</xm:f>
            <x14:dxf>
              <numFmt numFmtId="164" formatCode=";;;"/>
              <fill>
                <patternFill>
                  <bgColor theme="0" tint="-0.499984740745262"/>
                </patternFill>
              </fill>
            </x14:dxf>
          </x14:cfRule>
          <xm:sqref>L9:T9 R10:T12</xm:sqref>
        </x14:conditionalFormatting>
        <x14:conditionalFormatting xmlns:xm="http://schemas.microsoft.com/office/excel/2006/main">
          <x14:cfRule type="expression" priority="14" id="{3D18565D-1164-43B9-9446-AD76BBA1FC53}">
            <xm:f>EmissionSummary!$C$56=""</xm:f>
            <x14:dxf>
              <numFmt numFmtId="164" formatCode=";;;"/>
              <fill>
                <patternFill>
                  <bgColor theme="0" tint="-0.499984740745262"/>
                </patternFill>
              </fill>
            </x14:dxf>
          </x14:cfRule>
          <xm:sqref>L12:T12</xm:sqref>
        </x14:conditionalFormatting>
        <x14:conditionalFormatting xmlns:xm="http://schemas.microsoft.com/office/excel/2006/main">
          <x14:cfRule type="expression" priority="26" id="{F4A0D60E-7F37-4409-B4F3-7EF0729F9795}">
            <xm:f>AND($C$6&lt;&gt;"",$C$6&lt;EmissionSummary!$F$77)</xm:f>
            <x14:dxf>
              <fill>
                <patternFill>
                  <bgColor rgb="FFE6B8B7"/>
                </patternFill>
              </fill>
            </x14:dxf>
          </x14:cfRule>
          <xm:sqref>M6</xm:sqref>
        </x14:conditionalFormatting>
        <x14:conditionalFormatting xmlns:xm="http://schemas.microsoft.com/office/excel/2006/main">
          <x14:cfRule type="expression" priority="25" id="{A619B245-8927-4AEC-8E98-0C26489D770E}">
            <xm:f>AND($D$6&lt;&gt;"",$D$6&lt;EmissionSummary!$H$77)</xm:f>
            <x14:dxf>
              <fill>
                <patternFill>
                  <bgColor rgb="FFE6B8B7"/>
                </patternFill>
              </fill>
            </x14:dxf>
          </x14:cfRule>
          <xm:sqref>N6</xm:sqref>
        </x14:conditionalFormatting>
        <x14:conditionalFormatting xmlns:xm="http://schemas.microsoft.com/office/excel/2006/main">
          <x14:cfRule type="expression" priority="24" id="{F7BBA71C-0FE3-4CD7-9E46-60E8CE2D31CB}">
            <xm:f>AND($E$6&lt;&gt;"",$E$6&lt;EmissionSummary!$J$77)</xm:f>
            <x14:dxf>
              <fill>
                <patternFill>
                  <bgColor rgb="FFE6B8B7"/>
                </patternFill>
              </fill>
            </x14:dxf>
          </x14:cfRule>
          <xm:sqref>O6</xm:sqref>
        </x14:conditionalFormatting>
        <x14:conditionalFormatting xmlns:xm="http://schemas.microsoft.com/office/excel/2006/main">
          <x14:cfRule type="expression" priority="23" id="{AE3C0A4A-E3BC-484C-BCD9-C9D773A17E9F}">
            <xm:f>AND($F$6&lt;&gt;"",$F$6&lt;EmissionSummary!$L$77)</xm:f>
            <x14:dxf>
              <fill>
                <patternFill>
                  <bgColor rgb="FFE6B8B7"/>
                </patternFill>
              </fill>
            </x14:dxf>
          </x14:cfRule>
          <xm:sqref>P6</xm:sqref>
        </x14:conditionalFormatting>
        <x14:conditionalFormatting xmlns:xm="http://schemas.microsoft.com/office/excel/2006/main">
          <x14:cfRule type="expression" priority="22" id="{97B493AA-E6EC-4B9B-BDDD-5F970814A793}">
            <xm:f>AND($G$6&lt;&gt;"",$G$6&lt;EmissionSummary!$P$77)</xm:f>
            <x14:dxf>
              <fill>
                <patternFill>
                  <bgColor rgb="FFE6B8B7"/>
                </patternFill>
              </fill>
            </x14:dxf>
          </x14:cfRule>
          <xm:sqref>Q6</xm:sqref>
        </x14:conditionalFormatting>
        <x14:conditionalFormatting xmlns:xm="http://schemas.microsoft.com/office/excel/2006/main">
          <x14:cfRule type="expression" priority="21" id="{A2604ECF-AC2F-45AD-83AE-021257693C79}">
            <xm:f>AND($H$6&lt;&gt;"",$H$6&lt;EmissionSummary!$N$77)</xm:f>
            <x14:dxf>
              <fill>
                <patternFill>
                  <bgColor rgb="FFE6B8B7"/>
                </patternFill>
              </fill>
            </x14:dxf>
          </x14:cfRule>
          <xm:sqref>R6</xm:sqref>
        </x14:conditionalFormatting>
        <x14:conditionalFormatting xmlns:xm="http://schemas.microsoft.com/office/excel/2006/main">
          <x14:cfRule type="expression" priority="20" id="{1776046F-23D0-46CD-9156-403A947FCF29}">
            <xm:f>AND($I$6&lt;&gt;"",$I$6&lt;EmissionSummary!$R$77)</xm:f>
            <x14:dxf>
              <fill>
                <patternFill>
                  <bgColor rgb="FFE6B8B7"/>
                </patternFill>
              </fill>
            </x14:dxf>
          </x14:cfRule>
          <xm:sqref>S6</xm:sqref>
        </x14:conditionalFormatting>
        <x14:conditionalFormatting xmlns:xm="http://schemas.microsoft.com/office/excel/2006/main">
          <x14:cfRule type="expression" priority="19" id="{3B45C316-AB24-4A35-A811-A19F6E854851}">
            <xm:f>AND($J$6&lt;&gt;"",$J$6&lt;EmissionSummary!$T$77)</xm:f>
            <x14:dxf>
              <fill>
                <patternFill>
                  <bgColor rgb="FFE6B8B7"/>
                </patternFill>
              </fill>
            </x14:dxf>
          </x14:cfRule>
          <xm:sqref>T6</xm:sqref>
        </x14:conditionalFormatting>
      </x14:conditionalFormattings>
    </ext>
  </extLs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DBE64-39B3-47D1-8C91-1DDBB66FDECE}">
  <sheetPr codeName="Sheet38">
    <tabColor theme="8" tint="0.39997558519241921"/>
  </sheetPr>
  <dimension ref="A1:C70"/>
  <sheetViews>
    <sheetView showGridLines="0" zoomScaleNormal="100" workbookViewId="0"/>
  </sheetViews>
  <sheetFormatPr defaultColWidth="0" defaultRowHeight="14.25" zeroHeight="1" x14ac:dyDescent="0.2"/>
  <cols>
    <col min="1" max="1" width="123" customWidth="1"/>
    <col min="2" max="2" width="2.625" customWidth="1"/>
    <col min="3" max="3" width="82.125" hidden="1" customWidth="1"/>
    <col min="4" max="16384" width="9" hidden="1"/>
  </cols>
  <sheetData>
    <row r="1" spans="1:3" ht="8.25" customHeight="1" thickBot="1" x14ac:dyDescent="0.25">
      <c r="A1" s="15" t="s">
        <v>9102</v>
      </c>
    </row>
    <row r="2" spans="1:3" ht="18.75" thickBot="1" x14ac:dyDescent="0.25">
      <c r="A2" s="221" t="s">
        <v>9136</v>
      </c>
    </row>
    <row r="3" spans="1:3" ht="87" thickBot="1" x14ac:dyDescent="0.25">
      <c r="A3" s="222" t="s">
        <v>10895</v>
      </c>
    </row>
    <row r="4" spans="1:3" ht="15" thickBot="1" x14ac:dyDescent="0.25">
      <c r="A4" s="15" t="s">
        <v>1</v>
      </c>
    </row>
    <row r="5" spans="1:3" ht="15.75" thickBot="1" x14ac:dyDescent="0.25">
      <c r="A5" s="408" t="s">
        <v>165</v>
      </c>
      <c r="C5" t="s">
        <v>10545</v>
      </c>
    </row>
    <row r="6" spans="1:3" ht="30" customHeight="1" thickBot="1" x14ac:dyDescent="0.25">
      <c r="A6" s="222" t="str">
        <f>Hidden!TJ23&amp;IF(Hidden!TJ30="Yes"," Vent to a "&amp;Tank1!D22&amp;".","")&amp;IF(Hidden!TK30="Yes"," "&amp;Tank1!D23&amp;" primary seal and "&amp;Tank1!D24&amp;" secondary seal. "&amp;IF(Tank1!D6="new","Drain dry design.",""),"")</f>
        <v/>
      </c>
    </row>
    <row r="7" spans="1:3" ht="15.75" thickBot="1" x14ac:dyDescent="0.25">
      <c r="A7" s="409"/>
    </row>
    <row r="8" spans="1:3" ht="15.75" thickBot="1" x14ac:dyDescent="0.25">
      <c r="A8" s="408" t="s">
        <v>323</v>
      </c>
      <c r="C8" t="s">
        <v>10545</v>
      </c>
    </row>
    <row r="9" spans="1:3" ht="30" customHeight="1" thickBot="1" x14ac:dyDescent="0.25">
      <c r="A9" s="272" t="str">
        <f>Hidden!TJ24&amp;IF(Hidden!TJ31="Yes"," Vent to a "&amp;Tank2!D22&amp;".","")&amp;IF(Hidden!TK31="Yes"," "&amp;Tank2!D23&amp;" primary seal and "&amp;Tank2!D24&amp;" secondary seal. "&amp;IF(Tank2!D6="new","Drain dry design.",""),"")</f>
        <v/>
      </c>
    </row>
    <row r="10" spans="1:3" ht="15.75" thickBot="1" x14ac:dyDescent="0.25">
      <c r="A10" s="409"/>
    </row>
    <row r="11" spans="1:3" ht="15.75" thickBot="1" x14ac:dyDescent="0.25">
      <c r="A11" s="408" t="s">
        <v>324</v>
      </c>
      <c r="C11" t="s">
        <v>10545</v>
      </c>
    </row>
    <row r="12" spans="1:3" ht="30" customHeight="1" thickBot="1" x14ac:dyDescent="0.25">
      <c r="A12" s="272" t="str">
        <f>Hidden!TJ25&amp;IF(Hidden!TJ32="Yes"," Vent to a "&amp;Tank3!D22&amp;".","")&amp;IF(Hidden!TK32="Yes"," "&amp;Tank3!D23&amp;" primary seal and "&amp;Tank3!D24&amp;" secondary seal. "&amp;IF(Tank3!D6="new","Drain dry design.",""),"")</f>
        <v/>
      </c>
    </row>
    <row r="13" spans="1:3" ht="15.75" thickBot="1" x14ac:dyDescent="0.25">
      <c r="A13" s="409"/>
    </row>
    <row r="14" spans="1:3" ht="15.75" thickBot="1" x14ac:dyDescent="0.25">
      <c r="A14" s="408" t="s">
        <v>325</v>
      </c>
      <c r="C14" t="s">
        <v>10545</v>
      </c>
    </row>
    <row r="15" spans="1:3" ht="30" customHeight="1" thickBot="1" x14ac:dyDescent="0.25">
      <c r="A15" s="272" t="str">
        <f>Hidden!TJ26&amp;IF(Hidden!TJ33="Yes"," Vent to a "&amp;Tank4!D22&amp;".","")&amp;IF(Hidden!TK33="Yes"," "&amp;Tank4!D23&amp;" primary seal and "&amp;Tank4!D24&amp;" secondary seal. "&amp;IF(Tank4!D6="new","Drain dry design.",""),"")</f>
        <v/>
      </c>
    </row>
    <row r="16" spans="1:3" ht="15.75" thickBot="1" x14ac:dyDescent="0.25">
      <c r="A16" s="409"/>
    </row>
    <row r="17" spans="1:3" ht="15.75" thickBot="1" x14ac:dyDescent="0.25">
      <c r="A17" s="408" t="s">
        <v>10541</v>
      </c>
      <c r="C17" t="s">
        <v>10545</v>
      </c>
    </row>
    <row r="18" spans="1:3" ht="30" customHeight="1" thickBot="1" x14ac:dyDescent="0.25">
      <c r="A18" s="272" t="str">
        <f>Hidden!TJ27&amp;IF(Hidden!TJ34="Yes"," Vent to a "&amp;Tank5!D22&amp;".","")&amp;IF(Hidden!TK34="Yes"," "&amp;Tank5!D23&amp;" primary seal and "&amp;Tank5!D24&amp;" secondary seal. "&amp;IF(Tank5!D6="new","Drain dry design.",""),"")</f>
        <v/>
      </c>
    </row>
    <row r="19" spans="1:3" ht="15.75" thickBot="1" x14ac:dyDescent="0.25">
      <c r="A19" s="409"/>
    </row>
    <row r="20" spans="1:3" ht="15.75" thickBot="1" x14ac:dyDescent="0.25">
      <c r="A20" s="408" t="s">
        <v>10214</v>
      </c>
      <c r="C20" t="s">
        <v>10546</v>
      </c>
    </row>
    <row r="21" spans="1:3" ht="150" customHeight="1" thickBot="1" x14ac:dyDescent="0.25">
      <c r="A21" s="410" t="str">
        <f>Hidden!TM27</f>
        <v>Route to a control device when degassing and refilling. The control must be maintained until the VOC concentration is less than 10,000 ppmv VOC (or equivalent for non-VOCs). If there is any standing liquid within the tank, and the tank is opened to the atmosphere or ventilated, the vapor stream must be controlled until there is no standing liquid or the VOC vapor pressure is less than 0.02 psia. Route to a control device) during roof refloating if emissions from filling tanks without degassing and cleaning is &gt; 5 tpy. In this case,  if controlling through fixed roof vent, route to control device during entire tank refill. New tanks must be designed to be drain dry with connections to control vapors under a landed roof. Commence under-roof degassing within 24 hours of landing. Degas every 24 hours unless no standing liquid in tank or vapor pressure of liquid in tank has a VOC partial pressure &lt;0.02 psi.</v>
      </c>
    </row>
    <row r="22" spans="1:3" ht="15.75" thickBot="1" x14ac:dyDescent="0.25">
      <c r="A22" s="411"/>
    </row>
    <row r="23" spans="1:3" ht="15.75" thickBot="1" x14ac:dyDescent="0.25">
      <c r="A23" s="408" t="s">
        <v>10215</v>
      </c>
      <c r="C23" t="s">
        <v>10547</v>
      </c>
    </row>
    <row r="24" spans="1:3" ht="150" customHeight="1" thickBot="1" x14ac:dyDescent="0.25">
      <c r="A24" s="410" t="str">
        <f>Hidden!TM28</f>
        <v>Same as normal operation BACT requirements except as follows for fixed roof tank draining. Send liquid to a covered vessel. If there is any standing liquid within the tank, and the tank is opened to the atmosphere or ventilated,  the vapor stream must be routed to a control device until there is no standing liquid or the VOC vapor pressure is less than 0.02 psia. The control device must meet BACT.</v>
      </c>
    </row>
    <row r="25" spans="1:3" ht="15" thickBot="1" x14ac:dyDescent="0.25">
      <c r="A25" s="412" t="s">
        <v>1</v>
      </c>
    </row>
    <row r="26" spans="1:3" ht="15.75" thickBot="1" x14ac:dyDescent="0.25">
      <c r="A26" s="408" t="s">
        <v>10501</v>
      </c>
    </row>
    <row r="27" spans="1:3" ht="150" customHeight="1" thickBot="1" x14ac:dyDescent="0.25">
      <c r="A27" s="410" t="str">
        <f>Hidden!TM26</f>
        <v xml:space="preserve">Route to a control device when degassing and refilling. The control device must be maintained until the VOC concentration is less than 10,000 ppmv for VOC (or equivalent for non-VOCs). Route to a control device during entire tank refill. New tanks must be designed to be drain dry with connections to control vapors under a landed roof. Commence under-roof degassing within 24 hours of landing. Degas every 24 hours unless no standing liquid in tank or vapor pressure of liquid in tank has a VOC partial pressure &lt;0.02 psi. </v>
      </c>
    </row>
    <row r="28" spans="1:3" ht="15" thickBot="1" x14ac:dyDescent="0.25">
      <c r="A28" s="412" t="s">
        <v>1</v>
      </c>
    </row>
    <row r="29" spans="1:3" ht="15.75" thickBot="1" x14ac:dyDescent="0.25">
      <c r="A29" s="408" t="s">
        <v>9137</v>
      </c>
      <c r="C29" t="s">
        <v>10548</v>
      </c>
    </row>
    <row r="30" spans="1:3" ht="60" customHeight="1" thickBot="1" x14ac:dyDescent="0.25">
      <c r="A30" s="410" t="str">
        <f>IF(COUNTIF('Load-DrumTote'!I27:I136,"&gt;=0.5")&gt;0,Hidden!TM11,Hidden!TM10)</f>
        <v>Only submerged filling or lance fill. Good housekeeping for spills. MSS: Same as normal operations.</v>
      </c>
    </row>
    <row r="31" spans="1:3" ht="15" thickBot="1" x14ac:dyDescent="0.25">
      <c r="A31" s="412" t="s">
        <v>1</v>
      </c>
    </row>
    <row r="32" spans="1:3" ht="15.75" thickBot="1" x14ac:dyDescent="0.25">
      <c r="A32" s="408" t="s">
        <v>10543</v>
      </c>
      <c r="C32" t="s">
        <v>10548</v>
      </c>
    </row>
    <row r="33" spans="1:3" ht="60" customHeight="1" thickBot="1" x14ac:dyDescent="0.25">
      <c r="A33" s="410" t="str">
        <f>IF(AND(COUNTIF('Load-Truck'!I27:I136,"&gt;=0.5")&gt;0,'Load-Truck'!F20=100),Hidden!TM9,IF(COUNTIF('Load-Truck'!I27:I136,"&gt;=0.5")&gt;0,Hidden!TM8,Hidden!TM7))</f>
        <v>Only submerged or bottom loading. No splash loading. MSS: Same as normal operations.</v>
      </c>
    </row>
    <row r="34" spans="1:3" ht="15" thickBot="1" x14ac:dyDescent="0.25">
      <c r="A34" s="412" t="s">
        <v>1</v>
      </c>
    </row>
    <row r="35" spans="1:3" ht="15.75" thickBot="1" x14ac:dyDescent="0.25">
      <c r="A35" s="408" t="s">
        <v>10500</v>
      </c>
      <c r="C35" t="s">
        <v>10548</v>
      </c>
    </row>
    <row r="36" spans="1:3" ht="60" customHeight="1" thickBot="1" x14ac:dyDescent="0.25">
      <c r="A36" s="254" t="str">
        <f>IF(COUNTIF('Load-Rail'!I27:I136,"&gt;=0.5")&gt;0,Hidden!TM6,Hidden!TM5)</f>
        <v>Only submerged or bottom loading. No splash loading. MSS: Same as normal operations.</v>
      </c>
    </row>
    <row r="37" spans="1:3" ht="15" thickBot="1" x14ac:dyDescent="0.25">
      <c r="A37" s="412" t="s">
        <v>1</v>
      </c>
    </row>
    <row r="38" spans="1:3" ht="15.75" thickBot="1" x14ac:dyDescent="0.25">
      <c r="A38" s="408" t="s">
        <v>10542</v>
      </c>
      <c r="C38" t="s">
        <v>10548</v>
      </c>
    </row>
    <row r="39" spans="1:3" ht="60" customHeight="1" thickBot="1" x14ac:dyDescent="0.25">
      <c r="A39" s="410" t="str">
        <f>IF(OR(COUNTIF('Load-MarineBarge'!I27:I135,"&gt;=0.5")&gt;0,COUNTIF('Load-MarineShip'!I27:I136,"&gt;=0.5")&gt;0),Hidden!TM3,Hidden!TM2)</f>
        <v xml:space="preserve">All loading shall be submerged. MSS: Same as normal operations. </v>
      </c>
    </row>
    <row r="40" spans="1:3" ht="15" thickBot="1" x14ac:dyDescent="0.25">
      <c r="A40" s="412" t="s">
        <v>1</v>
      </c>
    </row>
    <row r="41" spans="1:3" ht="15.75" thickBot="1" x14ac:dyDescent="0.25">
      <c r="A41" s="408" t="s">
        <v>274</v>
      </c>
      <c r="C41" t="s">
        <v>10548</v>
      </c>
    </row>
    <row r="42" spans="1:3" ht="50.1" customHeight="1" thickBot="1" x14ac:dyDescent="0.25">
      <c r="A42" s="410" t="str">
        <f>Hidden!TM15</f>
        <v>Meet the requirements of 40 CFR § 60.18. Destruction efficiency of 0%. No flaring of halogenated compounds is allowed. A flow monitor and a  is required. NOx:  lb/MMBtu emission factor. SO2:  lb/MMBtu emission factor. CO:  lb/MMBtu emission factor. MSS: Same as normal operations.</v>
      </c>
    </row>
    <row r="43" spans="1:3" ht="15" thickBot="1" x14ac:dyDescent="0.25">
      <c r="A43" s="412" t="s">
        <v>1</v>
      </c>
    </row>
    <row r="44" spans="1:3" ht="15.75" thickBot="1" x14ac:dyDescent="0.25">
      <c r="A44" s="408" t="s">
        <v>8916</v>
      </c>
      <c r="C44" t="s">
        <v>10548</v>
      </c>
    </row>
    <row r="45" spans="1:3" ht="50.1" customHeight="1" thickBot="1" x14ac:dyDescent="0.25">
      <c r="A45" s="410" t="str">
        <f>Hidden!TM14</f>
        <v>0% destruction efficiency. Monitor temperature. Perform initial test. MSS: Same as normal operations.</v>
      </c>
    </row>
    <row r="46" spans="1:3" ht="15" thickBot="1" x14ac:dyDescent="0.25">
      <c r="A46" s="412" t="s">
        <v>1</v>
      </c>
    </row>
    <row r="47" spans="1:3" ht="15.75" thickBot="1" x14ac:dyDescent="0.25">
      <c r="A47" s="408" t="s">
        <v>9141</v>
      </c>
      <c r="C47" t="s">
        <v>10548</v>
      </c>
    </row>
    <row r="48" spans="1:3" ht="50.1" customHeight="1" thickBot="1" x14ac:dyDescent="0.25">
      <c r="A48" s="410" t="str">
        <f>Hidden!TM16</f>
        <v>0% destruction removal efficiency or  ppmv at 3% oxygen VOC exhaust concentration. Monitor chamber exit temperature and perform initial test.  Low NOx burners (0.06 lb/MMBtu or less). MSS: Same as normal operations.</v>
      </c>
    </row>
    <row r="49" spans="1:3" ht="15" thickBot="1" x14ac:dyDescent="0.25">
      <c r="A49" s="412" t="s">
        <v>1</v>
      </c>
    </row>
    <row r="50" spans="1:3" ht="15.75" thickBot="1" x14ac:dyDescent="0.25">
      <c r="A50" s="408" t="s">
        <v>282</v>
      </c>
      <c r="C50" t="s">
        <v>10548</v>
      </c>
    </row>
    <row r="51" spans="1:3" ht="50.1" customHeight="1" thickBot="1" x14ac:dyDescent="0.25">
      <c r="A51" s="410" t="str">
        <f>IF(CAS!D18="non=regenerative",Hidden!TM13,Hidden!TM12)</f>
        <v>Minimum of two carbon canisters in parallel. CEMS on the carbon bed outlet vent(s), monitor for vacuum during regeneration. Breakthrough concentration of  ppm. Automatic alarm if breakthrough is approached; automatic shutdown if breakthrough occurs. MSS: Same as normal operations.</v>
      </c>
    </row>
    <row r="52" spans="1:3" ht="14.25" customHeight="1" thickBot="1" x14ac:dyDescent="0.25">
      <c r="A52" s="412" t="s">
        <v>1</v>
      </c>
    </row>
    <row r="53" spans="1:3" ht="14.25" customHeight="1" thickBot="1" x14ac:dyDescent="0.25">
      <c r="A53" s="408" t="s">
        <v>9199</v>
      </c>
      <c r="C53" t="s">
        <v>10548</v>
      </c>
    </row>
    <row r="54" spans="1:3" ht="60" customHeight="1" thickBot="1" x14ac:dyDescent="0.25">
      <c r="A54" s="410" t="str">
        <f>Hidden!TM18</f>
        <v>Meet the requirements of 40 CFR Part 60, Subpart IIII. Fire ultra-low sulfur diesel fuel (no more than 15 ppm sulfur by weight). Limited to  hrs/yr of non-emergency operation. Will have a non-resettable runtime meter. No visible emissions leave the property. MSS: Minimize duration and occurrence of MSS activities.</v>
      </c>
    </row>
    <row r="55" spans="1:3" ht="15" thickBot="1" x14ac:dyDescent="0.25">
      <c r="A55" s="412" t="s">
        <v>1</v>
      </c>
    </row>
    <row r="56" spans="1:3" ht="15.75" thickBot="1" x14ac:dyDescent="0.25">
      <c r="A56" s="408" t="s">
        <v>9200</v>
      </c>
      <c r="C56" t="s">
        <v>10548</v>
      </c>
    </row>
    <row r="57" spans="1:3" ht="60" customHeight="1" thickBot="1" x14ac:dyDescent="0.25">
      <c r="A57" s="410" t="str">
        <f>Hidden!TM18</f>
        <v>Meet the requirements of 40 CFR Part 60, Subpart IIII. Fire ultra-low sulfur diesel fuel (no more than 15 ppm sulfur by weight). Limited to  hrs/yr of non-emergency operation. Will have a non-resettable runtime meter. No visible emissions leave the property. MSS: Minimize duration and occurrence of MSS activities.</v>
      </c>
    </row>
    <row r="58" spans="1:3" ht="15" thickBot="1" x14ac:dyDescent="0.25">
      <c r="A58" s="412" t="s">
        <v>1</v>
      </c>
    </row>
    <row r="59" spans="1:3" ht="15.75" thickBot="1" x14ac:dyDescent="0.25">
      <c r="A59" s="408" t="s">
        <v>10183</v>
      </c>
      <c r="C59" t="s">
        <v>10548</v>
      </c>
    </row>
    <row r="60" spans="1:3" ht="60" customHeight="1" thickBot="1" x14ac:dyDescent="0.25">
      <c r="A60" s="410" t="str">
        <f>IF(HeaterBoiler1!E15="boiler",Hidden!TM21,Hidden!TM19)</f>
        <v>VOC: Good combustion practices. NOx:  lb/MMBtu emission factor.  CO:  lb/MMBtu corrected to 3% O2. PM/PM10/PM2.5: Less than 5% opacity. Good combustion practices. SO2:  MSS: Minimizing the duration of these activities and operating the facility in accordance with best management practices and good air pollution control practices.</v>
      </c>
    </row>
    <row r="61" spans="1:3" ht="15" thickBot="1" x14ac:dyDescent="0.25">
      <c r="A61" s="412" t="s">
        <v>1</v>
      </c>
    </row>
    <row r="62" spans="1:3" ht="15.75" thickBot="1" x14ac:dyDescent="0.25">
      <c r="A62" s="408" t="s">
        <v>10184</v>
      </c>
      <c r="C62" t="s">
        <v>10548</v>
      </c>
    </row>
    <row r="63" spans="1:3" ht="60" customHeight="1" thickBot="1" x14ac:dyDescent="0.25">
      <c r="A63" s="410" t="str">
        <f>IF(HeaterBoiler2!E15="boiler",Hidden!TM22,Hidden!TM20)</f>
        <v>VOC: Good combustion practices. NOx:  lb/MMBtu emission factor.  CO:  lb/MMBtu corrected to 3% O2. PM/PM10/PM2.5: Less than 5% opacity. Good combustion practices. SO2:  MSS: Minimizing the duration of these activities and operating the facility in accordance with best management practices and good air pollution control practices.</v>
      </c>
    </row>
    <row r="64" spans="1:3" ht="15" thickBot="1" x14ac:dyDescent="0.25">
      <c r="A64" s="412" t="s">
        <v>1</v>
      </c>
    </row>
    <row r="65" spans="1:3" ht="15.75" thickBot="1" x14ac:dyDescent="0.25">
      <c r="A65" s="408" t="s">
        <v>10544</v>
      </c>
      <c r="C65" t="s">
        <v>10548</v>
      </c>
    </row>
    <row r="66" spans="1:3" ht="75" customHeight="1" thickBot="1" x14ac:dyDescent="0.25">
      <c r="A66" s="410" t="str">
        <f>Hidden!TM23&amp;Hidden!TM25</f>
        <v>. MSS: Depressurized to a control device or a controlled recovery system prior to venting to atmosphere, degassing, or draining liquid. All liquids from process equipment or storage vessels removed to the maximum extent practical prior to opening equipment to commence degassing and/or maintenance. Liquids drained into a closed vessel or closed liquid recovery system. For VOC partial pressure &gt; 0.50 psi, degassing conducted according to good engineering practice to ensure removal of pollutants to a control device or controlled recovery system. Facilities (excluding FINS ) degassed to VOC concentration less than 10,000 ppmv or 10% of the lower explosive limit (LEL). For emissions of approved odorous compounds (0): AVO inspection twice per shift</v>
      </c>
    </row>
    <row r="67" spans="1:3" ht="15" thickBot="1" x14ac:dyDescent="0.25">
      <c r="A67" s="412" t="s">
        <v>1</v>
      </c>
    </row>
    <row r="68" spans="1:3" ht="15.75" thickBot="1" x14ac:dyDescent="0.25">
      <c r="A68" s="408" t="str">
        <f>"MSS: "&amp;IF(AND(COUNTIF(MSS!$G$13:$G$23,"YES")&gt;0,COUNTIF(MSS!$G$25:$G$31,"YES")&gt;0),"Inherently Low-Emitting and Routine Maintenance Activities",IF(COUNTIF(MSS!$G$13:$G$23,"YES")&gt;0,"Inherently Low-Emitting Activities",IF(COUNTIF(MSS!$G$25:$G$31,"YES")&gt;0,"Routine Maintenance Activities")))</f>
        <v>MSS: FALSE</v>
      </c>
    </row>
    <row r="69" spans="1:3" ht="15" thickBot="1" x14ac:dyDescent="0.25">
      <c r="A69" s="222" t="s">
        <v>11010</v>
      </c>
    </row>
    <row r="70" spans="1:3" x14ac:dyDescent="0.2">
      <c r="A70" s="15" t="s">
        <v>130</v>
      </c>
    </row>
  </sheetData>
  <sheetProtection algorithmName="SHA-512" hashValue="ErDvwVCM8IXbEdN7l21v5S8LIcckHdIEwr8qPDHzqn5emdF/VkpK3w1zngCsraS83Ui4mUFetvrV8cB7C9cMKA==" saltValue="XLs574DZBkms/cl6caU9bQ==" spinCount="100000" sheet="1" objects="1" scenarios="1" formatColumns="0" formatRows="0"/>
  <printOptions horizontalCentered="1"/>
  <pageMargins left="0.7" right="0.7" top="0.75" bottom="0.75" header="0.3" footer="0.3"/>
  <pageSetup orientation="portrait" r:id="rId1"/>
  <headerFooter>
    <oddHeader>&amp;C&amp;"Calibri,Regular"Marine Loading RAP Application</oddHeader>
    <oddFooter>&amp;L&amp;"Calibri,Regular"Version 1.0&amp;C&amp;"Calibri,Regular"Sheet: &amp;A&amp;R&amp;"Calibri,Regular"Page &amp;P</oddFooter>
  </headerFooter>
  <extLst>
    <ext xmlns:x14="http://schemas.microsoft.com/office/spreadsheetml/2009/9/main" uri="{78C0D931-6437-407d-A8EE-F0AAD7539E65}">
      <x14:conditionalFormattings>
        <x14:conditionalFormatting xmlns:xm="http://schemas.microsoft.com/office/excel/2006/main">
          <x14:cfRule type="expression" priority="22" id="{64509D13-1AE3-4ED6-B480-D36380E099C9}">
            <xm:f>Tank1!$D$15=""</xm:f>
            <x14:dxf>
              <numFmt numFmtId="164" formatCode=";;;"/>
              <fill>
                <patternFill>
                  <bgColor theme="0" tint="-0.499984740745262"/>
                </patternFill>
              </fill>
            </x14:dxf>
          </x14:cfRule>
          <xm:sqref>A5:A6</xm:sqref>
        </x14:conditionalFormatting>
        <x14:conditionalFormatting xmlns:xm="http://schemas.microsoft.com/office/excel/2006/main">
          <x14:cfRule type="expression" priority="21" id="{4BFF884E-F799-483B-946C-39FC19E28C6A}">
            <xm:f>Tank2!$D$15=""</xm:f>
            <x14:dxf>
              <numFmt numFmtId="164" formatCode=";;;"/>
              <fill>
                <patternFill>
                  <bgColor theme="0" tint="-0.499984740745262"/>
                </patternFill>
              </fill>
            </x14:dxf>
          </x14:cfRule>
          <xm:sqref>A8:A9</xm:sqref>
        </x14:conditionalFormatting>
        <x14:conditionalFormatting xmlns:xm="http://schemas.microsoft.com/office/excel/2006/main">
          <x14:cfRule type="expression" priority="20" id="{F5789971-F778-43D7-B9C0-8D39FB52D9AF}">
            <xm:f>Tank3!$D$15=""</xm:f>
            <x14:dxf>
              <numFmt numFmtId="164" formatCode=";;;"/>
              <fill>
                <patternFill>
                  <bgColor theme="0" tint="-0.499984740745262"/>
                </patternFill>
              </fill>
            </x14:dxf>
          </x14:cfRule>
          <xm:sqref>A11:A12</xm:sqref>
        </x14:conditionalFormatting>
        <x14:conditionalFormatting xmlns:xm="http://schemas.microsoft.com/office/excel/2006/main">
          <x14:cfRule type="expression" priority="19" id="{1CE30A4A-1091-4CEB-BA61-D405F4BC3B87}">
            <xm:f>Tank4!$D$15=""</xm:f>
            <x14:dxf>
              <numFmt numFmtId="164" formatCode=";;;"/>
              <fill>
                <patternFill>
                  <bgColor theme="0" tint="-0.499984740745262"/>
                </patternFill>
              </fill>
            </x14:dxf>
          </x14:cfRule>
          <xm:sqref>A14:A15</xm:sqref>
        </x14:conditionalFormatting>
        <x14:conditionalFormatting xmlns:xm="http://schemas.microsoft.com/office/excel/2006/main">
          <x14:cfRule type="expression" priority="18" id="{466CEA81-3515-422B-BDBF-76B9DA412152}">
            <xm:f>Tank5!$D$15=""</xm:f>
            <x14:dxf>
              <numFmt numFmtId="164" formatCode=";;;"/>
              <fill>
                <patternFill>
                  <bgColor theme="0" tint="-0.499984740745262"/>
                </patternFill>
              </fill>
            </x14:dxf>
          </x14:cfRule>
          <xm:sqref>A17:A18</xm:sqref>
        </x14:conditionalFormatting>
        <x14:conditionalFormatting xmlns:xm="http://schemas.microsoft.com/office/excel/2006/main">
          <x14:cfRule type="expression" priority="17" id="{11B0AF9A-0AEA-473E-9580-F5D9BFB6FBE7}">
            <xm:f>TankMSS!$C$20=""</xm:f>
            <x14:dxf>
              <numFmt numFmtId="164" formatCode=";;;"/>
              <fill>
                <patternFill>
                  <bgColor theme="0" tint="-0.499984740745262"/>
                </patternFill>
              </fill>
            </x14:dxf>
          </x14:cfRule>
          <xm:sqref>A20:A21</xm:sqref>
        </x14:conditionalFormatting>
        <x14:conditionalFormatting xmlns:xm="http://schemas.microsoft.com/office/excel/2006/main">
          <x14:cfRule type="expression" priority="16" id="{FFF8F8E8-0551-406F-8BF7-59ABF0BDAE88}">
            <xm:f>TankMSS!$C$114=""</xm:f>
            <x14:dxf>
              <numFmt numFmtId="164" formatCode=";;;"/>
              <fill>
                <patternFill>
                  <bgColor theme="0" tint="-0.499984740745262"/>
                </patternFill>
              </fill>
            </x14:dxf>
          </x14:cfRule>
          <xm:sqref>A23:A24</xm:sqref>
        </x14:conditionalFormatting>
        <x14:conditionalFormatting xmlns:xm="http://schemas.microsoft.com/office/excel/2006/main">
          <x14:cfRule type="expression" priority="1" id="{A20E11A8-0008-4D5E-A237-8171A8F9E2CE}">
            <xm:f>OR('PI-1-MarineLoading'!$G$115=0,ConvenienceLand!$G$6&lt;&gt;"YES",'PI-1-MarineLoading'!$G$115=(COUNTIF(Tank1!$D$18,"*FIXED*")+COUNTIF(Tank2!$D$18,"*FIXED*")+COUNTIF(Tank3!$D$18,"*FIXED*")+COUNTIF(Tank4!$D$18,"*FIXED*")+COUNTIF(Tank5!$D$18,"*FIXED*")))</xm:f>
            <x14:dxf>
              <numFmt numFmtId="164" formatCode=";;;"/>
              <fill>
                <patternFill>
                  <bgColor theme="0" tint="-0.499984740745262"/>
                </patternFill>
              </fill>
            </x14:dxf>
          </x14:cfRule>
          <xm:sqref>A26:A27</xm:sqref>
        </x14:conditionalFormatting>
        <x14:conditionalFormatting xmlns:xm="http://schemas.microsoft.com/office/excel/2006/main">
          <x14:cfRule type="expression" priority="14" id="{A07EFF89-B50E-4AEB-AD58-B7DC1F653704}">
            <xm:f>'Load-DrumTote'!$F$15=""</xm:f>
            <x14:dxf>
              <numFmt numFmtId="164" formatCode=";;;"/>
              <fill>
                <patternFill>
                  <bgColor theme="0" tint="-0.499984740745262"/>
                </patternFill>
              </fill>
            </x14:dxf>
          </x14:cfRule>
          <xm:sqref>A29:A30</xm:sqref>
        </x14:conditionalFormatting>
        <x14:conditionalFormatting xmlns:xm="http://schemas.microsoft.com/office/excel/2006/main">
          <x14:cfRule type="expression" priority="13" id="{79442B08-CDD8-4D6B-B8C5-2EEFDBCE8441}">
            <xm:f>'Load-Truck'!$F$15=""</xm:f>
            <x14:dxf>
              <numFmt numFmtId="164" formatCode=";;;"/>
              <fill>
                <patternFill>
                  <bgColor theme="0" tint="-0.499984740745262"/>
                </patternFill>
              </fill>
            </x14:dxf>
          </x14:cfRule>
          <xm:sqref>A32:A33</xm:sqref>
        </x14:conditionalFormatting>
        <x14:conditionalFormatting xmlns:xm="http://schemas.microsoft.com/office/excel/2006/main">
          <x14:cfRule type="expression" priority="12" id="{2178E538-294D-4BF1-9049-DDA6FFFC1DB7}">
            <xm:f>'Load-Rail'!$F$15=""</xm:f>
            <x14:dxf>
              <numFmt numFmtId="164" formatCode=";;;"/>
              <fill>
                <patternFill>
                  <bgColor theme="0" tint="-0.499984740745262"/>
                </patternFill>
              </fill>
            </x14:dxf>
          </x14:cfRule>
          <xm:sqref>A35:A36</xm:sqref>
        </x14:conditionalFormatting>
        <x14:conditionalFormatting xmlns:xm="http://schemas.microsoft.com/office/excel/2006/main">
          <x14:cfRule type="expression" priority="11" id="{B770D91F-710C-4FDB-847A-E516F65980B1}">
            <xm:f>AND('Load-MarineBarge'!$F$15="",'Load-MarineShip'!$F$15="")</xm:f>
            <x14:dxf>
              <numFmt numFmtId="164" formatCode=";;;"/>
              <fill>
                <patternFill>
                  <bgColor theme="0" tint="-0.499984740745262"/>
                </patternFill>
              </fill>
            </x14:dxf>
          </x14:cfRule>
          <xm:sqref>A38:A39</xm:sqref>
        </x14:conditionalFormatting>
        <x14:conditionalFormatting xmlns:xm="http://schemas.microsoft.com/office/excel/2006/main">
          <x14:cfRule type="expression" priority="10" id="{427D6BE6-6283-45DC-9A19-E87FE9841B9F}">
            <xm:f>Flare!$D$15=""</xm:f>
            <x14:dxf>
              <numFmt numFmtId="164" formatCode=";;;"/>
              <fill>
                <patternFill>
                  <bgColor theme="0" tint="-0.499984740745262"/>
                </patternFill>
              </fill>
            </x14:dxf>
          </x14:cfRule>
          <xm:sqref>A41:A42</xm:sqref>
        </x14:conditionalFormatting>
        <x14:conditionalFormatting xmlns:xm="http://schemas.microsoft.com/office/excel/2006/main">
          <x14:cfRule type="expression" priority="9" id="{1B7E27F9-6E0A-4989-982D-BF544C288D0B}">
            <xm:f>VCU!$D$15=""</xm:f>
            <x14:dxf>
              <numFmt numFmtId="164" formatCode=";;;"/>
              <fill>
                <patternFill>
                  <bgColor theme="0" tint="-0.499984740745262"/>
                </patternFill>
              </fill>
            </x14:dxf>
          </x14:cfRule>
          <xm:sqref>A44:A45</xm:sqref>
        </x14:conditionalFormatting>
        <x14:conditionalFormatting xmlns:xm="http://schemas.microsoft.com/office/excel/2006/main">
          <x14:cfRule type="expression" priority="8" id="{29631F7B-3803-4135-9A7B-67AF5EC30BB1}">
            <xm:f>VaporOxidizer!$D$15=""</xm:f>
            <x14:dxf>
              <numFmt numFmtId="164" formatCode=";;;"/>
              <fill>
                <patternFill>
                  <bgColor theme="0" tint="-0.499984740745262"/>
                </patternFill>
              </fill>
            </x14:dxf>
          </x14:cfRule>
          <xm:sqref>A47:A48</xm:sqref>
        </x14:conditionalFormatting>
        <x14:conditionalFormatting xmlns:xm="http://schemas.microsoft.com/office/excel/2006/main">
          <x14:cfRule type="expression" priority="7" id="{C174D8E2-29C0-42A4-B187-B9C6C7654A74}">
            <xm:f>CAS!$D$15=""</xm:f>
            <x14:dxf>
              <numFmt numFmtId="164" formatCode=";;;"/>
              <fill>
                <patternFill>
                  <bgColor theme="0" tint="-0.499984740745262"/>
                </patternFill>
              </fill>
            </x14:dxf>
          </x14:cfRule>
          <xm:sqref>A50:A51</xm:sqref>
        </x14:conditionalFormatting>
        <x14:conditionalFormatting xmlns:xm="http://schemas.microsoft.com/office/excel/2006/main">
          <x14:cfRule type="expression" priority="6" id="{CB897C9E-532E-4349-B392-8A98A9D9D970}">
            <xm:f>Engine1!$E$15=""</xm:f>
            <x14:dxf>
              <numFmt numFmtId="164" formatCode=";;;"/>
              <fill>
                <patternFill>
                  <bgColor theme="0" tint="-0.499984740745262"/>
                </patternFill>
              </fill>
            </x14:dxf>
          </x14:cfRule>
          <xm:sqref>A53:A54</xm:sqref>
        </x14:conditionalFormatting>
        <x14:conditionalFormatting xmlns:xm="http://schemas.microsoft.com/office/excel/2006/main">
          <x14:cfRule type="expression" priority="5" id="{3498755A-F5DE-476D-B9A5-BEE82810AE60}">
            <xm:f>Engine2!$E$15=""</xm:f>
            <x14:dxf>
              <numFmt numFmtId="164" formatCode=";;;"/>
              <fill>
                <patternFill>
                  <bgColor theme="0" tint="-0.499984740745262"/>
                </patternFill>
              </fill>
            </x14:dxf>
          </x14:cfRule>
          <xm:sqref>A56:A57</xm:sqref>
        </x14:conditionalFormatting>
        <x14:conditionalFormatting xmlns:xm="http://schemas.microsoft.com/office/excel/2006/main">
          <x14:cfRule type="expression" priority="4" id="{5CD25EEE-3775-4308-A58A-7AA5BD24E271}">
            <xm:f>HeaterBoiler1!$E$16=""</xm:f>
            <x14:dxf>
              <numFmt numFmtId="164" formatCode=";;;"/>
              <fill>
                <patternFill>
                  <bgColor theme="0" tint="-0.499984740745262"/>
                </patternFill>
              </fill>
            </x14:dxf>
          </x14:cfRule>
          <xm:sqref>A59:A60</xm:sqref>
        </x14:conditionalFormatting>
        <x14:conditionalFormatting xmlns:xm="http://schemas.microsoft.com/office/excel/2006/main">
          <x14:cfRule type="expression" priority="3" id="{61D20801-875F-4563-BA55-DF74BB254E4D}">
            <xm:f>HeaterBoiler2!$E$16=""</xm:f>
            <x14:dxf>
              <numFmt numFmtId="164" formatCode=";;;"/>
              <fill>
                <patternFill>
                  <bgColor theme="0" tint="-0.499984740745262"/>
                </patternFill>
              </fill>
            </x14:dxf>
          </x14:cfRule>
          <xm:sqref>A62:A63</xm:sqref>
        </x14:conditionalFormatting>
        <x14:conditionalFormatting xmlns:xm="http://schemas.microsoft.com/office/excel/2006/main">
          <x14:cfRule type="expression" priority="15" id="{0D089EA6-011D-4FE2-B416-F6EDE0B43242}">
            <xm:f>Fug!$F$12=""</xm:f>
            <x14:dxf>
              <numFmt numFmtId="164" formatCode=";;;"/>
              <fill>
                <patternFill>
                  <bgColor theme="0" tint="-0.499984740745262"/>
                </patternFill>
              </fill>
            </x14:dxf>
          </x14:cfRule>
          <xm:sqref>A65:A66</xm:sqref>
        </x14:conditionalFormatting>
        <x14:conditionalFormatting xmlns:xm="http://schemas.microsoft.com/office/excel/2006/main">
          <x14:cfRule type="expression" priority="2" id="{F505FE5F-90CD-4949-B384-9535DDC194F9}">
            <xm:f>OR('PI-1-MarineLoading'!$G$128&lt;&gt;"yes",MSS!$D$8="",AND(COUNTIF(MSS!$G$13:$G$23,"YES")=0,COUNTIF(MSS!$G$25:$G$31,"YES")=0))</xm:f>
            <x14:dxf>
              <numFmt numFmtId="164" formatCode=";;;"/>
              <fill>
                <patternFill>
                  <bgColor theme="0" tint="-0.499984740745262"/>
                </patternFill>
              </fill>
            </x14:dxf>
          </x14:cfRule>
          <xm:sqref>A68:A69</xm:sqref>
        </x14:conditionalFormatting>
      </x14:conditionalFormattings>
    </ext>
  </extLs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3C07F1-9E41-42C6-A72C-0A133969C034}">
  <sheetPr codeName="Sheet33">
    <tabColor rgb="FFFFDCDC"/>
  </sheetPr>
  <dimension ref="A1:AA74"/>
  <sheetViews>
    <sheetView showGridLines="0" zoomScaleNormal="100" workbookViewId="0">
      <selection sqref="A1:D1"/>
    </sheetView>
  </sheetViews>
  <sheetFormatPr defaultColWidth="0" defaultRowHeight="14.25" zeroHeight="1" x14ac:dyDescent="0.2"/>
  <cols>
    <col min="1" max="1" width="60.625" style="420" customWidth="1"/>
    <col min="2" max="4" width="30" style="420" customWidth="1"/>
    <col min="5" max="5" width="35.625" style="429" customWidth="1"/>
    <col min="6" max="6" width="2.625" style="420" customWidth="1"/>
    <col min="7" max="27" width="0" style="420" hidden="1" customWidth="1"/>
    <col min="28" max="16384" width="8.625" style="420" hidden="1"/>
  </cols>
  <sheetData>
    <row r="1" spans="1:27" ht="18.75" thickBot="1" x14ac:dyDescent="0.25">
      <c r="A1" s="1116" t="s">
        <v>339</v>
      </c>
      <c r="B1" s="1117"/>
      <c r="C1" s="1117"/>
      <c r="D1" s="1118"/>
      <c r="E1" s="419" t="s">
        <v>11029</v>
      </c>
      <c r="G1" s="421"/>
      <c r="H1" s="422"/>
      <c r="I1" s="423"/>
      <c r="J1" s="423"/>
      <c r="K1" s="423"/>
      <c r="L1" s="423"/>
      <c r="N1" s="424" t="s">
        <v>11039</v>
      </c>
      <c r="P1" s="424" t="s">
        <v>11040</v>
      </c>
      <c r="Q1" s="424"/>
      <c r="R1" s="424" t="s">
        <v>11135</v>
      </c>
      <c r="S1" s="424"/>
      <c r="T1" s="424"/>
      <c r="V1" s="424" t="s">
        <v>11041</v>
      </c>
      <c r="W1" s="424"/>
      <c r="X1" s="424"/>
      <c r="Y1" s="424"/>
      <c r="AA1" s="424" t="s">
        <v>11042</v>
      </c>
    </row>
    <row r="2" spans="1:27" ht="30" customHeight="1" x14ac:dyDescent="0.2">
      <c r="A2" s="1119" t="s">
        <v>11043</v>
      </c>
      <c r="B2" s="1120"/>
      <c r="C2" s="1120"/>
      <c r="D2" s="1121"/>
      <c r="E2" s="425" t="s">
        <v>11044</v>
      </c>
      <c r="G2" s="421"/>
      <c r="H2" s="422"/>
      <c r="I2" s="423"/>
      <c r="J2" s="423"/>
      <c r="K2" s="423"/>
      <c r="L2" s="423"/>
      <c r="N2" s="424" t="s">
        <v>11045</v>
      </c>
      <c r="P2" s="424" t="s">
        <v>9373</v>
      </c>
      <c r="Q2" s="424" t="s">
        <v>178</v>
      </c>
      <c r="R2" s="424" t="s">
        <v>11046</v>
      </c>
      <c r="S2" s="424" t="s">
        <v>11047</v>
      </c>
      <c r="T2" s="424" t="s">
        <v>11048</v>
      </c>
      <c r="V2" s="424"/>
      <c r="W2" s="424" t="s">
        <v>11049</v>
      </c>
      <c r="X2" s="424" t="s">
        <v>266</v>
      </c>
      <c r="Y2" s="424" t="s">
        <v>264</v>
      </c>
      <c r="AA2" s="424" t="s">
        <v>9108</v>
      </c>
    </row>
    <row r="3" spans="1:27" ht="90" customHeight="1" x14ac:dyDescent="0.2">
      <c r="A3" s="1122" t="s">
        <v>11050</v>
      </c>
      <c r="B3" s="1123"/>
      <c r="C3" s="1123"/>
      <c r="D3" s="1124"/>
      <c r="E3" s="426"/>
      <c r="G3" s="421"/>
      <c r="H3" s="422"/>
      <c r="I3" s="423"/>
      <c r="J3" s="423"/>
      <c r="K3" s="423"/>
      <c r="L3" s="423"/>
      <c r="N3" s="424" t="s">
        <v>11051</v>
      </c>
      <c r="P3" s="424" t="s">
        <v>11045</v>
      </c>
      <c r="Q3" s="424" t="s">
        <v>266</v>
      </c>
      <c r="R3" s="424" t="s">
        <v>11052</v>
      </c>
      <c r="S3" s="424" t="s">
        <v>11053</v>
      </c>
      <c r="T3" s="424" t="s">
        <v>11054</v>
      </c>
      <c r="V3" s="424" t="s">
        <v>11055</v>
      </c>
      <c r="W3" s="424"/>
      <c r="X3" s="424">
        <v>100</v>
      </c>
      <c r="Y3" s="424"/>
      <c r="AA3" s="424" t="s">
        <v>9109</v>
      </c>
    </row>
    <row r="4" spans="1:27" ht="90" customHeight="1" x14ac:dyDescent="0.2">
      <c r="A4" s="1122" t="s">
        <v>11056</v>
      </c>
      <c r="B4" s="1123"/>
      <c r="C4" s="1123"/>
      <c r="D4" s="1124"/>
      <c r="E4" s="426"/>
      <c r="G4" s="421"/>
      <c r="H4" s="422"/>
      <c r="I4" s="423"/>
      <c r="J4" s="423"/>
      <c r="K4" s="423"/>
      <c r="L4" s="423"/>
      <c r="N4" s="424" t="s">
        <v>11057</v>
      </c>
      <c r="P4" s="424" t="s">
        <v>11058</v>
      </c>
      <c r="Q4" s="424" t="s">
        <v>9375</v>
      </c>
      <c r="R4" s="424" t="s">
        <v>11075</v>
      </c>
      <c r="S4" s="424" t="str">
        <f>R4&amp;" nonattainment for ozone"</f>
        <v>moderate nonattainment for ozone</v>
      </c>
      <c r="T4" s="460" t="s">
        <v>11137</v>
      </c>
      <c r="V4" s="424" t="s">
        <v>11059</v>
      </c>
      <c r="W4" s="424">
        <v>100</v>
      </c>
      <c r="X4" s="424"/>
      <c r="Y4" s="424"/>
      <c r="AA4" s="424" t="s">
        <v>9110</v>
      </c>
    </row>
    <row r="5" spans="1:27" ht="17.100000000000001" customHeight="1" thickBot="1" x14ac:dyDescent="0.25">
      <c r="A5" s="1125" t="s">
        <v>9103</v>
      </c>
      <c r="B5" s="1126"/>
      <c r="C5" s="1126"/>
      <c r="D5" s="1127"/>
      <c r="E5" s="426"/>
      <c r="G5" s="421"/>
      <c r="H5" s="422"/>
      <c r="I5" s="423"/>
      <c r="J5" s="423"/>
      <c r="K5" s="423"/>
      <c r="L5" s="423"/>
      <c r="N5" s="424" t="s">
        <v>11060</v>
      </c>
      <c r="P5" s="424" t="s">
        <v>184</v>
      </c>
      <c r="Q5" s="424" t="s">
        <v>9375</v>
      </c>
      <c r="R5" s="424" t="s">
        <v>11136</v>
      </c>
      <c r="S5" s="424" t="str">
        <f t="shared" ref="S5:S13" si="0">R5&amp;" nonattainment for ozone"</f>
        <v>severe nonattainment for ozone</v>
      </c>
      <c r="T5" s="460" t="s">
        <v>11137</v>
      </c>
      <c r="V5" s="424" t="s">
        <v>11061</v>
      </c>
      <c r="W5" s="424">
        <v>100</v>
      </c>
      <c r="X5" s="424"/>
      <c r="Y5" s="424">
        <v>100</v>
      </c>
      <c r="AA5" s="424" t="s">
        <v>9111</v>
      </c>
    </row>
    <row r="6" spans="1:27" ht="15" thickBot="1" x14ac:dyDescent="0.25">
      <c r="A6" s="427"/>
      <c r="E6" s="428"/>
      <c r="G6" s="421"/>
      <c r="H6" s="422"/>
      <c r="I6" s="423"/>
      <c r="J6" s="423"/>
      <c r="K6" s="423"/>
      <c r="L6" s="423"/>
      <c r="N6" s="424" t="s">
        <v>11062</v>
      </c>
      <c r="P6" s="424" t="s">
        <v>187</v>
      </c>
      <c r="Q6" s="424" t="s">
        <v>9375</v>
      </c>
      <c r="R6" s="424" t="s">
        <v>11136</v>
      </c>
      <c r="S6" s="424" t="str">
        <f t="shared" si="0"/>
        <v>severe nonattainment for ozone</v>
      </c>
      <c r="T6" s="460" t="s">
        <v>11137</v>
      </c>
      <c r="V6" s="424" t="s">
        <v>11063</v>
      </c>
      <c r="W6" s="424">
        <v>50</v>
      </c>
      <c r="X6" s="424"/>
      <c r="Y6" s="424">
        <v>70</v>
      </c>
      <c r="AA6" s="424" t="s">
        <v>9112</v>
      </c>
    </row>
    <row r="7" spans="1:27" ht="15.75" thickBot="1" x14ac:dyDescent="0.3">
      <c r="A7" s="1114" t="s">
        <v>11030</v>
      </c>
      <c r="B7" s="1115"/>
      <c r="C7" s="429"/>
      <c r="D7" s="429"/>
      <c r="E7" s="430"/>
      <c r="G7" s="421"/>
      <c r="H7" s="422"/>
      <c r="I7" s="423"/>
      <c r="J7" s="423"/>
      <c r="K7" s="423"/>
      <c r="L7" s="423"/>
      <c r="N7" s="424" t="s">
        <v>11064</v>
      </c>
      <c r="P7" s="424" t="s">
        <v>11065</v>
      </c>
      <c r="Q7" s="424" t="s">
        <v>9375</v>
      </c>
      <c r="R7" s="424" t="s">
        <v>11136</v>
      </c>
      <c r="S7" s="424" t="str">
        <f t="shared" si="0"/>
        <v>severe nonattainment for ozone</v>
      </c>
      <c r="T7" s="460" t="s">
        <v>11137</v>
      </c>
      <c r="V7" s="424" t="s">
        <v>11066</v>
      </c>
      <c r="W7" s="424">
        <v>25</v>
      </c>
      <c r="X7" s="424"/>
      <c r="Y7" s="424"/>
      <c r="AA7" s="424" t="s">
        <v>9113</v>
      </c>
    </row>
    <row r="8" spans="1:27" ht="15" x14ac:dyDescent="0.2">
      <c r="A8" s="431" t="s">
        <v>11067</v>
      </c>
      <c r="B8" s="432" t="s">
        <v>280</v>
      </c>
      <c r="C8" s="429"/>
      <c r="D8" s="429"/>
      <c r="E8" s="430"/>
      <c r="G8" s="421"/>
      <c r="H8" s="422"/>
      <c r="I8" s="423"/>
      <c r="J8" s="423"/>
      <c r="K8" s="423"/>
      <c r="L8" s="423"/>
      <c r="N8" s="424" t="s">
        <v>11068</v>
      </c>
      <c r="P8" s="424" t="s">
        <v>11069</v>
      </c>
      <c r="Q8" s="424" t="s">
        <v>9375</v>
      </c>
      <c r="R8" s="424" t="s">
        <v>11136</v>
      </c>
      <c r="S8" s="424" t="str">
        <f t="shared" si="0"/>
        <v>severe nonattainment for ozone</v>
      </c>
      <c r="T8" s="460" t="s">
        <v>11137</v>
      </c>
      <c r="V8" s="424" t="s">
        <v>11070</v>
      </c>
      <c r="W8" s="424">
        <v>10</v>
      </c>
      <c r="X8" s="424"/>
      <c r="Y8" s="424"/>
      <c r="AA8" s="424" t="s">
        <v>9114</v>
      </c>
    </row>
    <row r="9" spans="1:27" ht="28.5" x14ac:dyDescent="0.2">
      <c r="A9" s="433" t="s">
        <v>11031</v>
      </c>
      <c r="B9" s="434"/>
      <c r="C9" s="429"/>
      <c r="D9" s="429"/>
      <c r="E9" s="430"/>
      <c r="G9" s="421"/>
      <c r="H9" s="422" t="b">
        <f>$B$9="I DISAGREE"</f>
        <v>0</v>
      </c>
      <c r="I9" s="423"/>
      <c r="J9" s="423"/>
      <c r="K9" s="423"/>
      <c r="L9" s="423"/>
      <c r="N9" s="424" t="s">
        <v>11071</v>
      </c>
      <c r="P9" s="424" t="s">
        <v>11072</v>
      </c>
      <c r="Q9" s="424" t="s">
        <v>9375</v>
      </c>
      <c r="R9" s="424" t="s">
        <v>11136</v>
      </c>
      <c r="S9" s="424" t="str">
        <f t="shared" si="0"/>
        <v>severe nonattainment for ozone</v>
      </c>
      <c r="T9" s="460" t="s">
        <v>11137</v>
      </c>
      <c r="V9" s="424" t="s">
        <v>11073</v>
      </c>
      <c r="W9" s="424"/>
      <c r="X9" s="424">
        <v>40</v>
      </c>
      <c r="Y9" s="424"/>
      <c r="AA9" s="424" t="s">
        <v>9115</v>
      </c>
    </row>
    <row r="10" spans="1:27" ht="114.95" customHeight="1" x14ac:dyDescent="0.2">
      <c r="A10" s="435" t="s">
        <v>11032</v>
      </c>
      <c r="B10" s="436"/>
      <c r="C10" s="429"/>
      <c r="D10" s="429"/>
      <c r="E10" s="430"/>
      <c r="G10" s="421"/>
      <c r="H10" s="422" t="b">
        <f>$B$10="I DISAGREE"</f>
        <v>0</v>
      </c>
      <c r="I10" s="423"/>
      <c r="J10" s="423"/>
      <c r="K10" s="423"/>
      <c r="L10" s="423"/>
      <c r="N10" s="424" t="s">
        <v>11074</v>
      </c>
      <c r="P10" s="424" t="s">
        <v>11074</v>
      </c>
      <c r="Q10" s="424" t="s">
        <v>264</v>
      </c>
      <c r="R10" s="424" t="s">
        <v>11075</v>
      </c>
      <c r="S10" s="424" t="s">
        <v>11076</v>
      </c>
      <c r="T10" s="424" t="s">
        <v>11077</v>
      </c>
      <c r="V10" s="424" t="s">
        <v>11078</v>
      </c>
      <c r="W10" s="424">
        <v>40</v>
      </c>
      <c r="X10" s="424"/>
      <c r="Y10" s="424"/>
      <c r="AA10" s="424" t="s">
        <v>9116</v>
      </c>
    </row>
    <row r="11" spans="1:27" x14ac:dyDescent="0.2">
      <c r="A11" s="435" t="s">
        <v>9105</v>
      </c>
      <c r="B11" s="436"/>
      <c r="C11" s="429"/>
      <c r="D11" s="429"/>
      <c r="E11" s="430"/>
      <c r="G11" s="421"/>
      <c r="H11" s="422"/>
      <c r="I11" s="423"/>
      <c r="J11" s="423"/>
      <c r="K11" s="423"/>
      <c r="L11" s="423"/>
      <c r="P11" s="424" t="s">
        <v>11074</v>
      </c>
      <c r="Q11" s="424" t="s">
        <v>9375</v>
      </c>
      <c r="R11" s="424" t="s">
        <v>11075</v>
      </c>
      <c r="S11" s="424" t="str">
        <f t="shared" si="0"/>
        <v>moderate nonattainment for ozone</v>
      </c>
      <c r="T11" s="424" t="s">
        <v>11079</v>
      </c>
      <c r="V11" s="424" t="s">
        <v>11080</v>
      </c>
      <c r="W11" s="424">
        <v>40</v>
      </c>
      <c r="X11" s="424"/>
      <c r="Y11" s="424">
        <v>15</v>
      </c>
      <c r="AA11" s="424" t="s">
        <v>9117</v>
      </c>
    </row>
    <row r="12" spans="1:27" ht="30" customHeight="1" x14ac:dyDescent="0.2">
      <c r="A12" s="435" t="s">
        <v>11033</v>
      </c>
      <c r="B12" s="436"/>
      <c r="C12" s="429"/>
      <c r="D12" s="429"/>
      <c r="E12" s="430"/>
      <c r="G12" s="421" t="b">
        <f>$B$11="NO"</f>
        <v>0</v>
      </c>
      <c r="H12" s="422"/>
      <c r="I12" s="423"/>
      <c r="J12" s="423"/>
      <c r="K12" s="423"/>
      <c r="L12" s="423"/>
      <c r="P12" s="424" t="s">
        <v>11081</v>
      </c>
      <c r="Q12" s="424" t="s">
        <v>9375</v>
      </c>
      <c r="R12" s="424" t="s">
        <v>11136</v>
      </c>
      <c r="S12" s="424" t="str">
        <f t="shared" si="0"/>
        <v>severe nonattainment for ozone</v>
      </c>
      <c r="T12" s="460" t="s">
        <v>11137</v>
      </c>
      <c r="V12" s="424" t="s">
        <v>11082</v>
      </c>
      <c r="W12" s="424">
        <v>5</v>
      </c>
      <c r="X12" s="424"/>
      <c r="Y12" s="424">
        <v>15</v>
      </c>
      <c r="AA12" s="424" t="s">
        <v>9118</v>
      </c>
    </row>
    <row r="13" spans="1:27" ht="60" customHeight="1" thickBot="1" x14ac:dyDescent="0.25">
      <c r="A13" s="437" t="s">
        <v>11034</v>
      </c>
      <c r="B13" s="438"/>
      <c r="C13" s="429"/>
      <c r="D13" s="429"/>
      <c r="E13" s="430"/>
      <c r="G13" s="421"/>
      <c r="H13" s="422"/>
      <c r="I13" s="423"/>
      <c r="J13" s="423"/>
      <c r="K13" s="423"/>
      <c r="L13" s="423"/>
      <c r="P13" s="424" t="s">
        <v>190</v>
      </c>
      <c r="Q13" s="424" t="s">
        <v>9375</v>
      </c>
      <c r="R13" s="424" t="s">
        <v>11136</v>
      </c>
      <c r="S13" s="424" t="str">
        <f t="shared" si="0"/>
        <v>severe nonattainment for ozone</v>
      </c>
      <c r="T13" s="460" t="s">
        <v>11137</v>
      </c>
      <c r="V13" s="424" t="s">
        <v>11083</v>
      </c>
      <c r="W13" s="424">
        <v>5</v>
      </c>
      <c r="X13" s="424"/>
      <c r="Y13" s="424"/>
      <c r="AA13" s="424" t="s">
        <v>9119</v>
      </c>
    </row>
    <row r="14" spans="1:27" ht="15" thickBot="1" x14ac:dyDescent="0.25">
      <c r="A14" s="427"/>
      <c r="E14" s="430"/>
      <c r="G14" s="421"/>
      <c r="H14" s="422"/>
      <c r="I14" s="423"/>
      <c r="J14" s="423"/>
      <c r="K14" s="423"/>
      <c r="L14" s="423"/>
      <c r="P14" s="424" t="s">
        <v>11051</v>
      </c>
      <c r="Q14" s="424" t="s">
        <v>266</v>
      </c>
      <c r="R14" s="424" t="s">
        <v>11052</v>
      </c>
      <c r="S14" s="424" t="s">
        <v>11053</v>
      </c>
      <c r="T14" s="424" t="s">
        <v>11054</v>
      </c>
      <c r="V14" s="424" t="s">
        <v>11084</v>
      </c>
      <c r="W14" s="424">
        <v>0</v>
      </c>
      <c r="X14" s="424"/>
      <c r="Y14" s="424"/>
      <c r="AA14" s="424" t="s">
        <v>9120</v>
      </c>
    </row>
    <row r="15" spans="1:27" ht="15.75" thickBot="1" x14ac:dyDescent="0.3">
      <c r="A15" s="1106" t="s">
        <v>11035</v>
      </c>
      <c r="B15" s="1107"/>
      <c r="C15" s="1107"/>
      <c r="D15" s="1107"/>
      <c r="E15" s="430"/>
      <c r="G15" s="421"/>
      <c r="H15" s="422"/>
      <c r="I15" s="442"/>
      <c r="J15" s="442"/>
      <c r="K15" s="442"/>
      <c r="L15" s="442"/>
      <c r="P15" s="424" t="s">
        <v>191</v>
      </c>
      <c r="Q15" s="424" t="s">
        <v>9375</v>
      </c>
      <c r="R15" s="424" t="s">
        <v>11136</v>
      </c>
      <c r="S15" s="424" t="str">
        <f>R15&amp;" nonattainment for ozone"</f>
        <v>severe nonattainment for ozone</v>
      </c>
      <c r="T15" s="460" t="s">
        <v>11137</v>
      </c>
      <c r="AA15" s="424" t="s">
        <v>9121</v>
      </c>
    </row>
    <row r="16" spans="1:27" ht="15" customHeight="1" x14ac:dyDescent="0.2">
      <c r="A16" s="1108" t="s">
        <v>11036</v>
      </c>
      <c r="B16" s="1109"/>
      <c r="C16" s="1109"/>
      <c r="D16" s="1109"/>
      <c r="E16" s="430"/>
      <c r="G16" s="421"/>
      <c r="H16" s="422"/>
      <c r="I16" s="442"/>
      <c r="J16" s="442" t="s">
        <v>11085</v>
      </c>
      <c r="K16" s="442" t="s">
        <v>11086</v>
      </c>
      <c r="L16" s="442" t="s">
        <v>11087</v>
      </c>
      <c r="P16" s="424" t="s">
        <v>195</v>
      </c>
      <c r="Q16" s="424" t="s">
        <v>9375</v>
      </c>
      <c r="R16" s="424" t="s">
        <v>11136</v>
      </c>
      <c r="S16" s="424" t="str">
        <f>R16&amp;" nonattainment for ozone"</f>
        <v>severe nonattainment for ozone</v>
      </c>
      <c r="T16" s="460" t="s">
        <v>11137</v>
      </c>
      <c r="AA16" s="424" t="s">
        <v>9122</v>
      </c>
    </row>
    <row r="17" spans="1:27" x14ac:dyDescent="0.2">
      <c r="A17" s="435" t="s">
        <v>11038</v>
      </c>
      <c r="B17" s="1103" t="str">
        <f t="shared" ref="B17" si="1">IF($I$17=0,"",$I$17)</f>
        <v/>
      </c>
      <c r="C17" s="1104"/>
      <c r="D17" s="1104"/>
      <c r="E17" s="430"/>
      <c r="G17" s="421"/>
      <c r="H17" s="422"/>
      <c r="I17" s="442">
        <f>'PI-1-MarineLoading'!$D$73</f>
        <v>0</v>
      </c>
      <c r="J17" s="442" t="b">
        <f>COUNTIF($P$3:$P$31,$I$17)&gt;0</f>
        <v>0</v>
      </c>
      <c r="K17" s="442" t="b">
        <f>I17="EL PASO"</f>
        <v>0</v>
      </c>
      <c r="L17" s="442" t="b">
        <f>COUNTIF($N$2:$N$9,$I$17)&gt;0</f>
        <v>0</v>
      </c>
      <c r="P17" s="424" t="s">
        <v>11057</v>
      </c>
      <c r="Q17" s="424" t="s">
        <v>266</v>
      </c>
      <c r="R17" s="424" t="s">
        <v>11052</v>
      </c>
      <c r="S17" s="424" t="s">
        <v>11053</v>
      </c>
      <c r="T17" s="424" t="s">
        <v>11088</v>
      </c>
      <c r="AA17" s="424" t="s">
        <v>9123</v>
      </c>
    </row>
    <row r="18" spans="1:27" ht="30" customHeight="1" x14ac:dyDescent="0.2">
      <c r="A18" s="435" t="str">
        <f>IF($I$17="","Select a county on PI-1-MarineLoading sheet.",IF($J$17=FALSE,"N/A",IF($K$17,"Is this facility located within the portion of this county that is designated nonattainment for PM10?","Is this facility located within the portion of this county that is designated nonattainment?")))</f>
        <v>N/A</v>
      </c>
      <c r="B18" s="1101"/>
      <c r="C18" s="1102"/>
      <c r="D18" s="1102"/>
      <c r="E18" s="430"/>
      <c r="G18" s="421" t="b">
        <f>AND($K$17=FALSE,$L$17=FALSE)</f>
        <v>1</v>
      </c>
      <c r="H18" s="422"/>
      <c r="I18" s="442"/>
      <c r="J18" s="442"/>
      <c r="K18" s="442"/>
      <c r="L18" s="442"/>
      <c r="P18" s="424" t="s">
        <v>11060</v>
      </c>
      <c r="Q18" s="424" t="s">
        <v>266</v>
      </c>
      <c r="R18" s="424" t="s">
        <v>11052</v>
      </c>
      <c r="S18" s="424" t="s">
        <v>11053</v>
      </c>
      <c r="T18" s="424" t="s">
        <v>11088</v>
      </c>
      <c r="AA18" s="424" t="s">
        <v>9124</v>
      </c>
    </row>
    <row r="19" spans="1:27" ht="30" customHeight="1" thickBot="1" x14ac:dyDescent="0.25">
      <c r="A19" s="437" t="s">
        <v>11037</v>
      </c>
      <c r="B19" s="1110" t="str">
        <f>IF($J$17=FALSE,"This project will be located in an area currently designated attainment or unclassified for all criteria pollutants and precursors. Nonattainment NSR is not required.",IF($K$17,IF($B$18="YES","This project will be located in an area that is designated marginal nonattainment for ozone as of December 30, 2021 and moderate nonattainment for PM10 as of November 6, 1991.","This project will be located in an area that is designated marginal nonattainment for ozone as of December 30, 2021."),IF(OR(AND($G$18=FALSE,$B$18="YES"),$G$18),"This project will be located in an area that is designated "&amp;INDEX($S$3:$S$31,MATCH($I$17,$P$3:$P$31,0),1)&amp;" as of "&amp;INDEX($T$3:$T$31,MATCH($I$17,$P$3:$P$31,0),1)&amp;".","This project will be located in an area currently designated attainment or unclassified for all criteria pollutants and precursors. Nonattainment NSR is not required.")))</f>
        <v>This project will be located in an area currently designated attainment or unclassified for all criteria pollutants and precursors. Nonattainment NSR is not required.</v>
      </c>
      <c r="C19" s="1100"/>
      <c r="D19" s="1100"/>
      <c r="E19" s="430"/>
      <c r="G19" s="421"/>
      <c r="H19" s="422"/>
      <c r="I19" s="442"/>
      <c r="J19" s="442"/>
      <c r="K19" s="442"/>
      <c r="L19" s="442"/>
      <c r="P19" s="424" t="s">
        <v>11089</v>
      </c>
      <c r="Q19" s="424" t="s">
        <v>9375</v>
      </c>
      <c r="R19" s="424" t="s">
        <v>11136</v>
      </c>
      <c r="S19" s="424" t="str">
        <f t="shared" ref="S19:S22" si="2">R19&amp;" nonattainment for ozone"</f>
        <v>severe nonattainment for ozone</v>
      </c>
      <c r="T19" s="460" t="s">
        <v>11137</v>
      </c>
      <c r="AA19" s="424" t="s">
        <v>9125</v>
      </c>
    </row>
    <row r="20" spans="1:27" ht="30" customHeight="1" x14ac:dyDescent="0.2">
      <c r="A20" s="1108" t="s">
        <v>11090</v>
      </c>
      <c r="B20" s="1109"/>
      <c r="C20" s="1109"/>
      <c r="D20" s="1109"/>
      <c r="E20" s="430"/>
      <c r="G20" s="421" t="b">
        <f>COUNTIF($B$19,"*UNCLASSIFIED*")&gt;0</f>
        <v>1</v>
      </c>
      <c r="H20" s="422"/>
      <c r="I20" s="442"/>
      <c r="J20" s="442"/>
      <c r="K20" s="442"/>
      <c r="L20" s="442"/>
      <c r="P20" s="424" t="s">
        <v>11091</v>
      </c>
      <c r="Q20" s="424" t="s">
        <v>9375</v>
      </c>
      <c r="R20" s="424" t="s">
        <v>11136</v>
      </c>
      <c r="S20" s="424" t="str">
        <f t="shared" si="2"/>
        <v>severe nonattainment for ozone</v>
      </c>
      <c r="T20" s="460" t="s">
        <v>11137</v>
      </c>
      <c r="AA20" s="424" t="s">
        <v>9126</v>
      </c>
    </row>
    <row r="21" spans="1:27" ht="45" customHeight="1" x14ac:dyDescent="0.2">
      <c r="A21" s="431" t="s">
        <v>11092</v>
      </c>
      <c r="B21" s="439" t="s">
        <v>11093</v>
      </c>
      <c r="C21" s="439" t="s">
        <v>9106</v>
      </c>
      <c r="D21" s="440" t="s">
        <v>11094</v>
      </c>
      <c r="E21" s="430"/>
      <c r="G21" s="421" t="b">
        <f>$G$20</f>
        <v>1</v>
      </c>
      <c r="H21" s="422"/>
      <c r="I21" s="442"/>
      <c r="J21" s="442"/>
      <c r="K21" s="442"/>
      <c r="L21" s="442"/>
      <c r="P21" s="424" t="s">
        <v>206</v>
      </c>
      <c r="Q21" s="424" t="s">
        <v>9375</v>
      </c>
      <c r="R21" s="424" t="s">
        <v>11136</v>
      </c>
      <c r="S21" s="424" t="str">
        <f t="shared" si="2"/>
        <v>severe nonattainment for ozone</v>
      </c>
      <c r="T21" s="460" t="s">
        <v>11137</v>
      </c>
      <c r="AA21" s="424" t="s">
        <v>9127</v>
      </c>
    </row>
    <row r="22" spans="1:27" ht="20.25" customHeight="1" x14ac:dyDescent="0.2">
      <c r="A22" s="435" t="s">
        <v>11095</v>
      </c>
      <c r="B22" s="447">
        <f>Baseline!B6</f>
        <v>0</v>
      </c>
      <c r="C22" s="451">
        <f>IFERROR(IF($K$17,100,INDEX($W$3:$W$14,MATCH("MAJOR SOURCE - "&amp;INDEX($R$3:$R$31,MATCH($I$17,$P$3:$P$31,0),1),$V$3:$V$14,0),1)),0)</f>
        <v>0</v>
      </c>
      <c r="D22" s="452" t="str">
        <f>IF($B22&gt;=$C22,"Yes","No")</f>
        <v>Yes</v>
      </c>
      <c r="E22" s="430"/>
      <c r="G22" s="421" t="b">
        <f>IF($J$17,IF($K$17=FALSE,INDEX($Q$3:$Q$31,MATCH($I$17,$P$3:$P$31,0))&lt;&gt;"ozone",FALSE),NOT(FALSE))</f>
        <v>1</v>
      </c>
      <c r="H22" s="422"/>
      <c r="I22" s="442">
        <f>IF($G22=FALSE,IF($D22="yes","major","minor"),0)</f>
        <v>0</v>
      </c>
      <c r="J22" s="442"/>
      <c r="K22" s="442"/>
      <c r="L22" s="442"/>
      <c r="P22" s="424" t="s">
        <v>209</v>
      </c>
      <c r="Q22" s="424" t="s">
        <v>9375</v>
      </c>
      <c r="R22" s="424" t="s">
        <v>11136</v>
      </c>
      <c r="S22" s="424" t="str">
        <f t="shared" si="2"/>
        <v>severe nonattainment for ozone</v>
      </c>
      <c r="T22" s="460" t="s">
        <v>11137</v>
      </c>
      <c r="AA22" s="424" t="s">
        <v>9128</v>
      </c>
    </row>
    <row r="23" spans="1:27" ht="20.25" customHeight="1" x14ac:dyDescent="0.2">
      <c r="A23" s="435" t="s">
        <v>9107</v>
      </c>
      <c r="B23" s="447">
        <f>Baseline!H6</f>
        <v>0</v>
      </c>
      <c r="C23" s="451">
        <f>$C$22</f>
        <v>0</v>
      </c>
      <c r="D23" s="452" t="str">
        <f t="shared" ref="D23:D25" si="3">IF($B23&gt;=$C23,"Yes","No")</f>
        <v>Yes</v>
      </c>
      <c r="E23" s="430"/>
      <c r="G23" s="421" t="b">
        <f>$G$22</f>
        <v>1</v>
      </c>
      <c r="H23" s="422"/>
      <c r="I23" s="442">
        <f>IF($G23=FALSE,IF($D23="yes","major","minor"),0)</f>
        <v>0</v>
      </c>
      <c r="J23" s="442"/>
      <c r="K23" s="442"/>
      <c r="L23" s="442"/>
      <c r="P23" s="424" t="s">
        <v>11062</v>
      </c>
      <c r="Q23" s="424" t="s">
        <v>266</v>
      </c>
      <c r="R23" s="424" t="s">
        <v>11052</v>
      </c>
      <c r="S23" s="424" t="s">
        <v>11053</v>
      </c>
      <c r="T23" s="424" t="s">
        <v>11088</v>
      </c>
      <c r="AA23" s="424" t="s">
        <v>9129</v>
      </c>
    </row>
    <row r="24" spans="1:27" ht="20.25" customHeight="1" x14ac:dyDescent="0.2">
      <c r="A24" s="435" t="s">
        <v>9057</v>
      </c>
      <c r="B24" s="447">
        <f>Baseline!E6</f>
        <v>0</v>
      </c>
      <c r="C24" s="451">
        <f>IFERROR(INDEX($Y$3:$Y$14,MATCH("MAJOR SOURCE - "&amp;INDEX($R$3:$R$31,MATCH($I$17,$P$3:$P$31,0),1),$V$3:$V$14,0),1),0)</f>
        <v>0</v>
      </c>
      <c r="D24" s="452" t="str">
        <f t="shared" si="3"/>
        <v>Yes</v>
      </c>
      <c r="E24" s="430"/>
      <c r="G24" s="421" t="b">
        <f>IF($K$17=FALSE,TRUE,$B$18="NO")</f>
        <v>1</v>
      </c>
      <c r="H24" s="422"/>
      <c r="I24" s="442">
        <f>IF($G24=FALSE,IF($D24="yes","major","minor"),0)</f>
        <v>0</v>
      </c>
      <c r="J24" s="442"/>
      <c r="K24" s="442"/>
      <c r="L24" s="442"/>
      <c r="P24" s="424" t="s">
        <v>11064</v>
      </c>
      <c r="Q24" s="424" t="s">
        <v>266</v>
      </c>
      <c r="R24" s="424" t="s">
        <v>11052</v>
      </c>
      <c r="S24" s="424" t="s">
        <v>11053</v>
      </c>
      <c r="T24" s="424" t="s">
        <v>11054</v>
      </c>
      <c r="AA24" s="424" t="s">
        <v>9130</v>
      </c>
    </row>
    <row r="25" spans="1:27" ht="20.25" customHeight="1" x14ac:dyDescent="0.2">
      <c r="A25" s="453" t="s">
        <v>9060</v>
      </c>
      <c r="B25" s="448">
        <f>Baseline!G6</f>
        <v>0</v>
      </c>
      <c r="C25" s="454">
        <f>IFERROR(INDEX($X$3:$X$14,MATCH("MAJOR SOURCE - "&amp;INDEX($R$3:$R$31,MATCH($I$17,$P$3:$P$31,0),1),$V$3:$V$14,0),1),0)</f>
        <v>0</v>
      </c>
      <c r="D25" s="455" t="str">
        <f t="shared" si="3"/>
        <v>Yes</v>
      </c>
      <c r="E25" s="430"/>
      <c r="G25" s="421" t="b">
        <f>IF($L$17=FALSE,TRUE,$B$18="NO")</f>
        <v>1</v>
      </c>
      <c r="H25" s="422"/>
      <c r="I25" s="442">
        <f>IF($G25=FALSE,IF($D25="yes","major","minor"),0)</f>
        <v>0</v>
      </c>
      <c r="J25" s="442"/>
      <c r="K25" s="442"/>
      <c r="L25" s="442"/>
      <c r="P25" s="424" t="s">
        <v>11096</v>
      </c>
      <c r="Q25" s="424" t="s">
        <v>9375</v>
      </c>
      <c r="R25" s="424" t="s">
        <v>11136</v>
      </c>
      <c r="S25" s="424" t="str">
        <f t="shared" ref="S25:S26" si="4">R25&amp;" nonattainment for ozone"</f>
        <v>severe nonattainment for ozone</v>
      </c>
      <c r="T25" s="460" t="s">
        <v>11137</v>
      </c>
      <c r="AA25" s="424" t="s">
        <v>9131</v>
      </c>
    </row>
    <row r="26" spans="1:27" ht="20.100000000000001" customHeight="1" thickBot="1" x14ac:dyDescent="0.25">
      <c r="A26" s="1099" t="str">
        <f>"Step 2 Determination: "&amp;IF($I$26&lt;&gt;"MIX",IF($I$26="ALL MINOR","The site is currently a minor source for all evaluated criteria pollutants and precursors.","This site is currently a major source for all evaluated criteria pollutants and precursors."),"This site is currently a minor source for some evaluated criteria pollutants and precursors and a major source for other evaluated criteria pollutants and precursors.")</f>
        <v>Step 2 Determination: The site is currently a minor source for all evaluated criteria pollutants and precursors.</v>
      </c>
      <c r="B26" s="1100"/>
      <c r="C26" s="1100"/>
      <c r="D26" s="1100"/>
      <c r="E26" s="430"/>
      <c r="G26" s="421" t="b">
        <f>$G$20</f>
        <v>1</v>
      </c>
      <c r="H26" s="422"/>
      <c r="I26" s="442" t="str">
        <f>IF(COUNTIF($G$22:$G$25,FALSE)=COUNTIF($I$22:$I$25,"*MINOR*"),"ALL MINOR",IF(COUNTIF($G$22:$G$25,FALSE)=COUNTIF($I$22:$I$25,"*MAJOR*"),"ALL MAJOR",IF(COUNTIF($I$22:$I$25,"*MAJOR*")+COUNTIF($I$22:$I$25,"*MINOR*")&gt;0,"MIX",FALSE)))</f>
        <v>ALL MINOR</v>
      </c>
      <c r="J26" s="442"/>
      <c r="K26" s="442"/>
      <c r="L26" s="442"/>
      <c r="P26" s="424" t="s">
        <v>11097</v>
      </c>
      <c r="Q26" s="424" t="s">
        <v>9375</v>
      </c>
      <c r="R26" s="424" t="s">
        <v>11136</v>
      </c>
      <c r="S26" s="424" t="str">
        <f t="shared" si="4"/>
        <v>severe nonattainment for ozone</v>
      </c>
      <c r="T26" s="460" t="s">
        <v>11137</v>
      </c>
      <c r="AA26" s="424" t="s">
        <v>9132</v>
      </c>
    </row>
    <row r="27" spans="1:27" ht="45" customHeight="1" x14ac:dyDescent="0.2">
      <c r="A27" s="1108" t="str">
        <f>"C. Step 3: "&amp;IF($I$26&lt;&gt;"MIX",IF($I$26="ALL MINOR","Determine if the project emissions increase is a major source by itself. Compare the project emissions increase to the major source threshold corresponding to the area's nonattainment designation for each criteria pollutant or precursor.","Determine if netting is required. Compare the project emissions increase for each criteria pollutant or precursor to the associated netting threshold corresponding to the area's nonattainment designation."),"Determine if netting is required for the pollutants and precursors for which the site is major by comparing the project emissions increase to the associated netting threshold. "&amp;"For the remaining pollutants, determine if the project emissions increase is a major source by itself by comparing the project emissions increase to the associated major source threshold.")</f>
        <v>C. Step 3: Determine if the project emissions increase is a major source by itself. Compare the project emissions increase to the major source threshold corresponding to the area's nonattainment designation for each criteria pollutant or precursor.</v>
      </c>
      <c r="B27" s="1109"/>
      <c r="C27" s="1109"/>
      <c r="D27" s="1109"/>
      <c r="E27" s="430"/>
      <c r="G27" s="421" t="b">
        <f>$G$20</f>
        <v>1</v>
      </c>
      <c r="H27" s="422"/>
      <c r="I27" s="442"/>
      <c r="J27" s="442"/>
      <c r="K27" s="442"/>
      <c r="L27" s="442"/>
      <c r="P27" s="424" t="s">
        <v>11068</v>
      </c>
      <c r="Q27" s="424" t="s">
        <v>266</v>
      </c>
      <c r="R27" s="424" t="s">
        <v>11052</v>
      </c>
      <c r="S27" s="424" t="s">
        <v>11053</v>
      </c>
      <c r="T27" s="424" t="s">
        <v>11054</v>
      </c>
      <c r="AA27" s="424" t="s">
        <v>9133</v>
      </c>
    </row>
    <row r="28" spans="1:27" ht="45" customHeight="1" x14ac:dyDescent="0.2">
      <c r="A28" s="431" t="s">
        <v>11092</v>
      </c>
      <c r="B28" s="439" t="s">
        <v>11098</v>
      </c>
      <c r="C28" s="439" t="s">
        <v>11099</v>
      </c>
      <c r="D28" s="440" t="s">
        <v>11100</v>
      </c>
      <c r="E28" s="430"/>
      <c r="G28" s="421" t="b">
        <f>G20</f>
        <v>1</v>
      </c>
      <c r="H28" s="422"/>
      <c r="I28" s="442"/>
      <c r="J28" s="442"/>
      <c r="K28" s="442"/>
      <c r="L28" s="442"/>
      <c r="P28" s="424" t="s">
        <v>11101</v>
      </c>
      <c r="Q28" s="424" t="s">
        <v>9375</v>
      </c>
      <c r="R28" s="424" t="s">
        <v>11136</v>
      </c>
      <c r="S28" s="424" t="str">
        <f t="shared" ref="S28" si="5">R28&amp;" nonattainment for ozone"</f>
        <v>severe nonattainment for ozone</v>
      </c>
      <c r="T28" s="460" t="s">
        <v>11137</v>
      </c>
      <c r="AA28" s="424" t="s">
        <v>9134</v>
      </c>
    </row>
    <row r="29" spans="1:27" ht="20.25" customHeight="1" x14ac:dyDescent="0.2">
      <c r="A29" s="435" t="s">
        <v>11095</v>
      </c>
      <c r="B29" s="447">
        <f>IF(EmissionSummary!E77=0,0,EmissionSummary!E77-Baseline!B31)</f>
        <v>0</v>
      </c>
      <c r="C29" s="451" t="str">
        <f>IF($G29,"N/A",$J29&amp;" ("&amp;IF(COUNTIF($I29,"*NET*")&gt;0,"netting threshold","major source threshold")&amp;")")</f>
        <v>N/A</v>
      </c>
      <c r="D29" s="452" t="str">
        <f>IF($B29&gt;=$J29,"Yes","No")</f>
        <v>No</v>
      </c>
      <c r="E29" s="430"/>
      <c r="G29" s="421" t="b">
        <f>$I22=0</f>
        <v>1</v>
      </c>
      <c r="H29" s="422"/>
      <c r="I29" s="442" t="str">
        <f>IF($I22="MAJOR","netting threshold - ","major source - ")</f>
        <v xml:space="preserve">major source - </v>
      </c>
      <c r="J29" s="442" t="str">
        <f>IFERROR(INDEX($W$3:$W$14,MATCH($I29&amp;IF($K$17,"marginal",INDEX($R$3:$R$31,MATCH($I$17,$P$3:$P$31,0),1)),$V$3:$V$14,0),1),"N/A")</f>
        <v>N/A</v>
      </c>
      <c r="K29" s="442">
        <f>IF($G29=FALSE,IF($D29="YES",1,0),0)</f>
        <v>0</v>
      </c>
      <c r="L29" s="442"/>
      <c r="P29" s="424" t="s">
        <v>11071</v>
      </c>
      <c r="Q29" s="424" t="s">
        <v>266</v>
      </c>
      <c r="R29" s="424" t="s">
        <v>11052</v>
      </c>
      <c r="S29" s="424" t="s">
        <v>11053</v>
      </c>
      <c r="T29" s="424" t="s">
        <v>11054</v>
      </c>
    </row>
    <row r="30" spans="1:27" ht="20.25" customHeight="1" x14ac:dyDescent="0.2">
      <c r="A30" s="435" t="s">
        <v>9107</v>
      </c>
      <c r="B30" s="447">
        <f>IF(EmissionSummary!Q77=0,0,EmissionSummary!Q77-Baseline!H31)</f>
        <v>0</v>
      </c>
      <c r="C30" s="451" t="str">
        <f>IF($G30,"N/A",$J30&amp;" ("&amp;IF(COUNTIF($I30,"*NET*")&gt;0,"netting threshold","major source threshold")&amp;")")</f>
        <v>N/A</v>
      </c>
      <c r="D30" s="452" t="str">
        <f>IF($B30&gt;=$J30,"Yes","No")</f>
        <v>No</v>
      </c>
      <c r="E30" s="430"/>
      <c r="G30" s="421" t="b">
        <f t="shared" ref="G30:G32" si="6">$I23=0</f>
        <v>1</v>
      </c>
      <c r="H30" s="422"/>
      <c r="I30" s="442" t="str">
        <f>IF($I23="MAJOR","netting threshold - ","major source - ")</f>
        <v xml:space="preserve">major source - </v>
      </c>
      <c r="J30" s="442" t="str">
        <f>IFERROR(INDEX($W$3:$W$14,MATCH($I30&amp;IF($K$17,"marginal",INDEX($R$3:$R$31,MATCH($I$17,$P$3:$P$31,0),1)),$V$3:$V$14,0),1),"N/A")</f>
        <v>N/A</v>
      </c>
      <c r="K30" s="442">
        <f>IF($G30=FALSE,IF($D30="YES",1,0),0)</f>
        <v>0</v>
      </c>
      <c r="L30" s="442"/>
      <c r="P30" s="424" t="s">
        <v>226</v>
      </c>
      <c r="Q30" s="424" t="s">
        <v>9375</v>
      </c>
      <c r="R30" s="424" t="s">
        <v>11136</v>
      </c>
      <c r="S30" s="424" t="str">
        <f t="shared" ref="S30:S31" si="7">R30&amp;" nonattainment for ozone"</f>
        <v>severe nonattainment for ozone</v>
      </c>
      <c r="T30" s="460" t="s">
        <v>11137</v>
      </c>
    </row>
    <row r="31" spans="1:27" ht="20.25" customHeight="1" x14ac:dyDescent="0.2">
      <c r="A31" s="435" t="s">
        <v>9057</v>
      </c>
      <c r="B31" s="447">
        <f>IF(EmissionSummary!K77=0,0,EmissionSummary!K77-Baseline!E31)</f>
        <v>0</v>
      </c>
      <c r="C31" s="451" t="str">
        <f>IF($G31,"N/A",$J31&amp;" ("&amp;IF(COUNTIF($I31,"*NET*")&gt;0,"netting threshold","major source threshold")&amp;")")</f>
        <v>N/A</v>
      </c>
      <c r="D31" s="452" t="str">
        <f>IF($B31&gt;=$J31,"Yes","No")</f>
        <v>No</v>
      </c>
      <c r="E31" s="430"/>
      <c r="G31" s="421" t="b">
        <f t="shared" si="6"/>
        <v>1</v>
      </c>
      <c r="H31" s="422"/>
      <c r="I31" s="442" t="str">
        <f>IF($I24="MAJOR","netting threshold - ","major source - ")</f>
        <v xml:space="preserve">major source - </v>
      </c>
      <c r="J31" s="442" t="str">
        <f>IFERROR(INDEX($Y$3:$Y$14,MATCH($I31&amp;IF($K$17,IF($B$18="YES","moderate","N/A"),INDEX($R$3:$R$31,MATCH($I$17,$P$3:$P$31,0),1)),$V$3:$V$14,0),1),"N/A")</f>
        <v>N/A</v>
      </c>
      <c r="K31" s="442">
        <f>IF($G31=FALSE,IF($D31="YES",1,0),0)</f>
        <v>0</v>
      </c>
      <c r="L31" s="442"/>
      <c r="P31" s="424" t="s">
        <v>11102</v>
      </c>
      <c r="Q31" s="424" t="s">
        <v>9375</v>
      </c>
      <c r="R31" s="424" t="s">
        <v>11136</v>
      </c>
      <c r="S31" s="424" t="str">
        <f t="shared" si="7"/>
        <v>severe nonattainment for ozone</v>
      </c>
      <c r="T31" s="460" t="s">
        <v>11137</v>
      </c>
    </row>
    <row r="32" spans="1:27" ht="20.25" customHeight="1" x14ac:dyDescent="0.2">
      <c r="A32" s="453" t="s">
        <v>9060</v>
      </c>
      <c r="B32" s="448">
        <f>IF(EmissionSummary!O77=0,0,EmissionSummary!O77-Baseline!G31)</f>
        <v>0</v>
      </c>
      <c r="C32" s="454" t="str">
        <f>IF($G32,"N/A",$J32&amp;" ("&amp;IF(COUNTIF($I32,"*NET*")&gt;0,"netting threshold","major source threshold")&amp;")")</f>
        <v>N/A</v>
      </c>
      <c r="D32" s="455" t="str">
        <f>IF($B32&gt;=$J32,"Yes","No")</f>
        <v>No</v>
      </c>
      <c r="E32" s="430"/>
      <c r="G32" s="421" t="b">
        <f t="shared" si="6"/>
        <v>1</v>
      </c>
      <c r="H32" s="422"/>
      <c r="I32" s="442" t="str">
        <f>IF($I25="MAJOR","netting threshold - ","major source - ")</f>
        <v xml:space="preserve">major source - </v>
      </c>
      <c r="J32" s="442" t="str">
        <f>IFERROR(INDEX($X$3:$X$14,MATCH($I32&amp;IF($L$17,IF($B$18="YES","nonattainment","N/A"),INDEX($R$3:$R$31,MATCH($I$17,$P$3:$P$31,0),1)),$V$3:$V$14,0),1),"N/A")</f>
        <v>N/A</v>
      </c>
      <c r="K32" s="442">
        <f>IF($G32=FALSE,IF($D32="YES",1,0),0)</f>
        <v>0</v>
      </c>
      <c r="L32" s="442"/>
    </row>
    <row r="33" spans="1:12" ht="30" customHeight="1" thickBot="1" x14ac:dyDescent="0.25">
      <c r="A33" s="1099" t="str">
        <f>"Step 3 Determination: "&amp;IF($K$33,"At least one pollutant in this project is at or above the threshold. Netting would be required. This project does not qualify for this RAP.","The project emissions increase for each evaluated pollutant and/or precursor is below the threshold. Nonattainment NSR is not required. Continue to the next section.")</f>
        <v>Step 3 Determination: The project emissions increase for each evaluated pollutant and/or precursor is below the threshold. Nonattainment NSR is not required. Continue to the next section.</v>
      </c>
      <c r="B33" s="1100"/>
      <c r="C33" s="1100"/>
      <c r="D33" s="1100"/>
      <c r="E33" s="430"/>
      <c r="G33" s="421" t="b">
        <f>G20</f>
        <v>1</v>
      </c>
      <c r="H33" s="422" t="b">
        <f>$K$33</f>
        <v>0</v>
      </c>
      <c r="I33" s="442"/>
      <c r="J33" s="442"/>
      <c r="K33" s="442" t="b">
        <f>SUM(K29:K32)&gt;0</f>
        <v>0</v>
      </c>
      <c r="L33" s="442"/>
    </row>
    <row r="34" spans="1:12" ht="15" thickBot="1" x14ac:dyDescent="0.25">
      <c r="A34" s="427"/>
      <c r="E34" s="430"/>
      <c r="G34" s="421"/>
      <c r="H34" s="422"/>
      <c r="I34" s="442"/>
      <c r="J34" s="442"/>
      <c r="K34" s="442"/>
      <c r="L34" s="442"/>
    </row>
    <row r="35" spans="1:12" ht="15.75" thickBot="1" x14ac:dyDescent="0.3">
      <c r="A35" s="1106" t="s">
        <v>11103</v>
      </c>
      <c r="B35" s="1107"/>
      <c r="C35" s="1107"/>
      <c r="D35" s="1107"/>
      <c r="E35" s="430"/>
      <c r="G35" s="421"/>
      <c r="H35" s="422"/>
      <c r="I35" s="442"/>
      <c r="J35" s="442"/>
      <c r="K35" s="442"/>
      <c r="L35" s="442"/>
    </row>
    <row r="36" spans="1:12" ht="15" x14ac:dyDescent="0.2">
      <c r="A36" s="1111" t="s">
        <v>11104</v>
      </c>
      <c r="B36" s="1112"/>
      <c r="C36" s="1112"/>
      <c r="D36" s="1113"/>
      <c r="E36" s="430"/>
      <c r="G36" s="421"/>
      <c r="H36" s="422"/>
      <c r="I36" s="442"/>
      <c r="J36" s="442"/>
      <c r="K36" s="442"/>
      <c r="L36" s="442"/>
    </row>
    <row r="37" spans="1:12" ht="42.75" customHeight="1" x14ac:dyDescent="0.2">
      <c r="A37" s="435" t="s">
        <v>11105</v>
      </c>
      <c r="B37" s="1101"/>
      <c r="C37" s="1102"/>
      <c r="D37" s="1102"/>
      <c r="E37" s="430"/>
      <c r="G37" s="421"/>
      <c r="H37" s="422"/>
      <c r="I37" s="442"/>
      <c r="J37" s="442"/>
      <c r="K37" s="442"/>
      <c r="L37" s="442"/>
    </row>
    <row r="38" spans="1:12" ht="30" customHeight="1" x14ac:dyDescent="0.2">
      <c r="A38" s="435" t="s">
        <v>11106</v>
      </c>
      <c r="B38" s="1101"/>
      <c r="C38" s="1102"/>
      <c r="D38" s="1102"/>
      <c r="E38" s="430"/>
      <c r="G38" s="421" t="b">
        <f>$B$37&lt;&gt;"Other/Not Listed"</f>
        <v>1</v>
      </c>
      <c r="H38" s="422"/>
      <c r="I38" s="423"/>
      <c r="J38" s="423"/>
      <c r="K38" s="423"/>
      <c r="L38" s="423"/>
    </row>
    <row r="39" spans="1:12" ht="45" customHeight="1" x14ac:dyDescent="0.2">
      <c r="A39" s="435" t="s">
        <v>11037</v>
      </c>
      <c r="B39" s="1103" t="str">
        <f t="shared" ref="B39" si="8">IF(OR($B$37="",AND($B$37="OTHER/NOT LISTED",$B$38="")),"Select and/or describe a source type above.",IF($B$37="OTHER/NOT LISTED","This is not a named source, and the PSD major source threshold is 250 tpy of any one pollutant."&amp;" Do not include fugitive emissions in the current sitewide PTE, unless this is a stationary source category which, as of August 7, 1980, is being regulated under NSPS or NESHAP.","This is a named source and the PSD major source threshold is 100 tpy of any one pollutant. Include fugitive emissions in the current sitewide PTE."))</f>
        <v>Select and/or describe a source type above.</v>
      </c>
      <c r="C39" s="1104"/>
      <c r="D39" s="1104"/>
      <c r="E39" s="430"/>
      <c r="G39" s="421"/>
      <c r="H39" s="422"/>
      <c r="I39" s="423"/>
      <c r="J39" s="423"/>
      <c r="K39" s="423"/>
      <c r="L39" s="423"/>
    </row>
    <row r="40" spans="1:12" ht="30" customHeight="1" x14ac:dyDescent="0.2">
      <c r="A40" s="1096" t="s">
        <v>11107</v>
      </c>
      <c r="B40" s="1097"/>
      <c r="C40" s="1097"/>
      <c r="D40" s="1098"/>
      <c r="E40" s="430"/>
      <c r="G40" s="421"/>
      <c r="H40" s="422"/>
      <c r="I40" s="423"/>
      <c r="J40" s="423"/>
      <c r="K40" s="423"/>
      <c r="L40" s="423"/>
    </row>
    <row r="41" spans="1:12" ht="45" customHeight="1" x14ac:dyDescent="0.2">
      <c r="A41" s="431" t="s">
        <v>178</v>
      </c>
      <c r="B41" s="439" t="s">
        <v>11093</v>
      </c>
      <c r="C41" s="439" t="s">
        <v>9106</v>
      </c>
      <c r="D41" s="440" t="s">
        <v>11094</v>
      </c>
      <c r="E41" s="430"/>
      <c r="G41" s="421"/>
      <c r="H41" s="422"/>
      <c r="I41" s="423"/>
      <c r="J41" s="423"/>
      <c r="K41" s="423"/>
      <c r="L41" s="423"/>
    </row>
    <row r="42" spans="1:12" ht="20.25" customHeight="1" x14ac:dyDescent="0.2">
      <c r="A42" s="435" t="s">
        <v>11108</v>
      </c>
      <c r="B42" s="449">
        <f>Baseline!B31</f>
        <v>0</v>
      </c>
      <c r="C42" s="451">
        <f>$C$43</f>
        <v>100</v>
      </c>
      <c r="D42" s="452" t="str">
        <f>IF($B42&gt;=$C42,"Yes","No")</f>
        <v>No</v>
      </c>
      <c r="E42" s="430"/>
      <c r="G42" s="421"/>
      <c r="H42" s="422"/>
      <c r="I42" s="442">
        <f>IF(D42="YES",1,0)</f>
        <v>0</v>
      </c>
      <c r="J42" s="423"/>
      <c r="K42" s="423"/>
      <c r="L42" s="423"/>
    </row>
    <row r="43" spans="1:12" ht="20.25" customHeight="1" x14ac:dyDescent="0.2">
      <c r="A43" s="435" t="s">
        <v>262</v>
      </c>
      <c r="B43" s="449">
        <f>Baseline!C31</f>
        <v>0</v>
      </c>
      <c r="C43" s="451">
        <f>IF($B$37="OTHER/NOT LISTED",250,100)</f>
        <v>100</v>
      </c>
      <c r="D43" s="452" t="str">
        <f>IF($B43&gt;=$C43,"Yes","No")</f>
        <v>No</v>
      </c>
      <c r="E43" s="430"/>
      <c r="G43" s="421"/>
      <c r="H43" s="422"/>
      <c r="I43" s="442">
        <f>IF(D43="YES",1,0)</f>
        <v>0</v>
      </c>
      <c r="J43" s="423"/>
      <c r="K43" s="423"/>
      <c r="L43" s="423"/>
    </row>
    <row r="44" spans="1:12" ht="20.25" customHeight="1" x14ac:dyDescent="0.2">
      <c r="A44" s="435" t="s">
        <v>9060</v>
      </c>
      <c r="B44" s="449">
        <f>Baseline!G31</f>
        <v>0</v>
      </c>
      <c r="C44" s="451">
        <f t="shared" ref="C44:C49" si="9">$C$43</f>
        <v>100</v>
      </c>
      <c r="D44" s="452" t="str">
        <f>IF($B44&gt;=$C44,"Yes","No")</f>
        <v>No</v>
      </c>
      <c r="E44" s="430"/>
      <c r="G44" s="421"/>
      <c r="H44" s="422"/>
      <c r="I44" s="442">
        <f>IF(D44="YES",1,0)</f>
        <v>0</v>
      </c>
      <c r="J44" s="423"/>
      <c r="K44" s="423"/>
      <c r="L44" s="423"/>
    </row>
    <row r="45" spans="1:12" ht="20.25" customHeight="1" x14ac:dyDescent="0.2">
      <c r="A45" s="435" t="s">
        <v>263</v>
      </c>
      <c r="B45" s="449">
        <f>Baseline!D31</f>
        <v>0</v>
      </c>
      <c r="C45" s="451">
        <f t="shared" si="9"/>
        <v>100</v>
      </c>
      <c r="D45" s="452" t="str">
        <f t="shared" ref="D45:D49" si="10">IF($B45&gt;=$C45,"Yes","No")</f>
        <v>No</v>
      </c>
      <c r="E45" s="430"/>
      <c r="G45" s="421"/>
      <c r="H45" s="422"/>
      <c r="I45" s="442">
        <f t="shared" ref="I45:I49" si="11">IF(D45="YES",1,0)</f>
        <v>0</v>
      </c>
      <c r="J45" s="423"/>
      <c r="K45" s="423"/>
      <c r="L45" s="423"/>
    </row>
    <row r="46" spans="1:12" ht="20.25" customHeight="1" x14ac:dyDescent="0.2">
      <c r="A46" s="435" t="s">
        <v>9057</v>
      </c>
      <c r="B46" s="449">
        <f>Baseline!E31</f>
        <v>0</v>
      </c>
      <c r="C46" s="451">
        <f t="shared" si="9"/>
        <v>100</v>
      </c>
      <c r="D46" s="452" t="str">
        <f t="shared" si="10"/>
        <v>No</v>
      </c>
      <c r="E46" s="430"/>
      <c r="G46" s="421"/>
      <c r="H46" s="422"/>
      <c r="I46" s="442">
        <f t="shared" si="11"/>
        <v>0</v>
      </c>
      <c r="J46" s="423"/>
      <c r="K46" s="423"/>
      <c r="L46" s="423"/>
    </row>
    <row r="47" spans="1:12" ht="20.25" customHeight="1" x14ac:dyDescent="0.2">
      <c r="A47" s="435" t="s">
        <v>9058</v>
      </c>
      <c r="B47" s="449">
        <f>Baseline!F31</f>
        <v>0</v>
      </c>
      <c r="C47" s="451">
        <f t="shared" si="9"/>
        <v>100</v>
      </c>
      <c r="D47" s="452" t="str">
        <f t="shared" si="10"/>
        <v>No</v>
      </c>
      <c r="E47" s="430"/>
      <c r="G47" s="421"/>
      <c r="H47" s="422"/>
      <c r="I47" s="442">
        <f t="shared" si="11"/>
        <v>0</v>
      </c>
      <c r="J47" s="423"/>
      <c r="K47" s="423"/>
      <c r="L47" s="423"/>
    </row>
    <row r="48" spans="1:12" ht="20.25" customHeight="1" x14ac:dyDescent="0.2">
      <c r="A48" s="435" t="s">
        <v>229</v>
      </c>
      <c r="B48" s="449">
        <f>Baseline!H31</f>
        <v>0</v>
      </c>
      <c r="C48" s="451">
        <f t="shared" si="9"/>
        <v>100</v>
      </c>
      <c r="D48" s="452" t="str">
        <f t="shared" si="10"/>
        <v>No</v>
      </c>
      <c r="E48" s="430"/>
      <c r="G48" s="421"/>
      <c r="H48" s="422"/>
      <c r="I48" s="442">
        <f t="shared" si="11"/>
        <v>0</v>
      </c>
      <c r="J48" s="423"/>
      <c r="K48" s="423"/>
      <c r="L48" s="423"/>
    </row>
    <row r="49" spans="1:13" ht="20.25" customHeight="1" x14ac:dyDescent="0.2">
      <c r="A49" s="453" t="s">
        <v>11109</v>
      </c>
      <c r="B49" s="450">
        <f>Baseline!J31</f>
        <v>0</v>
      </c>
      <c r="C49" s="454">
        <f t="shared" si="9"/>
        <v>100</v>
      </c>
      <c r="D49" s="455" t="str">
        <f t="shared" si="10"/>
        <v>No</v>
      </c>
      <c r="E49" s="430"/>
      <c r="G49" s="421"/>
      <c r="H49" s="422"/>
      <c r="I49" s="442">
        <f t="shared" si="11"/>
        <v>0</v>
      </c>
      <c r="J49" s="423"/>
      <c r="K49" s="423"/>
      <c r="L49" s="423"/>
    </row>
    <row r="50" spans="1:13" ht="20.100000000000001" customHeight="1" x14ac:dyDescent="0.2">
      <c r="A50" s="1105" t="str">
        <f>"Step 2 Determination: "&amp;IF($I$50,"The current sitewide PTE for at least one pollutant is at or above the major source threshold. The site is an existing major source.","The current sitewide PTE for each regulated pollutant is below the associated major source threshold. The site is currently a minor source.")</f>
        <v>Step 2 Determination: The current sitewide PTE for each regulated pollutant is below the associated major source threshold. The site is currently a minor source.</v>
      </c>
      <c r="B50" s="1104"/>
      <c r="C50" s="1104"/>
      <c r="D50" s="1104"/>
      <c r="E50" s="430"/>
      <c r="G50" s="421"/>
      <c r="H50" s="422"/>
      <c r="I50" s="442" t="b">
        <f>SUM($I$42:$I$49)&gt;0</f>
        <v>0</v>
      </c>
      <c r="J50" s="423"/>
      <c r="K50" s="423"/>
      <c r="L50" s="423"/>
    </row>
    <row r="51" spans="1:13" ht="30" customHeight="1" x14ac:dyDescent="0.2">
      <c r="A51" s="1096" t="str">
        <f>"C. Step 3: "&amp;IF($I$50,"Determine if the project is a major modification. Compare the project emissions increase of each regulated pollutant to the associated netting threshold.","Determine if the project emissions increase is a major source by itself. Compare the project emissions increase of each pollutant to the associated major source threshold.")</f>
        <v>C. Step 3: Determine if the project emissions increase is a major source by itself. Compare the project emissions increase of each pollutant to the associated major source threshold.</v>
      </c>
      <c r="B51" s="1097"/>
      <c r="C51" s="1097"/>
      <c r="D51" s="1098"/>
      <c r="E51" s="430"/>
      <c r="G51" s="421"/>
      <c r="H51" s="422"/>
      <c r="I51" s="423"/>
      <c r="J51" s="423"/>
      <c r="K51" s="423"/>
      <c r="L51" s="423"/>
    </row>
    <row r="52" spans="1:13" ht="45" customHeight="1" x14ac:dyDescent="0.2">
      <c r="A52" s="431" t="s">
        <v>178</v>
      </c>
      <c r="B52" s="439" t="s">
        <v>11110</v>
      </c>
      <c r="C52" s="439" t="s">
        <v>11099</v>
      </c>
      <c r="D52" s="440" t="s">
        <v>11111</v>
      </c>
      <c r="E52" s="430"/>
      <c r="G52" s="421"/>
      <c r="H52" s="422"/>
      <c r="I52" s="442"/>
      <c r="J52" s="442"/>
      <c r="K52" s="442"/>
      <c r="L52" s="442" t="str">
        <f>IFERROR(INDEX($Q$3:$Q$31,MATCH($I$17,$P$3:$P$31,0)),"N/A")</f>
        <v>N/A</v>
      </c>
    </row>
    <row r="53" spans="1:13" ht="20.25" customHeight="1" x14ac:dyDescent="0.2">
      <c r="A53" s="435" t="s">
        <v>11108</v>
      </c>
      <c r="B53" s="447">
        <f>IF(EmissionSummary!E77=0,0,EmissionSummary!E77-Baseline!B31)</f>
        <v>0</v>
      </c>
      <c r="C53" s="451" t="str">
        <f t="shared" ref="C53:C60" si="12">IF($I$50,$I53&amp;" (netting treshold)",$C$43&amp;" (major source threshold)")</f>
        <v>100 (major source threshold)</v>
      </c>
      <c r="D53" s="452" t="str">
        <f>IF($B53&gt;=$I53,"Yes","No")</f>
        <v>No</v>
      </c>
      <c r="E53" s="430"/>
      <c r="G53" s="441" t="b">
        <v>0</v>
      </c>
      <c r="H53" s="422"/>
      <c r="I53" s="442">
        <f>IF($I$50,40,$C$43)</f>
        <v>100</v>
      </c>
      <c r="J53" s="442">
        <f>IF($G53=FALSE,IF($D53="YES",1,0),0)</f>
        <v>0</v>
      </c>
      <c r="K53" s="458" t="s">
        <v>11112</v>
      </c>
      <c r="L53" s="442">
        <f>J53</f>
        <v>0</v>
      </c>
      <c r="M53" s="427" t="s">
        <v>11113</v>
      </c>
    </row>
    <row r="54" spans="1:13" ht="20.25" customHeight="1" x14ac:dyDescent="0.2">
      <c r="A54" s="435" t="s">
        <v>262</v>
      </c>
      <c r="B54" s="447">
        <f>IF(EmissionSummary!G77=0,0,EmissionSummary!G77-Baseline!C31)</f>
        <v>0</v>
      </c>
      <c r="C54" s="451" t="str">
        <f t="shared" si="12"/>
        <v>100 (major source threshold)</v>
      </c>
      <c r="D54" s="452" t="str">
        <f>IF($B54&gt;=$I54,"Yes","No")</f>
        <v>No</v>
      </c>
      <c r="E54" s="430"/>
      <c r="G54" s="421" t="b">
        <v>0</v>
      </c>
      <c r="H54" s="422"/>
      <c r="I54" s="442">
        <f>IF($I$50,100,$C$43)</f>
        <v>100</v>
      </c>
      <c r="J54" s="442">
        <f>IF($G54=FALSE,IF($D54="YES",1,0),0)</f>
        <v>0</v>
      </c>
      <c r="K54" s="458" t="s">
        <v>11112</v>
      </c>
      <c r="L54" s="442">
        <f>J54</f>
        <v>0</v>
      </c>
      <c r="M54" s="427" t="s">
        <v>11114</v>
      </c>
    </row>
    <row r="55" spans="1:13" ht="20.25" customHeight="1" x14ac:dyDescent="0.2">
      <c r="A55" s="435" t="s">
        <v>9060</v>
      </c>
      <c r="B55" s="447">
        <f>IF(EmissionSummary!O77=0,0,EmissionSummary!O77-Baseline!G31)</f>
        <v>0</v>
      </c>
      <c r="C55" s="451" t="str">
        <f t="shared" si="12"/>
        <v>100 (major source threshold)</v>
      </c>
      <c r="D55" s="452" t="str">
        <f>IF($B55&gt;=$I55,"Yes","No")</f>
        <v>No</v>
      </c>
      <c r="E55" s="430"/>
      <c r="G55" s="421" t="b">
        <f>IF($L$52="SO2",AND($I$50,$B$18="YES"),FALSE)</f>
        <v>0</v>
      </c>
      <c r="H55" s="422"/>
      <c r="I55" s="442">
        <f>IF($I$50,40,$C$43)</f>
        <v>100</v>
      </c>
      <c r="J55" s="442">
        <f>IF($G55=FALSE,IF($D55="YES",1,0),0)</f>
        <v>0</v>
      </c>
      <c r="K55" s="442">
        <f>IF(J17,IF(AND(L17,B18="Yes"),J55,0),0)</f>
        <v>0</v>
      </c>
      <c r="L55" s="458">
        <f>IF(L17=FALSE,J55,IF(B18="NO",J55,0))</f>
        <v>0</v>
      </c>
      <c r="M55" s="427" t="s">
        <v>11115</v>
      </c>
    </row>
    <row r="56" spans="1:13" ht="20.25" customHeight="1" x14ac:dyDescent="0.2">
      <c r="A56" s="435" t="s">
        <v>263</v>
      </c>
      <c r="B56" s="447">
        <f>IF(EmissionSummary!I77=0,0,EmissionSummary!I77-Baseline!D31)</f>
        <v>0</v>
      </c>
      <c r="C56" s="451" t="str">
        <f t="shared" si="12"/>
        <v>100 (major source threshold)</v>
      </c>
      <c r="D56" s="452" t="str">
        <f t="shared" ref="D56:D60" si="13">IF($B56&gt;=$I56,"Yes","No")</f>
        <v>No</v>
      </c>
      <c r="E56" s="430"/>
      <c r="G56" s="421" t="b">
        <v>0</v>
      </c>
      <c r="H56" s="422"/>
      <c r="I56" s="442">
        <f>IF($I$50,25,$C$43)</f>
        <v>100</v>
      </c>
      <c r="J56" s="442">
        <f t="shared" ref="J56:J60" si="14">IF($G56=FALSE,IF($D56="YES",1,0),0)</f>
        <v>0</v>
      </c>
      <c r="K56" s="458" t="s">
        <v>11112</v>
      </c>
      <c r="L56" s="442">
        <f>J56</f>
        <v>0</v>
      </c>
    </row>
    <row r="57" spans="1:13" ht="20.25" customHeight="1" x14ac:dyDescent="0.2">
      <c r="A57" s="435" t="s">
        <v>9057</v>
      </c>
      <c r="B57" s="447">
        <f>IF(EmissionSummary!K77=0,0,EmissionSummary!K77-Baseline!E31)</f>
        <v>0</v>
      </c>
      <c r="C57" s="451" t="str">
        <f t="shared" si="12"/>
        <v>100 (major source threshold)</v>
      </c>
      <c r="D57" s="452" t="str">
        <f t="shared" si="13"/>
        <v>No</v>
      </c>
      <c r="E57" s="430"/>
      <c r="G57" s="421" t="b">
        <f>IF($L$52="PM10",AND(I50,$B$18="YES"),FALSE)</f>
        <v>0</v>
      </c>
      <c r="H57" s="422"/>
      <c r="I57" s="442">
        <f>IF($I$50,15,$C$43)</f>
        <v>100</v>
      </c>
      <c r="J57" s="442">
        <f t="shared" si="14"/>
        <v>0</v>
      </c>
      <c r="K57" s="442">
        <f>IF(J17,IF(OR(AND(B18="Yes",L52="PM10")),J57,0),0)</f>
        <v>0</v>
      </c>
      <c r="L57" s="458">
        <f>IF(K17=FALSE,J57,IF(B18="NO",J57,0))</f>
        <v>0</v>
      </c>
    </row>
    <row r="58" spans="1:13" ht="20.25" customHeight="1" x14ac:dyDescent="0.2">
      <c r="A58" s="435" t="s">
        <v>9058</v>
      </c>
      <c r="B58" s="447">
        <f>IF(EmissionSummary!M77=0,0,EmissionSummary!M77-Baseline!F31)</f>
        <v>0</v>
      </c>
      <c r="C58" s="451" t="str">
        <f t="shared" si="12"/>
        <v>100 (major source threshold)</v>
      </c>
      <c r="D58" s="452" t="str">
        <f t="shared" si="13"/>
        <v>No</v>
      </c>
      <c r="E58" s="430"/>
      <c r="G58" s="421" t="b">
        <v>0</v>
      </c>
      <c r="H58" s="422"/>
      <c r="I58" s="442">
        <f>IF($I$50,10,$C$43)</f>
        <v>100</v>
      </c>
      <c r="J58" s="442">
        <f t="shared" si="14"/>
        <v>0</v>
      </c>
      <c r="K58" s="458" t="s">
        <v>11112</v>
      </c>
      <c r="L58" s="442">
        <f>J58</f>
        <v>0</v>
      </c>
    </row>
    <row r="59" spans="1:13" ht="20.25" customHeight="1" x14ac:dyDescent="0.2">
      <c r="A59" s="435" t="s">
        <v>229</v>
      </c>
      <c r="B59" s="447">
        <f>IF(EmissionSummary!Q77=0,0,EmissionSummary!Q77-Baseline!H31)</f>
        <v>0</v>
      </c>
      <c r="C59" s="451" t="str">
        <f t="shared" si="12"/>
        <v>100 (major source threshold)</v>
      </c>
      <c r="D59" s="452" t="str">
        <f t="shared" si="13"/>
        <v>No</v>
      </c>
      <c r="E59" s="430"/>
      <c r="G59" s="421" t="b">
        <f>IF($K$17,$I$50,AND($I$50,$L$52="ozone"))</f>
        <v>0</v>
      </c>
      <c r="H59" s="422"/>
      <c r="I59" s="442">
        <f>IF($I$50,40,$C$43)</f>
        <v>100</v>
      </c>
      <c r="J59" s="442">
        <f t="shared" si="14"/>
        <v>0</v>
      </c>
      <c r="K59" s="442">
        <f>IF(J17,IF(OR(K17,L52="ozone"),J59,0),0)</f>
        <v>0</v>
      </c>
      <c r="L59" s="458">
        <f>IF(K17=FALSE,IF(L52&lt;&gt;"OZONE",J59,0),0)</f>
        <v>0</v>
      </c>
    </row>
    <row r="60" spans="1:13" ht="20.25" customHeight="1" x14ac:dyDescent="0.2">
      <c r="A60" s="453" t="s">
        <v>11109</v>
      </c>
      <c r="B60" s="448">
        <f>IF(EmissionSummary!U77=0,0,EmissionSummary!U77-Baseline!J31)</f>
        <v>0</v>
      </c>
      <c r="C60" s="454" t="str">
        <f t="shared" si="12"/>
        <v>100 (major source threshold)</v>
      </c>
      <c r="D60" s="455" t="str">
        <f t="shared" si="13"/>
        <v>No</v>
      </c>
      <c r="E60" s="430"/>
      <c r="G60" s="421" t="b">
        <v>0</v>
      </c>
      <c r="H60" s="422"/>
      <c r="I60" s="442">
        <f>IF($I$50,7,$C$43)</f>
        <v>100</v>
      </c>
      <c r="J60" s="442">
        <f t="shared" si="14"/>
        <v>0</v>
      </c>
      <c r="K60" s="458" t="s">
        <v>11112</v>
      </c>
      <c r="L60" s="442">
        <f>J60</f>
        <v>0</v>
      </c>
    </row>
    <row r="61" spans="1:13" ht="35.1" customHeight="1" thickBot="1" x14ac:dyDescent="0.25">
      <c r="A61" s="1099" t="str">
        <f t="shared" ref="A61" si="15">"Step 3 Determination: "&amp;IF($J$17=FALSE,IF(J61,IF(I50,"At least one pollutant in this project is at or above the threshold. Netting would be required. This project does not qualify for this RAP.","At least one pollutant in this project is at or above the threshold. PSD review would be required. This project does not qualify for this RAP."),"The project emissions increase for each evaluated pollutant and/or precursor is below the threshold. PSD review is not required."),IF(I50,IF(J61,"At least one pollutant in this project is at or above the threshold. Netting would be required. This project does not qualify for this RAP.","The project emissions increase for each evaluated pollutant and/or precursor is below the netting threshold. PSD review is not required."),IF(L61,"At least one pollutant in this project is at or above the threshold. PSD review would be required. This project does not qualify for this RAP.",IF(K61,"At least one pollutant for which the area is designated nonattainment has a project emissions increase at or above the threshold. "&amp;"Continue to the next step to determine if the project emissions increase for any other pollutant would be a major modification.","The project emissions increase for each evaluated pollutant and/or precursor is below the threshold. PSD review is not required."))))</f>
        <v>Step 3 Determination: The project emissions increase for each evaluated pollutant and/or precursor is below the threshold. PSD review is not required.</v>
      </c>
      <c r="B61" s="1100"/>
      <c r="C61" s="1100"/>
      <c r="D61" s="1100"/>
      <c r="E61" s="430"/>
      <c r="G61" s="421"/>
      <c r="H61" s="422" t="b">
        <f>COUNTIF(A61,"*does not qualify*")&gt;0</f>
        <v>0</v>
      </c>
      <c r="I61" s="442"/>
      <c r="J61" s="442" t="b">
        <f>SUM($J$53:$J$60)&gt;0</f>
        <v>0</v>
      </c>
      <c r="K61" s="442" t="b">
        <f>SUM($K$53:$K$60)&gt;0</f>
        <v>0</v>
      </c>
      <c r="L61" s="442" t="b">
        <f>SUM($L$53:$L$60)&gt;0</f>
        <v>0</v>
      </c>
    </row>
    <row r="62" spans="1:13" ht="30" customHeight="1" x14ac:dyDescent="0.2">
      <c r="A62" s="1096" t="s">
        <v>11116</v>
      </c>
      <c r="B62" s="1097"/>
      <c r="C62" s="1097"/>
      <c r="D62" s="1098"/>
      <c r="E62" s="430"/>
      <c r="G62" s="421" t="b">
        <f>COUNTIF(A61,"*continue to the next step*")=0</f>
        <v>1</v>
      </c>
      <c r="H62" s="422"/>
      <c r="I62" s="442"/>
      <c r="J62" s="442"/>
      <c r="K62" s="442"/>
      <c r="L62" s="442"/>
    </row>
    <row r="63" spans="1:13" ht="45" customHeight="1" x14ac:dyDescent="0.2">
      <c r="A63" s="443" t="s">
        <v>178</v>
      </c>
      <c r="B63" s="439" t="s">
        <v>11098</v>
      </c>
      <c r="C63" s="439" t="s">
        <v>11117</v>
      </c>
      <c r="D63" s="440" t="s">
        <v>11118</v>
      </c>
      <c r="E63" s="444"/>
      <c r="G63" s="421" t="b">
        <f>$G$62</f>
        <v>1</v>
      </c>
      <c r="H63" s="422"/>
      <c r="I63" s="442"/>
      <c r="J63" s="442"/>
      <c r="K63" s="442"/>
      <c r="L63" s="442"/>
    </row>
    <row r="64" spans="1:13" ht="20.25" customHeight="1" x14ac:dyDescent="0.2">
      <c r="A64" s="456" t="s">
        <v>261</v>
      </c>
      <c r="B64" s="447">
        <f>$B53</f>
        <v>0</v>
      </c>
      <c r="C64" s="451">
        <v>40</v>
      </c>
      <c r="D64" s="452" t="str">
        <f>IF($B64&gt;=$C64,"Yes","No")</f>
        <v>No</v>
      </c>
      <c r="E64" s="444"/>
      <c r="G64" s="421" t="b">
        <f>$G$62</f>
        <v>1</v>
      </c>
      <c r="H64" s="422"/>
      <c r="I64" s="442"/>
      <c r="J64" s="442">
        <f>IF(G64=FALSE,IF(D64="Yes",1,0),0)</f>
        <v>0</v>
      </c>
      <c r="K64" s="442"/>
      <c r="L64" s="442"/>
    </row>
    <row r="65" spans="1:12" ht="20.25" customHeight="1" x14ac:dyDescent="0.2">
      <c r="A65" s="456" t="s">
        <v>262</v>
      </c>
      <c r="B65" s="447">
        <f t="shared" ref="B65:B71" si="16">$B54</f>
        <v>0</v>
      </c>
      <c r="C65" s="451">
        <v>100</v>
      </c>
      <c r="D65" s="452" t="str">
        <f t="shared" ref="D65:D71" si="17">IF($B65&gt;=$C65,"Yes","No")</f>
        <v>No</v>
      </c>
      <c r="E65" s="444"/>
      <c r="G65" s="421" t="b">
        <f>$G$62</f>
        <v>1</v>
      </c>
      <c r="H65" s="422"/>
      <c r="I65" s="442"/>
      <c r="J65" s="442">
        <f t="shared" ref="J65:J71" si="18">IF(G65=FALSE,IF(D65="Yes",1,0),0)</f>
        <v>0</v>
      </c>
      <c r="K65" s="442"/>
      <c r="L65" s="442"/>
    </row>
    <row r="66" spans="1:12" ht="20.25" customHeight="1" x14ac:dyDescent="0.2">
      <c r="A66" s="456" t="s">
        <v>9060</v>
      </c>
      <c r="B66" s="447">
        <f t="shared" si="16"/>
        <v>0</v>
      </c>
      <c r="C66" s="451">
        <v>40</v>
      </c>
      <c r="D66" s="452" t="str">
        <f t="shared" si="17"/>
        <v>No</v>
      </c>
      <c r="E66" s="444"/>
      <c r="G66" s="421" t="b">
        <f>OR($G$62,AND(L17,$B$18="Yes"))</f>
        <v>1</v>
      </c>
      <c r="H66" s="422"/>
      <c r="I66" s="442"/>
      <c r="J66" s="442">
        <f t="shared" si="18"/>
        <v>0</v>
      </c>
      <c r="K66" s="442"/>
      <c r="L66" s="442"/>
    </row>
    <row r="67" spans="1:12" ht="20.25" customHeight="1" x14ac:dyDescent="0.2">
      <c r="A67" s="456" t="s">
        <v>263</v>
      </c>
      <c r="B67" s="447">
        <f t="shared" si="16"/>
        <v>0</v>
      </c>
      <c r="C67" s="451">
        <v>25</v>
      </c>
      <c r="D67" s="452" t="str">
        <f t="shared" si="17"/>
        <v>No</v>
      </c>
      <c r="E67" s="444"/>
      <c r="G67" s="421" t="b">
        <f>$G$62</f>
        <v>1</v>
      </c>
      <c r="H67" s="422"/>
      <c r="I67" s="442"/>
      <c r="J67" s="442">
        <f t="shared" si="18"/>
        <v>0</v>
      </c>
      <c r="K67" s="442"/>
      <c r="L67" s="442"/>
    </row>
    <row r="68" spans="1:12" ht="20.25" customHeight="1" x14ac:dyDescent="0.2">
      <c r="A68" s="456" t="s">
        <v>9057</v>
      </c>
      <c r="B68" s="447">
        <f t="shared" si="16"/>
        <v>0</v>
      </c>
      <c r="C68" s="451">
        <v>15</v>
      </c>
      <c r="D68" s="452" t="str">
        <f t="shared" si="17"/>
        <v>No</v>
      </c>
      <c r="E68" s="444"/>
      <c r="G68" s="421" t="b">
        <f>OR($G$62,AND($B$18="Yes",L52="PM10"))</f>
        <v>1</v>
      </c>
      <c r="H68" s="422"/>
      <c r="I68" s="442"/>
      <c r="J68" s="442">
        <f t="shared" si="18"/>
        <v>0</v>
      </c>
      <c r="K68" s="442"/>
      <c r="L68" s="442"/>
    </row>
    <row r="69" spans="1:12" ht="20.25" customHeight="1" x14ac:dyDescent="0.2">
      <c r="A69" s="456" t="s">
        <v>9058</v>
      </c>
      <c r="B69" s="447">
        <f t="shared" si="16"/>
        <v>0</v>
      </c>
      <c r="C69" s="451">
        <v>10</v>
      </c>
      <c r="D69" s="452" t="str">
        <f t="shared" si="17"/>
        <v>No</v>
      </c>
      <c r="E69" s="444"/>
      <c r="G69" s="421" t="b">
        <f>$G$62</f>
        <v>1</v>
      </c>
      <c r="H69" s="422"/>
      <c r="I69" s="442"/>
      <c r="J69" s="442">
        <f t="shared" si="18"/>
        <v>0</v>
      </c>
      <c r="K69" s="442"/>
      <c r="L69" s="442"/>
    </row>
    <row r="70" spans="1:12" ht="20.25" customHeight="1" x14ac:dyDescent="0.2">
      <c r="A70" s="456" t="s">
        <v>229</v>
      </c>
      <c r="B70" s="447">
        <f t="shared" si="16"/>
        <v>0</v>
      </c>
      <c r="C70" s="451">
        <v>40</v>
      </c>
      <c r="D70" s="452" t="str">
        <f t="shared" si="17"/>
        <v>No</v>
      </c>
      <c r="E70" s="444"/>
      <c r="G70" s="421" t="b">
        <f>OR($G$62,$L$52="OZONE",$K$17)</f>
        <v>1</v>
      </c>
      <c r="H70" s="422"/>
      <c r="I70" s="442"/>
      <c r="J70" s="442">
        <f t="shared" si="18"/>
        <v>0</v>
      </c>
      <c r="K70" s="442"/>
      <c r="L70" s="442"/>
    </row>
    <row r="71" spans="1:12" ht="20.25" customHeight="1" x14ac:dyDescent="0.2">
      <c r="A71" s="457" t="s">
        <v>11109</v>
      </c>
      <c r="B71" s="448">
        <f t="shared" si="16"/>
        <v>0</v>
      </c>
      <c r="C71" s="454">
        <v>7</v>
      </c>
      <c r="D71" s="455" t="str">
        <f t="shared" si="17"/>
        <v>No</v>
      </c>
      <c r="E71" s="444"/>
      <c r="G71" s="421" t="b">
        <f>$G$62</f>
        <v>1</v>
      </c>
      <c r="H71" s="422"/>
      <c r="I71" s="442"/>
      <c r="J71" s="442">
        <f t="shared" si="18"/>
        <v>0</v>
      </c>
      <c r="K71" s="442"/>
      <c r="L71" s="442"/>
    </row>
    <row r="72" spans="1:12" ht="20.100000000000001" customHeight="1" thickBot="1" x14ac:dyDescent="0.25">
      <c r="A72" s="1099" t="str">
        <f t="shared" ref="A72" si="19">"Step 4 Determination: "&amp;IF(J72,"At least one pollutant in this project is at or above the threshold. PSD review would be required. This project does not qualify for this RAP.","The project emissions increase for each evaluated pollutant and/or precursor is below the threshold. PSD review is not required.")</f>
        <v>Step 4 Determination: The project emissions increase for each evaluated pollutant and/or precursor is below the threshold. PSD review is not required.</v>
      </c>
      <c r="B72" s="1100"/>
      <c r="C72" s="1100"/>
      <c r="D72" s="1100"/>
      <c r="E72" s="445"/>
      <c r="G72" s="421" t="b">
        <f>$G$62</f>
        <v>1</v>
      </c>
      <c r="H72" s="422" t="b">
        <f>COUNTIF(A72,"*does not qualify*")&gt;0</f>
        <v>0</v>
      </c>
      <c r="I72" s="442"/>
      <c r="J72" s="442" t="b">
        <f>SUM($J$64:$J$71)&gt;0</f>
        <v>0</v>
      </c>
      <c r="K72" s="442"/>
      <c r="L72" s="442"/>
    </row>
    <row r="73" spans="1:12" ht="8.1" customHeight="1" x14ac:dyDescent="0.2">
      <c r="A73" s="417" t="s">
        <v>130</v>
      </c>
      <c r="E73" s="446"/>
    </row>
    <row r="74" spans="1:12" ht="8.1" hidden="1" customHeight="1" x14ac:dyDescent="0.2">
      <c r="E74" s="446"/>
    </row>
  </sheetData>
  <sheetProtection algorithmName="SHA-512" hashValue="pY0hpoMYNDlL6uPdn7yrIhP3Fz3YfVJKDGMSU7a1z8HVjOcfkc2fmSvIA+wp4jNzPWGjkeL0tAMzsSRyxb6c/g==" saltValue="RV2iiUM6AB24e8J1rfffRw==" spinCount="100000" sheet="1" objects="1" scenarios="1" formatColumns="0" formatRows="0"/>
  <mergeCells count="26">
    <mergeCell ref="A7:B7"/>
    <mergeCell ref="A1:D1"/>
    <mergeCell ref="A2:D2"/>
    <mergeCell ref="A3:D3"/>
    <mergeCell ref="A4:D4"/>
    <mergeCell ref="A5:D5"/>
    <mergeCell ref="B37:D37"/>
    <mergeCell ref="A15:D15"/>
    <mergeCell ref="A16:D16"/>
    <mergeCell ref="B17:D17"/>
    <mergeCell ref="B18:D18"/>
    <mergeCell ref="B19:D19"/>
    <mergeCell ref="A20:D20"/>
    <mergeCell ref="A26:D26"/>
    <mergeCell ref="A27:D27"/>
    <mergeCell ref="A33:D33"/>
    <mergeCell ref="A35:D35"/>
    <mergeCell ref="A36:D36"/>
    <mergeCell ref="A62:D62"/>
    <mergeCell ref="A72:D72"/>
    <mergeCell ref="B38:D38"/>
    <mergeCell ref="B39:D39"/>
    <mergeCell ref="A40:D40"/>
    <mergeCell ref="A50:D50"/>
    <mergeCell ref="A51:D51"/>
    <mergeCell ref="A61:D61"/>
  </mergeCells>
  <dataValidations count="9">
    <dataValidation allowBlank="1" showErrorMessage="1" prompt="This cell intentionally left blank for internal comments. All internal comments must be submitted prior to application submittal." sqref="E6:E72" xr:uid="{963CB310-45F0-469C-9C92-3757056799FF}"/>
    <dataValidation type="list" allowBlank="1" showErrorMessage="1" prompt="Use the dropdown menu to select the source type that most closely matches the facility in this application." sqref="B37" xr:uid="{94687425-7FF6-4C03-BA79-8BA961F94377}">
      <formula1>$AA$2:$AA$28</formula1>
    </dataValidation>
    <dataValidation type="list" allowBlank="1" showErrorMessage="1" prompt="Is this facility located within the portion of this county that is designated nonattainment? Enter or select &quot;Yes&quot; or &quot;No&quot;." sqref="B18:D18" xr:uid="{C521689A-4F9E-4EE8-ABD9-6F9F83F475C0}">
      <formula1>"Yes,No"</formula1>
    </dataValidation>
    <dataValidation type="textLength" operator="lessThanOrEqual" allowBlank="1" showErrorMessage="1" prompt="When was the most recent air authorization action affecting sources in this RAP project? Provide the date and a brief description of the change. Enter NA if necessary. Limited to 300 characters." sqref="B13" xr:uid="{39105561-9E65-488A-A564-CF55D9F716C7}">
      <formula1>300</formula1>
    </dataValidation>
    <dataValidation type="textLength" operator="lessThanOrEqual" allowBlank="1" showErrorMessage="1" prompt="Describe the proposed changes in the other pending projects. Limited to 300 characters." sqref="B12" xr:uid="{9BACB9C1-CF4B-4155-8A63-B786BDB212AF}">
      <formula1>300</formula1>
    </dataValidation>
    <dataValidation type="list" allowBlank="1" showErrorMessage="1" prompt="Are there any pending projects involving EPNs in this project? Enter or select &quot;Yes&quot; or &quot;No&quot;." sqref="B11" xr:uid="{D2D7F28A-4D52-4F17-AA77-3E8C95AD0639}">
      <formula1>"Yes,No"</formula1>
    </dataValidation>
    <dataValidation type="list" allowBlank="1" showErrorMessage="1" prompt="Confirm this project will have no affected sources upstream of the modified sources. Enter or select &quot;I agree&quot; or &quot;I disagree&quot;." sqref="B9" xr:uid="{B3473B8F-2B2F-46CF-9021-00119735D43D}">
      <formula1>"I agree,I disagree"</formula1>
    </dataValidation>
    <dataValidation type="list" allowBlank="1" showErrorMessage="1" prompt="Confirm the following methods will not be used in the federal applicability analysis for this project: net-to-zero, retrospective review, incremental increases, or projected actuals/could have accommodated. Enter or select &quot;I agree&quot; or &quot;I disagree&quot;." sqref="B10" xr:uid="{8E6C1ADB-DF32-4AA1-B849-79916CF0A3A7}">
      <formula1>"I agree,I disagree"</formula1>
    </dataValidation>
    <dataValidation type="textLength" operator="lessThanOrEqual" allowBlank="1" showErrorMessage="1" prompt="Provide a short description of the facility, limited to 300 characters." sqref="B38" xr:uid="{8F0014E3-C5D6-4F80-A490-037604915A60}">
      <formula1>300</formula1>
    </dataValidation>
  </dataValidations>
  <hyperlinks>
    <hyperlink ref="A5" r:id="rId1" xr:uid="{59BFAFBE-8485-4363-B196-8DE6B9BB12C0}"/>
  </hyperlinks>
  <printOptions horizontalCentered="1"/>
  <pageMargins left="0.25" right="0.25" top="0.57395833333333302" bottom="0.61354166666666698" header="0.3" footer="0.3"/>
  <pageSetup scale="73" fitToHeight="0" orientation="portrait" r:id="rId2"/>
  <headerFooter>
    <oddHeader>&amp;C&amp;"Arial,Regular"Engine Power Generation RAP Application</oddHeader>
    <oddFooter>&amp;L&amp;"Arial,Regular"Version: 1.0&amp;C&amp;"Arial,Regular"Sheet: &amp;A&amp;R&amp;"Arial,Regular"Page &amp;P</oddFooter>
  </headerFooter>
  <tableParts count="6">
    <tablePart r:id="rId3"/>
    <tablePart r:id="rId4"/>
    <tablePart r:id="rId5"/>
    <tablePart r:id="rId6"/>
    <tablePart r:id="rId7"/>
    <tablePart r:id="rId8"/>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79FF3B-D12B-4601-B69E-F9C13E13309C}">
  <sheetPr codeName="Sheet37">
    <tabColor theme="8" tint="0.39997558519241921"/>
  </sheetPr>
  <dimension ref="A1:J663"/>
  <sheetViews>
    <sheetView showGridLines="0" zoomScaleNormal="100" workbookViewId="0">
      <selection sqref="A1:F1"/>
    </sheetView>
  </sheetViews>
  <sheetFormatPr defaultColWidth="0" defaultRowHeight="14.25" zeroHeight="1" x14ac:dyDescent="0.2"/>
  <cols>
    <col min="1" max="4" width="4.375" customWidth="1"/>
    <col min="5" max="6" width="51.625" customWidth="1"/>
    <col min="7" max="7" width="2.625" customWidth="1"/>
    <col min="8" max="8" width="16.375" hidden="1" customWidth="1"/>
    <col min="9" max="10" width="20.5" hidden="1" customWidth="1"/>
    <col min="11" max="16384" width="9" hidden="1"/>
  </cols>
  <sheetData>
    <row r="1" spans="1:9" ht="8.25" customHeight="1" thickBot="1" x14ac:dyDescent="0.25">
      <c r="A1" s="478" t="s">
        <v>8834</v>
      </c>
      <c r="B1" s="478"/>
      <c r="C1" s="478"/>
      <c r="D1" s="478"/>
      <c r="E1" s="478"/>
      <c r="F1" s="478"/>
    </row>
    <row r="2" spans="1:9" ht="18.75" thickBot="1" x14ac:dyDescent="0.25">
      <c r="A2" s="525" t="s">
        <v>337</v>
      </c>
      <c r="B2" s="525"/>
      <c r="C2" s="525"/>
      <c r="D2" s="525"/>
      <c r="E2" s="525"/>
      <c r="F2" s="525"/>
    </row>
    <row r="3" spans="1:9" ht="101.25" customHeight="1" thickBot="1" x14ac:dyDescent="0.25">
      <c r="A3" s="707" t="s">
        <v>9270</v>
      </c>
      <c r="B3" s="469"/>
      <c r="C3" s="469"/>
      <c r="D3" s="469"/>
      <c r="E3" s="469"/>
      <c r="F3" s="470"/>
    </row>
    <row r="4" spans="1:9" ht="15" thickBot="1" x14ac:dyDescent="0.25">
      <c r="A4" s="478" t="s">
        <v>1</v>
      </c>
      <c r="B4" s="478"/>
      <c r="C4" s="478"/>
      <c r="D4" s="478"/>
      <c r="E4" s="478"/>
      <c r="F4" s="478"/>
    </row>
    <row r="5" spans="1:9" ht="15" x14ac:dyDescent="0.2">
      <c r="A5" s="474" t="s">
        <v>8835</v>
      </c>
      <c r="B5" s="474"/>
      <c r="C5" s="474"/>
      <c r="D5" s="474"/>
      <c r="E5" s="474"/>
      <c r="F5" s="474"/>
      <c r="I5" t="s">
        <v>10456</v>
      </c>
    </row>
    <row r="6" spans="1:9" ht="47.25" customHeight="1" x14ac:dyDescent="0.2">
      <c r="A6" s="9">
        <v>1</v>
      </c>
      <c r="B6" s="531" t="s">
        <v>10283</v>
      </c>
      <c r="C6" s="531"/>
      <c r="D6" s="531"/>
      <c r="E6" s="531"/>
      <c r="F6" s="538"/>
      <c r="H6" t="s">
        <v>10360</v>
      </c>
      <c r="I6" t="b">
        <f>'PI-1-MarineLoading'!$G$112="initial"</f>
        <v>0</v>
      </c>
    </row>
    <row r="7" spans="1:9" ht="31.5" customHeight="1" x14ac:dyDescent="0.2">
      <c r="A7" s="9">
        <v>2</v>
      </c>
      <c r="B7" s="531" t="s">
        <v>8817</v>
      </c>
      <c r="C7" s="531"/>
      <c r="D7" s="531"/>
      <c r="E7" s="531"/>
      <c r="F7" s="538"/>
      <c r="H7" t="s">
        <v>10360</v>
      </c>
      <c r="I7" t="b">
        <f>'PI-1-MarineLoading'!$G$112="initial"</f>
        <v>0</v>
      </c>
    </row>
    <row r="8" spans="1:9" ht="61.5" customHeight="1" x14ac:dyDescent="0.2">
      <c r="A8" s="9">
        <v>3</v>
      </c>
      <c r="B8" s="531" t="s">
        <v>8818</v>
      </c>
      <c r="C8" s="531"/>
      <c r="D8" s="531"/>
      <c r="E8" s="531"/>
      <c r="F8" s="538"/>
      <c r="H8" t="s">
        <v>10361</v>
      </c>
      <c r="I8" t="b">
        <f>'PI-1-MarineLoading'!$G$254="no"</f>
        <v>0</v>
      </c>
    </row>
    <row r="9" spans="1:9" ht="61.5" customHeight="1" x14ac:dyDescent="0.2">
      <c r="A9" s="9">
        <v>4</v>
      </c>
      <c r="B9" s="531" t="s">
        <v>10284</v>
      </c>
      <c r="C9" s="531"/>
      <c r="D9" s="531"/>
      <c r="E9" s="531"/>
      <c r="F9" s="538"/>
      <c r="I9" t="b">
        <v>0</v>
      </c>
    </row>
    <row r="10" spans="1:9" ht="15" x14ac:dyDescent="0.2">
      <c r="A10" s="564" t="s">
        <v>8819</v>
      </c>
      <c r="B10" s="563"/>
      <c r="C10" s="563"/>
      <c r="D10" s="563"/>
      <c r="E10" s="563"/>
      <c r="F10" s="847"/>
      <c r="I10" t="b">
        <f>COUNTIF($I$11:$I$55,"FALSE")=0</f>
        <v>0</v>
      </c>
    </row>
    <row r="11" spans="1:9" ht="30" customHeight="1" x14ac:dyDescent="0.2">
      <c r="A11" s="9">
        <v>5</v>
      </c>
      <c r="B11" s="689" t="s">
        <v>8820</v>
      </c>
      <c r="C11" s="690"/>
      <c r="D11" s="690"/>
      <c r="E11" s="690"/>
      <c r="F11" s="691"/>
      <c r="H11" t="s">
        <v>10362</v>
      </c>
      <c r="I11" t="b">
        <f>AND(COUNTIF('PI-1-MarineLoading'!$G$159:$G$171,"YES")=0,$C$25="")</f>
        <v>1</v>
      </c>
    </row>
    <row r="12" spans="1:9" x14ac:dyDescent="0.2">
      <c r="A12" s="173">
        <v>5</v>
      </c>
      <c r="B12" s="16" t="s">
        <v>8821</v>
      </c>
      <c r="C12" s="689" t="s">
        <v>73</v>
      </c>
      <c r="D12" s="690"/>
      <c r="E12" s="690"/>
      <c r="F12" s="691"/>
      <c r="I12" t="b">
        <f>'PI-1-MarineLoading'!$G159="No"</f>
        <v>0</v>
      </c>
    </row>
    <row r="13" spans="1:9" ht="31.5" customHeight="1" x14ac:dyDescent="0.2">
      <c r="A13" s="173">
        <v>5</v>
      </c>
      <c r="B13" s="16" t="s">
        <v>8822</v>
      </c>
      <c r="C13" s="689" t="s">
        <v>9950</v>
      </c>
      <c r="D13" s="690"/>
      <c r="E13" s="690"/>
      <c r="F13" s="691"/>
      <c r="I13" t="b">
        <f>'PI-1-MarineLoading'!$G160="No"</f>
        <v>0</v>
      </c>
    </row>
    <row r="14" spans="1:9" ht="31.5" customHeight="1" x14ac:dyDescent="0.2">
      <c r="A14" s="173">
        <v>5</v>
      </c>
      <c r="B14" s="16" t="s">
        <v>8824</v>
      </c>
      <c r="C14" s="689" t="s">
        <v>9951</v>
      </c>
      <c r="D14" s="690"/>
      <c r="E14" s="690"/>
      <c r="F14" s="691"/>
      <c r="I14" t="b">
        <f>'PI-1-MarineLoading'!$G161="No"</f>
        <v>0</v>
      </c>
    </row>
    <row r="15" spans="1:9" x14ac:dyDescent="0.2">
      <c r="A15" s="173">
        <v>5</v>
      </c>
      <c r="B15" s="16" t="s">
        <v>8823</v>
      </c>
      <c r="C15" s="689" t="s">
        <v>9952</v>
      </c>
      <c r="D15" s="690"/>
      <c r="E15" s="690"/>
      <c r="F15" s="691"/>
      <c r="I15" t="b">
        <f>'PI-1-MarineLoading'!$G162="No"</f>
        <v>0</v>
      </c>
    </row>
    <row r="16" spans="1:9" x14ac:dyDescent="0.2">
      <c r="A16" s="173">
        <v>5</v>
      </c>
      <c r="B16" s="16" t="s">
        <v>8825</v>
      </c>
      <c r="C16" s="689" t="s">
        <v>9953</v>
      </c>
      <c r="D16" s="690"/>
      <c r="E16" s="690"/>
      <c r="F16" s="691"/>
      <c r="I16" t="b">
        <f>'PI-1-MarineLoading'!$G163="No"</f>
        <v>0</v>
      </c>
    </row>
    <row r="17" spans="1:9" ht="31.5" customHeight="1" x14ac:dyDescent="0.2">
      <c r="A17" s="173">
        <v>5</v>
      </c>
      <c r="B17" s="16" t="s">
        <v>8826</v>
      </c>
      <c r="C17" s="689" t="s">
        <v>74</v>
      </c>
      <c r="D17" s="690"/>
      <c r="E17" s="690"/>
      <c r="F17" s="691"/>
      <c r="I17" t="b">
        <f>'PI-1-MarineLoading'!$G164="No"</f>
        <v>0</v>
      </c>
    </row>
    <row r="18" spans="1:9" ht="31.5" customHeight="1" x14ac:dyDescent="0.2">
      <c r="A18" s="173">
        <v>5</v>
      </c>
      <c r="B18" s="16" t="s">
        <v>8827</v>
      </c>
      <c r="C18" s="689" t="s">
        <v>75</v>
      </c>
      <c r="D18" s="690"/>
      <c r="E18" s="690"/>
      <c r="F18" s="691"/>
      <c r="I18" t="b">
        <f>'PI-1-MarineLoading'!$G165="No"</f>
        <v>0</v>
      </c>
    </row>
    <row r="19" spans="1:9" ht="31.5" customHeight="1" x14ac:dyDescent="0.2">
      <c r="A19" s="173">
        <v>5</v>
      </c>
      <c r="B19" s="16" t="s">
        <v>8828</v>
      </c>
      <c r="C19" s="689" t="s">
        <v>10285</v>
      </c>
      <c r="D19" s="690"/>
      <c r="E19" s="690"/>
      <c r="F19" s="691"/>
      <c r="I19" t="b">
        <f>'PI-1-MarineLoading'!$G166="No"</f>
        <v>0</v>
      </c>
    </row>
    <row r="20" spans="1:9" x14ac:dyDescent="0.2">
      <c r="A20" s="173">
        <v>5</v>
      </c>
      <c r="B20" s="16" t="s">
        <v>8829</v>
      </c>
      <c r="C20" s="689" t="s">
        <v>77</v>
      </c>
      <c r="D20" s="690"/>
      <c r="E20" s="690"/>
      <c r="F20" s="691"/>
      <c r="I20" t="b">
        <f>'PI-1-MarineLoading'!$G167="No"</f>
        <v>0</v>
      </c>
    </row>
    <row r="21" spans="1:9" x14ac:dyDescent="0.2">
      <c r="A21" s="173">
        <v>5</v>
      </c>
      <c r="B21" s="16" t="s">
        <v>8830</v>
      </c>
      <c r="C21" s="689" t="s">
        <v>10286</v>
      </c>
      <c r="D21" s="690"/>
      <c r="E21" s="690"/>
      <c r="F21" s="691"/>
      <c r="I21" t="b">
        <f>'PI-1-MarineLoading'!$G168="No"</f>
        <v>0</v>
      </c>
    </row>
    <row r="22" spans="1:9" x14ac:dyDescent="0.2">
      <c r="A22" s="173">
        <v>5</v>
      </c>
      <c r="B22" s="16" t="s">
        <v>8831</v>
      </c>
      <c r="C22" s="689" t="s">
        <v>79</v>
      </c>
      <c r="D22" s="690"/>
      <c r="E22" s="690"/>
      <c r="F22" s="691"/>
      <c r="I22" t="b">
        <f>'PI-1-MarineLoading'!$G169="No"</f>
        <v>0</v>
      </c>
    </row>
    <row r="23" spans="1:9" ht="31.5" customHeight="1" x14ac:dyDescent="0.2">
      <c r="A23" s="173">
        <v>5</v>
      </c>
      <c r="B23" s="16" t="s">
        <v>8832</v>
      </c>
      <c r="C23" s="689" t="s">
        <v>8839</v>
      </c>
      <c r="D23" s="690"/>
      <c r="E23" s="690"/>
      <c r="F23" s="691"/>
      <c r="I23" t="b">
        <f>'PI-1-MarineLoading'!$G170="No"</f>
        <v>0</v>
      </c>
    </row>
    <row r="24" spans="1:9" ht="31.5" customHeight="1" x14ac:dyDescent="0.2">
      <c r="A24" s="173">
        <v>5</v>
      </c>
      <c r="B24" s="16" t="s">
        <v>8833</v>
      </c>
      <c r="C24" s="689" t="s">
        <v>81</v>
      </c>
      <c r="D24" s="690"/>
      <c r="E24" s="690"/>
      <c r="F24" s="691"/>
      <c r="I24" t="b">
        <f>'PI-1-MarineLoading'!$G171="No"</f>
        <v>0</v>
      </c>
    </row>
    <row r="25" spans="1:9" ht="35.25" customHeight="1" x14ac:dyDescent="0.2">
      <c r="A25" s="173"/>
      <c r="B25" s="16" t="s">
        <v>8843</v>
      </c>
      <c r="C25" s="689" t="str">
        <f>IF('PI-1-MarineLoading'!$D$172="","",'PI-1-MarineLoading'!$D$172)</f>
        <v/>
      </c>
      <c r="D25" s="690"/>
      <c r="E25" s="690"/>
      <c r="F25" s="691"/>
      <c r="I25" t="b">
        <f>$C$25=""</f>
        <v>1</v>
      </c>
    </row>
    <row r="26" spans="1:9" ht="33.75" customHeight="1" x14ac:dyDescent="0.2">
      <c r="A26" s="9">
        <v>6</v>
      </c>
      <c r="B26" s="689" t="s">
        <v>8840</v>
      </c>
      <c r="C26" s="690"/>
      <c r="D26" s="690"/>
      <c r="E26" s="690"/>
      <c r="F26" s="691"/>
      <c r="H26" t="s">
        <v>10362</v>
      </c>
      <c r="I26" t="b">
        <f>AND(COUNTIF('PI-1-MarineLoading'!$G$174:$G$179,"YES")=0,$C$33="")</f>
        <v>1</v>
      </c>
    </row>
    <row r="27" spans="1:9" x14ac:dyDescent="0.2">
      <c r="A27" s="173">
        <v>6</v>
      </c>
      <c r="B27" s="16" t="s">
        <v>8821</v>
      </c>
      <c r="C27" s="933" t="s">
        <v>73</v>
      </c>
      <c r="D27" s="647"/>
      <c r="E27" s="647"/>
      <c r="F27" s="1128"/>
      <c r="I27" t="b">
        <f>'PI-1-MarineLoading'!$G174="No"</f>
        <v>0</v>
      </c>
    </row>
    <row r="28" spans="1:9" x14ac:dyDescent="0.2">
      <c r="A28" s="173">
        <v>6</v>
      </c>
      <c r="B28" s="16" t="s">
        <v>8822</v>
      </c>
      <c r="C28" s="933" t="s">
        <v>83</v>
      </c>
      <c r="D28" s="647"/>
      <c r="E28" s="647"/>
      <c r="F28" s="1128"/>
      <c r="I28" t="b">
        <f>'PI-1-MarineLoading'!$G175="No"</f>
        <v>0</v>
      </c>
    </row>
    <row r="29" spans="1:9" x14ac:dyDescent="0.2">
      <c r="A29" s="173">
        <v>6</v>
      </c>
      <c r="B29" s="16" t="s">
        <v>8824</v>
      </c>
      <c r="C29" s="933" t="s">
        <v>84</v>
      </c>
      <c r="D29" s="647"/>
      <c r="E29" s="647"/>
      <c r="F29" s="1128"/>
      <c r="I29" t="b">
        <f>'PI-1-MarineLoading'!$G176="No"</f>
        <v>0</v>
      </c>
    </row>
    <row r="30" spans="1:9" x14ac:dyDescent="0.2">
      <c r="A30" s="173">
        <v>6</v>
      </c>
      <c r="B30" s="16" t="s">
        <v>8823</v>
      </c>
      <c r="C30" s="933" t="s">
        <v>85</v>
      </c>
      <c r="D30" s="647"/>
      <c r="E30" s="647"/>
      <c r="F30" s="1128"/>
      <c r="I30" t="b">
        <f>'PI-1-MarineLoading'!$G177="No"</f>
        <v>0</v>
      </c>
    </row>
    <row r="31" spans="1:9" x14ac:dyDescent="0.2">
      <c r="A31" s="173">
        <v>6</v>
      </c>
      <c r="B31" s="16" t="s">
        <v>8825</v>
      </c>
      <c r="C31" s="933" t="s">
        <v>86</v>
      </c>
      <c r="D31" s="647"/>
      <c r="E31" s="647"/>
      <c r="F31" s="1128"/>
      <c r="I31" t="b">
        <f>'PI-1-MarineLoading'!$G178="No"</f>
        <v>0</v>
      </c>
    </row>
    <row r="32" spans="1:9" x14ac:dyDescent="0.2">
      <c r="A32" s="173">
        <v>6</v>
      </c>
      <c r="B32" s="16" t="s">
        <v>8826</v>
      </c>
      <c r="C32" s="933" t="s">
        <v>87</v>
      </c>
      <c r="D32" s="647"/>
      <c r="E32" s="647"/>
      <c r="F32" s="1128"/>
      <c r="I32" t="b">
        <f>'PI-1-MarineLoading'!$G179="No"</f>
        <v>0</v>
      </c>
    </row>
    <row r="33" spans="1:9" ht="35.25" customHeight="1" x14ac:dyDescent="0.2">
      <c r="A33" s="173"/>
      <c r="B33" s="16" t="s">
        <v>8827</v>
      </c>
      <c r="C33" s="933" t="str">
        <f>IF('PI-1-MarineLoading'!$D$180="","",'PI-1-MarineLoading'!$D$180)</f>
        <v/>
      </c>
      <c r="D33" s="647"/>
      <c r="E33" s="647"/>
      <c r="F33" s="1128"/>
      <c r="I33" t="b">
        <f>$C$33=""</f>
        <v>1</v>
      </c>
    </row>
    <row r="34" spans="1:9" ht="31.5" customHeight="1" x14ac:dyDescent="0.2">
      <c r="A34" s="9">
        <v>7</v>
      </c>
      <c r="B34" s="689" t="s">
        <v>8841</v>
      </c>
      <c r="C34" s="690"/>
      <c r="D34" s="690"/>
      <c r="E34" s="690"/>
      <c r="F34" s="691"/>
      <c r="H34" t="s">
        <v>10362</v>
      </c>
      <c r="I34" t="b">
        <f>AND(COUNTIF('PI-1-MarineLoading'!$G$182:$G$202,"Yes")=0,$C$56="")</f>
        <v>1</v>
      </c>
    </row>
    <row r="35" spans="1:9" x14ac:dyDescent="0.2">
      <c r="A35" s="173">
        <v>7</v>
      </c>
      <c r="B35" s="16" t="s">
        <v>8821</v>
      </c>
      <c r="C35" s="689" t="s">
        <v>73</v>
      </c>
      <c r="D35" s="690"/>
      <c r="E35" s="690"/>
      <c r="F35" s="691"/>
      <c r="I35" t="b">
        <f>'PI-1-MarineLoading'!$G182="no"</f>
        <v>0</v>
      </c>
    </row>
    <row r="36" spans="1:9" ht="31.5" customHeight="1" x14ac:dyDescent="0.2">
      <c r="A36" s="173">
        <v>7</v>
      </c>
      <c r="B36" s="16" t="s">
        <v>8822</v>
      </c>
      <c r="C36" s="689" t="s">
        <v>89</v>
      </c>
      <c r="D36" s="690"/>
      <c r="E36" s="690"/>
      <c r="F36" s="691"/>
      <c r="I36" t="b">
        <f>'PI-1-MarineLoading'!$G183="no"</f>
        <v>0</v>
      </c>
    </row>
    <row r="37" spans="1:9" x14ac:dyDescent="0.2">
      <c r="A37" s="173">
        <v>7</v>
      </c>
      <c r="B37" s="16" t="s">
        <v>8824</v>
      </c>
      <c r="C37" s="689" t="s">
        <v>90</v>
      </c>
      <c r="D37" s="690"/>
      <c r="E37" s="690"/>
      <c r="F37" s="691"/>
      <c r="I37" t="b">
        <f>'PI-1-MarineLoading'!$G184="no"</f>
        <v>0</v>
      </c>
    </row>
    <row r="38" spans="1:9" x14ac:dyDescent="0.2">
      <c r="A38" s="173">
        <v>7</v>
      </c>
      <c r="B38" s="16" t="s">
        <v>8823</v>
      </c>
      <c r="C38" s="689" t="s">
        <v>91</v>
      </c>
      <c r="D38" s="690"/>
      <c r="E38" s="690"/>
      <c r="F38" s="691"/>
      <c r="I38" t="b">
        <f>'PI-1-MarineLoading'!$G185="no"</f>
        <v>0</v>
      </c>
    </row>
    <row r="39" spans="1:9" x14ac:dyDescent="0.2">
      <c r="A39" s="173">
        <v>7</v>
      </c>
      <c r="B39" s="16" t="s">
        <v>8825</v>
      </c>
      <c r="C39" s="689" t="s">
        <v>8842</v>
      </c>
      <c r="D39" s="690"/>
      <c r="E39" s="690"/>
      <c r="F39" s="691"/>
      <c r="I39" t="b">
        <f>'PI-1-MarineLoading'!$G186="no"</f>
        <v>0</v>
      </c>
    </row>
    <row r="40" spans="1:9" x14ac:dyDescent="0.2">
      <c r="A40" s="173">
        <v>7</v>
      </c>
      <c r="B40" s="16" t="s">
        <v>8826</v>
      </c>
      <c r="C40" s="689" t="s">
        <v>92</v>
      </c>
      <c r="D40" s="690"/>
      <c r="E40" s="690"/>
      <c r="F40" s="691"/>
      <c r="I40" t="b">
        <f>'PI-1-MarineLoading'!$G187="no"</f>
        <v>0</v>
      </c>
    </row>
    <row r="41" spans="1:9" x14ac:dyDescent="0.2">
      <c r="A41" s="173">
        <v>7</v>
      </c>
      <c r="B41" s="16" t="s">
        <v>8827</v>
      </c>
      <c r="C41" s="689" t="s">
        <v>93</v>
      </c>
      <c r="D41" s="690"/>
      <c r="E41" s="690"/>
      <c r="F41" s="691"/>
      <c r="I41" t="b">
        <f>'PI-1-MarineLoading'!$G188="no"</f>
        <v>0</v>
      </c>
    </row>
    <row r="42" spans="1:9" x14ac:dyDescent="0.2">
      <c r="A42" s="173">
        <v>7</v>
      </c>
      <c r="B42" s="16" t="s">
        <v>8828</v>
      </c>
      <c r="C42" s="689" t="s">
        <v>10287</v>
      </c>
      <c r="D42" s="690"/>
      <c r="E42" s="690"/>
      <c r="F42" s="691"/>
      <c r="I42" t="b">
        <f>'PI-1-MarineLoading'!$G189="no"</f>
        <v>0</v>
      </c>
    </row>
    <row r="43" spans="1:9" x14ac:dyDescent="0.2">
      <c r="A43" s="173">
        <v>7</v>
      </c>
      <c r="B43" s="16" t="s">
        <v>8829</v>
      </c>
      <c r="C43" s="689" t="s">
        <v>95</v>
      </c>
      <c r="D43" s="690"/>
      <c r="E43" s="690"/>
      <c r="F43" s="691"/>
      <c r="I43" t="b">
        <f>'PI-1-MarineLoading'!$G190="no"</f>
        <v>0</v>
      </c>
    </row>
    <row r="44" spans="1:9" ht="31.5" customHeight="1" x14ac:dyDescent="0.2">
      <c r="A44" s="173">
        <v>7</v>
      </c>
      <c r="B44" s="16" t="s">
        <v>8830</v>
      </c>
      <c r="C44" s="689" t="s">
        <v>96</v>
      </c>
      <c r="D44" s="690"/>
      <c r="E44" s="690"/>
      <c r="F44" s="691"/>
      <c r="I44" t="b">
        <f>'PI-1-MarineLoading'!$G191="no"</f>
        <v>0</v>
      </c>
    </row>
    <row r="45" spans="1:9" x14ac:dyDescent="0.2">
      <c r="A45" s="173">
        <v>7</v>
      </c>
      <c r="B45" s="16" t="s">
        <v>8831</v>
      </c>
      <c r="C45" s="689" t="s">
        <v>97</v>
      </c>
      <c r="D45" s="690"/>
      <c r="E45" s="690"/>
      <c r="F45" s="691"/>
      <c r="I45" t="b">
        <f>'PI-1-MarineLoading'!$G192="no"</f>
        <v>0</v>
      </c>
    </row>
    <row r="46" spans="1:9" x14ac:dyDescent="0.2">
      <c r="A46" s="173">
        <v>7</v>
      </c>
      <c r="B46" s="16" t="s">
        <v>8832</v>
      </c>
      <c r="C46" s="689" t="s">
        <v>98</v>
      </c>
      <c r="D46" s="690"/>
      <c r="E46" s="690"/>
      <c r="F46" s="691"/>
      <c r="I46" t="b">
        <f>'PI-1-MarineLoading'!$G193="no"</f>
        <v>0</v>
      </c>
    </row>
    <row r="47" spans="1:9" x14ac:dyDescent="0.2">
      <c r="A47" s="173">
        <v>7</v>
      </c>
      <c r="B47" s="16" t="s">
        <v>8833</v>
      </c>
      <c r="C47" s="689" t="s">
        <v>99</v>
      </c>
      <c r="D47" s="690"/>
      <c r="E47" s="690"/>
      <c r="F47" s="691"/>
      <c r="I47" t="b">
        <f>'PI-1-MarineLoading'!$G194="no"</f>
        <v>0</v>
      </c>
    </row>
    <row r="48" spans="1:9" x14ac:dyDescent="0.2">
      <c r="A48" s="173">
        <v>7</v>
      </c>
      <c r="B48" s="16" t="s">
        <v>8843</v>
      </c>
      <c r="C48" s="689" t="s">
        <v>100</v>
      </c>
      <c r="D48" s="690"/>
      <c r="E48" s="690"/>
      <c r="F48" s="691"/>
      <c r="I48" t="b">
        <f>'PI-1-MarineLoading'!$G195="no"</f>
        <v>0</v>
      </c>
    </row>
    <row r="49" spans="1:9" x14ac:dyDescent="0.2">
      <c r="A49" s="173">
        <v>7</v>
      </c>
      <c r="B49" s="16" t="s">
        <v>8844</v>
      </c>
      <c r="C49" s="689" t="s">
        <v>101</v>
      </c>
      <c r="D49" s="690"/>
      <c r="E49" s="690"/>
      <c r="F49" s="691"/>
      <c r="I49" t="b">
        <f>'PI-1-MarineLoading'!$G196="no"</f>
        <v>0</v>
      </c>
    </row>
    <row r="50" spans="1:9" x14ac:dyDescent="0.2">
      <c r="A50" s="173">
        <v>7</v>
      </c>
      <c r="B50" s="16" t="s">
        <v>8845</v>
      </c>
      <c r="C50" s="689" t="s">
        <v>102</v>
      </c>
      <c r="D50" s="690"/>
      <c r="E50" s="690"/>
      <c r="F50" s="691"/>
      <c r="I50" t="b">
        <f>'PI-1-MarineLoading'!$G197="no"</f>
        <v>0</v>
      </c>
    </row>
    <row r="51" spans="1:9" x14ac:dyDescent="0.2">
      <c r="A51" s="173">
        <v>7</v>
      </c>
      <c r="B51" s="16" t="s">
        <v>8846</v>
      </c>
      <c r="C51" s="689" t="s">
        <v>8847</v>
      </c>
      <c r="D51" s="690"/>
      <c r="E51" s="690"/>
      <c r="F51" s="691"/>
      <c r="I51" t="b">
        <f>'PI-1-MarineLoading'!$G198="no"</f>
        <v>0</v>
      </c>
    </row>
    <row r="52" spans="1:9" x14ac:dyDescent="0.2">
      <c r="A52" s="173">
        <v>7</v>
      </c>
      <c r="B52" s="16" t="s">
        <v>8848</v>
      </c>
      <c r="C52" s="689" t="s">
        <v>103</v>
      </c>
      <c r="D52" s="690"/>
      <c r="E52" s="690"/>
      <c r="F52" s="691"/>
      <c r="I52" t="b">
        <f>'PI-1-MarineLoading'!$G199="no"</f>
        <v>0</v>
      </c>
    </row>
    <row r="53" spans="1:9" ht="31.5" customHeight="1" x14ac:dyDescent="0.2">
      <c r="A53" s="173">
        <v>7</v>
      </c>
      <c r="B53" s="16" t="s">
        <v>8849</v>
      </c>
      <c r="C53" s="689" t="s">
        <v>104</v>
      </c>
      <c r="D53" s="690"/>
      <c r="E53" s="690"/>
      <c r="F53" s="691"/>
      <c r="I53" t="b">
        <f>'PI-1-MarineLoading'!$G200="no"</f>
        <v>0</v>
      </c>
    </row>
    <row r="54" spans="1:9" x14ac:dyDescent="0.2">
      <c r="A54" s="173">
        <v>7</v>
      </c>
      <c r="B54" s="16" t="s">
        <v>8850</v>
      </c>
      <c r="C54" s="689" t="s">
        <v>105</v>
      </c>
      <c r="D54" s="690"/>
      <c r="E54" s="690"/>
      <c r="F54" s="691"/>
      <c r="I54" t="b">
        <f>'PI-1-MarineLoading'!$G201="no"</f>
        <v>0</v>
      </c>
    </row>
    <row r="55" spans="1:9" x14ac:dyDescent="0.2">
      <c r="A55" s="173">
        <v>7</v>
      </c>
      <c r="B55" s="16" t="s">
        <v>8851</v>
      </c>
      <c r="C55" s="689" t="s">
        <v>106</v>
      </c>
      <c r="D55" s="690"/>
      <c r="E55" s="690"/>
      <c r="F55" s="691"/>
      <c r="I55" t="b">
        <f>'PI-1-MarineLoading'!$G202="no"</f>
        <v>0</v>
      </c>
    </row>
    <row r="56" spans="1:9" ht="35.25" customHeight="1" x14ac:dyDescent="0.2">
      <c r="A56" s="173"/>
      <c r="B56" s="16" t="s">
        <v>11020</v>
      </c>
      <c r="C56" s="689" t="str">
        <f>IF('PI-1-MarineLoading'!$D$203="","",'PI-1-MarineLoading'!$D$203)</f>
        <v/>
      </c>
      <c r="D56" s="690"/>
      <c r="E56" s="690"/>
      <c r="F56" s="691"/>
      <c r="I56" t="b">
        <f>$C$56=""</f>
        <v>1</v>
      </c>
    </row>
    <row r="57" spans="1:9" ht="15" x14ac:dyDescent="0.2">
      <c r="A57" s="564" t="s">
        <v>8852</v>
      </c>
      <c r="B57" s="563"/>
      <c r="C57" s="563"/>
      <c r="D57" s="563"/>
      <c r="E57" s="563"/>
      <c r="F57" s="847"/>
      <c r="I57" t="b">
        <f>'PI-1-MarineLoading'!$G$127="no"</f>
        <v>0</v>
      </c>
    </row>
    <row r="58" spans="1:9" ht="60.75" customHeight="1" x14ac:dyDescent="0.2">
      <c r="A58" s="9">
        <v>8</v>
      </c>
      <c r="B58" s="689" t="s">
        <v>10293</v>
      </c>
      <c r="C58" s="690"/>
      <c r="D58" s="690"/>
      <c r="E58" s="690"/>
      <c r="F58" s="691"/>
      <c r="H58" t="s">
        <v>10363</v>
      </c>
      <c r="I58" t="b">
        <f>Fug!$F$19&lt;&gt;"28VHP"</f>
        <v>1</v>
      </c>
    </row>
    <row r="59" spans="1:9" ht="162" customHeight="1" x14ac:dyDescent="0.2">
      <c r="A59" s="173">
        <v>8</v>
      </c>
      <c r="B59" s="16" t="s">
        <v>8821</v>
      </c>
      <c r="C59" s="689" t="s">
        <v>10288</v>
      </c>
      <c r="D59" s="690"/>
      <c r="E59" s="690"/>
      <c r="F59" s="691"/>
      <c r="I59" t="b">
        <f>Fug!$F$19&lt;&gt;"28VHP"</f>
        <v>1</v>
      </c>
    </row>
    <row r="60" spans="1:9" ht="49.5" customHeight="1" x14ac:dyDescent="0.2">
      <c r="A60" s="173">
        <v>8</v>
      </c>
      <c r="B60" s="16" t="s">
        <v>8822</v>
      </c>
      <c r="C60" s="689" t="s">
        <v>8853</v>
      </c>
      <c r="D60" s="690"/>
      <c r="E60" s="690"/>
      <c r="F60" s="691"/>
      <c r="I60" t="b">
        <f>Fug!$F$19&lt;&gt;"28VHP"</f>
        <v>1</v>
      </c>
    </row>
    <row r="61" spans="1:9" ht="33.75" customHeight="1" x14ac:dyDescent="0.2">
      <c r="A61" s="173">
        <v>8</v>
      </c>
      <c r="B61" s="16" t="s">
        <v>8824</v>
      </c>
      <c r="C61" s="689" t="s">
        <v>10289</v>
      </c>
      <c r="D61" s="690"/>
      <c r="E61" s="690"/>
      <c r="F61" s="691"/>
      <c r="I61" t="b">
        <f>Fug!$F$19&lt;&gt;"28VHP"</f>
        <v>1</v>
      </c>
    </row>
    <row r="62" spans="1:9" ht="103.5" customHeight="1" x14ac:dyDescent="0.2">
      <c r="A62" s="173">
        <v>8</v>
      </c>
      <c r="B62" s="16" t="s">
        <v>8823</v>
      </c>
      <c r="C62" s="689" t="s">
        <v>10290</v>
      </c>
      <c r="D62" s="690"/>
      <c r="E62" s="690"/>
      <c r="F62" s="691"/>
      <c r="I62" t="b">
        <f>Fug!$F$19&lt;&gt;"28VHP"</f>
        <v>1</v>
      </c>
    </row>
    <row r="63" spans="1:9" ht="160.5" customHeight="1" x14ac:dyDescent="0.2">
      <c r="A63" s="173">
        <v>8</v>
      </c>
      <c r="B63" s="16" t="s">
        <v>8825</v>
      </c>
      <c r="C63" s="689" t="s">
        <v>10292</v>
      </c>
      <c r="D63" s="690"/>
      <c r="E63" s="690"/>
      <c r="F63" s="691"/>
      <c r="I63" t="b">
        <f>Fug!$F$19&lt;&gt;"28VHP"</f>
        <v>1</v>
      </c>
    </row>
    <row r="64" spans="1:9" x14ac:dyDescent="0.2">
      <c r="A64" s="173">
        <v>8</v>
      </c>
      <c r="B64" s="223" t="s">
        <v>8825</v>
      </c>
      <c r="C64" s="226" t="s">
        <v>8855</v>
      </c>
      <c r="D64" s="689" t="s">
        <v>8856</v>
      </c>
      <c r="E64" s="690"/>
      <c r="F64" s="691"/>
      <c r="I64" t="b">
        <f>Fug!$F$19&lt;&gt;"28VHP"</f>
        <v>1</v>
      </c>
    </row>
    <row r="65" spans="1:9" ht="79.5" customHeight="1" x14ac:dyDescent="0.2">
      <c r="A65" s="173">
        <v>8</v>
      </c>
      <c r="B65" s="223" t="s">
        <v>8825</v>
      </c>
      <c r="C65" s="226" t="s">
        <v>8857</v>
      </c>
      <c r="D65" s="689" t="s">
        <v>10291</v>
      </c>
      <c r="E65" s="690"/>
      <c r="F65" s="691"/>
      <c r="I65" t="b">
        <f>Fug!$F$19&lt;&gt;"28VHP"</f>
        <v>1</v>
      </c>
    </row>
    <row r="66" spans="1:9" ht="273" customHeight="1" x14ac:dyDescent="0.2">
      <c r="A66" s="173">
        <v>8</v>
      </c>
      <c r="B66" s="16" t="s">
        <v>8826</v>
      </c>
      <c r="C66" s="689" t="s">
        <v>10294</v>
      </c>
      <c r="D66" s="690"/>
      <c r="E66" s="690"/>
      <c r="F66" s="691"/>
      <c r="I66" t="b">
        <f>Fug!$F$19&lt;&gt;"28VHP"</f>
        <v>1</v>
      </c>
    </row>
    <row r="67" spans="1:9" ht="102" customHeight="1" x14ac:dyDescent="0.2">
      <c r="A67" s="173">
        <v>8</v>
      </c>
      <c r="B67" s="16" t="s">
        <v>8827</v>
      </c>
      <c r="C67" s="689" t="s">
        <v>8858</v>
      </c>
      <c r="D67" s="690"/>
      <c r="E67" s="690"/>
      <c r="F67" s="691"/>
      <c r="I67" t="b">
        <f>Fug!$F$19&lt;&gt;"28VHP"</f>
        <v>1</v>
      </c>
    </row>
    <row r="68" spans="1:9" ht="74.25" customHeight="1" x14ac:dyDescent="0.2">
      <c r="A68" s="173">
        <v>8</v>
      </c>
      <c r="B68" s="16" t="s">
        <v>8828</v>
      </c>
      <c r="C68" s="689" t="s">
        <v>10295</v>
      </c>
      <c r="D68" s="690"/>
      <c r="E68" s="690"/>
      <c r="F68" s="691"/>
      <c r="I68" t="b">
        <f>Fug!$F$19&lt;&gt;"28VHP"</f>
        <v>1</v>
      </c>
    </row>
    <row r="69" spans="1:9" ht="187.5" customHeight="1" x14ac:dyDescent="0.2">
      <c r="A69" s="173">
        <v>8</v>
      </c>
      <c r="B69" s="16" t="s">
        <v>8829</v>
      </c>
      <c r="C69" s="689" t="s">
        <v>10296</v>
      </c>
      <c r="D69" s="690"/>
      <c r="E69" s="690"/>
      <c r="F69" s="691"/>
      <c r="I69" t="b">
        <f>Fug!$F$19&lt;&gt;"28VHP"</f>
        <v>1</v>
      </c>
    </row>
    <row r="70" spans="1:9" ht="61.5" customHeight="1" x14ac:dyDescent="0.2">
      <c r="A70" s="173">
        <v>8</v>
      </c>
      <c r="B70" s="16" t="s">
        <v>8830</v>
      </c>
      <c r="C70" s="689" t="s">
        <v>8859</v>
      </c>
      <c r="D70" s="690"/>
      <c r="E70" s="690"/>
      <c r="F70" s="691"/>
      <c r="I70" t="b">
        <f>Fug!$F$19&lt;&gt;"28VHP"</f>
        <v>1</v>
      </c>
    </row>
    <row r="71" spans="1:9" ht="30.75" customHeight="1" x14ac:dyDescent="0.2">
      <c r="A71" s="173">
        <v>8</v>
      </c>
      <c r="B71" s="16" t="s">
        <v>8831</v>
      </c>
      <c r="C71" s="689" t="s">
        <v>8860</v>
      </c>
      <c r="D71" s="690"/>
      <c r="E71" s="690"/>
      <c r="F71" s="691"/>
      <c r="I71" t="b">
        <f>Fug!$F$19&lt;&gt;"28VHP"</f>
        <v>1</v>
      </c>
    </row>
    <row r="72" spans="1:9" ht="45" customHeight="1" x14ac:dyDescent="0.2">
      <c r="A72" s="173">
        <v>8</v>
      </c>
      <c r="B72" s="16" t="s">
        <v>8832</v>
      </c>
      <c r="C72" s="689" t="s">
        <v>8861</v>
      </c>
      <c r="D72" s="690"/>
      <c r="E72" s="690"/>
      <c r="F72" s="691"/>
      <c r="I72" t="b">
        <f>Fug!$F$19&lt;&gt;"28VHP"</f>
        <v>1</v>
      </c>
    </row>
    <row r="73" spans="1:9" ht="48.75" customHeight="1" x14ac:dyDescent="0.2">
      <c r="A73" s="9">
        <v>9</v>
      </c>
      <c r="B73" s="689" t="s">
        <v>8862</v>
      </c>
      <c r="C73" s="690"/>
      <c r="D73" s="690"/>
      <c r="E73" s="690"/>
      <c r="F73" s="691"/>
      <c r="H73" t="s">
        <v>10364</v>
      </c>
      <c r="I73" t="b">
        <f>Fug!$F$19&lt;&gt;"28MID"</f>
        <v>1</v>
      </c>
    </row>
    <row r="74" spans="1:9" ht="159.75" customHeight="1" x14ac:dyDescent="0.2">
      <c r="A74" s="173">
        <v>9</v>
      </c>
      <c r="B74" s="16" t="s">
        <v>8821</v>
      </c>
      <c r="C74" s="689" t="s">
        <v>10297</v>
      </c>
      <c r="D74" s="690"/>
      <c r="E74" s="690"/>
      <c r="F74" s="691"/>
      <c r="I74" t="b">
        <f>Fug!$F$19&lt;&gt;"28MID"</f>
        <v>1</v>
      </c>
    </row>
    <row r="75" spans="1:9" ht="47.25" customHeight="1" x14ac:dyDescent="0.2">
      <c r="A75" s="173">
        <v>9</v>
      </c>
      <c r="B75" s="16" t="s">
        <v>8822</v>
      </c>
      <c r="C75" s="689" t="s">
        <v>8863</v>
      </c>
      <c r="D75" s="690"/>
      <c r="E75" s="690"/>
      <c r="F75" s="691"/>
      <c r="I75" t="b">
        <f>Fug!$F$19&lt;&gt;"28MID"</f>
        <v>1</v>
      </c>
    </row>
    <row r="76" spans="1:9" ht="32.25" customHeight="1" x14ac:dyDescent="0.2">
      <c r="A76" s="173">
        <v>9</v>
      </c>
      <c r="B76" s="16" t="s">
        <v>8824</v>
      </c>
      <c r="C76" s="689" t="s">
        <v>8854</v>
      </c>
      <c r="D76" s="690"/>
      <c r="E76" s="690"/>
      <c r="F76" s="691"/>
      <c r="I76" t="b">
        <f>Fug!$F$19&lt;&gt;"28MID"</f>
        <v>1</v>
      </c>
    </row>
    <row r="77" spans="1:9" ht="104.25" customHeight="1" x14ac:dyDescent="0.2">
      <c r="A77" s="173">
        <v>9</v>
      </c>
      <c r="B77" s="16" t="s">
        <v>8823</v>
      </c>
      <c r="C77" s="689" t="s">
        <v>8864</v>
      </c>
      <c r="D77" s="690"/>
      <c r="E77" s="690"/>
      <c r="F77" s="691"/>
      <c r="I77" t="b">
        <f>Fug!$F$19&lt;&gt;"28MID"</f>
        <v>1</v>
      </c>
    </row>
    <row r="78" spans="1:9" ht="161.25" customHeight="1" x14ac:dyDescent="0.2">
      <c r="A78" s="173">
        <v>9</v>
      </c>
      <c r="B78" s="16" t="s">
        <v>8825</v>
      </c>
      <c r="C78" s="689" t="s">
        <v>8865</v>
      </c>
      <c r="D78" s="690"/>
      <c r="E78" s="690"/>
      <c r="F78" s="691"/>
      <c r="I78" t="b">
        <f>Fug!$F$19&lt;&gt;"28MID"</f>
        <v>1</v>
      </c>
    </row>
    <row r="79" spans="1:9" x14ac:dyDescent="0.2">
      <c r="A79" s="173">
        <v>9</v>
      </c>
      <c r="B79" s="223" t="s">
        <v>8825</v>
      </c>
      <c r="C79" s="226" t="s">
        <v>8855</v>
      </c>
      <c r="D79" s="689" t="s">
        <v>8856</v>
      </c>
      <c r="E79" s="690"/>
      <c r="F79" s="691"/>
      <c r="I79" t="b">
        <f>Fug!$F$19&lt;&gt;"28MID"</f>
        <v>1</v>
      </c>
    </row>
    <row r="80" spans="1:9" ht="73.5" customHeight="1" x14ac:dyDescent="0.2">
      <c r="A80" s="173">
        <v>9</v>
      </c>
      <c r="B80" s="223" t="s">
        <v>8825</v>
      </c>
      <c r="C80" s="226" t="s">
        <v>8857</v>
      </c>
      <c r="D80" s="689" t="s">
        <v>8866</v>
      </c>
      <c r="E80" s="690"/>
      <c r="F80" s="691"/>
      <c r="I80" t="b">
        <f>Fug!$F$19&lt;&gt;"28MID"</f>
        <v>1</v>
      </c>
    </row>
    <row r="81" spans="1:9" ht="246.75" customHeight="1" x14ac:dyDescent="0.2">
      <c r="A81" s="173">
        <v>9</v>
      </c>
      <c r="B81" s="16" t="s">
        <v>8826</v>
      </c>
      <c r="C81" s="689" t="s">
        <v>8867</v>
      </c>
      <c r="D81" s="690"/>
      <c r="E81" s="690"/>
      <c r="F81" s="691"/>
      <c r="I81" t="b">
        <f>Fug!$F$19&lt;&gt;"28MID"</f>
        <v>1</v>
      </c>
    </row>
    <row r="82" spans="1:9" ht="119.25" customHeight="1" x14ac:dyDescent="0.2">
      <c r="A82" s="173">
        <v>9</v>
      </c>
      <c r="B82" s="16" t="s">
        <v>8827</v>
      </c>
      <c r="C82" s="689" t="s">
        <v>8868</v>
      </c>
      <c r="D82" s="690"/>
      <c r="E82" s="690"/>
      <c r="F82" s="691"/>
      <c r="I82" t="b">
        <f>Fug!$F$19&lt;&gt;"28MID"</f>
        <v>1</v>
      </c>
    </row>
    <row r="83" spans="1:9" ht="204" customHeight="1" x14ac:dyDescent="0.2">
      <c r="A83" s="173">
        <v>9</v>
      </c>
      <c r="B83" s="16" t="s">
        <v>8828</v>
      </c>
      <c r="C83" s="689" t="s">
        <v>8869</v>
      </c>
      <c r="D83" s="690"/>
      <c r="E83" s="690"/>
      <c r="F83" s="691"/>
      <c r="I83" t="b">
        <f>Fug!$F$19&lt;&gt;"28MID"</f>
        <v>1</v>
      </c>
    </row>
    <row r="84" spans="1:9" ht="118.5" customHeight="1" x14ac:dyDescent="0.2">
      <c r="A84" s="173">
        <v>9</v>
      </c>
      <c r="B84" s="16" t="s">
        <v>8829</v>
      </c>
      <c r="C84" s="689" t="s">
        <v>8870</v>
      </c>
      <c r="D84" s="690"/>
      <c r="E84" s="690"/>
      <c r="F84" s="691"/>
      <c r="I84" t="b">
        <f>Fug!$F$19&lt;&gt;"28MID"</f>
        <v>1</v>
      </c>
    </row>
    <row r="85" spans="1:9" ht="132.75" customHeight="1" x14ac:dyDescent="0.2">
      <c r="A85" s="173">
        <v>9</v>
      </c>
      <c r="B85" s="16" t="s">
        <v>8830</v>
      </c>
      <c r="C85" s="689" t="s">
        <v>10298</v>
      </c>
      <c r="D85" s="690"/>
      <c r="E85" s="690"/>
      <c r="F85" s="691"/>
      <c r="I85" t="b">
        <f>Fug!$F$19&lt;&gt;"28MID"</f>
        <v>1</v>
      </c>
    </row>
    <row r="86" spans="1:9" ht="61.5" customHeight="1" x14ac:dyDescent="0.2">
      <c r="A86" s="173">
        <v>9</v>
      </c>
      <c r="B86" s="16" t="s">
        <v>8831</v>
      </c>
      <c r="C86" s="689" t="s">
        <v>8871</v>
      </c>
      <c r="D86" s="690"/>
      <c r="E86" s="690"/>
      <c r="F86" s="691"/>
      <c r="I86" t="b">
        <f>Fug!$F$19&lt;&gt;"28MID"</f>
        <v>1</v>
      </c>
    </row>
    <row r="87" spans="1:9" ht="48" customHeight="1" x14ac:dyDescent="0.2">
      <c r="A87" s="173">
        <v>9</v>
      </c>
      <c r="B87" s="16" t="s">
        <v>8832</v>
      </c>
      <c r="C87" s="689" t="s">
        <v>8872</v>
      </c>
      <c r="D87" s="690"/>
      <c r="E87" s="690"/>
      <c r="F87" s="691"/>
      <c r="I87" t="b">
        <f>Fug!$F$19&lt;&gt;"28MID"</f>
        <v>1</v>
      </c>
    </row>
    <row r="88" spans="1:9" ht="61.5" customHeight="1" x14ac:dyDescent="0.2">
      <c r="A88" s="9">
        <v>10</v>
      </c>
      <c r="B88" s="689" t="s">
        <v>10887</v>
      </c>
      <c r="C88" s="690"/>
      <c r="D88" s="690"/>
      <c r="E88" s="690"/>
      <c r="F88" s="691"/>
      <c r="H88" t="s">
        <v>10365</v>
      </c>
      <c r="I88" t="b">
        <f>Fug!$F$19&lt;&gt;"28LAER"</f>
        <v>1</v>
      </c>
    </row>
    <row r="89" spans="1:9" ht="158.25" customHeight="1" x14ac:dyDescent="0.2">
      <c r="A89" s="173">
        <v>10</v>
      </c>
      <c r="B89" s="16" t="s">
        <v>8821</v>
      </c>
      <c r="C89" s="689" t="s">
        <v>10288</v>
      </c>
      <c r="D89" s="690"/>
      <c r="E89" s="690"/>
      <c r="F89" s="691"/>
      <c r="I89" t="b">
        <f>Fug!$F$19&lt;&gt;"28LAER"</f>
        <v>1</v>
      </c>
    </row>
    <row r="90" spans="1:9" ht="48" customHeight="1" x14ac:dyDescent="0.2">
      <c r="A90" s="173">
        <v>10</v>
      </c>
      <c r="B90" s="16" t="s">
        <v>8822</v>
      </c>
      <c r="C90" s="689" t="s">
        <v>8853</v>
      </c>
      <c r="D90" s="690"/>
      <c r="E90" s="690"/>
      <c r="F90" s="691"/>
      <c r="I90" t="b">
        <f>Fug!$F$19&lt;&gt;"28LAER"</f>
        <v>1</v>
      </c>
    </row>
    <row r="91" spans="1:9" ht="32.25" customHeight="1" x14ac:dyDescent="0.2">
      <c r="A91" s="173">
        <v>10</v>
      </c>
      <c r="B91" s="16" t="s">
        <v>8824</v>
      </c>
      <c r="C91" s="689" t="s">
        <v>10289</v>
      </c>
      <c r="D91" s="690"/>
      <c r="E91" s="690"/>
      <c r="F91" s="691"/>
      <c r="I91" t="b">
        <f>Fug!$F$19&lt;&gt;"28LAER"</f>
        <v>1</v>
      </c>
    </row>
    <row r="92" spans="1:9" ht="102.75" customHeight="1" x14ac:dyDescent="0.2">
      <c r="A92" s="173">
        <v>10</v>
      </c>
      <c r="B92" s="16" t="s">
        <v>8823</v>
      </c>
      <c r="C92" s="689" t="s">
        <v>10299</v>
      </c>
      <c r="D92" s="690"/>
      <c r="E92" s="690"/>
      <c r="F92" s="691"/>
      <c r="I92" t="b">
        <f>Fug!$F$19&lt;&gt;"28LAER"</f>
        <v>1</v>
      </c>
    </row>
    <row r="93" spans="1:9" ht="202.5" customHeight="1" x14ac:dyDescent="0.2">
      <c r="A93" s="414">
        <v>10</v>
      </c>
      <c r="B93" s="203" t="s">
        <v>8825</v>
      </c>
      <c r="C93" s="734" t="s">
        <v>10300</v>
      </c>
      <c r="D93" s="693"/>
      <c r="E93" s="693"/>
      <c r="F93" s="735"/>
      <c r="I93" t="b">
        <f>Fug!$F$19&lt;&gt;"28LAER"</f>
        <v>1</v>
      </c>
    </row>
    <row r="94" spans="1:9" ht="261.75" customHeight="1" x14ac:dyDescent="0.2">
      <c r="A94" s="326">
        <v>10</v>
      </c>
      <c r="B94" s="413" t="s">
        <v>8825</v>
      </c>
      <c r="C94" s="1136" t="s">
        <v>10301</v>
      </c>
      <c r="D94" s="1137"/>
      <c r="E94" s="1137"/>
      <c r="F94" s="1138"/>
      <c r="I94" t="b">
        <f>Fug!$F$19&lt;&gt;"28LAER"</f>
        <v>1</v>
      </c>
    </row>
    <row r="95" spans="1:9" x14ac:dyDescent="0.2">
      <c r="A95" s="173">
        <v>10</v>
      </c>
      <c r="B95" s="223" t="s">
        <v>8825</v>
      </c>
      <c r="C95" s="226" t="s">
        <v>8855</v>
      </c>
      <c r="D95" s="689" t="s">
        <v>8856</v>
      </c>
      <c r="E95" s="690"/>
      <c r="F95" s="691"/>
      <c r="I95" t="b">
        <f>Fug!$F$19&lt;&gt;"28LAER"</f>
        <v>1</v>
      </c>
    </row>
    <row r="96" spans="1:9" ht="75.75" customHeight="1" x14ac:dyDescent="0.2">
      <c r="A96" s="173">
        <v>10</v>
      </c>
      <c r="B96" s="223" t="s">
        <v>8825</v>
      </c>
      <c r="C96" s="226" t="s">
        <v>8857</v>
      </c>
      <c r="D96" s="689" t="s">
        <v>8873</v>
      </c>
      <c r="E96" s="690"/>
      <c r="F96" s="691"/>
      <c r="I96" t="b">
        <f>Fug!$F$19&lt;&gt;"28LAER"</f>
        <v>1</v>
      </c>
    </row>
    <row r="97" spans="1:9" ht="302.25" customHeight="1" x14ac:dyDescent="0.2">
      <c r="A97" s="173">
        <v>10</v>
      </c>
      <c r="B97" s="16" t="s">
        <v>8826</v>
      </c>
      <c r="C97" s="689" t="s">
        <v>8874</v>
      </c>
      <c r="D97" s="690"/>
      <c r="E97" s="690"/>
      <c r="F97" s="691"/>
      <c r="I97" t="b">
        <f>Fug!$F$19&lt;&gt;"28LAER"</f>
        <v>1</v>
      </c>
    </row>
    <row r="98" spans="1:9" ht="119.25" customHeight="1" x14ac:dyDescent="0.2">
      <c r="A98" s="173">
        <v>10</v>
      </c>
      <c r="B98" s="16" t="s">
        <v>8827</v>
      </c>
      <c r="C98" s="689" t="s">
        <v>8868</v>
      </c>
      <c r="D98" s="690"/>
      <c r="E98" s="690"/>
      <c r="F98" s="691"/>
      <c r="I98" t="b">
        <f>Fug!$F$19&lt;&gt;"28LAER"</f>
        <v>1</v>
      </c>
    </row>
    <row r="99" spans="1:9" ht="61.5" customHeight="1" x14ac:dyDescent="0.2">
      <c r="A99" s="173">
        <v>10</v>
      </c>
      <c r="B99" s="16" t="s">
        <v>8828</v>
      </c>
      <c r="C99" s="689" t="s">
        <v>8875</v>
      </c>
      <c r="D99" s="690"/>
      <c r="E99" s="690"/>
      <c r="F99" s="691"/>
      <c r="I99" t="b">
        <f>Fug!$F$19&lt;&gt;"28LAER"</f>
        <v>1</v>
      </c>
    </row>
    <row r="100" spans="1:9" ht="61.5" customHeight="1" x14ac:dyDescent="0.2">
      <c r="A100" s="173">
        <v>10</v>
      </c>
      <c r="B100" s="16" t="s">
        <v>8829</v>
      </c>
      <c r="C100" s="689" t="s">
        <v>8876</v>
      </c>
      <c r="D100" s="690"/>
      <c r="E100" s="690"/>
      <c r="F100" s="691"/>
      <c r="I100" t="b">
        <f>Fug!$F$19&lt;&gt;"28LAER"</f>
        <v>1</v>
      </c>
    </row>
    <row r="101" spans="1:9" ht="61.5" customHeight="1" x14ac:dyDescent="0.2">
      <c r="A101" s="173">
        <v>10</v>
      </c>
      <c r="B101" s="16" t="s">
        <v>8830</v>
      </c>
      <c r="C101" s="689" t="s">
        <v>10302</v>
      </c>
      <c r="D101" s="690"/>
      <c r="E101" s="690"/>
      <c r="F101" s="691"/>
      <c r="I101" t="b">
        <f>Fug!$F$19&lt;&gt;"28LAER"</f>
        <v>1</v>
      </c>
    </row>
    <row r="102" spans="1:9" ht="118.5" customHeight="1" x14ac:dyDescent="0.2">
      <c r="A102" s="173">
        <v>10</v>
      </c>
      <c r="B102" s="16" t="s">
        <v>8831</v>
      </c>
      <c r="C102" s="689" t="s">
        <v>8870</v>
      </c>
      <c r="D102" s="690"/>
      <c r="E102" s="690"/>
      <c r="F102" s="691"/>
      <c r="I102" t="b">
        <f>Fug!$F$19&lt;&gt;"28LAER"</f>
        <v>1</v>
      </c>
    </row>
    <row r="103" spans="1:9" ht="132.75" customHeight="1" x14ac:dyDescent="0.2">
      <c r="A103" s="173">
        <v>10</v>
      </c>
      <c r="B103" s="16" t="s">
        <v>8832</v>
      </c>
      <c r="C103" s="689" t="s">
        <v>10303</v>
      </c>
      <c r="D103" s="690"/>
      <c r="E103" s="690"/>
      <c r="F103" s="691"/>
      <c r="I103" t="b">
        <f>Fug!$F$19&lt;&gt;"28LAER"</f>
        <v>1</v>
      </c>
    </row>
    <row r="104" spans="1:9" ht="42.75" customHeight="1" x14ac:dyDescent="0.2">
      <c r="A104" s="173">
        <v>10</v>
      </c>
      <c r="B104" s="16" t="s">
        <v>8833</v>
      </c>
      <c r="C104" s="689" t="s">
        <v>8877</v>
      </c>
      <c r="D104" s="690"/>
      <c r="E104" s="690"/>
      <c r="F104" s="691"/>
      <c r="I104" t="b">
        <f>Fug!$F$19&lt;&gt;"28LAER"</f>
        <v>1</v>
      </c>
    </row>
    <row r="105" spans="1:9" ht="35.25" customHeight="1" x14ac:dyDescent="0.2">
      <c r="A105" s="227">
        <v>11</v>
      </c>
      <c r="B105" s="734" t="str">
        <f>"Piping, Valves, Connectors, Pumps, and Compressors in contact with "
&amp;
Hidden!EU2&amp;IF(Hidden!EU3=0,"",", "&amp;Hidden!EU3)&amp;IF(Hidden!EU4=0,"",", "&amp;Hidden!EU4)&amp;IF(Hidden!EU5=0,"",", "&amp;Hidden!EU5)&amp;IF(Hidden!EU6=0,"",", "&amp;Hidden!EU6)&amp;IF(Hidden!EU7=0,"",Hidden!EU7)
&amp;
" – 28AVO"</f>
        <v>Piping, Valves, Connectors, Pumps, and Compressors in contact with 0 – 28AVO</v>
      </c>
      <c r="C105" s="693"/>
      <c r="D105" s="693"/>
      <c r="E105" s="693"/>
      <c r="F105" s="735"/>
      <c r="H105" s="8" t="s">
        <v>10366</v>
      </c>
      <c r="I105" t="b">
        <f>Fug!$F$20&lt;&gt;"28AVO"</f>
        <v>1</v>
      </c>
    </row>
    <row r="106" spans="1:9" x14ac:dyDescent="0.2">
      <c r="A106" s="326">
        <v>11</v>
      </c>
      <c r="B106" s="1136" t="s">
        <v>10457</v>
      </c>
      <c r="C106" s="1137"/>
      <c r="D106" s="1137"/>
      <c r="E106" s="1137"/>
      <c r="F106" s="1138"/>
      <c r="I106" t="b">
        <f>Fug!$F$20&lt;&gt;"28AVO"</f>
        <v>1</v>
      </c>
    </row>
    <row r="107" spans="1:9" x14ac:dyDescent="0.2">
      <c r="A107" s="173">
        <v>11</v>
      </c>
      <c r="B107" s="16" t="s">
        <v>8821</v>
      </c>
      <c r="C107" s="689" t="s">
        <v>8878</v>
      </c>
      <c r="D107" s="690"/>
      <c r="E107" s="690"/>
      <c r="F107" s="691"/>
      <c r="I107" t="b">
        <f>Fug!$F$20&lt;&gt;"28AVO"</f>
        <v>1</v>
      </c>
    </row>
    <row r="108" spans="1:9" x14ac:dyDescent="0.2">
      <c r="A108" s="173">
        <v>11</v>
      </c>
      <c r="B108" s="16" t="s">
        <v>8822</v>
      </c>
      <c r="C108" s="689" t="s">
        <v>8879</v>
      </c>
      <c r="D108" s="690"/>
      <c r="E108" s="690"/>
      <c r="F108" s="691"/>
      <c r="I108" t="b">
        <f>Fug!$F$20&lt;&gt;"28AVO"</f>
        <v>1</v>
      </c>
    </row>
    <row r="109" spans="1:9" x14ac:dyDescent="0.2">
      <c r="A109" s="173">
        <v>11</v>
      </c>
      <c r="B109" s="223" t="s">
        <v>8822</v>
      </c>
      <c r="C109" s="226" t="s">
        <v>8855</v>
      </c>
      <c r="D109" s="689" t="s">
        <v>8880</v>
      </c>
      <c r="E109" s="690"/>
      <c r="F109" s="691"/>
      <c r="I109" t="b">
        <f>Fug!$F$20&lt;&gt;"28AVO"</f>
        <v>1</v>
      </c>
    </row>
    <row r="110" spans="1:9" x14ac:dyDescent="0.2">
      <c r="A110" s="173">
        <v>11</v>
      </c>
      <c r="B110" s="223" t="s">
        <v>8822</v>
      </c>
      <c r="C110" s="226" t="s">
        <v>8857</v>
      </c>
      <c r="D110" s="689" t="s">
        <v>8881</v>
      </c>
      <c r="E110" s="690"/>
      <c r="F110" s="691"/>
      <c r="I110" t="b">
        <f>Fug!$F$20&lt;&gt;"28AVO"</f>
        <v>1</v>
      </c>
    </row>
    <row r="111" spans="1:9" ht="30.75" customHeight="1" x14ac:dyDescent="0.2">
      <c r="A111" s="173">
        <v>11</v>
      </c>
      <c r="B111" s="223" t="s">
        <v>8822</v>
      </c>
      <c r="C111" s="226" t="s">
        <v>8882</v>
      </c>
      <c r="D111" s="689" t="s">
        <v>8883</v>
      </c>
      <c r="E111" s="690"/>
      <c r="F111" s="691"/>
      <c r="I111" t="b">
        <f>Fug!$F$20&lt;&gt;"28AVO"</f>
        <v>1</v>
      </c>
    </row>
    <row r="112" spans="1:9" ht="44.25" customHeight="1" x14ac:dyDescent="0.2">
      <c r="A112" s="173">
        <v>11</v>
      </c>
      <c r="B112" s="415" t="s">
        <v>8824</v>
      </c>
      <c r="C112" s="933" t="s">
        <v>8884</v>
      </c>
      <c r="D112" s="647"/>
      <c r="E112" s="647"/>
      <c r="F112" s="1128"/>
      <c r="I112" t="b">
        <f>Fug!$F$20&lt;&gt;"28AVO"</f>
        <v>1</v>
      </c>
    </row>
    <row r="113" spans="1:9" ht="28.5" x14ac:dyDescent="0.2">
      <c r="A113" s="564" t="s">
        <v>10304</v>
      </c>
      <c r="B113" s="563"/>
      <c r="C113" s="563"/>
      <c r="D113" s="563"/>
      <c r="E113" s="563"/>
      <c r="F113" s="847"/>
      <c r="H113" t="s">
        <v>10367</v>
      </c>
      <c r="I113" t="b">
        <f>IF('PI-1-MarineLoading'!$G$115=0,TRUE,FALSE)</f>
        <v>1</v>
      </c>
    </row>
    <row r="114" spans="1:9" ht="32.25" customHeight="1" thickBot="1" x14ac:dyDescent="0.25">
      <c r="A114" s="227">
        <v>12</v>
      </c>
      <c r="B114" s="734" t="s">
        <v>10305</v>
      </c>
      <c r="C114" s="693"/>
      <c r="D114" s="693"/>
      <c r="E114" s="693"/>
      <c r="F114" s="735"/>
      <c r="I114" t="b">
        <f>IF('PI-1-MarineLoading'!$G$115=0,TRUE,FALSE)</f>
        <v>1</v>
      </c>
    </row>
    <row r="115" spans="1:9" ht="15" x14ac:dyDescent="0.2">
      <c r="A115" s="539" t="s">
        <v>167</v>
      </c>
      <c r="B115" s="540"/>
      <c r="C115" s="540" t="s">
        <v>8733</v>
      </c>
      <c r="D115" s="540"/>
      <c r="E115" s="49" t="s">
        <v>10833</v>
      </c>
      <c r="F115" s="117" t="s">
        <v>10834</v>
      </c>
      <c r="I115" t="b">
        <f>IF('PI-1-MarineLoading'!$G$115=0,TRUE,FALSE)</f>
        <v>1</v>
      </c>
    </row>
    <row r="116" spans="1:9" x14ac:dyDescent="0.2">
      <c r="A116" s="744">
        <f>Tank1!$D$7</f>
        <v>0</v>
      </c>
      <c r="B116" s="758"/>
      <c r="C116" s="689">
        <f>Hidden!$CK2</f>
        <v>0</v>
      </c>
      <c r="D116" s="758"/>
      <c r="E116" s="16">
        <f>Hidden!$CM2</f>
        <v>0</v>
      </c>
      <c r="F116" s="29">
        <f>Hidden!$CN2</f>
        <v>0</v>
      </c>
      <c r="H116" t="s">
        <v>10368</v>
      </c>
      <c r="I116" t="b">
        <f>IF('PI-1-MarineLoading'!$G$115=0,TRUE,IF($C116=0,TRUE,FALSE))</f>
        <v>1</v>
      </c>
    </row>
    <row r="117" spans="1:9" ht="14.25" customHeight="1" x14ac:dyDescent="0.2">
      <c r="A117" s="744">
        <f t="shared" ref="A117:A125" si="0">$A$116</f>
        <v>0</v>
      </c>
      <c r="B117" s="758"/>
      <c r="C117" s="689">
        <f>Hidden!$CK3</f>
        <v>0</v>
      </c>
      <c r="D117" s="758"/>
      <c r="E117" s="16">
        <f>Hidden!$CM3</f>
        <v>0</v>
      </c>
      <c r="F117" s="29">
        <f>Hidden!$CN3</f>
        <v>0</v>
      </c>
      <c r="H117" t="s">
        <v>10368</v>
      </c>
      <c r="I117" t="b">
        <f>IF('PI-1-MarineLoading'!$G$115=0,TRUE,IF($C117=0,TRUE,FALSE))</f>
        <v>1</v>
      </c>
    </row>
    <row r="118" spans="1:9" ht="14.25" customHeight="1" x14ac:dyDescent="0.2">
      <c r="A118" s="744">
        <f t="shared" si="0"/>
        <v>0</v>
      </c>
      <c r="B118" s="758"/>
      <c r="C118" s="689">
        <f>Hidden!$CK4</f>
        <v>0</v>
      </c>
      <c r="D118" s="758"/>
      <c r="E118" s="16">
        <f>Hidden!$CM4</f>
        <v>0</v>
      </c>
      <c r="F118" s="29">
        <f>Hidden!$CN4</f>
        <v>0</v>
      </c>
      <c r="H118" t="s">
        <v>10368</v>
      </c>
      <c r="I118" t="b">
        <f>IF('PI-1-MarineLoading'!$G$115=0,TRUE,IF($C118=0,TRUE,FALSE))</f>
        <v>1</v>
      </c>
    </row>
    <row r="119" spans="1:9" ht="14.25" customHeight="1" x14ac:dyDescent="0.2">
      <c r="A119" s="744">
        <f t="shared" si="0"/>
        <v>0</v>
      </c>
      <c r="B119" s="758"/>
      <c r="C119" s="689">
        <f>Hidden!$CK5</f>
        <v>0</v>
      </c>
      <c r="D119" s="758"/>
      <c r="E119" s="16">
        <f>Hidden!$CM5</f>
        <v>0</v>
      </c>
      <c r="F119" s="29">
        <f>Hidden!$CN5</f>
        <v>0</v>
      </c>
      <c r="H119" t="s">
        <v>10368</v>
      </c>
      <c r="I119" t="b">
        <f>IF('PI-1-MarineLoading'!$G$115=0,TRUE,IF($C119=0,TRUE,FALSE))</f>
        <v>1</v>
      </c>
    </row>
    <row r="120" spans="1:9" x14ac:dyDescent="0.2">
      <c r="A120" s="744">
        <f t="shared" si="0"/>
        <v>0</v>
      </c>
      <c r="B120" s="758"/>
      <c r="C120" s="689">
        <f>Hidden!$CK6</f>
        <v>0</v>
      </c>
      <c r="D120" s="758"/>
      <c r="E120" s="16">
        <f>Hidden!$CM6</f>
        <v>0</v>
      </c>
      <c r="F120" s="29">
        <f>Hidden!$CN6</f>
        <v>0</v>
      </c>
      <c r="H120" t="s">
        <v>10368</v>
      </c>
      <c r="I120" t="b">
        <f>IF('PI-1-MarineLoading'!$G$115=0,TRUE,IF($C120=0,TRUE,FALSE))</f>
        <v>1</v>
      </c>
    </row>
    <row r="121" spans="1:9" x14ac:dyDescent="0.2">
      <c r="A121" s="744">
        <f t="shared" si="0"/>
        <v>0</v>
      </c>
      <c r="B121" s="758"/>
      <c r="C121" s="689">
        <f>Hidden!$CK7</f>
        <v>0</v>
      </c>
      <c r="D121" s="758"/>
      <c r="E121" s="16">
        <f>Hidden!$CM7</f>
        <v>0</v>
      </c>
      <c r="F121" s="29">
        <f>Hidden!$CN7</f>
        <v>0</v>
      </c>
      <c r="H121" t="s">
        <v>10368</v>
      </c>
      <c r="I121" t="b">
        <f>IF('PI-1-MarineLoading'!$G$115=0,TRUE,IF($C121=0,TRUE,FALSE))</f>
        <v>1</v>
      </c>
    </row>
    <row r="122" spans="1:9" x14ac:dyDescent="0.2">
      <c r="A122" s="744">
        <f t="shared" si="0"/>
        <v>0</v>
      </c>
      <c r="B122" s="758"/>
      <c r="C122" s="689">
        <f>Hidden!$CK8</f>
        <v>0</v>
      </c>
      <c r="D122" s="758"/>
      <c r="E122" s="16">
        <f>Hidden!$CM8</f>
        <v>0</v>
      </c>
      <c r="F122" s="29">
        <f>Hidden!$CN8</f>
        <v>0</v>
      </c>
      <c r="H122" t="s">
        <v>10368</v>
      </c>
      <c r="I122" t="b">
        <f>IF('PI-1-MarineLoading'!$G$115=0,TRUE,IF($C122=0,TRUE,FALSE))</f>
        <v>1</v>
      </c>
    </row>
    <row r="123" spans="1:9" x14ac:dyDescent="0.2">
      <c r="A123" s="744">
        <f t="shared" si="0"/>
        <v>0</v>
      </c>
      <c r="B123" s="758"/>
      <c r="C123" s="689">
        <f>Hidden!$CK9</f>
        <v>0</v>
      </c>
      <c r="D123" s="758"/>
      <c r="E123" s="16">
        <f>Hidden!$CM9</f>
        <v>0</v>
      </c>
      <c r="F123" s="29">
        <f>Hidden!$CN9</f>
        <v>0</v>
      </c>
      <c r="H123" t="s">
        <v>10368</v>
      </c>
      <c r="I123" t="b">
        <f>IF('PI-1-MarineLoading'!$G$115=0,TRUE,IF($C123=0,TRUE,FALSE))</f>
        <v>1</v>
      </c>
    </row>
    <row r="124" spans="1:9" x14ac:dyDescent="0.2">
      <c r="A124" s="744">
        <f t="shared" si="0"/>
        <v>0</v>
      </c>
      <c r="B124" s="758"/>
      <c r="C124" s="689">
        <f>Hidden!$CK10</f>
        <v>0</v>
      </c>
      <c r="D124" s="758"/>
      <c r="E124" s="16">
        <f>Hidden!$CM10</f>
        <v>0</v>
      </c>
      <c r="F124" s="29">
        <f>Hidden!$CN10</f>
        <v>0</v>
      </c>
      <c r="H124" t="s">
        <v>10368</v>
      </c>
      <c r="I124" t="b">
        <f>IF('PI-1-MarineLoading'!$G$115=0,TRUE,IF($C124=0,TRUE,FALSE))</f>
        <v>1</v>
      </c>
    </row>
    <row r="125" spans="1:9" x14ac:dyDescent="0.2">
      <c r="A125" s="744">
        <f t="shared" si="0"/>
        <v>0</v>
      </c>
      <c r="B125" s="758"/>
      <c r="C125" s="689">
        <f>Hidden!$CK11</f>
        <v>0</v>
      </c>
      <c r="D125" s="758"/>
      <c r="E125" s="16">
        <f>Hidden!$CM11</f>
        <v>0</v>
      </c>
      <c r="F125" s="29">
        <f>Hidden!$CN11</f>
        <v>0</v>
      </c>
      <c r="H125" t="s">
        <v>10368</v>
      </c>
      <c r="I125" t="b">
        <f>IF('PI-1-MarineLoading'!$G$115=0,TRUE,IF($C125=0,TRUE,FALSE))</f>
        <v>1</v>
      </c>
    </row>
    <row r="126" spans="1:9" x14ac:dyDescent="0.2">
      <c r="A126" s="744">
        <f>Tank2!$D$7</f>
        <v>0</v>
      </c>
      <c r="B126" s="758"/>
      <c r="C126" s="689">
        <f>Hidden!$CK12</f>
        <v>0</v>
      </c>
      <c r="D126" s="758"/>
      <c r="E126" s="16">
        <f>Hidden!$CM12</f>
        <v>0</v>
      </c>
      <c r="F126" s="29">
        <f>Hidden!$CN12</f>
        <v>0</v>
      </c>
      <c r="H126" t="s">
        <v>10368</v>
      </c>
      <c r="I126" t="b">
        <f>IF('PI-1-MarineLoading'!$G$115=0,TRUE,IF($C126=0,TRUE,FALSE))</f>
        <v>1</v>
      </c>
    </row>
    <row r="127" spans="1:9" x14ac:dyDescent="0.2">
      <c r="A127" s="744">
        <f>$A$126</f>
        <v>0</v>
      </c>
      <c r="B127" s="758"/>
      <c r="C127" s="689">
        <f>Hidden!$CK13</f>
        <v>0</v>
      </c>
      <c r="D127" s="758"/>
      <c r="E127" s="16">
        <f>Hidden!$CM13</f>
        <v>0</v>
      </c>
      <c r="F127" s="29">
        <f>Hidden!$CN13</f>
        <v>0</v>
      </c>
      <c r="H127" t="s">
        <v>10368</v>
      </c>
      <c r="I127" t="b">
        <f>IF('PI-1-MarineLoading'!$G$115=0,TRUE,IF($C127=0,TRUE,FALSE))</f>
        <v>1</v>
      </c>
    </row>
    <row r="128" spans="1:9" x14ac:dyDescent="0.2">
      <c r="A128" s="744">
        <f t="shared" ref="A128:A135" si="1">$A$126</f>
        <v>0</v>
      </c>
      <c r="B128" s="758"/>
      <c r="C128" s="689">
        <f>Hidden!$CK14</f>
        <v>0</v>
      </c>
      <c r="D128" s="758"/>
      <c r="E128" s="16">
        <f>Hidden!$CM14</f>
        <v>0</v>
      </c>
      <c r="F128" s="29">
        <f>Hidden!$CN14</f>
        <v>0</v>
      </c>
      <c r="H128" t="s">
        <v>10368</v>
      </c>
      <c r="I128" t="b">
        <f>IF('PI-1-MarineLoading'!$G$115=0,TRUE,IF($C128=0,TRUE,FALSE))</f>
        <v>1</v>
      </c>
    </row>
    <row r="129" spans="1:9" x14ac:dyDescent="0.2">
      <c r="A129" s="744">
        <f t="shared" si="1"/>
        <v>0</v>
      </c>
      <c r="B129" s="758"/>
      <c r="C129" s="689">
        <f>Hidden!$CK15</f>
        <v>0</v>
      </c>
      <c r="D129" s="758"/>
      <c r="E129" s="16">
        <f>Hidden!$CM15</f>
        <v>0</v>
      </c>
      <c r="F129" s="29">
        <f>Hidden!$CN15</f>
        <v>0</v>
      </c>
      <c r="H129" t="s">
        <v>10368</v>
      </c>
      <c r="I129" t="b">
        <f>IF('PI-1-MarineLoading'!$G$115=0,TRUE,IF($C129=0,TRUE,FALSE))</f>
        <v>1</v>
      </c>
    </row>
    <row r="130" spans="1:9" x14ac:dyDescent="0.2">
      <c r="A130" s="744">
        <f t="shared" si="1"/>
        <v>0</v>
      </c>
      <c r="B130" s="758"/>
      <c r="C130" s="689">
        <f>Hidden!$CK16</f>
        <v>0</v>
      </c>
      <c r="D130" s="758"/>
      <c r="E130" s="16">
        <f>Hidden!$CM16</f>
        <v>0</v>
      </c>
      <c r="F130" s="29">
        <f>Hidden!$CN16</f>
        <v>0</v>
      </c>
      <c r="H130" t="s">
        <v>10368</v>
      </c>
      <c r="I130" t="b">
        <f>IF('PI-1-MarineLoading'!$G$115=0,TRUE,IF($C130=0,TRUE,FALSE))</f>
        <v>1</v>
      </c>
    </row>
    <row r="131" spans="1:9" x14ac:dyDescent="0.2">
      <c r="A131" s="744">
        <f t="shared" si="1"/>
        <v>0</v>
      </c>
      <c r="B131" s="758"/>
      <c r="C131" s="689">
        <f>Hidden!$CK17</f>
        <v>0</v>
      </c>
      <c r="D131" s="758"/>
      <c r="E131" s="16">
        <f>Hidden!$CM17</f>
        <v>0</v>
      </c>
      <c r="F131" s="29">
        <f>Hidden!$CN17</f>
        <v>0</v>
      </c>
      <c r="H131" t="s">
        <v>10368</v>
      </c>
      <c r="I131" t="b">
        <f>IF('PI-1-MarineLoading'!$G$115=0,TRUE,IF($C131=0,TRUE,FALSE))</f>
        <v>1</v>
      </c>
    </row>
    <row r="132" spans="1:9" ht="14.25" customHeight="1" x14ac:dyDescent="0.2">
      <c r="A132" s="744">
        <f t="shared" si="1"/>
        <v>0</v>
      </c>
      <c r="B132" s="758"/>
      <c r="C132" s="689">
        <f>Hidden!$CK18</f>
        <v>0</v>
      </c>
      <c r="D132" s="758"/>
      <c r="E132" s="16">
        <f>Hidden!$CM18</f>
        <v>0</v>
      </c>
      <c r="F132" s="29">
        <f>Hidden!$CN18</f>
        <v>0</v>
      </c>
      <c r="H132" t="s">
        <v>10368</v>
      </c>
      <c r="I132" t="b">
        <f>IF('PI-1-MarineLoading'!$G$115=0,TRUE,IF($C132=0,TRUE,FALSE))</f>
        <v>1</v>
      </c>
    </row>
    <row r="133" spans="1:9" x14ac:dyDescent="0.2">
      <c r="A133" s="744">
        <f t="shared" si="1"/>
        <v>0</v>
      </c>
      <c r="B133" s="758"/>
      <c r="C133" s="689">
        <f>Hidden!$CK19</f>
        <v>0</v>
      </c>
      <c r="D133" s="758"/>
      <c r="E133" s="16">
        <f>Hidden!$CM19</f>
        <v>0</v>
      </c>
      <c r="F133" s="29">
        <f>Hidden!$CN19</f>
        <v>0</v>
      </c>
      <c r="H133" t="s">
        <v>10368</v>
      </c>
      <c r="I133" t="b">
        <f>IF('PI-1-MarineLoading'!$G$115=0,TRUE,IF($C133=0,TRUE,FALSE))</f>
        <v>1</v>
      </c>
    </row>
    <row r="134" spans="1:9" x14ac:dyDescent="0.2">
      <c r="A134" s="744">
        <f t="shared" si="1"/>
        <v>0</v>
      </c>
      <c r="B134" s="758"/>
      <c r="C134" s="689">
        <f>Hidden!$CK20</f>
        <v>0</v>
      </c>
      <c r="D134" s="758"/>
      <c r="E134" s="16">
        <f>Hidden!$CM20</f>
        <v>0</v>
      </c>
      <c r="F134" s="29">
        <f>Hidden!$CN20</f>
        <v>0</v>
      </c>
      <c r="H134" t="s">
        <v>10368</v>
      </c>
      <c r="I134" t="b">
        <f>IF('PI-1-MarineLoading'!$G$115=0,TRUE,IF($C134=0,TRUE,FALSE))</f>
        <v>1</v>
      </c>
    </row>
    <row r="135" spans="1:9" x14ac:dyDescent="0.2">
      <c r="A135" s="744">
        <f t="shared" si="1"/>
        <v>0</v>
      </c>
      <c r="B135" s="758"/>
      <c r="C135" s="689">
        <f>Hidden!$CK21</f>
        <v>0</v>
      </c>
      <c r="D135" s="758"/>
      <c r="E135" s="16">
        <f>Hidden!$CM21</f>
        <v>0</v>
      </c>
      <c r="F135" s="29">
        <f>Hidden!$CN21</f>
        <v>0</v>
      </c>
      <c r="H135" t="s">
        <v>10368</v>
      </c>
      <c r="I135" t="b">
        <f>IF('PI-1-MarineLoading'!$G$115=0,TRUE,IF($C135=0,TRUE,FALSE))</f>
        <v>1</v>
      </c>
    </row>
    <row r="136" spans="1:9" ht="14.25" customHeight="1" x14ac:dyDescent="0.2">
      <c r="A136" s="744">
        <f>Tank3!$D$7</f>
        <v>0</v>
      </c>
      <c r="B136" s="758"/>
      <c r="C136" s="689">
        <f>Hidden!$CK22</f>
        <v>0</v>
      </c>
      <c r="D136" s="758"/>
      <c r="E136" s="16">
        <f>Hidden!$CM22</f>
        <v>0</v>
      </c>
      <c r="F136" s="29">
        <f>Hidden!$CN22</f>
        <v>0</v>
      </c>
      <c r="H136" t="s">
        <v>10368</v>
      </c>
      <c r="I136" t="b">
        <f>IF('PI-1-MarineLoading'!$G$115=0,TRUE,IF($C136=0,TRUE,FALSE))</f>
        <v>1</v>
      </c>
    </row>
    <row r="137" spans="1:9" x14ac:dyDescent="0.2">
      <c r="A137" s="744">
        <f t="shared" ref="A137:A145" si="2">$A$136</f>
        <v>0</v>
      </c>
      <c r="B137" s="758"/>
      <c r="C137" s="689">
        <f>Hidden!$CK23</f>
        <v>0</v>
      </c>
      <c r="D137" s="758"/>
      <c r="E137" s="16">
        <f>Hidden!$CM23</f>
        <v>0</v>
      </c>
      <c r="F137" s="29">
        <f>Hidden!$CN23</f>
        <v>0</v>
      </c>
      <c r="H137" t="s">
        <v>10368</v>
      </c>
      <c r="I137" t="b">
        <f>IF('PI-1-MarineLoading'!$G$115=0,TRUE,IF($C137=0,TRUE,FALSE))</f>
        <v>1</v>
      </c>
    </row>
    <row r="138" spans="1:9" x14ac:dyDescent="0.2">
      <c r="A138" s="744">
        <f t="shared" si="2"/>
        <v>0</v>
      </c>
      <c r="B138" s="758"/>
      <c r="C138" s="689">
        <f>Hidden!$CK24</f>
        <v>0</v>
      </c>
      <c r="D138" s="758"/>
      <c r="E138" s="16">
        <f>Hidden!$CM24</f>
        <v>0</v>
      </c>
      <c r="F138" s="29">
        <f>Hidden!$CN24</f>
        <v>0</v>
      </c>
      <c r="H138" t="s">
        <v>10368</v>
      </c>
      <c r="I138" t="b">
        <f>IF('PI-1-MarineLoading'!$G$115=0,TRUE,IF($C138=0,TRUE,FALSE))</f>
        <v>1</v>
      </c>
    </row>
    <row r="139" spans="1:9" x14ac:dyDescent="0.2">
      <c r="A139" s="744">
        <f t="shared" si="2"/>
        <v>0</v>
      </c>
      <c r="B139" s="758"/>
      <c r="C139" s="689">
        <f>Hidden!$CK25</f>
        <v>0</v>
      </c>
      <c r="D139" s="758"/>
      <c r="E139" s="16">
        <f>Hidden!$CM25</f>
        <v>0</v>
      </c>
      <c r="F139" s="29">
        <f>Hidden!$CN25</f>
        <v>0</v>
      </c>
      <c r="H139" t="s">
        <v>10368</v>
      </c>
      <c r="I139" t="b">
        <f>IF('PI-1-MarineLoading'!$G$115=0,TRUE,IF($C139=0,TRUE,FALSE))</f>
        <v>1</v>
      </c>
    </row>
    <row r="140" spans="1:9" x14ac:dyDescent="0.2">
      <c r="A140" s="744">
        <f t="shared" si="2"/>
        <v>0</v>
      </c>
      <c r="B140" s="758"/>
      <c r="C140" s="689">
        <f>Hidden!$CK26</f>
        <v>0</v>
      </c>
      <c r="D140" s="758"/>
      <c r="E140" s="16">
        <f>Hidden!$CM26</f>
        <v>0</v>
      </c>
      <c r="F140" s="29">
        <f>Hidden!$CN26</f>
        <v>0</v>
      </c>
      <c r="H140" t="s">
        <v>10368</v>
      </c>
      <c r="I140" t="b">
        <f>IF('PI-1-MarineLoading'!$G$115=0,TRUE,IF($C140=0,TRUE,FALSE))</f>
        <v>1</v>
      </c>
    </row>
    <row r="141" spans="1:9" x14ac:dyDescent="0.2">
      <c r="A141" s="744">
        <f t="shared" si="2"/>
        <v>0</v>
      </c>
      <c r="B141" s="758"/>
      <c r="C141" s="689">
        <f>Hidden!$CK27</f>
        <v>0</v>
      </c>
      <c r="D141" s="758"/>
      <c r="E141" s="16">
        <f>Hidden!$CM27</f>
        <v>0</v>
      </c>
      <c r="F141" s="29">
        <f>Hidden!$CN27</f>
        <v>0</v>
      </c>
      <c r="H141" t="s">
        <v>10368</v>
      </c>
      <c r="I141" t="b">
        <f>IF('PI-1-MarineLoading'!$G$115=0,TRUE,IF($C141=0,TRUE,FALSE))</f>
        <v>1</v>
      </c>
    </row>
    <row r="142" spans="1:9" x14ac:dyDescent="0.2">
      <c r="A142" s="744">
        <f t="shared" si="2"/>
        <v>0</v>
      </c>
      <c r="B142" s="758"/>
      <c r="C142" s="689">
        <f>Hidden!$CK28</f>
        <v>0</v>
      </c>
      <c r="D142" s="758"/>
      <c r="E142" s="16">
        <f>Hidden!$CM28</f>
        <v>0</v>
      </c>
      <c r="F142" s="29">
        <f>Hidden!$CN28</f>
        <v>0</v>
      </c>
      <c r="H142" t="s">
        <v>10368</v>
      </c>
      <c r="I142" t="b">
        <f>IF('PI-1-MarineLoading'!$G$115=0,TRUE,IF($C142=0,TRUE,FALSE))</f>
        <v>1</v>
      </c>
    </row>
    <row r="143" spans="1:9" x14ac:dyDescent="0.2">
      <c r="A143" s="744">
        <f t="shared" si="2"/>
        <v>0</v>
      </c>
      <c r="B143" s="758"/>
      <c r="C143" s="689">
        <f>Hidden!$CK29</f>
        <v>0</v>
      </c>
      <c r="D143" s="758"/>
      <c r="E143" s="16">
        <f>Hidden!$CM29</f>
        <v>0</v>
      </c>
      <c r="F143" s="29">
        <f>Hidden!$CN29</f>
        <v>0</v>
      </c>
      <c r="H143" t="s">
        <v>10368</v>
      </c>
      <c r="I143" t="b">
        <f>IF('PI-1-MarineLoading'!$G$115=0,TRUE,IF($C143=0,TRUE,FALSE))</f>
        <v>1</v>
      </c>
    </row>
    <row r="144" spans="1:9" x14ac:dyDescent="0.2">
      <c r="A144" s="744">
        <f t="shared" si="2"/>
        <v>0</v>
      </c>
      <c r="B144" s="758"/>
      <c r="C144" s="689">
        <f>Hidden!$CK30</f>
        <v>0</v>
      </c>
      <c r="D144" s="758"/>
      <c r="E144" s="16">
        <f>Hidden!$CM30</f>
        <v>0</v>
      </c>
      <c r="F144" s="29">
        <f>Hidden!$CN30</f>
        <v>0</v>
      </c>
      <c r="H144" t="s">
        <v>10368</v>
      </c>
      <c r="I144" t="b">
        <f>IF('PI-1-MarineLoading'!$G$115=0,TRUE,IF($C144=0,TRUE,FALSE))</f>
        <v>1</v>
      </c>
    </row>
    <row r="145" spans="1:9" x14ac:dyDescent="0.2">
      <c r="A145" s="744">
        <f t="shared" si="2"/>
        <v>0</v>
      </c>
      <c r="B145" s="758"/>
      <c r="C145" s="689">
        <f>Hidden!$CK31</f>
        <v>0</v>
      </c>
      <c r="D145" s="758"/>
      <c r="E145" s="16">
        <f>Hidden!$CM31</f>
        <v>0</v>
      </c>
      <c r="F145" s="29">
        <f>Hidden!$CN31</f>
        <v>0</v>
      </c>
      <c r="H145" t="s">
        <v>10368</v>
      </c>
      <c r="I145" t="b">
        <f>IF('PI-1-MarineLoading'!$G$115=0,TRUE,IF($C145=0,TRUE,FALSE))</f>
        <v>1</v>
      </c>
    </row>
    <row r="146" spans="1:9" ht="14.25" customHeight="1" x14ac:dyDescent="0.2">
      <c r="A146" s="744">
        <f>Tank4!$D$7</f>
        <v>0</v>
      </c>
      <c r="B146" s="758"/>
      <c r="C146" s="689">
        <f>Hidden!$CK32</f>
        <v>0</v>
      </c>
      <c r="D146" s="758"/>
      <c r="E146" s="16">
        <f>Hidden!$CM32</f>
        <v>0</v>
      </c>
      <c r="F146" s="29">
        <f>Hidden!$CN32</f>
        <v>0</v>
      </c>
      <c r="H146" t="s">
        <v>10368</v>
      </c>
      <c r="I146" t="b">
        <f>IF('PI-1-MarineLoading'!$G$115=0,TRUE,IF($C146=0,TRUE,FALSE))</f>
        <v>1</v>
      </c>
    </row>
    <row r="147" spans="1:9" x14ac:dyDescent="0.2">
      <c r="A147" s="744">
        <f t="shared" ref="A147:A155" si="3">$A$146</f>
        <v>0</v>
      </c>
      <c r="B147" s="758"/>
      <c r="C147" s="689">
        <f>Hidden!$CK33</f>
        <v>0</v>
      </c>
      <c r="D147" s="758"/>
      <c r="E147" s="16">
        <f>Hidden!$CM33</f>
        <v>0</v>
      </c>
      <c r="F147" s="29">
        <f>Hidden!$CN33</f>
        <v>0</v>
      </c>
      <c r="H147" t="s">
        <v>10368</v>
      </c>
      <c r="I147" t="b">
        <f>IF('PI-1-MarineLoading'!$G$115=0,TRUE,IF($C147=0,TRUE,FALSE))</f>
        <v>1</v>
      </c>
    </row>
    <row r="148" spans="1:9" x14ac:dyDescent="0.2">
      <c r="A148" s="744">
        <f t="shared" si="3"/>
        <v>0</v>
      </c>
      <c r="B148" s="758"/>
      <c r="C148" s="689">
        <f>Hidden!$CK34</f>
        <v>0</v>
      </c>
      <c r="D148" s="758"/>
      <c r="E148" s="16">
        <f>Hidden!$CM34</f>
        <v>0</v>
      </c>
      <c r="F148" s="29">
        <f>Hidden!$CN34</f>
        <v>0</v>
      </c>
      <c r="H148" t="s">
        <v>10368</v>
      </c>
      <c r="I148" t="b">
        <f>IF('PI-1-MarineLoading'!$G$115=0,TRUE,IF($C148=0,TRUE,FALSE))</f>
        <v>1</v>
      </c>
    </row>
    <row r="149" spans="1:9" x14ac:dyDescent="0.2">
      <c r="A149" s="744">
        <f t="shared" si="3"/>
        <v>0</v>
      </c>
      <c r="B149" s="758"/>
      <c r="C149" s="689">
        <f>Hidden!$CK35</f>
        <v>0</v>
      </c>
      <c r="D149" s="758"/>
      <c r="E149" s="16">
        <f>Hidden!$CM35</f>
        <v>0</v>
      </c>
      <c r="F149" s="29">
        <f>Hidden!$CN35</f>
        <v>0</v>
      </c>
      <c r="H149" t="s">
        <v>10368</v>
      </c>
      <c r="I149" t="b">
        <f>IF('PI-1-MarineLoading'!$G$115=0,TRUE,IF($C149=0,TRUE,FALSE))</f>
        <v>1</v>
      </c>
    </row>
    <row r="150" spans="1:9" x14ac:dyDescent="0.2">
      <c r="A150" s="744">
        <f t="shared" si="3"/>
        <v>0</v>
      </c>
      <c r="B150" s="758"/>
      <c r="C150" s="689">
        <f>Hidden!$CK36</f>
        <v>0</v>
      </c>
      <c r="D150" s="758"/>
      <c r="E150" s="16">
        <f>Hidden!$CM36</f>
        <v>0</v>
      </c>
      <c r="F150" s="29">
        <f>Hidden!$CN36</f>
        <v>0</v>
      </c>
      <c r="H150" t="s">
        <v>10368</v>
      </c>
      <c r="I150" t="b">
        <f>IF('PI-1-MarineLoading'!$G$115=0,TRUE,IF($C150=0,TRUE,FALSE))</f>
        <v>1</v>
      </c>
    </row>
    <row r="151" spans="1:9" x14ac:dyDescent="0.2">
      <c r="A151" s="744">
        <f t="shared" si="3"/>
        <v>0</v>
      </c>
      <c r="B151" s="758"/>
      <c r="C151" s="689">
        <f>Hidden!$CK37</f>
        <v>0</v>
      </c>
      <c r="D151" s="758"/>
      <c r="E151" s="16">
        <f>Hidden!$CM37</f>
        <v>0</v>
      </c>
      <c r="F151" s="29">
        <f>Hidden!$CN37</f>
        <v>0</v>
      </c>
      <c r="H151" t="s">
        <v>10368</v>
      </c>
      <c r="I151" t="b">
        <f>IF('PI-1-MarineLoading'!$G$115=0,TRUE,IF($C151=0,TRUE,FALSE))</f>
        <v>1</v>
      </c>
    </row>
    <row r="152" spans="1:9" x14ac:dyDescent="0.2">
      <c r="A152" s="744">
        <f t="shared" si="3"/>
        <v>0</v>
      </c>
      <c r="B152" s="758"/>
      <c r="C152" s="689">
        <f>Hidden!$CK38</f>
        <v>0</v>
      </c>
      <c r="D152" s="758"/>
      <c r="E152" s="16">
        <f>Hidden!$CM38</f>
        <v>0</v>
      </c>
      <c r="F152" s="29">
        <f>Hidden!$CN38</f>
        <v>0</v>
      </c>
      <c r="H152" t="s">
        <v>10368</v>
      </c>
      <c r="I152" t="b">
        <f>IF('PI-1-MarineLoading'!$G$115=0,TRUE,IF($C152=0,TRUE,FALSE))</f>
        <v>1</v>
      </c>
    </row>
    <row r="153" spans="1:9" x14ac:dyDescent="0.2">
      <c r="A153" s="744">
        <f t="shared" si="3"/>
        <v>0</v>
      </c>
      <c r="B153" s="758"/>
      <c r="C153" s="689">
        <f>Hidden!$CK39</f>
        <v>0</v>
      </c>
      <c r="D153" s="758"/>
      <c r="E153" s="16">
        <f>Hidden!$CM39</f>
        <v>0</v>
      </c>
      <c r="F153" s="29">
        <f>Hidden!$CN39</f>
        <v>0</v>
      </c>
      <c r="H153" t="s">
        <v>10368</v>
      </c>
      <c r="I153" t="b">
        <f>IF('PI-1-MarineLoading'!$G$115=0,TRUE,IF($C153=0,TRUE,FALSE))</f>
        <v>1</v>
      </c>
    </row>
    <row r="154" spans="1:9" x14ac:dyDescent="0.2">
      <c r="A154" s="744">
        <f t="shared" si="3"/>
        <v>0</v>
      </c>
      <c r="B154" s="758"/>
      <c r="C154" s="689">
        <f>Hidden!$CK40</f>
        <v>0</v>
      </c>
      <c r="D154" s="758"/>
      <c r="E154" s="16">
        <f>Hidden!$CM40</f>
        <v>0</v>
      </c>
      <c r="F154" s="29">
        <f>Hidden!$CN40</f>
        <v>0</v>
      </c>
      <c r="H154" t="s">
        <v>10368</v>
      </c>
      <c r="I154" t="b">
        <f>IF('PI-1-MarineLoading'!$G$115=0,TRUE,IF($C154=0,TRUE,FALSE))</f>
        <v>1</v>
      </c>
    </row>
    <row r="155" spans="1:9" x14ac:dyDescent="0.2">
      <c r="A155" s="744">
        <f t="shared" si="3"/>
        <v>0</v>
      </c>
      <c r="B155" s="758"/>
      <c r="C155" s="689">
        <f>Hidden!$CK41</f>
        <v>0</v>
      </c>
      <c r="D155" s="758"/>
      <c r="E155" s="16">
        <f>Hidden!$CM41</f>
        <v>0</v>
      </c>
      <c r="F155" s="29">
        <f>Hidden!$CN41</f>
        <v>0</v>
      </c>
      <c r="H155" t="s">
        <v>10368</v>
      </c>
      <c r="I155" t="b">
        <f>IF('PI-1-MarineLoading'!$G$115=0,TRUE,IF($C155=0,TRUE,FALSE))</f>
        <v>1</v>
      </c>
    </row>
    <row r="156" spans="1:9" ht="14.25" customHeight="1" x14ac:dyDescent="0.2">
      <c r="A156" s="744">
        <f>Tank5!$D$7</f>
        <v>0</v>
      </c>
      <c r="B156" s="758"/>
      <c r="C156" s="689">
        <f>Hidden!$CK42</f>
        <v>0</v>
      </c>
      <c r="D156" s="758"/>
      <c r="E156" s="16">
        <f>Hidden!$CM42</f>
        <v>0</v>
      </c>
      <c r="F156" s="29">
        <f>Hidden!$CN42</f>
        <v>0</v>
      </c>
      <c r="H156" t="s">
        <v>10368</v>
      </c>
      <c r="I156" t="b">
        <f>IF('PI-1-MarineLoading'!$G$115=0,TRUE,IF($C156=0,TRUE,FALSE))</f>
        <v>1</v>
      </c>
    </row>
    <row r="157" spans="1:9" x14ac:dyDescent="0.2">
      <c r="A157" s="744">
        <f t="shared" ref="A157:A165" si="4">$A$156</f>
        <v>0</v>
      </c>
      <c r="B157" s="758"/>
      <c r="C157" s="689">
        <f>Hidden!$CK43</f>
        <v>0</v>
      </c>
      <c r="D157" s="758"/>
      <c r="E157" s="16">
        <f>Hidden!$CM43</f>
        <v>0</v>
      </c>
      <c r="F157" s="29">
        <f>Hidden!$CN43</f>
        <v>0</v>
      </c>
      <c r="H157" t="s">
        <v>10368</v>
      </c>
      <c r="I157" t="b">
        <f>IF('PI-1-MarineLoading'!$G$115=0,TRUE,IF($C157=0,TRUE,FALSE))</f>
        <v>1</v>
      </c>
    </row>
    <row r="158" spans="1:9" x14ac:dyDescent="0.2">
      <c r="A158" s="744">
        <f t="shared" si="4"/>
        <v>0</v>
      </c>
      <c r="B158" s="758"/>
      <c r="C158" s="689">
        <f>Hidden!$CK44</f>
        <v>0</v>
      </c>
      <c r="D158" s="758"/>
      <c r="E158" s="16">
        <f>Hidden!$CM44</f>
        <v>0</v>
      </c>
      <c r="F158" s="29">
        <f>Hidden!$CN44</f>
        <v>0</v>
      </c>
      <c r="H158" t="s">
        <v>10368</v>
      </c>
      <c r="I158" t="b">
        <f>IF('PI-1-MarineLoading'!$G$115=0,TRUE,IF($C158=0,TRUE,FALSE))</f>
        <v>1</v>
      </c>
    </row>
    <row r="159" spans="1:9" x14ac:dyDescent="0.2">
      <c r="A159" s="744">
        <f t="shared" si="4"/>
        <v>0</v>
      </c>
      <c r="B159" s="758"/>
      <c r="C159" s="689">
        <f>Hidden!$CK45</f>
        <v>0</v>
      </c>
      <c r="D159" s="758"/>
      <c r="E159" s="16">
        <f>Hidden!$CM45</f>
        <v>0</v>
      </c>
      <c r="F159" s="29">
        <f>Hidden!$CN45</f>
        <v>0</v>
      </c>
      <c r="H159" t="s">
        <v>10368</v>
      </c>
      <c r="I159" t="b">
        <f>IF('PI-1-MarineLoading'!$G$115=0,TRUE,IF($C159=0,TRUE,FALSE))</f>
        <v>1</v>
      </c>
    </row>
    <row r="160" spans="1:9" x14ac:dyDescent="0.2">
      <c r="A160" s="744">
        <f t="shared" si="4"/>
        <v>0</v>
      </c>
      <c r="B160" s="758"/>
      <c r="C160" s="689">
        <f>Hidden!$CK46</f>
        <v>0</v>
      </c>
      <c r="D160" s="758"/>
      <c r="E160" s="16">
        <f>Hidden!$CM46</f>
        <v>0</v>
      </c>
      <c r="F160" s="29">
        <f>Hidden!$CN46</f>
        <v>0</v>
      </c>
      <c r="H160" t="s">
        <v>10368</v>
      </c>
      <c r="I160" t="b">
        <f>IF('PI-1-MarineLoading'!$G$115=0,TRUE,IF($C160=0,TRUE,FALSE))</f>
        <v>1</v>
      </c>
    </row>
    <row r="161" spans="1:9" x14ac:dyDescent="0.2">
      <c r="A161" s="744">
        <f t="shared" si="4"/>
        <v>0</v>
      </c>
      <c r="B161" s="758"/>
      <c r="C161" s="689">
        <f>Hidden!$CK47</f>
        <v>0</v>
      </c>
      <c r="D161" s="758"/>
      <c r="E161" s="16">
        <f>Hidden!$CM47</f>
        <v>0</v>
      </c>
      <c r="F161" s="29">
        <f>Hidden!$CN47</f>
        <v>0</v>
      </c>
      <c r="H161" t="s">
        <v>10368</v>
      </c>
      <c r="I161" t="b">
        <f>IF('PI-1-MarineLoading'!$G$115=0,TRUE,IF($C161=0,TRUE,FALSE))</f>
        <v>1</v>
      </c>
    </row>
    <row r="162" spans="1:9" x14ac:dyDescent="0.2">
      <c r="A162" s="744">
        <f t="shared" si="4"/>
        <v>0</v>
      </c>
      <c r="B162" s="758"/>
      <c r="C162" s="689">
        <f>Hidden!$CK48</f>
        <v>0</v>
      </c>
      <c r="D162" s="758"/>
      <c r="E162" s="16">
        <f>Hidden!$CM48</f>
        <v>0</v>
      </c>
      <c r="F162" s="29">
        <f>Hidden!$CN48</f>
        <v>0</v>
      </c>
      <c r="H162" t="s">
        <v>10368</v>
      </c>
      <c r="I162" t="b">
        <f>IF('PI-1-MarineLoading'!$G$115=0,TRUE,IF($C162=0,TRUE,FALSE))</f>
        <v>1</v>
      </c>
    </row>
    <row r="163" spans="1:9" x14ac:dyDescent="0.2">
      <c r="A163" s="744">
        <f t="shared" si="4"/>
        <v>0</v>
      </c>
      <c r="B163" s="758"/>
      <c r="C163" s="689">
        <f>Hidden!$CK49</f>
        <v>0</v>
      </c>
      <c r="D163" s="758"/>
      <c r="E163" s="16">
        <f>Hidden!$CM49</f>
        <v>0</v>
      </c>
      <c r="F163" s="29">
        <f>Hidden!$CN49</f>
        <v>0</v>
      </c>
      <c r="H163" t="s">
        <v>10368</v>
      </c>
      <c r="I163" t="b">
        <f>IF('PI-1-MarineLoading'!$G$115=0,TRUE,IF($C163=0,TRUE,FALSE))</f>
        <v>1</v>
      </c>
    </row>
    <row r="164" spans="1:9" x14ac:dyDescent="0.2">
      <c r="A164" s="744">
        <f t="shared" si="4"/>
        <v>0</v>
      </c>
      <c r="B164" s="758"/>
      <c r="C164" s="689">
        <f>Hidden!$CK50</f>
        <v>0</v>
      </c>
      <c r="D164" s="758"/>
      <c r="E164" s="16">
        <f>Hidden!$CM50</f>
        <v>0</v>
      </c>
      <c r="F164" s="29">
        <f>Hidden!$CN50</f>
        <v>0</v>
      </c>
      <c r="H164" t="s">
        <v>10368</v>
      </c>
      <c r="I164" t="b">
        <f>IF('PI-1-MarineLoading'!$G$115=0,TRUE,IF($C164=0,TRUE,FALSE))</f>
        <v>1</v>
      </c>
    </row>
    <row r="165" spans="1:9" ht="15" thickBot="1" x14ac:dyDescent="0.25">
      <c r="A165" s="587">
        <f t="shared" si="4"/>
        <v>0</v>
      </c>
      <c r="B165" s="589"/>
      <c r="C165" s="802">
        <f>Hidden!$CK51</f>
        <v>0</v>
      </c>
      <c r="D165" s="589"/>
      <c r="E165" s="28">
        <f>Hidden!$CM51</f>
        <v>0</v>
      </c>
      <c r="F165" s="113">
        <f>Hidden!$CN51</f>
        <v>0</v>
      </c>
      <c r="H165" t="s">
        <v>10368</v>
      </c>
      <c r="I165" t="b">
        <f>IF('PI-1-MarineLoading'!$G$115=0,TRUE,IF($C165=0,TRUE,FALSE))</f>
        <v>1</v>
      </c>
    </row>
    <row r="166" spans="1:9" ht="32.25" customHeight="1" x14ac:dyDescent="0.2">
      <c r="A166" s="241">
        <v>13</v>
      </c>
      <c r="B166" s="1136" t="str">
        <f>IF((COUNTIF(Tank1!$D$18,"*fixed*")+COUNTIF(Tank2!$D$18,"*fixed*")+COUNTIF(Tank3!$D$18,"*fixed*")+COUNTIF(Tank4!$D$18,"*fixed*")+COUNTIF(Tank5!$D$18,"*fixed*"))=0,"","The true vapor pressure of any liquid stored at this facility in an uncontrolled, atmospheric, fixed roof tank shall not exceed 11.0 psia.")&amp;IF((COUNTIF(Tank1!$D$18,"*floating*")+COUNTIF(Tank2!$D$18,"*floating*")+COUNTIF(Tank3!$D$18,"*floating*")+COUNTIF(Tank4!$D$18,"*floating*")+COUNTIF(Tank5!$D$18,"*floating*"))=0,""," Floating roof storage tanks shall not store any liquid with a true vapor pressure greater than or equal to 11.0 psia.")</f>
        <v/>
      </c>
      <c r="C166" s="1137"/>
      <c r="D166" s="1137"/>
      <c r="E166" s="1137"/>
      <c r="F166" s="1138"/>
      <c r="H166" s="8" t="s">
        <v>10369</v>
      </c>
      <c r="I166" t="b">
        <f>IF('PI-1-MarineLoading'!$G$115=0,TRUE,FALSE)</f>
        <v>1</v>
      </c>
    </row>
    <row r="167" spans="1:9" ht="32.25" customHeight="1" x14ac:dyDescent="0.2">
      <c r="A167" s="9">
        <v>14</v>
      </c>
      <c r="B167" s="689" t="str">
        <f>"For tanks in which liquid is pumped in and out at the same time "
&amp;"(FINs: "&amp;
Hidden!CV2&amp;IF(Hidden!CV3=0,"",", "&amp;Hidden!CV3)&amp;IF(Hidden!CV4=0,"",", "&amp;Hidden!CV4)&amp;IF(Hidden!CV5=0,"",", "&amp;Hidden!CV5)&amp;IF(Hidden!CV6=0,"",", "&amp;Hidden!CV6)
&amp;")"&amp;
", tank liquid height shall be monitored continuously. A record of the tanks’ liquid height shall be maintained on a rolling 12-month basis."</f>
        <v>For tanks in which liquid is pumped in and out at the same time (FINs: 0), tank liquid height shall be monitored continuously. A record of the tanks’ liquid height shall be maintained on a rolling 12-month basis.</v>
      </c>
      <c r="C167" s="690"/>
      <c r="D167" s="690"/>
      <c r="E167" s="690"/>
      <c r="F167" s="691"/>
      <c r="H167" t="s">
        <v>10463</v>
      </c>
      <c r="I167" t="b">
        <f>IF('PI-1-MarineLoading'!$G$115=0,TRUE,IF((COUNTIF(Tank1!$D$26,"yes")+COUNTIF(Tank2!$D$26,"yes")+COUNTIF(Tank3!$D$26,"yes")+COUNTIF(Tank4!$D$26,"yes")+COUNTIF(Tank5!$D$26,"yes"))=0,TRUE,FALSE))</f>
        <v>1</v>
      </c>
    </row>
    <row r="168" spans="1:9" ht="144.75" customHeight="1" x14ac:dyDescent="0.2">
      <c r="A168" s="9">
        <v>15</v>
      </c>
      <c r="B168" s="689" t="str">
        <f>"For heated tanks (FINs: "
&amp;Hidden!CR2&amp;IF(Hidden!CR3=0,"",", "&amp;Hidden!CR3)&amp;IF(Hidden!CR4=0,"",", "&amp;Hidden!CR4)&amp;IF(Hidden!CR5=0,"",", "&amp;Hidden!CR5)&amp;IF(Hidden!CR6=0,"",", "&amp;Hidden!CR6)
&amp;")"
&amp;", the permit holder shall maintain the temperature of the liquid less than or equal to the temperature corresponding to the vapor pressure represented in the RAP-Marine Loading application. "&amp;"The tank temperature shall be continuously monitored and the temperature shall be recorded daily and during tank filling."&amp;"
The temperature monitor shall be calibrated on an annual basis to meet an accuracy specification of ±0.75 percent of the temperature being measured expressed in degrees Celsius or ±2.5°C. "&amp;"Up to 5 percent invalid monitoring data is acceptable on a rolling 12 month basis provided it is only generated when the monitor is broken down, out-of-control (producing inaccurate data); "&amp;"being repaired, having maintenance performed, or being calibrated. "&amp;"The data availability shall be calculated as the total tank operating hours for which quality assured data was recorded divided by the total tank hours in service. "&amp;"Invalid data generated due to other reasons is not allowed. The measurements missed shall be estimated using engineering judgement and the methods used recorded."</f>
        <v>For heated tanks (FINs: 0), the permit holder shall maintain the temperature of the liquid less than or equal to the temperature corresponding to the vapor pressure represented in the RAP-Marine Loading application. The tank temperature shall be continuously monitored and the temperature shall be recorded daily and during tank filling.
The temperature monitor shall be calibrated on an annual basis to meet an accuracy specification of ±0.75 percent of the temperature being measured expressed in degrees Celsius or ±2.5°C. Up to 5 percent invalid monitoring data is acceptable on a rolling 12 month basis provided it is only generated when the monitor is broken down, out-of-control (producing inaccurate data); being repaired, having maintenance performed, or being calibrated. The data availability shall be calculated as the total tank operating hours for which quality assured data was recorded divided by the total tank hours in service. Invalid data generated due to other reasons is not allowed. The measurements missed shall be estimated using engineering judgement and the methods used recorded.</v>
      </c>
      <c r="C168" s="690"/>
      <c r="D168" s="690"/>
      <c r="E168" s="690"/>
      <c r="F168" s="691"/>
      <c r="H168" t="s">
        <v>10464</v>
      </c>
      <c r="I168" t="b">
        <f>IF('PI-1-MarineLoading'!$G$115=0,TRUE,IF((COUNTIF(Tank1!$D$25,"yes")+COUNTIF(Tank2!$D$25,"yes")+COUNTIF(Tank3!$D$25,"yes")+COUNTIF(Tank4!$D$25,"yes")+COUNTIF(Tank5!$D$25,"yes"))=0,TRUE,FALSE))</f>
        <v>1</v>
      </c>
    </row>
    <row r="169" spans="1:9" ht="47.25" customHeight="1" x14ac:dyDescent="0.2">
      <c r="A169" s="9">
        <v>16</v>
      </c>
      <c r="B169" s="689" t="s">
        <v>8885</v>
      </c>
      <c r="C169" s="690"/>
      <c r="D169" s="690"/>
      <c r="E169" s="690"/>
      <c r="F169" s="691"/>
      <c r="I169" t="b">
        <f>IF('PI-1-MarineLoading'!$G$115=0,TRUE,FALSE)</f>
        <v>1</v>
      </c>
    </row>
    <row r="170" spans="1:9" x14ac:dyDescent="0.2">
      <c r="A170" s="173">
        <v>16</v>
      </c>
      <c r="B170" s="16" t="s">
        <v>8821</v>
      </c>
      <c r="C170" s="689" t="s">
        <v>8886</v>
      </c>
      <c r="D170" s="690"/>
      <c r="E170" s="690"/>
      <c r="F170" s="691"/>
      <c r="H170" s="8" t="s">
        <v>10370</v>
      </c>
      <c r="I170" t="b">
        <f>IF('PI-1-MarineLoading'!$G$115=0,TRUE,IF((COUNTIF(Tank1!$D$18,"*floating*")+COUNTIF(Tank2!$D$18,"*floating*")+COUNTIF(Tank3!$D$18,"*floating*")+COUNTIF(Tank4!$D$18,"*floating*")+COUNTIF(Tank5!$D$18,"*floating*"))=0,TRUE,FALSE))</f>
        <v>1</v>
      </c>
    </row>
    <row r="171" spans="1:9" ht="47.25" customHeight="1" x14ac:dyDescent="0.2">
      <c r="A171" s="173">
        <v>16</v>
      </c>
      <c r="B171" s="223" t="s">
        <v>8821</v>
      </c>
      <c r="C171" s="226" t="s">
        <v>8855</v>
      </c>
      <c r="D171" s="689" t="s">
        <v>8887</v>
      </c>
      <c r="E171" s="690"/>
      <c r="F171" s="691"/>
      <c r="I171" t="b">
        <f>IF('PI-1-MarineLoading'!$G$115=0,TRUE,IF((COUNTIF(Tank1!$D$18,"*floating*")+COUNTIF(Tank2!$D$18,"*floating*")+COUNTIF(Tank3!$D$18,"*floating*")+COUNTIF(Tank4!$D$18,"*floating*")+COUNTIF(Tank5!$D$18,"*floating*"))=0,TRUE,FALSE))</f>
        <v>1</v>
      </c>
    </row>
    <row r="172" spans="1:9" ht="50.25" customHeight="1" x14ac:dyDescent="0.2">
      <c r="A172" s="173">
        <v>16</v>
      </c>
      <c r="B172" s="223" t="s">
        <v>8821</v>
      </c>
      <c r="C172" s="226" t="s">
        <v>8857</v>
      </c>
      <c r="D172" s="689" t="s">
        <v>10306</v>
      </c>
      <c r="E172" s="690"/>
      <c r="F172" s="691"/>
      <c r="I172" t="b">
        <f>IF('PI-1-MarineLoading'!$G$115=0,TRUE,IF((COUNTIF(Tank1!$D$18,"*floating*")+COUNTIF(Tank2!$D$18,"*floating*")+COUNTIF(Tank3!$D$18,"*floating*")+COUNTIF(Tank4!$D$18,"*floating*")+COUNTIF(Tank5!$D$18,"*floating*"))=0,TRUE,FALSE))</f>
        <v>1</v>
      </c>
    </row>
    <row r="173" spans="1:9" x14ac:dyDescent="0.2">
      <c r="A173" s="173">
        <v>16</v>
      </c>
      <c r="B173" s="223" t="s">
        <v>8821</v>
      </c>
      <c r="C173" s="226" t="s">
        <v>8882</v>
      </c>
      <c r="D173" s="689" t="s">
        <v>10508</v>
      </c>
      <c r="E173" s="690"/>
      <c r="F173" s="691"/>
      <c r="H173" t="s">
        <v>10371</v>
      </c>
      <c r="I173" t="b">
        <f>IF('PI-1-MarineLoading'!$G$115=0,TRUE,IF((COUNTIF(Tank1!$D$22,"*control*")+COUNTIF(Tank2!$D$22,"*control*")+COUNTIF(Tank3!$D$22,"*control*")+COUNTIF(Tank4!$D$22,"*control*")+COUNTIF(Tank5!$D$22,"*control*"))='PI-1-MarineLoading'!$G$115,TRUE,FALSE))</f>
        <v>1</v>
      </c>
    </row>
    <row r="174" spans="1:9" x14ac:dyDescent="0.2">
      <c r="A174" s="173">
        <v>16</v>
      </c>
      <c r="B174" s="223" t="s">
        <v>8821</v>
      </c>
      <c r="C174" s="318" t="s">
        <v>8882</v>
      </c>
      <c r="D174" s="690">
        <f>IF(OR(Tank1!$D$22="no control",Tank1!$D$22=""),0,"FIN "&amp;Tank1!$D$7&amp;" shall be routed to the permanent "&amp;Tank1!$D$22&amp;".")</f>
        <v>0</v>
      </c>
      <c r="E174" s="690"/>
      <c r="F174" s="691"/>
      <c r="H174" t="s">
        <v>10374</v>
      </c>
      <c r="I174" t="b">
        <f>IF('PI-1-MarineLoading'!$G$115=0,TRUE,IF((COUNTIF(Tank1!$D$22,"*control*")+COUNTIF(Tank2!$D$22,"*control*")+COUNTIF(Tank3!$D$22,"*control*")+COUNTIF(Tank4!$D$22,"*control*")+COUNTIF(Tank5!$D$22,"*control*"))='PI-1-MarineLoading'!$G$115,TRUE,IF($D$174=0,TRUE,FALSE)))</f>
        <v>1</v>
      </c>
    </row>
    <row r="175" spans="1:9" ht="14.25" customHeight="1" x14ac:dyDescent="0.2">
      <c r="A175" s="173">
        <v>16</v>
      </c>
      <c r="B175" s="223" t="s">
        <v>8821</v>
      </c>
      <c r="C175" s="318" t="s">
        <v>8882</v>
      </c>
      <c r="D175" s="690">
        <f>IF(OR(Tank2!$D$22="no control",Tank2!$D$22=""),0,"FIN "&amp;Tank2!$D$7&amp;" shall be routed to the permanent "&amp;Tank2!$D$22&amp;".")</f>
        <v>0</v>
      </c>
      <c r="E175" s="690"/>
      <c r="F175" s="691"/>
      <c r="H175" t="s">
        <v>10374</v>
      </c>
      <c r="I175" t="b">
        <f>IF('PI-1-MarineLoading'!$G$115=0,TRUE,IF((COUNTIF(Tank1!$D$22,"*control*")+COUNTIF(Tank2!$D$22,"*control*")+COUNTIF(Tank3!$D$22,"*control*")+COUNTIF(Tank4!$D$22,"*control*")+COUNTIF(Tank5!$D$22,"*control*"))='PI-1-MarineLoading'!$G$115,TRUE,IF($D$175=0,TRUE,FALSE)))</f>
        <v>1</v>
      </c>
    </row>
    <row r="176" spans="1:9" ht="14.25" customHeight="1" x14ac:dyDescent="0.2">
      <c r="A176" s="173">
        <v>16</v>
      </c>
      <c r="B176" s="223" t="s">
        <v>8821</v>
      </c>
      <c r="C176" s="318" t="s">
        <v>8882</v>
      </c>
      <c r="D176" s="690">
        <f>IF(OR(Tank3!$D$22="no control",Tank3!$D$22=""),0,"FIN "&amp;Tank3!$D$7&amp;" shall be routed to the permanent "&amp;Tank3!$D$22&amp;".")</f>
        <v>0</v>
      </c>
      <c r="E176" s="690"/>
      <c r="F176" s="691"/>
      <c r="H176" t="s">
        <v>10374</v>
      </c>
      <c r="I176" t="b">
        <f>IF('PI-1-MarineLoading'!$G$115=0,TRUE,IF((COUNTIF(Tank1!$D$22,"*control*")+COUNTIF(Tank2!$D$22,"*control*")+COUNTIF(Tank3!$D$22,"*control*")+COUNTIF(Tank4!$D$22,"*control*")+COUNTIF(Tank5!$D$22,"*control*"))='PI-1-MarineLoading'!$G$115,TRUE,IF($D$176=0,TRUE,FALSE)))</f>
        <v>1</v>
      </c>
    </row>
    <row r="177" spans="1:9" ht="14.25" customHeight="1" x14ac:dyDescent="0.2">
      <c r="A177" s="173">
        <v>16</v>
      </c>
      <c r="B177" s="223" t="s">
        <v>8821</v>
      </c>
      <c r="C177" s="318" t="s">
        <v>8882</v>
      </c>
      <c r="D177" s="690">
        <f>IF(OR(Tank4!$D$22="no control",Tank4!$D$22=""),0,"FIN "&amp;Tank4!$D$7&amp;" shall be routed to the permanent "&amp;Tank4!$D$22&amp;".")</f>
        <v>0</v>
      </c>
      <c r="E177" s="690"/>
      <c r="F177" s="691"/>
      <c r="H177" t="s">
        <v>10374</v>
      </c>
      <c r="I177" t="b">
        <f>IF('PI-1-MarineLoading'!$G$115=0,TRUE,IF((COUNTIF(Tank1!$D$22,"*control*")+COUNTIF(Tank2!$D$22,"*control*")+COUNTIF(Tank3!$D$22,"*control*")+COUNTIF(Tank4!$D$22,"*control*")+COUNTIF(Tank5!$D$22,"*control*"))='PI-1-MarineLoading'!$G$115,TRUE,IF($D$177=0,TRUE,FALSE)))</f>
        <v>1</v>
      </c>
    </row>
    <row r="178" spans="1:9" ht="14.25" customHeight="1" x14ac:dyDescent="0.2">
      <c r="A178" s="173">
        <v>16</v>
      </c>
      <c r="B178" s="223" t="s">
        <v>8821</v>
      </c>
      <c r="C178" s="318" t="s">
        <v>8882</v>
      </c>
      <c r="D178" s="690">
        <f>IF(OR(Tank5!$D$22="no control",Tank5!$D$22=""),0,"FIN "&amp;Tank5!$D$7&amp;" shall be routed to the permanent "&amp;Tank5!$D$22&amp;".")</f>
        <v>0</v>
      </c>
      <c r="E178" s="690"/>
      <c r="F178" s="691"/>
      <c r="H178" t="s">
        <v>10374</v>
      </c>
      <c r="I178" t="b">
        <f>IF('PI-1-MarineLoading'!$G$115=0,TRUE,IF((COUNTIF(Tank1!$D$22,"*control*")+COUNTIF(Tank2!$D$22,"*control*")+COUNTIF(Tank3!$D$22,"*control*")+COUNTIF(Tank4!$D$22,"*control*")+COUNTIF(Tank5!$D$22,"*control*"))='PI-1-MarineLoading'!$G$115,TRUE,IF($D$178=0,TRUE,FALSE)))</f>
        <v>1</v>
      </c>
    </row>
    <row r="179" spans="1:9" ht="61.5" customHeight="1" x14ac:dyDescent="0.2">
      <c r="A179" s="173">
        <v>16</v>
      </c>
      <c r="B179" s="16" t="s">
        <v>8822</v>
      </c>
      <c r="C179" s="689" t="s">
        <v>8888</v>
      </c>
      <c r="D179" s="690"/>
      <c r="E179" s="690"/>
      <c r="F179" s="691"/>
      <c r="H179" t="s">
        <v>10372</v>
      </c>
      <c r="I179" t="b">
        <f>IF('PI-1-MarineLoading'!$G$115=0,TRUE,IF(OR((COUNTIF(Tank1!$D$18,"*floating*")+COUNTIF(Tank2!$D$18,"*floating*")+COUNTIF(Tank3!$D$18,"*floating*")+COUNTIF(Tank4!$D$18,"*floating*")+COUNTIF(Tank5!$D$18,"*floating*"))=0,(COUNTIF(Tank1!$D$19,"&gt;="&amp;25000)+COUNTIF(Tank2!$D$19,"&gt;="&amp;25000)+COUNTIF(Tank3!$D$19,"&gt;="&amp;25000)+COUNTIF(Tank4!$D$19,"&gt;="&amp;25000)+COUNTIF(Tank5!$D$19,"&gt;="&amp;25000))=0,(COUNTIF(Tank1!$D$20,"&gt;=0.5")+COUNTIF(Tank2!$D$20,"&gt;=0.5")+COUNTIF(Tank3!$D$20,"&gt;=0.5")+COUNTIF(Tank4!$D$20,"&gt;=0.5")+COUNTIF(Tank5!$D$20,"&gt;=0.5"))=0),TRUE,FALSE))</f>
        <v>1</v>
      </c>
    </row>
    <row r="180" spans="1:9" ht="44.25" customHeight="1" x14ac:dyDescent="0.2">
      <c r="A180" s="173">
        <v>16</v>
      </c>
      <c r="B180" s="16" t="s">
        <v>8824</v>
      </c>
      <c r="C180" s="689" t="s">
        <v>8889</v>
      </c>
      <c r="D180" s="690"/>
      <c r="E180" s="690"/>
      <c r="F180" s="691"/>
      <c r="H180" t="s">
        <v>10372</v>
      </c>
      <c r="I180" t="b">
        <f>IF('PI-1-MarineLoading'!$G$115=0,TRUE,IF(OR((COUNTIF(Tank1!$D$18,"*floating*")+COUNTIF(Tank2!$D$18,"*floating*")+COUNTIF(Tank3!$D$18,"*floating*")+COUNTIF(Tank4!$D$18,"*floating*")+COUNTIF(Tank5!$D$18,"*floating*"))=0,(COUNTIF(Tank1!$D$19,"&gt;="&amp;25000)+COUNTIF(Tank2!$D$19,"&gt;="&amp;25000)+COUNTIF(Tank3!$D$19,"&gt;="&amp;25000)+COUNTIF(Tank4!$D$19,"&gt;="&amp;25000)+COUNTIF(Tank5!$D$19,"&gt;="&amp;25000))=0,(COUNTIF(Tank1!$D$20,"&gt;=0.5")+COUNTIF(Tank2!$D$20,"&gt;=0.5")+COUNTIF(Tank3!$D$20,"&gt;=0.5")+COUNTIF(Tank4!$D$20,"&gt;=0.5")+COUNTIF(Tank5!$D$20,"&gt;=0.5"))=0),TRUE,FALSE))</f>
        <v>1</v>
      </c>
    </row>
    <row r="181" spans="1:9" ht="33" customHeight="1" x14ac:dyDescent="0.2">
      <c r="A181" s="173">
        <v>16</v>
      </c>
      <c r="B181" s="16" t="s">
        <v>8823</v>
      </c>
      <c r="C181" s="689" t="s">
        <v>8890</v>
      </c>
      <c r="D181" s="690"/>
      <c r="E181" s="690"/>
      <c r="F181" s="691"/>
      <c r="H181" t="s">
        <v>10861</v>
      </c>
      <c r="I181" t="b">
        <f>IF('PI-1-MarineLoading'!$G$115=0,TRUE,IF((COUNTIF(Tank1!$D$6,"new")+COUNTIF(Tank2!$D$6,"new")+COUNTIF(Tank3!$D$6,"new")+COUNTIF(Tank4!$D$6,"new")+COUNTIF(Tank5!$D$6,"new"))=0,TRUE,FALSE))</f>
        <v>1</v>
      </c>
    </row>
    <row r="182" spans="1:9" ht="33" customHeight="1" x14ac:dyDescent="0.2">
      <c r="A182" s="173">
        <v>16</v>
      </c>
      <c r="B182" s="16" t="s">
        <v>8825</v>
      </c>
      <c r="C182" s="689" t="s">
        <v>8891</v>
      </c>
      <c r="D182" s="690"/>
      <c r="E182" s="690"/>
      <c r="F182" s="691"/>
      <c r="H182" t="s">
        <v>10861</v>
      </c>
      <c r="I182" t="b">
        <f>IF('PI-1-MarineLoading'!$G$115=0,TRUE,IF((COUNTIF(Tank1!$D$6,"new")+COUNTIF(Tank2!$D$6,"new")+COUNTIF(Tank3!$D$6,"new")+COUNTIF(Tank4!$D$6,"new")+COUNTIF(Tank5!$D$6,"new"))=0,TRUE,FALSE))</f>
        <v>1</v>
      </c>
    </row>
    <row r="183" spans="1:9" ht="33" customHeight="1" x14ac:dyDescent="0.2">
      <c r="A183" s="173">
        <v>16</v>
      </c>
      <c r="B183" s="16" t="s">
        <v>8826</v>
      </c>
      <c r="C183" s="689" t="s">
        <v>8892</v>
      </c>
      <c r="D183" s="690"/>
      <c r="E183" s="690"/>
      <c r="F183" s="691"/>
      <c r="I183" t="b">
        <f>IF('PI-1-MarineLoading'!$G$115=0,TRUE,FALSE)</f>
        <v>1</v>
      </c>
    </row>
    <row r="184" spans="1:9" ht="33" customHeight="1" x14ac:dyDescent="0.2">
      <c r="A184" s="173">
        <v>16</v>
      </c>
      <c r="B184" s="16" t="s">
        <v>8827</v>
      </c>
      <c r="C184" s="689" t="s">
        <v>8893</v>
      </c>
      <c r="D184" s="690"/>
      <c r="E184" s="690"/>
      <c r="F184" s="691"/>
      <c r="I184" t="b">
        <f>IF('PI-1-MarineLoading'!$G$115=0,TRUE,FALSE)</f>
        <v>1</v>
      </c>
    </row>
    <row r="185" spans="1:9" x14ac:dyDescent="0.2">
      <c r="A185" s="9">
        <v>17</v>
      </c>
      <c r="B185" s="689" t="str">
        <f>"The dissolved hydrogen sulfide in any crude product shall not exceed "&amp;'PI-1-MarineLoading'!$D$86&amp;" ppmw in any sample."</f>
        <v>The dissolved hydrogen sulfide in any crude product shall not exceed  ppmw in any sample.</v>
      </c>
      <c r="C185" s="690"/>
      <c r="D185" s="690"/>
      <c r="E185" s="690"/>
      <c r="F185" s="691"/>
      <c r="H185" s="8" t="s">
        <v>10373</v>
      </c>
      <c r="I185" t="b">
        <f>IF('PI-1-MarineLoading'!$D$85&lt;&gt;"yes",TRUE,FALSE)</f>
        <v>1</v>
      </c>
    </row>
    <row r="186" spans="1:9" ht="61.5" customHeight="1" x14ac:dyDescent="0.2">
      <c r="A186" s="173">
        <v>17</v>
      </c>
      <c r="B186" s="16" t="s">
        <v>8821</v>
      </c>
      <c r="C186" s="689" t="s">
        <v>10562</v>
      </c>
      <c r="D186" s="690"/>
      <c r="E186" s="690"/>
      <c r="F186" s="691"/>
      <c r="H186" t="s">
        <v>10374</v>
      </c>
      <c r="I186" t="b">
        <f>I185</f>
        <v>1</v>
      </c>
    </row>
    <row r="187" spans="1:9" x14ac:dyDescent="0.2">
      <c r="A187" s="173">
        <v>17</v>
      </c>
      <c r="B187" s="16" t="s">
        <v>8822</v>
      </c>
      <c r="C187" s="689" t="s">
        <v>10307</v>
      </c>
      <c r="D187" s="690"/>
      <c r="E187" s="690"/>
      <c r="F187" s="691"/>
      <c r="I187" t="b">
        <f>I186</f>
        <v>1</v>
      </c>
    </row>
    <row r="188" spans="1:9" x14ac:dyDescent="0.2">
      <c r="A188" s="173">
        <v>17</v>
      </c>
      <c r="B188" s="16" t="s">
        <v>8824</v>
      </c>
      <c r="C188" s="689" t="s">
        <v>10308</v>
      </c>
      <c r="D188" s="690"/>
      <c r="E188" s="690"/>
      <c r="F188" s="691"/>
      <c r="I188" t="b">
        <f>I187</f>
        <v>1</v>
      </c>
    </row>
    <row r="189" spans="1:9" ht="14.25" customHeight="1" x14ac:dyDescent="0.2">
      <c r="A189" s="564" t="s">
        <v>10309</v>
      </c>
      <c r="B189" s="563"/>
      <c r="C189" s="563"/>
      <c r="D189" s="563"/>
      <c r="E189" s="563"/>
      <c r="F189" s="847"/>
      <c r="H189" t="s">
        <v>10438</v>
      </c>
      <c r="I189" t="b">
        <f>IF('PI-1-MarineLoading'!$G$115=0,TRUE,IF((COUNTIF(Tank1!$D$18,"*floating*")+COUNTIF(Tank2!$D$18,"*floating*")+COUNTIF(Tank3!$D$18,"*floating*")+COUNTIF(Tank4!$D$18,"*floating*")+COUNTIF(Tank5!$D$18,"*floating*"))=0,TRUE,FALSE))</f>
        <v>1</v>
      </c>
    </row>
    <row r="190" spans="1:9" ht="61.5" customHeight="1" x14ac:dyDescent="0.2">
      <c r="A190" s="9">
        <v>18</v>
      </c>
      <c r="B190" s="689" t="str">
        <f>"This permit authorizes emissions from control devices (FINs: "&amp;Hidden!BJ2&amp;IF(Hidden!BJ3=0,"",", "&amp;Hidden!BJ3)&amp;IF(Hidden!BJ4=0,"",", "&amp;Hidden!BJ4)&amp;IF(Hidden!BJ5=0,"",", "&amp;Hidden!BJ5)&amp;IF(Hidden!BJ6=0,"",", "&amp;Hidden!BJ6)&amp;") for floating roof storage tanks (FINs: "&amp;Hidden!BE2&amp;IF(Hidden!BE3=0,"",", "&amp;Hidden!BE3)&amp;IF(Hidden!BE4=0,"",", "&amp;Hidden!BE4)&amp;IF(Hidden!BE5=0,"",", "&amp;Hidden!BE5)&amp;IF(Hidden!BE6=0,"",", "&amp;Hidden!BE6)&amp;") during planned floating roof landings not associated with maintenance, startup, and shutdown. "&amp;"Tank roof landings include all operations when the tank floating roof is on its supporting legs. These emissions are subject to the maximum allowable emission rates indicated in the MAERT. The following requirements apply to tank roof landings."</f>
        <v>This permit authorizes emissions from control devices (FINs: 0) for floating roof storage tanks (FINs: 0) during planned floating roof landings not associated with maintenance, startup, and shutdown. Tank roof landings include all operations when the tank floating roof is on its supporting legs. These emissions are subject to the maximum allowable emission rates indicated in the MAERT. The following requirements apply to tank roof landings.</v>
      </c>
      <c r="C190" s="690"/>
      <c r="D190" s="690"/>
      <c r="E190" s="690"/>
      <c r="F190" s="691"/>
      <c r="H190" t="s">
        <v>10860</v>
      </c>
      <c r="I190" t="b">
        <f>IF('PI-1-MarineLoading'!$G$115=0,TRUE,IF(ConvenienceLand!$G$6="no",TRUE,FALSE))</f>
        <v>1</v>
      </c>
    </row>
    <row r="191" spans="1:9" ht="31.5" customHeight="1" x14ac:dyDescent="0.2">
      <c r="A191" s="173">
        <v>18</v>
      </c>
      <c r="B191" s="16" t="s">
        <v>8821</v>
      </c>
      <c r="C191" s="689" t="s">
        <v>10312</v>
      </c>
      <c r="D191" s="690"/>
      <c r="E191" s="690"/>
      <c r="F191" s="691"/>
      <c r="I191" t="b">
        <f>IF('PI-1-MarineLoading'!$G$115=0,TRUE,IF(ConvenienceLand!$G$6="no",TRUE,FALSE))</f>
        <v>1</v>
      </c>
    </row>
    <row r="192" spans="1:9" ht="46.5" customHeight="1" x14ac:dyDescent="0.2">
      <c r="A192" s="173">
        <v>18</v>
      </c>
      <c r="B192" s="223" t="s">
        <v>8821</v>
      </c>
      <c r="C192" s="226" t="s">
        <v>8855</v>
      </c>
      <c r="D192" s="689" t="s">
        <v>10877</v>
      </c>
      <c r="E192" s="690"/>
      <c r="F192" s="691"/>
      <c r="I192" t="b">
        <f>IF('PI-1-MarineLoading'!$G$115=0,TRUE,IF(ConvenienceLand!$G$6="no",TRUE,FALSE))</f>
        <v>1</v>
      </c>
    </row>
    <row r="193" spans="1:9" ht="61.5" customHeight="1" x14ac:dyDescent="0.2">
      <c r="A193" s="173">
        <v>18</v>
      </c>
      <c r="B193" s="223" t="s">
        <v>8821</v>
      </c>
      <c r="C193" s="226" t="s">
        <v>8857</v>
      </c>
      <c r="D193" s="689" t="s">
        <v>10310</v>
      </c>
      <c r="E193" s="690"/>
      <c r="F193" s="691"/>
      <c r="I193" t="b">
        <f>IF('PI-1-MarineLoading'!$G$115=0,TRUE,IF(ConvenienceLand!$G$6="no",TRUE,FALSE))</f>
        <v>1</v>
      </c>
    </row>
    <row r="194" spans="1:9" ht="61.5" customHeight="1" x14ac:dyDescent="0.2">
      <c r="A194" s="173">
        <v>18</v>
      </c>
      <c r="B194" s="223" t="s">
        <v>8821</v>
      </c>
      <c r="C194" s="226" t="s">
        <v>8882</v>
      </c>
      <c r="D194" s="689" t="s">
        <v>10311</v>
      </c>
      <c r="E194" s="690"/>
      <c r="F194" s="691"/>
      <c r="I194" t="b">
        <f>IF('PI-1-MarineLoading'!$G$115=0,TRUE,IF(ConvenienceLand!$G$6="no",TRUE,FALSE))</f>
        <v>1</v>
      </c>
    </row>
    <row r="195" spans="1:9" ht="33.75" customHeight="1" x14ac:dyDescent="0.2">
      <c r="A195" s="173">
        <v>18</v>
      </c>
      <c r="B195" s="16" t="s">
        <v>8822</v>
      </c>
      <c r="C195" s="689" t="s">
        <v>10313</v>
      </c>
      <c r="D195" s="690"/>
      <c r="E195" s="690"/>
      <c r="F195" s="691"/>
      <c r="I195" t="b">
        <f>IF('PI-1-MarineLoading'!$G$115=0,TRUE,IF(ConvenienceLand!$G$6="no",TRUE,FALSE))</f>
        <v>1</v>
      </c>
    </row>
    <row r="196" spans="1:9" ht="32.25" customHeight="1" x14ac:dyDescent="0.2">
      <c r="A196" s="173">
        <v>18</v>
      </c>
      <c r="B196" s="223" t="s">
        <v>8822</v>
      </c>
      <c r="C196" s="226" t="s">
        <v>8855</v>
      </c>
      <c r="D196" s="689" t="s">
        <v>10314</v>
      </c>
      <c r="E196" s="690"/>
      <c r="F196" s="691"/>
      <c r="I196" t="b">
        <f>IF('PI-1-MarineLoading'!$G$115=0,TRUE,IF(ConvenienceLand!$G$6="no",TRUE,FALSE))</f>
        <v>1</v>
      </c>
    </row>
    <row r="197" spans="1:9" x14ac:dyDescent="0.2">
      <c r="A197" s="173">
        <v>18</v>
      </c>
      <c r="B197" s="223" t="s">
        <v>8822</v>
      </c>
      <c r="C197" s="226" t="s">
        <v>8857</v>
      </c>
      <c r="D197" s="689" t="s">
        <v>10315</v>
      </c>
      <c r="E197" s="690"/>
      <c r="F197" s="691"/>
      <c r="I197" t="b">
        <f>IF('PI-1-MarineLoading'!$G$115=0,TRUE,IF(ConvenienceLand!$G$6="no",TRUE,FALSE))</f>
        <v>1</v>
      </c>
    </row>
    <row r="198" spans="1:9" x14ac:dyDescent="0.2">
      <c r="A198" s="173">
        <v>18</v>
      </c>
      <c r="B198" s="223" t="s">
        <v>8822</v>
      </c>
      <c r="C198" s="226" t="s">
        <v>8882</v>
      </c>
      <c r="D198" s="689" t="s">
        <v>10316</v>
      </c>
      <c r="E198" s="690"/>
      <c r="F198" s="691"/>
      <c r="I198" t="b">
        <f>IF('PI-1-MarineLoading'!$G$115=0,TRUE,IF(ConvenienceLand!$G$6="no",TRUE,FALSE))</f>
        <v>1</v>
      </c>
    </row>
    <row r="199" spans="1:9" x14ac:dyDescent="0.2">
      <c r="A199" s="173">
        <v>18</v>
      </c>
      <c r="B199" s="223" t="s">
        <v>8822</v>
      </c>
      <c r="C199" s="318" t="s">
        <v>8882</v>
      </c>
      <c r="D199" s="16" t="s">
        <v>8986</v>
      </c>
      <c r="E199" s="689" t="s">
        <v>10317</v>
      </c>
      <c r="F199" s="691"/>
      <c r="I199" t="b">
        <f>IF('PI-1-MarineLoading'!$G$115=0,TRUE,IF(ConvenienceLand!$G$6="no",TRUE,FALSE))</f>
        <v>1</v>
      </c>
    </row>
    <row r="200" spans="1:9" x14ac:dyDescent="0.2">
      <c r="A200" s="173">
        <v>18</v>
      </c>
      <c r="B200" s="223" t="s">
        <v>8822</v>
      </c>
      <c r="C200" s="318" t="s">
        <v>8882</v>
      </c>
      <c r="D200" s="16" t="s">
        <v>8988</v>
      </c>
      <c r="E200" s="689" t="s">
        <v>10318</v>
      </c>
      <c r="F200" s="691"/>
      <c r="I200" t="b">
        <f>IF('PI-1-MarineLoading'!$G$115=0,TRUE,IF(ConvenienceLand!$G$6="no",TRUE,FALSE))</f>
        <v>1</v>
      </c>
    </row>
    <row r="201" spans="1:9" x14ac:dyDescent="0.2">
      <c r="A201" s="173">
        <v>18</v>
      </c>
      <c r="B201" s="223" t="s">
        <v>8822</v>
      </c>
      <c r="C201" s="318" t="s">
        <v>8882</v>
      </c>
      <c r="D201" s="16" t="s">
        <v>9001</v>
      </c>
      <c r="E201" s="689" t="s">
        <v>10319</v>
      </c>
      <c r="F201" s="691"/>
      <c r="I201" t="b">
        <f>IF('PI-1-MarineLoading'!$G$115=0,TRUE,IF(ConvenienceLand!$G$6="no",TRUE,FALSE))</f>
        <v>1</v>
      </c>
    </row>
    <row r="202" spans="1:9" x14ac:dyDescent="0.2">
      <c r="A202" s="173">
        <v>18</v>
      </c>
      <c r="B202" s="223" t="s">
        <v>8822</v>
      </c>
      <c r="C202" s="318" t="s">
        <v>8882</v>
      </c>
      <c r="D202" s="16" t="s">
        <v>9011</v>
      </c>
      <c r="E202" s="689" t="s">
        <v>10320</v>
      </c>
      <c r="F202" s="691"/>
      <c r="I202" t="b">
        <f>IF('PI-1-MarineLoading'!$G$115=0,TRUE,IF(ConvenienceLand!$G$6="no",TRUE,FALSE))</f>
        <v>1</v>
      </c>
    </row>
    <row r="203" spans="1:9" ht="61.5" customHeight="1" x14ac:dyDescent="0.2">
      <c r="A203" s="173">
        <v>18</v>
      </c>
      <c r="B203" s="223" t="s">
        <v>8822</v>
      </c>
      <c r="C203" s="226" t="s">
        <v>8928</v>
      </c>
      <c r="D203" s="689" t="s">
        <v>10321</v>
      </c>
      <c r="E203" s="690"/>
      <c r="F203" s="691"/>
      <c r="I203" t="b">
        <f>IF('PI-1-MarineLoading'!$G$115=0,TRUE,IF(ConvenienceLand!$G$6="no",TRUE,FALSE))</f>
        <v>1</v>
      </c>
    </row>
    <row r="204" spans="1:9" ht="15" x14ac:dyDescent="0.2">
      <c r="A204" s="564" t="str">
        <f>"Loading Operational Specifications (FINs: "&amp;
Hidden!DF2&amp;IF(Hidden!DF3=0,"",", "&amp;Hidden!DF3)&amp;IF(Hidden!DF4=0,"",", "&amp;Hidden!DF4)&amp;IF(Hidden!DF5=0,"",", "&amp;Hidden!DF5)&amp;IF(Hidden!DF6=0,"",", "&amp;Hidden!DF6)&amp;
")"</f>
        <v>Loading Operational Specifications (FINs: 0)</v>
      </c>
      <c r="B204" s="563"/>
      <c r="C204" s="563"/>
      <c r="D204" s="563"/>
      <c r="E204" s="563"/>
      <c r="F204" s="847"/>
      <c r="H204" s="8" t="s">
        <v>10375</v>
      </c>
      <c r="I204" t="b">
        <f>COUNTIF('PI-1-MarineLoading'!$G$116:$G$120,"Yes")=0</f>
        <v>1</v>
      </c>
    </row>
    <row r="205" spans="1:9" ht="32.25" customHeight="1" x14ac:dyDescent="0.2">
      <c r="A205" s="9">
        <v>19</v>
      </c>
      <c r="B205" s="689" t="s">
        <v>10322</v>
      </c>
      <c r="C205" s="690"/>
      <c r="D205" s="690"/>
      <c r="E205" s="690"/>
      <c r="F205" s="691"/>
      <c r="I205" t="b">
        <f>COUNTIF('PI-1-MarineLoading'!$G$116:$G$120,"Yes")=0</f>
        <v>1</v>
      </c>
    </row>
    <row r="206" spans="1:9" ht="32.25" customHeight="1" x14ac:dyDescent="0.2">
      <c r="A206" s="9">
        <v>20</v>
      </c>
      <c r="B206" s="689" t="s">
        <v>8894</v>
      </c>
      <c r="C206" s="690"/>
      <c r="D206" s="690"/>
      <c r="E206" s="690"/>
      <c r="F206" s="691"/>
      <c r="I206" t="b">
        <f>COUNTIF('PI-1-MarineLoading'!$G$116:$G$120,"Yes")=0</f>
        <v>1</v>
      </c>
    </row>
    <row r="207" spans="1:9" x14ac:dyDescent="0.2">
      <c r="A207" s="9">
        <v>21</v>
      </c>
      <c r="B207" s="689" t="s">
        <v>8895</v>
      </c>
      <c r="C207" s="690"/>
      <c r="D207" s="690"/>
      <c r="E207" s="690"/>
      <c r="F207" s="691"/>
      <c r="I207" t="b">
        <f>COUNTIF('PI-1-MarineLoading'!$G$116:$G$120,"Yes")=0</f>
        <v>1</v>
      </c>
    </row>
    <row r="208" spans="1:9" ht="32.25" customHeight="1" x14ac:dyDescent="0.2">
      <c r="A208" s="9">
        <v>22</v>
      </c>
      <c r="B208" s="689" t="s">
        <v>10878</v>
      </c>
      <c r="C208" s="690"/>
      <c r="D208" s="690"/>
      <c r="E208" s="690"/>
      <c r="F208" s="691"/>
      <c r="H208" t="s">
        <v>10376</v>
      </c>
      <c r="I208" t="b">
        <f>IF(COUNTIF('PI-1-MarineLoading'!$G$116:$G$120,"Yes")=0,TRUE,IF('PI-1-MarineLoading'!$G$117="NO",TRUE,IF('Load-Truck'!$F$20&lt;&gt;0.987,TRUE,FALSE)))</f>
        <v>1</v>
      </c>
    </row>
    <row r="209" spans="1:9" ht="32.25" customHeight="1" x14ac:dyDescent="0.2">
      <c r="A209" s="9">
        <v>23</v>
      </c>
      <c r="B209" s="689" t="s">
        <v>10879</v>
      </c>
      <c r="C209" s="690"/>
      <c r="D209" s="690"/>
      <c r="E209" s="690"/>
      <c r="F209" s="691"/>
      <c r="H209" t="s">
        <v>10377</v>
      </c>
      <c r="I209" t="b">
        <f>IF(COUNTIF('PI-1-MarineLoading'!$G$116:$G$120,"Yes")=0,TRUE,IF('PI-1-MarineLoading'!$G$117="No",TRUE,IF('Load-Truck'!$F$20&lt;&gt;0.992,TRUE,FALSE)))</f>
        <v>1</v>
      </c>
    </row>
    <row r="210" spans="1:9" ht="61.5" customHeight="1" x14ac:dyDescent="0.2">
      <c r="A210" s="9">
        <v>24</v>
      </c>
      <c r="B210" s="689" t="s">
        <v>10323</v>
      </c>
      <c r="C210" s="690"/>
      <c r="D210" s="690"/>
      <c r="E210" s="690"/>
      <c r="F210" s="691"/>
      <c r="H210" t="s">
        <v>10378</v>
      </c>
      <c r="I210" t="b">
        <f>IF(COUNTIF('PI-1-MarineLoading'!$G$116:$G$120,"Yes")=0,TRUE,IF('PI-1-MarineLoading'!G117="No",TRUE,IF('Load-Truck'!$F$20&lt;&gt;1,TRUE,FALSE)))</f>
        <v>1</v>
      </c>
    </row>
    <row r="211" spans="1:9" ht="61.5" customHeight="1" x14ac:dyDescent="0.2">
      <c r="A211" s="9">
        <v>25</v>
      </c>
      <c r="B211" s="689" t="s">
        <v>8896</v>
      </c>
      <c r="C211" s="690"/>
      <c r="D211" s="690"/>
      <c r="E211" s="690"/>
      <c r="F211" s="691"/>
      <c r="H211" t="s">
        <v>10379</v>
      </c>
      <c r="I211" t="b">
        <f>IF(COUNTIF('PI-1-MarineLoading'!$G$116:$G$120,"Yes")=0,TRUE,IF('PI-1-MarineLoading'!$G$117&lt;&gt;"yes",TRUE,IF(COUNTIF('Load-Truck'!$E$27:$E$136,"YES")=0,TRUE,IF('Load-Truck'!$F$20&lt;&gt;1,TRUE,FALSE))))</f>
        <v>1</v>
      </c>
    </row>
    <row r="212" spans="1:9" ht="28.5" x14ac:dyDescent="0.2">
      <c r="A212" s="9">
        <v>26</v>
      </c>
      <c r="B212" s="689" t="s">
        <v>8897</v>
      </c>
      <c r="C212" s="690"/>
      <c r="D212" s="690"/>
      <c r="E212" s="690"/>
      <c r="F212" s="691"/>
      <c r="H212" t="s">
        <v>10380</v>
      </c>
      <c r="I212" t="b">
        <f>IF(COUNTIF('PI-1-MarineLoading'!$G$116:$G$120,"Yes")=0,TRUE,IF('PI-1-MarineLoading'!$G$118="No",TRUE,FALSE))</f>
        <v>1</v>
      </c>
    </row>
    <row r="213" spans="1:9" ht="75" customHeight="1" x14ac:dyDescent="0.2">
      <c r="A213" s="173">
        <v>26</v>
      </c>
      <c r="B213" s="16" t="s">
        <v>8821</v>
      </c>
      <c r="C213" s="689" t="s">
        <v>8898</v>
      </c>
      <c r="D213" s="690"/>
      <c r="E213" s="690"/>
      <c r="F213" s="691"/>
      <c r="I213" t="b">
        <f>IF(COUNTIF('PI-1-MarineLoading'!$G$116:$G$120,"Yes")=0,TRUE,IF('PI-1-MarineLoading'!$G$118="No",TRUE,FALSE))</f>
        <v>1</v>
      </c>
    </row>
    <row r="214" spans="1:9" x14ac:dyDescent="0.2">
      <c r="A214" s="173">
        <v>26</v>
      </c>
      <c r="B214" s="16" t="s">
        <v>8822</v>
      </c>
      <c r="C214" s="689" t="s">
        <v>8899</v>
      </c>
      <c r="D214" s="690"/>
      <c r="E214" s="690"/>
      <c r="F214" s="691"/>
      <c r="I214" t="b">
        <f>IF(COUNTIF('PI-1-MarineLoading'!$G$116:$G$120,"Yes")=0,TRUE,IF('PI-1-MarineLoading'!$G$118="No",TRUE,FALSE))</f>
        <v>1</v>
      </c>
    </row>
    <row r="215" spans="1:9" x14ac:dyDescent="0.2">
      <c r="A215" s="173">
        <v>26</v>
      </c>
      <c r="B215" s="16" t="s">
        <v>8824</v>
      </c>
      <c r="C215" s="689" t="s">
        <v>8900</v>
      </c>
      <c r="D215" s="690"/>
      <c r="E215" s="690"/>
      <c r="F215" s="691"/>
      <c r="I215" t="b">
        <f>IF(COUNTIF('PI-1-MarineLoading'!$G$116:$G$120,"Yes")=0,TRUE,IF('PI-1-MarineLoading'!$G$118="No",TRUE,FALSE))</f>
        <v>1</v>
      </c>
    </row>
    <row r="216" spans="1:9" x14ac:dyDescent="0.2">
      <c r="A216" s="173">
        <v>26</v>
      </c>
      <c r="B216" s="16" t="s">
        <v>8823</v>
      </c>
      <c r="C216" s="689" t="s">
        <v>8901</v>
      </c>
      <c r="D216" s="690"/>
      <c r="E216" s="690"/>
      <c r="F216" s="691"/>
      <c r="I216" t="b">
        <f>IF(COUNTIF('PI-1-MarineLoading'!$G$116:$G$120,"Yes")=0,TRUE,IF('PI-1-MarineLoading'!$G$118="No",TRUE,FALSE))</f>
        <v>1</v>
      </c>
    </row>
    <row r="217" spans="1:9" ht="79.5" customHeight="1" x14ac:dyDescent="0.2">
      <c r="A217" s="9">
        <v>27</v>
      </c>
      <c r="B217" s="689" t="str">
        <f>"The loading of liquids into containers (or drums) shall be submerged. "&amp;"Loading of liquids with vapor pressure greater than or equal 0.5 psi into containers and/or drums shall only be performed within a total enclosure or within a partial enclosure"&amp;" meeting the design, capture velocity, and other operational specifications outlined in Industrial Ventilation: "&amp;"A Manual of Recommended Practice for Design (American Conference of Governmental Industrial Hygienists). "&amp;"Collected vapor shall be routed to the "&amp;
'Load-DrumTote'!$F$19&amp;
". A copy of the enclosure design, minimum capture velocity calculations, and vacuum blower capacity shall be kept on site and attached to this permit."</f>
        <v>The loading of liquids into containers (or drums) shall be submerged. Loading of liquids with vapor pressure greater than or equal 0.5 psi into containers and/or drums shall only be performed within a total enclosure or within a partial enclosure meeting the design, capture velocity, and other operational specifications outlined in Industrial Ventilation: A Manual of Recommended Practice for Design (American Conference of Governmental Industrial Hygienists). Collected vapor shall be routed to the . A copy of the enclosure design, minimum capture velocity calculations, and vacuum blower capacity shall be kept on site and attached to this permit.</v>
      </c>
      <c r="C217" s="690"/>
      <c r="D217" s="690"/>
      <c r="E217" s="690"/>
      <c r="F217" s="691"/>
      <c r="H217" t="s">
        <v>10381</v>
      </c>
      <c r="I217" t="b">
        <f>IF(COUNTIF('PI-1-MarineLoading'!$G$116:$G$120,"Yes")=0,TRUE,IF('PI-1-MarineLoading'!$G$116="NO",TRUE,FALSE))</f>
        <v>1</v>
      </c>
    </row>
    <row r="218" spans="1:9" ht="61.5" customHeight="1" x14ac:dyDescent="0.2">
      <c r="A218" s="9">
        <v>28</v>
      </c>
      <c r="B218" s="689" t="s">
        <v>8902</v>
      </c>
      <c r="C218" s="690"/>
      <c r="D218" s="690"/>
      <c r="E218" s="690"/>
      <c r="F218" s="691"/>
      <c r="H218" t="s">
        <v>10382</v>
      </c>
      <c r="I218" t="b">
        <f>IF(COUNTIF('PI-1-MarineLoading'!$G$116:$G$120,"Yes")=0,TRUE,IF('PI-1-MarineLoading'!$G$119="NO",TRUE,FALSE))</f>
        <v>1</v>
      </c>
    </row>
    <row r="219" spans="1:9" ht="61.5" customHeight="1" x14ac:dyDescent="0.2">
      <c r="A219" s="9">
        <v>29</v>
      </c>
      <c r="B219" s="689" t="s">
        <v>8903</v>
      </c>
      <c r="C219" s="690"/>
      <c r="D219" s="690"/>
      <c r="E219" s="690"/>
      <c r="F219" s="691"/>
      <c r="H219" t="s">
        <v>10550</v>
      </c>
      <c r="I219" t="b">
        <f>IF(COUNTIF('PI-1-MarineLoading'!$G$116:$G$120,"Yes")=0,TRUE,IF(AND('PI-1-MarineLoading'!$G$119="NO",'PI-1-MarineLoading'!$G$120="NO"),TRUE,FALSE))</f>
        <v>1</v>
      </c>
    </row>
    <row r="220" spans="1:9" ht="33" customHeight="1" x14ac:dyDescent="0.2">
      <c r="A220" s="9">
        <v>30</v>
      </c>
      <c r="B220" s="689" t="s">
        <v>10880</v>
      </c>
      <c r="C220" s="690"/>
      <c r="D220" s="690"/>
      <c r="E220" s="690"/>
      <c r="F220" s="691"/>
      <c r="H220" t="s">
        <v>10383</v>
      </c>
      <c r="I220" t="b">
        <f>IF(COUNTIF('PI-1-MarineLoading'!$G$116:$G$120,"Yes")=0,TRUE,IF('PI-1-MarineLoading'!$G$120="NO",TRUE,FALSE))</f>
        <v>1</v>
      </c>
    </row>
    <row r="221" spans="1:9" ht="44.25" customHeight="1" x14ac:dyDescent="0.2">
      <c r="A221" s="173">
        <v>30</v>
      </c>
      <c r="B221" s="16" t="s">
        <v>8821</v>
      </c>
      <c r="C221" s="689" t="s">
        <v>8904</v>
      </c>
      <c r="D221" s="690"/>
      <c r="E221" s="690"/>
      <c r="F221" s="691"/>
      <c r="I221" t="b">
        <f>IF(COUNTIF('PI-1-MarineLoading'!$G$116:$G$120,"Yes")=0,TRUE,IF('PI-1-MarineLoading'!$G$120="NO",TRUE,FALSE))</f>
        <v>1</v>
      </c>
    </row>
    <row r="222" spans="1:9" ht="75.75" customHeight="1" x14ac:dyDescent="0.2">
      <c r="A222" s="173">
        <v>30</v>
      </c>
      <c r="B222" s="16" t="s">
        <v>8822</v>
      </c>
      <c r="C222" s="1133" t="s">
        <v>10424</v>
      </c>
      <c r="D222" s="1134"/>
      <c r="E222" s="1134"/>
      <c r="F222" s="1135"/>
      <c r="I222" t="b">
        <f>IF(COUNTIF('PI-1-MarineLoading'!$G$116:$G$120,"Yes")=0,TRUE,IF('PI-1-MarineLoading'!$G$120="NO",TRUE,FALSE))</f>
        <v>1</v>
      </c>
    </row>
    <row r="223" spans="1:9" x14ac:dyDescent="0.2">
      <c r="A223" s="173">
        <v>30</v>
      </c>
      <c r="B223" s="16" t="s">
        <v>8824</v>
      </c>
      <c r="C223" s="1133" t="s">
        <v>8905</v>
      </c>
      <c r="D223" s="1134"/>
      <c r="E223" s="1134"/>
      <c r="F223" s="1135"/>
      <c r="I223" t="b">
        <f>IF(COUNTIF('PI-1-MarineLoading'!$G$116:$G$120,"Yes")=0,TRUE,IF('PI-1-MarineLoading'!$G$120="NO",TRUE,FALSE))</f>
        <v>1</v>
      </c>
    </row>
    <row r="224" spans="1:9" ht="30" customHeight="1" x14ac:dyDescent="0.2">
      <c r="A224" s="173">
        <v>30</v>
      </c>
      <c r="B224" s="16" t="s">
        <v>8823</v>
      </c>
      <c r="C224" s="1133" t="s">
        <v>8906</v>
      </c>
      <c r="D224" s="1134"/>
      <c r="E224" s="1134"/>
      <c r="F224" s="1135"/>
      <c r="I224" t="b">
        <f>IF(COUNTIF('PI-1-MarineLoading'!$G$116:$G$120,"Yes")=0,TRUE,IF('PI-1-MarineLoading'!$G$120="NO",TRUE,FALSE))</f>
        <v>1</v>
      </c>
    </row>
    <row r="225" spans="1:9" ht="32.25" customHeight="1" x14ac:dyDescent="0.2">
      <c r="A225" s="173">
        <v>30</v>
      </c>
      <c r="B225" s="223" t="s">
        <v>8823</v>
      </c>
      <c r="C225" s="226" t="s">
        <v>8855</v>
      </c>
      <c r="D225" s="689" t="s">
        <v>8907</v>
      </c>
      <c r="E225" s="690"/>
      <c r="F225" s="691"/>
      <c r="I225" t="b">
        <f>IF(COUNTIF('PI-1-MarineLoading'!$G$116:$G$120,"Yes")=0,TRUE,IF('PI-1-MarineLoading'!$G$120="NO",TRUE,FALSE))</f>
        <v>1</v>
      </c>
    </row>
    <row r="226" spans="1:9" ht="61.5" customHeight="1" x14ac:dyDescent="0.2">
      <c r="A226" s="173">
        <v>30</v>
      </c>
      <c r="B226" s="223" t="s">
        <v>8823</v>
      </c>
      <c r="C226" s="226" t="s">
        <v>8857</v>
      </c>
      <c r="D226" s="689" t="s">
        <v>8908</v>
      </c>
      <c r="E226" s="690"/>
      <c r="F226" s="691"/>
      <c r="I226" t="b">
        <f>IF(COUNTIF('PI-1-MarineLoading'!$G$116:$G$120,"Yes")=0,TRUE,IF('PI-1-MarineLoading'!$G$120="NO",TRUE,FALSE))</f>
        <v>1</v>
      </c>
    </row>
    <row r="227" spans="1:9" ht="32.25" customHeight="1" x14ac:dyDescent="0.2">
      <c r="A227" s="173">
        <v>30</v>
      </c>
      <c r="B227" s="223" t="s">
        <v>8823</v>
      </c>
      <c r="C227" s="226" t="s">
        <v>8882</v>
      </c>
      <c r="D227" s="689" t="s">
        <v>8909</v>
      </c>
      <c r="E227" s="690"/>
      <c r="F227" s="691"/>
      <c r="I227" t="b">
        <f>IF(COUNTIF('PI-1-MarineLoading'!$G$116:$G$120,"Yes")=0,TRUE,IF('PI-1-MarineLoading'!$G$120="NO",TRUE,FALSE))</f>
        <v>1</v>
      </c>
    </row>
    <row r="228" spans="1:9" ht="45.75" customHeight="1" x14ac:dyDescent="0.2">
      <c r="A228" s="173">
        <v>30</v>
      </c>
      <c r="B228" s="223" t="s">
        <v>8823</v>
      </c>
      <c r="C228" s="689" t="s">
        <v>8884</v>
      </c>
      <c r="D228" s="690"/>
      <c r="E228" s="690"/>
      <c r="F228" s="691"/>
      <c r="I228" t="b">
        <f>IF(COUNTIF('PI-1-MarineLoading'!$G$116:$G$120,"Yes")=0,TRUE,IF('PI-1-MarineLoading'!$G$120="NO",TRUE,FALSE))</f>
        <v>1</v>
      </c>
    </row>
    <row r="229" spans="1:9" ht="159.75" customHeight="1" x14ac:dyDescent="0.2">
      <c r="A229" s="9">
        <v>31</v>
      </c>
      <c r="B229" s="689" t="s">
        <v>10324</v>
      </c>
      <c r="C229" s="690"/>
      <c r="D229" s="690"/>
      <c r="E229" s="690"/>
      <c r="F229" s="691"/>
      <c r="H229" t="s">
        <v>10896</v>
      </c>
      <c r="I229" t="b">
        <f>'PI-1-MarineLoading'!$D$87&lt;&gt;"yes"</f>
        <v>1</v>
      </c>
    </row>
    <row r="230" spans="1:9" ht="45.75" customHeight="1" x14ac:dyDescent="0.2">
      <c r="A230" s="9">
        <v>32</v>
      </c>
      <c r="B230" s="689" t="s">
        <v>10325</v>
      </c>
      <c r="C230" s="690"/>
      <c r="D230" s="690"/>
      <c r="E230" s="690"/>
      <c r="F230" s="691"/>
      <c r="I230" t="b">
        <f>'PI-1-MarineLoading'!$D$87&lt;&gt;"yes"</f>
        <v>1</v>
      </c>
    </row>
    <row r="231" spans="1:9" ht="61.5" customHeight="1" x14ac:dyDescent="0.2">
      <c r="A231" s="9">
        <v>33</v>
      </c>
      <c r="B231" s="689" t="str">
        <f>"The benzene content of any grade of gasoline processed at this terminal shall not exceed "&amp;('PI-1-MarineLoading'!$D$89*100)&amp;" percent by weight in the liquid. Gasoline shall be analyzed for benzene two times per year. One test shall be during the summer (May 1 -September 15) and the other test shall be during the winter (November 1 - February 29). "&amp;"The record shall report benzene content for all grades of gasoline. Gasoline analyses from the delivering refinery are acceptable in place of on-site analysis."</f>
        <v>The benzene content of any grade of gasoline processed at this terminal shall not exceed 0 percent by weight in the liquid. Gasoline shall be analyzed for benzene two times per year. One test shall be during the summer (May 1 -September 15) and the other test shall be during the winter (November 1 - February 29). The record shall report benzene content for all grades of gasoline. Gasoline analyses from the delivering refinery are acceptable in place of on-site analysis.</v>
      </c>
      <c r="C231" s="690"/>
      <c r="D231" s="690"/>
      <c r="E231" s="690"/>
      <c r="F231" s="691"/>
      <c r="H231" t="s">
        <v>10374</v>
      </c>
      <c r="I231" t="b">
        <f>IF('PI-1-MarineLoading'!$D$87&lt;&gt;"Yes",TRUE,IF('PI-1-MarineLoading'!$D$89=0,TRUE,FALSE))</f>
        <v>1</v>
      </c>
    </row>
    <row r="232" spans="1:9" ht="61.5" customHeight="1" x14ac:dyDescent="0.2">
      <c r="A232" s="9">
        <v>34</v>
      </c>
      <c r="B232" s="689" t="str">
        <f>"The methyl tert-butyl ether (MTBE) content of any grade of gasoline processed at this terminal shall not exceed "&amp;('PI-1-MarineLoading'!$D$88*100)&amp;" percent by weight in the liquid. Gasoline shall be analyzed for MTBE two times per year. "&amp;"One test shall be during the summer (May 1 -September 15) and the other test shall be during the winter (November 1 - February 29). The record shall report MTBE content for all grades of gasoline.  "&amp;"Gasoline analyses (laboratory certificates of analysis) from the delivering refinery are acceptable in place of on-site analysis."</f>
        <v>The methyl tert-butyl ether (MTBE) content of any grade of gasoline processed at this terminal shall not exceed 0 percent by weight in the liquid. Gasoline shall be analyzed for MTBE two times per year. One test shall be during the summer (May 1 -September 15) and the other test shall be during the winter (November 1 - February 29). The record shall report MTBE content for all grades of gasoline.  Gasoline analyses (laboratory certificates of analysis) from the delivering refinery are acceptable in place of on-site analysis.</v>
      </c>
      <c r="C232" s="690"/>
      <c r="D232" s="690"/>
      <c r="E232" s="690"/>
      <c r="F232" s="691"/>
      <c r="H232" t="s">
        <v>10374</v>
      </c>
      <c r="I232" t="b">
        <f>IF('PI-1-MarineLoading'!$D$87&lt;&gt;"Yes",TRUE,IF('PI-1-MarineLoading'!$D$88=0,TRUE,FALSE))</f>
        <v>1</v>
      </c>
    </row>
    <row r="233" spans="1:9" x14ac:dyDescent="0.2">
      <c r="A233" s="9">
        <v>35</v>
      </c>
      <c r="B233" s="689" t="s">
        <v>8910</v>
      </c>
      <c r="C233" s="690"/>
      <c r="D233" s="690"/>
      <c r="E233" s="690"/>
      <c r="F233" s="691"/>
      <c r="I233" t="b">
        <f>IF('PI-1-MarineLoading'!$G$115=0,TRUE,FALSE)</f>
        <v>1</v>
      </c>
    </row>
    <row r="234" spans="1:9" ht="15" x14ac:dyDescent="0.2">
      <c r="A234" s="564" t="str">
        <f>"Flare Operational Specifications (FIN: "&amp;Flare!$D$7&amp;")"</f>
        <v>Flare Operational Specifications (FIN: )</v>
      </c>
      <c r="B234" s="563"/>
      <c r="C234" s="563"/>
      <c r="D234" s="563"/>
      <c r="E234" s="563"/>
      <c r="F234" s="847"/>
      <c r="H234" s="8" t="s">
        <v>10384</v>
      </c>
      <c r="I234" t="b">
        <f>IF('PI-1-MarineLoading'!$G$121&lt;&gt;"Yes",TRUE,FALSE)</f>
        <v>1</v>
      </c>
    </row>
    <row r="235" spans="1:9" x14ac:dyDescent="0.2">
      <c r="A235" s="9">
        <v>36</v>
      </c>
      <c r="B235" s="689" t="s">
        <v>8911</v>
      </c>
      <c r="C235" s="690"/>
      <c r="D235" s="690"/>
      <c r="E235" s="690"/>
      <c r="F235" s="691"/>
      <c r="I235" t="b">
        <f>IF('PI-1-MarineLoading'!$G$121&lt;&gt;"Yes",TRUE,FALSE)</f>
        <v>1</v>
      </c>
    </row>
    <row r="236" spans="1:9" ht="75.75" customHeight="1" x14ac:dyDescent="0.2">
      <c r="A236" s="173">
        <v>36</v>
      </c>
      <c r="B236" s="16" t="s">
        <v>8821</v>
      </c>
      <c r="C236" s="689" t="str">
        <f>IF(AND(Flare!$D$38&lt;&gt;"none",Flare!$D$38&lt;&gt;""),"The flare systems shall be designed such that the combined assist gas ("&amp;Flare!$D$38&amp;") and waste stream to each flare meets the 40 CFR § 60.18 specifications of minimum heating value and maximum tip velocity at all times when emissions may be vented to them."&amp;"
The heating value and velocity requirements shall be satisfied during operations authorized by this permit. "&amp;"Flare testing per 40 CFR § 60.18(f) may be requested by the appropriate regional office to demonstrate compliance with these requirements.","The flare systems shall be designed such that the waste stream to each flare meets the 40 CFR § 60.18 specifications of minimum heating value and maximum tip velocity at all times when emissions may be vented to them."&amp;"
The heating value and velocity requirements shall be satisfied during operations authorized by this permit. "&amp;"Flare testing per 40 CFR § 60.18(f) may be requested by the appropriate regional office to demonstrate compliance with these requirements.")</f>
        <v>The flare systems shall be designed such that the waste stream to each flare meets the 40 CFR § 60.18 specifications of minimum heating value and maximum tip velocity at all times when emissions may be vented to them.
The heating value and velocity requirements shall be satisfied during operations authorized by this permit. Flare testing per 40 CFR § 60.18(f) may be requested by the appropriate regional office to demonstrate compliance with these requirements.</v>
      </c>
      <c r="D236" s="690"/>
      <c r="E236" s="690"/>
      <c r="F236" s="691"/>
      <c r="H236" t="s">
        <v>10374</v>
      </c>
      <c r="I236" t="b">
        <f>IF('PI-1-MarineLoading'!$G$121&lt;&gt;"Yes",TRUE,FALSE)</f>
        <v>1</v>
      </c>
    </row>
    <row r="237" spans="1:9" ht="61.5" customHeight="1" x14ac:dyDescent="0.2">
      <c r="A237" s="173">
        <v>36</v>
      </c>
      <c r="B237" s="16" t="s">
        <v>8822</v>
      </c>
      <c r="C237" s="689" t="s">
        <v>8912</v>
      </c>
      <c r="D237" s="690"/>
      <c r="E237" s="690"/>
      <c r="F237" s="691"/>
      <c r="I237" t="b">
        <f>IF('PI-1-MarineLoading'!$G$121&lt;&gt;"Yes",TRUE,FALSE)</f>
        <v>1</v>
      </c>
    </row>
    <row r="238" spans="1:9" ht="32.25" customHeight="1" x14ac:dyDescent="0.2">
      <c r="A238" s="173">
        <v>36</v>
      </c>
      <c r="B238" s="16" t="s">
        <v>8824</v>
      </c>
      <c r="C238" s="689" t="str">
        <f>"The flare shall be operated with no visible emissions except periods not to exceed a total of five minutes during any two consecutive hours. "&amp;IF(Flare!$D$20="none","",IF(Flare!$D$20="steam-assisted","This shall be ensured by the use of steam-assist to the flare.",IF(Flare!$D$20="air-assisted","This shall be ensured by the use of air-assist to the flare.","")))</f>
        <v xml:space="preserve">The flare shall be operated with no visible emissions except periods not to exceed a total of five minutes during any two consecutive hours. </v>
      </c>
      <c r="D238" s="690"/>
      <c r="E238" s="690"/>
      <c r="F238" s="691"/>
      <c r="H238" t="s">
        <v>10374</v>
      </c>
      <c r="I238" t="b">
        <f>IF('PI-1-MarineLoading'!$G$121&lt;&gt;"Yes",TRUE,FALSE)</f>
        <v>1</v>
      </c>
    </row>
    <row r="239" spans="1:9" ht="102.75" customHeight="1" x14ac:dyDescent="0.2">
      <c r="A239" s="173">
        <v>36</v>
      </c>
      <c r="B239" s="16" t="s">
        <v>8823</v>
      </c>
      <c r="C239" s="689" t="str">
        <f>"The permit holder shall install a continuous flow monitor and "&amp;Flare!$D$21&amp;" that provide a record of the vent stream flow and composition to the flare.  The flow monitor sensor and analyzer sample points shall be installed in the vent stream "&amp;"as near as possible to the flare inlet such that the total vent stream to the flare is measured and analyzed. "&amp;"Readings shall be taken at least once every 15 minutes and the average hourly values of the flow and composition (or Btu content) shall be recorded each hour.
"&amp;"The monitors shall be calibrated or have a calibration check performed on an annual basis to meet the following accuracy specifications: "&amp;"the flow monitor shall be ±5.0%, temperature monitor shall be ±2.0% at absolute temperature, and pressure monitor shall be ±5.0 mm Hg."</f>
        <v>The permit holder shall install a continuous flow monitor and  that provide a record of the vent stream flow and composition to the flare.  The flow monitor sensor and analyzer sample points shall be installed in the vent stream as near as possible to the flare inlet such that the total vent stream to the flare is measured and analyzed. Readings shall be taken at least once every 15 minutes and the average hourly values of the flow and composition (or Btu content) shall be recorded each hour.
The monitors shall be calibrated or have a calibration check performed on an annual basis to meet the following accuracy specifications: the flow monitor shall be ±5.0%, temperature monitor shall be ±2.0% at absolute temperature, and pressure monitor shall be ±5.0 mm Hg.</v>
      </c>
      <c r="D239" s="690"/>
      <c r="E239" s="690"/>
      <c r="F239" s="691"/>
      <c r="H239" t="s">
        <v>10374</v>
      </c>
      <c r="I239" t="b">
        <f>IF('PI-1-MarineLoading'!$G$121&lt;&gt;"Yes",TRUE,FALSE)</f>
        <v>1</v>
      </c>
    </row>
    <row r="240" spans="1:9" ht="103.5" customHeight="1" x14ac:dyDescent="0.2">
      <c r="A240" s="173">
        <v>36</v>
      </c>
      <c r="B240" s="16" t="s">
        <v>8825</v>
      </c>
      <c r="C240" s="689" t="s">
        <v>8913</v>
      </c>
      <c r="D240" s="690"/>
      <c r="E240" s="690"/>
      <c r="F240" s="691"/>
      <c r="I240" t="b">
        <f>IF('PI-1-MarineLoading'!$G$121&lt;&gt;"Yes",TRUE,IF(Flare!$D$21="Btu calorimeter",TRUE,FALSE))</f>
        <v>1</v>
      </c>
    </row>
    <row r="241" spans="1:9" ht="32.25" customHeight="1" x14ac:dyDescent="0.2">
      <c r="A241" s="173">
        <v>36</v>
      </c>
      <c r="B241" s="16" t="s">
        <v>8826</v>
      </c>
      <c r="C241" s="1133" t="s">
        <v>10656</v>
      </c>
      <c r="D241" s="1134"/>
      <c r="E241" s="1134"/>
      <c r="F241" s="1135"/>
      <c r="I241" t="b">
        <f>IF('PI-1-MarineLoading'!$G$121&lt;&gt;"Yes",TRUE,IF(Flare!$D$21="gas analyzer",TRUE,FALSE))</f>
        <v>1</v>
      </c>
    </row>
    <row r="242" spans="1:9" ht="48" customHeight="1" x14ac:dyDescent="0.2">
      <c r="A242" s="173">
        <v>36</v>
      </c>
      <c r="B242" s="16" t="s">
        <v>8827</v>
      </c>
      <c r="C242" s="1133" t="s">
        <v>8914</v>
      </c>
      <c r="D242" s="1134"/>
      <c r="E242" s="1134"/>
      <c r="F242" s="1135"/>
      <c r="I242" t="b">
        <f>IF('PI-1-MarineLoading'!$G$121&lt;&gt;"Yes",TRUE,FALSE)</f>
        <v>1</v>
      </c>
    </row>
    <row r="243" spans="1:9" ht="32.25" customHeight="1" x14ac:dyDescent="0.2">
      <c r="A243" s="173">
        <v>36</v>
      </c>
      <c r="B243" s="16" t="s">
        <v>8828</v>
      </c>
      <c r="C243" s="689" t="s">
        <v>8915</v>
      </c>
      <c r="D243" s="690"/>
      <c r="E243" s="690"/>
      <c r="F243" s="691"/>
      <c r="I243" t="b">
        <f>IF('PI-1-MarineLoading'!$G$121&lt;&gt;"Yes",TRUE,FALSE)</f>
        <v>1</v>
      </c>
    </row>
    <row r="244" spans="1:9" ht="32.25" customHeight="1" x14ac:dyDescent="0.2">
      <c r="A244" s="173">
        <v>36</v>
      </c>
      <c r="B244" s="16" t="s">
        <v>8829</v>
      </c>
      <c r="C244" s="689" t="str">
        <f>"Flow of waste gas to the flare shall be limited to the following rates: maximum hourly flow rate shall not exceed "&amp;Flare!$D$54&amp;" scf/hr and total annual flow shall not exceed "&amp;Flare!$D$55&amp;" scf/yr."</f>
        <v>Flow of waste gas to the flare shall be limited to the following rates: maximum hourly flow rate shall not exceed  scf/hr and total annual flow shall not exceed  scf/yr.</v>
      </c>
      <c r="D244" s="690"/>
      <c r="E244" s="690"/>
      <c r="F244" s="691"/>
      <c r="H244" t="s">
        <v>10374</v>
      </c>
      <c r="I244" t="b">
        <f>IF('PI-1-MarineLoading'!$G$121&lt;&gt;"Yes",TRUE,FALSE)</f>
        <v>1</v>
      </c>
    </row>
    <row r="245" spans="1:9" ht="42.75" x14ac:dyDescent="0.2">
      <c r="A245" s="564" t="str">
        <f>"Vapor Combustion Unit Operational Specifications (FIN: "&amp;VCU!$D$7&amp;")"</f>
        <v>Vapor Combustion Unit Operational Specifications (FIN: )</v>
      </c>
      <c r="B245" s="563"/>
      <c r="C245" s="563"/>
      <c r="D245" s="563"/>
      <c r="E245" s="563"/>
      <c r="F245" s="847"/>
      <c r="H245" t="s">
        <v>10385</v>
      </c>
      <c r="I245" t="b">
        <f>IF('PI-1-MarineLoading'!$G$122="No",TRUE,FALSE)</f>
        <v>0</v>
      </c>
    </row>
    <row r="246" spans="1:9" x14ac:dyDescent="0.2">
      <c r="A246" s="9">
        <v>37</v>
      </c>
      <c r="B246" s="689" t="s">
        <v>10888</v>
      </c>
      <c r="C246" s="690"/>
      <c r="D246" s="690"/>
      <c r="E246" s="690"/>
      <c r="F246" s="691"/>
      <c r="I246" t="b">
        <f>IF('PI-1-MarineLoading'!$G$122="No",TRUE,FALSE)</f>
        <v>0</v>
      </c>
    </row>
    <row r="247" spans="1:9" ht="61.5" customHeight="1" x14ac:dyDescent="0.2">
      <c r="A247" s="173">
        <v>37</v>
      </c>
      <c r="B247" s="16" t="s">
        <v>8821</v>
      </c>
      <c r="C247" s="689" t="str">
        <f>"The VCU shall achieve "&amp;VCU!$D$23*100&amp;" percent control of the waste gas directed to it. "&amp;"This shall be ensured by maintaining the temperature in, or immediately downstream of, the combustion chamber above "&amp;VCU!$D$22&amp;" °F prior to the initial stack test performed in accordance with the stack test Special Condition. "&amp;"Following the completion of that stack test, the six-minute average temperature shall be maintained above the minimum one-hour average temperature maintained during the last satisfactory stack test."</f>
        <v>The VCU shall achieve 0 percent control of the waste gas directed to it. This shall be ensured by maintaining the temperature in, or immediately downstream of, the combustion chamber above  °F prior to the initial stack test performed in accordance with the stack test Special Condition. Following the completion of that stack test, the six-minute average temperature shall be maintained above the minimum one-hour average temperature maintained during the last satisfactory stack test.</v>
      </c>
      <c r="D247" s="690"/>
      <c r="E247" s="690"/>
      <c r="F247" s="691"/>
      <c r="H247" t="s">
        <v>10374</v>
      </c>
      <c r="I247" t="b">
        <f>IF('PI-1-MarineLoading'!$G$122="No",TRUE,FALSE)</f>
        <v>0</v>
      </c>
    </row>
    <row r="248" spans="1:9" ht="61.5" customHeight="1" x14ac:dyDescent="0.2">
      <c r="A248" s="173">
        <v>37</v>
      </c>
      <c r="B248" s="16" t="s">
        <v>8822</v>
      </c>
      <c r="C248" s="689" t="s">
        <v>8917</v>
      </c>
      <c r="D248" s="690"/>
      <c r="E248" s="690"/>
      <c r="F248" s="691"/>
      <c r="I248" t="b">
        <f>IF('PI-1-MarineLoading'!$G$122="No",TRUE,FALSE)</f>
        <v>0</v>
      </c>
    </row>
    <row r="249" spans="1:9" ht="61.5" customHeight="1" x14ac:dyDescent="0.2">
      <c r="A249" s="173">
        <v>37</v>
      </c>
      <c r="B249" s="16" t="s">
        <v>8824</v>
      </c>
      <c r="C249" s="689" t="s">
        <v>8918</v>
      </c>
      <c r="D249" s="690"/>
      <c r="E249" s="690"/>
      <c r="F249" s="691"/>
      <c r="I249" t="b">
        <f>IF('PI-1-MarineLoading'!$G$122="No",TRUE,FALSE)</f>
        <v>0</v>
      </c>
    </row>
    <row r="250" spans="1:9" ht="61.5" customHeight="1" x14ac:dyDescent="0.2">
      <c r="A250" s="173">
        <v>37</v>
      </c>
      <c r="B250" s="16" t="s">
        <v>8823</v>
      </c>
      <c r="C250" s="689" t="s">
        <v>8919</v>
      </c>
      <c r="D250" s="690"/>
      <c r="E250" s="690"/>
      <c r="F250" s="691"/>
      <c r="I250" t="b">
        <f>IF('PI-1-MarineLoading'!$G$122="No",TRUE,FALSE)</f>
        <v>0</v>
      </c>
    </row>
    <row r="251" spans="1:9" ht="57" x14ac:dyDescent="0.2">
      <c r="A251" s="564" t="str">
        <f>"Vapor Oxidizer (FIN: "&amp;VaporOxidizer!$D$7&amp;")"</f>
        <v>Vapor Oxidizer (FIN: )</v>
      </c>
      <c r="B251" s="563"/>
      <c r="C251" s="563"/>
      <c r="D251" s="563"/>
      <c r="E251" s="563"/>
      <c r="F251" s="847"/>
      <c r="H251" t="s">
        <v>10386</v>
      </c>
      <c r="I251" t="b">
        <f>IF('PI-1-MarineLoading'!$G$123="No",TRUE,FALSE)</f>
        <v>0</v>
      </c>
    </row>
    <row r="252" spans="1:9" ht="30" customHeight="1" x14ac:dyDescent="0.2">
      <c r="A252" s="9">
        <v>38</v>
      </c>
      <c r="B252" s="689" t="str">
        <f>"The "&amp;VaporOxidizer!$D$21&amp;" shall maintain the VOC concentration in the exhaust gas less than "&amp;IF(VaporOxidizer!$D$21="","",IF(VaporOxidizer!$D$21&lt;&gt;"catalytic oxidizer",10,20))&amp;" ppmv on a dry basis, corrected to 3 percent oxygen, or achieve a VOC destruction efficiency greater than "&amp;VaporOxidizer!$D$23*100&amp;" percent."</f>
        <v>The  shall maintain the VOC concentration in the exhaust gas less than  ppmv on a dry basis, corrected to 3 percent oxygen, or achieve a VOC destruction efficiency greater than 0 percent.</v>
      </c>
      <c r="C252" s="690"/>
      <c r="D252" s="690"/>
      <c r="E252" s="690"/>
      <c r="F252" s="691"/>
      <c r="H252" t="s">
        <v>10387</v>
      </c>
      <c r="I252" t="b">
        <f>IF('PI-1-MarineLoading'!$G$123="No",TRUE,FALSE)</f>
        <v>0</v>
      </c>
    </row>
    <row r="253" spans="1:9" ht="61.5" customHeight="1" x14ac:dyDescent="0.2">
      <c r="A253" s="9">
        <v>39</v>
      </c>
      <c r="B253" s="689" t="str">
        <f>"The oxidizer firebox temperature shall be maintained at not less than "&amp;VaporOxidizer!$D$26&amp;" °F and exhaust oxygen concentration not less than 3 percent on a six-minute average while waste gas is being fed into the oxidizer prior to initial stack testing. "&amp;"After the initial stack test has been completed, the six-minute average temperature shall be equal to, or greater than the respective hourly average maintained during the most recent "&amp;"satisfactory stack testing required by the Initial Demonstration of Compliance section of these conditions."</f>
        <v>The oxidizer firebox temperature shall be maintained at not less than  °F and exhaust oxygen concentration not less than 3 percent on a six-minute average while waste gas is being fed into the oxidizer prior to initial stack testing. After the initial stack test has been completed, the six-minute average temperature shall be equal to, or greater than the respective hourly average maintained during the most recent satisfactory stack testing required by the Initial Demonstration of Compliance section of these conditions.</v>
      </c>
      <c r="C253" s="690"/>
      <c r="D253" s="690"/>
      <c r="E253" s="690"/>
      <c r="F253" s="691"/>
      <c r="H253" t="s">
        <v>10388</v>
      </c>
      <c r="I253" t="b">
        <f>IF('PI-1-MarineLoading'!$G$123="No",TRUE,IF(COUNTIF(VaporOxidizer!$D$21,"*regenerative*")=0,TRUE,FALSE))</f>
        <v>1</v>
      </c>
    </row>
    <row r="254" spans="1:9" ht="90.75" customHeight="1" x14ac:dyDescent="0.2">
      <c r="A254" s="9">
        <v>39</v>
      </c>
      <c r="B254" s="689" t="str">
        <f>"The holder of this permit shall continuously monitor and record the temperature of the gas stream before and after the catalyst bed when waste gas is directed to the catalytic oxidizer.  "&amp;"The temperature measurement devices shall reduce the temperature readings to an averaging period of six minutes or less and record it at that frequency.
"&amp;"The minimum inlet temperature shall be "&amp;VaporOxidizer!$D$27&amp;" °F when waste gas is being directed to the catalytic oxidizer.  Retesting may require a change in the minimum inlet temperature value to demonstrate compliance with the VOC destruction efficiency listed in special condition 38."</f>
        <v>The holder of this permit shall continuously monitor and record the temperature of the gas stream before and after the catalyst bed when waste gas is directed to the catalytic oxidizer.  The temperature measurement devices shall reduce the temperature readings to an averaging period of six minutes or less and record it at that frequency.
The minimum inlet temperature shall be  °F when waste gas is being directed to the catalytic oxidizer.  Retesting may require a change in the minimum inlet temperature value to demonstrate compliance with the VOC destruction efficiency listed in special condition 38.</v>
      </c>
      <c r="C254" s="690"/>
      <c r="D254" s="690"/>
      <c r="E254" s="690"/>
      <c r="F254" s="691"/>
      <c r="I254" t="b">
        <f>IF('PI-1-MarineLoading'!$G$123="No",TRUE,IF(COUNTIF(VaporOxidizer!$D$21,"*catalytic*")=0,TRUE,FALSE))</f>
        <v>1</v>
      </c>
    </row>
    <row r="255" spans="1:9" ht="75.75" customHeight="1" x14ac:dyDescent="0.2">
      <c r="A255" s="227">
        <v>40</v>
      </c>
      <c r="B255" s="734" t="str">
        <f>IF(VaporOxidizer!$D$21="","",IF(VaporOxidizer!$D$21&lt;&gt;"catalytic oxidizer","The vapor oxidizer exhaust stream","The inlet and outlet temperature of the catalyst bed"))&amp;" shall be continuously monitored and recorded when waste gas is directed to the oxidizer.  "&amp;"The temperature measurement device shall reduce the temperature readings to an averaging period of 6 minutes or less and record it at that frequency. "&amp;"The temperature measurement device shall be installed, calibrated, and maintained according to accepted practice and the manufacturer's specifications. "&amp;"The device shall have an accuracy of the greater of ±0.75 percent of the temperature being measured expressed in degrees Celsius or ±2.5°C."</f>
        <v xml:space="preserve"> shall be continuously monitored and recorded when waste gas is directed to the oxidizer.  The temperature measurement device shall reduce the temperature readings to an averaging period of 6 minutes or less and record it at that frequency. The temperature measurement device shall be installed, calibrated, and maintained according to accepted practice and the manufacturer's specifications. The device shall have an accuracy of the greater of ±0.75 percent of the temperature being measured expressed in degrees Celsius or ±2.5°C.</v>
      </c>
      <c r="C255" s="693"/>
      <c r="D255" s="693"/>
      <c r="E255" s="693"/>
      <c r="F255" s="735"/>
      <c r="H255" t="s">
        <v>10389</v>
      </c>
      <c r="I255" t="b">
        <f>IF('PI-1-MarineLoading'!$G$123="No",TRUE,FALSE)</f>
        <v>0</v>
      </c>
    </row>
    <row r="256" spans="1:9" ht="61.5" customHeight="1" x14ac:dyDescent="0.2">
      <c r="A256" s="326">
        <v>40</v>
      </c>
      <c r="B256" s="1136" t="s">
        <v>10326</v>
      </c>
      <c r="C256" s="1137"/>
      <c r="D256" s="1137"/>
      <c r="E256" s="1137"/>
      <c r="F256" s="1138"/>
      <c r="I256" t="b">
        <f>IF('PI-1-MarineLoading'!$G$123="No",TRUE,FALSE)</f>
        <v>0</v>
      </c>
    </row>
    <row r="257" spans="1:9" ht="290.25" customHeight="1" x14ac:dyDescent="0.2">
      <c r="A257" s="9">
        <v>41</v>
      </c>
      <c r="B257" s="689" t="s">
        <v>10391</v>
      </c>
      <c r="C257" s="690"/>
      <c r="D257" s="690"/>
      <c r="E257" s="690"/>
      <c r="F257" s="691"/>
      <c r="H257" t="s">
        <v>10390</v>
      </c>
      <c r="I257" t="b">
        <f>IF('PI-1-MarineLoading'!$G$123="No",TRUE,IF(VaporOxidizer!$D$30="Yes",TRUE,FALSE))</f>
        <v>0</v>
      </c>
    </row>
    <row r="258" spans="1:9" x14ac:dyDescent="0.2">
      <c r="A258" s="9">
        <v>42</v>
      </c>
      <c r="B258" s="689" t="str">
        <f>"The exit temperature of the stand-by oxidizer firebox shall be maintained at not less than "&amp;VaporOxidizer!$D$29&amp;" °F."</f>
        <v>The exit temperature of the stand-by oxidizer firebox shall be maintained at not less than  °F.</v>
      </c>
      <c r="C258" s="690"/>
      <c r="D258" s="690"/>
      <c r="E258" s="690"/>
      <c r="F258" s="691"/>
      <c r="H258" s="8" t="s">
        <v>10392</v>
      </c>
      <c r="I258" t="b">
        <f>IF('PI-1-MarineLoading'!$G$123="No",TRUE,IF(VaporOxidizer!$D$28="No",TRUE,FALSE))</f>
        <v>0</v>
      </c>
    </row>
    <row r="259" spans="1:9" ht="15" x14ac:dyDescent="0.2">
      <c r="A259" s="564" t="str">
        <f>"CEMS for Vapor Oxidizer (FIN: "&amp;VaporOxidizer!$D$7&amp;")"</f>
        <v>CEMS for Vapor Oxidizer (FIN: )</v>
      </c>
      <c r="B259" s="563"/>
      <c r="C259" s="563"/>
      <c r="D259" s="563"/>
      <c r="E259" s="563"/>
      <c r="F259" s="847"/>
      <c r="H259" s="8" t="s">
        <v>10393</v>
      </c>
      <c r="I259" t="b">
        <f>IF('PI-1-MarineLoading'!$G$123="NO",TRUE,IF(VaporOxidizer!$D$30="No",TRUE,FALSE))</f>
        <v>0</v>
      </c>
    </row>
    <row r="260" spans="1:9" ht="31.5" customHeight="1" x14ac:dyDescent="0.2">
      <c r="A260" s="9">
        <v>43</v>
      </c>
      <c r="B260" s="689" t="s">
        <v>9271</v>
      </c>
      <c r="C260" s="690"/>
      <c r="D260" s="690"/>
      <c r="E260" s="690"/>
      <c r="F260" s="691"/>
      <c r="I260" t="b">
        <f>IF('PI-1-MarineLoading'!$G$123="NO",TRUE,IF(VaporOxidizer!$D$30="No",TRUE,FALSE))</f>
        <v>0</v>
      </c>
    </row>
    <row r="261" spans="1:9" ht="61.5" customHeight="1" x14ac:dyDescent="0.2">
      <c r="A261" s="173">
        <v>43</v>
      </c>
      <c r="B261" s="16" t="s">
        <v>8821</v>
      </c>
      <c r="C261" s="689" t="s">
        <v>10881</v>
      </c>
      <c r="D261" s="690"/>
      <c r="E261" s="690"/>
      <c r="F261" s="691"/>
      <c r="I261" t="b">
        <f>IF('PI-1-MarineLoading'!$G$123="NO",TRUE,IF(VaporOxidizer!$D$30="No",TRUE,FALSE))</f>
        <v>0</v>
      </c>
    </row>
    <row r="262" spans="1:9" ht="30" customHeight="1" x14ac:dyDescent="0.2">
      <c r="A262" s="173">
        <v>43</v>
      </c>
      <c r="B262" s="16" t="s">
        <v>8822</v>
      </c>
      <c r="C262" s="689" t="s">
        <v>9272</v>
      </c>
      <c r="D262" s="690"/>
      <c r="E262" s="690"/>
      <c r="F262" s="691"/>
      <c r="I262" t="b">
        <f>IF('PI-1-MarineLoading'!$G$123="NO",TRUE,IF(VaporOxidizer!$D$30="No",TRUE,FALSE))</f>
        <v>0</v>
      </c>
    </row>
    <row r="263" spans="1:9" ht="61.5" customHeight="1" x14ac:dyDescent="0.2">
      <c r="A263" s="173">
        <v>43</v>
      </c>
      <c r="B263" s="223" t="s">
        <v>8822</v>
      </c>
      <c r="C263" s="226" t="s">
        <v>8855</v>
      </c>
      <c r="D263" s="689" t="s">
        <v>9273</v>
      </c>
      <c r="E263" s="690"/>
      <c r="F263" s="691"/>
      <c r="I263" t="b">
        <f>IF('PI-1-MarineLoading'!$G$123="NO",TRUE,IF(VaporOxidizer!$D$30="No",TRUE,FALSE))</f>
        <v>0</v>
      </c>
    </row>
    <row r="264" spans="1:9" ht="160.5" customHeight="1" x14ac:dyDescent="0.2">
      <c r="A264" s="173">
        <v>43</v>
      </c>
      <c r="B264" s="223" t="s">
        <v>8822</v>
      </c>
      <c r="C264" s="226" t="s">
        <v>8857</v>
      </c>
      <c r="D264" s="689" t="s">
        <v>9274</v>
      </c>
      <c r="E264" s="690"/>
      <c r="F264" s="691"/>
      <c r="I264" t="b">
        <f>IF('PI-1-MarineLoading'!$G$123="NO",TRUE,IF(VaporOxidizer!$D$30="No",TRUE,FALSE))</f>
        <v>0</v>
      </c>
    </row>
    <row r="265" spans="1:9" ht="104.25" customHeight="1" x14ac:dyDescent="0.2">
      <c r="A265" s="173">
        <v>43</v>
      </c>
      <c r="B265" s="16" t="s">
        <v>8824</v>
      </c>
      <c r="C265" s="689" t="s">
        <v>10477</v>
      </c>
      <c r="D265" s="690"/>
      <c r="E265" s="690"/>
      <c r="F265" s="691"/>
      <c r="H265" t="s">
        <v>10389</v>
      </c>
      <c r="I265" t="b">
        <f>IF('PI-1-MarineLoading'!$G$123="NO",TRUE,IF(VaporOxidizer!$D$30="No",TRUE,FALSE))</f>
        <v>0</v>
      </c>
    </row>
    <row r="266" spans="1:9" ht="33.75" customHeight="1" x14ac:dyDescent="0.2">
      <c r="A266" s="173">
        <v>43</v>
      </c>
      <c r="B266" s="16" t="s">
        <v>8823</v>
      </c>
      <c r="C266" s="689" t="s">
        <v>9275</v>
      </c>
      <c r="D266" s="690"/>
      <c r="E266" s="690"/>
      <c r="F266" s="691"/>
      <c r="I266" t="b">
        <f>IF('PI-1-MarineLoading'!$G$123="NO",TRUE,IF(VaporOxidizer!$D$30="No",TRUE,FALSE))</f>
        <v>0</v>
      </c>
    </row>
    <row r="267" spans="1:9" ht="33.75" customHeight="1" x14ac:dyDescent="0.2">
      <c r="A267" s="173">
        <v>43</v>
      </c>
      <c r="B267" s="16" t="s">
        <v>8825</v>
      </c>
      <c r="C267" s="689" t="s">
        <v>9276</v>
      </c>
      <c r="D267" s="690"/>
      <c r="E267" s="690"/>
      <c r="F267" s="691"/>
      <c r="I267" t="b">
        <f>IF('PI-1-MarineLoading'!$G$123="NO",TRUE,IF(VaporOxidizer!$D$30="No",TRUE,FALSE))</f>
        <v>0</v>
      </c>
    </row>
    <row r="268" spans="1:9" ht="92.25" customHeight="1" x14ac:dyDescent="0.2">
      <c r="A268" s="173">
        <v>43</v>
      </c>
      <c r="B268" s="16" t="s">
        <v>8826</v>
      </c>
      <c r="C268" s="689" t="s">
        <v>9277</v>
      </c>
      <c r="D268" s="690"/>
      <c r="E268" s="690"/>
      <c r="F268" s="691"/>
      <c r="I268" t="b">
        <f>IF('PI-1-MarineLoading'!$G$123="NO",TRUE,IF(VaporOxidizer!$D$30="No",TRUE,FALSE))</f>
        <v>0</v>
      </c>
    </row>
    <row r="269" spans="1:9" ht="71.25" x14ac:dyDescent="0.2">
      <c r="A269" s="564" t="str">
        <f>"CAM for Vapor Oxidizer (FIN: "&amp;VaporOxidizer!$D$7&amp;")"</f>
        <v>CAM for Vapor Oxidizer (FIN: )</v>
      </c>
      <c r="B269" s="563"/>
      <c r="C269" s="563"/>
      <c r="D269" s="563"/>
      <c r="E269" s="563"/>
      <c r="F269" s="847"/>
      <c r="H269" t="s">
        <v>10394</v>
      </c>
      <c r="I269" t="b">
        <f>IF('PI-1-MarineLoading'!$G$123="NO",TRUE,IF(VaporOxidizer!$D$62="NO",TRUE,FALSE))</f>
        <v>0</v>
      </c>
    </row>
    <row r="270" spans="1:9" x14ac:dyDescent="0.2">
      <c r="A270" s="9">
        <v>44</v>
      </c>
      <c r="B270" s="689" t="s">
        <v>10327</v>
      </c>
      <c r="C270" s="690"/>
      <c r="D270" s="690"/>
      <c r="E270" s="690"/>
      <c r="F270" s="691"/>
      <c r="I270" t="b">
        <f>IF('PI-1-MarineLoading'!$G$123="NO",TRUE,IF(VaporOxidizer!$D$62="NO",TRUE,FALSE))</f>
        <v>0</v>
      </c>
    </row>
    <row r="271" spans="1:9" x14ac:dyDescent="0.2">
      <c r="A271" s="173">
        <v>44</v>
      </c>
      <c r="B271" s="16" t="s">
        <v>8821</v>
      </c>
      <c r="C271" s="689" t="s">
        <v>10328</v>
      </c>
      <c r="D271" s="690"/>
      <c r="E271" s="690"/>
      <c r="F271" s="691"/>
      <c r="I271" t="b">
        <f>IF('PI-1-MarineLoading'!$G$123="NO",TRUE,IF(VaporOxidizer!$D$62="NO",TRUE,FALSE))</f>
        <v>0</v>
      </c>
    </row>
    <row r="272" spans="1:9" ht="33.75" customHeight="1" x14ac:dyDescent="0.2">
      <c r="A272" s="173">
        <v>44</v>
      </c>
      <c r="B272" s="223" t="s">
        <v>8821</v>
      </c>
      <c r="C272" s="226" t="s">
        <v>8855</v>
      </c>
      <c r="D272" s="689" t="s">
        <v>8963</v>
      </c>
      <c r="E272" s="690"/>
      <c r="F272" s="691"/>
      <c r="I272" t="b">
        <f>IF('PI-1-MarineLoading'!$G$123="NO",TRUE,IF(VaporOxidizer!$D$62="NO",TRUE,FALSE))</f>
        <v>0</v>
      </c>
    </row>
    <row r="273" spans="1:9" ht="33.75" customHeight="1" x14ac:dyDescent="0.2">
      <c r="A273" s="173">
        <v>44</v>
      </c>
      <c r="B273" s="223" t="s">
        <v>8821</v>
      </c>
      <c r="C273" s="226" t="s">
        <v>8857</v>
      </c>
      <c r="D273" s="689" t="s">
        <v>10329</v>
      </c>
      <c r="E273" s="690"/>
      <c r="F273" s="691"/>
      <c r="I273" t="b">
        <f>IF('PI-1-MarineLoading'!$G$123="NO",TRUE,IF(VaporOxidizer!$D$62="NO",TRUE,FALSE))</f>
        <v>0</v>
      </c>
    </row>
    <row r="274" spans="1:9" ht="28.5" x14ac:dyDescent="0.2">
      <c r="A274" s="173">
        <v>44</v>
      </c>
      <c r="B274" s="16" t="s">
        <v>8822</v>
      </c>
      <c r="C274" s="689" t="s">
        <v>10330</v>
      </c>
      <c r="D274" s="690"/>
      <c r="E274" s="690"/>
      <c r="F274" s="691"/>
      <c r="H274" t="s">
        <v>10395</v>
      </c>
      <c r="I274" t="b">
        <f>IF('PI-1-MarineLoading'!$G$123="NO",TRUE,IF(VaporOxidizer!$D$62="NO",TRUE,IF(VaporOxidizer!$D$64="YES",TRUE,FALSE)))</f>
        <v>0</v>
      </c>
    </row>
    <row r="275" spans="1:9" ht="28.5" x14ac:dyDescent="0.2">
      <c r="A275" s="173">
        <v>44</v>
      </c>
      <c r="B275" s="16" t="s">
        <v>8824</v>
      </c>
      <c r="C275" s="689" t="s">
        <v>11015</v>
      </c>
      <c r="D275" s="690"/>
      <c r="E275" s="690"/>
      <c r="F275" s="691"/>
      <c r="H275" t="s">
        <v>10396</v>
      </c>
      <c r="I275" t="b">
        <f>IF('PI-1-MarineLoading'!$G$123="NO",TRUE,IF(VaporOxidizer!$D$62="NO",TRUE,IF(VaporOxidizer!$D$64="NO",TRUE,FALSE)))</f>
        <v>0</v>
      </c>
    </row>
    <row r="276" spans="1:9" ht="33.75" customHeight="1" x14ac:dyDescent="0.2">
      <c r="A276" s="173">
        <v>44</v>
      </c>
      <c r="B276" s="223" t="s">
        <v>8824</v>
      </c>
      <c r="C276" s="226" t="s">
        <v>8855</v>
      </c>
      <c r="D276" s="1133" t="s">
        <v>10425</v>
      </c>
      <c r="E276" s="1134"/>
      <c r="F276" s="1135"/>
      <c r="H276" t="s">
        <v>10396</v>
      </c>
      <c r="I276" t="b">
        <f>IF('PI-1-MarineLoading'!$G$123="NO",TRUE,IF(VaporOxidizer!$D$62="NO",TRUE,IF(VaporOxidizer!$D$64="NO",TRUE,FALSE)))</f>
        <v>0</v>
      </c>
    </row>
    <row r="277" spans="1:9" ht="33.75" customHeight="1" x14ac:dyDescent="0.2">
      <c r="A277" s="173">
        <v>44</v>
      </c>
      <c r="B277" s="223" t="s">
        <v>8824</v>
      </c>
      <c r="C277" s="226" t="s">
        <v>8857</v>
      </c>
      <c r="D277" s="1133" t="s">
        <v>8920</v>
      </c>
      <c r="E277" s="1134"/>
      <c r="F277" s="1135"/>
      <c r="I277" t="b">
        <f>IF('PI-1-MarineLoading'!$G$123="NO",TRUE,IF(VaporOxidizer!$D$62="NO",TRUE,IF(VaporOxidizer!$D$64="NO",TRUE,FALSE)))</f>
        <v>0</v>
      </c>
    </row>
    <row r="278" spans="1:9" ht="45" customHeight="1" x14ac:dyDescent="0.2">
      <c r="A278" s="173">
        <v>44</v>
      </c>
      <c r="B278" s="16" t="s">
        <v>8823</v>
      </c>
      <c r="C278" s="689" t="s">
        <v>9432</v>
      </c>
      <c r="D278" s="690"/>
      <c r="E278" s="690"/>
      <c r="F278" s="691"/>
      <c r="I278" t="b">
        <f>IF('PI-1-MarineLoading'!$G$123="NO",TRUE,IF(VaporOxidizer!$D$62="NO",TRUE,FALSE))</f>
        <v>0</v>
      </c>
    </row>
    <row r="279" spans="1:9" ht="32.25" customHeight="1" x14ac:dyDescent="0.2">
      <c r="A279" s="173">
        <v>44</v>
      </c>
      <c r="B279" s="16" t="s">
        <v>8825</v>
      </c>
      <c r="C279" s="689" t="s">
        <v>8967</v>
      </c>
      <c r="D279" s="690"/>
      <c r="E279" s="690"/>
      <c r="F279" s="691"/>
      <c r="I279" t="b">
        <f>IF('PI-1-MarineLoading'!$G$123="NO",TRUE,IF(VaporOxidizer!$D$62="NO",TRUE,FALSE))</f>
        <v>0</v>
      </c>
    </row>
    <row r="280" spans="1:9" ht="42.75" x14ac:dyDescent="0.2">
      <c r="A280" s="564" t="str">
        <f>"Carbon Adsorption System (CAS) Operational Specifications (FIN: "&amp;CAS!$D$7&amp;")"</f>
        <v>Carbon Adsorption System (CAS) Operational Specifications (FIN: )</v>
      </c>
      <c r="B280" s="563"/>
      <c r="C280" s="563"/>
      <c r="D280" s="563"/>
      <c r="E280" s="563"/>
      <c r="F280" s="847"/>
      <c r="H280" t="s">
        <v>10397</v>
      </c>
      <c r="I280" t="b">
        <f>IF('PI-1-MarineLoading'!$G$124="No",TRUE,FALSE)</f>
        <v>0</v>
      </c>
    </row>
    <row r="281" spans="1:9" ht="37.5" customHeight="1" x14ac:dyDescent="0.2">
      <c r="A281" s="9">
        <v>45</v>
      </c>
      <c r="B281" s="689" t="str">
        <f>"The following FINs shall vent through a CAS consisting of at least two activated carbon canisters that are connected in series: "&amp;Hidden!DJ2&amp;IF(Hidden!DJ3=0,"",", "&amp;Hidden!DJ3)&amp;IF(Hidden!DJ4=0,"",", "&amp;Hidden!DJ4)&amp;IF(Hidden!DJ5=0,"",", "&amp;Hidden!DJ5)&amp;IF(Hidden!DJ6=0,"",", "&amp;Hidden!DJ6)&amp;IF(Hidden!DJ7=0,"",Hidden!DJ7)&amp;IF(Hidden!DJ8=0,"",Hidden!DJ8)&amp;IF(Hidden!DJ9=0,"",Hidden!DJ9)&amp;IF(Hidden!DJ10=0,"",Hidden!DJ10)&amp;IF(Hidden!DJ11=0,"",Hidden!DJ11)&amp;"."</f>
        <v>The following FINs shall vent through a CAS consisting of at least two activated carbon canisters that are connected in series: 0.</v>
      </c>
      <c r="C281" s="690"/>
      <c r="D281" s="690"/>
      <c r="E281" s="690"/>
      <c r="F281" s="691"/>
      <c r="H281" s="8" t="s">
        <v>10443</v>
      </c>
      <c r="I281" t="b">
        <f>IF('PI-1-MarineLoading'!$G$124="No",TRUE,IF(CAS!$D$18&lt;&gt;"non-regenerative",TRUE,IF(CAS!$D$21="YES",TRUE,FALSE)))</f>
        <v>1</v>
      </c>
    </row>
    <row r="282" spans="1:9" ht="50.25" customHeight="1" x14ac:dyDescent="0.2">
      <c r="A282" s="173">
        <v>45</v>
      </c>
      <c r="B282" s="16" t="s">
        <v>8821</v>
      </c>
      <c r="C282" s="689" t="str">
        <f>"The CAS shall be sampled "&amp;CAS!$D$20&amp;" to determine breakthrough of VOC. The sampling point shall be at the outlet of the initial canister but before the inlet to the second or final polishing canister. "&amp;"Sampling shall be done during maximum loading rate and/or tank filling."</f>
        <v>The CAS shall be sampled  to determine breakthrough of VOC. The sampling point shall be at the outlet of the initial canister but before the inlet to the second or final polishing canister. Sampling shall be done during maximum loading rate and/or tank filling.</v>
      </c>
      <c r="D282" s="690"/>
      <c r="E282" s="690"/>
      <c r="F282" s="691"/>
      <c r="H282" t="s">
        <v>10398</v>
      </c>
      <c r="I282" t="b">
        <f>IF('PI-1-MarineLoading'!$G$124="No",TRUE,IF(CAS!$D$18&lt;&gt;"non-regenerative",TRUE,IF(CAS!$D$21="YES",TRUE,FALSE)))</f>
        <v>1</v>
      </c>
    </row>
    <row r="283" spans="1:9" ht="50.25" customHeight="1" x14ac:dyDescent="0.2">
      <c r="A283" s="173">
        <v>45</v>
      </c>
      <c r="B283" s="16" t="s">
        <v>8822</v>
      </c>
      <c r="C283" s="689" t="s">
        <v>8921</v>
      </c>
      <c r="D283" s="690"/>
      <c r="E283" s="690"/>
      <c r="F283" s="691"/>
      <c r="I283" t="b">
        <f>IF('PI-1-MarineLoading'!$G$124="No",TRUE,IF(CAS!$D$18&lt;&gt;"non-regenerative",TRUE,IF(CAS!$D$21="YES",TRUE,FALSE)))</f>
        <v>1</v>
      </c>
    </row>
    <row r="284" spans="1:9" ht="76.5" customHeight="1" x14ac:dyDescent="0.2">
      <c r="A284" s="173">
        <v>45</v>
      </c>
      <c r="B284" s="223" t="s">
        <v>8822</v>
      </c>
      <c r="C284" s="226" t="s">
        <v>8855</v>
      </c>
      <c r="D284" s="689" t="str">
        <f>"Immediately prior to performing sampling, the instrument/FID shall be calibrated with zero and span calibration gas mixtures. "&amp;"Zero gas shall be certified to contain less than 0.1 ppmv total hydrocarbons. Span calibration gas shall be methane at a concentration within ± 10 percent of "&amp;CAS!$D$19&amp;" ppmv, and certified by the manufacturer to be ± 2 percent accurate. Calibration error for the zero and span calibration gas "&amp;"checks must be less than ± 5 percent of the span calibration gas value before sampling may be conducted."</f>
        <v>Immediately prior to performing sampling, the instrument/FID shall be calibrated with zero and span calibration gas mixtures. Zero gas shall be certified to contain less than 0.1 ppmv total hydrocarbons. Span calibration gas shall be methane at a concentration within ± 10 percent of  ppmv, and certified by the manufacturer to be ± 2 percent accurate. Calibration error for the zero and span calibration gas checks must be less than ± 5 percent of the span calibration gas value before sampling may be conducted.</v>
      </c>
      <c r="E284" s="690"/>
      <c r="F284" s="691"/>
      <c r="H284" t="s">
        <v>10399</v>
      </c>
      <c r="I284" t="b">
        <f>IF('PI-1-MarineLoading'!$G$124="No",TRUE,IF(CAS!$D$18&lt;&gt;"non-regenerative",TRUE,IF(CAS!$D$21="YES",TRUE,FALSE)))</f>
        <v>1</v>
      </c>
    </row>
    <row r="285" spans="1:9" ht="35.25" customHeight="1" x14ac:dyDescent="0.2">
      <c r="A285" s="173">
        <v>45</v>
      </c>
      <c r="B285" s="223" t="s">
        <v>8822</v>
      </c>
      <c r="C285" s="226" t="s">
        <v>8857</v>
      </c>
      <c r="D285" s="689" t="s">
        <v>8922</v>
      </c>
      <c r="E285" s="690"/>
      <c r="F285" s="691"/>
      <c r="I285" t="b">
        <f>IF('PI-1-MarineLoading'!$G$124="No",TRUE,IF(CAS!$D$18&lt;&gt;"non-regenerative",TRUE,IF(CAS!$D$21="YES",TRUE,FALSE)))</f>
        <v>1</v>
      </c>
    </row>
    <row r="286" spans="1:9" ht="35.25" customHeight="1" x14ac:dyDescent="0.2">
      <c r="A286" s="173">
        <v>45</v>
      </c>
      <c r="B286" s="223" t="s">
        <v>8822</v>
      </c>
      <c r="C286" s="226" t="s">
        <v>8882</v>
      </c>
      <c r="D286" s="689" t="s">
        <v>8923</v>
      </c>
      <c r="E286" s="690"/>
      <c r="F286" s="691"/>
      <c r="I286" t="b">
        <f>IF('PI-1-MarineLoading'!$G$124="No",TRUE,IF(CAS!$D$18&lt;&gt;"non-regenerative",TRUE,IF(CAS!$D$21="YES",TRUE,FALSE)))</f>
        <v>1</v>
      </c>
    </row>
    <row r="287" spans="1:9" ht="63" customHeight="1" x14ac:dyDescent="0.2">
      <c r="A287" s="173">
        <v>45</v>
      </c>
      <c r="B287" s="16" t="s">
        <v>8824</v>
      </c>
      <c r="C287" s="689" t="str">
        <f>"Breakthrough shall be defined as the highest 1 minute average measured VOC concentration at or exceeding "&amp;CAS!$D$19&amp;" ppmv. When the condition of breakthrough of VOC from the initial saturation canister occurs, "&amp;"the waste gas flow shall be switched to the second canister and a fresh canister shall be placed as the new final polishing canister within 24 hours. "&amp;"Sufficient new activated carbon canisters shall be maintained at the site to replace spent carbon canisters such that replacements can be done in the above specified time frame."</f>
        <v>Breakthrough shall be defined as the highest 1 minute average measured VOC concentration at or exceeding  ppmv. When the condition of breakthrough of VOC from the initial saturation canister occurs, the waste gas flow shall be switched to the second canister and a fresh canister shall be placed as the new final polishing canister within 24 hours. Sufficient new activated carbon canisters shall be maintained at the site to replace spent carbon canisters such that replacements can be done in the above specified time frame.</v>
      </c>
      <c r="D287" s="690"/>
      <c r="E287" s="690"/>
      <c r="F287" s="691"/>
      <c r="H287" t="s">
        <v>10400</v>
      </c>
      <c r="I287" t="b">
        <f>IF('PI-1-MarineLoading'!$G$124="No",TRUE,IF(CAS!$D$18&lt;&gt;"non-regenerative",TRUE,IF(CAS!$D$21="YES",TRUE,FALSE)))</f>
        <v>1</v>
      </c>
    </row>
    <row r="288" spans="1:9" x14ac:dyDescent="0.2">
      <c r="A288" s="173">
        <v>45</v>
      </c>
      <c r="B288" s="16" t="s">
        <v>8823</v>
      </c>
      <c r="C288" s="689" t="s">
        <v>8924</v>
      </c>
      <c r="D288" s="690"/>
      <c r="E288" s="690"/>
      <c r="F288" s="691"/>
      <c r="I288" t="b">
        <f>IF('PI-1-MarineLoading'!$G$124="No",TRUE,IF(CAS!$D$18&lt;&gt;"non-regenerative",TRUE,IF(CAS!$D$21="YES",TRUE,FALSE)))</f>
        <v>1</v>
      </c>
    </row>
    <row r="289" spans="1:9" x14ac:dyDescent="0.2">
      <c r="A289" s="173">
        <v>45</v>
      </c>
      <c r="B289" s="223" t="s">
        <v>8823</v>
      </c>
      <c r="C289" s="226" t="s">
        <v>8855</v>
      </c>
      <c r="D289" s="689" t="s">
        <v>8925</v>
      </c>
      <c r="E289" s="690"/>
      <c r="F289" s="691"/>
      <c r="I289" t="b">
        <f>IF('PI-1-MarineLoading'!$G$124="No",TRUE,IF(CAS!$D$18&lt;&gt;"non-regenerative",TRUE,IF(CAS!$D$21="YES",TRUE,FALSE)))</f>
        <v>1</v>
      </c>
    </row>
    <row r="290" spans="1:9" x14ac:dyDescent="0.2">
      <c r="A290" s="173">
        <v>45</v>
      </c>
      <c r="B290" s="223" t="s">
        <v>8823</v>
      </c>
      <c r="C290" s="226" t="s">
        <v>8857</v>
      </c>
      <c r="D290" s="689" t="s">
        <v>8926</v>
      </c>
      <c r="E290" s="690"/>
      <c r="F290" s="691"/>
      <c r="I290" t="b">
        <f>IF('PI-1-MarineLoading'!$G$124="No",TRUE,IF(CAS!$D$18&lt;&gt;"non-regenerative",TRUE,IF(CAS!$D$21="YES",TRUE,FALSE)))</f>
        <v>1</v>
      </c>
    </row>
    <row r="291" spans="1:9" x14ac:dyDescent="0.2">
      <c r="A291" s="173">
        <v>45</v>
      </c>
      <c r="B291" s="223" t="s">
        <v>8823</v>
      </c>
      <c r="C291" s="226" t="s">
        <v>8882</v>
      </c>
      <c r="D291" s="689" t="s">
        <v>8927</v>
      </c>
      <c r="E291" s="690"/>
      <c r="F291" s="691"/>
      <c r="I291" t="b">
        <f>IF('PI-1-MarineLoading'!$G$124="No",TRUE,IF(CAS!$D$18&lt;&gt;"non-regenerative",TRUE,IF(CAS!$D$21="YES",TRUE,FALSE)))</f>
        <v>1</v>
      </c>
    </row>
    <row r="292" spans="1:9" x14ac:dyDescent="0.2">
      <c r="A292" s="173">
        <v>45</v>
      </c>
      <c r="B292" s="223" t="s">
        <v>8823</v>
      </c>
      <c r="C292" s="226" t="s">
        <v>8928</v>
      </c>
      <c r="D292" s="689" t="s">
        <v>8929</v>
      </c>
      <c r="E292" s="690"/>
      <c r="F292" s="691"/>
      <c r="I292" t="b">
        <f>IF('PI-1-MarineLoading'!$G$124="No",TRUE,IF(CAS!$D$18&lt;&gt;"non-regenerative",TRUE,IF(CAS!$D$21="YES",TRUE,FALSE)))</f>
        <v>1</v>
      </c>
    </row>
    <row r="293" spans="1:9" ht="31.5" customHeight="1" x14ac:dyDescent="0.2">
      <c r="A293" s="173">
        <v>45</v>
      </c>
      <c r="B293" s="16" t="s">
        <v>8825</v>
      </c>
      <c r="C293" s="689" t="s">
        <v>8930</v>
      </c>
      <c r="D293" s="690"/>
      <c r="E293" s="690"/>
      <c r="F293" s="691"/>
      <c r="I293" t="b">
        <f>IF('PI-1-MarineLoading'!$G$124="No",TRUE,IF(CAS!$D$18&lt;&gt;"non-regenerative",TRUE,IF(CAS!$D$21="YES",TRUE,FALSE)))</f>
        <v>1</v>
      </c>
    </row>
    <row r="294" spans="1:9" ht="89.25" customHeight="1" x14ac:dyDescent="0.2">
      <c r="A294" s="9">
        <v>46</v>
      </c>
      <c r="B294" s="689" t="str">
        <f>"The FINs listed below shall vent through a CAS consisting of at least two activated carbon canisters working in parallel such that the vent emissions are alternately controlled by each canister while the other canister is regenerated. "&amp;"The VOC concentration of the CAS exhaust shall be monitored and recorded by a CEMS that is capable of measuring organic compound concentration in the exhaust air stream of the control device.
"&amp;"FINs subject to this condition: "&amp;Hidden!DJ2&amp;IF(Hidden!DJ3=0,"",", "&amp;Hidden!DJ3)&amp;IF(Hidden!DJ4=0,"",", "&amp;Hidden!DJ4)&amp;IF(Hidden!DJ5=0,"",", "&amp;Hidden!DJ5)&amp;IF(Hidden!DJ6=0,"",", "&amp;Hidden!DJ6)&amp;IF(Hidden!DJ7=0,"",Hidden!DJ7)&amp;IF(Hidden!DJ8=0,"",Hidden!DJ8)&amp;IF(Hidden!DJ9=0,"",Hidden!DJ9)&amp;IF(Hidden!DJ10=0,"",Hidden!DJ10)&amp;IF(Hidden!DJ11=0,"",Hidden!DJ11)&amp;"."</f>
        <v>The FINs listed below shall vent through a CAS consisting of at least two activated carbon canisters working in parallel such that the vent emissions are alternately controlled by each canister while the other canister is regenerated. The VOC concentration of the CAS exhaust shall be monitored and recorded by a CEMS that is capable of measuring organic compound concentration in the exhaust air stream of the control device.
FINs subject to this condition: 0.</v>
      </c>
      <c r="C294" s="690"/>
      <c r="D294" s="690"/>
      <c r="E294" s="690"/>
      <c r="F294" s="691"/>
      <c r="H294" t="s">
        <v>10401</v>
      </c>
      <c r="I294" t="b">
        <f>IF('PI-1-MarineLoading'!$G$124="No",TRUE,IF(CAS!$D$18&lt;&gt;"regenerative",TRUE,FALSE))</f>
        <v>1</v>
      </c>
    </row>
    <row r="295" spans="1:9" ht="48" customHeight="1" x14ac:dyDescent="0.2">
      <c r="A295" s="173">
        <v>46</v>
      </c>
      <c r="B295" s="16" t="s">
        <v>8821</v>
      </c>
      <c r="C295" s="689" t="str">
        <f>"The CAS shall be sampled and recorded continuously by a CEMS to assure the VOC concentration does not exceed "&amp;CAS!$D$19&amp;" ppmv. An alarm shall be installed such that an operator is alerted and can take action before the CAS outlet concentration exceeds the maximum allowable concentration."</f>
        <v>The CAS shall be sampled and recorded continuously by a CEMS to assure the VOC concentration does not exceed  ppmv. An alarm shall be installed such that an operator is alerted and can take action before the CAS outlet concentration exceeds the maximum allowable concentration.</v>
      </c>
      <c r="D295" s="690"/>
      <c r="E295" s="690"/>
      <c r="F295" s="691"/>
      <c r="H295" t="s">
        <v>10374</v>
      </c>
      <c r="I295" t="b">
        <f>IF('PI-1-MarineLoading'!$G$124="No",TRUE,IF(CAS!$D$18&lt;&gt;"regenerative",TRUE,FALSE))</f>
        <v>1</v>
      </c>
    </row>
    <row r="296" spans="1:9" ht="246.75" customHeight="1" x14ac:dyDescent="0.2">
      <c r="A296" s="173">
        <v>46</v>
      </c>
      <c r="B296" s="16" t="s">
        <v>8822</v>
      </c>
      <c r="C296" s="689" t="s">
        <v>10882</v>
      </c>
      <c r="D296" s="690"/>
      <c r="E296" s="690"/>
      <c r="F296" s="691"/>
      <c r="I296" t="b">
        <f>IF('PI-1-MarineLoading'!$G$124="No",TRUE,IF(CAS!$D$18&lt;&gt;"regenerative",TRUE,FALSE))</f>
        <v>1</v>
      </c>
    </row>
    <row r="297" spans="1:9" ht="74.25" customHeight="1" x14ac:dyDescent="0.2">
      <c r="A297" s="173">
        <v>46</v>
      </c>
      <c r="B297" s="16" t="s">
        <v>8824</v>
      </c>
      <c r="C297" s="689" t="s">
        <v>8931</v>
      </c>
      <c r="D297" s="690"/>
      <c r="E297" s="690"/>
      <c r="F297" s="691"/>
      <c r="I297" t="b">
        <f>IF('PI-1-MarineLoading'!$G$124="No",TRUE,IF(CAS!$D$18&lt;&gt;"regenerative",TRUE,FALSE))</f>
        <v>1</v>
      </c>
    </row>
    <row r="298" spans="1:9" ht="73.5" customHeight="1" x14ac:dyDescent="0.2">
      <c r="A298" s="173">
        <v>46</v>
      </c>
      <c r="B298" s="16" t="s">
        <v>8823</v>
      </c>
      <c r="C298" s="689" t="s">
        <v>10883</v>
      </c>
      <c r="D298" s="690"/>
      <c r="E298" s="690"/>
      <c r="F298" s="691"/>
      <c r="I298" t="b">
        <f>IF('PI-1-MarineLoading'!$G$124="No",TRUE,IF(CAS!$D$18&lt;&gt;"regenerative",TRUE,FALSE))</f>
        <v>1</v>
      </c>
    </row>
    <row r="299" spans="1:9" ht="61.5" customHeight="1" x14ac:dyDescent="0.2">
      <c r="A299" s="173">
        <v>46</v>
      </c>
      <c r="B299" s="223" t="s">
        <v>8823</v>
      </c>
      <c r="C299" s="226" t="s">
        <v>8855</v>
      </c>
      <c r="D299" s="689" t="s">
        <v>8932</v>
      </c>
      <c r="E299" s="690"/>
      <c r="F299" s="691"/>
      <c r="I299" t="b">
        <f>IF('PI-1-MarineLoading'!$G$124="No",TRUE,IF(CAS!$D$18&lt;&gt;"regenerative",TRUE,FALSE))</f>
        <v>1</v>
      </c>
    </row>
    <row r="300" spans="1:9" x14ac:dyDescent="0.2">
      <c r="A300" s="173">
        <v>46</v>
      </c>
      <c r="B300" s="223" t="s">
        <v>8823</v>
      </c>
      <c r="C300" s="226" t="s">
        <v>8857</v>
      </c>
      <c r="D300" s="689" t="s">
        <v>8933</v>
      </c>
      <c r="E300" s="690"/>
      <c r="F300" s="691"/>
      <c r="I300" t="b">
        <f>IF('PI-1-MarineLoading'!$G$124="No",TRUE,IF(CAS!$D$18&lt;&gt;"regenerative",TRUE,FALSE))</f>
        <v>1</v>
      </c>
    </row>
    <row r="301" spans="1:9" ht="33" customHeight="1" x14ac:dyDescent="0.2">
      <c r="A301" s="173">
        <v>46</v>
      </c>
      <c r="B301" s="223" t="s">
        <v>8823</v>
      </c>
      <c r="C301" s="226" t="s">
        <v>8882</v>
      </c>
      <c r="D301" s="689" t="s">
        <v>8934</v>
      </c>
      <c r="E301" s="690"/>
      <c r="F301" s="691"/>
      <c r="I301" t="b">
        <f>IF('PI-1-MarineLoading'!$G$124="No",TRUE,IF(CAS!$D$18&lt;&gt;"regenerative",TRUE,FALSE))</f>
        <v>1</v>
      </c>
    </row>
    <row r="302" spans="1:9" ht="33" customHeight="1" x14ac:dyDescent="0.2">
      <c r="A302" s="173">
        <v>46</v>
      </c>
      <c r="B302" s="16" t="s">
        <v>8825</v>
      </c>
      <c r="C302" s="689" t="s">
        <v>8935</v>
      </c>
      <c r="D302" s="690"/>
      <c r="E302" s="690"/>
      <c r="F302" s="691"/>
      <c r="I302" t="b">
        <f>IF('PI-1-MarineLoading'!$G$124="No",TRUE,IF(CAS!$D$18&lt;&gt;"regenerative",TRUE,FALSE))</f>
        <v>1</v>
      </c>
    </row>
    <row r="303" spans="1:9" x14ac:dyDescent="0.2">
      <c r="A303" s="173">
        <v>46</v>
      </c>
      <c r="B303" s="16" t="s">
        <v>8826</v>
      </c>
      <c r="C303" s="689" t="s">
        <v>8924</v>
      </c>
      <c r="D303" s="690"/>
      <c r="E303" s="690"/>
      <c r="F303" s="691"/>
      <c r="I303" t="b">
        <f>IF('PI-1-MarineLoading'!$G$124="No",TRUE,IF(CAS!$D$18&lt;&gt;"regenerative",TRUE,FALSE))</f>
        <v>1</v>
      </c>
    </row>
    <row r="304" spans="1:9" ht="33" customHeight="1" x14ac:dyDescent="0.2">
      <c r="A304" s="173">
        <v>46</v>
      </c>
      <c r="B304" s="223" t="s">
        <v>8826</v>
      </c>
      <c r="C304" s="226" t="s">
        <v>8855</v>
      </c>
      <c r="D304" s="689" t="s">
        <v>8936</v>
      </c>
      <c r="E304" s="690"/>
      <c r="F304" s="691"/>
      <c r="I304" t="b">
        <f>IF('PI-1-MarineLoading'!$G$124="No",TRUE,IF(CAS!$D$18&lt;&gt;"regenerative",TRUE,FALSE))</f>
        <v>1</v>
      </c>
    </row>
    <row r="305" spans="1:9" x14ac:dyDescent="0.2">
      <c r="A305" s="173">
        <v>46</v>
      </c>
      <c r="B305" s="223" t="s">
        <v>8826</v>
      </c>
      <c r="C305" s="226" t="s">
        <v>8857</v>
      </c>
      <c r="D305" s="689" t="s">
        <v>8937</v>
      </c>
      <c r="E305" s="690"/>
      <c r="F305" s="691"/>
      <c r="I305" t="b">
        <f>IF('PI-1-MarineLoading'!$G$124="No",TRUE,IF(CAS!$D$18&lt;&gt;"regenerative",TRUE,FALSE))</f>
        <v>1</v>
      </c>
    </row>
    <row r="306" spans="1:9" ht="33" customHeight="1" x14ac:dyDescent="0.2">
      <c r="A306" s="173">
        <v>46</v>
      </c>
      <c r="B306" s="223" t="s">
        <v>8826</v>
      </c>
      <c r="C306" s="226" t="s">
        <v>8882</v>
      </c>
      <c r="D306" s="689" t="s">
        <v>8938</v>
      </c>
      <c r="E306" s="690"/>
      <c r="F306" s="691"/>
      <c r="I306" t="b">
        <f>IF('PI-1-MarineLoading'!$G$124="No",TRUE,IF(CAS!$D$18&lt;&gt;"regenerative",TRUE,FALSE))</f>
        <v>1</v>
      </c>
    </row>
    <row r="307" spans="1:9" x14ac:dyDescent="0.2">
      <c r="A307" s="173">
        <v>46</v>
      </c>
      <c r="B307" s="223" t="s">
        <v>8826</v>
      </c>
      <c r="C307" s="226" t="s">
        <v>8928</v>
      </c>
      <c r="D307" s="689" t="s">
        <v>8939</v>
      </c>
      <c r="E307" s="690"/>
      <c r="F307" s="691"/>
      <c r="I307" t="b">
        <f>IF('PI-1-MarineLoading'!$G$124="No",TRUE,IF(CAS!$D$18&lt;&gt;"regenerative",TRUE,FALSE))</f>
        <v>1</v>
      </c>
    </row>
    <row r="308" spans="1:9" x14ac:dyDescent="0.2">
      <c r="A308" s="173">
        <v>46</v>
      </c>
      <c r="B308" s="223" t="s">
        <v>8826</v>
      </c>
      <c r="C308" s="226" t="s">
        <v>8940</v>
      </c>
      <c r="D308" s="689" t="s">
        <v>8941</v>
      </c>
      <c r="E308" s="690"/>
      <c r="F308" s="691"/>
      <c r="I308" t="b">
        <f>IF('PI-1-MarineLoading'!$G$124="No",TRUE,IF(CAS!$D$18&lt;&gt;"regenerative",TRUE,FALSE))</f>
        <v>1</v>
      </c>
    </row>
    <row r="309" spans="1:9" ht="33" customHeight="1" x14ac:dyDescent="0.2">
      <c r="A309" s="173">
        <v>46</v>
      </c>
      <c r="B309" s="16" t="s">
        <v>8827</v>
      </c>
      <c r="C309" s="689" t="s">
        <v>8930</v>
      </c>
      <c r="D309" s="690"/>
      <c r="E309" s="690"/>
      <c r="F309" s="691"/>
      <c r="I309" t="b">
        <f>IF('PI-1-MarineLoading'!$G$124="No",TRUE,IF(CAS!$D$18&lt;&gt;"regenerative",TRUE,FALSE))</f>
        <v>1</v>
      </c>
    </row>
    <row r="310" spans="1:9" ht="48" customHeight="1" x14ac:dyDescent="0.2">
      <c r="A310" s="173">
        <v>46</v>
      </c>
      <c r="B310" s="16" t="s">
        <v>8828</v>
      </c>
      <c r="C310" s="689" t="s">
        <v>8942</v>
      </c>
      <c r="D310" s="690"/>
      <c r="E310" s="690"/>
      <c r="F310" s="691"/>
      <c r="I310" t="b">
        <f>IF('PI-1-MarineLoading'!$G$124="No",TRUE,IF(CAS!$D$18&lt;&gt;"regenerative",TRUE,FALSE))</f>
        <v>1</v>
      </c>
    </row>
    <row r="311" spans="1:9" ht="33" customHeight="1" x14ac:dyDescent="0.2">
      <c r="A311" s="173">
        <v>46</v>
      </c>
      <c r="B311" s="16" t="s">
        <v>8829</v>
      </c>
      <c r="C311" s="689" t="s">
        <v>8943</v>
      </c>
      <c r="D311" s="690"/>
      <c r="E311" s="690"/>
      <c r="F311" s="691"/>
      <c r="I311" t="b">
        <f>IF('PI-1-MarineLoading'!$G$124="No",TRUE,IF(CAS!$D$18&lt;&gt;"regenerative",TRUE,FALSE))</f>
        <v>1</v>
      </c>
    </row>
    <row r="312" spans="1:9" ht="32.25" customHeight="1" x14ac:dyDescent="0.2">
      <c r="A312" s="9">
        <v>47</v>
      </c>
      <c r="B312" s="689" t="s">
        <v>8944</v>
      </c>
      <c r="C312" s="690"/>
      <c r="D312" s="690"/>
      <c r="E312" s="690"/>
      <c r="F312" s="691"/>
      <c r="H312" t="s">
        <v>10402</v>
      </c>
      <c r="I312" t="b">
        <f>IF('PI-1-MarineLoading'!$G$124="No",TRUE,FALSE)</f>
        <v>0</v>
      </c>
    </row>
    <row r="313" spans="1:9" ht="32.25" customHeight="1" x14ac:dyDescent="0.2">
      <c r="A313" s="9">
        <v>48</v>
      </c>
      <c r="B313" s="689" t="str">
        <f>"The following FINs shall vent through a CAS consisting of at least two activated carbon canisters that are connected in series: "&amp;Hidden!DJ2&amp;IF(Hidden!DJ3=0,"",", "&amp;Hidden!DJ3)&amp;IF(Hidden!DJ4=0,"",", "&amp;Hidden!DJ4)&amp;IF(Hidden!DJ5=0,"",", "&amp;Hidden!DJ5)&amp;IF(Hidden!DJ6=0,"",", "&amp;Hidden!DJ6)&amp;IF(Hidden!DJ7=0,"",Hidden!DJ7)&amp;IF(Hidden!DJ8=0,"",Hidden!DJ8)&amp;IF(Hidden!DJ9=0,"",Hidden!DJ9)&amp;IF(Hidden!DJ10=0,"",Hidden!DJ10)&amp;IF(Hidden!DJ11=0,"",Hidden!DJ11)&amp;"."</f>
        <v>The following FINs shall vent through a CAS consisting of at least two activated carbon canisters that are connected in series: 0.</v>
      </c>
      <c r="C313" s="690"/>
      <c r="D313" s="690"/>
      <c r="E313" s="690"/>
      <c r="F313" s="691"/>
      <c r="H313" s="8" t="s">
        <v>10403</v>
      </c>
      <c r="I313" t="b">
        <f>IF('PI-1-MarineLoading'!$G$124="No",TRUE,IF(CAS!$D$18&lt;&gt;"non-regenerative",TRUE,IF(CAS!$D$21="NO",TRUE,FALSE)))</f>
        <v>1</v>
      </c>
    </row>
    <row r="314" spans="1:9" ht="30" customHeight="1" x14ac:dyDescent="0.2">
      <c r="A314" s="173">
        <v>48</v>
      </c>
      <c r="B314" s="16" t="s">
        <v>8821</v>
      </c>
      <c r="C314" s="689" t="s">
        <v>8945</v>
      </c>
      <c r="D314" s="690"/>
      <c r="E314" s="690"/>
      <c r="F314" s="691"/>
      <c r="I314" t="b">
        <f>IF('PI-1-MarineLoading'!$G$124="No",TRUE,IF(CAS!$D$18&lt;&gt;"non-regenerative",TRUE,IF(CAS!$D$21="NO",TRUE,FALSE)))</f>
        <v>1</v>
      </c>
    </row>
    <row r="315" spans="1:9" ht="72.75" customHeight="1" x14ac:dyDescent="0.2">
      <c r="A315" s="173">
        <v>48</v>
      </c>
      <c r="B315" s="16" t="s">
        <v>8822</v>
      </c>
      <c r="C315" s="689" t="str">
        <f>"Breakthrough of the first canister shall be defined as the highest 1 minute average measured VOC concentration at or exceeding the breakthrough concentration of "&amp;CAS!$D$19&amp;" ppmv. When the condition of breakthrough of VOC from the initial saturation canister occurs, the waste gas flow "&amp;"shall be switched to the second canister and a fresh canister shall be placed as the new final polishing canister within 72 hours. "&amp;"Sufficient new activated carbon canisters shall be maintained at the site to replace spent carbon canisters such that replacements can be done in the above specified time frame."</f>
        <v>Breakthrough of the first canister shall be defined as the highest 1 minute average measured VOC concentration at or exceeding the breakthrough concentration of  ppmv. When the condition of breakthrough of VOC from the initial saturation canister occurs, the waste gas flow shall be switched to the second canister and a fresh canister shall be placed as the new final polishing canister within 72 hours. Sufficient new activated carbon canisters shall be maintained at the site to replace spent carbon canisters such that replacements can be done in the above specified time frame.</v>
      </c>
      <c r="D315" s="690"/>
      <c r="E315" s="690"/>
      <c r="F315" s="691"/>
      <c r="H315" t="s">
        <v>10399</v>
      </c>
      <c r="I315" t="b">
        <f>IF('PI-1-MarineLoading'!$G$124="No",TRUE,IF(CAS!$D$18&lt;&gt;"non-regenerative",TRUE,IF(CAS!$D$21="NO",TRUE,FALSE)))</f>
        <v>1</v>
      </c>
    </row>
    <row r="316" spans="1:9" ht="245.25" customHeight="1" x14ac:dyDescent="0.2">
      <c r="A316" s="173">
        <v>48</v>
      </c>
      <c r="B316" s="16" t="s">
        <v>8824</v>
      </c>
      <c r="C316" s="689" t="s">
        <v>10884</v>
      </c>
      <c r="D316" s="690"/>
      <c r="E316" s="690"/>
      <c r="F316" s="691"/>
      <c r="I316" t="b">
        <f>IF('PI-1-MarineLoading'!$G$124="No",TRUE,IF(CAS!$D$18&lt;&gt;"non-regenerative",TRUE,IF(CAS!$D$21="NO",TRUE,FALSE)))</f>
        <v>1</v>
      </c>
    </row>
    <row r="317" spans="1:9" ht="73.5" customHeight="1" x14ac:dyDescent="0.2">
      <c r="A317" s="173">
        <v>48</v>
      </c>
      <c r="B317" s="16" t="s">
        <v>8823</v>
      </c>
      <c r="C317" s="689" t="s">
        <v>8931</v>
      </c>
      <c r="D317" s="690"/>
      <c r="E317" s="690"/>
      <c r="F317" s="691"/>
      <c r="I317" t="b">
        <f>IF('PI-1-MarineLoading'!$G$124="No",TRUE,IF(CAS!$D$18&lt;&gt;"non-regenerative",TRUE,IF(CAS!$D$21="NO",TRUE,FALSE)))</f>
        <v>1</v>
      </c>
    </row>
    <row r="318" spans="1:9" ht="74.25" customHeight="1" x14ac:dyDescent="0.2">
      <c r="A318" s="173">
        <v>48</v>
      </c>
      <c r="B318" s="16" t="s">
        <v>8825</v>
      </c>
      <c r="C318" s="1133" t="s">
        <v>8946</v>
      </c>
      <c r="D318" s="1134"/>
      <c r="E318" s="1134"/>
      <c r="F318" s="1135"/>
      <c r="I318" t="b">
        <f>IF('PI-1-MarineLoading'!$G$124="No",TRUE,IF(CAS!$D$18&lt;&gt;"non-regenerative",TRUE,IF(CAS!$D$21="NO",TRUE,FALSE)))</f>
        <v>1</v>
      </c>
    </row>
    <row r="319" spans="1:9" ht="61.5" customHeight="1" x14ac:dyDescent="0.2">
      <c r="A319" s="173">
        <v>48</v>
      </c>
      <c r="B319" s="223" t="s">
        <v>8825</v>
      </c>
      <c r="C319" s="226" t="s">
        <v>8855</v>
      </c>
      <c r="D319" s="689" t="s">
        <v>8947</v>
      </c>
      <c r="E319" s="690"/>
      <c r="F319" s="691"/>
      <c r="I319" t="b">
        <f>IF('PI-1-MarineLoading'!$G$124="No",TRUE,IF(CAS!$D$18&lt;&gt;"non-regenerative",TRUE,IF(CAS!$D$21="NO",TRUE,FALSE)))</f>
        <v>1</v>
      </c>
    </row>
    <row r="320" spans="1:9" x14ac:dyDescent="0.2">
      <c r="A320" s="173">
        <v>48</v>
      </c>
      <c r="B320" s="223" t="s">
        <v>8825</v>
      </c>
      <c r="C320" s="226" t="s">
        <v>8857</v>
      </c>
      <c r="D320" s="689" t="s">
        <v>8933</v>
      </c>
      <c r="E320" s="690"/>
      <c r="F320" s="691"/>
      <c r="I320" t="b">
        <f>IF('PI-1-MarineLoading'!$G$124="No",TRUE,IF(CAS!$D$18&lt;&gt;"non-regenerative",TRUE,IF(CAS!$D$21="NO",TRUE,FALSE)))</f>
        <v>1</v>
      </c>
    </row>
    <row r="321" spans="1:9" ht="30" customHeight="1" x14ac:dyDescent="0.2">
      <c r="A321" s="173">
        <v>48</v>
      </c>
      <c r="B321" s="223" t="s">
        <v>8825</v>
      </c>
      <c r="C321" s="226" t="s">
        <v>8882</v>
      </c>
      <c r="D321" s="689" t="s">
        <v>8934</v>
      </c>
      <c r="E321" s="690"/>
      <c r="F321" s="691"/>
      <c r="I321" t="b">
        <f>IF('PI-1-MarineLoading'!$G$124="No",TRUE,IF(CAS!$D$18&lt;&gt;"non-regenerative",TRUE,IF(CAS!$D$21="NO",TRUE,FALSE)))</f>
        <v>1</v>
      </c>
    </row>
    <row r="322" spans="1:9" ht="30" customHeight="1" x14ac:dyDescent="0.2">
      <c r="A322" s="173">
        <v>48</v>
      </c>
      <c r="B322" s="16" t="s">
        <v>8826</v>
      </c>
      <c r="C322" s="689" t="s">
        <v>8948</v>
      </c>
      <c r="D322" s="690"/>
      <c r="E322" s="690"/>
      <c r="F322" s="691"/>
      <c r="I322" t="b">
        <f>IF('PI-1-MarineLoading'!$G$124="No",TRUE,IF(CAS!$D$18&lt;&gt;"non-regenerative",TRUE,IF(CAS!$D$21="NO",TRUE,FALSE)))</f>
        <v>1</v>
      </c>
    </row>
    <row r="323" spans="1:9" x14ac:dyDescent="0.2">
      <c r="A323" s="173">
        <v>48</v>
      </c>
      <c r="B323" s="16" t="s">
        <v>8827</v>
      </c>
      <c r="C323" s="689" t="s">
        <v>8924</v>
      </c>
      <c r="D323" s="690"/>
      <c r="E323" s="690"/>
      <c r="F323" s="691"/>
      <c r="I323" t="b">
        <f>IF('PI-1-MarineLoading'!$G$124="No",TRUE,IF(CAS!$D$18&lt;&gt;"non-regenerative",TRUE,IF(CAS!$D$21="NO",TRUE,FALSE)))</f>
        <v>1</v>
      </c>
    </row>
    <row r="324" spans="1:9" ht="30" customHeight="1" x14ac:dyDescent="0.2">
      <c r="A324" s="173">
        <v>48</v>
      </c>
      <c r="B324" s="223" t="s">
        <v>8827</v>
      </c>
      <c r="C324" s="226" t="s">
        <v>8855</v>
      </c>
      <c r="D324" s="689" t="s">
        <v>8936</v>
      </c>
      <c r="E324" s="690"/>
      <c r="F324" s="691"/>
      <c r="I324" t="b">
        <f>IF('PI-1-MarineLoading'!$G$124="No",TRUE,IF(CAS!$D$18&lt;&gt;"non-regenerative",TRUE,IF(CAS!$D$21="NO",TRUE,FALSE)))</f>
        <v>1</v>
      </c>
    </row>
    <row r="325" spans="1:9" x14ac:dyDescent="0.2">
      <c r="A325" s="173">
        <v>48</v>
      </c>
      <c r="B325" s="223" t="s">
        <v>8827</v>
      </c>
      <c r="C325" s="226" t="s">
        <v>8857</v>
      </c>
      <c r="D325" s="689" t="s">
        <v>8937</v>
      </c>
      <c r="E325" s="690"/>
      <c r="F325" s="691"/>
      <c r="I325" t="b">
        <f>IF('PI-1-MarineLoading'!$G$124="No",TRUE,IF(CAS!$D$18&lt;&gt;"non-regenerative",TRUE,IF(CAS!$D$21="NO",TRUE,FALSE)))</f>
        <v>1</v>
      </c>
    </row>
    <row r="326" spans="1:9" ht="30" customHeight="1" x14ac:dyDescent="0.2">
      <c r="A326" s="173">
        <v>48</v>
      </c>
      <c r="B326" s="223" t="s">
        <v>8827</v>
      </c>
      <c r="C326" s="226" t="s">
        <v>8882</v>
      </c>
      <c r="D326" s="689" t="s">
        <v>8938</v>
      </c>
      <c r="E326" s="690"/>
      <c r="F326" s="691"/>
      <c r="I326" t="b">
        <f>IF('PI-1-MarineLoading'!$G$124="No",TRUE,IF(CAS!$D$18&lt;&gt;"non-regenerative",TRUE,IF(CAS!$D$21="NO",TRUE,FALSE)))</f>
        <v>1</v>
      </c>
    </row>
    <row r="327" spans="1:9" x14ac:dyDescent="0.2">
      <c r="A327" s="173">
        <v>48</v>
      </c>
      <c r="B327" s="223" t="s">
        <v>8827</v>
      </c>
      <c r="C327" s="226" t="s">
        <v>8928</v>
      </c>
      <c r="D327" s="689" t="s">
        <v>8939</v>
      </c>
      <c r="E327" s="690"/>
      <c r="F327" s="691"/>
      <c r="I327" t="b">
        <f>IF('PI-1-MarineLoading'!$G$124="No",TRUE,IF(CAS!$D$18&lt;&gt;"non-regenerative",TRUE,IF(CAS!$D$21="NO",TRUE,FALSE)))</f>
        <v>1</v>
      </c>
    </row>
    <row r="328" spans="1:9" x14ac:dyDescent="0.2">
      <c r="A328" s="173">
        <v>48</v>
      </c>
      <c r="B328" s="223" t="s">
        <v>8827</v>
      </c>
      <c r="C328" s="226" t="s">
        <v>8940</v>
      </c>
      <c r="D328" s="689" t="s">
        <v>8941</v>
      </c>
      <c r="E328" s="690"/>
      <c r="F328" s="691"/>
      <c r="I328" t="b">
        <f>IF('PI-1-MarineLoading'!$G$124="No",TRUE,IF(CAS!$D$18&lt;&gt;"non-regenerative",TRUE,IF(CAS!$D$21="NO",TRUE,FALSE)))</f>
        <v>1</v>
      </c>
    </row>
    <row r="329" spans="1:9" ht="30" customHeight="1" x14ac:dyDescent="0.2">
      <c r="A329" s="173">
        <v>48</v>
      </c>
      <c r="B329" s="16" t="s">
        <v>8828</v>
      </c>
      <c r="C329" s="689" t="s">
        <v>8930</v>
      </c>
      <c r="D329" s="690"/>
      <c r="E329" s="690"/>
      <c r="F329" s="691"/>
      <c r="I329" t="b">
        <f>IF('PI-1-MarineLoading'!$G$124="No",TRUE,IF(CAS!$D$18&lt;&gt;"non-regenerative",TRUE,IF(CAS!$D$21="NO",TRUE,FALSE)))</f>
        <v>1</v>
      </c>
    </row>
    <row r="330" spans="1:9" ht="15" x14ac:dyDescent="0.2">
      <c r="A330" s="564" t="str">
        <f>"Emergency Engines (FINs: "&amp;IF('PI-1-MarineLoading'!$G$125=1,Engine1!$D$7,IF('PI-1-MarineLoading'!$G$125=2,Engine1!$D$7&amp;", "&amp;Engine2!$D$7,""))&amp;")"</f>
        <v>Emergency Engines (FINs: )</v>
      </c>
      <c r="B330" s="563"/>
      <c r="C330" s="563"/>
      <c r="D330" s="563"/>
      <c r="E330" s="563"/>
      <c r="F330" s="847"/>
      <c r="H330" s="8" t="s">
        <v>10404</v>
      </c>
      <c r="I330" t="b">
        <f>IF('PI-1-MarineLoading'!$G$125=0,TRUE,FALSE)</f>
        <v>1</v>
      </c>
    </row>
    <row r="331" spans="1:9" ht="29.25" customHeight="1" x14ac:dyDescent="0.2">
      <c r="A331" s="9">
        <v>49</v>
      </c>
      <c r="B331" s="689" t="str">
        <f>"Emissions from the "&amp;IF('PI-1-MarineLoading'!G125=1,"engine","engines")&amp;" shall be limited as listed below. Records of the hours of operation kept on a monthly and rolling 12-month basis shall be maintained by the holder of this permit."</f>
        <v>Emissions from the engines shall be limited as listed below. Records of the hours of operation kept on a monthly and rolling 12-month basis shall be maintained by the holder of this permit.</v>
      </c>
      <c r="C331" s="690"/>
      <c r="D331" s="690"/>
      <c r="E331" s="690"/>
      <c r="F331" s="691"/>
      <c r="H331" t="s">
        <v>10374</v>
      </c>
      <c r="I331" t="b">
        <f>IF('PI-1-MarineLoading'!$G$125=0,TRUE,FALSE)</f>
        <v>1</v>
      </c>
    </row>
    <row r="332" spans="1:9" x14ac:dyDescent="0.2">
      <c r="A332" s="173">
        <v>49</v>
      </c>
      <c r="B332" s="16" t="s">
        <v>8821</v>
      </c>
      <c r="C332" s="689" t="str">
        <f>"FIN "&amp;Engine1!$D$7&amp;": "&amp;Engine1!$E$28&amp;" hours of operation per rolling 12-month period."</f>
        <v>FIN :  hours of operation per rolling 12-month period.</v>
      </c>
      <c r="D332" s="690"/>
      <c r="E332" s="690"/>
      <c r="F332" s="691"/>
      <c r="H332" s="8" t="s">
        <v>10405</v>
      </c>
      <c r="I332" t="b">
        <f>IF('PI-1-MarineLoading'!$G$125=0,TRUE,FALSE)</f>
        <v>1</v>
      </c>
    </row>
    <row r="333" spans="1:9" x14ac:dyDescent="0.2">
      <c r="A333" s="173">
        <v>49</v>
      </c>
      <c r="B333" s="16" t="s">
        <v>8822</v>
      </c>
      <c r="C333" s="689" t="str">
        <f>"FIN "&amp;Engine2!$D$7&amp;": "&amp;Engine2!$E$28&amp;" hours of operation per rolling 12-month period."</f>
        <v>FIN :  hours of operation per rolling 12-month period.</v>
      </c>
      <c r="D333" s="690"/>
      <c r="E333" s="690"/>
      <c r="F333" s="691"/>
      <c r="H333" s="8" t="s">
        <v>10406</v>
      </c>
      <c r="I333" t="b">
        <f>IF('PI-1-MarineLoading'!$G$125&lt;2,TRUE,FALSE)</f>
        <v>1</v>
      </c>
    </row>
    <row r="334" spans="1:9" x14ac:dyDescent="0.2">
      <c r="A334" s="9">
        <v>50</v>
      </c>
      <c r="B334" s="689" t="s">
        <v>8949</v>
      </c>
      <c r="C334" s="690"/>
      <c r="D334" s="690"/>
      <c r="E334" s="690"/>
      <c r="F334" s="691"/>
      <c r="I334" t="b">
        <f>IF('PI-1-MarineLoading'!$G$125=0,TRUE,FALSE)</f>
        <v>1</v>
      </c>
    </row>
    <row r="335" spans="1:9" x14ac:dyDescent="0.2">
      <c r="A335" s="9">
        <v>51</v>
      </c>
      <c r="B335" s="689" t="s">
        <v>10482</v>
      </c>
      <c r="C335" s="690"/>
      <c r="D335" s="690"/>
      <c r="E335" s="690"/>
      <c r="F335" s="691"/>
      <c r="H335" t="s">
        <v>10389</v>
      </c>
      <c r="I335" t="b">
        <f>IF('PI-1-MarineLoading'!$G$125=0,TRUE,FALSE)</f>
        <v>1</v>
      </c>
    </row>
    <row r="336" spans="1:9" x14ac:dyDescent="0.2">
      <c r="A336" s="173">
        <v>51</v>
      </c>
      <c r="B336" s="16" t="s">
        <v>8821</v>
      </c>
      <c r="C336" s="531" t="str">
        <f>"FIN "&amp;Engine1!$D$7&amp;": "&amp;Engine1!$E$25&amp;" ppmw."</f>
        <v>FIN :  ppmw.</v>
      </c>
      <c r="D336" s="531"/>
      <c r="E336" s="531"/>
      <c r="F336" s="538"/>
      <c r="H336" t="s">
        <v>10389</v>
      </c>
      <c r="I336" t="b">
        <f>IF('PI-1-MarineLoading'!$G$125=0,TRUE,FALSE)</f>
        <v>1</v>
      </c>
    </row>
    <row r="337" spans="1:9" x14ac:dyDescent="0.2">
      <c r="A337" s="173">
        <v>51</v>
      </c>
      <c r="B337" s="16" t="s">
        <v>8822</v>
      </c>
      <c r="C337" s="531" t="str">
        <f>"FIN "&amp;Engine2!$D$7&amp;": "&amp;Engine1!$E$25&amp;" ppmw."</f>
        <v>FIN :  ppmw.</v>
      </c>
      <c r="D337" s="531"/>
      <c r="E337" s="531"/>
      <c r="F337" s="538"/>
      <c r="H337" t="s">
        <v>10389</v>
      </c>
      <c r="I337" t="b">
        <f>IF('PI-1-MarineLoading'!$G$125&lt;2,TRUE,FALSE)</f>
        <v>1</v>
      </c>
    </row>
    <row r="338" spans="1:9" x14ac:dyDescent="0.2">
      <c r="A338" s="9">
        <v>52</v>
      </c>
      <c r="B338" s="689" t="s">
        <v>10331</v>
      </c>
      <c r="C338" s="690"/>
      <c r="D338" s="690"/>
      <c r="E338" s="690"/>
      <c r="F338" s="691"/>
      <c r="I338" t="b">
        <f>IF('PI-1-MarineLoading'!$G$125=0,TRUE,FALSE)</f>
        <v>1</v>
      </c>
    </row>
    <row r="339" spans="1:9" ht="15" x14ac:dyDescent="0.2">
      <c r="A339" s="564" t="str">
        <f>"Boilers/Heaters (FINs: "&amp;IF('PI-1-MarineLoading'!$G$126=1,HeaterBoiler1!$E$7,IF('PI-1-MarineLoading'!$G$126=2,HeaterBoiler1!$E$7&amp;", "&amp;HeaterBoiler2!$E$7,""))&amp;")"</f>
        <v>Boilers/Heaters (FINs: )</v>
      </c>
      <c r="B339" s="563"/>
      <c r="C339" s="563"/>
      <c r="D339" s="563"/>
      <c r="E339" s="563"/>
      <c r="F339" s="847"/>
      <c r="H339" s="8" t="s">
        <v>10407</v>
      </c>
      <c r="I339" t="b">
        <f>IF('PI-1-MarineLoading'!$G$126=0,TRUE,FALSE)</f>
        <v>1</v>
      </c>
    </row>
    <row r="340" spans="1:9" x14ac:dyDescent="0.2">
      <c r="A340" s="9">
        <v>53</v>
      </c>
      <c r="B340" s="689" t="s">
        <v>10332</v>
      </c>
      <c r="C340" s="690"/>
      <c r="D340" s="690"/>
      <c r="E340" s="690"/>
      <c r="F340" s="691"/>
      <c r="I340" t="b">
        <f>IF('PI-1-MarineLoading'!$G$126=0,TRUE,FALSE)</f>
        <v>1</v>
      </c>
    </row>
    <row r="341" spans="1:9" x14ac:dyDescent="0.2">
      <c r="A341" s="173">
        <v>53</v>
      </c>
      <c r="B341" s="16" t="s">
        <v>8821</v>
      </c>
      <c r="C341" s="689" t="str">
        <f>"FIN "&amp;HeaterBoiler1!$E$7&amp;": "&amp;HeaterBoiler1!$E$23&amp;" MMBtu/hr"</f>
        <v>FIN :  MMBtu/hr</v>
      </c>
      <c r="D341" s="690"/>
      <c r="E341" s="690"/>
      <c r="F341" s="691"/>
      <c r="H341" s="8" t="s">
        <v>10408</v>
      </c>
      <c r="I341" t="b">
        <f>IF('PI-1-MarineLoading'!$G$126=0,TRUE,FALSE)</f>
        <v>1</v>
      </c>
    </row>
    <row r="342" spans="1:9" x14ac:dyDescent="0.2">
      <c r="A342" s="173">
        <v>53</v>
      </c>
      <c r="B342" s="16" t="s">
        <v>8822</v>
      </c>
      <c r="C342" s="689" t="str">
        <f>"FIN "&amp;HeaterBoiler2!$E$7&amp;": "&amp;HeaterBoiler2!$E$23&amp;" MMBtu/hr"</f>
        <v>FIN :  MMBtu/hr</v>
      </c>
      <c r="D342" s="690"/>
      <c r="E342" s="690"/>
      <c r="F342" s="691"/>
      <c r="H342" s="8" t="s">
        <v>10409</v>
      </c>
      <c r="I342" t="b">
        <f>IF('PI-1-MarineLoading'!$G$126&lt;2,TRUE,FALSE)</f>
        <v>1</v>
      </c>
    </row>
    <row r="343" spans="1:9" x14ac:dyDescent="0.2">
      <c r="A343" s="9">
        <v>54</v>
      </c>
      <c r="B343" s="689" t="s">
        <v>10333</v>
      </c>
      <c r="C343" s="690"/>
      <c r="D343" s="690"/>
      <c r="E343" s="690"/>
      <c r="F343" s="691"/>
      <c r="I343" t="b">
        <f>IF('PI-1-MarineLoading'!$G$126=0,TRUE,FALSE)</f>
        <v>1</v>
      </c>
    </row>
    <row r="344" spans="1:9" x14ac:dyDescent="0.2">
      <c r="A344" s="173">
        <v>54</v>
      </c>
      <c r="B344" s="16" t="s">
        <v>8821</v>
      </c>
      <c r="C344" s="689" t="str">
        <f>"FIN "&amp;HeaterBoiler1!$E$7&amp;" shall be fired with "&amp;HeaterBoiler1!$E$26&amp;"."&amp;" The sulfur content of the fuel shall not exceed "&amp;HeaterBoiler1!$E$28&amp;" ppmw."</f>
        <v>FIN  shall be fired with . The sulfur content of the fuel shall not exceed  ppmw.</v>
      </c>
      <c r="D344" s="690"/>
      <c r="E344" s="690"/>
      <c r="F344" s="691"/>
      <c r="H344" s="8" t="s">
        <v>10408</v>
      </c>
      <c r="I344" t="b">
        <f>IF('PI-1-MarineLoading'!$G$126=0,TRUE,FALSE)</f>
        <v>1</v>
      </c>
    </row>
    <row r="345" spans="1:9" x14ac:dyDescent="0.2">
      <c r="A345" s="173">
        <v>54</v>
      </c>
      <c r="B345" s="16" t="s">
        <v>8822</v>
      </c>
      <c r="C345" s="689" t="str">
        <f>"FIN "&amp;HeaterBoiler2!$E$7&amp;" shall be fired with "&amp;HeaterBoiler2!$E$26&amp;"."&amp;" The sulfur content of the fuel shall not exceed "&amp;HeaterBoiler2!$E$28&amp;" ppmw."</f>
        <v>FIN  shall be fired with . The sulfur content of the fuel shall not exceed  ppmw.</v>
      </c>
      <c r="D345" s="690"/>
      <c r="E345" s="690"/>
      <c r="F345" s="691"/>
      <c r="H345" s="8" t="s">
        <v>10409</v>
      </c>
      <c r="I345" t="b">
        <f>IF('PI-1-MarineLoading'!$G$126&lt;2,TRUE,FALSE)</f>
        <v>1</v>
      </c>
    </row>
    <row r="346" spans="1:9" ht="30" customHeight="1" x14ac:dyDescent="0.2">
      <c r="A346" s="173">
        <v>54</v>
      </c>
      <c r="B346" s="16" t="s">
        <v>8824</v>
      </c>
      <c r="C346" s="689" t="s">
        <v>10334</v>
      </c>
      <c r="D346" s="690"/>
      <c r="E346" s="690"/>
      <c r="F346" s="691"/>
      <c r="I346" t="b">
        <f>IF('PI-1-MarineLoading'!$G$126=0,TRUE,FALSE)</f>
        <v>1</v>
      </c>
    </row>
    <row r="347" spans="1:9" x14ac:dyDescent="0.2">
      <c r="A347" s="173">
        <v>54</v>
      </c>
      <c r="B347" s="16" t="s">
        <v>8823</v>
      </c>
      <c r="C347" s="933" t="s">
        <v>10410</v>
      </c>
      <c r="D347" s="647"/>
      <c r="E347" s="647"/>
      <c r="F347" s="1128"/>
      <c r="H347" s="8" t="s">
        <v>10411</v>
      </c>
      <c r="I347" t="b">
        <f>IF('PI-1-MarineLoading'!$G$126=0,TRUE,FALSE)</f>
        <v>1</v>
      </c>
    </row>
    <row r="348" spans="1:9" x14ac:dyDescent="0.2">
      <c r="A348" s="173">
        <v>54</v>
      </c>
      <c r="B348" s="223" t="s">
        <v>8823</v>
      </c>
      <c r="C348" s="933" t="str">
        <f>"FIN "&amp;HeaterBoiler1!$E$7&amp;": "&amp;HeaterBoiler1!$C$45&amp;" lb NOx/MMBtu on an hourly average and "&amp;HeaterBoiler1!$C$46&amp;" lb/MMBtu CO corrected to 3 percent oxygen on an hourly average."</f>
        <v>FIN :  lb NOx/MMBtu on an hourly average and  lb/MMBtu CO corrected to 3 percent oxygen on an hourly average.</v>
      </c>
      <c r="D348" s="647"/>
      <c r="E348" s="647"/>
      <c r="F348" s="1128"/>
      <c r="I348" t="b">
        <f>IF('PI-1-MarineLoading'!$G$126=0,TRUE,FALSE)</f>
        <v>1</v>
      </c>
    </row>
    <row r="349" spans="1:9" x14ac:dyDescent="0.2">
      <c r="A349" s="173">
        <v>54</v>
      </c>
      <c r="B349" s="223" t="s">
        <v>8823</v>
      </c>
      <c r="C349" s="933" t="str">
        <f>"FIN "&amp;HeaterBoiler2!$E$7&amp;": "&amp;HeaterBoiler2!$C$45&amp;" lb NOx/MMBtu on an hourly average and "&amp;HeaterBoiler2!$C$46&amp;" lb/MMBtu CO corrected to 3 percent oxygen on an hourly average."</f>
        <v>FIN :  lb NOx/MMBtu on an hourly average and  lb/MMBtu CO corrected to 3 percent oxygen on an hourly average.</v>
      </c>
      <c r="D349" s="647"/>
      <c r="E349" s="647"/>
      <c r="F349" s="1128"/>
      <c r="I349" t="b">
        <f>IF('PI-1-MarineLoading'!$G$126&lt;2,TRUE,FALSE)</f>
        <v>1</v>
      </c>
    </row>
    <row r="350" spans="1:9" ht="35.25" customHeight="1" x14ac:dyDescent="0.2">
      <c r="A350" s="173">
        <v>54</v>
      </c>
      <c r="B350" s="16" t="s">
        <v>8825</v>
      </c>
      <c r="C350" s="689" t="str">
        <f>"The holder of this permit shall install a continuous H2S monitoring system in a portion of the fuel gas system common to the following FINs in accordance with the fuel sulfur monitoring requirements of 40 CFR §60.105: "&amp;IF('PI-1-MarineLoading'!$G$126=1,HeaterBoiler1!$E$7,IF('PI-1-MarineLoading'!$G$126=2,HeaterBoiler1!$E$7&amp;", "&amp;HeaterBoiler2!$E$7,""))&amp;"."</f>
        <v>The holder of this permit shall install a continuous H2S monitoring system in a portion of the fuel gas system common to the following FINs in accordance with the fuel sulfur monitoring requirements of 40 CFR §60.105: .</v>
      </c>
      <c r="D350" s="690"/>
      <c r="E350" s="690"/>
      <c r="F350" s="691"/>
      <c r="H350" t="s">
        <v>10412</v>
      </c>
      <c r="I350" t="b">
        <f>IF('PI-1-MarineLoading'!$G$126=0,TRUE,IF(OR(HeaterBoiler1!$E$26&lt;&gt;"FUEL GAS",HeaterBoiler2!$E$26&lt;&gt;"FUEL GAS"),TRUE,FALSE))</f>
        <v>1</v>
      </c>
    </row>
    <row r="351" spans="1:9" ht="117" customHeight="1" x14ac:dyDescent="0.2">
      <c r="A351" s="173">
        <v>54</v>
      </c>
      <c r="B351" s="16" t="s">
        <v>8826</v>
      </c>
      <c r="C351" s="689" t="s">
        <v>9278</v>
      </c>
      <c r="D351" s="690"/>
      <c r="E351" s="690"/>
      <c r="F351" s="691"/>
      <c r="I351" t="b">
        <f>IF('PI-1-MarineLoading'!$G$126=0,TRUE,FALSE)</f>
        <v>1</v>
      </c>
    </row>
    <row r="352" spans="1:9" ht="105" customHeight="1" x14ac:dyDescent="0.2">
      <c r="A352" s="173">
        <v>54</v>
      </c>
      <c r="B352" s="16" t="s">
        <v>8827</v>
      </c>
      <c r="C352" s="689" t="str">
        <f>"The permit holder shall install and operate a fuel flow meter to measure the gas fuel usage for the following FINs: "&amp;IF(HeaterBoiler1!$E$35&lt;&gt;"Yes","",HeaterBoiler1!$E$7)&amp;IF(HeaterBoiler2!$E$35&lt;&gt;"Yes","",IF(HeaterBoiler1!$E$35&lt;&gt;"Yes",HeaterBoiler2!$E$7,", "&amp;HeaterBoiler2!$E$7))&amp;". The monitored data shall be reduced to an hourly average flow rate at least once every day, using a minimum of four equally spaced data points from each one-hour period.  "&amp;"Each monitoring device shall be calibrated at a frequency in accordance with the manufacturer’s specifications or at least annually, whichever is more frequent, and shall be accurate to within 5 percent."&amp;"
In lieu of monitoring fuel flow, the permit holder may monitor stack exhaust flow using the flow monitoring specifications of 40 CFR Part 60, Appendix B, Performance Specification 6 or 40 CFR Part 75, Appendix A."</f>
        <v>The permit holder shall install and operate a fuel flow meter to measure the gas fuel usage for the following FINs: . The monitored data shall be reduced to an hourly average flow rate at least once every day, using a minimum of four equally spaced data points from each one-hour period.  Each monitoring device shall be calibrated at a frequency in accordance with the manufacturer’s specifications or at least annually, whichever is more frequent, and shall be accurate to within 5 percent.
In lieu of monitoring fuel flow, the permit holder may monitor stack exhaust flow using the flow monitoring specifications of 40 CFR Part 60, Appendix B, Performance Specification 6 or 40 CFR Part 75, Appendix A.</v>
      </c>
      <c r="D352" s="690"/>
      <c r="E352" s="690"/>
      <c r="F352" s="691"/>
      <c r="H352" t="s">
        <v>10413</v>
      </c>
      <c r="I352" t="b">
        <f>IF('PI-1-MarineLoading'!$G$126=0,TRUE,IF(AND(HeaterBoiler1!$E$35="No",HeaterBoiler2!$E$35="No"),TRUE,FALSE))</f>
        <v>1</v>
      </c>
    </row>
    <row r="353" spans="1:9" ht="61.5" customHeight="1" x14ac:dyDescent="0.2">
      <c r="A353" s="173">
        <v>54</v>
      </c>
      <c r="B353" s="16" t="s">
        <v>8828</v>
      </c>
      <c r="C353" s="689" t="s">
        <v>9279</v>
      </c>
      <c r="D353" s="690"/>
      <c r="E353" s="690"/>
      <c r="F353" s="691"/>
      <c r="I353" t="b">
        <f>IF('PI-1-MarineLoading'!$G$126=0,TRUE,FALSE)</f>
        <v>1</v>
      </c>
    </row>
    <row r="354" spans="1:9" ht="15" x14ac:dyDescent="0.2">
      <c r="A354" s="564" t="s">
        <v>10335</v>
      </c>
      <c r="B354" s="563"/>
      <c r="C354" s="563"/>
      <c r="D354" s="563"/>
      <c r="E354" s="563"/>
      <c r="F354" s="847"/>
      <c r="I354" t="b">
        <f>AND('PI-1-MarineLoading'!$G$125=0,'PI-1-MarineLoading'!$G$126=0)</f>
        <v>1</v>
      </c>
    </row>
    <row r="355" spans="1:9" ht="78" customHeight="1" x14ac:dyDescent="0.2">
      <c r="A355" s="9">
        <v>55</v>
      </c>
      <c r="B355" s="689" t="str">
        <f>"During normal operations, opacity of emissions the FINs listed below shall not exceed 5 percent averaged over a six-minute period. "&amp;"During periods of MSS operation, the units shall not exceed 15 percent averaged over a six-minute period. The period holder shall demonstrate compliance with this special condition with the following procedure:"&amp;"
FINs subject to this condition: "&amp;Hidden!AC2&amp;IF(Hidden!AC3=0,"",", "&amp;Hidden!AC3)&amp;IF(Hidden!AC4=0,"",", "&amp;Hidden!AC4)&amp;IF(Hidden!AC5=0,"",", "&amp;Hidden!AC5)&amp;"."</f>
        <v>During normal operations, opacity of emissions the FINs listed below shall not exceed 5 percent averaged over a six-minute period. During periods of MSS operation, the units shall not exceed 15 percent averaged over a six-minute period. The period holder shall demonstrate compliance with this special condition with the following procedure:
FINs subject to this condition: 0.</v>
      </c>
      <c r="C355" s="690"/>
      <c r="D355" s="690"/>
      <c r="E355" s="690"/>
      <c r="F355" s="691"/>
      <c r="H355" t="s">
        <v>10389</v>
      </c>
      <c r="I355" t="b">
        <f>AND('PI-1-MarineLoading'!$G$125=0,'PI-1-MarineLoading'!$G$126=0)</f>
        <v>1</v>
      </c>
    </row>
    <row r="356" spans="1:9" ht="32.25" customHeight="1" x14ac:dyDescent="0.2">
      <c r="A356" s="173">
        <v>55</v>
      </c>
      <c r="B356" s="16" t="s">
        <v>8821</v>
      </c>
      <c r="C356" s="689" t="s">
        <v>10336</v>
      </c>
      <c r="D356" s="690"/>
      <c r="E356" s="690"/>
      <c r="F356" s="691"/>
      <c r="I356" t="b">
        <f>AND('PI-1-MarineLoading'!$G$125=0,'PI-1-MarineLoading'!$G$126=0)</f>
        <v>1</v>
      </c>
    </row>
    <row r="357" spans="1:9" ht="73.5" customHeight="1" x14ac:dyDescent="0.2">
      <c r="A357" s="173">
        <v>55</v>
      </c>
      <c r="B357" s="16" t="s">
        <v>8822</v>
      </c>
      <c r="C357" s="689" t="s">
        <v>10337</v>
      </c>
      <c r="D357" s="690"/>
      <c r="E357" s="690"/>
      <c r="F357" s="691"/>
      <c r="I357" t="b">
        <f>AND('PI-1-MarineLoading'!$G$125=0,'PI-1-MarineLoading'!$G$126=0)</f>
        <v>1</v>
      </c>
    </row>
    <row r="358" spans="1:9" ht="30" customHeight="1" x14ac:dyDescent="0.2">
      <c r="A358" s="173">
        <v>55</v>
      </c>
      <c r="B358" s="16" t="s">
        <v>8824</v>
      </c>
      <c r="C358" s="689" t="s">
        <v>10338</v>
      </c>
      <c r="D358" s="690"/>
      <c r="E358" s="690"/>
      <c r="F358" s="691"/>
      <c r="I358" t="b">
        <f>AND('PI-1-MarineLoading'!$G$125=0,'PI-1-MarineLoading'!$G$126=0)</f>
        <v>1</v>
      </c>
    </row>
    <row r="359" spans="1:9" x14ac:dyDescent="0.2">
      <c r="A359" s="173">
        <v>55</v>
      </c>
      <c r="B359" s="16" t="s">
        <v>8823</v>
      </c>
      <c r="C359" s="689" t="s">
        <v>10339</v>
      </c>
      <c r="D359" s="690"/>
      <c r="E359" s="690"/>
      <c r="F359" s="691"/>
      <c r="I359" t="b">
        <f>AND('PI-1-MarineLoading'!$G$125=0,'PI-1-MarineLoading'!$G$126=0)</f>
        <v>1</v>
      </c>
    </row>
    <row r="360" spans="1:9" x14ac:dyDescent="0.2">
      <c r="A360" s="173">
        <v>55</v>
      </c>
      <c r="B360" s="223" t="s">
        <v>8823</v>
      </c>
      <c r="C360" s="226" t="s">
        <v>8855</v>
      </c>
      <c r="D360" s="689" t="s">
        <v>10340</v>
      </c>
      <c r="E360" s="690"/>
      <c r="F360" s="691"/>
      <c r="I360" t="b">
        <f>AND('PI-1-MarineLoading'!$G$125=0,'PI-1-MarineLoading'!$G$126=0)</f>
        <v>1</v>
      </c>
    </row>
    <row r="361" spans="1:9" ht="30.75" customHeight="1" x14ac:dyDescent="0.2">
      <c r="A361" s="173">
        <v>55</v>
      </c>
      <c r="B361" s="223" t="s">
        <v>8823</v>
      </c>
      <c r="C361" s="226" t="s">
        <v>8857</v>
      </c>
      <c r="D361" s="689" t="s">
        <v>10885</v>
      </c>
      <c r="E361" s="690"/>
      <c r="F361" s="691"/>
      <c r="I361" t="b">
        <f>AND('PI-1-MarineLoading'!$G$125=0,'PI-1-MarineLoading'!$G$126=0)</f>
        <v>1</v>
      </c>
    </row>
    <row r="362" spans="1:9" x14ac:dyDescent="0.2">
      <c r="A362" s="173">
        <v>55</v>
      </c>
      <c r="B362" s="16" t="s">
        <v>8825</v>
      </c>
      <c r="C362" s="689" t="s">
        <v>10341</v>
      </c>
      <c r="D362" s="690"/>
      <c r="E362" s="690"/>
      <c r="F362" s="691"/>
      <c r="I362" t="b">
        <f>AND('PI-1-MarineLoading'!$G$125=0,'PI-1-MarineLoading'!$G$126=0)</f>
        <v>1</v>
      </c>
    </row>
    <row r="363" spans="1:9" ht="15" x14ac:dyDescent="0.2">
      <c r="A363" s="564" t="s">
        <v>8950</v>
      </c>
      <c r="B363" s="563"/>
      <c r="C363" s="563"/>
      <c r="D363" s="563"/>
      <c r="E363" s="563"/>
      <c r="F363" s="847"/>
      <c r="I363" t="b">
        <f>AND('PI-1-MarineLoading'!$G$122="NO",'PI-1-MarineLoading'!$G$123="NO",'PI-1-MarineLoading'!$G$126=0)</f>
        <v>0</v>
      </c>
    </row>
    <row r="364" spans="1:9" ht="189.75" customHeight="1" x14ac:dyDescent="0.2">
      <c r="A364" s="9">
        <v>56</v>
      </c>
      <c r="B364" s="689" t="str">
        <f>"The permit holder shall perform stack sampling and other testing as required to establish the actual pattern and quantities of air contaminants being emitted into the atmosphere from the following "&amp;"FINs to demonstrate compliance with the RAP Emission Rates Table Attachment and any DRE or outlet concentration: "&amp;Hidden!AG2&amp;IF(Hidden!AG3=0,"",", "&amp;Hidden!AG3)&amp;IF(Hidden!AG4=0,"",", "&amp;Hidden!AG4)&amp;IF(Hidden!AG5=0,"",", "&amp;Hidden!AG5)&amp;". The permit holder is responsible for providing sampling and testing facilities and conducting the sampling and testing operations at their expense. "&amp;"Sampling shall be conducted in accordance with the appropriate procedures of the TCEQ Sampling Procedures Manual and the EPA Reference Methods."&amp;"
Requests to waive testing for any pollutant specified in this condition shall be submitted to the TCEQ Office of Air, Air Permits Division.  "&amp;"Test waivers and alternate/equivalent procedure proposals for 40 CFR Part 60 testing which must have EPA approval shall be submitted to the TCEQ Regional Director."&amp;"
The purpose of the pretest meeting is to review the necessary sampling and testing procedures, to provide the proper data forms for recording pertinent data, and to review the format procedures for the test reports. "&amp;"The TCEQ Regional Director must approve any deviation from specified sampling procedures."</f>
        <v>The permit holder shall perform stack sampling and other testing as required to establish the actual pattern and quantities of air contaminants being emitted into the atmosphere from the following FINs to demonstrate compliance with the RAP Emission Rates Table Attachment and any DRE or outlet concentration: 0. The permit holder is responsible for providing sampling and testing facilities and conducting the sampling and testing operations at their expense. Sampling shall be conducted in accordance with the appropriate procedures of the TCEQ Sampling Procedures Manual and the EPA Reference Methods.
Requests to waive testing for any pollutant specified in this condition shall be submitted to the TCEQ Office of Air, Air Permits Division.  Test waivers and alternate/equivalent procedure proposals for 40 CFR Part 60 testing which must have EPA approval shall be submitted to the TCEQ Regional Director.
The purpose of the pretest meeting is to review the necessary sampling and testing procedures, to provide the proper data forms for recording pertinent data, and to review the format procedures for the test reports. The TCEQ Regional Director must approve any deviation from specified sampling procedures.</v>
      </c>
      <c r="C364" s="690"/>
      <c r="D364" s="690"/>
      <c r="E364" s="690"/>
      <c r="F364" s="691"/>
      <c r="H364" t="s">
        <v>10389</v>
      </c>
      <c r="I364" t="b">
        <f>AND('PI-1-MarineLoading'!$G$122="NO",'PI-1-MarineLoading'!$G$123="NO",'PI-1-MarineLoading'!$G$126=0)</f>
        <v>0</v>
      </c>
    </row>
    <row r="365" spans="1:9" x14ac:dyDescent="0.2">
      <c r="A365" s="173">
        <v>56</v>
      </c>
      <c r="B365" s="16" t="s">
        <v>8821</v>
      </c>
      <c r="C365" s="689" t="s">
        <v>8951</v>
      </c>
      <c r="D365" s="690"/>
      <c r="E365" s="690"/>
      <c r="F365" s="691"/>
      <c r="I365" t="b">
        <f>AND('PI-1-MarineLoading'!$G$122="NO",'PI-1-MarineLoading'!$G$123="NO",'PI-1-MarineLoading'!$G$126=0)</f>
        <v>0</v>
      </c>
    </row>
    <row r="366" spans="1:9" x14ac:dyDescent="0.2">
      <c r="A366" s="173">
        <v>56</v>
      </c>
      <c r="B366" s="223" t="s">
        <v>8821</v>
      </c>
      <c r="C366" s="226" t="s">
        <v>8855</v>
      </c>
      <c r="D366" s="689" t="s">
        <v>8952</v>
      </c>
      <c r="E366" s="690"/>
      <c r="F366" s="691"/>
      <c r="I366" t="b">
        <f>AND('PI-1-MarineLoading'!$G$122="NO",'PI-1-MarineLoading'!$G$123="NO",'PI-1-MarineLoading'!$G$126=0)</f>
        <v>0</v>
      </c>
    </row>
    <row r="367" spans="1:9" x14ac:dyDescent="0.2">
      <c r="A367" s="173">
        <v>56</v>
      </c>
      <c r="B367" s="223" t="s">
        <v>8821</v>
      </c>
      <c r="C367" s="226" t="s">
        <v>8857</v>
      </c>
      <c r="D367" s="689" t="s">
        <v>8953</v>
      </c>
      <c r="E367" s="690"/>
      <c r="F367" s="691"/>
      <c r="I367" t="b">
        <f>AND('PI-1-MarineLoading'!$G$122="NO",'PI-1-MarineLoading'!$G$123="NO",'PI-1-MarineLoading'!$G$126=0)</f>
        <v>0</v>
      </c>
    </row>
    <row r="368" spans="1:9" x14ac:dyDescent="0.2">
      <c r="A368" s="173">
        <v>56</v>
      </c>
      <c r="B368" s="223" t="s">
        <v>8821</v>
      </c>
      <c r="C368" s="226" t="s">
        <v>8882</v>
      </c>
      <c r="D368" s="689" t="s">
        <v>8954</v>
      </c>
      <c r="E368" s="690"/>
      <c r="F368" s="691"/>
      <c r="I368" t="b">
        <f>AND('PI-1-MarineLoading'!$G$122="NO",'PI-1-MarineLoading'!$G$123="NO",'PI-1-MarineLoading'!$G$126=0)</f>
        <v>0</v>
      </c>
    </row>
    <row r="369" spans="1:9" x14ac:dyDescent="0.2">
      <c r="A369" s="173">
        <v>56</v>
      </c>
      <c r="B369" s="223" t="s">
        <v>8821</v>
      </c>
      <c r="C369" s="226" t="s">
        <v>8928</v>
      </c>
      <c r="D369" s="689" t="s">
        <v>8955</v>
      </c>
      <c r="E369" s="690"/>
      <c r="F369" s="691"/>
      <c r="I369" t="b">
        <f>AND('PI-1-MarineLoading'!$G$122="NO",'PI-1-MarineLoading'!$G$123="NO",'PI-1-MarineLoading'!$G$126=0)</f>
        <v>0</v>
      </c>
    </row>
    <row r="370" spans="1:9" x14ac:dyDescent="0.2">
      <c r="A370" s="173">
        <v>56</v>
      </c>
      <c r="B370" s="223" t="s">
        <v>8821</v>
      </c>
      <c r="C370" s="226" t="s">
        <v>8940</v>
      </c>
      <c r="D370" s="689" t="s">
        <v>8956</v>
      </c>
      <c r="E370" s="690"/>
      <c r="F370" s="691"/>
      <c r="I370" t="b">
        <f>AND('PI-1-MarineLoading'!$G$122="NO",'PI-1-MarineLoading'!$G$123="NO",'PI-1-MarineLoading'!$G$126=0)</f>
        <v>0</v>
      </c>
    </row>
    <row r="371" spans="1:9" x14ac:dyDescent="0.2">
      <c r="A371" s="173">
        <v>56</v>
      </c>
      <c r="B371" s="223" t="s">
        <v>8821</v>
      </c>
      <c r="C371" s="226" t="s">
        <v>8957</v>
      </c>
      <c r="D371" s="689" t="s">
        <v>8958</v>
      </c>
      <c r="E371" s="690"/>
      <c r="F371" s="691"/>
      <c r="I371" t="b">
        <f>AND('PI-1-MarineLoading'!$G$122="NO",'PI-1-MarineLoading'!$G$123="NO",'PI-1-MarineLoading'!$G$126=0)</f>
        <v>0</v>
      </c>
    </row>
    <row r="372" spans="1:9" x14ac:dyDescent="0.2">
      <c r="A372" s="173">
        <v>56</v>
      </c>
      <c r="B372" s="223" t="s">
        <v>8821</v>
      </c>
      <c r="C372" s="226" t="s">
        <v>8959</v>
      </c>
      <c r="D372" s="689" t="s">
        <v>8960</v>
      </c>
      <c r="E372" s="690"/>
      <c r="F372" s="691"/>
      <c r="I372" t="b">
        <f>AND('PI-1-MarineLoading'!$G$122="NO",'PI-1-MarineLoading'!$G$123="NO",'PI-1-MarineLoading'!$G$126=0)</f>
        <v>0</v>
      </c>
    </row>
    <row r="373" spans="1:9" ht="32.25" customHeight="1" x14ac:dyDescent="0.2">
      <c r="A373" s="173">
        <v>56</v>
      </c>
      <c r="B373" s="16" t="s">
        <v>8822</v>
      </c>
      <c r="C373" s="689" t="s">
        <v>10492</v>
      </c>
      <c r="D373" s="690"/>
      <c r="E373" s="690"/>
      <c r="F373" s="691"/>
      <c r="I373" t="b">
        <f>'PI-1-MarineLoading'!$G$122="no"</f>
        <v>0</v>
      </c>
    </row>
    <row r="374" spans="1:9" ht="32.25" customHeight="1" x14ac:dyDescent="0.2">
      <c r="A374" s="173">
        <v>56</v>
      </c>
      <c r="B374" s="16" t="s">
        <v>8824</v>
      </c>
      <c r="C374" s="689" t="s">
        <v>10491</v>
      </c>
      <c r="D374" s="690"/>
      <c r="E374" s="690"/>
      <c r="F374" s="691"/>
      <c r="I374" t="b">
        <f>'PI-1-MarineLoading'!$G$123="no"</f>
        <v>0</v>
      </c>
    </row>
    <row r="375" spans="1:9" x14ac:dyDescent="0.2">
      <c r="A375" s="173">
        <v>56</v>
      </c>
      <c r="B375" s="16" t="s">
        <v>8823</v>
      </c>
      <c r="C375" s="689" t="s">
        <v>10490</v>
      </c>
      <c r="D375" s="690"/>
      <c r="E375" s="690"/>
      <c r="F375" s="691"/>
      <c r="I375" t="b">
        <f>'PI-1-MarineLoading'!$G$126=0</f>
        <v>1</v>
      </c>
    </row>
    <row r="376" spans="1:9" ht="45.75" customHeight="1" x14ac:dyDescent="0.2">
      <c r="A376" s="173">
        <v>56</v>
      </c>
      <c r="B376" s="16" t="s">
        <v>8825</v>
      </c>
      <c r="C376" s="689" t="s">
        <v>8961</v>
      </c>
      <c r="D376" s="690"/>
      <c r="E376" s="690"/>
      <c r="F376" s="691"/>
      <c r="I376" t="b">
        <f>AND('PI-1-MarineLoading'!$G$122="NO",'PI-1-MarineLoading'!$G$123="NO",'PI-1-MarineLoading'!$G$126=0)</f>
        <v>0</v>
      </c>
    </row>
    <row r="377" spans="1:9" ht="90" customHeight="1" x14ac:dyDescent="0.2">
      <c r="A377" s="173">
        <v>56</v>
      </c>
      <c r="B377" s="16" t="s">
        <v>8826</v>
      </c>
      <c r="C377" s="689" t="s">
        <v>10342</v>
      </c>
      <c r="D377" s="690"/>
      <c r="E377" s="690"/>
      <c r="F377" s="691"/>
      <c r="I377" t="b">
        <f>AND('PI-1-MarineLoading'!$G$122="NO",'PI-1-MarineLoading'!$G$123="NO",'PI-1-MarineLoading'!$G$126=0)</f>
        <v>0</v>
      </c>
    </row>
    <row r="378" spans="1:9" ht="87.75" customHeight="1" x14ac:dyDescent="0.2">
      <c r="A378" s="173">
        <v>56</v>
      </c>
      <c r="B378" s="16" t="s">
        <v>8827</v>
      </c>
      <c r="C378" s="689" t="s">
        <v>10343</v>
      </c>
      <c r="D378" s="690"/>
      <c r="E378" s="690"/>
      <c r="F378" s="691"/>
      <c r="I378" t="b">
        <f>AND('PI-1-MarineLoading'!$G$122="NO",'PI-1-MarineLoading'!$G$123="NO",'PI-1-MarineLoading'!$G$126=0)</f>
        <v>0</v>
      </c>
    </row>
    <row r="379" spans="1:9" ht="50.25" customHeight="1" x14ac:dyDescent="0.2">
      <c r="A379" s="173">
        <v>56</v>
      </c>
      <c r="B379" s="16" t="s">
        <v>8828</v>
      </c>
      <c r="C379" s="689" t="s">
        <v>8962</v>
      </c>
      <c r="D379" s="690"/>
      <c r="E379" s="690"/>
      <c r="F379" s="691"/>
      <c r="I379" t="b">
        <f>AND('PI-1-MarineLoading'!$G$122="NO",'PI-1-MarineLoading'!$G$123="NO",'PI-1-MarineLoading'!$G$126=0)</f>
        <v>0</v>
      </c>
    </row>
    <row r="380" spans="1:9" x14ac:dyDescent="0.2">
      <c r="A380" s="9">
        <v>57</v>
      </c>
      <c r="B380" s="689" t="str">
        <f>"The following requirements apply to capture systems for the following FINs: "&amp;Hidden!AK2&amp;IF(Hidden!AK3=0,"",", "&amp;Hidden!AK3)&amp;IF(Hidden!AK4=0,"",", "&amp;Hidden!AK4)&amp;"."</f>
        <v>The following requirements apply to capture systems for the following FINs: 0.</v>
      </c>
      <c r="C380" s="690"/>
      <c r="D380" s="690"/>
      <c r="E380" s="690"/>
      <c r="F380" s="691"/>
      <c r="H380" s="8" t="s">
        <v>10414</v>
      </c>
      <c r="I380" t="b">
        <f>IF(AND('PI-1-MarineLoading'!$G$121="NO",'PI-1-MarineLoading'!$G$122="NO",'PI-1-MarineLoading'!$G$124="NO"),TRUE,IF((COUNTIF(Flare!$D$60,"&lt;&gt;"&amp;"YES")+COUNTIF(VCU!$D$71,"&lt;&gt;"&amp;"YES")+COUNTIF(CAS!$D$23,"&lt;&gt;"&amp;"YES"))=3,TRUE,FALSE))</f>
        <v>1</v>
      </c>
    </row>
    <row r="381" spans="1:9" ht="33.75" customHeight="1" x14ac:dyDescent="0.2">
      <c r="A381" s="173">
        <v>57</v>
      </c>
      <c r="B381" s="16" t="s">
        <v>8821</v>
      </c>
      <c r="C381" s="689" t="s">
        <v>8963</v>
      </c>
      <c r="D381" s="690"/>
      <c r="E381" s="690"/>
      <c r="F381" s="691"/>
      <c r="I381" t="b">
        <f>IF(AND('PI-1-MarineLoading'!$G$121="NO",'PI-1-MarineLoading'!$G$122="NO",'PI-1-MarineLoading'!$G$124="NO"),TRUE,IF((COUNTIF(Flare!$D$60,"&lt;&gt;"&amp;"YES")+COUNTIF(VCU!$D$71,"&lt;&gt;"&amp;"YES")+COUNTIF(CAS!$D$23,"&lt;&gt;"&amp;"YES"))=3,TRUE,FALSE))</f>
        <v>1</v>
      </c>
    </row>
    <row r="382" spans="1:9" ht="33.75" customHeight="1" x14ac:dyDescent="0.2">
      <c r="A382" s="173">
        <v>57</v>
      </c>
      <c r="B382" s="16" t="s">
        <v>8822</v>
      </c>
      <c r="C382" s="689" t="s">
        <v>8964</v>
      </c>
      <c r="D382" s="690"/>
      <c r="E382" s="690"/>
      <c r="F382" s="691"/>
      <c r="I382" t="b">
        <f>IF(AND('PI-1-MarineLoading'!$G$121="NO",'PI-1-MarineLoading'!$G$122="NO",'PI-1-MarineLoading'!$G$124="NO"),TRUE,IF((COUNTIF(Flare!$D$60,"&lt;&gt;"&amp;"YES")+COUNTIF(VCU!$D$71,"&lt;&gt;"&amp;"YES")+COUNTIF(CAS!$D$23,"&lt;&gt;"&amp;"YES"))=3,TRUE,FALSE))</f>
        <v>1</v>
      </c>
    </row>
    <row r="383" spans="1:9" x14ac:dyDescent="0.2">
      <c r="A383" s="173">
        <v>57</v>
      </c>
      <c r="B383" s="16" t="s">
        <v>8824</v>
      </c>
      <c r="C383" s="689" t="str">
        <f>"The following control device(s) identified by FIN shall not have a bypass: "&amp;Hidden!AO2&amp;IF(Hidden!AO3=0,"",", "&amp;Hidden!AO3)&amp;IF(Hidden!AO4=0,"",", "&amp;Hidden!AO4)&amp;"."</f>
        <v>The following control device(s) identified by FIN shall not have a bypass: 0.</v>
      </c>
      <c r="D383" s="690"/>
      <c r="E383" s="690"/>
      <c r="F383" s="691"/>
      <c r="H383" t="s">
        <v>10389</v>
      </c>
      <c r="I383" t="b">
        <f>IF(AND('PI-1-MarineLoading'!$G$121="NO",'PI-1-MarineLoading'!$G$122="NO",'PI-1-MarineLoading'!$G$124="NO"),TRUE,IF((COUNTIF(Flare!$D$60,"&lt;&gt;"&amp;"YES")+COUNTIF(VCU!$D$71,"&lt;&gt;"&amp;"YES")+COUNTIF(CAS!$D$23,"&lt;&gt;"&amp;"YES"))=3,TRUE,IF((COUNTIF(Flare!$D$62,"YES")+COUNTIF(VCU!$D$73,"YES")+COUNTIF(CAS!$D$25,"YES"))=3,TRUE,FALSE)))</f>
        <v>1</v>
      </c>
    </row>
    <row r="384" spans="1:9" x14ac:dyDescent="0.2">
      <c r="A384" s="173">
        <v>57</v>
      </c>
      <c r="B384" s="16" t="s">
        <v>8823</v>
      </c>
      <c r="C384" s="689" t="str">
        <f>"The following FINs have a bypass: "&amp;Hidden!AS2&amp;IF(Hidden!AS3=0,"",", "&amp;Hidden!AS3)&amp;IF(Hidden!AS4=0,"",", "&amp;Hidden!AS4)&amp;". The permit holder shall comply with one of the following requirements:"</f>
        <v>The following FINs have a bypass: 0. The permit holder shall comply with one of the following requirements:</v>
      </c>
      <c r="D384" s="690"/>
      <c r="E384" s="690"/>
      <c r="F384" s="691"/>
      <c r="H384" s="8" t="s">
        <v>10415</v>
      </c>
      <c r="I384" t="b">
        <f>IF(AND('PI-1-MarineLoading'!$G$121="NO",'PI-1-MarineLoading'!$G$122="NO",'PI-1-MarineLoading'!$G$124="NO"),TRUE,IF((COUNTIF(Flare!$D$60,"&lt;&gt;"&amp;"YES")+COUNTIF(VCU!$D$71,"&lt;&gt;"&amp;"YES")+COUNTIF(CAS!$D$23,"&lt;&gt;"&amp;"YES"))=3,TRUE,FALSE))</f>
        <v>1</v>
      </c>
    </row>
    <row r="385" spans="1:9" ht="33" customHeight="1" x14ac:dyDescent="0.2">
      <c r="A385" s="173">
        <v>57</v>
      </c>
      <c r="B385" s="223" t="s">
        <v>8823</v>
      </c>
      <c r="C385" s="226" t="s">
        <v>8855</v>
      </c>
      <c r="D385" s="689" t="s">
        <v>10426</v>
      </c>
      <c r="E385" s="690"/>
      <c r="F385" s="691"/>
      <c r="H385" t="s">
        <v>10389</v>
      </c>
      <c r="I385" t="b">
        <f>IF(AND('PI-1-MarineLoading'!$G$121="NO",'PI-1-MarineLoading'!$G$122="NO",'PI-1-MarineLoading'!$G$124="NO"),TRUE,IF((COUNTIF(Flare!$D$60,"&lt;&gt;"&amp;"YES")+COUNTIF(VCU!$D$71,"&lt;&gt;"&amp;"YES")+COUNTIF(CAS!$D$23,"&lt;&gt;"&amp;"YES"))=3,TRUE,FALSE))</f>
        <v>1</v>
      </c>
    </row>
    <row r="386" spans="1:9" ht="29.25" customHeight="1" x14ac:dyDescent="0.2">
      <c r="A386" s="173">
        <v>57</v>
      </c>
      <c r="B386" s="223" t="s">
        <v>8823</v>
      </c>
      <c r="C386" s="226" t="s">
        <v>8857</v>
      </c>
      <c r="D386" s="689" t="s">
        <v>8965</v>
      </c>
      <c r="E386" s="690"/>
      <c r="F386" s="691"/>
      <c r="I386" t="b">
        <f>IF(AND('PI-1-MarineLoading'!$G$121="NO",'PI-1-MarineLoading'!$G$122="NO",'PI-1-MarineLoading'!$G$124="NO"),TRUE,IF((COUNTIF(Flare!$D$60,"&lt;&gt;"&amp;"YES")+COUNTIF(VCU!$D$71,"&lt;&gt;"&amp;"YES")+COUNTIF(CAS!$D$23,"&lt;&gt;"&amp;"YES"))=3,TRUE,FALSE))</f>
        <v>1</v>
      </c>
    </row>
    <row r="387" spans="1:9" ht="46.5" customHeight="1" x14ac:dyDescent="0.2">
      <c r="A387" s="173">
        <v>57</v>
      </c>
      <c r="B387" s="16" t="s">
        <v>8825</v>
      </c>
      <c r="C387" s="689" t="s">
        <v>8966</v>
      </c>
      <c r="D387" s="690"/>
      <c r="E387" s="690"/>
      <c r="F387" s="691"/>
      <c r="I387" t="b">
        <f>IF(AND('PI-1-MarineLoading'!$G$121="NO",'PI-1-MarineLoading'!$G$122="NO",'PI-1-MarineLoading'!$G$124="NO"),TRUE,IF((COUNTIF(Flare!$D$60,"&lt;&gt;"&amp;"YES")+COUNTIF(VCU!$D$71,"&lt;&gt;"&amp;"YES")+COUNTIF(CAS!$D$23,"&lt;&gt;"&amp;"YES"))=3,TRUE,FALSE))</f>
        <v>1</v>
      </c>
    </row>
    <row r="388" spans="1:9" ht="30.75" customHeight="1" x14ac:dyDescent="0.2">
      <c r="A388" s="173">
        <v>57</v>
      </c>
      <c r="B388" s="16" t="s">
        <v>8826</v>
      </c>
      <c r="C388" s="689" t="s">
        <v>8967</v>
      </c>
      <c r="D388" s="690"/>
      <c r="E388" s="690"/>
      <c r="F388" s="691"/>
      <c r="I388" t="b">
        <f>IF(AND('PI-1-MarineLoading'!$G$121="NO",'PI-1-MarineLoading'!$G$122="NO",'PI-1-MarineLoading'!$G$124="NO"),TRUE,IF((COUNTIF(Flare!$D$60,"&lt;&gt;"&amp;"YES")+COUNTIF(VCU!$D$71,"&lt;&gt;"&amp;"YES")+COUNTIF(CAS!$D$23,"&lt;&gt;"&amp;"YES"))=3,TRUE,FALSE))</f>
        <v>1</v>
      </c>
    </row>
    <row r="389" spans="1:9" ht="15" x14ac:dyDescent="0.2">
      <c r="A389" s="564" t="s">
        <v>10344</v>
      </c>
      <c r="B389" s="563"/>
      <c r="C389" s="563"/>
      <c r="D389" s="563"/>
      <c r="E389" s="563"/>
      <c r="F389" s="847"/>
      <c r="H389" s="8" t="s">
        <v>10416</v>
      </c>
      <c r="I389" t="b">
        <f>IF('PI-1-MarineLoading'!$G$128="No",TRUE,FALSE)</f>
        <v>0</v>
      </c>
    </row>
    <row r="390" spans="1:9" ht="89.25" customHeight="1" x14ac:dyDescent="0.2">
      <c r="A390" s="9">
        <v>58</v>
      </c>
      <c r="B390" s="689" t="str">
        <f>"This permit authorizes the emissions from the planned maintenance, startup, and shutdown (MSS) activities summarized in the MSS Activity Summary (Attachment C) attached to this permit. "&amp;"This permit authorizes emissions from the following temporary facilities used to support planned MSS activities at permanent site facilities: "&amp;
IF(Hidden!BV2=0,"vacuum trucks","vacuum trucks, "&amp;Hidden!BV2&amp;IF(Hidden!BV3=0,"",", "&amp;Hidden!BV3)&amp;IF(Hidden!BV4=0,"",", "&amp;Hidden!BV4))&amp;".  Emissions from temporary facilities are authorized provided the temporary facility does not remain on the plant site for more than 12 consecutive months, "&amp;"is used solely to support planned convenience roof landings or planned MSS activities at the permanent site facilities authorized under this permit, and does not operate as a replacement for an existing authorized facility."</f>
        <v>This permit authorizes the emissions from the planned maintenance, startup, and shutdown (MSS) activities summarized in the MSS Activity Summary (Attachment C) attached to this permit. This permit authorizes emissions from the following temporary facilities used to support planned MSS activities at permanent site facilities: vacuum trucks.  Emissions from temporary facilities are authorized provided the temporary facility does not remain on the plant site for more than 12 consecutive months, is used solely to support planned convenience roof landings or planned MSS activities at the permanent site facilities authorized under this permit, and does not operate as a replacement for an existing authorized facility.</v>
      </c>
      <c r="C390" s="690"/>
      <c r="D390" s="690"/>
      <c r="E390" s="690"/>
      <c r="F390" s="691"/>
      <c r="H390" t="s">
        <v>10417</v>
      </c>
      <c r="I390" t="b">
        <f>IF('PI-1-MarineLoading'!$G$128="No",TRUE,FALSE)</f>
        <v>0</v>
      </c>
    </row>
    <row r="391" spans="1:9" ht="59.25" customHeight="1" x14ac:dyDescent="0.2">
      <c r="A391" s="173">
        <v>58</v>
      </c>
      <c r="B391" s="689" t="s">
        <v>10444</v>
      </c>
      <c r="C391" s="690"/>
      <c r="D391" s="690"/>
      <c r="E391" s="690"/>
      <c r="F391" s="691"/>
      <c r="I391" t="b">
        <f>COUNTIF(MSS!$G$13:$G$23,"Yes")=0</f>
        <v>1</v>
      </c>
    </row>
    <row r="392" spans="1:9" ht="43.5" customHeight="1" x14ac:dyDescent="0.2">
      <c r="A392" s="173">
        <v>58</v>
      </c>
      <c r="B392" s="689" t="s">
        <v>10445</v>
      </c>
      <c r="C392" s="690"/>
      <c r="D392" s="690"/>
      <c r="E392" s="690"/>
      <c r="F392" s="691"/>
      <c r="I392" t="b">
        <f>COUNTIF(MSS!$G$25:$G$31,"Yes")=0</f>
        <v>1</v>
      </c>
    </row>
    <row r="393" spans="1:9" ht="32.25" customHeight="1" x14ac:dyDescent="0.2">
      <c r="A393" s="173">
        <v>58</v>
      </c>
      <c r="B393" s="689" t="str">
        <f t="shared" ref="B393" si="5">IF(COUNTIF($I$391:$I$392,TRUE)=2,"The performance of each planned MSS activity and the emissions associated with it shall be recorded. The record shall include at least the following information:",IF(COUNTIF($I$391:$I$392,FALSE)=2,"The performance of each planned MSS activity not identified in Attachment A or B and the emissions associated with it shall be recorded. The record shall include at least the following information:",IF(AND($I$391=FALSE,$I$392=TRUE),"The performance of each planned MSS activity not identified in Attachment A and the emissions associated with it shall be recorded. The record shall include at least the following information:",IF(AND($I$391=TRUE,$I$392=FALSE),"The performance of each planned MSS activity not identified in Attachment B and the emissions associated with it shall be recorded. The record shall include at least the following information:",""))))</f>
        <v>The performance of each planned MSS activity and the emissions associated with it shall be recorded. The record shall include at least the following information:</v>
      </c>
      <c r="C393" s="690"/>
      <c r="D393" s="690"/>
      <c r="E393" s="690"/>
      <c r="F393" s="691"/>
      <c r="I393" t="b">
        <f>IF('PI-1-MarineLoading'!$G$128="No",TRUE,FALSE)</f>
        <v>0</v>
      </c>
    </row>
    <row r="394" spans="1:9" ht="29.25" customHeight="1" x14ac:dyDescent="0.2">
      <c r="A394" s="173">
        <v>58</v>
      </c>
      <c r="B394" s="16" t="s">
        <v>8821</v>
      </c>
      <c r="C394" s="689" t="s">
        <v>8968</v>
      </c>
      <c r="D394" s="690"/>
      <c r="E394" s="690"/>
      <c r="F394" s="691"/>
      <c r="I394" t="b">
        <f>IF('PI-1-MarineLoading'!$G$128="No",TRUE,FALSE)</f>
        <v>0</v>
      </c>
    </row>
    <row r="395" spans="1:9" x14ac:dyDescent="0.2">
      <c r="A395" s="173">
        <v>58</v>
      </c>
      <c r="B395" s="16" t="s">
        <v>8822</v>
      </c>
      <c r="C395" s="689" t="s">
        <v>8969</v>
      </c>
      <c r="D395" s="690"/>
      <c r="E395" s="690"/>
      <c r="F395" s="691"/>
      <c r="I395" t="b">
        <f>IF('PI-1-MarineLoading'!$G$128="No",TRUE,FALSE)</f>
        <v>0</v>
      </c>
    </row>
    <row r="396" spans="1:9" x14ac:dyDescent="0.2">
      <c r="A396" s="173">
        <v>58</v>
      </c>
      <c r="B396" s="16" t="s">
        <v>8824</v>
      </c>
      <c r="C396" s="689" t="s">
        <v>8970</v>
      </c>
      <c r="D396" s="690"/>
      <c r="E396" s="690"/>
      <c r="F396" s="691"/>
      <c r="I396" t="b">
        <f>IF('PI-1-MarineLoading'!$G$128="No",TRUE,FALSE)</f>
        <v>0</v>
      </c>
    </row>
    <row r="397" spans="1:9" x14ac:dyDescent="0.2">
      <c r="A397" s="173">
        <v>58</v>
      </c>
      <c r="B397" s="16" t="s">
        <v>8823</v>
      </c>
      <c r="C397" s="689" t="s">
        <v>8971</v>
      </c>
      <c r="D397" s="690"/>
      <c r="E397" s="690"/>
      <c r="F397" s="691"/>
      <c r="I397" t="b">
        <f>IF('PI-1-MarineLoading'!$G$128="No",TRUE,FALSE)</f>
        <v>0</v>
      </c>
    </row>
    <row r="398" spans="1:9" ht="29.25" customHeight="1" x14ac:dyDescent="0.2">
      <c r="A398" s="173">
        <v>58</v>
      </c>
      <c r="B398" s="16" t="s">
        <v>8825</v>
      </c>
      <c r="C398" s="689" t="s">
        <v>8972</v>
      </c>
      <c r="D398" s="690"/>
      <c r="E398" s="690"/>
      <c r="F398" s="691"/>
      <c r="I398" t="b">
        <f>IF('PI-1-MarineLoading'!$G$128="No",TRUE,FALSE)</f>
        <v>0</v>
      </c>
    </row>
    <row r="399" spans="1:9" ht="14.25" customHeight="1" x14ac:dyDescent="0.2">
      <c r="A399" s="173">
        <v>58</v>
      </c>
      <c r="B399" s="158" t="s">
        <v>8826</v>
      </c>
      <c r="C399" s="647" t="s">
        <v>8973</v>
      </c>
      <c r="D399" s="647"/>
      <c r="E399" s="647"/>
      <c r="F399" s="1128"/>
      <c r="I399" t="b">
        <f>IF('PI-1-MarineLoading'!$G$128="No",TRUE,FALSE)</f>
        <v>0</v>
      </c>
    </row>
    <row r="400" spans="1:9" ht="47.25" customHeight="1" x14ac:dyDescent="0.2">
      <c r="A400" s="9">
        <v>59</v>
      </c>
      <c r="B400" s="689" t="s">
        <v>10446</v>
      </c>
      <c r="C400" s="690"/>
      <c r="D400" s="690"/>
      <c r="E400" s="690"/>
      <c r="F400" s="691"/>
      <c r="I400" t="b">
        <f>IF('PI-1-MarineLoading'!$G$128="No",TRUE,FALSE)</f>
        <v>0</v>
      </c>
    </row>
    <row r="401" spans="1:9" ht="74.25" customHeight="1" x14ac:dyDescent="0.2">
      <c r="A401" s="173">
        <v>59</v>
      </c>
      <c r="B401" s="16" t="s">
        <v>8821</v>
      </c>
      <c r="C401" s="689" t="s">
        <v>8974</v>
      </c>
      <c r="D401" s="690"/>
      <c r="E401" s="690"/>
      <c r="F401" s="691"/>
      <c r="I401" t="b">
        <f>IF('PI-1-MarineLoading'!$G$128="No",TRUE,FALSE)</f>
        <v>0</v>
      </c>
    </row>
    <row r="402" spans="1:9" ht="90.75" customHeight="1" x14ac:dyDescent="0.2">
      <c r="A402" s="173">
        <v>59</v>
      </c>
      <c r="B402" s="16" t="s">
        <v>8822</v>
      </c>
      <c r="C402" s="689" t="s">
        <v>8975</v>
      </c>
      <c r="D402" s="690"/>
      <c r="E402" s="690"/>
      <c r="F402" s="691"/>
      <c r="I402" t="b">
        <f>IF('PI-1-MarineLoading'!$G$128="No",TRUE,FALSE)</f>
        <v>0</v>
      </c>
    </row>
    <row r="403" spans="1:9" ht="61.5" customHeight="1" x14ac:dyDescent="0.2">
      <c r="A403" s="173">
        <v>59</v>
      </c>
      <c r="B403" s="16" t="s">
        <v>8824</v>
      </c>
      <c r="C403" s="689" t="s">
        <v>8976</v>
      </c>
      <c r="D403" s="690"/>
      <c r="E403" s="690"/>
      <c r="F403" s="691"/>
      <c r="I403" t="b">
        <f>IF('PI-1-MarineLoading'!$G$128="No",TRUE,FALSE)</f>
        <v>0</v>
      </c>
    </row>
    <row r="404" spans="1:9" ht="131.25" customHeight="1" x14ac:dyDescent="0.2">
      <c r="A404" s="173">
        <v>59</v>
      </c>
      <c r="B404" s="16" t="s">
        <v>8823</v>
      </c>
      <c r="C404" s="689" t="s">
        <v>9433</v>
      </c>
      <c r="D404" s="690"/>
      <c r="E404" s="690"/>
      <c r="F404" s="691"/>
      <c r="I404" t="b">
        <f>IF('PI-1-MarineLoading'!$G$128="No",TRUE,FALSE)</f>
        <v>0</v>
      </c>
    </row>
    <row r="405" spans="1:9" ht="32.25" customHeight="1" x14ac:dyDescent="0.2">
      <c r="A405" s="173">
        <v>59</v>
      </c>
      <c r="B405" s="223" t="s">
        <v>8823</v>
      </c>
      <c r="C405" s="226" t="s">
        <v>8855</v>
      </c>
      <c r="D405" s="1133" t="s">
        <v>9434</v>
      </c>
      <c r="E405" s="1134"/>
      <c r="F405" s="1135"/>
      <c r="I405" t="b">
        <f>IF('PI-1-MarineLoading'!$G$128="No",TRUE,FALSE)</f>
        <v>0</v>
      </c>
    </row>
    <row r="406" spans="1:9" ht="205.5" customHeight="1" x14ac:dyDescent="0.2">
      <c r="A406" s="173">
        <v>59</v>
      </c>
      <c r="B406" s="223" t="s">
        <v>8823</v>
      </c>
      <c r="C406" s="226" t="s">
        <v>8857</v>
      </c>
      <c r="D406" s="1133" t="s">
        <v>10345</v>
      </c>
      <c r="E406" s="1134"/>
      <c r="F406" s="1135"/>
      <c r="I406" t="b">
        <f>IF('PI-1-MarineLoading'!$G$128="No",TRUE,FALSE)</f>
        <v>0</v>
      </c>
    </row>
    <row r="407" spans="1:9" x14ac:dyDescent="0.2">
      <c r="A407" s="9">
        <v>60</v>
      </c>
      <c r="B407" s="689" t="s">
        <v>8977</v>
      </c>
      <c r="C407" s="690"/>
      <c r="D407" s="690"/>
      <c r="E407" s="690"/>
      <c r="F407" s="691"/>
      <c r="I407" t="b">
        <f>IF('PI-1-MarineLoading'!$G$128="No",TRUE,FALSE)</f>
        <v>0</v>
      </c>
    </row>
    <row r="408" spans="1:9" ht="32.25" customHeight="1" x14ac:dyDescent="0.2">
      <c r="A408" s="173">
        <v>60</v>
      </c>
      <c r="B408" s="16" t="s">
        <v>8821</v>
      </c>
      <c r="C408" s="689" t="s">
        <v>10886</v>
      </c>
      <c r="D408" s="690"/>
      <c r="E408" s="690"/>
      <c r="F408" s="691"/>
      <c r="I408" t="b">
        <f>IF('PI-1-MarineLoading'!$G$128="No",TRUE,FALSE)</f>
        <v>0</v>
      </c>
    </row>
    <row r="409" spans="1:9" ht="131.25" customHeight="1" x14ac:dyDescent="0.2">
      <c r="A409" s="173">
        <v>60</v>
      </c>
      <c r="B409" s="223" t="s">
        <v>8821</v>
      </c>
      <c r="C409" s="226" t="s">
        <v>8855</v>
      </c>
      <c r="D409" s="1133" t="s">
        <v>8978</v>
      </c>
      <c r="E409" s="1134"/>
      <c r="F409" s="1135"/>
      <c r="I409" t="b">
        <f>IF('PI-1-MarineLoading'!$G$128="No",TRUE,FALSE)</f>
        <v>0</v>
      </c>
    </row>
    <row r="410" spans="1:9" ht="90.75" customHeight="1" x14ac:dyDescent="0.2">
      <c r="A410" s="173">
        <v>60</v>
      </c>
      <c r="B410" s="223" t="s">
        <v>8821</v>
      </c>
      <c r="C410" s="226" t="s">
        <v>8857</v>
      </c>
      <c r="D410" s="1133" t="s">
        <v>8979</v>
      </c>
      <c r="E410" s="1134"/>
      <c r="F410" s="1135"/>
      <c r="I410" t="b">
        <f>IF('PI-1-MarineLoading'!$G$128="No",TRUE,FALSE)</f>
        <v>0</v>
      </c>
    </row>
    <row r="411" spans="1:9" ht="30.75" customHeight="1" x14ac:dyDescent="0.2">
      <c r="A411" s="173">
        <v>60</v>
      </c>
      <c r="B411" s="16" t="s">
        <v>8822</v>
      </c>
      <c r="C411" s="689" t="s">
        <v>8980</v>
      </c>
      <c r="D411" s="690"/>
      <c r="E411" s="690"/>
      <c r="F411" s="691"/>
      <c r="I411" t="b">
        <f>IF('PI-1-MarineLoading'!$G$128="No",TRUE,FALSE)</f>
        <v>0</v>
      </c>
    </row>
    <row r="412" spans="1:9" ht="30.75" customHeight="1" x14ac:dyDescent="0.2">
      <c r="A412" s="173">
        <v>60</v>
      </c>
      <c r="B412" s="223" t="s">
        <v>8822</v>
      </c>
      <c r="C412" s="226" t="s">
        <v>8855</v>
      </c>
      <c r="D412" s="689" t="s">
        <v>8981</v>
      </c>
      <c r="E412" s="690"/>
      <c r="F412" s="691"/>
      <c r="I412" t="b">
        <f>IF('PI-1-MarineLoading'!$G$128="No",TRUE,FALSE)</f>
        <v>0</v>
      </c>
    </row>
    <row r="413" spans="1:9" x14ac:dyDescent="0.2">
      <c r="A413" s="173">
        <v>60</v>
      </c>
      <c r="B413" s="223" t="s">
        <v>8822</v>
      </c>
      <c r="C413" s="226" t="s">
        <v>8857</v>
      </c>
      <c r="D413" s="689" t="s">
        <v>8982</v>
      </c>
      <c r="E413" s="690"/>
      <c r="F413" s="691"/>
      <c r="I413" t="b">
        <f>IF('PI-1-MarineLoading'!$G$128="No",TRUE,FALSE)</f>
        <v>0</v>
      </c>
    </row>
    <row r="414" spans="1:9" ht="117" customHeight="1" x14ac:dyDescent="0.2">
      <c r="A414" s="173">
        <v>60</v>
      </c>
      <c r="B414" s="223" t="s">
        <v>8822</v>
      </c>
      <c r="C414" s="226" t="s">
        <v>8882</v>
      </c>
      <c r="D414" s="689" t="s">
        <v>10349</v>
      </c>
      <c r="E414" s="690"/>
      <c r="F414" s="691"/>
      <c r="I414" t="b">
        <f>IF('PI-1-MarineLoading'!$G$128="No",TRUE,FALSE)</f>
        <v>0</v>
      </c>
    </row>
    <row r="415" spans="1:9" ht="14.25" customHeight="1" x14ac:dyDescent="0.2">
      <c r="A415" s="173">
        <v>60</v>
      </c>
      <c r="B415" s="223" t="s">
        <v>8822</v>
      </c>
      <c r="C415" s="416" t="s">
        <v>8928</v>
      </c>
      <c r="D415" s="933" t="s">
        <v>8983</v>
      </c>
      <c r="E415" s="647"/>
      <c r="F415" s="1128"/>
      <c r="I415" t="b">
        <f>IF('PI-1-MarineLoading'!$G$128="No",TRUE,FALSE)</f>
        <v>0</v>
      </c>
    </row>
    <row r="416" spans="1:9" x14ac:dyDescent="0.2">
      <c r="A416" s="173">
        <v>60</v>
      </c>
      <c r="B416" s="16" t="s">
        <v>8824</v>
      </c>
      <c r="C416" s="689" t="s">
        <v>8984</v>
      </c>
      <c r="D416" s="690"/>
      <c r="E416" s="690"/>
      <c r="F416" s="691"/>
      <c r="I416" t="b">
        <f>IF('PI-1-MarineLoading'!$G$128="No",TRUE,FALSE)</f>
        <v>0</v>
      </c>
    </row>
    <row r="417" spans="1:9" ht="32.25" customHeight="1" x14ac:dyDescent="0.2">
      <c r="A417" s="173">
        <v>60</v>
      </c>
      <c r="B417" s="223" t="s">
        <v>8824</v>
      </c>
      <c r="C417" s="226" t="s">
        <v>8855</v>
      </c>
      <c r="D417" s="689" t="s">
        <v>10347</v>
      </c>
      <c r="E417" s="690"/>
      <c r="F417" s="691"/>
      <c r="I417" t="b">
        <f>IF('PI-1-MarineLoading'!$G$128="No",TRUE,FALSE)</f>
        <v>0</v>
      </c>
    </row>
    <row r="418" spans="1:9" ht="45.75" customHeight="1" x14ac:dyDescent="0.2">
      <c r="A418" s="173">
        <v>60</v>
      </c>
      <c r="B418" s="223" t="s">
        <v>8824</v>
      </c>
      <c r="C418" s="226" t="s">
        <v>8857</v>
      </c>
      <c r="D418" s="689" t="s">
        <v>10348</v>
      </c>
      <c r="E418" s="690"/>
      <c r="F418" s="691"/>
      <c r="I418" t="b">
        <f>IF('PI-1-MarineLoading'!$G$128="No",TRUE,FALSE)</f>
        <v>0</v>
      </c>
    </row>
    <row r="419" spans="1:9" ht="32.25" customHeight="1" x14ac:dyDescent="0.2">
      <c r="A419" s="173">
        <v>60</v>
      </c>
      <c r="B419" s="223" t="s">
        <v>8824</v>
      </c>
      <c r="C419" s="226" t="s">
        <v>8882</v>
      </c>
      <c r="D419" s="689" t="s">
        <v>8985</v>
      </c>
      <c r="E419" s="690"/>
      <c r="F419" s="691"/>
      <c r="I419" t="b">
        <f>IF('PI-1-MarineLoading'!$G$128="No",TRUE,FALSE)</f>
        <v>0</v>
      </c>
    </row>
    <row r="420" spans="1:9" x14ac:dyDescent="0.2">
      <c r="A420" s="173">
        <v>60</v>
      </c>
      <c r="B420" s="223" t="s">
        <v>8824</v>
      </c>
      <c r="C420" s="226" t="s">
        <v>8928</v>
      </c>
      <c r="D420" s="689" t="s">
        <v>10346</v>
      </c>
      <c r="E420" s="690"/>
      <c r="F420" s="691"/>
      <c r="I420" t="b">
        <f>IF('PI-1-MarineLoading'!$G$128="No",TRUE,FALSE)</f>
        <v>0</v>
      </c>
    </row>
    <row r="421" spans="1:9" ht="31.5" customHeight="1" x14ac:dyDescent="0.2">
      <c r="A421" s="173">
        <v>60</v>
      </c>
      <c r="B421" s="223" t="s">
        <v>8824</v>
      </c>
      <c r="C421" s="318" t="s">
        <v>8928</v>
      </c>
      <c r="D421" s="226" t="s">
        <v>8986</v>
      </c>
      <c r="E421" s="689" t="s">
        <v>8987</v>
      </c>
      <c r="F421" s="691"/>
      <c r="I421" t="b">
        <f>IF('PI-1-MarineLoading'!$G$128="No",TRUE,FALSE)</f>
        <v>0</v>
      </c>
    </row>
    <row r="422" spans="1:9" ht="31.5" customHeight="1" x14ac:dyDescent="0.2">
      <c r="A422" s="173">
        <v>60</v>
      </c>
      <c r="B422" s="223" t="s">
        <v>8824</v>
      </c>
      <c r="C422" s="318" t="s">
        <v>8928</v>
      </c>
      <c r="D422" s="226" t="s">
        <v>8988</v>
      </c>
      <c r="E422" s="689" t="s">
        <v>8989</v>
      </c>
      <c r="F422" s="691"/>
      <c r="I422" t="b">
        <f>IF('PI-1-MarineLoading'!$G$128="No",TRUE,FALSE)</f>
        <v>0</v>
      </c>
    </row>
    <row r="423" spans="1:9" x14ac:dyDescent="0.2">
      <c r="A423" s="173">
        <v>60</v>
      </c>
      <c r="B423" s="223" t="s">
        <v>8824</v>
      </c>
      <c r="C423" s="416" t="s">
        <v>8940</v>
      </c>
      <c r="D423" s="933" t="s">
        <v>11021</v>
      </c>
      <c r="E423" s="647"/>
      <c r="F423" s="1128"/>
      <c r="I423" t="b">
        <f>IF('PI-1-MarineLoading'!$G$128="No",TRUE,FALSE)</f>
        <v>0</v>
      </c>
    </row>
    <row r="424" spans="1:9" ht="59.25" customHeight="1" x14ac:dyDescent="0.2">
      <c r="A424" s="9">
        <v>61</v>
      </c>
      <c r="B424" s="689" t="s">
        <v>10449</v>
      </c>
      <c r="C424" s="690"/>
      <c r="D424" s="690"/>
      <c r="E424" s="690"/>
      <c r="F424" s="691"/>
      <c r="I424" t="b">
        <f>IF('PI-1-MarineLoading'!$G$115=0,TRUE,IF('PI-1-MarineLoading'!$G$115=0,TRUE,FALSE))</f>
        <v>1</v>
      </c>
    </row>
    <row r="425" spans="1:9" x14ac:dyDescent="0.2">
      <c r="A425" s="9">
        <v>62</v>
      </c>
      <c r="B425" s="689" t="s">
        <v>10455</v>
      </c>
      <c r="C425" s="690"/>
      <c r="D425" s="690"/>
      <c r="E425" s="690"/>
      <c r="F425" s="691"/>
      <c r="I425" t="b">
        <f>IF('PI-1-MarineLoading'!$G$115=0,TRUE,IF('PI-1-MarineLoading'!$G$115=0,TRUE,IF((COUNTIF(Tank1!$D$18,"*floating*")+COUNTIF(Tank2!$D$18,"*floating*")+COUNTIF(Tank3!$D$18,"*floating*")+COUNTIF(Tank4!$D$18,"*floating*")+COUNTIF(Tank5!$D$18,"*floating*"))=0,TRUE,FALSE)))</f>
        <v>1</v>
      </c>
    </row>
    <row r="426" spans="1:9" ht="47.25" customHeight="1" x14ac:dyDescent="0.2">
      <c r="A426" s="173">
        <v>62</v>
      </c>
      <c r="B426" s="16" t="s">
        <v>8821</v>
      </c>
      <c r="C426" s="689" t="s">
        <v>8990</v>
      </c>
      <c r="D426" s="690"/>
      <c r="E426" s="690"/>
      <c r="F426" s="691"/>
      <c r="I426" t="b">
        <f>IF('PI-1-MarineLoading'!$G$115=0,TRUE,IF('PI-1-MarineLoading'!$G$115=0,TRUE,IF((COUNTIF(Tank1!$D$18,"*floating*")+COUNTIF(Tank2!$D$18,"*floating*")+COUNTIF(Tank3!$D$18,"*floating*")+COUNTIF(Tank4!$D$18,"*floating*")+COUNTIF(Tank5!$D$18,"*floating*"))=0,TRUE,FALSE)))</f>
        <v>1</v>
      </c>
    </row>
    <row r="427" spans="1:9" ht="102.75" customHeight="1" x14ac:dyDescent="0.2">
      <c r="A427" s="173">
        <v>62</v>
      </c>
      <c r="B427" s="16" t="s">
        <v>8822</v>
      </c>
      <c r="C427" s="689" t="s">
        <v>9431</v>
      </c>
      <c r="D427" s="690"/>
      <c r="E427" s="690"/>
      <c r="F427" s="691"/>
      <c r="I427" t="b">
        <f>IF('PI-1-MarineLoading'!$G$115=0,TRUE,IF('PI-1-MarineLoading'!$G$115=0,TRUE,IF((COUNTIF(Tank1!$D$18,"*floating*")+COUNTIF(Tank2!$D$18,"*floating*")+COUNTIF(Tank3!$D$18,"*floating*")+COUNTIF(Tank4!$D$18,"*floating*")+COUNTIF(Tank5!$D$18,"*floating*"))=0,TRUE,FALSE)))</f>
        <v>1</v>
      </c>
    </row>
    <row r="428" spans="1:9" ht="45.75" customHeight="1" x14ac:dyDescent="0.2">
      <c r="A428" s="173">
        <v>62</v>
      </c>
      <c r="B428" s="16" t="s">
        <v>8824</v>
      </c>
      <c r="C428" s="689" t="s">
        <v>8991</v>
      </c>
      <c r="D428" s="690"/>
      <c r="E428" s="690"/>
      <c r="F428" s="691"/>
      <c r="I428" t="b">
        <f>IF('PI-1-MarineLoading'!$G$115=0,TRUE,IF('PI-1-MarineLoading'!$G$115=0,TRUE,IF((COUNTIF(Tank1!$D$18,"*floating*")+COUNTIF(Tank2!$D$18,"*floating*")+COUNTIF(Tank3!$D$18,"*floating*")+COUNTIF(Tank4!$D$18,"*floating*")+COUNTIF(Tank5!$D$18,"*floating*"))=0,TRUE,FALSE)))</f>
        <v>1</v>
      </c>
    </row>
    <row r="429" spans="1:9" ht="34.5" customHeight="1" x14ac:dyDescent="0.2">
      <c r="A429" s="173">
        <v>62</v>
      </c>
      <c r="B429" s="16" t="s">
        <v>8823</v>
      </c>
      <c r="C429" s="689" t="s">
        <v>10350</v>
      </c>
      <c r="D429" s="690"/>
      <c r="E429" s="690"/>
      <c r="F429" s="691"/>
      <c r="I429" t="b">
        <f>IF('PI-1-MarineLoading'!$G$115=0,TRUE,IF('PI-1-MarineLoading'!$G$115=0,TRUE,IF((COUNTIF(Tank1!$D$18,"*floating*")+COUNTIF(Tank2!$D$18,"*floating*")+COUNTIF(Tank3!$D$18,"*floating*")+COUNTIF(Tank4!$D$18,"*floating*")+COUNTIF(Tank5!$D$18,"*floating*"))=0,TRUE,FALSE)))</f>
        <v>1</v>
      </c>
    </row>
    <row r="430" spans="1:9" x14ac:dyDescent="0.2">
      <c r="A430" s="173">
        <v>62</v>
      </c>
      <c r="B430" s="16" t="s">
        <v>8825</v>
      </c>
      <c r="C430" s="689" t="s">
        <v>8992</v>
      </c>
      <c r="D430" s="690"/>
      <c r="E430" s="690"/>
      <c r="F430" s="691"/>
      <c r="I430" t="b">
        <f>IF('PI-1-MarineLoading'!$G$115=0,TRUE,IF('PI-1-MarineLoading'!$G$115=0,TRUE,IF((COUNTIF(Tank1!$D$18,"*floating*")+COUNTIF(Tank2!$D$18,"*floating*")+COUNTIF(Tank3!$D$18,"*floating*")+COUNTIF(Tank4!$D$18,"*floating*")+COUNTIF(Tank5!$D$18,"*floating*"))=0,TRUE,FALSE)))</f>
        <v>1</v>
      </c>
    </row>
    <row r="431" spans="1:9" ht="30.75" customHeight="1" x14ac:dyDescent="0.2">
      <c r="A431" s="173">
        <v>62</v>
      </c>
      <c r="B431" s="223" t="s">
        <v>8825</v>
      </c>
      <c r="C431" s="226" t="s">
        <v>8855</v>
      </c>
      <c r="D431" s="689" t="s">
        <v>8993</v>
      </c>
      <c r="E431" s="690"/>
      <c r="F431" s="691"/>
      <c r="I431" t="b">
        <f>IF('PI-1-MarineLoading'!$G$115=0,TRUE,IF('PI-1-MarineLoading'!$G$115=0,TRUE,IF((COUNTIF(Tank1!$D$18,"*floating*")+COUNTIF(Tank2!$D$18,"*floating*")+COUNTIF(Tank3!$D$18,"*floating*")+COUNTIF(Tank4!$D$18,"*floating*")+COUNTIF(Tank5!$D$18,"*floating*"))=0,TRUE,FALSE)))</f>
        <v>1</v>
      </c>
    </row>
    <row r="432" spans="1:9" ht="61.5" customHeight="1" x14ac:dyDescent="0.2">
      <c r="A432" s="173">
        <v>62</v>
      </c>
      <c r="B432" s="223" t="s">
        <v>8825</v>
      </c>
      <c r="C432" s="226" t="s">
        <v>8857</v>
      </c>
      <c r="D432" s="689" t="s">
        <v>10351</v>
      </c>
      <c r="E432" s="690"/>
      <c r="F432" s="691"/>
      <c r="I432" t="b">
        <f>IF('PI-1-MarineLoading'!$G$115=0,TRUE,IF('PI-1-MarineLoading'!$G$115=0,TRUE,IF((COUNTIF(Tank1!$D$18,"*floating*")+COUNTIF(Tank2!$D$18,"*floating*")+COUNTIF(Tank3!$D$18,"*floating*")+COUNTIF(Tank4!$D$18,"*floating*")+COUNTIF(Tank5!$D$18,"*floating*"))=0,TRUE,FALSE)))</f>
        <v>1</v>
      </c>
    </row>
    <row r="433" spans="1:9" ht="30" customHeight="1" x14ac:dyDescent="0.2">
      <c r="A433" s="565" t="s">
        <v>236</v>
      </c>
      <c r="B433" s="566"/>
      <c r="C433" s="566"/>
      <c r="D433" s="566"/>
      <c r="E433" s="696"/>
      <c r="F433" s="80" t="s">
        <v>9425</v>
      </c>
      <c r="I433" t="b">
        <f>IF('PI-1-MarineLoading'!$G$115=0,TRUE,IF('PI-1-MarineLoading'!$G$115=0,TRUE,IF((COUNTIF(Tank1!$D$18,"*floating*")+COUNTIF(Tank2!$D$18,"*floating*")+COUNTIF(Tank3!$D$18,"*floating*")+COUNTIF(Tank4!$D$18,"*floating*")+COUNTIF(Tank5!$D$18,"*floating*"))=0,TRUE,FALSE)))</f>
        <v>1</v>
      </c>
    </row>
    <row r="434" spans="1:9" x14ac:dyDescent="0.2">
      <c r="A434" s="744" t="str">
        <f>TankMSS!$A35</f>
        <v/>
      </c>
      <c r="B434" s="690"/>
      <c r="C434" s="690"/>
      <c r="D434" s="690"/>
      <c r="E434" s="758"/>
      <c r="F434" s="29">
        <f>TankMSS!$C35</f>
        <v>0</v>
      </c>
      <c r="H434" t="s">
        <v>10389</v>
      </c>
      <c r="I434" t="b">
        <f>IF('PI-1-MarineLoading'!$G$115=0,TRUE,IF('PI-1-MarineLoading'!$G$115=0,TRUE,IF((COUNTIF(Tank1!$D$18,"*floating*")+COUNTIF(Tank2!$D$18,"*floating*")+COUNTIF(Tank3!$D$18,"*floating*")+COUNTIF(Tank4!$D$18,"*floating*")+COUNTIF(Tank5!$D$18,"*floating*"))=0,TRUE,IF($A434="",TRUE,FALSE))))</f>
        <v>1</v>
      </c>
    </row>
    <row r="435" spans="1:9" ht="14.25" customHeight="1" x14ac:dyDescent="0.2">
      <c r="A435" s="744" t="str">
        <f>TankMSS!$A36</f>
        <v/>
      </c>
      <c r="B435" s="690"/>
      <c r="C435" s="690"/>
      <c r="D435" s="690"/>
      <c r="E435" s="758"/>
      <c r="F435" s="29">
        <f>TankMSS!$C36</f>
        <v>0</v>
      </c>
      <c r="H435" t="s">
        <v>10389</v>
      </c>
      <c r="I435" t="b">
        <f>IF('PI-1-MarineLoading'!$G$115=0,TRUE,IF('PI-1-MarineLoading'!$G$115=0,TRUE,IF((COUNTIF(Tank1!$D$18,"*floating*")+COUNTIF(Tank2!$D$18,"*floating*")+COUNTIF(Tank3!$D$18,"*floating*")+COUNTIF(Tank4!$D$18,"*floating*")+COUNTIF(Tank5!$D$18,"*floating*"))=0,TRUE,IF($A435="",TRUE,FALSE))))</f>
        <v>1</v>
      </c>
    </row>
    <row r="436" spans="1:9" ht="14.25" customHeight="1" x14ac:dyDescent="0.2">
      <c r="A436" s="744" t="str">
        <f>TankMSS!$A37</f>
        <v/>
      </c>
      <c r="B436" s="690"/>
      <c r="C436" s="690"/>
      <c r="D436" s="690"/>
      <c r="E436" s="758"/>
      <c r="F436" s="29">
        <f>TankMSS!$C37</f>
        <v>0</v>
      </c>
      <c r="H436" t="s">
        <v>10389</v>
      </c>
      <c r="I436" t="b">
        <f>IF('PI-1-MarineLoading'!$G$115=0,TRUE,IF('PI-1-MarineLoading'!$G$115=0,TRUE,IF((COUNTIF(Tank1!$D$18,"*floating*")+COUNTIF(Tank2!$D$18,"*floating*")+COUNTIF(Tank3!$D$18,"*floating*")+COUNTIF(Tank4!$D$18,"*floating*")+COUNTIF(Tank5!$D$18,"*floating*"))=0,TRUE,IF($A436="",TRUE,FALSE))))</f>
        <v>1</v>
      </c>
    </row>
    <row r="437" spans="1:9" ht="14.25" customHeight="1" x14ac:dyDescent="0.2">
      <c r="A437" s="744" t="str">
        <f>TankMSS!$A38</f>
        <v/>
      </c>
      <c r="B437" s="690"/>
      <c r="C437" s="690"/>
      <c r="D437" s="690"/>
      <c r="E437" s="758"/>
      <c r="F437" s="29">
        <f>TankMSS!$C38</f>
        <v>0</v>
      </c>
      <c r="H437" t="s">
        <v>10389</v>
      </c>
      <c r="I437" t="b">
        <f>IF('PI-1-MarineLoading'!$G$115=0,TRUE,IF('PI-1-MarineLoading'!$G$115=0,TRUE,IF((COUNTIF(Tank1!$D$18,"*floating*")+COUNTIF(Tank2!$D$18,"*floating*")+COUNTIF(Tank3!$D$18,"*floating*")+COUNTIF(Tank4!$D$18,"*floating*")+COUNTIF(Tank5!$D$18,"*floating*"))=0,TRUE,IF($A437="",TRUE,FALSE))))</f>
        <v>1</v>
      </c>
    </row>
    <row r="438" spans="1:9" x14ac:dyDescent="0.2">
      <c r="A438" s="744" t="str">
        <f>TankMSS!$A39</f>
        <v/>
      </c>
      <c r="B438" s="690"/>
      <c r="C438" s="690"/>
      <c r="D438" s="690"/>
      <c r="E438" s="758"/>
      <c r="F438" s="29">
        <f>TankMSS!$C39</f>
        <v>0</v>
      </c>
      <c r="H438" t="s">
        <v>10389</v>
      </c>
      <c r="I438" t="b">
        <f>IF('PI-1-MarineLoading'!$G$115=0,TRUE,IF('PI-1-MarineLoading'!$G$115=0,TRUE,IF((COUNTIF(Tank1!$D$18,"*floating*")+COUNTIF(Tank2!$D$18,"*floating*")+COUNTIF(Tank3!$D$18,"*floating*")+COUNTIF(Tank4!$D$18,"*floating*")+COUNTIF(Tank5!$D$18,"*floating*"))=0,TRUE,IF($A438="",TRUE,FALSE))))</f>
        <v>1</v>
      </c>
    </row>
    <row r="439" spans="1:9" x14ac:dyDescent="0.2">
      <c r="A439" s="744" t="str">
        <f>TankMSS!$A40</f>
        <v/>
      </c>
      <c r="B439" s="690"/>
      <c r="C439" s="690"/>
      <c r="D439" s="690"/>
      <c r="E439" s="758"/>
      <c r="F439" s="29">
        <f>TankMSS!$C40</f>
        <v>0</v>
      </c>
      <c r="H439" t="s">
        <v>10389</v>
      </c>
      <c r="I439" t="b">
        <f>IF('PI-1-MarineLoading'!$G$115=0,TRUE,IF('PI-1-MarineLoading'!$G$115=0,TRUE,IF((COUNTIF(Tank1!$D$18,"*floating*")+COUNTIF(Tank2!$D$18,"*floating*")+COUNTIF(Tank3!$D$18,"*floating*")+COUNTIF(Tank4!$D$18,"*floating*")+COUNTIF(Tank5!$D$18,"*floating*"))=0,TRUE,IF($A439="",TRUE,FALSE))))</f>
        <v>1</v>
      </c>
    </row>
    <row r="440" spans="1:9" x14ac:dyDescent="0.2">
      <c r="A440" s="744" t="str">
        <f>TankMSS!$A41</f>
        <v/>
      </c>
      <c r="B440" s="690"/>
      <c r="C440" s="690"/>
      <c r="D440" s="690"/>
      <c r="E440" s="758"/>
      <c r="F440" s="29">
        <f>TankMSS!$C41</f>
        <v>0</v>
      </c>
      <c r="H440" t="s">
        <v>10389</v>
      </c>
      <c r="I440" t="b">
        <f>IF('PI-1-MarineLoading'!$G$115=0,TRUE,IF('PI-1-MarineLoading'!$G$115=0,TRUE,IF((COUNTIF(Tank1!$D$18,"*floating*")+COUNTIF(Tank2!$D$18,"*floating*")+COUNTIF(Tank3!$D$18,"*floating*")+COUNTIF(Tank4!$D$18,"*floating*")+COUNTIF(Tank5!$D$18,"*floating*"))=0,TRUE,IF($A440="",TRUE,FALSE))))</f>
        <v>1</v>
      </c>
    </row>
    <row r="441" spans="1:9" x14ac:dyDescent="0.2">
      <c r="A441" s="744" t="str">
        <f>TankMSS!$A42</f>
        <v/>
      </c>
      <c r="B441" s="690"/>
      <c r="C441" s="690"/>
      <c r="D441" s="690"/>
      <c r="E441" s="758"/>
      <c r="F441" s="29">
        <f>TankMSS!$C42</f>
        <v>0</v>
      </c>
      <c r="H441" t="s">
        <v>10389</v>
      </c>
      <c r="I441" t="b">
        <f>IF('PI-1-MarineLoading'!$G$115=0,TRUE,IF('PI-1-MarineLoading'!$G$115=0,TRUE,IF((COUNTIF(Tank1!$D$18,"*floating*")+COUNTIF(Tank2!$D$18,"*floating*")+COUNTIF(Tank3!$D$18,"*floating*")+COUNTIF(Tank4!$D$18,"*floating*")+COUNTIF(Tank5!$D$18,"*floating*"))=0,TRUE,IF($A441="",TRUE,FALSE))))</f>
        <v>1</v>
      </c>
    </row>
    <row r="442" spans="1:9" x14ac:dyDescent="0.2">
      <c r="A442" s="744" t="str">
        <f>TankMSS!$A43</f>
        <v/>
      </c>
      <c r="B442" s="690"/>
      <c r="C442" s="690"/>
      <c r="D442" s="690"/>
      <c r="E442" s="758"/>
      <c r="F442" s="29">
        <f>TankMSS!$C43</f>
        <v>0</v>
      </c>
      <c r="H442" t="s">
        <v>10389</v>
      </c>
      <c r="I442" t="b">
        <f>IF('PI-1-MarineLoading'!$G$115=0,TRUE,IF('PI-1-MarineLoading'!$G$115=0,TRUE,IF((COUNTIF(Tank1!$D$18,"*floating*")+COUNTIF(Tank2!$D$18,"*floating*")+COUNTIF(Tank3!$D$18,"*floating*")+COUNTIF(Tank4!$D$18,"*floating*")+COUNTIF(Tank5!$D$18,"*floating*"))=0,TRUE,IF($A442="",TRUE,FALSE))))</f>
        <v>1</v>
      </c>
    </row>
    <row r="443" spans="1:9" x14ac:dyDescent="0.2">
      <c r="A443" s="744" t="str">
        <f>TankMSS!$A44</f>
        <v/>
      </c>
      <c r="B443" s="690"/>
      <c r="C443" s="690"/>
      <c r="D443" s="690"/>
      <c r="E443" s="758"/>
      <c r="F443" s="29">
        <f>TankMSS!$C44</f>
        <v>0</v>
      </c>
      <c r="H443" t="s">
        <v>10389</v>
      </c>
      <c r="I443" t="b">
        <f>IF('PI-1-MarineLoading'!$G$115=0,TRUE,IF('PI-1-MarineLoading'!$G$115=0,TRUE,IF((COUNTIF(Tank1!$D$18,"*floating*")+COUNTIF(Tank2!$D$18,"*floating*")+COUNTIF(Tank3!$D$18,"*floating*")+COUNTIF(Tank4!$D$18,"*floating*")+COUNTIF(Tank5!$D$18,"*floating*"))=0,TRUE,IF($A443="",TRUE,FALSE))))</f>
        <v>1</v>
      </c>
    </row>
    <row r="444" spans="1:9" ht="61.5" customHeight="1" x14ac:dyDescent="0.2">
      <c r="A444" s="173">
        <v>62</v>
      </c>
      <c r="B444" s="223" t="s">
        <v>8825</v>
      </c>
      <c r="C444" s="226" t="s">
        <v>8882</v>
      </c>
      <c r="D444" s="689" t="s">
        <v>10635</v>
      </c>
      <c r="E444" s="690"/>
      <c r="F444" s="691"/>
      <c r="I444" t="b">
        <f>IF('PI-1-MarineLoading'!$G$115=0,TRUE,IF('PI-1-MarineLoading'!$G$115=0,TRUE,IF((COUNTIF(Tank1!$D$18,"*floating*")+COUNTIF(Tank2!$D$18,"*floating*")+COUNTIF(Tank3!$D$18,"*floating*")+COUNTIF(Tank4!$D$18,"*floating*")+COUNTIF(Tank5!$D$18,"*floating*"))=0,TRUE,FALSE)))</f>
        <v>1</v>
      </c>
    </row>
    <row r="445" spans="1:9" ht="45" customHeight="1" x14ac:dyDescent="0.2">
      <c r="A445" s="173">
        <v>62</v>
      </c>
      <c r="B445" s="223" t="s">
        <v>8825</v>
      </c>
      <c r="C445" s="226" t="s">
        <v>8928</v>
      </c>
      <c r="D445" s="689" t="s">
        <v>8994</v>
      </c>
      <c r="E445" s="690"/>
      <c r="F445" s="691"/>
      <c r="I445" t="b">
        <f>IF('PI-1-MarineLoading'!$G$115=0,TRUE,IF('PI-1-MarineLoading'!$G$115=0,TRUE,IF((COUNTIF(Tank1!$D$18,"*floating*")+COUNTIF(Tank2!$D$18,"*floating*")+COUNTIF(Tank3!$D$18,"*floating*")+COUNTIF(Tank4!$D$18,"*floating*")+COUNTIF(Tank5!$D$18,"*floating*"))=0,TRUE,FALSE)))</f>
        <v>1</v>
      </c>
    </row>
    <row r="446" spans="1:9" ht="30.75" customHeight="1" x14ac:dyDescent="0.2">
      <c r="A446" s="173">
        <v>62</v>
      </c>
      <c r="B446" s="223" t="s">
        <v>8825</v>
      </c>
      <c r="C446" s="226" t="s">
        <v>8940</v>
      </c>
      <c r="D446" s="689" t="s">
        <v>8995</v>
      </c>
      <c r="E446" s="690"/>
      <c r="F446" s="691"/>
      <c r="I446" t="b">
        <f>IF('PI-1-MarineLoading'!$G$115=0,TRUE,IF('PI-1-MarineLoading'!$G$115=0,TRUE,IF((COUNTIF(Tank1!$D$18,"*floating*")+COUNTIF(Tank2!$D$18,"*floating*")+COUNTIF(Tank3!$D$18,"*floating*")+COUNTIF(Tank4!$D$18,"*floating*")+COUNTIF(Tank5!$D$18,"*floating*"))=0,TRUE,FALSE)))</f>
        <v>1</v>
      </c>
    </row>
    <row r="447" spans="1:9" ht="74.25" customHeight="1" x14ac:dyDescent="0.2">
      <c r="A447" s="173">
        <v>62</v>
      </c>
      <c r="B447" s="16" t="s">
        <v>8826</v>
      </c>
      <c r="C447" s="689" t="s">
        <v>8996</v>
      </c>
      <c r="D447" s="690"/>
      <c r="E447" s="690"/>
      <c r="F447" s="691"/>
      <c r="I447" t="b">
        <f>IF('PI-1-MarineLoading'!$G$115=0,TRUE,IF('PI-1-MarineLoading'!$G$115=0,TRUE,IF((COUNTIF(Tank1!$D$18,"*floating*")+COUNTIF(Tank2!$D$18,"*floating*")+COUNTIF(Tank3!$D$18,"*floating*")+COUNTIF(Tank4!$D$18,"*floating*")+COUNTIF(Tank5!$D$18,"*floating*"))=0,TRUE,FALSE)))</f>
        <v>1</v>
      </c>
    </row>
    <row r="448" spans="1:9" ht="47.25" customHeight="1" x14ac:dyDescent="0.2">
      <c r="A448" s="173">
        <v>62</v>
      </c>
      <c r="B448" s="16" t="s">
        <v>8827</v>
      </c>
      <c r="C448" s="689" t="s">
        <v>8997</v>
      </c>
      <c r="D448" s="690"/>
      <c r="E448" s="690"/>
      <c r="F448" s="691"/>
      <c r="I448" t="b">
        <f>IF('PI-1-MarineLoading'!$G$115=0,TRUE,IF('PI-1-MarineLoading'!$G$115=0,TRUE,IF((COUNTIF(Tank1!$D$18,"*floating*")+COUNTIF(Tank2!$D$18,"*floating*")+COUNTIF(Tank3!$D$18,"*floating*")+COUNTIF(Tank4!$D$18,"*floating*")+COUNTIF(Tank5!$D$18,"*floating*"))=0,TRUE,FALSE)))</f>
        <v>1</v>
      </c>
    </row>
    <row r="449" spans="1:9" ht="61.5" customHeight="1" x14ac:dyDescent="0.2">
      <c r="A449" s="173">
        <v>62</v>
      </c>
      <c r="B449" s="223" t="s">
        <v>8827</v>
      </c>
      <c r="C449" s="226" t="s">
        <v>8855</v>
      </c>
      <c r="D449" s="689" t="s">
        <v>8998</v>
      </c>
      <c r="E449" s="690"/>
      <c r="F449" s="691"/>
      <c r="I449" t="b">
        <f>IF('PI-1-MarineLoading'!$G$115=0,TRUE,IF('PI-1-MarineLoading'!$G$115=0,TRUE,IF((COUNTIF(Tank1!$D$18,"*floating*")+COUNTIF(Tank2!$D$18,"*floating*")+COUNTIF(Tank3!$D$18,"*floating*")+COUNTIF(Tank4!$D$18,"*floating*")+COUNTIF(Tank5!$D$18,"*floating*"))=0,TRUE,FALSE)))</f>
        <v>1</v>
      </c>
    </row>
    <row r="450" spans="1:9" x14ac:dyDescent="0.2">
      <c r="A450" s="173">
        <v>62</v>
      </c>
      <c r="B450" s="223" t="s">
        <v>8827</v>
      </c>
      <c r="C450" s="226" t="s">
        <v>8857</v>
      </c>
      <c r="D450" s="689" t="s">
        <v>10352</v>
      </c>
      <c r="E450" s="690"/>
      <c r="F450" s="691"/>
      <c r="I450" t="b">
        <f>IF('PI-1-MarineLoading'!$G$115=0,TRUE,IF('PI-1-MarineLoading'!$G$115=0,TRUE,IF((COUNTIF(Tank1!$D$18,"*floating*")+COUNTIF(Tank2!$D$18,"*floating*")+COUNTIF(Tank3!$D$18,"*floating*")+COUNTIF(Tank4!$D$18,"*floating*")+COUNTIF(Tank5!$D$18,"*floating*"))=0,TRUE,FALSE)))</f>
        <v>1</v>
      </c>
    </row>
    <row r="451" spans="1:9" ht="32.25" customHeight="1" x14ac:dyDescent="0.2">
      <c r="A451" s="173">
        <v>62</v>
      </c>
      <c r="B451" s="223" t="s">
        <v>8827</v>
      </c>
      <c r="C451" s="418" t="s">
        <v>8857</v>
      </c>
      <c r="D451" s="16" t="s">
        <v>8986</v>
      </c>
      <c r="E451" s="689" t="s">
        <v>8999</v>
      </c>
      <c r="F451" s="691"/>
      <c r="I451" t="b">
        <f>IF('PI-1-MarineLoading'!$G$115=0,TRUE,IF('PI-1-MarineLoading'!$G$115=0,TRUE,IF((COUNTIF(Tank1!$D$18,"*floating*")+COUNTIF(Tank2!$D$18,"*floating*")+COUNTIF(Tank3!$D$18,"*floating*")+COUNTIF(Tank4!$D$18,"*floating*")+COUNTIF(Tank5!$D$18,"*floating*"))=0,TRUE,FALSE)))</f>
        <v>1</v>
      </c>
    </row>
    <row r="452" spans="1:9" ht="32.25" customHeight="1" x14ac:dyDescent="0.2">
      <c r="A452" s="173">
        <v>62</v>
      </c>
      <c r="B452" s="223" t="s">
        <v>8827</v>
      </c>
      <c r="C452" s="418" t="s">
        <v>8857</v>
      </c>
      <c r="D452" s="16" t="s">
        <v>8988</v>
      </c>
      <c r="E452" s="689" t="s">
        <v>9000</v>
      </c>
      <c r="F452" s="691"/>
      <c r="I452" t="b">
        <f>IF('PI-1-MarineLoading'!$G$115=0,TRUE,IF('PI-1-MarineLoading'!$G$115=0,TRUE,IF((COUNTIF(Tank1!$D$18,"*floating*")+COUNTIF(Tank2!$D$18,"*floating*")+COUNTIF(Tank3!$D$18,"*floating*")+COUNTIF(Tank4!$D$18,"*floating*")+COUNTIF(Tank5!$D$18,"*floating*"))=0,TRUE,FALSE)))</f>
        <v>1</v>
      </c>
    </row>
    <row r="453" spans="1:9" ht="32.25" customHeight="1" x14ac:dyDescent="0.2">
      <c r="A453" s="173">
        <v>62</v>
      </c>
      <c r="B453" s="223" t="s">
        <v>8827</v>
      </c>
      <c r="C453" s="417" t="s">
        <v>8857</v>
      </c>
      <c r="D453" s="16" t="s">
        <v>9001</v>
      </c>
      <c r="E453" s="689" t="s">
        <v>10636</v>
      </c>
      <c r="F453" s="691"/>
      <c r="I453" t="b">
        <f>IF('PI-1-MarineLoading'!$G$115=0,TRUE,IF('PI-1-MarineLoading'!$G$115=0,TRUE,IF((COUNTIF(Tank1!$D$18,"*floating*")+COUNTIF(Tank2!$D$18,"*floating*")+COUNTIF(Tank3!$D$18,"*floating*")+COUNTIF(Tank4!$D$18,"*floating*")+COUNTIF(Tank5!$D$18,"*floating*"))=0,TRUE,FALSE)))</f>
        <v>1</v>
      </c>
    </row>
    <row r="454" spans="1:9" x14ac:dyDescent="0.2">
      <c r="A454" s="173">
        <v>62</v>
      </c>
      <c r="B454" s="223" t="s">
        <v>8827</v>
      </c>
      <c r="C454" s="226" t="s">
        <v>8882</v>
      </c>
      <c r="D454" s="689" t="s">
        <v>9002</v>
      </c>
      <c r="E454" s="690"/>
      <c r="F454" s="691"/>
      <c r="I454" t="b">
        <f>IF('PI-1-MarineLoading'!$G$115=0,TRUE,IF('PI-1-MarineLoading'!$G$115=0,TRUE,IF((COUNTIF(Tank1!$D$18,"*floating*")+COUNTIF(Tank2!$D$18,"*floating*")+COUNTIF(Tank3!$D$18,"*floating*")+COUNTIF(Tank4!$D$18,"*floating*")+COUNTIF(Tank5!$D$18,"*floating*"))=0,TRUE,FALSE)))</f>
        <v>1</v>
      </c>
    </row>
    <row r="455" spans="1:9" x14ac:dyDescent="0.2">
      <c r="A455" s="173">
        <v>62</v>
      </c>
      <c r="B455" s="223" t="s">
        <v>8827</v>
      </c>
      <c r="C455" s="416" t="s">
        <v>8928</v>
      </c>
      <c r="D455" s="933" t="s">
        <v>9003</v>
      </c>
      <c r="E455" s="647"/>
      <c r="F455" s="1128"/>
      <c r="I455" t="b">
        <f>IF('PI-1-MarineLoading'!$G$115=0,TRUE,IF('PI-1-MarineLoading'!$G$115=0,TRUE,IF((COUNTIF(Tank1!$D$18,"*floating*")+COUNTIF(Tank2!$D$18,"*floating*")+COUNTIF(Tank3!$D$18,"*floating*")+COUNTIF(Tank4!$D$18,"*floating*")+COUNTIF(Tank5!$D$18,"*floating*"))=0,TRUE,FALSE)))</f>
        <v>1</v>
      </c>
    </row>
    <row r="456" spans="1:9" ht="61.5" customHeight="1" x14ac:dyDescent="0.2">
      <c r="A456" s="173">
        <v>62</v>
      </c>
      <c r="B456" s="16" t="s">
        <v>8828</v>
      </c>
      <c r="C456" s="689" t="s">
        <v>10353</v>
      </c>
      <c r="D456" s="690"/>
      <c r="E456" s="690"/>
      <c r="F456" s="691"/>
      <c r="I456" t="b">
        <f>IF('PI-1-MarineLoading'!$G$115=0,TRUE,IF('PI-1-MarineLoading'!$G$115=0,TRUE,IF((COUNTIF(Tank1!$D$18,"*floating*")+COUNTIF(Tank2!$D$18,"*floating*")+COUNTIF(Tank3!$D$18,"*floating*")+COUNTIF(Tank4!$D$18,"*floating*")+COUNTIF(Tank5!$D$18,"*floating*"))=0,TRUE,FALSE)))</f>
        <v>1</v>
      </c>
    </row>
    <row r="457" spans="1:9" ht="30" customHeight="1" x14ac:dyDescent="0.2">
      <c r="A457" s="173">
        <v>62</v>
      </c>
      <c r="B457" s="16" t="s">
        <v>8829</v>
      </c>
      <c r="C457" s="689" t="s">
        <v>9004</v>
      </c>
      <c r="D457" s="690"/>
      <c r="E457" s="690"/>
      <c r="F457" s="691"/>
      <c r="I457" t="b">
        <f>IF('PI-1-MarineLoading'!$G$115=0,TRUE,IF('PI-1-MarineLoading'!$G$115=0,TRUE,IF((COUNTIF(Tank1!$D$18,"*floating*")+COUNTIF(Tank2!$D$18,"*floating*")+COUNTIF(Tank3!$D$18,"*floating*")+COUNTIF(Tank4!$D$18,"*floating*")+COUNTIF(Tank5!$D$18,"*floating*"))=0,TRUE,FALSE)))</f>
        <v>1</v>
      </c>
    </row>
    <row r="458" spans="1:9" x14ac:dyDescent="0.2">
      <c r="A458" s="173">
        <v>62</v>
      </c>
      <c r="B458" s="223" t="s">
        <v>8829</v>
      </c>
      <c r="C458" s="226" t="s">
        <v>8855</v>
      </c>
      <c r="D458" s="689" t="s">
        <v>9005</v>
      </c>
      <c r="E458" s="690"/>
      <c r="F458" s="691"/>
      <c r="I458" t="b">
        <f>IF('PI-1-MarineLoading'!$G$115=0,TRUE,IF('PI-1-MarineLoading'!$G$115=0,TRUE,IF((COUNTIF(Tank1!$D$18,"*floating*")+COUNTIF(Tank2!$D$18,"*floating*")+COUNTIF(Tank3!$D$18,"*floating*")+COUNTIF(Tank4!$D$18,"*floating*")+COUNTIF(Tank5!$D$18,"*floating*"))=0,TRUE,FALSE)))</f>
        <v>1</v>
      </c>
    </row>
    <row r="459" spans="1:9" x14ac:dyDescent="0.2">
      <c r="A459" s="173">
        <v>62</v>
      </c>
      <c r="B459" s="223" t="s">
        <v>8829</v>
      </c>
      <c r="C459" s="226" t="s">
        <v>8857</v>
      </c>
      <c r="D459" s="689" t="s">
        <v>9006</v>
      </c>
      <c r="E459" s="690"/>
      <c r="F459" s="691"/>
      <c r="I459" t="b">
        <f>IF('PI-1-MarineLoading'!$G$115=0,TRUE,IF('PI-1-MarineLoading'!$G$115=0,TRUE,IF((COUNTIF(Tank1!$D$18,"*floating*")+COUNTIF(Tank2!$D$18,"*floating*")+COUNTIF(Tank3!$D$18,"*floating*")+COUNTIF(Tank4!$D$18,"*floating*")+COUNTIF(Tank5!$D$18,"*floating*"))=0,TRUE,FALSE)))</f>
        <v>1</v>
      </c>
    </row>
    <row r="460" spans="1:9" x14ac:dyDescent="0.2">
      <c r="A460" s="173">
        <v>62</v>
      </c>
      <c r="B460" s="223" t="s">
        <v>8829</v>
      </c>
      <c r="C460" s="226" t="s">
        <v>8882</v>
      </c>
      <c r="D460" s="689" t="s">
        <v>9007</v>
      </c>
      <c r="E460" s="690"/>
      <c r="F460" s="691"/>
      <c r="I460" t="b">
        <f>IF('PI-1-MarineLoading'!$G$115=0,TRUE,IF('PI-1-MarineLoading'!$G$115=0,TRUE,IF((COUNTIF(Tank1!$D$18,"*floating*")+COUNTIF(Tank2!$D$18,"*floating*")+COUNTIF(Tank3!$D$18,"*floating*")+COUNTIF(Tank4!$D$18,"*floating*")+COUNTIF(Tank5!$D$18,"*floating*"))=0,TRUE,FALSE)))</f>
        <v>1</v>
      </c>
    </row>
    <row r="461" spans="1:9" x14ac:dyDescent="0.2">
      <c r="A461" s="173">
        <v>62</v>
      </c>
      <c r="B461" s="223" t="s">
        <v>8829</v>
      </c>
      <c r="C461" s="16"/>
      <c r="D461" s="16" t="s">
        <v>8986</v>
      </c>
      <c r="E461" s="689" t="s">
        <v>9008</v>
      </c>
      <c r="F461" s="691"/>
      <c r="I461" t="b">
        <f>IF('PI-1-MarineLoading'!$G$115=0,TRUE,IF('PI-1-MarineLoading'!$G$115=0,TRUE,IF((COUNTIF(Tank1!$D$18,"*floating*")+COUNTIF(Tank2!$D$18,"*floating*")+COUNTIF(Tank3!$D$18,"*floating*")+COUNTIF(Tank4!$D$18,"*floating*")+COUNTIF(Tank5!$D$18,"*floating*"))=0,TRUE,FALSE)))</f>
        <v>1</v>
      </c>
    </row>
    <row r="462" spans="1:9" x14ac:dyDescent="0.2">
      <c r="A462" s="173">
        <v>62</v>
      </c>
      <c r="B462" s="223" t="s">
        <v>8829</v>
      </c>
      <c r="C462" s="16"/>
      <c r="D462" s="16" t="s">
        <v>8988</v>
      </c>
      <c r="E462" s="689" t="s">
        <v>9009</v>
      </c>
      <c r="F462" s="691"/>
      <c r="I462" t="b">
        <f>IF('PI-1-MarineLoading'!$G$115=0,TRUE,IF('PI-1-MarineLoading'!$G$115=0,TRUE,IF((COUNTIF(Tank1!$D$18,"*floating*")+COUNTIF(Tank2!$D$18,"*floating*")+COUNTIF(Tank3!$D$18,"*floating*")+COUNTIF(Tank4!$D$18,"*floating*")+COUNTIF(Tank5!$D$18,"*floating*"))=0,TRUE,FALSE)))</f>
        <v>1</v>
      </c>
    </row>
    <row r="463" spans="1:9" x14ac:dyDescent="0.2">
      <c r="A463" s="173">
        <v>62</v>
      </c>
      <c r="B463" s="223" t="s">
        <v>8829</v>
      </c>
      <c r="C463" s="16"/>
      <c r="D463" s="16" t="s">
        <v>9001</v>
      </c>
      <c r="E463" s="689" t="s">
        <v>9010</v>
      </c>
      <c r="F463" s="691"/>
      <c r="I463" t="b">
        <f>IF('PI-1-MarineLoading'!$G$115=0,TRUE,IF('PI-1-MarineLoading'!$G$115=0,TRUE,IF((COUNTIF(Tank1!$D$18,"*floating*")+COUNTIF(Tank2!$D$18,"*floating*")+COUNTIF(Tank3!$D$18,"*floating*")+COUNTIF(Tank4!$D$18,"*floating*")+COUNTIF(Tank5!$D$18,"*floating*"))=0,TRUE,FALSE)))</f>
        <v>1</v>
      </c>
    </row>
    <row r="464" spans="1:9" ht="32.25" customHeight="1" x14ac:dyDescent="0.2">
      <c r="A464" s="173">
        <v>62</v>
      </c>
      <c r="B464" s="223" t="s">
        <v>8829</v>
      </c>
      <c r="C464" s="16"/>
      <c r="D464" s="16" t="s">
        <v>9011</v>
      </c>
      <c r="E464" s="689" t="s">
        <v>9012</v>
      </c>
      <c r="F464" s="691"/>
      <c r="I464" t="b">
        <f>IF('PI-1-MarineLoading'!$G$115=0,TRUE,IF('PI-1-MarineLoading'!$G$115=0,TRUE,IF((COUNTIF(Tank1!$D$18,"*floating*")+COUNTIF(Tank2!$D$18,"*floating*")+COUNTIF(Tank3!$D$18,"*floating*")+COUNTIF(Tank4!$D$18,"*floating*")+COUNTIF(Tank5!$D$18,"*floating*"))=0,TRUE,FALSE)))</f>
        <v>1</v>
      </c>
    </row>
    <row r="465" spans="1:9" ht="32.25" customHeight="1" x14ac:dyDescent="0.2">
      <c r="A465" s="173">
        <v>62</v>
      </c>
      <c r="B465" s="223" t="s">
        <v>8829</v>
      </c>
      <c r="C465" s="16"/>
      <c r="D465" s="226" t="s">
        <v>9013</v>
      </c>
      <c r="E465" s="689" t="s">
        <v>9014</v>
      </c>
      <c r="F465" s="691"/>
      <c r="I465" t="b">
        <f>IF('PI-1-MarineLoading'!$G$115=0,TRUE,IF('PI-1-MarineLoading'!$G$115=0,TRUE,IF((COUNTIF(Tank1!$D$18,"*floating*")+COUNTIF(Tank2!$D$18,"*floating*")+COUNTIF(Tank3!$D$18,"*floating*")+COUNTIF(Tank4!$D$18,"*floating*")+COUNTIF(Tank5!$D$18,"*floating*"))=0,TRUE,FALSE)))</f>
        <v>1</v>
      </c>
    </row>
    <row r="466" spans="1:9" x14ac:dyDescent="0.2">
      <c r="A466" s="173">
        <v>62</v>
      </c>
      <c r="B466" s="223" t="s">
        <v>8829</v>
      </c>
      <c r="C466" s="16"/>
      <c r="D466" s="16" t="s">
        <v>9015</v>
      </c>
      <c r="E466" s="689" t="s">
        <v>9016</v>
      </c>
      <c r="F466" s="691"/>
      <c r="I466" t="b">
        <f>IF('PI-1-MarineLoading'!$G$115=0,TRUE,IF('PI-1-MarineLoading'!$G$115=0,TRUE,IF((COUNTIF(Tank1!$D$18,"*floating*")+COUNTIF(Tank2!$D$18,"*floating*")+COUNTIF(Tank3!$D$18,"*floating*")+COUNTIF(Tank4!$D$18,"*floating*")+COUNTIF(Tank5!$D$18,"*floating*"))=0,TRUE,FALSE)))</f>
        <v>1</v>
      </c>
    </row>
    <row r="467" spans="1:9" x14ac:dyDescent="0.2">
      <c r="A467" s="173">
        <v>62</v>
      </c>
      <c r="B467" s="223" t="s">
        <v>8829</v>
      </c>
      <c r="C467" s="16"/>
      <c r="D467" s="16" t="s">
        <v>9017</v>
      </c>
      <c r="E467" s="689" t="s">
        <v>9018</v>
      </c>
      <c r="F467" s="691"/>
      <c r="I467" t="b">
        <f>IF('PI-1-MarineLoading'!$G$115=0,TRUE,IF('PI-1-MarineLoading'!$G$115=0,TRUE,IF((COUNTIF(Tank1!$D$18,"*floating*")+COUNTIF(Tank2!$D$18,"*floating*")+COUNTIF(Tank3!$D$18,"*floating*")+COUNTIF(Tank4!$D$18,"*floating*")+COUNTIF(Tank5!$D$18,"*floating*"))=0,TRUE,FALSE)))</f>
        <v>1</v>
      </c>
    </row>
    <row r="468" spans="1:9" ht="61.5" customHeight="1" x14ac:dyDescent="0.2">
      <c r="A468" s="173">
        <v>62</v>
      </c>
      <c r="B468" s="223" t="s">
        <v>8829</v>
      </c>
      <c r="C468" s="226" t="s">
        <v>8928</v>
      </c>
      <c r="D468" s="689" t="s">
        <v>10354</v>
      </c>
      <c r="E468" s="690"/>
      <c r="F468" s="691"/>
      <c r="I468" t="b">
        <f>IF('PI-1-MarineLoading'!$G$115=0,TRUE,IF('PI-1-MarineLoading'!$G$115=0,TRUE,IF((COUNTIF(Tank1!$D$18,"*floating*")+COUNTIF(Tank2!$D$18,"*floating*")+COUNTIF(Tank3!$D$18,"*floating*")+COUNTIF(Tank4!$D$18,"*floating*")+COUNTIF(Tank5!$D$18,"*floating*"))=0,TRUE,FALSE)))</f>
        <v>1</v>
      </c>
    </row>
    <row r="469" spans="1:9" ht="28.5" x14ac:dyDescent="0.2">
      <c r="A469" s="9">
        <v>63</v>
      </c>
      <c r="B469" s="689" t="s">
        <v>10450</v>
      </c>
      <c r="C469" s="690"/>
      <c r="D469" s="690"/>
      <c r="E469" s="690"/>
      <c r="F469" s="691"/>
      <c r="H469" t="s">
        <v>10448</v>
      </c>
      <c r="I469" t="b">
        <f>IF('PI-1-MarineLoading'!$G$115=0,TRUE,IF('PI-1-MarineLoading'!$G$115=0,TRUE,IF((COUNTIF(Tank1!$D$18,"*fixed*")+COUNTIF(Tank2!$D$18,"*fixed*")+COUNTIF(Tank3!$D$18,"*fixed*")+COUNTIF(Tank4!$D$18,"*fixed*")+COUNTIF(Tank5!$D$18,"*fixed*"))=0,TRUE,FALSE)))</f>
        <v>1</v>
      </c>
    </row>
    <row r="470" spans="1:9" x14ac:dyDescent="0.2">
      <c r="A470" s="173">
        <v>63</v>
      </c>
      <c r="B470" s="16" t="s">
        <v>8821</v>
      </c>
      <c r="C470" s="690" t="s">
        <v>10454</v>
      </c>
      <c r="D470" s="690"/>
      <c r="E470" s="690"/>
      <c r="F470" s="691"/>
      <c r="I470" t="b">
        <f>IF('PI-1-MarineLoading'!$G$115=0,TRUE,IF('PI-1-MarineLoading'!$G$115=0,TRUE,IF((COUNTIF(Tank1!$D$18,"*fixed*")+COUNTIF(Tank2!$D$18,"*fixed*")+COUNTIF(Tank3!$D$18,"*fixed*")+COUNTIF(Tank4!$D$18,"*fixed*")+COUNTIF(Tank5!$D$18,"*fixed*"))=0,TRUE,FALSE)))</f>
        <v>1</v>
      </c>
    </row>
    <row r="471" spans="1:9" ht="33" customHeight="1" x14ac:dyDescent="0.2">
      <c r="A471" s="173">
        <v>63</v>
      </c>
      <c r="B471" s="223" t="s">
        <v>8821</v>
      </c>
      <c r="C471" s="239" t="s">
        <v>8855</v>
      </c>
      <c r="D471" s="933" t="s">
        <v>10451</v>
      </c>
      <c r="E471" s="647"/>
      <c r="F471" s="1128"/>
      <c r="I471" t="b">
        <f>IF('PI-1-MarineLoading'!$G$115=0,TRUE,IF('PI-1-MarineLoading'!$G$115=0,TRUE,IF((COUNTIF(Tank1!$D$18,"*fixed*")+COUNTIF(Tank2!$D$18,"*fixed*")+COUNTIF(Tank3!$D$18,"*fixed*")+COUNTIF(Tank4!$D$18,"*fixed*")+COUNTIF(Tank5!$D$18,"*fixed*"))=0,TRUE,FALSE)))</f>
        <v>1</v>
      </c>
    </row>
    <row r="472" spans="1:9" ht="58.5" customHeight="1" x14ac:dyDescent="0.2">
      <c r="A472" s="173">
        <v>63</v>
      </c>
      <c r="B472" s="223" t="s">
        <v>8821</v>
      </c>
      <c r="C472" s="243" t="s">
        <v>8857</v>
      </c>
      <c r="D472" s="1129" t="s">
        <v>10452</v>
      </c>
      <c r="E472" s="1130"/>
      <c r="F472" s="1131"/>
      <c r="I472" t="b">
        <f>IF('PI-1-MarineLoading'!$G$115=0,TRUE,IF('PI-1-MarineLoading'!$G$115=0,TRUE,IF((COUNTIF(Tank1!$D$18,"*fixed*")+COUNTIF(Tank2!$D$18,"*fixed*")+COUNTIF(Tank3!$D$18,"*fixed*")+COUNTIF(Tank4!$D$18,"*fixed*")+COUNTIF(Tank5!$D$18,"*fixed*"))=0,TRUE,FALSE)))</f>
        <v>1</v>
      </c>
    </row>
    <row r="473" spans="1:9" ht="57" customHeight="1" x14ac:dyDescent="0.2">
      <c r="A473" s="848" t="s">
        <v>236</v>
      </c>
      <c r="B473" s="566"/>
      <c r="C473" s="566"/>
      <c r="D473" s="566"/>
      <c r="E473" s="696"/>
      <c r="F473" s="238" t="s">
        <v>10453</v>
      </c>
      <c r="H473" s="89"/>
      <c r="I473" t="b">
        <f>IF('PI-1-MarineLoading'!$G$115=0,TRUE,IF('PI-1-MarineLoading'!$G$115=0,TRUE,IF((COUNTIF(Tank1!$D$18,"*fixed*")+COUNTIF(Tank2!$D$18,"*fixed*")+COUNTIF(Tank3!$D$18,"*fixed*")+COUNTIF(Tank4!$D$18,"*fixed*")+COUNTIF(Tank5!$D$18,"*fixed*"))=0,TRUE,FALSE)))</f>
        <v>1</v>
      </c>
    </row>
    <row r="474" spans="1:9" x14ac:dyDescent="0.2">
      <c r="A474" s="933" t="str">
        <f>TankMSS!$A116</f>
        <v/>
      </c>
      <c r="B474" s="647"/>
      <c r="C474" s="647"/>
      <c r="D474" s="647"/>
      <c r="E474" s="648"/>
      <c r="F474" s="29">
        <f>TankMSS!$C116</f>
        <v>0</v>
      </c>
      <c r="H474" t="s">
        <v>10389</v>
      </c>
      <c r="I474" t="b">
        <f>IF('PI-1-MarineLoading'!$G$115=0,TRUE,IF('PI-1-MarineLoading'!$G$115=0,TRUE,IF((COUNTIF(Tank1!$D$18,"*fixed*")+COUNTIF(Tank2!$D$18,"*fixed*")+COUNTIF(Tank3!$D$18,"*fixed*")+COUNTIF(Tank4!$D$18,"*fixed*")+COUNTIF(Tank5!$D$18,"*fixed*"))=0,TRUE,IF($A474="",TRUE,FALSE))))</f>
        <v>1</v>
      </c>
    </row>
    <row r="475" spans="1:9" x14ac:dyDescent="0.2">
      <c r="A475" s="933" t="str">
        <f>TankMSS!$A117</f>
        <v/>
      </c>
      <c r="B475" s="647"/>
      <c r="C475" s="647"/>
      <c r="D475" s="647"/>
      <c r="E475" s="648"/>
      <c r="F475" s="29">
        <f>TankMSS!$C117</f>
        <v>0</v>
      </c>
      <c r="H475" t="s">
        <v>10389</v>
      </c>
      <c r="I475" t="b">
        <f>IF('PI-1-MarineLoading'!$G$115=0,TRUE,IF('PI-1-MarineLoading'!$G$115=0,TRUE,IF((COUNTIF(Tank1!$D$18,"*fixed*")+COUNTIF(Tank2!$D$18,"*fixed*")+COUNTIF(Tank3!$D$18,"*fixed*")+COUNTIF(Tank4!$D$18,"*fixed*")+COUNTIF(Tank5!$D$18,"*fixed*"))=0,TRUE,IF($A475="",TRUE,FALSE))))</f>
        <v>1</v>
      </c>
    </row>
    <row r="476" spans="1:9" x14ac:dyDescent="0.2">
      <c r="A476" s="933" t="str">
        <f>TankMSS!$A118</f>
        <v/>
      </c>
      <c r="B476" s="647"/>
      <c r="C476" s="647"/>
      <c r="D476" s="647"/>
      <c r="E476" s="648"/>
      <c r="F476" s="29">
        <f>TankMSS!$C118</f>
        <v>0</v>
      </c>
      <c r="H476" t="s">
        <v>10389</v>
      </c>
      <c r="I476" t="b">
        <f>IF('PI-1-MarineLoading'!$G$115=0,TRUE,IF('PI-1-MarineLoading'!$G$115=0,TRUE,IF((COUNTIF(Tank1!$D$18,"*fixed*")+COUNTIF(Tank2!$D$18,"*fixed*")+COUNTIF(Tank3!$D$18,"*fixed*")+COUNTIF(Tank4!$D$18,"*fixed*")+COUNTIF(Tank5!$D$18,"*fixed*"))=0,TRUE,IF($A476="",TRUE,FALSE))))</f>
        <v>1</v>
      </c>
    </row>
    <row r="477" spans="1:9" x14ac:dyDescent="0.2">
      <c r="A477" s="933" t="str">
        <f>TankMSS!$A119</f>
        <v/>
      </c>
      <c r="B477" s="647"/>
      <c r="C477" s="647"/>
      <c r="D477" s="647"/>
      <c r="E477" s="648"/>
      <c r="F477" s="29">
        <f>TankMSS!$C119</f>
        <v>0</v>
      </c>
      <c r="H477" t="s">
        <v>10389</v>
      </c>
      <c r="I477" t="b">
        <f>IF('PI-1-MarineLoading'!$G$115=0,TRUE,IF('PI-1-MarineLoading'!$G$115=0,TRUE,IF((COUNTIF(Tank1!$D$18,"*fixed*")+COUNTIF(Tank2!$D$18,"*fixed*")+COUNTIF(Tank3!$D$18,"*fixed*")+COUNTIF(Tank4!$D$18,"*fixed*")+COUNTIF(Tank5!$D$18,"*fixed*"))=0,TRUE,IF($A477="",TRUE,FALSE))))</f>
        <v>1</v>
      </c>
    </row>
    <row r="478" spans="1:9" x14ac:dyDescent="0.2">
      <c r="A478" s="933" t="str">
        <f>TankMSS!$A120</f>
        <v/>
      </c>
      <c r="B478" s="647"/>
      <c r="C478" s="647"/>
      <c r="D478" s="647"/>
      <c r="E478" s="648"/>
      <c r="F478" s="29">
        <f>TankMSS!$C120</f>
        <v>0</v>
      </c>
      <c r="H478" t="s">
        <v>10389</v>
      </c>
      <c r="I478" t="b">
        <f>IF('PI-1-MarineLoading'!$G$115=0,TRUE,IF('PI-1-MarineLoading'!$G$115=0,TRUE,IF((COUNTIF(Tank1!$D$18,"*fixed*")+COUNTIF(Tank2!$D$18,"*fixed*")+COUNTIF(Tank3!$D$18,"*fixed*")+COUNTIF(Tank4!$D$18,"*fixed*")+COUNTIF(Tank5!$D$18,"*fixed*"))=0,TRUE,IF($A478="",TRUE,FALSE))))</f>
        <v>1</v>
      </c>
    </row>
    <row r="479" spans="1:9" x14ac:dyDescent="0.2">
      <c r="A479" s="933" t="str">
        <f>TankMSS!$A121</f>
        <v/>
      </c>
      <c r="B479" s="647"/>
      <c r="C479" s="647"/>
      <c r="D479" s="647"/>
      <c r="E479" s="648"/>
      <c r="F479" s="29">
        <f>TankMSS!$C121</f>
        <v>0</v>
      </c>
      <c r="H479" t="s">
        <v>10389</v>
      </c>
      <c r="I479" t="b">
        <f>IF('PI-1-MarineLoading'!$G$115=0,TRUE,IF('PI-1-MarineLoading'!$G$115=0,TRUE,IF((COUNTIF(Tank1!$D$18,"*fixed*")+COUNTIF(Tank2!$D$18,"*fixed*")+COUNTIF(Tank3!$D$18,"*fixed*")+COUNTIF(Tank4!$D$18,"*fixed*")+COUNTIF(Tank5!$D$18,"*fixed*"))=0,TRUE,IF($A479="",TRUE,FALSE))))</f>
        <v>1</v>
      </c>
    </row>
    <row r="480" spans="1:9" x14ac:dyDescent="0.2">
      <c r="A480" s="933" t="str">
        <f>TankMSS!$A122</f>
        <v/>
      </c>
      <c r="B480" s="647"/>
      <c r="C480" s="647"/>
      <c r="D480" s="647"/>
      <c r="E480" s="648"/>
      <c r="F480" s="29">
        <f>TankMSS!$C122</f>
        <v>0</v>
      </c>
      <c r="H480" t="s">
        <v>10389</v>
      </c>
      <c r="I480" t="b">
        <f>IF('PI-1-MarineLoading'!$G$115=0,TRUE,IF('PI-1-MarineLoading'!$G$115=0,TRUE,IF((COUNTIF(Tank1!$D$18,"*fixed*")+COUNTIF(Tank2!$D$18,"*fixed*")+COUNTIF(Tank3!$D$18,"*fixed*")+COUNTIF(Tank4!$D$18,"*fixed*")+COUNTIF(Tank5!$D$18,"*fixed*"))=0,TRUE,IF($A480="",TRUE,FALSE))))</f>
        <v>1</v>
      </c>
    </row>
    <row r="481" spans="1:9" x14ac:dyDescent="0.2">
      <c r="A481" s="933" t="str">
        <f>TankMSS!$A123</f>
        <v/>
      </c>
      <c r="B481" s="647"/>
      <c r="C481" s="647"/>
      <c r="D481" s="647"/>
      <c r="E481" s="648"/>
      <c r="F481" s="29">
        <f>TankMSS!$C123</f>
        <v>0</v>
      </c>
      <c r="H481" t="s">
        <v>10389</v>
      </c>
      <c r="I481" t="b">
        <f>IF('PI-1-MarineLoading'!$G$115=0,TRUE,IF('PI-1-MarineLoading'!$G$115=0,TRUE,IF((COUNTIF(Tank1!$D$18,"*fixed*")+COUNTIF(Tank2!$D$18,"*fixed*")+COUNTIF(Tank3!$D$18,"*fixed*")+COUNTIF(Tank4!$D$18,"*fixed*")+COUNTIF(Tank5!$D$18,"*fixed*"))=0,TRUE,IF($A481="",TRUE,FALSE))))</f>
        <v>1</v>
      </c>
    </row>
    <row r="482" spans="1:9" x14ac:dyDescent="0.2">
      <c r="A482" s="933" t="str">
        <f>TankMSS!$A124</f>
        <v/>
      </c>
      <c r="B482" s="647"/>
      <c r="C482" s="647"/>
      <c r="D482" s="647"/>
      <c r="E482" s="648"/>
      <c r="F482" s="29">
        <f>TankMSS!$C124</f>
        <v>0</v>
      </c>
      <c r="H482" t="s">
        <v>10389</v>
      </c>
      <c r="I482" t="b">
        <f>IF('PI-1-MarineLoading'!$G$115=0,TRUE,IF('PI-1-MarineLoading'!$G$115=0,TRUE,IF((COUNTIF(Tank1!$D$18,"*fixed*")+COUNTIF(Tank2!$D$18,"*fixed*")+COUNTIF(Tank3!$D$18,"*fixed*")+COUNTIF(Tank4!$D$18,"*fixed*")+COUNTIF(Tank5!$D$18,"*fixed*"))=0,TRUE,IF($A482="",TRUE,FALSE))))</f>
        <v>1</v>
      </c>
    </row>
    <row r="483" spans="1:9" x14ac:dyDescent="0.2">
      <c r="A483" s="933" t="str">
        <f>TankMSS!$A125</f>
        <v/>
      </c>
      <c r="B483" s="647"/>
      <c r="C483" s="647"/>
      <c r="D483" s="647"/>
      <c r="E483" s="648"/>
      <c r="F483" s="29">
        <f>TankMSS!$C125</f>
        <v>0</v>
      </c>
      <c r="H483" t="s">
        <v>10389</v>
      </c>
      <c r="I483" t="b">
        <f>IF('PI-1-MarineLoading'!$G$115=0,TRUE,IF('PI-1-MarineLoading'!$G$115=0,TRUE,IF((COUNTIF(Tank1!$D$18,"*fixed*")+COUNTIF(Tank2!$D$18,"*fixed*")+COUNTIF(Tank3!$D$18,"*fixed*")+COUNTIF(Tank4!$D$18,"*fixed*")+COUNTIF(Tank5!$D$18,"*fixed*"))=0,TRUE,IF($A483="",TRUE,FALSE))))</f>
        <v>1</v>
      </c>
    </row>
    <row r="484" spans="1:9" ht="59.25" customHeight="1" x14ac:dyDescent="0.2">
      <c r="A484" s="223">
        <v>63</v>
      </c>
      <c r="B484" s="223" t="s">
        <v>8821</v>
      </c>
      <c r="C484" s="242" t="s">
        <v>8882</v>
      </c>
      <c r="D484" s="933" t="s">
        <v>11016</v>
      </c>
      <c r="E484" s="647"/>
      <c r="F484" s="1128"/>
      <c r="I484" t="b">
        <f>IF('PI-1-MarineLoading'!$G$115=0,TRUE,IF('PI-1-MarineLoading'!$G$115=0,TRUE,IF((COUNTIF(Tank1!$D$18,"*fixed*")+COUNTIF(Tank2!$D$18,"*fixed*")+COUNTIF(Tank3!$D$18,"*fixed*")+COUNTIF(Tank4!$D$18,"*fixed*")+COUNTIF(Tank5!$D$18,"*fixed*"))=0,TRUE,FALSE)))</f>
        <v>1</v>
      </c>
    </row>
    <row r="485" spans="1:9" ht="45.75" customHeight="1" x14ac:dyDescent="0.2">
      <c r="A485" s="223">
        <v>63</v>
      </c>
      <c r="B485" s="223" t="s">
        <v>8821</v>
      </c>
      <c r="C485" s="242" t="s">
        <v>8928</v>
      </c>
      <c r="D485" s="933" t="s">
        <v>8994</v>
      </c>
      <c r="E485" s="647"/>
      <c r="F485" s="1128"/>
      <c r="I485" t="b">
        <f>IF('PI-1-MarineLoading'!$G$115=0,TRUE,IF('PI-1-MarineLoading'!$G$115=0,TRUE,IF((COUNTIF(Tank1!$D$18,"*fixed*")+COUNTIF(Tank2!$D$18,"*fixed*")+COUNTIF(Tank3!$D$18,"*fixed*")+COUNTIF(Tank4!$D$18,"*fixed*")+COUNTIF(Tank5!$D$18,"*fixed*"))=0,TRUE,FALSE)))</f>
        <v>1</v>
      </c>
    </row>
    <row r="486" spans="1:9" ht="91.5" customHeight="1" x14ac:dyDescent="0.2">
      <c r="A486" s="223">
        <v>63</v>
      </c>
      <c r="B486" s="158" t="s">
        <v>8822</v>
      </c>
      <c r="C486" s="933" t="s">
        <v>8996</v>
      </c>
      <c r="D486" s="647"/>
      <c r="E486" s="647"/>
      <c r="F486" s="1128"/>
      <c r="I486" t="b">
        <f>IF('PI-1-MarineLoading'!$G$115=0,TRUE,IF('PI-1-MarineLoading'!$G$115=0,TRUE,IF((COUNTIF(Tank1!$D$18,"*fixed*")+COUNTIF(Tank2!$D$18,"*fixed*")+COUNTIF(Tank3!$D$18,"*fixed*")+COUNTIF(Tank4!$D$18,"*fixed*")+COUNTIF(Tank5!$D$18,"*fixed*"))=0,TRUE,FALSE)))</f>
        <v>1</v>
      </c>
    </row>
    <row r="487" spans="1:9" ht="48" customHeight="1" x14ac:dyDescent="0.2">
      <c r="A487" s="223">
        <v>63</v>
      </c>
      <c r="B487" s="158" t="s">
        <v>8824</v>
      </c>
      <c r="C487" s="1132" t="s">
        <v>8997</v>
      </c>
      <c r="D487" s="647"/>
      <c r="E487" s="647"/>
      <c r="F487" s="1128"/>
      <c r="I487" t="b">
        <f>IF('PI-1-MarineLoading'!$G$115=0,TRUE,IF('PI-1-MarineLoading'!$G$115=0,TRUE,IF((COUNTIF(Tank1!$D$18,"*fixed*")+COUNTIF(Tank2!$D$18,"*fixed*")+COUNTIF(Tank3!$D$18,"*fixed*")+COUNTIF(Tank4!$D$18,"*fixed*")+COUNTIF(Tank5!$D$18,"*fixed*"))=0,TRUE,FALSE)))</f>
        <v>1</v>
      </c>
    </row>
    <row r="488" spans="1:9" ht="61.5" customHeight="1" x14ac:dyDescent="0.2">
      <c r="A488" s="223">
        <v>63</v>
      </c>
      <c r="B488" s="223" t="s">
        <v>8824</v>
      </c>
      <c r="C488" s="242" t="s">
        <v>8855</v>
      </c>
      <c r="D488" s="933" t="s">
        <v>8998</v>
      </c>
      <c r="E488" s="647"/>
      <c r="F488" s="1128"/>
      <c r="I488" t="b">
        <f>IF('PI-1-MarineLoading'!$G$115=0,TRUE,IF('PI-1-MarineLoading'!$G$115=0,TRUE,IF((COUNTIF(Tank1!$D$18,"*fixed*")+COUNTIF(Tank2!$D$18,"*fixed*")+COUNTIF(Tank3!$D$18,"*fixed*")+COUNTIF(Tank4!$D$18,"*fixed*")+COUNTIF(Tank5!$D$18,"*fixed*"))=0,TRUE,FALSE)))</f>
        <v>1</v>
      </c>
    </row>
    <row r="489" spans="1:9" x14ac:dyDescent="0.2">
      <c r="A489" s="223">
        <v>63</v>
      </c>
      <c r="B489" s="223" t="s">
        <v>8824</v>
      </c>
      <c r="C489" s="242" t="s">
        <v>8857</v>
      </c>
      <c r="D489" s="933" t="s">
        <v>10352</v>
      </c>
      <c r="E489" s="647"/>
      <c r="F489" s="1128"/>
      <c r="I489" t="b">
        <f>IF('PI-1-MarineLoading'!$G$115=0,TRUE,IF('PI-1-MarineLoading'!$G$115=0,TRUE,IF((COUNTIF(Tank1!$D$18,"*fixed*")+COUNTIF(Tank2!$D$18,"*fixed*")+COUNTIF(Tank3!$D$18,"*fixed*")+COUNTIF(Tank4!$D$18,"*fixed*")+COUNTIF(Tank5!$D$18,"*fixed*"))=0,TRUE,FALSE)))</f>
        <v>1</v>
      </c>
    </row>
    <row r="490" spans="1:9" ht="34.5" customHeight="1" x14ac:dyDescent="0.2">
      <c r="A490" s="223">
        <v>63</v>
      </c>
      <c r="B490" s="223" t="s">
        <v>8824</v>
      </c>
      <c r="C490" s="318" t="s">
        <v>8857</v>
      </c>
      <c r="D490" s="158" t="s">
        <v>8986</v>
      </c>
      <c r="E490" s="933" t="s">
        <v>8999</v>
      </c>
      <c r="F490" s="1128"/>
      <c r="I490" t="b">
        <f>IF('PI-1-MarineLoading'!$G$115=0,TRUE,IF('PI-1-MarineLoading'!$G$115=0,TRUE,IF((COUNTIF(Tank1!$D$18,"*fixed*")+COUNTIF(Tank2!$D$18,"*fixed*")+COUNTIF(Tank3!$D$18,"*fixed*")+COUNTIF(Tank4!$D$18,"*fixed*")+COUNTIF(Tank5!$D$18,"*fixed*"))=0,TRUE,FALSE)))</f>
        <v>1</v>
      </c>
    </row>
    <row r="491" spans="1:9" ht="34.5" customHeight="1" x14ac:dyDescent="0.2">
      <c r="A491" s="223">
        <v>63</v>
      </c>
      <c r="B491" s="223" t="s">
        <v>8824</v>
      </c>
      <c r="C491" s="318" t="s">
        <v>8857</v>
      </c>
      <c r="D491" s="158" t="s">
        <v>8988</v>
      </c>
      <c r="E491" s="933" t="s">
        <v>9000</v>
      </c>
      <c r="F491" s="1128"/>
      <c r="I491" t="b">
        <f>IF('PI-1-MarineLoading'!$G$115=0,TRUE,IF('PI-1-MarineLoading'!$G$115=0,TRUE,IF((COUNTIF(Tank1!$D$18,"*fixed*")+COUNTIF(Tank2!$D$18,"*fixed*")+COUNTIF(Tank3!$D$18,"*fixed*")+COUNTIF(Tank4!$D$18,"*fixed*")+COUNTIF(Tank5!$D$18,"*fixed*"))=0,TRUE,FALSE)))</f>
        <v>1</v>
      </c>
    </row>
    <row r="492" spans="1:9" ht="33.75" customHeight="1" x14ac:dyDescent="0.2">
      <c r="A492" s="223">
        <v>63</v>
      </c>
      <c r="B492" s="223" t="s">
        <v>8824</v>
      </c>
      <c r="C492" s="318" t="s">
        <v>8857</v>
      </c>
      <c r="D492" s="158" t="s">
        <v>9001</v>
      </c>
      <c r="E492" s="933" t="s">
        <v>10636</v>
      </c>
      <c r="F492" s="1128"/>
      <c r="I492" t="b">
        <f>IF('PI-1-MarineLoading'!$G$115=0,TRUE,IF('PI-1-MarineLoading'!$G$115=0,TRUE,IF((COUNTIF(Tank1!$D$18,"*fixed*")+COUNTIF(Tank2!$D$18,"*fixed*")+COUNTIF(Tank3!$D$18,"*fixed*")+COUNTIF(Tank4!$D$18,"*fixed*")+COUNTIF(Tank5!$D$18,"*fixed*"))=0,TRUE,FALSE)))</f>
        <v>1</v>
      </c>
    </row>
    <row r="493" spans="1:9" x14ac:dyDescent="0.2">
      <c r="A493" s="223">
        <v>63</v>
      </c>
      <c r="B493" s="223" t="s">
        <v>8824</v>
      </c>
      <c r="C493" s="242" t="s">
        <v>8882</v>
      </c>
      <c r="D493" s="933" t="s">
        <v>9003</v>
      </c>
      <c r="E493" s="647"/>
      <c r="F493" s="1128"/>
      <c r="I493" t="b">
        <f>IF('PI-1-MarineLoading'!$G$115=0,TRUE,IF('PI-1-MarineLoading'!$G$115=0,TRUE,IF((COUNTIF(Tank1!$D$18,"*fixed*")+COUNTIF(Tank2!$D$18,"*fixed*")+COUNTIF(Tank3!$D$18,"*fixed*")+COUNTIF(Tank4!$D$18,"*fixed*")+COUNTIF(Tank5!$D$18,"*fixed*"))=0,TRUE,FALSE)))</f>
        <v>1</v>
      </c>
    </row>
    <row r="494" spans="1:9" x14ac:dyDescent="0.2">
      <c r="A494" s="241">
        <v>64</v>
      </c>
      <c r="B494" s="1136" t="s">
        <v>9019</v>
      </c>
      <c r="C494" s="1137"/>
      <c r="D494" s="1137"/>
      <c r="E494" s="1137"/>
      <c r="F494" s="1138"/>
      <c r="I494" t="b">
        <f>IF('PI-1-MarineLoading'!$G$128="No",TRUE,FALSE)</f>
        <v>0</v>
      </c>
    </row>
    <row r="495" spans="1:9" ht="33.75" customHeight="1" x14ac:dyDescent="0.2">
      <c r="A495" s="326">
        <v>64</v>
      </c>
      <c r="B495" s="16" t="s">
        <v>8821</v>
      </c>
      <c r="C495" s="689" t="s">
        <v>9020</v>
      </c>
      <c r="D495" s="690"/>
      <c r="E495" s="690"/>
      <c r="F495" s="691"/>
      <c r="I495" t="b">
        <f>IF('PI-1-MarineLoading'!$G$128="No",TRUE,FALSE)</f>
        <v>0</v>
      </c>
    </row>
    <row r="496" spans="1:9" x14ac:dyDescent="0.2">
      <c r="A496" s="326">
        <v>64</v>
      </c>
      <c r="B496" s="16" t="s">
        <v>8822</v>
      </c>
      <c r="C496" s="689" t="s">
        <v>9021</v>
      </c>
      <c r="D496" s="690"/>
      <c r="E496" s="690"/>
      <c r="F496" s="691"/>
      <c r="I496" t="b">
        <f>IF('PI-1-MarineLoading'!$G$128="No",TRUE,FALSE)</f>
        <v>0</v>
      </c>
    </row>
    <row r="497" spans="1:9" x14ac:dyDescent="0.2">
      <c r="A497" s="326">
        <v>64</v>
      </c>
      <c r="B497" s="223" t="s">
        <v>8822</v>
      </c>
      <c r="C497" s="226" t="s">
        <v>8855</v>
      </c>
      <c r="D497" s="689" t="s">
        <v>9022</v>
      </c>
      <c r="E497" s="690"/>
      <c r="F497" s="691"/>
      <c r="I497" t="b">
        <f>IF('PI-1-MarineLoading'!$G$128="No",TRUE,FALSE)</f>
        <v>0</v>
      </c>
    </row>
    <row r="498" spans="1:9" x14ac:dyDescent="0.2">
      <c r="A498" s="326">
        <v>64</v>
      </c>
      <c r="B498" s="223" t="s">
        <v>8822</v>
      </c>
      <c r="C498" s="226" t="s">
        <v>8857</v>
      </c>
      <c r="D498" s="689" t="s">
        <v>9023</v>
      </c>
      <c r="E498" s="690"/>
      <c r="F498" s="691"/>
      <c r="I498" t="b">
        <f>IF('PI-1-MarineLoading'!$G$128="No",TRUE,FALSE)</f>
        <v>0</v>
      </c>
    </row>
    <row r="499" spans="1:9" x14ac:dyDescent="0.2">
      <c r="A499" s="326">
        <v>64</v>
      </c>
      <c r="B499" s="223" t="s">
        <v>8822</v>
      </c>
      <c r="C499" s="226" t="s">
        <v>8882</v>
      </c>
      <c r="D499" s="689" t="s">
        <v>9024</v>
      </c>
      <c r="E499" s="690"/>
      <c r="F499" s="691"/>
      <c r="I499" t="b">
        <f>IF('PI-1-MarineLoading'!$G$128="No",TRUE,FALSE)</f>
        <v>0</v>
      </c>
    </row>
    <row r="500" spans="1:9" ht="61.5" customHeight="1" x14ac:dyDescent="0.2">
      <c r="A500" s="326">
        <v>64</v>
      </c>
      <c r="B500" s="223" t="s">
        <v>8822</v>
      </c>
      <c r="C500" s="318" t="s">
        <v>8882</v>
      </c>
      <c r="D500" s="16" t="s">
        <v>8986</v>
      </c>
      <c r="E500" s="689" t="s">
        <v>9025</v>
      </c>
      <c r="F500" s="691"/>
      <c r="I500" t="b">
        <f>IF('PI-1-MarineLoading'!$G$128="No",TRUE,FALSE)</f>
        <v>0</v>
      </c>
    </row>
    <row r="501" spans="1:9" ht="47.25" customHeight="1" x14ac:dyDescent="0.2">
      <c r="A501" s="326">
        <v>64</v>
      </c>
      <c r="B501" s="223" t="s">
        <v>8822</v>
      </c>
      <c r="C501" s="318" t="s">
        <v>8882</v>
      </c>
      <c r="D501" s="16" t="s">
        <v>8988</v>
      </c>
      <c r="E501" s="689" t="s">
        <v>9026</v>
      </c>
      <c r="F501" s="691"/>
      <c r="I501" t="b">
        <f>IF('PI-1-MarineLoading'!$G$128="No",TRUE,FALSE)</f>
        <v>0</v>
      </c>
    </row>
    <row r="502" spans="1:9" x14ac:dyDescent="0.2">
      <c r="A502" s="326">
        <v>64</v>
      </c>
      <c r="B502" s="16" t="s">
        <v>8824</v>
      </c>
      <c r="C502" s="689" t="s">
        <v>9027</v>
      </c>
      <c r="D502" s="690"/>
      <c r="E502" s="690"/>
      <c r="F502" s="691"/>
      <c r="I502" t="b">
        <f>IF('PI-1-MarineLoading'!$G$128="No",TRUE,FALSE)</f>
        <v>0</v>
      </c>
    </row>
    <row r="503" spans="1:9" ht="61.5" customHeight="1" x14ac:dyDescent="0.2">
      <c r="A503" s="326">
        <v>64</v>
      </c>
      <c r="B503" s="16" t="s">
        <v>8823</v>
      </c>
      <c r="C503" s="689" t="s">
        <v>9028</v>
      </c>
      <c r="D503" s="690"/>
      <c r="E503" s="690"/>
      <c r="F503" s="691"/>
      <c r="I503" t="b">
        <f>IF('PI-1-MarineLoading'!$G$128="No",TRUE,FALSE)</f>
        <v>0</v>
      </c>
    </row>
    <row r="504" spans="1:9" ht="46.5" customHeight="1" x14ac:dyDescent="0.2">
      <c r="A504" s="326">
        <v>64</v>
      </c>
      <c r="B504" s="16" t="s">
        <v>8825</v>
      </c>
      <c r="C504" s="689" t="s">
        <v>9029</v>
      </c>
      <c r="D504" s="690"/>
      <c r="E504" s="690"/>
      <c r="F504" s="691"/>
      <c r="I504" t="b">
        <f>IF('PI-1-MarineLoading'!$G$128="No",TRUE,FALSE)</f>
        <v>0</v>
      </c>
    </row>
    <row r="505" spans="1:9" ht="32.25" customHeight="1" x14ac:dyDescent="0.2">
      <c r="A505" s="9">
        <v>65</v>
      </c>
      <c r="B505" s="689" t="s">
        <v>9030</v>
      </c>
      <c r="C505" s="690"/>
      <c r="D505" s="690"/>
      <c r="E505" s="690"/>
      <c r="F505" s="691"/>
      <c r="I505" t="b">
        <f>IF('PI-1-MarineLoading'!$G$128="No",TRUE,FALSE)</f>
        <v>0</v>
      </c>
    </row>
    <row r="506" spans="1:9" ht="77.25" customHeight="1" x14ac:dyDescent="0.2">
      <c r="A506" s="9">
        <v>66</v>
      </c>
      <c r="B506" s="689" t="str">
        <f>"Control devices required by this permit for emissions from planned MSS activities are limited to the permanent control devices (FINs: "&amp;Hidden!AW2&amp;IF(Hidden!AW3=0,"",", "&amp;Hidden!AW3)&amp;IF(Hidden!AW4=0,"",", "&amp;Hidden!AW4)&amp;") and those types identified in this condition.  Control devices shall be operated with no visible emissions except periods not to exceed a "&amp;"total of five minutes during any two consecutive hours.  Each device used must meet all the requirements identified for that type of control device.  Controlled recovery systems identified in this permit "&amp;"shall be directed to an operating process or to a collection system that is vented through a control device meeting the requirements of this permit condition."</f>
        <v>Control devices required by this permit for emissions from planned MSS activities are limited to the permanent control devices (FINs: 0) and those types identified in this condition.  Control devices shall be operated with no visible emissions except periods not to exceed a total of five minutes during any two consecutive hours.  Each device used must meet all the requirements identified for that type of control device.  Controlled recovery systems identified in this permit shall be directed to an operating process or to a collection system that is vented through a control device meeting the requirements of this permit condition.</v>
      </c>
      <c r="C506" s="690"/>
      <c r="D506" s="690"/>
      <c r="E506" s="690"/>
      <c r="F506" s="691"/>
      <c r="H506" t="s">
        <v>10418</v>
      </c>
      <c r="I506" t="b">
        <f>IF('PI-1-MarineLoading'!$G$128="No",TRUE,IF('PI-1-MarineLoading'!$G$115=0,TRUE,FALSE))</f>
        <v>1</v>
      </c>
    </row>
    <row r="507" spans="1:9" ht="77.25" customHeight="1" x14ac:dyDescent="0.2">
      <c r="A507" s="9">
        <v>66</v>
      </c>
      <c r="B507" s="689" t="str">
        <f>"Control devices required by this permit for emissions from convenience roof landings are limited to the permanent control devices (FINs: "&amp;Hidden!AW2&amp;IF(Hidden!AW3=0,"",", "&amp;Hidden!AW3)&amp;IF(Hidden!AW4=0,"",", "&amp;Hidden!AW4)&amp;") and those types identified in this condition.  Control devices shall be operated with no visible emissions except periods not to exceed "&amp;"a total of five minutes during any two consecutive hours.  Each device used must meet all the requirements identified for that type of control device.  "&amp;"Controlled recovery systems identified in this permit shall be directed to an operating process or to a collection system that is vented through a control device meeting the requirements of this permit condition."</f>
        <v>Control devices required by this permit for emissions from convenience roof landings are limited to the permanent control devices (FINs: 0) and those types identified in this condition.  Control devices shall be operated with no visible emissions except periods not to exceed a total of five minutes during any two consecutive hours.  Each device used must meet all the requirements identified for that type of control device.  Controlled recovery systems identified in this permit shall be directed to an operating process or to a collection system that is vented through a control device meeting the requirements of this permit condition.</v>
      </c>
      <c r="C507" s="690"/>
      <c r="D507" s="690"/>
      <c r="E507" s="690"/>
      <c r="F507" s="691"/>
      <c r="H507" t="s">
        <v>10418</v>
      </c>
      <c r="I507" t="b">
        <f>IF('PI-1-MarineLoading'!$G$115=0,TRUE,IF(I506=FALSE,TRUE,FALSE))</f>
        <v>1</v>
      </c>
    </row>
    <row r="508" spans="1:9" x14ac:dyDescent="0.2">
      <c r="A508" s="9">
        <v>66</v>
      </c>
      <c r="B508" s="16" t="s">
        <v>8821</v>
      </c>
      <c r="C508" s="689" t="str">
        <f>"The Plant Flare System (FIN: "&amp;Flare!$D$7&amp;") or Temporary Flare (FIN: "&amp;MSS!$D$63&amp;")"</f>
        <v>The Plant Flare System (FIN: ) or Temporary Flare (FIN: )</v>
      </c>
      <c r="D508" s="690"/>
      <c r="E508" s="690"/>
      <c r="F508" s="691"/>
      <c r="H508" t="s">
        <v>10389</v>
      </c>
      <c r="I508" t="b">
        <f>IF('PI-1-MarineLoading'!$G$115=0,TRUE,IF('PI-1-MarineLoading'!$G$129="NO",TRUE,FALSE))</f>
        <v>1</v>
      </c>
    </row>
    <row r="509" spans="1:9" x14ac:dyDescent="0.2">
      <c r="A509" s="173">
        <v>66</v>
      </c>
      <c r="B509" s="223" t="s">
        <v>8821</v>
      </c>
      <c r="C509" s="226" t="s">
        <v>8855</v>
      </c>
      <c r="D509" s="689" t="s">
        <v>10355</v>
      </c>
      <c r="E509" s="690"/>
      <c r="F509" s="691"/>
      <c r="I509" t="b">
        <f>IF('PI-1-MarineLoading'!$G$115=0,TRUE,IF('PI-1-MarineLoading'!$G$129="NO",TRUE,FALSE))</f>
        <v>1</v>
      </c>
    </row>
    <row r="510" spans="1:9" ht="45.75" customHeight="1" x14ac:dyDescent="0.2">
      <c r="A510" s="173">
        <v>66</v>
      </c>
      <c r="B510" s="223" t="s">
        <v>8821</v>
      </c>
      <c r="C510" s="226" t="s">
        <v>8857</v>
      </c>
      <c r="D510" s="689" t="s">
        <v>10356</v>
      </c>
      <c r="E510" s="690"/>
      <c r="F510" s="691"/>
      <c r="I510" t="b">
        <f>IF('PI-1-MarineLoading'!$G$115=0,TRUE,IF('PI-1-MarineLoading'!$G$129="NO",TRUE,FALSE))</f>
        <v>1</v>
      </c>
    </row>
    <row r="511" spans="1:9" ht="33.75" customHeight="1" x14ac:dyDescent="0.2">
      <c r="A511" s="173">
        <v>66</v>
      </c>
      <c r="B511" s="223" t="s">
        <v>8821</v>
      </c>
      <c r="C511" s="226" t="s">
        <v>8882</v>
      </c>
      <c r="D511" s="689" t="s">
        <v>10357</v>
      </c>
      <c r="E511" s="690"/>
      <c r="F511" s="691"/>
      <c r="I511" t="b">
        <f>IF('PI-1-MarineLoading'!$G$115=0,TRUE,IF('PI-1-MarineLoading'!$G$129="NO",TRUE,FALSE))</f>
        <v>1</v>
      </c>
    </row>
    <row r="512" spans="1:9" ht="28.5" x14ac:dyDescent="0.2">
      <c r="A512" s="173">
        <v>66</v>
      </c>
      <c r="B512" s="16" t="s">
        <v>8822</v>
      </c>
      <c r="C512" s="689" t="str">
        <f>"Temporary Thermal Oxidizer (FIN: "&amp;MSS!$D$119&amp;")"</f>
        <v>Temporary Thermal Oxidizer (FIN: )</v>
      </c>
      <c r="D512" s="690"/>
      <c r="E512" s="690"/>
      <c r="F512" s="691"/>
      <c r="H512" t="s">
        <v>10419</v>
      </c>
      <c r="I512" t="b">
        <f>IF('PI-1-MarineLoading'!$G$115=0,TRUE,IF('PI-1-MarineLoading'!$G$131="NO",TRUE,FALSE))</f>
        <v>1</v>
      </c>
    </row>
    <row r="513" spans="1:9" ht="33" customHeight="1" x14ac:dyDescent="0.2">
      <c r="A513" s="173">
        <v>66</v>
      </c>
      <c r="B513" s="223" t="s">
        <v>8822</v>
      </c>
      <c r="C513" s="226" t="s">
        <v>8855</v>
      </c>
      <c r="D513" s="689" t="s">
        <v>9031</v>
      </c>
      <c r="E513" s="690"/>
      <c r="F513" s="691"/>
      <c r="I513" t="b">
        <f>IF('PI-1-MarineLoading'!$G$115=0,TRUE,IF('PI-1-MarineLoading'!$G$131="NO",TRUE,FALSE))</f>
        <v>1</v>
      </c>
    </row>
    <row r="514" spans="1:9" ht="87.75" customHeight="1" x14ac:dyDescent="0.2">
      <c r="A514" s="173">
        <v>66</v>
      </c>
      <c r="B514" s="223" t="s">
        <v>8822</v>
      </c>
      <c r="C514" s="226" t="s">
        <v>8857</v>
      </c>
      <c r="D514" s="689" t="s">
        <v>9032</v>
      </c>
      <c r="E514" s="690"/>
      <c r="F514" s="691"/>
      <c r="I514" t="b">
        <f>IF('PI-1-MarineLoading'!$G$115=0,TRUE,IF('PI-1-MarineLoading'!$G$131="NO",TRUE,FALSE))</f>
        <v>1</v>
      </c>
    </row>
    <row r="515" spans="1:9" ht="28.5" x14ac:dyDescent="0.2">
      <c r="A515" s="173">
        <v>66</v>
      </c>
      <c r="B515" s="16" t="s">
        <v>8824</v>
      </c>
      <c r="C515" s="689" t="str">
        <f>"Temporary vapor combustion unit (VCU) (FIN: "&amp;MSS!$D$89&amp;")"</f>
        <v>Temporary vapor combustion unit (VCU) (FIN: )</v>
      </c>
      <c r="D515" s="690"/>
      <c r="E515" s="690"/>
      <c r="F515" s="691"/>
      <c r="H515" t="s">
        <v>10420</v>
      </c>
      <c r="I515" t="b">
        <f>IF('PI-1-MarineLoading'!$G$115=0,TRUE,IF('PI-1-MarineLoading'!$G$130="NO",TRUE,FALSE))</f>
        <v>1</v>
      </c>
    </row>
    <row r="516" spans="1:9" ht="32.25" customHeight="1" x14ac:dyDescent="0.2">
      <c r="A516" s="173">
        <v>66</v>
      </c>
      <c r="B516" s="223" t="s">
        <v>8824</v>
      </c>
      <c r="C516" s="226" t="s">
        <v>8855</v>
      </c>
      <c r="D516" s="689" t="s">
        <v>10358</v>
      </c>
      <c r="E516" s="690"/>
      <c r="F516" s="691"/>
      <c r="I516" t="b">
        <f>IF('PI-1-MarineLoading'!$G$115=0,TRUE,IF('PI-1-MarineLoading'!$G$130="NO",TRUE,FALSE))</f>
        <v>1</v>
      </c>
    </row>
    <row r="517" spans="1:9" ht="44.25" customHeight="1" x14ac:dyDescent="0.2">
      <c r="A517" s="173">
        <v>66</v>
      </c>
      <c r="B517" s="223" t="s">
        <v>8824</v>
      </c>
      <c r="C517" s="226" t="s">
        <v>8857</v>
      </c>
      <c r="D517" s="689" t="str">
        <f>"The temporary VCU shall achieve "&amp;MSS!$D$99&amp;" percent control of the VOC in the waste gas directed to them. This shall be ensured by maintaining the temperature in, or immediately downstream of, the combustion chamber above 1400º F, except during periods of startup or shutdown."</f>
        <v>The temporary VCU shall achieve  percent control of the VOC in the waste gas directed to them. This shall be ensured by maintaining the temperature in, or immediately downstream of, the combustion chamber above 1400º F, except during periods of startup or shutdown.</v>
      </c>
      <c r="E517" s="690"/>
      <c r="F517" s="691"/>
      <c r="H517" t="s">
        <v>10389</v>
      </c>
      <c r="I517" t="b">
        <f>IF('PI-1-MarineLoading'!$G$115=0,TRUE,IF('PI-1-MarineLoading'!$G$130="NO",TRUE,FALSE))</f>
        <v>1</v>
      </c>
    </row>
    <row r="518" spans="1:9" x14ac:dyDescent="0.2">
      <c r="A518" s="173">
        <v>66</v>
      </c>
      <c r="B518" s="223" t="s">
        <v>8824</v>
      </c>
      <c r="C518" s="226" t="s">
        <v>8882</v>
      </c>
      <c r="D518" s="689" t="s">
        <v>10359</v>
      </c>
      <c r="E518" s="690"/>
      <c r="F518" s="691"/>
      <c r="I518" t="b">
        <f>IF('PI-1-MarineLoading'!$G$115=0,TRUE,IF('PI-1-MarineLoading'!$G$130="NO",TRUE,FALSE))</f>
        <v>1</v>
      </c>
    </row>
    <row r="519" spans="1:9" x14ac:dyDescent="0.2">
      <c r="A519" s="173">
        <v>66</v>
      </c>
      <c r="B519" s="223" t="s">
        <v>8824</v>
      </c>
      <c r="C519" s="226" t="s">
        <v>8928</v>
      </c>
      <c r="D519" s="689" t="str">
        <f>"Maximum firing capacity of the temporary VCU shall not exceed"&amp;MSS!$D$100&amp;" MMBtu/hr."</f>
        <v>Maximum firing capacity of the temporary VCU shall not exceed MMBtu/hr.</v>
      </c>
      <c r="E519" s="690"/>
      <c r="F519" s="691"/>
      <c r="H519" t="s">
        <v>10389</v>
      </c>
      <c r="I519" t="b">
        <f>IF('PI-1-MarineLoading'!$G$115=0,TRUE,IF('PI-1-MarineLoading'!$G$130="NO",TRUE,FALSE))</f>
        <v>1</v>
      </c>
    </row>
    <row r="520" spans="1:9" ht="32.25" customHeight="1" x14ac:dyDescent="0.2">
      <c r="A520" s="173">
        <v>66</v>
      </c>
      <c r="B520" s="223" t="s">
        <v>8824</v>
      </c>
      <c r="C520" s="226" t="s">
        <v>8940</v>
      </c>
      <c r="D520" s="689" t="s">
        <v>9281</v>
      </c>
      <c r="E520" s="690"/>
      <c r="F520" s="691"/>
      <c r="I520" t="b">
        <f>IF('PI-1-MarineLoading'!$G$115=0,TRUE,IF('PI-1-MarineLoading'!$G$130="NO",TRUE,FALSE))</f>
        <v>1</v>
      </c>
    </row>
    <row r="521" spans="1:9" x14ac:dyDescent="0.2">
      <c r="A521" s="173">
        <v>66</v>
      </c>
      <c r="B521" s="223" t="s">
        <v>8824</v>
      </c>
      <c r="C521" s="318" t="s">
        <v>8940</v>
      </c>
      <c r="D521" s="16" t="s">
        <v>8986</v>
      </c>
      <c r="E521" s="689" t="s">
        <v>9033</v>
      </c>
      <c r="F521" s="691"/>
      <c r="I521" t="b">
        <f>IF('PI-1-MarineLoading'!$G$115=0,TRUE,IF('PI-1-MarineLoading'!$G$130="NO",TRUE,FALSE))</f>
        <v>1</v>
      </c>
    </row>
    <row r="522" spans="1:9" ht="33.75" customHeight="1" x14ac:dyDescent="0.2">
      <c r="A522" s="173">
        <v>66</v>
      </c>
      <c r="B522" s="223" t="s">
        <v>8824</v>
      </c>
      <c r="C522" s="318" t="s">
        <v>8940</v>
      </c>
      <c r="D522" s="16" t="s">
        <v>8988</v>
      </c>
      <c r="E522" s="689" t="s">
        <v>9034</v>
      </c>
      <c r="F522" s="691"/>
      <c r="I522" t="b">
        <f>IF('PI-1-MarineLoading'!$G$115=0,TRUE,IF('PI-1-MarineLoading'!$G$130="NO",TRUE,FALSE))</f>
        <v>1</v>
      </c>
    </row>
    <row r="523" spans="1:9" ht="33.75" customHeight="1" x14ac:dyDescent="0.2">
      <c r="A523" s="173">
        <v>66</v>
      </c>
      <c r="B523" s="223" t="s">
        <v>8824</v>
      </c>
      <c r="C523" s="318" t="s">
        <v>8940</v>
      </c>
      <c r="D523" s="16" t="s">
        <v>9001</v>
      </c>
      <c r="E523" s="689" t="s">
        <v>9035</v>
      </c>
      <c r="F523" s="691"/>
      <c r="I523" t="b">
        <f>IF('PI-1-MarineLoading'!$G$115=0,TRUE,IF('PI-1-MarineLoading'!$G$130="NO",TRUE,FALSE))</f>
        <v>1</v>
      </c>
    </row>
    <row r="524" spans="1:9" ht="33.75" customHeight="1" x14ac:dyDescent="0.2">
      <c r="A524" s="173">
        <v>66</v>
      </c>
      <c r="B524" s="223" t="s">
        <v>8824</v>
      </c>
      <c r="C524" s="318" t="s">
        <v>8940</v>
      </c>
      <c r="D524" s="16" t="s">
        <v>9011</v>
      </c>
      <c r="E524" s="689" t="s">
        <v>9036</v>
      </c>
      <c r="F524" s="691"/>
      <c r="I524" t="b">
        <f>IF('PI-1-MarineLoading'!$G$115=0,TRUE,IF('PI-1-MarineLoading'!$G$130="NO",TRUE,FALSE))</f>
        <v>1</v>
      </c>
    </row>
    <row r="525" spans="1:9" ht="48" customHeight="1" thickBot="1" x14ac:dyDescent="0.25">
      <c r="A525" s="227">
        <v>67</v>
      </c>
      <c r="B525" s="734" t="s">
        <v>9037</v>
      </c>
      <c r="C525" s="693"/>
      <c r="D525" s="693"/>
      <c r="E525" s="693"/>
      <c r="F525" s="735"/>
      <c r="I525" t="b">
        <v>0</v>
      </c>
    </row>
    <row r="526" spans="1:9" ht="15.75" thickBot="1" x14ac:dyDescent="0.25">
      <c r="A526" s="1145" t="s">
        <v>9038</v>
      </c>
      <c r="B526" s="1146"/>
      <c r="C526" s="1146"/>
      <c r="D526" s="1146"/>
      <c r="E526" s="1146"/>
      <c r="F526" s="1147"/>
      <c r="I526" t="b">
        <f>IF('PI-1-MarineLoading'!$G$128="No",TRUE,IF(COUNTIF(MSS!$G$13:$G$23,"No")=11,TRUE,FALSE))</f>
        <v>0</v>
      </c>
    </row>
    <row r="527" spans="1:9" ht="15" x14ac:dyDescent="0.2">
      <c r="A527" s="539" t="s">
        <v>9039</v>
      </c>
      <c r="B527" s="540"/>
      <c r="C527" s="540"/>
      <c r="D527" s="540"/>
      <c r="E527" s="540"/>
      <c r="F527" s="541"/>
      <c r="I527" t="b">
        <f>IF('PI-1-MarineLoading'!$G$128="No",TRUE,IF(COUNTIF(MSS!$G$13:$G$23,"No")=11,TRUE,FALSE))</f>
        <v>0</v>
      </c>
    </row>
    <row r="528" spans="1:9" ht="15" x14ac:dyDescent="0.2">
      <c r="A528" s="564" t="s">
        <v>258</v>
      </c>
      <c r="B528" s="563"/>
      <c r="C528" s="563"/>
      <c r="D528" s="563"/>
      <c r="E528" s="563"/>
      <c r="F528" s="80" t="s">
        <v>9193</v>
      </c>
      <c r="I528" t="b">
        <f>IF('PI-1-MarineLoading'!$G$128="No",TRUE,IF(COUNTIF(MSS!$G$13:$G$23,"No")=11,TRUE,FALSE))</f>
        <v>0</v>
      </c>
    </row>
    <row r="529" spans="1:9" x14ac:dyDescent="0.2">
      <c r="A529" s="530" t="s">
        <v>241</v>
      </c>
      <c r="B529" s="531"/>
      <c r="C529" s="531"/>
      <c r="D529" s="531"/>
      <c r="E529" s="531"/>
      <c r="F529" s="29" t="s">
        <v>229</v>
      </c>
      <c r="I529" t="b">
        <f>IF('PI-1-MarineLoading'!$G$128="No",TRUE,IF(COUNTIF(MSS!$G$13:$G$23,"No")=11,TRUE,IF(MSS!$G13&lt;&gt;"Yes",TRUE,FALSE)))</f>
        <v>1</v>
      </c>
    </row>
    <row r="530" spans="1:9" x14ac:dyDescent="0.2">
      <c r="A530" s="530" t="s">
        <v>9040</v>
      </c>
      <c r="B530" s="531"/>
      <c r="C530" s="531"/>
      <c r="D530" s="531"/>
      <c r="E530" s="531"/>
      <c r="F530" s="29" t="s">
        <v>9194</v>
      </c>
      <c r="I530" t="b">
        <f>IF('PI-1-MarineLoading'!$G$128="No",TRUE,IF(COUNTIF(MSS!$G$13:$G$23,"No")=11,TRUE,IF(MSS!$G14&lt;&gt;"Yes",TRUE,FALSE)))</f>
        <v>1</v>
      </c>
    </row>
    <row r="531" spans="1:9" x14ac:dyDescent="0.2">
      <c r="A531" s="530" t="s">
        <v>243</v>
      </c>
      <c r="B531" s="531"/>
      <c r="C531" s="531"/>
      <c r="D531" s="531"/>
      <c r="E531" s="531"/>
      <c r="F531" s="29" t="s">
        <v>10427</v>
      </c>
      <c r="I531" t="b">
        <f>IF('PI-1-MarineLoading'!$G$128="No",TRUE,IF(COUNTIF(MSS!$G$13:$G$23,"No")=11,TRUE,IF(MSS!$G15&lt;&gt;"Yes",TRUE,FALSE)))</f>
        <v>1</v>
      </c>
    </row>
    <row r="532" spans="1:9" x14ac:dyDescent="0.2">
      <c r="A532" s="530" t="s">
        <v>244</v>
      </c>
      <c r="B532" s="531"/>
      <c r="C532" s="531"/>
      <c r="D532" s="531"/>
      <c r="E532" s="531"/>
      <c r="F532" s="29" t="s">
        <v>229</v>
      </c>
      <c r="I532" t="b">
        <f>IF('PI-1-MarineLoading'!$G$128="No",TRUE,IF(COUNTIF(MSS!$G$13:$G$23,"No")=11,TRUE,IF(MSS!$G16&lt;&gt;"Yes",TRUE,FALSE)))</f>
        <v>1</v>
      </c>
    </row>
    <row r="533" spans="1:9" x14ac:dyDescent="0.2">
      <c r="A533" s="530" t="s">
        <v>245</v>
      </c>
      <c r="B533" s="531"/>
      <c r="C533" s="531"/>
      <c r="D533" s="531"/>
      <c r="E533" s="531"/>
      <c r="F533" s="29" t="s">
        <v>263</v>
      </c>
      <c r="I533" t="b">
        <f>IF('PI-1-MarineLoading'!$G$128="No",TRUE,IF(COUNTIF(MSS!$G$13:$G$23,"No")=11,TRUE,IF(MSS!$G17&lt;&gt;"Yes",TRUE,FALSE)))</f>
        <v>1</v>
      </c>
    </row>
    <row r="534" spans="1:9" x14ac:dyDescent="0.2">
      <c r="A534" s="530" t="s">
        <v>246</v>
      </c>
      <c r="B534" s="531"/>
      <c r="C534" s="531"/>
      <c r="D534" s="531"/>
      <c r="E534" s="531"/>
      <c r="F534" s="29" t="s">
        <v>229</v>
      </c>
      <c r="I534" t="b">
        <f>IF('PI-1-MarineLoading'!$G$128="No",TRUE,IF(COUNTIF(MSS!$G$13:$G$23,"No")=11,TRUE,IF(MSS!$G18&lt;&gt;"Yes",TRUE,FALSE)))</f>
        <v>1</v>
      </c>
    </row>
    <row r="535" spans="1:9" x14ac:dyDescent="0.2">
      <c r="A535" s="530" t="s">
        <v>247</v>
      </c>
      <c r="B535" s="531"/>
      <c r="C535" s="531"/>
      <c r="D535" s="531"/>
      <c r="E535" s="531"/>
      <c r="F535" s="29" t="s">
        <v>229</v>
      </c>
      <c r="I535" t="b">
        <f>IF('PI-1-MarineLoading'!$G$128="No",TRUE,IF(COUNTIF(MSS!$G$13:$G$23,"No")=11,TRUE,IF(MSS!$G19&lt;&gt;"Yes",TRUE,FALSE)))</f>
        <v>1</v>
      </c>
    </row>
    <row r="536" spans="1:9" x14ac:dyDescent="0.2">
      <c r="A536" s="530" t="s">
        <v>248</v>
      </c>
      <c r="B536" s="531"/>
      <c r="C536" s="531"/>
      <c r="D536" s="531"/>
      <c r="E536" s="531"/>
      <c r="F536" s="29" t="s">
        <v>229</v>
      </c>
      <c r="I536" t="b">
        <f>IF('PI-1-MarineLoading'!$G$128="No",TRUE,IF(COUNTIF(MSS!$G$13:$G$23,"No")=11,TRUE,IF(MSS!$G20&lt;&gt;"Yes",TRUE,FALSE)))</f>
        <v>1</v>
      </c>
    </row>
    <row r="537" spans="1:9" x14ac:dyDescent="0.2">
      <c r="A537" s="530" t="s">
        <v>249</v>
      </c>
      <c r="B537" s="531"/>
      <c r="C537" s="531"/>
      <c r="D537" s="531"/>
      <c r="E537" s="531"/>
      <c r="F537" s="29" t="s">
        <v>229</v>
      </c>
      <c r="I537" t="b">
        <f>IF('PI-1-MarineLoading'!$G$128="No",TRUE,IF(COUNTIF(MSS!$G$13:$G$23,"No")=11,TRUE,IF(MSS!$G21&lt;&gt;"Yes",TRUE,FALSE)))</f>
        <v>1</v>
      </c>
    </row>
    <row r="538" spans="1:9" x14ac:dyDescent="0.2">
      <c r="A538" s="530" t="s">
        <v>9041</v>
      </c>
      <c r="B538" s="531"/>
      <c r="C538" s="531"/>
      <c r="D538" s="531"/>
      <c r="E538" s="531"/>
      <c r="F538" s="29" t="s">
        <v>229</v>
      </c>
      <c r="I538" t="b">
        <f>IF('PI-1-MarineLoading'!$G$128="No",TRUE,IF(COUNTIF(MSS!$G$13:$G$23,"No")=11,TRUE,IF(MSS!$G22&lt;&gt;"Yes",TRUE,FALSE)))</f>
        <v>1</v>
      </c>
    </row>
    <row r="539" spans="1:9" ht="15" thickBot="1" x14ac:dyDescent="0.25">
      <c r="A539" s="483" t="s">
        <v>251</v>
      </c>
      <c r="B539" s="484"/>
      <c r="C539" s="484"/>
      <c r="D539" s="484"/>
      <c r="E539" s="484"/>
      <c r="F539" s="113" t="s">
        <v>229</v>
      </c>
      <c r="I539" t="b">
        <f>IF('PI-1-MarineLoading'!$G$128="No",TRUE,IF(COUNTIF(MSS!$G$13:$G$23,"No")=11,TRUE,IF(MSS!$G23&lt;&gt;"Yes",TRUE,FALSE)))</f>
        <v>1</v>
      </c>
    </row>
    <row r="540" spans="1:9" ht="15.75" thickBot="1" x14ac:dyDescent="0.25">
      <c r="A540" s="1145" t="s">
        <v>9042</v>
      </c>
      <c r="B540" s="1146"/>
      <c r="C540" s="1146"/>
      <c r="D540" s="1146"/>
      <c r="E540" s="1146"/>
      <c r="F540" s="1147"/>
      <c r="I540" t="b">
        <f>IF('PI-1-MarineLoading'!$G$128="No",TRUE,IF(COUNTIF(MSS!$G$25:$G$31,"No")=7,TRUE,FALSE))</f>
        <v>0</v>
      </c>
    </row>
    <row r="541" spans="1:9" ht="15" x14ac:dyDescent="0.2">
      <c r="A541" s="539" t="s">
        <v>9043</v>
      </c>
      <c r="B541" s="540"/>
      <c r="C541" s="540"/>
      <c r="D541" s="540"/>
      <c r="E541" s="540"/>
      <c r="F541" s="541"/>
      <c r="H541" s="89"/>
      <c r="I541" t="b">
        <f>IF('PI-1-MarineLoading'!$G$128="No",TRUE,IF(COUNTIF(MSS!$G$25:$G$31,"No")=7,TRUE,FALSE))</f>
        <v>0</v>
      </c>
    </row>
    <row r="542" spans="1:9" x14ac:dyDescent="0.2">
      <c r="A542" s="530" t="s">
        <v>252</v>
      </c>
      <c r="B542" s="531"/>
      <c r="C542" s="531"/>
      <c r="D542" s="531"/>
      <c r="E542" s="531"/>
      <c r="F542" s="538"/>
      <c r="I542" t="b">
        <f>IF('PI-1-MarineLoading'!$G$128="No",TRUE,IF(COUNTIF(MSS!$G$25:$G$31,"No")=7,TRUE,IF(MSS!$G25&lt;&gt;"Yes",TRUE,FALSE)))</f>
        <v>1</v>
      </c>
    </row>
    <row r="543" spans="1:9" x14ac:dyDescent="0.2">
      <c r="A543" s="530" t="s">
        <v>253</v>
      </c>
      <c r="B543" s="531"/>
      <c r="C543" s="531"/>
      <c r="D543" s="531"/>
      <c r="E543" s="531"/>
      <c r="F543" s="538"/>
      <c r="I543" t="b">
        <f>IF('PI-1-MarineLoading'!$G$128="No",TRUE,IF(COUNTIF(MSS!$G$25:$G$31,"No")=7,TRUE,IF(MSS!$G26&lt;&gt;"Yes",TRUE,FALSE)))</f>
        <v>1</v>
      </c>
    </row>
    <row r="544" spans="1:9" x14ac:dyDescent="0.2">
      <c r="A544" s="530" t="s">
        <v>9044</v>
      </c>
      <c r="B544" s="531"/>
      <c r="C544" s="531"/>
      <c r="D544" s="531"/>
      <c r="E544" s="531"/>
      <c r="F544" s="538"/>
      <c r="I544" t="b">
        <f>IF('PI-1-MarineLoading'!$G$128="No",TRUE,IF(COUNTIF(MSS!$G$25:$G$31,"No")=7,TRUE,IF(MSS!$G27&lt;&gt;"Yes",TRUE,FALSE)))</f>
        <v>1</v>
      </c>
    </row>
    <row r="545" spans="1:9" x14ac:dyDescent="0.2">
      <c r="A545" s="530" t="s">
        <v>254</v>
      </c>
      <c r="B545" s="531"/>
      <c r="C545" s="531"/>
      <c r="D545" s="531"/>
      <c r="E545" s="531"/>
      <c r="F545" s="538"/>
      <c r="I545" t="b">
        <f>IF('PI-1-MarineLoading'!$G$128="No",TRUE,IF(COUNTIF(MSS!$G$25:$G$31,"No")=7,TRUE,IF(MSS!$G28&lt;&gt;"Yes",TRUE,FALSE)))</f>
        <v>1</v>
      </c>
    </row>
    <row r="546" spans="1:9" x14ac:dyDescent="0.2">
      <c r="A546" s="530" t="s">
        <v>255</v>
      </c>
      <c r="B546" s="531"/>
      <c r="C546" s="531"/>
      <c r="D546" s="531"/>
      <c r="E546" s="531"/>
      <c r="F546" s="538"/>
      <c r="I546" t="b">
        <f>IF('PI-1-MarineLoading'!$G$128="No",TRUE,IF(COUNTIF(MSS!$G$25:$G$31,"No")=7,TRUE,IF(MSS!$G29&lt;&gt;"Yes",TRUE,FALSE)))</f>
        <v>1</v>
      </c>
    </row>
    <row r="547" spans="1:9" x14ac:dyDescent="0.2">
      <c r="A547" s="530" t="s">
        <v>256</v>
      </c>
      <c r="B547" s="531"/>
      <c r="C547" s="531"/>
      <c r="D547" s="531"/>
      <c r="E547" s="531"/>
      <c r="F547" s="538"/>
      <c r="I547" t="b">
        <f>IF('PI-1-MarineLoading'!$G$128="No",TRUE,IF(COUNTIF(MSS!$G$25:$G$31,"No")=7,TRUE,IF(MSS!$G30&lt;&gt;"Yes",TRUE,FALSE)))</f>
        <v>1</v>
      </c>
    </row>
    <row r="548" spans="1:9" ht="15" thickBot="1" x14ac:dyDescent="0.25">
      <c r="A548" s="483" t="s">
        <v>257</v>
      </c>
      <c r="B548" s="484"/>
      <c r="C548" s="484"/>
      <c r="D548" s="484"/>
      <c r="E548" s="484"/>
      <c r="F548" s="485"/>
      <c r="I548" t="b">
        <f>IF('PI-1-MarineLoading'!$G$128="No",TRUE,IF(COUNTIF(MSS!$G$25:$G$31,"No")=7,TRUE,IF(MSS!$G31&lt;&gt;"Yes",TRUE,FALSE)))</f>
        <v>1</v>
      </c>
    </row>
    <row r="549" spans="1:9" ht="15.75" thickBot="1" x14ac:dyDescent="0.25">
      <c r="A549" s="1145" t="s">
        <v>9045</v>
      </c>
      <c r="B549" s="1146"/>
      <c r="C549" s="1146"/>
      <c r="D549" s="1146"/>
      <c r="E549" s="1146"/>
      <c r="F549" s="1147"/>
      <c r="I549" t="b">
        <f>'PI-1-MarineLoading'!$G$128="No"</f>
        <v>0</v>
      </c>
    </row>
    <row r="550" spans="1:9" ht="15.75" thickBot="1" x14ac:dyDescent="0.25">
      <c r="A550" s="1145" t="s">
        <v>9046</v>
      </c>
      <c r="B550" s="1146"/>
      <c r="C550" s="1146"/>
      <c r="D550" s="1146"/>
      <c r="E550" s="1146"/>
      <c r="F550" s="1147"/>
      <c r="H550" s="89"/>
      <c r="I550" t="b">
        <f>'PI-1-MarineLoading'!$G$128="No"</f>
        <v>0</v>
      </c>
    </row>
    <row r="551" spans="1:9" ht="15" x14ac:dyDescent="0.2">
      <c r="A551" s="539" t="s">
        <v>9195</v>
      </c>
      <c r="B551" s="540"/>
      <c r="C551" s="540"/>
      <c r="D551" s="540"/>
      <c r="E551" s="540"/>
      <c r="F551" s="117" t="s">
        <v>10554</v>
      </c>
      <c r="I551" t="b">
        <f>'PI-1-MarineLoading'!$G$128="No"</f>
        <v>0</v>
      </c>
    </row>
    <row r="552" spans="1:9" ht="52.5" customHeight="1" x14ac:dyDescent="0.2">
      <c r="A552" s="530" t="s">
        <v>10421</v>
      </c>
      <c r="B552" s="531"/>
      <c r="C552" s="531"/>
      <c r="D552" s="531"/>
      <c r="E552" s="531"/>
      <c r="F552" s="29" t="str">
        <f>Hidden!BN2&amp;IF(Hidden!BN3=0,"",", "&amp;Hidden!BN3)&amp;IF(Hidden!BN4=0,"",", "&amp;Hidden!BN4)&amp;IF(Hidden!BN5=0,"",", "&amp;Hidden!BN5)&amp;IF(Hidden!BN6=0,"",", "&amp;Hidden!BN6)&amp;IF(Hidden!BN7=0,"",Hidden!BN7)</f>
        <v>0</v>
      </c>
      <c r="H552" t="s">
        <v>10555</v>
      </c>
      <c r="I552" t="b">
        <f>IF('PI-1-MarineLoading'!$G$128="No",TRUE,IF('PI-1-MarineLoading'!$G$115=0,TRUE,IF((COUNTIF(Tank1!$D$18,"*floating*")+COUNTIF(Tank2!$D$18,"*floating*")+COUNTIF(Tank3!$D$18,"*floating*")+COUNTIF(Tank4!$D$18,"*floating*")+COUNTIF(Tank5!$D$18,"*floating*"))=0,TRUE,FALSE)))</f>
        <v>1</v>
      </c>
    </row>
    <row r="553" spans="1:9" ht="52.5" customHeight="1" x14ac:dyDescent="0.2">
      <c r="A553" s="530" t="s">
        <v>9196</v>
      </c>
      <c r="B553" s="531"/>
      <c r="C553" s="531"/>
      <c r="D553" s="531"/>
      <c r="E553" s="531"/>
      <c r="F553" s="29" t="str">
        <f>Hidden!BR2&amp;IF(Hidden!BR3=0,"",", "&amp;Hidden!BR3)&amp;IF(Hidden!BR4=0,"",", "&amp;Hidden!BR4)&amp;IF(Hidden!BR5=0,"",", "&amp;Hidden!BR5)&amp;IF(Hidden!BR6=0,"",", "&amp;Hidden!BR6)&amp;IF(Hidden!BR7=0,"",Hidden!BR7)</f>
        <v>0</v>
      </c>
      <c r="H553" t="s">
        <v>10555</v>
      </c>
      <c r="I553" t="b">
        <f>IF('PI-1-MarineLoading'!$G$128="No",TRUE,IF('PI-1-MarineLoading'!$G$115=0,TRUE,IF((COUNTIF(Tank1!$D$18,"*fixed*")+COUNTIF(Tank2!$D$18,"*fixed*")+COUNTIF(Tank3!$D$18,"*fixed*")+COUNTIF(Tank4!$D$18,"*fixed*")+COUNTIF(Tank5!$D$18,"*fixed*"))=0,TRUE,FALSE)))</f>
        <v>1</v>
      </c>
    </row>
    <row r="554" spans="1:9" ht="52.5" customHeight="1" x14ac:dyDescent="0.2">
      <c r="A554" s="530" t="s">
        <v>10422</v>
      </c>
      <c r="B554" s="531"/>
      <c r="C554" s="531"/>
      <c r="D554" s="531"/>
      <c r="E554" s="531"/>
      <c r="F554" s="29" t="s">
        <v>8685</v>
      </c>
      <c r="H554" t="s">
        <v>10555</v>
      </c>
      <c r="I554" t="b">
        <f>IF('PI-1-MarineLoading'!$G$128="No",TRUE,IF(AND(COUNTIF(MSS!$G$13:$G$23,"&lt;&gt;"&amp;"Yes")=11,COUNTIF(MSS!$G$25:$G$31,"&lt;&gt;"&amp;"Yes")=7),TRUE,FALSE))</f>
        <v>1</v>
      </c>
    </row>
    <row r="555" spans="1:9" ht="52.5" customHeight="1" thickBot="1" x14ac:dyDescent="0.25">
      <c r="A555" s="483" t="s">
        <v>10423</v>
      </c>
      <c r="B555" s="484"/>
      <c r="C555" s="484"/>
      <c r="D555" s="484"/>
      <c r="E555" s="484"/>
      <c r="F555" s="113" t="s">
        <v>8685</v>
      </c>
      <c r="H555" t="s">
        <v>10555</v>
      </c>
      <c r="I555" t="b">
        <f>IF('PI-1-MarineLoading'!$G$128="No",TRUE,IF(AND($I$552=TRUE,$I$553=TRUE),TRUE,FALSE))</f>
        <v>1</v>
      </c>
    </row>
    <row r="556" spans="1:9" ht="15.75" thickBot="1" x14ac:dyDescent="0.25">
      <c r="A556" s="1139" t="s">
        <v>9047</v>
      </c>
      <c r="B556" s="1140"/>
      <c r="C556" s="1140"/>
      <c r="D556" s="1140"/>
      <c r="E556" s="1140"/>
      <c r="F556" s="1141"/>
      <c r="I556" t="b">
        <f>COUNTIF('PI-1-MarineLoading'!$G$116:$G$120,"no")=5</f>
        <v>0</v>
      </c>
    </row>
    <row r="557" spans="1:9" ht="15.75" thickBot="1" x14ac:dyDescent="0.25">
      <c r="A557" s="1142" t="s">
        <v>10529</v>
      </c>
      <c r="B557" s="1143"/>
      <c r="C557" s="1143"/>
      <c r="D557" s="1143"/>
      <c r="E557" s="1143"/>
      <c r="F557" s="1144"/>
      <c r="I557" t="b">
        <f>COUNTIF('PI-1-MarineLoading'!$G$116:$G$120,"no")=5</f>
        <v>0</v>
      </c>
    </row>
    <row r="558" spans="1:9" ht="31.5" customHeight="1" x14ac:dyDescent="0.2">
      <c r="A558" s="539" t="s">
        <v>236</v>
      </c>
      <c r="B558" s="540"/>
      <c r="C558" s="540"/>
      <c r="D558" s="540"/>
      <c r="E558" s="49" t="s">
        <v>9197</v>
      </c>
      <c r="F558" s="117" t="s">
        <v>288</v>
      </c>
      <c r="I558" t="b">
        <f>COUNTIF('PI-1-MarineLoading'!$G$116:$G$120,"no")=5</f>
        <v>0</v>
      </c>
    </row>
    <row r="559" spans="1:9" ht="15" x14ac:dyDescent="0.2">
      <c r="A559" s="565" t="str">
        <f>"FIN "&amp;'Load-DrumTote'!$F$7&amp;": Drum or tote loading"</f>
        <v>FIN : Drum or tote loading</v>
      </c>
      <c r="B559" s="566"/>
      <c r="C559" s="566"/>
      <c r="D559" s="566"/>
      <c r="E559" s="566"/>
      <c r="F559" s="567"/>
      <c r="H559" t="s">
        <v>10389</v>
      </c>
      <c r="I559" t="b">
        <f>IF(COUNTIF('PI-1-MarineLoading'!$G$116:$G$120,"no")=5,TRUE,IF('PI-1-MarineLoading'!$G$116="NO",TRUE,FALSE))</f>
        <v>0</v>
      </c>
    </row>
    <row r="560" spans="1:9" x14ac:dyDescent="0.2">
      <c r="A560" s="530">
        <f>'Load-DrumTote'!$A$27</f>
        <v>0</v>
      </c>
      <c r="B560" s="531"/>
      <c r="C560" s="531"/>
      <c r="D560" s="531"/>
      <c r="E560" s="273">
        <f>'Load-DrumTote'!C$27</f>
        <v>0</v>
      </c>
      <c r="F560" s="274">
        <f>'Load-DrumTote'!D$27</f>
        <v>0</v>
      </c>
      <c r="H560" t="s">
        <v>10389</v>
      </c>
      <c r="I560" t="b">
        <f>IF(COUNTIF('PI-1-MarineLoading'!$G$116:$G$120,"no")=5,TRUE,IF('PI-1-MarineLoading'!$G$116="NO",TRUE,IF($A560=0,TRUE,FALSE)))</f>
        <v>1</v>
      </c>
    </row>
    <row r="561" spans="1:9" ht="14.25" customHeight="1" x14ac:dyDescent="0.2">
      <c r="A561" s="744">
        <f>'Load-DrumTote'!A38:B38</f>
        <v>0</v>
      </c>
      <c r="B561" s="690"/>
      <c r="C561" s="690"/>
      <c r="D561" s="758"/>
      <c r="E561" s="273">
        <f>'Load-DrumTote'!C$38</f>
        <v>0</v>
      </c>
      <c r="F561" s="274">
        <f>'Load-DrumTote'!D$38</f>
        <v>0</v>
      </c>
      <c r="H561" t="s">
        <v>10389</v>
      </c>
      <c r="I561" t="b">
        <f>IF(COUNTIF('PI-1-MarineLoading'!$G$116:$G$120,"no")=5,TRUE,IF('PI-1-MarineLoading'!$G$116="NO",TRUE,IF($A561=0,TRUE,FALSE)))</f>
        <v>1</v>
      </c>
    </row>
    <row r="562" spans="1:9" ht="14.25" customHeight="1" x14ac:dyDescent="0.2">
      <c r="A562" s="744">
        <f>'Load-DrumTote'!$A$49</f>
        <v>0</v>
      </c>
      <c r="B562" s="690"/>
      <c r="C562" s="690"/>
      <c r="D562" s="758"/>
      <c r="E562" s="273">
        <f>'Load-DrumTote'!C$49</f>
        <v>0</v>
      </c>
      <c r="F562" s="274">
        <f>'Load-DrumTote'!D$49</f>
        <v>0</v>
      </c>
      <c r="H562" t="s">
        <v>10389</v>
      </c>
      <c r="I562" t="b">
        <f>IF(COUNTIF('PI-1-MarineLoading'!$G$116:$G$120,"no")=5,TRUE,IF('PI-1-MarineLoading'!$G$116="NO",TRUE,IF($A562=0,TRUE,FALSE)))</f>
        <v>1</v>
      </c>
    </row>
    <row r="563" spans="1:9" ht="14.25" customHeight="1" x14ac:dyDescent="0.2">
      <c r="A563" s="744">
        <f>'Load-DrumTote'!$A$60</f>
        <v>0</v>
      </c>
      <c r="B563" s="690"/>
      <c r="C563" s="690"/>
      <c r="D563" s="758"/>
      <c r="E563" s="273">
        <f>'Load-DrumTote'!C$60</f>
        <v>0</v>
      </c>
      <c r="F563" s="29">
        <f>'Load-DrumTote'!D$60</f>
        <v>0</v>
      </c>
      <c r="H563" t="s">
        <v>10389</v>
      </c>
      <c r="I563" t="b">
        <f>IF(COUNTIF('PI-1-MarineLoading'!$G$116:$G$120,"no")=5,TRUE,IF('PI-1-MarineLoading'!$G$116="NO",TRUE,IF($A563=0,TRUE,FALSE)))</f>
        <v>1</v>
      </c>
    </row>
    <row r="564" spans="1:9" ht="14.25" customHeight="1" x14ac:dyDescent="0.2">
      <c r="A564" s="744">
        <f>'Load-DrumTote'!$A$71</f>
        <v>0</v>
      </c>
      <c r="B564" s="690"/>
      <c r="C564" s="690"/>
      <c r="D564" s="758"/>
      <c r="E564" s="273">
        <f>'Load-DrumTote'!C$71</f>
        <v>0</v>
      </c>
      <c r="F564" s="29">
        <f>'Load-DrumTote'!D$71</f>
        <v>0</v>
      </c>
      <c r="H564" t="s">
        <v>10389</v>
      </c>
      <c r="I564" t="b">
        <f>IF(COUNTIF('PI-1-MarineLoading'!$G$116:$G$120,"no")=5,TRUE,IF('PI-1-MarineLoading'!$G$116="NO",TRUE,IF($A564=0,TRUE,FALSE)))</f>
        <v>1</v>
      </c>
    </row>
    <row r="565" spans="1:9" ht="14.25" customHeight="1" x14ac:dyDescent="0.2">
      <c r="A565" s="744">
        <f>'Load-DrumTote'!$A$82</f>
        <v>0</v>
      </c>
      <c r="B565" s="690"/>
      <c r="C565" s="690"/>
      <c r="D565" s="758"/>
      <c r="E565" s="273">
        <f>'Load-DrumTote'!C$82</f>
        <v>0</v>
      </c>
      <c r="F565" s="29">
        <f>'Load-DrumTote'!D$82</f>
        <v>0</v>
      </c>
      <c r="H565" t="s">
        <v>10389</v>
      </c>
      <c r="I565" t="b">
        <f>IF(COUNTIF('PI-1-MarineLoading'!$G$116:$G$120,"no")=5,TRUE,IF('PI-1-MarineLoading'!$G$116="NO",TRUE,IF($A565=0,TRUE,FALSE)))</f>
        <v>1</v>
      </c>
    </row>
    <row r="566" spans="1:9" ht="14.25" customHeight="1" x14ac:dyDescent="0.2">
      <c r="A566" s="744">
        <f>'Load-DrumTote'!$A$93</f>
        <v>0</v>
      </c>
      <c r="B566" s="690"/>
      <c r="C566" s="690"/>
      <c r="D566" s="758"/>
      <c r="E566" s="273">
        <f>'Load-DrumTote'!C$93</f>
        <v>0</v>
      </c>
      <c r="F566" s="29">
        <f>'Load-DrumTote'!D$93</f>
        <v>0</v>
      </c>
      <c r="H566" t="s">
        <v>10389</v>
      </c>
      <c r="I566" t="b">
        <f>IF(COUNTIF('PI-1-MarineLoading'!$G$116:$G$120,"no")=5,TRUE,IF('PI-1-MarineLoading'!$G$116="NO",TRUE,IF($A566=0,TRUE,FALSE)))</f>
        <v>1</v>
      </c>
    </row>
    <row r="567" spans="1:9" ht="14.25" customHeight="1" x14ac:dyDescent="0.2">
      <c r="A567" s="744">
        <f>'Load-DrumTote'!$A$104</f>
        <v>0</v>
      </c>
      <c r="B567" s="690"/>
      <c r="C567" s="690"/>
      <c r="D567" s="758"/>
      <c r="E567" s="273">
        <f>'Load-DrumTote'!C$104</f>
        <v>0</v>
      </c>
      <c r="F567" s="29">
        <f>'Load-DrumTote'!D$104</f>
        <v>0</v>
      </c>
      <c r="H567" t="s">
        <v>10389</v>
      </c>
      <c r="I567" t="b">
        <f>IF(COUNTIF('PI-1-MarineLoading'!$G$116:$G$120,"no")=5,TRUE,IF('PI-1-MarineLoading'!$G$116="NO",TRUE,IF($A567=0,TRUE,FALSE)))</f>
        <v>1</v>
      </c>
    </row>
    <row r="568" spans="1:9" ht="14.25" customHeight="1" x14ac:dyDescent="0.2">
      <c r="A568" s="744">
        <f>'Load-DrumTote'!$A$115</f>
        <v>0</v>
      </c>
      <c r="B568" s="690"/>
      <c r="C568" s="690"/>
      <c r="D568" s="758"/>
      <c r="E568" s="273">
        <f>'Load-DrumTote'!C$115</f>
        <v>0</v>
      </c>
      <c r="F568" s="29">
        <f>'Load-DrumTote'!D$115</f>
        <v>0</v>
      </c>
      <c r="H568" t="s">
        <v>10389</v>
      </c>
      <c r="I568" t="b">
        <f>IF(COUNTIF('PI-1-MarineLoading'!$G$116:$G$120,"no")=5,TRUE,IF('PI-1-MarineLoading'!$G$116="NO",TRUE,IF($A568=0,TRUE,FALSE)))</f>
        <v>1</v>
      </c>
    </row>
    <row r="569" spans="1:9" ht="14.25" customHeight="1" x14ac:dyDescent="0.2">
      <c r="A569" s="744">
        <f>'Load-DrumTote'!$A$126</f>
        <v>0</v>
      </c>
      <c r="B569" s="690"/>
      <c r="C569" s="690"/>
      <c r="D569" s="758"/>
      <c r="E569" s="273">
        <f>'Load-DrumTote'!C$126</f>
        <v>0</v>
      </c>
      <c r="F569" s="29">
        <f>'Load-DrumTote'!D$126</f>
        <v>0</v>
      </c>
      <c r="H569" t="s">
        <v>10389</v>
      </c>
      <c r="I569" t="b">
        <f>IF(COUNTIF('PI-1-MarineLoading'!$G$116:$G$120,"no")=5,TRUE,IF('PI-1-MarineLoading'!$G$116="NO",TRUE,IF($A569=0,TRUE,FALSE)))</f>
        <v>1</v>
      </c>
    </row>
    <row r="570" spans="1:9" ht="14.25" customHeight="1" x14ac:dyDescent="0.2">
      <c r="A570" s="565" t="str">
        <f>"FIN "&amp;'Load-Truck'!$F$7&amp;": Truck loading"</f>
        <v>FIN : Truck loading</v>
      </c>
      <c r="B570" s="566"/>
      <c r="C570" s="566"/>
      <c r="D570" s="566"/>
      <c r="E570" s="566"/>
      <c r="F570" s="567"/>
      <c r="H570" t="s">
        <v>10389</v>
      </c>
      <c r="I570" t="b">
        <f>IF(COUNTIF('PI-1-MarineLoading'!$G$116:$G$120,"no")=5,TRUE,IF('PI-1-MarineLoading'!$G$117="NO",TRUE,FALSE))</f>
        <v>0</v>
      </c>
    </row>
    <row r="571" spans="1:9" ht="14.25" customHeight="1" x14ac:dyDescent="0.2">
      <c r="A571" s="744">
        <f>'Load-Truck'!$A$27</f>
        <v>0</v>
      </c>
      <c r="B571" s="690"/>
      <c r="C571" s="690"/>
      <c r="D571" s="758"/>
      <c r="E571" s="273">
        <f>'Load-Truck'!C$27</f>
        <v>0</v>
      </c>
      <c r="F571" s="29">
        <f>'Load-Truck'!D$27</f>
        <v>0</v>
      </c>
      <c r="H571" t="s">
        <v>10389</v>
      </c>
      <c r="I571" t="b">
        <f>IF(COUNTIF('PI-1-MarineLoading'!$G$116:$G$120,"no")=5,TRUE,IF('PI-1-MarineLoading'!$G$117="NO",TRUE,IF($A571=0,TRUE,FALSE)))</f>
        <v>1</v>
      </c>
    </row>
    <row r="572" spans="1:9" ht="14.25" customHeight="1" x14ac:dyDescent="0.2">
      <c r="A572" s="744">
        <f>'Load-Truck'!$A$38</f>
        <v>0</v>
      </c>
      <c r="B572" s="690"/>
      <c r="C572" s="690"/>
      <c r="D572" s="758"/>
      <c r="E572" s="273">
        <f>'Load-Truck'!C$38</f>
        <v>0</v>
      </c>
      <c r="F572" s="29">
        <f>'Load-Truck'!D$38</f>
        <v>0</v>
      </c>
      <c r="H572" t="s">
        <v>10389</v>
      </c>
      <c r="I572" t="b">
        <f>IF(COUNTIF('PI-1-MarineLoading'!$G$116:$G$120,"no")=5,TRUE,IF('PI-1-MarineLoading'!$G$117="NO",TRUE,IF($A572=0,TRUE,FALSE)))</f>
        <v>1</v>
      </c>
    </row>
    <row r="573" spans="1:9" ht="14.25" customHeight="1" x14ac:dyDescent="0.2">
      <c r="A573" s="744">
        <f>'Load-Truck'!$A$49</f>
        <v>0</v>
      </c>
      <c r="B573" s="690"/>
      <c r="C573" s="690"/>
      <c r="D573" s="758"/>
      <c r="E573" s="273">
        <f>'Load-Truck'!C$49</f>
        <v>0</v>
      </c>
      <c r="F573" s="29">
        <f>'Load-Truck'!D$49</f>
        <v>0</v>
      </c>
      <c r="H573" t="s">
        <v>10389</v>
      </c>
      <c r="I573" t="b">
        <f>IF(COUNTIF('PI-1-MarineLoading'!$G$116:$G$120,"no")=5,TRUE,IF('PI-1-MarineLoading'!$G$117="NO",TRUE,IF($A573=0,TRUE,FALSE)))</f>
        <v>1</v>
      </c>
    </row>
    <row r="574" spans="1:9" ht="14.25" customHeight="1" x14ac:dyDescent="0.2">
      <c r="A574" s="744">
        <f>'Load-Truck'!$A$60</f>
        <v>0</v>
      </c>
      <c r="B574" s="690"/>
      <c r="C574" s="690"/>
      <c r="D574" s="758"/>
      <c r="E574" s="273">
        <f>'Load-Truck'!C$60</f>
        <v>0</v>
      </c>
      <c r="F574" s="29">
        <f>'Load-Truck'!D$60</f>
        <v>0</v>
      </c>
      <c r="H574" t="s">
        <v>10389</v>
      </c>
      <c r="I574" t="b">
        <f>IF(COUNTIF('PI-1-MarineLoading'!$G$116:$G$120,"no")=5,TRUE,IF('PI-1-MarineLoading'!$G$117="NO",TRUE,IF($A574=0,TRUE,FALSE)))</f>
        <v>1</v>
      </c>
    </row>
    <row r="575" spans="1:9" ht="14.25" customHeight="1" x14ac:dyDescent="0.2">
      <c r="A575" s="744">
        <f>'Load-Truck'!$A$71</f>
        <v>0</v>
      </c>
      <c r="B575" s="690"/>
      <c r="C575" s="690"/>
      <c r="D575" s="758"/>
      <c r="E575" s="273">
        <f>'Load-Truck'!C$71</f>
        <v>0</v>
      </c>
      <c r="F575" s="29">
        <f>'Load-Truck'!D$71</f>
        <v>0</v>
      </c>
      <c r="H575" t="s">
        <v>10389</v>
      </c>
      <c r="I575" t="b">
        <f>IF(COUNTIF('PI-1-MarineLoading'!$G$116:$G$120,"no")=5,TRUE,IF('PI-1-MarineLoading'!$G$117="NO",TRUE,IF($A575=0,TRUE,FALSE)))</f>
        <v>1</v>
      </c>
    </row>
    <row r="576" spans="1:9" ht="14.25" customHeight="1" x14ac:dyDescent="0.2">
      <c r="A576" s="744">
        <f>'Load-Truck'!$A$82</f>
        <v>0</v>
      </c>
      <c r="B576" s="690"/>
      <c r="C576" s="690"/>
      <c r="D576" s="758"/>
      <c r="E576" s="273">
        <f>'Load-Truck'!C$82</f>
        <v>0</v>
      </c>
      <c r="F576" s="29">
        <f>'Load-Truck'!D$82</f>
        <v>0</v>
      </c>
      <c r="H576" t="s">
        <v>10389</v>
      </c>
      <c r="I576" t="b">
        <f>IF(COUNTIF('PI-1-MarineLoading'!$G$116:$G$120,"no")=5,TRUE,IF('PI-1-MarineLoading'!$G$117="NO",TRUE,IF($A576=0,TRUE,FALSE)))</f>
        <v>1</v>
      </c>
    </row>
    <row r="577" spans="1:9" ht="14.25" customHeight="1" x14ac:dyDescent="0.2">
      <c r="A577" s="744">
        <f>'Load-Truck'!$A$93</f>
        <v>0</v>
      </c>
      <c r="B577" s="690"/>
      <c r="C577" s="690"/>
      <c r="D577" s="758"/>
      <c r="E577" s="273">
        <f>'Load-Truck'!C$93</f>
        <v>0</v>
      </c>
      <c r="F577" s="29">
        <f>'Load-Truck'!D$93</f>
        <v>0</v>
      </c>
      <c r="H577" t="s">
        <v>10389</v>
      </c>
      <c r="I577" t="b">
        <f>IF(COUNTIF('PI-1-MarineLoading'!$G$116:$G$120,"no")=5,TRUE,IF('PI-1-MarineLoading'!$G$117="NO",TRUE,IF($A577=0,TRUE,FALSE)))</f>
        <v>1</v>
      </c>
    </row>
    <row r="578" spans="1:9" ht="14.25" customHeight="1" x14ac:dyDescent="0.2">
      <c r="A578" s="744">
        <f>'Load-Truck'!$A$104</f>
        <v>0</v>
      </c>
      <c r="B578" s="690"/>
      <c r="C578" s="690"/>
      <c r="D578" s="758"/>
      <c r="E578" s="273">
        <f>'Load-Truck'!C$104</f>
        <v>0</v>
      </c>
      <c r="F578" s="29">
        <f>'Load-Truck'!D$104</f>
        <v>0</v>
      </c>
      <c r="H578" t="s">
        <v>10389</v>
      </c>
      <c r="I578" t="b">
        <f>IF(COUNTIF('PI-1-MarineLoading'!$G$116:$G$120,"no")=5,TRUE,IF('PI-1-MarineLoading'!$G$117="NO",TRUE,IF($A578=0,TRUE,FALSE)))</f>
        <v>1</v>
      </c>
    </row>
    <row r="579" spans="1:9" ht="14.25" customHeight="1" x14ac:dyDescent="0.2">
      <c r="A579" s="744">
        <f>'Load-Truck'!$A$115</f>
        <v>0</v>
      </c>
      <c r="B579" s="690"/>
      <c r="C579" s="690"/>
      <c r="D579" s="758"/>
      <c r="E579" s="273">
        <f>'Load-Truck'!C$115</f>
        <v>0</v>
      </c>
      <c r="F579" s="29">
        <f>'Load-Truck'!D$115</f>
        <v>0</v>
      </c>
      <c r="H579" t="s">
        <v>10389</v>
      </c>
      <c r="I579" t="b">
        <f>IF(COUNTIF('PI-1-MarineLoading'!$G$116:$G$120,"no")=5,TRUE,IF('PI-1-MarineLoading'!$G$117="NO",TRUE,IF($A579=0,TRUE,FALSE)))</f>
        <v>1</v>
      </c>
    </row>
    <row r="580" spans="1:9" ht="14.25" customHeight="1" x14ac:dyDescent="0.2">
      <c r="A580" s="744">
        <f>'Load-Truck'!$A$126</f>
        <v>0</v>
      </c>
      <c r="B580" s="690"/>
      <c r="C580" s="690"/>
      <c r="D580" s="758"/>
      <c r="E580" s="273">
        <f>'Load-Truck'!C$126</f>
        <v>0</v>
      </c>
      <c r="F580" s="29">
        <f>'Load-Truck'!D$126</f>
        <v>0</v>
      </c>
      <c r="H580" t="s">
        <v>10389</v>
      </c>
      <c r="I580" t="b">
        <f>IF(COUNTIF('PI-1-MarineLoading'!$G$116:$G$120,"no")=5,TRUE,IF('PI-1-MarineLoading'!$G$117="NO",TRUE,IF($A580=0,TRUE,FALSE)))</f>
        <v>1</v>
      </c>
    </row>
    <row r="581" spans="1:9" ht="14.25" customHeight="1" x14ac:dyDescent="0.2">
      <c r="A581" s="564" t="str">
        <f>"FIN "&amp;'Load-Rail'!$F$7&amp;": Railcar loading"</f>
        <v>FIN : Railcar loading</v>
      </c>
      <c r="B581" s="563"/>
      <c r="C581" s="563"/>
      <c r="D581" s="563"/>
      <c r="E581" s="563"/>
      <c r="F581" s="847"/>
      <c r="H581" t="s">
        <v>10389</v>
      </c>
      <c r="I581" t="b">
        <f>IF(COUNTIF('PI-1-MarineLoading'!$G$116:$G$120,"no")=5,TRUE,IF('PI-1-MarineLoading'!$G$118="NO",TRUE,FALSE))</f>
        <v>0</v>
      </c>
    </row>
    <row r="582" spans="1:9" ht="14.25" customHeight="1" x14ac:dyDescent="0.2">
      <c r="A582" s="744">
        <f>'Load-Rail'!$A$27</f>
        <v>0</v>
      </c>
      <c r="B582" s="690"/>
      <c r="C582" s="690"/>
      <c r="D582" s="758"/>
      <c r="E582" s="273">
        <f>'Load-Rail'!C$27</f>
        <v>0</v>
      </c>
      <c r="F582" s="29">
        <f>'Load-Rail'!D$27</f>
        <v>0</v>
      </c>
      <c r="H582" t="s">
        <v>10389</v>
      </c>
      <c r="I582" t="b">
        <f>IF(COUNTIF('PI-1-MarineLoading'!$G$116:$G$120,"no")=5,TRUE,IF('PI-1-MarineLoading'!$G$118="NO",TRUE,IF($A582=0,TRUE,FALSE)))</f>
        <v>1</v>
      </c>
    </row>
    <row r="583" spans="1:9" ht="14.25" customHeight="1" x14ac:dyDescent="0.2">
      <c r="A583" s="744">
        <f>'Load-Rail'!$A$38</f>
        <v>0</v>
      </c>
      <c r="B583" s="690"/>
      <c r="C583" s="690"/>
      <c r="D583" s="758"/>
      <c r="E583" s="273">
        <f>'Load-Rail'!C$38</f>
        <v>0</v>
      </c>
      <c r="F583" s="29">
        <f>'Load-Rail'!D$38</f>
        <v>0</v>
      </c>
      <c r="H583" t="s">
        <v>10389</v>
      </c>
      <c r="I583" t="b">
        <f>IF(COUNTIF('PI-1-MarineLoading'!$G$116:$G$120,"no")=5,TRUE,IF('PI-1-MarineLoading'!$G$118="NO",TRUE,IF($A583=0,TRUE,FALSE)))</f>
        <v>1</v>
      </c>
    </row>
    <row r="584" spans="1:9" x14ac:dyDescent="0.2">
      <c r="A584" s="744">
        <f>'Load-Rail'!$A$49</f>
        <v>0</v>
      </c>
      <c r="B584" s="690"/>
      <c r="C584" s="690"/>
      <c r="D584" s="758"/>
      <c r="E584" s="273">
        <f>'Load-Rail'!C$49</f>
        <v>0</v>
      </c>
      <c r="F584" s="29">
        <f>'Load-Rail'!D$49</f>
        <v>0</v>
      </c>
      <c r="H584" t="s">
        <v>10389</v>
      </c>
      <c r="I584" t="b">
        <f>IF(COUNTIF('PI-1-MarineLoading'!$G$116:$G$120,"no")=5,TRUE,IF('PI-1-MarineLoading'!$G$118="NO",TRUE,IF($A584=0,TRUE,FALSE)))</f>
        <v>1</v>
      </c>
    </row>
    <row r="585" spans="1:9" x14ac:dyDescent="0.2">
      <c r="A585" s="744">
        <f>'Load-Rail'!$A$60</f>
        <v>0</v>
      </c>
      <c r="B585" s="690"/>
      <c r="C585" s="690"/>
      <c r="D585" s="758"/>
      <c r="E585" s="273">
        <f>'Load-Rail'!C$60</f>
        <v>0</v>
      </c>
      <c r="F585" s="29">
        <f>'Load-Rail'!D$60</f>
        <v>0</v>
      </c>
      <c r="H585" t="s">
        <v>10389</v>
      </c>
      <c r="I585" t="b">
        <f>IF(COUNTIF('PI-1-MarineLoading'!$G$116:$G$120,"no")=5,TRUE,IF('PI-1-MarineLoading'!$G$118="NO",TRUE,IF($A585=0,TRUE,FALSE)))</f>
        <v>1</v>
      </c>
    </row>
    <row r="586" spans="1:9" x14ac:dyDescent="0.2">
      <c r="A586" s="744">
        <f>'Load-Rail'!$A$71</f>
        <v>0</v>
      </c>
      <c r="B586" s="690"/>
      <c r="C586" s="690"/>
      <c r="D586" s="758"/>
      <c r="E586" s="273">
        <f>'Load-Rail'!C$71</f>
        <v>0</v>
      </c>
      <c r="F586" s="29">
        <f>'Load-Rail'!D$71</f>
        <v>0</v>
      </c>
      <c r="H586" t="s">
        <v>10389</v>
      </c>
      <c r="I586" t="b">
        <f>IF(COUNTIF('PI-1-MarineLoading'!$G$116:$G$120,"no")=5,TRUE,IF('PI-1-MarineLoading'!$G$118="NO",TRUE,IF($A586=0,TRUE,FALSE)))</f>
        <v>1</v>
      </c>
    </row>
    <row r="587" spans="1:9" x14ac:dyDescent="0.2">
      <c r="A587" s="744">
        <f>'Load-Rail'!$A$82</f>
        <v>0</v>
      </c>
      <c r="B587" s="690"/>
      <c r="C587" s="690"/>
      <c r="D587" s="758"/>
      <c r="E587" s="273">
        <f>'Load-Rail'!C$82</f>
        <v>0</v>
      </c>
      <c r="F587" s="29">
        <f>'Load-Rail'!D$82</f>
        <v>0</v>
      </c>
      <c r="H587" t="s">
        <v>10389</v>
      </c>
      <c r="I587" t="b">
        <f>IF(COUNTIF('PI-1-MarineLoading'!$G$116:$G$120,"no")=5,TRUE,IF('PI-1-MarineLoading'!$G$118="NO",TRUE,IF($A587=0,TRUE,FALSE)))</f>
        <v>1</v>
      </c>
    </row>
    <row r="588" spans="1:9" ht="14.25" customHeight="1" x14ac:dyDescent="0.2">
      <c r="A588" s="744">
        <f>'Load-Rail'!$A$93</f>
        <v>0</v>
      </c>
      <c r="B588" s="690"/>
      <c r="C588" s="690"/>
      <c r="D588" s="758"/>
      <c r="E588" s="273">
        <f>'Load-Rail'!C$93</f>
        <v>0</v>
      </c>
      <c r="F588" s="29">
        <f>'Load-Rail'!D$93</f>
        <v>0</v>
      </c>
      <c r="H588" t="s">
        <v>10389</v>
      </c>
      <c r="I588" t="b">
        <f>IF(COUNTIF('PI-1-MarineLoading'!$G$116:$G$120,"no")=5,TRUE,IF('PI-1-MarineLoading'!$G$118="NO",TRUE,IF($A588=0,TRUE,FALSE)))</f>
        <v>1</v>
      </c>
    </row>
    <row r="589" spans="1:9" ht="14.25" customHeight="1" x14ac:dyDescent="0.2">
      <c r="A589" s="744">
        <f>'Load-Rail'!$A$104</f>
        <v>0</v>
      </c>
      <c r="B589" s="690"/>
      <c r="C589" s="690"/>
      <c r="D589" s="758"/>
      <c r="E589" s="273">
        <f>'Load-Rail'!C$104</f>
        <v>0</v>
      </c>
      <c r="F589" s="29">
        <f>'Load-Rail'!D$104</f>
        <v>0</v>
      </c>
      <c r="H589" t="s">
        <v>10389</v>
      </c>
      <c r="I589" t="b">
        <f>IF(COUNTIF('PI-1-MarineLoading'!$G$116:$G$120,"no")=5,TRUE,IF('PI-1-MarineLoading'!$G$118="NO",TRUE,IF($A589=0,TRUE,FALSE)))</f>
        <v>1</v>
      </c>
    </row>
    <row r="590" spans="1:9" ht="14.25" customHeight="1" x14ac:dyDescent="0.2">
      <c r="A590" s="744">
        <f>'Load-Rail'!$A$115</f>
        <v>0</v>
      </c>
      <c r="B590" s="690"/>
      <c r="C590" s="690"/>
      <c r="D590" s="758"/>
      <c r="E590" s="273">
        <f>'Load-Rail'!C$115</f>
        <v>0</v>
      </c>
      <c r="F590" s="29">
        <f>'Load-Rail'!D$115</f>
        <v>0</v>
      </c>
      <c r="H590" t="s">
        <v>10389</v>
      </c>
      <c r="I590" t="b">
        <f>IF(COUNTIF('PI-1-MarineLoading'!$G$116:$G$120,"no")=5,TRUE,IF('PI-1-MarineLoading'!$G$118="NO",TRUE,IF($A590=0,TRUE,FALSE)))</f>
        <v>1</v>
      </c>
    </row>
    <row r="591" spans="1:9" ht="14.25" customHeight="1" x14ac:dyDescent="0.2">
      <c r="A591" s="744">
        <f>'Load-Rail'!$A$126</f>
        <v>0</v>
      </c>
      <c r="B591" s="690"/>
      <c r="C591" s="690"/>
      <c r="D591" s="758"/>
      <c r="E591" s="273">
        <f>'Load-Rail'!C$126</f>
        <v>0</v>
      </c>
      <c r="F591" s="29">
        <f>'Load-Rail'!D$126</f>
        <v>0</v>
      </c>
      <c r="H591" t="s">
        <v>10389</v>
      </c>
      <c r="I591" t="b">
        <f>IF(COUNTIF('PI-1-MarineLoading'!$G$116:$G$120,"no")=5,TRUE,IF('PI-1-MarineLoading'!$G$118="NO",TRUE,IF($A591=0,TRUE,FALSE)))</f>
        <v>1</v>
      </c>
    </row>
    <row r="592" spans="1:9" ht="14.25" customHeight="1" x14ac:dyDescent="0.2">
      <c r="A592" s="564" t="str">
        <f>"FIN "&amp;'Load-MarineBarge'!$F$7&amp;": Marine loading, non-inerted vessels"</f>
        <v>FIN : Marine loading, non-inerted vessels</v>
      </c>
      <c r="B592" s="563"/>
      <c r="C592" s="563"/>
      <c r="D592" s="563"/>
      <c r="E592" s="563"/>
      <c r="F592" s="847"/>
      <c r="H592" t="s">
        <v>10389</v>
      </c>
      <c r="I592" t="b">
        <f>IF(COUNTIF('PI-1-MarineLoading'!$G$116:$G$120,"no")=5,TRUE,IF('PI-1-MarineLoading'!$G$119="NO",TRUE,FALSE))</f>
        <v>0</v>
      </c>
    </row>
    <row r="593" spans="1:9" ht="14.25" customHeight="1" x14ac:dyDescent="0.2">
      <c r="A593" s="744">
        <f>'Load-MarineBarge'!$A$27</f>
        <v>0</v>
      </c>
      <c r="B593" s="690"/>
      <c r="C593" s="690"/>
      <c r="D593" s="758"/>
      <c r="E593" s="273">
        <f>'Load-MarineBarge'!C$27</f>
        <v>0</v>
      </c>
      <c r="F593" s="29">
        <f>'Load-MarineBarge'!D$27</f>
        <v>0</v>
      </c>
      <c r="H593" t="s">
        <v>10389</v>
      </c>
      <c r="I593" t="b">
        <f>IF(COUNTIF('PI-1-MarineLoading'!$G$116:$G$120,"no")=5,TRUE,IF('PI-1-MarineLoading'!$G$119="NO",TRUE,IF($A593=0,TRUE,FALSE)))</f>
        <v>1</v>
      </c>
    </row>
    <row r="594" spans="1:9" ht="14.25" customHeight="1" x14ac:dyDescent="0.2">
      <c r="A594" s="744">
        <f>'Load-MarineBarge'!$A$38</f>
        <v>0</v>
      </c>
      <c r="B594" s="690"/>
      <c r="C594" s="690"/>
      <c r="D594" s="758"/>
      <c r="E594" s="273">
        <f>'Load-MarineBarge'!C$38</f>
        <v>0</v>
      </c>
      <c r="F594" s="29">
        <f>'Load-MarineBarge'!D$38</f>
        <v>0</v>
      </c>
      <c r="H594" t="s">
        <v>10389</v>
      </c>
      <c r="I594" t="b">
        <f>IF(COUNTIF('PI-1-MarineLoading'!$G$116:$G$120,"no")=5,TRUE,IF('PI-1-MarineLoading'!$G$119="NO",TRUE,IF($A594=0,TRUE,FALSE)))</f>
        <v>1</v>
      </c>
    </row>
    <row r="595" spans="1:9" ht="14.25" customHeight="1" x14ac:dyDescent="0.2">
      <c r="A595" s="744">
        <f>'Load-MarineBarge'!$A$49</f>
        <v>0</v>
      </c>
      <c r="B595" s="690"/>
      <c r="C595" s="690"/>
      <c r="D595" s="758"/>
      <c r="E595" s="273">
        <f>'Load-MarineBarge'!C$49</f>
        <v>0</v>
      </c>
      <c r="F595" s="29">
        <f>'Load-MarineBarge'!D$49</f>
        <v>0</v>
      </c>
      <c r="H595" t="s">
        <v>10389</v>
      </c>
      <c r="I595" t="b">
        <f>IF(COUNTIF('PI-1-MarineLoading'!$G$116:$G$120,"no")=5,TRUE,IF('PI-1-MarineLoading'!$G$119="NO",TRUE,IF($A595=0,TRUE,FALSE)))</f>
        <v>1</v>
      </c>
    </row>
    <row r="596" spans="1:9" x14ac:dyDescent="0.2">
      <c r="A596" s="744">
        <f>'Load-MarineBarge'!$A$60</f>
        <v>0</v>
      </c>
      <c r="B596" s="690"/>
      <c r="C596" s="690"/>
      <c r="D596" s="758"/>
      <c r="E596" s="273">
        <f>'Load-MarineBarge'!C$60</f>
        <v>0</v>
      </c>
      <c r="F596" s="29">
        <f>'Load-MarineBarge'!D$60</f>
        <v>0</v>
      </c>
      <c r="H596" t="s">
        <v>10389</v>
      </c>
      <c r="I596" t="b">
        <f>IF(COUNTIF('PI-1-MarineLoading'!$G$116:$G$120,"no")=5,TRUE,IF('PI-1-MarineLoading'!$G$119="NO",TRUE,IF($A596=0,TRUE,FALSE)))</f>
        <v>1</v>
      </c>
    </row>
    <row r="597" spans="1:9" x14ac:dyDescent="0.2">
      <c r="A597" s="744">
        <f>'Load-MarineBarge'!$A$71</f>
        <v>0</v>
      </c>
      <c r="B597" s="690"/>
      <c r="C597" s="690"/>
      <c r="D597" s="758"/>
      <c r="E597" s="273">
        <f>'Load-MarineBarge'!C$71</f>
        <v>0</v>
      </c>
      <c r="F597" s="29">
        <f>'Load-MarineBarge'!D$71</f>
        <v>0</v>
      </c>
      <c r="H597" t="s">
        <v>10389</v>
      </c>
      <c r="I597" t="b">
        <f>IF(COUNTIF('PI-1-MarineLoading'!$G$116:$G$120,"no")=5,TRUE,IF('PI-1-MarineLoading'!$G$119="NO",TRUE,IF($A597=0,TRUE,FALSE)))</f>
        <v>1</v>
      </c>
    </row>
    <row r="598" spans="1:9" x14ac:dyDescent="0.2">
      <c r="A598" s="744">
        <f>'Load-MarineBarge'!$A$82</f>
        <v>0</v>
      </c>
      <c r="B598" s="690"/>
      <c r="C598" s="690"/>
      <c r="D598" s="758"/>
      <c r="E598" s="273">
        <f>'Load-MarineBarge'!C$82</f>
        <v>0</v>
      </c>
      <c r="F598" s="29">
        <f>'Load-MarineBarge'!D$82</f>
        <v>0</v>
      </c>
      <c r="H598" t="s">
        <v>10389</v>
      </c>
      <c r="I598" t="b">
        <f>IF(COUNTIF('PI-1-MarineLoading'!$G$116:$G$120,"no")=5,TRUE,IF('PI-1-MarineLoading'!$G$119="NO",TRUE,IF($A598=0,TRUE,FALSE)))</f>
        <v>1</v>
      </c>
    </row>
    <row r="599" spans="1:9" x14ac:dyDescent="0.2">
      <c r="A599" s="744">
        <f>'Load-MarineBarge'!$A$93</f>
        <v>0</v>
      </c>
      <c r="B599" s="690"/>
      <c r="C599" s="690"/>
      <c r="D599" s="758"/>
      <c r="E599" s="273">
        <f>'Load-MarineBarge'!C$93</f>
        <v>0</v>
      </c>
      <c r="F599" s="29">
        <f>'Load-MarineBarge'!D$93</f>
        <v>0</v>
      </c>
      <c r="H599" t="s">
        <v>10389</v>
      </c>
      <c r="I599" t="b">
        <f>IF(COUNTIF('PI-1-MarineLoading'!$G$116:$G$120,"no")=5,TRUE,IF('PI-1-MarineLoading'!$G$119="NO",TRUE,IF($A599=0,TRUE,FALSE)))</f>
        <v>1</v>
      </c>
    </row>
    <row r="600" spans="1:9" ht="14.25" customHeight="1" x14ac:dyDescent="0.2">
      <c r="A600" s="744">
        <f>'Load-MarineBarge'!$A$104</f>
        <v>0</v>
      </c>
      <c r="B600" s="690"/>
      <c r="C600" s="690"/>
      <c r="D600" s="758"/>
      <c r="E600" s="273">
        <f>'Load-MarineBarge'!C$104</f>
        <v>0</v>
      </c>
      <c r="F600" s="29">
        <f>'Load-MarineBarge'!D$104</f>
        <v>0</v>
      </c>
      <c r="H600" t="s">
        <v>10389</v>
      </c>
      <c r="I600" t="b">
        <f>IF(COUNTIF('PI-1-MarineLoading'!$G$116:$G$120,"no")=5,TRUE,IF('PI-1-MarineLoading'!$G$119="NO",TRUE,IF($A600=0,TRUE,FALSE)))</f>
        <v>1</v>
      </c>
    </row>
    <row r="601" spans="1:9" ht="14.25" customHeight="1" x14ac:dyDescent="0.2">
      <c r="A601" s="744">
        <f>'Load-MarineBarge'!$A$115</f>
        <v>0</v>
      </c>
      <c r="B601" s="690"/>
      <c r="C601" s="690"/>
      <c r="D601" s="758"/>
      <c r="E601" s="273">
        <f>'Load-MarineBarge'!C$115</f>
        <v>0</v>
      </c>
      <c r="F601" s="29">
        <f>'Load-MarineBarge'!D$115</f>
        <v>0</v>
      </c>
      <c r="H601" t="s">
        <v>10389</v>
      </c>
      <c r="I601" t="b">
        <f>IF(COUNTIF('PI-1-MarineLoading'!$G$116:$G$120,"no")=5,TRUE,IF('PI-1-MarineLoading'!$G$119="NO",TRUE,IF($A601=0,TRUE,FALSE)))</f>
        <v>1</v>
      </c>
    </row>
    <row r="602" spans="1:9" ht="14.25" customHeight="1" x14ac:dyDescent="0.2">
      <c r="A602" s="744">
        <f>'Load-MarineBarge'!$A$126</f>
        <v>0</v>
      </c>
      <c r="B602" s="690"/>
      <c r="C602" s="690"/>
      <c r="D602" s="758"/>
      <c r="E602" s="273">
        <f>'Load-MarineBarge'!C$126</f>
        <v>0</v>
      </c>
      <c r="F602" s="29">
        <f>'Load-MarineBarge'!D$126</f>
        <v>0</v>
      </c>
      <c r="H602" t="s">
        <v>10389</v>
      </c>
      <c r="I602" t="b">
        <f>IF(COUNTIF('PI-1-MarineLoading'!$G$116:$G$120,"no")=5,TRUE,IF('PI-1-MarineLoading'!$G$119="NO",TRUE,IF($A602=0,TRUE,FALSE)))</f>
        <v>1</v>
      </c>
    </row>
    <row r="603" spans="1:9" ht="14.25" customHeight="1" x14ac:dyDescent="0.2">
      <c r="A603" s="564" t="str">
        <f>"FIN "&amp;'Load-MarineShip'!$F$7&amp;": Marine loading, inerted vessels"</f>
        <v>FIN : Marine loading, inerted vessels</v>
      </c>
      <c r="B603" s="563"/>
      <c r="C603" s="563"/>
      <c r="D603" s="563"/>
      <c r="E603" s="563"/>
      <c r="F603" s="847"/>
      <c r="H603" t="s">
        <v>10389</v>
      </c>
      <c r="I603" t="b">
        <f>IF(COUNTIF('PI-1-MarineLoading'!$G$116:$G$120,"no")=5,TRUE,IF('PI-1-MarineLoading'!$G$120="NO",TRUE,FALSE))</f>
        <v>0</v>
      </c>
    </row>
    <row r="604" spans="1:9" ht="14.25" customHeight="1" x14ac:dyDescent="0.2">
      <c r="A604" s="744">
        <f>'Load-MarineShip'!$A$27</f>
        <v>0</v>
      </c>
      <c r="B604" s="690"/>
      <c r="C604" s="690"/>
      <c r="D604" s="758"/>
      <c r="E604" s="273">
        <f>'Load-MarineShip'!C$27</f>
        <v>0</v>
      </c>
      <c r="F604" s="29">
        <f>'Load-MarineShip'!D$27</f>
        <v>0</v>
      </c>
      <c r="H604" t="s">
        <v>10389</v>
      </c>
      <c r="I604" t="b">
        <f>IF(COUNTIF('PI-1-MarineLoading'!$G$116:$G$120,"no")=5,TRUE,IF('PI-1-MarineLoading'!$G$120="NO",TRUE,IF($A604=0,TRUE,FALSE)))</f>
        <v>1</v>
      </c>
    </row>
    <row r="605" spans="1:9" ht="14.25" customHeight="1" x14ac:dyDescent="0.2">
      <c r="A605" s="744">
        <f>'Load-MarineShip'!$A$38</f>
        <v>0</v>
      </c>
      <c r="B605" s="690"/>
      <c r="C605" s="690"/>
      <c r="D605" s="758"/>
      <c r="E605" s="273">
        <f>'Load-MarineShip'!C$38</f>
        <v>0</v>
      </c>
      <c r="F605" s="29">
        <f>'Load-MarineShip'!D$38</f>
        <v>0</v>
      </c>
      <c r="H605" t="s">
        <v>10389</v>
      </c>
      <c r="I605" t="b">
        <f>IF(COUNTIF('PI-1-MarineLoading'!$G$116:$G$120,"no")=5,TRUE,IF('PI-1-MarineLoading'!$G$120="NO",TRUE,IF($A605=0,TRUE,FALSE)))</f>
        <v>1</v>
      </c>
    </row>
    <row r="606" spans="1:9" ht="14.25" customHeight="1" x14ac:dyDescent="0.2">
      <c r="A606" s="744">
        <f>'Load-MarineShip'!$A$49</f>
        <v>0</v>
      </c>
      <c r="B606" s="690"/>
      <c r="C606" s="690"/>
      <c r="D606" s="758"/>
      <c r="E606" s="273">
        <f>'Load-MarineShip'!C$49</f>
        <v>0</v>
      </c>
      <c r="F606" s="29">
        <f>'Load-MarineShip'!D$49</f>
        <v>0</v>
      </c>
      <c r="H606" t="s">
        <v>10389</v>
      </c>
      <c r="I606" t="b">
        <f>IF(COUNTIF('PI-1-MarineLoading'!$G$116:$G$120,"no")=5,TRUE,IF('PI-1-MarineLoading'!$G$120="NO",TRUE,IF($A606=0,TRUE,FALSE)))</f>
        <v>1</v>
      </c>
    </row>
    <row r="607" spans="1:9" ht="14.25" customHeight="1" x14ac:dyDescent="0.2">
      <c r="A607" s="744">
        <f>'Load-MarineShip'!$A$60</f>
        <v>0</v>
      </c>
      <c r="B607" s="690"/>
      <c r="C607" s="690"/>
      <c r="D607" s="758"/>
      <c r="E607" s="273">
        <f>'Load-MarineShip'!C$60</f>
        <v>0</v>
      </c>
      <c r="F607" s="29">
        <f>'Load-MarineShip'!D$60</f>
        <v>0</v>
      </c>
      <c r="H607" t="s">
        <v>10389</v>
      </c>
      <c r="I607" t="b">
        <f>IF(COUNTIF('PI-1-MarineLoading'!$G$116:$G$120,"no")=5,TRUE,IF('PI-1-MarineLoading'!$G$120="NO",TRUE,IF($A607=0,TRUE,FALSE)))</f>
        <v>1</v>
      </c>
    </row>
    <row r="608" spans="1:9" x14ac:dyDescent="0.2">
      <c r="A608" s="744">
        <f>'Load-MarineShip'!$A$71</f>
        <v>0</v>
      </c>
      <c r="B608" s="690"/>
      <c r="C608" s="690"/>
      <c r="D608" s="758"/>
      <c r="E608" s="273">
        <f>'Load-MarineShip'!C$71</f>
        <v>0</v>
      </c>
      <c r="F608" s="29">
        <f>'Load-MarineShip'!D$71</f>
        <v>0</v>
      </c>
      <c r="H608" t="s">
        <v>10389</v>
      </c>
      <c r="I608" t="b">
        <f>IF(COUNTIF('PI-1-MarineLoading'!$G$116:$G$120,"no")=5,TRUE,IF('PI-1-MarineLoading'!$G$120="NO",TRUE,IF($A608=0,TRUE,FALSE)))</f>
        <v>1</v>
      </c>
    </row>
    <row r="609" spans="1:9" x14ac:dyDescent="0.2">
      <c r="A609" s="744">
        <f>'Load-MarineShip'!$A$82</f>
        <v>0</v>
      </c>
      <c r="B609" s="690"/>
      <c r="C609" s="690"/>
      <c r="D609" s="758"/>
      <c r="E609" s="273">
        <f>'Load-MarineShip'!C$82</f>
        <v>0</v>
      </c>
      <c r="F609" s="29">
        <f>'Load-MarineShip'!D$82</f>
        <v>0</v>
      </c>
      <c r="H609" t="s">
        <v>10389</v>
      </c>
      <c r="I609" t="b">
        <f>IF(COUNTIF('PI-1-MarineLoading'!$G$116:$G$120,"no")=5,TRUE,IF('PI-1-MarineLoading'!$G$120="NO",TRUE,IF($A609=0,TRUE,FALSE)))</f>
        <v>1</v>
      </c>
    </row>
    <row r="610" spans="1:9" x14ac:dyDescent="0.2">
      <c r="A610" s="744">
        <f>'Load-MarineShip'!$A$93</f>
        <v>0</v>
      </c>
      <c r="B610" s="690"/>
      <c r="C610" s="690"/>
      <c r="D610" s="758"/>
      <c r="E610" s="273">
        <f>'Load-MarineShip'!C$93</f>
        <v>0</v>
      </c>
      <c r="F610" s="29">
        <f>'Load-MarineShip'!D$93</f>
        <v>0</v>
      </c>
      <c r="H610" t="s">
        <v>10389</v>
      </c>
      <c r="I610" t="b">
        <f>IF(COUNTIF('PI-1-MarineLoading'!$G$116:$G$120,"no")=5,TRUE,IF('PI-1-MarineLoading'!$G$120="NO",TRUE,IF($A610=0,TRUE,FALSE)))</f>
        <v>1</v>
      </c>
    </row>
    <row r="611" spans="1:9" x14ac:dyDescent="0.2">
      <c r="A611" s="744">
        <f>'Load-MarineShip'!$A$104</f>
        <v>0</v>
      </c>
      <c r="B611" s="690"/>
      <c r="C611" s="690"/>
      <c r="D611" s="758"/>
      <c r="E611" s="273">
        <f>'Load-MarineShip'!C$104</f>
        <v>0</v>
      </c>
      <c r="F611" s="29">
        <f>'Load-MarineShip'!D$104</f>
        <v>0</v>
      </c>
      <c r="H611" t="s">
        <v>10389</v>
      </c>
      <c r="I611" t="b">
        <f>IF(COUNTIF('PI-1-MarineLoading'!$G$116:$G$120,"no")=5,TRUE,IF('PI-1-MarineLoading'!$G$120="NO",TRUE,IF($A611=0,TRUE,FALSE)))</f>
        <v>1</v>
      </c>
    </row>
    <row r="612" spans="1:9" ht="14.25" customHeight="1" x14ac:dyDescent="0.2">
      <c r="A612" s="744">
        <f>'Load-MarineShip'!$A$115</f>
        <v>0</v>
      </c>
      <c r="B612" s="690"/>
      <c r="C612" s="690"/>
      <c r="D612" s="758"/>
      <c r="E612" s="273">
        <f>'Load-MarineShip'!C$115</f>
        <v>0</v>
      </c>
      <c r="F612" s="29">
        <f>'Load-MarineShip'!D$115</f>
        <v>0</v>
      </c>
      <c r="H612" t="s">
        <v>10389</v>
      </c>
      <c r="I612" t="b">
        <f>IF(COUNTIF('PI-1-MarineLoading'!$G$116:$G$120,"no")=5,TRUE,IF('PI-1-MarineLoading'!$G$120="NO",TRUE,IF($A612=0,TRUE,FALSE)))</f>
        <v>1</v>
      </c>
    </row>
    <row r="613" spans="1:9" ht="15" customHeight="1" thickBot="1" x14ac:dyDescent="0.25">
      <c r="A613" s="587">
        <f>'Load-MarineShip'!$A$126</f>
        <v>0</v>
      </c>
      <c r="B613" s="588"/>
      <c r="C613" s="588"/>
      <c r="D613" s="589"/>
      <c r="E613" s="275">
        <f>'Load-MarineShip'!C$126</f>
        <v>0</v>
      </c>
      <c r="F613" s="113">
        <f>'Load-MarineShip'!D$126</f>
        <v>0</v>
      </c>
      <c r="H613" t="s">
        <v>10389</v>
      </c>
      <c r="I613" t="b">
        <f>IF(COUNTIF('PI-1-MarineLoading'!$G$116:$G$120,"no")=5,TRUE,IF('PI-1-MarineLoading'!$G$120="NO",TRUE,IF($A613=0,TRUE,FALSE)))</f>
        <v>1</v>
      </c>
    </row>
    <row r="614" spans="1:9" ht="15" customHeight="1" x14ac:dyDescent="0.2">
      <c r="A614" s="539" t="s">
        <v>10556</v>
      </c>
      <c r="B614" s="540"/>
      <c r="C614" s="540"/>
      <c r="D614" s="540"/>
      <c r="E614" s="540"/>
      <c r="F614" s="541"/>
      <c r="I614" t="b">
        <v>0</v>
      </c>
    </row>
    <row r="615" spans="1:9" ht="15" customHeight="1" thickBot="1" x14ac:dyDescent="0.25">
      <c r="A615" s="1154" t="s">
        <v>10632</v>
      </c>
      <c r="B615" s="1155"/>
      <c r="C615" s="1155"/>
      <c r="D615" s="1155"/>
      <c r="E615" s="1155"/>
      <c r="F615" s="1156"/>
      <c r="I615" t="b">
        <v>0</v>
      </c>
    </row>
    <row r="616" spans="1:9" ht="39.75" customHeight="1" x14ac:dyDescent="0.2">
      <c r="A616" s="867" t="s">
        <v>10559</v>
      </c>
      <c r="B616" s="854"/>
      <c r="C616" s="854"/>
      <c r="D616" s="793"/>
      <c r="E616" s="49" t="s">
        <v>10557</v>
      </c>
      <c r="F616" s="117" t="s">
        <v>10558</v>
      </c>
      <c r="I616" t="b">
        <v>0</v>
      </c>
    </row>
    <row r="617" spans="1:9" ht="39.75" customHeight="1" x14ac:dyDescent="0.2">
      <c r="A617" s="744" t="str">
        <f>Tank1!$D$7&amp;" - routine operations"</f>
        <v xml:space="preserve"> - routine operations</v>
      </c>
      <c r="B617" s="690"/>
      <c r="C617" s="690"/>
      <c r="D617" s="758"/>
      <c r="E617" s="276" t="s">
        <v>10071</v>
      </c>
      <c r="F617" s="277"/>
      <c r="I617" t="b">
        <f>IF('PI-1-MarineLoading'!$G$115=0,TRUE,FALSE)</f>
        <v>1</v>
      </c>
    </row>
    <row r="618" spans="1:9" ht="39.75" customHeight="1" x14ac:dyDescent="0.2">
      <c r="A618" s="744" t="str">
        <f>Tank1!$D$7&amp;" - MSS operations"</f>
        <v xml:space="preserve"> - MSS operations</v>
      </c>
      <c r="B618" s="690"/>
      <c r="C618" s="690"/>
      <c r="D618" s="758"/>
      <c r="E618" s="276"/>
      <c r="F618" s="277"/>
      <c r="I618" t="b">
        <f>IF('PI-1-MarineLoading'!$G$115=0,TRUE,IF('PI-1-MarineLoading'!$G$128&lt;&gt;"Yes",TRUE,FALSE))</f>
        <v>1</v>
      </c>
    </row>
    <row r="619" spans="1:9" ht="39.75" customHeight="1" x14ac:dyDescent="0.2">
      <c r="A619" s="744" t="str">
        <f>Tank2!$D$7&amp;" - routine operations"</f>
        <v xml:space="preserve"> - routine operations</v>
      </c>
      <c r="B619" s="690"/>
      <c r="C619" s="690"/>
      <c r="D619" s="758"/>
      <c r="E619" s="276" t="s">
        <v>10071</v>
      </c>
      <c r="F619" s="277"/>
      <c r="I619" t="b">
        <f>IF('PI-1-MarineLoading'!$G$115&lt;2,TRUE,FALSE)</f>
        <v>1</v>
      </c>
    </row>
    <row r="620" spans="1:9" ht="39.75" customHeight="1" x14ac:dyDescent="0.2">
      <c r="A620" s="744" t="str">
        <f>Tank2!$D$7&amp;" - MSS operations"</f>
        <v xml:space="preserve"> - MSS operations</v>
      </c>
      <c r="B620" s="690"/>
      <c r="C620" s="690"/>
      <c r="D620" s="758"/>
      <c r="E620" s="276"/>
      <c r="F620" s="277"/>
      <c r="I620" t="b">
        <f>IF('PI-1-MarineLoading'!$G$115&lt;2,TRUE,IF('PI-1-MarineLoading'!$G$128&lt;&gt;"Yes",TRUE,FALSE))</f>
        <v>1</v>
      </c>
    </row>
    <row r="621" spans="1:9" ht="39.75" customHeight="1" x14ac:dyDescent="0.2">
      <c r="A621" s="744" t="str">
        <f>Tank3!$D$7&amp;" - routine operations"</f>
        <v xml:space="preserve"> - routine operations</v>
      </c>
      <c r="B621" s="690"/>
      <c r="C621" s="690"/>
      <c r="D621" s="758"/>
      <c r="E621" s="276" t="s">
        <v>10071</v>
      </c>
      <c r="F621" s="277"/>
      <c r="I621" t="b">
        <f>IF('PI-1-MarineLoading'!$G$115&lt;3,TRUE,FALSE)</f>
        <v>1</v>
      </c>
    </row>
    <row r="622" spans="1:9" ht="39.75" customHeight="1" x14ac:dyDescent="0.2">
      <c r="A622" s="744" t="str">
        <f>Tank3!$D$7&amp;" - MSS operations"</f>
        <v xml:space="preserve"> - MSS operations</v>
      </c>
      <c r="B622" s="690"/>
      <c r="C622" s="690"/>
      <c r="D622" s="758"/>
      <c r="E622" s="276"/>
      <c r="F622" s="277"/>
      <c r="I622" t="b">
        <f>IF('PI-1-MarineLoading'!$G$115&lt;3,TRUE,IF('PI-1-MarineLoading'!$G$128&lt;&gt;"Yes",TRUE,FALSE))</f>
        <v>1</v>
      </c>
    </row>
    <row r="623" spans="1:9" ht="39.75" customHeight="1" x14ac:dyDescent="0.2">
      <c r="A623" s="744" t="str">
        <f>Tank4!$D$7&amp;" - routine operations"</f>
        <v xml:space="preserve"> - routine operations</v>
      </c>
      <c r="B623" s="690"/>
      <c r="C623" s="690"/>
      <c r="D623" s="758"/>
      <c r="E623" s="276" t="s">
        <v>10071</v>
      </c>
      <c r="F623" s="277"/>
      <c r="I623" t="b">
        <f>IF('PI-1-MarineLoading'!$G$115&lt;4,TRUE,FALSE)</f>
        <v>1</v>
      </c>
    </row>
    <row r="624" spans="1:9" ht="39.75" customHeight="1" x14ac:dyDescent="0.2">
      <c r="A624" s="744" t="str">
        <f>Tank4!$D$7&amp;" - MSS operations"</f>
        <v xml:space="preserve"> - MSS operations</v>
      </c>
      <c r="B624" s="690"/>
      <c r="C624" s="690"/>
      <c r="D624" s="758"/>
      <c r="E624" s="276"/>
      <c r="F624" s="277"/>
      <c r="I624" t="b">
        <f>IF('PI-1-MarineLoading'!$G$115&lt;4,TRUE,IF('PI-1-MarineLoading'!$G$128&lt;&gt;"Yes",TRUE,FALSE))</f>
        <v>1</v>
      </c>
    </row>
    <row r="625" spans="1:9" ht="39.75" customHeight="1" x14ac:dyDescent="0.2">
      <c r="A625" s="744" t="str">
        <f>Tank5!$D$7&amp;" - routine operations"</f>
        <v xml:space="preserve"> - routine operations</v>
      </c>
      <c r="B625" s="690"/>
      <c r="C625" s="690"/>
      <c r="D625" s="758"/>
      <c r="E625" s="276" t="s">
        <v>10071</v>
      </c>
      <c r="F625" s="277"/>
      <c r="I625" t="b">
        <f>IF('PI-1-MarineLoading'!$G$115&lt;5,TRUE,FALSE)</f>
        <v>1</v>
      </c>
    </row>
    <row r="626" spans="1:9" ht="39.75" customHeight="1" x14ac:dyDescent="0.2">
      <c r="A626" s="744" t="str">
        <f>Tank5!$D$7&amp;" - MSS operations"</f>
        <v xml:space="preserve"> - MSS operations</v>
      </c>
      <c r="B626" s="690"/>
      <c r="C626" s="690"/>
      <c r="D626" s="758"/>
      <c r="E626" s="276"/>
      <c r="F626" s="277"/>
      <c r="I626" t="b">
        <f>IF('PI-1-MarineLoading'!$G$115&lt;5,TRUE,IF('PI-1-MarineLoading'!$G$128&lt;&gt;"Yes",TRUE,FALSE))</f>
        <v>1</v>
      </c>
    </row>
    <row r="627" spans="1:9" ht="39.75" customHeight="1" x14ac:dyDescent="0.2">
      <c r="A627" s="744" t="s">
        <v>10560</v>
      </c>
      <c r="B627" s="690"/>
      <c r="C627" s="690"/>
      <c r="D627" s="758"/>
      <c r="E627" s="276"/>
      <c r="F627" s="277" t="s">
        <v>10071</v>
      </c>
      <c r="I627" t="b">
        <f>IF('PI-1-MarineLoading'!$G$115=0,TRUE,IF('PI-1-MarineLoading'!$G$128&lt;&gt;"Yes",TRUE,FALSE))</f>
        <v>1</v>
      </c>
    </row>
    <row r="628" spans="1:9" ht="92.25" customHeight="1" x14ac:dyDescent="0.2">
      <c r="A628" s="744" t="str">
        <f>"Any "&amp;('PI-1-MarineLoading'!$G$115-1)&amp;" tanks not undergoing MSS - routine operations, excluding convenience landings"</f>
        <v>Any -1 tanks not undergoing MSS - routine operations, excluding convenience landings</v>
      </c>
      <c r="B628" s="690"/>
      <c r="C628" s="690"/>
      <c r="D628" s="758"/>
      <c r="E628" s="276"/>
      <c r="F628" s="277" t="s">
        <v>10071</v>
      </c>
      <c r="I628" t="b">
        <f>IF('PI-1-MarineLoading'!$G$115=0,TRUE,IF('PI-1-MarineLoading'!$G$128&lt;&gt;"Yes",TRUE,IF('PI-1-MarineLoading'!$G$115&lt;2,TRUE,FALSE)))</f>
        <v>1</v>
      </c>
    </row>
    <row r="629" spans="1:9" ht="39.75" customHeight="1" x14ac:dyDescent="0.2">
      <c r="A629" s="744" t="str">
        <f>'Load-DrumTote'!$F$7&amp;" - routine operations"</f>
        <v xml:space="preserve"> - routine operations</v>
      </c>
      <c r="B629" s="690"/>
      <c r="C629" s="690"/>
      <c r="D629" s="758"/>
      <c r="E629" s="276" t="s">
        <v>10071</v>
      </c>
      <c r="F629" s="277"/>
      <c r="I629" t="b">
        <f>'PI-1-MarineLoading'!$G116&lt;&gt;"Yes"</f>
        <v>1</v>
      </c>
    </row>
    <row r="630" spans="1:9" ht="39.75" customHeight="1" x14ac:dyDescent="0.2">
      <c r="A630" s="744" t="str">
        <f>'Load-Truck'!$F$7&amp;" - routine operations"</f>
        <v xml:space="preserve"> - routine operations</v>
      </c>
      <c r="B630" s="690"/>
      <c r="C630" s="690"/>
      <c r="D630" s="758"/>
      <c r="E630" s="276" t="s">
        <v>10071</v>
      </c>
      <c r="F630" s="277"/>
      <c r="I630" t="b">
        <f>'PI-1-MarineLoading'!$G117&lt;&gt;"Yes"</f>
        <v>1</v>
      </c>
    </row>
    <row r="631" spans="1:9" ht="39.75" customHeight="1" x14ac:dyDescent="0.2">
      <c r="A631" s="744" t="str">
        <f>'Load-Rail'!$F$7&amp;" - routine operations"</f>
        <v xml:space="preserve"> - routine operations</v>
      </c>
      <c r="B631" s="690"/>
      <c r="C631" s="690"/>
      <c r="D631" s="758"/>
      <c r="E631" s="276" t="s">
        <v>10071</v>
      </c>
      <c r="F631" s="277"/>
      <c r="I631" t="b">
        <f>'PI-1-MarineLoading'!$G118&lt;&gt;"Yes"</f>
        <v>1</v>
      </c>
    </row>
    <row r="632" spans="1:9" ht="39.75" customHeight="1" x14ac:dyDescent="0.2">
      <c r="A632" s="744" t="str">
        <f>'Load-MarineBarge'!$F$7&amp;" - routine operations"</f>
        <v xml:space="preserve"> - routine operations</v>
      </c>
      <c r="B632" s="690"/>
      <c r="C632" s="690"/>
      <c r="D632" s="758"/>
      <c r="E632" s="276" t="s">
        <v>10071</v>
      </c>
      <c r="F632" s="277"/>
      <c r="I632" t="b">
        <f>'PI-1-MarineLoading'!$G119&lt;&gt;"Yes"</f>
        <v>1</v>
      </c>
    </row>
    <row r="633" spans="1:9" ht="39.75" customHeight="1" x14ac:dyDescent="0.2">
      <c r="A633" s="744" t="str">
        <f>'Load-MarineShip'!$F$7&amp;" - routine operations"</f>
        <v xml:space="preserve"> - routine operations</v>
      </c>
      <c r="B633" s="690"/>
      <c r="C633" s="690"/>
      <c r="D633" s="758"/>
      <c r="E633" s="276" t="s">
        <v>10071</v>
      </c>
      <c r="F633" s="277"/>
      <c r="I633" t="b">
        <f>'PI-1-MarineLoading'!$G120&lt;&gt;"Yes"</f>
        <v>1</v>
      </c>
    </row>
    <row r="634" spans="1:9" ht="48.75" customHeight="1" x14ac:dyDescent="0.2">
      <c r="A634" s="744" t="str">
        <f>Flare!$D$7&amp;" - control of routine loading operations"</f>
        <v xml:space="preserve"> - control of routine loading operations</v>
      </c>
      <c r="B634" s="690"/>
      <c r="C634" s="690"/>
      <c r="D634" s="758"/>
      <c r="E634" s="276" t="s">
        <v>10071</v>
      </c>
      <c r="F634" s="277"/>
      <c r="I634" t="b">
        <f>IF('PI-1-MarineLoading'!$G$121&lt;&gt;"Yes",TRUE,IF(COUNTIF('PI-1-MarineLoading'!$G$116:$G$120,"No")=5,TRUE,IF(COUNTIF('Load-DrumTote'!$F$19,"*flare*")+COUNTIF('Load-Truck'!$F$19,"*flare*")+COUNTIF('Load-Rail'!$F$19,"*flare*")+COUNTIF('Load-MarineBarge'!$F$19,"*flare*")+COUNTIF('Load-MarineShip'!$F$19,"*flare*")=0,TRUE,FALSE)))</f>
        <v>1</v>
      </c>
    </row>
    <row r="635" spans="1:9" ht="48.75" customHeight="1" x14ac:dyDescent="0.2">
      <c r="A635" s="744" t="str">
        <f>Flare!$D$7&amp;" - control of routine tank operations"</f>
        <v xml:space="preserve"> - control of routine tank operations</v>
      </c>
      <c r="B635" s="690"/>
      <c r="C635" s="690"/>
      <c r="D635" s="758"/>
      <c r="E635" s="276" t="s">
        <v>10071</v>
      </c>
      <c r="F635" s="277" t="s">
        <v>10071</v>
      </c>
      <c r="I635" t="b">
        <f>IF('PI-1-MarineLoading'!$G$121&lt;&gt;"Yes",TRUE,IF('PI-1-MarineLoading'!$G$115=0,TRUE,IF(COUNTIF(Tank1!$D$22,"*flare*")+COUNTIF(Tank2!$D$22,"*flare*")+COUNTIF(Tank3!$D$22,"*flare*")+COUNTIF(Tank4!$D$22,"*flare*")+COUNTIF(Tank5!$D$22,"*flare*")=0,TRUE,FALSE)))</f>
        <v>1</v>
      </c>
    </row>
    <row r="636" spans="1:9" ht="39.75" customHeight="1" x14ac:dyDescent="0.2">
      <c r="A636" s="744" t="str">
        <f>Flare!$D$7&amp;" - control of MSS operations"</f>
        <v xml:space="preserve"> - control of MSS operations</v>
      </c>
      <c r="B636" s="690"/>
      <c r="C636" s="690"/>
      <c r="D636" s="758"/>
      <c r="E636" s="276"/>
      <c r="F636" s="277" t="s">
        <v>10071</v>
      </c>
      <c r="I636" t="b">
        <f>IF('PI-1-MarineLoading'!$G$128&lt;&gt;"Yes",TRUE,IF('PI-1-MarineLoading'!$G$121&lt;&gt;"Yes",TRUE,IF((COUNTIF(TankMSS!$C$14:$D$18,"*permanent flare*")+COUNTIF(TankMSS!$C$107:$D$111,"*permanent flare*"))=0,TRUE,FALSE)))</f>
        <v>1</v>
      </c>
    </row>
    <row r="637" spans="1:9" ht="48.75" customHeight="1" x14ac:dyDescent="0.2">
      <c r="A637" s="744" t="str">
        <f>VCU!$D$7&amp;" - control of routine loading operations"</f>
        <v xml:space="preserve"> - control of routine loading operations</v>
      </c>
      <c r="B637" s="690"/>
      <c r="C637" s="690"/>
      <c r="D637" s="758"/>
      <c r="E637" s="276" t="s">
        <v>10071</v>
      </c>
      <c r="F637" s="277"/>
      <c r="I637" t="b">
        <f>IF('PI-1-MarineLoading'!$G$122&lt;&gt;"Yes",TRUE,IF(COUNTIF('PI-1-MarineLoading'!$G$116:$G$120,"No")=5,TRUE,IF(COUNTIF('Load-DrumTote'!$F$19,"*VCU*")+COUNTIF('Load-Truck'!$F$19,"*VCU*")+COUNTIF('Load-Rail'!$F$19,"*VCU*")+COUNTIF('Load-MarineBarge'!$F$19,"*VCU*")+COUNTIF('Load-MarineShip'!$F$19,"*VCU*")=0,TRUE,FALSE)))</f>
        <v>1</v>
      </c>
    </row>
    <row r="638" spans="1:9" ht="48.75" customHeight="1" x14ac:dyDescent="0.2">
      <c r="A638" s="744" t="str">
        <f>VCU!$D$7&amp;" - control of routine tank operations"</f>
        <v xml:space="preserve"> - control of routine tank operations</v>
      </c>
      <c r="B638" s="690"/>
      <c r="C638" s="690"/>
      <c r="D638" s="758"/>
      <c r="E638" s="276" t="s">
        <v>10071</v>
      </c>
      <c r="F638" s="277" t="s">
        <v>10071</v>
      </c>
      <c r="I638" t="b">
        <f>IF('PI-1-MarineLoading'!$G$122&lt;&gt;"Yes",TRUE,IF('PI-1-MarineLoading'!$G$115=0,TRUE,IF(COUNTIF(Tank1!$D$22,"*VCU*")+COUNTIF(Tank2!$D$22,"*VCU*")+COUNTIF(Tank3!$D$22,"*VCU*")+COUNTIF(Tank4!$D$22,"*VCU*")+COUNTIF(Tank5!$D$22,"*VCU*")=0,TRUE,FALSE)))</f>
        <v>1</v>
      </c>
    </row>
    <row r="639" spans="1:9" ht="39.75" customHeight="1" x14ac:dyDescent="0.2">
      <c r="A639" s="744" t="str">
        <f>VCU!$D$7&amp;" - control of MSS operations"</f>
        <v xml:space="preserve"> - control of MSS operations</v>
      </c>
      <c r="B639" s="690"/>
      <c r="C639" s="690"/>
      <c r="D639" s="758"/>
      <c r="E639" s="276"/>
      <c r="F639" s="277" t="s">
        <v>10071</v>
      </c>
      <c r="I639" t="b">
        <f>IF('PI-1-MarineLoading'!$G$128&lt;&gt;"Yes",TRUE,IF('PI-1-MarineLoading'!$G$122&lt;&gt;"Yes",TRUE,IF((COUNTIF(TankMSS!$C$14:$D$18,"*permanent VCU*")+COUNTIF(TankMSS!$C$107:$D$111,"*permanent VCU*"))=0,TRUE,FALSE)))</f>
        <v>1</v>
      </c>
    </row>
    <row r="640" spans="1:9" ht="39.75" customHeight="1" x14ac:dyDescent="0.2">
      <c r="A640" s="744" t="str">
        <f>VaporOxidizer!$D$7&amp;" - conrol of routine loading operations"</f>
        <v xml:space="preserve"> - conrol of routine loading operations</v>
      </c>
      <c r="B640" s="690"/>
      <c r="C640" s="690"/>
      <c r="D640" s="758"/>
      <c r="E640" s="276" t="s">
        <v>10071</v>
      </c>
      <c r="F640" s="277"/>
      <c r="I640" t="b">
        <f>IF('PI-1-MarineLoading'!$G$123&lt;&gt;"Yes",TRUE,IF(COUNTIF('PI-1-MarineLoading'!$G$116:$G$120,"No")=5,TRUE,IF(COUNTIF('Load-DrumTote'!$F$19,"*oxidizer*")+COUNTIF('Load-Truck'!$F$19,"*oxidizer*")+COUNTIF('Load-Rail'!$F$19,"*oxidizer*")+COUNTIF('Load-MarineBarge'!$F$19,"*oxidizer*")+COUNTIF('Load-MarineShip'!$F$19,"*oxidizer*")=0,TRUE,FALSE)))</f>
        <v>1</v>
      </c>
    </row>
    <row r="641" spans="1:9" ht="39.75" customHeight="1" x14ac:dyDescent="0.2">
      <c r="A641" s="744" t="str">
        <f>VaporOxidizer!$D$7&amp;" - conrol of routine tank operations"</f>
        <v xml:space="preserve"> - conrol of routine tank operations</v>
      </c>
      <c r="B641" s="690"/>
      <c r="C641" s="690"/>
      <c r="D641" s="758"/>
      <c r="E641" s="276" t="s">
        <v>10071</v>
      </c>
      <c r="F641" s="277" t="s">
        <v>10071</v>
      </c>
      <c r="I641" t="b">
        <f>IF('PI-1-MarineLoading'!$G$123&lt;&gt;"Yes",TRUE,IF('PI-1-MarineLoading'!$G$115=0,TRUE,IF(COUNTIF(Tank1!$D$22,"*oxidizer*")+COUNTIF(Tank2!$D$22,"*oxidizer*")+COUNTIF(Tank3!$D$22,"*oxidizer*")+COUNTIF(Tank4!$D$22,"*oxidizer*")+COUNTIF(Tank5!$D$22,"*oxidizer*")=0,TRUE,FALSE)))</f>
        <v>1</v>
      </c>
    </row>
    <row r="642" spans="1:9" ht="39.75" customHeight="1" x14ac:dyDescent="0.2">
      <c r="A642" s="744" t="str">
        <f>VaporOxidizer!$D$7&amp;" - control of MSS operations"</f>
        <v xml:space="preserve"> - control of MSS operations</v>
      </c>
      <c r="B642" s="690"/>
      <c r="C642" s="690"/>
      <c r="D642" s="758"/>
      <c r="E642" s="276"/>
      <c r="F642" s="277" t="s">
        <v>10071</v>
      </c>
      <c r="I642" t="b">
        <f>IF('PI-1-MarineLoading'!$G$128&lt;&gt;"Yes",TRUE,IF('PI-1-MarineLoading'!$G$123&lt;&gt;"Yes",TRUE,IF((COUNTIF(TankMSS!$C$14:$D$18,"*permanent vapor oxidizer*")+COUNTIF(TankMSS!$C$107:$D$111,"*permanent vapor oxidizer*"))=0,TRUE,FALSE)))</f>
        <v>1</v>
      </c>
    </row>
    <row r="643" spans="1:9" ht="48.75" customHeight="1" x14ac:dyDescent="0.2">
      <c r="A643" s="744" t="str">
        <f>CAS!$D$7&amp;" - control of routine loading operations"</f>
        <v xml:space="preserve"> - control of routine loading operations</v>
      </c>
      <c r="B643" s="690"/>
      <c r="C643" s="690"/>
      <c r="D643" s="758"/>
      <c r="E643" s="276" t="s">
        <v>10071</v>
      </c>
      <c r="F643" s="277"/>
      <c r="I643" t="b">
        <f>IF('PI-1-MarineLoading'!$G$124&lt;&gt;"Yes",TRUE,IF(COUNTIF('PI-1-MarineLoading'!$G$116:$G$120,"No")=5,TRUE,IF(COUNTIF('Load-DrumTote'!$F$19,"*CAS*")+COUNTIF('Load-Truck'!$F$19,"*CAS*")+COUNTIF('Load-Rail'!$F$19,"*CAS*")+COUNTIF('Load-MarineBarge'!$F$19,"*CAS*")+COUNTIF('Load-MarineShip'!$F$19,"*CAS*")=0,TRUE,FALSE)))</f>
        <v>1</v>
      </c>
    </row>
    <row r="644" spans="1:9" ht="48.75" customHeight="1" x14ac:dyDescent="0.2">
      <c r="A644" s="744" t="str">
        <f>CAS!$D$7&amp;" - control of routine tank operations"</f>
        <v xml:space="preserve"> - control of routine tank operations</v>
      </c>
      <c r="B644" s="690"/>
      <c r="C644" s="690"/>
      <c r="D644" s="758"/>
      <c r="E644" s="276" t="s">
        <v>10071</v>
      </c>
      <c r="F644" s="277" t="s">
        <v>10071</v>
      </c>
      <c r="I644" t="b">
        <f>IF('PI-1-MarineLoading'!$G$124&lt;&gt;"Yes",TRUE,IF('PI-1-MarineLoading'!$G$115=0,TRUE,IF(COUNTIF(Tank1!$D$22,"*CAS*")+COUNTIF(Tank2!$D$22,"*CAS*")+COUNTIF(Tank3!$D$22,"*CAS*")+COUNTIF(Tank4!$D$22,"*CAS*")+COUNTIF(Tank5!$D$22,"*CAS*")=0,TRUE,FALSE)))</f>
        <v>1</v>
      </c>
    </row>
    <row r="645" spans="1:9" ht="39.75" customHeight="1" x14ac:dyDescent="0.2">
      <c r="A645" s="744" t="str">
        <f>MSS!$D$63&amp;" - routine operations"</f>
        <v xml:space="preserve"> - routine operations</v>
      </c>
      <c r="B645" s="690"/>
      <c r="C645" s="690"/>
      <c r="D645" s="758"/>
      <c r="E645" s="276" t="s">
        <v>10071</v>
      </c>
      <c r="F645" s="277"/>
      <c r="I645" t="b">
        <f>'PI-1-MarineLoading'!$G$129&lt;&gt;"YES"</f>
        <v>1</v>
      </c>
    </row>
    <row r="646" spans="1:9" ht="39.75" customHeight="1" x14ac:dyDescent="0.2">
      <c r="A646" s="744" t="str">
        <f>MSS!$D$63&amp;" - MSS operations"</f>
        <v xml:space="preserve"> - MSS operations</v>
      </c>
      <c r="B646" s="690"/>
      <c r="C646" s="690"/>
      <c r="D646" s="758"/>
      <c r="E646" s="276"/>
      <c r="F646" s="277" t="s">
        <v>10071</v>
      </c>
      <c r="I646" t="b">
        <f>IF('PI-1-MarineLoading'!$G$129&lt;&gt;"YES",TRUE,IF('PI-1-MarineLoading'!$G$128&lt;&gt;"YES",TRUE,IF(COUNTIF(Hidden!$BV$2:$BV$4,"*flare*")=0,TRUE,FALSE)))</f>
        <v>1</v>
      </c>
    </row>
    <row r="647" spans="1:9" ht="39.75" customHeight="1" x14ac:dyDescent="0.2">
      <c r="A647" s="744" t="str">
        <f>MSS!$D$89&amp;" - control of routine operations"</f>
        <v xml:space="preserve"> - control of routine operations</v>
      </c>
      <c r="B647" s="690"/>
      <c r="C647" s="690"/>
      <c r="D647" s="758"/>
      <c r="E647" s="276" t="s">
        <v>10071</v>
      </c>
      <c r="F647" s="277"/>
      <c r="I647" t="b">
        <f>'PI-1-MarineLoading'!$G$130&lt;&gt;"YES"</f>
        <v>1</v>
      </c>
    </row>
    <row r="648" spans="1:9" ht="39.75" customHeight="1" x14ac:dyDescent="0.2">
      <c r="A648" s="744" t="str">
        <f>MSS!$D$89&amp;" - control of MSS operations"</f>
        <v xml:space="preserve"> - control of MSS operations</v>
      </c>
      <c r="B648" s="690"/>
      <c r="C648" s="690"/>
      <c r="D648" s="758"/>
      <c r="E648" s="276"/>
      <c r="F648" s="277" t="s">
        <v>10071</v>
      </c>
      <c r="I648" t="b">
        <f>IF('PI-1-MarineLoading'!$G$130&lt;&gt;"YES",TRUE,IF('PI-1-MarineLoading'!$G$130&lt;&gt;"YES",TRUE,IF(COUNTIF(Hidden!$BV$2:$BV$4,"*vcu*")=0,TRUE,FALSE)))</f>
        <v>1</v>
      </c>
    </row>
    <row r="649" spans="1:9" ht="39.75" customHeight="1" x14ac:dyDescent="0.2">
      <c r="A649" s="744" t="str">
        <f>MSS!$D$119&amp;" - control of routine operations"</f>
        <v xml:space="preserve"> - control of routine operations</v>
      </c>
      <c r="B649" s="690"/>
      <c r="C649" s="690"/>
      <c r="D649" s="758"/>
      <c r="E649" s="276" t="s">
        <v>10071</v>
      </c>
      <c r="F649" s="277"/>
      <c r="I649" t="b">
        <f>'PI-1-MarineLoading'!$G$131&lt;&gt;"YES"</f>
        <v>1</v>
      </c>
    </row>
    <row r="650" spans="1:9" ht="39.75" customHeight="1" x14ac:dyDescent="0.2">
      <c r="A650" s="744" t="str">
        <f>MSS!$D$119&amp;" - MSS operations"</f>
        <v xml:space="preserve"> - MSS operations</v>
      </c>
      <c r="B650" s="690"/>
      <c r="C650" s="690"/>
      <c r="D650" s="758"/>
      <c r="E650" s="276"/>
      <c r="F650" s="277" t="s">
        <v>10071</v>
      </c>
      <c r="I650" t="b">
        <f>IF('PI-1-MarineLoading'!$G$131&lt;&gt;"YES",TRUE,IF('PI-1-MarineLoading'!$G$128&lt;&gt;"YES",TRUE,IF(COUNTIF(Hidden!$BV$2:$BV$4,"*oxidizer*")=0,TRUE,FALSE)))</f>
        <v>1</v>
      </c>
    </row>
    <row r="651" spans="1:9" ht="39.75" customHeight="1" x14ac:dyDescent="0.2">
      <c r="A651" s="744" t="str">
        <f>Engine2!$D$7&amp;" - routine operations"</f>
        <v xml:space="preserve"> - routine operations</v>
      </c>
      <c r="B651" s="690"/>
      <c r="C651" s="690"/>
      <c r="D651" s="758"/>
      <c r="E651" s="276" t="s">
        <v>10071</v>
      </c>
      <c r="F651" s="277"/>
      <c r="I651" t="b">
        <f>'PI-1-MarineLoading'!$G$125&lt;1</f>
        <v>1</v>
      </c>
    </row>
    <row r="652" spans="1:9" ht="39.75" customHeight="1" x14ac:dyDescent="0.2">
      <c r="A652" s="744" t="str">
        <f>Engine1!$D$7&amp;" - routine operations"</f>
        <v xml:space="preserve"> - routine operations</v>
      </c>
      <c r="B652" s="690"/>
      <c r="C652" s="690"/>
      <c r="D652" s="758"/>
      <c r="E652" s="276" t="s">
        <v>10071</v>
      </c>
      <c r="F652" s="277"/>
      <c r="I652" t="b">
        <f>'PI-1-MarineLoading'!$G$125&lt;2</f>
        <v>1</v>
      </c>
    </row>
    <row r="653" spans="1:9" ht="39.75" customHeight="1" x14ac:dyDescent="0.2">
      <c r="A653" s="744" t="str">
        <f>HeaterBoiler1!$E$7&amp;" - routine operations"</f>
        <v xml:space="preserve"> - routine operations</v>
      </c>
      <c r="B653" s="690"/>
      <c r="C653" s="690"/>
      <c r="D653" s="758"/>
      <c r="E653" s="276" t="s">
        <v>10071</v>
      </c>
      <c r="F653" s="277" t="s">
        <v>10071</v>
      </c>
      <c r="I653" t="b">
        <f>'PI-1-MarineLoading'!$G$126&lt;1</f>
        <v>1</v>
      </c>
    </row>
    <row r="654" spans="1:9" ht="39.75" customHeight="1" x14ac:dyDescent="0.2">
      <c r="A654" s="744" t="str">
        <f>HeaterBoiler2!$E$7&amp;" - routine operations"</f>
        <v xml:space="preserve"> - routine operations</v>
      </c>
      <c r="B654" s="690"/>
      <c r="C654" s="690"/>
      <c r="D654" s="758"/>
      <c r="E654" s="276" t="s">
        <v>10071</v>
      </c>
      <c r="F654" s="277" t="s">
        <v>10071</v>
      </c>
      <c r="I654" t="b">
        <f>'PI-1-MarineLoading'!$G$126&lt;2</f>
        <v>1</v>
      </c>
    </row>
    <row r="655" spans="1:9" ht="39.75" customHeight="1" x14ac:dyDescent="0.2">
      <c r="A655" s="744" t="str">
        <f>Fug!$F$7&amp;" - routine "&amp;IF('PI-1-MarineLoading'!$G$128="Yes","and MSS operations","operations")</f>
        <v xml:space="preserve"> - routine operations</v>
      </c>
      <c r="B655" s="690"/>
      <c r="C655" s="690"/>
      <c r="D655" s="758"/>
      <c r="E655" s="276" t="s">
        <v>10071</v>
      </c>
      <c r="F655" s="277" t="s">
        <v>10071</v>
      </c>
      <c r="I655" t="b">
        <f>'PI-1-MarineLoading'!$G$127&lt;&gt;"Yes"</f>
        <v>1</v>
      </c>
    </row>
    <row r="656" spans="1:9" ht="77.25" customHeight="1" x14ac:dyDescent="0.2">
      <c r="A656" s="692" t="s">
        <v>10561</v>
      </c>
      <c r="B656" s="693"/>
      <c r="C656" s="693"/>
      <c r="D656" s="694"/>
      <c r="E656" s="366" t="s">
        <v>10071</v>
      </c>
      <c r="F656" s="367" t="s">
        <v>10071</v>
      </c>
      <c r="I656" t="b">
        <f>IF('PI-1-MarineLoading'!$G$128&lt;&gt;"Yes",TRUE,COUNTIF(MSS!$G$13:$G$23,"Yes")+COUNTIF(MSS!$G$25:$G$31,"Yes")=0)</f>
        <v>1</v>
      </c>
    </row>
    <row r="657" spans="1:6" ht="15" thickBot="1" x14ac:dyDescent="0.25">
      <c r="A657" s="587" t="s">
        <v>10634</v>
      </c>
      <c r="B657" s="588"/>
      <c r="C657" s="588"/>
      <c r="D657" s="588"/>
      <c r="E657" s="588"/>
      <c r="F657" s="1157"/>
    </row>
    <row r="658" spans="1:6" ht="15" thickBot="1" x14ac:dyDescent="0.25">
      <c r="A658" s="478" t="s">
        <v>1</v>
      </c>
      <c r="B658" s="478"/>
      <c r="C658" s="478"/>
      <c r="D658" s="478"/>
      <c r="E658" s="478"/>
      <c r="F658" s="478"/>
    </row>
    <row r="659" spans="1:6" ht="15.75" thickBot="1" x14ac:dyDescent="0.25">
      <c r="A659" s="479" t="s">
        <v>8836</v>
      </c>
      <c r="B659" s="479"/>
      <c r="C659" s="479"/>
      <c r="D659" s="479"/>
      <c r="E659" s="479"/>
      <c r="F659" s="479"/>
    </row>
    <row r="660" spans="1:6" ht="44.25" customHeight="1" x14ac:dyDescent="0.2">
      <c r="A660" s="475" t="s">
        <v>8837</v>
      </c>
      <c r="B660" s="476"/>
      <c r="C660" s="476"/>
      <c r="D660" s="476"/>
      <c r="E660" s="476"/>
      <c r="F660" s="477"/>
    </row>
    <row r="661" spans="1:6" ht="15.75" thickBot="1" x14ac:dyDescent="0.25">
      <c r="A661" s="1151" t="s">
        <v>8838</v>
      </c>
      <c r="B661" s="1152"/>
      <c r="C661" s="1152"/>
      <c r="D661" s="1152"/>
      <c r="E661" s="1152"/>
      <c r="F661" s="1153"/>
    </row>
    <row r="662" spans="1:6" ht="15" thickBot="1" x14ac:dyDescent="0.25">
      <c r="A662" s="1148"/>
      <c r="B662" s="1149"/>
      <c r="C662" s="1149"/>
      <c r="D662" s="1149"/>
      <c r="E662" s="1149"/>
      <c r="F662" s="1150"/>
    </row>
    <row r="663" spans="1:6" x14ac:dyDescent="0.2">
      <c r="A663" s="478" t="s">
        <v>130</v>
      </c>
      <c r="B663" s="478"/>
      <c r="C663" s="478"/>
      <c r="D663" s="478"/>
      <c r="E663" s="478"/>
      <c r="F663" s="478"/>
    </row>
  </sheetData>
  <sheetProtection algorithmName="SHA-512" hashValue="AjTqxQRAKEeQkj66KXcS4EsGufV9dX5RXPYP5O3AV3Rfj5KusbL1bfTlP0mMyYcqJVNqt7E44/3pA/1sbS8yvQ==" saltValue="ExW/+MLlmlHUGgRrjxp3rQ==" spinCount="100000" sheet="1" objects="1" scenarios="1" formatColumns="0" formatRows="0"/>
  <mergeCells count="714">
    <mergeCell ref="A634:D634"/>
    <mergeCell ref="A636:D636"/>
    <mergeCell ref="A635:D635"/>
    <mergeCell ref="A638:D638"/>
    <mergeCell ref="A632:D632"/>
    <mergeCell ref="A633:D633"/>
    <mergeCell ref="C112:F112"/>
    <mergeCell ref="C399:F399"/>
    <mergeCell ref="D415:F415"/>
    <mergeCell ref="D423:F423"/>
    <mergeCell ref="D455:F455"/>
    <mergeCell ref="A617:D617"/>
    <mergeCell ref="A618:D618"/>
    <mergeCell ref="A619:D619"/>
    <mergeCell ref="A620:D620"/>
    <mergeCell ref="A621:D621"/>
    <mergeCell ref="A622:D622"/>
    <mergeCell ref="A623:D623"/>
    <mergeCell ref="A624:D624"/>
    <mergeCell ref="A571:D571"/>
    <mergeCell ref="A592:F592"/>
    <mergeCell ref="A603:F603"/>
    <mergeCell ref="A559:F559"/>
    <mergeCell ref="A561:D561"/>
    <mergeCell ref="A641:D641"/>
    <mergeCell ref="A657:F657"/>
    <mergeCell ref="A637:D637"/>
    <mergeCell ref="A647:D647"/>
    <mergeCell ref="A648:D648"/>
    <mergeCell ref="A649:D649"/>
    <mergeCell ref="A642:D642"/>
    <mergeCell ref="A643:D643"/>
    <mergeCell ref="A645:D645"/>
    <mergeCell ref="A646:D646"/>
    <mergeCell ref="A656:D656"/>
    <mergeCell ref="A644:D644"/>
    <mergeCell ref="A588:D588"/>
    <mergeCell ref="A589:D589"/>
    <mergeCell ref="A630:D630"/>
    <mergeCell ref="A631:D631"/>
    <mergeCell ref="A625:D625"/>
    <mergeCell ref="A626:D626"/>
    <mergeCell ref="A627:D627"/>
    <mergeCell ref="A628:D628"/>
    <mergeCell ref="A629:D629"/>
    <mergeCell ref="A590:D590"/>
    <mergeCell ref="A591:D591"/>
    <mergeCell ref="A593:D593"/>
    <mergeCell ref="D175:F175"/>
    <mergeCell ref="D176:F176"/>
    <mergeCell ref="D177:F177"/>
    <mergeCell ref="D178:F178"/>
    <mergeCell ref="D510:F510"/>
    <mergeCell ref="D511:F511"/>
    <mergeCell ref="A585:D585"/>
    <mergeCell ref="A586:D586"/>
    <mergeCell ref="A587:D587"/>
    <mergeCell ref="A562:D562"/>
    <mergeCell ref="A563:D563"/>
    <mergeCell ref="A564:D564"/>
    <mergeCell ref="A565:D565"/>
    <mergeCell ref="A566:D566"/>
    <mergeCell ref="A567:D567"/>
    <mergeCell ref="A568:D568"/>
    <mergeCell ref="A569:D569"/>
    <mergeCell ref="A570:F570"/>
    <mergeCell ref="A572:D572"/>
    <mergeCell ref="A573:D573"/>
    <mergeCell ref="A574:D574"/>
    <mergeCell ref="A575:D575"/>
    <mergeCell ref="A576:D576"/>
    <mergeCell ref="A577:D577"/>
    <mergeCell ref="A578:D578"/>
    <mergeCell ref="A579:D579"/>
    <mergeCell ref="A580:D580"/>
    <mergeCell ref="A582:D582"/>
    <mergeCell ref="A581:F581"/>
    <mergeCell ref="C157:D157"/>
    <mergeCell ref="A158:B158"/>
    <mergeCell ref="C158:D158"/>
    <mergeCell ref="A159:B159"/>
    <mergeCell ref="C159:D159"/>
    <mergeCell ref="D519:F519"/>
    <mergeCell ref="D520:F520"/>
    <mergeCell ref="C508:F508"/>
    <mergeCell ref="D192:F192"/>
    <mergeCell ref="D513:F513"/>
    <mergeCell ref="D514:F514"/>
    <mergeCell ref="C515:F515"/>
    <mergeCell ref="B217:F217"/>
    <mergeCell ref="D194:F194"/>
    <mergeCell ref="E199:F199"/>
    <mergeCell ref="B218:F218"/>
    <mergeCell ref="B219:F219"/>
    <mergeCell ref="B220:F220"/>
    <mergeCell ref="C238:F238"/>
    <mergeCell ref="A152:B152"/>
    <mergeCell ref="A153:B153"/>
    <mergeCell ref="A154:B154"/>
    <mergeCell ref="A155:B155"/>
    <mergeCell ref="C152:D152"/>
    <mergeCell ref="C153:D153"/>
    <mergeCell ref="A140:B140"/>
    <mergeCell ref="C141:D141"/>
    <mergeCell ref="A142:B142"/>
    <mergeCell ref="C142:D142"/>
    <mergeCell ref="C140:D140"/>
    <mergeCell ref="A141:B141"/>
    <mergeCell ref="A148:B148"/>
    <mergeCell ref="C148:D148"/>
    <mergeCell ref="A149:B149"/>
    <mergeCell ref="C149:D149"/>
    <mergeCell ref="A150:B150"/>
    <mergeCell ref="A143:B143"/>
    <mergeCell ref="C191:F191"/>
    <mergeCell ref="C213:F213"/>
    <mergeCell ref="D516:F516"/>
    <mergeCell ref="A189:F189"/>
    <mergeCell ref="B185:F185"/>
    <mergeCell ref="C186:F186"/>
    <mergeCell ref="D509:F509"/>
    <mergeCell ref="C187:F187"/>
    <mergeCell ref="C188:F188"/>
    <mergeCell ref="B235:F235"/>
    <mergeCell ref="D225:F225"/>
    <mergeCell ref="D226:F226"/>
    <mergeCell ref="C221:F221"/>
    <mergeCell ref="C222:F222"/>
    <mergeCell ref="C223:F223"/>
    <mergeCell ref="C224:F224"/>
    <mergeCell ref="A245:F245"/>
    <mergeCell ref="B246:F246"/>
    <mergeCell ref="C247:F247"/>
    <mergeCell ref="C236:F236"/>
    <mergeCell ref="C237:F237"/>
    <mergeCell ref="B255:F255"/>
    <mergeCell ref="B256:F256"/>
    <mergeCell ref="B257:F257"/>
    <mergeCell ref="D172:F172"/>
    <mergeCell ref="D173:F173"/>
    <mergeCell ref="A156:B156"/>
    <mergeCell ref="C156:D156"/>
    <mergeCell ref="A157:B157"/>
    <mergeCell ref="C214:F214"/>
    <mergeCell ref="C215:F215"/>
    <mergeCell ref="C216:F216"/>
    <mergeCell ref="C180:F180"/>
    <mergeCell ref="C181:F181"/>
    <mergeCell ref="C182:F182"/>
    <mergeCell ref="C179:F179"/>
    <mergeCell ref="D174:F174"/>
    <mergeCell ref="E202:F202"/>
    <mergeCell ref="D203:F203"/>
    <mergeCell ref="C195:F195"/>
    <mergeCell ref="E200:F200"/>
    <mergeCell ref="B190:F190"/>
    <mergeCell ref="D196:F196"/>
    <mergeCell ref="D197:F197"/>
    <mergeCell ref="D198:F198"/>
    <mergeCell ref="C183:F183"/>
    <mergeCell ref="C184:F184"/>
    <mergeCell ref="D193:F193"/>
    <mergeCell ref="C31:F31"/>
    <mergeCell ref="C45:F45"/>
    <mergeCell ref="C46:F46"/>
    <mergeCell ref="C47:F47"/>
    <mergeCell ref="C48:F48"/>
    <mergeCell ref="C137:D137"/>
    <mergeCell ref="C32:F32"/>
    <mergeCell ref="B34:F34"/>
    <mergeCell ref="C35:F35"/>
    <mergeCell ref="A137:B137"/>
    <mergeCell ref="C36:F36"/>
    <mergeCell ref="C37:F37"/>
    <mergeCell ref="C38:F38"/>
    <mergeCell ref="C33:F33"/>
    <mergeCell ref="C51:F51"/>
    <mergeCell ref="C52:F52"/>
    <mergeCell ref="C53:F53"/>
    <mergeCell ref="C54:F54"/>
    <mergeCell ref="C55:F55"/>
    <mergeCell ref="A57:F57"/>
    <mergeCell ref="C49:F49"/>
    <mergeCell ref="C50:F50"/>
    <mergeCell ref="C39:F39"/>
    <mergeCell ref="A120:B120"/>
    <mergeCell ref="C22:F22"/>
    <mergeCell ref="C23:F23"/>
    <mergeCell ref="C24:F24"/>
    <mergeCell ref="B26:F26"/>
    <mergeCell ref="C27:F27"/>
    <mergeCell ref="C29:F29"/>
    <mergeCell ref="C25:F25"/>
    <mergeCell ref="C28:F28"/>
    <mergeCell ref="C30:F30"/>
    <mergeCell ref="A1:F1"/>
    <mergeCell ref="A2:F2"/>
    <mergeCell ref="A3:F3"/>
    <mergeCell ref="A4:F4"/>
    <mergeCell ref="A5:F5"/>
    <mergeCell ref="B6:F6"/>
    <mergeCell ref="C19:F19"/>
    <mergeCell ref="C20:F20"/>
    <mergeCell ref="C21:F21"/>
    <mergeCell ref="C13:F13"/>
    <mergeCell ref="C14:F14"/>
    <mergeCell ref="C15:F15"/>
    <mergeCell ref="C16:F16"/>
    <mergeCell ref="C17:F17"/>
    <mergeCell ref="C18:F18"/>
    <mergeCell ref="B7:F7"/>
    <mergeCell ref="B8:F8"/>
    <mergeCell ref="B9:F9"/>
    <mergeCell ref="A10:F10"/>
    <mergeCell ref="B11:F11"/>
    <mergeCell ref="C12:F12"/>
    <mergeCell ref="C40:F40"/>
    <mergeCell ref="C41:F41"/>
    <mergeCell ref="C42:F42"/>
    <mergeCell ref="C43:F43"/>
    <mergeCell ref="C44:F44"/>
    <mergeCell ref="C56:F56"/>
    <mergeCell ref="D64:F64"/>
    <mergeCell ref="D65:F65"/>
    <mergeCell ref="C66:F66"/>
    <mergeCell ref="C67:F67"/>
    <mergeCell ref="C68:F68"/>
    <mergeCell ref="C69:F69"/>
    <mergeCell ref="B58:F58"/>
    <mergeCell ref="C59:F59"/>
    <mergeCell ref="C60:F60"/>
    <mergeCell ref="C61:F61"/>
    <mergeCell ref="C62:F62"/>
    <mergeCell ref="C63:F63"/>
    <mergeCell ref="C76:F76"/>
    <mergeCell ref="C77:F77"/>
    <mergeCell ref="C78:F78"/>
    <mergeCell ref="D79:F79"/>
    <mergeCell ref="D80:F80"/>
    <mergeCell ref="C81:F81"/>
    <mergeCell ref="C70:F70"/>
    <mergeCell ref="C71:F71"/>
    <mergeCell ref="C72:F72"/>
    <mergeCell ref="B73:F73"/>
    <mergeCell ref="C74:F74"/>
    <mergeCell ref="C75:F75"/>
    <mergeCell ref="C82:F82"/>
    <mergeCell ref="C83:F83"/>
    <mergeCell ref="C84:F84"/>
    <mergeCell ref="C85:F85"/>
    <mergeCell ref="C86:F86"/>
    <mergeCell ref="C87:F87"/>
    <mergeCell ref="B114:F114"/>
    <mergeCell ref="C104:F104"/>
    <mergeCell ref="C103:F103"/>
    <mergeCell ref="B105:F105"/>
    <mergeCell ref="B88:F88"/>
    <mergeCell ref="C89:F89"/>
    <mergeCell ref="C90:F90"/>
    <mergeCell ref="C91:F91"/>
    <mergeCell ref="C92:F92"/>
    <mergeCell ref="C93:F93"/>
    <mergeCell ref="C100:F100"/>
    <mergeCell ref="C101:F101"/>
    <mergeCell ref="C94:F94"/>
    <mergeCell ref="D95:F95"/>
    <mergeCell ref="D96:F96"/>
    <mergeCell ref="C97:F97"/>
    <mergeCell ref="C98:F98"/>
    <mergeCell ref="C99:F99"/>
    <mergeCell ref="C102:F102"/>
    <mergeCell ref="C119:D119"/>
    <mergeCell ref="A121:B121"/>
    <mergeCell ref="A122:B122"/>
    <mergeCell ref="C122:D122"/>
    <mergeCell ref="B106:F106"/>
    <mergeCell ref="C115:D115"/>
    <mergeCell ref="A113:F113"/>
    <mergeCell ref="C107:F107"/>
    <mergeCell ref="C121:D121"/>
    <mergeCell ref="C108:F108"/>
    <mergeCell ref="D109:F109"/>
    <mergeCell ref="D110:F110"/>
    <mergeCell ref="D111:F111"/>
    <mergeCell ref="C120:D120"/>
    <mergeCell ref="A131:B131"/>
    <mergeCell ref="C131:D131"/>
    <mergeCell ref="C150:D150"/>
    <mergeCell ref="A138:B138"/>
    <mergeCell ref="C138:D138"/>
    <mergeCell ref="A127:B127"/>
    <mergeCell ref="C127:D127"/>
    <mergeCell ref="A128:B128"/>
    <mergeCell ref="C128:D128"/>
    <mergeCell ref="C143:D143"/>
    <mergeCell ref="A144:B144"/>
    <mergeCell ref="C144:D144"/>
    <mergeCell ref="A145:B145"/>
    <mergeCell ref="C145:D145"/>
    <mergeCell ref="A146:B146"/>
    <mergeCell ref="C146:D146"/>
    <mergeCell ref="A147:B147"/>
    <mergeCell ref="C147:D147"/>
    <mergeCell ref="C135:D135"/>
    <mergeCell ref="A136:B136"/>
    <mergeCell ref="C136:D136"/>
    <mergeCell ref="A139:B139"/>
    <mergeCell ref="A129:B129"/>
    <mergeCell ref="C129:D129"/>
    <mergeCell ref="A162:B162"/>
    <mergeCell ref="C161:D161"/>
    <mergeCell ref="C162:D162"/>
    <mergeCell ref="B168:F168"/>
    <mergeCell ref="B169:F169"/>
    <mergeCell ref="C163:D163"/>
    <mergeCell ref="C164:D164"/>
    <mergeCell ref="C165:D165"/>
    <mergeCell ref="A163:B163"/>
    <mergeCell ref="A125:B125"/>
    <mergeCell ref="C125:D125"/>
    <mergeCell ref="A126:B126"/>
    <mergeCell ref="C126:D126"/>
    <mergeCell ref="A115:B115"/>
    <mergeCell ref="A116:B116"/>
    <mergeCell ref="C116:D116"/>
    <mergeCell ref="A117:B117"/>
    <mergeCell ref="C117:D117"/>
    <mergeCell ref="A118:B118"/>
    <mergeCell ref="C118:D118"/>
    <mergeCell ref="A119:B119"/>
    <mergeCell ref="A123:B123"/>
    <mergeCell ref="C123:D123"/>
    <mergeCell ref="A124:B124"/>
    <mergeCell ref="C124:D124"/>
    <mergeCell ref="B254:F254"/>
    <mergeCell ref="C239:F239"/>
    <mergeCell ref="C240:F240"/>
    <mergeCell ref="C265:F265"/>
    <mergeCell ref="C266:F266"/>
    <mergeCell ref="C267:F267"/>
    <mergeCell ref="D263:F263"/>
    <mergeCell ref="D264:F264"/>
    <mergeCell ref="C268:F268"/>
    <mergeCell ref="C262:F262"/>
    <mergeCell ref="B260:F260"/>
    <mergeCell ref="C261:F261"/>
    <mergeCell ref="B253:F253"/>
    <mergeCell ref="C241:F241"/>
    <mergeCell ref="C242:F242"/>
    <mergeCell ref="C243:F243"/>
    <mergeCell ref="C244:F244"/>
    <mergeCell ref="A251:F251"/>
    <mergeCell ref="B252:F252"/>
    <mergeCell ref="C248:F248"/>
    <mergeCell ref="C249:F249"/>
    <mergeCell ref="C250:F250"/>
    <mergeCell ref="C279:F279"/>
    <mergeCell ref="C275:F275"/>
    <mergeCell ref="A280:F280"/>
    <mergeCell ref="C271:F271"/>
    <mergeCell ref="D273:F273"/>
    <mergeCell ref="A269:F269"/>
    <mergeCell ref="B270:F270"/>
    <mergeCell ref="C274:F274"/>
    <mergeCell ref="D272:F272"/>
    <mergeCell ref="D276:F276"/>
    <mergeCell ref="D277:F277"/>
    <mergeCell ref="C309:F309"/>
    <mergeCell ref="C310:F310"/>
    <mergeCell ref="D305:F305"/>
    <mergeCell ref="D306:F306"/>
    <mergeCell ref="C302:F302"/>
    <mergeCell ref="C303:F303"/>
    <mergeCell ref="D304:F304"/>
    <mergeCell ref="D308:F308"/>
    <mergeCell ref="D307:F307"/>
    <mergeCell ref="D319:F319"/>
    <mergeCell ref="D320:F320"/>
    <mergeCell ref="D321:F321"/>
    <mergeCell ref="C322:F322"/>
    <mergeCell ref="C317:F317"/>
    <mergeCell ref="C318:F318"/>
    <mergeCell ref="B312:F312"/>
    <mergeCell ref="C315:F315"/>
    <mergeCell ref="C311:F311"/>
    <mergeCell ref="B313:F313"/>
    <mergeCell ref="C314:F314"/>
    <mergeCell ref="C316:F316"/>
    <mergeCell ref="C351:F351"/>
    <mergeCell ref="C352:F352"/>
    <mergeCell ref="C353:F353"/>
    <mergeCell ref="C344:F344"/>
    <mergeCell ref="C345:F345"/>
    <mergeCell ref="C346:F346"/>
    <mergeCell ref="C356:F356"/>
    <mergeCell ref="C359:F359"/>
    <mergeCell ref="C323:F323"/>
    <mergeCell ref="C341:F341"/>
    <mergeCell ref="C347:F347"/>
    <mergeCell ref="C350:F350"/>
    <mergeCell ref="B343:F343"/>
    <mergeCell ref="C349:F349"/>
    <mergeCell ref="C348:F348"/>
    <mergeCell ref="D324:F324"/>
    <mergeCell ref="D325:F325"/>
    <mergeCell ref="D326:F326"/>
    <mergeCell ref="D327:F327"/>
    <mergeCell ref="D328:F328"/>
    <mergeCell ref="C342:F342"/>
    <mergeCell ref="B335:F335"/>
    <mergeCell ref="B338:F338"/>
    <mergeCell ref="A339:F339"/>
    <mergeCell ref="B407:F407"/>
    <mergeCell ref="C408:F408"/>
    <mergeCell ref="D405:F405"/>
    <mergeCell ref="D406:F406"/>
    <mergeCell ref="C394:F394"/>
    <mergeCell ref="B390:F390"/>
    <mergeCell ref="A389:F389"/>
    <mergeCell ref="C383:F383"/>
    <mergeCell ref="C384:F384"/>
    <mergeCell ref="D385:F385"/>
    <mergeCell ref="B391:F391"/>
    <mergeCell ref="B392:F392"/>
    <mergeCell ref="B393:F393"/>
    <mergeCell ref="C401:F401"/>
    <mergeCell ref="C402:F402"/>
    <mergeCell ref="C403:F403"/>
    <mergeCell ref="C404:F404"/>
    <mergeCell ref="C395:F395"/>
    <mergeCell ref="C396:F396"/>
    <mergeCell ref="C397:F397"/>
    <mergeCell ref="C398:F398"/>
    <mergeCell ref="C387:F387"/>
    <mergeCell ref="C388:F388"/>
    <mergeCell ref="A443:E443"/>
    <mergeCell ref="D420:F420"/>
    <mergeCell ref="C416:F416"/>
    <mergeCell ref="A435:E435"/>
    <mergeCell ref="A436:E436"/>
    <mergeCell ref="A437:E437"/>
    <mergeCell ref="A438:E438"/>
    <mergeCell ref="A439:E439"/>
    <mergeCell ref="A440:E440"/>
    <mergeCell ref="B425:F425"/>
    <mergeCell ref="A442:E442"/>
    <mergeCell ref="B469:F469"/>
    <mergeCell ref="B494:F494"/>
    <mergeCell ref="D468:F468"/>
    <mergeCell ref="E461:F461"/>
    <mergeCell ref="E462:F462"/>
    <mergeCell ref="A534:E534"/>
    <mergeCell ref="A535:E535"/>
    <mergeCell ref="A536:E536"/>
    <mergeCell ref="A537:E537"/>
    <mergeCell ref="A526:F526"/>
    <mergeCell ref="A527:F527"/>
    <mergeCell ref="A528:E528"/>
    <mergeCell ref="A529:E529"/>
    <mergeCell ref="A530:E530"/>
    <mergeCell ref="A531:E531"/>
    <mergeCell ref="A532:E532"/>
    <mergeCell ref="A533:E533"/>
    <mergeCell ref="C512:F512"/>
    <mergeCell ref="B525:F525"/>
    <mergeCell ref="E521:F521"/>
    <mergeCell ref="E522:F522"/>
    <mergeCell ref="E523:F523"/>
    <mergeCell ref="E524:F524"/>
    <mergeCell ref="D517:F517"/>
    <mergeCell ref="D518:F518"/>
    <mergeCell ref="A547:F547"/>
    <mergeCell ref="A548:F548"/>
    <mergeCell ref="A549:F549"/>
    <mergeCell ref="A538:E538"/>
    <mergeCell ref="A539:E539"/>
    <mergeCell ref="A540:F540"/>
    <mergeCell ref="A541:F541"/>
    <mergeCell ref="A542:F542"/>
    <mergeCell ref="A543:F543"/>
    <mergeCell ref="A544:F544"/>
    <mergeCell ref="A545:F545"/>
    <mergeCell ref="A546:F546"/>
    <mergeCell ref="A662:F662"/>
    <mergeCell ref="A663:F663"/>
    <mergeCell ref="A613:D613"/>
    <mergeCell ref="A658:F658"/>
    <mergeCell ref="A607:D607"/>
    <mergeCell ref="A608:D608"/>
    <mergeCell ref="A609:D609"/>
    <mergeCell ref="A610:D610"/>
    <mergeCell ref="A611:D611"/>
    <mergeCell ref="A612:D612"/>
    <mergeCell ref="A659:F659"/>
    <mergeCell ref="A660:F660"/>
    <mergeCell ref="A661:F661"/>
    <mergeCell ref="A614:F614"/>
    <mergeCell ref="A615:F615"/>
    <mergeCell ref="A616:D616"/>
    <mergeCell ref="A650:D650"/>
    <mergeCell ref="A651:D651"/>
    <mergeCell ref="A652:D652"/>
    <mergeCell ref="A653:D653"/>
    <mergeCell ref="A654:D654"/>
    <mergeCell ref="A655:D655"/>
    <mergeCell ref="A639:D639"/>
    <mergeCell ref="A640:D640"/>
    <mergeCell ref="A556:F556"/>
    <mergeCell ref="A557:F557"/>
    <mergeCell ref="A558:D558"/>
    <mergeCell ref="A560:D560"/>
    <mergeCell ref="A605:D605"/>
    <mergeCell ref="A606:D606"/>
    <mergeCell ref="A550:F550"/>
    <mergeCell ref="A551:E551"/>
    <mergeCell ref="A552:E552"/>
    <mergeCell ref="A553:E553"/>
    <mergeCell ref="A554:E554"/>
    <mergeCell ref="A555:E555"/>
    <mergeCell ref="A594:D594"/>
    <mergeCell ref="A595:D595"/>
    <mergeCell ref="A596:D596"/>
    <mergeCell ref="A597:D597"/>
    <mergeCell ref="A598:D598"/>
    <mergeCell ref="A599:D599"/>
    <mergeCell ref="A600:D600"/>
    <mergeCell ref="A601:D601"/>
    <mergeCell ref="A602:D602"/>
    <mergeCell ref="A604:D604"/>
    <mergeCell ref="A583:D583"/>
    <mergeCell ref="A584:D584"/>
    <mergeCell ref="A130:B130"/>
    <mergeCell ref="C130:D130"/>
    <mergeCell ref="E201:F201"/>
    <mergeCell ref="A132:B132"/>
    <mergeCell ref="C132:D132"/>
    <mergeCell ref="A133:B133"/>
    <mergeCell ref="C133:D133"/>
    <mergeCell ref="A164:B164"/>
    <mergeCell ref="A165:B165"/>
    <mergeCell ref="B166:F166"/>
    <mergeCell ref="B167:F167"/>
    <mergeCell ref="A160:B160"/>
    <mergeCell ref="C160:D160"/>
    <mergeCell ref="A151:B151"/>
    <mergeCell ref="C151:D151"/>
    <mergeCell ref="A134:B134"/>
    <mergeCell ref="C134:D134"/>
    <mergeCell ref="A135:B135"/>
    <mergeCell ref="C139:D139"/>
    <mergeCell ref="D171:F171"/>
    <mergeCell ref="C154:D154"/>
    <mergeCell ref="C155:D155"/>
    <mergeCell ref="C170:F170"/>
    <mergeCell ref="A161:B161"/>
    <mergeCell ref="B230:F230"/>
    <mergeCell ref="B231:F231"/>
    <mergeCell ref="A234:F234"/>
    <mergeCell ref="A204:F204"/>
    <mergeCell ref="B205:F205"/>
    <mergeCell ref="B206:F206"/>
    <mergeCell ref="B207:F207"/>
    <mergeCell ref="B208:F208"/>
    <mergeCell ref="B209:F209"/>
    <mergeCell ref="B210:F210"/>
    <mergeCell ref="B211:F211"/>
    <mergeCell ref="B212:F212"/>
    <mergeCell ref="C228:F228"/>
    <mergeCell ref="D227:F227"/>
    <mergeCell ref="B229:F229"/>
    <mergeCell ref="B233:F233"/>
    <mergeCell ref="B232:F232"/>
    <mergeCell ref="D299:F299"/>
    <mergeCell ref="D300:F300"/>
    <mergeCell ref="D301:F301"/>
    <mergeCell ref="C295:F295"/>
    <mergeCell ref="C296:F296"/>
    <mergeCell ref="C297:F297"/>
    <mergeCell ref="B258:F258"/>
    <mergeCell ref="A259:F259"/>
    <mergeCell ref="C298:F298"/>
    <mergeCell ref="C293:F293"/>
    <mergeCell ref="B294:F294"/>
    <mergeCell ref="C287:F287"/>
    <mergeCell ref="D289:F289"/>
    <mergeCell ref="D290:F290"/>
    <mergeCell ref="D291:F291"/>
    <mergeCell ref="D292:F292"/>
    <mergeCell ref="C288:F288"/>
    <mergeCell ref="B281:F281"/>
    <mergeCell ref="C283:F283"/>
    <mergeCell ref="D284:F284"/>
    <mergeCell ref="D285:F285"/>
    <mergeCell ref="D286:F286"/>
    <mergeCell ref="C282:F282"/>
    <mergeCell ref="C278:F278"/>
    <mergeCell ref="B340:F340"/>
    <mergeCell ref="C332:F332"/>
    <mergeCell ref="C333:F333"/>
    <mergeCell ref="C329:F329"/>
    <mergeCell ref="A330:F330"/>
    <mergeCell ref="B331:F331"/>
    <mergeCell ref="B334:F334"/>
    <mergeCell ref="C336:F336"/>
    <mergeCell ref="C337:F337"/>
    <mergeCell ref="A354:F354"/>
    <mergeCell ref="C378:F378"/>
    <mergeCell ref="C379:F379"/>
    <mergeCell ref="D366:F366"/>
    <mergeCell ref="D369:F369"/>
    <mergeCell ref="D370:F370"/>
    <mergeCell ref="D371:F371"/>
    <mergeCell ref="D372:F372"/>
    <mergeCell ref="C365:F365"/>
    <mergeCell ref="D367:F367"/>
    <mergeCell ref="D368:F368"/>
    <mergeCell ref="D361:F361"/>
    <mergeCell ref="C362:F362"/>
    <mergeCell ref="B355:F355"/>
    <mergeCell ref="D360:F360"/>
    <mergeCell ref="C357:F357"/>
    <mergeCell ref="C373:F373"/>
    <mergeCell ref="C376:F376"/>
    <mergeCell ref="C377:F377"/>
    <mergeCell ref="C374:F374"/>
    <mergeCell ref="C375:F375"/>
    <mergeCell ref="C358:F358"/>
    <mergeCell ref="B364:F364"/>
    <mergeCell ref="A363:F363"/>
    <mergeCell ref="C381:F381"/>
    <mergeCell ref="C382:F382"/>
    <mergeCell ref="B380:F380"/>
    <mergeCell ref="D386:F386"/>
    <mergeCell ref="D450:F450"/>
    <mergeCell ref="C447:F447"/>
    <mergeCell ref="C448:F448"/>
    <mergeCell ref="B400:F400"/>
    <mergeCell ref="D444:F444"/>
    <mergeCell ref="D431:F431"/>
    <mergeCell ref="E421:F421"/>
    <mergeCell ref="E422:F422"/>
    <mergeCell ref="D419:F419"/>
    <mergeCell ref="D413:F413"/>
    <mergeCell ref="D414:F414"/>
    <mergeCell ref="D417:F417"/>
    <mergeCell ref="D418:F418"/>
    <mergeCell ref="A441:E441"/>
    <mergeCell ref="C411:F411"/>
    <mergeCell ref="D412:F412"/>
    <mergeCell ref="B424:F424"/>
    <mergeCell ref="D409:F409"/>
    <mergeCell ref="D410:F410"/>
    <mergeCell ref="D449:F449"/>
    <mergeCell ref="E463:F463"/>
    <mergeCell ref="E464:F464"/>
    <mergeCell ref="E465:F465"/>
    <mergeCell ref="E466:F466"/>
    <mergeCell ref="E467:F467"/>
    <mergeCell ref="D458:F458"/>
    <mergeCell ref="D432:F432"/>
    <mergeCell ref="C426:F426"/>
    <mergeCell ref="C427:F427"/>
    <mergeCell ref="C428:F428"/>
    <mergeCell ref="C429:F429"/>
    <mergeCell ref="C430:F430"/>
    <mergeCell ref="A433:E433"/>
    <mergeCell ref="A434:E434"/>
    <mergeCell ref="D445:F445"/>
    <mergeCell ref="D446:F446"/>
    <mergeCell ref="D459:F459"/>
    <mergeCell ref="D460:F460"/>
    <mergeCell ref="C456:F456"/>
    <mergeCell ref="C457:F457"/>
    <mergeCell ref="D454:F454"/>
    <mergeCell ref="E453:F453"/>
    <mergeCell ref="E451:F451"/>
    <mergeCell ref="E452:F452"/>
    <mergeCell ref="D498:F498"/>
    <mergeCell ref="C470:F470"/>
    <mergeCell ref="A480:E480"/>
    <mergeCell ref="A481:E481"/>
    <mergeCell ref="A482:E482"/>
    <mergeCell ref="A483:E483"/>
    <mergeCell ref="A475:E475"/>
    <mergeCell ref="A476:E476"/>
    <mergeCell ref="A477:E477"/>
    <mergeCell ref="A478:E478"/>
    <mergeCell ref="A479:E479"/>
    <mergeCell ref="A473:E473"/>
    <mergeCell ref="A474:E474"/>
    <mergeCell ref="B507:F507"/>
    <mergeCell ref="D471:F471"/>
    <mergeCell ref="D472:F472"/>
    <mergeCell ref="C486:F486"/>
    <mergeCell ref="E490:F490"/>
    <mergeCell ref="D493:F493"/>
    <mergeCell ref="D484:F484"/>
    <mergeCell ref="D485:F485"/>
    <mergeCell ref="C487:F487"/>
    <mergeCell ref="D488:F488"/>
    <mergeCell ref="D489:F489"/>
    <mergeCell ref="E491:F491"/>
    <mergeCell ref="E492:F492"/>
    <mergeCell ref="D499:F499"/>
    <mergeCell ref="E500:F500"/>
    <mergeCell ref="E501:F501"/>
    <mergeCell ref="C502:F502"/>
    <mergeCell ref="C503:F503"/>
    <mergeCell ref="C504:F504"/>
    <mergeCell ref="B505:F505"/>
    <mergeCell ref="B506:F506"/>
    <mergeCell ref="C495:F495"/>
    <mergeCell ref="C496:F496"/>
    <mergeCell ref="D497:F497"/>
  </mergeCells>
  <conditionalFormatting sqref="A6:F111 A112:B112 A113:F398 A399:C399 A400:F414 A415:D415 A416:F422 A423:D423 A424:F454 A455:D455 A456:F656 A657">
    <cfRule type="expression" dxfId="18" priority="3">
      <formula>$I6</formula>
    </cfRule>
  </conditionalFormatting>
  <printOptions horizontalCentered="1"/>
  <pageMargins left="0.7" right="0.7" top="0.75" bottom="0.75" header="0.3" footer="0.3"/>
  <pageSetup scale="67" orientation="portrait" r:id="rId1"/>
  <headerFooter>
    <oddHeader>&amp;C&amp;"Calibri,Regular"Marine Loading RAP Application</oddHeader>
    <oddFooter>&amp;L&amp;"Calibri,Regular"Version 1.0&amp;C&amp;"Calibri,Regular"Sheet: &amp;A&amp;R&amp;"Calibri,Regular"Page &amp;P</oddFooter>
  </headerFooter>
  <ignoredErrors>
    <ignoredError sqref="I257" formula="1"/>
    <ignoredError sqref="C497:C499 C484:C485 C471:C472" numberStoredAsText="1"/>
  </ignoredErrors>
  <extLst>
    <ext xmlns:x14="http://schemas.microsoft.com/office/spreadsheetml/2009/9/main" uri="{78C0D931-6437-407d-A8EE-F0AAD7539E65}">
      <x14:conditionalFormattings>
        <x14:conditionalFormatting xmlns:xm="http://schemas.microsoft.com/office/excel/2006/main">
          <x14:cfRule type="expression" priority="2205" id="{0C5DB83E-536A-404D-92D1-16381967639C}">
            <xm:f>AND('PI-1-MarineLoading'!#REF!="Yes",'PI-1-MarineLoading'!#REF!="")</xm:f>
            <x14:dxf>
              <numFmt numFmtId="0" formatCode="General"/>
              <fill>
                <patternFill>
                  <bgColor rgb="FFEBB8B7"/>
                </patternFill>
              </fill>
            </x14:dxf>
          </x14:cfRule>
          <xm:sqref>B185:F185</xm:sqref>
        </x14:conditionalFormatting>
        <x14:conditionalFormatting xmlns:xm="http://schemas.microsoft.com/office/excel/2006/main">
          <x14:cfRule type="expression" priority="2" id="{F8695510-17E0-4552-9864-FC3F7CB9F8A1}">
            <xm:f>'PI-1-MarineLoading'!$G$128&lt;&gt;"Yes"</xm:f>
            <x14:dxf>
              <numFmt numFmtId="164" formatCode=";;;"/>
              <fill>
                <patternFill>
                  <bgColor theme="0" tint="-0.499984740745262"/>
                </patternFill>
              </fill>
            </x14:dxf>
          </x14:cfRule>
          <xm:sqref>F616:F656</xm:sqref>
        </x14:conditionalFormatting>
      </x14:conditionalFormattings>
    </ext>
  </extLs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2958CA-E7E6-48BF-A771-E08606657E71}">
  <sheetPr codeName="Sheet39">
    <tabColor rgb="FFF0B8B7"/>
  </sheetPr>
  <dimension ref="A1:C89"/>
  <sheetViews>
    <sheetView showGridLines="0" zoomScaleNormal="100" workbookViewId="0">
      <selection sqref="A1:B1"/>
    </sheetView>
  </sheetViews>
  <sheetFormatPr defaultColWidth="0" defaultRowHeight="14.25" zeroHeight="1" x14ac:dyDescent="0.2"/>
  <cols>
    <col min="1" max="1" width="14.125" bestFit="1" customWidth="1"/>
    <col min="2" max="2" width="54" customWidth="1"/>
    <col min="3" max="3" width="2.625" customWidth="1"/>
    <col min="4" max="16384" width="9" hidden="1"/>
  </cols>
  <sheetData>
    <row r="1" spans="1:2" ht="8.25" customHeight="1" thickBot="1" x14ac:dyDescent="0.25">
      <c r="A1" s="478" t="s">
        <v>9102</v>
      </c>
      <c r="B1" s="478"/>
    </row>
    <row r="2" spans="1:2" ht="18.75" thickBot="1" x14ac:dyDescent="0.25">
      <c r="A2" s="525" t="s">
        <v>10657</v>
      </c>
      <c r="B2" s="525"/>
    </row>
    <row r="3" spans="1:2" ht="15" thickBot="1" x14ac:dyDescent="0.25">
      <c r="A3" s="634" t="s">
        <v>10796</v>
      </c>
      <c r="B3" s="636"/>
    </row>
    <row r="4" spans="1:2" ht="15.75" thickBot="1" x14ac:dyDescent="0.25">
      <c r="A4" s="370" t="s">
        <v>10658</v>
      </c>
      <c r="B4" s="369" t="s">
        <v>10659</v>
      </c>
    </row>
    <row r="5" spans="1:2" x14ac:dyDescent="0.2">
      <c r="A5" s="371" t="s">
        <v>10660</v>
      </c>
      <c r="B5" s="372" t="s">
        <v>10661</v>
      </c>
    </row>
    <row r="6" spans="1:2" x14ac:dyDescent="0.2">
      <c r="A6" s="373" t="s">
        <v>10662</v>
      </c>
      <c r="B6" s="374" t="s">
        <v>10663</v>
      </c>
    </row>
    <row r="7" spans="1:2" x14ac:dyDescent="0.2">
      <c r="A7" s="373" t="s">
        <v>10664</v>
      </c>
      <c r="B7" s="374" t="s">
        <v>10665</v>
      </c>
    </row>
    <row r="8" spans="1:2" x14ac:dyDescent="0.2">
      <c r="A8" s="373" t="s">
        <v>10666</v>
      </c>
      <c r="B8" s="374" t="s">
        <v>10667</v>
      </c>
    </row>
    <row r="9" spans="1:2" x14ac:dyDescent="0.2">
      <c r="A9" s="373" t="s">
        <v>10668</v>
      </c>
      <c r="B9" s="374" t="s">
        <v>10669</v>
      </c>
    </row>
    <row r="10" spans="1:2" x14ac:dyDescent="0.2">
      <c r="A10" s="373" t="s">
        <v>10670</v>
      </c>
      <c r="B10" s="374" t="s">
        <v>10671</v>
      </c>
    </row>
    <row r="11" spans="1:2" x14ac:dyDescent="0.2">
      <c r="A11" s="373" t="s">
        <v>10672</v>
      </c>
      <c r="B11" s="374" t="s">
        <v>10673</v>
      </c>
    </row>
    <row r="12" spans="1:2" x14ac:dyDescent="0.2">
      <c r="A12" s="373" t="s">
        <v>10674</v>
      </c>
      <c r="B12" s="374" t="s">
        <v>10675</v>
      </c>
    </row>
    <row r="13" spans="1:2" x14ac:dyDescent="0.2">
      <c r="A13" s="373" t="s">
        <v>336</v>
      </c>
      <c r="B13" s="374" t="s">
        <v>9136</v>
      </c>
    </row>
    <row r="14" spans="1:2" x14ac:dyDescent="0.2">
      <c r="A14" s="373" t="s">
        <v>10676</v>
      </c>
      <c r="B14" s="374" t="s">
        <v>10677</v>
      </c>
    </row>
    <row r="15" spans="1:2" x14ac:dyDescent="0.2">
      <c r="A15" s="373" t="s">
        <v>10678</v>
      </c>
      <c r="B15" s="374" t="s">
        <v>10679</v>
      </c>
    </row>
    <row r="16" spans="1:2" x14ac:dyDescent="0.2">
      <c r="A16" s="373" t="s">
        <v>10680</v>
      </c>
      <c r="B16" s="374" t="s">
        <v>10681</v>
      </c>
    </row>
    <row r="17" spans="1:2" x14ac:dyDescent="0.2">
      <c r="A17" s="373" t="s">
        <v>8824</v>
      </c>
      <c r="B17" s="374" t="s">
        <v>10682</v>
      </c>
    </row>
    <row r="18" spans="1:2" x14ac:dyDescent="0.2">
      <c r="A18" s="373" t="s">
        <v>10683</v>
      </c>
      <c r="B18" s="374" t="s">
        <v>10684</v>
      </c>
    </row>
    <row r="19" spans="1:2" x14ac:dyDescent="0.2">
      <c r="A19" s="373" t="s">
        <v>282</v>
      </c>
      <c r="B19" s="374" t="s">
        <v>10685</v>
      </c>
    </row>
    <row r="20" spans="1:2" x14ac:dyDescent="0.2">
      <c r="A20" s="373" t="s">
        <v>8751</v>
      </c>
      <c r="B20" s="374" t="s">
        <v>10686</v>
      </c>
    </row>
    <row r="21" spans="1:2" x14ac:dyDescent="0.2">
      <c r="A21" s="373" t="s">
        <v>10687</v>
      </c>
      <c r="B21" s="374" t="s">
        <v>10688</v>
      </c>
    </row>
    <row r="22" spans="1:2" x14ac:dyDescent="0.2">
      <c r="A22" s="373" t="s">
        <v>10689</v>
      </c>
      <c r="B22" s="374" t="s">
        <v>10690</v>
      </c>
    </row>
    <row r="23" spans="1:2" x14ac:dyDescent="0.2">
      <c r="A23" s="373" t="s">
        <v>10691</v>
      </c>
      <c r="B23" s="374" t="s">
        <v>10692</v>
      </c>
    </row>
    <row r="24" spans="1:2" x14ac:dyDescent="0.2">
      <c r="A24" s="373" t="s">
        <v>10693</v>
      </c>
      <c r="B24" s="374" t="s">
        <v>10694</v>
      </c>
    </row>
    <row r="25" spans="1:2" x14ac:dyDescent="0.2">
      <c r="A25" s="373" t="s">
        <v>262</v>
      </c>
      <c r="B25" s="374" t="s">
        <v>3898</v>
      </c>
    </row>
    <row r="26" spans="1:2" x14ac:dyDescent="0.2">
      <c r="A26" s="373" t="s">
        <v>10695</v>
      </c>
      <c r="B26" s="374" t="s">
        <v>10696</v>
      </c>
    </row>
    <row r="27" spans="1:2" x14ac:dyDescent="0.2">
      <c r="A27" s="373" t="s">
        <v>10697</v>
      </c>
      <c r="B27" s="374" t="s">
        <v>10698</v>
      </c>
    </row>
    <row r="28" spans="1:2" x14ac:dyDescent="0.2">
      <c r="A28" s="373" t="s">
        <v>10699</v>
      </c>
      <c r="B28" s="374" t="s">
        <v>10700</v>
      </c>
    </row>
    <row r="29" spans="1:2" x14ac:dyDescent="0.2">
      <c r="A29" s="373" t="s">
        <v>10701</v>
      </c>
      <c r="B29" s="374" t="s">
        <v>10702</v>
      </c>
    </row>
    <row r="30" spans="1:2" x14ac:dyDescent="0.2">
      <c r="A30" s="373" t="s">
        <v>10703</v>
      </c>
      <c r="B30" s="374" t="s">
        <v>10704</v>
      </c>
    </row>
    <row r="31" spans="1:2" x14ac:dyDescent="0.2">
      <c r="A31" s="373" t="s">
        <v>168</v>
      </c>
      <c r="B31" s="374" t="s">
        <v>10705</v>
      </c>
    </row>
    <row r="32" spans="1:2" x14ac:dyDescent="0.2">
      <c r="A32" s="373" t="s">
        <v>10706</v>
      </c>
      <c r="B32" s="374" t="s">
        <v>10707</v>
      </c>
    </row>
    <row r="33" spans="1:2" x14ac:dyDescent="0.2">
      <c r="A33" s="373" t="s">
        <v>8826</v>
      </c>
      <c r="B33" s="374" t="s">
        <v>10708</v>
      </c>
    </row>
    <row r="34" spans="1:2" x14ac:dyDescent="0.2">
      <c r="A34" s="373" t="s">
        <v>10709</v>
      </c>
      <c r="B34" s="374" t="s">
        <v>10710</v>
      </c>
    </row>
    <row r="35" spans="1:2" x14ac:dyDescent="0.2">
      <c r="A35" s="373" t="s">
        <v>167</v>
      </c>
      <c r="B35" s="374" t="s">
        <v>10711</v>
      </c>
    </row>
    <row r="36" spans="1:2" x14ac:dyDescent="0.2">
      <c r="A36" s="373" t="s">
        <v>10712</v>
      </c>
      <c r="B36" s="374" t="s">
        <v>10713</v>
      </c>
    </row>
    <row r="37" spans="1:2" x14ac:dyDescent="0.2">
      <c r="A37" s="373" t="s">
        <v>10714</v>
      </c>
      <c r="B37" s="374" t="s">
        <v>10715</v>
      </c>
    </row>
    <row r="38" spans="1:2" x14ac:dyDescent="0.2">
      <c r="A38" s="373" t="s">
        <v>10716</v>
      </c>
      <c r="B38" s="374" t="s">
        <v>10717</v>
      </c>
    </row>
    <row r="39" spans="1:2" x14ac:dyDescent="0.2">
      <c r="A39" s="373" t="s">
        <v>10718</v>
      </c>
      <c r="B39" s="374" t="s">
        <v>10719</v>
      </c>
    </row>
    <row r="40" spans="1:2" x14ac:dyDescent="0.2">
      <c r="A40" s="373" t="s">
        <v>267</v>
      </c>
      <c r="B40" s="374" t="s">
        <v>5691</v>
      </c>
    </row>
    <row r="41" spans="1:2" x14ac:dyDescent="0.2">
      <c r="A41" s="373" t="s">
        <v>9092</v>
      </c>
      <c r="B41" s="374" t="s">
        <v>7962</v>
      </c>
    </row>
    <row r="42" spans="1:2" x14ac:dyDescent="0.2">
      <c r="A42" s="373" t="s">
        <v>10720</v>
      </c>
      <c r="B42" s="374" t="s">
        <v>10721</v>
      </c>
    </row>
    <row r="43" spans="1:2" x14ac:dyDescent="0.2">
      <c r="A43" s="373" t="s">
        <v>10722</v>
      </c>
      <c r="B43" s="374" t="s">
        <v>10723</v>
      </c>
    </row>
    <row r="44" spans="1:2" x14ac:dyDescent="0.2">
      <c r="A44" s="373" t="s">
        <v>10724</v>
      </c>
      <c r="B44" s="374" t="s">
        <v>10725</v>
      </c>
    </row>
    <row r="45" spans="1:2" x14ac:dyDescent="0.2">
      <c r="A45" s="373" t="s">
        <v>10726</v>
      </c>
      <c r="B45" s="374" t="s">
        <v>10727</v>
      </c>
    </row>
    <row r="46" spans="1:2" x14ac:dyDescent="0.2">
      <c r="A46" s="373" t="s">
        <v>10728</v>
      </c>
      <c r="B46" s="374" t="s">
        <v>10729</v>
      </c>
    </row>
    <row r="47" spans="1:2" x14ac:dyDescent="0.2">
      <c r="A47" s="373" t="s">
        <v>10730</v>
      </c>
      <c r="B47" s="374" t="s">
        <v>10731</v>
      </c>
    </row>
    <row r="48" spans="1:2" x14ac:dyDescent="0.2">
      <c r="A48" s="373" t="s">
        <v>10732</v>
      </c>
      <c r="B48" s="374" t="s">
        <v>10733</v>
      </c>
    </row>
    <row r="49" spans="1:2" x14ac:dyDescent="0.2">
      <c r="A49" s="373" t="s">
        <v>240</v>
      </c>
      <c r="B49" s="374" t="s">
        <v>10734</v>
      </c>
    </row>
    <row r="50" spans="1:2" x14ac:dyDescent="0.2">
      <c r="A50" s="373" t="s">
        <v>10735</v>
      </c>
      <c r="B50" s="374" t="s">
        <v>10736</v>
      </c>
    </row>
    <row r="51" spans="1:2" x14ac:dyDescent="0.2">
      <c r="A51" s="373" t="s">
        <v>9537</v>
      </c>
      <c r="B51" s="374" t="s">
        <v>10737</v>
      </c>
    </row>
    <row r="52" spans="1:2" x14ac:dyDescent="0.2">
      <c r="A52" s="373" t="s">
        <v>10738</v>
      </c>
      <c r="B52" s="374" t="s">
        <v>10739</v>
      </c>
    </row>
    <row r="53" spans="1:2" x14ac:dyDescent="0.2">
      <c r="A53" s="373" t="s">
        <v>8705</v>
      </c>
      <c r="B53" s="374" t="s">
        <v>3469</v>
      </c>
    </row>
    <row r="54" spans="1:2" x14ac:dyDescent="0.2">
      <c r="A54" s="373" t="s">
        <v>10740</v>
      </c>
      <c r="B54" s="374" t="s">
        <v>6768</v>
      </c>
    </row>
    <row r="55" spans="1:2" x14ac:dyDescent="0.2">
      <c r="A55" s="373" t="s">
        <v>261</v>
      </c>
      <c r="B55" s="374" t="s">
        <v>9512</v>
      </c>
    </row>
    <row r="56" spans="1:2" x14ac:dyDescent="0.2">
      <c r="A56" s="373" t="s">
        <v>10741</v>
      </c>
      <c r="B56" s="374" t="s">
        <v>10742</v>
      </c>
    </row>
    <row r="57" spans="1:2" x14ac:dyDescent="0.2">
      <c r="A57" s="373" t="s">
        <v>10743</v>
      </c>
      <c r="B57" s="374" t="s">
        <v>10744</v>
      </c>
    </row>
    <row r="58" spans="1:2" x14ac:dyDescent="0.2">
      <c r="A58" s="373" t="s">
        <v>263</v>
      </c>
      <c r="B58" s="374" t="s">
        <v>9510</v>
      </c>
    </row>
    <row r="59" spans="1:2" x14ac:dyDescent="0.2">
      <c r="A59" s="373" t="s">
        <v>264</v>
      </c>
      <c r="B59" s="374" t="s">
        <v>10745</v>
      </c>
    </row>
    <row r="60" spans="1:2" x14ac:dyDescent="0.2">
      <c r="A60" s="373" t="s">
        <v>265</v>
      </c>
      <c r="B60" s="374" t="s">
        <v>10746</v>
      </c>
    </row>
    <row r="61" spans="1:2" x14ac:dyDescent="0.2">
      <c r="A61" s="373" t="s">
        <v>10747</v>
      </c>
      <c r="B61" s="374" t="s">
        <v>10748</v>
      </c>
    </row>
    <row r="62" spans="1:2" x14ac:dyDescent="0.2">
      <c r="A62" s="373" t="s">
        <v>10749</v>
      </c>
      <c r="B62" s="374" t="s">
        <v>10750</v>
      </c>
    </row>
    <row r="63" spans="1:2" x14ac:dyDescent="0.2">
      <c r="A63" s="373" t="s">
        <v>10751</v>
      </c>
      <c r="B63" s="374" t="s">
        <v>10752</v>
      </c>
    </row>
    <row r="64" spans="1:2" x14ac:dyDescent="0.2">
      <c r="A64" s="373" t="s">
        <v>10753</v>
      </c>
      <c r="B64" s="374" t="s">
        <v>10754</v>
      </c>
    </row>
    <row r="65" spans="1:2" x14ac:dyDescent="0.2">
      <c r="A65" s="373" t="s">
        <v>10755</v>
      </c>
      <c r="B65" s="374" t="s">
        <v>10756</v>
      </c>
    </row>
    <row r="66" spans="1:2" x14ac:dyDescent="0.2">
      <c r="A66" s="373" t="s">
        <v>10757</v>
      </c>
      <c r="B66" s="374" t="s">
        <v>10758</v>
      </c>
    </row>
    <row r="67" spans="1:2" x14ac:dyDescent="0.2">
      <c r="A67" s="373" t="s">
        <v>10759</v>
      </c>
      <c r="B67" s="374" t="s">
        <v>10760</v>
      </c>
    </row>
    <row r="68" spans="1:2" x14ac:dyDescent="0.2">
      <c r="A68" s="373" t="s">
        <v>10761</v>
      </c>
      <c r="B68" s="374" t="s">
        <v>10762</v>
      </c>
    </row>
    <row r="69" spans="1:2" x14ac:dyDescent="0.2">
      <c r="A69" s="373" t="s">
        <v>10763</v>
      </c>
      <c r="B69" s="374" t="s">
        <v>10764</v>
      </c>
    </row>
    <row r="70" spans="1:2" x14ac:dyDescent="0.2">
      <c r="A70" s="373" t="s">
        <v>10765</v>
      </c>
      <c r="B70" s="374" t="s">
        <v>10766</v>
      </c>
    </row>
    <row r="71" spans="1:2" x14ac:dyDescent="0.2">
      <c r="A71" s="373" t="s">
        <v>10767</v>
      </c>
      <c r="B71" s="374" t="s">
        <v>10768</v>
      </c>
    </row>
    <row r="72" spans="1:2" x14ac:dyDescent="0.2">
      <c r="A72" s="373" t="s">
        <v>10769</v>
      </c>
      <c r="B72" s="374" t="s">
        <v>10770</v>
      </c>
    </row>
    <row r="73" spans="1:2" x14ac:dyDescent="0.2">
      <c r="A73" s="373" t="s">
        <v>10771</v>
      </c>
      <c r="B73" s="374" t="s">
        <v>10772</v>
      </c>
    </row>
    <row r="74" spans="1:2" x14ac:dyDescent="0.2">
      <c r="A74" s="373" t="s">
        <v>266</v>
      </c>
      <c r="B74" s="374" t="s">
        <v>7948</v>
      </c>
    </row>
    <row r="75" spans="1:2" x14ac:dyDescent="0.2">
      <c r="A75" s="373" t="s">
        <v>9538</v>
      </c>
      <c r="B75" s="374" t="s">
        <v>10773</v>
      </c>
    </row>
    <row r="76" spans="1:2" x14ac:dyDescent="0.2">
      <c r="A76" s="373" t="s">
        <v>342</v>
      </c>
      <c r="B76" s="374" t="s">
        <v>10774</v>
      </c>
    </row>
    <row r="77" spans="1:2" x14ac:dyDescent="0.2">
      <c r="A77" s="373" t="s">
        <v>10775</v>
      </c>
      <c r="B77" s="374" t="s">
        <v>10776</v>
      </c>
    </row>
    <row r="78" spans="1:2" x14ac:dyDescent="0.2">
      <c r="A78" s="373" t="s">
        <v>10777</v>
      </c>
      <c r="B78" s="374" t="s">
        <v>10778</v>
      </c>
    </row>
    <row r="79" spans="1:2" x14ac:dyDescent="0.2">
      <c r="A79" s="373" t="s">
        <v>10779</v>
      </c>
      <c r="B79" s="374" t="s">
        <v>10780</v>
      </c>
    </row>
    <row r="80" spans="1:2" x14ac:dyDescent="0.2">
      <c r="A80" s="373" t="s">
        <v>8742</v>
      </c>
      <c r="B80" s="374" t="s">
        <v>10781</v>
      </c>
    </row>
    <row r="81" spans="1:2" x14ac:dyDescent="0.2">
      <c r="A81" s="373" t="s">
        <v>10782</v>
      </c>
      <c r="B81" s="374" t="s">
        <v>10783</v>
      </c>
    </row>
    <row r="82" spans="1:2" x14ac:dyDescent="0.2">
      <c r="A82" s="373" t="s">
        <v>10784</v>
      </c>
      <c r="B82" s="374" t="s">
        <v>10785</v>
      </c>
    </row>
    <row r="83" spans="1:2" x14ac:dyDescent="0.2">
      <c r="A83" s="373" t="s">
        <v>10786</v>
      </c>
      <c r="B83" s="374" t="s">
        <v>10787</v>
      </c>
    </row>
    <row r="84" spans="1:2" x14ac:dyDescent="0.2">
      <c r="A84" s="373" t="s">
        <v>10788</v>
      </c>
      <c r="B84" s="374" t="s">
        <v>10789</v>
      </c>
    </row>
    <row r="85" spans="1:2" x14ac:dyDescent="0.2">
      <c r="A85" s="373" t="s">
        <v>10790</v>
      </c>
      <c r="B85" s="374" t="s">
        <v>10791</v>
      </c>
    </row>
    <row r="86" spans="1:2" x14ac:dyDescent="0.2">
      <c r="A86" s="373" t="s">
        <v>10792</v>
      </c>
      <c r="B86" s="374" t="s">
        <v>10793</v>
      </c>
    </row>
    <row r="87" spans="1:2" x14ac:dyDescent="0.2">
      <c r="A87" s="373" t="s">
        <v>8916</v>
      </c>
      <c r="B87" s="374" t="s">
        <v>10794</v>
      </c>
    </row>
    <row r="88" spans="1:2" ht="15" thickBot="1" x14ac:dyDescent="0.25">
      <c r="A88" s="375" t="s">
        <v>229</v>
      </c>
      <c r="B88" s="376" t="s">
        <v>10795</v>
      </c>
    </row>
    <row r="89" spans="1:2" x14ac:dyDescent="0.2">
      <c r="A89" s="478" t="s">
        <v>130</v>
      </c>
      <c r="B89" s="478"/>
    </row>
  </sheetData>
  <sheetProtection algorithmName="SHA-512" hashValue="V/qoFEAe9GYAQE4aThJKnAOUEN8zDQZEMIa4HhEaKrL7+58eehdKP1GilS9kPaZPmT83pLv95kbxgukR+y9c+w==" saltValue="bSKqajWl8HSqBRrCTtbZLQ==" spinCount="100000" sheet="1" formatColumns="0" formatRows="0" autoFilter="0"/>
  <autoFilter ref="A4:B88" xr:uid="{9CD452C3-865D-44BF-9C86-50AA00E9472E}"/>
  <mergeCells count="4">
    <mergeCell ref="A1:B1"/>
    <mergeCell ref="A2:B2"/>
    <mergeCell ref="A3:B3"/>
    <mergeCell ref="A89:B89"/>
  </mergeCells>
  <printOptions horizontalCentered="1"/>
  <pageMargins left="0.7" right="0.7" top="0.75" bottom="0.75" header="0.3" footer="0.3"/>
  <pageSetup orientation="portrait" r:id="rId1"/>
  <headerFooter>
    <oddHeader>&amp;C&amp;"Calibri,Regular"Marine Loading RAP Application</oddHeader>
    <oddFooter>&amp;L&amp;"Calibri,Regular"Version 1.0&amp;C&amp;"Calibri,Regular"Sheet: &amp;A&amp;R&amp;"Calibri,Regular"Page &amp;P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79478-4239-4005-B579-E96A3FF18E2F}">
  <sheetPr codeName="Sheet40">
    <tabColor rgb="FFF0B8B7"/>
  </sheetPr>
  <dimension ref="A1:G964"/>
  <sheetViews>
    <sheetView showGridLines="0" zoomScaleNormal="100" workbookViewId="0">
      <selection sqref="A1:F1"/>
    </sheetView>
  </sheetViews>
  <sheetFormatPr defaultColWidth="0" defaultRowHeight="14.25" zeroHeight="1" x14ac:dyDescent="0.2"/>
  <cols>
    <col min="1" max="6" width="20.75" customWidth="1"/>
    <col min="7" max="7" width="2.625" customWidth="1"/>
    <col min="8" max="16384" width="9" hidden="1"/>
  </cols>
  <sheetData>
    <row r="1" spans="1:7" s="15" customFormat="1" ht="8.25" customHeight="1" thickBot="1" x14ac:dyDescent="0.25">
      <c r="A1" s="478" t="s">
        <v>9102</v>
      </c>
      <c r="B1" s="478"/>
      <c r="C1" s="478"/>
      <c r="D1" s="478"/>
      <c r="E1" s="478"/>
      <c r="F1" s="478"/>
    </row>
    <row r="2" spans="1:7" ht="18.75" customHeight="1" thickBot="1" x14ac:dyDescent="0.25">
      <c r="A2" s="525" t="s">
        <v>10906</v>
      </c>
      <c r="B2" s="525"/>
      <c r="C2" s="525"/>
      <c r="D2" s="525"/>
      <c r="E2" s="525"/>
      <c r="F2" s="525"/>
      <c r="G2" s="259"/>
    </row>
    <row r="3" spans="1:7" ht="18" customHeight="1" thickBot="1" x14ac:dyDescent="0.25">
      <c r="A3" s="1024" t="s">
        <v>11001</v>
      </c>
      <c r="B3" s="1025"/>
      <c r="C3" s="1025"/>
      <c r="D3" s="1025"/>
      <c r="E3" s="1025"/>
      <c r="F3" s="1026"/>
      <c r="G3" s="259"/>
    </row>
    <row r="4" spans="1:7" ht="14.25" customHeight="1" thickBot="1" x14ac:dyDescent="0.25">
      <c r="A4" s="478" t="s">
        <v>1</v>
      </c>
      <c r="B4" s="478"/>
      <c r="C4" s="478"/>
      <c r="D4" s="478"/>
      <c r="E4" s="478"/>
      <c r="F4" s="478"/>
      <c r="G4" s="259"/>
    </row>
    <row r="5" spans="1:7" ht="14.25" customHeight="1" thickBot="1" x14ac:dyDescent="0.25">
      <c r="A5" s="479" t="s">
        <v>10907</v>
      </c>
      <c r="B5" s="479"/>
      <c r="C5" s="479"/>
      <c r="D5" s="479"/>
      <c r="E5" s="479"/>
      <c r="F5" s="479"/>
      <c r="G5" s="259"/>
    </row>
    <row r="6" spans="1:7" ht="45" customHeight="1" thickBot="1" x14ac:dyDescent="0.25">
      <c r="A6" s="1024" t="s">
        <v>10908</v>
      </c>
      <c r="B6" s="1025"/>
      <c r="C6" s="1025"/>
      <c r="D6" s="1025"/>
      <c r="E6" s="1025"/>
      <c r="F6" s="1026"/>
      <c r="G6" s="259"/>
    </row>
    <row r="7" spans="1:7" ht="14.25" customHeight="1" thickBot="1" x14ac:dyDescent="0.25">
      <c r="A7" s="479" t="s">
        <v>10909</v>
      </c>
      <c r="B7" s="479"/>
      <c r="C7" s="479"/>
      <c r="D7" s="479"/>
      <c r="E7" s="479"/>
      <c r="F7" s="479"/>
      <c r="G7" s="259"/>
    </row>
    <row r="8" spans="1:7" ht="61.5" customHeight="1" thickBot="1" x14ac:dyDescent="0.25">
      <c r="A8" s="643" t="s">
        <v>10910</v>
      </c>
      <c r="B8" s="644"/>
      <c r="C8" s="644"/>
      <c r="D8" s="644"/>
      <c r="E8" s="644"/>
      <c r="F8" s="1159"/>
      <c r="G8" s="259"/>
    </row>
    <row r="9" spans="1:7" ht="14.25" customHeight="1" x14ac:dyDescent="0.2">
      <c r="A9" s="539" t="s">
        <v>10911</v>
      </c>
      <c r="B9" s="540"/>
      <c r="C9" s="540"/>
      <c r="D9" s="540"/>
      <c r="E9" s="540"/>
      <c r="F9" s="541"/>
      <c r="G9" s="259"/>
    </row>
    <row r="10" spans="1:7" ht="30" x14ac:dyDescent="0.2">
      <c r="A10" s="402" t="s">
        <v>9306</v>
      </c>
      <c r="B10" s="79" t="s">
        <v>10912</v>
      </c>
      <c r="C10" s="79" t="s">
        <v>10913</v>
      </c>
      <c r="D10" s="79" t="s">
        <v>10914</v>
      </c>
      <c r="E10" s="79" t="s">
        <v>10915</v>
      </c>
      <c r="F10" s="80" t="s">
        <v>10916</v>
      </c>
      <c r="G10" s="259"/>
    </row>
    <row r="11" spans="1:7" x14ac:dyDescent="0.2">
      <c r="A11" s="404" t="s">
        <v>9314</v>
      </c>
      <c r="B11" s="158">
        <v>721.1</v>
      </c>
      <c r="C11" s="158">
        <v>597.4</v>
      </c>
      <c r="D11" s="158">
        <v>509</v>
      </c>
      <c r="E11" s="158">
        <v>243.2</v>
      </c>
      <c r="F11" s="115">
        <v>44.75</v>
      </c>
      <c r="G11" s="259"/>
    </row>
    <row r="12" spans="1:7" x14ac:dyDescent="0.2">
      <c r="A12" s="404" t="s">
        <v>9315</v>
      </c>
      <c r="B12" s="158">
        <v>570</v>
      </c>
      <c r="C12" s="158">
        <v>509.8</v>
      </c>
      <c r="D12" s="158">
        <v>429.9</v>
      </c>
      <c r="E12" s="158">
        <v>205.2</v>
      </c>
      <c r="F12" s="115">
        <v>37</v>
      </c>
      <c r="G12" s="259"/>
    </row>
    <row r="13" spans="1:7" x14ac:dyDescent="0.2">
      <c r="A13" s="404" t="s">
        <v>9316</v>
      </c>
      <c r="B13" s="158">
        <v>470</v>
      </c>
      <c r="C13" s="158">
        <v>444.4</v>
      </c>
      <c r="D13" s="158">
        <v>371</v>
      </c>
      <c r="E13" s="158">
        <v>176.9</v>
      </c>
      <c r="F13" s="115">
        <v>31.37</v>
      </c>
      <c r="G13" s="259"/>
    </row>
    <row r="14" spans="1:7" x14ac:dyDescent="0.2">
      <c r="A14" s="404" t="s">
        <v>9317</v>
      </c>
      <c r="B14" s="158">
        <v>405.8</v>
      </c>
      <c r="C14" s="158">
        <v>394.8</v>
      </c>
      <c r="D14" s="158">
        <v>326.5</v>
      </c>
      <c r="E14" s="158">
        <v>155.6</v>
      </c>
      <c r="F14" s="115">
        <v>27.18</v>
      </c>
      <c r="G14" s="259"/>
    </row>
    <row r="15" spans="1:7" x14ac:dyDescent="0.2">
      <c r="A15" s="404" t="s">
        <v>9318</v>
      </c>
      <c r="B15" s="158">
        <v>363.3</v>
      </c>
      <c r="C15" s="158">
        <v>355.3</v>
      </c>
      <c r="D15" s="158">
        <v>291.10000000000002</v>
      </c>
      <c r="E15" s="158">
        <v>138.80000000000001</v>
      </c>
      <c r="F15" s="115">
        <v>23.92</v>
      </c>
      <c r="G15" s="259"/>
    </row>
    <row r="16" spans="1:7" x14ac:dyDescent="0.2">
      <c r="A16" s="404" t="s">
        <v>9313</v>
      </c>
      <c r="B16" s="158">
        <v>3584.7</v>
      </c>
      <c r="C16" s="158">
        <v>2065.6999999999998</v>
      </c>
      <c r="D16" s="158">
        <v>1550.1</v>
      </c>
      <c r="E16" s="158">
        <v>753.6</v>
      </c>
      <c r="F16" s="115">
        <v>148.69999999999999</v>
      </c>
      <c r="G16" s="259"/>
    </row>
    <row r="17" spans="1:7" x14ac:dyDescent="0.2">
      <c r="A17" s="404" t="s">
        <v>9319</v>
      </c>
      <c r="B17" s="158">
        <v>21023.599999999999</v>
      </c>
      <c r="C17" s="158">
        <v>18555.7</v>
      </c>
      <c r="D17" s="158">
        <v>15313.5</v>
      </c>
      <c r="E17" s="158">
        <v>6849</v>
      </c>
      <c r="F17" s="115">
        <v>1302.2</v>
      </c>
      <c r="G17" s="259"/>
    </row>
    <row r="18" spans="1:7" x14ac:dyDescent="0.2">
      <c r="A18" s="404" t="s">
        <v>9320</v>
      </c>
      <c r="B18" s="158">
        <v>2.77</v>
      </c>
      <c r="C18" s="158">
        <v>2.63</v>
      </c>
      <c r="D18" s="158">
        <v>1.52</v>
      </c>
      <c r="E18" s="158">
        <v>0.54</v>
      </c>
      <c r="F18" s="115">
        <v>0.05</v>
      </c>
    </row>
    <row r="19" spans="1:7" x14ac:dyDescent="0.2">
      <c r="A19" s="404" t="s">
        <v>9321</v>
      </c>
      <c r="B19" s="158">
        <v>1.88</v>
      </c>
      <c r="C19" s="158">
        <v>1.79</v>
      </c>
      <c r="D19" s="158">
        <v>1.05</v>
      </c>
      <c r="E19" s="158">
        <v>0.42</v>
      </c>
      <c r="F19" s="115">
        <v>0.05</v>
      </c>
    </row>
    <row r="20" spans="1:7" x14ac:dyDescent="0.2">
      <c r="A20" s="404" t="s">
        <v>9322</v>
      </c>
      <c r="B20" s="158">
        <v>1.35</v>
      </c>
      <c r="C20" s="158">
        <v>1.28</v>
      </c>
      <c r="D20" s="158">
        <v>0.77</v>
      </c>
      <c r="E20" s="158">
        <v>0.34</v>
      </c>
      <c r="F20" s="115">
        <v>0.04</v>
      </c>
    </row>
    <row r="21" spans="1:7" x14ac:dyDescent="0.2">
      <c r="A21" s="404" t="s">
        <v>9323</v>
      </c>
      <c r="B21" s="158">
        <v>9.8699999999999992</v>
      </c>
      <c r="C21" s="158">
        <v>9.2100000000000009</v>
      </c>
      <c r="D21" s="158">
        <v>8.8800000000000008</v>
      </c>
      <c r="E21" s="158">
        <v>5.89</v>
      </c>
      <c r="F21" s="115">
        <v>0.61</v>
      </c>
    </row>
    <row r="22" spans="1:7" x14ac:dyDescent="0.2">
      <c r="A22" s="404" t="s">
        <v>9324</v>
      </c>
      <c r="B22" s="158">
        <v>6.98</v>
      </c>
      <c r="C22" s="158">
        <v>5.58</v>
      </c>
      <c r="D22" s="158">
        <v>5.1100000000000003</v>
      </c>
      <c r="E22" s="158">
        <v>3.71</v>
      </c>
      <c r="F22" s="115">
        <v>0.42</v>
      </c>
    </row>
    <row r="23" spans="1:7" x14ac:dyDescent="0.2">
      <c r="A23" s="404" t="s">
        <v>9325</v>
      </c>
      <c r="B23" s="158">
        <v>5.41</v>
      </c>
      <c r="C23" s="158">
        <v>4.5599999999999996</v>
      </c>
      <c r="D23" s="158">
        <v>3.33</v>
      </c>
      <c r="E23" s="158">
        <v>2.4500000000000002</v>
      </c>
      <c r="F23" s="115">
        <v>0.3</v>
      </c>
    </row>
    <row r="24" spans="1:7" x14ac:dyDescent="0.2">
      <c r="A24" s="404" t="s">
        <v>9326</v>
      </c>
      <c r="B24" s="158">
        <v>223.2</v>
      </c>
      <c r="C24" s="158">
        <v>213.9</v>
      </c>
      <c r="D24" s="158">
        <v>210.3</v>
      </c>
      <c r="E24" s="158">
        <v>149.5</v>
      </c>
      <c r="F24" s="115">
        <v>17.13</v>
      </c>
    </row>
    <row r="25" spans="1:7" x14ac:dyDescent="0.2">
      <c r="A25" s="404" t="s">
        <v>9327</v>
      </c>
      <c r="B25" s="158">
        <v>117</v>
      </c>
      <c r="C25" s="158">
        <v>107.9</v>
      </c>
      <c r="D25" s="158">
        <v>105.8</v>
      </c>
      <c r="E25" s="158">
        <v>77.44</v>
      </c>
      <c r="F25" s="115">
        <v>11.28</v>
      </c>
    </row>
    <row r="26" spans="1:7" x14ac:dyDescent="0.2">
      <c r="A26" s="404" t="s">
        <v>9328</v>
      </c>
      <c r="B26" s="158">
        <v>6452.3</v>
      </c>
      <c r="C26" s="158">
        <v>2479.1999999999998</v>
      </c>
      <c r="D26" s="158">
        <v>1472.7</v>
      </c>
      <c r="E26" s="158">
        <v>666.1</v>
      </c>
      <c r="F26" s="115">
        <v>131.6</v>
      </c>
    </row>
    <row r="27" spans="1:7" x14ac:dyDescent="0.2">
      <c r="A27" s="404" t="s">
        <v>9329</v>
      </c>
      <c r="B27" s="158">
        <v>3990.4</v>
      </c>
      <c r="C27" s="158">
        <v>1383.6</v>
      </c>
      <c r="D27" s="158">
        <v>871.9</v>
      </c>
      <c r="E27" s="158">
        <v>430.2</v>
      </c>
      <c r="F27" s="115">
        <v>87.66</v>
      </c>
    </row>
    <row r="28" spans="1:7" x14ac:dyDescent="0.2">
      <c r="A28" s="404" t="s">
        <v>9293</v>
      </c>
      <c r="B28" s="158">
        <v>21386.9</v>
      </c>
      <c r="C28" s="158">
        <v>15962.3</v>
      </c>
      <c r="D28" s="158">
        <v>12038.4</v>
      </c>
      <c r="E28" s="158">
        <v>5672.9</v>
      </c>
      <c r="F28" s="115">
        <v>1078.2</v>
      </c>
    </row>
    <row r="29" spans="1:7" x14ac:dyDescent="0.2">
      <c r="A29" s="404" t="s">
        <v>9330</v>
      </c>
      <c r="B29" s="158">
        <v>43.8</v>
      </c>
      <c r="C29" s="158">
        <v>43.07</v>
      </c>
      <c r="D29" s="158">
        <v>26.56</v>
      </c>
      <c r="E29" s="158">
        <v>15.22</v>
      </c>
      <c r="F29" s="115">
        <v>0.84</v>
      </c>
    </row>
    <row r="30" spans="1:7" x14ac:dyDescent="0.2">
      <c r="A30" s="404" t="s">
        <v>9331</v>
      </c>
      <c r="B30" s="158">
        <v>12.18</v>
      </c>
      <c r="C30" s="158">
        <v>11.73</v>
      </c>
      <c r="D30" s="158">
        <v>10.36</v>
      </c>
      <c r="E30" s="158">
        <v>6.8</v>
      </c>
      <c r="F30" s="115">
        <v>0.57999999999999996</v>
      </c>
    </row>
    <row r="31" spans="1:7" x14ac:dyDescent="0.2">
      <c r="A31" s="404" t="s">
        <v>9332</v>
      </c>
      <c r="B31" s="158">
        <v>53.12</v>
      </c>
      <c r="C31" s="158">
        <v>52.1</v>
      </c>
      <c r="D31" s="158">
        <v>32.92</v>
      </c>
      <c r="E31" s="158">
        <v>18.43</v>
      </c>
      <c r="F31" s="115">
        <v>0.97</v>
      </c>
    </row>
    <row r="32" spans="1:7" ht="15" thickBot="1" x14ac:dyDescent="0.25">
      <c r="A32" s="403" t="s">
        <v>9333</v>
      </c>
      <c r="B32" s="160">
        <v>21.25</v>
      </c>
      <c r="C32" s="160">
        <v>19.79</v>
      </c>
      <c r="D32" s="160">
        <v>14.75</v>
      </c>
      <c r="E32" s="160">
        <v>9.15</v>
      </c>
      <c r="F32" s="201">
        <v>0.63</v>
      </c>
    </row>
    <row r="33" spans="1:7" ht="14.25" customHeight="1" x14ac:dyDescent="0.2">
      <c r="A33" s="539" t="s">
        <v>10917</v>
      </c>
      <c r="B33" s="540"/>
      <c r="C33" s="540"/>
      <c r="D33" s="540"/>
      <c r="E33" s="540"/>
      <c r="F33" s="541"/>
    </row>
    <row r="34" spans="1:7" ht="30" x14ac:dyDescent="0.2">
      <c r="A34" s="402" t="s">
        <v>9306</v>
      </c>
      <c r="B34" s="79" t="s">
        <v>10912</v>
      </c>
      <c r="C34" s="79" t="s">
        <v>10913</v>
      </c>
      <c r="D34" s="79" t="s">
        <v>10914</v>
      </c>
      <c r="E34" s="79" t="s">
        <v>10915</v>
      </c>
      <c r="F34" s="80" t="s">
        <v>10916</v>
      </c>
      <c r="G34" s="259"/>
    </row>
    <row r="35" spans="1:7" x14ac:dyDescent="0.2">
      <c r="A35" s="404" t="s">
        <v>9314</v>
      </c>
      <c r="B35" s="158">
        <v>615</v>
      </c>
      <c r="C35" s="158">
        <v>357.7</v>
      </c>
      <c r="D35" s="158">
        <v>270.89999999999998</v>
      </c>
      <c r="E35" s="158">
        <v>129.5</v>
      </c>
      <c r="F35" s="115">
        <v>24.51</v>
      </c>
    </row>
    <row r="36" spans="1:7" x14ac:dyDescent="0.2">
      <c r="A36" s="404" t="s">
        <v>9315</v>
      </c>
      <c r="B36" s="158">
        <v>464.2</v>
      </c>
      <c r="C36" s="158">
        <v>287.7</v>
      </c>
      <c r="D36" s="158">
        <v>224.4</v>
      </c>
      <c r="E36" s="158">
        <v>107</v>
      </c>
      <c r="F36" s="115">
        <v>19.829999999999998</v>
      </c>
    </row>
    <row r="37" spans="1:7" x14ac:dyDescent="0.2">
      <c r="A37" s="404" t="s">
        <v>9316</v>
      </c>
      <c r="B37" s="158">
        <v>363.1</v>
      </c>
      <c r="C37" s="158">
        <v>240.3</v>
      </c>
      <c r="D37" s="158">
        <v>191.3</v>
      </c>
      <c r="E37" s="158">
        <v>91.08</v>
      </c>
      <c r="F37" s="115">
        <v>16.57</v>
      </c>
    </row>
    <row r="38" spans="1:7" x14ac:dyDescent="0.2">
      <c r="A38" s="404" t="s">
        <v>9317</v>
      </c>
      <c r="B38" s="158">
        <v>293.5</v>
      </c>
      <c r="C38" s="158">
        <v>206.6</v>
      </c>
      <c r="D38" s="158">
        <v>166.9</v>
      </c>
      <c r="E38" s="158">
        <v>79.400000000000006</v>
      </c>
      <c r="F38" s="115">
        <v>14.22</v>
      </c>
    </row>
    <row r="39" spans="1:7" x14ac:dyDescent="0.2">
      <c r="A39" s="404" t="s">
        <v>9318</v>
      </c>
      <c r="B39" s="158">
        <v>243.8</v>
      </c>
      <c r="C39" s="158">
        <v>181.4</v>
      </c>
      <c r="D39" s="158">
        <v>148</v>
      </c>
      <c r="E39" s="158">
        <v>70.36</v>
      </c>
      <c r="F39" s="115">
        <v>12.42</v>
      </c>
    </row>
    <row r="40" spans="1:7" x14ac:dyDescent="0.2">
      <c r="A40" s="404" t="s">
        <v>9313</v>
      </c>
      <c r="B40" s="158">
        <v>2448</v>
      </c>
      <c r="C40" s="158">
        <v>1493.7</v>
      </c>
      <c r="D40" s="158">
        <v>1082.5</v>
      </c>
      <c r="E40" s="158">
        <v>532.70000000000005</v>
      </c>
      <c r="F40" s="115">
        <v>105.8</v>
      </c>
    </row>
    <row r="41" spans="1:7" x14ac:dyDescent="0.2">
      <c r="A41" s="404" t="s">
        <v>9319</v>
      </c>
      <c r="B41" s="158">
        <v>11972.4</v>
      </c>
      <c r="C41" s="158">
        <v>10871.2</v>
      </c>
      <c r="D41" s="158">
        <v>8655.7999999999993</v>
      </c>
      <c r="E41" s="158">
        <v>3675.9</v>
      </c>
      <c r="F41" s="115">
        <v>650.20000000000005</v>
      </c>
    </row>
    <row r="42" spans="1:7" x14ac:dyDescent="0.2">
      <c r="A42" s="404" t="s">
        <v>9320</v>
      </c>
      <c r="B42" s="158">
        <v>2.77</v>
      </c>
      <c r="C42" s="158">
        <v>2.63</v>
      </c>
      <c r="D42" s="158">
        <v>1.52</v>
      </c>
      <c r="E42" s="158">
        <v>0.54</v>
      </c>
      <c r="F42" s="115">
        <v>0.05</v>
      </c>
    </row>
    <row r="43" spans="1:7" x14ac:dyDescent="0.2">
      <c r="A43" s="404" t="s">
        <v>9321</v>
      </c>
      <c r="B43" s="158">
        <v>1.88</v>
      </c>
      <c r="C43" s="158">
        <v>1.79</v>
      </c>
      <c r="D43" s="158">
        <v>1.05</v>
      </c>
      <c r="E43" s="158">
        <v>0.42</v>
      </c>
      <c r="F43" s="115">
        <v>0.05</v>
      </c>
    </row>
    <row r="44" spans="1:7" x14ac:dyDescent="0.2">
      <c r="A44" s="404" t="s">
        <v>9322</v>
      </c>
      <c r="B44" s="158">
        <v>1.35</v>
      </c>
      <c r="C44" s="158">
        <v>1.28</v>
      </c>
      <c r="D44" s="158">
        <v>0.77</v>
      </c>
      <c r="E44" s="158">
        <v>0.34</v>
      </c>
      <c r="F44" s="115">
        <v>0.04</v>
      </c>
    </row>
    <row r="45" spans="1:7" x14ac:dyDescent="0.2">
      <c r="A45" s="404" t="s">
        <v>9323</v>
      </c>
      <c r="B45" s="158">
        <v>9.8699999999999992</v>
      </c>
      <c r="C45" s="158">
        <v>9.2100000000000009</v>
      </c>
      <c r="D45" s="158">
        <v>8.8800000000000008</v>
      </c>
      <c r="E45" s="158">
        <v>5.89</v>
      </c>
      <c r="F45" s="115">
        <v>0.61</v>
      </c>
    </row>
    <row r="46" spans="1:7" x14ac:dyDescent="0.2">
      <c r="A46" s="404" t="s">
        <v>9324</v>
      </c>
      <c r="B46" s="158">
        <v>6.98</v>
      </c>
      <c r="C46" s="158">
        <v>5.58</v>
      </c>
      <c r="D46" s="158">
        <v>5.1100000000000003</v>
      </c>
      <c r="E46" s="158">
        <v>3.71</v>
      </c>
      <c r="F46" s="115">
        <v>0.42</v>
      </c>
    </row>
    <row r="47" spans="1:7" x14ac:dyDescent="0.2">
      <c r="A47" s="404" t="s">
        <v>9325</v>
      </c>
      <c r="B47" s="158">
        <v>5.41</v>
      </c>
      <c r="C47" s="158">
        <v>4.5599999999999996</v>
      </c>
      <c r="D47" s="158">
        <v>3.33</v>
      </c>
      <c r="E47" s="158">
        <v>2.4500000000000002</v>
      </c>
      <c r="F47" s="115">
        <v>0.3</v>
      </c>
    </row>
    <row r="48" spans="1:7" x14ac:dyDescent="0.2">
      <c r="A48" s="404" t="s">
        <v>9326</v>
      </c>
      <c r="B48" s="158">
        <v>223.2</v>
      </c>
      <c r="C48" s="158">
        <v>213.9</v>
      </c>
      <c r="D48" s="158">
        <v>210.3</v>
      </c>
      <c r="E48" s="158">
        <v>149.5</v>
      </c>
      <c r="F48" s="115">
        <v>17.13</v>
      </c>
    </row>
    <row r="49" spans="1:7" x14ac:dyDescent="0.2">
      <c r="A49" s="404" t="s">
        <v>9327</v>
      </c>
      <c r="B49" s="158">
        <v>117</v>
      </c>
      <c r="C49" s="158">
        <v>107.9</v>
      </c>
      <c r="D49" s="158">
        <v>105.8</v>
      </c>
      <c r="E49" s="158">
        <v>77.44</v>
      </c>
      <c r="F49" s="115">
        <v>11.28</v>
      </c>
    </row>
    <row r="50" spans="1:7" x14ac:dyDescent="0.2">
      <c r="A50" s="404" t="s">
        <v>9328</v>
      </c>
      <c r="B50" s="158">
        <v>3975.5</v>
      </c>
      <c r="C50" s="158">
        <v>1969.3</v>
      </c>
      <c r="D50" s="158">
        <v>1472.7</v>
      </c>
      <c r="E50" s="158">
        <v>666.1</v>
      </c>
      <c r="F50" s="115">
        <v>131.6</v>
      </c>
    </row>
    <row r="51" spans="1:7" x14ac:dyDescent="0.2">
      <c r="A51" s="404" t="s">
        <v>9329</v>
      </c>
      <c r="B51" s="158">
        <v>3123.6</v>
      </c>
      <c r="C51" s="158">
        <v>1336.8</v>
      </c>
      <c r="D51" s="158">
        <v>871.9</v>
      </c>
      <c r="E51" s="158">
        <v>430.2</v>
      </c>
      <c r="F51" s="115">
        <v>87.66</v>
      </c>
    </row>
    <row r="52" spans="1:7" x14ac:dyDescent="0.2">
      <c r="A52" s="404" t="s">
        <v>9293</v>
      </c>
      <c r="B52" s="158">
        <v>12210.6</v>
      </c>
      <c r="C52" s="158">
        <v>11085.3</v>
      </c>
      <c r="D52" s="158">
        <v>8841.7000000000007</v>
      </c>
      <c r="E52" s="158">
        <v>3758.9</v>
      </c>
      <c r="F52" s="115">
        <v>666.3</v>
      </c>
    </row>
    <row r="53" spans="1:7" x14ac:dyDescent="0.2">
      <c r="A53" s="404" t="s">
        <v>9330</v>
      </c>
      <c r="B53" s="158">
        <v>43.8</v>
      </c>
      <c r="C53" s="158">
        <v>43.07</v>
      </c>
      <c r="D53" s="158">
        <v>26.56</v>
      </c>
      <c r="E53" s="158">
        <v>15.22</v>
      </c>
      <c r="F53" s="115">
        <v>0.84</v>
      </c>
    </row>
    <row r="54" spans="1:7" x14ac:dyDescent="0.2">
      <c r="A54" s="404" t="s">
        <v>9331</v>
      </c>
      <c r="B54" s="158">
        <v>12.18</v>
      </c>
      <c r="C54" s="158">
        <v>11.73</v>
      </c>
      <c r="D54" s="158">
        <v>10.36</v>
      </c>
      <c r="E54" s="158">
        <v>6.8</v>
      </c>
      <c r="F54" s="115">
        <v>0.57999999999999996</v>
      </c>
    </row>
    <row r="55" spans="1:7" x14ac:dyDescent="0.2">
      <c r="A55" s="404" t="s">
        <v>9332</v>
      </c>
      <c r="B55" s="158">
        <v>53.12</v>
      </c>
      <c r="C55" s="158">
        <v>52.1</v>
      </c>
      <c r="D55" s="158">
        <v>32.92</v>
      </c>
      <c r="E55" s="158">
        <v>18.43</v>
      </c>
      <c r="F55" s="115">
        <v>0.97</v>
      </c>
    </row>
    <row r="56" spans="1:7" ht="15" thickBot="1" x14ac:dyDescent="0.25">
      <c r="A56" s="403" t="s">
        <v>9333</v>
      </c>
      <c r="B56" s="160">
        <v>21.25</v>
      </c>
      <c r="C56" s="160">
        <v>19.79</v>
      </c>
      <c r="D56" s="160">
        <v>14.75</v>
      </c>
      <c r="E56" s="160">
        <v>9.15</v>
      </c>
      <c r="F56" s="201">
        <v>0.63</v>
      </c>
    </row>
    <row r="57" spans="1:7" ht="14.25" customHeight="1" x14ac:dyDescent="0.2">
      <c r="A57" s="539" t="s">
        <v>10918</v>
      </c>
      <c r="B57" s="540"/>
      <c r="C57" s="540"/>
      <c r="D57" s="540"/>
      <c r="E57" s="540"/>
      <c r="F57" s="541"/>
    </row>
    <row r="58" spans="1:7" ht="30" x14ac:dyDescent="0.2">
      <c r="A58" s="402" t="s">
        <v>9306</v>
      </c>
      <c r="B58" s="79" t="s">
        <v>10912</v>
      </c>
      <c r="C58" s="79" t="s">
        <v>10913</v>
      </c>
      <c r="D58" s="79" t="s">
        <v>10914</v>
      </c>
      <c r="E58" s="79" t="s">
        <v>10915</v>
      </c>
      <c r="F58" s="80" t="s">
        <v>10916</v>
      </c>
      <c r="G58" s="259"/>
    </row>
    <row r="59" spans="1:7" x14ac:dyDescent="0.2">
      <c r="A59" s="404" t="s">
        <v>9314</v>
      </c>
      <c r="B59" s="158">
        <v>465.5</v>
      </c>
      <c r="C59" s="158">
        <v>248.9</v>
      </c>
      <c r="D59" s="158">
        <v>159.4</v>
      </c>
      <c r="E59" s="158">
        <v>79.31</v>
      </c>
      <c r="F59" s="115">
        <v>15.35</v>
      </c>
    </row>
    <row r="60" spans="1:7" x14ac:dyDescent="0.2">
      <c r="A60" s="404" t="s">
        <v>9315</v>
      </c>
      <c r="B60" s="158">
        <v>375.9</v>
      </c>
      <c r="C60" s="158">
        <v>195</v>
      </c>
      <c r="D60" s="158">
        <v>126.4</v>
      </c>
      <c r="E60" s="158">
        <v>62.53</v>
      </c>
      <c r="F60" s="115">
        <v>11.86</v>
      </c>
    </row>
    <row r="61" spans="1:7" x14ac:dyDescent="0.2">
      <c r="A61" s="404" t="s">
        <v>9316</v>
      </c>
      <c r="B61" s="158">
        <v>308.3</v>
      </c>
      <c r="C61" s="158">
        <v>157.69999999999999</v>
      </c>
      <c r="D61" s="158">
        <v>104.7</v>
      </c>
      <c r="E61" s="158">
        <v>51.5</v>
      </c>
      <c r="F61" s="115">
        <v>9.59</v>
      </c>
    </row>
    <row r="62" spans="1:7" x14ac:dyDescent="0.2">
      <c r="A62" s="404" t="s">
        <v>9317</v>
      </c>
      <c r="B62" s="158">
        <v>254.8</v>
      </c>
      <c r="C62" s="158">
        <v>131.30000000000001</v>
      </c>
      <c r="D62" s="158">
        <v>89.5</v>
      </c>
      <c r="E62" s="158">
        <v>43.85</v>
      </c>
      <c r="F62" s="115">
        <v>8.02</v>
      </c>
    </row>
    <row r="63" spans="1:7" x14ac:dyDescent="0.2">
      <c r="A63" s="404" t="s">
        <v>9318</v>
      </c>
      <c r="B63" s="158">
        <v>213.4</v>
      </c>
      <c r="C63" s="158">
        <v>111.8</v>
      </c>
      <c r="D63" s="158">
        <v>78.23</v>
      </c>
      <c r="E63" s="158">
        <v>38.19</v>
      </c>
      <c r="F63" s="115">
        <v>6.87</v>
      </c>
    </row>
    <row r="64" spans="1:7" x14ac:dyDescent="0.2">
      <c r="A64" s="404" t="s">
        <v>9313</v>
      </c>
      <c r="B64" s="158">
        <v>1279.3</v>
      </c>
      <c r="C64" s="158">
        <v>1032.8</v>
      </c>
      <c r="D64" s="158">
        <v>852.8</v>
      </c>
      <c r="E64" s="158">
        <v>400.1</v>
      </c>
      <c r="F64" s="115">
        <v>78.34</v>
      </c>
    </row>
    <row r="65" spans="1:6" x14ac:dyDescent="0.2">
      <c r="A65" s="404" t="s">
        <v>9319</v>
      </c>
      <c r="B65" s="158">
        <v>5342.9</v>
      </c>
      <c r="C65" s="158">
        <v>4736.3999999999996</v>
      </c>
      <c r="D65" s="158">
        <v>3532.7</v>
      </c>
      <c r="E65" s="158">
        <v>1409</v>
      </c>
      <c r="F65" s="115">
        <v>221</v>
      </c>
    </row>
    <row r="66" spans="1:6" x14ac:dyDescent="0.2">
      <c r="A66" s="404" t="s">
        <v>9320</v>
      </c>
      <c r="B66" s="158">
        <v>2.77</v>
      </c>
      <c r="C66" s="158">
        <v>2.63</v>
      </c>
      <c r="D66" s="158">
        <v>1.52</v>
      </c>
      <c r="E66" s="158">
        <v>0.54</v>
      </c>
      <c r="F66" s="115">
        <v>0.05</v>
      </c>
    </row>
    <row r="67" spans="1:6" x14ac:dyDescent="0.2">
      <c r="A67" s="404" t="s">
        <v>9321</v>
      </c>
      <c r="B67" s="158">
        <v>1.88</v>
      </c>
      <c r="C67" s="158">
        <v>1.79</v>
      </c>
      <c r="D67" s="158">
        <v>1.05</v>
      </c>
      <c r="E67" s="158">
        <v>0.42</v>
      </c>
      <c r="F67" s="115">
        <v>0.05</v>
      </c>
    </row>
    <row r="68" spans="1:6" x14ac:dyDescent="0.2">
      <c r="A68" s="404" t="s">
        <v>9322</v>
      </c>
      <c r="B68" s="158">
        <v>1.35</v>
      </c>
      <c r="C68" s="158">
        <v>1.28</v>
      </c>
      <c r="D68" s="158">
        <v>0.77</v>
      </c>
      <c r="E68" s="158">
        <v>0.34</v>
      </c>
      <c r="F68" s="115">
        <v>0.04</v>
      </c>
    </row>
    <row r="69" spans="1:6" x14ac:dyDescent="0.2">
      <c r="A69" s="404" t="s">
        <v>9323</v>
      </c>
      <c r="B69" s="158">
        <v>9.8699999999999992</v>
      </c>
      <c r="C69" s="158">
        <v>9.2100000000000009</v>
      </c>
      <c r="D69" s="158">
        <v>8.8800000000000008</v>
      </c>
      <c r="E69" s="158">
        <v>5.89</v>
      </c>
      <c r="F69" s="115">
        <v>0.61</v>
      </c>
    </row>
    <row r="70" spans="1:6" x14ac:dyDescent="0.2">
      <c r="A70" s="404" t="s">
        <v>9324</v>
      </c>
      <c r="B70" s="158">
        <v>6.98</v>
      </c>
      <c r="C70" s="158">
        <v>5.58</v>
      </c>
      <c r="D70" s="158">
        <v>5.1100000000000003</v>
      </c>
      <c r="E70" s="158">
        <v>3.71</v>
      </c>
      <c r="F70" s="115">
        <v>0.42</v>
      </c>
    </row>
    <row r="71" spans="1:6" x14ac:dyDescent="0.2">
      <c r="A71" s="404" t="s">
        <v>9325</v>
      </c>
      <c r="B71" s="158">
        <v>5.41</v>
      </c>
      <c r="C71" s="158">
        <v>4.5599999999999996</v>
      </c>
      <c r="D71" s="158">
        <v>3.33</v>
      </c>
      <c r="E71" s="158">
        <v>2.4500000000000002</v>
      </c>
      <c r="F71" s="115">
        <v>0.3</v>
      </c>
    </row>
    <row r="72" spans="1:6" x14ac:dyDescent="0.2">
      <c r="A72" s="404" t="s">
        <v>9326</v>
      </c>
      <c r="B72" s="158">
        <v>223.2</v>
      </c>
      <c r="C72" s="158">
        <v>213.9</v>
      </c>
      <c r="D72" s="158">
        <v>210.3</v>
      </c>
      <c r="E72" s="158">
        <v>149.5</v>
      </c>
      <c r="F72" s="115">
        <v>17.13</v>
      </c>
    </row>
    <row r="73" spans="1:6" x14ac:dyDescent="0.2">
      <c r="A73" s="404" t="s">
        <v>9327</v>
      </c>
      <c r="B73" s="158">
        <v>117</v>
      </c>
      <c r="C73" s="158">
        <v>107.9</v>
      </c>
      <c r="D73" s="158">
        <v>105.8</v>
      </c>
      <c r="E73" s="158">
        <v>77.44</v>
      </c>
      <c r="F73" s="115">
        <v>11.28</v>
      </c>
    </row>
    <row r="74" spans="1:6" x14ac:dyDescent="0.2">
      <c r="A74" s="404" t="s">
        <v>9328</v>
      </c>
      <c r="B74" s="158">
        <v>2082.6999999999998</v>
      </c>
      <c r="C74" s="158">
        <v>1860.9</v>
      </c>
      <c r="D74" s="158">
        <v>1472.7</v>
      </c>
      <c r="E74" s="158">
        <v>666.1</v>
      </c>
      <c r="F74" s="115">
        <v>125.9</v>
      </c>
    </row>
    <row r="75" spans="1:6" x14ac:dyDescent="0.2">
      <c r="A75" s="404" t="s">
        <v>9329</v>
      </c>
      <c r="B75" s="158">
        <v>1588.9</v>
      </c>
      <c r="C75" s="158">
        <v>1164.0999999999999</v>
      </c>
      <c r="D75" s="158">
        <v>871.9</v>
      </c>
      <c r="E75" s="158">
        <v>430.2</v>
      </c>
      <c r="F75" s="115">
        <v>87.66</v>
      </c>
    </row>
    <row r="76" spans="1:6" x14ac:dyDescent="0.2">
      <c r="A76" s="404" t="s">
        <v>9293</v>
      </c>
      <c r="B76" s="158">
        <v>5453.7</v>
      </c>
      <c r="C76" s="158">
        <v>4832.8999999999996</v>
      </c>
      <c r="D76" s="158">
        <v>3601.4</v>
      </c>
      <c r="E76" s="158">
        <v>1435</v>
      </c>
      <c r="F76" s="115">
        <v>224.6</v>
      </c>
    </row>
    <row r="77" spans="1:6" x14ac:dyDescent="0.2">
      <c r="A77" s="404" t="s">
        <v>9330</v>
      </c>
      <c r="B77" s="158">
        <v>43.8</v>
      </c>
      <c r="C77" s="158">
        <v>43.07</v>
      </c>
      <c r="D77" s="158">
        <v>26.56</v>
      </c>
      <c r="E77" s="158">
        <v>15.22</v>
      </c>
      <c r="F77" s="115">
        <v>0.84</v>
      </c>
    </row>
    <row r="78" spans="1:6" x14ac:dyDescent="0.2">
      <c r="A78" s="404" t="s">
        <v>9331</v>
      </c>
      <c r="B78" s="158">
        <v>12.18</v>
      </c>
      <c r="C78" s="158">
        <v>11.73</v>
      </c>
      <c r="D78" s="158">
        <v>10.36</v>
      </c>
      <c r="E78" s="158">
        <v>6.8</v>
      </c>
      <c r="F78" s="115">
        <v>0.57999999999999996</v>
      </c>
    </row>
    <row r="79" spans="1:6" x14ac:dyDescent="0.2">
      <c r="A79" s="404" t="s">
        <v>9332</v>
      </c>
      <c r="B79" s="158">
        <v>53.12</v>
      </c>
      <c r="C79" s="158">
        <v>52.1</v>
      </c>
      <c r="D79" s="158">
        <v>32.92</v>
      </c>
      <c r="E79" s="158">
        <v>18.43</v>
      </c>
      <c r="F79" s="115">
        <v>0.97</v>
      </c>
    </row>
    <row r="80" spans="1:6" ht="15" thickBot="1" x14ac:dyDescent="0.25">
      <c r="A80" s="403" t="s">
        <v>9333</v>
      </c>
      <c r="B80" s="160">
        <v>21.25</v>
      </c>
      <c r="C80" s="160">
        <v>19.79</v>
      </c>
      <c r="D80" s="160">
        <v>14.75</v>
      </c>
      <c r="E80" s="160">
        <v>9.15</v>
      </c>
      <c r="F80" s="201">
        <v>0.63</v>
      </c>
    </row>
    <row r="81" spans="1:7" ht="14.25" customHeight="1" x14ac:dyDescent="0.2">
      <c r="A81" s="539" t="s">
        <v>10919</v>
      </c>
      <c r="B81" s="540"/>
      <c r="C81" s="540"/>
      <c r="D81" s="540"/>
      <c r="E81" s="540"/>
      <c r="F81" s="541"/>
    </row>
    <row r="82" spans="1:7" ht="30" x14ac:dyDescent="0.2">
      <c r="A82" s="402" t="s">
        <v>9306</v>
      </c>
      <c r="B82" s="79" t="s">
        <v>10912</v>
      </c>
      <c r="C82" s="79" t="s">
        <v>10913</v>
      </c>
      <c r="D82" s="79" t="s">
        <v>10914</v>
      </c>
      <c r="E82" s="79" t="s">
        <v>10915</v>
      </c>
      <c r="F82" s="80" t="s">
        <v>10916</v>
      </c>
      <c r="G82" s="259"/>
    </row>
    <row r="83" spans="1:7" x14ac:dyDescent="0.2">
      <c r="A83" s="404" t="s">
        <v>9314</v>
      </c>
      <c r="B83" s="158">
        <v>258.60000000000002</v>
      </c>
      <c r="C83" s="158">
        <v>154.80000000000001</v>
      </c>
      <c r="D83" s="158">
        <v>108.2</v>
      </c>
      <c r="E83" s="158">
        <v>56.66</v>
      </c>
      <c r="F83" s="115">
        <v>11.11</v>
      </c>
    </row>
    <row r="84" spans="1:7" x14ac:dyDescent="0.2">
      <c r="A84" s="404" t="s">
        <v>9315</v>
      </c>
      <c r="B84" s="158">
        <v>222.5</v>
      </c>
      <c r="C84" s="158">
        <v>125.4</v>
      </c>
      <c r="D84" s="158">
        <v>80.27</v>
      </c>
      <c r="E84" s="158">
        <v>42.63</v>
      </c>
      <c r="F84" s="115">
        <v>8.33</v>
      </c>
    </row>
    <row r="85" spans="1:7" x14ac:dyDescent="0.2">
      <c r="A85" s="404" t="s">
        <v>9316</v>
      </c>
      <c r="B85" s="158">
        <v>192.1</v>
      </c>
      <c r="C85" s="158">
        <v>104.8</v>
      </c>
      <c r="D85" s="158">
        <v>63.21</v>
      </c>
      <c r="E85" s="158">
        <v>33.99</v>
      </c>
      <c r="F85" s="115">
        <v>6.51</v>
      </c>
    </row>
    <row r="86" spans="1:7" x14ac:dyDescent="0.2">
      <c r="A86" s="404" t="s">
        <v>9317</v>
      </c>
      <c r="B86" s="158">
        <v>167.3</v>
      </c>
      <c r="C86" s="158">
        <v>90.52</v>
      </c>
      <c r="D86" s="158">
        <v>52.6</v>
      </c>
      <c r="E86" s="158">
        <v>28.05</v>
      </c>
      <c r="F86" s="115">
        <v>5.28</v>
      </c>
    </row>
    <row r="87" spans="1:7" x14ac:dyDescent="0.2">
      <c r="A87" s="404" t="s">
        <v>9318</v>
      </c>
      <c r="B87" s="158">
        <v>148.6</v>
      </c>
      <c r="C87" s="158">
        <v>78.7</v>
      </c>
      <c r="D87" s="158">
        <v>44.84</v>
      </c>
      <c r="E87" s="158">
        <v>23.74</v>
      </c>
      <c r="F87" s="115">
        <v>4.3899999999999997</v>
      </c>
    </row>
    <row r="88" spans="1:7" x14ac:dyDescent="0.2">
      <c r="A88" s="404" t="s">
        <v>9313</v>
      </c>
      <c r="B88" s="158">
        <v>765.8</v>
      </c>
      <c r="C88" s="158">
        <v>708.2</v>
      </c>
      <c r="D88" s="158">
        <v>562.70000000000005</v>
      </c>
      <c r="E88" s="158">
        <v>236.8</v>
      </c>
      <c r="F88" s="115">
        <v>41.51</v>
      </c>
    </row>
    <row r="89" spans="1:7" x14ac:dyDescent="0.2">
      <c r="A89" s="404" t="s">
        <v>9319</v>
      </c>
      <c r="B89" s="158">
        <v>2116.6</v>
      </c>
      <c r="C89" s="158">
        <v>1821.4</v>
      </c>
      <c r="D89" s="158">
        <v>1273.3</v>
      </c>
      <c r="E89" s="158">
        <v>484</v>
      </c>
      <c r="F89" s="115">
        <v>66.010000000000005</v>
      </c>
    </row>
    <row r="90" spans="1:7" x14ac:dyDescent="0.2">
      <c r="A90" s="404" t="s">
        <v>9320</v>
      </c>
      <c r="B90" s="158">
        <v>2.77</v>
      </c>
      <c r="C90" s="158">
        <v>2.63</v>
      </c>
      <c r="D90" s="158">
        <v>1.52</v>
      </c>
      <c r="E90" s="158">
        <v>0.54</v>
      </c>
      <c r="F90" s="115">
        <v>0.05</v>
      </c>
    </row>
    <row r="91" spans="1:7" x14ac:dyDescent="0.2">
      <c r="A91" s="404" t="s">
        <v>9321</v>
      </c>
      <c r="B91" s="158">
        <v>1.88</v>
      </c>
      <c r="C91" s="158">
        <v>1.79</v>
      </c>
      <c r="D91" s="158">
        <v>1.05</v>
      </c>
      <c r="E91" s="158">
        <v>0.42</v>
      </c>
      <c r="F91" s="115">
        <v>0.05</v>
      </c>
    </row>
    <row r="92" spans="1:7" x14ac:dyDescent="0.2">
      <c r="A92" s="404" t="s">
        <v>9322</v>
      </c>
      <c r="B92" s="158">
        <v>1.35</v>
      </c>
      <c r="C92" s="158">
        <v>1.28</v>
      </c>
      <c r="D92" s="158">
        <v>0.77</v>
      </c>
      <c r="E92" s="158">
        <v>0.34</v>
      </c>
      <c r="F92" s="115">
        <v>0.04</v>
      </c>
    </row>
    <row r="93" spans="1:7" x14ac:dyDescent="0.2">
      <c r="A93" s="404" t="s">
        <v>9323</v>
      </c>
      <c r="B93" s="158">
        <v>9.8699999999999992</v>
      </c>
      <c r="C93" s="158">
        <v>9.2100000000000009</v>
      </c>
      <c r="D93" s="158">
        <v>8.8800000000000008</v>
      </c>
      <c r="E93" s="158">
        <v>5.89</v>
      </c>
      <c r="F93" s="115">
        <v>0.61</v>
      </c>
    </row>
    <row r="94" spans="1:7" x14ac:dyDescent="0.2">
      <c r="A94" s="404" t="s">
        <v>9324</v>
      </c>
      <c r="B94" s="158">
        <v>6.98</v>
      </c>
      <c r="C94" s="158">
        <v>5.58</v>
      </c>
      <c r="D94" s="158">
        <v>5.1100000000000003</v>
      </c>
      <c r="E94" s="158">
        <v>3.71</v>
      </c>
      <c r="F94" s="115">
        <v>0.42</v>
      </c>
    </row>
    <row r="95" spans="1:7" x14ac:dyDescent="0.2">
      <c r="A95" s="404" t="s">
        <v>9325</v>
      </c>
      <c r="B95" s="158">
        <v>5.41</v>
      </c>
      <c r="C95" s="158">
        <v>4.5599999999999996</v>
      </c>
      <c r="D95" s="158">
        <v>3.33</v>
      </c>
      <c r="E95" s="158">
        <v>2.4500000000000002</v>
      </c>
      <c r="F95" s="115">
        <v>0.3</v>
      </c>
    </row>
    <row r="96" spans="1:7" x14ac:dyDescent="0.2">
      <c r="A96" s="404" t="s">
        <v>9326</v>
      </c>
      <c r="B96" s="158">
        <v>166.2</v>
      </c>
      <c r="C96" s="158">
        <v>161.5</v>
      </c>
      <c r="D96" s="158">
        <v>158.1</v>
      </c>
      <c r="E96" s="158">
        <v>111.8</v>
      </c>
      <c r="F96" s="115">
        <v>17.13</v>
      </c>
    </row>
    <row r="97" spans="1:7" x14ac:dyDescent="0.2">
      <c r="A97" s="404" t="s">
        <v>9327</v>
      </c>
      <c r="B97" s="158">
        <v>113.6</v>
      </c>
      <c r="C97" s="158">
        <v>107.4</v>
      </c>
      <c r="D97" s="158">
        <v>103.3</v>
      </c>
      <c r="E97" s="158">
        <v>77.44</v>
      </c>
      <c r="F97" s="115">
        <v>11.28</v>
      </c>
    </row>
    <row r="98" spans="1:7" x14ac:dyDescent="0.2">
      <c r="A98" s="404" t="s">
        <v>9328</v>
      </c>
      <c r="B98" s="158">
        <v>1227.0999999999999</v>
      </c>
      <c r="C98" s="158">
        <v>1098.7</v>
      </c>
      <c r="D98" s="158">
        <v>850.5</v>
      </c>
      <c r="E98" s="158">
        <v>343.2</v>
      </c>
      <c r="F98" s="115">
        <v>54.4</v>
      </c>
    </row>
    <row r="99" spans="1:7" x14ac:dyDescent="0.2">
      <c r="A99" s="404" t="s">
        <v>9329</v>
      </c>
      <c r="B99" s="158">
        <v>967.2</v>
      </c>
      <c r="C99" s="158">
        <v>884.4</v>
      </c>
      <c r="D99" s="158">
        <v>693.1</v>
      </c>
      <c r="E99" s="158">
        <v>285.7</v>
      </c>
      <c r="F99" s="115">
        <v>48.25</v>
      </c>
    </row>
    <row r="100" spans="1:7" x14ac:dyDescent="0.2">
      <c r="A100" s="404" t="s">
        <v>9293</v>
      </c>
      <c r="B100" s="158">
        <v>2135.6999999999998</v>
      </c>
      <c r="C100" s="158">
        <v>1837.3</v>
      </c>
      <c r="D100" s="158">
        <v>1283.8</v>
      </c>
      <c r="E100" s="158">
        <v>487.7</v>
      </c>
      <c r="F100" s="115">
        <v>66.41</v>
      </c>
    </row>
    <row r="101" spans="1:7" x14ac:dyDescent="0.2">
      <c r="A101" s="404" t="s">
        <v>9330</v>
      </c>
      <c r="B101" s="158">
        <v>41.57</v>
      </c>
      <c r="C101" s="158">
        <v>39.6</v>
      </c>
      <c r="D101" s="158">
        <v>26.56</v>
      </c>
      <c r="E101" s="158">
        <v>15.22</v>
      </c>
      <c r="F101" s="115">
        <v>0.84</v>
      </c>
    </row>
    <row r="102" spans="1:7" x14ac:dyDescent="0.2">
      <c r="A102" s="404" t="s">
        <v>9331</v>
      </c>
      <c r="B102" s="158">
        <v>12.18</v>
      </c>
      <c r="C102" s="158">
        <v>11.73</v>
      </c>
      <c r="D102" s="158">
        <v>10.36</v>
      </c>
      <c r="E102" s="158">
        <v>6.8</v>
      </c>
      <c r="F102" s="115">
        <v>0.57999999999999996</v>
      </c>
    </row>
    <row r="103" spans="1:7" x14ac:dyDescent="0.2">
      <c r="A103" s="404" t="s">
        <v>9332</v>
      </c>
      <c r="B103" s="158">
        <v>48.71</v>
      </c>
      <c r="C103" s="158">
        <v>46.56</v>
      </c>
      <c r="D103" s="158">
        <v>32.92</v>
      </c>
      <c r="E103" s="158">
        <v>18.43</v>
      </c>
      <c r="F103" s="115">
        <v>0.97</v>
      </c>
    </row>
    <row r="104" spans="1:7" ht="15" thickBot="1" x14ac:dyDescent="0.25">
      <c r="A104" s="403" t="s">
        <v>9333</v>
      </c>
      <c r="B104" s="160">
        <v>21.25</v>
      </c>
      <c r="C104" s="160">
        <v>19.79</v>
      </c>
      <c r="D104" s="160">
        <v>14.75</v>
      </c>
      <c r="E104" s="160">
        <v>9.15</v>
      </c>
      <c r="F104" s="201">
        <v>0.63</v>
      </c>
    </row>
    <row r="105" spans="1:7" ht="14.25" customHeight="1" x14ac:dyDescent="0.2">
      <c r="A105" s="539" t="s">
        <v>10920</v>
      </c>
      <c r="B105" s="540"/>
      <c r="C105" s="540"/>
      <c r="D105" s="540"/>
      <c r="E105" s="540"/>
      <c r="F105" s="541"/>
    </row>
    <row r="106" spans="1:7" ht="30" x14ac:dyDescent="0.2">
      <c r="A106" s="402" t="s">
        <v>9306</v>
      </c>
      <c r="B106" s="79" t="s">
        <v>10912</v>
      </c>
      <c r="C106" s="79" t="s">
        <v>10913</v>
      </c>
      <c r="D106" s="79" t="s">
        <v>10914</v>
      </c>
      <c r="E106" s="79" t="s">
        <v>10915</v>
      </c>
      <c r="F106" s="80" t="s">
        <v>10916</v>
      </c>
      <c r="G106" s="259"/>
    </row>
    <row r="107" spans="1:7" x14ac:dyDescent="0.2">
      <c r="A107" s="404" t="s">
        <v>9314</v>
      </c>
      <c r="B107" s="158">
        <v>184.9</v>
      </c>
      <c r="C107" s="158">
        <v>117.3</v>
      </c>
      <c r="D107" s="158">
        <v>91.24</v>
      </c>
      <c r="E107" s="158">
        <v>46.54</v>
      </c>
      <c r="F107" s="115">
        <v>8.82</v>
      </c>
    </row>
    <row r="108" spans="1:7" x14ac:dyDescent="0.2">
      <c r="A108" s="404" t="s">
        <v>9315</v>
      </c>
      <c r="B108" s="158">
        <v>159.80000000000001</v>
      </c>
      <c r="C108" s="158">
        <v>89.08</v>
      </c>
      <c r="D108" s="158">
        <v>65.739999999999995</v>
      </c>
      <c r="E108" s="158">
        <v>35.08</v>
      </c>
      <c r="F108" s="115">
        <v>6.76</v>
      </c>
    </row>
    <row r="109" spans="1:7" x14ac:dyDescent="0.2">
      <c r="A109" s="404" t="s">
        <v>9316</v>
      </c>
      <c r="B109" s="158">
        <v>138.19999999999999</v>
      </c>
      <c r="C109" s="158">
        <v>74.48</v>
      </c>
      <c r="D109" s="158">
        <v>50.05</v>
      </c>
      <c r="E109" s="158">
        <v>27.48</v>
      </c>
      <c r="F109" s="115">
        <v>5.32</v>
      </c>
    </row>
    <row r="110" spans="1:7" x14ac:dyDescent="0.2">
      <c r="A110" s="404" t="s">
        <v>9317</v>
      </c>
      <c r="B110" s="158">
        <v>121.9</v>
      </c>
      <c r="C110" s="158">
        <v>64.03</v>
      </c>
      <c r="D110" s="158">
        <v>40.1</v>
      </c>
      <c r="E110" s="158">
        <v>22.34</v>
      </c>
      <c r="F110" s="115">
        <v>4.3099999999999996</v>
      </c>
    </row>
    <row r="111" spans="1:7" x14ac:dyDescent="0.2">
      <c r="A111" s="404" t="s">
        <v>9318</v>
      </c>
      <c r="B111" s="158">
        <v>113.2</v>
      </c>
      <c r="C111" s="158">
        <v>56.03</v>
      </c>
      <c r="D111" s="158">
        <v>33.950000000000003</v>
      </c>
      <c r="E111" s="158">
        <v>18.559999999999999</v>
      </c>
      <c r="F111" s="115">
        <v>3.57</v>
      </c>
    </row>
    <row r="112" spans="1:7" x14ac:dyDescent="0.2">
      <c r="A112" s="404" t="s">
        <v>9313</v>
      </c>
      <c r="B112" s="158">
        <v>553.5</v>
      </c>
      <c r="C112" s="158">
        <v>496.5</v>
      </c>
      <c r="D112" s="158">
        <v>383.1</v>
      </c>
      <c r="E112" s="158">
        <v>154.1</v>
      </c>
      <c r="F112" s="115">
        <v>24.24</v>
      </c>
    </row>
    <row r="113" spans="1:6" x14ac:dyDescent="0.2">
      <c r="A113" s="404" t="s">
        <v>9319</v>
      </c>
      <c r="B113" s="158">
        <v>1209.0999999999999</v>
      </c>
      <c r="C113" s="158">
        <v>1024.2</v>
      </c>
      <c r="D113" s="158">
        <v>688.9</v>
      </c>
      <c r="E113" s="158">
        <v>251.8</v>
      </c>
      <c r="F113" s="115">
        <v>32.19</v>
      </c>
    </row>
    <row r="114" spans="1:6" x14ac:dyDescent="0.2">
      <c r="A114" s="404" t="s">
        <v>9320</v>
      </c>
      <c r="B114" s="158">
        <v>2.77</v>
      </c>
      <c r="C114" s="158">
        <v>2.63</v>
      </c>
      <c r="D114" s="158">
        <v>1.52</v>
      </c>
      <c r="E114" s="158">
        <v>0.54</v>
      </c>
      <c r="F114" s="115">
        <v>0.05</v>
      </c>
    </row>
    <row r="115" spans="1:6" x14ac:dyDescent="0.2">
      <c r="A115" s="404" t="s">
        <v>9321</v>
      </c>
      <c r="B115" s="158">
        <v>1.88</v>
      </c>
      <c r="C115" s="158">
        <v>1.79</v>
      </c>
      <c r="D115" s="158">
        <v>1.05</v>
      </c>
      <c r="E115" s="158">
        <v>0.42</v>
      </c>
      <c r="F115" s="115">
        <v>0.05</v>
      </c>
    </row>
    <row r="116" spans="1:6" x14ac:dyDescent="0.2">
      <c r="A116" s="404" t="s">
        <v>9322</v>
      </c>
      <c r="B116" s="158">
        <v>1.35</v>
      </c>
      <c r="C116" s="158">
        <v>1.28</v>
      </c>
      <c r="D116" s="158">
        <v>0.77</v>
      </c>
      <c r="E116" s="158">
        <v>0.34</v>
      </c>
      <c r="F116" s="115">
        <v>0.04</v>
      </c>
    </row>
    <row r="117" spans="1:6" x14ac:dyDescent="0.2">
      <c r="A117" s="404" t="s">
        <v>9323</v>
      </c>
      <c r="B117" s="158">
        <v>9.8699999999999992</v>
      </c>
      <c r="C117" s="158">
        <v>9.2100000000000009</v>
      </c>
      <c r="D117" s="158">
        <v>8.8800000000000008</v>
      </c>
      <c r="E117" s="158">
        <v>5.89</v>
      </c>
      <c r="F117" s="115">
        <v>0.61</v>
      </c>
    </row>
    <row r="118" spans="1:6" x14ac:dyDescent="0.2">
      <c r="A118" s="404" t="s">
        <v>9324</v>
      </c>
      <c r="B118" s="158">
        <v>6.98</v>
      </c>
      <c r="C118" s="158">
        <v>5.58</v>
      </c>
      <c r="D118" s="158">
        <v>5.1100000000000003</v>
      </c>
      <c r="E118" s="158">
        <v>3.71</v>
      </c>
      <c r="F118" s="115">
        <v>0.42</v>
      </c>
    </row>
    <row r="119" spans="1:6" x14ac:dyDescent="0.2">
      <c r="A119" s="404" t="s">
        <v>9325</v>
      </c>
      <c r="B119" s="158">
        <v>5.41</v>
      </c>
      <c r="C119" s="158">
        <v>4.5599999999999996</v>
      </c>
      <c r="D119" s="158">
        <v>3.33</v>
      </c>
      <c r="E119" s="158">
        <v>2.4500000000000002</v>
      </c>
      <c r="F119" s="115">
        <v>0.3</v>
      </c>
    </row>
    <row r="120" spans="1:6" x14ac:dyDescent="0.2">
      <c r="A120" s="404" t="s">
        <v>9326</v>
      </c>
      <c r="B120" s="158">
        <v>120.2</v>
      </c>
      <c r="C120" s="158">
        <v>110.9</v>
      </c>
      <c r="D120" s="158">
        <v>103.9</v>
      </c>
      <c r="E120" s="158">
        <v>77.709999999999994</v>
      </c>
      <c r="F120" s="115">
        <v>12.14</v>
      </c>
    </row>
    <row r="121" spans="1:6" x14ac:dyDescent="0.2">
      <c r="A121" s="404" t="s">
        <v>9327</v>
      </c>
      <c r="B121" s="158">
        <v>96.28</v>
      </c>
      <c r="C121" s="158">
        <v>82.94</v>
      </c>
      <c r="D121" s="158">
        <v>80.010000000000005</v>
      </c>
      <c r="E121" s="158">
        <v>59.41</v>
      </c>
      <c r="F121" s="115">
        <v>9.5299999999999994</v>
      </c>
    </row>
    <row r="122" spans="1:6" x14ac:dyDescent="0.2">
      <c r="A122" s="404" t="s">
        <v>9328</v>
      </c>
      <c r="B122" s="158">
        <v>796</v>
      </c>
      <c r="C122" s="158">
        <v>694.3</v>
      </c>
      <c r="D122" s="158">
        <v>513.79999999999995</v>
      </c>
      <c r="E122" s="158">
        <v>200.9</v>
      </c>
      <c r="F122" s="115">
        <v>28.71</v>
      </c>
    </row>
    <row r="123" spans="1:6" x14ac:dyDescent="0.2">
      <c r="A123" s="404" t="s">
        <v>9329</v>
      </c>
      <c r="B123" s="158">
        <v>673.3</v>
      </c>
      <c r="C123" s="158">
        <v>595.6</v>
      </c>
      <c r="D123" s="158">
        <v>452.1</v>
      </c>
      <c r="E123" s="158">
        <v>179.2</v>
      </c>
      <c r="F123" s="115">
        <v>26.87</v>
      </c>
    </row>
    <row r="124" spans="1:6" x14ac:dyDescent="0.2">
      <c r="A124" s="404" t="s">
        <v>9293</v>
      </c>
      <c r="B124" s="158">
        <v>1215.5</v>
      </c>
      <c r="C124" s="158">
        <v>1029.4000000000001</v>
      </c>
      <c r="D124" s="158">
        <v>692.1</v>
      </c>
      <c r="E124" s="158">
        <v>252.9</v>
      </c>
      <c r="F124" s="115">
        <v>32.29</v>
      </c>
    </row>
    <row r="125" spans="1:6" x14ac:dyDescent="0.2">
      <c r="A125" s="404" t="s">
        <v>9330</v>
      </c>
      <c r="B125" s="158">
        <v>28.92</v>
      </c>
      <c r="C125" s="158">
        <v>27.33</v>
      </c>
      <c r="D125" s="158">
        <v>23.63</v>
      </c>
      <c r="E125" s="158">
        <v>15.15</v>
      </c>
      <c r="F125" s="115">
        <v>0.84</v>
      </c>
    </row>
    <row r="126" spans="1:6" x14ac:dyDescent="0.2">
      <c r="A126" s="404" t="s">
        <v>9331</v>
      </c>
      <c r="B126" s="158">
        <v>12.18</v>
      </c>
      <c r="C126" s="158">
        <v>11.73</v>
      </c>
      <c r="D126" s="158">
        <v>10.36</v>
      </c>
      <c r="E126" s="158">
        <v>6.8</v>
      </c>
      <c r="F126" s="115">
        <v>0.57999999999999996</v>
      </c>
    </row>
    <row r="127" spans="1:6" x14ac:dyDescent="0.2">
      <c r="A127" s="404" t="s">
        <v>9332</v>
      </c>
      <c r="B127" s="158">
        <v>32.130000000000003</v>
      </c>
      <c r="C127" s="158">
        <v>30.5</v>
      </c>
      <c r="D127" s="158">
        <v>26.42</v>
      </c>
      <c r="E127" s="158">
        <v>16.989999999999998</v>
      </c>
      <c r="F127" s="115">
        <v>0.97</v>
      </c>
    </row>
    <row r="128" spans="1:6" ht="15" thickBot="1" x14ac:dyDescent="0.25">
      <c r="A128" s="403" t="s">
        <v>9333</v>
      </c>
      <c r="B128" s="160">
        <v>19.940000000000001</v>
      </c>
      <c r="C128" s="160">
        <v>18.989999999999998</v>
      </c>
      <c r="D128" s="160">
        <v>14.75</v>
      </c>
      <c r="E128" s="160">
        <v>9.15</v>
      </c>
      <c r="F128" s="201">
        <v>0.63</v>
      </c>
    </row>
    <row r="129" spans="1:7" ht="14.25" customHeight="1" x14ac:dyDescent="0.2">
      <c r="A129" s="539" t="s">
        <v>10921</v>
      </c>
      <c r="B129" s="540"/>
      <c r="C129" s="540"/>
      <c r="D129" s="540"/>
      <c r="E129" s="540"/>
      <c r="F129" s="541"/>
    </row>
    <row r="130" spans="1:7" ht="30" x14ac:dyDescent="0.2">
      <c r="A130" s="402" t="s">
        <v>9306</v>
      </c>
      <c r="B130" s="79" t="s">
        <v>10912</v>
      </c>
      <c r="C130" s="79" t="s">
        <v>10913</v>
      </c>
      <c r="D130" s="79" t="s">
        <v>10914</v>
      </c>
      <c r="E130" s="79" t="s">
        <v>10915</v>
      </c>
      <c r="F130" s="80" t="s">
        <v>10916</v>
      </c>
      <c r="G130" s="259"/>
    </row>
    <row r="131" spans="1:7" x14ac:dyDescent="0.2">
      <c r="A131" s="404" t="s">
        <v>9314</v>
      </c>
      <c r="B131" s="158">
        <v>146.9</v>
      </c>
      <c r="C131" s="158">
        <v>107.1</v>
      </c>
      <c r="D131" s="158">
        <v>81.23</v>
      </c>
      <c r="E131" s="158">
        <v>39.22</v>
      </c>
      <c r="F131" s="115">
        <v>7.05</v>
      </c>
    </row>
    <row r="132" spans="1:7" x14ac:dyDescent="0.2">
      <c r="A132" s="404" t="s">
        <v>9315</v>
      </c>
      <c r="B132" s="158">
        <v>136.30000000000001</v>
      </c>
      <c r="C132" s="158">
        <v>76.36</v>
      </c>
      <c r="D132" s="158">
        <v>58.25</v>
      </c>
      <c r="E132" s="158">
        <v>29.95</v>
      </c>
      <c r="F132" s="115">
        <v>5.56</v>
      </c>
    </row>
    <row r="133" spans="1:7" x14ac:dyDescent="0.2">
      <c r="A133" s="404" t="s">
        <v>9316</v>
      </c>
      <c r="B133" s="158">
        <v>126.7</v>
      </c>
      <c r="C133" s="158">
        <v>57.59</v>
      </c>
      <c r="D133" s="158">
        <v>43.64</v>
      </c>
      <c r="E133" s="158">
        <v>23.68</v>
      </c>
      <c r="F133" s="115">
        <v>4.46</v>
      </c>
    </row>
    <row r="134" spans="1:7" x14ac:dyDescent="0.2">
      <c r="A134" s="404" t="s">
        <v>9317</v>
      </c>
      <c r="B134" s="158">
        <v>118.7</v>
      </c>
      <c r="C134" s="158">
        <v>49.17</v>
      </c>
      <c r="D134" s="158">
        <v>34.159999999999997</v>
      </c>
      <c r="E134" s="158">
        <v>19.510000000000002</v>
      </c>
      <c r="F134" s="115">
        <v>3.65</v>
      </c>
    </row>
    <row r="135" spans="1:7" x14ac:dyDescent="0.2">
      <c r="A135" s="404" t="s">
        <v>9318</v>
      </c>
      <c r="B135" s="158">
        <v>112.6</v>
      </c>
      <c r="C135" s="158">
        <v>43.4</v>
      </c>
      <c r="D135" s="158">
        <v>27.75</v>
      </c>
      <c r="E135" s="158">
        <v>16.32</v>
      </c>
      <c r="F135" s="115">
        <v>3.04</v>
      </c>
    </row>
    <row r="136" spans="1:7" x14ac:dyDescent="0.2">
      <c r="A136" s="404" t="s">
        <v>9313</v>
      </c>
      <c r="B136" s="158">
        <v>419.8</v>
      </c>
      <c r="C136" s="158">
        <v>368.2</v>
      </c>
      <c r="D136" s="158">
        <v>277.10000000000002</v>
      </c>
      <c r="E136" s="158">
        <v>108.8</v>
      </c>
      <c r="F136" s="115">
        <v>15.8</v>
      </c>
    </row>
    <row r="137" spans="1:7" x14ac:dyDescent="0.2">
      <c r="A137" s="404" t="s">
        <v>9319</v>
      </c>
      <c r="B137" s="158">
        <v>810.7</v>
      </c>
      <c r="C137" s="158">
        <v>680.4</v>
      </c>
      <c r="D137" s="158">
        <v>445.6</v>
      </c>
      <c r="E137" s="158">
        <v>160.30000000000001</v>
      </c>
      <c r="F137" s="115">
        <v>19.350000000000001</v>
      </c>
    </row>
    <row r="138" spans="1:7" x14ac:dyDescent="0.2">
      <c r="A138" s="404" t="s">
        <v>9320</v>
      </c>
      <c r="B138" s="158">
        <v>2.77</v>
      </c>
      <c r="C138" s="158">
        <v>2.63</v>
      </c>
      <c r="D138" s="158">
        <v>1.52</v>
      </c>
      <c r="E138" s="158">
        <v>0.54</v>
      </c>
      <c r="F138" s="115">
        <v>0.05</v>
      </c>
    </row>
    <row r="139" spans="1:7" x14ac:dyDescent="0.2">
      <c r="A139" s="404" t="s">
        <v>9321</v>
      </c>
      <c r="B139" s="158">
        <v>1.88</v>
      </c>
      <c r="C139" s="158">
        <v>1.79</v>
      </c>
      <c r="D139" s="158">
        <v>1.05</v>
      </c>
      <c r="E139" s="158">
        <v>0.42</v>
      </c>
      <c r="F139" s="115">
        <v>0.05</v>
      </c>
    </row>
    <row r="140" spans="1:7" x14ac:dyDescent="0.2">
      <c r="A140" s="404" t="s">
        <v>9322</v>
      </c>
      <c r="B140" s="158">
        <v>1.35</v>
      </c>
      <c r="C140" s="158">
        <v>1.28</v>
      </c>
      <c r="D140" s="158">
        <v>0.77</v>
      </c>
      <c r="E140" s="158">
        <v>0.34</v>
      </c>
      <c r="F140" s="115">
        <v>0.04</v>
      </c>
    </row>
    <row r="141" spans="1:7" x14ac:dyDescent="0.2">
      <c r="A141" s="404" t="s">
        <v>9323</v>
      </c>
      <c r="B141" s="158">
        <v>9.8699999999999992</v>
      </c>
      <c r="C141" s="158">
        <v>9.2100000000000009</v>
      </c>
      <c r="D141" s="158">
        <v>8.8800000000000008</v>
      </c>
      <c r="E141" s="158">
        <v>5.89</v>
      </c>
      <c r="F141" s="115">
        <v>0.61</v>
      </c>
    </row>
    <row r="142" spans="1:7" x14ac:dyDescent="0.2">
      <c r="A142" s="404" t="s">
        <v>9324</v>
      </c>
      <c r="B142" s="158">
        <v>6.98</v>
      </c>
      <c r="C142" s="158">
        <v>5.58</v>
      </c>
      <c r="D142" s="158">
        <v>5.1100000000000003</v>
      </c>
      <c r="E142" s="158">
        <v>3.71</v>
      </c>
      <c r="F142" s="115">
        <v>0.42</v>
      </c>
    </row>
    <row r="143" spans="1:7" x14ac:dyDescent="0.2">
      <c r="A143" s="404" t="s">
        <v>9325</v>
      </c>
      <c r="B143" s="158">
        <v>5.41</v>
      </c>
      <c r="C143" s="158">
        <v>4.5599999999999996</v>
      </c>
      <c r="D143" s="158">
        <v>3.33</v>
      </c>
      <c r="E143" s="158">
        <v>2.4500000000000002</v>
      </c>
      <c r="F143" s="115">
        <v>0.3</v>
      </c>
    </row>
    <row r="144" spans="1:7" x14ac:dyDescent="0.2">
      <c r="A144" s="404" t="s">
        <v>9326</v>
      </c>
      <c r="B144" s="158">
        <v>107</v>
      </c>
      <c r="C144" s="158">
        <v>85.98</v>
      </c>
      <c r="D144" s="158">
        <v>75.59</v>
      </c>
      <c r="E144" s="158">
        <v>56.35</v>
      </c>
      <c r="F144" s="115">
        <v>8.83</v>
      </c>
    </row>
    <row r="145" spans="1:7" x14ac:dyDescent="0.2">
      <c r="A145" s="404" t="s">
        <v>9327</v>
      </c>
      <c r="B145" s="158">
        <v>90.87</v>
      </c>
      <c r="C145" s="158">
        <v>67.75</v>
      </c>
      <c r="D145" s="158">
        <v>61.86</v>
      </c>
      <c r="E145" s="158">
        <v>47.63</v>
      </c>
      <c r="F145" s="115">
        <v>7.44</v>
      </c>
    </row>
    <row r="146" spans="1:7" x14ac:dyDescent="0.2">
      <c r="A146" s="404" t="s">
        <v>9328</v>
      </c>
      <c r="B146" s="158">
        <v>563</v>
      </c>
      <c r="C146" s="158">
        <v>484.3</v>
      </c>
      <c r="D146" s="158">
        <v>347.8</v>
      </c>
      <c r="E146" s="158">
        <v>133.19999999999999</v>
      </c>
      <c r="F146" s="115">
        <v>17.809999999999999</v>
      </c>
    </row>
    <row r="147" spans="1:7" x14ac:dyDescent="0.2">
      <c r="A147" s="404" t="s">
        <v>9329</v>
      </c>
      <c r="B147" s="158">
        <v>494.5</v>
      </c>
      <c r="C147" s="158">
        <v>429.1</v>
      </c>
      <c r="D147" s="158">
        <v>315.89999999999998</v>
      </c>
      <c r="E147" s="158">
        <v>122.5</v>
      </c>
      <c r="F147" s="115">
        <v>17.03</v>
      </c>
    </row>
    <row r="148" spans="1:7" x14ac:dyDescent="0.2">
      <c r="A148" s="404" t="s">
        <v>9293</v>
      </c>
      <c r="B148" s="158">
        <v>813.6</v>
      </c>
      <c r="C148" s="158">
        <v>682.7</v>
      </c>
      <c r="D148" s="158">
        <v>447</v>
      </c>
      <c r="E148" s="158">
        <v>160.80000000000001</v>
      </c>
      <c r="F148" s="115">
        <v>19.39</v>
      </c>
    </row>
    <row r="149" spans="1:7" x14ac:dyDescent="0.2">
      <c r="A149" s="404" t="s">
        <v>9330</v>
      </c>
      <c r="B149" s="158">
        <v>21.84</v>
      </c>
      <c r="C149" s="158">
        <v>21.4</v>
      </c>
      <c r="D149" s="158">
        <v>19.670000000000002</v>
      </c>
      <c r="E149" s="158">
        <v>12.23</v>
      </c>
      <c r="F149" s="115">
        <v>0.82</v>
      </c>
    </row>
    <row r="150" spans="1:7" x14ac:dyDescent="0.2">
      <c r="A150" s="404" t="s">
        <v>9331</v>
      </c>
      <c r="B150" s="158">
        <v>11.89</v>
      </c>
      <c r="C150" s="158">
        <v>11.13</v>
      </c>
      <c r="D150" s="158">
        <v>10.36</v>
      </c>
      <c r="E150" s="158">
        <v>6.8</v>
      </c>
      <c r="F150" s="115">
        <v>0.57999999999999996</v>
      </c>
    </row>
    <row r="151" spans="1:7" x14ac:dyDescent="0.2">
      <c r="A151" s="404" t="s">
        <v>9332</v>
      </c>
      <c r="B151" s="158">
        <v>23.25</v>
      </c>
      <c r="C151" s="158">
        <v>22.85</v>
      </c>
      <c r="D151" s="158">
        <v>21.18</v>
      </c>
      <c r="E151" s="158">
        <v>13.03</v>
      </c>
      <c r="F151" s="115">
        <v>0.92</v>
      </c>
    </row>
    <row r="152" spans="1:7" ht="15" thickBot="1" x14ac:dyDescent="0.25">
      <c r="A152" s="403" t="s">
        <v>9333</v>
      </c>
      <c r="B152" s="160">
        <v>16.53</v>
      </c>
      <c r="C152" s="160">
        <v>15.64</v>
      </c>
      <c r="D152" s="160">
        <v>13.64</v>
      </c>
      <c r="E152" s="160">
        <v>9.15</v>
      </c>
      <c r="F152" s="201">
        <v>0.63</v>
      </c>
    </row>
    <row r="153" spans="1:7" ht="14.25" customHeight="1" x14ac:dyDescent="0.2">
      <c r="A153" s="539" t="s">
        <v>10922</v>
      </c>
      <c r="B153" s="540"/>
      <c r="C153" s="540"/>
      <c r="D153" s="540"/>
      <c r="E153" s="540"/>
      <c r="F153" s="541"/>
    </row>
    <row r="154" spans="1:7" ht="30" x14ac:dyDescent="0.2">
      <c r="A154" s="402" t="s">
        <v>9306</v>
      </c>
      <c r="B154" s="79" t="s">
        <v>10912</v>
      </c>
      <c r="C154" s="79" t="s">
        <v>10913</v>
      </c>
      <c r="D154" s="79" t="s">
        <v>10914</v>
      </c>
      <c r="E154" s="79" t="s">
        <v>10915</v>
      </c>
      <c r="F154" s="80" t="s">
        <v>10916</v>
      </c>
      <c r="G154" s="259"/>
    </row>
    <row r="155" spans="1:7" x14ac:dyDescent="0.2">
      <c r="A155" s="404" t="s">
        <v>9314</v>
      </c>
      <c r="B155" s="158">
        <v>124.1</v>
      </c>
      <c r="C155" s="158">
        <v>103.1</v>
      </c>
      <c r="D155" s="158">
        <v>73.430000000000007</v>
      </c>
      <c r="E155" s="158">
        <v>33.549999999999997</v>
      </c>
      <c r="F155" s="115">
        <v>5.74</v>
      </c>
    </row>
    <row r="156" spans="1:7" x14ac:dyDescent="0.2">
      <c r="A156" s="404" t="s">
        <v>9315</v>
      </c>
      <c r="B156" s="158">
        <v>118.7</v>
      </c>
      <c r="C156" s="158">
        <v>75.31</v>
      </c>
      <c r="D156" s="158">
        <v>53.12</v>
      </c>
      <c r="E156" s="158">
        <v>26.03</v>
      </c>
      <c r="F156" s="115">
        <v>4.62</v>
      </c>
    </row>
    <row r="157" spans="1:7" x14ac:dyDescent="0.2">
      <c r="A157" s="404" t="s">
        <v>9316</v>
      </c>
      <c r="B157" s="158">
        <v>113.8</v>
      </c>
      <c r="C157" s="158">
        <v>56.19</v>
      </c>
      <c r="D157" s="158">
        <v>39.619999999999997</v>
      </c>
      <c r="E157" s="158">
        <v>20.58</v>
      </c>
      <c r="F157" s="115">
        <v>3.77</v>
      </c>
    </row>
    <row r="158" spans="1:7" x14ac:dyDescent="0.2">
      <c r="A158" s="404" t="s">
        <v>9317</v>
      </c>
      <c r="B158" s="158">
        <v>109.6</v>
      </c>
      <c r="C158" s="158">
        <v>43.3</v>
      </c>
      <c r="D158" s="158">
        <v>30.67</v>
      </c>
      <c r="E158" s="158">
        <v>17.05</v>
      </c>
      <c r="F158" s="115">
        <v>3.12</v>
      </c>
    </row>
    <row r="159" spans="1:7" x14ac:dyDescent="0.2">
      <c r="A159" s="404" t="s">
        <v>9318</v>
      </c>
      <c r="B159" s="158">
        <v>106</v>
      </c>
      <c r="C159" s="158">
        <v>39.840000000000003</v>
      </c>
      <c r="D159" s="158">
        <v>24.58</v>
      </c>
      <c r="E159" s="158">
        <v>14.42</v>
      </c>
      <c r="F159" s="115">
        <v>2.63</v>
      </c>
    </row>
    <row r="160" spans="1:7" x14ac:dyDescent="0.2">
      <c r="A160" s="404" t="s">
        <v>9313</v>
      </c>
      <c r="B160" s="158">
        <v>336.3</v>
      </c>
      <c r="C160" s="158">
        <v>286.8</v>
      </c>
      <c r="D160" s="158">
        <v>210.5</v>
      </c>
      <c r="E160" s="158">
        <v>81.25</v>
      </c>
      <c r="F160" s="115">
        <v>11.42</v>
      </c>
    </row>
    <row r="161" spans="1:6" x14ac:dyDescent="0.2">
      <c r="A161" s="404" t="s">
        <v>9319</v>
      </c>
      <c r="B161" s="158">
        <v>599</v>
      </c>
      <c r="C161" s="158">
        <v>494.3</v>
      </c>
      <c r="D161" s="158">
        <v>317.89999999999998</v>
      </c>
      <c r="E161" s="158">
        <v>114.5</v>
      </c>
      <c r="F161" s="115">
        <v>13.36</v>
      </c>
    </row>
    <row r="162" spans="1:6" x14ac:dyDescent="0.2">
      <c r="A162" s="404" t="s">
        <v>9320</v>
      </c>
      <c r="B162" s="158">
        <v>2.77</v>
      </c>
      <c r="C162" s="158">
        <v>2.63</v>
      </c>
      <c r="D162" s="158">
        <v>1.52</v>
      </c>
      <c r="E162" s="158">
        <v>0.54</v>
      </c>
      <c r="F162" s="115">
        <v>0.05</v>
      </c>
    </row>
    <row r="163" spans="1:6" x14ac:dyDescent="0.2">
      <c r="A163" s="404" t="s">
        <v>9321</v>
      </c>
      <c r="B163" s="158">
        <v>1.88</v>
      </c>
      <c r="C163" s="158">
        <v>1.79</v>
      </c>
      <c r="D163" s="158">
        <v>1.05</v>
      </c>
      <c r="E163" s="158">
        <v>0.42</v>
      </c>
      <c r="F163" s="115">
        <v>0.05</v>
      </c>
    </row>
    <row r="164" spans="1:6" x14ac:dyDescent="0.2">
      <c r="A164" s="404" t="s">
        <v>9322</v>
      </c>
      <c r="B164" s="158">
        <v>1.35</v>
      </c>
      <c r="C164" s="158">
        <v>1.28</v>
      </c>
      <c r="D164" s="158">
        <v>0.77</v>
      </c>
      <c r="E164" s="158">
        <v>0.34</v>
      </c>
      <c r="F164" s="115">
        <v>0.04</v>
      </c>
    </row>
    <row r="165" spans="1:6" x14ac:dyDescent="0.2">
      <c r="A165" s="404" t="s">
        <v>9323</v>
      </c>
      <c r="B165" s="158">
        <v>9.8699999999999992</v>
      </c>
      <c r="C165" s="158">
        <v>9.2100000000000009</v>
      </c>
      <c r="D165" s="158">
        <v>8.8800000000000008</v>
      </c>
      <c r="E165" s="158">
        <v>5.89</v>
      </c>
      <c r="F165" s="115">
        <v>0.61</v>
      </c>
    </row>
    <row r="166" spans="1:6" x14ac:dyDescent="0.2">
      <c r="A166" s="404" t="s">
        <v>9324</v>
      </c>
      <c r="B166" s="158">
        <v>6.37</v>
      </c>
      <c r="C166" s="158">
        <v>5.58</v>
      </c>
      <c r="D166" s="158">
        <v>5.1100000000000003</v>
      </c>
      <c r="E166" s="158">
        <v>3.71</v>
      </c>
      <c r="F166" s="115">
        <v>0.42</v>
      </c>
    </row>
    <row r="167" spans="1:6" x14ac:dyDescent="0.2">
      <c r="A167" s="404" t="s">
        <v>9325</v>
      </c>
      <c r="B167" s="158">
        <v>5.27</v>
      </c>
      <c r="C167" s="158">
        <v>4.5599999999999996</v>
      </c>
      <c r="D167" s="158">
        <v>3.33</v>
      </c>
      <c r="E167" s="158">
        <v>2.4500000000000002</v>
      </c>
      <c r="F167" s="115">
        <v>0.3</v>
      </c>
    </row>
    <row r="168" spans="1:6" x14ac:dyDescent="0.2">
      <c r="A168" s="404" t="s">
        <v>9326</v>
      </c>
      <c r="B168" s="158">
        <v>97.64</v>
      </c>
      <c r="C168" s="158">
        <v>76.040000000000006</v>
      </c>
      <c r="D168" s="158">
        <v>64.819999999999993</v>
      </c>
      <c r="E168" s="158">
        <v>42.1</v>
      </c>
      <c r="F168" s="115">
        <v>6.71</v>
      </c>
    </row>
    <row r="169" spans="1:6" x14ac:dyDescent="0.2">
      <c r="A169" s="404" t="s">
        <v>9327</v>
      </c>
      <c r="B169" s="158">
        <v>86.74</v>
      </c>
      <c r="C169" s="158">
        <v>62.09</v>
      </c>
      <c r="D169" s="158">
        <v>53.92</v>
      </c>
      <c r="E169" s="158">
        <v>37.42</v>
      </c>
      <c r="F169" s="115">
        <v>5.88</v>
      </c>
    </row>
    <row r="170" spans="1:6" x14ac:dyDescent="0.2">
      <c r="A170" s="404" t="s">
        <v>9328</v>
      </c>
      <c r="B170" s="158">
        <v>429</v>
      </c>
      <c r="C170" s="158">
        <v>361.7</v>
      </c>
      <c r="D170" s="158">
        <v>254</v>
      </c>
      <c r="E170" s="158">
        <v>95.56</v>
      </c>
      <c r="F170" s="115">
        <v>12.55</v>
      </c>
    </row>
    <row r="171" spans="1:6" x14ac:dyDescent="0.2">
      <c r="A171" s="404" t="s">
        <v>9329</v>
      </c>
      <c r="B171" s="158">
        <v>385.1</v>
      </c>
      <c r="C171" s="158">
        <v>326.3</v>
      </c>
      <c r="D171" s="158">
        <v>234.6</v>
      </c>
      <c r="E171" s="158">
        <v>89.49</v>
      </c>
      <c r="F171" s="115">
        <v>12.12</v>
      </c>
    </row>
    <row r="172" spans="1:6" x14ac:dyDescent="0.2">
      <c r="A172" s="404" t="s">
        <v>9293</v>
      </c>
      <c r="B172" s="158">
        <v>600.6</v>
      </c>
      <c r="C172" s="158">
        <v>495.6</v>
      </c>
      <c r="D172" s="158">
        <v>318.60000000000002</v>
      </c>
      <c r="E172" s="158">
        <v>114.7</v>
      </c>
      <c r="F172" s="115">
        <v>13.38</v>
      </c>
    </row>
    <row r="173" spans="1:6" x14ac:dyDescent="0.2">
      <c r="A173" s="404" t="s">
        <v>9330</v>
      </c>
      <c r="B173" s="158">
        <v>17.13</v>
      </c>
      <c r="C173" s="158">
        <v>17</v>
      </c>
      <c r="D173" s="158">
        <v>15.99</v>
      </c>
      <c r="E173" s="158">
        <v>9.61</v>
      </c>
      <c r="F173" s="115">
        <v>0.76</v>
      </c>
    </row>
    <row r="174" spans="1:6" x14ac:dyDescent="0.2">
      <c r="A174" s="404" t="s">
        <v>9331</v>
      </c>
      <c r="B174" s="158">
        <v>11.14</v>
      </c>
      <c r="C174" s="158">
        <v>10.86</v>
      </c>
      <c r="D174" s="158">
        <v>10.36</v>
      </c>
      <c r="E174" s="158">
        <v>6.37</v>
      </c>
      <c r="F174" s="115">
        <v>0.57999999999999996</v>
      </c>
    </row>
    <row r="175" spans="1:6" x14ac:dyDescent="0.2">
      <c r="A175" s="404" t="s">
        <v>9332</v>
      </c>
      <c r="B175" s="158">
        <v>17.93</v>
      </c>
      <c r="C175" s="158">
        <v>17.87</v>
      </c>
      <c r="D175" s="158">
        <v>16.78</v>
      </c>
      <c r="E175" s="158">
        <v>10.53</v>
      </c>
      <c r="F175" s="115">
        <v>0.82</v>
      </c>
    </row>
    <row r="176" spans="1:6" ht="15" thickBot="1" x14ac:dyDescent="0.25">
      <c r="A176" s="403" t="s">
        <v>9333</v>
      </c>
      <c r="B176" s="160">
        <v>13.76</v>
      </c>
      <c r="C176" s="160">
        <v>13.51</v>
      </c>
      <c r="D176" s="160">
        <v>12.7</v>
      </c>
      <c r="E176" s="160">
        <v>7.7</v>
      </c>
      <c r="F176" s="201">
        <v>0.62</v>
      </c>
    </row>
    <row r="177" spans="1:7" ht="14.25" customHeight="1" x14ac:dyDescent="0.2">
      <c r="A177" s="539" t="s">
        <v>10923</v>
      </c>
      <c r="B177" s="540"/>
      <c r="C177" s="540"/>
      <c r="D177" s="540"/>
      <c r="E177" s="540"/>
      <c r="F177" s="541"/>
    </row>
    <row r="178" spans="1:7" ht="30" x14ac:dyDescent="0.2">
      <c r="A178" s="402" t="s">
        <v>9306</v>
      </c>
      <c r="B178" s="79" t="s">
        <v>10912</v>
      </c>
      <c r="C178" s="79" t="s">
        <v>10913</v>
      </c>
      <c r="D178" s="79" t="s">
        <v>10914</v>
      </c>
      <c r="E178" s="79" t="s">
        <v>10915</v>
      </c>
      <c r="F178" s="80" t="s">
        <v>10916</v>
      </c>
      <c r="G178" s="259"/>
    </row>
    <row r="179" spans="1:7" x14ac:dyDescent="0.2">
      <c r="A179" s="404" t="s">
        <v>9314</v>
      </c>
      <c r="B179" s="158">
        <v>91.84</v>
      </c>
      <c r="C179" s="158">
        <v>83.99</v>
      </c>
      <c r="D179" s="158">
        <v>58.3</v>
      </c>
      <c r="E179" s="158">
        <v>24.03</v>
      </c>
      <c r="F179" s="115">
        <v>3.71</v>
      </c>
    </row>
    <row r="180" spans="1:7" x14ac:dyDescent="0.2">
      <c r="A180" s="404" t="s">
        <v>9315</v>
      </c>
      <c r="B180" s="158">
        <v>88.26</v>
      </c>
      <c r="C180" s="158">
        <v>64.569999999999993</v>
      </c>
      <c r="D180" s="158">
        <v>44.03</v>
      </c>
      <c r="E180" s="158">
        <v>19.54</v>
      </c>
      <c r="F180" s="115">
        <v>3.1</v>
      </c>
    </row>
    <row r="181" spans="1:7" x14ac:dyDescent="0.2">
      <c r="A181" s="404" t="s">
        <v>9316</v>
      </c>
      <c r="B181" s="158">
        <v>85.31</v>
      </c>
      <c r="C181" s="158">
        <v>49.21</v>
      </c>
      <c r="D181" s="158">
        <v>33.36</v>
      </c>
      <c r="E181" s="158">
        <v>15.88</v>
      </c>
      <c r="F181" s="115">
        <v>2.61</v>
      </c>
    </row>
    <row r="182" spans="1:7" x14ac:dyDescent="0.2">
      <c r="A182" s="404" t="s">
        <v>9317</v>
      </c>
      <c r="B182" s="158">
        <v>82.82</v>
      </c>
      <c r="C182" s="158">
        <v>37.869999999999997</v>
      </c>
      <c r="D182" s="158">
        <v>25.87</v>
      </c>
      <c r="E182" s="158">
        <v>13</v>
      </c>
      <c r="F182" s="115">
        <v>2.21</v>
      </c>
    </row>
    <row r="183" spans="1:7" x14ac:dyDescent="0.2">
      <c r="A183" s="404" t="s">
        <v>9318</v>
      </c>
      <c r="B183" s="158">
        <v>80.67</v>
      </c>
      <c r="C183" s="158">
        <v>29.74</v>
      </c>
      <c r="D183" s="158">
        <v>20.55</v>
      </c>
      <c r="E183" s="158">
        <v>10.79</v>
      </c>
      <c r="F183" s="115">
        <v>1.89</v>
      </c>
    </row>
    <row r="184" spans="1:7" x14ac:dyDescent="0.2">
      <c r="A184" s="404" t="s">
        <v>9313</v>
      </c>
      <c r="B184" s="158">
        <v>209.6</v>
      </c>
      <c r="C184" s="158">
        <v>176.9</v>
      </c>
      <c r="D184" s="158">
        <v>124.4</v>
      </c>
      <c r="E184" s="158">
        <v>46.12</v>
      </c>
      <c r="F184" s="115">
        <v>5.95</v>
      </c>
    </row>
    <row r="185" spans="1:7" x14ac:dyDescent="0.2">
      <c r="A185" s="404" t="s">
        <v>9319</v>
      </c>
      <c r="B185" s="158">
        <v>340.8</v>
      </c>
      <c r="C185" s="158">
        <v>285.3</v>
      </c>
      <c r="D185" s="158">
        <v>182.2</v>
      </c>
      <c r="E185" s="158">
        <v>66.569999999999993</v>
      </c>
      <c r="F185" s="115">
        <v>6.57</v>
      </c>
    </row>
    <row r="186" spans="1:7" x14ac:dyDescent="0.2">
      <c r="A186" s="404" t="s">
        <v>9320</v>
      </c>
      <c r="B186" s="158">
        <v>2.77</v>
      </c>
      <c r="C186" s="158">
        <v>2.63</v>
      </c>
      <c r="D186" s="158">
        <v>1.51</v>
      </c>
      <c r="E186" s="158">
        <v>0.54</v>
      </c>
      <c r="F186" s="115">
        <v>0.05</v>
      </c>
    </row>
    <row r="187" spans="1:7" x14ac:dyDescent="0.2">
      <c r="A187" s="404" t="s">
        <v>9321</v>
      </c>
      <c r="B187" s="158">
        <v>1.88</v>
      </c>
      <c r="C187" s="158">
        <v>1.79</v>
      </c>
      <c r="D187" s="158">
        <v>1.05</v>
      </c>
      <c r="E187" s="158">
        <v>0.42</v>
      </c>
      <c r="F187" s="115">
        <v>0.05</v>
      </c>
    </row>
    <row r="188" spans="1:7" x14ac:dyDescent="0.2">
      <c r="A188" s="404" t="s">
        <v>9322</v>
      </c>
      <c r="B188" s="158">
        <v>1.35</v>
      </c>
      <c r="C188" s="158">
        <v>1.28</v>
      </c>
      <c r="D188" s="158">
        <v>0.77</v>
      </c>
      <c r="E188" s="158">
        <v>0.34</v>
      </c>
      <c r="F188" s="115">
        <v>0.04</v>
      </c>
    </row>
    <row r="189" spans="1:7" x14ac:dyDescent="0.2">
      <c r="A189" s="404" t="s">
        <v>9323</v>
      </c>
      <c r="B189" s="158">
        <v>8.16</v>
      </c>
      <c r="C189" s="158">
        <v>7.87</v>
      </c>
      <c r="D189" s="158">
        <v>7.68</v>
      </c>
      <c r="E189" s="158">
        <v>5.47</v>
      </c>
      <c r="F189" s="115">
        <v>0.56999999999999995</v>
      </c>
    </row>
    <row r="190" spans="1:7" x14ac:dyDescent="0.2">
      <c r="A190" s="404" t="s">
        <v>9324</v>
      </c>
      <c r="B190" s="158">
        <v>5.88</v>
      </c>
      <c r="C190" s="158">
        <v>5.32</v>
      </c>
      <c r="D190" s="158">
        <v>5.04</v>
      </c>
      <c r="E190" s="158">
        <v>3.71</v>
      </c>
      <c r="F190" s="115">
        <v>0.41</v>
      </c>
    </row>
    <row r="191" spans="1:7" x14ac:dyDescent="0.2">
      <c r="A191" s="404" t="s">
        <v>9325</v>
      </c>
      <c r="B191" s="158">
        <v>4.1500000000000004</v>
      </c>
      <c r="C191" s="158">
        <v>3.73</v>
      </c>
      <c r="D191" s="158">
        <v>3.29</v>
      </c>
      <c r="E191" s="158">
        <v>2.4500000000000002</v>
      </c>
      <c r="F191" s="115">
        <v>0.3</v>
      </c>
    </row>
    <row r="192" spans="1:7" x14ac:dyDescent="0.2">
      <c r="A192" s="404" t="s">
        <v>9326</v>
      </c>
      <c r="B192" s="158">
        <v>69.97</v>
      </c>
      <c r="C192" s="158">
        <v>59.87</v>
      </c>
      <c r="D192" s="158">
        <v>45.38</v>
      </c>
      <c r="E192" s="158">
        <v>25.66</v>
      </c>
      <c r="F192" s="115">
        <v>3.91</v>
      </c>
    </row>
    <row r="193" spans="1:7" x14ac:dyDescent="0.2">
      <c r="A193" s="404" t="s">
        <v>9327</v>
      </c>
      <c r="B193" s="158">
        <v>62.83</v>
      </c>
      <c r="C193" s="158">
        <v>51.2</v>
      </c>
      <c r="D193" s="158">
        <v>39.57</v>
      </c>
      <c r="E193" s="158">
        <v>22.72</v>
      </c>
      <c r="F193" s="115">
        <v>3.59</v>
      </c>
    </row>
    <row r="194" spans="1:7" x14ac:dyDescent="0.2">
      <c r="A194" s="404" t="s">
        <v>9328</v>
      </c>
      <c r="B194" s="158">
        <v>252.7</v>
      </c>
      <c r="C194" s="158">
        <v>212.3</v>
      </c>
      <c r="D194" s="158">
        <v>145.5</v>
      </c>
      <c r="E194" s="158">
        <v>53.22</v>
      </c>
      <c r="F194" s="115">
        <v>6.3</v>
      </c>
    </row>
    <row r="195" spans="1:7" x14ac:dyDescent="0.2">
      <c r="A195" s="404" t="s">
        <v>9329</v>
      </c>
      <c r="B195" s="158">
        <v>232.2</v>
      </c>
      <c r="C195" s="158">
        <v>195.2</v>
      </c>
      <c r="D195" s="158">
        <v>135.6</v>
      </c>
      <c r="E195" s="158">
        <v>49.61</v>
      </c>
      <c r="F195" s="115">
        <v>6.17</v>
      </c>
    </row>
    <row r="196" spans="1:7" x14ac:dyDescent="0.2">
      <c r="A196" s="404" t="s">
        <v>9293</v>
      </c>
      <c r="B196" s="158">
        <v>341.3</v>
      </c>
      <c r="C196" s="158">
        <v>285.7</v>
      </c>
      <c r="D196" s="158">
        <v>182.4</v>
      </c>
      <c r="E196" s="158">
        <v>66.66</v>
      </c>
      <c r="F196" s="115">
        <v>6.57</v>
      </c>
    </row>
    <row r="197" spans="1:7" x14ac:dyDescent="0.2">
      <c r="A197" s="404" t="s">
        <v>9330</v>
      </c>
      <c r="B197" s="158">
        <v>10.61</v>
      </c>
      <c r="C197" s="158">
        <v>10.57</v>
      </c>
      <c r="D197" s="158">
        <v>10.07</v>
      </c>
      <c r="E197" s="158">
        <v>6.85</v>
      </c>
      <c r="F197" s="115">
        <v>0.56999999999999995</v>
      </c>
    </row>
    <row r="198" spans="1:7" x14ac:dyDescent="0.2">
      <c r="A198" s="404" t="s">
        <v>9331</v>
      </c>
      <c r="B198" s="158">
        <v>8.3800000000000008</v>
      </c>
      <c r="C198" s="158">
        <v>8.2799999999999994</v>
      </c>
      <c r="D198" s="158">
        <v>7.89</v>
      </c>
      <c r="E198" s="158">
        <v>5.55</v>
      </c>
      <c r="F198" s="115">
        <v>0.52</v>
      </c>
    </row>
    <row r="199" spans="1:7" x14ac:dyDescent="0.2">
      <c r="A199" s="404" t="s">
        <v>9332</v>
      </c>
      <c r="B199" s="158">
        <v>11.01</v>
      </c>
      <c r="C199" s="158">
        <v>10.98</v>
      </c>
      <c r="D199" s="158">
        <v>10.64</v>
      </c>
      <c r="E199" s="158">
        <v>7.2</v>
      </c>
      <c r="F199" s="115">
        <v>0.6</v>
      </c>
    </row>
    <row r="200" spans="1:7" ht="15" thickBot="1" x14ac:dyDescent="0.25">
      <c r="A200" s="403" t="s">
        <v>9333</v>
      </c>
      <c r="B200" s="160">
        <v>9.15</v>
      </c>
      <c r="C200" s="160">
        <v>9.07</v>
      </c>
      <c r="D200" s="160">
        <v>8.65</v>
      </c>
      <c r="E200" s="160">
        <v>5.84</v>
      </c>
      <c r="F200" s="201">
        <v>0.5</v>
      </c>
    </row>
    <row r="201" spans="1:7" ht="14.25" customHeight="1" x14ac:dyDescent="0.2">
      <c r="A201" s="539" t="s">
        <v>10924</v>
      </c>
      <c r="B201" s="540"/>
      <c r="C201" s="540"/>
      <c r="D201" s="540"/>
      <c r="E201" s="540"/>
      <c r="F201" s="541"/>
    </row>
    <row r="202" spans="1:7" ht="30" x14ac:dyDescent="0.2">
      <c r="A202" s="402" t="s">
        <v>9306</v>
      </c>
      <c r="B202" s="79" t="s">
        <v>10912</v>
      </c>
      <c r="C202" s="79" t="s">
        <v>10913</v>
      </c>
      <c r="D202" s="79" t="s">
        <v>10914</v>
      </c>
      <c r="E202" s="79" t="s">
        <v>10915</v>
      </c>
      <c r="F202" s="80" t="s">
        <v>10916</v>
      </c>
      <c r="G202" s="259"/>
    </row>
    <row r="203" spans="1:7" x14ac:dyDescent="0.2">
      <c r="A203" s="404" t="s">
        <v>9314</v>
      </c>
      <c r="B203" s="158">
        <v>77.91</v>
      </c>
      <c r="C203" s="158">
        <v>70.209999999999994</v>
      </c>
      <c r="D203" s="158">
        <v>47.82</v>
      </c>
      <c r="E203" s="158">
        <v>18.41</v>
      </c>
      <c r="F203" s="115">
        <v>2.62</v>
      </c>
    </row>
    <row r="204" spans="1:7" x14ac:dyDescent="0.2">
      <c r="A204" s="404" t="s">
        <v>9315</v>
      </c>
      <c r="B204" s="158">
        <v>72.42</v>
      </c>
      <c r="C204" s="158">
        <v>55.02</v>
      </c>
      <c r="D204" s="158">
        <v>37.94</v>
      </c>
      <c r="E204" s="158">
        <v>15.49</v>
      </c>
      <c r="F204" s="115">
        <v>2.27</v>
      </c>
    </row>
    <row r="205" spans="1:7" x14ac:dyDescent="0.2">
      <c r="A205" s="404" t="s">
        <v>9316</v>
      </c>
      <c r="B205" s="158">
        <v>69.83</v>
      </c>
      <c r="C205" s="158">
        <v>43.3</v>
      </c>
      <c r="D205" s="158">
        <v>29.8</v>
      </c>
      <c r="E205" s="158">
        <v>12.9</v>
      </c>
      <c r="F205" s="115">
        <v>1.95</v>
      </c>
    </row>
    <row r="206" spans="1:7" x14ac:dyDescent="0.2">
      <c r="A206" s="404" t="s">
        <v>9317</v>
      </c>
      <c r="B206" s="158">
        <v>67.63</v>
      </c>
      <c r="C206" s="158">
        <v>34.06</v>
      </c>
      <c r="D206" s="158">
        <v>23.48</v>
      </c>
      <c r="E206" s="158">
        <v>10.73</v>
      </c>
      <c r="F206" s="115">
        <v>1.68</v>
      </c>
    </row>
    <row r="207" spans="1:7" x14ac:dyDescent="0.2">
      <c r="A207" s="404" t="s">
        <v>9318</v>
      </c>
      <c r="B207" s="158">
        <v>65.73</v>
      </c>
      <c r="C207" s="158">
        <v>27.21</v>
      </c>
      <c r="D207" s="158">
        <v>18.72</v>
      </c>
      <c r="E207" s="158">
        <v>8.9700000000000006</v>
      </c>
      <c r="F207" s="115">
        <v>1.45</v>
      </c>
    </row>
    <row r="208" spans="1:7" x14ac:dyDescent="0.2">
      <c r="A208" s="404" t="s">
        <v>9313</v>
      </c>
      <c r="B208" s="158">
        <v>145.4</v>
      </c>
      <c r="C208" s="158">
        <v>123</v>
      </c>
      <c r="D208" s="158">
        <v>87.13</v>
      </c>
      <c r="E208" s="158">
        <v>31.88</v>
      </c>
      <c r="F208" s="115">
        <v>3.71</v>
      </c>
    </row>
    <row r="209" spans="1:6" x14ac:dyDescent="0.2">
      <c r="A209" s="404" t="s">
        <v>9319</v>
      </c>
      <c r="B209" s="158">
        <v>227.1</v>
      </c>
      <c r="C209" s="158">
        <v>185.1</v>
      </c>
      <c r="D209" s="158">
        <v>124.1</v>
      </c>
      <c r="E209" s="158">
        <v>45.33</v>
      </c>
      <c r="F209" s="115">
        <v>4</v>
      </c>
    </row>
    <row r="210" spans="1:6" x14ac:dyDescent="0.2">
      <c r="A210" s="404" t="s">
        <v>9320</v>
      </c>
      <c r="B210" s="158">
        <v>2.35</v>
      </c>
      <c r="C210" s="158">
        <v>2.29</v>
      </c>
      <c r="D210" s="158">
        <v>1.34</v>
      </c>
      <c r="E210" s="158">
        <v>0.54</v>
      </c>
      <c r="F210" s="115">
        <v>0.05</v>
      </c>
    </row>
    <row r="211" spans="1:6" x14ac:dyDescent="0.2">
      <c r="A211" s="404" t="s">
        <v>9321</v>
      </c>
      <c r="B211" s="158">
        <v>1.83</v>
      </c>
      <c r="C211" s="158">
        <v>1.76</v>
      </c>
      <c r="D211" s="158">
        <v>1.04</v>
      </c>
      <c r="E211" s="158">
        <v>0.42</v>
      </c>
      <c r="F211" s="115">
        <v>0.05</v>
      </c>
    </row>
    <row r="212" spans="1:6" x14ac:dyDescent="0.2">
      <c r="A212" s="404" t="s">
        <v>9322</v>
      </c>
      <c r="B212" s="158">
        <v>1.35</v>
      </c>
      <c r="C212" s="158">
        <v>1.28</v>
      </c>
      <c r="D212" s="158">
        <v>0.77</v>
      </c>
      <c r="E212" s="158">
        <v>0.34</v>
      </c>
      <c r="F212" s="115">
        <v>0.04</v>
      </c>
    </row>
    <row r="213" spans="1:6" x14ac:dyDescent="0.2">
      <c r="A213" s="404" t="s">
        <v>9323</v>
      </c>
      <c r="B213" s="158">
        <v>6.45</v>
      </c>
      <c r="C213" s="158">
        <v>6.29</v>
      </c>
      <c r="D213" s="158">
        <v>6.06</v>
      </c>
      <c r="E213" s="158">
        <v>4.24</v>
      </c>
      <c r="F213" s="115">
        <v>0.49</v>
      </c>
    </row>
    <row r="214" spans="1:6" x14ac:dyDescent="0.2">
      <c r="A214" s="404" t="s">
        <v>9324</v>
      </c>
      <c r="B214" s="158">
        <v>5.07</v>
      </c>
      <c r="C214" s="158">
        <v>4.7699999999999996</v>
      </c>
      <c r="D214" s="158">
        <v>4.63</v>
      </c>
      <c r="E214" s="158">
        <v>3.32</v>
      </c>
      <c r="F214" s="115">
        <v>0.37</v>
      </c>
    </row>
    <row r="215" spans="1:6" x14ac:dyDescent="0.2">
      <c r="A215" s="404" t="s">
        <v>9325</v>
      </c>
      <c r="B215" s="158">
        <v>3.93</v>
      </c>
      <c r="C215" s="158">
        <v>3.42</v>
      </c>
      <c r="D215" s="158">
        <v>3.26</v>
      </c>
      <c r="E215" s="158">
        <v>2.4500000000000002</v>
      </c>
      <c r="F215" s="115">
        <v>0.28999999999999998</v>
      </c>
    </row>
    <row r="216" spans="1:6" x14ac:dyDescent="0.2">
      <c r="A216" s="404" t="s">
        <v>9326</v>
      </c>
      <c r="B216" s="158">
        <v>55.04</v>
      </c>
      <c r="C216" s="158">
        <v>51.51</v>
      </c>
      <c r="D216" s="158">
        <v>37.869999999999997</v>
      </c>
      <c r="E216" s="158">
        <v>19.82</v>
      </c>
      <c r="F216" s="115">
        <v>2.66</v>
      </c>
    </row>
    <row r="217" spans="1:6" x14ac:dyDescent="0.2">
      <c r="A217" s="404" t="s">
        <v>9327</v>
      </c>
      <c r="B217" s="158">
        <v>50.79</v>
      </c>
      <c r="C217" s="158">
        <v>45.55</v>
      </c>
      <c r="D217" s="158">
        <v>33.46</v>
      </c>
      <c r="E217" s="158">
        <v>18.18</v>
      </c>
      <c r="F217" s="115">
        <v>2.48</v>
      </c>
    </row>
    <row r="218" spans="1:6" x14ac:dyDescent="0.2">
      <c r="A218" s="404" t="s">
        <v>9328</v>
      </c>
      <c r="B218" s="158">
        <v>170.3</v>
      </c>
      <c r="C218" s="158">
        <v>142.1</v>
      </c>
      <c r="D218" s="158">
        <v>99.77</v>
      </c>
      <c r="E218" s="158">
        <v>36.479999999999997</v>
      </c>
      <c r="F218" s="115">
        <v>3.87</v>
      </c>
    </row>
    <row r="219" spans="1:6" x14ac:dyDescent="0.2">
      <c r="A219" s="404" t="s">
        <v>9329</v>
      </c>
      <c r="B219" s="158">
        <v>158</v>
      </c>
      <c r="C219" s="158">
        <v>132.6</v>
      </c>
      <c r="D219" s="158">
        <v>93.66</v>
      </c>
      <c r="E219" s="158">
        <v>34.26</v>
      </c>
      <c r="F219" s="115">
        <v>3.81</v>
      </c>
    </row>
    <row r="220" spans="1:6" x14ac:dyDescent="0.2">
      <c r="A220" s="404" t="s">
        <v>9293</v>
      </c>
      <c r="B220" s="158">
        <v>227.3</v>
      </c>
      <c r="C220" s="158">
        <v>185.3</v>
      </c>
      <c r="D220" s="158">
        <v>124.3</v>
      </c>
      <c r="E220" s="158">
        <v>45.38</v>
      </c>
      <c r="F220" s="115">
        <v>4.01</v>
      </c>
    </row>
    <row r="221" spans="1:6" x14ac:dyDescent="0.2">
      <c r="A221" s="404" t="s">
        <v>9330</v>
      </c>
      <c r="B221" s="158">
        <v>7.57</v>
      </c>
      <c r="C221" s="158">
        <v>7.39</v>
      </c>
      <c r="D221" s="158">
        <v>7</v>
      </c>
      <c r="E221" s="158">
        <v>4.82</v>
      </c>
      <c r="F221" s="115">
        <v>0.44</v>
      </c>
    </row>
    <row r="222" spans="1:6" x14ac:dyDescent="0.2">
      <c r="A222" s="404" t="s">
        <v>9331</v>
      </c>
      <c r="B222" s="158">
        <v>6.48</v>
      </c>
      <c r="C222" s="158">
        <v>6.36</v>
      </c>
      <c r="D222" s="158">
        <v>6.1</v>
      </c>
      <c r="E222" s="158">
        <v>4.26</v>
      </c>
      <c r="F222" s="115">
        <v>0.44</v>
      </c>
    </row>
    <row r="223" spans="1:6" x14ac:dyDescent="0.2">
      <c r="A223" s="404" t="s">
        <v>9332</v>
      </c>
      <c r="B223" s="158">
        <v>7.84</v>
      </c>
      <c r="C223" s="158">
        <v>7.69</v>
      </c>
      <c r="D223" s="158">
        <v>7.3</v>
      </c>
      <c r="E223" s="158">
        <v>4.9800000000000004</v>
      </c>
      <c r="F223" s="115">
        <v>0.47</v>
      </c>
    </row>
    <row r="224" spans="1:6" ht="15" thickBot="1" x14ac:dyDescent="0.25">
      <c r="A224" s="403" t="s">
        <v>9333</v>
      </c>
      <c r="B224" s="160">
        <v>6.67</v>
      </c>
      <c r="C224" s="160">
        <v>6.59</v>
      </c>
      <c r="D224" s="160">
        <v>6.42</v>
      </c>
      <c r="E224" s="160">
        <v>4.37</v>
      </c>
      <c r="F224" s="201">
        <v>0.41</v>
      </c>
    </row>
    <row r="225" spans="1:7" ht="15" x14ac:dyDescent="0.2">
      <c r="A225" s="539" t="s">
        <v>10925</v>
      </c>
      <c r="B225" s="540"/>
      <c r="C225" s="540"/>
      <c r="D225" s="540"/>
      <c r="E225" s="540"/>
      <c r="F225" s="541"/>
    </row>
    <row r="226" spans="1:7" ht="15" x14ac:dyDescent="0.2">
      <c r="A226" s="564" t="s">
        <v>9306</v>
      </c>
      <c r="B226" s="563"/>
      <c r="C226" s="563" t="s">
        <v>10912</v>
      </c>
      <c r="D226" s="563"/>
      <c r="E226" s="563" t="s">
        <v>10916</v>
      </c>
      <c r="F226" s="847"/>
      <c r="G226" s="259"/>
    </row>
    <row r="227" spans="1:7" x14ac:dyDescent="0.2">
      <c r="A227" s="530" t="s">
        <v>9334</v>
      </c>
      <c r="B227" s="531"/>
      <c r="C227" s="531">
        <v>1929.4</v>
      </c>
      <c r="D227" s="531"/>
      <c r="E227" s="531">
        <v>84.68</v>
      </c>
      <c r="F227" s="538"/>
    </row>
    <row r="228" spans="1:7" x14ac:dyDescent="0.2">
      <c r="A228" s="530" t="s">
        <v>9335</v>
      </c>
      <c r="B228" s="531"/>
      <c r="C228" s="531">
        <v>1286.0999999999999</v>
      </c>
      <c r="D228" s="531"/>
      <c r="E228" s="531">
        <v>33.14</v>
      </c>
      <c r="F228" s="538"/>
    </row>
    <row r="229" spans="1:7" x14ac:dyDescent="0.2">
      <c r="A229" s="530" t="s">
        <v>9336</v>
      </c>
      <c r="B229" s="531"/>
      <c r="C229" s="531">
        <v>930.1</v>
      </c>
      <c r="D229" s="531"/>
      <c r="E229" s="531">
        <v>15.53</v>
      </c>
      <c r="F229" s="538"/>
    </row>
    <row r="230" spans="1:7" x14ac:dyDescent="0.2">
      <c r="A230" s="530" t="s">
        <v>9337</v>
      </c>
      <c r="B230" s="531"/>
      <c r="C230" s="531">
        <v>492.4</v>
      </c>
      <c r="D230" s="531"/>
      <c r="E230" s="531">
        <v>5.37</v>
      </c>
      <c r="F230" s="538"/>
    </row>
    <row r="231" spans="1:7" x14ac:dyDescent="0.2">
      <c r="A231" s="530" t="s">
        <v>9338</v>
      </c>
      <c r="B231" s="531"/>
      <c r="C231" s="531">
        <v>262.89999999999998</v>
      </c>
      <c r="D231" s="531"/>
      <c r="E231" s="531">
        <v>2.39</v>
      </c>
      <c r="F231" s="538"/>
    </row>
    <row r="232" spans="1:7" ht="15" thickBot="1" x14ac:dyDescent="0.25">
      <c r="A232" s="480" t="s">
        <v>9339</v>
      </c>
      <c r="B232" s="481"/>
      <c r="C232" s="481">
        <v>176</v>
      </c>
      <c r="D232" s="481"/>
      <c r="E232" s="481">
        <v>1.29</v>
      </c>
      <c r="F232" s="482"/>
    </row>
    <row r="233" spans="1:7" ht="15" x14ac:dyDescent="0.2">
      <c r="A233" s="539" t="s">
        <v>10926</v>
      </c>
      <c r="B233" s="540"/>
      <c r="C233" s="540"/>
      <c r="D233" s="540"/>
      <c r="E233" s="540"/>
      <c r="F233" s="541"/>
    </row>
    <row r="234" spans="1:7" ht="30" x14ac:dyDescent="0.2">
      <c r="A234" s="402" t="s">
        <v>9306</v>
      </c>
      <c r="B234" s="79" t="s">
        <v>10912</v>
      </c>
      <c r="C234" s="79" t="s">
        <v>10913</v>
      </c>
      <c r="D234" s="79" t="s">
        <v>10914</v>
      </c>
      <c r="E234" s="79" t="s">
        <v>10915</v>
      </c>
      <c r="F234" s="80" t="s">
        <v>10916</v>
      </c>
    </row>
    <row r="235" spans="1:7" x14ac:dyDescent="0.2">
      <c r="A235" s="9" t="s">
        <v>9314</v>
      </c>
      <c r="B235" s="16">
        <v>705.6</v>
      </c>
      <c r="C235" s="16">
        <v>587.6</v>
      </c>
      <c r="D235" s="16">
        <v>492</v>
      </c>
      <c r="E235" s="16">
        <v>241.3</v>
      </c>
      <c r="F235" s="29">
        <v>60.29</v>
      </c>
    </row>
    <row r="236" spans="1:7" x14ac:dyDescent="0.2">
      <c r="A236" s="9" t="s">
        <v>9315</v>
      </c>
      <c r="B236" s="16">
        <v>558.29999999999995</v>
      </c>
      <c r="C236" s="16">
        <v>500.8</v>
      </c>
      <c r="D236" s="16">
        <v>413.7</v>
      </c>
      <c r="E236" s="16">
        <v>201.3</v>
      </c>
      <c r="F236" s="29">
        <v>49.26</v>
      </c>
    </row>
    <row r="237" spans="1:7" x14ac:dyDescent="0.2">
      <c r="A237" s="9" t="s">
        <v>9316</v>
      </c>
      <c r="B237" s="16">
        <v>461.9</v>
      </c>
      <c r="C237" s="16">
        <v>436.6</v>
      </c>
      <c r="D237" s="16">
        <v>356.1</v>
      </c>
      <c r="E237" s="16">
        <v>172</v>
      </c>
      <c r="F237" s="29">
        <v>41.43</v>
      </c>
    </row>
    <row r="238" spans="1:7" x14ac:dyDescent="0.2">
      <c r="A238" s="9" t="s">
        <v>9317</v>
      </c>
      <c r="B238" s="16">
        <v>399.6</v>
      </c>
      <c r="C238" s="16">
        <v>388.3</v>
      </c>
      <c r="D238" s="16">
        <v>312.89999999999998</v>
      </c>
      <c r="E238" s="16">
        <v>150.1</v>
      </c>
      <c r="F238" s="29">
        <v>35.68</v>
      </c>
    </row>
    <row r="239" spans="1:7" x14ac:dyDescent="0.2">
      <c r="A239" s="9" t="s">
        <v>9318</v>
      </c>
      <c r="B239" s="16">
        <v>355.7</v>
      </c>
      <c r="C239" s="16">
        <v>349.5</v>
      </c>
      <c r="D239" s="16">
        <v>279.7</v>
      </c>
      <c r="E239" s="16">
        <v>132.9</v>
      </c>
      <c r="F239" s="29">
        <v>31.25</v>
      </c>
    </row>
    <row r="240" spans="1:7" x14ac:dyDescent="0.2">
      <c r="A240" s="9" t="s">
        <v>9313</v>
      </c>
      <c r="B240" s="16">
        <v>3291.4</v>
      </c>
      <c r="C240" s="16">
        <v>2148.5</v>
      </c>
      <c r="D240" s="16">
        <v>1741.9</v>
      </c>
      <c r="E240" s="16">
        <v>856.5</v>
      </c>
      <c r="F240" s="29">
        <v>236.6</v>
      </c>
    </row>
    <row r="241" spans="1:6" x14ac:dyDescent="0.2">
      <c r="A241" s="9" t="s">
        <v>9319</v>
      </c>
      <c r="B241" s="16">
        <v>19151.2</v>
      </c>
      <c r="C241" s="16">
        <v>18340.3</v>
      </c>
      <c r="D241" s="16">
        <v>15485.6</v>
      </c>
      <c r="E241" s="16">
        <v>7175.2</v>
      </c>
      <c r="F241" s="29">
        <v>1837</v>
      </c>
    </row>
    <row r="242" spans="1:6" x14ac:dyDescent="0.2">
      <c r="A242" s="9" t="s">
        <v>9320</v>
      </c>
      <c r="B242" s="16">
        <v>4.4000000000000004</v>
      </c>
      <c r="C242" s="16">
        <v>2.91</v>
      </c>
      <c r="D242" s="16">
        <v>1.57</v>
      </c>
      <c r="E242" s="16">
        <v>0.88</v>
      </c>
      <c r="F242" s="29">
        <v>7.0000000000000007E-2</v>
      </c>
    </row>
    <row r="243" spans="1:6" x14ac:dyDescent="0.2">
      <c r="A243" s="9" t="s">
        <v>9321</v>
      </c>
      <c r="B243" s="16">
        <v>2.8</v>
      </c>
      <c r="C243" s="16">
        <v>2.0299999999999998</v>
      </c>
      <c r="D243" s="16">
        <v>1.2</v>
      </c>
      <c r="E243" s="16">
        <v>0.68</v>
      </c>
      <c r="F243" s="29">
        <v>0.06</v>
      </c>
    </row>
    <row r="244" spans="1:6" x14ac:dyDescent="0.2">
      <c r="A244" s="9" t="s">
        <v>9322</v>
      </c>
      <c r="B244" s="16">
        <v>1.88</v>
      </c>
      <c r="C244" s="16">
        <v>1.48</v>
      </c>
      <c r="D244" s="16">
        <v>0.94</v>
      </c>
      <c r="E244" s="16">
        <v>0.54</v>
      </c>
      <c r="F244" s="29">
        <v>0.06</v>
      </c>
    </row>
    <row r="245" spans="1:6" x14ac:dyDescent="0.2">
      <c r="A245" s="9" t="s">
        <v>9323</v>
      </c>
      <c r="B245" s="16">
        <v>12</v>
      </c>
      <c r="C245" s="16">
        <v>11.54</v>
      </c>
      <c r="D245" s="16">
        <v>11.09</v>
      </c>
      <c r="E245" s="16">
        <v>8.65</v>
      </c>
      <c r="F245" s="29">
        <v>1.17</v>
      </c>
    </row>
    <row r="246" spans="1:6" x14ac:dyDescent="0.2">
      <c r="A246" s="9" t="s">
        <v>9324</v>
      </c>
      <c r="B246" s="16">
        <v>7.29</v>
      </c>
      <c r="C246" s="16">
        <v>6.76</v>
      </c>
      <c r="D246" s="16">
        <v>6.57</v>
      </c>
      <c r="E246" s="16">
        <v>5.09</v>
      </c>
      <c r="F246" s="29">
        <v>0.77</v>
      </c>
    </row>
    <row r="247" spans="1:6" x14ac:dyDescent="0.2">
      <c r="A247" s="9" t="s">
        <v>9325</v>
      </c>
      <c r="B247" s="16">
        <v>5.8</v>
      </c>
      <c r="C247" s="16">
        <v>4.5999999999999996</v>
      </c>
      <c r="D247" s="16">
        <v>4.25</v>
      </c>
      <c r="E247" s="16">
        <v>3.43</v>
      </c>
      <c r="F247" s="29">
        <v>0.54</v>
      </c>
    </row>
    <row r="248" spans="1:6" x14ac:dyDescent="0.2">
      <c r="A248" s="9" t="s">
        <v>9326</v>
      </c>
      <c r="B248" s="16">
        <v>270.39999999999998</v>
      </c>
      <c r="C248" s="16">
        <v>265</v>
      </c>
      <c r="D248" s="16">
        <v>245</v>
      </c>
      <c r="E248" s="16">
        <v>181.2</v>
      </c>
      <c r="F248" s="29">
        <v>36.700000000000003</v>
      </c>
    </row>
    <row r="249" spans="1:6" x14ac:dyDescent="0.2">
      <c r="A249" s="9" t="s">
        <v>9327</v>
      </c>
      <c r="B249" s="16">
        <v>145.69999999999999</v>
      </c>
      <c r="C249" s="16">
        <v>141</v>
      </c>
      <c r="D249" s="16">
        <v>135.4</v>
      </c>
      <c r="E249" s="16">
        <v>103.1</v>
      </c>
      <c r="F249" s="29">
        <v>19.48</v>
      </c>
    </row>
    <row r="250" spans="1:6" x14ac:dyDescent="0.2">
      <c r="A250" s="9" t="s">
        <v>9328</v>
      </c>
      <c r="B250" s="16">
        <v>5744.7</v>
      </c>
      <c r="C250" s="16">
        <v>2533</v>
      </c>
      <c r="D250" s="16">
        <v>2213.1999999999998</v>
      </c>
      <c r="E250" s="16">
        <v>1054.8</v>
      </c>
      <c r="F250" s="29">
        <v>292.89999999999998</v>
      </c>
    </row>
    <row r="251" spans="1:6" x14ac:dyDescent="0.2">
      <c r="A251" s="9" t="s">
        <v>9329</v>
      </c>
      <c r="B251" s="16">
        <v>3823.4</v>
      </c>
      <c r="C251" s="16">
        <v>1572.1</v>
      </c>
      <c r="D251" s="16">
        <v>1246.3</v>
      </c>
      <c r="E251" s="16">
        <v>594.20000000000005</v>
      </c>
      <c r="F251" s="29">
        <v>159.5</v>
      </c>
    </row>
    <row r="252" spans="1:6" x14ac:dyDescent="0.2">
      <c r="A252" s="9" t="s">
        <v>9293</v>
      </c>
      <c r="B252" s="16">
        <v>19869</v>
      </c>
      <c r="C252" s="16">
        <v>18221.400000000001</v>
      </c>
      <c r="D252" s="16">
        <v>15382.5</v>
      </c>
      <c r="E252" s="16">
        <v>7148.5</v>
      </c>
      <c r="F252" s="29">
        <v>1842</v>
      </c>
    </row>
    <row r="253" spans="1:6" x14ac:dyDescent="0.2">
      <c r="A253" s="9" t="s">
        <v>9330</v>
      </c>
      <c r="B253" s="16">
        <v>55.08</v>
      </c>
      <c r="C253" s="16">
        <v>47.42</v>
      </c>
      <c r="D253" s="16">
        <v>33.729999999999997</v>
      </c>
      <c r="E253" s="16">
        <v>19.670000000000002</v>
      </c>
      <c r="F253" s="29">
        <v>1.49</v>
      </c>
    </row>
    <row r="254" spans="1:6" x14ac:dyDescent="0.2">
      <c r="A254" s="9" t="s">
        <v>9331</v>
      </c>
      <c r="B254" s="16">
        <v>14.69</v>
      </c>
      <c r="C254" s="16">
        <v>14.2</v>
      </c>
      <c r="D254" s="16">
        <v>12.82</v>
      </c>
      <c r="E254" s="16">
        <v>9.33</v>
      </c>
      <c r="F254" s="29">
        <v>1.07</v>
      </c>
    </row>
    <row r="255" spans="1:6" x14ac:dyDescent="0.2">
      <c r="A255" s="9" t="s">
        <v>9332</v>
      </c>
      <c r="B255" s="16">
        <v>68.36</v>
      </c>
      <c r="C255" s="16">
        <v>60.4</v>
      </c>
      <c r="D255" s="16">
        <v>40.6</v>
      </c>
      <c r="E255" s="16">
        <v>23.37</v>
      </c>
      <c r="F255" s="29">
        <v>1.8</v>
      </c>
    </row>
    <row r="256" spans="1:6" ht="15" thickBot="1" x14ac:dyDescent="0.25">
      <c r="A256" s="112" t="s">
        <v>9333</v>
      </c>
      <c r="B256" s="28">
        <v>25.84</v>
      </c>
      <c r="C256" s="28">
        <v>23.61</v>
      </c>
      <c r="D256" s="28">
        <v>19.78</v>
      </c>
      <c r="E256" s="28">
        <v>11.82</v>
      </c>
      <c r="F256" s="113">
        <v>1.1399999999999999</v>
      </c>
    </row>
    <row r="257" spans="1:6" ht="14.25" customHeight="1" x14ac:dyDescent="0.2">
      <c r="A257" s="539" t="s">
        <v>10927</v>
      </c>
      <c r="B257" s="540"/>
      <c r="C257" s="540"/>
      <c r="D257" s="540"/>
      <c r="E257" s="540"/>
      <c r="F257" s="541"/>
    </row>
    <row r="258" spans="1:6" ht="30" x14ac:dyDescent="0.2">
      <c r="A258" s="402" t="s">
        <v>9306</v>
      </c>
      <c r="B258" s="79" t="s">
        <v>10912</v>
      </c>
      <c r="C258" s="79" t="s">
        <v>10913</v>
      </c>
      <c r="D258" s="79" t="s">
        <v>10914</v>
      </c>
      <c r="E258" s="79" t="s">
        <v>10915</v>
      </c>
      <c r="F258" s="80" t="s">
        <v>10916</v>
      </c>
    </row>
    <row r="259" spans="1:6" x14ac:dyDescent="0.2">
      <c r="A259" s="9" t="s">
        <v>9314</v>
      </c>
      <c r="B259" s="16">
        <v>597.4</v>
      </c>
      <c r="C259" s="16">
        <v>362.5</v>
      </c>
      <c r="D259" s="16">
        <v>287.89999999999998</v>
      </c>
      <c r="E259" s="16">
        <v>137.9</v>
      </c>
      <c r="F259" s="29">
        <v>35.06</v>
      </c>
    </row>
    <row r="260" spans="1:6" x14ac:dyDescent="0.2">
      <c r="A260" s="9" t="s">
        <v>9315</v>
      </c>
      <c r="B260" s="16">
        <v>453</v>
      </c>
      <c r="C260" s="16">
        <v>283</v>
      </c>
      <c r="D260" s="16">
        <v>231.1</v>
      </c>
      <c r="E260" s="16">
        <v>111</v>
      </c>
      <c r="F260" s="29">
        <v>27.59</v>
      </c>
    </row>
    <row r="261" spans="1:6" x14ac:dyDescent="0.2">
      <c r="A261" s="9" t="s">
        <v>9316</v>
      </c>
      <c r="B261" s="16">
        <v>355.1</v>
      </c>
      <c r="C261" s="16">
        <v>232.3</v>
      </c>
      <c r="D261" s="16">
        <v>193.8</v>
      </c>
      <c r="E261" s="16">
        <v>92.63</v>
      </c>
      <c r="F261" s="29">
        <v>22.63</v>
      </c>
    </row>
    <row r="262" spans="1:6" x14ac:dyDescent="0.2">
      <c r="A262" s="9" t="s">
        <v>9317</v>
      </c>
      <c r="B262" s="16">
        <v>287.3</v>
      </c>
      <c r="C262" s="16">
        <v>203.6</v>
      </c>
      <c r="D262" s="16">
        <v>167.5</v>
      </c>
      <c r="E262" s="16">
        <v>79.58</v>
      </c>
      <c r="F262" s="29">
        <v>19.149999999999999</v>
      </c>
    </row>
    <row r="263" spans="1:6" x14ac:dyDescent="0.2">
      <c r="A263" s="9" t="s">
        <v>9318</v>
      </c>
      <c r="B263" s="16">
        <v>239</v>
      </c>
      <c r="C263" s="16">
        <v>181.7</v>
      </c>
      <c r="D263" s="16">
        <v>147.6</v>
      </c>
      <c r="E263" s="16">
        <v>67.680000000000007</v>
      </c>
      <c r="F263" s="29">
        <v>16.559999999999999</v>
      </c>
    </row>
    <row r="264" spans="1:6" x14ac:dyDescent="0.2">
      <c r="A264" s="9" t="s">
        <v>9313</v>
      </c>
      <c r="B264" s="16">
        <v>2150.6999999999998</v>
      </c>
      <c r="C264" s="16">
        <v>1558.7</v>
      </c>
      <c r="D264" s="16">
        <v>1372.4</v>
      </c>
      <c r="E264" s="16">
        <v>663.7</v>
      </c>
      <c r="F264" s="29">
        <v>183.7</v>
      </c>
    </row>
    <row r="265" spans="1:6" x14ac:dyDescent="0.2">
      <c r="A265" s="9" t="s">
        <v>9319</v>
      </c>
      <c r="B265" s="16">
        <v>8665.4</v>
      </c>
      <c r="C265" s="16">
        <v>8295.5</v>
      </c>
      <c r="D265" s="16">
        <v>6759.7</v>
      </c>
      <c r="E265" s="16">
        <v>3010.9</v>
      </c>
      <c r="F265" s="29">
        <v>711.6</v>
      </c>
    </row>
    <row r="266" spans="1:6" x14ac:dyDescent="0.2">
      <c r="A266" s="9" t="s">
        <v>9320</v>
      </c>
      <c r="B266" s="16">
        <v>4.4000000000000004</v>
      </c>
      <c r="C266" s="16">
        <v>2.91</v>
      </c>
      <c r="D266" s="16">
        <v>1.57</v>
      </c>
      <c r="E266" s="16">
        <v>0.88</v>
      </c>
      <c r="F266" s="29">
        <v>7.0000000000000007E-2</v>
      </c>
    </row>
    <row r="267" spans="1:6" x14ac:dyDescent="0.2">
      <c r="A267" s="9" t="s">
        <v>9321</v>
      </c>
      <c r="B267" s="16">
        <v>2.8</v>
      </c>
      <c r="C267" s="16">
        <v>2.0299999999999998</v>
      </c>
      <c r="D267" s="16">
        <v>1.2</v>
      </c>
      <c r="E267" s="16">
        <v>0.68</v>
      </c>
      <c r="F267" s="29">
        <v>0.06</v>
      </c>
    </row>
    <row r="268" spans="1:6" x14ac:dyDescent="0.2">
      <c r="A268" s="9" t="s">
        <v>9322</v>
      </c>
      <c r="B268" s="16">
        <v>1.88</v>
      </c>
      <c r="C268" s="16">
        <v>1.48</v>
      </c>
      <c r="D268" s="16">
        <v>0.94</v>
      </c>
      <c r="E268" s="16">
        <v>0.54</v>
      </c>
      <c r="F268" s="29">
        <v>0.06</v>
      </c>
    </row>
    <row r="269" spans="1:6" x14ac:dyDescent="0.2">
      <c r="A269" s="9" t="s">
        <v>9323</v>
      </c>
      <c r="B269" s="16">
        <v>12</v>
      </c>
      <c r="C269" s="16">
        <v>11.54</v>
      </c>
      <c r="D269" s="16">
        <v>11.09</v>
      </c>
      <c r="E269" s="16">
        <v>8.65</v>
      </c>
      <c r="F269" s="29">
        <v>1.17</v>
      </c>
    </row>
    <row r="270" spans="1:6" x14ac:dyDescent="0.2">
      <c r="A270" s="9" t="s">
        <v>9324</v>
      </c>
      <c r="B270" s="16">
        <v>7.29</v>
      </c>
      <c r="C270" s="16">
        <v>6.76</v>
      </c>
      <c r="D270" s="16">
        <v>6.57</v>
      </c>
      <c r="E270" s="16">
        <v>5.09</v>
      </c>
      <c r="F270" s="29">
        <v>0.77</v>
      </c>
    </row>
    <row r="271" spans="1:6" x14ac:dyDescent="0.2">
      <c r="A271" s="9" t="s">
        <v>9325</v>
      </c>
      <c r="B271" s="16">
        <v>5.8</v>
      </c>
      <c r="C271" s="16">
        <v>4.5999999999999996</v>
      </c>
      <c r="D271" s="16">
        <v>4.25</v>
      </c>
      <c r="E271" s="16">
        <v>3.43</v>
      </c>
      <c r="F271" s="29">
        <v>0.54</v>
      </c>
    </row>
    <row r="272" spans="1:6" x14ac:dyDescent="0.2">
      <c r="A272" s="9" t="s">
        <v>9326</v>
      </c>
      <c r="B272" s="16">
        <v>270.39999999999998</v>
      </c>
      <c r="C272" s="16">
        <v>265</v>
      </c>
      <c r="D272" s="16">
        <v>245</v>
      </c>
      <c r="E272" s="16">
        <v>181.2</v>
      </c>
      <c r="F272" s="29">
        <v>36.700000000000003</v>
      </c>
    </row>
    <row r="273" spans="1:6" x14ac:dyDescent="0.2">
      <c r="A273" s="9" t="s">
        <v>9327</v>
      </c>
      <c r="B273" s="16">
        <v>145.69999999999999</v>
      </c>
      <c r="C273" s="16">
        <v>141</v>
      </c>
      <c r="D273" s="16">
        <v>135.4</v>
      </c>
      <c r="E273" s="16">
        <v>103.1</v>
      </c>
      <c r="F273" s="29">
        <v>19.48</v>
      </c>
    </row>
    <row r="274" spans="1:6" x14ac:dyDescent="0.2">
      <c r="A274" s="9" t="s">
        <v>9328</v>
      </c>
      <c r="B274" s="16">
        <v>3518.2</v>
      </c>
      <c r="C274" s="16">
        <v>2533</v>
      </c>
      <c r="D274" s="16">
        <v>2213.1999999999998</v>
      </c>
      <c r="E274" s="16">
        <v>1054.8</v>
      </c>
      <c r="F274" s="29">
        <v>292.89999999999998</v>
      </c>
    </row>
    <row r="275" spans="1:6" x14ac:dyDescent="0.2">
      <c r="A275" s="9" t="s">
        <v>9329</v>
      </c>
      <c r="B275" s="16">
        <v>2711.6</v>
      </c>
      <c r="C275" s="16">
        <v>1572.1</v>
      </c>
      <c r="D275" s="16">
        <v>1246.3</v>
      </c>
      <c r="E275" s="16">
        <v>594.20000000000005</v>
      </c>
      <c r="F275" s="29">
        <v>166.4</v>
      </c>
    </row>
    <row r="276" spans="1:6" x14ac:dyDescent="0.2">
      <c r="A276" s="9" t="s">
        <v>9293</v>
      </c>
      <c r="B276" s="16">
        <v>8869.9</v>
      </c>
      <c r="C276" s="16">
        <v>8492.4</v>
      </c>
      <c r="D276" s="16">
        <v>6919.1</v>
      </c>
      <c r="E276" s="16">
        <v>3080.6</v>
      </c>
      <c r="F276" s="29">
        <v>727.1</v>
      </c>
    </row>
    <row r="277" spans="1:6" x14ac:dyDescent="0.2">
      <c r="A277" s="9" t="s">
        <v>9330</v>
      </c>
      <c r="B277" s="16">
        <v>55.08</v>
      </c>
      <c r="C277" s="16">
        <v>47.42</v>
      </c>
      <c r="D277" s="16">
        <v>33.729999999999997</v>
      </c>
      <c r="E277" s="16">
        <v>19.670000000000002</v>
      </c>
      <c r="F277" s="29">
        <v>1.49</v>
      </c>
    </row>
    <row r="278" spans="1:6" x14ac:dyDescent="0.2">
      <c r="A278" s="9" t="s">
        <v>9331</v>
      </c>
      <c r="B278" s="16">
        <v>14.69</v>
      </c>
      <c r="C278" s="16">
        <v>14.2</v>
      </c>
      <c r="D278" s="16">
        <v>12.82</v>
      </c>
      <c r="E278" s="16">
        <v>9.33</v>
      </c>
      <c r="F278" s="29">
        <v>1.07</v>
      </c>
    </row>
    <row r="279" spans="1:6" x14ac:dyDescent="0.2">
      <c r="A279" s="9" t="s">
        <v>9332</v>
      </c>
      <c r="B279" s="16">
        <v>68.36</v>
      </c>
      <c r="C279" s="16">
        <v>60.4</v>
      </c>
      <c r="D279" s="16">
        <v>40.6</v>
      </c>
      <c r="E279" s="16">
        <v>23.37</v>
      </c>
      <c r="F279" s="29">
        <v>1.8</v>
      </c>
    </row>
    <row r="280" spans="1:6" ht="15" thickBot="1" x14ac:dyDescent="0.25">
      <c r="A280" s="112" t="s">
        <v>9333</v>
      </c>
      <c r="B280" s="28">
        <v>25.84</v>
      </c>
      <c r="C280" s="28">
        <v>23.61</v>
      </c>
      <c r="D280" s="28">
        <v>19.78</v>
      </c>
      <c r="E280" s="28">
        <v>11.82</v>
      </c>
      <c r="F280" s="113">
        <v>1.1399999999999999</v>
      </c>
    </row>
    <row r="281" spans="1:6" ht="14.25" customHeight="1" x14ac:dyDescent="0.2">
      <c r="A281" s="539" t="s">
        <v>10928</v>
      </c>
      <c r="B281" s="540"/>
      <c r="C281" s="540"/>
      <c r="D281" s="540"/>
      <c r="E281" s="540"/>
      <c r="F281" s="541"/>
    </row>
    <row r="282" spans="1:6" ht="30" x14ac:dyDescent="0.2">
      <c r="A282" s="402" t="s">
        <v>9306</v>
      </c>
      <c r="B282" s="79" t="s">
        <v>10912</v>
      </c>
      <c r="C282" s="79" t="s">
        <v>10913</v>
      </c>
      <c r="D282" s="79" t="s">
        <v>10914</v>
      </c>
      <c r="E282" s="79" t="s">
        <v>10915</v>
      </c>
      <c r="F282" s="80" t="s">
        <v>10916</v>
      </c>
    </row>
    <row r="283" spans="1:6" x14ac:dyDescent="0.2">
      <c r="A283" s="9" t="s">
        <v>9314</v>
      </c>
      <c r="B283" s="16">
        <v>425.3</v>
      </c>
      <c r="C283" s="16">
        <v>257.89999999999998</v>
      </c>
      <c r="D283" s="16">
        <v>196.8</v>
      </c>
      <c r="E283" s="16">
        <v>90.51</v>
      </c>
      <c r="F283" s="29">
        <v>24.18</v>
      </c>
    </row>
    <row r="284" spans="1:6" x14ac:dyDescent="0.2">
      <c r="A284" s="9" t="s">
        <v>9315</v>
      </c>
      <c r="B284" s="16">
        <v>352.5</v>
      </c>
      <c r="C284" s="16">
        <v>201.6</v>
      </c>
      <c r="D284" s="16">
        <v>149.4</v>
      </c>
      <c r="E284" s="16">
        <v>68.48</v>
      </c>
      <c r="F284" s="29">
        <v>17.989999999999998</v>
      </c>
    </row>
    <row r="285" spans="1:6" x14ac:dyDescent="0.2">
      <c r="A285" s="9" t="s">
        <v>9316</v>
      </c>
      <c r="B285" s="16">
        <v>293.8</v>
      </c>
      <c r="C285" s="16">
        <v>161.69999999999999</v>
      </c>
      <c r="D285" s="16">
        <v>119.4</v>
      </c>
      <c r="E285" s="16">
        <v>54.61</v>
      </c>
      <c r="F285" s="29">
        <v>14.09</v>
      </c>
    </row>
    <row r="286" spans="1:6" x14ac:dyDescent="0.2">
      <c r="A286" s="9" t="s">
        <v>9317</v>
      </c>
      <c r="B286" s="16">
        <v>245.8</v>
      </c>
      <c r="C286" s="16">
        <v>132.6</v>
      </c>
      <c r="D286" s="16">
        <v>99.07</v>
      </c>
      <c r="E286" s="16">
        <v>45.34</v>
      </c>
      <c r="F286" s="29">
        <v>11.5</v>
      </c>
    </row>
    <row r="287" spans="1:6" x14ac:dyDescent="0.2">
      <c r="A287" s="9" t="s">
        <v>9318</v>
      </c>
      <c r="B287" s="16">
        <v>206.6</v>
      </c>
      <c r="C287" s="16">
        <v>110.9</v>
      </c>
      <c r="D287" s="16">
        <v>84.63</v>
      </c>
      <c r="E287" s="16">
        <v>38.700000000000003</v>
      </c>
      <c r="F287" s="29">
        <v>9.66</v>
      </c>
    </row>
    <row r="288" spans="1:6" x14ac:dyDescent="0.2">
      <c r="A288" s="9" t="s">
        <v>9313</v>
      </c>
      <c r="B288" s="16">
        <v>1181.2</v>
      </c>
      <c r="C288" s="16">
        <v>1127.8</v>
      </c>
      <c r="D288" s="16">
        <v>949.3</v>
      </c>
      <c r="E288" s="16">
        <v>445.7</v>
      </c>
      <c r="F288" s="29">
        <v>115.4</v>
      </c>
    </row>
    <row r="289" spans="1:6" x14ac:dyDescent="0.2">
      <c r="A289" s="9" t="s">
        <v>9319</v>
      </c>
      <c r="B289" s="16">
        <v>3159.7</v>
      </c>
      <c r="C289" s="16">
        <v>3075</v>
      </c>
      <c r="D289" s="16">
        <v>2399</v>
      </c>
      <c r="E289" s="16">
        <v>1011.4</v>
      </c>
      <c r="F289" s="29">
        <v>217.2</v>
      </c>
    </row>
    <row r="290" spans="1:6" x14ac:dyDescent="0.2">
      <c r="A290" s="9" t="s">
        <v>9320</v>
      </c>
      <c r="B290" s="16">
        <v>4.4000000000000004</v>
      </c>
      <c r="C290" s="16">
        <v>2.91</v>
      </c>
      <c r="D290" s="16">
        <v>1.57</v>
      </c>
      <c r="E290" s="16">
        <v>0.88</v>
      </c>
      <c r="F290" s="29">
        <v>7.0000000000000007E-2</v>
      </c>
    </row>
    <row r="291" spans="1:6" x14ac:dyDescent="0.2">
      <c r="A291" s="9" t="s">
        <v>9321</v>
      </c>
      <c r="B291" s="16">
        <v>2.8</v>
      </c>
      <c r="C291" s="16">
        <v>2.0299999999999998</v>
      </c>
      <c r="D291" s="16">
        <v>1.2</v>
      </c>
      <c r="E291" s="16">
        <v>0.68</v>
      </c>
      <c r="F291" s="29">
        <v>0.06</v>
      </c>
    </row>
    <row r="292" spans="1:6" x14ac:dyDescent="0.2">
      <c r="A292" s="9" t="s">
        <v>9322</v>
      </c>
      <c r="B292" s="16">
        <v>1.88</v>
      </c>
      <c r="C292" s="16">
        <v>1.48</v>
      </c>
      <c r="D292" s="16">
        <v>0.94</v>
      </c>
      <c r="E292" s="16">
        <v>0.54</v>
      </c>
      <c r="F292" s="29">
        <v>0.06</v>
      </c>
    </row>
    <row r="293" spans="1:6" x14ac:dyDescent="0.2">
      <c r="A293" s="9" t="s">
        <v>9323</v>
      </c>
      <c r="B293" s="16">
        <v>12</v>
      </c>
      <c r="C293" s="16">
        <v>11.54</v>
      </c>
      <c r="D293" s="16">
        <v>11.09</v>
      </c>
      <c r="E293" s="16">
        <v>8.65</v>
      </c>
      <c r="F293" s="29">
        <v>1.17</v>
      </c>
    </row>
    <row r="294" spans="1:6" x14ac:dyDescent="0.2">
      <c r="A294" s="9" t="s">
        <v>9324</v>
      </c>
      <c r="B294" s="16">
        <v>7.29</v>
      </c>
      <c r="C294" s="16">
        <v>6.76</v>
      </c>
      <c r="D294" s="16">
        <v>6.57</v>
      </c>
      <c r="E294" s="16">
        <v>5.09</v>
      </c>
      <c r="F294" s="29">
        <v>0.77</v>
      </c>
    </row>
    <row r="295" spans="1:6" x14ac:dyDescent="0.2">
      <c r="A295" s="9" t="s">
        <v>9325</v>
      </c>
      <c r="B295" s="16">
        <v>5.8</v>
      </c>
      <c r="C295" s="16">
        <v>4.5999999999999996</v>
      </c>
      <c r="D295" s="16">
        <v>4.25</v>
      </c>
      <c r="E295" s="16">
        <v>3.43</v>
      </c>
      <c r="F295" s="29">
        <v>0.54</v>
      </c>
    </row>
    <row r="296" spans="1:6" x14ac:dyDescent="0.2">
      <c r="A296" s="9" t="s">
        <v>9326</v>
      </c>
      <c r="B296" s="16">
        <v>252.4</v>
      </c>
      <c r="C296" s="16">
        <v>247.2</v>
      </c>
      <c r="D296" s="16">
        <v>240</v>
      </c>
      <c r="E296" s="16">
        <v>181.2</v>
      </c>
      <c r="F296" s="29">
        <v>36.700000000000003</v>
      </c>
    </row>
    <row r="297" spans="1:6" x14ac:dyDescent="0.2">
      <c r="A297" s="9" t="s">
        <v>9327</v>
      </c>
      <c r="B297" s="16">
        <v>145.69999999999999</v>
      </c>
      <c r="C297" s="16">
        <v>141</v>
      </c>
      <c r="D297" s="16">
        <v>135.4</v>
      </c>
      <c r="E297" s="16">
        <v>103.1</v>
      </c>
      <c r="F297" s="29">
        <v>19.48</v>
      </c>
    </row>
    <row r="298" spans="1:6" x14ac:dyDescent="0.2">
      <c r="A298" s="9" t="s">
        <v>9328</v>
      </c>
      <c r="B298" s="16">
        <v>1845</v>
      </c>
      <c r="C298" s="16">
        <v>1813.4</v>
      </c>
      <c r="D298" s="16">
        <v>1500.2</v>
      </c>
      <c r="E298" s="16">
        <v>679.2</v>
      </c>
      <c r="F298" s="29">
        <v>164.3</v>
      </c>
    </row>
    <row r="299" spans="1:6" x14ac:dyDescent="0.2">
      <c r="A299" s="9" t="s">
        <v>9329</v>
      </c>
      <c r="B299" s="16">
        <v>1470.8</v>
      </c>
      <c r="C299" s="16">
        <v>1403.4</v>
      </c>
      <c r="D299" s="16">
        <v>1173.8</v>
      </c>
      <c r="E299" s="16">
        <v>543.9</v>
      </c>
      <c r="F299" s="29">
        <v>138.1</v>
      </c>
    </row>
    <row r="300" spans="1:6" x14ac:dyDescent="0.2">
      <c r="A300" s="9" t="s">
        <v>9293</v>
      </c>
      <c r="B300" s="16">
        <v>3191.8</v>
      </c>
      <c r="C300" s="16">
        <v>3105.8</v>
      </c>
      <c r="D300" s="16">
        <v>2422.9</v>
      </c>
      <c r="E300" s="16">
        <v>1021.1</v>
      </c>
      <c r="F300" s="29">
        <v>219</v>
      </c>
    </row>
    <row r="301" spans="1:6" x14ac:dyDescent="0.2">
      <c r="A301" s="9" t="s">
        <v>9330</v>
      </c>
      <c r="B301" s="16">
        <v>55.08</v>
      </c>
      <c r="C301" s="16">
        <v>47.42</v>
      </c>
      <c r="D301" s="16">
        <v>33.729999999999997</v>
      </c>
      <c r="E301" s="16">
        <v>19.670000000000002</v>
      </c>
      <c r="F301" s="29">
        <v>1.49</v>
      </c>
    </row>
    <row r="302" spans="1:6" x14ac:dyDescent="0.2">
      <c r="A302" s="9" t="s">
        <v>9331</v>
      </c>
      <c r="B302" s="16">
        <v>14.69</v>
      </c>
      <c r="C302" s="16">
        <v>14.2</v>
      </c>
      <c r="D302" s="16">
        <v>12.82</v>
      </c>
      <c r="E302" s="16">
        <v>9.33</v>
      </c>
      <c r="F302" s="29">
        <v>1.07</v>
      </c>
    </row>
    <row r="303" spans="1:6" x14ac:dyDescent="0.2">
      <c r="A303" s="9" t="s">
        <v>9332</v>
      </c>
      <c r="B303" s="16">
        <v>68.36</v>
      </c>
      <c r="C303" s="16">
        <v>60.4</v>
      </c>
      <c r="D303" s="16">
        <v>40.6</v>
      </c>
      <c r="E303" s="16">
        <v>23.37</v>
      </c>
      <c r="F303" s="29">
        <v>1.8</v>
      </c>
    </row>
    <row r="304" spans="1:6" ht="15" thickBot="1" x14ac:dyDescent="0.25">
      <c r="A304" s="112" t="s">
        <v>9333</v>
      </c>
      <c r="B304" s="28">
        <v>25.84</v>
      </c>
      <c r="C304" s="28">
        <v>23.61</v>
      </c>
      <c r="D304" s="28">
        <v>19.78</v>
      </c>
      <c r="E304" s="28">
        <v>11.82</v>
      </c>
      <c r="F304" s="113">
        <v>1.1399999999999999</v>
      </c>
    </row>
    <row r="305" spans="1:6" ht="14.25" customHeight="1" x14ac:dyDescent="0.2">
      <c r="A305" s="539" t="s">
        <v>10929</v>
      </c>
      <c r="B305" s="540"/>
      <c r="C305" s="540"/>
      <c r="D305" s="540"/>
      <c r="E305" s="540"/>
      <c r="F305" s="541"/>
    </row>
    <row r="306" spans="1:6" ht="30" x14ac:dyDescent="0.2">
      <c r="A306" s="402" t="s">
        <v>9306</v>
      </c>
      <c r="B306" s="79" t="s">
        <v>10912</v>
      </c>
      <c r="C306" s="79" t="s">
        <v>10913</v>
      </c>
      <c r="D306" s="79" t="s">
        <v>10914</v>
      </c>
      <c r="E306" s="79" t="s">
        <v>10915</v>
      </c>
      <c r="F306" s="80" t="s">
        <v>10916</v>
      </c>
    </row>
    <row r="307" spans="1:6" x14ac:dyDescent="0.2">
      <c r="A307" s="9" t="s">
        <v>9314</v>
      </c>
      <c r="B307" s="16">
        <v>237.7</v>
      </c>
      <c r="C307" s="16">
        <v>165.1</v>
      </c>
      <c r="D307" s="16">
        <v>142.19999999999999</v>
      </c>
      <c r="E307" s="16">
        <v>66.959999999999994</v>
      </c>
      <c r="F307" s="29">
        <v>17.38</v>
      </c>
    </row>
    <row r="308" spans="1:6" x14ac:dyDescent="0.2">
      <c r="A308" s="9" t="s">
        <v>9315</v>
      </c>
      <c r="B308" s="16">
        <v>202.9</v>
      </c>
      <c r="C308" s="16">
        <v>127.3</v>
      </c>
      <c r="D308" s="16">
        <v>106.1</v>
      </c>
      <c r="E308" s="16">
        <v>50.07</v>
      </c>
      <c r="F308" s="29">
        <v>12.99</v>
      </c>
    </row>
    <row r="309" spans="1:6" x14ac:dyDescent="0.2">
      <c r="A309" s="9" t="s">
        <v>9316</v>
      </c>
      <c r="B309" s="16">
        <v>175.1</v>
      </c>
      <c r="C309" s="16">
        <v>103.2</v>
      </c>
      <c r="D309" s="16">
        <v>82.37</v>
      </c>
      <c r="E309" s="16">
        <v>38.78</v>
      </c>
      <c r="F309" s="29">
        <v>10.029999999999999</v>
      </c>
    </row>
    <row r="310" spans="1:6" x14ac:dyDescent="0.2">
      <c r="A310" s="9" t="s">
        <v>9317</v>
      </c>
      <c r="B310" s="16">
        <v>152.19999999999999</v>
      </c>
      <c r="C310" s="16">
        <v>87.14</v>
      </c>
      <c r="D310" s="16">
        <v>66.41</v>
      </c>
      <c r="E310" s="16">
        <v>31.08</v>
      </c>
      <c r="F310" s="29">
        <v>8</v>
      </c>
    </row>
    <row r="311" spans="1:6" x14ac:dyDescent="0.2">
      <c r="A311" s="9" t="s">
        <v>9318</v>
      </c>
      <c r="B311" s="16">
        <v>134.9</v>
      </c>
      <c r="C311" s="16">
        <v>74.930000000000007</v>
      </c>
      <c r="D311" s="16">
        <v>55.13</v>
      </c>
      <c r="E311" s="16">
        <v>25.65</v>
      </c>
      <c r="F311" s="29">
        <v>6.55</v>
      </c>
    </row>
    <row r="312" spans="1:6" x14ac:dyDescent="0.2">
      <c r="A312" s="9" t="s">
        <v>9313</v>
      </c>
      <c r="B312" s="16">
        <v>604.9</v>
      </c>
      <c r="C312" s="16">
        <v>596.9</v>
      </c>
      <c r="D312" s="16">
        <v>488.3</v>
      </c>
      <c r="E312" s="16">
        <v>213.3</v>
      </c>
      <c r="F312" s="29">
        <v>48.68</v>
      </c>
    </row>
    <row r="313" spans="1:6" x14ac:dyDescent="0.2">
      <c r="A313" s="9" t="s">
        <v>9319</v>
      </c>
      <c r="B313" s="16">
        <v>1154.8</v>
      </c>
      <c r="C313" s="16">
        <v>1108.2</v>
      </c>
      <c r="D313" s="16">
        <v>819.8</v>
      </c>
      <c r="E313" s="16">
        <v>325.7</v>
      </c>
      <c r="F313" s="29">
        <v>63.44</v>
      </c>
    </row>
    <row r="314" spans="1:6" x14ac:dyDescent="0.2">
      <c r="A314" s="9" t="s">
        <v>9320</v>
      </c>
      <c r="B314" s="16">
        <v>4.4000000000000004</v>
      </c>
      <c r="C314" s="16">
        <v>2.91</v>
      </c>
      <c r="D314" s="16">
        <v>1.57</v>
      </c>
      <c r="E314" s="16">
        <v>0.88</v>
      </c>
      <c r="F314" s="29">
        <v>7.0000000000000007E-2</v>
      </c>
    </row>
    <row r="315" spans="1:6" x14ac:dyDescent="0.2">
      <c r="A315" s="9" t="s">
        <v>9321</v>
      </c>
      <c r="B315" s="16">
        <v>2.8</v>
      </c>
      <c r="C315" s="16">
        <v>2.0299999999999998</v>
      </c>
      <c r="D315" s="16">
        <v>1.2</v>
      </c>
      <c r="E315" s="16">
        <v>0.68</v>
      </c>
      <c r="F315" s="29">
        <v>0.06</v>
      </c>
    </row>
    <row r="316" spans="1:6" x14ac:dyDescent="0.2">
      <c r="A316" s="9" t="s">
        <v>9322</v>
      </c>
      <c r="B316" s="16">
        <v>1.88</v>
      </c>
      <c r="C316" s="16">
        <v>1.48</v>
      </c>
      <c r="D316" s="16">
        <v>0.94</v>
      </c>
      <c r="E316" s="16">
        <v>0.54</v>
      </c>
      <c r="F316" s="29">
        <v>0.06</v>
      </c>
    </row>
    <row r="317" spans="1:6" x14ac:dyDescent="0.2">
      <c r="A317" s="9" t="s">
        <v>9323</v>
      </c>
      <c r="B317" s="16">
        <v>12</v>
      </c>
      <c r="C317" s="16">
        <v>11.54</v>
      </c>
      <c r="D317" s="16">
        <v>11.09</v>
      </c>
      <c r="E317" s="16">
        <v>8.65</v>
      </c>
      <c r="F317" s="29">
        <v>1.17</v>
      </c>
    </row>
    <row r="318" spans="1:6" x14ac:dyDescent="0.2">
      <c r="A318" s="9" t="s">
        <v>9324</v>
      </c>
      <c r="B318" s="16">
        <v>7.29</v>
      </c>
      <c r="C318" s="16">
        <v>6.76</v>
      </c>
      <c r="D318" s="16">
        <v>6.57</v>
      </c>
      <c r="E318" s="16">
        <v>5.09</v>
      </c>
      <c r="F318" s="29">
        <v>0.77</v>
      </c>
    </row>
    <row r="319" spans="1:6" x14ac:dyDescent="0.2">
      <c r="A319" s="9" t="s">
        <v>9325</v>
      </c>
      <c r="B319" s="16">
        <v>5.8</v>
      </c>
      <c r="C319" s="16">
        <v>4.5999999999999996</v>
      </c>
      <c r="D319" s="16">
        <v>4.25</v>
      </c>
      <c r="E319" s="16">
        <v>3.43</v>
      </c>
      <c r="F319" s="29">
        <v>0.54</v>
      </c>
    </row>
    <row r="320" spans="1:6" x14ac:dyDescent="0.2">
      <c r="A320" s="9" t="s">
        <v>9326</v>
      </c>
      <c r="B320" s="16">
        <v>136.4</v>
      </c>
      <c r="C320" s="16">
        <v>134</v>
      </c>
      <c r="D320" s="16">
        <v>125.1</v>
      </c>
      <c r="E320" s="16">
        <v>88.57</v>
      </c>
      <c r="F320" s="29">
        <v>20.73</v>
      </c>
    </row>
    <row r="321" spans="1:6" x14ac:dyDescent="0.2">
      <c r="A321" s="9" t="s">
        <v>9327</v>
      </c>
      <c r="B321" s="16">
        <v>108.7</v>
      </c>
      <c r="C321" s="16">
        <v>105.8</v>
      </c>
      <c r="D321" s="16">
        <v>101.3</v>
      </c>
      <c r="E321" s="16">
        <v>71.16</v>
      </c>
      <c r="F321" s="29">
        <v>16.91</v>
      </c>
    </row>
    <row r="322" spans="1:6" x14ac:dyDescent="0.2">
      <c r="A322" s="9" t="s">
        <v>9328</v>
      </c>
      <c r="B322" s="16">
        <v>806.5</v>
      </c>
      <c r="C322" s="16">
        <v>785.8</v>
      </c>
      <c r="D322" s="16">
        <v>627.70000000000005</v>
      </c>
      <c r="E322" s="16">
        <v>265.39999999999998</v>
      </c>
      <c r="F322" s="29">
        <v>56.85</v>
      </c>
    </row>
    <row r="323" spans="1:6" x14ac:dyDescent="0.2">
      <c r="A323" s="9" t="s">
        <v>9329</v>
      </c>
      <c r="B323" s="16">
        <v>710.1</v>
      </c>
      <c r="C323" s="16">
        <v>696.2</v>
      </c>
      <c r="D323" s="16">
        <v>563.70000000000005</v>
      </c>
      <c r="E323" s="16">
        <v>242.4</v>
      </c>
      <c r="F323" s="29">
        <v>53.56</v>
      </c>
    </row>
    <row r="324" spans="1:6" x14ac:dyDescent="0.2">
      <c r="A324" s="9" t="s">
        <v>9293</v>
      </c>
      <c r="B324" s="16">
        <v>1159.0999999999999</v>
      </c>
      <c r="C324" s="16">
        <v>1112.3</v>
      </c>
      <c r="D324" s="16">
        <v>822.8</v>
      </c>
      <c r="E324" s="16">
        <v>326.8</v>
      </c>
      <c r="F324" s="29">
        <v>63.62</v>
      </c>
    </row>
    <row r="325" spans="1:6" x14ac:dyDescent="0.2">
      <c r="A325" s="9" t="s">
        <v>9330</v>
      </c>
      <c r="B325" s="16">
        <v>35.26</v>
      </c>
      <c r="C325" s="16">
        <v>34.65</v>
      </c>
      <c r="D325" s="16">
        <v>31.82</v>
      </c>
      <c r="E325" s="16">
        <v>19.09</v>
      </c>
      <c r="F325" s="29">
        <v>1.49</v>
      </c>
    </row>
    <row r="326" spans="1:6" x14ac:dyDescent="0.2">
      <c r="A326" s="9" t="s">
        <v>9331</v>
      </c>
      <c r="B326" s="16">
        <v>14.69</v>
      </c>
      <c r="C326" s="16">
        <v>14.2</v>
      </c>
      <c r="D326" s="16">
        <v>12.82</v>
      </c>
      <c r="E326" s="16">
        <v>9.33</v>
      </c>
      <c r="F326" s="29">
        <v>1.07</v>
      </c>
    </row>
    <row r="327" spans="1:6" x14ac:dyDescent="0.2">
      <c r="A327" s="9" t="s">
        <v>9332</v>
      </c>
      <c r="B327" s="16">
        <v>37.869999999999997</v>
      </c>
      <c r="C327" s="16">
        <v>37.619999999999997</v>
      </c>
      <c r="D327" s="16">
        <v>34.4</v>
      </c>
      <c r="E327" s="16">
        <v>22.12</v>
      </c>
      <c r="F327" s="29">
        <v>1.8</v>
      </c>
    </row>
    <row r="328" spans="1:6" ht="15" thickBot="1" x14ac:dyDescent="0.25">
      <c r="A328" s="112" t="s">
        <v>9333</v>
      </c>
      <c r="B328" s="28">
        <v>24.21</v>
      </c>
      <c r="C328" s="28">
        <v>22.64</v>
      </c>
      <c r="D328" s="28">
        <v>19.78</v>
      </c>
      <c r="E328" s="28">
        <v>11.82</v>
      </c>
      <c r="F328" s="113">
        <v>1.1399999999999999</v>
      </c>
    </row>
    <row r="329" spans="1:6" ht="14.25" customHeight="1" x14ac:dyDescent="0.2">
      <c r="A329" s="539" t="s">
        <v>10930</v>
      </c>
      <c r="B329" s="540"/>
      <c r="C329" s="540"/>
      <c r="D329" s="540"/>
      <c r="E329" s="540"/>
      <c r="F329" s="541"/>
    </row>
    <row r="330" spans="1:6" ht="30" x14ac:dyDescent="0.2">
      <c r="A330" s="402" t="s">
        <v>9306</v>
      </c>
      <c r="B330" s="79" t="s">
        <v>10912</v>
      </c>
      <c r="C330" s="79" t="s">
        <v>10913</v>
      </c>
      <c r="D330" s="79" t="s">
        <v>10914</v>
      </c>
      <c r="E330" s="79" t="s">
        <v>10915</v>
      </c>
      <c r="F330" s="80" t="s">
        <v>10916</v>
      </c>
    </row>
    <row r="331" spans="1:6" x14ac:dyDescent="0.2">
      <c r="A331" s="9" t="s">
        <v>9314</v>
      </c>
      <c r="B331" s="16">
        <v>169.2</v>
      </c>
      <c r="C331" s="16">
        <v>142.6</v>
      </c>
      <c r="D331" s="16">
        <v>114.2</v>
      </c>
      <c r="E331" s="16">
        <v>53.56</v>
      </c>
      <c r="F331" s="29">
        <v>12.88</v>
      </c>
    </row>
    <row r="332" spans="1:6" x14ac:dyDescent="0.2">
      <c r="A332" s="9" t="s">
        <v>9315</v>
      </c>
      <c r="B332" s="16">
        <v>137.5</v>
      </c>
      <c r="C332" s="16">
        <v>105.3</v>
      </c>
      <c r="D332" s="16">
        <v>86.17</v>
      </c>
      <c r="E332" s="16">
        <v>40.35</v>
      </c>
      <c r="F332" s="29">
        <v>10.050000000000001</v>
      </c>
    </row>
    <row r="333" spans="1:6" x14ac:dyDescent="0.2">
      <c r="A333" s="9" t="s">
        <v>9316</v>
      </c>
      <c r="B333" s="16">
        <v>121.4</v>
      </c>
      <c r="C333" s="16">
        <v>79.150000000000006</v>
      </c>
      <c r="D333" s="16">
        <v>66.59</v>
      </c>
      <c r="E333" s="16">
        <v>31.67</v>
      </c>
      <c r="F333" s="29">
        <v>7.94</v>
      </c>
    </row>
    <row r="334" spans="1:6" x14ac:dyDescent="0.2">
      <c r="A334" s="9" t="s">
        <v>9317</v>
      </c>
      <c r="B334" s="16">
        <v>106.5</v>
      </c>
      <c r="C334" s="16">
        <v>64.239999999999995</v>
      </c>
      <c r="D334" s="16">
        <v>53.1</v>
      </c>
      <c r="E334" s="16">
        <v>25.42</v>
      </c>
      <c r="F334" s="29">
        <v>6.4</v>
      </c>
    </row>
    <row r="335" spans="1:6" x14ac:dyDescent="0.2">
      <c r="A335" s="9" t="s">
        <v>9318</v>
      </c>
      <c r="B335" s="16">
        <v>96.12</v>
      </c>
      <c r="C335" s="16">
        <v>54.79</v>
      </c>
      <c r="D335" s="16">
        <v>43.61</v>
      </c>
      <c r="E335" s="16">
        <v>20.87</v>
      </c>
      <c r="F335" s="29">
        <v>5.26</v>
      </c>
    </row>
    <row r="336" spans="1:6" x14ac:dyDescent="0.2">
      <c r="A336" s="9" t="s">
        <v>9313</v>
      </c>
      <c r="B336" s="16">
        <v>379.9</v>
      </c>
      <c r="C336" s="16">
        <v>369.3</v>
      </c>
      <c r="D336" s="16">
        <v>294.3</v>
      </c>
      <c r="E336" s="16">
        <v>123.9</v>
      </c>
      <c r="F336" s="29">
        <v>26.23</v>
      </c>
    </row>
    <row r="337" spans="1:6" x14ac:dyDescent="0.2">
      <c r="A337" s="9" t="s">
        <v>9319</v>
      </c>
      <c r="B337" s="16">
        <v>644.70000000000005</v>
      </c>
      <c r="C337" s="16">
        <v>614.70000000000005</v>
      </c>
      <c r="D337" s="16">
        <v>435</v>
      </c>
      <c r="E337" s="16">
        <v>167.9</v>
      </c>
      <c r="F337" s="29">
        <v>30.95</v>
      </c>
    </row>
    <row r="338" spans="1:6" x14ac:dyDescent="0.2">
      <c r="A338" s="9" t="s">
        <v>9320</v>
      </c>
      <c r="B338" s="16">
        <v>4.4000000000000004</v>
      </c>
      <c r="C338" s="16">
        <v>2.91</v>
      </c>
      <c r="D338" s="16">
        <v>1.57</v>
      </c>
      <c r="E338" s="16">
        <v>0.88</v>
      </c>
      <c r="F338" s="29">
        <v>7.0000000000000007E-2</v>
      </c>
    </row>
    <row r="339" spans="1:6" x14ac:dyDescent="0.2">
      <c r="A339" s="9" t="s">
        <v>9321</v>
      </c>
      <c r="B339" s="16">
        <v>2.8</v>
      </c>
      <c r="C339" s="16">
        <v>2.0299999999999998</v>
      </c>
      <c r="D339" s="16">
        <v>1.2</v>
      </c>
      <c r="E339" s="16">
        <v>0.68</v>
      </c>
      <c r="F339" s="29">
        <v>0.06</v>
      </c>
    </row>
    <row r="340" spans="1:6" x14ac:dyDescent="0.2">
      <c r="A340" s="9" t="s">
        <v>9322</v>
      </c>
      <c r="B340" s="16">
        <v>1.88</v>
      </c>
      <c r="C340" s="16">
        <v>1.48</v>
      </c>
      <c r="D340" s="16">
        <v>0.94</v>
      </c>
      <c r="E340" s="16">
        <v>0.54</v>
      </c>
      <c r="F340" s="29">
        <v>0.06</v>
      </c>
    </row>
    <row r="341" spans="1:6" x14ac:dyDescent="0.2">
      <c r="A341" s="9" t="s">
        <v>9323</v>
      </c>
      <c r="B341" s="16">
        <v>12</v>
      </c>
      <c r="C341" s="16">
        <v>11.54</v>
      </c>
      <c r="D341" s="16">
        <v>11.09</v>
      </c>
      <c r="E341" s="16">
        <v>8.65</v>
      </c>
      <c r="F341" s="29">
        <v>1.17</v>
      </c>
    </row>
    <row r="342" spans="1:6" x14ac:dyDescent="0.2">
      <c r="A342" s="9" t="s">
        <v>9324</v>
      </c>
      <c r="B342" s="16">
        <v>7.29</v>
      </c>
      <c r="C342" s="16">
        <v>6.76</v>
      </c>
      <c r="D342" s="16">
        <v>6.57</v>
      </c>
      <c r="E342" s="16">
        <v>5.09</v>
      </c>
      <c r="F342" s="29">
        <v>0.77</v>
      </c>
    </row>
    <row r="343" spans="1:6" x14ac:dyDescent="0.2">
      <c r="A343" s="9" t="s">
        <v>9325</v>
      </c>
      <c r="B343" s="16">
        <v>5.8</v>
      </c>
      <c r="C343" s="16">
        <v>4.5999999999999996</v>
      </c>
      <c r="D343" s="16">
        <v>4.25</v>
      </c>
      <c r="E343" s="16">
        <v>3.43</v>
      </c>
      <c r="F343" s="29">
        <v>0.54</v>
      </c>
    </row>
    <row r="344" spans="1:6" x14ac:dyDescent="0.2">
      <c r="A344" s="9" t="s">
        <v>9326</v>
      </c>
      <c r="B344" s="16">
        <v>101.2</v>
      </c>
      <c r="C344" s="16">
        <v>87.19</v>
      </c>
      <c r="D344" s="16">
        <v>80.8</v>
      </c>
      <c r="E344" s="16">
        <v>52</v>
      </c>
      <c r="F344" s="29">
        <v>12.66</v>
      </c>
    </row>
    <row r="345" spans="1:6" x14ac:dyDescent="0.2">
      <c r="A345" s="9" t="s">
        <v>9327</v>
      </c>
      <c r="B345" s="16">
        <v>88.99</v>
      </c>
      <c r="C345" s="16">
        <v>73.989999999999995</v>
      </c>
      <c r="D345" s="16">
        <v>68.73</v>
      </c>
      <c r="E345" s="16">
        <v>46.68</v>
      </c>
      <c r="F345" s="29">
        <v>11.26</v>
      </c>
    </row>
    <row r="346" spans="1:6" x14ac:dyDescent="0.2">
      <c r="A346" s="9" t="s">
        <v>9328</v>
      </c>
      <c r="B346" s="16">
        <v>469.9</v>
      </c>
      <c r="C346" s="16">
        <v>453</v>
      </c>
      <c r="D346" s="16">
        <v>350.7</v>
      </c>
      <c r="E346" s="16">
        <v>143.30000000000001</v>
      </c>
      <c r="F346" s="29">
        <v>28.79</v>
      </c>
    </row>
    <row r="347" spans="1:6" x14ac:dyDescent="0.2">
      <c r="A347" s="9" t="s">
        <v>9329</v>
      </c>
      <c r="B347" s="16">
        <v>427.2</v>
      </c>
      <c r="C347" s="16">
        <v>413.4</v>
      </c>
      <c r="D347" s="16">
        <v>325.39999999999998</v>
      </c>
      <c r="E347" s="16">
        <v>135</v>
      </c>
      <c r="F347" s="29">
        <v>27.81</v>
      </c>
    </row>
    <row r="348" spans="1:6" x14ac:dyDescent="0.2">
      <c r="A348" s="9" t="s">
        <v>9293</v>
      </c>
      <c r="B348" s="16">
        <v>646</v>
      </c>
      <c r="C348" s="16">
        <v>615.9</v>
      </c>
      <c r="D348" s="16">
        <v>435.9</v>
      </c>
      <c r="E348" s="16">
        <v>168.2</v>
      </c>
      <c r="F348" s="29">
        <v>30.99</v>
      </c>
    </row>
    <row r="349" spans="1:6" x14ac:dyDescent="0.2">
      <c r="A349" s="9" t="s">
        <v>9330</v>
      </c>
      <c r="B349" s="16">
        <v>23.39</v>
      </c>
      <c r="C349" s="16">
        <v>22.78</v>
      </c>
      <c r="D349" s="16">
        <v>21.2</v>
      </c>
      <c r="E349" s="16">
        <v>15.63</v>
      </c>
      <c r="F349" s="29">
        <v>1.48</v>
      </c>
    </row>
    <row r="350" spans="1:6" x14ac:dyDescent="0.2">
      <c r="A350" s="9" t="s">
        <v>9331</v>
      </c>
      <c r="B350" s="16">
        <v>14.2</v>
      </c>
      <c r="C350" s="16">
        <v>14.08</v>
      </c>
      <c r="D350" s="16">
        <v>12.82</v>
      </c>
      <c r="E350" s="16">
        <v>9.33</v>
      </c>
      <c r="F350" s="29">
        <v>1.07</v>
      </c>
    </row>
    <row r="351" spans="1:6" x14ac:dyDescent="0.2">
      <c r="A351" s="9" t="s">
        <v>9332</v>
      </c>
      <c r="B351" s="16">
        <v>24.81</v>
      </c>
      <c r="C351" s="16">
        <v>24.53</v>
      </c>
      <c r="D351" s="16">
        <v>23.84</v>
      </c>
      <c r="E351" s="16">
        <v>16.66</v>
      </c>
      <c r="F351" s="29">
        <v>1.72</v>
      </c>
    </row>
    <row r="352" spans="1:6" ht="15" thickBot="1" x14ac:dyDescent="0.25">
      <c r="A352" s="112" t="s">
        <v>9333</v>
      </c>
      <c r="B352" s="28">
        <v>18.420000000000002</v>
      </c>
      <c r="C352" s="28">
        <v>18.260000000000002</v>
      </c>
      <c r="D352" s="28">
        <v>16.66</v>
      </c>
      <c r="E352" s="28">
        <v>11.82</v>
      </c>
      <c r="F352" s="113">
        <v>1.1399999999999999</v>
      </c>
    </row>
    <row r="353" spans="1:6" ht="14.25" customHeight="1" x14ac:dyDescent="0.2">
      <c r="A353" s="539" t="s">
        <v>10931</v>
      </c>
      <c r="B353" s="540"/>
      <c r="C353" s="540"/>
      <c r="D353" s="540"/>
      <c r="E353" s="540"/>
      <c r="F353" s="541"/>
    </row>
    <row r="354" spans="1:6" ht="30" x14ac:dyDescent="0.2">
      <c r="A354" s="402" t="s">
        <v>9306</v>
      </c>
      <c r="B354" s="79" t="s">
        <v>10912</v>
      </c>
      <c r="C354" s="79" t="s">
        <v>10913</v>
      </c>
      <c r="D354" s="79" t="s">
        <v>10914</v>
      </c>
      <c r="E354" s="79" t="s">
        <v>10915</v>
      </c>
      <c r="F354" s="80" t="s">
        <v>10916</v>
      </c>
    </row>
    <row r="355" spans="1:6" x14ac:dyDescent="0.2">
      <c r="A355" s="9" t="s">
        <v>9314</v>
      </c>
      <c r="B355" s="16">
        <v>139.1</v>
      </c>
      <c r="C355" s="16">
        <v>123.8</v>
      </c>
      <c r="D355" s="16">
        <v>95.61</v>
      </c>
      <c r="E355" s="16">
        <v>44.13</v>
      </c>
      <c r="F355" s="29">
        <v>9.77</v>
      </c>
    </row>
    <row r="356" spans="1:6" x14ac:dyDescent="0.2">
      <c r="A356" s="9" t="s">
        <v>9315</v>
      </c>
      <c r="B356" s="16">
        <v>114.3</v>
      </c>
      <c r="C356" s="16">
        <v>94.62</v>
      </c>
      <c r="D356" s="16">
        <v>73.510000000000005</v>
      </c>
      <c r="E356" s="16">
        <v>34.01</v>
      </c>
      <c r="F356" s="29">
        <v>7.91</v>
      </c>
    </row>
    <row r="357" spans="1:6" x14ac:dyDescent="0.2">
      <c r="A357" s="9" t="s">
        <v>9316</v>
      </c>
      <c r="B357" s="16">
        <v>91.81</v>
      </c>
      <c r="C357" s="16">
        <v>71.989999999999995</v>
      </c>
      <c r="D357" s="16">
        <v>57.22</v>
      </c>
      <c r="E357" s="16">
        <v>26.56</v>
      </c>
      <c r="F357" s="29">
        <v>6.42</v>
      </c>
    </row>
    <row r="358" spans="1:6" x14ac:dyDescent="0.2">
      <c r="A358" s="9" t="s">
        <v>9317</v>
      </c>
      <c r="B358" s="16">
        <v>81.5</v>
      </c>
      <c r="C358" s="16">
        <v>56.28</v>
      </c>
      <c r="D358" s="16">
        <v>45.43</v>
      </c>
      <c r="E358" s="16">
        <v>21.53</v>
      </c>
      <c r="F358" s="29">
        <v>5.26</v>
      </c>
    </row>
    <row r="359" spans="1:6" x14ac:dyDescent="0.2">
      <c r="A359" s="9" t="s">
        <v>9318</v>
      </c>
      <c r="B359" s="16">
        <v>73.67</v>
      </c>
      <c r="C359" s="16">
        <v>44.91</v>
      </c>
      <c r="D359" s="16">
        <v>36.99</v>
      </c>
      <c r="E359" s="16">
        <v>17.75</v>
      </c>
      <c r="F359" s="29">
        <v>4.3600000000000003</v>
      </c>
    </row>
    <row r="360" spans="1:6" x14ac:dyDescent="0.2">
      <c r="A360" s="9" t="s">
        <v>9313</v>
      </c>
      <c r="B360" s="16">
        <v>265.10000000000002</v>
      </c>
      <c r="C360" s="16">
        <v>255.5</v>
      </c>
      <c r="D360" s="16">
        <v>199.7</v>
      </c>
      <c r="E360" s="16">
        <v>81.94</v>
      </c>
      <c r="F360" s="29">
        <v>16.5</v>
      </c>
    </row>
    <row r="361" spans="1:6" x14ac:dyDescent="0.2">
      <c r="A361" s="9" t="s">
        <v>9319</v>
      </c>
      <c r="B361" s="16">
        <v>427.2</v>
      </c>
      <c r="C361" s="16">
        <v>405.6</v>
      </c>
      <c r="D361" s="16">
        <v>277.7</v>
      </c>
      <c r="E361" s="16">
        <v>105.3</v>
      </c>
      <c r="F361" s="29">
        <v>18.649999999999999</v>
      </c>
    </row>
    <row r="362" spans="1:6" x14ac:dyDescent="0.2">
      <c r="A362" s="9" t="s">
        <v>9320</v>
      </c>
      <c r="B362" s="16">
        <v>4.4000000000000004</v>
      </c>
      <c r="C362" s="16">
        <v>2.91</v>
      </c>
      <c r="D362" s="16">
        <v>1.57</v>
      </c>
      <c r="E362" s="16">
        <v>0.88</v>
      </c>
      <c r="F362" s="29">
        <v>7.0000000000000007E-2</v>
      </c>
    </row>
    <row r="363" spans="1:6" x14ac:dyDescent="0.2">
      <c r="A363" s="9" t="s">
        <v>9321</v>
      </c>
      <c r="B363" s="16">
        <v>2.8</v>
      </c>
      <c r="C363" s="16">
        <v>2.0299999999999998</v>
      </c>
      <c r="D363" s="16">
        <v>1.2</v>
      </c>
      <c r="E363" s="16">
        <v>0.68</v>
      </c>
      <c r="F363" s="29">
        <v>0.06</v>
      </c>
    </row>
    <row r="364" spans="1:6" x14ac:dyDescent="0.2">
      <c r="A364" s="9" t="s">
        <v>9322</v>
      </c>
      <c r="B364" s="16">
        <v>1.88</v>
      </c>
      <c r="C364" s="16">
        <v>1.48</v>
      </c>
      <c r="D364" s="16">
        <v>0.94</v>
      </c>
      <c r="E364" s="16">
        <v>0.54</v>
      </c>
      <c r="F364" s="29">
        <v>0.06</v>
      </c>
    </row>
    <row r="365" spans="1:6" x14ac:dyDescent="0.2">
      <c r="A365" s="9" t="s">
        <v>9323</v>
      </c>
      <c r="B365" s="16">
        <v>11.75</v>
      </c>
      <c r="C365" s="16">
        <v>11.27</v>
      </c>
      <c r="D365" s="16">
        <v>10.97</v>
      </c>
      <c r="E365" s="16">
        <v>8.2200000000000006</v>
      </c>
      <c r="F365" s="29">
        <v>1.17</v>
      </c>
    </row>
    <row r="366" spans="1:6" x14ac:dyDescent="0.2">
      <c r="A366" s="9" t="s">
        <v>9324</v>
      </c>
      <c r="B366" s="16">
        <v>7.24</v>
      </c>
      <c r="C366" s="16">
        <v>6.76</v>
      </c>
      <c r="D366" s="16">
        <v>6.57</v>
      </c>
      <c r="E366" s="16">
        <v>5.09</v>
      </c>
      <c r="F366" s="29">
        <v>0.77</v>
      </c>
    </row>
    <row r="367" spans="1:6" x14ac:dyDescent="0.2">
      <c r="A367" s="9" t="s">
        <v>9325</v>
      </c>
      <c r="B367" s="16">
        <v>5.69</v>
      </c>
      <c r="C367" s="16">
        <v>4.5999999999999996</v>
      </c>
      <c r="D367" s="16">
        <v>4.25</v>
      </c>
      <c r="E367" s="16">
        <v>3.43</v>
      </c>
      <c r="F367" s="29">
        <v>0.54</v>
      </c>
    </row>
    <row r="368" spans="1:6" x14ac:dyDescent="0.2">
      <c r="A368" s="9" t="s">
        <v>9326</v>
      </c>
      <c r="B368" s="16">
        <v>88.36</v>
      </c>
      <c r="C368" s="16">
        <v>69.23</v>
      </c>
      <c r="D368" s="16">
        <v>64.040000000000006</v>
      </c>
      <c r="E368" s="16">
        <v>38.06</v>
      </c>
      <c r="F368" s="29">
        <v>8.64</v>
      </c>
    </row>
    <row r="369" spans="1:6" x14ac:dyDescent="0.2">
      <c r="A369" s="9" t="s">
        <v>9327</v>
      </c>
      <c r="B369" s="16">
        <v>80.400000000000006</v>
      </c>
      <c r="C369" s="16">
        <v>61.57</v>
      </c>
      <c r="D369" s="16">
        <v>57.39</v>
      </c>
      <c r="E369" s="16">
        <v>34.479999999999997</v>
      </c>
      <c r="F369" s="29">
        <v>7.97</v>
      </c>
    </row>
    <row r="370" spans="1:6" x14ac:dyDescent="0.2">
      <c r="A370" s="9" t="s">
        <v>9328</v>
      </c>
      <c r="B370" s="16">
        <v>316.7</v>
      </c>
      <c r="C370" s="16">
        <v>303.39999999999998</v>
      </c>
      <c r="D370" s="16">
        <v>229.7</v>
      </c>
      <c r="E370" s="16">
        <v>91.7</v>
      </c>
      <c r="F370" s="29">
        <v>17.62</v>
      </c>
    </row>
    <row r="371" spans="1:6" x14ac:dyDescent="0.2">
      <c r="A371" s="9" t="s">
        <v>9329</v>
      </c>
      <c r="B371" s="16">
        <v>291.7</v>
      </c>
      <c r="C371" s="16">
        <v>280.2</v>
      </c>
      <c r="D371" s="16">
        <v>216</v>
      </c>
      <c r="E371" s="16">
        <v>87.46</v>
      </c>
      <c r="F371" s="29">
        <v>17.190000000000001</v>
      </c>
    </row>
    <row r="372" spans="1:6" x14ac:dyDescent="0.2">
      <c r="A372" s="9" t="s">
        <v>9293</v>
      </c>
      <c r="B372" s="16">
        <v>427.8</v>
      </c>
      <c r="C372" s="16">
        <v>406.1</v>
      </c>
      <c r="D372" s="16">
        <v>278.10000000000002</v>
      </c>
      <c r="E372" s="16">
        <v>105.4</v>
      </c>
      <c r="F372" s="29">
        <v>18.670000000000002</v>
      </c>
    </row>
    <row r="373" spans="1:6" x14ac:dyDescent="0.2">
      <c r="A373" s="9" t="s">
        <v>9330</v>
      </c>
      <c r="B373" s="16">
        <v>17.09</v>
      </c>
      <c r="C373" s="16">
        <v>16.79</v>
      </c>
      <c r="D373" s="16">
        <v>15.65</v>
      </c>
      <c r="E373" s="16">
        <v>11.48</v>
      </c>
      <c r="F373" s="29">
        <v>1.33</v>
      </c>
    </row>
    <row r="374" spans="1:6" x14ac:dyDescent="0.2">
      <c r="A374" s="9" t="s">
        <v>9331</v>
      </c>
      <c r="B374" s="16">
        <v>12.38</v>
      </c>
      <c r="C374" s="16">
        <v>11.93</v>
      </c>
      <c r="D374" s="16">
        <v>11.44</v>
      </c>
      <c r="E374" s="16">
        <v>8.51</v>
      </c>
      <c r="F374" s="29">
        <v>1.07</v>
      </c>
    </row>
    <row r="375" spans="1:6" x14ac:dyDescent="0.2">
      <c r="A375" s="9" t="s">
        <v>9332</v>
      </c>
      <c r="B375" s="16">
        <v>18.100000000000001</v>
      </c>
      <c r="C375" s="16">
        <v>17.8</v>
      </c>
      <c r="D375" s="16">
        <v>17.03</v>
      </c>
      <c r="E375" s="16">
        <v>12.23</v>
      </c>
      <c r="F375" s="29">
        <v>1.47</v>
      </c>
    </row>
    <row r="376" spans="1:6" ht="15" thickBot="1" x14ac:dyDescent="0.25">
      <c r="A376" s="112" t="s">
        <v>9333</v>
      </c>
      <c r="B376" s="28">
        <v>14.23</v>
      </c>
      <c r="C376" s="28">
        <v>14.04</v>
      </c>
      <c r="D376" s="28">
        <v>13.73</v>
      </c>
      <c r="E376" s="28">
        <v>9.74</v>
      </c>
      <c r="F376" s="113">
        <v>1.1299999999999999</v>
      </c>
    </row>
    <row r="377" spans="1:6" ht="14.25" customHeight="1" x14ac:dyDescent="0.2">
      <c r="A377" s="539" t="s">
        <v>10932</v>
      </c>
      <c r="B377" s="540"/>
      <c r="C377" s="540"/>
      <c r="D377" s="540"/>
      <c r="E377" s="540"/>
      <c r="F377" s="541"/>
    </row>
    <row r="378" spans="1:6" ht="30" x14ac:dyDescent="0.2">
      <c r="A378" s="402" t="s">
        <v>9306</v>
      </c>
      <c r="B378" s="79" t="s">
        <v>10912</v>
      </c>
      <c r="C378" s="79" t="s">
        <v>10913</v>
      </c>
      <c r="D378" s="79" t="s">
        <v>10914</v>
      </c>
      <c r="E378" s="79" t="s">
        <v>10915</v>
      </c>
      <c r="F378" s="80" t="s">
        <v>10916</v>
      </c>
    </row>
    <row r="379" spans="1:6" x14ac:dyDescent="0.2">
      <c r="A379" s="9" t="s">
        <v>9314</v>
      </c>
      <c r="B379" s="16">
        <v>115.6</v>
      </c>
      <c r="C379" s="16">
        <v>108.5</v>
      </c>
      <c r="D379" s="16">
        <v>86.84</v>
      </c>
      <c r="E379" s="16">
        <v>36.840000000000003</v>
      </c>
      <c r="F379" s="29">
        <v>7.76</v>
      </c>
    </row>
    <row r="380" spans="1:6" x14ac:dyDescent="0.2">
      <c r="A380" s="9" t="s">
        <v>9315</v>
      </c>
      <c r="B380" s="16">
        <v>98.15</v>
      </c>
      <c r="C380" s="16">
        <v>85.48</v>
      </c>
      <c r="D380" s="16">
        <v>68.53</v>
      </c>
      <c r="E380" s="16">
        <v>29.61</v>
      </c>
      <c r="F380" s="29">
        <v>6.45</v>
      </c>
    </row>
    <row r="381" spans="1:6" x14ac:dyDescent="0.2">
      <c r="A381" s="9" t="s">
        <v>9316</v>
      </c>
      <c r="B381" s="16">
        <v>82.27</v>
      </c>
      <c r="C381" s="16">
        <v>66.42</v>
      </c>
      <c r="D381" s="16">
        <v>53.06</v>
      </c>
      <c r="E381" s="16">
        <v>24.14</v>
      </c>
      <c r="F381" s="29">
        <v>5.33</v>
      </c>
    </row>
    <row r="382" spans="1:6" x14ac:dyDescent="0.2">
      <c r="A382" s="9" t="s">
        <v>9317</v>
      </c>
      <c r="B382" s="16">
        <v>67.67</v>
      </c>
      <c r="C382" s="16">
        <v>51.96</v>
      </c>
      <c r="D382" s="16">
        <v>42.41</v>
      </c>
      <c r="E382" s="16">
        <v>19.79</v>
      </c>
      <c r="F382" s="29">
        <v>4.41</v>
      </c>
    </row>
    <row r="383" spans="1:6" x14ac:dyDescent="0.2">
      <c r="A383" s="9" t="s">
        <v>9318</v>
      </c>
      <c r="B383" s="16">
        <v>58.47</v>
      </c>
      <c r="C383" s="16">
        <v>41.99</v>
      </c>
      <c r="D383" s="16">
        <v>34.57</v>
      </c>
      <c r="E383" s="16">
        <v>16.38</v>
      </c>
      <c r="F383" s="29">
        <v>3.69</v>
      </c>
    </row>
    <row r="384" spans="1:6" x14ac:dyDescent="0.2">
      <c r="A384" s="9" t="s">
        <v>9313</v>
      </c>
      <c r="B384" s="16">
        <v>198.6</v>
      </c>
      <c r="C384" s="16">
        <v>190.3</v>
      </c>
      <c r="D384" s="16">
        <v>148.80000000000001</v>
      </c>
      <c r="E384" s="16">
        <v>58.92</v>
      </c>
      <c r="F384" s="29">
        <v>11.73</v>
      </c>
    </row>
    <row r="385" spans="1:6" x14ac:dyDescent="0.2">
      <c r="A385" s="9" t="s">
        <v>9319</v>
      </c>
      <c r="B385" s="16">
        <v>311.10000000000002</v>
      </c>
      <c r="C385" s="16">
        <v>294.39999999999998</v>
      </c>
      <c r="D385" s="16">
        <v>201.8</v>
      </c>
      <c r="E385" s="16">
        <v>74.94</v>
      </c>
      <c r="F385" s="29">
        <v>12.92</v>
      </c>
    </row>
    <row r="386" spans="1:6" x14ac:dyDescent="0.2">
      <c r="A386" s="9" t="s">
        <v>9320</v>
      </c>
      <c r="B386" s="16">
        <v>4.04</v>
      </c>
      <c r="C386" s="16">
        <v>2.91</v>
      </c>
      <c r="D386" s="16">
        <v>1.57</v>
      </c>
      <c r="E386" s="16">
        <v>0.88</v>
      </c>
      <c r="F386" s="29">
        <v>7.0000000000000007E-2</v>
      </c>
    </row>
    <row r="387" spans="1:6" x14ac:dyDescent="0.2">
      <c r="A387" s="9" t="s">
        <v>9321</v>
      </c>
      <c r="B387" s="16">
        <v>2.8</v>
      </c>
      <c r="C387" s="16">
        <v>2.0299999999999998</v>
      </c>
      <c r="D387" s="16">
        <v>1.2</v>
      </c>
      <c r="E387" s="16">
        <v>0.68</v>
      </c>
      <c r="F387" s="29">
        <v>0.06</v>
      </c>
    </row>
    <row r="388" spans="1:6" x14ac:dyDescent="0.2">
      <c r="A388" s="9" t="s">
        <v>9322</v>
      </c>
      <c r="B388" s="16">
        <v>1.88</v>
      </c>
      <c r="C388" s="16">
        <v>1.48</v>
      </c>
      <c r="D388" s="16">
        <v>0.94</v>
      </c>
      <c r="E388" s="16">
        <v>0.54</v>
      </c>
      <c r="F388" s="29">
        <v>0.06</v>
      </c>
    </row>
    <row r="389" spans="1:6" x14ac:dyDescent="0.2">
      <c r="A389" s="9" t="s">
        <v>9323</v>
      </c>
      <c r="B389" s="16">
        <v>10.53</v>
      </c>
      <c r="C389" s="16">
        <v>10.16</v>
      </c>
      <c r="D389" s="16">
        <v>9.8000000000000007</v>
      </c>
      <c r="E389" s="16">
        <v>7.89</v>
      </c>
      <c r="F389" s="29">
        <v>1.17</v>
      </c>
    </row>
    <row r="390" spans="1:6" x14ac:dyDescent="0.2">
      <c r="A390" s="9" t="s">
        <v>9324</v>
      </c>
      <c r="B390" s="16">
        <v>7.24</v>
      </c>
      <c r="C390" s="16">
        <v>6.76</v>
      </c>
      <c r="D390" s="16">
        <v>6.57</v>
      </c>
      <c r="E390" s="16">
        <v>5.09</v>
      </c>
      <c r="F390" s="29">
        <v>0.77</v>
      </c>
    </row>
    <row r="391" spans="1:6" x14ac:dyDescent="0.2">
      <c r="A391" s="9" t="s">
        <v>9325</v>
      </c>
      <c r="B391" s="16">
        <v>5.09</v>
      </c>
      <c r="C391" s="16">
        <v>4.5999999999999996</v>
      </c>
      <c r="D391" s="16">
        <v>4.25</v>
      </c>
      <c r="E391" s="16">
        <v>3.43</v>
      </c>
      <c r="F391" s="29">
        <v>0.54</v>
      </c>
    </row>
    <row r="392" spans="1:6" x14ac:dyDescent="0.2">
      <c r="A392" s="9" t="s">
        <v>9326</v>
      </c>
      <c r="B392" s="16">
        <v>76.33</v>
      </c>
      <c r="C392" s="16">
        <v>60.44</v>
      </c>
      <c r="D392" s="16">
        <v>51.36</v>
      </c>
      <c r="E392" s="16">
        <v>30.17</v>
      </c>
      <c r="F392" s="29">
        <v>6.52</v>
      </c>
    </row>
    <row r="393" spans="1:6" x14ac:dyDescent="0.2">
      <c r="A393" s="9" t="s">
        <v>9327</v>
      </c>
      <c r="B393" s="16">
        <v>71.739999999999995</v>
      </c>
      <c r="C393" s="16">
        <v>54.52</v>
      </c>
      <c r="D393" s="16">
        <v>47.71</v>
      </c>
      <c r="E393" s="16">
        <v>28.18</v>
      </c>
      <c r="F393" s="29">
        <v>6.07</v>
      </c>
    </row>
    <row r="394" spans="1:6" x14ac:dyDescent="0.2">
      <c r="A394" s="9" t="s">
        <v>9328</v>
      </c>
      <c r="B394" s="16">
        <v>232.6</v>
      </c>
      <c r="C394" s="16">
        <v>221.9</v>
      </c>
      <c r="D394" s="16">
        <v>167.9</v>
      </c>
      <c r="E394" s="16">
        <v>64.69</v>
      </c>
      <c r="F394" s="29">
        <v>12.36</v>
      </c>
    </row>
    <row r="395" spans="1:6" x14ac:dyDescent="0.2">
      <c r="A395" s="9" t="s">
        <v>9329</v>
      </c>
      <c r="B395" s="16">
        <v>215.7</v>
      </c>
      <c r="C395" s="16">
        <v>206.2</v>
      </c>
      <c r="D395" s="16">
        <v>159</v>
      </c>
      <c r="E395" s="16">
        <v>62.13</v>
      </c>
      <c r="F395" s="29">
        <v>12.12</v>
      </c>
    </row>
    <row r="396" spans="1:6" x14ac:dyDescent="0.2">
      <c r="A396" s="9" t="s">
        <v>9293</v>
      </c>
      <c r="B396" s="16">
        <v>311.39999999999998</v>
      </c>
      <c r="C396" s="16">
        <v>294.7</v>
      </c>
      <c r="D396" s="16">
        <v>202</v>
      </c>
      <c r="E396" s="16">
        <v>75</v>
      </c>
      <c r="F396" s="29">
        <v>12.93</v>
      </c>
    </row>
    <row r="397" spans="1:6" x14ac:dyDescent="0.2">
      <c r="A397" s="9" t="s">
        <v>9330</v>
      </c>
      <c r="B397" s="16">
        <v>13.27</v>
      </c>
      <c r="C397" s="16">
        <v>13.01</v>
      </c>
      <c r="D397" s="16">
        <v>12.37</v>
      </c>
      <c r="E397" s="16">
        <v>9.09</v>
      </c>
      <c r="F397" s="29">
        <v>1.19</v>
      </c>
    </row>
    <row r="398" spans="1:6" x14ac:dyDescent="0.2">
      <c r="A398" s="9" t="s">
        <v>9331</v>
      </c>
      <c r="B398" s="16">
        <v>10.61</v>
      </c>
      <c r="C398" s="16">
        <v>10.39</v>
      </c>
      <c r="D398" s="16">
        <v>9.77</v>
      </c>
      <c r="E398" s="16">
        <v>7.48</v>
      </c>
      <c r="F398" s="29">
        <v>1.07</v>
      </c>
    </row>
    <row r="399" spans="1:6" x14ac:dyDescent="0.2">
      <c r="A399" s="9" t="s">
        <v>9332</v>
      </c>
      <c r="B399" s="16">
        <v>14.09</v>
      </c>
      <c r="C399" s="16">
        <v>13.88</v>
      </c>
      <c r="D399" s="16">
        <v>13.49</v>
      </c>
      <c r="E399" s="16">
        <v>9.9</v>
      </c>
      <c r="F399" s="29">
        <v>1.29</v>
      </c>
    </row>
    <row r="400" spans="1:6" ht="15" thickBot="1" x14ac:dyDescent="0.25">
      <c r="A400" s="112" t="s">
        <v>9333</v>
      </c>
      <c r="B400" s="28">
        <v>11.58</v>
      </c>
      <c r="C400" s="28">
        <v>11.53</v>
      </c>
      <c r="D400" s="28">
        <v>10.93</v>
      </c>
      <c r="E400" s="28">
        <v>8.0500000000000007</v>
      </c>
      <c r="F400" s="113">
        <v>1.07</v>
      </c>
    </row>
    <row r="401" spans="1:6" ht="14.25" customHeight="1" x14ac:dyDescent="0.2">
      <c r="A401" s="539" t="s">
        <v>10933</v>
      </c>
      <c r="B401" s="540"/>
      <c r="C401" s="540"/>
      <c r="D401" s="540"/>
      <c r="E401" s="540"/>
      <c r="F401" s="541"/>
    </row>
    <row r="402" spans="1:6" ht="30" x14ac:dyDescent="0.2">
      <c r="A402" s="402" t="s">
        <v>9306</v>
      </c>
      <c r="B402" s="79" t="s">
        <v>10912</v>
      </c>
      <c r="C402" s="79" t="s">
        <v>10913</v>
      </c>
      <c r="D402" s="79" t="s">
        <v>10914</v>
      </c>
      <c r="E402" s="79" t="s">
        <v>10915</v>
      </c>
      <c r="F402" s="80" t="s">
        <v>10916</v>
      </c>
    </row>
    <row r="403" spans="1:6" x14ac:dyDescent="0.2">
      <c r="A403" s="9" t="s">
        <v>9314</v>
      </c>
      <c r="B403" s="16">
        <v>84.32</v>
      </c>
      <c r="C403" s="16">
        <v>79.12</v>
      </c>
      <c r="D403" s="16">
        <v>62.95</v>
      </c>
      <c r="E403" s="16">
        <v>24.78</v>
      </c>
      <c r="F403" s="29">
        <v>4.68</v>
      </c>
    </row>
    <row r="404" spans="1:6" x14ac:dyDescent="0.2">
      <c r="A404" s="9" t="s">
        <v>9315</v>
      </c>
      <c r="B404" s="16">
        <v>71.260000000000005</v>
      </c>
      <c r="C404" s="16">
        <v>66.930000000000007</v>
      </c>
      <c r="D404" s="16">
        <v>53.51</v>
      </c>
      <c r="E404" s="16">
        <v>21.22</v>
      </c>
      <c r="F404" s="29">
        <v>4.1100000000000003</v>
      </c>
    </row>
    <row r="405" spans="1:6" x14ac:dyDescent="0.2">
      <c r="A405" s="9" t="s">
        <v>9316</v>
      </c>
      <c r="B405" s="16">
        <v>60.73</v>
      </c>
      <c r="C405" s="16">
        <v>55.07</v>
      </c>
      <c r="D405" s="16">
        <v>43.83</v>
      </c>
      <c r="E405" s="16">
        <v>17.670000000000002</v>
      </c>
      <c r="F405" s="29">
        <v>3.55</v>
      </c>
    </row>
    <row r="406" spans="1:6" x14ac:dyDescent="0.2">
      <c r="A406" s="9" t="s">
        <v>9317</v>
      </c>
      <c r="B406" s="16">
        <v>53.54</v>
      </c>
      <c r="C406" s="16">
        <v>44.39</v>
      </c>
      <c r="D406" s="16">
        <v>35.200000000000003</v>
      </c>
      <c r="E406" s="16">
        <v>14.78</v>
      </c>
      <c r="F406" s="29">
        <v>3.04</v>
      </c>
    </row>
    <row r="407" spans="1:6" x14ac:dyDescent="0.2">
      <c r="A407" s="9" t="s">
        <v>9318</v>
      </c>
      <c r="B407" s="16">
        <v>46.22</v>
      </c>
      <c r="C407" s="16">
        <v>36.090000000000003</v>
      </c>
      <c r="D407" s="16">
        <v>28.15</v>
      </c>
      <c r="E407" s="16">
        <v>12.41</v>
      </c>
      <c r="F407" s="29">
        <v>2.6</v>
      </c>
    </row>
    <row r="408" spans="1:6" x14ac:dyDescent="0.2">
      <c r="A408" s="9" t="s">
        <v>9313</v>
      </c>
      <c r="B408" s="16">
        <v>115.8</v>
      </c>
      <c r="C408" s="16">
        <v>110</v>
      </c>
      <c r="D408" s="16">
        <v>83.18</v>
      </c>
      <c r="E408" s="16">
        <v>31.92</v>
      </c>
      <c r="F408" s="29">
        <v>5.98</v>
      </c>
    </row>
    <row r="409" spans="1:6" x14ac:dyDescent="0.2">
      <c r="A409" s="9" t="s">
        <v>9319</v>
      </c>
      <c r="B409" s="16">
        <v>175.5</v>
      </c>
      <c r="C409" s="16">
        <v>165.2</v>
      </c>
      <c r="D409" s="16">
        <v>108.1</v>
      </c>
      <c r="E409" s="16">
        <v>39.28</v>
      </c>
      <c r="F409" s="29">
        <v>6.37</v>
      </c>
    </row>
    <row r="410" spans="1:6" x14ac:dyDescent="0.2">
      <c r="A410" s="9" t="s">
        <v>9320</v>
      </c>
      <c r="B410" s="16">
        <v>2.68</v>
      </c>
      <c r="C410" s="16">
        <v>2.4700000000000002</v>
      </c>
      <c r="D410" s="16">
        <v>1.57</v>
      </c>
      <c r="E410" s="16">
        <v>0.88</v>
      </c>
      <c r="F410" s="29">
        <v>7.0000000000000007E-2</v>
      </c>
    </row>
    <row r="411" spans="1:6" x14ac:dyDescent="0.2">
      <c r="A411" s="9" t="s">
        <v>9321</v>
      </c>
      <c r="B411" s="16">
        <v>2.25</v>
      </c>
      <c r="C411" s="16">
        <v>1.97</v>
      </c>
      <c r="D411" s="16">
        <v>1.2</v>
      </c>
      <c r="E411" s="16">
        <v>0.68</v>
      </c>
      <c r="F411" s="29">
        <v>0.06</v>
      </c>
    </row>
    <row r="412" spans="1:6" x14ac:dyDescent="0.2">
      <c r="A412" s="9" t="s">
        <v>9322</v>
      </c>
      <c r="B412" s="16">
        <v>1.82</v>
      </c>
      <c r="C412" s="16">
        <v>1.48</v>
      </c>
      <c r="D412" s="16">
        <v>0.94</v>
      </c>
      <c r="E412" s="16">
        <v>0.54</v>
      </c>
      <c r="F412" s="29">
        <v>0.06</v>
      </c>
    </row>
    <row r="413" spans="1:6" x14ac:dyDescent="0.2">
      <c r="A413" s="9" t="s">
        <v>9323</v>
      </c>
      <c r="B413" s="16">
        <v>7.6</v>
      </c>
      <c r="C413" s="16">
        <v>7.53</v>
      </c>
      <c r="D413" s="16">
        <v>7.2</v>
      </c>
      <c r="E413" s="16">
        <v>5.67</v>
      </c>
      <c r="F413" s="29">
        <v>0.92</v>
      </c>
    </row>
    <row r="414" spans="1:6" x14ac:dyDescent="0.2">
      <c r="A414" s="9" t="s">
        <v>9324</v>
      </c>
      <c r="B414" s="16">
        <v>6.12</v>
      </c>
      <c r="C414" s="16">
        <v>5.8</v>
      </c>
      <c r="D414" s="16">
        <v>5.59</v>
      </c>
      <c r="E414" s="16">
        <v>4.57</v>
      </c>
      <c r="F414" s="29">
        <v>0.71</v>
      </c>
    </row>
    <row r="415" spans="1:6" x14ac:dyDescent="0.2">
      <c r="A415" s="9" t="s">
        <v>9325</v>
      </c>
      <c r="B415" s="16">
        <v>4.72</v>
      </c>
      <c r="C415" s="16">
        <v>4.28</v>
      </c>
      <c r="D415" s="16">
        <v>4.12</v>
      </c>
      <c r="E415" s="16">
        <v>3.43</v>
      </c>
      <c r="F415" s="29">
        <v>0.54</v>
      </c>
    </row>
    <row r="416" spans="1:6" x14ac:dyDescent="0.2">
      <c r="A416" s="9" t="s">
        <v>9326</v>
      </c>
      <c r="B416" s="16">
        <v>54.66</v>
      </c>
      <c r="C416" s="16">
        <v>47.27</v>
      </c>
      <c r="D416" s="16">
        <v>38.159999999999997</v>
      </c>
      <c r="E416" s="16">
        <v>19.3</v>
      </c>
      <c r="F416" s="29">
        <v>3.89</v>
      </c>
    </row>
    <row r="417" spans="1:6" x14ac:dyDescent="0.2">
      <c r="A417" s="9" t="s">
        <v>9327</v>
      </c>
      <c r="B417" s="16">
        <v>51.76</v>
      </c>
      <c r="C417" s="16">
        <v>44.11</v>
      </c>
      <c r="D417" s="16">
        <v>35.909999999999997</v>
      </c>
      <c r="E417" s="16">
        <v>18.260000000000002</v>
      </c>
      <c r="F417" s="29">
        <v>3.7</v>
      </c>
    </row>
    <row r="418" spans="1:6" x14ac:dyDescent="0.2">
      <c r="A418" s="9" t="s">
        <v>9328</v>
      </c>
      <c r="B418" s="16">
        <v>132.5</v>
      </c>
      <c r="C418" s="16">
        <v>125.6</v>
      </c>
      <c r="D418" s="16">
        <v>91.44</v>
      </c>
      <c r="E418" s="16">
        <v>34.22</v>
      </c>
      <c r="F418" s="29">
        <v>6.18</v>
      </c>
    </row>
    <row r="419" spans="1:6" x14ac:dyDescent="0.2">
      <c r="A419" s="9" t="s">
        <v>9329</v>
      </c>
      <c r="B419" s="16">
        <v>123.9</v>
      </c>
      <c r="C419" s="16">
        <v>117.5</v>
      </c>
      <c r="D419" s="16">
        <v>87.41</v>
      </c>
      <c r="E419" s="16">
        <v>33.15</v>
      </c>
      <c r="F419" s="29">
        <v>6.1</v>
      </c>
    </row>
    <row r="420" spans="1:6" x14ac:dyDescent="0.2">
      <c r="A420" s="9" t="s">
        <v>9293</v>
      </c>
      <c r="B420" s="16">
        <v>175.6</v>
      </c>
      <c r="C420" s="16">
        <v>165.2</v>
      </c>
      <c r="D420" s="16">
        <v>108.2</v>
      </c>
      <c r="E420" s="16">
        <v>39.29</v>
      </c>
      <c r="F420" s="29">
        <v>6.37</v>
      </c>
    </row>
    <row r="421" spans="1:6" x14ac:dyDescent="0.2">
      <c r="A421" s="9" t="s">
        <v>9330</v>
      </c>
      <c r="B421" s="16">
        <v>8.2200000000000006</v>
      </c>
      <c r="C421" s="16">
        <v>8.0500000000000007</v>
      </c>
      <c r="D421" s="16">
        <v>7.59</v>
      </c>
      <c r="E421" s="16">
        <v>5.87</v>
      </c>
      <c r="F421" s="29">
        <v>0.83</v>
      </c>
    </row>
    <row r="422" spans="1:6" x14ac:dyDescent="0.2">
      <c r="A422" s="9" t="s">
        <v>9331</v>
      </c>
      <c r="B422" s="16">
        <v>7.37</v>
      </c>
      <c r="C422" s="16">
        <v>7.23</v>
      </c>
      <c r="D422" s="16">
        <v>6.81</v>
      </c>
      <c r="E422" s="16">
        <v>5.47</v>
      </c>
      <c r="F422" s="29">
        <v>0.84</v>
      </c>
    </row>
    <row r="423" spans="1:6" x14ac:dyDescent="0.2">
      <c r="A423" s="9" t="s">
        <v>9332</v>
      </c>
      <c r="B423" s="16">
        <v>8.68</v>
      </c>
      <c r="C423" s="16">
        <v>8.51</v>
      </c>
      <c r="D423" s="16">
        <v>8.2200000000000006</v>
      </c>
      <c r="E423" s="16">
        <v>6.1</v>
      </c>
      <c r="F423" s="29">
        <v>0.87</v>
      </c>
    </row>
    <row r="424" spans="1:6" ht="15" thickBot="1" x14ac:dyDescent="0.25">
      <c r="A424" s="112" t="s">
        <v>9333</v>
      </c>
      <c r="B424" s="28">
        <v>7.6</v>
      </c>
      <c r="C424" s="28">
        <v>7.55</v>
      </c>
      <c r="D424" s="28">
        <v>7.23</v>
      </c>
      <c r="E424" s="28">
        <v>5.57</v>
      </c>
      <c r="F424" s="113">
        <v>0.79</v>
      </c>
    </row>
    <row r="425" spans="1:6" ht="14.25" customHeight="1" x14ac:dyDescent="0.2">
      <c r="A425" s="539" t="s">
        <v>10934</v>
      </c>
      <c r="B425" s="540"/>
      <c r="C425" s="540"/>
      <c r="D425" s="540"/>
      <c r="E425" s="540"/>
      <c r="F425" s="541"/>
    </row>
    <row r="426" spans="1:6" ht="30" x14ac:dyDescent="0.2">
      <c r="A426" s="402" t="s">
        <v>9306</v>
      </c>
      <c r="B426" s="79" t="s">
        <v>10912</v>
      </c>
      <c r="C426" s="79" t="s">
        <v>10913</v>
      </c>
      <c r="D426" s="79" t="s">
        <v>10914</v>
      </c>
      <c r="E426" s="79" t="s">
        <v>10915</v>
      </c>
      <c r="F426" s="80" t="s">
        <v>10916</v>
      </c>
    </row>
    <row r="427" spans="1:6" x14ac:dyDescent="0.2">
      <c r="A427" s="9" t="s">
        <v>9314</v>
      </c>
      <c r="B427" s="16">
        <v>65.95</v>
      </c>
      <c r="C427" s="16">
        <v>60.64</v>
      </c>
      <c r="D427" s="16">
        <v>47.46</v>
      </c>
      <c r="E427" s="16">
        <v>17.829999999999998</v>
      </c>
      <c r="F427" s="29">
        <v>3.15</v>
      </c>
    </row>
    <row r="428" spans="1:6" x14ac:dyDescent="0.2">
      <c r="A428" s="9" t="s">
        <v>9315</v>
      </c>
      <c r="B428" s="16">
        <v>58.3</v>
      </c>
      <c r="C428" s="16">
        <v>53.88</v>
      </c>
      <c r="D428" s="16">
        <v>42.44</v>
      </c>
      <c r="E428" s="16">
        <v>15.97</v>
      </c>
      <c r="F428" s="29">
        <v>2.87</v>
      </c>
    </row>
    <row r="429" spans="1:6" x14ac:dyDescent="0.2">
      <c r="A429" s="9" t="s">
        <v>9316</v>
      </c>
      <c r="B429" s="16">
        <v>49.68</v>
      </c>
      <c r="C429" s="16">
        <v>46.07</v>
      </c>
      <c r="D429" s="16">
        <v>36.4</v>
      </c>
      <c r="E429" s="16">
        <v>13.89</v>
      </c>
      <c r="F429" s="29">
        <v>2.56</v>
      </c>
    </row>
    <row r="430" spans="1:6" x14ac:dyDescent="0.2">
      <c r="A430" s="9" t="s">
        <v>9317</v>
      </c>
      <c r="B430" s="16">
        <v>42.43</v>
      </c>
      <c r="C430" s="16">
        <v>38.56</v>
      </c>
      <c r="D430" s="16">
        <v>30.34</v>
      </c>
      <c r="E430" s="16">
        <v>11.81</v>
      </c>
      <c r="F430" s="29">
        <v>2.25</v>
      </c>
    </row>
    <row r="431" spans="1:6" x14ac:dyDescent="0.2">
      <c r="A431" s="9" t="s">
        <v>9318</v>
      </c>
      <c r="B431" s="16">
        <v>37.909999999999997</v>
      </c>
      <c r="C431" s="16">
        <v>32.119999999999997</v>
      </c>
      <c r="D431" s="16">
        <v>24.87</v>
      </c>
      <c r="E431" s="16">
        <v>10.050000000000001</v>
      </c>
      <c r="F431" s="29">
        <v>1.97</v>
      </c>
    </row>
    <row r="432" spans="1:6" x14ac:dyDescent="0.2">
      <c r="A432" s="9" t="s">
        <v>9313</v>
      </c>
      <c r="B432" s="16">
        <v>78.37</v>
      </c>
      <c r="C432" s="16">
        <v>74.12</v>
      </c>
      <c r="D432" s="16">
        <v>56.22</v>
      </c>
      <c r="E432" s="16">
        <v>20.52</v>
      </c>
      <c r="F432" s="29">
        <v>3.69</v>
      </c>
    </row>
    <row r="433" spans="1:6" x14ac:dyDescent="0.2">
      <c r="A433" s="9" t="s">
        <v>9319</v>
      </c>
      <c r="B433" s="16">
        <v>117.2</v>
      </c>
      <c r="C433" s="16">
        <v>109.8</v>
      </c>
      <c r="D433" s="16">
        <v>73.22</v>
      </c>
      <c r="E433" s="16">
        <v>25.29</v>
      </c>
      <c r="F433" s="29">
        <v>3.87</v>
      </c>
    </row>
    <row r="434" spans="1:6" x14ac:dyDescent="0.2">
      <c r="A434" s="9" t="s">
        <v>9320</v>
      </c>
      <c r="B434" s="16">
        <v>1.96</v>
      </c>
      <c r="C434" s="16">
        <v>1.87</v>
      </c>
      <c r="D434" s="16">
        <v>1.48</v>
      </c>
      <c r="E434" s="16">
        <v>0.79</v>
      </c>
      <c r="F434" s="29">
        <v>7.0000000000000007E-2</v>
      </c>
    </row>
    <row r="435" spans="1:6" x14ac:dyDescent="0.2">
      <c r="A435" s="9" t="s">
        <v>9321</v>
      </c>
      <c r="B435" s="16">
        <v>1.73</v>
      </c>
      <c r="C435" s="16">
        <v>1.62</v>
      </c>
      <c r="D435" s="16">
        <v>1.2</v>
      </c>
      <c r="E435" s="16">
        <v>0.67</v>
      </c>
      <c r="F435" s="29">
        <v>0.06</v>
      </c>
    </row>
    <row r="436" spans="1:6" x14ac:dyDescent="0.2">
      <c r="A436" s="9" t="s">
        <v>9322</v>
      </c>
      <c r="B436" s="16">
        <v>1.46</v>
      </c>
      <c r="C436" s="16">
        <v>1.37</v>
      </c>
      <c r="D436" s="16">
        <v>0.94</v>
      </c>
      <c r="E436" s="16">
        <v>0.54</v>
      </c>
      <c r="F436" s="29">
        <v>0.06</v>
      </c>
    </row>
    <row r="437" spans="1:6" x14ac:dyDescent="0.2">
      <c r="A437" s="9" t="s">
        <v>9323</v>
      </c>
      <c r="B437" s="16">
        <v>5.86</v>
      </c>
      <c r="C437" s="16">
        <v>5.82</v>
      </c>
      <c r="D437" s="16">
        <v>5.53</v>
      </c>
      <c r="E437" s="16">
        <v>4.0599999999999996</v>
      </c>
      <c r="F437" s="29">
        <v>0.71</v>
      </c>
    </row>
    <row r="438" spans="1:6" x14ac:dyDescent="0.2">
      <c r="A438" s="9" t="s">
        <v>9324</v>
      </c>
      <c r="B438" s="16">
        <v>4.84</v>
      </c>
      <c r="C438" s="16">
        <v>4.7300000000000004</v>
      </c>
      <c r="D438" s="16">
        <v>4.57</v>
      </c>
      <c r="E438" s="16">
        <v>3.5</v>
      </c>
      <c r="F438" s="29">
        <v>0.59</v>
      </c>
    </row>
    <row r="439" spans="1:6" x14ac:dyDescent="0.2">
      <c r="A439" s="9" t="s">
        <v>9325</v>
      </c>
      <c r="B439" s="16">
        <v>4.03</v>
      </c>
      <c r="C439" s="16">
        <v>3.76</v>
      </c>
      <c r="D439" s="16">
        <v>3.61</v>
      </c>
      <c r="E439" s="16">
        <v>2.94</v>
      </c>
      <c r="F439" s="29">
        <v>0.48</v>
      </c>
    </row>
    <row r="440" spans="1:6" x14ac:dyDescent="0.2">
      <c r="A440" s="9" t="s">
        <v>9326</v>
      </c>
      <c r="B440" s="16">
        <v>42.75</v>
      </c>
      <c r="C440" s="16">
        <v>39.53</v>
      </c>
      <c r="D440" s="16">
        <v>30.59</v>
      </c>
      <c r="E440" s="16">
        <v>14.23</v>
      </c>
      <c r="F440" s="29">
        <v>2.69</v>
      </c>
    </row>
    <row r="441" spans="1:6" x14ac:dyDescent="0.2">
      <c r="A441" s="9" t="s">
        <v>9327</v>
      </c>
      <c r="B441" s="16">
        <v>40.93</v>
      </c>
      <c r="C441" s="16">
        <v>37.85</v>
      </c>
      <c r="D441" s="16">
        <v>29.44</v>
      </c>
      <c r="E441" s="16">
        <v>13.76</v>
      </c>
      <c r="F441" s="29">
        <v>2.58</v>
      </c>
    </row>
    <row r="442" spans="1:6" x14ac:dyDescent="0.2">
      <c r="A442" s="9" t="s">
        <v>9328</v>
      </c>
      <c r="B442" s="16">
        <v>88.81</v>
      </c>
      <c r="C442" s="16">
        <v>83.86</v>
      </c>
      <c r="D442" s="16">
        <v>61.43</v>
      </c>
      <c r="E442" s="16">
        <v>21.77</v>
      </c>
      <c r="F442" s="29">
        <v>3.78</v>
      </c>
    </row>
    <row r="443" spans="1:6" x14ac:dyDescent="0.2">
      <c r="A443" s="9" t="s">
        <v>9329</v>
      </c>
      <c r="B443" s="16">
        <v>83.27</v>
      </c>
      <c r="C443" s="16">
        <v>78.69</v>
      </c>
      <c r="D443" s="16">
        <v>58.78</v>
      </c>
      <c r="E443" s="16">
        <v>21.17</v>
      </c>
      <c r="F443" s="29">
        <v>3.74</v>
      </c>
    </row>
    <row r="444" spans="1:6" x14ac:dyDescent="0.2">
      <c r="A444" s="9" t="s">
        <v>9293</v>
      </c>
      <c r="B444" s="16">
        <v>117.3</v>
      </c>
      <c r="C444" s="16">
        <v>109.8</v>
      </c>
      <c r="D444" s="16">
        <v>73.25</v>
      </c>
      <c r="E444" s="16">
        <v>25.3</v>
      </c>
      <c r="F444" s="29">
        <v>3.87</v>
      </c>
    </row>
    <row r="445" spans="1:6" x14ac:dyDescent="0.2">
      <c r="A445" s="9" t="s">
        <v>9330</v>
      </c>
      <c r="B445" s="16">
        <v>5.85</v>
      </c>
      <c r="C445" s="16">
        <v>5.71</v>
      </c>
      <c r="D445" s="16">
        <v>5.42</v>
      </c>
      <c r="E445" s="16">
        <v>3.97</v>
      </c>
      <c r="F445" s="29">
        <v>0.6</v>
      </c>
    </row>
    <row r="446" spans="1:6" x14ac:dyDescent="0.2">
      <c r="A446" s="9" t="s">
        <v>9331</v>
      </c>
      <c r="B446" s="16">
        <v>5.57</v>
      </c>
      <c r="C446" s="16">
        <v>5.46</v>
      </c>
      <c r="D446" s="16">
        <v>5.19</v>
      </c>
      <c r="E446" s="16">
        <v>3.86</v>
      </c>
      <c r="F446" s="29">
        <v>0.64</v>
      </c>
    </row>
    <row r="447" spans="1:6" x14ac:dyDescent="0.2">
      <c r="A447" s="9" t="s">
        <v>9332</v>
      </c>
      <c r="B447" s="16">
        <v>6.13</v>
      </c>
      <c r="C447" s="16">
        <v>6.03</v>
      </c>
      <c r="D447" s="16">
        <v>5.71</v>
      </c>
      <c r="E447" s="16">
        <v>4.0599999999999996</v>
      </c>
      <c r="F447" s="29">
        <v>0.63</v>
      </c>
    </row>
    <row r="448" spans="1:6" ht="15" thickBot="1" x14ac:dyDescent="0.25">
      <c r="A448" s="227" t="s">
        <v>9333</v>
      </c>
      <c r="B448" s="203">
        <v>5.55</v>
      </c>
      <c r="C448" s="203">
        <v>5.49</v>
      </c>
      <c r="D448" s="203">
        <v>5.26</v>
      </c>
      <c r="E448" s="203">
        <v>3.87</v>
      </c>
      <c r="F448" s="405">
        <v>0.59</v>
      </c>
    </row>
    <row r="449" spans="1:6" ht="15" x14ac:dyDescent="0.2">
      <c r="A449" s="539" t="s">
        <v>10935</v>
      </c>
      <c r="B449" s="540"/>
      <c r="C449" s="540"/>
      <c r="D449" s="540"/>
      <c r="E449" s="540"/>
      <c r="F449" s="541"/>
    </row>
    <row r="450" spans="1:6" ht="15" x14ac:dyDescent="0.2">
      <c r="A450" s="564" t="s">
        <v>9306</v>
      </c>
      <c r="B450" s="563"/>
      <c r="C450" s="563" t="s">
        <v>10912</v>
      </c>
      <c r="D450" s="563"/>
      <c r="E450" s="563" t="s">
        <v>10916</v>
      </c>
      <c r="F450" s="847"/>
    </row>
    <row r="451" spans="1:6" x14ac:dyDescent="0.2">
      <c r="A451" s="530" t="s">
        <v>9334</v>
      </c>
      <c r="B451" s="531"/>
      <c r="C451" s="531">
        <v>1694.7</v>
      </c>
      <c r="D451" s="531"/>
      <c r="E451" s="531">
        <v>165.2</v>
      </c>
      <c r="F451" s="538"/>
    </row>
    <row r="452" spans="1:6" x14ac:dyDescent="0.2">
      <c r="A452" s="530" t="s">
        <v>9335</v>
      </c>
      <c r="B452" s="531"/>
      <c r="C452" s="531">
        <v>1130.9000000000001</v>
      </c>
      <c r="D452" s="531"/>
      <c r="E452" s="531">
        <v>71.09</v>
      </c>
      <c r="F452" s="538"/>
    </row>
    <row r="453" spans="1:6" x14ac:dyDescent="0.2">
      <c r="A453" s="530" t="s">
        <v>9336</v>
      </c>
      <c r="B453" s="531"/>
      <c r="C453" s="531">
        <v>829.7</v>
      </c>
      <c r="D453" s="531"/>
      <c r="E453" s="531">
        <v>33.979999999999997</v>
      </c>
      <c r="F453" s="538"/>
    </row>
    <row r="454" spans="1:6" x14ac:dyDescent="0.2">
      <c r="A454" s="530" t="s">
        <v>9337</v>
      </c>
      <c r="B454" s="531"/>
      <c r="C454" s="531">
        <v>476.7</v>
      </c>
      <c r="D454" s="531"/>
      <c r="E454" s="531">
        <v>10.09</v>
      </c>
      <c r="F454" s="538"/>
    </row>
    <row r="455" spans="1:6" x14ac:dyDescent="0.2">
      <c r="A455" s="530" t="s">
        <v>9338</v>
      </c>
      <c r="B455" s="531"/>
      <c r="C455" s="531">
        <v>245.2</v>
      </c>
      <c r="D455" s="531"/>
      <c r="E455" s="531">
        <v>4.49</v>
      </c>
      <c r="F455" s="538"/>
    </row>
    <row r="456" spans="1:6" ht="15" thickBot="1" x14ac:dyDescent="0.25">
      <c r="A456" s="483" t="s">
        <v>9339</v>
      </c>
      <c r="B456" s="484"/>
      <c r="C456" s="484">
        <v>152.6</v>
      </c>
      <c r="D456" s="484"/>
      <c r="E456" s="484">
        <v>2.35</v>
      </c>
      <c r="F456" s="485"/>
    </row>
    <row r="457" spans="1:6" ht="14.25" customHeight="1" x14ac:dyDescent="0.2">
      <c r="A457" s="539" t="s">
        <v>10936</v>
      </c>
      <c r="B457" s="540"/>
      <c r="C457" s="540"/>
      <c r="D457" s="540"/>
      <c r="E457" s="540"/>
      <c r="F457" s="541"/>
    </row>
    <row r="458" spans="1:6" ht="30" x14ac:dyDescent="0.2">
      <c r="A458" s="402" t="s">
        <v>9306</v>
      </c>
      <c r="B458" s="79" t="s">
        <v>10912</v>
      </c>
      <c r="C458" s="79" t="s">
        <v>10913</v>
      </c>
      <c r="D458" s="79" t="s">
        <v>10914</v>
      </c>
      <c r="E458" s="79" t="s">
        <v>10915</v>
      </c>
      <c r="F458" s="80" t="s">
        <v>10916</v>
      </c>
    </row>
    <row r="459" spans="1:6" x14ac:dyDescent="0.2">
      <c r="A459" s="9" t="s">
        <v>9314</v>
      </c>
      <c r="B459" s="16">
        <v>675.5</v>
      </c>
      <c r="C459" s="16">
        <v>535.9</v>
      </c>
      <c r="D459" s="16">
        <v>346</v>
      </c>
      <c r="E459" s="16">
        <v>182</v>
      </c>
      <c r="F459" s="29">
        <v>52.9</v>
      </c>
    </row>
    <row r="460" spans="1:6" x14ac:dyDescent="0.2">
      <c r="A460" s="9" t="s">
        <v>9315</v>
      </c>
      <c r="B460" s="16">
        <v>542.9</v>
      </c>
      <c r="C460" s="16">
        <v>452.6</v>
      </c>
      <c r="D460" s="16">
        <v>288.89999999999998</v>
      </c>
      <c r="E460" s="16">
        <v>151.80000000000001</v>
      </c>
      <c r="F460" s="29">
        <v>43.53</v>
      </c>
    </row>
    <row r="461" spans="1:6" x14ac:dyDescent="0.2">
      <c r="A461" s="9" t="s">
        <v>9316</v>
      </c>
      <c r="B461" s="16">
        <v>454.2</v>
      </c>
      <c r="C461" s="16">
        <v>391.1</v>
      </c>
      <c r="D461" s="16">
        <v>247</v>
      </c>
      <c r="E461" s="16">
        <v>130</v>
      </c>
      <c r="F461" s="29">
        <v>36.79</v>
      </c>
    </row>
    <row r="462" spans="1:6" x14ac:dyDescent="0.2">
      <c r="A462" s="9" t="s">
        <v>9317</v>
      </c>
      <c r="B462" s="16">
        <v>396.1</v>
      </c>
      <c r="C462" s="16">
        <v>344.8</v>
      </c>
      <c r="D462" s="16">
        <v>215.8</v>
      </c>
      <c r="E462" s="16">
        <v>114.3</v>
      </c>
      <c r="F462" s="29">
        <v>31.82</v>
      </c>
    </row>
    <row r="463" spans="1:6" x14ac:dyDescent="0.2">
      <c r="A463" s="9" t="s">
        <v>9318</v>
      </c>
      <c r="B463" s="16">
        <v>356.8</v>
      </c>
      <c r="C463" s="16">
        <v>308</v>
      </c>
      <c r="D463" s="16">
        <v>191.4</v>
      </c>
      <c r="E463" s="16">
        <v>101.9</v>
      </c>
      <c r="F463" s="29">
        <v>27.97</v>
      </c>
    </row>
    <row r="464" spans="1:6" x14ac:dyDescent="0.2">
      <c r="A464" s="9" t="s">
        <v>9313</v>
      </c>
      <c r="B464" s="16">
        <v>3156.5</v>
      </c>
      <c r="C464" s="16">
        <v>1766.1</v>
      </c>
      <c r="D464" s="16">
        <v>1212.7</v>
      </c>
      <c r="E464" s="16">
        <v>629.29999999999995</v>
      </c>
      <c r="F464" s="29">
        <v>192.4</v>
      </c>
    </row>
    <row r="465" spans="1:6" x14ac:dyDescent="0.2">
      <c r="A465" s="9" t="s">
        <v>9319</v>
      </c>
      <c r="B465" s="16">
        <v>18973.3</v>
      </c>
      <c r="C465" s="16">
        <v>16696.900000000001</v>
      </c>
      <c r="D465" s="16">
        <v>10374.1</v>
      </c>
      <c r="E465" s="16">
        <v>5467.8</v>
      </c>
      <c r="F465" s="29">
        <v>1605</v>
      </c>
    </row>
    <row r="466" spans="1:6" x14ac:dyDescent="0.2">
      <c r="A466" s="9" t="s">
        <v>9320</v>
      </c>
      <c r="B466" s="16">
        <v>4.93</v>
      </c>
      <c r="C466" s="16">
        <v>3.63</v>
      </c>
      <c r="D466" s="16">
        <v>3.21</v>
      </c>
      <c r="E466" s="16">
        <v>1.91</v>
      </c>
      <c r="F466" s="29">
        <v>0.15</v>
      </c>
    </row>
    <row r="467" spans="1:6" x14ac:dyDescent="0.2">
      <c r="A467" s="9" t="s">
        <v>9321</v>
      </c>
      <c r="B467" s="16">
        <v>3.03</v>
      </c>
      <c r="C467" s="16">
        <v>2.37</v>
      </c>
      <c r="D467" s="16">
        <v>2.11</v>
      </c>
      <c r="E467" s="16">
        <v>1.38</v>
      </c>
      <c r="F467" s="29">
        <v>0.13</v>
      </c>
    </row>
    <row r="468" spans="1:6" x14ac:dyDescent="0.2">
      <c r="A468" s="9" t="s">
        <v>9322</v>
      </c>
      <c r="B468" s="16">
        <v>1.97</v>
      </c>
      <c r="C468" s="16">
        <v>1.7</v>
      </c>
      <c r="D468" s="16">
        <v>1.53</v>
      </c>
      <c r="E468" s="16">
        <v>1.04</v>
      </c>
      <c r="F468" s="29">
        <v>0.1</v>
      </c>
    </row>
    <row r="469" spans="1:6" x14ac:dyDescent="0.2">
      <c r="A469" s="9" t="s">
        <v>9323</v>
      </c>
      <c r="B469" s="16">
        <v>11.67</v>
      </c>
      <c r="C469" s="16">
        <v>11.26</v>
      </c>
      <c r="D469" s="16">
        <v>10.98</v>
      </c>
      <c r="E469" s="16">
        <v>9.31</v>
      </c>
      <c r="F469" s="29">
        <v>2.0099999999999998</v>
      </c>
    </row>
    <row r="470" spans="1:6" x14ac:dyDescent="0.2">
      <c r="A470" s="9" t="s">
        <v>9324</v>
      </c>
      <c r="B470" s="16">
        <v>7.23</v>
      </c>
      <c r="C470" s="16">
        <v>6.55</v>
      </c>
      <c r="D470" s="16">
        <v>6.39</v>
      </c>
      <c r="E470" s="16">
        <v>5.55</v>
      </c>
      <c r="F470" s="29">
        <v>1.25</v>
      </c>
    </row>
    <row r="471" spans="1:6" x14ac:dyDescent="0.2">
      <c r="A471" s="9" t="s">
        <v>9325</v>
      </c>
      <c r="B471" s="16">
        <v>5.59</v>
      </c>
      <c r="C471" s="16">
        <v>4.6100000000000003</v>
      </c>
      <c r="D471" s="16">
        <v>4.0999999999999996</v>
      </c>
      <c r="E471" s="16">
        <v>3.61</v>
      </c>
      <c r="F471" s="29">
        <v>0.84</v>
      </c>
    </row>
    <row r="472" spans="1:6" x14ac:dyDescent="0.2">
      <c r="A472" s="9" t="s">
        <v>9326</v>
      </c>
      <c r="B472" s="16">
        <v>262</v>
      </c>
      <c r="C472" s="16">
        <v>255.2</v>
      </c>
      <c r="D472" s="16">
        <v>242.1</v>
      </c>
      <c r="E472" s="16">
        <v>188</v>
      </c>
      <c r="F472" s="29">
        <v>54.36</v>
      </c>
    </row>
    <row r="473" spans="1:6" x14ac:dyDescent="0.2">
      <c r="A473" s="9" t="s">
        <v>9327</v>
      </c>
      <c r="B473" s="16">
        <v>140.5</v>
      </c>
      <c r="C473" s="16">
        <v>135.30000000000001</v>
      </c>
      <c r="D473" s="16">
        <v>131.80000000000001</v>
      </c>
      <c r="E473" s="16">
        <v>95.89</v>
      </c>
      <c r="F473" s="29">
        <v>28.32</v>
      </c>
    </row>
    <row r="474" spans="1:6" x14ac:dyDescent="0.2">
      <c r="A474" s="9" t="s">
        <v>9328</v>
      </c>
      <c r="B474" s="16">
        <v>5397.4</v>
      </c>
      <c r="C474" s="16">
        <v>2290.8000000000002</v>
      </c>
      <c r="D474" s="16">
        <v>1416</v>
      </c>
      <c r="E474" s="16">
        <v>758.7</v>
      </c>
      <c r="F474" s="29">
        <v>225.8</v>
      </c>
    </row>
    <row r="475" spans="1:6" x14ac:dyDescent="0.2">
      <c r="A475" s="9" t="s">
        <v>9329</v>
      </c>
      <c r="B475" s="16">
        <v>3232.7</v>
      </c>
      <c r="C475" s="16">
        <v>1283.4000000000001</v>
      </c>
      <c r="D475" s="16">
        <v>810.5</v>
      </c>
      <c r="E475" s="16">
        <v>408.6</v>
      </c>
      <c r="F475" s="29">
        <v>119.3</v>
      </c>
    </row>
    <row r="476" spans="1:6" x14ac:dyDescent="0.2">
      <c r="A476" s="9" t="s">
        <v>9293</v>
      </c>
      <c r="B476" s="16">
        <v>19161.3</v>
      </c>
      <c r="C476" s="16">
        <v>16174.3</v>
      </c>
      <c r="D476" s="16">
        <v>10087.299999999999</v>
      </c>
      <c r="E476" s="16">
        <v>5357.3</v>
      </c>
      <c r="F476" s="29">
        <v>1569.3</v>
      </c>
    </row>
    <row r="477" spans="1:6" x14ac:dyDescent="0.2">
      <c r="A477" s="9" t="s">
        <v>9330</v>
      </c>
      <c r="B477" s="16">
        <v>57.43</v>
      </c>
      <c r="C477" s="16">
        <v>52</v>
      </c>
      <c r="D477" s="16">
        <v>45.99</v>
      </c>
      <c r="E477" s="16">
        <v>29.7</v>
      </c>
      <c r="F477" s="29">
        <v>4</v>
      </c>
    </row>
    <row r="478" spans="1:6" x14ac:dyDescent="0.2">
      <c r="A478" s="9" t="s">
        <v>9331</v>
      </c>
      <c r="B478" s="16">
        <v>14.4</v>
      </c>
      <c r="C478" s="16">
        <v>14.1</v>
      </c>
      <c r="D478" s="16">
        <v>13.52</v>
      </c>
      <c r="E478" s="16">
        <v>11.4</v>
      </c>
      <c r="F478" s="29">
        <v>2.11</v>
      </c>
    </row>
    <row r="479" spans="1:6" x14ac:dyDescent="0.2">
      <c r="A479" s="9" t="s">
        <v>9332</v>
      </c>
      <c r="B479" s="16">
        <v>76.819999999999993</v>
      </c>
      <c r="C479" s="16">
        <v>68.02</v>
      </c>
      <c r="D479" s="16">
        <v>61.88</v>
      </c>
      <c r="E479" s="16">
        <v>44.16</v>
      </c>
      <c r="F479" s="29">
        <v>4.8499999999999996</v>
      </c>
    </row>
    <row r="480" spans="1:6" ht="15" thickBot="1" x14ac:dyDescent="0.25">
      <c r="A480" s="227" t="s">
        <v>9333</v>
      </c>
      <c r="B480" s="203">
        <v>25.33</v>
      </c>
      <c r="C480" s="203">
        <v>25.24</v>
      </c>
      <c r="D480" s="203">
        <v>23.72</v>
      </c>
      <c r="E480" s="203">
        <v>19.32</v>
      </c>
      <c r="F480" s="405">
        <v>2.61</v>
      </c>
    </row>
    <row r="481" spans="1:6" ht="14.25" customHeight="1" x14ac:dyDescent="0.2">
      <c r="A481" s="539" t="s">
        <v>10937</v>
      </c>
      <c r="B481" s="540"/>
      <c r="C481" s="540"/>
      <c r="D481" s="540"/>
      <c r="E481" s="540"/>
      <c r="F481" s="541"/>
    </row>
    <row r="482" spans="1:6" ht="30" x14ac:dyDescent="0.2">
      <c r="A482" s="402" t="s">
        <v>9306</v>
      </c>
      <c r="B482" s="79" t="s">
        <v>10912</v>
      </c>
      <c r="C482" s="79" t="s">
        <v>10913</v>
      </c>
      <c r="D482" s="79" t="s">
        <v>10914</v>
      </c>
      <c r="E482" s="79" t="s">
        <v>10915</v>
      </c>
      <c r="F482" s="80" t="s">
        <v>10916</v>
      </c>
    </row>
    <row r="483" spans="1:6" x14ac:dyDescent="0.2">
      <c r="A483" s="9" t="s">
        <v>9314</v>
      </c>
      <c r="B483" s="16">
        <v>545</v>
      </c>
      <c r="C483" s="16">
        <v>296.39999999999998</v>
      </c>
      <c r="D483" s="16">
        <v>203.4</v>
      </c>
      <c r="E483" s="16">
        <v>103.4</v>
      </c>
      <c r="F483" s="29">
        <v>29.68</v>
      </c>
    </row>
    <row r="484" spans="1:6" x14ac:dyDescent="0.2">
      <c r="A484" s="9" t="s">
        <v>9315</v>
      </c>
      <c r="B484" s="16">
        <v>409.4</v>
      </c>
      <c r="C484" s="16">
        <v>242.9</v>
      </c>
      <c r="D484" s="16">
        <v>163.6</v>
      </c>
      <c r="E484" s="16">
        <v>83.72</v>
      </c>
      <c r="F484" s="29">
        <v>23.6</v>
      </c>
    </row>
    <row r="485" spans="1:6" x14ac:dyDescent="0.2">
      <c r="A485" s="9" t="s">
        <v>9316</v>
      </c>
      <c r="B485" s="16">
        <v>321.39999999999998</v>
      </c>
      <c r="C485" s="16">
        <v>206</v>
      </c>
      <c r="D485" s="16">
        <v>136.1</v>
      </c>
      <c r="E485" s="16">
        <v>70.38</v>
      </c>
      <c r="F485" s="29">
        <v>19.52</v>
      </c>
    </row>
    <row r="486" spans="1:6" x14ac:dyDescent="0.2">
      <c r="A486" s="9" t="s">
        <v>9317</v>
      </c>
      <c r="B486" s="16">
        <v>262.5</v>
      </c>
      <c r="C486" s="16">
        <v>179.9</v>
      </c>
      <c r="D486" s="16">
        <v>116.6</v>
      </c>
      <c r="E486" s="16">
        <v>60.85</v>
      </c>
      <c r="F486" s="29">
        <v>16.62</v>
      </c>
    </row>
    <row r="487" spans="1:6" x14ac:dyDescent="0.2">
      <c r="A487" s="9" t="s">
        <v>9318</v>
      </c>
      <c r="B487" s="16">
        <v>221.3</v>
      </c>
      <c r="C487" s="16">
        <v>160</v>
      </c>
      <c r="D487" s="16">
        <v>101.9</v>
      </c>
      <c r="E487" s="16">
        <v>53.61</v>
      </c>
      <c r="F487" s="29">
        <v>14.45</v>
      </c>
    </row>
    <row r="488" spans="1:6" x14ac:dyDescent="0.2">
      <c r="A488" s="9" t="s">
        <v>9313</v>
      </c>
      <c r="B488" s="16">
        <v>2165.1999999999998</v>
      </c>
      <c r="C488" s="16">
        <v>1363.6</v>
      </c>
      <c r="D488" s="16">
        <v>934.2</v>
      </c>
      <c r="E488" s="16">
        <v>488.5</v>
      </c>
      <c r="F488" s="29">
        <v>148</v>
      </c>
    </row>
    <row r="489" spans="1:6" x14ac:dyDescent="0.2">
      <c r="A489" s="9" t="s">
        <v>9319</v>
      </c>
      <c r="B489" s="16">
        <v>9165.7999999999993</v>
      </c>
      <c r="C489" s="16">
        <v>7750.7</v>
      </c>
      <c r="D489" s="16">
        <v>4608.6000000000004</v>
      </c>
      <c r="E489" s="16">
        <v>2328</v>
      </c>
      <c r="F489" s="29">
        <v>638</v>
      </c>
    </row>
    <row r="490" spans="1:6" x14ac:dyDescent="0.2">
      <c r="A490" s="9" t="s">
        <v>9320</v>
      </c>
      <c r="B490" s="16">
        <v>4.93</v>
      </c>
      <c r="C490" s="16">
        <v>3.63</v>
      </c>
      <c r="D490" s="16">
        <v>3.21</v>
      </c>
      <c r="E490" s="16">
        <v>1.91</v>
      </c>
      <c r="F490" s="29">
        <v>0.15</v>
      </c>
    </row>
    <row r="491" spans="1:6" x14ac:dyDescent="0.2">
      <c r="A491" s="9" t="s">
        <v>9321</v>
      </c>
      <c r="B491" s="16">
        <v>3.03</v>
      </c>
      <c r="C491" s="16">
        <v>2.37</v>
      </c>
      <c r="D491" s="16">
        <v>2.11</v>
      </c>
      <c r="E491" s="16">
        <v>1.38</v>
      </c>
      <c r="F491" s="29">
        <v>0.13</v>
      </c>
    </row>
    <row r="492" spans="1:6" x14ac:dyDescent="0.2">
      <c r="A492" s="9" t="s">
        <v>9322</v>
      </c>
      <c r="B492" s="16">
        <v>1.97</v>
      </c>
      <c r="C492" s="16">
        <v>1.7</v>
      </c>
      <c r="D492" s="16">
        <v>1.53</v>
      </c>
      <c r="E492" s="16">
        <v>1.04</v>
      </c>
      <c r="F492" s="29">
        <v>0.1</v>
      </c>
    </row>
    <row r="493" spans="1:6" x14ac:dyDescent="0.2">
      <c r="A493" s="9" t="s">
        <v>9323</v>
      </c>
      <c r="B493" s="16">
        <v>11.67</v>
      </c>
      <c r="C493" s="16">
        <v>11.26</v>
      </c>
      <c r="D493" s="16">
        <v>10.98</v>
      </c>
      <c r="E493" s="16">
        <v>9.31</v>
      </c>
      <c r="F493" s="29">
        <v>2.0099999999999998</v>
      </c>
    </row>
    <row r="494" spans="1:6" x14ac:dyDescent="0.2">
      <c r="A494" s="9" t="s">
        <v>9324</v>
      </c>
      <c r="B494" s="16">
        <v>7.23</v>
      </c>
      <c r="C494" s="16">
        <v>6.55</v>
      </c>
      <c r="D494" s="16">
        <v>6.39</v>
      </c>
      <c r="E494" s="16">
        <v>5.55</v>
      </c>
      <c r="F494" s="29">
        <v>1.25</v>
      </c>
    </row>
    <row r="495" spans="1:6" x14ac:dyDescent="0.2">
      <c r="A495" s="9" t="s">
        <v>9325</v>
      </c>
      <c r="B495" s="16">
        <v>5.59</v>
      </c>
      <c r="C495" s="16">
        <v>4.6100000000000003</v>
      </c>
      <c r="D495" s="16">
        <v>4.0999999999999996</v>
      </c>
      <c r="E495" s="16">
        <v>3.61</v>
      </c>
      <c r="F495" s="29">
        <v>0.84</v>
      </c>
    </row>
    <row r="496" spans="1:6" x14ac:dyDescent="0.2">
      <c r="A496" s="9" t="s">
        <v>9326</v>
      </c>
      <c r="B496" s="16">
        <v>262</v>
      </c>
      <c r="C496" s="16">
        <v>255.2</v>
      </c>
      <c r="D496" s="16">
        <v>242.1</v>
      </c>
      <c r="E496" s="16">
        <v>188</v>
      </c>
      <c r="F496" s="29">
        <v>54.36</v>
      </c>
    </row>
    <row r="497" spans="1:6" x14ac:dyDescent="0.2">
      <c r="A497" s="9" t="s">
        <v>9327</v>
      </c>
      <c r="B497" s="16">
        <v>140.5</v>
      </c>
      <c r="C497" s="16">
        <v>135.30000000000001</v>
      </c>
      <c r="D497" s="16">
        <v>131.80000000000001</v>
      </c>
      <c r="E497" s="16">
        <v>95.89</v>
      </c>
      <c r="F497" s="29">
        <v>28.32</v>
      </c>
    </row>
    <row r="498" spans="1:6" x14ac:dyDescent="0.2">
      <c r="A498" s="9" t="s">
        <v>9328</v>
      </c>
      <c r="B498" s="16">
        <v>3500.7</v>
      </c>
      <c r="C498" s="16">
        <v>2027.9</v>
      </c>
      <c r="D498" s="16">
        <v>1416</v>
      </c>
      <c r="E498" s="16">
        <v>758.7</v>
      </c>
      <c r="F498" s="29">
        <v>225.8</v>
      </c>
    </row>
    <row r="499" spans="1:6" x14ac:dyDescent="0.2">
      <c r="A499" s="9" t="s">
        <v>9329</v>
      </c>
      <c r="B499" s="16">
        <v>2697.3</v>
      </c>
      <c r="C499" s="16">
        <v>1241.4000000000001</v>
      </c>
      <c r="D499" s="16">
        <v>810.5</v>
      </c>
      <c r="E499" s="16">
        <v>408.6</v>
      </c>
      <c r="F499" s="29">
        <v>119.3</v>
      </c>
    </row>
    <row r="500" spans="1:6" x14ac:dyDescent="0.2">
      <c r="A500" s="9" t="s">
        <v>9293</v>
      </c>
      <c r="B500" s="16">
        <v>9398</v>
      </c>
      <c r="C500" s="16">
        <v>7945.6</v>
      </c>
      <c r="D500" s="16">
        <v>4724.3</v>
      </c>
      <c r="E500" s="16">
        <v>2384.9</v>
      </c>
      <c r="F500" s="29">
        <v>653.29999999999995</v>
      </c>
    </row>
    <row r="501" spans="1:6" x14ac:dyDescent="0.2">
      <c r="A501" s="9" t="s">
        <v>9330</v>
      </c>
      <c r="B501" s="16">
        <v>57.43</v>
      </c>
      <c r="C501" s="16">
        <v>52</v>
      </c>
      <c r="D501" s="16">
        <v>45.99</v>
      </c>
      <c r="E501" s="16">
        <v>29.7</v>
      </c>
      <c r="F501" s="29">
        <v>4</v>
      </c>
    </row>
    <row r="502" spans="1:6" x14ac:dyDescent="0.2">
      <c r="A502" s="9" t="s">
        <v>9331</v>
      </c>
      <c r="B502" s="16">
        <v>14.4</v>
      </c>
      <c r="C502" s="16">
        <v>14.1</v>
      </c>
      <c r="D502" s="16">
        <v>13.52</v>
      </c>
      <c r="E502" s="16">
        <v>11.4</v>
      </c>
      <c r="F502" s="29">
        <v>2.11</v>
      </c>
    </row>
    <row r="503" spans="1:6" x14ac:dyDescent="0.2">
      <c r="A503" s="9" t="s">
        <v>9332</v>
      </c>
      <c r="B503" s="16">
        <v>76.819999999999993</v>
      </c>
      <c r="C503" s="16">
        <v>68.02</v>
      </c>
      <c r="D503" s="16">
        <v>61.88</v>
      </c>
      <c r="E503" s="16">
        <v>44.16</v>
      </c>
      <c r="F503" s="29">
        <v>4.8499999999999996</v>
      </c>
    </row>
    <row r="504" spans="1:6" ht="15" thickBot="1" x14ac:dyDescent="0.25">
      <c r="A504" s="227" t="s">
        <v>9333</v>
      </c>
      <c r="B504" s="203">
        <v>25.33</v>
      </c>
      <c r="C504" s="203">
        <v>25.24</v>
      </c>
      <c r="D504" s="203">
        <v>23.72</v>
      </c>
      <c r="E504" s="203">
        <v>19.32</v>
      </c>
      <c r="F504" s="405">
        <v>2.61</v>
      </c>
    </row>
    <row r="505" spans="1:6" ht="14.25" customHeight="1" x14ac:dyDescent="0.2">
      <c r="A505" s="539" t="s">
        <v>10938</v>
      </c>
      <c r="B505" s="540"/>
      <c r="C505" s="540"/>
      <c r="D505" s="540"/>
      <c r="E505" s="540"/>
      <c r="F505" s="541"/>
    </row>
    <row r="506" spans="1:6" ht="30" x14ac:dyDescent="0.2">
      <c r="A506" s="402" t="s">
        <v>9306</v>
      </c>
      <c r="B506" s="79" t="s">
        <v>10912</v>
      </c>
      <c r="C506" s="79" t="s">
        <v>10913</v>
      </c>
      <c r="D506" s="79" t="s">
        <v>10914</v>
      </c>
      <c r="E506" s="79" t="s">
        <v>10915</v>
      </c>
      <c r="F506" s="80" t="s">
        <v>10916</v>
      </c>
    </row>
    <row r="507" spans="1:6" x14ac:dyDescent="0.2">
      <c r="A507" s="9" t="s">
        <v>9314</v>
      </c>
      <c r="B507" s="16">
        <v>434.5</v>
      </c>
      <c r="C507" s="16">
        <v>187.6</v>
      </c>
      <c r="D507" s="16">
        <v>139.6</v>
      </c>
      <c r="E507" s="16">
        <v>70.44</v>
      </c>
      <c r="F507" s="29">
        <v>20.309999999999999</v>
      </c>
    </row>
    <row r="508" spans="1:6" x14ac:dyDescent="0.2">
      <c r="A508" s="9" t="s">
        <v>9315</v>
      </c>
      <c r="B508" s="16">
        <v>346.1</v>
      </c>
      <c r="C508" s="16">
        <v>148.1</v>
      </c>
      <c r="D508" s="16">
        <v>107.8</v>
      </c>
      <c r="E508" s="16">
        <v>53.78</v>
      </c>
      <c r="F508" s="29">
        <v>15.21</v>
      </c>
    </row>
    <row r="509" spans="1:6" x14ac:dyDescent="0.2">
      <c r="A509" s="9" t="s">
        <v>9316</v>
      </c>
      <c r="B509" s="16">
        <v>276.89999999999998</v>
      </c>
      <c r="C509" s="16">
        <v>119.1</v>
      </c>
      <c r="D509" s="16">
        <v>86.5</v>
      </c>
      <c r="E509" s="16">
        <v>43.15</v>
      </c>
      <c r="F509" s="29">
        <v>11.99</v>
      </c>
    </row>
    <row r="510" spans="1:6" x14ac:dyDescent="0.2">
      <c r="A510" s="9" t="s">
        <v>9317</v>
      </c>
      <c r="B510" s="16">
        <v>224.3</v>
      </c>
      <c r="C510" s="16">
        <v>99.87</v>
      </c>
      <c r="D510" s="16">
        <v>71.8</v>
      </c>
      <c r="E510" s="16">
        <v>35.979999999999997</v>
      </c>
      <c r="F510" s="29">
        <v>9.85</v>
      </c>
    </row>
    <row r="511" spans="1:6" x14ac:dyDescent="0.2">
      <c r="A511" s="9" t="s">
        <v>9318</v>
      </c>
      <c r="B511" s="16">
        <v>184.7</v>
      </c>
      <c r="C511" s="16">
        <v>86.84</v>
      </c>
      <c r="D511" s="16">
        <v>61.12</v>
      </c>
      <c r="E511" s="16">
        <v>30.8</v>
      </c>
      <c r="F511" s="29">
        <v>8.32</v>
      </c>
    </row>
    <row r="512" spans="1:6" x14ac:dyDescent="0.2">
      <c r="A512" s="9" t="s">
        <v>9313</v>
      </c>
      <c r="B512" s="16">
        <v>1171.3</v>
      </c>
      <c r="C512" s="16">
        <v>1010.4</v>
      </c>
      <c r="D512" s="16">
        <v>634.20000000000005</v>
      </c>
      <c r="E512" s="16">
        <v>337.1</v>
      </c>
      <c r="F512" s="29">
        <v>99.14</v>
      </c>
    </row>
    <row r="513" spans="1:6" x14ac:dyDescent="0.2">
      <c r="A513" s="9" t="s">
        <v>9319</v>
      </c>
      <c r="B513" s="16">
        <v>3520.6</v>
      </c>
      <c r="C513" s="16">
        <v>2881.7</v>
      </c>
      <c r="D513" s="16">
        <v>1622.6</v>
      </c>
      <c r="E513" s="16">
        <v>764.2</v>
      </c>
      <c r="F513" s="29">
        <v>194.24</v>
      </c>
    </row>
    <row r="514" spans="1:6" x14ac:dyDescent="0.2">
      <c r="A514" s="9" t="s">
        <v>9320</v>
      </c>
      <c r="B514" s="16">
        <v>4.93</v>
      </c>
      <c r="C514" s="16">
        <v>3.63</v>
      </c>
      <c r="D514" s="16">
        <v>3.21</v>
      </c>
      <c r="E514" s="16">
        <v>1.91</v>
      </c>
      <c r="F514" s="29">
        <v>0.15</v>
      </c>
    </row>
    <row r="515" spans="1:6" x14ac:dyDescent="0.2">
      <c r="A515" s="9" t="s">
        <v>9321</v>
      </c>
      <c r="B515" s="16">
        <v>3.03</v>
      </c>
      <c r="C515" s="16">
        <v>2.37</v>
      </c>
      <c r="D515" s="16">
        <v>2.11</v>
      </c>
      <c r="E515" s="16">
        <v>1.38</v>
      </c>
      <c r="F515" s="29">
        <v>0.13</v>
      </c>
    </row>
    <row r="516" spans="1:6" x14ac:dyDescent="0.2">
      <c r="A516" s="9" t="s">
        <v>9322</v>
      </c>
      <c r="B516" s="16">
        <v>1.97</v>
      </c>
      <c r="C516" s="16">
        <v>1.7</v>
      </c>
      <c r="D516" s="16">
        <v>1.53</v>
      </c>
      <c r="E516" s="16">
        <v>1.04</v>
      </c>
      <c r="F516" s="29">
        <v>0.1</v>
      </c>
    </row>
    <row r="517" spans="1:6" x14ac:dyDescent="0.2">
      <c r="A517" s="9" t="s">
        <v>9323</v>
      </c>
      <c r="B517" s="16">
        <v>11.67</v>
      </c>
      <c r="C517" s="16">
        <v>11.26</v>
      </c>
      <c r="D517" s="16">
        <v>10.98</v>
      </c>
      <c r="E517" s="16">
        <v>9.31</v>
      </c>
      <c r="F517" s="29">
        <v>2.0099999999999998</v>
      </c>
    </row>
    <row r="518" spans="1:6" x14ac:dyDescent="0.2">
      <c r="A518" s="9" t="s">
        <v>9324</v>
      </c>
      <c r="B518" s="16">
        <v>7.23</v>
      </c>
      <c r="C518" s="16">
        <v>6.55</v>
      </c>
      <c r="D518" s="16">
        <v>6.39</v>
      </c>
      <c r="E518" s="16">
        <v>5.55</v>
      </c>
      <c r="F518" s="29">
        <v>1.25</v>
      </c>
    </row>
    <row r="519" spans="1:6" x14ac:dyDescent="0.2">
      <c r="A519" s="9" t="s">
        <v>9325</v>
      </c>
      <c r="B519" s="16">
        <v>5.59</v>
      </c>
      <c r="C519" s="16">
        <v>4.6100000000000003</v>
      </c>
      <c r="D519" s="16">
        <v>4.0999999999999996</v>
      </c>
      <c r="E519" s="16">
        <v>3.61</v>
      </c>
      <c r="F519" s="29">
        <v>0.84</v>
      </c>
    </row>
    <row r="520" spans="1:6" x14ac:dyDescent="0.2">
      <c r="A520" s="9" t="s">
        <v>9326</v>
      </c>
      <c r="B520" s="16">
        <v>251.9</v>
      </c>
      <c r="C520" s="16">
        <v>246.4</v>
      </c>
      <c r="D520" s="16">
        <v>237.3</v>
      </c>
      <c r="E520" s="16">
        <v>185.2</v>
      </c>
      <c r="F520" s="29">
        <v>54.36</v>
      </c>
    </row>
    <row r="521" spans="1:6" x14ac:dyDescent="0.2">
      <c r="A521" s="9" t="s">
        <v>9327</v>
      </c>
      <c r="B521" s="16">
        <v>140.5</v>
      </c>
      <c r="C521" s="16">
        <v>135.30000000000001</v>
      </c>
      <c r="D521" s="16">
        <v>131.80000000000001</v>
      </c>
      <c r="E521" s="16">
        <v>95.89</v>
      </c>
      <c r="F521" s="29">
        <v>28.32</v>
      </c>
    </row>
    <row r="522" spans="1:6" x14ac:dyDescent="0.2">
      <c r="A522" s="9" t="s">
        <v>9328</v>
      </c>
      <c r="B522" s="16">
        <v>1925.6</v>
      </c>
      <c r="C522" s="16">
        <v>1653.3</v>
      </c>
      <c r="D522" s="16">
        <v>999.3</v>
      </c>
      <c r="E522" s="16">
        <v>512.29999999999995</v>
      </c>
      <c r="F522" s="29">
        <v>144.5</v>
      </c>
    </row>
    <row r="523" spans="1:6" x14ac:dyDescent="0.2">
      <c r="A523" s="9" t="s">
        <v>9329</v>
      </c>
      <c r="B523" s="16">
        <v>1456.7</v>
      </c>
      <c r="C523" s="16">
        <v>1241.4000000000001</v>
      </c>
      <c r="D523" s="16">
        <v>772.3</v>
      </c>
      <c r="E523" s="16">
        <v>408.6</v>
      </c>
      <c r="F523" s="29">
        <v>119.3</v>
      </c>
    </row>
    <row r="524" spans="1:6" x14ac:dyDescent="0.2">
      <c r="A524" s="9" t="s">
        <v>9293</v>
      </c>
      <c r="B524" s="16">
        <v>3560.9</v>
      </c>
      <c r="C524" s="16">
        <v>2914.4</v>
      </c>
      <c r="D524" s="16">
        <v>1641.3</v>
      </c>
      <c r="E524" s="16">
        <v>772.5</v>
      </c>
      <c r="F524" s="29">
        <v>196.1</v>
      </c>
    </row>
    <row r="525" spans="1:6" x14ac:dyDescent="0.2">
      <c r="A525" s="9" t="s">
        <v>9330</v>
      </c>
      <c r="B525" s="16">
        <v>57.43</v>
      </c>
      <c r="C525" s="16">
        <v>52</v>
      </c>
      <c r="D525" s="16">
        <v>45.99</v>
      </c>
      <c r="E525" s="16">
        <v>29.7</v>
      </c>
      <c r="F525" s="29">
        <v>4</v>
      </c>
    </row>
    <row r="526" spans="1:6" x14ac:dyDescent="0.2">
      <c r="A526" s="9" t="s">
        <v>9331</v>
      </c>
      <c r="B526" s="16">
        <v>14.4</v>
      </c>
      <c r="C526" s="16">
        <v>14.1</v>
      </c>
      <c r="D526" s="16">
        <v>13.52</v>
      </c>
      <c r="E526" s="16">
        <v>11.4</v>
      </c>
      <c r="F526" s="29">
        <v>2.11</v>
      </c>
    </row>
    <row r="527" spans="1:6" x14ac:dyDescent="0.2">
      <c r="A527" s="9" t="s">
        <v>9332</v>
      </c>
      <c r="B527" s="16">
        <v>72.680000000000007</v>
      </c>
      <c r="C527" s="16">
        <v>68.02</v>
      </c>
      <c r="D527" s="16">
        <v>61.88</v>
      </c>
      <c r="E527" s="16">
        <v>44.16</v>
      </c>
      <c r="F527" s="29">
        <v>4.8499999999999996</v>
      </c>
    </row>
    <row r="528" spans="1:6" ht="15" thickBot="1" x14ac:dyDescent="0.25">
      <c r="A528" s="227" t="s">
        <v>9333</v>
      </c>
      <c r="B528" s="203">
        <v>25.33</v>
      </c>
      <c r="C528" s="203">
        <v>25.24</v>
      </c>
      <c r="D528" s="203">
        <v>23.72</v>
      </c>
      <c r="E528" s="203">
        <v>19.32</v>
      </c>
      <c r="F528" s="405">
        <v>2.61</v>
      </c>
    </row>
    <row r="529" spans="1:6" ht="14.25" customHeight="1" x14ac:dyDescent="0.2">
      <c r="A529" s="539" t="s">
        <v>10939</v>
      </c>
      <c r="B529" s="540"/>
      <c r="C529" s="540"/>
      <c r="D529" s="540"/>
      <c r="E529" s="540"/>
      <c r="F529" s="541"/>
    </row>
    <row r="530" spans="1:6" ht="30" x14ac:dyDescent="0.2">
      <c r="A530" s="402" t="s">
        <v>9306</v>
      </c>
      <c r="B530" s="79" t="s">
        <v>10912</v>
      </c>
      <c r="C530" s="79" t="s">
        <v>10913</v>
      </c>
      <c r="D530" s="79" t="s">
        <v>10914</v>
      </c>
      <c r="E530" s="79" t="s">
        <v>10915</v>
      </c>
      <c r="F530" s="80" t="s">
        <v>10916</v>
      </c>
    </row>
    <row r="531" spans="1:6" x14ac:dyDescent="0.2">
      <c r="A531" s="9" t="s">
        <v>9314</v>
      </c>
      <c r="B531" s="16">
        <v>237.1</v>
      </c>
      <c r="C531" s="16">
        <v>140.5</v>
      </c>
      <c r="D531" s="16">
        <v>92.43</v>
      </c>
      <c r="E531" s="16">
        <v>51.93</v>
      </c>
      <c r="F531" s="29">
        <v>15.21</v>
      </c>
    </row>
    <row r="532" spans="1:6" x14ac:dyDescent="0.2">
      <c r="A532" s="9" t="s">
        <v>9315</v>
      </c>
      <c r="B532" s="16">
        <v>199.8</v>
      </c>
      <c r="C532" s="16">
        <v>102.3</v>
      </c>
      <c r="D532" s="16">
        <v>70.86</v>
      </c>
      <c r="E532" s="16">
        <v>38.93</v>
      </c>
      <c r="F532" s="29">
        <v>11.38</v>
      </c>
    </row>
    <row r="533" spans="1:6" x14ac:dyDescent="0.2">
      <c r="A533" s="9" t="s">
        <v>9316</v>
      </c>
      <c r="B533" s="16">
        <v>175.3</v>
      </c>
      <c r="C533" s="16">
        <v>81.709999999999994</v>
      </c>
      <c r="D533" s="16">
        <v>56.6</v>
      </c>
      <c r="E533" s="16">
        <v>30.3</v>
      </c>
      <c r="F533" s="29">
        <v>8.7799999999999994</v>
      </c>
    </row>
    <row r="534" spans="1:6" x14ac:dyDescent="0.2">
      <c r="A534" s="9" t="s">
        <v>9317</v>
      </c>
      <c r="B534" s="16">
        <v>156.6</v>
      </c>
      <c r="C534" s="16">
        <v>68.92</v>
      </c>
      <c r="D534" s="16">
        <v>46.71</v>
      </c>
      <c r="E534" s="16">
        <v>24.44</v>
      </c>
      <c r="F534" s="29">
        <v>6.97</v>
      </c>
    </row>
    <row r="535" spans="1:6" x14ac:dyDescent="0.2">
      <c r="A535" s="9" t="s">
        <v>9318</v>
      </c>
      <c r="B535" s="16">
        <v>139</v>
      </c>
      <c r="C535" s="16">
        <v>58.36</v>
      </c>
      <c r="D535" s="16">
        <v>39.479999999999997</v>
      </c>
      <c r="E535" s="16">
        <v>20.27</v>
      </c>
      <c r="F535" s="29">
        <v>5.69</v>
      </c>
    </row>
    <row r="536" spans="1:6" x14ac:dyDescent="0.2">
      <c r="A536" s="9" t="s">
        <v>9313</v>
      </c>
      <c r="B536" s="16">
        <v>646.4</v>
      </c>
      <c r="C536" s="16">
        <v>549.9</v>
      </c>
      <c r="D536" s="16">
        <v>318.8</v>
      </c>
      <c r="E536" s="16">
        <v>158.6</v>
      </c>
      <c r="F536" s="29">
        <v>42.03</v>
      </c>
    </row>
    <row r="537" spans="1:6" x14ac:dyDescent="0.2">
      <c r="A537" s="9" t="s">
        <v>9319</v>
      </c>
      <c r="B537" s="16">
        <v>1290.7</v>
      </c>
      <c r="C537" s="16">
        <v>1016.1</v>
      </c>
      <c r="D537" s="16">
        <v>562.6</v>
      </c>
      <c r="E537" s="16">
        <v>245.1</v>
      </c>
      <c r="F537" s="29">
        <v>54.11</v>
      </c>
    </row>
    <row r="538" spans="1:6" x14ac:dyDescent="0.2">
      <c r="A538" s="9" t="s">
        <v>9320</v>
      </c>
      <c r="B538" s="16">
        <v>4.93</v>
      </c>
      <c r="C538" s="16">
        <v>3.63</v>
      </c>
      <c r="D538" s="16">
        <v>3.21</v>
      </c>
      <c r="E538" s="16">
        <v>1.91</v>
      </c>
      <c r="F538" s="29">
        <v>0.15</v>
      </c>
    </row>
    <row r="539" spans="1:6" x14ac:dyDescent="0.2">
      <c r="A539" s="9" t="s">
        <v>9321</v>
      </c>
      <c r="B539" s="16">
        <v>3.03</v>
      </c>
      <c r="C539" s="16">
        <v>2.37</v>
      </c>
      <c r="D539" s="16">
        <v>2.11</v>
      </c>
      <c r="E539" s="16">
        <v>1.38</v>
      </c>
      <c r="F539" s="29">
        <v>0.13</v>
      </c>
    </row>
    <row r="540" spans="1:6" x14ac:dyDescent="0.2">
      <c r="A540" s="9" t="s">
        <v>9322</v>
      </c>
      <c r="B540" s="16">
        <v>1.97</v>
      </c>
      <c r="C540" s="16">
        <v>1.7</v>
      </c>
      <c r="D540" s="16">
        <v>1.53</v>
      </c>
      <c r="E540" s="16">
        <v>1.04</v>
      </c>
      <c r="F540" s="29">
        <v>0.1</v>
      </c>
    </row>
    <row r="541" spans="1:6" x14ac:dyDescent="0.2">
      <c r="A541" s="9" t="s">
        <v>9323</v>
      </c>
      <c r="B541" s="16">
        <v>11.67</v>
      </c>
      <c r="C541" s="16">
        <v>11.26</v>
      </c>
      <c r="D541" s="16">
        <v>10.98</v>
      </c>
      <c r="E541" s="16">
        <v>9.31</v>
      </c>
      <c r="F541" s="29">
        <v>2.0099999999999998</v>
      </c>
    </row>
    <row r="542" spans="1:6" x14ac:dyDescent="0.2">
      <c r="A542" s="9" t="s">
        <v>9324</v>
      </c>
      <c r="B542" s="16">
        <v>7.23</v>
      </c>
      <c r="C542" s="16">
        <v>6.55</v>
      </c>
      <c r="D542" s="16">
        <v>6.39</v>
      </c>
      <c r="E542" s="16">
        <v>5.55</v>
      </c>
      <c r="F542" s="29">
        <v>1.25</v>
      </c>
    </row>
    <row r="543" spans="1:6" x14ac:dyDescent="0.2">
      <c r="A543" s="9" t="s">
        <v>9325</v>
      </c>
      <c r="B543" s="16">
        <v>5.59</v>
      </c>
      <c r="C543" s="16">
        <v>4.6100000000000003</v>
      </c>
      <c r="D543" s="16">
        <v>4.0999999999999996</v>
      </c>
      <c r="E543" s="16">
        <v>3.61</v>
      </c>
      <c r="F543" s="29">
        <v>0.84</v>
      </c>
    </row>
    <row r="544" spans="1:6" x14ac:dyDescent="0.2">
      <c r="A544" s="9" t="s">
        <v>9326</v>
      </c>
      <c r="B544" s="16">
        <v>142.69999999999999</v>
      </c>
      <c r="C544" s="16">
        <v>140</v>
      </c>
      <c r="D544" s="16">
        <v>135.5</v>
      </c>
      <c r="E544" s="16">
        <v>87.73</v>
      </c>
      <c r="F544" s="29">
        <v>27.36</v>
      </c>
    </row>
    <row r="545" spans="1:6" x14ac:dyDescent="0.2">
      <c r="A545" s="9" t="s">
        <v>9327</v>
      </c>
      <c r="B545" s="16">
        <v>110.5</v>
      </c>
      <c r="C545" s="16">
        <v>108.4</v>
      </c>
      <c r="D545" s="16">
        <v>103.9</v>
      </c>
      <c r="E545" s="16">
        <v>73.599999999999994</v>
      </c>
      <c r="F545" s="29">
        <v>22.24</v>
      </c>
    </row>
    <row r="546" spans="1:6" x14ac:dyDescent="0.2">
      <c r="A546" s="9" t="s">
        <v>9328</v>
      </c>
      <c r="B546" s="16">
        <v>884.5</v>
      </c>
      <c r="C546" s="16">
        <v>735.4</v>
      </c>
      <c r="D546" s="16">
        <v>418.3</v>
      </c>
      <c r="E546" s="16">
        <v>196.7</v>
      </c>
      <c r="F546" s="29">
        <v>48.96</v>
      </c>
    </row>
    <row r="547" spans="1:6" x14ac:dyDescent="0.2">
      <c r="A547" s="9" t="s">
        <v>9329</v>
      </c>
      <c r="B547" s="16">
        <v>768.9</v>
      </c>
      <c r="C547" s="16">
        <v>647.29999999999995</v>
      </c>
      <c r="D547" s="16">
        <v>371.5</v>
      </c>
      <c r="E547" s="16">
        <v>179</v>
      </c>
      <c r="F547" s="29">
        <v>46.2</v>
      </c>
    </row>
    <row r="548" spans="1:6" x14ac:dyDescent="0.2">
      <c r="A548" s="9" t="s">
        <v>9293</v>
      </c>
      <c r="B548" s="16">
        <v>1296.4000000000001</v>
      </c>
      <c r="C548" s="16">
        <v>1020.4</v>
      </c>
      <c r="D548" s="16">
        <v>564.9</v>
      </c>
      <c r="E548" s="16">
        <v>246.1</v>
      </c>
      <c r="F548" s="29">
        <v>54.27</v>
      </c>
    </row>
    <row r="549" spans="1:6" x14ac:dyDescent="0.2">
      <c r="A549" s="9" t="s">
        <v>9330</v>
      </c>
      <c r="B549" s="16">
        <v>36.99</v>
      </c>
      <c r="C549" s="16">
        <v>36.520000000000003</v>
      </c>
      <c r="D549" s="16">
        <v>35.03</v>
      </c>
      <c r="E549" s="16">
        <v>29.45</v>
      </c>
      <c r="F549" s="29">
        <v>4</v>
      </c>
    </row>
    <row r="550" spans="1:6" x14ac:dyDescent="0.2">
      <c r="A550" s="9" t="s">
        <v>9331</v>
      </c>
      <c r="B550" s="16">
        <v>14.4</v>
      </c>
      <c r="C550" s="16">
        <v>14.1</v>
      </c>
      <c r="D550" s="16">
        <v>13.52</v>
      </c>
      <c r="E550" s="16">
        <v>11.4</v>
      </c>
      <c r="F550" s="29">
        <v>2.11</v>
      </c>
    </row>
    <row r="551" spans="1:6" x14ac:dyDescent="0.2">
      <c r="A551" s="9" t="s">
        <v>9332</v>
      </c>
      <c r="B551" s="16">
        <v>40.200000000000003</v>
      </c>
      <c r="C551" s="16">
        <v>39.909999999999997</v>
      </c>
      <c r="D551" s="16">
        <v>38.659999999999997</v>
      </c>
      <c r="E551" s="16">
        <v>31.91</v>
      </c>
      <c r="F551" s="29">
        <v>4.76</v>
      </c>
    </row>
    <row r="552" spans="1:6" ht="15" thickBot="1" x14ac:dyDescent="0.25">
      <c r="A552" s="112" t="s">
        <v>9333</v>
      </c>
      <c r="B552" s="28">
        <v>24.54</v>
      </c>
      <c r="C552" s="28">
        <v>24.36</v>
      </c>
      <c r="D552" s="28">
        <v>23.27</v>
      </c>
      <c r="E552" s="28">
        <v>19.32</v>
      </c>
      <c r="F552" s="113">
        <v>2.61</v>
      </c>
    </row>
    <row r="553" spans="1:6" ht="14.25" customHeight="1" x14ac:dyDescent="0.2">
      <c r="A553" s="539" t="s">
        <v>10940</v>
      </c>
      <c r="B553" s="540"/>
      <c r="C553" s="540"/>
      <c r="D553" s="540"/>
      <c r="E553" s="540"/>
      <c r="F553" s="541"/>
    </row>
    <row r="554" spans="1:6" ht="30" x14ac:dyDescent="0.2">
      <c r="A554" s="402" t="s">
        <v>9306</v>
      </c>
      <c r="B554" s="79" t="s">
        <v>10912</v>
      </c>
      <c r="C554" s="79" t="s">
        <v>10913</v>
      </c>
      <c r="D554" s="79" t="s">
        <v>10914</v>
      </c>
      <c r="E554" s="79" t="s">
        <v>10915</v>
      </c>
      <c r="F554" s="80" t="s">
        <v>10916</v>
      </c>
    </row>
    <row r="555" spans="1:6" x14ac:dyDescent="0.2">
      <c r="A555" s="9" t="s">
        <v>9314</v>
      </c>
      <c r="B555" s="16">
        <v>156.69999999999999</v>
      </c>
      <c r="C555" s="16">
        <v>120.5</v>
      </c>
      <c r="D555" s="16">
        <v>73.5</v>
      </c>
      <c r="E555" s="16">
        <v>40.71</v>
      </c>
      <c r="F555" s="29">
        <v>11.43</v>
      </c>
    </row>
    <row r="556" spans="1:6" x14ac:dyDescent="0.2">
      <c r="A556" s="9" t="s">
        <v>9315</v>
      </c>
      <c r="B556" s="16">
        <v>134.30000000000001</v>
      </c>
      <c r="C556" s="16">
        <v>87.88</v>
      </c>
      <c r="D556" s="16">
        <v>54.51</v>
      </c>
      <c r="E556" s="16">
        <v>31.29</v>
      </c>
      <c r="F556" s="29">
        <v>9.0399999999999991</v>
      </c>
    </row>
    <row r="557" spans="1:6" x14ac:dyDescent="0.2">
      <c r="A557" s="9" t="s">
        <v>9316</v>
      </c>
      <c r="B557" s="16">
        <v>120.4</v>
      </c>
      <c r="C557" s="16">
        <v>66</v>
      </c>
      <c r="D557" s="16">
        <v>42.32</v>
      </c>
      <c r="E557" s="16">
        <v>24.52</v>
      </c>
      <c r="F557" s="29">
        <v>7.2</v>
      </c>
    </row>
    <row r="558" spans="1:6" x14ac:dyDescent="0.2">
      <c r="A558" s="9" t="s">
        <v>9317</v>
      </c>
      <c r="B558" s="16">
        <v>106.9</v>
      </c>
      <c r="C558" s="16">
        <v>51.66</v>
      </c>
      <c r="D558" s="16">
        <v>34.659999999999997</v>
      </c>
      <c r="E558" s="16">
        <v>19.71</v>
      </c>
      <c r="F558" s="29">
        <v>5.81</v>
      </c>
    </row>
    <row r="559" spans="1:6" x14ac:dyDescent="0.2">
      <c r="A559" s="9" t="s">
        <v>9318</v>
      </c>
      <c r="B559" s="16">
        <v>94.14</v>
      </c>
      <c r="C559" s="16">
        <v>45.66</v>
      </c>
      <c r="D559" s="16">
        <v>29.21</v>
      </c>
      <c r="E559" s="16">
        <v>16.25</v>
      </c>
      <c r="F559" s="29">
        <v>4.7699999999999996</v>
      </c>
    </row>
    <row r="560" spans="1:6" x14ac:dyDescent="0.2">
      <c r="A560" s="9" t="s">
        <v>9313</v>
      </c>
      <c r="B560" s="16">
        <v>412</v>
      </c>
      <c r="C560" s="16">
        <v>343.1</v>
      </c>
      <c r="D560" s="16">
        <v>195.1</v>
      </c>
      <c r="E560" s="16">
        <v>90.83</v>
      </c>
      <c r="F560" s="29">
        <v>22.21</v>
      </c>
    </row>
    <row r="561" spans="1:6" x14ac:dyDescent="0.2">
      <c r="A561" s="9" t="s">
        <v>9319</v>
      </c>
      <c r="B561" s="16">
        <v>719.6</v>
      </c>
      <c r="C561" s="16">
        <v>550.4</v>
      </c>
      <c r="D561" s="16">
        <v>305.5</v>
      </c>
      <c r="E561" s="16">
        <v>125.8</v>
      </c>
      <c r="F561" s="29">
        <v>25.69</v>
      </c>
    </row>
    <row r="562" spans="1:6" x14ac:dyDescent="0.2">
      <c r="A562" s="9" t="s">
        <v>9320</v>
      </c>
      <c r="B562" s="16">
        <v>4.93</v>
      </c>
      <c r="C562" s="16">
        <v>3.63</v>
      </c>
      <c r="D562" s="16">
        <v>3.21</v>
      </c>
      <c r="E562" s="16">
        <v>1.91</v>
      </c>
      <c r="F562" s="29">
        <v>0.15</v>
      </c>
    </row>
    <row r="563" spans="1:6" x14ac:dyDescent="0.2">
      <c r="A563" s="9" t="s">
        <v>9321</v>
      </c>
      <c r="B563" s="16">
        <v>3.03</v>
      </c>
      <c r="C563" s="16">
        <v>2.37</v>
      </c>
      <c r="D563" s="16">
        <v>2.11</v>
      </c>
      <c r="E563" s="16">
        <v>1.38</v>
      </c>
      <c r="F563" s="29">
        <v>0.13</v>
      </c>
    </row>
    <row r="564" spans="1:6" x14ac:dyDescent="0.2">
      <c r="A564" s="9" t="s">
        <v>9322</v>
      </c>
      <c r="B564" s="16">
        <v>1.97</v>
      </c>
      <c r="C564" s="16">
        <v>1.7</v>
      </c>
      <c r="D564" s="16">
        <v>1.53</v>
      </c>
      <c r="E564" s="16">
        <v>1.04</v>
      </c>
      <c r="F564" s="29">
        <v>0.1</v>
      </c>
    </row>
    <row r="565" spans="1:6" x14ac:dyDescent="0.2">
      <c r="A565" s="9" t="s">
        <v>9323</v>
      </c>
      <c r="B565" s="16">
        <v>11.67</v>
      </c>
      <c r="C565" s="16">
        <v>11.26</v>
      </c>
      <c r="D565" s="16">
        <v>10.98</v>
      </c>
      <c r="E565" s="16">
        <v>9.31</v>
      </c>
      <c r="F565" s="29">
        <v>2.0099999999999998</v>
      </c>
    </row>
    <row r="566" spans="1:6" x14ac:dyDescent="0.2">
      <c r="A566" s="9" t="s">
        <v>9324</v>
      </c>
      <c r="B566" s="16">
        <v>7.23</v>
      </c>
      <c r="C566" s="16">
        <v>6.55</v>
      </c>
      <c r="D566" s="16">
        <v>6.39</v>
      </c>
      <c r="E566" s="16">
        <v>5.55</v>
      </c>
      <c r="F566" s="29">
        <v>1.25</v>
      </c>
    </row>
    <row r="567" spans="1:6" x14ac:dyDescent="0.2">
      <c r="A567" s="9" t="s">
        <v>9325</v>
      </c>
      <c r="B567" s="16">
        <v>5.59</v>
      </c>
      <c r="C567" s="16">
        <v>4.6100000000000003</v>
      </c>
      <c r="D567" s="16">
        <v>4.0999999999999996</v>
      </c>
      <c r="E567" s="16">
        <v>3.61</v>
      </c>
      <c r="F567" s="29">
        <v>0.84</v>
      </c>
    </row>
    <row r="568" spans="1:6" x14ac:dyDescent="0.2">
      <c r="A568" s="9" t="s">
        <v>9326</v>
      </c>
      <c r="B568" s="16">
        <v>105</v>
      </c>
      <c r="C568" s="16">
        <v>90.67</v>
      </c>
      <c r="D568" s="16">
        <v>81.84</v>
      </c>
      <c r="E568" s="16">
        <v>52.81</v>
      </c>
      <c r="F568" s="29">
        <v>16.05</v>
      </c>
    </row>
    <row r="569" spans="1:6" x14ac:dyDescent="0.2">
      <c r="A569" s="9" t="s">
        <v>9327</v>
      </c>
      <c r="B569" s="16">
        <v>89.48</v>
      </c>
      <c r="C569" s="16">
        <v>77.209999999999994</v>
      </c>
      <c r="D569" s="16">
        <v>72.25</v>
      </c>
      <c r="E569" s="16">
        <v>45.55</v>
      </c>
      <c r="F569" s="29">
        <v>14.18</v>
      </c>
    </row>
    <row r="570" spans="1:6" x14ac:dyDescent="0.2">
      <c r="A570" s="9" t="s">
        <v>9328</v>
      </c>
      <c r="B570" s="16">
        <v>518.70000000000005</v>
      </c>
      <c r="C570" s="16">
        <v>422.2</v>
      </c>
      <c r="D570" s="16">
        <v>236</v>
      </c>
      <c r="E570" s="16">
        <v>106.6</v>
      </c>
      <c r="F570" s="29">
        <v>24.18</v>
      </c>
    </row>
    <row r="571" spans="1:6" x14ac:dyDescent="0.2">
      <c r="A571" s="9" t="s">
        <v>9329</v>
      </c>
      <c r="B571" s="16">
        <v>468.2</v>
      </c>
      <c r="C571" s="16">
        <v>385.8</v>
      </c>
      <c r="D571" s="16">
        <v>217.7</v>
      </c>
      <c r="E571" s="16">
        <v>99.78</v>
      </c>
      <c r="F571" s="29">
        <v>23.45</v>
      </c>
    </row>
    <row r="572" spans="1:6" x14ac:dyDescent="0.2">
      <c r="A572" s="9" t="s">
        <v>9293</v>
      </c>
      <c r="B572" s="16">
        <v>721.4</v>
      </c>
      <c r="C572" s="16">
        <v>551.70000000000005</v>
      </c>
      <c r="D572" s="16">
        <v>306.3</v>
      </c>
      <c r="E572" s="16">
        <v>126.1</v>
      </c>
      <c r="F572" s="29">
        <v>25.73</v>
      </c>
    </row>
    <row r="573" spans="1:6" x14ac:dyDescent="0.2">
      <c r="A573" s="9" t="s">
        <v>9330</v>
      </c>
      <c r="B573" s="16">
        <v>24.73</v>
      </c>
      <c r="C573" s="16">
        <v>24.39</v>
      </c>
      <c r="D573" s="16">
        <v>23.71</v>
      </c>
      <c r="E573" s="16">
        <v>19.05</v>
      </c>
      <c r="F573" s="29">
        <v>3.66</v>
      </c>
    </row>
    <row r="574" spans="1:6" x14ac:dyDescent="0.2">
      <c r="A574" s="9" t="s">
        <v>9331</v>
      </c>
      <c r="B574" s="16">
        <v>14.37</v>
      </c>
      <c r="C574" s="16">
        <v>13.99</v>
      </c>
      <c r="D574" s="16">
        <v>13.52</v>
      </c>
      <c r="E574" s="16">
        <v>11.4</v>
      </c>
      <c r="F574" s="29">
        <v>2.11</v>
      </c>
    </row>
    <row r="575" spans="1:6" x14ac:dyDescent="0.2">
      <c r="A575" s="9" t="s">
        <v>9332</v>
      </c>
      <c r="B575" s="16">
        <v>25.87</v>
      </c>
      <c r="C575" s="16">
        <v>25.74</v>
      </c>
      <c r="D575" s="16">
        <v>25</v>
      </c>
      <c r="E575" s="16">
        <v>20.53</v>
      </c>
      <c r="F575" s="29">
        <v>4.03</v>
      </c>
    </row>
    <row r="576" spans="1:6" ht="15" thickBot="1" x14ac:dyDescent="0.25">
      <c r="A576" s="112" t="s">
        <v>9333</v>
      </c>
      <c r="B576" s="28">
        <v>19.04</v>
      </c>
      <c r="C576" s="28">
        <v>18.82</v>
      </c>
      <c r="D576" s="28">
        <v>18.61</v>
      </c>
      <c r="E576" s="28">
        <v>14.9</v>
      </c>
      <c r="F576" s="113">
        <v>2.61</v>
      </c>
    </row>
    <row r="577" spans="1:6" ht="14.25" customHeight="1" x14ac:dyDescent="0.2">
      <c r="A577" s="539" t="s">
        <v>10941</v>
      </c>
      <c r="B577" s="540"/>
      <c r="C577" s="540"/>
      <c r="D577" s="540"/>
      <c r="E577" s="540"/>
      <c r="F577" s="541"/>
    </row>
    <row r="578" spans="1:6" ht="30" x14ac:dyDescent="0.2">
      <c r="A578" s="402" t="s">
        <v>9306</v>
      </c>
      <c r="B578" s="79" t="s">
        <v>10912</v>
      </c>
      <c r="C578" s="79" t="s">
        <v>10913</v>
      </c>
      <c r="D578" s="79" t="s">
        <v>10914</v>
      </c>
      <c r="E578" s="79" t="s">
        <v>10915</v>
      </c>
      <c r="F578" s="80" t="s">
        <v>10916</v>
      </c>
    </row>
    <row r="579" spans="1:6" x14ac:dyDescent="0.2">
      <c r="A579" s="9" t="s">
        <v>9314</v>
      </c>
      <c r="B579" s="16">
        <v>132.19999999999999</v>
      </c>
      <c r="C579" s="16">
        <v>105.2</v>
      </c>
      <c r="D579" s="16">
        <v>62.56</v>
      </c>
      <c r="E579" s="16">
        <v>32.700000000000003</v>
      </c>
      <c r="F579" s="29">
        <v>8.58</v>
      </c>
    </row>
    <row r="580" spans="1:6" x14ac:dyDescent="0.2">
      <c r="A580" s="9" t="s">
        <v>9315</v>
      </c>
      <c r="B580" s="16">
        <v>104.1</v>
      </c>
      <c r="C580" s="16">
        <v>77.98</v>
      </c>
      <c r="D580" s="16">
        <v>47.56</v>
      </c>
      <c r="E580" s="16">
        <v>25.92</v>
      </c>
      <c r="F580" s="29">
        <v>7.11</v>
      </c>
    </row>
    <row r="581" spans="1:6" x14ac:dyDescent="0.2">
      <c r="A581" s="9" t="s">
        <v>9316</v>
      </c>
      <c r="B581" s="16">
        <v>86.21</v>
      </c>
      <c r="C581" s="16">
        <v>58.61</v>
      </c>
      <c r="D581" s="16">
        <v>36.47</v>
      </c>
      <c r="E581" s="16">
        <v>20.62</v>
      </c>
      <c r="F581" s="29">
        <v>5.88</v>
      </c>
    </row>
    <row r="582" spans="1:6" x14ac:dyDescent="0.2">
      <c r="A582" s="9" t="s">
        <v>9317</v>
      </c>
      <c r="B582" s="16">
        <v>79.62</v>
      </c>
      <c r="C582" s="16">
        <v>45.25</v>
      </c>
      <c r="D582" s="16">
        <v>28.6</v>
      </c>
      <c r="E582" s="16">
        <v>16.66</v>
      </c>
      <c r="F582" s="29">
        <v>4.88</v>
      </c>
    </row>
    <row r="583" spans="1:6" x14ac:dyDescent="0.2">
      <c r="A583" s="9" t="s">
        <v>9318</v>
      </c>
      <c r="B583" s="16">
        <v>73.010000000000005</v>
      </c>
      <c r="C583" s="16">
        <v>36.03</v>
      </c>
      <c r="D583" s="16">
        <v>23.34</v>
      </c>
      <c r="E583" s="16">
        <v>13.73</v>
      </c>
      <c r="F583" s="29">
        <v>4.07</v>
      </c>
    </row>
    <row r="584" spans="1:6" x14ac:dyDescent="0.2">
      <c r="A584" s="9" t="s">
        <v>9313</v>
      </c>
      <c r="B584" s="16">
        <v>290.2</v>
      </c>
      <c r="C584" s="16">
        <v>237.9</v>
      </c>
      <c r="D584" s="16">
        <v>133.19999999999999</v>
      </c>
      <c r="E584" s="16">
        <v>60.33</v>
      </c>
      <c r="F584" s="29">
        <v>13.7</v>
      </c>
    </row>
    <row r="585" spans="1:6" x14ac:dyDescent="0.2">
      <c r="A585" s="9" t="s">
        <v>9319</v>
      </c>
      <c r="B585" s="16">
        <v>477.9</v>
      </c>
      <c r="C585" s="16">
        <v>357</v>
      </c>
      <c r="D585" s="16">
        <v>198.4</v>
      </c>
      <c r="E585" s="16">
        <v>78.56</v>
      </c>
      <c r="F585" s="29">
        <v>15.18</v>
      </c>
    </row>
    <row r="586" spans="1:6" x14ac:dyDescent="0.2">
      <c r="A586" s="9" t="s">
        <v>9320</v>
      </c>
      <c r="B586" s="16">
        <v>4.8600000000000003</v>
      </c>
      <c r="C586" s="16">
        <v>3.63</v>
      </c>
      <c r="D586" s="16">
        <v>3.21</v>
      </c>
      <c r="E586" s="16">
        <v>1.91</v>
      </c>
      <c r="F586" s="29">
        <v>0.15</v>
      </c>
    </row>
    <row r="587" spans="1:6" x14ac:dyDescent="0.2">
      <c r="A587" s="9" t="s">
        <v>9321</v>
      </c>
      <c r="B587" s="16">
        <v>3.03</v>
      </c>
      <c r="C587" s="16">
        <v>2.37</v>
      </c>
      <c r="D587" s="16">
        <v>2.11</v>
      </c>
      <c r="E587" s="16">
        <v>1.38</v>
      </c>
      <c r="F587" s="29">
        <v>0.13</v>
      </c>
    </row>
    <row r="588" spans="1:6" x14ac:dyDescent="0.2">
      <c r="A588" s="9" t="s">
        <v>9322</v>
      </c>
      <c r="B588" s="16">
        <v>1.97</v>
      </c>
      <c r="C588" s="16">
        <v>1.7</v>
      </c>
      <c r="D588" s="16">
        <v>1.53</v>
      </c>
      <c r="E588" s="16">
        <v>1.04</v>
      </c>
      <c r="F588" s="29">
        <v>0.1</v>
      </c>
    </row>
    <row r="589" spans="1:6" x14ac:dyDescent="0.2">
      <c r="A589" s="9" t="s">
        <v>9323</v>
      </c>
      <c r="B589" s="16">
        <v>11.6</v>
      </c>
      <c r="C589" s="16">
        <v>11.08</v>
      </c>
      <c r="D589" s="16">
        <v>10.75</v>
      </c>
      <c r="E589" s="16">
        <v>9.25</v>
      </c>
      <c r="F589" s="29">
        <v>2.0099999999999998</v>
      </c>
    </row>
    <row r="590" spans="1:6" x14ac:dyDescent="0.2">
      <c r="A590" s="9" t="s">
        <v>9324</v>
      </c>
      <c r="B590" s="16">
        <v>7.05</v>
      </c>
      <c r="C590" s="16">
        <v>6.55</v>
      </c>
      <c r="D590" s="16">
        <v>6.39</v>
      </c>
      <c r="E590" s="16">
        <v>5.55</v>
      </c>
      <c r="F590" s="29">
        <v>1.25</v>
      </c>
    </row>
    <row r="591" spans="1:6" x14ac:dyDescent="0.2">
      <c r="A591" s="9" t="s">
        <v>9325</v>
      </c>
      <c r="B591" s="16">
        <v>5.55</v>
      </c>
      <c r="C591" s="16">
        <v>4.6100000000000003</v>
      </c>
      <c r="D591" s="16">
        <v>4.0999999999999996</v>
      </c>
      <c r="E591" s="16">
        <v>3.61</v>
      </c>
      <c r="F591" s="29">
        <v>0.84</v>
      </c>
    </row>
    <row r="592" spans="1:6" x14ac:dyDescent="0.2">
      <c r="A592" s="9" t="s">
        <v>9326</v>
      </c>
      <c r="B592" s="16">
        <v>90.55</v>
      </c>
      <c r="C592" s="16">
        <v>72.19</v>
      </c>
      <c r="D592" s="16">
        <v>60.16</v>
      </c>
      <c r="E592" s="16">
        <v>36.51</v>
      </c>
      <c r="F592" s="29">
        <v>10.55</v>
      </c>
    </row>
    <row r="593" spans="1:6" x14ac:dyDescent="0.2">
      <c r="A593" s="9" t="s">
        <v>9327</v>
      </c>
      <c r="B593" s="16">
        <v>82.15</v>
      </c>
      <c r="C593" s="16">
        <v>62.52</v>
      </c>
      <c r="D593" s="16">
        <v>53.35</v>
      </c>
      <c r="E593" s="16">
        <v>33.22</v>
      </c>
      <c r="F593" s="29">
        <v>9.7200000000000006</v>
      </c>
    </row>
    <row r="594" spans="1:6" x14ac:dyDescent="0.2">
      <c r="A594" s="9" t="s">
        <v>9328</v>
      </c>
      <c r="B594" s="16">
        <v>351.3</v>
      </c>
      <c r="C594" s="16">
        <v>281.39999999999998</v>
      </c>
      <c r="D594" s="16">
        <v>156</v>
      </c>
      <c r="E594" s="16">
        <v>68.2</v>
      </c>
      <c r="F594" s="29">
        <v>14.51</v>
      </c>
    </row>
    <row r="595" spans="1:6" x14ac:dyDescent="0.2">
      <c r="A595" s="9" t="s">
        <v>9329</v>
      </c>
      <c r="B595" s="16">
        <v>321.89999999999998</v>
      </c>
      <c r="C595" s="16">
        <v>261.10000000000002</v>
      </c>
      <c r="D595" s="16">
        <v>145.19999999999999</v>
      </c>
      <c r="E595" s="16">
        <v>64.790000000000006</v>
      </c>
      <c r="F595" s="29">
        <v>14.21</v>
      </c>
    </row>
    <row r="596" spans="1:6" x14ac:dyDescent="0.2">
      <c r="A596" s="9" t="s">
        <v>9293</v>
      </c>
      <c r="B596" s="16">
        <v>478.7</v>
      </c>
      <c r="C596" s="16">
        <v>357.6</v>
      </c>
      <c r="D596" s="16">
        <v>198.7</v>
      </c>
      <c r="E596" s="16">
        <v>78.67</v>
      </c>
      <c r="F596" s="29">
        <v>15.19</v>
      </c>
    </row>
    <row r="597" spans="1:6" x14ac:dyDescent="0.2">
      <c r="A597" s="9" t="s">
        <v>9330</v>
      </c>
      <c r="B597" s="16">
        <v>17.97</v>
      </c>
      <c r="C597" s="16">
        <v>17.7</v>
      </c>
      <c r="D597" s="16">
        <v>16.920000000000002</v>
      </c>
      <c r="E597" s="16">
        <v>13.82</v>
      </c>
      <c r="F597" s="29">
        <v>2.91</v>
      </c>
    </row>
    <row r="598" spans="1:6" x14ac:dyDescent="0.2">
      <c r="A598" s="9" t="s">
        <v>9331</v>
      </c>
      <c r="B598" s="16">
        <v>12.63</v>
      </c>
      <c r="C598" s="16">
        <v>12.33</v>
      </c>
      <c r="D598" s="16">
        <v>11.99</v>
      </c>
      <c r="E598" s="16">
        <v>9.98</v>
      </c>
      <c r="F598" s="29">
        <v>2.0699999999999998</v>
      </c>
    </row>
    <row r="599" spans="1:6" x14ac:dyDescent="0.2">
      <c r="A599" s="9" t="s">
        <v>9332</v>
      </c>
      <c r="B599" s="16">
        <v>18.93</v>
      </c>
      <c r="C599" s="16">
        <v>18.829999999999998</v>
      </c>
      <c r="D599" s="16">
        <v>18.14</v>
      </c>
      <c r="E599" s="16">
        <v>14.32</v>
      </c>
      <c r="F599" s="29">
        <v>3.11</v>
      </c>
    </row>
    <row r="600" spans="1:6" ht="15" thickBot="1" x14ac:dyDescent="0.25">
      <c r="A600" s="112" t="s">
        <v>9333</v>
      </c>
      <c r="B600" s="28">
        <v>14.81</v>
      </c>
      <c r="C600" s="28">
        <v>14.71</v>
      </c>
      <c r="D600" s="28">
        <v>14.22</v>
      </c>
      <c r="E600" s="28">
        <v>11.87</v>
      </c>
      <c r="F600" s="113">
        <v>2.38</v>
      </c>
    </row>
    <row r="601" spans="1:6" ht="14.25" customHeight="1" x14ac:dyDescent="0.2">
      <c r="A601" s="539" t="s">
        <v>10942</v>
      </c>
      <c r="B601" s="540"/>
      <c r="C601" s="540"/>
      <c r="D601" s="540"/>
      <c r="E601" s="540"/>
      <c r="F601" s="541"/>
    </row>
    <row r="602" spans="1:6" ht="30" x14ac:dyDescent="0.2">
      <c r="A602" s="402" t="s">
        <v>9306</v>
      </c>
      <c r="B602" s="79" t="s">
        <v>10912</v>
      </c>
      <c r="C602" s="79" t="s">
        <v>10913</v>
      </c>
      <c r="D602" s="79" t="s">
        <v>10914</v>
      </c>
      <c r="E602" s="79" t="s">
        <v>10915</v>
      </c>
      <c r="F602" s="80" t="s">
        <v>10916</v>
      </c>
    </row>
    <row r="603" spans="1:6" x14ac:dyDescent="0.2">
      <c r="A603" s="9" t="s">
        <v>9314</v>
      </c>
      <c r="B603" s="16">
        <v>117.5</v>
      </c>
      <c r="C603" s="16">
        <v>96.2</v>
      </c>
      <c r="D603" s="16">
        <v>54.09</v>
      </c>
      <c r="E603" s="16">
        <v>26.81</v>
      </c>
      <c r="F603" s="29">
        <v>6.6</v>
      </c>
    </row>
    <row r="604" spans="1:6" x14ac:dyDescent="0.2">
      <c r="A604" s="9" t="s">
        <v>9315</v>
      </c>
      <c r="B604" s="16">
        <v>96.65</v>
      </c>
      <c r="C604" s="16">
        <v>73.709999999999994</v>
      </c>
      <c r="D604" s="16">
        <v>42.27</v>
      </c>
      <c r="E604" s="16">
        <v>21.88</v>
      </c>
      <c r="F604" s="29">
        <v>5.65</v>
      </c>
    </row>
    <row r="605" spans="1:6" x14ac:dyDescent="0.2">
      <c r="A605" s="9" t="s">
        <v>9316</v>
      </c>
      <c r="B605" s="16">
        <v>79.42</v>
      </c>
      <c r="C605" s="16">
        <v>56.34</v>
      </c>
      <c r="D605" s="16">
        <v>32.799999999999997</v>
      </c>
      <c r="E605" s="16">
        <v>17.72</v>
      </c>
      <c r="F605" s="29">
        <v>4.8099999999999996</v>
      </c>
    </row>
    <row r="606" spans="1:6" x14ac:dyDescent="0.2">
      <c r="A606" s="9" t="s">
        <v>9317</v>
      </c>
      <c r="B606" s="16">
        <v>64.62</v>
      </c>
      <c r="C606" s="16">
        <v>43.68</v>
      </c>
      <c r="D606" s="16">
        <v>26.01</v>
      </c>
      <c r="E606" s="16">
        <v>14.66</v>
      </c>
      <c r="F606" s="29">
        <v>4.09</v>
      </c>
    </row>
    <row r="607" spans="1:6" x14ac:dyDescent="0.2">
      <c r="A607" s="9" t="s">
        <v>9318</v>
      </c>
      <c r="B607" s="16">
        <v>57.58</v>
      </c>
      <c r="C607" s="16">
        <v>34.64</v>
      </c>
      <c r="D607" s="16">
        <v>20.91</v>
      </c>
      <c r="E607" s="16">
        <v>12.42</v>
      </c>
      <c r="F607" s="29">
        <v>3.48</v>
      </c>
    </row>
    <row r="608" spans="1:6" x14ac:dyDescent="0.2">
      <c r="A608" s="9" t="s">
        <v>9313</v>
      </c>
      <c r="B608" s="16">
        <v>220.4</v>
      </c>
      <c r="C608" s="16">
        <v>184.9</v>
      </c>
      <c r="D608" s="16">
        <v>99.2</v>
      </c>
      <c r="E608" s="16">
        <v>45.27</v>
      </c>
      <c r="F608" s="29">
        <v>9.44</v>
      </c>
    </row>
    <row r="609" spans="1:6" x14ac:dyDescent="0.2">
      <c r="A609" s="9" t="s">
        <v>9319</v>
      </c>
      <c r="B609" s="16">
        <v>348</v>
      </c>
      <c r="C609" s="16">
        <v>278</v>
      </c>
      <c r="D609" s="16">
        <v>142.1</v>
      </c>
      <c r="E609" s="16">
        <v>56.23</v>
      </c>
      <c r="F609" s="29">
        <v>10.3</v>
      </c>
    </row>
    <row r="610" spans="1:6" x14ac:dyDescent="0.2">
      <c r="A610" s="9" t="s">
        <v>9320</v>
      </c>
      <c r="B610" s="16">
        <v>4.21</v>
      </c>
      <c r="C610" s="16">
        <v>3.63</v>
      </c>
      <c r="D610" s="16">
        <v>3.21</v>
      </c>
      <c r="E610" s="16">
        <v>1.91</v>
      </c>
      <c r="F610" s="29">
        <v>0.15</v>
      </c>
    </row>
    <row r="611" spans="1:6" x14ac:dyDescent="0.2">
      <c r="A611" s="9" t="s">
        <v>9321</v>
      </c>
      <c r="B611" s="16">
        <v>3.03</v>
      </c>
      <c r="C611" s="16">
        <v>2.37</v>
      </c>
      <c r="D611" s="16">
        <v>2.11</v>
      </c>
      <c r="E611" s="16">
        <v>1.38</v>
      </c>
      <c r="F611" s="29">
        <v>0.13</v>
      </c>
    </row>
    <row r="612" spans="1:6" x14ac:dyDescent="0.2">
      <c r="A612" s="9" t="s">
        <v>9322</v>
      </c>
      <c r="B612" s="16">
        <v>1.97</v>
      </c>
      <c r="C612" s="16">
        <v>1.7</v>
      </c>
      <c r="D612" s="16">
        <v>1.53</v>
      </c>
      <c r="E612" s="16">
        <v>1.04</v>
      </c>
      <c r="F612" s="29">
        <v>0.1</v>
      </c>
    </row>
    <row r="613" spans="1:6" x14ac:dyDescent="0.2">
      <c r="A613" s="9" t="s">
        <v>9323</v>
      </c>
      <c r="B613" s="16">
        <v>10.54</v>
      </c>
      <c r="C613" s="16">
        <v>10.14</v>
      </c>
      <c r="D613" s="16">
        <v>9.7799999999999994</v>
      </c>
      <c r="E613" s="16">
        <v>8.02</v>
      </c>
      <c r="F613" s="29">
        <v>1.94</v>
      </c>
    </row>
    <row r="614" spans="1:6" x14ac:dyDescent="0.2">
      <c r="A614" s="9" t="s">
        <v>9324</v>
      </c>
      <c r="B614" s="16">
        <v>7.05</v>
      </c>
      <c r="C614" s="16">
        <v>6.55</v>
      </c>
      <c r="D614" s="16">
        <v>6.39</v>
      </c>
      <c r="E614" s="16">
        <v>5.55</v>
      </c>
      <c r="F614" s="29">
        <v>1.25</v>
      </c>
    </row>
    <row r="615" spans="1:6" x14ac:dyDescent="0.2">
      <c r="A615" s="9" t="s">
        <v>9325</v>
      </c>
      <c r="B615" s="16">
        <v>5.2</v>
      </c>
      <c r="C615" s="16">
        <v>4.54</v>
      </c>
      <c r="D615" s="16">
        <v>4.0999999999999996</v>
      </c>
      <c r="E615" s="16">
        <v>3.61</v>
      </c>
      <c r="F615" s="29">
        <v>0.84</v>
      </c>
    </row>
    <row r="616" spans="1:6" x14ac:dyDescent="0.2">
      <c r="A616" s="9" t="s">
        <v>9326</v>
      </c>
      <c r="B616" s="16">
        <v>77.150000000000006</v>
      </c>
      <c r="C616" s="16">
        <v>61.86</v>
      </c>
      <c r="D616" s="16">
        <v>50.02</v>
      </c>
      <c r="E616" s="16">
        <v>28.58</v>
      </c>
      <c r="F616" s="29">
        <v>7.57</v>
      </c>
    </row>
    <row r="617" spans="1:6" x14ac:dyDescent="0.2">
      <c r="A617" s="9" t="s">
        <v>9327</v>
      </c>
      <c r="B617" s="16">
        <v>70.53</v>
      </c>
      <c r="C617" s="16">
        <v>55.07</v>
      </c>
      <c r="D617" s="16">
        <v>45.08</v>
      </c>
      <c r="E617" s="16">
        <v>26.8</v>
      </c>
      <c r="F617" s="29">
        <v>7.11</v>
      </c>
    </row>
    <row r="618" spans="1:6" x14ac:dyDescent="0.2">
      <c r="A618" s="9" t="s">
        <v>9328</v>
      </c>
      <c r="B618" s="16">
        <v>260.2</v>
      </c>
      <c r="C618" s="16">
        <v>215.6</v>
      </c>
      <c r="D618" s="16">
        <v>113</v>
      </c>
      <c r="E618" s="16">
        <v>50.09</v>
      </c>
      <c r="F618" s="29">
        <v>9.8800000000000008</v>
      </c>
    </row>
    <row r="619" spans="1:6" x14ac:dyDescent="0.2">
      <c r="A619" s="9" t="s">
        <v>9329</v>
      </c>
      <c r="B619" s="16">
        <v>240.7</v>
      </c>
      <c r="C619" s="16">
        <v>200.8</v>
      </c>
      <c r="D619" s="16">
        <v>106.1</v>
      </c>
      <c r="E619" s="16">
        <v>47.98</v>
      </c>
      <c r="F619" s="29">
        <v>9.7100000000000009</v>
      </c>
    </row>
    <row r="620" spans="1:6" x14ac:dyDescent="0.2">
      <c r="A620" s="9" t="s">
        <v>9293</v>
      </c>
      <c r="B620" s="16">
        <v>348.4</v>
      </c>
      <c r="C620" s="16">
        <v>278.39999999999998</v>
      </c>
      <c r="D620" s="16">
        <v>142.30000000000001</v>
      </c>
      <c r="E620" s="16">
        <v>56.29</v>
      </c>
      <c r="F620" s="29">
        <v>10.31</v>
      </c>
    </row>
    <row r="621" spans="1:6" x14ac:dyDescent="0.2">
      <c r="A621" s="9" t="s">
        <v>9330</v>
      </c>
      <c r="B621" s="16">
        <v>13.98</v>
      </c>
      <c r="C621" s="16">
        <v>13.8</v>
      </c>
      <c r="D621" s="16">
        <v>12.97</v>
      </c>
      <c r="E621" s="16">
        <v>10.119999999999999</v>
      </c>
      <c r="F621" s="29">
        <v>2.37</v>
      </c>
    </row>
    <row r="622" spans="1:6" x14ac:dyDescent="0.2">
      <c r="A622" s="9" t="s">
        <v>9331</v>
      </c>
      <c r="B622" s="16">
        <v>10.82</v>
      </c>
      <c r="C622" s="16">
        <v>10.61</v>
      </c>
      <c r="D622" s="16">
        <v>10.11</v>
      </c>
      <c r="E622" s="16">
        <v>8.3800000000000008</v>
      </c>
      <c r="F622" s="29">
        <v>1.93</v>
      </c>
    </row>
    <row r="623" spans="1:6" x14ac:dyDescent="0.2">
      <c r="A623" s="9" t="s">
        <v>9332</v>
      </c>
      <c r="B623" s="16">
        <v>14.75</v>
      </c>
      <c r="C623" s="16">
        <v>14.6</v>
      </c>
      <c r="D623" s="16">
        <v>14.04</v>
      </c>
      <c r="E623" s="16">
        <v>10.3</v>
      </c>
      <c r="F623" s="29">
        <v>2.4900000000000002</v>
      </c>
    </row>
    <row r="624" spans="1:6" ht="15" thickBot="1" x14ac:dyDescent="0.25">
      <c r="A624" s="112" t="s">
        <v>9333</v>
      </c>
      <c r="B624" s="28">
        <v>11.93</v>
      </c>
      <c r="C624" s="28">
        <v>11.82</v>
      </c>
      <c r="D624" s="28">
        <v>11.46</v>
      </c>
      <c r="E624" s="28">
        <v>9.26</v>
      </c>
      <c r="F624" s="113">
        <v>2.0699999999999998</v>
      </c>
    </row>
    <row r="625" spans="1:6" ht="14.25" customHeight="1" x14ac:dyDescent="0.2">
      <c r="A625" s="539" t="s">
        <v>10943</v>
      </c>
      <c r="B625" s="540"/>
      <c r="C625" s="540"/>
      <c r="D625" s="540"/>
      <c r="E625" s="540"/>
      <c r="F625" s="541"/>
    </row>
    <row r="626" spans="1:6" ht="30" x14ac:dyDescent="0.2">
      <c r="A626" s="402" t="s">
        <v>9306</v>
      </c>
      <c r="B626" s="79" t="s">
        <v>10912</v>
      </c>
      <c r="C626" s="79" t="s">
        <v>10913</v>
      </c>
      <c r="D626" s="79" t="s">
        <v>10914</v>
      </c>
      <c r="E626" s="79" t="s">
        <v>10915</v>
      </c>
      <c r="F626" s="80" t="s">
        <v>10916</v>
      </c>
    </row>
    <row r="627" spans="1:6" x14ac:dyDescent="0.2">
      <c r="A627" s="9" t="s">
        <v>9314</v>
      </c>
      <c r="B627" s="16">
        <v>86.3</v>
      </c>
      <c r="C627" s="16">
        <v>71</v>
      </c>
      <c r="D627" s="16">
        <v>37.619999999999997</v>
      </c>
      <c r="E627" s="16">
        <v>17.670000000000002</v>
      </c>
      <c r="F627" s="29">
        <v>3.8</v>
      </c>
    </row>
    <row r="628" spans="1:6" x14ac:dyDescent="0.2">
      <c r="A628" s="9" t="s">
        <v>9315</v>
      </c>
      <c r="B628" s="16">
        <v>71.56</v>
      </c>
      <c r="C628" s="16">
        <v>58.25</v>
      </c>
      <c r="D628" s="16">
        <v>31.68</v>
      </c>
      <c r="E628" s="16">
        <v>15.26</v>
      </c>
      <c r="F628" s="29">
        <v>3.44</v>
      </c>
    </row>
    <row r="629" spans="1:6" x14ac:dyDescent="0.2">
      <c r="A629" s="9" t="s">
        <v>9316</v>
      </c>
      <c r="B629" s="16">
        <v>60.31</v>
      </c>
      <c r="C629" s="16">
        <v>46.68</v>
      </c>
      <c r="D629" s="16">
        <v>26.02</v>
      </c>
      <c r="E629" s="16">
        <v>12.89</v>
      </c>
      <c r="F629" s="29">
        <v>3.07</v>
      </c>
    </row>
    <row r="630" spans="1:6" x14ac:dyDescent="0.2">
      <c r="A630" s="9" t="s">
        <v>9317</v>
      </c>
      <c r="B630" s="16">
        <v>51.84</v>
      </c>
      <c r="C630" s="16">
        <v>37.119999999999997</v>
      </c>
      <c r="D630" s="16">
        <v>21.11</v>
      </c>
      <c r="E630" s="16">
        <v>10.78</v>
      </c>
      <c r="F630" s="29">
        <v>2.72</v>
      </c>
    </row>
    <row r="631" spans="1:6" x14ac:dyDescent="0.2">
      <c r="A631" s="9" t="s">
        <v>9318</v>
      </c>
      <c r="B631" s="16">
        <v>44.15</v>
      </c>
      <c r="C631" s="16">
        <v>29.65</v>
      </c>
      <c r="D631" s="16">
        <v>17.11</v>
      </c>
      <c r="E631" s="16">
        <v>9.0299999999999994</v>
      </c>
      <c r="F631" s="29">
        <v>2.4</v>
      </c>
    </row>
    <row r="632" spans="1:6" x14ac:dyDescent="0.2">
      <c r="A632" s="9" t="s">
        <v>9313</v>
      </c>
      <c r="B632" s="16">
        <v>129.1</v>
      </c>
      <c r="C632" s="16">
        <v>106.7</v>
      </c>
      <c r="D632" s="16">
        <v>55.9</v>
      </c>
      <c r="E632" s="16">
        <v>24.48</v>
      </c>
      <c r="F632" s="29">
        <v>4.68</v>
      </c>
    </row>
    <row r="633" spans="1:6" x14ac:dyDescent="0.2">
      <c r="A633" s="9" t="s">
        <v>9319</v>
      </c>
      <c r="B633" s="16">
        <v>196.7</v>
      </c>
      <c r="C633" s="16">
        <v>153.19999999999999</v>
      </c>
      <c r="D633" s="16">
        <v>77.67</v>
      </c>
      <c r="E633" s="16">
        <v>28.75</v>
      </c>
      <c r="F633" s="29">
        <v>4.99</v>
      </c>
    </row>
    <row r="634" spans="1:6" x14ac:dyDescent="0.2">
      <c r="A634" s="9" t="s">
        <v>9320</v>
      </c>
      <c r="B634" s="16">
        <v>2.84</v>
      </c>
      <c r="C634" s="16">
        <v>2.79</v>
      </c>
      <c r="D634" s="16">
        <v>2.5499999999999998</v>
      </c>
      <c r="E634" s="16">
        <v>1.84</v>
      </c>
      <c r="F634" s="29">
        <v>0.15</v>
      </c>
    </row>
    <row r="635" spans="1:6" x14ac:dyDescent="0.2">
      <c r="A635" s="9" t="s">
        <v>9321</v>
      </c>
      <c r="B635" s="16">
        <v>2.31</v>
      </c>
      <c r="C635" s="16">
        <v>2.25</v>
      </c>
      <c r="D635" s="16">
        <v>2.0099999999999998</v>
      </c>
      <c r="E635" s="16">
        <v>1.38</v>
      </c>
      <c r="F635" s="29">
        <v>0.13</v>
      </c>
    </row>
    <row r="636" spans="1:6" x14ac:dyDescent="0.2">
      <c r="A636" s="9" t="s">
        <v>9322</v>
      </c>
      <c r="B636" s="16">
        <v>1.82</v>
      </c>
      <c r="C636" s="16">
        <v>1.67</v>
      </c>
      <c r="D636" s="16">
        <v>1.5</v>
      </c>
      <c r="E636" s="16">
        <v>1.04</v>
      </c>
      <c r="F636" s="29">
        <v>0.1</v>
      </c>
    </row>
    <row r="637" spans="1:6" x14ac:dyDescent="0.2">
      <c r="A637" s="9" t="s">
        <v>9323</v>
      </c>
      <c r="B637" s="16">
        <v>7.75</v>
      </c>
      <c r="C637" s="16">
        <v>7.59</v>
      </c>
      <c r="D637" s="16">
        <v>7.33</v>
      </c>
      <c r="E637" s="16">
        <v>5.55</v>
      </c>
      <c r="F637" s="29">
        <v>1.4</v>
      </c>
    </row>
    <row r="638" spans="1:6" x14ac:dyDescent="0.2">
      <c r="A638" s="9" t="s">
        <v>9324</v>
      </c>
      <c r="B638" s="16">
        <v>6.1</v>
      </c>
      <c r="C638" s="16">
        <v>5.76</v>
      </c>
      <c r="D638" s="16">
        <v>5.49</v>
      </c>
      <c r="E638" s="16">
        <v>4.2699999999999996</v>
      </c>
      <c r="F638" s="29">
        <v>1.1000000000000001</v>
      </c>
    </row>
    <row r="639" spans="1:6" x14ac:dyDescent="0.2">
      <c r="A639" s="9" t="s">
        <v>9325</v>
      </c>
      <c r="B639" s="16">
        <v>4.6399999999999997</v>
      </c>
      <c r="C639" s="16">
        <v>4.26</v>
      </c>
      <c r="D639" s="16">
        <v>4.04</v>
      </c>
      <c r="E639" s="16">
        <v>3.41</v>
      </c>
      <c r="F639" s="29">
        <v>0.82</v>
      </c>
    </row>
    <row r="640" spans="1:6" x14ac:dyDescent="0.2">
      <c r="A640" s="9" t="s">
        <v>9326</v>
      </c>
      <c r="B640" s="16">
        <v>57.99</v>
      </c>
      <c r="C640" s="16">
        <v>48.77</v>
      </c>
      <c r="D640" s="16">
        <v>34.03</v>
      </c>
      <c r="E640" s="16">
        <v>15.6</v>
      </c>
      <c r="F640" s="29">
        <v>4.01</v>
      </c>
    </row>
    <row r="641" spans="1:6" x14ac:dyDescent="0.2">
      <c r="A641" s="9" t="s">
        <v>9327</v>
      </c>
      <c r="B641" s="16">
        <v>55.02</v>
      </c>
      <c r="C641" s="16">
        <v>44.78</v>
      </c>
      <c r="D641" s="16">
        <v>31.89</v>
      </c>
      <c r="E641" s="16">
        <v>15.12</v>
      </c>
      <c r="F641" s="29">
        <v>3.87</v>
      </c>
    </row>
    <row r="642" spans="1:6" x14ac:dyDescent="0.2">
      <c r="A642" s="9" t="s">
        <v>9328</v>
      </c>
      <c r="B642" s="16">
        <v>148.19999999999999</v>
      </c>
      <c r="C642" s="16">
        <v>121.1</v>
      </c>
      <c r="D642" s="16">
        <v>62.68</v>
      </c>
      <c r="E642" s="16">
        <v>26.31</v>
      </c>
      <c r="F642" s="29">
        <v>4.82</v>
      </c>
    </row>
    <row r="643" spans="1:6" x14ac:dyDescent="0.2">
      <c r="A643" s="9" t="s">
        <v>9329</v>
      </c>
      <c r="B643" s="16">
        <v>138.4</v>
      </c>
      <c r="C643" s="16">
        <v>113.9</v>
      </c>
      <c r="D643" s="16">
        <v>59.3</v>
      </c>
      <c r="E643" s="16">
        <v>25.48</v>
      </c>
      <c r="F643" s="29">
        <v>4.76</v>
      </c>
    </row>
    <row r="644" spans="1:6" x14ac:dyDescent="0.2">
      <c r="A644" s="9" t="s">
        <v>9293</v>
      </c>
      <c r="B644" s="16">
        <v>196.9</v>
      </c>
      <c r="C644" s="16">
        <v>153.30000000000001</v>
      </c>
      <c r="D644" s="16">
        <v>77.72</v>
      </c>
      <c r="E644" s="16">
        <v>28.77</v>
      </c>
      <c r="F644" s="29">
        <v>4.99</v>
      </c>
    </row>
    <row r="645" spans="1:6" x14ac:dyDescent="0.2">
      <c r="A645" s="9" t="s">
        <v>9330</v>
      </c>
      <c r="B645" s="16">
        <v>8.64</v>
      </c>
      <c r="C645" s="16">
        <v>8.43</v>
      </c>
      <c r="D645" s="16">
        <v>7.72</v>
      </c>
      <c r="E645" s="16">
        <v>5.63</v>
      </c>
      <c r="F645" s="29">
        <v>1.42</v>
      </c>
    </row>
    <row r="646" spans="1:6" x14ac:dyDescent="0.2">
      <c r="A646" s="9" t="s">
        <v>9331</v>
      </c>
      <c r="B646" s="16">
        <v>7.58</v>
      </c>
      <c r="C646" s="16">
        <v>7.45</v>
      </c>
      <c r="D646" s="16">
        <v>6.87</v>
      </c>
      <c r="E646" s="16">
        <v>5.14</v>
      </c>
      <c r="F646" s="29">
        <v>1.34</v>
      </c>
    </row>
    <row r="647" spans="1:6" x14ac:dyDescent="0.2">
      <c r="A647" s="9" t="s">
        <v>9332</v>
      </c>
      <c r="B647" s="16">
        <v>9.1199999999999992</v>
      </c>
      <c r="C647" s="16">
        <v>8.9</v>
      </c>
      <c r="D647" s="16">
        <v>8.5500000000000007</v>
      </c>
      <c r="E647" s="16">
        <v>5.96</v>
      </c>
      <c r="F647" s="29">
        <v>1.47</v>
      </c>
    </row>
    <row r="648" spans="1:6" ht="15" thickBot="1" x14ac:dyDescent="0.25">
      <c r="A648" s="112" t="s">
        <v>9333</v>
      </c>
      <c r="B648" s="28">
        <v>7.9</v>
      </c>
      <c r="C648" s="28">
        <v>7.8</v>
      </c>
      <c r="D648" s="28">
        <v>7.33</v>
      </c>
      <c r="E648" s="28">
        <v>5.3</v>
      </c>
      <c r="F648" s="113">
        <v>1.34</v>
      </c>
    </row>
    <row r="649" spans="1:6" ht="14.25" customHeight="1" x14ac:dyDescent="0.2">
      <c r="A649" s="539" t="s">
        <v>10944</v>
      </c>
      <c r="B649" s="540"/>
      <c r="C649" s="540"/>
      <c r="D649" s="540"/>
      <c r="E649" s="540"/>
      <c r="F649" s="541"/>
    </row>
    <row r="650" spans="1:6" ht="30" x14ac:dyDescent="0.2">
      <c r="A650" s="402" t="s">
        <v>9306</v>
      </c>
      <c r="B650" s="79" t="s">
        <v>10912</v>
      </c>
      <c r="C650" s="79" t="s">
        <v>10913</v>
      </c>
      <c r="D650" s="79" t="s">
        <v>10914</v>
      </c>
      <c r="E650" s="79" t="s">
        <v>10915</v>
      </c>
      <c r="F650" s="80" t="s">
        <v>10916</v>
      </c>
    </row>
    <row r="651" spans="1:6" x14ac:dyDescent="0.2">
      <c r="A651" s="9" t="s">
        <v>9314</v>
      </c>
      <c r="B651" s="16">
        <v>69.23</v>
      </c>
      <c r="C651" s="16">
        <v>55.64</v>
      </c>
      <c r="D651" s="16">
        <v>28.86</v>
      </c>
      <c r="E651" s="16">
        <v>12.62</v>
      </c>
      <c r="F651" s="29">
        <v>2.48</v>
      </c>
    </row>
    <row r="652" spans="1:6" x14ac:dyDescent="0.2">
      <c r="A652" s="9" t="s">
        <v>9315</v>
      </c>
      <c r="B652" s="16">
        <v>60.15</v>
      </c>
      <c r="C652" s="16">
        <v>47.97</v>
      </c>
      <c r="D652" s="16">
        <v>24.96</v>
      </c>
      <c r="E652" s="16">
        <v>11.34</v>
      </c>
      <c r="F652" s="29">
        <v>2.31</v>
      </c>
    </row>
    <row r="653" spans="1:6" x14ac:dyDescent="0.2">
      <c r="A653" s="9" t="s">
        <v>9316</v>
      </c>
      <c r="B653" s="16">
        <v>49.97</v>
      </c>
      <c r="C653" s="16">
        <v>40.130000000000003</v>
      </c>
      <c r="D653" s="16">
        <v>21.06</v>
      </c>
      <c r="E653" s="16">
        <v>9.91</v>
      </c>
      <c r="F653" s="29">
        <v>2.12</v>
      </c>
    </row>
    <row r="654" spans="1:6" x14ac:dyDescent="0.2">
      <c r="A654" s="9" t="s">
        <v>9317</v>
      </c>
      <c r="B654" s="16">
        <v>42.27</v>
      </c>
      <c r="C654" s="16">
        <v>32.97</v>
      </c>
      <c r="D654" s="16">
        <v>17.68</v>
      </c>
      <c r="E654" s="16">
        <v>8.52</v>
      </c>
      <c r="F654" s="29">
        <v>1.93</v>
      </c>
    </row>
    <row r="655" spans="1:6" x14ac:dyDescent="0.2">
      <c r="A655" s="9" t="s">
        <v>9318</v>
      </c>
      <c r="B655" s="16">
        <v>35.96</v>
      </c>
      <c r="C655" s="16">
        <v>26.89</v>
      </c>
      <c r="D655" s="16">
        <v>14.7</v>
      </c>
      <c r="E655" s="16">
        <v>7.25</v>
      </c>
      <c r="F655" s="29">
        <v>1.75</v>
      </c>
    </row>
    <row r="656" spans="1:6" x14ac:dyDescent="0.2">
      <c r="A656" s="9" t="s">
        <v>9313</v>
      </c>
      <c r="B656" s="16">
        <v>87.88</v>
      </c>
      <c r="C656" s="16">
        <v>73.56</v>
      </c>
      <c r="D656" s="16">
        <v>37.25</v>
      </c>
      <c r="E656" s="16">
        <v>15.87</v>
      </c>
      <c r="F656" s="29">
        <v>2.85</v>
      </c>
    </row>
    <row r="657" spans="1:6" x14ac:dyDescent="0.2">
      <c r="A657" s="9" t="s">
        <v>9319</v>
      </c>
      <c r="B657" s="16">
        <v>132.69999999999999</v>
      </c>
      <c r="C657" s="16">
        <v>105.9</v>
      </c>
      <c r="D657" s="16">
        <v>50.62</v>
      </c>
      <c r="E657" s="16">
        <v>18.489999999999998</v>
      </c>
      <c r="F657" s="29">
        <v>3</v>
      </c>
    </row>
    <row r="658" spans="1:6" x14ac:dyDescent="0.2">
      <c r="A658" s="9" t="s">
        <v>9320</v>
      </c>
      <c r="B658" s="16">
        <v>2.0499999999999998</v>
      </c>
      <c r="C658" s="16">
        <v>2.04</v>
      </c>
      <c r="D658" s="16">
        <v>1.9</v>
      </c>
      <c r="E658" s="16">
        <v>1.5</v>
      </c>
      <c r="F658" s="29">
        <v>0.15</v>
      </c>
    </row>
    <row r="659" spans="1:6" x14ac:dyDescent="0.2">
      <c r="A659" s="9" t="s">
        <v>9321</v>
      </c>
      <c r="B659" s="16">
        <v>1.78</v>
      </c>
      <c r="C659" s="16">
        <v>1.78</v>
      </c>
      <c r="D659" s="16">
        <v>1.65</v>
      </c>
      <c r="E659" s="16">
        <v>1.27</v>
      </c>
      <c r="F659" s="29">
        <v>0.13</v>
      </c>
    </row>
    <row r="660" spans="1:6" x14ac:dyDescent="0.2">
      <c r="A660" s="9" t="s">
        <v>9322</v>
      </c>
      <c r="B660" s="16">
        <v>1.51</v>
      </c>
      <c r="C660" s="16">
        <v>1.51</v>
      </c>
      <c r="D660" s="16">
        <v>1.38</v>
      </c>
      <c r="E660" s="16">
        <v>1.03</v>
      </c>
      <c r="F660" s="29">
        <v>0.1</v>
      </c>
    </row>
    <row r="661" spans="1:6" x14ac:dyDescent="0.2">
      <c r="A661" s="9" t="s">
        <v>9323</v>
      </c>
      <c r="B661" s="16">
        <v>6</v>
      </c>
      <c r="C661" s="16">
        <v>5.94</v>
      </c>
      <c r="D661" s="16">
        <v>5.64</v>
      </c>
      <c r="E661" s="16">
        <v>4.37</v>
      </c>
      <c r="F661" s="29">
        <v>1.02</v>
      </c>
    </row>
    <row r="662" spans="1:6" x14ac:dyDescent="0.2">
      <c r="A662" s="9" t="s">
        <v>9324</v>
      </c>
      <c r="B662" s="16">
        <v>4.91</v>
      </c>
      <c r="C662" s="16">
        <v>4.75</v>
      </c>
      <c r="D662" s="16">
        <v>4.6100000000000003</v>
      </c>
      <c r="E662" s="16">
        <v>3.6</v>
      </c>
      <c r="F662" s="29">
        <v>0.86</v>
      </c>
    </row>
    <row r="663" spans="1:6" x14ac:dyDescent="0.2">
      <c r="A663" s="9" t="s">
        <v>9325</v>
      </c>
      <c r="B663" s="16">
        <v>4.08</v>
      </c>
      <c r="C663" s="16">
        <v>3.71</v>
      </c>
      <c r="D663" s="16">
        <v>3.57</v>
      </c>
      <c r="E663" s="16">
        <v>2.81</v>
      </c>
      <c r="F663" s="29">
        <v>0.7</v>
      </c>
    </row>
    <row r="664" spans="1:6" x14ac:dyDescent="0.2">
      <c r="A664" s="9" t="s">
        <v>9326</v>
      </c>
      <c r="B664" s="16">
        <v>44.38</v>
      </c>
      <c r="C664" s="16">
        <v>39.950000000000003</v>
      </c>
      <c r="D664" s="16">
        <v>25.56</v>
      </c>
      <c r="E664" s="16">
        <v>11.02</v>
      </c>
      <c r="F664" s="29">
        <v>2.54</v>
      </c>
    </row>
    <row r="665" spans="1:6" x14ac:dyDescent="0.2">
      <c r="A665" s="9" t="s">
        <v>9327</v>
      </c>
      <c r="B665" s="16">
        <v>42.14</v>
      </c>
      <c r="C665" s="16">
        <v>37.74</v>
      </c>
      <c r="D665" s="16">
        <v>24.52</v>
      </c>
      <c r="E665" s="16">
        <v>10.61</v>
      </c>
      <c r="F665" s="29">
        <v>2.48</v>
      </c>
    </row>
    <row r="666" spans="1:6" x14ac:dyDescent="0.2">
      <c r="A666" s="9" t="s">
        <v>9328</v>
      </c>
      <c r="B666" s="16">
        <v>100.2</v>
      </c>
      <c r="C666" s="16">
        <v>82.89</v>
      </c>
      <c r="D666" s="16">
        <v>41.22</v>
      </c>
      <c r="E666" s="16">
        <v>16.87</v>
      </c>
      <c r="F666" s="29">
        <v>2.91</v>
      </c>
    </row>
    <row r="667" spans="1:6" x14ac:dyDescent="0.2">
      <c r="A667" s="9" t="s">
        <v>9329</v>
      </c>
      <c r="B667" s="16">
        <v>93.65</v>
      </c>
      <c r="C667" s="16">
        <v>78.03</v>
      </c>
      <c r="D667" s="16">
        <v>39.159999999999997</v>
      </c>
      <c r="E667" s="16">
        <v>16.399999999999999</v>
      </c>
      <c r="F667" s="29">
        <v>2.88</v>
      </c>
    </row>
    <row r="668" spans="1:6" x14ac:dyDescent="0.2">
      <c r="A668" s="9" t="s">
        <v>9293</v>
      </c>
      <c r="B668" s="16">
        <v>132.80000000000001</v>
      </c>
      <c r="C668" s="16">
        <v>106</v>
      </c>
      <c r="D668" s="16">
        <v>50.64</v>
      </c>
      <c r="E668" s="16">
        <v>18.489999999999998</v>
      </c>
      <c r="F668" s="29">
        <v>3</v>
      </c>
    </row>
    <row r="669" spans="1:6" x14ac:dyDescent="0.2">
      <c r="A669" s="9" t="s">
        <v>9330</v>
      </c>
      <c r="B669" s="16">
        <v>6.13</v>
      </c>
      <c r="C669" s="16">
        <v>6.02</v>
      </c>
      <c r="D669" s="16">
        <v>5.66</v>
      </c>
      <c r="E669" s="16">
        <v>4.07</v>
      </c>
      <c r="F669" s="29">
        <v>0.96</v>
      </c>
    </row>
    <row r="670" spans="1:6" x14ac:dyDescent="0.2">
      <c r="A670" s="9" t="s">
        <v>9331</v>
      </c>
      <c r="B670" s="16">
        <v>5.73</v>
      </c>
      <c r="C670" s="16">
        <v>5.65</v>
      </c>
      <c r="D670" s="16">
        <v>5.3</v>
      </c>
      <c r="E670" s="16">
        <v>3.99</v>
      </c>
      <c r="F670" s="29">
        <v>0.96</v>
      </c>
    </row>
    <row r="671" spans="1:6" x14ac:dyDescent="0.2">
      <c r="A671" s="9" t="s">
        <v>9332</v>
      </c>
      <c r="B671" s="16">
        <v>6.44</v>
      </c>
      <c r="C671" s="16">
        <v>6.36</v>
      </c>
      <c r="D671" s="16">
        <v>6.05</v>
      </c>
      <c r="E671" s="16">
        <v>4.47</v>
      </c>
      <c r="F671" s="29">
        <v>0.99</v>
      </c>
    </row>
    <row r="672" spans="1:6" ht="15" thickBot="1" x14ac:dyDescent="0.25">
      <c r="A672" s="227" t="s">
        <v>9333</v>
      </c>
      <c r="B672" s="203">
        <v>5.76</v>
      </c>
      <c r="C672" s="203">
        <v>5.69</v>
      </c>
      <c r="D672" s="203">
        <v>5.47</v>
      </c>
      <c r="E672" s="203">
        <v>4.05</v>
      </c>
      <c r="F672" s="405">
        <v>0.93</v>
      </c>
    </row>
    <row r="673" spans="1:6" ht="15" x14ac:dyDescent="0.2">
      <c r="A673" s="539" t="s">
        <v>10945</v>
      </c>
      <c r="B673" s="540"/>
      <c r="C673" s="540"/>
      <c r="D673" s="540"/>
      <c r="E673" s="540"/>
      <c r="F673" s="541"/>
    </row>
    <row r="674" spans="1:6" ht="15" x14ac:dyDescent="0.2">
      <c r="A674" s="564" t="s">
        <v>9306</v>
      </c>
      <c r="B674" s="563"/>
      <c r="C674" s="563" t="s">
        <v>10912</v>
      </c>
      <c r="D674" s="563"/>
      <c r="E674" s="563" t="s">
        <v>10916</v>
      </c>
      <c r="F674" s="847"/>
    </row>
    <row r="675" spans="1:6" x14ac:dyDescent="0.2">
      <c r="A675" s="530" t="s">
        <v>9334</v>
      </c>
      <c r="B675" s="531"/>
      <c r="C675" s="531">
        <v>1630.8</v>
      </c>
      <c r="D675" s="531"/>
      <c r="E675" s="531">
        <v>138.4</v>
      </c>
      <c r="F675" s="538"/>
    </row>
    <row r="676" spans="1:6" x14ac:dyDescent="0.2">
      <c r="A676" s="530" t="s">
        <v>9335</v>
      </c>
      <c r="B676" s="531"/>
      <c r="C676" s="531">
        <v>1116.0999999999999</v>
      </c>
      <c r="D676" s="531"/>
      <c r="E676" s="531">
        <v>53.37</v>
      </c>
      <c r="F676" s="538"/>
    </row>
    <row r="677" spans="1:6" x14ac:dyDescent="0.2">
      <c r="A677" s="530" t="s">
        <v>9336</v>
      </c>
      <c r="B677" s="531"/>
      <c r="C677" s="531">
        <v>848.7</v>
      </c>
      <c r="D677" s="531"/>
      <c r="E677" s="531">
        <v>28.61</v>
      </c>
      <c r="F677" s="538"/>
    </row>
    <row r="678" spans="1:6" x14ac:dyDescent="0.2">
      <c r="A678" s="530" t="s">
        <v>9337</v>
      </c>
      <c r="B678" s="531"/>
      <c r="C678" s="531">
        <v>418.6</v>
      </c>
      <c r="D678" s="531"/>
      <c r="E678" s="531">
        <v>10.119999999999999</v>
      </c>
      <c r="F678" s="538"/>
    </row>
    <row r="679" spans="1:6" x14ac:dyDescent="0.2">
      <c r="A679" s="530" t="s">
        <v>9338</v>
      </c>
      <c r="B679" s="531"/>
      <c r="C679" s="531">
        <v>212.1</v>
      </c>
      <c r="D679" s="531"/>
      <c r="E679" s="531">
        <v>4.55</v>
      </c>
      <c r="F679" s="538"/>
    </row>
    <row r="680" spans="1:6" ht="15" thickBot="1" x14ac:dyDescent="0.25">
      <c r="A680" s="483" t="s">
        <v>9339</v>
      </c>
      <c r="B680" s="484"/>
      <c r="C680" s="484">
        <v>143.80000000000001</v>
      </c>
      <c r="D680" s="484"/>
      <c r="E680" s="484">
        <v>2.5299999999999998</v>
      </c>
      <c r="F680" s="485"/>
    </row>
    <row r="681" spans="1:6" ht="14.25" customHeight="1" x14ac:dyDescent="0.2">
      <c r="A681" s="539" t="s">
        <v>10946</v>
      </c>
      <c r="B681" s="540"/>
      <c r="C681" s="540"/>
      <c r="D681" s="540"/>
      <c r="E681" s="540"/>
      <c r="F681" s="541"/>
    </row>
    <row r="682" spans="1:6" ht="28.5" customHeight="1" x14ac:dyDescent="0.2">
      <c r="A682" s="402" t="s">
        <v>9306</v>
      </c>
      <c r="B682" s="79" t="s">
        <v>10912</v>
      </c>
      <c r="C682" s="79" t="s">
        <v>10913</v>
      </c>
      <c r="D682" s="79" t="s">
        <v>10914</v>
      </c>
      <c r="E682" s="79" t="s">
        <v>10915</v>
      </c>
      <c r="F682" s="80" t="s">
        <v>10916</v>
      </c>
    </row>
    <row r="683" spans="1:6" x14ac:dyDescent="0.2">
      <c r="A683" s="9" t="s">
        <v>9314</v>
      </c>
      <c r="B683" s="16">
        <v>710.3</v>
      </c>
      <c r="C683" s="16">
        <v>596.29999999999995</v>
      </c>
      <c r="D683" s="16">
        <v>511</v>
      </c>
      <c r="E683" s="16">
        <v>246.7</v>
      </c>
      <c r="F683" s="29">
        <v>58.63</v>
      </c>
    </row>
    <row r="684" spans="1:6" x14ac:dyDescent="0.2">
      <c r="A684" s="9" t="s">
        <v>9315</v>
      </c>
      <c r="B684" s="16">
        <v>559.5</v>
      </c>
      <c r="C684" s="16">
        <v>507.9</v>
      </c>
      <c r="D684" s="16">
        <v>433.5</v>
      </c>
      <c r="E684" s="16">
        <v>208.8</v>
      </c>
      <c r="F684" s="29">
        <v>48.31</v>
      </c>
    </row>
    <row r="685" spans="1:6" x14ac:dyDescent="0.2">
      <c r="A685" s="9" t="s">
        <v>9316</v>
      </c>
      <c r="B685" s="16">
        <v>462.5</v>
      </c>
      <c r="C685" s="16">
        <v>442.1</v>
      </c>
      <c r="D685" s="16">
        <v>376.1</v>
      </c>
      <c r="E685" s="16">
        <v>180.7</v>
      </c>
      <c r="F685" s="29">
        <v>40.85</v>
      </c>
    </row>
    <row r="686" spans="1:6" x14ac:dyDescent="0.2">
      <c r="A686" s="9" t="s">
        <v>9317</v>
      </c>
      <c r="B686" s="16">
        <v>401.9</v>
      </c>
      <c r="C686" s="16">
        <v>392.4</v>
      </c>
      <c r="D686" s="16">
        <v>332.6</v>
      </c>
      <c r="E686" s="16">
        <v>159.5</v>
      </c>
      <c r="F686" s="29">
        <v>35.32</v>
      </c>
    </row>
    <row r="687" spans="1:6" x14ac:dyDescent="0.2">
      <c r="A687" s="9" t="s">
        <v>9318</v>
      </c>
      <c r="B687" s="16">
        <v>360.3</v>
      </c>
      <c r="C687" s="16">
        <v>352.9</v>
      </c>
      <c r="D687" s="16">
        <v>298.10000000000002</v>
      </c>
      <c r="E687" s="16">
        <v>142.69999999999999</v>
      </c>
      <c r="F687" s="29">
        <v>31.02</v>
      </c>
    </row>
    <row r="688" spans="1:6" x14ac:dyDescent="0.2">
      <c r="A688" s="9" t="s">
        <v>9313</v>
      </c>
      <c r="B688" s="16">
        <v>3478.3</v>
      </c>
      <c r="C688" s="16">
        <v>1856</v>
      </c>
      <c r="D688" s="16">
        <v>1591.2</v>
      </c>
      <c r="E688" s="16">
        <v>778.2</v>
      </c>
      <c r="F688" s="29">
        <v>202.6</v>
      </c>
    </row>
    <row r="689" spans="1:6" x14ac:dyDescent="0.2">
      <c r="A689" s="9" t="s">
        <v>9319</v>
      </c>
      <c r="B689" s="16">
        <v>20145.5</v>
      </c>
      <c r="C689" s="16">
        <v>18563.2</v>
      </c>
      <c r="D689" s="16">
        <v>15741.7</v>
      </c>
      <c r="E689" s="16">
        <v>7435.1</v>
      </c>
      <c r="F689" s="29">
        <v>1776.2</v>
      </c>
    </row>
    <row r="690" spans="1:6" x14ac:dyDescent="0.2">
      <c r="A690" s="9" t="s">
        <v>9320</v>
      </c>
      <c r="B690" s="16">
        <v>3.01</v>
      </c>
      <c r="C690" s="16">
        <v>2.5499999999999998</v>
      </c>
      <c r="D690" s="16">
        <v>2.0499999999999998</v>
      </c>
      <c r="E690" s="16">
        <v>1.24</v>
      </c>
      <c r="F690" s="29">
        <v>0.13</v>
      </c>
    </row>
    <row r="691" spans="1:6" x14ac:dyDescent="0.2">
      <c r="A691" s="9" t="s">
        <v>9321</v>
      </c>
      <c r="B691" s="16">
        <v>2.06</v>
      </c>
      <c r="C691" s="16">
        <v>1.79</v>
      </c>
      <c r="D691" s="16">
        <v>1.47</v>
      </c>
      <c r="E691" s="16">
        <v>0.93</v>
      </c>
      <c r="F691" s="29">
        <v>0.1</v>
      </c>
    </row>
    <row r="692" spans="1:6" x14ac:dyDescent="0.2">
      <c r="A692" s="9" t="s">
        <v>9322</v>
      </c>
      <c r="B692" s="16">
        <v>1.47</v>
      </c>
      <c r="C692" s="16">
        <v>1.3</v>
      </c>
      <c r="D692" s="16">
        <v>1.0900000000000001</v>
      </c>
      <c r="E692" s="16">
        <v>0.72</v>
      </c>
      <c r="F692" s="29">
        <v>0.09</v>
      </c>
    </row>
    <row r="693" spans="1:6" x14ac:dyDescent="0.2">
      <c r="A693" s="9" t="s">
        <v>9323</v>
      </c>
      <c r="B693" s="16">
        <v>10.89</v>
      </c>
      <c r="C693" s="16">
        <v>10.23</v>
      </c>
      <c r="D693" s="16">
        <v>9.94</v>
      </c>
      <c r="E693" s="16">
        <v>8.35</v>
      </c>
      <c r="F693" s="29">
        <v>1.62</v>
      </c>
    </row>
    <row r="694" spans="1:6" x14ac:dyDescent="0.2">
      <c r="A694" s="9" t="s">
        <v>9324</v>
      </c>
      <c r="B694" s="16">
        <v>6.91</v>
      </c>
      <c r="C694" s="16">
        <v>6.05</v>
      </c>
      <c r="D694" s="16">
        <v>5.82</v>
      </c>
      <c r="E694" s="16">
        <v>4.8600000000000003</v>
      </c>
      <c r="F694" s="29">
        <v>0.99</v>
      </c>
    </row>
    <row r="695" spans="1:6" x14ac:dyDescent="0.2">
      <c r="A695" s="9" t="s">
        <v>9325</v>
      </c>
      <c r="B695" s="16">
        <v>5.55</v>
      </c>
      <c r="C695" s="16">
        <v>4.42</v>
      </c>
      <c r="D695" s="16">
        <v>3.78</v>
      </c>
      <c r="E695" s="16">
        <v>3.14</v>
      </c>
      <c r="F695" s="29">
        <v>0.67</v>
      </c>
    </row>
    <row r="696" spans="1:6" x14ac:dyDescent="0.2">
      <c r="A696" s="9" t="s">
        <v>9326</v>
      </c>
      <c r="B696" s="16">
        <v>246.4</v>
      </c>
      <c r="C696" s="16">
        <v>236.7</v>
      </c>
      <c r="D696" s="16">
        <v>223.2</v>
      </c>
      <c r="E696" s="16">
        <v>171.1</v>
      </c>
      <c r="F696" s="29">
        <v>44.76</v>
      </c>
    </row>
    <row r="697" spans="1:6" x14ac:dyDescent="0.2">
      <c r="A697" s="9" t="s">
        <v>9327</v>
      </c>
      <c r="B697" s="16">
        <v>124.7</v>
      </c>
      <c r="C697" s="16">
        <v>119.8</v>
      </c>
      <c r="D697" s="16">
        <v>110.6</v>
      </c>
      <c r="E697" s="16">
        <v>82.13</v>
      </c>
      <c r="F697" s="29">
        <v>21.5</v>
      </c>
    </row>
    <row r="698" spans="1:6" x14ac:dyDescent="0.2">
      <c r="A698" s="9" t="s">
        <v>9328</v>
      </c>
      <c r="B698" s="16">
        <v>6149</v>
      </c>
      <c r="C698" s="16">
        <v>2107.8000000000002</v>
      </c>
      <c r="D698" s="16">
        <v>1665.6</v>
      </c>
      <c r="E698" s="16">
        <v>728.9</v>
      </c>
      <c r="F698" s="29">
        <v>190.6</v>
      </c>
    </row>
    <row r="699" spans="1:6" x14ac:dyDescent="0.2">
      <c r="A699" s="9" t="s">
        <v>9329</v>
      </c>
      <c r="B699" s="16">
        <v>4003.7</v>
      </c>
      <c r="C699" s="16">
        <v>1336.4</v>
      </c>
      <c r="D699" s="16">
        <v>1090</v>
      </c>
      <c r="E699" s="16">
        <v>510.8</v>
      </c>
      <c r="F699" s="29">
        <v>128.5</v>
      </c>
    </row>
    <row r="700" spans="1:6" x14ac:dyDescent="0.2">
      <c r="A700" s="9" t="s">
        <v>9293</v>
      </c>
      <c r="B700" s="16">
        <v>20673.3</v>
      </c>
      <c r="C700" s="16">
        <v>17396.5</v>
      </c>
      <c r="D700" s="16">
        <v>14452.7</v>
      </c>
      <c r="E700" s="16">
        <v>6741.7</v>
      </c>
      <c r="F700" s="29">
        <v>1628.2</v>
      </c>
    </row>
    <row r="701" spans="1:6" x14ac:dyDescent="0.2">
      <c r="A701" s="9" t="s">
        <v>9330</v>
      </c>
      <c r="B701" s="16">
        <v>42.54</v>
      </c>
      <c r="C701" s="16">
        <v>40.909999999999997</v>
      </c>
      <c r="D701" s="16">
        <v>37.270000000000003</v>
      </c>
      <c r="E701" s="16">
        <v>28.39</v>
      </c>
      <c r="F701" s="29">
        <v>2.9</v>
      </c>
    </row>
    <row r="702" spans="1:6" x14ac:dyDescent="0.2">
      <c r="A702" s="9" t="s">
        <v>9331</v>
      </c>
      <c r="B702" s="16">
        <v>13.55</v>
      </c>
      <c r="C702" s="16">
        <v>13.31</v>
      </c>
      <c r="D702" s="16">
        <v>12.49</v>
      </c>
      <c r="E702" s="16">
        <v>10.18</v>
      </c>
      <c r="F702" s="29">
        <v>1.64</v>
      </c>
    </row>
    <row r="703" spans="1:6" x14ac:dyDescent="0.2">
      <c r="A703" s="9" t="s">
        <v>9332</v>
      </c>
      <c r="B703" s="16">
        <v>61.89</v>
      </c>
      <c r="C703" s="16">
        <v>53.8</v>
      </c>
      <c r="D703" s="16">
        <v>44.04</v>
      </c>
      <c r="E703" s="16">
        <v>32.65</v>
      </c>
      <c r="F703" s="29">
        <v>3.28</v>
      </c>
    </row>
    <row r="704" spans="1:6" ht="15" thickBot="1" x14ac:dyDescent="0.25">
      <c r="A704" s="227" t="s">
        <v>9333</v>
      </c>
      <c r="B704" s="203">
        <v>23.98</v>
      </c>
      <c r="C704" s="203">
        <v>22.84</v>
      </c>
      <c r="D704" s="203">
        <v>20.29</v>
      </c>
      <c r="E704" s="203">
        <v>15.34</v>
      </c>
      <c r="F704" s="405">
        <v>1.96</v>
      </c>
    </row>
    <row r="705" spans="1:6" ht="14.25" customHeight="1" x14ac:dyDescent="0.2">
      <c r="A705" s="539" t="s">
        <v>10947</v>
      </c>
      <c r="B705" s="540"/>
      <c r="C705" s="540"/>
      <c r="D705" s="540"/>
      <c r="E705" s="540"/>
      <c r="F705" s="541"/>
    </row>
    <row r="706" spans="1:6" ht="30" x14ac:dyDescent="0.2">
      <c r="A706" s="402" t="s">
        <v>9306</v>
      </c>
      <c r="B706" s="79" t="s">
        <v>10912</v>
      </c>
      <c r="C706" s="79" t="s">
        <v>10913</v>
      </c>
      <c r="D706" s="79" t="s">
        <v>10914</v>
      </c>
      <c r="E706" s="79" t="s">
        <v>10915</v>
      </c>
      <c r="F706" s="80" t="s">
        <v>10916</v>
      </c>
    </row>
    <row r="707" spans="1:6" x14ac:dyDescent="0.2">
      <c r="A707" s="9" t="s">
        <v>9314</v>
      </c>
      <c r="B707" s="16">
        <v>604.79999999999995</v>
      </c>
      <c r="C707" s="16">
        <v>325.2</v>
      </c>
      <c r="D707" s="16">
        <v>278.60000000000002</v>
      </c>
      <c r="E707" s="16">
        <v>135.4</v>
      </c>
      <c r="F707" s="29">
        <v>32.049999999999997</v>
      </c>
    </row>
    <row r="708" spans="1:6" x14ac:dyDescent="0.2">
      <c r="A708" s="9" t="s">
        <v>9315</v>
      </c>
      <c r="B708" s="16">
        <v>454.8</v>
      </c>
      <c r="C708" s="16">
        <v>268.39999999999998</v>
      </c>
      <c r="D708" s="16">
        <v>230.3</v>
      </c>
      <c r="E708" s="16">
        <v>111.6</v>
      </c>
      <c r="F708" s="29">
        <v>25.72</v>
      </c>
    </row>
    <row r="709" spans="1:6" x14ac:dyDescent="0.2">
      <c r="A709" s="9" t="s">
        <v>9316</v>
      </c>
      <c r="B709" s="16">
        <v>355.1</v>
      </c>
      <c r="C709" s="16">
        <v>230.2</v>
      </c>
      <c r="D709" s="16">
        <v>196.5</v>
      </c>
      <c r="E709" s="16">
        <v>94.89</v>
      </c>
      <c r="F709" s="29">
        <v>21.37</v>
      </c>
    </row>
    <row r="710" spans="1:6" x14ac:dyDescent="0.2">
      <c r="A710" s="9" t="s">
        <v>9317</v>
      </c>
      <c r="B710" s="16">
        <v>287.10000000000002</v>
      </c>
      <c r="C710" s="16">
        <v>202.2</v>
      </c>
      <c r="D710" s="16">
        <v>171.9</v>
      </c>
      <c r="E710" s="16">
        <v>82.78</v>
      </c>
      <c r="F710" s="29">
        <v>18.260000000000002</v>
      </c>
    </row>
    <row r="711" spans="1:6" x14ac:dyDescent="0.2">
      <c r="A711" s="9" t="s">
        <v>9318</v>
      </c>
      <c r="B711" s="16">
        <v>238.9</v>
      </c>
      <c r="C711" s="16">
        <v>180.6</v>
      </c>
      <c r="D711" s="16">
        <v>152.9</v>
      </c>
      <c r="E711" s="16">
        <v>73.45</v>
      </c>
      <c r="F711" s="29">
        <v>15.91</v>
      </c>
    </row>
    <row r="712" spans="1:6" x14ac:dyDescent="0.2">
      <c r="A712" s="9" t="s">
        <v>9313</v>
      </c>
      <c r="B712" s="16">
        <v>2302.1999999999998</v>
      </c>
      <c r="C712" s="16">
        <v>1455.5</v>
      </c>
      <c r="D712" s="16">
        <v>1191</v>
      </c>
      <c r="E712" s="16">
        <v>579.9</v>
      </c>
      <c r="F712" s="29">
        <v>149.9</v>
      </c>
    </row>
    <row r="713" spans="1:6" x14ac:dyDescent="0.2">
      <c r="A713" s="9" t="s">
        <v>9319</v>
      </c>
      <c r="B713" s="16">
        <v>10845.1</v>
      </c>
      <c r="C713" s="16">
        <v>9643</v>
      </c>
      <c r="D713" s="16">
        <v>7846.6</v>
      </c>
      <c r="E713" s="16">
        <v>3692.3</v>
      </c>
      <c r="F713" s="29">
        <v>787.6</v>
      </c>
    </row>
    <row r="714" spans="1:6" x14ac:dyDescent="0.2">
      <c r="A714" s="9" t="s">
        <v>9320</v>
      </c>
      <c r="B714" s="16">
        <v>3.01</v>
      </c>
      <c r="C714" s="16">
        <v>2.5499999999999998</v>
      </c>
      <c r="D714" s="16">
        <v>2.0499999999999998</v>
      </c>
      <c r="E714" s="16">
        <v>1.24</v>
      </c>
      <c r="F714" s="29">
        <v>0.13</v>
      </c>
    </row>
    <row r="715" spans="1:6" x14ac:dyDescent="0.2">
      <c r="A715" s="9" t="s">
        <v>9321</v>
      </c>
      <c r="B715" s="16">
        <v>2.06</v>
      </c>
      <c r="C715" s="16">
        <v>1.79</v>
      </c>
      <c r="D715" s="16">
        <v>1.47</v>
      </c>
      <c r="E715" s="16">
        <v>0.93</v>
      </c>
      <c r="F715" s="29">
        <v>0.1</v>
      </c>
    </row>
    <row r="716" spans="1:6" x14ac:dyDescent="0.2">
      <c r="A716" s="9" t="s">
        <v>9322</v>
      </c>
      <c r="B716" s="16">
        <v>1.47</v>
      </c>
      <c r="C716" s="16">
        <v>1.3</v>
      </c>
      <c r="D716" s="16">
        <v>1.0900000000000001</v>
      </c>
      <c r="E716" s="16">
        <v>0.72</v>
      </c>
      <c r="F716" s="29">
        <v>0.09</v>
      </c>
    </row>
    <row r="717" spans="1:6" x14ac:dyDescent="0.2">
      <c r="A717" s="9" t="s">
        <v>9323</v>
      </c>
      <c r="B717" s="16">
        <v>10.89</v>
      </c>
      <c r="C717" s="16">
        <v>10.23</v>
      </c>
      <c r="D717" s="16">
        <v>9.94</v>
      </c>
      <c r="E717" s="16">
        <v>8.35</v>
      </c>
      <c r="F717" s="29">
        <v>1.62</v>
      </c>
    </row>
    <row r="718" spans="1:6" x14ac:dyDescent="0.2">
      <c r="A718" s="9" t="s">
        <v>9324</v>
      </c>
      <c r="B718" s="16">
        <v>6.91</v>
      </c>
      <c r="C718" s="16">
        <v>6.05</v>
      </c>
      <c r="D718" s="16">
        <v>5.82</v>
      </c>
      <c r="E718" s="16">
        <v>4.8600000000000003</v>
      </c>
      <c r="F718" s="29">
        <v>0.99</v>
      </c>
    </row>
    <row r="719" spans="1:6" x14ac:dyDescent="0.2">
      <c r="A719" s="9" t="s">
        <v>9325</v>
      </c>
      <c r="B719" s="16">
        <v>5.55</v>
      </c>
      <c r="C719" s="16">
        <v>4.42</v>
      </c>
      <c r="D719" s="16">
        <v>3.78</v>
      </c>
      <c r="E719" s="16">
        <v>3.14</v>
      </c>
      <c r="F719" s="29">
        <v>0.67</v>
      </c>
    </row>
    <row r="720" spans="1:6" x14ac:dyDescent="0.2">
      <c r="A720" s="9" t="s">
        <v>9326</v>
      </c>
      <c r="B720" s="16">
        <v>246.4</v>
      </c>
      <c r="C720" s="16">
        <v>236.7</v>
      </c>
      <c r="D720" s="16">
        <v>223.2</v>
      </c>
      <c r="E720" s="16">
        <v>171.1</v>
      </c>
      <c r="F720" s="29">
        <v>44.76</v>
      </c>
    </row>
    <row r="721" spans="1:6" x14ac:dyDescent="0.2">
      <c r="A721" s="9" t="s">
        <v>9327</v>
      </c>
      <c r="B721" s="16">
        <v>124.7</v>
      </c>
      <c r="C721" s="16">
        <v>119.8</v>
      </c>
      <c r="D721" s="16">
        <v>110.6</v>
      </c>
      <c r="E721" s="16">
        <v>82.13</v>
      </c>
      <c r="F721" s="29">
        <v>21.5</v>
      </c>
    </row>
    <row r="722" spans="1:6" x14ac:dyDescent="0.2">
      <c r="A722" s="9" t="s">
        <v>9328</v>
      </c>
      <c r="B722" s="16">
        <v>3728.1</v>
      </c>
      <c r="C722" s="16">
        <v>2107.8000000000002</v>
      </c>
      <c r="D722" s="16">
        <v>1665.6</v>
      </c>
      <c r="E722" s="16">
        <v>728.9</v>
      </c>
      <c r="F722" s="29">
        <v>190.6</v>
      </c>
    </row>
    <row r="723" spans="1:6" x14ac:dyDescent="0.2">
      <c r="A723" s="9" t="s">
        <v>9329</v>
      </c>
      <c r="B723" s="16">
        <v>2912</v>
      </c>
      <c r="C723" s="16">
        <v>1300.9000000000001</v>
      </c>
      <c r="D723" s="16">
        <v>1090</v>
      </c>
      <c r="E723" s="16">
        <v>510.8</v>
      </c>
      <c r="F723" s="29">
        <v>128.5</v>
      </c>
    </row>
    <row r="724" spans="1:6" x14ac:dyDescent="0.2">
      <c r="A724" s="9" t="s">
        <v>9293</v>
      </c>
      <c r="B724" s="16">
        <v>11135.2</v>
      </c>
      <c r="C724" s="16">
        <v>9899.7000000000007</v>
      </c>
      <c r="D724" s="16">
        <v>8053.4</v>
      </c>
      <c r="E724" s="16">
        <v>3789.1</v>
      </c>
      <c r="F724" s="29">
        <v>808.6</v>
      </c>
    </row>
    <row r="725" spans="1:6" x14ac:dyDescent="0.2">
      <c r="A725" s="9" t="s">
        <v>9330</v>
      </c>
      <c r="B725" s="16">
        <v>42.54</v>
      </c>
      <c r="C725" s="16">
        <v>40.909999999999997</v>
      </c>
      <c r="D725" s="16">
        <v>37.270000000000003</v>
      </c>
      <c r="E725" s="16">
        <v>28.39</v>
      </c>
      <c r="F725" s="29">
        <v>2.9</v>
      </c>
    </row>
    <row r="726" spans="1:6" x14ac:dyDescent="0.2">
      <c r="A726" s="9" t="s">
        <v>9331</v>
      </c>
      <c r="B726" s="16">
        <v>13.55</v>
      </c>
      <c r="C726" s="16">
        <v>13.31</v>
      </c>
      <c r="D726" s="16">
        <v>12.49</v>
      </c>
      <c r="E726" s="16">
        <v>10.18</v>
      </c>
      <c r="F726" s="29">
        <v>1.64</v>
      </c>
    </row>
    <row r="727" spans="1:6" x14ac:dyDescent="0.2">
      <c r="A727" s="9" t="s">
        <v>9332</v>
      </c>
      <c r="B727" s="16">
        <v>61.89</v>
      </c>
      <c r="C727" s="16">
        <v>53.8</v>
      </c>
      <c r="D727" s="16">
        <v>44.04</v>
      </c>
      <c r="E727" s="16">
        <v>32.65</v>
      </c>
      <c r="F727" s="29">
        <v>3.28</v>
      </c>
    </row>
    <row r="728" spans="1:6" ht="15" thickBot="1" x14ac:dyDescent="0.25">
      <c r="A728" s="227" t="s">
        <v>9333</v>
      </c>
      <c r="B728" s="203">
        <v>23.98</v>
      </c>
      <c r="C728" s="203">
        <v>22.84</v>
      </c>
      <c r="D728" s="203">
        <v>20.29</v>
      </c>
      <c r="E728" s="203">
        <v>15.34</v>
      </c>
      <c r="F728" s="405">
        <v>1.96</v>
      </c>
    </row>
    <row r="729" spans="1:6" ht="14.25" customHeight="1" x14ac:dyDescent="0.2">
      <c r="A729" s="539" t="s">
        <v>10948</v>
      </c>
      <c r="B729" s="540"/>
      <c r="C729" s="540"/>
      <c r="D729" s="540"/>
      <c r="E729" s="540"/>
      <c r="F729" s="541"/>
    </row>
    <row r="730" spans="1:6" ht="30" x14ac:dyDescent="0.2">
      <c r="A730" s="402" t="s">
        <v>9306</v>
      </c>
      <c r="B730" s="79" t="s">
        <v>10912</v>
      </c>
      <c r="C730" s="79" t="s">
        <v>10913</v>
      </c>
      <c r="D730" s="79" t="s">
        <v>10914</v>
      </c>
      <c r="E730" s="79" t="s">
        <v>10915</v>
      </c>
      <c r="F730" s="80" t="s">
        <v>10916</v>
      </c>
    </row>
    <row r="731" spans="1:6" x14ac:dyDescent="0.2">
      <c r="A731" s="9" t="s">
        <v>9314</v>
      </c>
      <c r="B731" s="16">
        <v>440.2</v>
      </c>
      <c r="C731" s="16">
        <v>231.2</v>
      </c>
      <c r="D731" s="16">
        <v>174.6</v>
      </c>
      <c r="E731" s="16">
        <v>85.59</v>
      </c>
      <c r="F731" s="29">
        <v>20.83</v>
      </c>
    </row>
    <row r="732" spans="1:6" x14ac:dyDescent="0.2">
      <c r="A732" s="9" t="s">
        <v>9315</v>
      </c>
      <c r="B732" s="16">
        <v>362</v>
      </c>
      <c r="C732" s="16">
        <v>177.3</v>
      </c>
      <c r="D732" s="16">
        <v>136.80000000000001</v>
      </c>
      <c r="E732" s="16">
        <v>66.930000000000007</v>
      </c>
      <c r="F732" s="29">
        <v>15.82</v>
      </c>
    </row>
    <row r="733" spans="1:6" x14ac:dyDescent="0.2">
      <c r="A733" s="9" t="s">
        <v>9316</v>
      </c>
      <c r="B733" s="16">
        <v>298.89999999999998</v>
      </c>
      <c r="C733" s="16">
        <v>141.5</v>
      </c>
      <c r="D733" s="16">
        <v>112.4</v>
      </c>
      <c r="E733" s="16">
        <v>54.83</v>
      </c>
      <c r="F733" s="29">
        <v>12.62</v>
      </c>
    </row>
    <row r="734" spans="1:6" x14ac:dyDescent="0.2">
      <c r="A734" s="9" t="s">
        <v>9317</v>
      </c>
      <c r="B734" s="16">
        <v>247.5</v>
      </c>
      <c r="C734" s="16">
        <v>116.8</v>
      </c>
      <c r="D734" s="16">
        <v>95.66</v>
      </c>
      <c r="E734" s="16">
        <v>46.52</v>
      </c>
      <c r="F734" s="29">
        <v>10.46</v>
      </c>
    </row>
    <row r="735" spans="1:6" x14ac:dyDescent="0.2">
      <c r="A735" s="9" t="s">
        <v>9318</v>
      </c>
      <c r="B735" s="16">
        <v>206.3</v>
      </c>
      <c r="C735" s="16">
        <v>98.98</v>
      </c>
      <c r="D735" s="16">
        <v>83.39</v>
      </c>
      <c r="E735" s="16">
        <v>40.43</v>
      </c>
      <c r="F735" s="29">
        <v>8.9</v>
      </c>
    </row>
    <row r="736" spans="1:6" x14ac:dyDescent="0.2">
      <c r="A736" s="9" t="s">
        <v>9313</v>
      </c>
      <c r="B736" s="16">
        <v>1216.8</v>
      </c>
      <c r="C736" s="16">
        <v>1078.5999999999999</v>
      </c>
      <c r="D736" s="16">
        <v>918.6</v>
      </c>
      <c r="E736" s="16">
        <v>435.8</v>
      </c>
      <c r="F736" s="29">
        <v>108.2</v>
      </c>
    </row>
    <row r="737" spans="1:6" x14ac:dyDescent="0.2">
      <c r="A737" s="9" t="s">
        <v>9319</v>
      </c>
      <c r="B737" s="16">
        <v>4302.7</v>
      </c>
      <c r="C737" s="16">
        <v>3851.6</v>
      </c>
      <c r="D737" s="16">
        <v>2985.5</v>
      </c>
      <c r="E737" s="16">
        <v>1392.5</v>
      </c>
      <c r="F737" s="29">
        <v>253.7</v>
      </c>
    </row>
    <row r="738" spans="1:6" x14ac:dyDescent="0.2">
      <c r="A738" s="9" t="s">
        <v>9320</v>
      </c>
      <c r="B738" s="16">
        <v>3.01</v>
      </c>
      <c r="C738" s="16">
        <v>2.5499999999999998</v>
      </c>
      <c r="D738" s="16">
        <v>2.0499999999999998</v>
      </c>
      <c r="E738" s="16">
        <v>1.24</v>
      </c>
      <c r="F738" s="29">
        <v>0.13</v>
      </c>
    </row>
    <row r="739" spans="1:6" x14ac:dyDescent="0.2">
      <c r="A739" s="9" t="s">
        <v>9321</v>
      </c>
      <c r="B739" s="16">
        <v>2.06</v>
      </c>
      <c r="C739" s="16">
        <v>1.79</v>
      </c>
      <c r="D739" s="16">
        <v>1.47</v>
      </c>
      <c r="E739" s="16">
        <v>0.93</v>
      </c>
      <c r="F739" s="29">
        <v>0.1</v>
      </c>
    </row>
    <row r="740" spans="1:6" x14ac:dyDescent="0.2">
      <c r="A740" s="9" t="s">
        <v>9322</v>
      </c>
      <c r="B740" s="16">
        <v>1.47</v>
      </c>
      <c r="C740" s="16">
        <v>1.3</v>
      </c>
      <c r="D740" s="16">
        <v>1.0900000000000001</v>
      </c>
      <c r="E740" s="16">
        <v>0.72</v>
      </c>
      <c r="F740" s="29">
        <v>0.09</v>
      </c>
    </row>
    <row r="741" spans="1:6" x14ac:dyDescent="0.2">
      <c r="A741" s="9" t="s">
        <v>9323</v>
      </c>
      <c r="B741" s="16">
        <v>10.89</v>
      </c>
      <c r="C741" s="16">
        <v>10.23</v>
      </c>
      <c r="D741" s="16">
        <v>9.94</v>
      </c>
      <c r="E741" s="16">
        <v>8.35</v>
      </c>
      <c r="F741" s="29">
        <v>1.62</v>
      </c>
    </row>
    <row r="742" spans="1:6" x14ac:dyDescent="0.2">
      <c r="A742" s="9" t="s">
        <v>9324</v>
      </c>
      <c r="B742" s="16">
        <v>6.91</v>
      </c>
      <c r="C742" s="16">
        <v>6.05</v>
      </c>
      <c r="D742" s="16">
        <v>5.82</v>
      </c>
      <c r="E742" s="16">
        <v>4.8600000000000003</v>
      </c>
      <c r="F742" s="29">
        <v>0.99</v>
      </c>
    </row>
    <row r="743" spans="1:6" x14ac:dyDescent="0.2">
      <c r="A743" s="9" t="s">
        <v>9325</v>
      </c>
      <c r="B743" s="16">
        <v>5.55</v>
      </c>
      <c r="C743" s="16">
        <v>4.42</v>
      </c>
      <c r="D743" s="16">
        <v>3.78</v>
      </c>
      <c r="E743" s="16">
        <v>3.14</v>
      </c>
      <c r="F743" s="29">
        <v>0.67</v>
      </c>
    </row>
    <row r="744" spans="1:6" x14ac:dyDescent="0.2">
      <c r="A744" s="9" t="s">
        <v>9326</v>
      </c>
      <c r="B744" s="16">
        <v>246.4</v>
      </c>
      <c r="C744" s="16">
        <v>236.7</v>
      </c>
      <c r="D744" s="16">
        <v>223.2</v>
      </c>
      <c r="E744" s="16">
        <v>171.1</v>
      </c>
      <c r="F744" s="29">
        <v>44.76</v>
      </c>
    </row>
    <row r="745" spans="1:6" x14ac:dyDescent="0.2">
      <c r="A745" s="9" t="s">
        <v>9327</v>
      </c>
      <c r="B745" s="16">
        <v>124.7</v>
      </c>
      <c r="C745" s="16">
        <v>119.8</v>
      </c>
      <c r="D745" s="16">
        <v>110.6</v>
      </c>
      <c r="E745" s="16">
        <v>82.13</v>
      </c>
      <c r="F745" s="29">
        <v>21.5</v>
      </c>
    </row>
    <row r="746" spans="1:6" x14ac:dyDescent="0.2">
      <c r="A746" s="9" t="s">
        <v>9328</v>
      </c>
      <c r="B746" s="16">
        <v>2086.5</v>
      </c>
      <c r="C746" s="16">
        <v>1896.2</v>
      </c>
      <c r="D746" s="16">
        <v>1567.8</v>
      </c>
      <c r="E746" s="16">
        <v>728.9</v>
      </c>
      <c r="F746" s="29">
        <v>168.2</v>
      </c>
    </row>
    <row r="747" spans="1:6" x14ac:dyDescent="0.2">
      <c r="A747" s="9" t="s">
        <v>9329</v>
      </c>
      <c r="B747" s="16">
        <v>1485.4</v>
      </c>
      <c r="C747" s="16">
        <v>1300.9000000000001</v>
      </c>
      <c r="D747" s="16">
        <v>1090</v>
      </c>
      <c r="E747" s="16">
        <v>510.8</v>
      </c>
      <c r="F747" s="29">
        <v>128.5</v>
      </c>
    </row>
    <row r="748" spans="1:6" x14ac:dyDescent="0.2">
      <c r="A748" s="9" t="s">
        <v>9293</v>
      </c>
      <c r="B748" s="16">
        <v>4368</v>
      </c>
      <c r="C748" s="16">
        <v>3906.4</v>
      </c>
      <c r="D748" s="16">
        <v>3028.5</v>
      </c>
      <c r="E748" s="16">
        <v>1412.8</v>
      </c>
      <c r="F748" s="29">
        <v>256.89999999999998</v>
      </c>
    </row>
    <row r="749" spans="1:6" x14ac:dyDescent="0.2">
      <c r="A749" s="9" t="s">
        <v>9330</v>
      </c>
      <c r="B749" s="16">
        <v>42.54</v>
      </c>
      <c r="C749" s="16">
        <v>40.909999999999997</v>
      </c>
      <c r="D749" s="16">
        <v>37.270000000000003</v>
      </c>
      <c r="E749" s="16">
        <v>28.39</v>
      </c>
      <c r="F749" s="29">
        <v>2.9</v>
      </c>
    </row>
    <row r="750" spans="1:6" x14ac:dyDescent="0.2">
      <c r="A750" s="9" t="s">
        <v>9331</v>
      </c>
      <c r="B750" s="16">
        <v>13.55</v>
      </c>
      <c r="C750" s="16">
        <v>13.31</v>
      </c>
      <c r="D750" s="16">
        <v>12.49</v>
      </c>
      <c r="E750" s="16">
        <v>10.18</v>
      </c>
      <c r="F750" s="29">
        <v>1.64</v>
      </c>
    </row>
    <row r="751" spans="1:6" x14ac:dyDescent="0.2">
      <c r="A751" s="9" t="s">
        <v>9332</v>
      </c>
      <c r="B751" s="16">
        <v>61.89</v>
      </c>
      <c r="C751" s="16">
        <v>53.8</v>
      </c>
      <c r="D751" s="16">
        <v>44.04</v>
      </c>
      <c r="E751" s="16">
        <v>32.65</v>
      </c>
      <c r="F751" s="29">
        <v>3.28</v>
      </c>
    </row>
    <row r="752" spans="1:6" ht="15" thickBot="1" x14ac:dyDescent="0.25">
      <c r="A752" s="112" t="s">
        <v>9333</v>
      </c>
      <c r="B752" s="28">
        <v>23.98</v>
      </c>
      <c r="C752" s="28">
        <v>22.84</v>
      </c>
      <c r="D752" s="28">
        <v>20.29</v>
      </c>
      <c r="E752" s="28">
        <v>15.34</v>
      </c>
      <c r="F752" s="113">
        <v>1.96</v>
      </c>
    </row>
    <row r="753" spans="1:6" ht="14.25" customHeight="1" x14ac:dyDescent="0.2">
      <c r="A753" s="539" t="s">
        <v>10949</v>
      </c>
      <c r="B753" s="540"/>
      <c r="C753" s="540"/>
      <c r="D753" s="540"/>
      <c r="E753" s="540"/>
      <c r="F753" s="541"/>
    </row>
    <row r="754" spans="1:6" ht="30" x14ac:dyDescent="0.2">
      <c r="A754" s="402" t="s">
        <v>9306</v>
      </c>
      <c r="B754" s="79" t="s">
        <v>10912</v>
      </c>
      <c r="C754" s="79" t="s">
        <v>10913</v>
      </c>
      <c r="D754" s="79" t="s">
        <v>10914</v>
      </c>
      <c r="E754" s="79" t="s">
        <v>10915</v>
      </c>
      <c r="F754" s="80" t="s">
        <v>10916</v>
      </c>
    </row>
    <row r="755" spans="1:6" x14ac:dyDescent="0.2">
      <c r="A755" s="9" t="s">
        <v>9314</v>
      </c>
      <c r="B755" s="16">
        <v>252.9</v>
      </c>
      <c r="C755" s="16">
        <v>155.1</v>
      </c>
      <c r="D755" s="16">
        <v>125.7</v>
      </c>
      <c r="E755" s="16">
        <v>62.25</v>
      </c>
      <c r="F755" s="29">
        <v>15.49</v>
      </c>
    </row>
    <row r="756" spans="1:6" x14ac:dyDescent="0.2">
      <c r="A756" s="9" t="s">
        <v>9315</v>
      </c>
      <c r="B756" s="16">
        <v>211</v>
      </c>
      <c r="C756" s="16">
        <v>121.9</v>
      </c>
      <c r="D756" s="16">
        <v>93.73</v>
      </c>
      <c r="E756" s="16">
        <v>46.75</v>
      </c>
      <c r="F756" s="29">
        <v>11.49</v>
      </c>
    </row>
    <row r="757" spans="1:6" x14ac:dyDescent="0.2">
      <c r="A757" s="9" t="s">
        <v>9316</v>
      </c>
      <c r="B757" s="16">
        <v>182.7</v>
      </c>
      <c r="C757" s="16">
        <v>98.65</v>
      </c>
      <c r="D757" s="16">
        <v>73.56</v>
      </c>
      <c r="E757" s="16">
        <v>36.56</v>
      </c>
      <c r="F757" s="29">
        <v>8.8699999999999992</v>
      </c>
    </row>
    <row r="758" spans="1:6" x14ac:dyDescent="0.2">
      <c r="A758" s="9" t="s">
        <v>9317</v>
      </c>
      <c r="B758" s="16">
        <v>161.1</v>
      </c>
      <c r="C758" s="16">
        <v>81.55</v>
      </c>
      <c r="D758" s="16">
        <v>60.18</v>
      </c>
      <c r="E758" s="16">
        <v>29.63</v>
      </c>
      <c r="F758" s="29">
        <v>7.08</v>
      </c>
    </row>
    <row r="759" spans="1:6" x14ac:dyDescent="0.2">
      <c r="A759" s="9" t="s">
        <v>9318</v>
      </c>
      <c r="B759" s="16">
        <v>141.30000000000001</v>
      </c>
      <c r="C759" s="16">
        <v>68.540000000000006</v>
      </c>
      <c r="D759" s="16">
        <v>50.78</v>
      </c>
      <c r="E759" s="16">
        <v>24.96</v>
      </c>
      <c r="F759" s="29">
        <v>5.82</v>
      </c>
    </row>
    <row r="760" spans="1:6" x14ac:dyDescent="0.2">
      <c r="A760" s="9" t="s">
        <v>9313</v>
      </c>
      <c r="B760" s="16">
        <v>716.9</v>
      </c>
      <c r="C760" s="16">
        <v>667.9</v>
      </c>
      <c r="D760" s="16">
        <v>542.6</v>
      </c>
      <c r="E760" s="16">
        <v>248.7</v>
      </c>
      <c r="F760" s="29">
        <v>51.78</v>
      </c>
    </row>
    <row r="761" spans="1:6" x14ac:dyDescent="0.2">
      <c r="A761" s="9" t="s">
        <v>9319</v>
      </c>
      <c r="B761" s="16">
        <v>1614.3</v>
      </c>
      <c r="C761" s="16">
        <v>1436.7</v>
      </c>
      <c r="D761" s="16">
        <v>1044</v>
      </c>
      <c r="E761" s="16">
        <v>486.8</v>
      </c>
      <c r="F761" s="29">
        <v>72.91</v>
      </c>
    </row>
    <row r="762" spans="1:6" x14ac:dyDescent="0.2">
      <c r="A762" s="9" t="s">
        <v>9320</v>
      </c>
      <c r="B762" s="16">
        <v>3.01</v>
      </c>
      <c r="C762" s="16">
        <v>2.5499999999999998</v>
      </c>
      <c r="D762" s="16">
        <v>2.0499999999999998</v>
      </c>
      <c r="E762" s="16">
        <v>1.24</v>
      </c>
      <c r="F762" s="29">
        <v>0.13</v>
      </c>
    </row>
    <row r="763" spans="1:6" x14ac:dyDescent="0.2">
      <c r="A763" s="9" t="s">
        <v>9321</v>
      </c>
      <c r="B763" s="16">
        <v>2.06</v>
      </c>
      <c r="C763" s="16">
        <v>1.79</v>
      </c>
      <c r="D763" s="16">
        <v>1.47</v>
      </c>
      <c r="E763" s="16">
        <v>0.93</v>
      </c>
      <c r="F763" s="29">
        <v>0.1</v>
      </c>
    </row>
    <row r="764" spans="1:6" x14ac:dyDescent="0.2">
      <c r="A764" s="9" t="s">
        <v>9322</v>
      </c>
      <c r="B764" s="16">
        <v>1.47</v>
      </c>
      <c r="C764" s="16">
        <v>1.3</v>
      </c>
      <c r="D764" s="16">
        <v>1.0900000000000001</v>
      </c>
      <c r="E764" s="16">
        <v>0.72</v>
      </c>
      <c r="F764" s="29">
        <v>0.09</v>
      </c>
    </row>
    <row r="765" spans="1:6" x14ac:dyDescent="0.2">
      <c r="A765" s="9" t="s">
        <v>9323</v>
      </c>
      <c r="B765" s="16">
        <v>10.89</v>
      </c>
      <c r="C765" s="16">
        <v>10.23</v>
      </c>
      <c r="D765" s="16">
        <v>9.94</v>
      </c>
      <c r="E765" s="16">
        <v>8.35</v>
      </c>
      <c r="F765" s="29">
        <v>1.62</v>
      </c>
    </row>
    <row r="766" spans="1:6" x14ac:dyDescent="0.2">
      <c r="A766" s="9" t="s">
        <v>9324</v>
      </c>
      <c r="B766" s="16">
        <v>6.91</v>
      </c>
      <c r="C766" s="16">
        <v>6.05</v>
      </c>
      <c r="D766" s="16">
        <v>5.82</v>
      </c>
      <c r="E766" s="16">
        <v>4.8600000000000003</v>
      </c>
      <c r="F766" s="29">
        <v>0.99</v>
      </c>
    </row>
    <row r="767" spans="1:6" x14ac:dyDescent="0.2">
      <c r="A767" s="9" t="s">
        <v>9325</v>
      </c>
      <c r="B767" s="16">
        <v>5.55</v>
      </c>
      <c r="C767" s="16">
        <v>4.42</v>
      </c>
      <c r="D767" s="16">
        <v>3.78</v>
      </c>
      <c r="E767" s="16">
        <v>3.14</v>
      </c>
      <c r="F767" s="29">
        <v>0.67</v>
      </c>
    </row>
    <row r="768" spans="1:6" x14ac:dyDescent="0.2">
      <c r="A768" s="9" t="s">
        <v>9326</v>
      </c>
      <c r="B768" s="16">
        <v>155.1</v>
      </c>
      <c r="C768" s="16">
        <v>154</v>
      </c>
      <c r="D768" s="16">
        <v>141.6</v>
      </c>
      <c r="E768" s="16">
        <v>96.98</v>
      </c>
      <c r="F768" s="29">
        <v>27.86</v>
      </c>
    </row>
    <row r="769" spans="1:6" x14ac:dyDescent="0.2">
      <c r="A769" s="9" t="s">
        <v>9327</v>
      </c>
      <c r="B769" s="16">
        <v>113</v>
      </c>
      <c r="C769" s="16">
        <v>109.8</v>
      </c>
      <c r="D769" s="16">
        <v>103.8</v>
      </c>
      <c r="E769" s="16">
        <v>76.739999999999995</v>
      </c>
      <c r="F769" s="29">
        <v>21.14</v>
      </c>
    </row>
    <row r="770" spans="1:6" x14ac:dyDescent="0.2">
      <c r="A770" s="9" t="s">
        <v>9328</v>
      </c>
      <c r="B770" s="16">
        <v>1047</v>
      </c>
      <c r="C770" s="16">
        <v>960</v>
      </c>
      <c r="D770" s="16">
        <v>755.5</v>
      </c>
      <c r="E770" s="16">
        <v>345</v>
      </c>
      <c r="F770" s="29">
        <v>63.81</v>
      </c>
    </row>
    <row r="771" spans="1:6" x14ac:dyDescent="0.2">
      <c r="A771" s="9" t="s">
        <v>9329</v>
      </c>
      <c r="B771" s="16">
        <v>878.7</v>
      </c>
      <c r="C771" s="16">
        <v>813</v>
      </c>
      <c r="D771" s="16">
        <v>650.9</v>
      </c>
      <c r="E771" s="16">
        <v>297.2</v>
      </c>
      <c r="F771" s="29">
        <v>58.65</v>
      </c>
    </row>
    <row r="772" spans="1:6" x14ac:dyDescent="0.2">
      <c r="A772" s="9" t="s">
        <v>9293</v>
      </c>
      <c r="B772" s="16">
        <v>1624.4</v>
      </c>
      <c r="C772" s="16">
        <v>1444.7</v>
      </c>
      <c r="D772" s="16">
        <v>1049.9000000000001</v>
      </c>
      <c r="E772" s="16">
        <v>489.5</v>
      </c>
      <c r="F772" s="29">
        <v>73.22</v>
      </c>
    </row>
    <row r="773" spans="1:6" x14ac:dyDescent="0.2">
      <c r="A773" s="9" t="s">
        <v>9330</v>
      </c>
      <c r="B773" s="16">
        <v>39.89</v>
      </c>
      <c r="C773" s="16">
        <v>39.28</v>
      </c>
      <c r="D773" s="16">
        <v>37.270000000000003</v>
      </c>
      <c r="E773" s="16">
        <v>28.39</v>
      </c>
      <c r="F773" s="29">
        <v>2.9</v>
      </c>
    </row>
    <row r="774" spans="1:6" x14ac:dyDescent="0.2">
      <c r="A774" s="9" t="s">
        <v>9331</v>
      </c>
      <c r="B774" s="16">
        <v>13.55</v>
      </c>
      <c r="C774" s="16">
        <v>13.31</v>
      </c>
      <c r="D774" s="16">
        <v>12.49</v>
      </c>
      <c r="E774" s="16">
        <v>10.18</v>
      </c>
      <c r="F774" s="29">
        <v>1.64</v>
      </c>
    </row>
    <row r="775" spans="1:6" x14ac:dyDescent="0.2">
      <c r="A775" s="9" t="s">
        <v>9332</v>
      </c>
      <c r="B775" s="16">
        <v>44.67</v>
      </c>
      <c r="C775" s="16">
        <v>43.79</v>
      </c>
      <c r="D775" s="16">
        <v>42.17</v>
      </c>
      <c r="E775" s="16">
        <v>32.65</v>
      </c>
      <c r="F775" s="29">
        <v>3.26</v>
      </c>
    </row>
    <row r="776" spans="1:6" ht="15" thickBot="1" x14ac:dyDescent="0.25">
      <c r="A776" s="112" t="s">
        <v>9333</v>
      </c>
      <c r="B776" s="28">
        <v>23.98</v>
      </c>
      <c r="C776" s="28">
        <v>22.84</v>
      </c>
      <c r="D776" s="28">
        <v>20.29</v>
      </c>
      <c r="E776" s="28">
        <v>15.34</v>
      </c>
      <c r="F776" s="113">
        <v>1.96</v>
      </c>
    </row>
    <row r="777" spans="1:6" ht="14.25" customHeight="1" x14ac:dyDescent="0.2">
      <c r="A777" s="539" t="s">
        <v>10950</v>
      </c>
      <c r="B777" s="540"/>
      <c r="C777" s="540"/>
      <c r="D777" s="540"/>
      <c r="E777" s="540"/>
      <c r="F777" s="541"/>
    </row>
    <row r="778" spans="1:6" ht="30" x14ac:dyDescent="0.2">
      <c r="A778" s="402" t="s">
        <v>9306</v>
      </c>
      <c r="B778" s="79" t="s">
        <v>10912</v>
      </c>
      <c r="C778" s="79" t="s">
        <v>10913</v>
      </c>
      <c r="D778" s="79" t="s">
        <v>10914</v>
      </c>
      <c r="E778" s="79" t="s">
        <v>10915</v>
      </c>
      <c r="F778" s="80" t="s">
        <v>10916</v>
      </c>
    </row>
    <row r="779" spans="1:6" x14ac:dyDescent="0.2">
      <c r="A779" s="9" t="s">
        <v>9314</v>
      </c>
      <c r="B779" s="16">
        <v>167.1</v>
      </c>
      <c r="C779" s="16">
        <v>128.5</v>
      </c>
      <c r="D779" s="16">
        <v>105.6</v>
      </c>
      <c r="E779" s="16">
        <v>50.08</v>
      </c>
      <c r="F779" s="29">
        <v>12.13</v>
      </c>
    </row>
    <row r="780" spans="1:6" x14ac:dyDescent="0.2">
      <c r="A780" s="9" t="s">
        <v>9315</v>
      </c>
      <c r="B780" s="16">
        <v>146.5</v>
      </c>
      <c r="C780" s="16">
        <v>94.15</v>
      </c>
      <c r="D780" s="16">
        <v>77.2</v>
      </c>
      <c r="E780" s="16">
        <v>38.409999999999997</v>
      </c>
      <c r="F780" s="29">
        <v>9.33</v>
      </c>
    </row>
    <row r="781" spans="1:6" x14ac:dyDescent="0.2">
      <c r="A781" s="9" t="s">
        <v>9316</v>
      </c>
      <c r="B781" s="16">
        <v>129.30000000000001</v>
      </c>
      <c r="C781" s="16">
        <v>74.62</v>
      </c>
      <c r="D781" s="16">
        <v>59.6</v>
      </c>
      <c r="E781" s="16">
        <v>30.22</v>
      </c>
      <c r="F781" s="29">
        <v>7.32</v>
      </c>
    </row>
    <row r="782" spans="1:6" x14ac:dyDescent="0.2">
      <c r="A782" s="9" t="s">
        <v>9317</v>
      </c>
      <c r="B782" s="16">
        <v>114.1</v>
      </c>
      <c r="C782" s="16">
        <v>61.93</v>
      </c>
      <c r="D782" s="16">
        <v>47.85</v>
      </c>
      <c r="E782" s="16">
        <v>24.41</v>
      </c>
      <c r="F782" s="29">
        <v>5.88</v>
      </c>
    </row>
    <row r="783" spans="1:6" x14ac:dyDescent="0.2">
      <c r="A783" s="9" t="s">
        <v>9318</v>
      </c>
      <c r="B783" s="16">
        <v>99.99</v>
      </c>
      <c r="C783" s="16">
        <v>53</v>
      </c>
      <c r="D783" s="16">
        <v>39.67</v>
      </c>
      <c r="E783" s="16">
        <v>20.2</v>
      </c>
      <c r="F783" s="29">
        <v>4.82</v>
      </c>
    </row>
    <row r="784" spans="1:6" x14ac:dyDescent="0.2">
      <c r="A784" s="9" t="s">
        <v>9313</v>
      </c>
      <c r="B784" s="16">
        <v>480.6</v>
      </c>
      <c r="C784" s="16">
        <v>443.9</v>
      </c>
      <c r="D784" s="16">
        <v>347.6</v>
      </c>
      <c r="E784" s="16">
        <v>157.30000000000001</v>
      </c>
      <c r="F784" s="29">
        <v>28.82</v>
      </c>
    </row>
    <row r="785" spans="1:6" x14ac:dyDescent="0.2">
      <c r="A785" s="9" t="s">
        <v>9319</v>
      </c>
      <c r="B785" s="16">
        <v>911.4</v>
      </c>
      <c r="C785" s="16">
        <v>802.6</v>
      </c>
      <c r="D785" s="16">
        <v>563</v>
      </c>
      <c r="E785" s="16">
        <v>261.2</v>
      </c>
      <c r="F785" s="29">
        <v>35.090000000000003</v>
      </c>
    </row>
    <row r="786" spans="1:6" x14ac:dyDescent="0.2">
      <c r="A786" s="9" t="s">
        <v>9320</v>
      </c>
      <c r="B786" s="16">
        <v>3.01</v>
      </c>
      <c r="C786" s="16">
        <v>2.5499999999999998</v>
      </c>
      <c r="D786" s="16">
        <v>2.0499999999999998</v>
      </c>
      <c r="E786" s="16">
        <v>1.24</v>
      </c>
      <c r="F786" s="29">
        <v>0.13</v>
      </c>
    </row>
    <row r="787" spans="1:6" x14ac:dyDescent="0.2">
      <c r="A787" s="9" t="s">
        <v>9321</v>
      </c>
      <c r="B787" s="16">
        <v>2.06</v>
      </c>
      <c r="C787" s="16">
        <v>1.79</v>
      </c>
      <c r="D787" s="16">
        <v>1.47</v>
      </c>
      <c r="E787" s="16">
        <v>0.93</v>
      </c>
      <c r="F787" s="29">
        <v>0.1</v>
      </c>
    </row>
    <row r="788" spans="1:6" x14ac:dyDescent="0.2">
      <c r="A788" s="9" t="s">
        <v>9322</v>
      </c>
      <c r="B788" s="16">
        <v>1.47</v>
      </c>
      <c r="C788" s="16">
        <v>1.3</v>
      </c>
      <c r="D788" s="16">
        <v>1.0900000000000001</v>
      </c>
      <c r="E788" s="16">
        <v>0.72</v>
      </c>
      <c r="F788" s="29">
        <v>0.09</v>
      </c>
    </row>
    <row r="789" spans="1:6" x14ac:dyDescent="0.2">
      <c r="A789" s="9" t="s">
        <v>9323</v>
      </c>
      <c r="B789" s="16">
        <v>10.89</v>
      </c>
      <c r="C789" s="16">
        <v>10.23</v>
      </c>
      <c r="D789" s="16">
        <v>9.94</v>
      </c>
      <c r="E789" s="16">
        <v>8.35</v>
      </c>
      <c r="F789" s="29">
        <v>1.62</v>
      </c>
    </row>
    <row r="790" spans="1:6" x14ac:dyDescent="0.2">
      <c r="A790" s="9" t="s">
        <v>9324</v>
      </c>
      <c r="B790" s="16">
        <v>6.91</v>
      </c>
      <c r="C790" s="16">
        <v>6.05</v>
      </c>
      <c r="D790" s="16">
        <v>5.82</v>
      </c>
      <c r="E790" s="16">
        <v>4.8600000000000003</v>
      </c>
      <c r="F790" s="29">
        <v>0.99</v>
      </c>
    </row>
    <row r="791" spans="1:6" x14ac:dyDescent="0.2">
      <c r="A791" s="9" t="s">
        <v>9325</v>
      </c>
      <c r="B791" s="16">
        <v>5.55</v>
      </c>
      <c r="C791" s="16">
        <v>4.42</v>
      </c>
      <c r="D791" s="16">
        <v>3.78</v>
      </c>
      <c r="E791" s="16">
        <v>3.14</v>
      </c>
      <c r="F791" s="29">
        <v>0.67</v>
      </c>
    </row>
    <row r="792" spans="1:6" x14ac:dyDescent="0.2">
      <c r="A792" s="9" t="s">
        <v>9326</v>
      </c>
      <c r="B792" s="16">
        <v>112.7</v>
      </c>
      <c r="C792" s="16">
        <v>99.94</v>
      </c>
      <c r="D792" s="16">
        <v>96.89</v>
      </c>
      <c r="E792" s="16">
        <v>60.13</v>
      </c>
      <c r="F792" s="29">
        <v>17.010000000000002</v>
      </c>
    </row>
    <row r="793" spans="1:6" x14ac:dyDescent="0.2">
      <c r="A793" s="9" t="s">
        <v>9327</v>
      </c>
      <c r="B793" s="16">
        <v>91.3</v>
      </c>
      <c r="C793" s="16">
        <v>81.12</v>
      </c>
      <c r="D793" s="16">
        <v>76.67</v>
      </c>
      <c r="E793" s="16">
        <v>49.49</v>
      </c>
      <c r="F793" s="29">
        <v>14.5</v>
      </c>
    </row>
    <row r="794" spans="1:6" x14ac:dyDescent="0.2">
      <c r="A794" s="9" t="s">
        <v>9328</v>
      </c>
      <c r="B794" s="16">
        <v>633.70000000000005</v>
      </c>
      <c r="C794" s="16">
        <v>577.5</v>
      </c>
      <c r="D794" s="16">
        <v>437.2</v>
      </c>
      <c r="E794" s="16">
        <v>198.6</v>
      </c>
      <c r="F794" s="29">
        <v>32.56</v>
      </c>
    </row>
    <row r="795" spans="1:6" x14ac:dyDescent="0.2">
      <c r="A795" s="9" t="s">
        <v>9329</v>
      </c>
      <c r="B795" s="16">
        <v>560</v>
      </c>
      <c r="C795" s="16">
        <v>514.5</v>
      </c>
      <c r="D795" s="16">
        <v>396.6</v>
      </c>
      <c r="E795" s="16">
        <v>179.6</v>
      </c>
      <c r="F795" s="29">
        <v>31.13</v>
      </c>
    </row>
    <row r="796" spans="1:6" x14ac:dyDescent="0.2">
      <c r="A796" s="9" t="s">
        <v>9293</v>
      </c>
      <c r="B796" s="16">
        <v>914.7</v>
      </c>
      <c r="C796" s="16">
        <v>805.2</v>
      </c>
      <c r="D796" s="16">
        <v>564.79999999999995</v>
      </c>
      <c r="E796" s="16">
        <v>262</v>
      </c>
      <c r="F796" s="29">
        <v>35.17</v>
      </c>
    </row>
    <row r="797" spans="1:6" x14ac:dyDescent="0.2">
      <c r="A797" s="9" t="s">
        <v>9330</v>
      </c>
      <c r="B797" s="16">
        <v>27.03</v>
      </c>
      <c r="C797" s="16">
        <v>26.57</v>
      </c>
      <c r="D797" s="16">
        <v>25.24</v>
      </c>
      <c r="E797" s="16">
        <v>20.82</v>
      </c>
      <c r="F797" s="29">
        <v>2.89</v>
      </c>
    </row>
    <row r="798" spans="1:6" x14ac:dyDescent="0.2">
      <c r="A798" s="9" t="s">
        <v>9331</v>
      </c>
      <c r="B798" s="16">
        <v>13.55</v>
      </c>
      <c r="C798" s="16">
        <v>13.31</v>
      </c>
      <c r="D798" s="16">
        <v>12.49</v>
      </c>
      <c r="E798" s="16">
        <v>10.18</v>
      </c>
      <c r="F798" s="29">
        <v>1.64</v>
      </c>
    </row>
    <row r="799" spans="1:6" x14ac:dyDescent="0.2">
      <c r="A799" s="9" t="s">
        <v>9332</v>
      </c>
      <c r="B799" s="16">
        <v>28.83</v>
      </c>
      <c r="C799" s="16">
        <v>28.56</v>
      </c>
      <c r="D799" s="16">
        <v>27.36</v>
      </c>
      <c r="E799" s="16">
        <v>22.04</v>
      </c>
      <c r="F799" s="29">
        <v>3.23</v>
      </c>
    </row>
    <row r="800" spans="1:6" ht="15" thickBot="1" x14ac:dyDescent="0.25">
      <c r="A800" s="112" t="s">
        <v>9333</v>
      </c>
      <c r="B800" s="28">
        <v>19.89</v>
      </c>
      <c r="C800" s="28">
        <v>19.55</v>
      </c>
      <c r="D800" s="28">
        <v>18.48</v>
      </c>
      <c r="E800" s="28">
        <v>15.34</v>
      </c>
      <c r="F800" s="113">
        <v>1.96</v>
      </c>
    </row>
    <row r="801" spans="1:6" ht="14.25" customHeight="1" x14ac:dyDescent="0.2">
      <c r="A801" s="539" t="s">
        <v>10951</v>
      </c>
      <c r="B801" s="540"/>
      <c r="C801" s="540"/>
      <c r="D801" s="540"/>
      <c r="E801" s="540"/>
      <c r="F801" s="541"/>
    </row>
    <row r="802" spans="1:6" ht="30" x14ac:dyDescent="0.2">
      <c r="A802" s="402" t="s">
        <v>9306</v>
      </c>
      <c r="B802" s="79" t="s">
        <v>10912</v>
      </c>
      <c r="C802" s="79" t="s">
        <v>10913</v>
      </c>
      <c r="D802" s="79" t="s">
        <v>10914</v>
      </c>
      <c r="E802" s="79" t="s">
        <v>10915</v>
      </c>
      <c r="F802" s="80" t="s">
        <v>10916</v>
      </c>
    </row>
    <row r="803" spans="1:6" x14ac:dyDescent="0.2">
      <c r="A803" s="9" t="s">
        <v>9314</v>
      </c>
      <c r="B803" s="16">
        <v>141.80000000000001</v>
      </c>
      <c r="C803" s="16">
        <v>115.3</v>
      </c>
      <c r="D803" s="16">
        <v>92.96</v>
      </c>
      <c r="E803" s="16">
        <v>42.44</v>
      </c>
      <c r="F803" s="29">
        <v>9.5</v>
      </c>
    </row>
    <row r="804" spans="1:6" x14ac:dyDescent="0.2">
      <c r="A804" s="9" t="s">
        <v>9315</v>
      </c>
      <c r="B804" s="16">
        <v>107.4</v>
      </c>
      <c r="C804" s="16">
        <v>85.21</v>
      </c>
      <c r="D804" s="16">
        <v>67.84</v>
      </c>
      <c r="E804" s="16">
        <v>32.17</v>
      </c>
      <c r="F804" s="29">
        <v>7.59</v>
      </c>
    </row>
    <row r="805" spans="1:6" x14ac:dyDescent="0.2">
      <c r="A805" s="9" t="s">
        <v>9316</v>
      </c>
      <c r="B805" s="16">
        <v>96.32</v>
      </c>
      <c r="C805" s="16">
        <v>64.53</v>
      </c>
      <c r="D805" s="16">
        <v>51.58</v>
      </c>
      <c r="E805" s="16">
        <v>25.68</v>
      </c>
      <c r="F805" s="29">
        <v>6.13</v>
      </c>
    </row>
    <row r="806" spans="1:6" x14ac:dyDescent="0.2">
      <c r="A806" s="9" t="s">
        <v>9317</v>
      </c>
      <c r="B806" s="16">
        <v>86.63</v>
      </c>
      <c r="C806" s="16">
        <v>50.36</v>
      </c>
      <c r="D806" s="16">
        <v>40.99</v>
      </c>
      <c r="E806" s="16">
        <v>20.89</v>
      </c>
      <c r="F806" s="29">
        <v>5.01</v>
      </c>
    </row>
    <row r="807" spans="1:6" x14ac:dyDescent="0.2">
      <c r="A807" s="9" t="s">
        <v>9318</v>
      </c>
      <c r="B807" s="16">
        <v>78.58</v>
      </c>
      <c r="C807" s="16">
        <v>42.86</v>
      </c>
      <c r="D807" s="16">
        <v>33.61</v>
      </c>
      <c r="E807" s="16">
        <v>17.329999999999998</v>
      </c>
      <c r="F807" s="29">
        <v>4.16</v>
      </c>
    </row>
    <row r="808" spans="1:6" x14ac:dyDescent="0.2">
      <c r="A808" s="9" t="s">
        <v>9313</v>
      </c>
      <c r="B808" s="16">
        <v>346.6</v>
      </c>
      <c r="C808" s="16">
        <v>318.60000000000002</v>
      </c>
      <c r="D808" s="16">
        <v>243.3</v>
      </c>
      <c r="E808" s="16">
        <v>109.6</v>
      </c>
      <c r="F808" s="29">
        <v>18.27</v>
      </c>
    </row>
    <row r="809" spans="1:6" x14ac:dyDescent="0.2">
      <c r="A809" s="9" t="s">
        <v>9319</v>
      </c>
      <c r="B809" s="16">
        <v>607.4</v>
      </c>
      <c r="C809" s="16">
        <v>529.9</v>
      </c>
      <c r="D809" s="16">
        <v>364.7</v>
      </c>
      <c r="E809" s="16">
        <v>168.4</v>
      </c>
      <c r="F809" s="29">
        <v>21.05</v>
      </c>
    </row>
    <row r="810" spans="1:6" x14ac:dyDescent="0.2">
      <c r="A810" s="9" t="s">
        <v>9320</v>
      </c>
      <c r="B810" s="16">
        <v>3.01</v>
      </c>
      <c r="C810" s="16">
        <v>2.5499999999999998</v>
      </c>
      <c r="D810" s="16">
        <v>2.0499999999999998</v>
      </c>
      <c r="E810" s="16">
        <v>1.24</v>
      </c>
      <c r="F810" s="29">
        <v>0.13</v>
      </c>
    </row>
    <row r="811" spans="1:6" x14ac:dyDescent="0.2">
      <c r="A811" s="9" t="s">
        <v>9321</v>
      </c>
      <c r="B811" s="16">
        <v>2.06</v>
      </c>
      <c r="C811" s="16">
        <v>1.79</v>
      </c>
      <c r="D811" s="16">
        <v>1.47</v>
      </c>
      <c r="E811" s="16">
        <v>0.93</v>
      </c>
      <c r="F811" s="29">
        <v>0.1</v>
      </c>
    </row>
    <row r="812" spans="1:6" x14ac:dyDescent="0.2">
      <c r="A812" s="9" t="s">
        <v>9322</v>
      </c>
      <c r="B812" s="16">
        <v>1.47</v>
      </c>
      <c r="C812" s="16">
        <v>1.3</v>
      </c>
      <c r="D812" s="16">
        <v>1.0900000000000001</v>
      </c>
      <c r="E812" s="16">
        <v>0.72</v>
      </c>
      <c r="F812" s="29">
        <v>0.09</v>
      </c>
    </row>
    <row r="813" spans="1:6" x14ac:dyDescent="0.2">
      <c r="A813" s="9" t="s">
        <v>9323</v>
      </c>
      <c r="B813" s="16">
        <v>10.89</v>
      </c>
      <c r="C813" s="16">
        <v>10.23</v>
      </c>
      <c r="D813" s="16">
        <v>9.94</v>
      </c>
      <c r="E813" s="16">
        <v>8.35</v>
      </c>
      <c r="F813" s="29">
        <v>1.62</v>
      </c>
    </row>
    <row r="814" spans="1:6" x14ac:dyDescent="0.2">
      <c r="A814" s="9" t="s">
        <v>9324</v>
      </c>
      <c r="B814" s="16">
        <v>6.91</v>
      </c>
      <c r="C814" s="16">
        <v>6.05</v>
      </c>
      <c r="D814" s="16">
        <v>5.82</v>
      </c>
      <c r="E814" s="16">
        <v>4.8600000000000003</v>
      </c>
      <c r="F814" s="29">
        <v>0.99</v>
      </c>
    </row>
    <row r="815" spans="1:6" x14ac:dyDescent="0.2">
      <c r="A815" s="9" t="s">
        <v>9325</v>
      </c>
      <c r="B815" s="16">
        <v>5.55</v>
      </c>
      <c r="C815" s="16">
        <v>4.42</v>
      </c>
      <c r="D815" s="16">
        <v>3.78</v>
      </c>
      <c r="E815" s="16">
        <v>3.14</v>
      </c>
      <c r="F815" s="29">
        <v>0.67</v>
      </c>
    </row>
    <row r="816" spans="1:6" x14ac:dyDescent="0.2">
      <c r="A816" s="9" t="s">
        <v>9326</v>
      </c>
      <c r="B816" s="16">
        <v>99.5</v>
      </c>
      <c r="C816" s="16">
        <v>78.02</v>
      </c>
      <c r="D816" s="16">
        <v>73.53</v>
      </c>
      <c r="E816" s="16">
        <v>44.82</v>
      </c>
      <c r="F816" s="29">
        <v>11.52</v>
      </c>
    </row>
    <row r="817" spans="1:6" x14ac:dyDescent="0.2">
      <c r="A817" s="9" t="s">
        <v>9327</v>
      </c>
      <c r="B817" s="16">
        <v>87.79</v>
      </c>
      <c r="C817" s="16">
        <v>64.8</v>
      </c>
      <c r="D817" s="16">
        <v>60.45</v>
      </c>
      <c r="E817" s="16">
        <v>38.58</v>
      </c>
      <c r="F817" s="29">
        <v>10.28</v>
      </c>
    </row>
    <row r="818" spans="1:6" x14ac:dyDescent="0.2">
      <c r="A818" s="9" t="s">
        <v>9328</v>
      </c>
      <c r="B818" s="16">
        <v>435.9</v>
      </c>
      <c r="C818" s="16">
        <v>394</v>
      </c>
      <c r="D818" s="16">
        <v>290.60000000000002</v>
      </c>
      <c r="E818" s="16">
        <v>132</v>
      </c>
      <c r="F818" s="29">
        <v>19.850000000000001</v>
      </c>
    </row>
    <row r="819" spans="1:6" x14ac:dyDescent="0.2">
      <c r="A819" s="9" t="s">
        <v>9329</v>
      </c>
      <c r="B819" s="16">
        <v>393</v>
      </c>
      <c r="C819" s="16">
        <v>358.6</v>
      </c>
      <c r="D819" s="16">
        <v>269.5</v>
      </c>
      <c r="E819" s="16">
        <v>121.7</v>
      </c>
      <c r="F819" s="29">
        <v>19.27</v>
      </c>
    </row>
    <row r="820" spans="1:6" x14ac:dyDescent="0.2">
      <c r="A820" s="9" t="s">
        <v>9293</v>
      </c>
      <c r="B820" s="16">
        <v>608.79999999999995</v>
      </c>
      <c r="C820" s="16">
        <v>531.1</v>
      </c>
      <c r="D820" s="16">
        <v>365.4</v>
      </c>
      <c r="E820" s="16">
        <v>168.8</v>
      </c>
      <c r="F820" s="29">
        <v>21.08</v>
      </c>
    </row>
    <row r="821" spans="1:6" x14ac:dyDescent="0.2">
      <c r="A821" s="9" t="s">
        <v>9330</v>
      </c>
      <c r="B821" s="16">
        <v>19.809999999999999</v>
      </c>
      <c r="C821" s="16">
        <v>19.510000000000002</v>
      </c>
      <c r="D821" s="16">
        <v>18.77</v>
      </c>
      <c r="E821" s="16">
        <v>14.53</v>
      </c>
      <c r="F821" s="29">
        <v>2.5099999999999998</v>
      </c>
    </row>
    <row r="822" spans="1:6" x14ac:dyDescent="0.2">
      <c r="A822" s="9" t="s">
        <v>9331</v>
      </c>
      <c r="B822" s="16">
        <v>12.73</v>
      </c>
      <c r="C822" s="16">
        <v>12.35</v>
      </c>
      <c r="D822" s="16">
        <v>11.79</v>
      </c>
      <c r="E822" s="16">
        <v>9.9499999999999993</v>
      </c>
      <c r="F822" s="29">
        <v>1.64</v>
      </c>
    </row>
    <row r="823" spans="1:6" x14ac:dyDescent="0.2">
      <c r="A823" s="9" t="s">
        <v>9332</v>
      </c>
      <c r="B823" s="16">
        <v>20.63</v>
      </c>
      <c r="C823" s="16">
        <v>20.52</v>
      </c>
      <c r="D823" s="16">
        <v>20.010000000000002</v>
      </c>
      <c r="E823" s="16">
        <v>15.24</v>
      </c>
      <c r="F823" s="29">
        <v>2.71</v>
      </c>
    </row>
    <row r="824" spans="1:6" ht="15" thickBot="1" x14ac:dyDescent="0.25">
      <c r="A824" s="112" t="s">
        <v>9333</v>
      </c>
      <c r="B824" s="28">
        <v>15.77</v>
      </c>
      <c r="C824" s="28">
        <v>15.61</v>
      </c>
      <c r="D824" s="28">
        <v>15</v>
      </c>
      <c r="E824" s="28">
        <v>12.21</v>
      </c>
      <c r="F824" s="113">
        <v>1.91</v>
      </c>
    </row>
    <row r="825" spans="1:6" ht="14.25" customHeight="1" x14ac:dyDescent="0.2">
      <c r="A825" s="539" t="s">
        <v>10952</v>
      </c>
      <c r="B825" s="540"/>
      <c r="C825" s="540"/>
      <c r="D825" s="540"/>
      <c r="E825" s="540"/>
      <c r="F825" s="541"/>
    </row>
    <row r="826" spans="1:6" ht="30" x14ac:dyDescent="0.2">
      <c r="A826" s="402" t="s">
        <v>9306</v>
      </c>
      <c r="B826" s="79" t="s">
        <v>10912</v>
      </c>
      <c r="C826" s="79" t="s">
        <v>10913</v>
      </c>
      <c r="D826" s="79" t="s">
        <v>10914</v>
      </c>
      <c r="E826" s="79" t="s">
        <v>10915</v>
      </c>
      <c r="F826" s="80" t="s">
        <v>10916</v>
      </c>
    </row>
    <row r="827" spans="1:6" x14ac:dyDescent="0.2">
      <c r="A827" s="9" t="s">
        <v>9314</v>
      </c>
      <c r="B827" s="16">
        <v>125.3</v>
      </c>
      <c r="C827" s="16">
        <v>103.8</v>
      </c>
      <c r="D827" s="16">
        <v>82.4</v>
      </c>
      <c r="E827" s="16">
        <v>36.78</v>
      </c>
      <c r="F827" s="29">
        <v>7.71</v>
      </c>
    </row>
    <row r="828" spans="1:6" x14ac:dyDescent="0.2">
      <c r="A828" s="9" t="s">
        <v>9315</v>
      </c>
      <c r="B828" s="16">
        <v>98.19</v>
      </c>
      <c r="C828" s="16">
        <v>78.790000000000006</v>
      </c>
      <c r="D828" s="16">
        <v>61.54</v>
      </c>
      <c r="E828" s="16">
        <v>28.73</v>
      </c>
      <c r="F828" s="29">
        <v>6.33</v>
      </c>
    </row>
    <row r="829" spans="1:6" x14ac:dyDescent="0.2">
      <c r="A829" s="9" t="s">
        <v>9316</v>
      </c>
      <c r="B829" s="16">
        <v>76.42</v>
      </c>
      <c r="C829" s="16">
        <v>60.49</v>
      </c>
      <c r="D829" s="16">
        <v>46.38</v>
      </c>
      <c r="E829" s="16">
        <v>23.33</v>
      </c>
      <c r="F829" s="29">
        <v>5.2</v>
      </c>
    </row>
    <row r="830" spans="1:6" x14ac:dyDescent="0.2">
      <c r="A830" s="9" t="s">
        <v>9317</v>
      </c>
      <c r="B830" s="16">
        <v>68.209999999999994</v>
      </c>
      <c r="C830" s="16">
        <v>46.92</v>
      </c>
      <c r="D830" s="16">
        <v>36.47</v>
      </c>
      <c r="E830" s="16">
        <v>19.18</v>
      </c>
      <c r="F830" s="29">
        <v>4.3099999999999996</v>
      </c>
    </row>
    <row r="831" spans="1:6" x14ac:dyDescent="0.2">
      <c r="A831" s="9" t="s">
        <v>9318</v>
      </c>
      <c r="B831" s="16">
        <v>62.72</v>
      </c>
      <c r="C831" s="16">
        <v>37.18</v>
      </c>
      <c r="D831" s="16">
        <v>29.69</v>
      </c>
      <c r="E831" s="16">
        <v>16.02</v>
      </c>
      <c r="F831" s="29">
        <v>3.61</v>
      </c>
    </row>
    <row r="832" spans="1:6" x14ac:dyDescent="0.2">
      <c r="A832" s="9" t="s">
        <v>9313</v>
      </c>
      <c r="B832" s="16">
        <v>270.2</v>
      </c>
      <c r="C832" s="16">
        <v>242.4</v>
      </c>
      <c r="D832" s="16">
        <v>181.2</v>
      </c>
      <c r="E832" s="16">
        <v>81.44</v>
      </c>
      <c r="F832" s="29">
        <v>13.06</v>
      </c>
    </row>
    <row r="833" spans="1:6" x14ac:dyDescent="0.2">
      <c r="A833" s="9" t="s">
        <v>9319</v>
      </c>
      <c r="B833" s="16">
        <v>449.2</v>
      </c>
      <c r="C833" s="16">
        <v>384</v>
      </c>
      <c r="D833" s="16">
        <v>260.10000000000002</v>
      </c>
      <c r="E833" s="16">
        <v>119.8</v>
      </c>
      <c r="F833" s="29">
        <v>14.5</v>
      </c>
    </row>
    <row r="834" spans="1:6" x14ac:dyDescent="0.2">
      <c r="A834" s="9" t="s">
        <v>9320</v>
      </c>
      <c r="B834" s="16">
        <v>3.01</v>
      </c>
      <c r="C834" s="16">
        <v>2.5499999999999998</v>
      </c>
      <c r="D834" s="16">
        <v>2.0499999999999998</v>
      </c>
      <c r="E834" s="16">
        <v>1.24</v>
      </c>
      <c r="F834" s="29">
        <v>0.13</v>
      </c>
    </row>
    <row r="835" spans="1:6" x14ac:dyDescent="0.2">
      <c r="A835" s="9" t="s">
        <v>9321</v>
      </c>
      <c r="B835" s="16">
        <v>2.06</v>
      </c>
      <c r="C835" s="16">
        <v>1.79</v>
      </c>
      <c r="D835" s="16">
        <v>1.47</v>
      </c>
      <c r="E835" s="16">
        <v>0.93</v>
      </c>
      <c r="F835" s="29">
        <v>0.1</v>
      </c>
    </row>
    <row r="836" spans="1:6" x14ac:dyDescent="0.2">
      <c r="A836" s="9" t="s">
        <v>9322</v>
      </c>
      <c r="B836" s="16">
        <v>1.47</v>
      </c>
      <c r="C836" s="16">
        <v>1.3</v>
      </c>
      <c r="D836" s="16">
        <v>1.0900000000000001</v>
      </c>
      <c r="E836" s="16">
        <v>0.72</v>
      </c>
      <c r="F836" s="29">
        <v>0.09</v>
      </c>
    </row>
    <row r="837" spans="1:6" x14ac:dyDescent="0.2">
      <c r="A837" s="9" t="s">
        <v>9323</v>
      </c>
      <c r="B837" s="16">
        <v>10.42</v>
      </c>
      <c r="C837" s="16">
        <v>9.93</v>
      </c>
      <c r="D837" s="16">
        <v>9.69</v>
      </c>
      <c r="E837" s="16">
        <v>7.69</v>
      </c>
      <c r="F837" s="29">
        <v>1.59</v>
      </c>
    </row>
    <row r="838" spans="1:6" x14ac:dyDescent="0.2">
      <c r="A838" s="9" t="s">
        <v>9324</v>
      </c>
      <c r="B838" s="16">
        <v>6.52</v>
      </c>
      <c r="C838" s="16">
        <v>6.05</v>
      </c>
      <c r="D838" s="16">
        <v>5.82</v>
      </c>
      <c r="E838" s="16">
        <v>4.8600000000000003</v>
      </c>
      <c r="F838" s="29">
        <v>0.99</v>
      </c>
    </row>
    <row r="839" spans="1:6" x14ac:dyDescent="0.2">
      <c r="A839" s="9" t="s">
        <v>9325</v>
      </c>
      <c r="B839" s="16">
        <v>5.28</v>
      </c>
      <c r="C839" s="16">
        <v>4.3</v>
      </c>
      <c r="D839" s="16">
        <v>3.78</v>
      </c>
      <c r="E839" s="16">
        <v>3.14</v>
      </c>
      <c r="F839" s="29">
        <v>0.67</v>
      </c>
    </row>
    <row r="840" spans="1:6" x14ac:dyDescent="0.2">
      <c r="A840" s="9" t="s">
        <v>9326</v>
      </c>
      <c r="B840" s="16">
        <v>88.71</v>
      </c>
      <c r="C840" s="16">
        <v>68.83</v>
      </c>
      <c r="D840" s="16">
        <v>62.88</v>
      </c>
      <c r="E840" s="16">
        <v>38.020000000000003</v>
      </c>
      <c r="F840" s="29">
        <v>8.67</v>
      </c>
    </row>
    <row r="841" spans="1:6" x14ac:dyDescent="0.2">
      <c r="A841" s="9" t="s">
        <v>9327</v>
      </c>
      <c r="B841" s="16">
        <v>80.19</v>
      </c>
      <c r="C841" s="16">
        <v>59.27</v>
      </c>
      <c r="D841" s="16">
        <v>54.72</v>
      </c>
      <c r="E841" s="16">
        <v>33.32</v>
      </c>
      <c r="F841" s="29">
        <v>7.85</v>
      </c>
    </row>
    <row r="842" spans="1:6" x14ac:dyDescent="0.2">
      <c r="A842" s="9" t="s">
        <v>9328</v>
      </c>
      <c r="B842" s="16">
        <v>329.6</v>
      </c>
      <c r="C842" s="16">
        <v>291.10000000000002</v>
      </c>
      <c r="D842" s="16">
        <v>209.9</v>
      </c>
      <c r="E842" s="16">
        <v>95.44</v>
      </c>
      <c r="F842" s="29">
        <v>13.93</v>
      </c>
    </row>
    <row r="843" spans="1:6" x14ac:dyDescent="0.2">
      <c r="A843" s="9" t="s">
        <v>9329</v>
      </c>
      <c r="B843" s="16">
        <v>301.3</v>
      </c>
      <c r="C843" s="16">
        <v>267.89999999999998</v>
      </c>
      <c r="D843" s="16">
        <v>197</v>
      </c>
      <c r="E843" s="16">
        <v>88.96</v>
      </c>
      <c r="F843" s="29">
        <v>13.61</v>
      </c>
    </row>
    <row r="844" spans="1:6" x14ac:dyDescent="0.2">
      <c r="A844" s="9" t="s">
        <v>9293</v>
      </c>
      <c r="B844" s="16">
        <v>450</v>
      </c>
      <c r="C844" s="16">
        <v>384.6</v>
      </c>
      <c r="D844" s="16">
        <v>260.5</v>
      </c>
      <c r="E844" s="16">
        <v>120</v>
      </c>
      <c r="F844" s="29">
        <v>14.52</v>
      </c>
    </row>
    <row r="845" spans="1:6" x14ac:dyDescent="0.2">
      <c r="A845" s="9" t="s">
        <v>9330</v>
      </c>
      <c r="B845" s="16">
        <v>15.41</v>
      </c>
      <c r="C845" s="16">
        <v>15.27</v>
      </c>
      <c r="D845" s="16">
        <v>14.55</v>
      </c>
      <c r="E845" s="16">
        <v>11.28</v>
      </c>
      <c r="F845" s="29">
        <v>2.12</v>
      </c>
    </row>
    <row r="846" spans="1:6" x14ac:dyDescent="0.2">
      <c r="A846" s="9" t="s">
        <v>9331</v>
      </c>
      <c r="B846" s="16">
        <v>11.2</v>
      </c>
      <c r="C846" s="16">
        <v>10.95</v>
      </c>
      <c r="D846" s="16">
        <v>10.59</v>
      </c>
      <c r="E846" s="16">
        <v>8.3000000000000007</v>
      </c>
      <c r="F846" s="29">
        <v>1.61</v>
      </c>
    </row>
    <row r="847" spans="1:6" x14ac:dyDescent="0.2">
      <c r="A847" s="9" t="s">
        <v>9332</v>
      </c>
      <c r="B847" s="16">
        <v>16.11</v>
      </c>
      <c r="C847" s="16">
        <v>15.95</v>
      </c>
      <c r="D847" s="16">
        <v>15.3</v>
      </c>
      <c r="E847" s="16">
        <v>11.77</v>
      </c>
      <c r="F847" s="29">
        <v>2.2400000000000002</v>
      </c>
    </row>
    <row r="848" spans="1:6" ht="15" thickBot="1" x14ac:dyDescent="0.25">
      <c r="A848" s="112" t="s">
        <v>9333</v>
      </c>
      <c r="B848" s="28">
        <v>12.84</v>
      </c>
      <c r="C848" s="28">
        <v>12.74</v>
      </c>
      <c r="D848" s="28">
        <v>12.34</v>
      </c>
      <c r="E848" s="28">
        <v>9.4600000000000009</v>
      </c>
      <c r="F848" s="113">
        <v>1.76</v>
      </c>
    </row>
    <row r="849" spans="1:6" ht="14.25" customHeight="1" x14ac:dyDescent="0.2">
      <c r="A849" s="539" t="s">
        <v>10953</v>
      </c>
      <c r="B849" s="540"/>
      <c r="C849" s="540"/>
      <c r="D849" s="540"/>
      <c r="E849" s="540"/>
      <c r="F849" s="541"/>
    </row>
    <row r="850" spans="1:6" ht="30" x14ac:dyDescent="0.2">
      <c r="A850" s="402" t="s">
        <v>9306</v>
      </c>
      <c r="B850" s="79" t="s">
        <v>10912</v>
      </c>
      <c r="C850" s="79" t="s">
        <v>10913</v>
      </c>
      <c r="D850" s="79" t="s">
        <v>10914</v>
      </c>
      <c r="E850" s="79" t="s">
        <v>10915</v>
      </c>
      <c r="F850" s="80" t="s">
        <v>10916</v>
      </c>
    </row>
    <row r="851" spans="1:6" x14ac:dyDescent="0.2">
      <c r="A851" s="9" t="s">
        <v>9314</v>
      </c>
      <c r="B851" s="16">
        <v>90.59</v>
      </c>
      <c r="C851" s="16">
        <v>82.06</v>
      </c>
      <c r="D851" s="16">
        <v>62.01</v>
      </c>
      <c r="E851" s="16">
        <v>26.88</v>
      </c>
      <c r="F851" s="29">
        <v>4.75</v>
      </c>
    </row>
    <row r="852" spans="1:6" x14ac:dyDescent="0.2">
      <c r="A852" s="9" t="s">
        <v>9315</v>
      </c>
      <c r="B852" s="16">
        <v>77.569999999999993</v>
      </c>
      <c r="C852" s="16">
        <v>64.08</v>
      </c>
      <c r="D852" s="16">
        <v>49.26</v>
      </c>
      <c r="E852" s="16">
        <v>21.62</v>
      </c>
      <c r="F852" s="29">
        <v>4.0999999999999996</v>
      </c>
    </row>
    <row r="853" spans="1:6" x14ac:dyDescent="0.2">
      <c r="A853" s="9" t="s">
        <v>9316</v>
      </c>
      <c r="B853" s="16">
        <v>63.98</v>
      </c>
      <c r="C853" s="16">
        <v>50.52</v>
      </c>
      <c r="D853" s="16">
        <v>38.53</v>
      </c>
      <c r="E853" s="16">
        <v>17.25</v>
      </c>
      <c r="F853" s="29">
        <v>3.52</v>
      </c>
    </row>
    <row r="854" spans="1:6" x14ac:dyDescent="0.2">
      <c r="A854" s="9" t="s">
        <v>9317</v>
      </c>
      <c r="B854" s="16">
        <v>51.89</v>
      </c>
      <c r="C854" s="16">
        <v>40.06</v>
      </c>
      <c r="D854" s="16">
        <v>30.15</v>
      </c>
      <c r="E854" s="16">
        <v>14.39</v>
      </c>
      <c r="F854" s="29">
        <v>3.02</v>
      </c>
    </row>
    <row r="855" spans="1:6" x14ac:dyDescent="0.2">
      <c r="A855" s="9" t="s">
        <v>9318</v>
      </c>
      <c r="B855" s="16">
        <v>41.88</v>
      </c>
      <c r="C855" s="16">
        <v>32.090000000000003</v>
      </c>
      <c r="D855" s="16">
        <v>23.99</v>
      </c>
      <c r="E855" s="16">
        <v>12.17</v>
      </c>
      <c r="F855" s="29">
        <v>2.59</v>
      </c>
    </row>
    <row r="856" spans="1:6" x14ac:dyDescent="0.2">
      <c r="A856" s="9" t="s">
        <v>9313</v>
      </c>
      <c r="B856" s="16">
        <v>163.1</v>
      </c>
      <c r="C856" s="16">
        <v>143.80000000000001</v>
      </c>
      <c r="D856" s="16">
        <v>103.3</v>
      </c>
      <c r="E856" s="16">
        <v>46.5</v>
      </c>
      <c r="F856" s="29">
        <v>6.63</v>
      </c>
    </row>
    <row r="857" spans="1:6" x14ac:dyDescent="0.2">
      <c r="A857" s="9" t="s">
        <v>9319</v>
      </c>
      <c r="B857" s="16">
        <v>254.8</v>
      </c>
      <c r="C857" s="16">
        <v>213.7</v>
      </c>
      <c r="D857" s="16">
        <v>141.1</v>
      </c>
      <c r="E857" s="16">
        <v>64.69</v>
      </c>
      <c r="F857" s="29">
        <v>7.05</v>
      </c>
    </row>
    <row r="858" spans="1:6" x14ac:dyDescent="0.2">
      <c r="A858" s="9" t="s">
        <v>9320</v>
      </c>
      <c r="B858" s="16">
        <v>2.86</v>
      </c>
      <c r="C858" s="16">
        <v>2.5099999999999998</v>
      </c>
      <c r="D858" s="16">
        <v>2.0499999999999998</v>
      </c>
      <c r="E858" s="16">
        <v>1.24</v>
      </c>
      <c r="F858" s="29">
        <v>0.13</v>
      </c>
    </row>
    <row r="859" spans="1:6" x14ac:dyDescent="0.2">
      <c r="A859" s="9" t="s">
        <v>9321</v>
      </c>
      <c r="B859" s="16">
        <v>2.06</v>
      </c>
      <c r="C859" s="16">
        <v>1.79</v>
      </c>
      <c r="D859" s="16">
        <v>1.47</v>
      </c>
      <c r="E859" s="16">
        <v>0.93</v>
      </c>
      <c r="F859" s="29">
        <v>0.1</v>
      </c>
    </row>
    <row r="860" spans="1:6" x14ac:dyDescent="0.2">
      <c r="A860" s="9" t="s">
        <v>9322</v>
      </c>
      <c r="B860" s="16">
        <v>1.47</v>
      </c>
      <c r="C860" s="16">
        <v>1.3</v>
      </c>
      <c r="D860" s="16">
        <v>1.0900000000000001</v>
      </c>
      <c r="E860" s="16">
        <v>0.72</v>
      </c>
      <c r="F860" s="29">
        <v>0.09</v>
      </c>
    </row>
    <row r="861" spans="1:6" x14ac:dyDescent="0.2">
      <c r="A861" s="9" t="s">
        <v>9323</v>
      </c>
      <c r="B861" s="16">
        <v>8.0399999999999991</v>
      </c>
      <c r="C861" s="16">
        <v>7.8</v>
      </c>
      <c r="D861" s="16">
        <v>7.44</v>
      </c>
      <c r="E861" s="16">
        <v>5.58</v>
      </c>
      <c r="F861" s="29">
        <v>1.26</v>
      </c>
    </row>
    <row r="862" spans="1:6" x14ac:dyDescent="0.2">
      <c r="A862" s="9" t="s">
        <v>9324</v>
      </c>
      <c r="B862" s="16">
        <v>6.07</v>
      </c>
      <c r="C862" s="16">
        <v>5.61</v>
      </c>
      <c r="D862" s="16">
        <v>5.44</v>
      </c>
      <c r="E862" s="16">
        <v>4.29</v>
      </c>
      <c r="F862" s="29">
        <v>0.94</v>
      </c>
    </row>
    <row r="863" spans="1:6" x14ac:dyDescent="0.2">
      <c r="A863" s="9" t="s">
        <v>9325</v>
      </c>
      <c r="B863" s="16">
        <v>4.41</v>
      </c>
      <c r="C863" s="16">
        <v>3.95</v>
      </c>
      <c r="D863" s="16">
        <v>3.78</v>
      </c>
      <c r="E863" s="16">
        <v>3.08</v>
      </c>
      <c r="F863" s="29">
        <v>0.67</v>
      </c>
    </row>
    <row r="864" spans="1:6" x14ac:dyDescent="0.2">
      <c r="A864" s="9" t="s">
        <v>9326</v>
      </c>
      <c r="B864" s="16">
        <v>63.9</v>
      </c>
      <c r="C864" s="16">
        <v>54.01</v>
      </c>
      <c r="D864" s="16">
        <v>44.05</v>
      </c>
      <c r="E864" s="16">
        <v>25.22</v>
      </c>
      <c r="F864" s="29">
        <v>4.92</v>
      </c>
    </row>
    <row r="865" spans="1:6" x14ac:dyDescent="0.2">
      <c r="A865" s="9" t="s">
        <v>9327</v>
      </c>
      <c r="B865" s="16">
        <v>58.71</v>
      </c>
      <c r="C865" s="16">
        <v>48.54</v>
      </c>
      <c r="D865" s="16">
        <v>38.97</v>
      </c>
      <c r="E865" s="16">
        <v>23.37</v>
      </c>
      <c r="F865" s="29">
        <v>4.6100000000000003</v>
      </c>
    </row>
    <row r="866" spans="1:6" x14ac:dyDescent="0.2">
      <c r="A866" s="9" t="s">
        <v>9328</v>
      </c>
      <c r="B866" s="16">
        <v>190.9</v>
      </c>
      <c r="C866" s="16">
        <v>166.1</v>
      </c>
      <c r="D866" s="16">
        <v>115</v>
      </c>
      <c r="E866" s="16">
        <v>52.64</v>
      </c>
      <c r="F866" s="29">
        <v>6.88</v>
      </c>
    </row>
    <row r="867" spans="1:6" x14ac:dyDescent="0.2">
      <c r="A867" s="9" t="s">
        <v>9329</v>
      </c>
      <c r="B867" s="16">
        <v>177.2</v>
      </c>
      <c r="C867" s="16">
        <v>155.1</v>
      </c>
      <c r="D867" s="16">
        <v>109.6</v>
      </c>
      <c r="E867" s="16">
        <v>49.69</v>
      </c>
      <c r="F867" s="29">
        <v>6.79</v>
      </c>
    </row>
    <row r="868" spans="1:6" x14ac:dyDescent="0.2">
      <c r="A868" s="9" t="s">
        <v>9293</v>
      </c>
      <c r="B868" s="16">
        <v>255.1</v>
      </c>
      <c r="C868" s="16">
        <v>213.9</v>
      </c>
      <c r="D868" s="16">
        <v>141.30000000000001</v>
      </c>
      <c r="E868" s="16">
        <v>64.75</v>
      </c>
      <c r="F868" s="29">
        <v>7.05</v>
      </c>
    </row>
    <row r="869" spans="1:6" x14ac:dyDescent="0.2">
      <c r="A869" s="9" t="s">
        <v>9330</v>
      </c>
      <c r="B869" s="16">
        <v>9.59</v>
      </c>
      <c r="C869" s="16">
        <v>9.44</v>
      </c>
      <c r="D869" s="16">
        <v>8.91</v>
      </c>
      <c r="E869" s="16">
        <v>6.44</v>
      </c>
      <c r="F869" s="29">
        <v>1.35</v>
      </c>
    </row>
    <row r="870" spans="1:6" x14ac:dyDescent="0.2">
      <c r="A870" s="9" t="s">
        <v>9331</v>
      </c>
      <c r="B870" s="16">
        <v>8.01</v>
      </c>
      <c r="C870" s="16">
        <v>7.92</v>
      </c>
      <c r="D870" s="16">
        <v>7.5</v>
      </c>
      <c r="E870" s="16">
        <v>5.66</v>
      </c>
      <c r="F870" s="29">
        <v>1.22</v>
      </c>
    </row>
    <row r="871" spans="1:6" x14ac:dyDescent="0.2">
      <c r="A871" s="9" t="s">
        <v>9332</v>
      </c>
      <c r="B871" s="16">
        <v>10.01</v>
      </c>
      <c r="C871" s="16">
        <v>9.93</v>
      </c>
      <c r="D871" s="16">
        <v>9.32</v>
      </c>
      <c r="E871" s="16">
        <v>6.67</v>
      </c>
      <c r="F871" s="29">
        <v>1.4</v>
      </c>
    </row>
    <row r="872" spans="1:6" ht="15" thickBot="1" x14ac:dyDescent="0.25">
      <c r="A872" s="112" t="s">
        <v>9333</v>
      </c>
      <c r="B872" s="28">
        <v>8.43</v>
      </c>
      <c r="C872" s="28">
        <v>8.3699999999999992</v>
      </c>
      <c r="D872" s="28">
        <v>8.0500000000000007</v>
      </c>
      <c r="E872" s="28">
        <v>5.96</v>
      </c>
      <c r="F872" s="113">
        <v>1.22</v>
      </c>
    </row>
    <row r="873" spans="1:6" ht="14.25" customHeight="1" x14ac:dyDescent="0.2">
      <c r="A873" s="539" t="s">
        <v>10954</v>
      </c>
      <c r="B873" s="540"/>
      <c r="C873" s="540"/>
      <c r="D873" s="540"/>
      <c r="E873" s="540"/>
      <c r="F873" s="541"/>
    </row>
    <row r="874" spans="1:6" ht="30" x14ac:dyDescent="0.2">
      <c r="A874" s="402" t="s">
        <v>9306</v>
      </c>
      <c r="B874" s="79" t="s">
        <v>10912</v>
      </c>
      <c r="C874" s="79" t="s">
        <v>10913</v>
      </c>
      <c r="D874" s="79" t="s">
        <v>10914</v>
      </c>
      <c r="E874" s="79" t="s">
        <v>10915</v>
      </c>
      <c r="F874" s="80" t="s">
        <v>10916</v>
      </c>
    </row>
    <row r="875" spans="1:6" x14ac:dyDescent="0.2">
      <c r="A875" s="9" t="s">
        <v>9314</v>
      </c>
      <c r="B875" s="16">
        <v>74.25</v>
      </c>
      <c r="C875" s="16">
        <v>67.400000000000006</v>
      </c>
      <c r="D875" s="16">
        <v>47.96</v>
      </c>
      <c r="E875" s="16">
        <v>20.53</v>
      </c>
      <c r="F875" s="29">
        <v>3.21</v>
      </c>
    </row>
    <row r="876" spans="1:6" x14ac:dyDescent="0.2">
      <c r="A876" s="9" t="s">
        <v>9315</v>
      </c>
      <c r="B876" s="16">
        <v>62.29</v>
      </c>
      <c r="C876" s="16">
        <v>55.34</v>
      </c>
      <c r="D876" s="16">
        <v>40.04</v>
      </c>
      <c r="E876" s="16">
        <v>17.260000000000002</v>
      </c>
      <c r="F876" s="29">
        <v>2.87</v>
      </c>
    </row>
    <row r="877" spans="1:6" x14ac:dyDescent="0.2">
      <c r="A877" s="9" t="s">
        <v>9316</v>
      </c>
      <c r="B877" s="16">
        <v>54.37</v>
      </c>
      <c r="C877" s="16">
        <v>44.22</v>
      </c>
      <c r="D877" s="16">
        <v>32.590000000000003</v>
      </c>
      <c r="E877" s="16">
        <v>14.24</v>
      </c>
      <c r="F877" s="29">
        <v>2.54</v>
      </c>
    </row>
    <row r="878" spans="1:6" x14ac:dyDescent="0.2">
      <c r="A878" s="9" t="s">
        <v>9317</v>
      </c>
      <c r="B878" s="16">
        <v>45.85</v>
      </c>
      <c r="C878" s="16">
        <v>36.22</v>
      </c>
      <c r="D878" s="16">
        <v>26.18</v>
      </c>
      <c r="E878" s="16">
        <v>11.67</v>
      </c>
      <c r="F878" s="29">
        <v>2.23</v>
      </c>
    </row>
    <row r="879" spans="1:6" x14ac:dyDescent="0.2">
      <c r="A879" s="9" t="s">
        <v>9318</v>
      </c>
      <c r="B879" s="16">
        <v>37.619999999999997</v>
      </c>
      <c r="C879" s="16">
        <v>29.69</v>
      </c>
      <c r="D879" s="16">
        <v>21.01</v>
      </c>
      <c r="E879" s="16">
        <v>10</v>
      </c>
      <c r="F879" s="29">
        <v>1.95</v>
      </c>
    </row>
    <row r="880" spans="1:6" x14ac:dyDescent="0.2">
      <c r="A880" s="9" t="s">
        <v>9313</v>
      </c>
      <c r="B880" s="16">
        <v>113.5</v>
      </c>
      <c r="C880" s="16">
        <v>100.5</v>
      </c>
      <c r="D880" s="16">
        <v>68.290000000000006</v>
      </c>
      <c r="E880" s="16">
        <v>30.89</v>
      </c>
      <c r="F880" s="29">
        <v>4.0599999999999996</v>
      </c>
    </row>
    <row r="881" spans="1:6" x14ac:dyDescent="0.2">
      <c r="A881" s="9" t="s">
        <v>9319</v>
      </c>
      <c r="B881" s="16">
        <v>172.6</v>
      </c>
      <c r="C881" s="16">
        <v>148.1</v>
      </c>
      <c r="D881" s="16">
        <v>93.61</v>
      </c>
      <c r="E881" s="16">
        <v>41.81</v>
      </c>
      <c r="F881" s="29">
        <v>4.24</v>
      </c>
    </row>
    <row r="882" spans="1:6" x14ac:dyDescent="0.2">
      <c r="A882" s="9" t="s">
        <v>9320</v>
      </c>
      <c r="B882" s="16">
        <v>2.2200000000000002</v>
      </c>
      <c r="C882" s="16">
        <v>2.12</v>
      </c>
      <c r="D882" s="16">
        <v>1.86</v>
      </c>
      <c r="E882" s="16">
        <v>1.2</v>
      </c>
      <c r="F882" s="29">
        <v>0.12</v>
      </c>
    </row>
    <row r="883" spans="1:6" x14ac:dyDescent="0.2">
      <c r="A883" s="9" t="s">
        <v>9321</v>
      </c>
      <c r="B883" s="16">
        <v>1.85</v>
      </c>
      <c r="C883" s="16">
        <v>1.71</v>
      </c>
      <c r="D883" s="16">
        <v>1.46</v>
      </c>
      <c r="E883" s="16">
        <v>0.93</v>
      </c>
      <c r="F883" s="29">
        <v>0.1</v>
      </c>
    </row>
    <row r="884" spans="1:6" x14ac:dyDescent="0.2">
      <c r="A884" s="9" t="s">
        <v>9322</v>
      </c>
      <c r="B884" s="16">
        <v>1.46</v>
      </c>
      <c r="C884" s="16">
        <v>1.3</v>
      </c>
      <c r="D884" s="16">
        <v>1.0900000000000001</v>
      </c>
      <c r="E884" s="16">
        <v>0.72</v>
      </c>
      <c r="F884" s="29">
        <v>0.09</v>
      </c>
    </row>
    <row r="885" spans="1:6" x14ac:dyDescent="0.2">
      <c r="A885" s="9" t="s">
        <v>9323</v>
      </c>
      <c r="B885" s="16">
        <v>6.22</v>
      </c>
      <c r="C885" s="16">
        <v>6.16</v>
      </c>
      <c r="D885" s="16">
        <v>5.88</v>
      </c>
      <c r="E885" s="16">
        <v>4.5999999999999996</v>
      </c>
      <c r="F885" s="29">
        <v>0.96</v>
      </c>
    </row>
    <row r="886" spans="1:6" x14ac:dyDescent="0.2">
      <c r="A886" s="9" t="s">
        <v>9324</v>
      </c>
      <c r="B886" s="16">
        <v>5.08</v>
      </c>
      <c r="C886" s="16">
        <v>4.78</v>
      </c>
      <c r="D886" s="16">
        <v>4.55</v>
      </c>
      <c r="E886" s="16">
        <v>3.6</v>
      </c>
      <c r="F886" s="29">
        <v>0.78</v>
      </c>
    </row>
    <row r="887" spans="1:6" x14ac:dyDescent="0.2">
      <c r="A887" s="9" t="s">
        <v>9325</v>
      </c>
      <c r="B887" s="16">
        <v>4.03</v>
      </c>
      <c r="C887" s="16">
        <v>3.62</v>
      </c>
      <c r="D887" s="16">
        <v>3.51</v>
      </c>
      <c r="E887" s="16">
        <v>2.75</v>
      </c>
      <c r="F887" s="29">
        <v>0.62</v>
      </c>
    </row>
    <row r="888" spans="1:6" x14ac:dyDescent="0.2">
      <c r="A888" s="9" t="s">
        <v>9326</v>
      </c>
      <c r="B888" s="16">
        <v>49.54</v>
      </c>
      <c r="C888" s="16">
        <v>46.53</v>
      </c>
      <c r="D888" s="16">
        <v>37.28</v>
      </c>
      <c r="E888" s="16">
        <v>18.3</v>
      </c>
      <c r="F888" s="29">
        <v>3.23</v>
      </c>
    </row>
    <row r="889" spans="1:6" x14ac:dyDescent="0.2">
      <c r="A889" s="9" t="s">
        <v>9327</v>
      </c>
      <c r="B889" s="16">
        <v>46.66</v>
      </c>
      <c r="C889" s="16">
        <v>42.8</v>
      </c>
      <c r="D889" s="16">
        <v>34.24</v>
      </c>
      <c r="E889" s="16">
        <v>17.37</v>
      </c>
      <c r="F889" s="29">
        <v>3.08</v>
      </c>
    </row>
    <row r="890" spans="1:6" x14ac:dyDescent="0.2">
      <c r="A890" s="9" t="s">
        <v>9328</v>
      </c>
      <c r="B890" s="16">
        <v>130.5</v>
      </c>
      <c r="C890" s="16">
        <v>114.6</v>
      </c>
      <c r="D890" s="16">
        <v>75.67</v>
      </c>
      <c r="E890" s="16">
        <v>34.4</v>
      </c>
      <c r="F890" s="29">
        <v>4.17</v>
      </c>
    </row>
    <row r="891" spans="1:6" x14ac:dyDescent="0.2">
      <c r="A891" s="9" t="s">
        <v>9329</v>
      </c>
      <c r="B891" s="16">
        <v>121.8</v>
      </c>
      <c r="C891" s="16">
        <v>107.4</v>
      </c>
      <c r="D891" s="16">
        <v>71.59</v>
      </c>
      <c r="E891" s="16">
        <v>32.659999999999997</v>
      </c>
      <c r="F891" s="29">
        <v>4.13</v>
      </c>
    </row>
    <row r="892" spans="1:6" x14ac:dyDescent="0.2">
      <c r="A892" s="9" t="s">
        <v>9293</v>
      </c>
      <c r="B892" s="16">
        <v>172.7</v>
      </c>
      <c r="C892" s="16">
        <v>148.19999999999999</v>
      </c>
      <c r="D892" s="16">
        <v>93.67</v>
      </c>
      <c r="E892" s="16">
        <v>41.84</v>
      </c>
      <c r="F892" s="29">
        <v>4.25</v>
      </c>
    </row>
    <row r="893" spans="1:6" x14ac:dyDescent="0.2">
      <c r="A893" s="9" t="s">
        <v>9330</v>
      </c>
      <c r="B893" s="16">
        <v>6.77</v>
      </c>
      <c r="C893" s="16">
        <v>6.66</v>
      </c>
      <c r="D893" s="16">
        <v>6.23</v>
      </c>
      <c r="E893" s="16">
        <v>4.42</v>
      </c>
      <c r="F893" s="29">
        <v>0.94</v>
      </c>
    </row>
    <row r="894" spans="1:6" x14ac:dyDescent="0.2">
      <c r="A894" s="9" t="s">
        <v>9331</v>
      </c>
      <c r="B894" s="16">
        <v>6.1</v>
      </c>
      <c r="C894" s="16">
        <v>5.99</v>
      </c>
      <c r="D894" s="16">
        <v>5.61</v>
      </c>
      <c r="E894" s="16">
        <v>4.2</v>
      </c>
      <c r="F894" s="29">
        <v>0.92</v>
      </c>
    </row>
    <row r="895" spans="1:6" x14ac:dyDescent="0.2">
      <c r="A895" s="9" t="s">
        <v>9332</v>
      </c>
      <c r="B895" s="16">
        <v>7.08</v>
      </c>
      <c r="C895" s="16">
        <v>7.03</v>
      </c>
      <c r="D895" s="16">
        <v>6.58</v>
      </c>
      <c r="E895" s="16">
        <v>4.8899999999999997</v>
      </c>
      <c r="F895" s="29">
        <v>0.98</v>
      </c>
    </row>
    <row r="896" spans="1:6" ht="15" thickBot="1" x14ac:dyDescent="0.25">
      <c r="A896" s="227" t="s">
        <v>9333</v>
      </c>
      <c r="B896" s="203">
        <v>6.2</v>
      </c>
      <c r="C896" s="203">
        <v>6.12</v>
      </c>
      <c r="D896" s="203">
        <v>5.76</v>
      </c>
      <c r="E896" s="203">
        <v>4.28</v>
      </c>
      <c r="F896" s="405">
        <v>0.89</v>
      </c>
    </row>
    <row r="897" spans="1:6" ht="15" x14ac:dyDescent="0.2">
      <c r="A897" s="539" t="s">
        <v>10955</v>
      </c>
      <c r="B897" s="540"/>
      <c r="C897" s="540"/>
      <c r="D897" s="540"/>
      <c r="E897" s="540"/>
      <c r="F897" s="541"/>
    </row>
    <row r="898" spans="1:6" ht="28.5" customHeight="1" x14ac:dyDescent="0.2">
      <c r="A898" s="564" t="s">
        <v>9306</v>
      </c>
      <c r="B898" s="563"/>
      <c r="C898" s="563" t="s">
        <v>10912</v>
      </c>
      <c r="D898" s="563"/>
      <c r="E898" s="563" t="s">
        <v>10916</v>
      </c>
      <c r="F898" s="847"/>
    </row>
    <row r="899" spans="1:6" x14ac:dyDescent="0.2">
      <c r="A899" s="530" t="s">
        <v>9334</v>
      </c>
      <c r="B899" s="531"/>
      <c r="C899" s="531">
        <v>1836.8</v>
      </c>
      <c r="D899" s="531"/>
      <c r="E899" s="531">
        <v>136.80000000000001</v>
      </c>
      <c r="F899" s="538"/>
    </row>
    <row r="900" spans="1:6" x14ac:dyDescent="0.2">
      <c r="A900" s="530" t="s">
        <v>9335</v>
      </c>
      <c r="B900" s="531"/>
      <c r="C900" s="531">
        <v>1212.0999999999999</v>
      </c>
      <c r="D900" s="531"/>
      <c r="E900" s="531">
        <v>53.62</v>
      </c>
      <c r="F900" s="538"/>
    </row>
    <row r="901" spans="1:6" x14ac:dyDescent="0.2">
      <c r="A901" s="530" t="s">
        <v>9336</v>
      </c>
      <c r="B901" s="531"/>
      <c r="C901" s="531">
        <v>872.2</v>
      </c>
      <c r="D901" s="531"/>
      <c r="E901" s="531">
        <v>25.97</v>
      </c>
      <c r="F901" s="538"/>
    </row>
    <row r="902" spans="1:6" x14ac:dyDescent="0.2">
      <c r="A902" s="530" t="s">
        <v>9337</v>
      </c>
      <c r="B902" s="531"/>
      <c r="C902" s="531">
        <v>476.9</v>
      </c>
      <c r="D902" s="531"/>
      <c r="E902" s="531">
        <v>8.9</v>
      </c>
      <c r="F902" s="538"/>
    </row>
    <row r="903" spans="1:6" x14ac:dyDescent="0.2">
      <c r="A903" s="530" t="s">
        <v>9338</v>
      </c>
      <c r="B903" s="531"/>
      <c r="C903" s="531">
        <v>252.8</v>
      </c>
      <c r="D903" s="531"/>
      <c r="E903" s="531">
        <v>3.99</v>
      </c>
      <c r="F903" s="538"/>
    </row>
    <row r="904" spans="1:6" ht="15" thickBot="1" x14ac:dyDescent="0.25">
      <c r="A904" s="483" t="s">
        <v>9339</v>
      </c>
      <c r="B904" s="484"/>
      <c r="C904" s="484">
        <v>159.1</v>
      </c>
      <c r="D904" s="484"/>
      <c r="E904" s="484">
        <v>2.17</v>
      </c>
      <c r="F904" s="485"/>
    </row>
    <row r="905" spans="1:6" ht="15" thickBot="1" x14ac:dyDescent="0.25">
      <c r="A905" s="478" t="s">
        <v>1</v>
      </c>
      <c r="B905" s="478"/>
      <c r="C905" s="478"/>
      <c r="D905" s="478"/>
      <c r="E905" s="478"/>
      <c r="F905" s="478"/>
    </row>
    <row r="906" spans="1:6" ht="15.75" thickBot="1" x14ac:dyDescent="0.25">
      <c r="A906" s="479" t="s">
        <v>10956</v>
      </c>
      <c r="B906" s="479"/>
      <c r="C906" s="479"/>
      <c r="D906" s="479"/>
      <c r="E906" s="479"/>
      <c r="F906" s="479"/>
    </row>
    <row r="907" spans="1:6" ht="75" customHeight="1" thickBot="1" x14ac:dyDescent="0.25">
      <c r="A907" s="475" t="s">
        <v>10957</v>
      </c>
      <c r="B907" s="476"/>
      <c r="C907" s="476"/>
      <c r="D907" s="476"/>
      <c r="E907" s="476"/>
      <c r="F907" s="477"/>
    </row>
    <row r="908" spans="1:6" ht="15" x14ac:dyDescent="0.2">
      <c r="A908" s="539" t="s">
        <v>10958</v>
      </c>
      <c r="B908" s="540"/>
      <c r="C908" s="540"/>
      <c r="D908" s="540"/>
      <c r="E908" s="540"/>
      <c r="F908" s="541"/>
    </row>
    <row r="909" spans="1:6" ht="248.25" customHeight="1" thickBot="1" x14ac:dyDescent="0.25">
      <c r="A909" s="483" t="s">
        <v>10959</v>
      </c>
      <c r="B909" s="484"/>
      <c r="C909" s="484"/>
      <c r="D909" s="484"/>
      <c r="E909" s="484"/>
      <c r="F909" s="485"/>
    </row>
    <row r="910" spans="1:6" ht="15" x14ac:dyDescent="0.2">
      <c r="A910" s="1074" t="s">
        <v>10960</v>
      </c>
      <c r="B910" s="898"/>
      <c r="C910" s="898"/>
      <c r="D910" s="898"/>
      <c r="E910" s="898"/>
      <c r="F910" s="1075"/>
    </row>
    <row r="911" spans="1:6" ht="46.5" customHeight="1" x14ac:dyDescent="0.2">
      <c r="A911" s="480" t="s">
        <v>10961</v>
      </c>
      <c r="B911" s="481"/>
      <c r="C911" s="481"/>
      <c r="D911" s="481"/>
      <c r="E911" s="481"/>
      <c r="F911" s="482"/>
    </row>
    <row r="912" spans="1:6" ht="74.25" customHeight="1" x14ac:dyDescent="0.2">
      <c r="A912" s="536" t="s">
        <v>10962</v>
      </c>
      <c r="B912" s="537"/>
      <c r="C912" s="537"/>
      <c r="D912" s="537"/>
      <c r="E912" s="537"/>
      <c r="F912" s="1158"/>
    </row>
    <row r="913" spans="1:6" ht="74.25" customHeight="1" x14ac:dyDescent="0.2">
      <c r="A913" s="695" t="s">
        <v>10963</v>
      </c>
      <c r="B913" s="537"/>
      <c r="C913" s="537"/>
      <c r="D913" s="537"/>
      <c r="E913" s="537"/>
      <c r="F913" s="1158"/>
    </row>
    <row r="914" spans="1:6" ht="74.25" customHeight="1" x14ac:dyDescent="0.2">
      <c r="A914" s="536" t="s">
        <v>10964</v>
      </c>
      <c r="B914" s="537"/>
      <c r="C914" s="537"/>
      <c r="D914" s="537"/>
      <c r="E914" s="537"/>
      <c r="F914" s="1158"/>
    </row>
    <row r="915" spans="1:6" ht="74.25" customHeight="1" thickBot="1" x14ac:dyDescent="0.25">
      <c r="A915" s="492" t="s">
        <v>10965</v>
      </c>
      <c r="B915" s="493"/>
      <c r="C915" s="493"/>
      <c r="D915" s="493"/>
      <c r="E915" s="493"/>
      <c r="F915" s="494"/>
    </row>
    <row r="916" spans="1:6" ht="15" x14ac:dyDescent="0.2">
      <c r="A916" s="1074" t="s">
        <v>10966</v>
      </c>
      <c r="B916" s="898"/>
      <c r="C916" s="898"/>
      <c r="D916" s="898"/>
      <c r="E916" s="898"/>
      <c r="F916" s="1075"/>
    </row>
    <row r="917" spans="1:6" ht="102.75" customHeight="1" thickBot="1" x14ac:dyDescent="0.25">
      <c r="A917" s="483" t="s">
        <v>10967</v>
      </c>
      <c r="B917" s="484"/>
      <c r="C917" s="484"/>
      <c r="D917" s="484"/>
      <c r="E917" s="484"/>
      <c r="F917" s="485"/>
    </row>
    <row r="918" spans="1:6" ht="15" thickBot="1" x14ac:dyDescent="0.25">
      <c r="A918" s="478" t="s">
        <v>1</v>
      </c>
      <c r="B918" s="478"/>
      <c r="C918" s="478"/>
      <c r="D918" s="478"/>
      <c r="E918" s="478"/>
      <c r="F918" s="478"/>
    </row>
    <row r="919" spans="1:6" ht="15.75" thickBot="1" x14ac:dyDescent="0.25">
      <c r="A919" s="479" t="s">
        <v>10968</v>
      </c>
      <c r="B919" s="479"/>
      <c r="C919" s="479"/>
      <c r="D919" s="479"/>
      <c r="E919" s="479"/>
      <c r="F919" s="479"/>
    </row>
    <row r="920" spans="1:6" ht="63.75" customHeight="1" x14ac:dyDescent="0.2">
      <c r="A920" s="475" t="s">
        <v>10969</v>
      </c>
      <c r="B920" s="476"/>
      <c r="C920" s="476"/>
      <c r="D920" s="476"/>
      <c r="E920" s="476"/>
      <c r="F920" s="477"/>
    </row>
    <row r="921" spans="1:6" ht="76.5" customHeight="1" x14ac:dyDescent="0.2">
      <c r="A921" s="465" t="s">
        <v>10970</v>
      </c>
      <c r="B921" s="466"/>
      <c r="C921" s="466"/>
      <c r="D921" s="466"/>
      <c r="E921" s="466"/>
      <c r="F921" s="467"/>
    </row>
    <row r="922" spans="1:6" ht="49.5" customHeight="1" x14ac:dyDescent="0.2">
      <c r="A922" s="465" t="s">
        <v>10980</v>
      </c>
      <c r="B922" s="466"/>
      <c r="C922" s="466"/>
      <c r="D922" s="466"/>
      <c r="E922" s="466"/>
      <c r="F922" s="467"/>
    </row>
    <row r="923" spans="1:6" ht="47.25" customHeight="1" x14ac:dyDescent="0.2">
      <c r="A923" s="465" t="s">
        <v>10979</v>
      </c>
      <c r="B923" s="466"/>
      <c r="C923" s="466"/>
      <c r="D923" s="466"/>
      <c r="E923" s="466"/>
      <c r="F923" s="467"/>
    </row>
    <row r="924" spans="1:6" ht="32.25" customHeight="1" x14ac:dyDescent="0.2">
      <c r="A924" s="465" t="s">
        <v>10971</v>
      </c>
      <c r="B924" s="466"/>
      <c r="C924" s="466"/>
      <c r="D924" s="466"/>
      <c r="E924" s="466"/>
      <c r="F924" s="467"/>
    </row>
    <row r="925" spans="1:6" ht="32.25" customHeight="1" x14ac:dyDescent="0.2">
      <c r="A925" s="465" t="s">
        <v>10972</v>
      </c>
      <c r="B925" s="466"/>
      <c r="C925" s="466"/>
      <c r="D925" s="466"/>
      <c r="E925" s="466"/>
      <c r="F925" s="467"/>
    </row>
    <row r="926" spans="1:6" ht="63" customHeight="1" x14ac:dyDescent="0.2">
      <c r="A926" s="465" t="s">
        <v>10973</v>
      </c>
      <c r="B926" s="466"/>
      <c r="C926" s="466"/>
      <c r="D926" s="466"/>
      <c r="E926" s="466"/>
      <c r="F926" s="467"/>
    </row>
    <row r="927" spans="1:6" ht="33.75" customHeight="1" x14ac:dyDescent="0.2">
      <c r="A927" s="465" t="s">
        <v>10974</v>
      </c>
      <c r="B927" s="466"/>
      <c r="C927" s="466"/>
      <c r="D927" s="466"/>
      <c r="E927" s="466"/>
      <c r="F927" s="467"/>
    </row>
    <row r="928" spans="1:6" ht="47.25" customHeight="1" x14ac:dyDescent="0.2">
      <c r="A928" s="465" t="s">
        <v>10975</v>
      </c>
      <c r="B928" s="466"/>
      <c r="C928" s="466"/>
      <c r="D928" s="466"/>
      <c r="E928" s="466"/>
      <c r="F928" s="467"/>
    </row>
    <row r="929" spans="1:6" ht="63.75" customHeight="1" x14ac:dyDescent="0.2">
      <c r="A929" s="465" t="s">
        <v>10976</v>
      </c>
      <c r="B929" s="466"/>
      <c r="C929" s="466"/>
      <c r="D929" s="466"/>
      <c r="E929" s="466"/>
      <c r="F929" s="467"/>
    </row>
    <row r="930" spans="1:6" ht="63" customHeight="1" x14ac:dyDescent="0.2">
      <c r="A930" s="465" t="s">
        <v>10977</v>
      </c>
      <c r="B930" s="466"/>
      <c r="C930" s="466"/>
      <c r="D930" s="466"/>
      <c r="E930" s="466"/>
      <c r="F930" s="467"/>
    </row>
    <row r="931" spans="1:6" ht="33" customHeight="1" thickBot="1" x14ac:dyDescent="0.25">
      <c r="A931" s="465" t="s">
        <v>10978</v>
      </c>
      <c r="B931" s="466"/>
      <c r="C931" s="466"/>
      <c r="D931" s="466"/>
      <c r="E931" s="466"/>
      <c r="F931" s="467"/>
    </row>
    <row r="932" spans="1:6" ht="15" x14ac:dyDescent="0.2">
      <c r="A932" s="539" t="s">
        <v>10981</v>
      </c>
      <c r="B932" s="540"/>
      <c r="C932" s="540"/>
      <c r="D932" s="540"/>
      <c r="E932" s="540"/>
      <c r="F932" s="541"/>
    </row>
    <row r="933" spans="1:6" ht="15" x14ac:dyDescent="0.2">
      <c r="A933" s="402" t="s">
        <v>10982</v>
      </c>
      <c r="B933" s="79" t="s">
        <v>9306</v>
      </c>
      <c r="C933" s="79" t="s">
        <v>10983</v>
      </c>
      <c r="D933" s="79" t="s">
        <v>10986</v>
      </c>
      <c r="E933" s="79" t="s">
        <v>10984</v>
      </c>
      <c r="F933" s="80" t="s">
        <v>10985</v>
      </c>
    </row>
    <row r="934" spans="1:6" x14ac:dyDescent="0.2">
      <c r="A934" s="404" t="s">
        <v>8916</v>
      </c>
      <c r="B934" s="158" t="s">
        <v>9320</v>
      </c>
      <c r="C934" s="273">
        <v>40</v>
      </c>
      <c r="D934" s="273">
        <v>1200</v>
      </c>
      <c r="E934" s="273">
        <v>32</v>
      </c>
      <c r="F934" s="274">
        <v>7</v>
      </c>
    </row>
    <row r="935" spans="1:6" x14ac:dyDescent="0.2">
      <c r="A935" s="404" t="s">
        <v>8916</v>
      </c>
      <c r="B935" s="158" t="s">
        <v>9321</v>
      </c>
      <c r="C935" s="273">
        <v>50</v>
      </c>
      <c r="D935" s="273">
        <v>1200</v>
      </c>
      <c r="E935" s="273">
        <v>32</v>
      </c>
      <c r="F935" s="274">
        <v>7</v>
      </c>
    </row>
    <row r="936" spans="1:6" x14ac:dyDescent="0.2">
      <c r="A936" s="404" t="s">
        <v>8916</v>
      </c>
      <c r="B936" s="158" t="s">
        <v>9322</v>
      </c>
      <c r="C936" s="273">
        <v>60</v>
      </c>
      <c r="D936" s="273">
        <v>1200</v>
      </c>
      <c r="E936" s="273">
        <v>32</v>
      </c>
      <c r="F936" s="274">
        <v>7</v>
      </c>
    </row>
    <row r="937" spans="1:6" x14ac:dyDescent="0.2">
      <c r="A937" s="404" t="s">
        <v>274</v>
      </c>
      <c r="B937" s="158" t="s">
        <v>9323</v>
      </c>
      <c r="C937" s="273">
        <v>30</v>
      </c>
      <c r="D937" s="273">
        <v>1832</v>
      </c>
      <c r="E937" s="273">
        <v>65.599999999999994</v>
      </c>
      <c r="F937" s="274">
        <v>1</v>
      </c>
    </row>
    <row r="938" spans="1:6" x14ac:dyDescent="0.2">
      <c r="A938" s="404" t="s">
        <v>274</v>
      </c>
      <c r="B938" s="158" t="s">
        <v>9324</v>
      </c>
      <c r="C938" s="273">
        <v>40</v>
      </c>
      <c r="D938" s="273">
        <v>1832</v>
      </c>
      <c r="E938" s="273">
        <v>65.599999999999994</v>
      </c>
      <c r="F938" s="274">
        <v>1</v>
      </c>
    </row>
    <row r="939" spans="1:6" x14ac:dyDescent="0.2">
      <c r="A939" s="404" t="s">
        <v>274</v>
      </c>
      <c r="B939" s="158" t="s">
        <v>9325</v>
      </c>
      <c r="C939" s="273">
        <v>50</v>
      </c>
      <c r="D939" s="273">
        <v>1832</v>
      </c>
      <c r="E939" s="273">
        <v>65.599999999999994</v>
      </c>
      <c r="F939" s="274">
        <v>1</v>
      </c>
    </row>
    <row r="940" spans="1:6" x14ac:dyDescent="0.2">
      <c r="A940" s="404" t="s">
        <v>10987</v>
      </c>
      <c r="B940" s="158" t="s">
        <v>9330</v>
      </c>
      <c r="C940" s="273">
        <v>20</v>
      </c>
      <c r="D940" s="273">
        <v>350</v>
      </c>
      <c r="E940" s="273">
        <v>17</v>
      </c>
      <c r="F940" s="274">
        <v>4</v>
      </c>
    </row>
    <row r="941" spans="1:6" x14ac:dyDescent="0.2">
      <c r="A941" s="9" t="s">
        <v>10988</v>
      </c>
      <c r="B941" s="16" t="s">
        <v>9331</v>
      </c>
      <c r="C941" s="273">
        <v>30</v>
      </c>
      <c r="D941" s="273">
        <v>330</v>
      </c>
      <c r="E941" s="273">
        <v>24</v>
      </c>
      <c r="F941" s="274">
        <v>2.8</v>
      </c>
    </row>
    <row r="942" spans="1:6" x14ac:dyDescent="0.2">
      <c r="A942" s="9" t="s">
        <v>10989</v>
      </c>
      <c r="B942" s="16" t="s">
        <v>9326</v>
      </c>
      <c r="C942" s="273">
        <v>8</v>
      </c>
      <c r="D942" s="273">
        <v>600</v>
      </c>
      <c r="E942" s="273">
        <v>90</v>
      </c>
      <c r="F942" s="274">
        <v>0.3</v>
      </c>
    </row>
    <row r="943" spans="1:6" x14ac:dyDescent="0.2">
      <c r="A943" s="9" t="s">
        <v>10989</v>
      </c>
      <c r="B943" s="16" t="s">
        <v>9327</v>
      </c>
      <c r="C943" s="273">
        <v>12</v>
      </c>
      <c r="D943" s="273">
        <v>600</v>
      </c>
      <c r="E943" s="273">
        <v>90</v>
      </c>
      <c r="F943" s="274">
        <v>0.3</v>
      </c>
    </row>
    <row r="944" spans="1:6" x14ac:dyDescent="0.2">
      <c r="A944" s="9" t="s">
        <v>10990</v>
      </c>
      <c r="B944" s="16" t="s">
        <v>9332</v>
      </c>
      <c r="C944" s="273">
        <v>12</v>
      </c>
      <c r="D944" s="273">
        <v>1400</v>
      </c>
      <c r="E944" s="273">
        <v>32</v>
      </c>
      <c r="F944" s="274">
        <v>2</v>
      </c>
    </row>
    <row r="945" spans="1:6" ht="15" thickBot="1" x14ac:dyDescent="0.25">
      <c r="A945" s="112" t="s">
        <v>10990</v>
      </c>
      <c r="B945" s="28" t="s">
        <v>9333</v>
      </c>
      <c r="C945" s="275">
        <v>20</v>
      </c>
      <c r="D945" s="275">
        <v>1400</v>
      </c>
      <c r="E945" s="275">
        <v>32</v>
      </c>
      <c r="F945" s="407">
        <v>2</v>
      </c>
    </row>
    <row r="946" spans="1:6" ht="15" x14ac:dyDescent="0.2">
      <c r="A946" s="539" t="s">
        <v>10991</v>
      </c>
      <c r="B946" s="540"/>
      <c r="C946" s="540"/>
      <c r="D946" s="540"/>
      <c r="E946" s="540"/>
      <c r="F946" s="541"/>
    </row>
    <row r="947" spans="1:6" ht="15" x14ac:dyDescent="0.2">
      <c r="A947" s="79" t="s">
        <v>10982</v>
      </c>
      <c r="B947" s="79" t="s">
        <v>9306</v>
      </c>
      <c r="C947" s="79" t="s">
        <v>10983</v>
      </c>
      <c r="D947" s="79" t="s">
        <v>10992</v>
      </c>
      <c r="E947" s="79" t="s">
        <v>10993</v>
      </c>
      <c r="F947" s="237" t="s">
        <v>11000</v>
      </c>
    </row>
    <row r="948" spans="1:6" x14ac:dyDescent="0.2">
      <c r="A948" s="9" t="s">
        <v>10994</v>
      </c>
      <c r="B948" s="16" t="s">
        <v>9313</v>
      </c>
      <c r="C948" s="16">
        <v>12</v>
      </c>
      <c r="D948" s="16">
        <v>0.23300000000000001</v>
      </c>
      <c r="E948" s="16">
        <v>5.58</v>
      </c>
      <c r="F948" s="237" t="s">
        <v>11000</v>
      </c>
    </row>
    <row r="949" spans="1:6" x14ac:dyDescent="0.2">
      <c r="A949" s="9" t="s">
        <v>10994</v>
      </c>
      <c r="B949" s="16" t="s">
        <v>9314</v>
      </c>
      <c r="C949" s="16">
        <v>30</v>
      </c>
      <c r="D949" s="16">
        <v>0.23300000000000001</v>
      </c>
      <c r="E949" s="16">
        <v>13.95</v>
      </c>
      <c r="F949" s="237" t="s">
        <v>11000</v>
      </c>
    </row>
    <row r="950" spans="1:6" x14ac:dyDescent="0.2">
      <c r="A950" s="9" t="s">
        <v>10994</v>
      </c>
      <c r="B950" s="16" t="s">
        <v>9315</v>
      </c>
      <c r="C950" s="16">
        <v>35</v>
      </c>
      <c r="D950" s="16">
        <v>0.23300000000000001</v>
      </c>
      <c r="E950" s="16">
        <v>16.28</v>
      </c>
      <c r="F950" s="237" t="s">
        <v>11000</v>
      </c>
    </row>
    <row r="951" spans="1:6" x14ac:dyDescent="0.2">
      <c r="A951" s="9" t="s">
        <v>10994</v>
      </c>
      <c r="B951" s="16" t="s">
        <v>9316</v>
      </c>
      <c r="C951" s="16">
        <v>40</v>
      </c>
      <c r="D951" s="16">
        <v>0.23300000000000001</v>
      </c>
      <c r="E951" s="16">
        <v>18.600000000000001</v>
      </c>
      <c r="F951" s="237" t="s">
        <v>11000</v>
      </c>
    </row>
    <row r="952" spans="1:6" x14ac:dyDescent="0.2">
      <c r="A952" s="9" t="s">
        <v>10994</v>
      </c>
      <c r="B952" s="16" t="s">
        <v>9317</v>
      </c>
      <c r="C952" s="16">
        <v>45</v>
      </c>
      <c r="D952" s="16">
        <v>0.23300000000000001</v>
      </c>
      <c r="E952" s="16">
        <v>20.93</v>
      </c>
      <c r="F952" s="237" t="s">
        <v>11000</v>
      </c>
    </row>
    <row r="953" spans="1:6" x14ac:dyDescent="0.2">
      <c r="A953" s="9" t="s">
        <v>10994</v>
      </c>
      <c r="B953" s="16" t="s">
        <v>9318</v>
      </c>
      <c r="C953" s="16">
        <v>50</v>
      </c>
      <c r="D953" s="16">
        <v>0.23300000000000001</v>
      </c>
      <c r="E953" s="16">
        <v>23.26</v>
      </c>
      <c r="F953" s="237" t="s">
        <v>11000</v>
      </c>
    </row>
    <row r="954" spans="1:6" x14ac:dyDescent="0.2">
      <c r="A954" s="9" t="s">
        <v>10995</v>
      </c>
      <c r="B954" s="16" t="s">
        <v>9319</v>
      </c>
      <c r="C954" s="16">
        <v>3</v>
      </c>
      <c r="D954" s="16">
        <v>0.23300000000000001</v>
      </c>
      <c r="E954" s="16">
        <v>1.4</v>
      </c>
      <c r="F954" s="237" t="s">
        <v>11000</v>
      </c>
    </row>
    <row r="955" spans="1:6" x14ac:dyDescent="0.2">
      <c r="A955" s="9" t="s">
        <v>10996</v>
      </c>
      <c r="B955" s="16" t="s">
        <v>9328</v>
      </c>
      <c r="C955" s="16">
        <v>8</v>
      </c>
      <c r="D955" s="16">
        <v>0.23300000000000001</v>
      </c>
      <c r="E955" s="16">
        <v>0.23300000000000001</v>
      </c>
      <c r="F955" s="237" t="s">
        <v>11000</v>
      </c>
    </row>
    <row r="956" spans="1:6" x14ac:dyDescent="0.2">
      <c r="A956" s="9" t="s">
        <v>10500</v>
      </c>
      <c r="B956" s="16" t="s">
        <v>9329</v>
      </c>
      <c r="C956" s="16">
        <v>10</v>
      </c>
      <c r="D956" s="16">
        <v>0.23300000000000001</v>
      </c>
      <c r="E956" s="16">
        <v>0.23300000000000001</v>
      </c>
      <c r="F956" s="237" t="s">
        <v>11000</v>
      </c>
    </row>
    <row r="957" spans="1:6" x14ac:dyDescent="0.2">
      <c r="A957" s="9" t="s">
        <v>10997</v>
      </c>
      <c r="B957" s="16" t="s">
        <v>9334</v>
      </c>
      <c r="C957" s="16">
        <v>10</v>
      </c>
      <c r="D957" s="16">
        <v>0.23300000000000001</v>
      </c>
      <c r="E957" s="16">
        <v>0.23300000000000001</v>
      </c>
      <c r="F957" s="237" t="s">
        <v>11000</v>
      </c>
    </row>
    <row r="958" spans="1:6" x14ac:dyDescent="0.2">
      <c r="A958" s="9" t="s">
        <v>10997</v>
      </c>
      <c r="B958" s="16" t="s">
        <v>9335</v>
      </c>
      <c r="C958" s="16">
        <v>15</v>
      </c>
      <c r="D958" s="16">
        <v>0.23300000000000001</v>
      </c>
      <c r="E958" s="16">
        <v>0.23300000000000001</v>
      </c>
      <c r="F958" s="237" t="s">
        <v>11000</v>
      </c>
    </row>
    <row r="959" spans="1:6" x14ac:dyDescent="0.2">
      <c r="A959" s="9" t="s">
        <v>10997</v>
      </c>
      <c r="B959" s="16" t="s">
        <v>9336</v>
      </c>
      <c r="C959" s="16">
        <v>20</v>
      </c>
      <c r="D959" s="16">
        <v>0.23300000000000001</v>
      </c>
      <c r="E959" s="16">
        <v>0.23300000000000001</v>
      </c>
      <c r="F959" s="237" t="s">
        <v>11000</v>
      </c>
    </row>
    <row r="960" spans="1:6" x14ac:dyDescent="0.2">
      <c r="A960" s="9" t="s">
        <v>10998</v>
      </c>
      <c r="B960" s="16" t="s">
        <v>9337</v>
      </c>
      <c r="C960" s="16">
        <v>30</v>
      </c>
      <c r="D960" s="16">
        <v>0.23300000000000001</v>
      </c>
      <c r="E960" s="16">
        <v>0.23300000000000001</v>
      </c>
      <c r="F960" s="237" t="s">
        <v>11000</v>
      </c>
    </row>
    <row r="961" spans="1:6" x14ac:dyDescent="0.2">
      <c r="A961" s="9" t="s">
        <v>10998</v>
      </c>
      <c r="B961" s="16" t="s">
        <v>9338</v>
      </c>
      <c r="C961" s="16">
        <v>40</v>
      </c>
      <c r="D961" s="16">
        <v>0.23300000000000001</v>
      </c>
      <c r="E961" s="16">
        <v>0.23300000000000001</v>
      </c>
      <c r="F961" s="237" t="s">
        <v>11000</v>
      </c>
    </row>
    <row r="962" spans="1:6" x14ac:dyDescent="0.2">
      <c r="A962" s="9" t="s">
        <v>10998</v>
      </c>
      <c r="B962" s="16" t="s">
        <v>9339</v>
      </c>
      <c r="C962" s="16">
        <v>50</v>
      </c>
      <c r="D962" s="16">
        <v>0.23300000000000001</v>
      </c>
      <c r="E962" s="16">
        <v>0.23300000000000001</v>
      </c>
      <c r="F962" s="237" t="s">
        <v>11000</v>
      </c>
    </row>
    <row r="963" spans="1:6" ht="15" thickBot="1" x14ac:dyDescent="0.25">
      <c r="A963" s="112" t="s">
        <v>10999</v>
      </c>
      <c r="B963" s="28" t="s">
        <v>9293</v>
      </c>
      <c r="C963" s="28">
        <v>3</v>
      </c>
      <c r="D963" s="28">
        <v>0.23300000000000001</v>
      </c>
      <c r="E963" s="28">
        <v>0.23300000000000001</v>
      </c>
      <c r="F963" s="406" t="s">
        <v>11000</v>
      </c>
    </row>
    <row r="964" spans="1:6" x14ac:dyDescent="0.2">
      <c r="A964" s="478" t="s">
        <v>130</v>
      </c>
      <c r="B964" s="478"/>
      <c r="C964" s="478"/>
      <c r="D964" s="478"/>
      <c r="E964" s="478"/>
      <c r="F964" s="478"/>
    </row>
  </sheetData>
  <sheetProtection algorithmName="SHA-512" hashValue="3mDGppdOaV2B6Frj03ql1K9Ue4unLZfaShDKURAWIDHYsiDiIlOkt5Oszd26+7Jy6CJMxlJ/VvcB8azEekRfeQ==" saltValue="Ib30NSaf208fzDPXX+hlYA==" spinCount="100000" sheet="1" objects="1" scenarios="1" formatColumns="0" formatRows="0"/>
  <mergeCells count="162">
    <mergeCell ref="A81:F81"/>
    <mergeCell ref="A105:F105"/>
    <mergeCell ref="A129:F129"/>
    <mergeCell ref="A153:F153"/>
    <mergeCell ref="A177:F177"/>
    <mergeCell ref="A201:F201"/>
    <mergeCell ref="A57:F57"/>
    <mergeCell ref="A33:F33"/>
    <mergeCell ref="A1:F1"/>
    <mergeCell ref="A2:F2"/>
    <mergeCell ref="A3:F3"/>
    <mergeCell ref="A4:F4"/>
    <mergeCell ref="A5:F5"/>
    <mergeCell ref="A7:F7"/>
    <mergeCell ref="A8:F8"/>
    <mergeCell ref="A9:F9"/>
    <mergeCell ref="A6:F6"/>
    <mergeCell ref="C226:D226"/>
    <mergeCell ref="C227:D227"/>
    <mergeCell ref="C228:D228"/>
    <mergeCell ref="C229:D229"/>
    <mergeCell ref="C230:D230"/>
    <mergeCell ref="C231:D231"/>
    <mergeCell ref="C232:D232"/>
    <mergeCell ref="A225:F225"/>
    <mergeCell ref="E226:F226"/>
    <mergeCell ref="E227:F227"/>
    <mergeCell ref="E228:F228"/>
    <mergeCell ref="E229:F229"/>
    <mergeCell ref="E230:F230"/>
    <mergeCell ref="A226:B226"/>
    <mergeCell ref="A227:B227"/>
    <mergeCell ref="A228:B228"/>
    <mergeCell ref="A229:B229"/>
    <mergeCell ref="A305:F305"/>
    <mergeCell ref="A329:F329"/>
    <mergeCell ref="A353:F353"/>
    <mergeCell ref="A377:F377"/>
    <mergeCell ref="A401:F401"/>
    <mergeCell ref="A425:F425"/>
    <mergeCell ref="A230:B230"/>
    <mergeCell ref="A231:B231"/>
    <mergeCell ref="A232:B232"/>
    <mergeCell ref="A233:F233"/>
    <mergeCell ref="A257:F257"/>
    <mergeCell ref="A281:F281"/>
    <mergeCell ref="E231:F231"/>
    <mergeCell ref="E232:F232"/>
    <mergeCell ref="C450:D450"/>
    <mergeCell ref="C451:D451"/>
    <mergeCell ref="C452:D452"/>
    <mergeCell ref="C453:D453"/>
    <mergeCell ref="C454:D454"/>
    <mergeCell ref="C455:D455"/>
    <mergeCell ref="C456:D456"/>
    <mergeCell ref="A449:F449"/>
    <mergeCell ref="A450:B450"/>
    <mergeCell ref="A451:B451"/>
    <mergeCell ref="A452:B452"/>
    <mergeCell ref="A453:B453"/>
    <mergeCell ref="A454:B454"/>
    <mergeCell ref="E450:F450"/>
    <mergeCell ref="E451:F451"/>
    <mergeCell ref="E452:F452"/>
    <mergeCell ref="E453:F453"/>
    <mergeCell ref="A529:F529"/>
    <mergeCell ref="A553:F553"/>
    <mergeCell ref="A577:F577"/>
    <mergeCell ref="A601:F601"/>
    <mergeCell ref="A625:F625"/>
    <mergeCell ref="A649:F649"/>
    <mergeCell ref="E454:F454"/>
    <mergeCell ref="E455:F455"/>
    <mergeCell ref="E456:F456"/>
    <mergeCell ref="A457:F457"/>
    <mergeCell ref="A481:F481"/>
    <mergeCell ref="A505:F505"/>
    <mergeCell ref="A455:B455"/>
    <mergeCell ref="A456:B456"/>
    <mergeCell ref="C674:D674"/>
    <mergeCell ref="C675:D675"/>
    <mergeCell ref="C676:D676"/>
    <mergeCell ref="C677:D677"/>
    <mergeCell ref="C678:D678"/>
    <mergeCell ref="C679:D679"/>
    <mergeCell ref="C680:D680"/>
    <mergeCell ref="A673:F673"/>
    <mergeCell ref="E674:F674"/>
    <mergeCell ref="E675:F675"/>
    <mergeCell ref="E676:F676"/>
    <mergeCell ref="E677:F677"/>
    <mergeCell ref="E678:F678"/>
    <mergeCell ref="A674:B674"/>
    <mergeCell ref="A675:B675"/>
    <mergeCell ref="A676:B676"/>
    <mergeCell ref="A677:B677"/>
    <mergeCell ref="A753:F753"/>
    <mergeCell ref="A777:F777"/>
    <mergeCell ref="A801:F801"/>
    <mergeCell ref="A825:F825"/>
    <mergeCell ref="A849:F849"/>
    <mergeCell ref="A873:F873"/>
    <mergeCell ref="A678:B678"/>
    <mergeCell ref="A679:B679"/>
    <mergeCell ref="A680:B680"/>
    <mergeCell ref="A681:F681"/>
    <mergeCell ref="A705:F705"/>
    <mergeCell ref="A729:F729"/>
    <mergeCell ref="E679:F679"/>
    <mergeCell ref="E680:F680"/>
    <mergeCell ref="A897:F897"/>
    <mergeCell ref="E898:F898"/>
    <mergeCell ref="E899:F899"/>
    <mergeCell ref="E900:F900"/>
    <mergeCell ref="E901:F901"/>
    <mergeCell ref="E902:F902"/>
    <mergeCell ref="A898:B898"/>
    <mergeCell ref="A899:B899"/>
    <mergeCell ref="A900:B900"/>
    <mergeCell ref="A901:B901"/>
    <mergeCell ref="A902:B902"/>
    <mergeCell ref="A903:B903"/>
    <mergeCell ref="A904:B904"/>
    <mergeCell ref="A905:F905"/>
    <mergeCell ref="A906:F906"/>
    <mergeCell ref="A907:F907"/>
    <mergeCell ref="E903:F903"/>
    <mergeCell ref="E904:F904"/>
    <mergeCell ref="C898:D898"/>
    <mergeCell ref="C899:D899"/>
    <mergeCell ref="C900:D900"/>
    <mergeCell ref="C901:D901"/>
    <mergeCell ref="C902:D902"/>
    <mergeCell ref="C903:D903"/>
    <mergeCell ref="C904:D904"/>
    <mergeCell ref="A914:F914"/>
    <mergeCell ref="A915:F915"/>
    <mergeCell ref="A916:F916"/>
    <mergeCell ref="A917:F917"/>
    <mergeCell ref="A919:F919"/>
    <mergeCell ref="A920:F920"/>
    <mergeCell ref="A908:F908"/>
    <mergeCell ref="A909:F909"/>
    <mergeCell ref="A910:F910"/>
    <mergeCell ref="A911:F911"/>
    <mergeCell ref="A912:F912"/>
    <mergeCell ref="A913:F913"/>
    <mergeCell ref="A946:F946"/>
    <mergeCell ref="A964:F964"/>
    <mergeCell ref="A918:F918"/>
    <mergeCell ref="A923:F923"/>
    <mergeCell ref="A928:F928"/>
    <mergeCell ref="A929:F929"/>
    <mergeCell ref="A930:F930"/>
    <mergeCell ref="A931:F931"/>
    <mergeCell ref="A932:F932"/>
    <mergeCell ref="A921:F921"/>
    <mergeCell ref="A922:F922"/>
    <mergeCell ref="A924:F924"/>
    <mergeCell ref="A925:F925"/>
    <mergeCell ref="A926:F926"/>
    <mergeCell ref="A927:F927"/>
  </mergeCells>
  <printOptions horizontalCentered="1"/>
  <pageMargins left="0.7" right="0.7" top="0.75" bottom="0.75" header="0.3" footer="0.3"/>
  <pageSetup scale="88" orientation="landscape" horizontalDpi="300" verticalDpi="300" r:id="rId1"/>
  <headerFooter>
    <oddHeader>&amp;C&amp;"Calibri,Regular"Marine Loading RAP Application</oddHeader>
    <oddFooter>&amp;L&amp;"Calibri,Regular"Version 1.0&amp;C&amp;"Calibri,Regular"Sheet: &amp;A&amp;R&amp;"Calibri,Regular"Page &amp;P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4D6F0D-CC03-4256-8A00-BF4917C05D8E}">
  <sheetPr codeName="Sheet24">
    <tabColor theme="1"/>
  </sheetPr>
  <dimension ref="A1:GN466"/>
  <sheetViews>
    <sheetView zoomScaleNormal="100" workbookViewId="0"/>
  </sheetViews>
  <sheetFormatPr defaultRowHeight="14.25" x14ac:dyDescent="0.2"/>
  <sheetData>
    <row r="1" spans="1:196" ht="29.25" thickBot="1" x14ac:dyDescent="0.25">
      <c r="BJ1" s="525" t="s">
        <v>9964</v>
      </c>
      <c r="BK1" s="525"/>
      <c r="BL1" s="525"/>
      <c r="BM1" s="525"/>
      <c r="BN1" s="525"/>
      <c r="BO1" s="525"/>
      <c r="BP1" s="525"/>
      <c r="BQ1" s="525"/>
      <c r="BR1" s="525"/>
      <c r="DT1" s="77"/>
      <c r="DU1" s="525" t="s">
        <v>9981</v>
      </c>
      <c r="DV1" s="525"/>
      <c r="DW1" s="525"/>
      <c r="DX1" s="525"/>
      <c r="DY1" s="525"/>
      <c r="DZ1" s="525"/>
      <c r="EA1" s="525"/>
      <c r="EB1" s="525"/>
      <c r="EC1" s="525"/>
      <c r="ED1" s="525"/>
      <c r="EE1" s="525"/>
      <c r="EF1" s="525"/>
      <c r="EG1" s="525"/>
      <c r="EH1" s="525"/>
      <c r="EI1" s="525"/>
      <c r="EJ1" s="525"/>
      <c r="EK1" s="525"/>
      <c r="EL1" s="525"/>
      <c r="GF1" s="8"/>
      <c r="GH1" t="s">
        <v>10245</v>
      </c>
      <c r="GL1" t="s">
        <v>10244</v>
      </c>
    </row>
    <row r="2" spans="1:196" ht="72" thickBot="1" x14ac:dyDescent="0.25">
      <c r="A2" s="1160" t="s">
        <v>9725</v>
      </c>
      <c r="B2" s="86" t="s">
        <v>9713</v>
      </c>
      <c r="C2" s="87" t="s">
        <v>9714</v>
      </c>
      <c r="D2" s="88" t="s">
        <v>9715</v>
      </c>
      <c r="E2" s="86" t="s">
        <v>9716</v>
      </c>
      <c r="F2" s="87" t="s">
        <v>9717</v>
      </c>
      <c r="G2" s="88" t="s">
        <v>9718</v>
      </c>
      <c r="H2" s="86" t="s">
        <v>9719</v>
      </c>
      <c r="I2" s="87" t="s">
        <v>9720</v>
      </c>
      <c r="J2" s="88" t="s">
        <v>9710</v>
      </c>
      <c r="K2" s="86" t="s">
        <v>9721</v>
      </c>
      <c r="L2" s="87" t="s">
        <v>9722</v>
      </c>
      <c r="M2" s="88" t="s">
        <v>9711</v>
      </c>
      <c r="N2" s="86" t="s">
        <v>9723</v>
      </c>
      <c r="O2" s="87" t="s">
        <v>9724</v>
      </c>
      <c r="P2" s="88" t="s">
        <v>9712</v>
      </c>
      <c r="R2" t="s">
        <v>10231</v>
      </c>
      <c r="S2" t="s">
        <v>10232</v>
      </c>
      <c r="T2" t="s">
        <v>10233</v>
      </c>
      <c r="U2" t="s">
        <v>10234</v>
      </c>
      <c r="V2" t="s">
        <v>10235</v>
      </c>
      <c r="X2" t="s">
        <v>10236</v>
      </c>
      <c r="Y2" t="s">
        <v>10237</v>
      </c>
      <c r="Z2" t="s">
        <v>10238</v>
      </c>
      <c r="AA2" t="s">
        <v>10239</v>
      </c>
      <c r="AB2" t="s">
        <v>10240</v>
      </c>
      <c r="DT2" s="77"/>
      <c r="GH2" t="s">
        <v>10241</v>
      </c>
      <c r="GI2" t="s">
        <v>10243</v>
      </c>
      <c r="GJ2" t="s">
        <v>10242</v>
      </c>
      <c r="GL2" t="s">
        <v>10241</v>
      </c>
      <c r="GM2" t="s">
        <v>10243</v>
      </c>
      <c r="GN2" t="s">
        <v>10242</v>
      </c>
    </row>
    <row r="3" spans="1:196" ht="15.75" thickBot="1" x14ac:dyDescent="0.25">
      <c r="A3" s="1160"/>
      <c r="B3" s="89">
        <f>IF(OR(C3=0,ISNUMBER(MATCH(C3,$C$2:C2,0))),0,MAX($B$2:B2)+1)</f>
        <v>0</v>
      </c>
      <c r="C3">
        <f>Hidden!CK2</f>
        <v>0</v>
      </c>
      <c r="D3" s="90" t="str">
        <f>IFERROR(VLOOKUP(ROW(A1),$B$3:$C$12,2,FALSE),"")</f>
        <v/>
      </c>
      <c r="E3" s="89">
        <f>IF(OR(F3=0,ISNUMBER(MATCH(F3,$F$2:F2,0))),0,MAX($E$2:E2)+1)</f>
        <v>0</v>
      </c>
      <c r="F3">
        <f>Hidden!CK12</f>
        <v>0</v>
      </c>
      <c r="G3" s="90" t="str">
        <f>IFERROR(VLOOKUP(ROW(A1),$E$3:$F$12,2,FALSE),"")</f>
        <v/>
      </c>
      <c r="H3" s="89">
        <f>IF(OR(I3=0,ISNUMBER(MATCH(I3,$I$2:I2,0))),0,MAX($H$2:H2)+1)</f>
        <v>0</v>
      </c>
      <c r="I3">
        <f>Hidden!CK22</f>
        <v>0</v>
      </c>
      <c r="J3" s="90" t="str">
        <f>IFERROR(VLOOKUP(ROW(A1),$H$3:$I$12,2,FALSE),"")</f>
        <v/>
      </c>
      <c r="K3" s="89">
        <f>IF(OR(L3=0,ISNUMBER(MATCH(L3,$L$2:L2,0))),0,MAX($K$2:K2)+1)</f>
        <v>0</v>
      </c>
      <c r="L3">
        <f>Hidden!CK32</f>
        <v>0</v>
      </c>
      <c r="M3" s="90" t="str">
        <f>IFERROR(VLOOKUP(ROW(A1),$K$3:$L$12,2,FALSE),"")</f>
        <v/>
      </c>
      <c r="N3" s="89">
        <f>IF(OR(O3=0,ISNUMBER(MATCH(O3,$O$2:O2,0))),0,MAX($N$2:N2)+1)</f>
        <v>0</v>
      </c>
      <c r="O3">
        <f>Hidden!CK42</f>
        <v>0</v>
      </c>
      <c r="P3" s="90" t="str">
        <f>IFERROR(VLOOKUP(ROW(A1),$N$3:$O$12,2,FALSE),"")</f>
        <v/>
      </c>
      <c r="R3">
        <f>IF('PI-1-MarineLoading'!$G$115&lt;1,0,IF(COUNTIF(Tank1!$D$18,"*floating*"),IF($D3="",0,$D3),0))</f>
        <v>0</v>
      </c>
      <c r="S3">
        <f>IF('PI-1-MarineLoading'!$G$115&lt;2,0,IF(COUNTIF(Tank2!$D$18,"*floating*"),$G3,0))</f>
        <v>0</v>
      </c>
      <c r="T3">
        <f>IF('PI-1-MarineLoading'!$G$115&lt;3,0,IF(COUNTIF(Tank3!$D$18,"*floating*"),IF($J3="",0,$J3),0))</f>
        <v>0</v>
      </c>
      <c r="U3">
        <f>IF('PI-1-MarineLoading'!$G$115&lt;4,0,IF(COUNTIF(Tank4!$D$18,"*floating*"),IF($M3=0,0,$M3),0))</f>
        <v>0</v>
      </c>
      <c r="V3">
        <f>IF('PI-1-MarineLoading'!$G$115&lt;5,0,IF(COUNTIF(Tank5!$D$18,"*floating*"),IF($P3=0,0,$P3),0))</f>
        <v>0</v>
      </c>
      <c r="X3">
        <f>IF('PI-1-MarineLoading'!$G$115&lt;1,0,IF(COUNTIF(Tank1!$D$18,"*fixed*"),IF($D3="",0,$D3),0))</f>
        <v>0</v>
      </c>
      <c r="Y3">
        <f>IF('PI-1-MarineLoading'!$G$115&lt;2,0,IF(COUNTIF(Tank2!$D$18,"*fixed*"),IF($G3="",0,$G3),0))</f>
        <v>0</v>
      </c>
      <c r="Z3">
        <f>IF('PI-1-MarineLoading'!$G$115&lt;3,0,IF(COUNTIF(Tank3!$D$18,"*fixed*"),IF($J3="",0,$J3),0))</f>
        <v>0</v>
      </c>
      <c r="AA3">
        <f>IF('PI-1-MarineLoading'!$G$115&lt;4,0,IF(COUNTIF(Tank4!$D$18,"*fixed*"),IF($M3="",0,$M3),0))</f>
        <v>0</v>
      </c>
      <c r="AB3">
        <f>IF('PI-1-MarineLoading'!$G$115&lt;5,0,IF(COUNTIF(Tank5!$D$18,"*fixed*"),IF($P3="",0,$P3),0))</f>
        <v>0</v>
      </c>
      <c r="DT3" s="77"/>
      <c r="DU3" s="479" t="s">
        <v>9989</v>
      </c>
      <c r="DV3" s="479"/>
      <c r="DW3" s="479"/>
      <c r="DX3" s="479"/>
      <c r="DY3" s="479"/>
      <c r="DZ3" s="479"/>
      <c r="EA3" s="479"/>
      <c r="EB3" s="479"/>
      <c r="EC3" s="479"/>
      <c r="ED3" s="479"/>
      <c r="EE3" s="479"/>
      <c r="EF3" s="479"/>
      <c r="EG3" s="479"/>
      <c r="EH3" s="479"/>
      <c r="EI3" s="479"/>
      <c r="EJ3" s="479"/>
      <c r="EK3" s="479"/>
      <c r="EL3" s="479"/>
      <c r="EM3" s="479"/>
      <c r="EN3" s="479"/>
      <c r="EO3" s="479"/>
      <c r="EP3" s="479"/>
      <c r="EQ3" s="479"/>
      <c r="ER3" s="479"/>
      <c r="ES3" s="479"/>
      <c r="ET3" s="479"/>
      <c r="EU3" s="479"/>
      <c r="EV3" s="479"/>
      <c r="EW3" s="479"/>
      <c r="EX3" s="479"/>
      <c r="EY3" s="479"/>
      <c r="EZ3" s="479"/>
      <c r="FA3" s="479"/>
      <c r="FB3" s="479"/>
      <c r="FC3" s="479"/>
      <c r="FD3" s="479"/>
      <c r="GG3" t="s">
        <v>165</v>
      </c>
      <c r="GH3">
        <f>IF(OR(GI3=0,ISNUMBER(MATCH(GI3,$GI$2:GI2,0))),0,MAX($GH$2:GH2)+1)</f>
        <v>0</v>
      </c>
      <c r="GI3">
        <f>$R3</f>
        <v>0</v>
      </c>
      <c r="GJ3" t="str">
        <f>IFERROR(VLOOKUP(ROW(A1),$GH$3:$GI$52,2,FALSE),"")</f>
        <v/>
      </c>
      <c r="GL3">
        <f>IF(OR(GM3=0,ISNUMBER(MATCH(GM3,$GM$2:GM2,0))),0,MAX($GL$2:GL2)+1)</f>
        <v>0</v>
      </c>
      <c r="GM3">
        <f>$X3</f>
        <v>0</v>
      </c>
      <c r="GN3" t="str">
        <f>IFERROR(VLOOKUP(ROW(A1),$GL$3:$GM$52,2,FALSE),"")</f>
        <v/>
      </c>
    </row>
    <row r="4" spans="1:196" ht="72" thickBot="1" x14ac:dyDescent="0.25">
      <c r="A4" s="1160"/>
      <c r="B4" s="89">
        <f>IF(OR(C4=0,ISNUMBER(MATCH(C4,$C$2:C3,0))),0,MAX($B$2:B3)+1)</f>
        <v>0</v>
      </c>
      <c r="C4">
        <f>Hidden!CK3</f>
        <v>0</v>
      </c>
      <c r="D4" s="90" t="str">
        <f t="shared" ref="D4:D12" si="0">IFERROR(VLOOKUP(ROW(A2),$B$3:$C$12,2,FALSE),"")</f>
        <v/>
      </c>
      <c r="E4" s="89">
        <f>IF(OR(F4=0,ISNUMBER(MATCH(F4,$F$2:F3,0))),0,MAX($E$2:E3)+1)</f>
        <v>0</v>
      </c>
      <c r="F4">
        <f>Hidden!CK13</f>
        <v>0</v>
      </c>
      <c r="G4" s="90" t="str">
        <f t="shared" ref="G4:G12" si="1">IFERROR(VLOOKUP(ROW(A2),$E$3:$F$12,2,FALSE),"")</f>
        <v/>
      </c>
      <c r="H4" s="89">
        <f>IF(OR(I4=0,ISNUMBER(MATCH(I4,$I$2:I3,0))),0,MAX($H$2:H3)+1)</f>
        <v>0</v>
      </c>
      <c r="I4">
        <f>Hidden!CK23</f>
        <v>0</v>
      </c>
      <c r="J4" s="90" t="str">
        <f t="shared" ref="J4:J12" si="2">IFERROR(VLOOKUP(ROW(A2),$H$3:$I$12,2,FALSE),"")</f>
        <v/>
      </c>
      <c r="K4" s="89">
        <f>IF(OR(L4=0,ISNUMBER(MATCH(L4,$L$2:L3,0))),0,MAX($K$2:K3)+1)</f>
        <v>0</v>
      </c>
      <c r="L4">
        <f>Hidden!CK33</f>
        <v>0</v>
      </c>
      <c r="M4" s="90" t="str">
        <f t="shared" ref="M4:M12" si="3">IFERROR(VLOOKUP(ROW(A2),$K$3:$L$12,2,FALSE),"")</f>
        <v/>
      </c>
      <c r="N4" s="89">
        <f>IF(OR(O4=0,ISNUMBER(MATCH(O4,$O$2:O3,0))),0,MAX($N$2:N3)+1)</f>
        <v>0</v>
      </c>
      <c r="O4">
        <f>Hidden!CK43</f>
        <v>0</v>
      </c>
      <c r="P4" s="90" t="str">
        <f t="shared" ref="P4:P12" si="4">IFERROR(VLOOKUP(ROW(A2),$N$3:$O$12,2,FALSE),"")</f>
        <v/>
      </c>
      <c r="R4">
        <f>IF('PI-1-MarineLoading'!$G$115&lt;1,0,IF(COUNTIF(Tank1!$D$18,"*floating*"),IF($D4="",0,$D4),0))</f>
        <v>0</v>
      </c>
      <c r="S4">
        <f>IF('PI-1-MarineLoading'!$G$115&lt;2,0,IF(COUNTIF(Tank2!$D$18,"*floating*"),$G4,0))</f>
        <v>0</v>
      </c>
      <c r="T4">
        <f>IF('PI-1-MarineLoading'!$G$115&lt;3,0,IF(COUNTIF(Tank3!$D$18,"*floating*"),IF($J4="",0,$J4),0))</f>
        <v>0</v>
      </c>
      <c r="U4">
        <f>IF('PI-1-MarineLoading'!$G$115&lt;4,0,IF(COUNTIF(Tank4!$D$18,"*floating*"),$M4,0))</f>
        <v>0</v>
      </c>
      <c r="V4">
        <f>IF('PI-1-MarineLoading'!$G$115&lt;5,0,IF(COUNTIF(Tank5!$D$18,"*floating*"),IF($P4=0,0,$P4),0))</f>
        <v>0</v>
      </c>
      <c r="X4">
        <f>IF('PI-1-MarineLoading'!$G$115&lt;1,0,IF(COUNTIF(Tank1!$D$18,"*fixed*"),IF($D4="",0,$D4),0))</f>
        <v>0</v>
      </c>
      <c r="Y4">
        <f>IF('PI-1-MarineLoading'!$G$115&lt;2,0,IF(COUNTIF(Tank2!$D$18,"*fixed*"),IF($G4="",0,$G4),0))</f>
        <v>0</v>
      </c>
      <c r="Z4">
        <f>IF('PI-1-MarineLoading'!$G$115&lt;3,0,IF(COUNTIF(Tank3!$D$18,"*fixed*"),IF($J4="",0,$J4),0))</f>
        <v>0</v>
      </c>
      <c r="AA4">
        <f>IF('PI-1-MarineLoading'!$G$115&lt;4,0,IF(COUNTIF(Tank4!$D$18,"*fixed*"),IF($M4="",0,$M4),0))</f>
        <v>0</v>
      </c>
      <c r="AB4">
        <f>IF('PI-1-MarineLoading'!$G$115&lt;5,0,IF(COUNTIF(Tank5!$D$18,"*fixed*"),IF($P4="",0,$P4),0))</f>
        <v>0</v>
      </c>
      <c r="DT4" s="77"/>
      <c r="DU4" t="s">
        <v>9726</v>
      </c>
      <c r="EA4" t="s">
        <v>9728</v>
      </c>
      <c r="EG4" t="s">
        <v>9729</v>
      </c>
      <c r="EM4" t="s">
        <v>9730</v>
      </c>
      <c r="ES4" t="s">
        <v>9731</v>
      </c>
      <c r="EY4" t="s">
        <v>9203</v>
      </c>
      <c r="EZ4" t="s">
        <v>9732</v>
      </c>
      <c r="FA4" t="s">
        <v>9733</v>
      </c>
      <c r="FB4" t="s">
        <v>9734</v>
      </c>
      <c r="FC4" t="s">
        <v>9735</v>
      </c>
      <c r="FD4" t="s">
        <v>9736</v>
      </c>
      <c r="FE4" t="s">
        <v>9738</v>
      </c>
      <c r="FF4" t="s">
        <v>9739</v>
      </c>
      <c r="FG4" t="s">
        <v>9740</v>
      </c>
      <c r="FH4" t="s">
        <v>9741</v>
      </c>
      <c r="FI4" t="s">
        <v>9742</v>
      </c>
      <c r="GH4">
        <f>IF(OR(GI4=0,ISNUMBER(MATCH(GI4,$GI$2:GI3,0))),0,MAX($GH$2:GH3)+1)</f>
        <v>0</v>
      </c>
      <c r="GI4">
        <f t="shared" ref="GI4:GI12" si="5">$R4</f>
        <v>0</v>
      </c>
      <c r="GJ4" t="str">
        <f t="shared" ref="GJ4:GJ12" si="6">IFERROR(VLOOKUP(ROW(A2),$GH$3:$GI$52,2,FALSE),"")</f>
        <v/>
      </c>
      <c r="GL4">
        <f>IF(OR(GM4=0,ISNUMBER(MATCH(GM4,$GM$2:GM3,0))),0,MAX($GL$2:GL3)+1)</f>
        <v>0</v>
      </c>
      <c r="GM4">
        <f t="shared" ref="GM4:GM12" si="7">$X4</f>
        <v>0</v>
      </c>
      <c r="GN4" t="str">
        <f t="shared" ref="GN4:GN12" si="8">IFERROR(VLOOKUP(ROW(A2),$GL$3:$GM$52,2,FALSE),"")</f>
        <v/>
      </c>
    </row>
    <row r="5" spans="1:196" ht="15" thickBot="1" x14ac:dyDescent="0.25">
      <c r="A5" s="1160"/>
      <c r="B5" s="89">
        <f>IF(OR(C5=0,ISNUMBER(MATCH(C5,$C$2:C4,0))),0,MAX($B$2:B4)+1)</f>
        <v>0</v>
      </c>
      <c r="C5">
        <f>Hidden!CK4</f>
        <v>0</v>
      </c>
      <c r="D5" s="90" t="str">
        <f t="shared" si="0"/>
        <v/>
      </c>
      <c r="E5" s="89">
        <f>IF(OR(F5=0,ISNUMBER(MATCH(F5,$F$2:F4,0))),0,MAX($E$2:E4)+1)</f>
        <v>0</v>
      </c>
      <c r="F5">
        <f>Hidden!CK14</f>
        <v>0</v>
      </c>
      <c r="G5" s="90" t="str">
        <f t="shared" si="1"/>
        <v/>
      </c>
      <c r="H5" s="89">
        <f>IF(OR(I5=0,ISNUMBER(MATCH(I5,$I$2:I4,0))),0,MAX($H$2:H4)+1)</f>
        <v>0</v>
      </c>
      <c r="I5">
        <f>Hidden!CK24</f>
        <v>0</v>
      </c>
      <c r="J5" s="90" t="str">
        <f t="shared" si="2"/>
        <v/>
      </c>
      <c r="K5" s="89">
        <f>IF(OR(L5=0,ISNUMBER(MATCH(L5,$L$2:L4,0))),0,MAX($K$2:K4)+1)</f>
        <v>0</v>
      </c>
      <c r="L5">
        <f>Hidden!CK34</f>
        <v>0</v>
      </c>
      <c r="M5" s="90" t="str">
        <f t="shared" si="3"/>
        <v/>
      </c>
      <c r="N5" s="89">
        <f>IF(OR(O5=0,ISNUMBER(MATCH(O5,$O$2:O4,0))),0,MAX($N$2:N4)+1)</f>
        <v>0</v>
      </c>
      <c r="O5">
        <f>Hidden!CK44</f>
        <v>0</v>
      </c>
      <c r="P5" s="90" t="str">
        <f t="shared" si="4"/>
        <v/>
      </c>
      <c r="R5">
        <f>IF('PI-1-MarineLoading'!$G$115&lt;1,0,IF(COUNTIF(Tank1!$D$18,"*floating*"),IF($D5="",0,$D5),0))</f>
        <v>0</v>
      </c>
      <c r="S5">
        <f>IF('PI-1-MarineLoading'!$G$115&lt;2,0,IF(COUNTIF(Tank2!$D$18,"*floating*"),$G5,0))</f>
        <v>0</v>
      </c>
      <c r="T5">
        <f>IF('PI-1-MarineLoading'!$G$115&lt;3,0,IF(COUNTIF(Tank3!$D$18,"*floating*"),IF($J5="",0,$J5),0))</f>
        <v>0</v>
      </c>
      <c r="U5">
        <f>IF('PI-1-MarineLoading'!$G$115&lt;4,0,IF(COUNTIF(Tank4!$D$18,"*floating*"),$M5,0))</f>
        <v>0</v>
      </c>
      <c r="V5">
        <f>IF('PI-1-MarineLoading'!$G$115&lt;5,0,IF(COUNTIF(Tank5!$D$18,"*floating*"),IF($P5=0,0,$P5),0))</f>
        <v>0</v>
      </c>
      <c r="X5">
        <f>IF('PI-1-MarineLoading'!$G$115&lt;1,0,IF(COUNTIF(Tank1!$D$18,"*fixed*"),IF($D5="",0,$D5),0))</f>
        <v>0</v>
      </c>
      <c r="Y5">
        <f>IF('PI-1-MarineLoading'!$G$115&lt;2,0,IF(COUNTIF(Tank2!$D$18,"*fixed*"),IF($G5="",0,$G5),0))</f>
        <v>0</v>
      </c>
      <c r="Z5">
        <f>IF('PI-1-MarineLoading'!$G$115&lt;3,0,IF(COUNTIF(Tank3!$D$18,"*fixed*"),IF($J5="",0,$J5),0))</f>
        <v>0</v>
      </c>
      <c r="AA5">
        <f>IF('PI-1-MarineLoading'!$G$115&lt;4,0,IF(COUNTIF(Tank4!$D$18,"*fixed*"),IF($M5="",0,$M5),0))</f>
        <v>0</v>
      </c>
      <c r="AB5">
        <f>IF('PI-1-MarineLoading'!$G$115&lt;5,0,IF(COUNTIF(Tank5!$D$18,"*fixed*"),IF($P5="",0,$P5),0))</f>
        <v>0</v>
      </c>
      <c r="DT5" s="77"/>
      <c r="DX5" t="s">
        <v>8741</v>
      </c>
      <c r="DY5" t="s">
        <v>8742</v>
      </c>
      <c r="ED5" t="s">
        <v>8741</v>
      </c>
      <c r="EE5" t="s">
        <v>8742</v>
      </c>
      <c r="EJ5" t="s">
        <v>8741</v>
      </c>
      <c r="EK5" t="s">
        <v>8742</v>
      </c>
      <c r="EP5" t="s">
        <v>8741</v>
      </c>
      <c r="EQ5" t="s">
        <v>8742</v>
      </c>
      <c r="EV5" t="s">
        <v>8741</v>
      </c>
      <c r="EW5" t="s">
        <v>8742</v>
      </c>
      <c r="EY5" s="77"/>
      <c r="EZ5" s="77"/>
      <c r="FA5" s="77"/>
      <c r="FB5" s="77"/>
      <c r="FC5" s="77"/>
      <c r="FD5" s="77"/>
      <c r="FE5" s="77"/>
      <c r="FF5" s="77"/>
      <c r="FG5" s="77"/>
      <c r="FH5" s="77"/>
      <c r="FI5" s="77"/>
      <c r="GH5">
        <f>IF(OR(GI5=0,ISNUMBER(MATCH(GI5,$GI$2:GI4,0))),0,MAX($GH$2:GH4)+1)</f>
        <v>0</v>
      </c>
      <c r="GI5">
        <f t="shared" si="5"/>
        <v>0</v>
      </c>
      <c r="GJ5" t="str">
        <f t="shared" si="6"/>
        <v/>
      </c>
      <c r="GL5">
        <f>IF(OR(GM5=0,ISNUMBER(MATCH(GM5,$GM$2:GM4,0))),0,MAX($GL$2:GL4)+1)</f>
        <v>0</v>
      </c>
      <c r="GM5">
        <f t="shared" si="7"/>
        <v>0</v>
      </c>
      <c r="GN5" t="str">
        <f t="shared" si="8"/>
        <v/>
      </c>
    </row>
    <row r="6" spans="1:196" ht="15" thickBot="1" x14ac:dyDescent="0.25">
      <c r="A6" s="1160"/>
      <c r="B6" s="89">
        <f>IF(OR(C6=0,ISNUMBER(MATCH(C6,$C$2:C5,0))),0,MAX($B$2:B5)+1)</f>
        <v>0</v>
      </c>
      <c r="C6">
        <f>Hidden!CK5</f>
        <v>0</v>
      </c>
      <c r="D6" s="90" t="str">
        <f t="shared" si="0"/>
        <v/>
      </c>
      <c r="E6" s="89">
        <f>IF(OR(F6=0,ISNUMBER(MATCH(F6,$F$2:F5,0))),0,MAX($E$2:E5)+1)</f>
        <v>0</v>
      </c>
      <c r="F6">
        <f>Hidden!CK15</f>
        <v>0</v>
      </c>
      <c r="G6" s="90" t="str">
        <f t="shared" si="1"/>
        <v/>
      </c>
      <c r="H6" s="89">
        <f>IF(OR(I6=0,ISNUMBER(MATCH(I6,$I$2:I5,0))),0,MAX($H$2:H5)+1)</f>
        <v>0</v>
      </c>
      <c r="I6">
        <f>Hidden!CK25</f>
        <v>0</v>
      </c>
      <c r="J6" s="90" t="str">
        <f t="shared" si="2"/>
        <v/>
      </c>
      <c r="K6" s="89">
        <f>IF(OR(L6=0,ISNUMBER(MATCH(L6,$L$2:L5,0))),0,MAX($K$2:K5)+1)</f>
        <v>0</v>
      </c>
      <c r="L6">
        <f>Hidden!CK35</f>
        <v>0</v>
      </c>
      <c r="M6" s="90" t="str">
        <f t="shared" si="3"/>
        <v/>
      </c>
      <c r="N6" s="89">
        <f>IF(OR(O6=0,ISNUMBER(MATCH(O6,$O$2:O5,0))),0,MAX($N$2:N5)+1)</f>
        <v>0</v>
      </c>
      <c r="O6">
        <f>Hidden!CK45</f>
        <v>0</v>
      </c>
      <c r="P6" s="90" t="str">
        <f t="shared" si="4"/>
        <v/>
      </c>
      <c r="R6">
        <f>IF('PI-1-MarineLoading'!$G$115&lt;1,0,IF(COUNTIF(Tank1!$D$18,"*floating*"),IF($D6="",0,$D6),0))</f>
        <v>0</v>
      </c>
      <c r="S6">
        <f>IF('PI-1-MarineLoading'!$G$115&lt;2,0,IF(COUNTIF(Tank2!$D$18,"*floating*"),$G6,0))</f>
        <v>0</v>
      </c>
      <c r="T6">
        <f>IF('PI-1-MarineLoading'!$G$115&lt;3,0,IF(COUNTIF(Tank3!$D$18,"*floating*"),IF($J6="",0,$J6),0))</f>
        <v>0</v>
      </c>
      <c r="U6">
        <f>IF('PI-1-MarineLoading'!$G$115&lt;4,0,IF(COUNTIF(Tank4!$D$18,"*floating*"),$M6,0))</f>
        <v>0</v>
      </c>
      <c r="V6">
        <f>IF('PI-1-MarineLoading'!$G$115&lt;5,0,IF(COUNTIF(Tank5!$D$18,"*floating*"),IF($P6=0,0,$P6),0))</f>
        <v>0</v>
      </c>
      <c r="X6">
        <f>IF('PI-1-MarineLoading'!$G$115&lt;1,0,IF(COUNTIF(Tank1!$D$18,"*fixed*"),IF($D6="",0,$D6),0))</f>
        <v>0</v>
      </c>
      <c r="Y6">
        <f>IF('PI-1-MarineLoading'!$G$115&lt;2,0,IF(COUNTIF(Tank2!$D$18,"*fixed*"),IF($G6="",0,$G6),0))</f>
        <v>0</v>
      </c>
      <c r="Z6">
        <f>IF('PI-1-MarineLoading'!$G$115&lt;3,0,IF(COUNTIF(Tank3!$D$18,"*fixed*"),IF($J6="",0,$J6),0))</f>
        <v>0</v>
      </c>
      <c r="AA6">
        <f>IF('PI-1-MarineLoading'!$G$115&lt;4,0,IF(COUNTIF(Tank4!$D$18,"*fixed*"),IF($M6="",0,$M6),0))</f>
        <v>0</v>
      </c>
      <c r="AB6">
        <f>IF('PI-1-MarineLoading'!$G$115&lt;5,0,IF(COUNTIF(Tank5!$D$18,"*fixed*"),IF($P6="",0,$P6),0))</f>
        <v>0</v>
      </c>
      <c r="DT6" s="77"/>
      <c r="DU6" t="s">
        <v>229</v>
      </c>
      <c r="DX6" s="156">
        <f>TankMSS!$C$164</f>
        <v>0</v>
      </c>
      <c r="DY6" s="156">
        <f>TankMSS!$D$164</f>
        <v>0</v>
      </c>
      <c r="EA6" t="s">
        <v>229</v>
      </c>
      <c r="ED6" s="156">
        <f>$DX$6</f>
        <v>0</v>
      </c>
      <c r="EE6" s="156">
        <f>$DY$6</f>
        <v>0</v>
      </c>
      <c r="EG6" t="s">
        <v>229</v>
      </c>
      <c r="EJ6" s="156">
        <f>$DX$6</f>
        <v>0</v>
      </c>
      <c r="EK6" s="156">
        <f>$DY$6</f>
        <v>0</v>
      </c>
      <c r="EM6" t="s">
        <v>229</v>
      </c>
      <c r="EP6" s="156">
        <f>$DX$6</f>
        <v>0</v>
      </c>
      <c r="EQ6" s="156">
        <f>$DY$6</f>
        <v>0</v>
      </c>
      <c r="ES6" t="s">
        <v>229</v>
      </c>
      <c r="EV6" s="156">
        <f>$DX$6</f>
        <v>0</v>
      </c>
      <c r="EW6" s="156">
        <f>$DY$6</f>
        <v>0</v>
      </c>
      <c r="EY6" t="s">
        <v>9988</v>
      </c>
      <c r="EZ6" t="b">
        <f>IF(OR(Tank1!$D$18="HORIZONTAL FIXED ROOF",Tank1!$D$18="VERTICAL FIXED ROOF"),TRUE,FALSE)</f>
        <v>0</v>
      </c>
      <c r="FA6" t="b">
        <f>IF(OR(Tank2!$D$18="HORIZONTAL FIXED ROOF",Tank2!$D$18="VERTICAL FIXED ROOF"),TRUE,FALSE)</f>
        <v>0</v>
      </c>
      <c r="FB6" t="b">
        <f>IF(OR(Tank3!$D$18="HORIZONTAL FIXED ROOF",Tank3!$D$18="VERTICAL FIXED ROOF"),TRUE,FALSE)</f>
        <v>0</v>
      </c>
      <c r="FC6" t="b">
        <f>IF(OR(Tank4!$D$18="HORIZONTAL FIXED ROOF",Tank4!$D$18="VERTICAL FIXED ROOF"),TRUE,FALSE)</f>
        <v>0</v>
      </c>
      <c r="FD6" t="b">
        <f>IF(OR(Tank5!$D$18="HORIZONTAL FIXED ROOF",Tank5!$D$18="VERTICAL FIXED ROOF"),TRUE,FALSE)</f>
        <v>0</v>
      </c>
      <c r="FE6" t="b">
        <f>EZ$6</f>
        <v>0</v>
      </c>
      <c r="FF6" t="b">
        <f t="shared" ref="FF6:FI6" si="9">FA$6</f>
        <v>0</v>
      </c>
      <c r="FG6" t="b">
        <f t="shared" si="9"/>
        <v>0</v>
      </c>
      <c r="FH6" t="b">
        <f t="shared" si="9"/>
        <v>0</v>
      </c>
      <c r="FI6" t="b">
        <f t="shared" si="9"/>
        <v>0</v>
      </c>
      <c r="GH6">
        <f>IF(OR(GI6=0,ISNUMBER(MATCH(GI6,$GI$2:GI5,0))),0,MAX($GH$2:GH5)+1)</f>
        <v>0</v>
      </c>
      <c r="GI6">
        <f t="shared" si="5"/>
        <v>0</v>
      </c>
      <c r="GJ6" t="str">
        <f t="shared" si="6"/>
        <v/>
      </c>
      <c r="GL6">
        <f>IF(OR(GM6=0,ISNUMBER(MATCH(GM6,$GM$2:GM5,0))),0,MAX($GL$2:GL5)+1)</f>
        <v>0</v>
      </c>
      <c r="GM6">
        <f t="shared" si="7"/>
        <v>0</v>
      </c>
      <c r="GN6" t="str">
        <f t="shared" si="8"/>
        <v/>
      </c>
    </row>
    <row r="7" spans="1:196" ht="15" thickBot="1" x14ac:dyDescent="0.25">
      <c r="A7" s="1160"/>
      <c r="B7" s="89">
        <f>IF(OR(C7=0,ISNUMBER(MATCH(C7,$C$2:C6,0))),0,MAX($B$2:B6)+1)</f>
        <v>0</v>
      </c>
      <c r="C7">
        <f>Hidden!CK6</f>
        <v>0</v>
      </c>
      <c r="D7" s="90" t="str">
        <f t="shared" si="0"/>
        <v/>
      </c>
      <c r="E7" s="89">
        <f>IF(OR(F7=0,ISNUMBER(MATCH(F7,$F$2:F6,0))),0,MAX($E$2:E6)+1)</f>
        <v>0</v>
      </c>
      <c r="F7">
        <f>Hidden!CK16</f>
        <v>0</v>
      </c>
      <c r="G7" s="90" t="str">
        <f t="shared" si="1"/>
        <v/>
      </c>
      <c r="H7" s="89">
        <f>IF(OR(I7=0,ISNUMBER(MATCH(I7,$I$2:I6,0))),0,MAX($H$2:H6)+1)</f>
        <v>0</v>
      </c>
      <c r="I7">
        <f>Hidden!CK26</f>
        <v>0</v>
      </c>
      <c r="J7" s="90" t="str">
        <f t="shared" si="2"/>
        <v/>
      </c>
      <c r="K7" s="89">
        <f>IF(OR(L7=0,ISNUMBER(MATCH(L7,$L$2:L6,0))),0,MAX($K$2:K6)+1)</f>
        <v>0</v>
      </c>
      <c r="L7">
        <f>Hidden!CK36</f>
        <v>0</v>
      </c>
      <c r="M7" s="90" t="str">
        <f t="shared" si="3"/>
        <v/>
      </c>
      <c r="N7" s="89">
        <f>IF(OR(O7=0,ISNUMBER(MATCH(O7,$O$2:O6,0))),0,MAX($N$2:N6)+1)</f>
        <v>0</v>
      </c>
      <c r="O7">
        <f>Hidden!CK46</f>
        <v>0</v>
      </c>
      <c r="P7" s="90" t="str">
        <f t="shared" si="4"/>
        <v/>
      </c>
      <c r="R7">
        <f>IF('PI-1-MarineLoading'!$G$115&lt;1,0,IF(COUNTIF(Tank1!$D$18,"*floating*"),IF($D7="",0,$D7),0))</f>
        <v>0</v>
      </c>
      <c r="S7">
        <f>IF('PI-1-MarineLoading'!$G$115&lt;2,0,IF(COUNTIF(Tank2!$D$18,"*floating*"),$G7,0))</f>
        <v>0</v>
      </c>
      <c r="T7">
        <f>IF('PI-1-MarineLoading'!$G$115&lt;3,0,IF(COUNTIF(Tank3!$D$18,"*floating*"),IF($J7="",0,$J7),0))</f>
        <v>0</v>
      </c>
      <c r="U7">
        <f>IF('PI-1-MarineLoading'!$G$115&lt;4,0,IF(COUNTIF(Tank4!$D$18,"*floating*"),$M7,0))</f>
        <v>0</v>
      </c>
      <c r="V7">
        <f>IF('PI-1-MarineLoading'!$G$115&lt;5,0,IF(COUNTIF(Tank5!$D$18,"*floating*"),IF($P7=0,0,$P7),0))</f>
        <v>0</v>
      </c>
      <c r="X7">
        <f>IF('PI-1-MarineLoading'!$G$115&lt;1,0,IF(COUNTIF(Tank1!$D$18,"*fixed*"),IF($D7="",0,$D7),0))</f>
        <v>0</v>
      </c>
      <c r="Y7">
        <f>IF('PI-1-MarineLoading'!$G$115&lt;2,0,IF(COUNTIF(Tank2!$D$18,"*fixed*"),IF($G7="",0,$G7),0))</f>
        <v>0</v>
      </c>
      <c r="Z7">
        <f>IF('PI-1-MarineLoading'!$G$115&lt;3,0,IF(COUNTIF(Tank3!$D$18,"*fixed*"),IF($J7="",0,$J7),0))</f>
        <v>0</v>
      </c>
      <c r="AA7">
        <f>IF('PI-1-MarineLoading'!$G$115&lt;4,0,IF(COUNTIF(Tank4!$D$18,"*fixed*"),IF($M7="",0,$M7),0))</f>
        <v>0</v>
      </c>
      <c r="AB7">
        <f>IF('PI-1-MarineLoading'!$G$115&lt;5,0,IF(COUNTIF(Tank5!$D$18,"*fixed*"),IF($P7="",0,$P7),0))</f>
        <v>0</v>
      </c>
      <c r="DT7" s="77"/>
      <c r="EY7" s="77"/>
      <c r="EZ7" s="77"/>
      <c r="FA7" s="77"/>
      <c r="FB7" s="77"/>
      <c r="FC7" s="77"/>
      <c r="FD7" s="77"/>
      <c r="FE7" s="77"/>
      <c r="FF7" s="77"/>
      <c r="FG7" s="77"/>
      <c r="FH7" s="77"/>
      <c r="FI7" s="77"/>
      <c r="GH7">
        <f>IF(OR(GI7=0,ISNUMBER(MATCH(GI7,$GI$2:GI6,0))),0,MAX($GH$2:GH6)+1)</f>
        <v>0</v>
      </c>
      <c r="GI7">
        <f t="shared" si="5"/>
        <v>0</v>
      </c>
      <c r="GJ7" t="str">
        <f t="shared" si="6"/>
        <v/>
      </c>
      <c r="GL7">
        <f>IF(OR(GM7=0,ISNUMBER(MATCH(GM7,$GM$2:GM6,0))),0,MAX($GL$2:GL6)+1)</f>
        <v>0</v>
      </c>
      <c r="GM7">
        <f t="shared" si="7"/>
        <v>0</v>
      </c>
      <c r="GN7" t="str">
        <f t="shared" si="8"/>
        <v/>
      </c>
    </row>
    <row r="8" spans="1:196" ht="29.25" thickBot="1" x14ac:dyDescent="0.25">
      <c r="A8" s="1160"/>
      <c r="B8" s="89">
        <f>IF(OR(C8=0,ISNUMBER(MATCH(C8,$C$2:C7,0))),0,MAX($B$2:B7)+1)</f>
        <v>0</v>
      </c>
      <c r="C8">
        <f>Hidden!CK7</f>
        <v>0</v>
      </c>
      <c r="D8" s="90" t="str">
        <f t="shared" si="0"/>
        <v/>
      </c>
      <c r="E8" s="89">
        <f>IF(OR(F8=0,ISNUMBER(MATCH(F8,$F$2:F7,0))),0,MAX($E$2:E7)+1)</f>
        <v>0</v>
      </c>
      <c r="F8">
        <f>Hidden!CK17</f>
        <v>0</v>
      </c>
      <c r="G8" s="90" t="str">
        <f t="shared" si="1"/>
        <v/>
      </c>
      <c r="H8" s="89">
        <f>IF(OR(I8=0,ISNUMBER(MATCH(I8,$I$2:I7,0))),0,MAX($H$2:H7)+1)</f>
        <v>0</v>
      </c>
      <c r="I8">
        <f>Hidden!CK27</f>
        <v>0</v>
      </c>
      <c r="J8" s="90" t="str">
        <f t="shared" si="2"/>
        <v/>
      </c>
      <c r="K8" s="89">
        <f>IF(OR(L8=0,ISNUMBER(MATCH(L8,$L$2:L7,0))),0,MAX($K$2:K7)+1)</f>
        <v>0</v>
      </c>
      <c r="L8">
        <f>Hidden!CK37</f>
        <v>0</v>
      </c>
      <c r="M8" s="90" t="str">
        <f t="shared" si="3"/>
        <v/>
      </c>
      <c r="N8" s="89">
        <f>IF(OR(O8=0,ISNUMBER(MATCH(O8,$O$2:O7,0))),0,MAX($N$2:N7)+1)</f>
        <v>0</v>
      </c>
      <c r="O8">
        <f>Hidden!CK47</f>
        <v>0</v>
      </c>
      <c r="P8" s="90" t="str">
        <f t="shared" si="4"/>
        <v/>
      </c>
      <c r="R8">
        <f>IF('PI-1-MarineLoading'!$G$115&lt;1,0,IF(COUNTIF(Tank1!$D$18,"*floating*"),IF($D8="",0,$D8),0))</f>
        <v>0</v>
      </c>
      <c r="S8">
        <f>IF('PI-1-MarineLoading'!$G$115&lt;2,0,IF(COUNTIF(Tank2!$D$18,"*floating*"),$G8,0))</f>
        <v>0</v>
      </c>
      <c r="T8">
        <f>IF('PI-1-MarineLoading'!$G$115&lt;3,0,IF(COUNTIF(Tank3!$D$18,"*floating*"),IF($J8="",0,$J8),0))</f>
        <v>0</v>
      </c>
      <c r="U8">
        <f>IF('PI-1-MarineLoading'!$G$115&lt;4,0,IF(COUNTIF(Tank4!$D$18,"*floating*"),$M8,0))</f>
        <v>0</v>
      </c>
      <c r="V8">
        <f>IF('PI-1-MarineLoading'!$G$115&lt;5,0,IF(COUNTIF(Tank5!$D$18,"*floating*"),IF($P8=0,0,$P8),0))</f>
        <v>0</v>
      </c>
      <c r="X8">
        <f>IF('PI-1-MarineLoading'!$G$115&lt;1,0,IF(COUNTIF(Tank1!$D$18,"*fixed*"),IF($D8="",0,$D8),0))</f>
        <v>0</v>
      </c>
      <c r="Y8">
        <f>IF('PI-1-MarineLoading'!$G$115&lt;2,0,IF(COUNTIF(Tank2!$D$18,"*fixed*"),IF($G8="",0,$G8),0))</f>
        <v>0</v>
      </c>
      <c r="Z8">
        <f>IF('PI-1-MarineLoading'!$G$115&lt;3,0,IF(COUNTIF(Tank3!$D$18,"*fixed*"),IF($J8="",0,$J8),0))</f>
        <v>0</v>
      </c>
      <c r="AA8">
        <f>IF('PI-1-MarineLoading'!$G$115&lt;4,0,IF(COUNTIF(Tank4!$D$18,"*fixed*"),IF($M8="",0,$M8),0))</f>
        <v>0</v>
      </c>
      <c r="AB8">
        <f>IF('PI-1-MarineLoading'!$G$115&lt;5,0,IF(COUNTIF(Tank5!$D$18,"*fixed*"),IF($P8="",0,$P8),0))</f>
        <v>0</v>
      </c>
      <c r="DT8" s="77"/>
      <c r="DU8" t="s">
        <v>289</v>
      </c>
      <c r="DV8" t="s">
        <v>9203</v>
      </c>
      <c r="DW8" t="s">
        <v>9727</v>
      </c>
      <c r="DX8" t="s">
        <v>8741</v>
      </c>
      <c r="DY8" t="s">
        <v>8742</v>
      </c>
      <c r="EA8" t="s">
        <v>289</v>
      </c>
      <c r="EB8" t="s">
        <v>9203</v>
      </c>
      <c r="EC8" t="s">
        <v>9727</v>
      </c>
      <c r="ED8" t="s">
        <v>8741</v>
      </c>
      <c r="EE8" t="s">
        <v>8742</v>
      </c>
      <c r="EG8" t="s">
        <v>289</v>
      </c>
      <c r="EH8" t="s">
        <v>9203</v>
      </c>
      <c r="EI8" t="s">
        <v>9727</v>
      </c>
      <c r="EJ8" t="s">
        <v>8741</v>
      </c>
      <c r="EK8" t="s">
        <v>8742</v>
      </c>
      <c r="EM8" t="s">
        <v>289</v>
      </c>
      <c r="EN8" t="s">
        <v>9203</v>
      </c>
      <c r="EO8" t="s">
        <v>9727</v>
      </c>
      <c r="EP8" t="s">
        <v>8741</v>
      </c>
      <c r="EQ8" t="s">
        <v>8742</v>
      </c>
      <c r="ES8" t="s">
        <v>289</v>
      </c>
      <c r="ET8" t="s">
        <v>9203</v>
      </c>
      <c r="EU8" t="s">
        <v>9727</v>
      </c>
      <c r="EV8" t="s">
        <v>8741</v>
      </c>
      <c r="EW8" t="s">
        <v>8742</v>
      </c>
      <c r="EY8" t="s">
        <v>9203</v>
      </c>
      <c r="EZ8" t="s">
        <v>8741</v>
      </c>
      <c r="FA8" t="s">
        <v>8741</v>
      </c>
      <c r="FB8" t="s">
        <v>8741</v>
      </c>
      <c r="FC8" t="s">
        <v>8741</v>
      </c>
      <c r="FD8" t="s">
        <v>8741</v>
      </c>
      <c r="FE8" t="s">
        <v>8742</v>
      </c>
      <c r="FF8" t="s">
        <v>8742</v>
      </c>
      <c r="FG8" t="s">
        <v>8742</v>
      </c>
      <c r="FH8" t="s">
        <v>8742</v>
      </c>
      <c r="FI8" t="s">
        <v>8742</v>
      </c>
      <c r="GH8">
        <f>IF(OR(GI8=0,ISNUMBER(MATCH(GI8,$GI$2:GI7,0))),0,MAX($GH$2:GH7)+1)</f>
        <v>0</v>
      </c>
      <c r="GI8">
        <f t="shared" si="5"/>
        <v>0</v>
      </c>
      <c r="GJ8" t="str">
        <f t="shared" si="6"/>
        <v/>
      </c>
      <c r="GL8">
        <f>IF(OR(GM8=0,ISNUMBER(MATCH(GM8,$GM$2:GM7,0))),0,MAX($GL$2:GL7)+1)</f>
        <v>0</v>
      </c>
      <c r="GM8">
        <f t="shared" si="7"/>
        <v>0</v>
      </c>
      <c r="GN8" t="str">
        <f t="shared" si="8"/>
        <v/>
      </c>
    </row>
    <row r="9" spans="1:196" ht="15" thickBot="1" x14ac:dyDescent="0.25">
      <c r="A9" s="1160"/>
      <c r="B9" s="89">
        <f>IF(OR(C9=0,ISNUMBER(MATCH(C9,$C$2:C8,0))),0,MAX($B$2:B8)+1)</f>
        <v>0</v>
      </c>
      <c r="C9">
        <f>Hidden!CK8</f>
        <v>0</v>
      </c>
      <c r="D9" s="90" t="str">
        <f t="shared" si="0"/>
        <v/>
      </c>
      <c r="E9" s="89">
        <f>IF(OR(F9=0,ISNUMBER(MATCH(F9,$F$2:F8,0))),0,MAX($E$2:E8)+1)</f>
        <v>0</v>
      </c>
      <c r="F9">
        <f>Hidden!CK18</f>
        <v>0</v>
      </c>
      <c r="G9" s="90" t="str">
        <f t="shared" si="1"/>
        <v/>
      </c>
      <c r="H9" s="89">
        <f>IF(OR(I9=0,ISNUMBER(MATCH(I9,$I$2:I8,0))),0,MAX($H$2:H8)+1)</f>
        <v>0</v>
      </c>
      <c r="I9">
        <f>Hidden!CK28</f>
        <v>0</v>
      </c>
      <c r="J9" s="90" t="str">
        <f t="shared" si="2"/>
        <v/>
      </c>
      <c r="K9" s="89">
        <f>IF(OR(L9=0,ISNUMBER(MATCH(L9,$L$2:L8,0))),0,MAX($K$2:K8)+1)</f>
        <v>0</v>
      </c>
      <c r="L9">
        <f>Hidden!CK38</f>
        <v>0</v>
      </c>
      <c r="M9" s="90" t="str">
        <f t="shared" si="3"/>
        <v/>
      </c>
      <c r="N9" s="89">
        <f>IF(OR(O9=0,ISNUMBER(MATCH(O9,$O$2:O8,0))),0,MAX($N$2:N8)+1)</f>
        <v>0</v>
      </c>
      <c r="O9">
        <f>Hidden!CK48</f>
        <v>0</v>
      </c>
      <c r="P9" s="90" t="str">
        <f t="shared" si="4"/>
        <v/>
      </c>
      <c r="R9">
        <f>IF('PI-1-MarineLoading'!$G$115&lt;1,0,IF(COUNTIF(Tank1!$D$18,"*floating*"),IF($D9="",0,$D9),0))</f>
        <v>0</v>
      </c>
      <c r="S9">
        <f>IF('PI-1-MarineLoading'!$G$115&lt;2,0,IF(COUNTIF(Tank2!$D$18,"*floating*"),$G9,0))</f>
        <v>0</v>
      </c>
      <c r="T9">
        <f>IF('PI-1-MarineLoading'!$G$115&lt;3,0,IF(COUNTIF(Tank3!$D$18,"*floating*"),IF($J9="",0,$J9),0))</f>
        <v>0</v>
      </c>
      <c r="U9">
        <f>IF('PI-1-MarineLoading'!$G$115&lt;4,0,IF(COUNTIF(Tank4!$D$18,"*floating*"),$M9,0))</f>
        <v>0</v>
      </c>
      <c r="V9">
        <f>IF('PI-1-MarineLoading'!$G$115&lt;5,0,IF(COUNTIF(Tank5!$D$18,"*floating*"),IF($P9=0,0,$P9),0))</f>
        <v>0</v>
      </c>
      <c r="X9">
        <f>IF('PI-1-MarineLoading'!$G$115&lt;1,0,IF(COUNTIF(Tank1!$D$18,"*fixed*"),IF($D9="",0,$D9),0))</f>
        <v>0</v>
      </c>
      <c r="Y9">
        <f>IF('PI-1-MarineLoading'!$G$115&lt;2,0,IF(COUNTIF(Tank2!$D$18,"*fixed*"),IF($G9="",0,$G9),0))</f>
        <v>0</v>
      </c>
      <c r="Z9">
        <f>IF('PI-1-MarineLoading'!$G$115&lt;3,0,IF(COUNTIF(Tank3!$D$18,"*fixed*"),IF($J9="",0,$J9),0))</f>
        <v>0</v>
      </c>
      <c r="AA9">
        <f>IF('PI-1-MarineLoading'!$G$115&lt;4,0,IF(COUNTIF(Tank4!$D$18,"*fixed*"),IF($M9="",0,$M9),0))</f>
        <v>0</v>
      </c>
      <c r="AB9">
        <f>IF('PI-1-MarineLoading'!$G$115&lt;5,0,IF(COUNTIF(Tank5!$D$18,"*fixed*"),IF($P9="",0,$P9),0))</f>
        <v>0</v>
      </c>
      <c r="DT9" s="77"/>
      <c r="DU9" s="8" t="str">
        <f>A20</f>
        <v>A</v>
      </c>
      <c r="DV9" s="8" t="str">
        <f>B20</f>
        <v/>
      </c>
      <c r="DW9" s="8" t="str">
        <f>C20</f>
        <v/>
      </c>
      <c r="DX9">
        <f>IF($DW9="",0,$DW9*DX$6)</f>
        <v>0</v>
      </c>
      <c r="DY9">
        <f>IF($DW9="",0,$DW9*DY$6)</f>
        <v>0</v>
      </c>
      <c r="EA9" t="str">
        <f>G20</f>
        <v>A</v>
      </c>
      <c r="EB9" t="str">
        <f t="shared" ref="EB9:EC9" si="10">H20</f>
        <v/>
      </c>
      <c r="EC9" t="str">
        <f t="shared" si="10"/>
        <v/>
      </c>
      <c r="ED9">
        <f>IF($EC9="",0,$EC9*ED$6)</f>
        <v>0</v>
      </c>
      <c r="EE9">
        <f>IF($EC9="",0,$EC9*EE$6)</f>
        <v>0</v>
      </c>
      <c r="EG9" s="8" t="str">
        <f>M20</f>
        <v>A</v>
      </c>
      <c r="EH9" s="8" t="str">
        <f t="shared" ref="EH9:EI9" si="11">N20</f>
        <v/>
      </c>
      <c r="EI9" s="8" t="str">
        <f t="shared" si="11"/>
        <v/>
      </c>
      <c r="EJ9">
        <f>IF($EI9="",0,$EI9*EJ$6)</f>
        <v>0</v>
      </c>
      <c r="EK9">
        <f>IF($EI9="",0,$EI9*EK$6)</f>
        <v>0</v>
      </c>
      <c r="EM9" s="8" t="str">
        <f>S20</f>
        <v>A</v>
      </c>
      <c r="EN9" s="8" t="str">
        <f t="shared" ref="EN9:EO9" si="12">T20</f>
        <v/>
      </c>
      <c r="EO9" s="8" t="str">
        <f t="shared" si="12"/>
        <v/>
      </c>
      <c r="EP9">
        <f>IF($EO9="",0,$EO9*EP$6)</f>
        <v>0</v>
      </c>
      <c r="EQ9">
        <f>IF($EO9="",0,$EO9*EQ$6)</f>
        <v>0</v>
      </c>
      <c r="ES9" s="8" t="str">
        <f>Y20</f>
        <v>A</v>
      </c>
      <c r="ET9" s="8" t="str">
        <f t="shared" ref="ET9:EU9" si="13">Z20</f>
        <v/>
      </c>
      <c r="EU9" s="8" t="str">
        <f t="shared" si="13"/>
        <v/>
      </c>
      <c r="EV9">
        <f>IF($EU9="",0,$EU9*EV$6)</f>
        <v>0</v>
      </c>
      <c r="EW9">
        <f>IF($EU9="",0,$EU9*EW$6)</f>
        <v>0</v>
      </c>
      <c r="EY9" s="8" t="str">
        <f>Hidden!$CG3</f>
        <v/>
      </c>
      <c r="EZ9">
        <f>IF(EZ$6,_xlfn.MAXIFS($DX$9:$DX$108,$DV$9:$DV$108,$EY9),0)</f>
        <v>0</v>
      </c>
      <c r="FA9">
        <f>IF(FA$6,_xlfn.MAXIFS($ED$9:$ED$108,$EB$9:$EB$108,$EY9),0)</f>
        <v>0</v>
      </c>
      <c r="FB9">
        <f>IF(FB$6,_xlfn.MAXIFS($EJ$9:$EJ$108,$EH$9:$EH$108,$EY9),0)</f>
        <v>0</v>
      </c>
      <c r="FC9">
        <f>IF(FC$6,_xlfn.MAXIFS($EP$9:$EP$108,$EN$9:$EN$108,$EY9),0)</f>
        <v>0</v>
      </c>
      <c r="FD9">
        <f>IF(FD$6,_xlfn.MAXIFS($EV$9:$EV$108,$ET$9:$ET$108,$EY9),0)</f>
        <v>0</v>
      </c>
      <c r="FE9">
        <f>IF(FE$6,SUMIF($DV$9:$DV$108,$EY9,$DY$9:$DY$108),0)</f>
        <v>0</v>
      </c>
      <c r="FF9">
        <f>IF(FF$6,SUMIF($EB$9:$EB$108,$EY9,$EE$9:$EE$108),0)</f>
        <v>0</v>
      </c>
      <c r="FG9">
        <f>IF(FG$6,SUMIF($EH$9:$EH$108,$EY9,$EK$9:$EK$108),0)</f>
        <v>0</v>
      </c>
      <c r="FH9">
        <f>IF(FH$6,SUMIF($EN$9:$EN$108,$EY9,$EQ$9:$EQ$108),0)</f>
        <v>0</v>
      </c>
      <c r="FI9">
        <f>IF(FI$6,SUMIF($ET$9:$ET$108,$EY9,$EW$9:$EW$108),0)</f>
        <v>0</v>
      </c>
      <c r="GH9">
        <f>IF(OR(GI9=0,ISNUMBER(MATCH(GI9,$GI$2:GI8,0))),0,MAX($GH$2:GH8)+1)</f>
        <v>0</v>
      </c>
      <c r="GI9">
        <f t="shared" si="5"/>
        <v>0</v>
      </c>
      <c r="GJ9" t="str">
        <f t="shared" si="6"/>
        <v/>
      </c>
      <c r="GL9">
        <f>IF(OR(GM9=0,ISNUMBER(MATCH(GM9,$GM$2:GM8,0))),0,MAX($GL$2:GL8)+1)</f>
        <v>0</v>
      </c>
      <c r="GM9">
        <f t="shared" si="7"/>
        <v>0</v>
      </c>
      <c r="GN9" t="str">
        <f t="shared" si="8"/>
        <v/>
      </c>
    </row>
    <row r="10" spans="1:196" ht="15" thickBot="1" x14ac:dyDescent="0.25">
      <c r="A10" s="1160"/>
      <c r="B10" s="89">
        <f>IF(OR(C10=0,ISNUMBER(MATCH(C10,$C$2:C9,0))),0,MAX($B$2:B9)+1)</f>
        <v>0</v>
      </c>
      <c r="C10">
        <f>Hidden!CK9</f>
        <v>0</v>
      </c>
      <c r="D10" s="90" t="str">
        <f t="shared" si="0"/>
        <v/>
      </c>
      <c r="E10" s="89">
        <f>IF(OR(F10=0,ISNUMBER(MATCH(F10,$F$2:F9,0))),0,MAX($E$2:E9)+1)</f>
        <v>0</v>
      </c>
      <c r="F10">
        <f>Hidden!CK19</f>
        <v>0</v>
      </c>
      <c r="G10" s="90" t="str">
        <f t="shared" si="1"/>
        <v/>
      </c>
      <c r="H10" s="89">
        <f>IF(OR(I10=0,ISNUMBER(MATCH(I10,$I$2:I9,0))),0,MAX($H$2:H9)+1)</f>
        <v>0</v>
      </c>
      <c r="I10">
        <f>Hidden!CK29</f>
        <v>0</v>
      </c>
      <c r="J10" s="90" t="str">
        <f t="shared" si="2"/>
        <v/>
      </c>
      <c r="K10" s="89">
        <f>IF(OR(L10=0,ISNUMBER(MATCH(L10,$L$2:L9,0))),0,MAX($K$2:K9)+1)</f>
        <v>0</v>
      </c>
      <c r="L10">
        <f>Hidden!CK39</f>
        <v>0</v>
      </c>
      <c r="M10" s="90" t="str">
        <f t="shared" si="3"/>
        <v/>
      </c>
      <c r="N10" s="89">
        <f>IF(OR(O10=0,ISNUMBER(MATCH(O10,$O$2:O9,0))),0,MAX($N$2:N9)+1)</f>
        <v>0</v>
      </c>
      <c r="O10">
        <f>Hidden!CK49</f>
        <v>0</v>
      </c>
      <c r="P10" s="90" t="str">
        <f t="shared" si="4"/>
        <v/>
      </c>
      <c r="R10">
        <f>IF('PI-1-MarineLoading'!$G$115&lt;1,0,IF(COUNTIF(Tank1!$D$18,"*floating*"),IF($D10="",0,$D10),0))</f>
        <v>0</v>
      </c>
      <c r="S10">
        <f>IF('PI-1-MarineLoading'!$G$115&lt;2,0,IF(COUNTIF(Tank2!$D$18,"*floating*"),$G10,0))</f>
        <v>0</v>
      </c>
      <c r="T10">
        <f>IF('PI-1-MarineLoading'!$G$115&lt;3,0,IF(COUNTIF(Tank3!$D$18,"*floating*"),IF($J10="",0,$J10),0))</f>
        <v>0</v>
      </c>
      <c r="U10">
        <f>IF('PI-1-MarineLoading'!$G$115&lt;4,0,IF(COUNTIF(Tank4!$D$18,"*floating*"),$M10,0))</f>
        <v>0</v>
      </c>
      <c r="V10">
        <f>IF('PI-1-MarineLoading'!$G$115&lt;5,0,IF(COUNTIF(Tank5!$D$18,"*floating*"),IF($P10=0,0,$P10),0))</f>
        <v>0</v>
      </c>
      <c r="X10">
        <f>IF('PI-1-MarineLoading'!$G$115&lt;1,0,IF(COUNTIF(Tank1!$D$18,"*fixed*"),IF($D10="",0,$D10),0))</f>
        <v>0</v>
      </c>
      <c r="Y10">
        <f>IF('PI-1-MarineLoading'!$G$115&lt;2,0,IF(COUNTIF(Tank2!$D$18,"*fixed*"),IF($G10="",0,$G10),0))</f>
        <v>0</v>
      </c>
      <c r="Z10">
        <f>IF('PI-1-MarineLoading'!$G$115&lt;3,0,IF(COUNTIF(Tank3!$D$18,"*fixed*"),IF($J10="",0,$J10),0))</f>
        <v>0</v>
      </c>
      <c r="AA10">
        <f>IF('PI-1-MarineLoading'!$G$115&lt;4,0,IF(COUNTIF(Tank4!$D$18,"*fixed*"),IF($M10="",0,$M10),0))</f>
        <v>0</v>
      </c>
      <c r="AB10">
        <f>IF('PI-1-MarineLoading'!$G$115&lt;5,0,IF(COUNTIF(Tank5!$D$18,"*fixed*"),IF($P10="",0,$P10),0))</f>
        <v>0</v>
      </c>
      <c r="DT10" s="77"/>
      <c r="DU10" s="8" t="str">
        <f t="shared" ref="DU10:DU58" si="14">A21</f>
        <v>AA</v>
      </c>
      <c r="DV10" s="8" t="str">
        <f t="shared" ref="DV10:DV58" si="15">B21</f>
        <v/>
      </c>
      <c r="DW10" s="8" t="str">
        <f t="shared" ref="DW10:DW58" si="16">C21</f>
        <v/>
      </c>
      <c r="DX10">
        <f t="shared" ref="DX10:DY41" si="17">IF($DW10="",0,$DW10*DX$6)</f>
        <v>0</v>
      </c>
      <c r="DY10">
        <f t="shared" si="17"/>
        <v>0</v>
      </c>
      <c r="EA10" t="str">
        <f t="shared" ref="EA10:EA73" si="18">G21</f>
        <v>AA</v>
      </c>
      <c r="EB10" t="str">
        <f t="shared" ref="EB10:EB73" si="19">H21</f>
        <v/>
      </c>
      <c r="EC10" t="str">
        <f t="shared" ref="EC10:EC73" si="20">I21</f>
        <v/>
      </c>
      <c r="ED10">
        <f t="shared" ref="ED10:EE41" si="21">IF($EC10="",0,$EC10*ED$6)</f>
        <v>0</v>
      </c>
      <c r="EE10">
        <f t="shared" si="21"/>
        <v>0</v>
      </c>
      <c r="EG10" s="8" t="str">
        <f t="shared" ref="EG10:EG73" si="22">M21</f>
        <v>AA</v>
      </c>
      <c r="EH10" s="8" t="str">
        <f t="shared" ref="EH10:EH73" si="23">N21</f>
        <v/>
      </c>
      <c r="EI10" s="8" t="str">
        <f t="shared" ref="EI10:EI73" si="24">O21</f>
        <v/>
      </c>
      <c r="EJ10">
        <f t="shared" ref="EJ10:EK41" si="25">IF($EI10="",0,$EI10*EJ$6)</f>
        <v>0</v>
      </c>
      <c r="EK10">
        <f t="shared" si="25"/>
        <v>0</v>
      </c>
      <c r="EM10" s="8" t="str">
        <f t="shared" ref="EM10:EM73" si="26">S21</f>
        <v>AA</v>
      </c>
      <c r="EN10" s="8" t="str">
        <f t="shared" ref="EN10:EN73" si="27">T21</f>
        <v/>
      </c>
      <c r="EO10" s="8" t="str">
        <f t="shared" ref="EO10:EO73" si="28">U21</f>
        <v/>
      </c>
      <c r="EP10">
        <f t="shared" ref="EP10:EQ41" si="29">IF($EO10="",0,$EO10*EP$6)</f>
        <v>0</v>
      </c>
      <c r="EQ10">
        <f t="shared" si="29"/>
        <v>0</v>
      </c>
      <c r="ES10" s="8" t="str">
        <f t="shared" ref="ES10:ES73" si="30">Y21</f>
        <v>AA</v>
      </c>
      <c r="ET10" s="8" t="str">
        <f t="shared" ref="ET10:ET73" si="31">Z21</f>
        <v/>
      </c>
      <c r="EU10" s="8" t="str">
        <f t="shared" ref="EU10:EU73" si="32">AA21</f>
        <v/>
      </c>
      <c r="EV10">
        <f t="shared" ref="EV10:EW41" si="33">IF($EU10="",0,$EU10*EV$6)</f>
        <v>0</v>
      </c>
      <c r="EW10">
        <f t="shared" si="33"/>
        <v>0</v>
      </c>
      <c r="EY10" s="8" t="str">
        <f>Hidden!$CG4</f>
        <v/>
      </c>
      <c r="EZ10">
        <f t="shared" ref="EZ10:EZ73" si="34">IF(EZ$6,_xlfn.MAXIFS($DX$9:$DX$108,$DV$9:$DV$108,$EY10),0)</f>
        <v>0</v>
      </c>
      <c r="FA10">
        <f t="shared" ref="FA10:FA73" si="35">IF(FA$6,_xlfn.MAXIFS($ED$9:$ED$108,$EB$9:$EB$108,$EY10),0)</f>
        <v>0</v>
      </c>
      <c r="FB10">
        <f t="shared" ref="FB10:FB73" si="36">IF(FB$6,_xlfn.MAXIFS($EJ$9:$EJ$108,$EH$9:$EH$108,$EY10),0)</f>
        <v>0</v>
      </c>
      <c r="FC10">
        <f t="shared" ref="FC10:FC73" si="37">IF(FC$6,_xlfn.MAXIFS($EP$9:$EP$108,$EN$9:$EN$108,$EY10),0)</f>
        <v>0</v>
      </c>
      <c r="FD10">
        <f t="shared" ref="FD10:FD73" si="38">IF(FD$6,_xlfn.MAXIFS($EV$9:$EV$108,$ET$9:$ET$108,$EY10),0)</f>
        <v>0</v>
      </c>
      <c r="FE10">
        <f t="shared" ref="FE10:FE73" si="39">IF(FE$6,SUMIF($DV$9:$DV$108,$EY10,$DY$9:$DY$108),0)</f>
        <v>0</v>
      </c>
      <c r="FF10">
        <f t="shared" ref="FF10:FF73" si="40">IF(FF$6,SUMIF($EB$9:$EB$108,$EY10,$EE$9:$EE$108),0)</f>
        <v>0</v>
      </c>
      <c r="FG10">
        <f t="shared" ref="FG10:FG73" si="41">IF(FG$6,SUMIF($EH$9:$EH$108,$EY10,$EK$9:$EK$108),0)</f>
        <v>0</v>
      </c>
      <c r="FH10">
        <f t="shared" ref="FH10:FH73" si="42">IF(FH$6,SUMIF($EN$9:$EN$108,$EY10,$EQ$9:$EQ$108),0)</f>
        <v>0</v>
      </c>
      <c r="FI10">
        <f t="shared" ref="FI10:FI73" si="43">IF(FI$6,SUMIF($ET$9:$ET$108,$EY10,$EW$9:$EW$108),0)</f>
        <v>0</v>
      </c>
      <c r="GH10">
        <f>IF(OR(GI10=0,ISNUMBER(MATCH(GI10,$GI$2:GI9,0))),0,MAX($GH$2:GH9)+1)</f>
        <v>0</v>
      </c>
      <c r="GI10">
        <f t="shared" si="5"/>
        <v>0</v>
      </c>
      <c r="GJ10" t="str">
        <f t="shared" si="6"/>
        <v/>
      </c>
      <c r="GL10">
        <f>IF(OR(GM10=0,ISNUMBER(MATCH(GM10,$GM$2:GM9,0))),0,MAX($GL$2:GL9)+1)</f>
        <v>0</v>
      </c>
      <c r="GM10">
        <f t="shared" si="7"/>
        <v>0</v>
      </c>
      <c r="GN10" t="str">
        <f t="shared" si="8"/>
        <v/>
      </c>
    </row>
    <row r="11" spans="1:196" ht="15" thickBot="1" x14ac:dyDescent="0.25">
      <c r="A11" s="1160"/>
      <c r="B11" s="89">
        <f>IF(OR(C11=0,ISNUMBER(MATCH(C11,$C$2:C10,0))),0,MAX($B$2:B10)+1)</f>
        <v>0</v>
      </c>
      <c r="C11">
        <f>Hidden!CK10</f>
        <v>0</v>
      </c>
      <c r="D11" s="90" t="str">
        <f t="shared" si="0"/>
        <v/>
      </c>
      <c r="E11" s="89">
        <f>IF(OR(F11=0,ISNUMBER(MATCH(F11,$F$2:F10,0))),0,MAX($E$2:E10)+1)</f>
        <v>0</v>
      </c>
      <c r="F11">
        <f>Hidden!CK20</f>
        <v>0</v>
      </c>
      <c r="G11" s="90" t="str">
        <f t="shared" si="1"/>
        <v/>
      </c>
      <c r="H11" s="89">
        <f>IF(OR(I11=0,ISNUMBER(MATCH(I11,$I$2:I10,0))),0,MAX($H$2:H10)+1)</f>
        <v>0</v>
      </c>
      <c r="I11">
        <f>Hidden!CK30</f>
        <v>0</v>
      </c>
      <c r="J11" s="90" t="str">
        <f t="shared" si="2"/>
        <v/>
      </c>
      <c r="K11" s="89">
        <f>IF(OR(L11=0,ISNUMBER(MATCH(L11,$L$2:L10,0))),0,MAX($K$2:K10)+1)</f>
        <v>0</v>
      </c>
      <c r="L11">
        <f>Hidden!CK40</f>
        <v>0</v>
      </c>
      <c r="M11" s="90" t="str">
        <f t="shared" si="3"/>
        <v/>
      </c>
      <c r="N11" s="89">
        <f>IF(OR(O11=0,ISNUMBER(MATCH(O11,$O$2:O10,0))),0,MAX($N$2:N10)+1)</f>
        <v>0</v>
      </c>
      <c r="O11">
        <f>Hidden!CK50</f>
        <v>0</v>
      </c>
      <c r="P11" s="90" t="str">
        <f t="shared" si="4"/>
        <v/>
      </c>
      <c r="R11">
        <f>IF('PI-1-MarineLoading'!$G$115&lt;1,0,IF(COUNTIF(Tank1!$D$18,"*floating*"),IF($D11="",0,$D11),0))</f>
        <v>0</v>
      </c>
      <c r="S11">
        <f>IF('PI-1-MarineLoading'!$G$115&lt;2,0,IF(COUNTIF(Tank2!$D$18,"*floating*"),$G11,0))</f>
        <v>0</v>
      </c>
      <c r="T11">
        <f>IF('PI-1-MarineLoading'!$G$115&lt;3,0,IF(COUNTIF(Tank3!$D$18,"*floating*"),IF($J11="",0,$J11),0))</f>
        <v>0</v>
      </c>
      <c r="U11">
        <f>IF('PI-1-MarineLoading'!$G$115&lt;4,0,IF(COUNTIF(Tank4!$D$18,"*floating*"),$M11,0))</f>
        <v>0</v>
      </c>
      <c r="V11">
        <f>IF('PI-1-MarineLoading'!$G$115&lt;5,0,IF(COUNTIF(Tank5!$D$18,"*floating*"),IF($P11=0,0,$P11),0))</f>
        <v>0</v>
      </c>
      <c r="X11">
        <f>IF('PI-1-MarineLoading'!$G$115&lt;1,0,IF(COUNTIF(Tank1!$D$18,"*fixed*"),IF($D11="",0,$D11),0))</f>
        <v>0</v>
      </c>
      <c r="Y11">
        <f>IF('PI-1-MarineLoading'!$G$115&lt;2,0,IF(COUNTIF(Tank2!$D$18,"*fixed*"),IF($G11="",0,$G11),0))</f>
        <v>0</v>
      </c>
      <c r="Z11">
        <f>IF('PI-1-MarineLoading'!$G$115&lt;3,0,IF(COUNTIF(Tank3!$D$18,"*fixed*"),IF($J11="",0,$J11),0))</f>
        <v>0</v>
      </c>
      <c r="AA11">
        <f>IF('PI-1-MarineLoading'!$G$115&lt;4,0,IF(COUNTIF(Tank4!$D$18,"*fixed*"),IF($M11="",0,$M11),0))</f>
        <v>0</v>
      </c>
      <c r="AB11">
        <f>IF('PI-1-MarineLoading'!$G$115&lt;5,0,IF(COUNTIF(Tank5!$D$18,"*fixed*"),IF($P11="",0,$P11),0))</f>
        <v>0</v>
      </c>
      <c r="DT11" s="77"/>
      <c r="DU11" s="8" t="str">
        <f t="shared" si="14"/>
        <v>AAA</v>
      </c>
      <c r="DV11" s="8" t="str">
        <f t="shared" si="15"/>
        <v/>
      </c>
      <c r="DW11" s="8" t="str">
        <f t="shared" si="16"/>
        <v/>
      </c>
      <c r="DX11">
        <f t="shared" si="17"/>
        <v>0</v>
      </c>
      <c r="DY11">
        <f t="shared" si="17"/>
        <v>0</v>
      </c>
      <c r="EA11" t="str">
        <f t="shared" si="18"/>
        <v>AAA</v>
      </c>
      <c r="EB11" t="str">
        <f t="shared" si="19"/>
        <v/>
      </c>
      <c r="EC11" t="str">
        <f t="shared" si="20"/>
        <v/>
      </c>
      <c r="ED11">
        <f t="shared" si="21"/>
        <v>0</v>
      </c>
      <c r="EE11">
        <f t="shared" si="21"/>
        <v>0</v>
      </c>
      <c r="EG11" s="8" t="str">
        <f t="shared" si="22"/>
        <v>AAA</v>
      </c>
      <c r="EH11" s="8" t="str">
        <f t="shared" si="23"/>
        <v/>
      </c>
      <c r="EI11" s="8" t="str">
        <f t="shared" si="24"/>
        <v/>
      </c>
      <c r="EJ11">
        <f t="shared" si="25"/>
        <v>0</v>
      </c>
      <c r="EK11">
        <f t="shared" si="25"/>
        <v>0</v>
      </c>
      <c r="EM11" s="8" t="str">
        <f t="shared" si="26"/>
        <v>AAA</v>
      </c>
      <c r="EN11" s="8" t="str">
        <f t="shared" si="27"/>
        <v/>
      </c>
      <c r="EO11" s="8" t="str">
        <f t="shared" si="28"/>
        <v/>
      </c>
      <c r="EP11">
        <f t="shared" si="29"/>
        <v>0</v>
      </c>
      <c r="EQ11">
        <f t="shared" si="29"/>
        <v>0</v>
      </c>
      <c r="ES11" s="8" t="str">
        <f t="shared" si="30"/>
        <v>AAA</v>
      </c>
      <c r="ET11" s="8" t="str">
        <f t="shared" si="31"/>
        <v/>
      </c>
      <c r="EU11" s="8" t="str">
        <f t="shared" si="32"/>
        <v/>
      </c>
      <c r="EV11">
        <f t="shared" si="33"/>
        <v>0</v>
      </c>
      <c r="EW11">
        <f t="shared" si="33"/>
        <v>0</v>
      </c>
      <c r="EY11" s="8" t="str">
        <f>Hidden!$CG5</f>
        <v/>
      </c>
      <c r="EZ11">
        <f t="shared" si="34"/>
        <v>0</v>
      </c>
      <c r="FA11">
        <f t="shared" si="35"/>
        <v>0</v>
      </c>
      <c r="FB11">
        <f t="shared" si="36"/>
        <v>0</v>
      </c>
      <c r="FC11">
        <f t="shared" si="37"/>
        <v>0</v>
      </c>
      <c r="FD11">
        <f t="shared" si="38"/>
        <v>0</v>
      </c>
      <c r="FE11">
        <f t="shared" si="39"/>
        <v>0</v>
      </c>
      <c r="FF11">
        <f t="shared" si="40"/>
        <v>0</v>
      </c>
      <c r="FG11">
        <f t="shared" si="41"/>
        <v>0</v>
      </c>
      <c r="FH11">
        <f t="shared" si="42"/>
        <v>0</v>
      </c>
      <c r="FI11">
        <f t="shared" si="43"/>
        <v>0</v>
      </c>
      <c r="GH11">
        <f>IF(OR(GI11=0,ISNUMBER(MATCH(GI11,$GI$2:GI10,0))),0,MAX($GH$2:GH10)+1)</f>
        <v>0</v>
      </c>
      <c r="GI11">
        <f t="shared" si="5"/>
        <v>0</v>
      </c>
      <c r="GJ11" t="str">
        <f t="shared" si="6"/>
        <v/>
      </c>
      <c r="GL11">
        <f>IF(OR(GM11=0,ISNUMBER(MATCH(GM11,$GM$2:GM10,0))),0,MAX($GL$2:GL10)+1)</f>
        <v>0</v>
      </c>
      <c r="GM11">
        <f t="shared" si="7"/>
        <v>0</v>
      </c>
      <c r="GN11" t="str">
        <f t="shared" si="8"/>
        <v/>
      </c>
    </row>
    <row r="12" spans="1:196" ht="15" thickBot="1" x14ac:dyDescent="0.25">
      <c r="A12" s="1160"/>
      <c r="B12" s="91">
        <f>IF(OR(C12=0,ISNUMBER(MATCH(C12,$C$2:C11,0))),0,MAX($B$2:B11)+1)</f>
        <v>0</v>
      </c>
      <c r="C12" s="92">
        <f>Hidden!CK11</f>
        <v>0</v>
      </c>
      <c r="D12" s="50" t="str">
        <f t="shared" si="0"/>
        <v/>
      </c>
      <c r="E12" s="91">
        <f>IF(OR(F12=0,ISNUMBER(MATCH(F12,$F$2:F11,0))),0,MAX($E$2:E11)+1)</f>
        <v>0</v>
      </c>
      <c r="F12" s="92">
        <f>Hidden!CK21</f>
        <v>0</v>
      </c>
      <c r="G12" s="50" t="str">
        <f t="shared" si="1"/>
        <v/>
      </c>
      <c r="H12" s="91">
        <f>IF(OR(I12=0,ISNUMBER(MATCH(I12,$I$2:I11,0))),0,MAX($H$2:H11)+1)</f>
        <v>0</v>
      </c>
      <c r="I12" s="92">
        <f>Hidden!CK31</f>
        <v>0</v>
      </c>
      <c r="J12" s="50" t="str">
        <f t="shared" si="2"/>
        <v/>
      </c>
      <c r="K12" s="91">
        <f>IF(OR(L12=0,ISNUMBER(MATCH(L12,$L$2:L11,0))),0,MAX($K$2:K11)+1)</f>
        <v>0</v>
      </c>
      <c r="L12" s="92">
        <f>Hidden!CK41</f>
        <v>0</v>
      </c>
      <c r="M12" s="50" t="str">
        <f t="shared" si="3"/>
        <v/>
      </c>
      <c r="N12" s="91">
        <f>IF(OR(O12=0,ISNUMBER(MATCH(O12,$O$2:O11,0))),0,MAX($N$2:N11)+1)</f>
        <v>0</v>
      </c>
      <c r="O12" s="92">
        <f>Hidden!CK51</f>
        <v>0</v>
      </c>
      <c r="P12" s="50" t="str">
        <f t="shared" si="4"/>
        <v/>
      </c>
      <c r="R12">
        <f>IF('PI-1-MarineLoading'!$G$115&lt;1,0,IF(COUNTIF(Tank1!$D$18,"*floating*"),IF($D12="",0,$D12),0))</f>
        <v>0</v>
      </c>
      <c r="S12">
        <f>IF('PI-1-MarineLoading'!$G$115&lt;2,0,IF(COUNTIF(Tank2!$D$18,"*floating*"),$G12,0))</f>
        <v>0</v>
      </c>
      <c r="T12">
        <f>IF('PI-1-MarineLoading'!$G$115&lt;3,0,IF(COUNTIF(Tank3!$D$18,"*floating*"),IF($J12="",0,$J12),0))</f>
        <v>0</v>
      </c>
      <c r="U12">
        <f>IF('PI-1-MarineLoading'!$G$115&lt;4,0,IF(COUNTIF(Tank4!$D$18,"*floating*"),$M12,0))</f>
        <v>0</v>
      </c>
      <c r="V12">
        <f>IF('PI-1-MarineLoading'!$G$115&lt;5,0,IF(COUNTIF(Tank5!$D$18,"*floating*"),IF($P12=0,0,$P12),0))</f>
        <v>0</v>
      </c>
      <c r="X12">
        <f>IF('PI-1-MarineLoading'!$G$115&lt;1,0,IF(COUNTIF(Tank1!$D$18,"*fixed*"),IF($D12="",0,$D12),0))</f>
        <v>0</v>
      </c>
      <c r="Y12">
        <f>IF('PI-1-MarineLoading'!$G$115&lt;2,0,IF(COUNTIF(Tank2!$D$18,"*fixed*"),IF($G12="",0,$G12),0))</f>
        <v>0</v>
      </c>
      <c r="Z12">
        <f>IF('PI-1-MarineLoading'!$G$115&lt;3,0,IF(COUNTIF(Tank3!$D$18,"*fixed*"),IF($J12="",0,$J12),0))</f>
        <v>0</v>
      </c>
      <c r="AA12">
        <f>IF('PI-1-MarineLoading'!$G$115&lt;4,0,IF(COUNTIF(Tank4!$D$18,"*fixed*"),IF($M12="",0,$M12),0))</f>
        <v>0</v>
      </c>
      <c r="AB12">
        <f>IF('PI-1-MarineLoading'!$G$115&lt;5,0,IF(COUNTIF(Tank5!$D$18,"*fixed*"),IF($P12="",0,$P12),0))</f>
        <v>0</v>
      </c>
      <c r="DT12" s="77"/>
      <c r="DU12" s="8" t="str">
        <f t="shared" si="14"/>
        <v>AAAA</v>
      </c>
      <c r="DV12" s="8" t="str">
        <f t="shared" si="15"/>
        <v/>
      </c>
      <c r="DW12" s="8" t="str">
        <f t="shared" si="16"/>
        <v/>
      </c>
      <c r="DX12">
        <f t="shared" si="17"/>
        <v>0</v>
      </c>
      <c r="DY12">
        <f t="shared" si="17"/>
        <v>0</v>
      </c>
      <c r="EA12" t="str">
        <f t="shared" si="18"/>
        <v>AAAA</v>
      </c>
      <c r="EB12" t="str">
        <f t="shared" si="19"/>
        <v/>
      </c>
      <c r="EC12" t="str">
        <f t="shared" si="20"/>
        <v/>
      </c>
      <c r="ED12">
        <f t="shared" si="21"/>
        <v>0</v>
      </c>
      <c r="EE12">
        <f t="shared" si="21"/>
        <v>0</v>
      </c>
      <c r="EG12" s="8" t="str">
        <f t="shared" si="22"/>
        <v>AAAA</v>
      </c>
      <c r="EH12" s="8" t="str">
        <f t="shared" si="23"/>
        <v/>
      </c>
      <c r="EI12" s="8" t="str">
        <f t="shared" si="24"/>
        <v/>
      </c>
      <c r="EJ12">
        <f t="shared" si="25"/>
        <v>0</v>
      </c>
      <c r="EK12">
        <f t="shared" si="25"/>
        <v>0</v>
      </c>
      <c r="EM12" s="8" t="str">
        <f t="shared" si="26"/>
        <v>AAAA</v>
      </c>
      <c r="EN12" s="8" t="str">
        <f t="shared" si="27"/>
        <v/>
      </c>
      <c r="EO12" s="8" t="str">
        <f t="shared" si="28"/>
        <v/>
      </c>
      <c r="EP12">
        <f t="shared" si="29"/>
        <v>0</v>
      </c>
      <c r="EQ12">
        <f t="shared" si="29"/>
        <v>0</v>
      </c>
      <c r="ES12" s="8" t="str">
        <f t="shared" si="30"/>
        <v>AAAA</v>
      </c>
      <c r="ET12" s="8" t="str">
        <f t="shared" si="31"/>
        <v/>
      </c>
      <c r="EU12" s="8" t="str">
        <f t="shared" si="32"/>
        <v/>
      </c>
      <c r="EV12">
        <f t="shared" si="33"/>
        <v>0</v>
      </c>
      <c r="EW12">
        <f t="shared" si="33"/>
        <v>0</v>
      </c>
      <c r="EY12" s="8" t="str">
        <f>Hidden!$CG6</f>
        <v/>
      </c>
      <c r="EZ12">
        <f t="shared" si="34"/>
        <v>0</v>
      </c>
      <c r="FA12">
        <f t="shared" si="35"/>
        <v>0</v>
      </c>
      <c r="FB12">
        <f t="shared" si="36"/>
        <v>0</v>
      </c>
      <c r="FC12">
        <f t="shared" si="37"/>
        <v>0</v>
      </c>
      <c r="FD12">
        <f t="shared" si="38"/>
        <v>0</v>
      </c>
      <c r="FE12">
        <f t="shared" si="39"/>
        <v>0</v>
      </c>
      <c r="FF12">
        <f t="shared" si="40"/>
        <v>0</v>
      </c>
      <c r="FG12">
        <f t="shared" si="41"/>
        <v>0</v>
      </c>
      <c r="FH12">
        <f t="shared" si="42"/>
        <v>0</v>
      </c>
      <c r="FI12">
        <f t="shared" si="43"/>
        <v>0</v>
      </c>
      <c r="GH12">
        <f>IF(OR(GI12=0,ISNUMBER(MATCH(GI12,$GI$2:GI11,0))),0,MAX($GH$2:GH11)+1)</f>
        <v>0</v>
      </c>
      <c r="GI12">
        <f t="shared" si="5"/>
        <v>0</v>
      </c>
      <c r="GJ12" t="str">
        <f t="shared" si="6"/>
        <v/>
      </c>
      <c r="GL12">
        <f>IF(OR(GM12=0,ISNUMBER(MATCH(GM12,$GM$2:GM11,0))),0,MAX($GL$2:GL11)+1)</f>
        <v>0</v>
      </c>
      <c r="GM12">
        <f t="shared" si="7"/>
        <v>0</v>
      </c>
      <c r="GN12" t="str">
        <f t="shared" si="8"/>
        <v/>
      </c>
    </row>
    <row r="13" spans="1:196" ht="15" thickBot="1" x14ac:dyDescent="0.25">
      <c r="DT13" s="77"/>
      <c r="DU13" s="8" t="str">
        <f t="shared" si="14"/>
        <v>AAAAA</v>
      </c>
      <c r="DV13" s="8" t="str">
        <f t="shared" si="15"/>
        <v/>
      </c>
      <c r="DW13" s="8" t="str">
        <f t="shared" si="16"/>
        <v/>
      </c>
      <c r="DX13">
        <f t="shared" si="17"/>
        <v>0</v>
      </c>
      <c r="DY13">
        <f t="shared" si="17"/>
        <v>0</v>
      </c>
      <c r="EA13" t="str">
        <f t="shared" si="18"/>
        <v>AAAAA</v>
      </c>
      <c r="EB13" t="str">
        <f t="shared" si="19"/>
        <v/>
      </c>
      <c r="EC13" t="str">
        <f t="shared" si="20"/>
        <v/>
      </c>
      <c r="ED13">
        <f t="shared" si="21"/>
        <v>0</v>
      </c>
      <c r="EE13">
        <f t="shared" si="21"/>
        <v>0</v>
      </c>
      <c r="EG13" s="8" t="str">
        <f t="shared" si="22"/>
        <v>AAAAA</v>
      </c>
      <c r="EH13" s="8" t="str">
        <f t="shared" si="23"/>
        <v/>
      </c>
      <c r="EI13" s="8" t="str">
        <f t="shared" si="24"/>
        <v/>
      </c>
      <c r="EJ13">
        <f t="shared" si="25"/>
        <v>0</v>
      </c>
      <c r="EK13">
        <f t="shared" si="25"/>
        <v>0</v>
      </c>
      <c r="EM13" s="8" t="str">
        <f t="shared" si="26"/>
        <v>AAAAA</v>
      </c>
      <c r="EN13" s="8" t="str">
        <f t="shared" si="27"/>
        <v/>
      </c>
      <c r="EO13" s="8" t="str">
        <f t="shared" si="28"/>
        <v/>
      </c>
      <c r="EP13">
        <f t="shared" si="29"/>
        <v>0</v>
      </c>
      <c r="EQ13">
        <f t="shared" si="29"/>
        <v>0</v>
      </c>
      <c r="ES13" s="8" t="str">
        <f t="shared" si="30"/>
        <v>AAAAA</v>
      </c>
      <c r="ET13" s="8" t="str">
        <f t="shared" si="31"/>
        <v/>
      </c>
      <c r="EU13" s="8" t="str">
        <f t="shared" si="32"/>
        <v/>
      </c>
      <c r="EV13">
        <f t="shared" si="33"/>
        <v>0</v>
      </c>
      <c r="EW13">
        <f t="shared" si="33"/>
        <v>0</v>
      </c>
      <c r="EY13" s="8" t="str">
        <f>Hidden!$CG7</f>
        <v/>
      </c>
      <c r="EZ13">
        <f t="shared" si="34"/>
        <v>0</v>
      </c>
      <c r="FA13">
        <f t="shared" si="35"/>
        <v>0</v>
      </c>
      <c r="FB13">
        <f t="shared" si="36"/>
        <v>0</v>
      </c>
      <c r="FC13">
        <f t="shared" si="37"/>
        <v>0</v>
      </c>
      <c r="FD13">
        <f t="shared" si="38"/>
        <v>0</v>
      </c>
      <c r="FE13">
        <f t="shared" si="39"/>
        <v>0</v>
      </c>
      <c r="FF13">
        <f t="shared" si="40"/>
        <v>0</v>
      </c>
      <c r="FG13">
        <f t="shared" si="41"/>
        <v>0</v>
      </c>
      <c r="FH13">
        <f t="shared" si="42"/>
        <v>0</v>
      </c>
      <c r="FI13">
        <f t="shared" si="43"/>
        <v>0</v>
      </c>
      <c r="GG13" t="s">
        <v>323</v>
      </c>
      <c r="GH13">
        <f>IF(OR(GI13=0,ISNUMBER(MATCH(GI13,$GI$2:GI12,0))),0,MAX($GH$2:GH12)+1)</f>
        <v>0</v>
      </c>
      <c r="GI13">
        <f>$S3</f>
        <v>0</v>
      </c>
      <c r="GL13">
        <f>IF(OR(GM13=0,ISNUMBER(MATCH(GM13,$GM$2:GM12,0))),0,MAX($GL$2:GL12)+1)</f>
        <v>0</v>
      </c>
      <c r="GM13">
        <f>$Y3</f>
        <v>0</v>
      </c>
    </row>
    <row r="14" spans="1:196" ht="15.75" thickBot="1" x14ac:dyDescent="0.25">
      <c r="A14" s="479" t="s">
        <v>9737</v>
      </c>
      <c r="B14" s="479"/>
      <c r="C14" s="479"/>
      <c r="D14" s="479"/>
      <c r="E14" s="479"/>
      <c r="F14" s="479"/>
      <c r="G14" s="479"/>
      <c r="H14" s="479"/>
      <c r="I14" s="479"/>
      <c r="J14" s="479"/>
      <c r="K14" s="479"/>
      <c r="L14" s="479"/>
      <c r="M14" s="479"/>
      <c r="N14" s="479"/>
      <c r="O14" s="479"/>
      <c r="P14" s="479"/>
      <c r="Q14" s="479"/>
      <c r="R14" s="479"/>
      <c r="S14" s="479"/>
      <c r="T14" s="479"/>
      <c r="U14" s="479"/>
      <c r="V14" s="479"/>
      <c r="W14" s="479"/>
      <c r="X14" s="479"/>
      <c r="Y14" s="479"/>
      <c r="Z14" s="479"/>
      <c r="AA14" s="479"/>
      <c r="AB14" s="479"/>
      <c r="AC14" s="479"/>
      <c r="AD14" s="479"/>
      <c r="AE14" s="479"/>
      <c r="AF14" s="479"/>
      <c r="AG14" s="479"/>
      <c r="AH14" s="479"/>
      <c r="AI14" s="479"/>
      <c r="AJ14" s="479"/>
      <c r="AK14" s="479"/>
      <c r="AL14" s="479"/>
      <c r="AM14" s="479"/>
      <c r="AN14" s="479"/>
      <c r="AO14" s="479"/>
      <c r="BJ14" s="479" t="s">
        <v>9971</v>
      </c>
      <c r="BK14" s="479"/>
      <c r="BL14" s="479"/>
      <c r="BM14" s="479"/>
      <c r="BN14" s="479"/>
      <c r="BO14" s="479"/>
      <c r="BP14" s="479"/>
      <c r="BQ14" s="479"/>
      <c r="BR14" s="479"/>
      <c r="BS14" s="479"/>
      <c r="BT14" s="479"/>
      <c r="BU14" s="479"/>
      <c r="BV14" s="479"/>
      <c r="BW14" s="479"/>
      <c r="BX14" s="479"/>
      <c r="BY14" s="479"/>
      <c r="BZ14" s="479"/>
      <c r="CA14" s="479"/>
      <c r="CB14" s="479"/>
      <c r="CC14" s="479"/>
      <c r="CD14" s="479"/>
      <c r="CE14" s="479"/>
      <c r="CF14" s="479"/>
      <c r="CG14" s="479"/>
      <c r="CH14" s="479"/>
      <c r="CI14" s="479"/>
      <c r="CJ14" s="479"/>
      <c r="CK14" s="479"/>
      <c r="CL14" s="479"/>
      <c r="DT14" s="77"/>
      <c r="DU14" s="8" t="str">
        <f t="shared" si="14"/>
        <v>AAAAAA</v>
      </c>
      <c r="DV14" s="8" t="str">
        <f t="shared" si="15"/>
        <v/>
      </c>
      <c r="DW14" s="8" t="str">
        <f t="shared" si="16"/>
        <v/>
      </c>
      <c r="DX14">
        <f t="shared" si="17"/>
        <v>0</v>
      </c>
      <c r="DY14">
        <f t="shared" si="17"/>
        <v>0</v>
      </c>
      <c r="EA14" t="str">
        <f t="shared" si="18"/>
        <v>AAAAAA</v>
      </c>
      <c r="EB14" t="str">
        <f t="shared" si="19"/>
        <v/>
      </c>
      <c r="EC14" t="str">
        <f t="shared" si="20"/>
        <v/>
      </c>
      <c r="ED14">
        <f t="shared" si="21"/>
        <v>0</v>
      </c>
      <c r="EE14">
        <f t="shared" si="21"/>
        <v>0</v>
      </c>
      <c r="EG14" s="8" t="str">
        <f t="shared" si="22"/>
        <v>AAAAAA</v>
      </c>
      <c r="EH14" s="8" t="str">
        <f t="shared" si="23"/>
        <v/>
      </c>
      <c r="EI14" s="8" t="str">
        <f t="shared" si="24"/>
        <v/>
      </c>
      <c r="EJ14">
        <f t="shared" si="25"/>
        <v>0</v>
      </c>
      <c r="EK14">
        <f t="shared" si="25"/>
        <v>0</v>
      </c>
      <c r="EM14" s="8" t="str">
        <f t="shared" si="26"/>
        <v>AAAAAA</v>
      </c>
      <c r="EN14" s="8" t="str">
        <f t="shared" si="27"/>
        <v/>
      </c>
      <c r="EO14" s="8" t="str">
        <f t="shared" si="28"/>
        <v/>
      </c>
      <c r="EP14">
        <f t="shared" si="29"/>
        <v>0</v>
      </c>
      <c r="EQ14">
        <f t="shared" si="29"/>
        <v>0</v>
      </c>
      <c r="ES14" s="8" t="str">
        <f t="shared" si="30"/>
        <v>AAAAAA</v>
      </c>
      <c r="ET14" s="8" t="str">
        <f t="shared" si="31"/>
        <v/>
      </c>
      <c r="EU14" s="8" t="str">
        <f t="shared" si="32"/>
        <v/>
      </c>
      <c r="EV14">
        <f t="shared" si="33"/>
        <v>0</v>
      </c>
      <c r="EW14">
        <f t="shared" si="33"/>
        <v>0</v>
      </c>
      <c r="EY14" s="8" t="str">
        <f>Hidden!$CG8</f>
        <v/>
      </c>
      <c r="EZ14">
        <f t="shared" si="34"/>
        <v>0</v>
      </c>
      <c r="FA14">
        <f t="shared" si="35"/>
        <v>0</v>
      </c>
      <c r="FB14">
        <f t="shared" si="36"/>
        <v>0</v>
      </c>
      <c r="FC14">
        <f t="shared" si="37"/>
        <v>0</v>
      </c>
      <c r="FD14">
        <f t="shared" si="38"/>
        <v>0</v>
      </c>
      <c r="FE14">
        <f t="shared" si="39"/>
        <v>0</v>
      </c>
      <c r="FF14">
        <f t="shared" si="40"/>
        <v>0</v>
      </c>
      <c r="FG14">
        <f t="shared" si="41"/>
        <v>0</v>
      </c>
      <c r="FH14">
        <f t="shared" si="42"/>
        <v>0</v>
      </c>
      <c r="FI14">
        <f t="shared" si="43"/>
        <v>0</v>
      </c>
      <c r="GH14">
        <f>IF(OR(GI14=0,ISNUMBER(MATCH(GI14,$GI$2:GI13,0))),0,MAX($GH$2:GH13)+1)</f>
        <v>0</v>
      </c>
      <c r="GI14">
        <f t="shared" ref="GI14:GI22" si="44">$S4</f>
        <v>0</v>
      </c>
      <c r="GL14">
        <f>IF(OR(GM14=0,ISNUMBER(MATCH(GM14,$GM$2:GM13,0))),0,MAX($GL$2:GL13)+1)</f>
        <v>0</v>
      </c>
      <c r="GM14">
        <f t="shared" ref="GM14:GM22" si="45">$Y4</f>
        <v>0</v>
      </c>
    </row>
    <row r="15" spans="1:196" ht="71.25" x14ac:dyDescent="0.2">
      <c r="A15" t="s">
        <v>9726</v>
      </c>
      <c r="G15" t="s">
        <v>9728</v>
      </c>
      <c r="M15" t="s">
        <v>9729</v>
      </c>
      <c r="S15" t="s">
        <v>9730</v>
      </c>
      <c r="Y15" t="s">
        <v>9731</v>
      </c>
      <c r="AE15" t="s">
        <v>9203</v>
      </c>
      <c r="AF15" t="s">
        <v>9732</v>
      </c>
      <c r="AG15" t="s">
        <v>9733</v>
      </c>
      <c r="AH15" t="s">
        <v>9734</v>
      </c>
      <c r="AI15" t="s">
        <v>9735</v>
      </c>
      <c r="AJ15" t="s">
        <v>9736</v>
      </c>
      <c r="AK15" t="s">
        <v>9738</v>
      </c>
      <c r="AL15" t="s">
        <v>9739</v>
      </c>
      <c r="AM15" t="s">
        <v>9740</v>
      </c>
      <c r="AN15" t="s">
        <v>9741</v>
      </c>
      <c r="AO15" t="s">
        <v>9742</v>
      </c>
      <c r="BJ15" t="s">
        <v>9965</v>
      </c>
      <c r="BP15" t="s">
        <v>9966</v>
      </c>
      <c r="BV15" t="s">
        <v>9967</v>
      </c>
      <c r="CB15" t="s">
        <v>9968</v>
      </c>
      <c r="CH15" t="s">
        <v>9969</v>
      </c>
      <c r="CN15" t="s">
        <v>9203</v>
      </c>
      <c r="CO15" t="s">
        <v>9732</v>
      </c>
      <c r="CP15" t="s">
        <v>9733</v>
      </c>
      <c r="CQ15" t="s">
        <v>9734</v>
      </c>
      <c r="CR15" t="s">
        <v>9735</v>
      </c>
      <c r="CS15" t="s">
        <v>9736</v>
      </c>
      <c r="CT15" t="s">
        <v>9738</v>
      </c>
      <c r="CU15" t="s">
        <v>9739</v>
      </c>
      <c r="CV15" t="s">
        <v>9740</v>
      </c>
      <c r="CW15" t="s">
        <v>9741</v>
      </c>
      <c r="CX15" t="s">
        <v>9742</v>
      </c>
      <c r="DT15" s="77"/>
      <c r="DU15" s="8" t="str">
        <f t="shared" si="14"/>
        <v>AAAAAAA</v>
      </c>
      <c r="DV15" s="8" t="str">
        <f t="shared" si="15"/>
        <v/>
      </c>
      <c r="DW15" s="8" t="str">
        <f t="shared" si="16"/>
        <v/>
      </c>
      <c r="DX15">
        <f t="shared" si="17"/>
        <v>0</v>
      </c>
      <c r="DY15">
        <f t="shared" si="17"/>
        <v>0</v>
      </c>
      <c r="EA15" t="str">
        <f t="shared" si="18"/>
        <v>AAAAAAA</v>
      </c>
      <c r="EB15" t="str">
        <f t="shared" si="19"/>
        <v/>
      </c>
      <c r="EC15" t="str">
        <f t="shared" si="20"/>
        <v/>
      </c>
      <c r="ED15">
        <f t="shared" si="21"/>
        <v>0</v>
      </c>
      <c r="EE15">
        <f t="shared" si="21"/>
        <v>0</v>
      </c>
      <c r="EG15" s="8" t="str">
        <f t="shared" si="22"/>
        <v>AAAAAAA</v>
      </c>
      <c r="EH15" s="8" t="str">
        <f t="shared" si="23"/>
        <v/>
      </c>
      <c r="EI15" s="8" t="str">
        <f t="shared" si="24"/>
        <v/>
      </c>
      <c r="EJ15">
        <f t="shared" si="25"/>
        <v>0</v>
      </c>
      <c r="EK15">
        <f t="shared" si="25"/>
        <v>0</v>
      </c>
      <c r="EM15" s="8" t="str">
        <f t="shared" si="26"/>
        <v>AAAAAAA</v>
      </c>
      <c r="EN15" s="8" t="str">
        <f t="shared" si="27"/>
        <v/>
      </c>
      <c r="EO15" s="8" t="str">
        <f t="shared" si="28"/>
        <v/>
      </c>
      <c r="EP15">
        <f t="shared" si="29"/>
        <v>0</v>
      </c>
      <c r="EQ15">
        <f t="shared" si="29"/>
        <v>0</v>
      </c>
      <c r="ES15" s="8" t="str">
        <f t="shared" si="30"/>
        <v>AAAAAAA</v>
      </c>
      <c r="ET15" s="8" t="str">
        <f t="shared" si="31"/>
        <v/>
      </c>
      <c r="EU15" s="8" t="str">
        <f t="shared" si="32"/>
        <v/>
      </c>
      <c r="EV15">
        <f t="shared" si="33"/>
        <v>0</v>
      </c>
      <c r="EW15">
        <f t="shared" si="33"/>
        <v>0</v>
      </c>
      <c r="EY15" s="8" t="str">
        <f>Hidden!$CG9</f>
        <v/>
      </c>
      <c r="EZ15">
        <f t="shared" si="34"/>
        <v>0</v>
      </c>
      <c r="FA15">
        <f t="shared" si="35"/>
        <v>0</v>
      </c>
      <c r="FB15">
        <f t="shared" si="36"/>
        <v>0</v>
      </c>
      <c r="FC15">
        <f t="shared" si="37"/>
        <v>0</v>
      </c>
      <c r="FD15">
        <f t="shared" si="38"/>
        <v>0</v>
      </c>
      <c r="FE15">
        <f t="shared" si="39"/>
        <v>0</v>
      </c>
      <c r="FF15">
        <f t="shared" si="40"/>
        <v>0</v>
      </c>
      <c r="FG15">
        <f t="shared" si="41"/>
        <v>0</v>
      </c>
      <c r="FH15">
        <f t="shared" si="42"/>
        <v>0</v>
      </c>
      <c r="FI15">
        <f t="shared" si="43"/>
        <v>0</v>
      </c>
      <c r="GH15">
        <f>IF(OR(GI15=0,ISNUMBER(MATCH(GI15,$GI$2:GI14,0))),0,MAX($GH$2:GH14)+1)</f>
        <v>0</v>
      </c>
      <c r="GI15">
        <f t="shared" si="44"/>
        <v>0</v>
      </c>
      <c r="GL15">
        <f>IF(OR(GM15=0,ISNUMBER(MATCH(GM15,$GM$2:GM14,0))),0,MAX($GL$2:GL14)+1)</f>
        <v>0</v>
      </c>
      <c r="GM15">
        <f t="shared" si="45"/>
        <v>0</v>
      </c>
    </row>
    <row r="16" spans="1:196" ht="28.5" x14ac:dyDescent="0.2">
      <c r="D16" t="s">
        <v>8741</v>
      </c>
      <c r="E16" t="s">
        <v>8742</v>
      </c>
      <c r="J16" t="s">
        <v>8741</v>
      </c>
      <c r="K16" t="s">
        <v>8742</v>
      </c>
      <c r="P16" t="s">
        <v>8741</v>
      </c>
      <c r="Q16" t="s">
        <v>8742</v>
      </c>
      <c r="V16" t="s">
        <v>8741</v>
      </c>
      <c r="W16" t="s">
        <v>8742</v>
      </c>
      <c r="AB16" t="s">
        <v>8741</v>
      </c>
      <c r="AC16" t="s">
        <v>8742</v>
      </c>
      <c r="AE16" s="77"/>
      <c r="AF16" s="77"/>
      <c r="AG16" s="77"/>
      <c r="AH16" s="77"/>
      <c r="AI16" s="77"/>
      <c r="AJ16" s="77"/>
      <c r="AK16" s="77"/>
      <c r="AL16" s="77"/>
      <c r="AM16" s="77"/>
      <c r="AN16" s="77"/>
      <c r="AO16" s="77"/>
      <c r="BK16" t="s">
        <v>8741</v>
      </c>
      <c r="BL16" t="s">
        <v>8742</v>
      </c>
      <c r="BQ16" t="s">
        <v>8741</v>
      </c>
      <c r="BR16" t="s">
        <v>8742</v>
      </c>
      <c r="BW16" t="s">
        <v>8741</v>
      </c>
      <c r="BX16" t="s">
        <v>8742</v>
      </c>
      <c r="CC16" t="s">
        <v>8741</v>
      </c>
      <c r="CD16" t="s">
        <v>8742</v>
      </c>
      <c r="CI16" t="s">
        <v>8741</v>
      </c>
      <c r="CJ16" t="s">
        <v>8742</v>
      </c>
      <c r="CN16" s="77"/>
      <c r="CO16" s="77"/>
      <c r="CP16" s="77"/>
      <c r="CQ16" s="77"/>
      <c r="CR16" s="77"/>
      <c r="CS16" s="77"/>
      <c r="CT16" s="77"/>
      <c r="CU16" s="77"/>
      <c r="CV16" s="77"/>
      <c r="CW16" s="77"/>
      <c r="CX16" s="77"/>
      <c r="DT16" s="77"/>
      <c r="DU16" s="8" t="str">
        <f t="shared" si="14"/>
        <v>AAAAAAAA</v>
      </c>
      <c r="DV16" s="8" t="str">
        <f t="shared" si="15"/>
        <v/>
      </c>
      <c r="DW16" s="8" t="str">
        <f t="shared" si="16"/>
        <v/>
      </c>
      <c r="DX16">
        <f t="shared" si="17"/>
        <v>0</v>
      </c>
      <c r="DY16">
        <f t="shared" si="17"/>
        <v>0</v>
      </c>
      <c r="EA16" t="str">
        <f t="shared" si="18"/>
        <v>AAAAAAAA</v>
      </c>
      <c r="EB16" t="str">
        <f t="shared" si="19"/>
        <v/>
      </c>
      <c r="EC16" t="str">
        <f t="shared" si="20"/>
        <v/>
      </c>
      <c r="ED16">
        <f t="shared" si="21"/>
        <v>0</v>
      </c>
      <c r="EE16">
        <f t="shared" si="21"/>
        <v>0</v>
      </c>
      <c r="EG16" s="8" t="str">
        <f t="shared" si="22"/>
        <v>AAAAAAAA</v>
      </c>
      <c r="EH16" s="8" t="str">
        <f t="shared" si="23"/>
        <v/>
      </c>
      <c r="EI16" s="8" t="str">
        <f t="shared" si="24"/>
        <v/>
      </c>
      <c r="EJ16">
        <f t="shared" si="25"/>
        <v>0</v>
      </c>
      <c r="EK16">
        <f t="shared" si="25"/>
        <v>0</v>
      </c>
      <c r="EM16" s="8" t="str">
        <f t="shared" si="26"/>
        <v>AAAAAAAA</v>
      </c>
      <c r="EN16" s="8" t="str">
        <f t="shared" si="27"/>
        <v/>
      </c>
      <c r="EO16" s="8" t="str">
        <f t="shared" si="28"/>
        <v/>
      </c>
      <c r="EP16">
        <f t="shared" si="29"/>
        <v>0</v>
      </c>
      <c r="EQ16">
        <f t="shared" si="29"/>
        <v>0</v>
      </c>
      <c r="ES16" s="8" t="str">
        <f t="shared" si="30"/>
        <v>AAAAAAAA</v>
      </c>
      <c r="ET16" s="8" t="str">
        <f t="shared" si="31"/>
        <v/>
      </c>
      <c r="EU16" s="8" t="str">
        <f t="shared" si="32"/>
        <v/>
      </c>
      <c r="EV16">
        <f t="shared" si="33"/>
        <v>0</v>
      </c>
      <c r="EW16">
        <f t="shared" si="33"/>
        <v>0</v>
      </c>
      <c r="EY16" s="8" t="str">
        <f>Hidden!$CG10</f>
        <v/>
      </c>
      <c r="EZ16">
        <f t="shared" si="34"/>
        <v>0</v>
      </c>
      <c r="FA16">
        <f t="shared" si="35"/>
        <v>0</v>
      </c>
      <c r="FB16">
        <f t="shared" si="36"/>
        <v>0</v>
      </c>
      <c r="FC16">
        <f t="shared" si="37"/>
        <v>0</v>
      </c>
      <c r="FD16">
        <f t="shared" si="38"/>
        <v>0</v>
      </c>
      <c r="FE16">
        <f t="shared" si="39"/>
        <v>0</v>
      </c>
      <c r="FF16">
        <f t="shared" si="40"/>
        <v>0</v>
      </c>
      <c r="FG16">
        <f t="shared" si="41"/>
        <v>0</v>
      </c>
      <c r="FH16">
        <f t="shared" si="42"/>
        <v>0</v>
      </c>
      <c r="FI16">
        <f t="shared" si="43"/>
        <v>0</v>
      </c>
      <c r="GH16">
        <f>IF(OR(GI16=0,ISNUMBER(MATCH(GI16,$GI$2:GI15,0))),0,MAX($GH$2:GH15)+1)</f>
        <v>0</v>
      </c>
      <c r="GI16">
        <f t="shared" si="44"/>
        <v>0</v>
      </c>
      <c r="GL16">
        <f>IF(OR(GM16=0,ISNUMBER(MATCH(GM16,$GM$2:GM15,0))),0,MAX($GL$2:GL15)+1)</f>
        <v>0</v>
      </c>
      <c r="GM16">
        <f t="shared" si="45"/>
        <v>0</v>
      </c>
    </row>
    <row r="17" spans="1:195" ht="28.5" x14ac:dyDescent="0.2">
      <c r="A17" t="s">
        <v>229</v>
      </c>
      <c r="D17">
        <f>ConvenienceLand!F18</f>
        <v>0</v>
      </c>
      <c r="E17">
        <f>ConvenienceLand!H18</f>
        <v>0</v>
      </c>
      <c r="G17" t="s">
        <v>229</v>
      </c>
      <c r="J17">
        <f>ConvenienceLand!F35</f>
        <v>0</v>
      </c>
      <c r="K17">
        <f>ConvenienceLand!H35</f>
        <v>0</v>
      </c>
      <c r="M17" t="s">
        <v>229</v>
      </c>
      <c r="P17">
        <f>ConvenienceLand!F52</f>
        <v>0</v>
      </c>
      <c r="Q17">
        <f>ConvenienceLand!H52</f>
        <v>0</v>
      </c>
      <c r="S17" t="s">
        <v>229</v>
      </c>
      <c r="V17">
        <f>ConvenienceLand!F69</f>
        <v>0</v>
      </c>
      <c r="W17">
        <f>ConvenienceLand!H69</f>
        <v>0</v>
      </c>
      <c r="Y17" t="s">
        <v>229</v>
      </c>
      <c r="AB17">
        <f>ConvenienceLand!F86</f>
        <v>0</v>
      </c>
      <c r="AC17">
        <f>ConvenienceLand!H86</f>
        <v>0</v>
      </c>
      <c r="AE17" t="s">
        <v>9970</v>
      </c>
      <c r="AF17" t="b">
        <f>IF(OR(Tank1!$D$18="EXTERNAL FLOATING ROOF",Tank1!$D$18="INTERNAL FLOATING ROOF"),TRUE,FALSE)</f>
        <v>0</v>
      </c>
      <c r="AG17" t="b">
        <f>IF(OR(Tank2!$D$18="EXTERNAL FLOATING ROOF",Tank2!$D$18="INTERNAL FLOATING ROOF"),TRUE,FALSE)</f>
        <v>0</v>
      </c>
      <c r="AH17" t="b">
        <f>IF(OR(Tank3!$D$18="EXTERNAL FLOATING ROOF",Tank3!$D$18="INTERNAL FLOATING ROOF"),TRUE,FALSE)</f>
        <v>0</v>
      </c>
      <c r="AI17" t="b">
        <f>IF(OR(Tank4!$D$18="EXTERNAL FLOATING ROOF",Tank4!$D$18="INTERNAL FLOATING ROOF"),TRUE,FALSE)</f>
        <v>0</v>
      </c>
      <c r="AJ17" t="b">
        <f>IF(OR(Tank5!$D$18="EXTERNAL FLOATING ROOF",Tank5!$D$18="INTERNAL FLOATING ROOF"),TRUE,FALSE)</f>
        <v>0</v>
      </c>
      <c r="AK17" t="b">
        <f>AF$17</f>
        <v>0</v>
      </c>
      <c r="AL17" t="b">
        <f t="shared" ref="AL17:AO17" si="46">AG$17</f>
        <v>0</v>
      </c>
      <c r="AM17" t="b">
        <f t="shared" si="46"/>
        <v>0</v>
      </c>
      <c r="AN17" t="b">
        <f t="shared" si="46"/>
        <v>0</v>
      </c>
      <c r="AO17" t="b">
        <f t="shared" si="46"/>
        <v>0</v>
      </c>
      <c r="BJ17" t="s">
        <v>229</v>
      </c>
      <c r="BK17" s="156">
        <f>TankMSS!$C$93</f>
        <v>0</v>
      </c>
      <c r="BL17" s="156">
        <f>TankMSS!$D$93</f>
        <v>0</v>
      </c>
      <c r="BP17" t="s">
        <v>229</v>
      </c>
      <c r="BQ17" s="156">
        <f>TankMSS!$C$93</f>
        <v>0</v>
      </c>
      <c r="BR17" s="156">
        <f>TankMSS!$D$93</f>
        <v>0</v>
      </c>
      <c r="BV17" t="s">
        <v>229</v>
      </c>
      <c r="BW17" s="156">
        <f>TankMSS!$C$93</f>
        <v>0</v>
      </c>
      <c r="BX17" s="156">
        <f>TankMSS!$D$93</f>
        <v>0</v>
      </c>
      <c r="CB17" t="s">
        <v>229</v>
      </c>
      <c r="CC17" s="156">
        <f>TankMSS!$C$93</f>
        <v>0</v>
      </c>
      <c r="CD17" s="156">
        <f>TankMSS!$D$93</f>
        <v>0</v>
      </c>
      <c r="CH17" t="s">
        <v>229</v>
      </c>
      <c r="CI17" s="156">
        <f>TankMSS!$C$93</f>
        <v>0</v>
      </c>
      <c r="CJ17" s="156">
        <f>TankMSS!$D$93</f>
        <v>0</v>
      </c>
      <c r="CN17" t="s">
        <v>9970</v>
      </c>
      <c r="CO17" t="b">
        <f>IF(OR(Tank1!$D$18="EXTERNAL FLOATING ROOF",Tank1!$D$18="INTERNAL FLOATING ROOF"),TRUE,FALSE)</f>
        <v>0</v>
      </c>
      <c r="CP17" t="b">
        <f>IF(OR(Tank2!$D$18="EXTERNAL FLOATING ROOF",Tank2!$D$18="INTERNAL FLOATING ROOF"),TRUE,FALSE)</f>
        <v>0</v>
      </c>
      <c r="CQ17" t="b">
        <f>IF(OR(Tank3!$D$18="EXTERNAL FLOATING ROOF",Tank3!$D$18="INTERNAL FLOATING ROOF"),TRUE,FALSE)</f>
        <v>0</v>
      </c>
      <c r="CR17" t="b">
        <f>IF(OR(Tank4!$D$18="EXTERNAL FLOATING ROOF",Tank4!$D$18="INTERNAL FLOATING ROOF"),TRUE,FALSE)</f>
        <v>0</v>
      </c>
      <c r="CS17" t="b">
        <f>IF(OR(Tank5!$D$18="EXTERNAL FLOATING ROOF",Tank5!$D$18="INTERNAL FLOATING ROOF"),TRUE,FALSE)</f>
        <v>0</v>
      </c>
      <c r="CT17" t="b">
        <f>CO$17</f>
        <v>0</v>
      </c>
      <c r="CU17" t="b">
        <f t="shared" ref="CU17:CX17" si="47">CP$17</f>
        <v>0</v>
      </c>
      <c r="CV17" t="b">
        <f t="shared" si="47"/>
        <v>0</v>
      </c>
      <c r="CW17" t="b">
        <f t="shared" si="47"/>
        <v>0</v>
      </c>
      <c r="CX17" t="b">
        <f t="shared" si="47"/>
        <v>0</v>
      </c>
      <c r="DT17" s="77"/>
      <c r="DU17" s="8" t="str">
        <f t="shared" si="14"/>
        <v>AAAAAAAAA</v>
      </c>
      <c r="DV17" s="8" t="str">
        <f t="shared" si="15"/>
        <v/>
      </c>
      <c r="DW17" s="8" t="str">
        <f t="shared" si="16"/>
        <v/>
      </c>
      <c r="DX17">
        <f t="shared" si="17"/>
        <v>0</v>
      </c>
      <c r="DY17">
        <f t="shared" si="17"/>
        <v>0</v>
      </c>
      <c r="EA17" t="str">
        <f t="shared" si="18"/>
        <v>AAAAAAAAA</v>
      </c>
      <c r="EB17" t="str">
        <f t="shared" si="19"/>
        <v/>
      </c>
      <c r="EC17" t="str">
        <f t="shared" si="20"/>
        <v/>
      </c>
      <c r="ED17">
        <f t="shared" si="21"/>
        <v>0</v>
      </c>
      <c r="EE17">
        <f t="shared" si="21"/>
        <v>0</v>
      </c>
      <c r="EG17" s="8" t="str">
        <f t="shared" si="22"/>
        <v>AAAAAAAAA</v>
      </c>
      <c r="EH17" s="8" t="str">
        <f t="shared" si="23"/>
        <v/>
      </c>
      <c r="EI17" s="8" t="str">
        <f t="shared" si="24"/>
        <v/>
      </c>
      <c r="EJ17">
        <f t="shared" si="25"/>
        <v>0</v>
      </c>
      <c r="EK17">
        <f t="shared" si="25"/>
        <v>0</v>
      </c>
      <c r="EM17" s="8" t="str">
        <f t="shared" si="26"/>
        <v>AAAAAAAAA</v>
      </c>
      <c r="EN17" s="8" t="str">
        <f t="shared" si="27"/>
        <v/>
      </c>
      <c r="EO17" s="8" t="str">
        <f t="shared" si="28"/>
        <v/>
      </c>
      <c r="EP17">
        <f t="shared" si="29"/>
        <v>0</v>
      </c>
      <c r="EQ17">
        <f t="shared" si="29"/>
        <v>0</v>
      </c>
      <c r="ES17" s="8" t="str">
        <f t="shared" si="30"/>
        <v>AAAAAAAAA</v>
      </c>
      <c r="ET17" s="8" t="str">
        <f t="shared" si="31"/>
        <v/>
      </c>
      <c r="EU17" s="8" t="str">
        <f t="shared" si="32"/>
        <v/>
      </c>
      <c r="EV17">
        <f t="shared" si="33"/>
        <v>0</v>
      </c>
      <c r="EW17">
        <f t="shared" si="33"/>
        <v>0</v>
      </c>
      <c r="EY17" s="8" t="str">
        <f>Hidden!$CG11</f>
        <v/>
      </c>
      <c r="EZ17">
        <f t="shared" si="34"/>
        <v>0</v>
      </c>
      <c r="FA17">
        <f t="shared" si="35"/>
        <v>0</v>
      </c>
      <c r="FB17">
        <f t="shared" si="36"/>
        <v>0</v>
      </c>
      <c r="FC17">
        <f t="shared" si="37"/>
        <v>0</v>
      </c>
      <c r="FD17">
        <f t="shared" si="38"/>
        <v>0</v>
      </c>
      <c r="FE17">
        <f t="shared" si="39"/>
        <v>0</v>
      </c>
      <c r="FF17">
        <f t="shared" si="40"/>
        <v>0</v>
      </c>
      <c r="FG17">
        <f t="shared" si="41"/>
        <v>0</v>
      </c>
      <c r="FH17">
        <f t="shared" si="42"/>
        <v>0</v>
      </c>
      <c r="FI17">
        <f t="shared" si="43"/>
        <v>0</v>
      </c>
      <c r="GH17">
        <f>IF(OR(GI17=0,ISNUMBER(MATCH(GI17,$GI$2:GI16,0))),0,MAX($GH$2:GH16)+1)</f>
        <v>0</v>
      </c>
      <c r="GI17">
        <f t="shared" si="44"/>
        <v>0</v>
      </c>
      <c r="GL17">
        <f>IF(OR(GM17=0,ISNUMBER(MATCH(GM17,$GM$2:GM16,0))),0,MAX($GL$2:GL16)+1)</f>
        <v>0</v>
      </c>
      <c r="GM17">
        <f t="shared" si="45"/>
        <v>0</v>
      </c>
    </row>
    <row r="18" spans="1:195" ht="28.5" x14ac:dyDescent="0.2">
      <c r="AE18" s="77"/>
      <c r="AF18" s="77"/>
      <c r="AG18" s="77"/>
      <c r="AH18" s="77"/>
      <c r="AI18" s="77"/>
      <c r="AJ18" s="77"/>
      <c r="AK18" s="77"/>
      <c r="AL18" s="77"/>
      <c r="AM18" s="77"/>
      <c r="AN18" s="77"/>
      <c r="AO18" s="77"/>
      <c r="CN18" s="77"/>
      <c r="CO18" s="77"/>
      <c r="CP18" s="77"/>
      <c r="CQ18" s="77"/>
      <c r="CR18" s="77"/>
      <c r="CS18" s="77"/>
      <c r="CT18" s="77"/>
      <c r="CU18" s="77"/>
      <c r="CV18" s="77"/>
      <c r="CW18" s="77"/>
      <c r="CX18" s="77"/>
      <c r="DT18" s="77"/>
      <c r="DU18" s="8" t="str">
        <f t="shared" si="14"/>
        <v>AAAAAAAAAA</v>
      </c>
      <c r="DV18" s="8" t="str">
        <f t="shared" si="15"/>
        <v/>
      </c>
      <c r="DW18" s="8" t="str">
        <f t="shared" si="16"/>
        <v/>
      </c>
      <c r="DX18">
        <f t="shared" si="17"/>
        <v>0</v>
      </c>
      <c r="DY18">
        <f t="shared" si="17"/>
        <v>0</v>
      </c>
      <c r="EA18" t="str">
        <f t="shared" si="18"/>
        <v>AAAAAAAAAA</v>
      </c>
      <c r="EB18" t="str">
        <f t="shared" si="19"/>
        <v/>
      </c>
      <c r="EC18" t="str">
        <f t="shared" si="20"/>
        <v/>
      </c>
      <c r="ED18">
        <f t="shared" si="21"/>
        <v>0</v>
      </c>
      <c r="EE18">
        <f t="shared" si="21"/>
        <v>0</v>
      </c>
      <c r="EG18" s="8" t="str">
        <f t="shared" si="22"/>
        <v>AAAAAAAAAA</v>
      </c>
      <c r="EH18" s="8" t="str">
        <f t="shared" si="23"/>
        <v/>
      </c>
      <c r="EI18" s="8" t="str">
        <f t="shared" si="24"/>
        <v/>
      </c>
      <c r="EJ18">
        <f t="shared" si="25"/>
        <v>0</v>
      </c>
      <c r="EK18">
        <f t="shared" si="25"/>
        <v>0</v>
      </c>
      <c r="EM18" s="8" t="str">
        <f t="shared" si="26"/>
        <v>AAAAAAAAAA</v>
      </c>
      <c r="EN18" s="8" t="str">
        <f t="shared" si="27"/>
        <v/>
      </c>
      <c r="EO18" s="8" t="str">
        <f t="shared" si="28"/>
        <v/>
      </c>
      <c r="EP18">
        <f t="shared" si="29"/>
        <v>0</v>
      </c>
      <c r="EQ18">
        <f t="shared" si="29"/>
        <v>0</v>
      </c>
      <c r="ES18" s="8" t="str">
        <f t="shared" si="30"/>
        <v>AAAAAAAAAA</v>
      </c>
      <c r="ET18" s="8" t="str">
        <f t="shared" si="31"/>
        <v/>
      </c>
      <c r="EU18" s="8" t="str">
        <f t="shared" si="32"/>
        <v/>
      </c>
      <c r="EV18">
        <f t="shared" si="33"/>
        <v>0</v>
      </c>
      <c r="EW18">
        <f t="shared" si="33"/>
        <v>0</v>
      </c>
      <c r="EY18" s="8" t="str">
        <f>Hidden!$CG12</f>
        <v/>
      </c>
      <c r="EZ18">
        <f t="shared" si="34"/>
        <v>0</v>
      </c>
      <c r="FA18">
        <f t="shared" si="35"/>
        <v>0</v>
      </c>
      <c r="FB18">
        <f t="shared" si="36"/>
        <v>0</v>
      </c>
      <c r="FC18">
        <f t="shared" si="37"/>
        <v>0</v>
      </c>
      <c r="FD18">
        <f t="shared" si="38"/>
        <v>0</v>
      </c>
      <c r="FE18">
        <f t="shared" si="39"/>
        <v>0</v>
      </c>
      <c r="FF18">
        <f t="shared" si="40"/>
        <v>0</v>
      </c>
      <c r="FG18">
        <f t="shared" si="41"/>
        <v>0</v>
      </c>
      <c r="FH18">
        <f t="shared" si="42"/>
        <v>0</v>
      </c>
      <c r="FI18">
        <f t="shared" si="43"/>
        <v>0</v>
      </c>
      <c r="GH18">
        <f>IF(OR(GI18=0,ISNUMBER(MATCH(GI18,$GI$2:GI17,0))),0,MAX($GH$2:GH17)+1)</f>
        <v>0</v>
      </c>
      <c r="GI18">
        <f t="shared" si="44"/>
        <v>0</v>
      </c>
      <c r="GL18">
        <f>IF(OR(GM18=0,ISNUMBER(MATCH(GM18,$GM$2:GM17,0))),0,MAX($GL$2:GL17)+1)</f>
        <v>0</v>
      </c>
      <c r="GM18">
        <f t="shared" si="45"/>
        <v>0</v>
      </c>
    </row>
    <row r="19" spans="1:195" ht="28.5" x14ac:dyDescent="0.2">
      <c r="A19" t="s">
        <v>289</v>
      </c>
      <c r="B19" t="s">
        <v>9203</v>
      </c>
      <c r="C19" t="s">
        <v>9727</v>
      </c>
      <c r="D19" t="s">
        <v>8741</v>
      </c>
      <c r="E19" t="s">
        <v>8742</v>
      </c>
      <c r="G19" t="s">
        <v>289</v>
      </c>
      <c r="H19" t="s">
        <v>9203</v>
      </c>
      <c r="I19" t="s">
        <v>9727</v>
      </c>
      <c r="J19" t="s">
        <v>8741</v>
      </c>
      <c r="K19" t="s">
        <v>8742</v>
      </c>
      <c r="M19" t="s">
        <v>289</v>
      </c>
      <c r="N19" t="s">
        <v>9203</v>
      </c>
      <c r="O19" t="s">
        <v>9727</v>
      </c>
      <c r="P19" t="s">
        <v>8741</v>
      </c>
      <c r="Q19" t="s">
        <v>8742</v>
      </c>
      <c r="S19" t="s">
        <v>289</v>
      </c>
      <c r="T19" t="s">
        <v>9203</v>
      </c>
      <c r="U19" t="s">
        <v>9727</v>
      </c>
      <c r="V19" t="s">
        <v>8741</v>
      </c>
      <c r="W19" t="s">
        <v>8742</v>
      </c>
      <c r="Y19" t="s">
        <v>289</v>
      </c>
      <c r="Z19" t="s">
        <v>9203</v>
      </c>
      <c r="AA19" t="s">
        <v>9727</v>
      </c>
      <c r="AB19" t="s">
        <v>8741</v>
      </c>
      <c r="AC19" t="s">
        <v>8742</v>
      </c>
      <c r="AE19" t="s">
        <v>9203</v>
      </c>
      <c r="AF19" t="s">
        <v>8741</v>
      </c>
      <c r="AG19" t="s">
        <v>8741</v>
      </c>
      <c r="AH19" t="s">
        <v>8741</v>
      </c>
      <c r="AI19" t="s">
        <v>8741</v>
      </c>
      <c r="AJ19" t="s">
        <v>8741</v>
      </c>
      <c r="AK19" t="s">
        <v>8742</v>
      </c>
      <c r="AL19" t="s">
        <v>8742</v>
      </c>
      <c r="AM19" t="s">
        <v>8742</v>
      </c>
      <c r="AN19" t="s">
        <v>8742</v>
      </c>
      <c r="AO19" t="s">
        <v>8742</v>
      </c>
      <c r="BJ19" t="s">
        <v>289</v>
      </c>
      <c r="BK19" t="s">
        <v>9203</v>
      </c>
      <c r="BL19" t="s">
        <v>9727</v>
      </c>
      <c r="BM19" t="s">
        <v>8741</v>
      </c>
      <c r="BN19" t="s">
        <v>8742</v>
      </c>
      <c r="BP19" t="s">
        <v>289</v>
      </c>
      <c r="BQ19" t="s">
        <v>9203</v>
      </c>
      <c r="BR19" t="s">
        <v>9727</v>
      </c>
      <c r="BS19" t="s">
        <v>8741</v>
      </c>
      <c r="BT19" t="s">
        <v>8742</v>
      </c>
      <c r="BV19" t="s">
        <v>289</v>
      </c>
      <c r="BW19" t="s">
        <v>9203</v>
      </c>
      <c r="BX19" t="s">
        <v>9727</v>
      </c>
      <c r="BY19" t="s">
        <v>8741</v>
      </c>
      <c r="BZ19" t="s">
        <v>8742</v>
      </c>
      <c r="CB19" t="s">
        <v>289</v>
      </c>
      <c r="CC19" t="s">
        <v>9203</v>
      </c>
      <c r="CD19" t="s">
        <v>9727</v>
      </c>
      <c r="CE19" t="s">
        <v>8741</v>
      </c>
      <c r="CF19" t="s">
        <v>8742</v>
      </c>
      <c r="CH19" t="s">
        <v>289</v>
      </c>
      <c r="CI19" t="s">
        <v>9203</v>
      </c>
      <c r="CJ19" t="s">
        <v>9727</v>
      </c>
      <c r="CK19" t="s">
        <v>8741</v>
      </c>
      <c r="CL19" t="s">
        <v>8742</v>
      </c>
      <c r="CN19" t="s">
        <v>9203</v>
      </c>
      <c r="CO19" t="s">
        <v>8741</v>
      </c>
      <c r="CP19" t="s">
        <v>8741</v>
      </c>
      <c r="CQ19" t="s">
        <v>8741</v>
      </c>
      <c r="CR19" t="s">
        <v>8741</v>
      </c>
      <c r="CS19" t="s">
        <v>8741</v>
      </c>
      <c r="CT19" t="s">
        <v>8742</v>
      </c>
      <c r="CU19" t="s">
        <v>8742</v>
      </c>
      <c r="CV19" t="s">
        <v>8742</v>
      </c>
      <c r="CW19" t="s">
        <v>8742</v>
      </c>
      <c r="CX19" t="s">
        <v>8742</v>
      </c>
      <c r="DT19" s="77"/>
      <c r="DU19" s="8" t="str">
        <f t="shared" si="14"/>
        <v>A</v>
      </c>
      <c r="DV19" s="8" t="str">
        <f t="shared" si="15"/>
        <v/>
      </c>
      <c r="DW19" s="8" t="str">
        <f t="shared" si="16"/>
        <v/>
      </c>
      <c r="DX19">
        <f t="shared" si="17"/>
        <v>0</v>
      </c>
      <c r="DY19">
        <f t="shared" si="17"/>
        <v>0</v>
      </c>
      <c r="EA19" t="str">
        <f t="shared" si="18"/>
        <v>A</v>
      </c>
      <c r="EB19" t="str">
        <f t="shared" si="19"/>
        <v/>
      </c>
      <c r="EC19" t="str">
        <f t="shared" si="20"/>
        <v/>
      </c>
      <c r="ED19">
        <f t="shared" si="21"/>
        <v>0</v>
      </c>
      <c r="EE19">
        <f t="shared" si="21"/>
        <v>0</v>
      </c>
      <c r="EG19" s="8" t="str">
        <f t="shared" si="22"/>
        <v>A</v>
      </c>
      <c r="EH19" s="8" t="str">
        <f t="shared" si="23"/>
        <v/>
      </c>
      <c r="EI19" s="8" t="str">
        <f t="shared" si="24"/>
        <v/>
      </c>
      <c r="EJ19">
        <f t="shared" si="25"/>
        <v>0</v>
      </c>
      <c r="EK19">
        <f t="shared" si="25"/>
        <v>0</v>
      </c>
      <c r="EM19" s="8" t="str">
        <f t="shared" si="26"/>
        <v>A</v>
      </c>
      <c r="EN19" s="8" t="str">
        <f t="shared" si="27"/>
        <v/>
      </c>
      <c r="EO19" s="8" t="str">
        <f t="shared" si="28"/>
        <v/>
      </c>
      <c r="EP19">
        <f t="shared" si="29"/>
        <v>0</v>
      </c>
      <c r="EQ19">
        <f t="shared" si="29"/>
        <v>0</v>
      </c>
      <c r="ES19" s="8" t="str">
        <f t="shared" si="30"/>
        <v>A</v>
      </c>
      <c r="ET19" s="8" t="str">
        <f t="shared" si="31"/>
        <v/>
      </c>
      <c r="EU19" s="8" t="str">
        <f t="shared" si="32"/>
        <v/>
      </c>
      <c r="EV19">
        <f t="shared" si="33"/>
        <v>0</v>
      </c>
      <c r="EW19">
        <f t="shared" si="33"/>
        <v>0</v>
      </c>
      <c r="EY19" s="8" t="str">
        <f>Hidden!$CG13</f>
        <v/>
      </c>
      <c r="EZ19">
        <f t="shared" si="34"/>
        <v>0</v>
      </c>
      <c r="FA19">
        <f t="shared" si="35"/>
        <v>0</v>
      </c>
      <c r="FB19">
        <f t="shared" si="36"/>
        <v>0</v>
      </c>
      <c r="FC19">
        <f t="shared" si="37"/>
        <v>0</v>
      </c>
      <c r="FD19">
        <f t="shared" si="38"/>
        <v>0</v>
      </c>
      <c r="FE19">
        <f t="shared" si="39"/>
        <v>0</v>
      </c>
      <c r="FF19">
        <f t="shared" si="40"/>
        <v>0</v>
      </c>
      <c r="FG19">
        <f t="shared" si="41"/>
        <v>0</v>
      </c>
      <c r="FH19">
        <f t="shared" si="42"/>
        <v>0</v>
      </c>
      <c r="FI19">
        <f t="shared" si="43"/>
        <v>0</v>
      </c>
      <c r="GH19">
        <f>IF(OR(GI19=0,ISNUMBER(MATCH(GI19,$GI$2:GI18,0))),0,MAX($GH$2:GH18)+1)</f>
        <v>0</v>
      </c>
      <c r="GI19">
        <f t="shared" si="44"/>
        <v>0</v>
      </c>
      <c r="GL19">
        <f>IF(OR(GM19=0,ISNUMBER(MATCH(GM19,$GM$2:GM18,0))),0,MAX($GL$2:GL18)+1)</f>
        <v>0</v>
      </c>
      <c r="GM19">
        <f t="shared" si="45"/>
        <v>0</v>
      </c>
    </row>
    <row r="20" spans="1:195" x14ac:dyDescent="0.2">
      <c r="A20" s="8" t="str">
        <f>Tank1!A33</f>
        <v>A</v>
      </c>
      <c r="B20" s="8" t="str">
        <f>Tank1!E33</f>
        <v/>
      </c>
      <c r="C20" s="8" t="str">
        <f>Tank1!F33</f>
        <v/>
      </c>
      <c r="D20" s="8">
        <f>IF($C20="",0,$C20*D$17)</f>
        <v>0</v>
      </c>
      <c r="E20" s="8">
        <f>IF($C20="",0,$C20*E$17)</f>
        <v>0</v>
      </c>
      <c r="G20" s="8" t="str">
        <f>Tank2!A33</f>
        <v>A</v>
      </c>
      <c r="H20" s="8" t="str">
        <f>Tank2!E33</f>
        <v/>
      </c>
      <c r="I20" s="8" t="str">
        <f>Tank2!F33</f>
        <v/>
      </c>
      <c r="J20">
        <f>IF($I20="",0,$I20*J$17)</f>
        <v>0</v>
      </c>
      <c r="K20">
        <f>IF($I20="",0,$I20*K$17)</f>
        <v>0</v>
      </c>
      <c r="M20" s="8" t="str">
        <f>Tank3!A33</f>
        <v>A</v>
      </c>
      <c r="N20" s="8" t="str">
        <f>Tank3!E33</f>
        <v/>
      </c>
      <c r="O20" s="8" t="str">
        <f>Tank3!F33</f>
        <v/>
      </c>
      <c r="P20">
        <f>IF($O20="",0,$O20*P$17)</f>
        <v>0</v>
      </c>
      <c r="Q20">
        <f>IF($O20="",0,$O20*Q$17)</f>
        <v>0</v>
      </c>
      <c r="S20" s="8" t="str">
        <f>Tank4!A33</f>
        <v>A</v>
      </c>
      <c r="T20" s="8" t="str">
        <f>Tank4!E33</f>
        <v/>
      </c>
      <c r="U20" s="8" t="str">
        <f>Tank4!F33</f>
        <v/>
      </c>
      <c r="V20">
        <f>IF($U20="",0,$U20*V$17)</f>
        <v>0</v>
      </c>
      <c r="W20">
        <f>IF($U20="",0,$U20*W$17)</f>
        <v>0</v>
      </c>
      <c r="Y20" s="8" t="str">
        <f>Tank5!A33</f>
        <v>A</v>
      </c>
      <c r="Z20" s="8" t="str">
        <f>Tank5!E33</f>
        <v/>
      </c>
      <c r="AA20" s="8" t="str">
        <f>Tank5!F33</f>
        <v/>
      </c>
      <c r="AB20">
        <f>IF($AA20="",0,$AA20*AB$17)</f>
        <v>0</v>
      </c>
      <c r="AC20">
        <f>IF($AA20="",0,$AA20*AC$17)</f>
        <v>0</v>
      </c>
      <c r="AE20" s="8" t="str">
        <f>Hidden!CC3</f>
        <v/>
      </c>
      <c r="AF20">
        <f>IF($AF$17,_xlfn.MAXIFS($D$20:$D$119,$B$20:$B$119,$AE20),0)</f>
        <v>0</v>
      </c>
      <c r="AG20">
        <f>IF($AG$17,_xlfn.MAXIFS($J$20:$J$119,$H$20:$H$119,$AE20),0)</f>
        <v>0</v>
      </c>
      <c r="AH20">
        <f>IF($AH$17,_xlfn.MAXIFS($P$20:$P$119,$N$20:$N$119,$AE20),0)</f>
        <v>0</v>
      </c>
      <c r="AI20">
        <f>IF($AI$17,_xlfn.MAXIFS($V$20:$V$119,$T$20:$T$119,$AE20),0)</f>
        <v>0</v>
      </c>
      <c r="AJ20">
        <f>IF($AJ$17,_xlfn.MAXIFS($AB$20:$AB$119,$Z$20:$Z$119,$AE20),0)</f>
        <v>0</v>
      </c>
      <c r="AK20">
        <f>IF($AK$17,_xlfn.MAXIFS($E$20:$E$119,$B$20:$B$119,$AE20),0)</f>
        <v>0</v>
      </c>
      <c r="AL20">
        <f>IF($AL$17,_xlfn.MAXIFS($K$20:$K$119,$H$20:$H$119,$AE20),0)</f>
        <v>0</v>
      </c>
      <c r="AM20">
        <f>IF($AM$17,_xlfn.MAXIFS($Q$20:$Q$119,$N$20:$N$119,$AE20),0)</f>
        <v>0</v>
      </c>
      <c r="AN20">
        <f>IF($AN$17,_xlfn.MAXIFS($W$20:$W$119,$T$20:$T$119,$AE20),0)</f>
        <v>0</v>
      </c>
      <c r="AO20">
        <f>IF($AO$17,_xlfn.MAXIFS($AC$20:$AC$119,$Z$20:$Z$119,$AE20),0)</f>
        <v>0</v>
      </c>
      <c r="BJ20" s="8" t="str">
        <f>Tank1!A33</f>
        <v>A</v>
      </c>
      <c r="BK20" s="8" t="str">
        <f>Tank1!E33</f>
        <v/>
      </c>
      <c r="BL20" s="8" t="str">
        <f>Tank1!F33</f>
        <v/>
      </c>
      <c r="BM20" s="8">
        <f>IF($BL20="",0,$BL20*BK$17)</f>
        <v>0</v>
      </c>
      <c r="BN20" s="8">
        <f>IF($BL20="",0,$BL20*BL$17)</f>
        <v>0</v>
      </c>
      <c r="BO20" s="8"/>
      <c r="BP20" s="8" t="str">
        <f>Tank2!A33</f>
        <v>A</v>
      </c>
      <c r="BQ20" s="8" t="str">
        <f>Tank2!E33</f>
        <v/>
      </c>
      <c r="BR20" s="8" t="str">
        <f>Tank2!F33</f>
        <v/>
      </c>
      <c r="BS20" s="8">
        <f>IF($BR20="",0,$BR20*BQ$17)</f>
        <v>0</v>
      </c>
      <c r="BT20" s="8">
        <f>IF($BR20="",0,$BR20*BR$17)</f>
        <v>0</v>
      </c>
      <c r="BU20" s="8"/>
      <c r="BV20" s="8" t="str">
        <f>Tank3!A33</f>
        <v>A</v>
      </c>
      <c r="BW20" s="8" t="str">
        <f>Tank3!E33</f>
        <v/>
      </c>
      <c r="BX20" s="8" t="str">
        <f>Tank3!F33</f>
        <v/>
      </c>
      <c r="BY20" s="8">
        <f>IF($BX20="",0,$BX20*BW$17)</f>
        <v>0</v>
      </c>
      <c r="BZ20" s="8">
        <f>IF($BX20="",0,$BX20*BX$17)</f>
        <v>0</v>
      </c>
      <c r="CA20" s="8"/>
      <c r="CB20" s="8" t="str">
        <f>Tank4!A33</f>
        <v>A</v>
      </c>
      <c r="CC20" s="8" t="str">
        <f>Tank4!E33</f>
        <v/>
      </c>
      <c r="CD20" s="8" t="str">
        <f>Tank4!F33</f>
        <v/>
      </c>
      <c r="CE20" s="8">
        <f>IF($CD20="",0,$CD20*CC$17)</f>
        <v>0</v>
      </c>
      <c r="CF20" s="8">
        <f>IF($CD20="",0,$CD20*CD$17)</f>
        <v>0</v>
      </c>
      <c r="CH20" s="8" t="str">
        <f>Tank5!A33</f>
        <v>A</v>
      </c>
      <c r="CI20" s="8" t="str">
        <f>Tank5!E33</f>
        <v/>
      </c>
      <c r="CJ20" s="8" t="str">
        <f>Tank5!F33</f>
        <v/>
      </c>
      <c r="CK20" s="8">
        <f>IF($CJ20="",0,$CJ20*CI$17)</f>
        <v>0</v>
      </c>
      <c r="CL20" s="8">
        <f>IF($CJ20="",0,$CJ20*CJ$17)</f>
        <v>0</v>
      </c>
      <c r="CN20" s="8" t="str">
        <f>Hidden!$CC3</f>
        <v/>
      </c>
      <c r="CO20">
        <f>IF(CO$17,_xlfn.MAXIFS($BM$20:$BM$119,$BK$20:$BK$119,$CN20),0)</f>
        <v>0</v>
      </c>
      <c r="CP20">
        <f>IF(CP$17,_xlfn.MAXIFS($BS$20:$BS$119,$BQ$20:$BQ$119,$CN20),0)</f>
        <v>0</v>
      </c>
      <c r="CQ20">
        <f>IF(CQ$17,_xlfn.MAXIFS($BY$20:$BY$119,$BW$20:$BW$119,$CN20),0)</f>
        <v>0</v>
      </c>
      <c r="CR20">
        <f>IF(CR$17,_xlfn.MAXIFS($CE$20:$CE$119,$CC$20:$CC$119,$CN20),0)</f>
        <v>0</v>
      </c>
      <c r="CS20">
        <f>IF(CS$17,_xlfn.MAXIFS($CK$20:$CK$119,$CI$20:$CI$119,$CN20),0)</f>
        <v>0</v>
      </c>
      <c r="CT20">
        <f>IF(CT$17,SUMIF($BK$20:$BK$119,$CN20,$BN$20:$BN$119),0)</f>
        <v>0</v>
      </c>
      <c r="CU20">
        <f>IF(CU$17,SUMIF($BQ$20:$BQ$119,$CN20,$BT$20:$BT$119),0)</f>
        <v>0</v>
      </c>
      <c r="CV20">
        <f>IF(CV$17,SUMIF($BW$20:$BW$119,$CN20,$BZ$20:$BZ$119),0)</f>
        <v>0</v>
      </c>
      <c r="CW20">
        <f>IF(CW$17,SUMIF($CC$20:$CC$119,$CN20,$CF$20:$CF$119),0)</f>
        <v>0</v>
      </c>
      <c r="CX20">
        <f>IF(CX$17,SUMIF($CI$20:$CI$119,$CN20,$CL$20:$CL$119),0)</f>
        <v>0</v>
      </c>
      <c r="DT20" s="77"/>
      <c r="DU20" s="8" t="str">
        <f t="shared" si="14"/>
        <v>AA</v>
      </c>
      <c r="DV20" s="8" t="str">
        <f t="shared" si="15"/>
        <v/>
      </c>
      <c r="DW20" s="8" t="str">
        <f t="shared" si="16"/>
        <v/>
      </c>
      <c r="DX20">
        <f t="shared" si="17"/>
        <v>0</v>
      </c>
      <c r="DY20">
        <f t="shared" si="17"/>
        <v>0</v>
      </c>
      <c r="EA20" t="str">
        <f t="shared" si="18"/>
        <v>AA</v>
      </c>
      <c r="EB20" t="str">
        <f t="shared" si="19"/>
        <v/>
      </c>
      <c r="EC20" t="str">
        <f t="shared" si="20"/>
        <v/>
      </c>
      <c r="ED20">
        <f t="shared" si="21"/>
        <v>0</v>
      </c>
      <c r="EE20">
        <f t="shared" si="21"/>
        <v>0</v>
      </c>
      <c r="EG20" s="8" t="str">
        <f t="shared" si="22"/>
        <v>AA</v>
      </c>
      <c r="EH20" s="8" t="str">
        <f t="shared" si="23"/>
        <v/>
      </c>
      <c r="EI20" s="8" t="str">
        <f t="shared" si="24"/>
        <v/>
      </c>
      <c r="EJ20">
        <f t="shared" si="25"/>
        <v>0</v>
      </c>
      <c r="EK20">
        <f t="shared" si="25"/>
        <v>0</v>
      </c>
      <c r="EM20" s="8" t="str">
        <f t="shared" si="26"/>
        <v>AA</v>
      </c>
      <c r="EN20" s="8" t="str">
        <f t="shared" si="27"/>
        <v/>
      </c>
      <c r="EO20" s="8" t="str">
        <f t="shared" si="28"/>
        <v/>
      </c>
      <c r="EP20">
        <f t="shared" si="29"/>
        <v>0</v>
      </c>
      <c r="EQ20">
        <f t="shared" si="29"/>
        <v>0</v>
      </c>
      <c r="ES20" s="8" t="str">
        <f t="shared" si="30"/>
        <v>AA</v>
      </c>
      <c r="ET20" s="8" t="str">
        <f t="shared" si="31"/>
        <v/>
      </c>
      <c r="EU20" s="8" t="str">
        <f t="shared" si="32"/>
        <v/>
      </c>
      <c r="EV20">
        <f t="shared" si="33"/>
        <v>0</v>
      </c>
      <c r="EW20">
        <f t="shared" si="33"/>
        <v>0</v>
      </c>
      <c r="EY20" s="8" t="str">
        <f>Hidden!$CG14</f>
        <v/>
      </c>
      <c r="EZ20">
        <f t="shared" si="34"/>
        <v>0</v>
      </c>
      <c r="FA20">
        <f t="shared" si="35"/>
        <v>0</v>
      </c>
      <c r="FB20">
        <f t="shared" si="36"/>
        <v>0</v>
      </c>
      <c r="FC20">
        <f t="shared" si="37"/>
        <v>0</v>
      </c>
      <c r="FD20">
        <f t="shared" si="38"/>
        <v>0</v>
      </c>
      <c r="FE20">
        <f t="shared" si="39"/>
        <v>0</v>
      </c>
      <c r="FF20">
        <f t="shared" si="40"/>
        <v>0</v>
      </c>
      <c r="FG20">
        <f t="shared" si="41"/>
        <v>0</v>
      </c>
      <c r="FH20">
        <f t="shared" si="42"/>
        <v>0</v>
      </c>
      <c r="FI20">
        <f t="shared" si="43"/>
        <v>0</v>
      </c>
      <c r="GH20">
        <f>IF(OR(GI20=0,ISNUMBER(MATCH(GI20,$GI$2:GI19,0))),0,MAX($GH$2:GH19)+1)</f>
        <v>0</v>
      </c>
      <c r="GI20">
        <f t="shared" si="44"/>
        <v>0</v>
      </c>
      <c r="GL20">
        <f>IF(OR(GM20=0,ISNUMBER(MATCH(GM20,$GM$2:GM19,0))),0,MAX($GL$2:GL19)+1)</f>
        <v>0</v>
      </c>
      <c r="GM20">
        <f t="shared" si="45"/>
        <v>0</v>
      </c>
    </row>
    <row r="21" spans="1:195" x14ac:dyDescent="0.2">
      <c r="A21" s="8" t="str">
        <f>Tank1!A34</f>
        <v>AA</v>
      </c>
      <c r="B21" s="8" t="str">
        <f>Tank1!E34</f>
        <v/>
      </c>
      <c r="C21" s="8" t="str">
        <f>Tank1!F34</f>
        <v/>
      </c>
      <c r="D21" s="8">
        <f t="shared" ref="D21:E52" si="48">IF($C21="",0,$C21*D$17)</f>
        <v>0</v>
      </c>
      <c r="E21" s="8">
        <f t="shared" si="48"/>
        <v>0</v>
      </c>
      <c r="G21" s="8" t="str">
        <f>Tank2!A34</f>
        <v>AA</v>
      </c>
      <c r="H21" s="8" t="str">
        <f>Tank2!E34</f>
        <v/>
      </c>
      <c r="I21" s="8" t="str">
        <f>Tank2!F34</f>
        <v/>
      </c>
      <c r="J21">
        <f t="shared" ref="J21:K52" si="49">IF($I21="",0,$I21*J$17)</f>
        <v>0</v>
      </c>
      <c r="K21">
        <f t="shared" si="49"/>
        <v>0</v>
      </c>
      <c r="M21" s="8" t="str">
        <f>Tank3!A34</f>
        <v>AA</v>
      </c>
      <c r="N21" s="8" t="str">
        <f>Tank3!E34</f>
        <v/>
      </c>
      <c r="O21" s="8" t="str">
        <f>Tank3!F34</f>
        <v/>
      </c>
      <c r="P21">
        <f t="shared" ref="P21:Q52" si="50">IF($O21="",0,$O21*P$17)</f>
        <v>0</v>
      </c>
      <c r="Q21">
        <f t="shared" si="50"/>
        <v>0</v>
      </c>
      <c r="S21" s="8" t="str">
        <f>Tank4!A34</f>
        <v>AA</v>
      </c>
      <c r="T21" s="8" t="str">
        <f>Tank4!E34</f>
        <v/>
      </c>
      <c r="U21" s="8" t="str">
        <f>Tank4!F34</f>
        <v/>
      </c>
      <c r="V21">
        <f t="shared" ref="V21:W52" si="51">IF($U21="",0,$U21*V$17)</f>
        <v>0</v>
      </c>
      <c r="W21">
        <f t="shared" si="51"/>
        <v>0</v>
      </c>
      <c r="Y21" s="8" t="str">
        <f>Tank5!A34</f>
        <v>AA</v>
      </c>
      <c r="Z21" s="8" t="str">
        <f>Tank5!E34</f>
        <v/>
      </c>
      <c r="AA21" s="8" t="str">
        <f>Tank5!F34</f>
        <v/>
      </c>
      <c r="AB21">
        <f t="shared" ref="AB21:AC52" si="52">IF($AA21="",0,$AA21*AB$17)</f>
        <v>0</v>
      </c>
      <c r="AC21">
        <f t="shared" si="52"/>
        <v>0</v>
      </c>
      <c r="AE21" s="8" t="str">
        <f>Hidden!CC4</f>
        <v/>
      </c>
      <c r="AF21">
        <f t="shared" ref="AF21:AF84" si="53">IF($AF$17,_xlfn.MAXIFS($D$20:$D$119,$B$20:$B$119,$AE21),0)</f>
        <v>0</v>
      </c>
      <c r="AG21">
        <f t="shared" ref="AG21:AG84" si="54">IF($AG$17,_xlfn.MAXIFS($J$20:$J$119,$H$20:$H$119,$AE21),0)</f>
        <v>0</v>
      </c>
      <c r="AH21">
        <f t="shared" ref="AH21:AH84" si="55">IF($AH$17,_xlfn.MAXIFS($P$20:$P$119,$N$20:$N$119,$AE21),0)</f>
        <v>0</v>
      </c>
      <c r="AI21">
        <f t="shared" ref="AI21:AI84" si="56">IF($AI$17,_xlfn.MAXIFS($V$20:$V$119,$T$20:$T$119,$AE21),0)</f>
        <v>0</v>
      </c>
      <c r="AJ21">
        <f t="shared" ref="AJ21:AJ84" si="57">IF($AJ$17,_xlfn.MAXIFS($AB$20:$AB$119,$Z$20:$Z$119,$AE21),0)</f>
        <v>0</v>
      </c>
      <c r="AK21">
        <f t="shared" ref="AK21:AK84" si="58">IF($AK$17,_xlfn.MAXIFS($E$20:$E$119,$B$20:$B$119,$AE21),0)</f>
        <v>0</v>
      </c>
      <c r="AL21">
        <f t="shared" ref="AL21:AL84" si="59">IF($AL$17,_xlfn.MAXIFS($K$20:$K$119,$H$20:$H$119,$AE21),0)</f>
        <v>0</v>
      </c>
      <c r="AM21">
        <f t="shared" ref="AM21:AM84" si="60">IF($AM$17,_xlfn.MAXIFS($Q$20:$Q$119,$N$20:$N$119,$AE21),0)</f>
        <v>0</v>
      </c>
      <c r="AN21">
        <f t="shared" ref="AN21:AN84" si="61">IF($AN$17,_xlfn.MAXIFS($W$20:$W$119,$T$20:$T$119,$AE21),0)</f>
        <v>0</v>
      </c>
      <c r="AO21">
        <f t="shared" ref="AO21:AO84" si="62">IF($AO$17,_xlfn.MAXIFS($AC$20:$AC$119,$Z$20:$Z$119,$AE21),0)</f>
        <v>0</v>
      </c>
      <c r="BJ21" s="8" t="str">
        <f>Tank1!A34</f>
        <v>AA</v>
      </c>
      <c r="BK21" s="8" t="str">
        <f>Tank1!E34</f>
        <v/>
      </c>
      <c r="BL21" s="8" t="str">
        <f>Tank1!F34</f>
        <v/>
      </c>
      <c r="BM21" s="8">
        <f t="shared" ref="BM21:BM84" si="63">IF($BL21="",0,$BL21*BK$17)</f>
        <v>0</v>
      </c>
      <c r="BN21" s="8">
        <f t="shared" ref="BN21:BN84" si="64">IF($BL21="",0,$BL21*BL$17)</f>
        <v>0</v>
      </c>
      <c r="BO21" s="8"/>
      <c r="BP21" s="8" t="str">
        <f>Tank2!A34</f>
        <v>AA</v>
      </c>
      <c r="BQ21" s="8" t="str">
        <f>Tank2!E34</f>
        <v/>
      </c>
      <c r="BR21" s="8" t="str">
        <f>Tank2!F34</f>
        <v/>
      </c>
      <c r="BS21" s="8">
        <f t="shared" ref="BS21:BS84" si="65">IF($BR21="",0,$BR21*BQ$17)</f>
        <v>0</v>
      </c>
      <c r="BT21" s="8">
        <f t="shared" ref="BT21:BT84" si="66">IF($BR21="",0,$BR21*BR$17)</f>
        <v>0</v>
      </c>
      <c r="BU21" s="8"/>
      <c r="BV21" s="8" t="str">
        <f>Tank3!A34</f>
        <v>AA</v>
      </c>
      <c r="BW21" s="8" t="str">
        <f>Tank3!E34</f>
        <v/>
      </c>
      <c r="BX21" s="8" t="str">
        <f>Tank3!F34</f>
        <v/>
      </c>
      <c r="BY21" s="8">
        <f t="shared" ref="BY21:BY84" si="67">IF($BX21="",0,$BX21*BW$17)</f>
        <v>0</v>
      </c>
      <c r="BZ21" s="8">
        <f t="shared" ref="BZ21:BZ84" si="68">IF($BX21="",0,$BX21*BX$17)</f>
        <v>0</v>
      </c>
      <c r="CA21" s="8"/>
      <c r="CB21" s="8" t="str">
        <f>Tank4!A34</f>
        <v>AA</v>
      </c>
      <c r="CC21" s="8" t="str">
        <f>Tank4!E34</f>
        <v/>
      </c>
      <c r="CD21" s="8" t="str">
        <f>Tank4!F34</f>
        <v/>
      </c>
      <c r="CE21" s="8">
        <f t="shared" ref="CE21:CE84" si="69">IF($CD21="",0,$CD21*CC$17)</f>
        <v>0</v>
      </c>
      <c r="CF21" s="8">
        <f t="shared" ref="CF21:CF84" si="70">IF($CD21="",0,$CD21*CD$17)</f>
        <v>0</v>
      </c>
      <c r="CH21" s="8" t="str">
        <f>Tank5!A34</f>
        <v>AA</v>
      </c>
      <c r="CI21" s="8" t="str">
        <f>Tank5!E34</f>
        <v/>
      </c>
      <c r="CJ21" s="8" t="str">
        <f>Tank5!F34</f>
        <v/>
      </c>
      <c r="CK21" s="8">
        <f t="shared" ref="CK21:CK84" si="71">IF($CJ21="",0,$CJ21*CI$17)</f>
        <v>0</v>
      </c>
      <c r="CL21" s="8">
        <f t="shared" ref="CL21:CL84" si="72">IF($CJ21="",0,$CJ21*CJ$17)</f>
        <v>0</v>
      </c>
      <c r="CN21" s="8" t="str">
        <f>Hidden!$CC4</f>
        <v/>
      </c>
      <c r="CO21">
        <f t="shared" ref="CO21:CO84" si="73">IF(CO$17,_xlfn.MAXIFS($BM$20:$BM$119,$BK$20:$BK$119,$CN21),0)</f>
        <v>0</v>
      </c>
      <c r="CP21">
        <f t="shared" ref="CP21:CP84" si="74">IF(CP$17,_xlfn.MAXIFS($BS$20:$BS$119,$BQ$20:$BQ$119,$CN21),0)</f>
        <v>0</v>
      </c>
      <c r="CQ21">
        <f t="shared" ref="CQ21:CQ84" si="75">IF(CQ$17,_xlfn.MAXIFS($BY$20:$BY$119,$BW$20:$BW$119,$CN21),0)</f>
        <v>0</v>
      </c>
      <c r="CR21">
        <f t="shared" ref="CR21:CR84" si="76">IF(CR$17,_xlfn.MAXIFS($CE$20:$CE$119,$CC$20:$CC$119,$CN21),0)</f>
        <v>0</v>
      </c>
      <c r="CS21">
        <f t="shared" ref="CS21:CS84" si="77">IF(CS$17,_xlfn.MAXIFS($CK$20:$CK$119,$CI$20:$CI$119,$CN21),0)</f>
        <v>0</v>
      </c>
      <c r="CT21">
        <f t="shared" ref="CT21:CT84" si="78">IF(CT$17,SUMIF($BK$20:$BK$119,$CN21,$BN$20:$BN$119),0)</f>
        <v>0</v>
      </c>
      <c r="CU21">
        <f t="shared" ref="CU21:CU84" si="79">IF(CU$17,SUMIF($BQ$20:$BQ$119,$CN21,$BT$20:$BT$119),0)</f>
        <v>0</v>
      </c>
      <c r="CV21">
        <f t="shared" ref="CV21:CV84" si="80">IF(CV$17,SUMIF($BW$20:$BW$119,$CN21,$BZ$20:$BZ$119),0)</f>
        <v>0</v>
      </c>
      <c r="CW21">
        <f t="shared" ref="CW21:CW84" si="81">IF(CW$17,SUMIF($CC$20:$CC$119,$CN21,$CF$20:$CF$119),0)</f>
        <v>0</v>
      </c>
      <c r="CX21">
        <f t="shared" ref="CX21:CX84" si="82">IF(CX$17,SUMIF($CI$20:$CI$119,$CN21,$CL$20:$CL$119),0)</f>
        <v>0</v>
      </c>
      <c r="DT21" s="77"/>
      <c r="DU21" s="8" t="str">
        <f t="shared" si="14"/>
        <v>AAA</v>
      </c>
      <c r="DV21" s="8" t="str">
        <f t="shared" si="15"/>
        <v/>
      </c>
      <c r="DW21" s="8" t="str">
        <f t="shared" si="16"/>
        <v/>
      </c>
      <c r="DX21">
        <f t="shared" si="17"/>
        <v>0</v>
      </c>
      <c r="DY21">
        <f t="shared" si="17"/>
        <v>0</v>
      </c>
      <c r="EA21" t="str">
        <f t="shared" si="18"/>
        <v>AAA</v>
      </c>
      <c r="EB21" t="str">
        <f t="shared" si="19"/>
        <v/>
      </c>
      <c r="EC21" t="str">
        <f t="shared" si="20"/>
        <v/>
      </c>
      <c r="ED21">
        <f t="shared" si="21"/>
        <v>0</v>
      </c>
      <c r="EE21">
        <f t="shared" si="21"/>
        <v>0</v>
      </c>
      <c r="EG21" s="8" t="str">
        <f t="shared" si="22"/>
        <v>AAA</v>
      </c>
      <c r="EH21" s="8" t="str">
        <f t="shared" si="23"/>
        <v/>
      </c>
      <c r="EI21" s="8" t="str">
        <f t="shared" si="24"/>
        <v/>
      </c>
      <c r="EJ21">
        <f t="shared" si="25"/>
        <v>0</v>
      </c>
      <c r="EK21">
        <f t="shared" si="25"/>
        <v>0</v>
      </c>
      <c r="EM21" s="8" t="str">
        <f t="shared" si="26"/>
        <v>AAA</v>
      </c>
      <c r="EN21" s="8" t="str">
        <f t="shared" si="27"/>
        <v/>
      </c>
      <c r="EO21" s="8" t="str">
        <f t="shared" si="28"/>
        <v/>
      </c>
      <c r="EP21">
        <f t="shared" si="29"/>
        <v>0</v>
      </c>
      <c r="EQ21">
        <f t="shared" si="29"/>
        <v>0</v>
      </c>
      <c r="ES21" s="8" t="str">
        <f t="shared" si="30"/>
        <v>AAA</v>
      </c>
      <c r="ET21" s="8" t="str">
        <f t="shared" si="31"/>
        <v/>
      </c>
      <c r="EU21" s="8" t="str">
        <f t="shared" si="32"/>
        <v/>
      </c>
      <c r="EV21">
        <f t="shared" si="33"/>
        <v>0</v>
      </c>
      <c r="EW21">
        <f t="shared" si="33"/>
        <v>0</v>
      </c>
      <c r="EY21" s="8" t="str">
        <f>Hidden!$CG15</f>
        <v/>
      </c>
      <c r="EZ21">
        <f t="shared" si="34"/>
        <v>0</v>
      </c>
      <c r="FA21">
        <f t="shared" si="35"/>
        <v>0</v>
      </c>
      <c r="FB21">
        <f t="shared" si="36"/>
        <v>0</v>
      </c>
      <c r="FC21">
        <f t="shared" si="37"/>
        <v>0</v>
      </c>
      <c r="FD21">
        <f t="shared" si="38"/>
        <v>0</v>
      </c>
      <c r="FE21">
        <f t="shared" si="39"/>
        <v>0</v>
      </c>
      <c r="FF21">
        <f t="shared" si="40"/>
        <v>0</v>
      </c>
      <c r="FG21">
        <f t="shared" si="41"/>
        <v>0</v>
      </c>
      <c r="FH21">
        <f t="shared" si="42"/>
        <v>0</v>
      </c>
      <c r="FI21">
        <f t="shared" si="43"/>
        <v>0</v>
      </c>
      <c r="GH21">
        <f>IF(OR(GI21=0,ISNUMBER(MATCH(GI21,$GI$2:GI20,0))),0,MAX($GH$2:GH20)+1)</f>
        <v>0</v>
      </c>
      <c r="GI21">
        <f t="shared" si="44"/>
        <v>0</v>
      </c>
      <c r="GL21">
        <f>IF(OR(GM21=0,ISNUMBER(MATCH(GM21,$GM$2:GM20,0))),0,MAX($GL$2:GL20)+1)</f>
        <v>0</v>
      </c>
      <c r="GM21">
        <f t="shared" si="45"/>
        <v>0</v>
      </c>
    </row>
    <row r="22" spans="1:195" x14ac:dyDescent="0.2">
      <c r="A22" s="8" t="str">
        <f>Tank1!A35</f>
        <v>AAA</v>
      </c>
      <c r="B22" s="8" t="str">
        <f>Tank1!E35</f>
        <v/>
      </c>
      <c r="C22" s="8" t="str">
        <f>Tank1!F35</f>
        <v/>
      </c>
      <c r="D22" s="8">
        <f t="shared" si="48"/>
        <v>0</v>
      </c>
      <c r="E22" s="8">
        <f t="shared" si="48"/>
        <v>0</v>
      </c>
      <c r="G22" s="8" t="str">
        <f>Tank2!A35</f>
        <v>AAA</v>
      </c>
      <c r="H22" s="8" t="str">
        <f>Tank2!E35</f>
        <v/>
      </c>
      <c r="I22" s="8" t="str">
        <f>Tank2!F35</f>
        <v/>
      </c>
      <c r="J22">
        <f t="shared" si="49"/>
        <v>0</v>
      </c>
      <c r="K22">
        <f t="shared" si="49"/>
        <v>0</v>
      </c>
      <c r="M22" s="8" t="str">
        <f>Tank3!A35</f>
        <v>AAA</v>
      </c>
      <c r="N22" s="8" t="str">
        <f>Tank3!E35</f>
        <v/>
      </c>
      <c r="O22" s="8" t="str">
        <f>Tank3!F35</f>
        <v/>
      </c>
      <c r="P22">
        <f t="shared" si="50"/>
        <v>0</v>
      </c>
      <c r="Q22">
        <f t="shared" si="50"/>
        <v>0</v>
      </c>
      <c r="S22" s="8" t="str">
        <f>Tank4!A35</f>
        <v>AAA</v>
      </c>
      <c r="T22" s="8" t="str">
        <f>Tank4!E35</f>
        <v/>
      </c>
      <c r="U22" s="8" t="str">
        <f>Tank4!F35</f>
        <v/>
      </c>
      <c r="V22">
        <f t="shared" si="51"/>
        <v>0</v>
      </c>
      <c r="W22">
        <f t="shared" si="51"/>
        <v>0</v>
      </c>
      <c r="Y22" s="8" t="str">
        <f>Tank5!A35</f>
        <v>AAA</v>
      </c>
      <c r="Z22" s="8" t="str">
        <f>Tank5!E35</f>
        <v/>
      </c>
      <c r="AA22" s="8" t="str">
        <f>Tank5!F35</f>
        <v/>
      </c>
      <c r="AB22">
        <f t="shared" si="52"/>
        <v>0</v>
      </c>
      <c r="AC22">
        <f t="shared" si="52"/>
        <v>0</v>
      </c>
      <c r="AE22" s="8" t="str">
        <f>Hidden!CC5</f>
        <v/>
      </c>
      <c r="AF22">
        <f t="shared" si="53"/>
        <v>0</v>
      </c>
      <c r="AG22">
        <f>IF($AG$17,_xlfn.MAXIFS($J$20:$J$119,$H$20:$H$119,$AE22),0)</f>
        <v>0</v>
      </c>
      <c r="AH22">
        <f t="shared" si="55"/>
        <v>0</v>
      </c>
      <c r="AI22">
        <f t="shared" si="56"/>
        <v>0</v>
      </c>
      <c r="AJ22">
        <f t="shared" si="57"/>
        <v>0</v>
      </c>
      <c r="AK22">
        <f t="shared" si="58"/>
        <v>0</v>
      </c>
      <c r="AL22">
        <f t="shared" si="59"/>
        <v>0</v>
      </c>
      <c r="AM22">
        <f t="shared" si="60"/>
        <v>0</v>
      </c>
      <c r="AN22">
        <f t="shared" si="61"/>
        <v>0</v>
      </c>
      <c r="AO22">
        <f t="shared" si="62"/>
        <v>0</v>
      </c>
      <c r="BJ22" s="8" t="str">
        <f>Tank1!A35</f>
        <v>AAA</v>
      </c>
      <c r="BK22" s="8" t="str">
        <f>Tank1!E35</f>
        <v/>
      </c>
      <c r="BL22" s="8" t="str">
        <f>Tank1!F35</f>
        <v/>
      </c>
      <c r="BM22" s="8">
        <f t="shared" si="63"/>
        <v>0</v>
      </c>
      <c r="BN22" s="8">
        <f t="shared" si="64"/>
        <v>0</v>
      </c>
      <c r="BO22" s="8"/>
      <c r="BP22" s="8" t="str">
        <f>Tank2!A35</f>
        <v>AAA</v>
      </c>
      <c r="BQ22" s="8" t="str">
        <f>Tank2!E35</f>
        <v/>
      </c>
      <c r="BR22" s="8" t="str">
        <f>Tank2!F35</f>
        <v/>
      </c>
      <c r="BS22" s="8">
        <f t="shared" si="65"/>
        <v>0</v>
      </c>
      <c r="BT22" s="8">
        <f t="shared" si="66"/>
        <v>0</v>
      </c>
      <c r="BU22" s="8"/>
      <c r="BV22" s="8" t="str">
        <f>Tank3!A35</f>
        <v>AAA</v>
      </c>
      <c r="BW22" s="8" t="str">
        <f>Tank3!E35</f>
        <v/>
      </c>
      <c r="BX22" s="8" t="str">
        <f>Tank3!F35</f>
        <v/>
      </c>
      <c r="BY22" s="8">
        <f t="shared" si="67"/>
        <v>0</v>
      </c>
      <c r="BZ22" s="8">
        <f t="shared" si="68"/>
        <v>0</v>
      </c>
      <c r="CA22" s="8"/>
      <c r="CB22" s="8" t="str">
        <f>Tank4!A35</f>
        <v>AAA</v>
      </c>
      <c r="CC22" s="8" t="str">
        <f>Tank4!E35</f>
        <v/>
      </c>
      <c r="CD22" s="8" t="str">
        <f>Tank4!F35</f>
        <v/>
      </c>
      <c r="CE22" s="8">
        <f t="shared" si="69"/>
        <v>0</v>
      </c>
      <c r="CF22" s="8">
        <f t="shared" si="70"/>
        <v>0</v>
      </c>
      <c r="CH22" s="8" t="str">
        <f>Tank5!A35</f>
        <v>AAA</v>
      </c>
      <c r="CI22" s="8" t="str">
        <f>Tank5!E35</f>
        <v/>
      </c>
      <c r="CJ22" s="8" t="str">
        <f>Tank5!F35</f>
        <v/>
      </c>
      <c r="CK22" s="8">
        <f t="shared" si="71"/>
        <v>0</v>
      </c>
      <c r="CL22" s="8">
        <f t="shared" si="72"/>
        <v>0</v>
      </c>
      <c r="CN22" s="8" t="str">
        <f>Hidden!$CC5</f>
        <v/>
      </c>
      <c r="CO22">
        <f t="shared" si="73"/>
        <v>0</v>
      </c>
      <c r="CP22">
        <f t="shared" si="74"/>
        <v>0</v>
      </c>
      <c r="CQ22">
        <f t="shared" si="75"/>
        <v>0</v>
      </c>
      <c r="CR22">
        <f t="shared" si="76"/>
        <v>0</v>
      </c>
      <c r="CS22">
        <f t="shared" si="77"/>
        <v>0</v>
      </c>
      <c r="CT22">
        <f t="shared" si="78"/>
        <v>0</v>
      </c>
      <c r="CU22">
        <f t="shared" si="79"/>
        <v>0</v>
      </c>
      <c r="CV22">
        <f t="shared" si="80"/>
        <v>0</v>
      </c>
      <c r="CW22">
        <f t="shared" si="81"/>
        <v>0</v>
      </c>
      <c r="CX22">
        <f t="shared" si="82"/>
        <v>0</v>
      </c>
      <c r="DT22" s="77"/>
      <c r="DU22" s="8" t="str">
        <f t="shared" si="14"/>
        <v>AAAA</v>
      </c>
      <c r="DV22" s="8" t="str">
        <f t="shared" si="15"/>
        <v/>
      </c>
      <c r="DW22" s="8" t="str">
        <f t="shared" si="16"/>
        <v/>
      </c>
      <c r="DX22">
        <f t="shared" si="17"/>
        <v>0</v>
      </c>
      <c r="DY22">
        <f t="shared" si="17"/>
        <v>0</v>
      </c>
      <c r="EA22" t="str">
        <f t="shared" si="18"/>
        <v>AAAA</v>
      </c>
      <c r="EB22" t="str">
        <f t="shared" si="19"/>
        <v/>
      </c>
      <c r="EC22" t="str">
        <f t="shared" si="20"/>
        <v/>
      </c>
      <c r="ED22">
        <f t="shared" si="21"/>
        <v>0</v>
      </c>
      <c r="EE22">
        <f t="shared" si="21"/>
        <v>0</v>
      </c>
      <c r="EG22" s="8" t="str">
        <f t="shared" si="22"/>
        <v>AAAA</v>
      </c>
      <c r="EH22" s="8" t="str">
        <f t="shared" si="23"/>
        <v/>
      </c>
      <c r="EI22" s="8" t="str">
        <f t="shared" si="24"/>
        <v/>
      </c>
      <c r="EJ22">
        <f t="shared" si="25"/>
        <v>0</v>
      </c>
      <c r="EK22">
        <f t="shared" si="25"/>
        <v>0</v>
      </c>
      <c r="EM22" s="8" t="str">
        <f t="shared" si="26"/>
        <v>AAAA</v>
      </c>
      <c r="EN22" s="8" t="str">
        <f t="shared" si="27"/>
        <v/>
      </c>
      <c r="EO22" s="8" t="str">
        <f t="shared" si="28"/>
        <v/>
      </c>
      <c r="EP22">
        <f t="shared" si="29"/>
        <v>0</v>
      </c>
      <c r="EQ22">
        <f t="shared" si="29"/>
        <v>0</v>
      </c>
      <c r="ES22" s="8" t="str">
        <f t="shared" si="30"/>
        <v>AAAA</v>
      </c>
      <c r="ET22" s="8" t="str">
        <f t="shared" si="31"/>
        <v/>
      </c>
      <c r="EU22" s="8" t="str">
        <f t="shared" si="32"/>
        <v/>
      </c>
      <c r="EV22">
        <f t="shared" si="33"/>
        <v>0</v>
      </c>
      <c r="EW22">
        <f t="shared" si="33"/>
        <v>0</v>
      </c>
      <c r="EY22" s="8" t="str">
        <f>Hidden!$CG16</f>
        <v/>
      </c>
      <c r="EZ22">
        <f t="shared" si="34"/>
        <v>0</v>
      </c>
      <c r="FA22">
        <f t="shared" si="35"/>
        <v>0</v>
      </c>
      <c r="FB22">
        <f t="shared" si="36"/>
        <v>0</v>
      </c>
      <c r="FC22">
        <f t="shared" si="37"/>
        <v>0</v>
      </c>
      <c r="FD22">
        <f t="shared" si="38"/>
        <v>0</v>
      </c>
      <c r="FE22">
        <f t="shared" si="39"/>
        <v>0</v>
      </c>
      <c r="FF22">
        <f t="shared" si="40"/>
        <v>0</v>
      </c>
      <c r="FG22">
        <f t="shared" si="41"/>
        <v>0</v>
      </c>
      <c r="FH22">
        <f t="shared" si="42"/>
        <v>0</v>
      </c>
      <c r="FI22">
        <f t="shared" si="43"/>
        <v>0</v>
      </c>
      <c r="GH22">
        <f>IF(OR(GI22=0,ISNUMBER(MATCH(GI22,$GI$2:GI21,0))),0,MAX($GH$2:GH21)+1)</f>
        <v>0</v>
      </c>
      <c r="GI22">
        <f t="shared" si="44"/>
        <v>0</v>
      </c>
      <c r="GL22">
        <f>IF(OR(GM22=0,ISNUMBER(MATCH(GM22,$GM$2:GM21,0))),0,MAX($GL$2:GL21)+1)</f>
        <v>0</v>
      </c>
      <c r="GM22">
        <f t="shared" si="45"/>
        <v>0</v>
      </c>
    </row>
    <row r="23" spans="1:195" x14ac:dyDescent="0.2">
      <c r="A23" s="8" t="str">
        <f>Tank1!A36</f>
        <v>AAAA</v>
      </c>
      <c r="B23" s="8" t="str">
        <f>Tank1!E36</f>
        <v/>
      </c>
      <c r="C23" s="8" t="str">
        <f>Tank1!F36</f>
        <v/>
      </c>
      <c r="D23" s="8">
        <f t="shared" si="48"/>
        <v>0</v>
      </c>
      <c r="E23" s="8">
        <f t="shared" si="48"/>
        <v>0</v>
      </c>
      <c r="G23" s="8" t="str">
        <f>Tank2!A36</f>
        <v>AAAA</v>
      </c>
      <c r="H23" s="8" t="str">
        <f>Tank2!E36</f>
        <v/>
      </c>
      <c r="I23" s="8" t="str">
        <f>Tank2!F36</f>
        <v/>
      </c>
      <c r="J23">
        <f t="shared" si="49"/>
        <v>0</v>
      </c>
      <c r="K23">
        <f t="shared" si="49"/>
        <v>0</v>
      </c>
      <c r="M23" s="8" t="str">
        <f>Tank3!A36</f>
        <v>AAAA</v>
      </c>
      <c r="N23" s="8" t="str">
        <f>Tank3!E36</f>
        <v/>
      </c>
      <c r="O23" s="8" t="str">
        <f>Tank3!F36</f>
        <v/>
      </c>
      <c r="P23">
        <f t="shared" si="50"/>
        <v>0</v>
      </c>
      <c r="Q23">
        <f t="shared" si="50"/>
        <v>0</v>
      </c>
      <c r="S23" s="8" t="str">
        <f>Tank4!A36</f>
        <v>AAAA</v>
      </c>
      <c r="T23" s="8" t="str">
        <f>Tank4!E36</f>
        <v/>
      </c>
      <c r="U23" s="8" t="str">
        <f>Tank4!F36</f>
        <v/>
      </c>
      <c r="V23">
        <f t="shared" si="51"/>
        <v>0</v>
      </c>
      <c r="W23">
        <f t="shared" si="51"/>
        <v>0</v>
      </c>
      <c r="Y23" s="8" t="str">
        <f>Tank5!A36</f>
        <v>AAAA</v>
      </c>
      <c r="Z23" s="8" t="str">
        <f>Tank5!E36</f>
        <v/>
      </c>
      <c r="AA23" s="8" t="str">
        <f>Tank5!F36</f>
        <v/>
      </c>
      <c r="AB23">
        <f t="shared" si="52"/>
        <v>0</v>
      </c>
      <c r="AC23">
        <f t="shared" si="52"/>
        <v>0</v>
      </c>
      <c r="AE23" s="8" t="str">
        <f>Hidden!CC6</f>
        <v/>
      </c>
      <c r="AF23">
        <f t="shared" si="53"/>
        <v>0</v>
      </c>
      <c r="AG23">
        <f t="shared" si="54"/>
        <v>0</v>
      </c>
      <c r="AH23">
        <f t="shared" si="55"/>
        <v>0</v>
      </c>
      <c r="AI23">
        <f t="shared" si="56"/>
        <v>0</v>
      </c>
      <c r="AJ23">
        <f t="shared" si="57"/>
        <v>0</v>
      </c>
      <c r="AK23">
        <f t="shared" si="58"/>
        <v>0</v>
      </c>
      <c r="AL23">
        <f t="shared" si="59"/>
        <v>0</v>
      </c>
      <c r="AM23">
        <f t="shared" si="60"/>
        <v>0</v>
      </c>
      <c r="AN23">
        <f t="shared" si="61"/>
        <v>0</v>
      </c>
      <c r="AO23">
        <f t="shared" si="62"/>
        <v>0</v>
      </c>
      <c r="BJ23" s="8" t="str">
        <f>Tank1!A36</f>
        <v>AAAA</v>
      </c>
      <c r="BK23" s="8" t="str">
        <f>Tank1!E36</f>
        <v/>
      </c>
      <c r="BL23" s="8" t="str">
        <f>Tank1!F36</f>
        <v/>
      </c>
      <c r="BM23" s="8">
        <f t="shared" si="63"/>
        <v>0</v>
      </c>
      <c r="BN23" s="8">
        <f t="shared" si="64"/>
        <v>0</v>
      </c>
      <c r="BO23" s="8"/>
      <c r="BP23" s="8" t="str">
        <f>Tank2!A36</f>
        <v>AAAA</v>
      </c>
      <c r="BQ23" s="8" t="str">
        <f>Tank2!E36</f>
        <v/>
      </c>
      <c r="BR23" s="8" t="str">
        <f>Tank2!F36</f>
        <v/>
      </c>
      <c r="BS23" s="8">
        <f t="shared" si="65"/>
        <v>0</v>
      </c>
      <c r="BT23" s="8">
        <f t="shared" si="66"/>
        <v>0</v>
      </c>
      <c r="BU23" s="8"/>
      <c r="BV23" s="8" t="str">
        <f>Tank3!A36</f>
        <v>AAAA</v>
      </c>
      <c r="BW23" s="8" t="str">
        <f>Tank3!E36</f>
        <v/>
      </c>
      <c r="BX23" s="8" t="str">
        <f>Tank3!F36</f>
        <v/>
      </c>
      <c r="BY23" s="8">
        <f t="shared" si="67"/>
        <v>0</v>
      </c>
      <c r="BZ23" s="8">
        <f t="shared" si="68"/>
        <v>0</v>
      </c>
      <c r="CA23" s="8"/>
      <c r="CB23" s="8" t="str">
        <f>Tank4!A36</f>
        <v>AAAA</v>
      </c>
      <c r="CC23" s="8" t="str">
        <f>Tank4!E36</f>
        <v/>
      </c>
      <c r="CD23" s="8" t="str">
        <f>Tank4!F36</f>
        <v/>
      </c>
      <c r="CE23" s="8">
        <f t="shared" si="69"/>
        <v>0</v>
      </c>
      <c r="CF23" s="8">
        <f t="shared" si="70"/>
        <v>0</v>
      </c>
      <c r="CH23" s="8" t="str">
        <f>Tank5!A36</f>
        <v>AAAA</v>
      </c>
      <c r="CI23" s="8" t="str">
        <f>Tank5!E36</f>
        <v/>
      </c>
      <c r="CJ23" s="8" t="str">
        <f>Tank5!F36</f>
        <v/>
      </c>
      <c r="CK23" s="8">
        <f t="shared" si="71"/>
        <v>0</v>
      </c>
      <c r="CL23" s="8">
        <f t="shared" si="72"/>
        <v>0</v>
      </c>
      <c r="CN23" s="8" t="str">
        <f>Hidden!$CC6</f>
        <v/>
      </c>
      <c r="CO23">
        <f t="shared" si="73"/>
        <v>0</v>
      </c>
      <c r="CP23">
        <f t="shared" si="74"/>
        <v>0</v>
      </c>
      <c r="CQ23">
        <f t="shared" si="75"/>
        <v>0</v>
      </c>
      <c r="CR23">
        <f t="shared" si="76"/>
        <v>0</v>
      </c>
      <c r="CS23">
        <f t="shared" si="77"/>
        <v>0</v>
      </c>
      <c r="CT23">
        <f t="shared" si="78"/>
        <v>0</v>
      </c>
      <c r="CU23">
        <f t="shared" si="79"/>
        <v>0</v>
      </c>
      <c r="CV23">
        <f t="shared" si="80"/>
        <v>0</v>
      </c>
      <c r="CW23">
        <f t="shared" si="81"/>
        <v>0</v>
      </c>
      <c r="CX23">
        <f t="shared" si="82"/>
        <v>0</v>
      </c>
      <c r="DT23" s="77"/>
      <c r="DU23" s="8" t="str">
        <f t="shared" si="14"/>
        <v>AAAAA</v>
      </c>
      <c r="DV23" s="8" t="str">
        <f t="shared" si="15"/>
        <v/>
      </c>
      <c r="DW23" s="8" t="str">
        <f t="shared" si="16"/>
        <v/>
      </c>
      <c r="DX23">
        <f t="shared" si="17"/>
        <v>0</v>
      </c>
      <c r="DY23">
        <f t="shared" si="17"/>
        <v>0</v>
      </c>
      <c r="EA23" t="str">
        <f t="shared" si="18"/>
        <v>AAAAA</v>
      </c>
      <c r="EB23" t="str">
        <f t="shared" si="19"/>
        <v/>
      </c>
      <c r="EC23" t="str">
        <f t="shared" si="20"/>
        <v/>
      </c>
      <c r="ED23">
        <f t="shared" si="21"/>
        <v>0</v>
      </c>
      <c r="EE23">
        <f t="shared" si="21"/>
        <v>0</v>
      </c>
      <c r="EG23" s="8" t="str">
        <f t="shared" si="22"/>
        <v>AAAAA</v>
      </c>
      <c r="EH23" s="8" t="str">
        <f t="shared" si="23"/>
        <v/>
      </c>
      <c r="EI23" s="8" t="str">
        <f t="shared" si="24"/>
        <v/>
      </c>
      <c r="EJ23">
        <f t="shared" si="25"/>
        <v>0</v>
      </c>
      <c r="EK23">
        <f t="shared" si="25"/>
        <v>0</v>
      </c>
      <c r="EM23" s="8" t="str">
        <f t="shared" si="26"/>
        <v>AAAAA</v>
      </c>
      <c r="EN23" s="8" t="str">
        <f t="shared" si="27"/>
        <v/>
      </c>
      <c r="EO23" s="8" t="str">
        <f t="shared" si="28"/>
        <v/>
      </c>
      <c r="EP23">
        <f t="shared" si="29"/>
        <v>0</v>
      </c>
      <c r="EQ23">
        <f t="shared" si="29"/>
        <v>0</v>
      </c>
      <c r="ES23" s="8" t="str">
        <f t="shared" si="30"/>
        <v>AAAAA</v>
      </c>
      <c r="ET23" s="8" t="str">
        <f t="shared" si="31"/>
        <v/>
      </c>
      <c r="EU23" s="8" t="str">
        <f t="shared" si="32"/>
        <v/>
      </c>
      <c r="EV23">
        <f t="shared" si="33"/>
        <v>0</v>
      </c>
      <c r="EW23">
        <f t="shared" si="33"/>
        <v>0</v>
      </c>
      <c r="EY23" s="8" t="str">
        <f>Hidden!$CG17</f>
        <v/>
      </c>
      <c r="EZ23">
        <f t="shared" si="34"/>
        <v>0</v>
      </c>
      <c r="FA23">
        <f t="shared" si="35"/>
        <v>0</v>
      </c>
      <c r="FB23">
        <f t="shared" si="36"/>
        <v>0</v>
      </c>
      <c r="FC23">
        <f t="shared" si="37"/>
        <v>0</v>
      </c>
      <c r="FD23">
        <f t="shared" si="38"/>
        <v>0</v>
      </c>
      <c r="FE23">
        <f t="shared" si="39"/>
        <v>0</v>
      </c>
      <c r="FF23">
        <f t="shared" si="40"/>
        <v>0</v>
      </c>
      <c r="FG23">
        <f t="shared" si="41"/>
        <v>0</v>
      </c>
      <c r="FH23">
        <f t="shared" si="42"/>
        <v>0</v>
      </c>
      <c r="FI23">
        <f t="shared" si="43"/>
        <v>0</v>
      </c>
      <c r="GG23" t="s">
        <v>324</v>
      </c>
      <c r="GH23">
        <f>IF(OR(GI23=0,ISNUMBER(MATCH(GI23,$GI$2:GI22,0))),0,MAX($GH$2:GH22)+1)</f>
        <v>0</v>
      </c>
      <c r="GI23">
        <f>$T3</f>
        <v>0</v>
      </c>
      <c r="GL23">
        <f>IF(OR(GM23=0,ISNUMBER(MATCH(GM23,$GM$2:GM22,0))),0,MAX($GL$2:GL22)+1)</f>
        <v>0</v>
      </c>
      <c r="GM23">
        <f>$Z3</f>
        <v>0</v>
      </c>
    </row>
    <row r="24" spans="1:195" x14ac:dyDescent="0.2">
      <c r="A24" s="8" t="str">
        <f>Tank1!A37</f>
        <v>AAAAA</v>
      </c>
      <c r="B24" s="8" t="str">
        <f>Tank1!E37</f>
        <v/>
      </c>
      <c r="C24" s="8" t="str">
        <f>Tank1!F37</f>
        <v/>
      </c>
      <c r="D24" s="8">
        <f t="shared" si="48"/>
        <v>0</v>
      </c>
      <c r="E24" s="8">
        <f t="shared" si="48"/>
        <v>0</v>
      </c>
      <c r="G24" s="8" t="str">
        <f>Tank2!A37</f>
        <v>AAAAA</v>
      </c>
      <c r="H24" s="8" t="str">
        <f>Tank2!E37</f>
        <v/>
      </c>
      <c r="I24" s="8" t="str">
        <f>Tank2!F37</f>
        <v/>
      </c>
      <c r="J24">
        <f t="shared" si="49"/>
        <v>0</v>
      </c>
      <c r="K24">
        <f t="shared" si="49"/>
        <v>0</v>
      </c>
      <c r="M24" s="8" t="str">
        <f>Tank3!A37</f>
        <v>AAAAA</v>
      </c>
      <c r="N24" s="8" t="str">
        <f>Tank3!E37</f>
        <v/>
      </c>
      <c r="O24" s="8" t="str">
        <f>Tank3!F37</f>
        <v/>
      </c>
      <c r="P24">
        <f t="shared" si="50"/>
        <v>0</v>
      </c>
      <c r="Q24">
        <f t="shared" si="50"/>
        <v>0</v>
      </c>
      <c r="S24" s="8" t="str">
        <f>Tank4!A37</f>
        <v>AAAAA</v>
      </c>
      <c r="T24" s="8" t="str">
        <f>Tank4!E37</f>
        <v/>
      </c>
      <c r="U24" s="8" t="str">
        <f>Tank4!F37</f>
        <v/>
      </c>
      <c r="V24">
        <f t="shared" si="51"/>
        <v>0</v>
      </c>
      <c r="W24">
        <f t="shared" si="51"/>
        <v>0</v>
      </c>
      <c r="Y24" s="8" t="str">
        <f>Tank5!A37</f>
        <v>AAAAA</v>
      </c>
      <c r="Z24" s="8" t="str">
        <f>Tank5!E37</f>
        <v/>
      </c>
      <c r="AA24" s="8" t="str">
        <f>Tank5!F37</f>
        <v/>
      </c>
      <c r="AB24">
        <f t="shared" si="52"/>
        <v>0</v>
      </c>
      <c r="AC24">
        <f t="shared" si="52"/>
        <v>0</v>
      </c>
      <c r="AE24" s="8" t="str">
        <f>Hidden!CC7</f>
        <v/>
      </c>
      <c r="AF24">
        <f t="shared" si="53"/>
        <v>0</v>
      </c>
      <c r="AG24">
        <f t="shared" si="54"/>
        <v>0</v>
      </c>
      <c r="AH24">
        <f t="shared" si="55"/>
        <v>0</v>
      </c>
      <c r="AI24">
        <f t="shared" si="56"/>
        <v>0</v>
      </c>
      <c r="AJ24">
        <f t="shared" si="57"/>
        <v>0</v>
      </c>
      <c r="AK24">
        <f t="shared" si="58"/>
        <v>0</v>
      </c>
      <c r="AL24">
        <f t="shared" si="59"/>
        <v>0</v>
      </c>
      <c r="AM24">
        <f t="shared" si="60"/>
        <v>0</v>
      </c>
      <c r="AN24">
        <f t="shared" si="61"/>
        <v>0</v>
      </c>
      <c r="AO24">
        <f t="shared" si="62"/>
        <v>0</v>
      </c>
      <c r="BJ24" s="8" t="str">
        <f>Tank1!A37</f>
        <v>AAAAA</v>
      </c>
      <c r="BK24" s="8" t="str">
        <f>Tank1!E37</f>
        <v/>
      </c>
      <c r="BL24" s="8" t="str">
        <f>Tank1!F37</f>
        <v/>
      </c>
      <c r="BM24" s="8">
        <f t="shared" si="63"/>
        <v>0</v>
      </c>
      <c r="BN24" s="8">
        <f t="shared" si="64"/>
        <v>0</v>
      </c>
      <c r="BO24" s="8"/>
      <c r="BP24" s="8" t="str">
        <f>Tank2!A37</f>
        <v>AAAAA</v>
      </c>
      <c r="BQ24" s="8" t="str">
        <f>Tank2!E37</f>
        <v/>
      </c>
      <c r="BR24" s="8" t="str">
        <f>Tank2!F37</f>
        <v/>
      </c>
      <c r="BS24" s="8">
        <f t="shared" si="65"/>
        <v>0</v>
      </c>
      <c r="BT24" s="8">
        <f t="shared" si="66"/>
        <v>0</v>
      </c>
      <c r="BU24" s="8"/>
      <c r="BV24" s="8" t="str">
        <f>Tank3!A37</f>
        <v>AAAAA</v>
      </c>
      <c r="BW24" s="8" t="str">
        <f>Tank3!E37</f>
        <v/>
      </c>
      <c r="BX24" s="8" t="str">
        <f>Tank3!F37</f>
        <v/>
      </c>
      <c r="BY24" s="8">
        <f t="shared" si="67"/>
        <v>0</v>
      </c>
      <c r="BZ24" s="8">
        <f t="shared" si="68"/>
        <v>0</v>
      </c>
      <c r="CA24" s="8"/>
      <c r="CB24" s="8" t="str">
        <f>Tank4!A37</f>
        <v>AAAAA</v>
      </c>
      <c r="CC24" s="8" t="str">
        <f>Tank4!E37</f>
        <v/>
      </c>
      <c r="CD24" s="8" t="str">
        <f>Tank4!F37</f>
        <v/>
      </c>
      <c r="CE24" s="8">
        <f t="shared" si="69"/>
        <v>0</v>
      </c>
      <c r="CF24" s="8">
        <f t="shared" si="70"/>
        <v>0</v>
      </c>
      <c r="CH24" s="8" t="str">
        <f>Tank5!A37</f>
        <v>AAAAA</v>
      </c>
      <c r="CI24" s="8" t="str">
        <f>Tank5!E37</f>
        <v/>
      </c>
      <c r="CJ24" s="8" t="str">
        <f>Tank5!F37</f>
        <v/>
      </c>
      <c r="CK24" s="8">
        <f t="shared" si="71"/>
        <v>0</v>
      </c>
      <c r="CL24" s="8">
        <f t="shared" si="72"/>
        <v>0</v>
      </c>
      <c r="CN24" s="8" t="str">
        <f>Hidden!$CC7</f>
        <v/>
      </c>
      <c r="CO24">
        <f t="shared" si="73"/>
        <v>0</v>
      </c>
      <c r="CP24">
        <f t="shared" si="74"/>
        <v>0</v>
      </c>
      <c r="CQ24">
        <f t="shared" si="75"/>
        <v>0</v>
      </c>
      <c r="CR24">
        <f t="shared" si="76"/>
        <v>0</v>
      </c>
      <c r="CS24">
        <f t="shared" si="77"/>
        <v>0</v>
      </c>
      <c r="CT24">
        <f t="shared" si="78"/>
        <v>0</v>
      </c>
      <c r="CU24">
        <f t="shared" si="79"/>
        <v>0</v>
      </c>
      <c r="CV24">
        <f t="shared" si="80"/>
        <v>0</v>
      </c>
      <c r="CW24">
        <f t="shared" si="81"/>
        <v>0</v>
      </c>
      <c r="CX24">
        <f t="shared" si="82"/>
        <v>0</v>
      </c>
      <c r="DT24" s="77"/>
      <c r="DU24" s="8" t="str">
        <f t="shared" si="14"/>
        <v>AAAAAA</v>
      </c>
      <c r="DV24" s="8" t="str">
        <f t="shared" si="15"/>
        <v/>
      </c>
      <c r="DW24" s="8" t="str">
        <f t="shared" si="16"/>
        <v/>
      </c>
      <c r="DX24">
        <f t="shared" si="17"/>
        <v>0</v>
      </c>
      <c r="DY24">
        <f t="shared" si="17"/>
        <v>0</v>
      </c>
      <c r="EA24" t="str">
        <f t="shared" si="18"/>
        <v>AAAAAA</v>
      </c>
      <c r="EB24" t="str">
        <f t="shared" si="19"/>
        <v/>
      </c>
      <c r="EC24" t="str">
        <f t="shared" si="20"/>
        <v/>
      </c>
      <c r="ED24">
        <f t="shared" si="21"/>
        <v>0</v>
      </c>
      <c r="EE24">
        <f t="shared" si="21"/>
        <v>0</v>
      </c>
      <c r="EG24" s="8" t="str">
        <f t="shared" si="22"/>
        <v>AAAAAA</v>
      </c>
      <c r="EH24" s="8" t="str">
        <f t="shared" si="23"/>
        <v/>
      </c>
      <c r="EI24" s="8" t="str">
        <f t="shared" si="24"/>
        <v/>
      </c>
      <c r="EJ24">
        <f t="shared" si="25"/>
        <v>0</v>
      </c>
      <c r="EK24">
        <f t="shared" si="25"/>
        <v>0</v>
      </c>
      <c r="EM24" s="8" t="str">
        <f t="shared" si="26"/>
        <v>AAAAAA</v>
      </c>
      <c r="EN24" s="8" t="str">
        <f t="shared" si="27"/>
        <v/>
      </c>
      <c r="EO24" s="8" t="str">
        <f t="shared" si="28"/>
        <v/>
      </c>
      <c r="EP24">
        <f t="shared" si="29"/>
        <v>0</v>
      </c>
      <c r="EQ24">
        <f t="shared" si="29"/>
        <v>0</v>
      </c>
      <c r="ES24" s="8" t="str">
        <f t="shared" si="30"/>
        <v>AAAAAA</v>
      </c>
      <c r="ET24" s="8" t="str">
        <f t="shared" si="31"/>
        <v/>
      </c>
      <c r="EU24" s="8" t="str">
        <f t="shared" si="32"/>
        <v/>
      </c>
      <c r="EV24">
        <f t="shared" si="33"/>
        <v>0</v>
      </c>
      <c r="EW24">
        <f t="shared" si="33"/>
        <v>0</v>
      </c>
      <c r="EY24" s="8" t="str">
        <f>Hidden!$CG18</f>
        <v/>
      </c>
      <c r="EZ24">
        <f t="shared" si="34"/>
        <v>0</v>
      </c>
      <c r="FA24">
        <f t="shared" si="35"/>
        <v>0</v>
      </c>
      <c r="FB24">
        <f t="shared" si="36"/>
        <v>0</v>
      </c>
      <c r="FC24">
        <f t="shared" si="37"/>
        <v>0</v>
      </c>
      <c r="FD24">
        <f t="shared" si="38"/>
        <v>0</v>
      </c>
      <c r="FE24">
        <f t="shared" si="39"/>
        <v>0</v>
      </c>
      <c r="FF24">
        <f t="shared" si="40"/>
        <v>0</v>
      </c>
      <c r="FG24">
        <f t="shared" si="41"/>
        <v>0</v>
      </c>
      <c r="FH24">
        <f t="shared" si="42"/>
        <v>0</v>
      </c>
      <c r="FI24">
        <f t="shared" si="43"/>
        <v>0</v>
      </c>
      <c r="GH24">
        <f>IF(OR(GI24=0,ISNUMBER(MATCH(GI24,$GI$2:GI23,0))),0,MAX($GH$2:GH23)+1)</f>
        <v>0</v>
      </c>
      <c r="GI24">
        <f t="shared" ref="GI24:GI32" si="83">$T4</f>
        <v>0</v>
      </c>
      <c r="GL24">
        <f>IF(OR(GM24=0,ISNUMBER(MATCH(GM24,$GM$2:GM23,0))),0,MAX($GL$2:GL23)+1)</f>
        <v>0</v>
      </c>
      <c r="GM24">
        <f t="shared" ref="GM24:GM32" si="84">$Z4</f>
        <v>0</v>
      </c>
    </row>
    <row r="25" spans="1:195" x14ac:dyDescent="0.2">
      <c r="A25" s="8" t="str">
        <f>Tank1!A38</f>
        <v>AAAAAA</v>
      </c>
      <c r="B25" s="8" t="str">
        <f>Tank1!E38</f>
        <v/>
      </c>
      <c r="C25" s="8" t="str">
        <f>Tank1!F38</f>
        <v/>
      </c>
      <c r="D25" s="8">
        <f t="shared" si="48"/>
        <v>0</v>
      </c>
      <c r="E25" s="8">
        <f t="shared" si="48"/>
        <v>0</v>
      </c>
      <c r="G25" s="8" t="str">
        <f>Tank2!A38</f>
        <v>AAAAAA</v>
      </c>
      <c r="H25" s="8" t="str">
        <f>Tank2!E38</f>
        <v/>
      </c>
      <c r="I25" s="8" t="str">
        <f>Tank2!F38</f>
        <v/>
      </c>
      <c r="J25">
        <f t="shared" si="49"/>
        <v>0</v>
      </c>
      <c r="K25">
        <f t="shared" si="49"/>
        <v>0</v>
      </c>
      <c r="M25" s="8" t="str">
        <f>Tank3!A38</f>
        <v>AAAAAA</v>
      </c>
      <c r="N25" s="8" t="str">
        <f>Tank3!E38</f>
        <v/>
      </c>
      <c r="O25" s="8" t="str">
        <f>Tank3!F38</f>
        <v/>
      </c>
      <c r="P25">
        <f>IF($O25="",0,$O25*P$17)</f>
        <v>0</v>
      </c>
      <c r="Q25">
        <f t="shared" si="50"/>
        <v>0</v>
      </c>
      <c r="S25" s="8" t="str">
        <f>Tank4!A38</f>
        <v>AAAAAA</v>
      </c>
      <c r="T25" s="8" t="str">
        <f>Tank4!E38</f>
        <v/>
      </c>
      <c r="U25" s="8" t="str">
        <f>Tank4!F38</f>
        <v/>
      </c>
      <c r="V25">
        <f t="shared" si="51"/>
        <v>0</v>
      </c>
      <c r="W25">
        <f t="shared" si="51"/>
        <v>0</v>
      </c>
      <c r="Y25" s="8" t="str">
        <f>Tank5!A38</f>
        <v>AAAAAA</v>
      </c>
      <c r="Z25" s="8" t="str">
        <f>Tank5!E38</f>
        <v/>
      </c>
      <c r="AA25" s="8" t="str">
        <f>Tank5!F38</f>
        <v/>
      </c>
      <c r="AB25">
        <f t="shared" si="52"/>
        <v>0</v>
      </c>
      <c r="AC25">
        <f t="shared" si="52"/>
        <v>0</v>
      </c>
      <c r="AE25" s="8" t="str">
        <f>Hidden!CC8</f>
        <v/>
      </c>
      <c r="AF25">
        <f t="shared" si="53"/>
        <v>0</v>
      </c>
      <c r="AG25">
        <f t="shared" si="54"/>
        <v>0</v>
      </c>
      <c r="AH25">
        <f t="shared" si="55"/>
        <v>0</v>
      </c>
      <c r="AI25">
        <f t="shared" si="56"/>
        <v>0</v>
      </c>
      <c r="AJ25">
        <f t="shared" si="57"/>
        <v>0</v>
      </c>
      <c r="AK25">
        <f t="shared" si="58"/>
        <v>0</v>
      </c>
      <c r="AL25">
        <f t="shared" si="59"/>
        <v>0</v>
      </c>
      <c r="AM25">
        <f t="shared" si="60"/>
        <v>0</v>
      </c>
      <c r="AN25">
        <f t="shared" si="61"/>
        <v>0</v>
      </c>
      <c r="AO25">
        <f t="shared" si="62"/>
        <v>0</v>
      </c>
      <c r="BJ25" s="8" t="str">
        <f>Tank1!A38</f>
        <v>AAAAAA</v>
      </c>
      <c r="BK25" s="8" t="str">
        <f>Tank1!E38</f>
        <v/>
      </c>
      <c r="BL25" s="8" t="str">
        <f>Tank1!F38</f>
        <v/>
      </c>
      <c r="BM25" s="8">
        <f t="shared" si="63"/>
        <v>0</v>
      </c>
      <c r="BN25" s="8">
        <f t="shared" si="64"/>
        <v>0</v>
      </c>
      <c r="BO25" s="8"/>
      <c r="BP25" s="8" t="str">
        <f>Tank2!A38</f>
        <v>AAAAAA</v>
      </c>
      <c r="BQ25" s="8" t="str">
        <f>Tank2!E38</f>
        <v/>
      </c>
      <c r="BR25" s="8" t="str">
        <f>Tank2!F38</f>
        <v/>
      </c>
      <c r="BS25" s="8">
        <f t="shared" si="65"/>
        <v>0</v>
      </c>
      <c r="BT25" s="8">
        <f t="shared" si="66"/>
        <v>0</v>
      </c>
      <c r="BU25" s="8"/>
      <c r="BV25" s="8" t="str">
        <f>Tank3!A38</f>
        <v>AAAAAA</v>
      </c>
      <c r="BW25" s="8" t="str">
        <f>Tank3!E38</f>
        <v/>
      </c>
      <c r="BX25" s="8" t="str">
        <f>Tank3!F38</f>
        <v/>
      </c>
      <c r="BY25" s="8">
        <f t="shared" si="67"/>
        <v>0</v>
      </c>
      <c r="BZ25" s="8">
        <f t="shared" si="68"/>
        <v>0</v>
      </c>
      <c r="CA25" s="8"/>
      <c r="CB25" s="8" t="str">
        <f>Tank4!A38</f>
        <v>AAAAAA</v>
      </c>
      <c r="CC25" s="8" t="str">
        <f>Tank4!E38</f>
        <v/>
      </c>
      <c r="CD25" s="8" t="str">
        <f>Tank4!F38</f>
        <v/>
      </c>
      <c r="CE25" s="8">
        <f t="shared" si="69"/>
        <v>0</v>
      </c>
      <c r="CF25" s="8">
        <f t="shared" si="70"/>
        <v>0</v>
      </c>
      <c r="CH25" s="8" t="str">
        <f>Tank5!A38</f>
        <v>AAAAAA</v>
      </c>
      <c r="CI25" s="8" t="str">
        <f>Tank5!E38</f>
        <v/>
      </c>
      <c r="CJ25" s="8" t="str">
        <f>Tank5!F38</f>
        <v/>
      </c>
      <c r="CK25" s="8">
        <f t="shared" si="71"/>
        <v>0</v>
      </c>
      <c r="CL25" s="8">
        <f t="shared" si="72"/>
        <v>0</v>
      </c>
      <c r="CN25" s="8" t="str">
        <f>Hidden!$CC8</f>
        <v/>
      </c>
      <c r="CO25">
        <f t="shared" si="73"/>
        <v>0</v>
      </c>
      <c r="CP25">
        <f t="shared" si="74"/>
        <v>0</v>
      </c>
      <c r="CQ25">
        <f t="shared" si="75"/>
        <v>0</v>
      </c>
      <c r="CR25">
        <f t="shared" si="76"/>
        <v>0</v>
      </c>
      <c r="CS25">
        <f t="shared" si="77"/>
        <v>0</v>
      </c>
      <c r="CT25">
        <f t="shared" si="78"/>
        <v>0</v>
      </c>
      <c r="CU25">
        <f t="shared" si="79"/>
        <v>0</v>
      </c>
      <c r="CV25">
        <f t="shared" si="80"/>
        <v>0</v>
      </c>
      <c r="CW25">
        <f t="shared" si="81"/>
        <v>0</v>
      </c>
      <c r="CX25">
        <f t="shared" si="82"/>
        <v>0</v>
      </c>
      <c r="DT25" s="77"/>
      <c r="DU25" s="8" t="str">
        <f t="shared" si="14"/>
        <v>AAAAAAA</v>
      </c>
      <c r="DV25" s="8" t="str">
        <f t="shared" si="15"/>
        <v/>
      </c>
      <c r="DW25" s="8" t="str">
        <f t="shared" si="16"/>
        <v/>
      </c>
      <c r="DX25">
        <f t="shared" si="17"/>
        <v>0</v>
      </c>
      <c r="DY25">
        <f t="shared" si="17"/>
        <v>0</v>
      </c>
      <c r="EA25" t="str">
        <f t="shared" si="18"/>
        <v>AAAAAAA</v>
      </c>
      <c r="EB25" t="str">
        <f t="shared" si="19"/>
        <v/>
      </c>
      <c r="EC25" t="str">
        <f t="shared" si="20"/>
        <v/>
      </c>
      <c r="ED25">
        <f t="shared" si="21"/>
        <v>0</v>
      </c>
      <c r="EE25">
        <f t="shared" si="21"/>
        <v>0</v>
      </c>
      <c r="EG25" s="8" t="str">
        <f t="shared" si="22"/>
        <v>AAAAAAA</v>
      </c>
      <c r="EH25" s="8" t="str">
        <f t="shared" si="23"/>
        <v/>
      </c>
      <c r="EI25" s="8" t="str">
        <f t="shared" si="24"/>
        <v/>
      </c>
      <c r="EJ25">
        <f t="shared" si="25"/>
        <v>0</v>
      </c>
      <c r="EK25">
        <f t="shared" si="25"/>
        <v>0</v>
      </c>
      <c r="EM25" s="8" t="str">
        <f t="shared" si="26"/>
        <v>AAAAAAA</v>
      </c>
      <c r="EN25" s="8" t="str">
        <f t="shared" si="27"/>
        <v/>
      </c>
      <c r="EO25" s="8" t="str">
        <f t="shared" si="28"/>
        <v/>
      </c>
      <c r="EP25">
        <f t="shared" si="29"/>
        <v>0</v>
      </c>
      <c r="EQ25">
        <f t="shared" si="29"/>
        <v>0</v>
      </c>
      <c r="ES25" s="8" t="str">
        <f t="shared" si="30"/>
        <v>AAAAAAA</v>
      </c>
      <c r="ET25" s="8" t="str">
        <f t="shared" si="31"/>
        <v/>
      </c>
      <c r="EU25" s="8" t="str">
        <f t="shared" si="32"/>
        <v/>
      </c>
      <c r="EV25">
        <f t="shared" si="33"/>
        <v>0</v>
      </c>
      <c r="EW25">
        <f t="shared" si="33"/>
        <v>0</v>
      </c>
      <c r="EY25" s="8" t="str">
        <f>Hidden!$CG19</f>
        <v/>
      </c>
      <c r="EZ25">
        <f t="shared" si="34"/>
        <v>0</v>
      </c>
      <c r="FA25">
        <f t="shared" si="35"/>
        <v>0</v>
      </c>
      <c r="FB25">
        <f t="shared" si="36"/>
        <v>0</v>
      </c>
      <c r="FC25">
        <f t="shared" si="37"/>
        <v>0</v>
      </c>
      <c r="FD25">
        <f t="shared" si="38"/>
        <v>0</v>
      </c>
      <c r="FE25">
        <f t="shared" si="39"/>
        <v>0</v>
      </c>
      <c r="FF25">
        <f t="shared" si="40"/>
        <v>0</v>
      </c>
      <c r="FG25">
        <f t="shared" si="41"/>
        <v>0</v>
      </c>
      <c r="FH25">
        <f t="shared" si="42"/>
        <v>0</v>
      </c>
      <c r="FI25">
        <f t="shared" si="43"/>
        <v>0</v>
      </c>
      <c r="GH25">
        <f>IF(OR(GI25=0,ISNUMBER(MATCH(GI25,$GI$2:GI24,0))),0,MAX($GH$2:GH24)+1)</f>
        <v>0</v>
      </c>
      <c r="GI25">
        <f t="shared" si="83"/>
        <v>0</v>
      </c>
      <c r="GL25">
        <f>IF(OR(GM25=0,ISNUMBER(MATCH(GM25,$GM$2:GM24,0))),0,MAX($GL$2:GL24)+1)</f>
        <v>0</v>
      </c>
      <c r="GM25">
        <f t="shared" si="84"/>
        <v>0</v>
      </c>
    </row>
    <row r="26" spans="1:195" ht="28.5" x14ac:dyDescent="0.2">
      <c r="A26" s="8" t="str">
        <f>Tank1!A39</f>
        <v>AAAAAAA</v>
      </c>
      <c r="B26" s="8" t="str">
        <f>Tank1!E39</f>
        <v/>
      </c>
      <c r="C26" s="8" t="str">
        <f>Tank1!F39</f>
        <v/>
      </c>
      <c r="D26" s="8">
        <f t="shared" si="48"/>
        <v>0</v>
      </c>
      <c r="E26" s="8">
        <f t="shared" si="48"/>
        <v>0</v>
      </c>
      <c r="G26" s="8" t="str">
        <f>Tank2!A39</f>
        <v>AAAAAAA</v>
      </c>
      <c r="H26" s="8" t="str">
        <f>Tank2!E39</f>
        <v/>
      </c>
      <c r="I26" s="8" t="str">
        <f>Tank2!F39</f>
        <v/>
      </c>
      <c r="J26">
        <f t="shared" si="49"/>
        <v>0</v>
      </c>
      <c r="K26">
        <f t="shared" si="49"/>
        <v>0</v>
      </c>
      <c r="M26" s="8" t="str">
        <f>Tank3!A39</f>
        <v>AAAAAAA</v>
      </c>
      <c r="N26" s="8" t="str">
        <f>Tank3!E39</f>
        <v/>
      </c>
      <c r="O26" s="8" t="str">
        <f>Tank3!F39</f>
        <v/>
      </c>
      <c r="P26">
        <f t="shared" si="50"/>
        <v>0</v>
      </c>
      <c r="Q26">
        <f t="shared" si="50"/>
        <v>0</v>
      </c>
      <c r="S26" s="8" t="str">
        <f>Tank4!A39</f>
        <v>AAAAAAA</v>
      </c>
      <c r="T26" s="8" t="str">
        <f>Tank4!E39</f>
        <v/>
      </c>
      <c r="U26" s="8" t="str">
        <f>Tank4!F39</f>
        <v/>
      </c>
      <c r="V26">
        <f t="shared" si="51"/>
        <v>0</v>
      </c>
      <c r="W26">
        <f t="shared" si="51"/>
        <v>0</v>
      </c>
      <c r="Y26" s="8" t="str">
        <f>Tank5!A39</f>
        <v>AAAAAAA</v>
      </c>
      <c r="Z26" s="8" t="str">
        <f>Tank5!E39</f>
        <v/>
      </c>
      <c r="AA26" s="8" t="str">
        <f>Tank5!F39</f>
        <v/>
      </c>
      <c r="AB26">
        <f t="shared" si="52"/>
        <v>0</v>
      </c>
      <c r="AC26">
        <f t="shared" si="52"/>
        <v>0</v>
      </c>
      <c r="AE26" s="8" t="str">
        <f>Hidden!CC9</f>
        <v/>
      </c>
      <c r="AF26">
        <f t="shared" si="53"/>
        <v>0</v>
      </c>
      <c r="AG26">
        <f t="shared" si="54"/>
        <v>0</v>
      </c>
      <c r="AH26">
        <f t="shared" si="55"/>
        <v>0</v>
      </c>
      <c r="AI26">
        <f t="shared" si="56"/>
        <v>0</v>
      </c>
      <c r="AJ26">
        <f t="shared" si="57"/>
        <v>0</v>
      </c>
      <c r="AK26">
        <f t="shared" si="58"/>
        <v>0</v>
      </c>
      <c r="AL26">
        <f t="shared" si="59"/>
        <v>0</v>
      </c>
      <c r="AM26">
        <f t="shared" si="60"/>
        <v>0</v>
      </c>
      <c r="AN26">
        <f t="shared" si="61"/>
        <v>0</v>
      </c>
      <c r="AO26">
        <f t="shared" si="62"/>
        <v>0</v>
      </c>
      <c r="BJ26" s="8" t="str">
        <f>Tank1!A39</f>
        <v>AAAAAAA</v>
      </c>
      <c r="BK26" s="8" t="str">
        <f>Tank1!E39</f>
        <v/>
      </c>
      <c r="BL26" s="8" t="str">
        <f>Tank1!F39</f>
        <v/>
      </c>
      <c r="BM26" s="8">
        <f t="shared" si="63"/>
        <v>0</v>
      </c>
      <c r="BN26" s="8">
        <f t="shared" si="64"/>
        <v>0</v>
      </c>
      <c r="BO26" s="8"/>
      <c r="BP26" s="8" t="str">
        <f>Tank2!A39</f>
        <v>AAAAAAA</v>
      </c>
      <c r="BQ26" s="8" t="str">
        <f>Tank2!E39</f>
        <v/>
      </c>
      <c r="BR26" s="8" t="str">
        <f>Tank2!F39</f>
        <v/>
      </c>
      <c r="BS26" s="8">
        <f t="shared" si="65"/>
        <v>0</v>
      </c>
      <c r="BT26" s="8">
        <f t="shared" si="66"/>
        <v>0</v>
      </c>
      <c r="BU26" s="8"/>
      <c r="BV26" s="8" t="str">
        <f>Tank3!A39</f>
        <v>AAAAAAA</v>
      </c>
      <c r="BW26" s="8" t="str">
        <f>Tank3!E39</f>
        <v/>
      </c>
      <c r="BX26" s="8" t="str">
        <f>Tank3!F39</f>
        <v/>
      </c>
      <c r="BY26" s="8">
        <f t="shared" si="67"/>
        <v>0</v>
      </c>
      <c r="BZ26" s="8">
        <f t="shared" si="68"/>
        <v>0</v>
      </c>
      <c r="CA26" s="8"/>
      <c r="CB26" s="8" t="str">
        <f>Tank4!A39</f>
        <v>AAAAAAA</v>
      </c>
      <c r="CC26" s="8" t="str">
        <f>Tank4!E39</f>
        <v/>
      </c>
      <c r="CD26" s="8" t="str">
        <f>Tank4!F39</f>
        <v/>
      </c>
      <c r="CE26" s="8">
        <f t="shared" si="69"/>
        <v>0</v>
      </c>
      <c r="CF26" s="8">
        <f t="shared" si="70"/>
        <v>0</v>
      </c>
      <c r="CH26" s="8" t="str">
        <f>Tank5!A39</f>
        <v>AAAAAAA</v>
      </c>
      <c r="CI26" s="8" t="str">
        <f>Tank5!E39</f>
        <v/>
      </c>
      <c r="CJ26" s="8" t="str">
        <f>Tank5!F39</f>
        <v/>
      </c>
      <c r="CK26" s="8">
        <f t="shared" si="71"/>
        <v>0</v>
      </c>
      <c r="CL26" s="8">
        <f t="shared" si="72"/>
        <v>0</v>
      </c>
      <c r="CN26" s="8" t="str">
        <f>Hidden!$CC9</f>
        <v/>
      </c>
      <c r="CO26">
        <f t="shared" si="73"/>
        <v>0</v>
      </c>
      <c r="CP26">
        <f t="shared" si="74"/>
        <v>0</v>
      </c>
      <c r="CQ26">
        <f t="shared" si="75"/>
        <v>0</v>
      </c>
      <c r="CR26">
        <f t="shared" si="76"/>
        <v>0</v>
      </c>
      <c r="CS26">
        <f t="shared" si="77"/>
        <v>0</v>
      </c>
      <c r="CT26">
        <f t="shared" si="78"/>
        <v>0</v>
      </c>
      <c r="CU26">
        <f t="shared" si="79"/>
        <v>0</v>
      </c>
      <c r="CV26">
        <f t="shared" si="80"/>
        <v>0</v>
      </c>
      <c r="CW26">
        <f t="shared" si="81"/>
        <v>0</v>
      </c>
      <c r="CX26">
        <f t="shared" si="82"/>
        <v>0</v>
      </c>
      <c r="DT26" s="77"/>
      <c r="DU26" s="8" t="str">
        <f t="shared" si="14"/>
        <v>AAAAAAAA</v>
      </c>
      <c r="DV26" s="8" t="str">
        <f t="shared" si="15"/>
        <v/>
      </c>
      <c r="DW26" s="8" t="str">
        <f t="shared" si="16"/>
        <v/>
      </c>
      <c r="DX26">
        <f t="shared" si="17"/>
        <v>0</v>
      </c>
      <c r="DY26">
        <f t="shared" si="17"/>
        <v>0</v>
      </c>
      <c r="EA26" t="str">
        <f t="shared" si="18"/>
        <v>AAAAAAAA</v>
      </c>
      <c r="EB26" t="str">
        <f t="shared" si="19"/>
        <v/>
      </c>
      <c r="EC26" t="str">
        <f t="shared" si="20"/>
        <v/>
      </c>
      <c r="ED26">
        <f t="shared" si="21"/>
        <v>0</v>
      </c>
      <c r="EE26">
        <f t="shared" si="21"/>
        <v>0</v>
      </c>
      <c r="EG26" s="8" t="str">
        <f t="shared" si="22"/>
        <v>AAAAAAAA</v>
      </c>
      <c r="EH26" s="8" t="str">
        <f t="shared" si="23"/>
        <v/>
      </c>
      <c r="EI26" s="8" t="str">
        <f t="shared" si="24"/>
        <v/>
      </c>
      <c r="EJ26">
        <f t="shared" si="25"/>
        <v>0</v>
      </c>
      <c r="EK26">
        <f t="shared" si="25"/>
        <v>0</v>
      </c>
      <c r="EM26" s="8" t="str">
        <f t="shared" si="26"/>
        <v>AAAAAAAA</v>
      </c>
      <c r="EN26" s="8" t="str">
        <f t="shared" si="27"/>
        <v/>
      </c>
      <c r="EO26" s="8" t="str">
        <f t="shared" si="28"/>
        <v/>
      </c>
      <c r="EP26">
        <f t="shared" si="29"/>
        <v>0</v>
      </c>
      <c r="EQ26">
        <f t="shared" si="29"/>
        <v>0</v>
      </c>
      <c r="ES26" s="8" t="str">
        <f t="shared" si="30"/>
        <v>AAAAAAAA</v>
      </c>
      <c r="ET26" s="8" t="str">
        <f t="shared" si="31"/>
        <v/>
      </c>
      <c r="EU26" s="8" t="str">
        <f t="shared" si="32"/>
        <v/>
      </c>
      <c r="EV26">
        <f t="shared" si="33"/>
        <v>0</v>
      </c>
      <c r="EW26">
        <f t="shared" si="33"/>
        <v>0</v>
      </c>
      <c r="EY26" s="8" t="str">
        <f>Hidden!$CG20</f>
        <v/>
      </c>
      <c r="EZ26">
        <f t="shared" si="34"/>
        <v>0</v>
      </c>
      <c r="FA26">
        <f t="shared" si="35"/>
        <v>0</v>
      </c>
      <c r="FB26">
        <f t="shared" si="36"/>
        <v>0</v>
      </c>
      <c r="FC26">
        <f t="shared" si="37"/>
        <v>0</v>
      </c>
      <c r="FD26">
        <f t="shared" si="38"/>
        <v>0</v>
      </c>
      <c r="FE26">
        <f t="shared" si="39"/>
        <v>0</v>
      </c>
      <c r="FF26">
        <f t="shared" si="40"/>
        <v>0</v>
      </c>
      <c r="FG26">
        <f t="shared" si="41"/>
        <v>0</v>
      </c>
      <c r="FH26">
        <f t="shared" si="42"/>
        <v>0</v>
      </c>
      <c r="FI26">
        <f t="shared" si="43"/>
        <v>0</v>
      </c>
      <c r="GH26">
        <f>IF(OR(GI26=0,ISNUMBER(MATCH(GI26,$GI$2:GI25,0))),0,MAX($GH$2:GH25)+1)</f>
        <v>0</v>
      </c>
      <c r="GI26">
        <f t="shared" si="83"/>
        <v>0</v>
      </c>
      <c r="GL26">
        <f>IF(OR(GM26=0,ISNUMBER(MATCH(GM26,$GM$2:GM25,0))),0,MAX($GL$2:GL25)+1)</f>
        <v>0</v>
      </c>
      <c r="GM26">
        <f t="shared" si="84"/>
        <v>0</v>
      </c>
    </row>
    <row r="27" spans="1:195" ht="28.5" x14ac:dyDescent="0.2">
      <c r="A27" s="8" t="str">
        <f>Tank1!A40</f>
        <v>AAAAAAAA</v>
      </c>
      <c r="B27" s="8" t="str">
        <f>Tank1!E40</f>
        <v/>
      </c>
      <c r="C27" s="8" t="str">
        <f>Tank1!F40</f>
        <v/>
      </c>
      <c r="D27" s="8">
        <f t="shared" si="48"/>
        <v>0</v>
      </c>
      <c r="E27" s="8">
        <f t="shared" si="48"/>
        <v>0</v>
      </c>
      <c r="G27" s="8" t="str">
        <f>Tank2!A40</f>
        <v>AAAAAAAA</v>
      </c>
      <c r="H27" s="8" t="str">
        <f>Tank2!E40</f>
        <v/>
      </c>
      <c r="I27" s="8" t="str">
        <f>Tank2!F40</f>
        <v/>
      </c>
      <c r="J27">
        <f t="shared" si="49"/>
        <v>0</v>
      </c>
      <c r="K27">
        <f t="shared" si="49"/>
        <v>0</v>
      </c>
      <c r="M27" s="8" t="str">
        <f>Tank3!A40</f>
        <v>AAAAAAAA</v>
      </c>
      <c r="N27" s="8" t="str">
        <f>Tank3!E40</f>
        <v/>
      </c>
      <c r="O27" s="8" t="str">
        <f>Tank3!F40</f>
        <v/>
      </c>
      <c r="P27">
        <f t="shared" si="50"/>
        <v>0</v>
      </c>
      <c r="Q27">
        <f t="shared" si="50"/>
        <v>0</v>
      </c>
      <c r="S27" s="8" t="str">
        <f>Tank4!A40</f>
        <v>AAAAAAAA</v>
      </c>
      <c r="T27" s="8" t="str">
        <f>Tank4!E40</f>
        <v/>
      </c>
      <c r="U27" s="8" t="str">
        <f>Tank4!F40</f>
        <v/>
      </c>
      <c r="V27">
        <f t="shared" si="51"/>
        <v>0</v>
      </c>
      <c r="W27">
        <f t="shared" si="51"/>
        <v>0</v>
      </c>
      <c r="Y27" s="8" t="str">
        <f>Tank5!A40</f>
        <v>AAAAAAAA</v>
      </c>
      <c r="Z27" s="8" t="str">
        <f>Tank5!E40</f>
        <v/>
      </c>
      <c r="AA27" s="8" t="str">
        <f>Tank5!F40</f>
        <v/>
      </c>
      <c r="AB27">
        <f t="shared" si="52"/>
        <v>0</v>
      </c>
      <c r="AC27">
        <f t="shared" si="52"/>
        <v>0</v>
      </c>
      <c r="AE27" s="8" t="str">
        <f>Hidden!CC10</f>
        <v/>
      </c>
      <c r="AF27">
        <f t="shared" si="53"/>
        <v>0</v>
      </c>
      <c r="AG27">
        <f t="shared" si="54"/>
        <v>0</v>
      </c>
      <c r="AH27">
        <f t="shared" si="55"/>
        <v>0</v>
      </c>
      <c r="AI27">
        <f t="shared" si="56"/>
        <v>0</v>
      </c>
      <c r="AJ27">
        <f t="shared" si="57"/>
        <v>0</v>
      </c>
      <c r="AK27">
        <f t="shared" si="58"/>
        <v>0</v>
      </c>
      <c r="AL27">
        <f t="shared" si="59"/>
        <v>0</v>
      </c>
      <c r="AM27">
        <f t="shared" si="60"/>
        <v>0</v>
      </c>
      <c r="AN27">
        <f t="shared" si="61"/>
        <v>0</v>
      </c>
      <c r="AO27">
        <f t="shared" si="62"/>
        <v>0</v>
      </c>
      <c r="BJ27" s="8" t="str">
        <f>Tank1!A40</f>
        <v>AAAAAAAA</v>
      </c>
      <c r="BK27" s="8" t="str">
        <f>Tank1!E40</f>
        <v/>
      </c>
      <c r="BL27" s="8" t="str">
        <f>Tank1!F40</f>
        <v/>
      </c>
      <c r="BM27" s="8">
        <f t="shared" si="63"/>
        <v>0</v>
      </c>
      <c r="BN27" s="8">
        <f t="shared" si="64"/>
        <v>0</v>
      </c>
      <c r="BO27" s="8"/>
      <c r="BP27" s="8" t="str">
        <f>Tank2!A40</f>
        <v>AAAAAAAA</v>
      </c>
      <c r="BQ27" s="8" t="str">
        <f>Tank2!E40</f>
        <v/>
      </c>
      <c r="BR27" s="8" t="str">
        <f>Tank2!F40</f>
        <v/>
      </c>
      <c r="BS27" s="8">
        <f t="shared" si="65"/>
        <v>0</v>
      </c>
      <c r="BT27" s="8">
        <f t="shared" si="66"/>
        <v>0</v>
      </c>
      <c r="BU27" s="8"/>
      <c r="BV27" s="8" t="str">
        <f>Tank3!A40</f>
        <v>AAAAAAAA</v>
      </c>
      <c r="BW27" s="8" t="str">
        <f>Tank3!E40</f>
        <v/>
      </c>
      <c r="BX27" s="8" t="str">
        <f>Tank3!F40</f>
        <v/>
      </c>
      <c r="BY27" s="8">
        <f t="shared" si="67"/>
        <v>0</v>
      </c>
      <c r="BZ27" s="8">
        <f t="shared" si="68"/>
        <v>0</v>
      </c>
      <c r="CA27" s="8"/>
      <c r="CB27" s="8" t="str">
        <f>Tank4!A40</f>
        <v>AAAAAAAA</v>
      </c>
      <c r="CC27" s="8" t="str">
        <f>Tank4!E40</f>
        <v/>
      </c>
      <c r="CD27" s="8" t="str">
        <f>Tank4!F40</f>
        <v/>
      </c>
      <c r="CE27" s="8">
        <f t="shared" si="69"/>
        <v>0</v>
      </c>
      <c r="CF27" s="8">
        <f t="shared" si="70"/>
        <v>0</v>
      </c>
      <c r="CH27" s="8" t="str">
        <f>Tank5!A40</f>
        <v>AAAAAAAA</v>
      </c>
      <c r="CI27" s="8" t="str">
        <f>Tank5!E40</f>
        <v/>
      </c>
      <c r="CJ27" s="8" t="str">
        <f>Tank5!F40</f>
        <v/>
      </c>
      <c r="CK27" s="8">
        <f t="shared" si="71"/>
        <v>0</v>
      </c>
      <c r="CL27" s="8">
        <f t="shared" si="72"/>
        <v>0</v>
      </c>
      <c r="CN27" s="8" t="str">
        <f>Hidden!$CC10</f>
        <v/>
      </c>
      <c r="CO27">
        <f t="shared" si="73"/>
        <v>0</v>
      </c>
      <c r="CP27">
        <f t="shared" si="74"/>
        <v>0</v>
      </c>
      <c r="CQ27">
        <f t="shared" si="75"/>
        <v>0</v>
      </c>
      <c r="CR27">
        <f t="shared" si="76"/>
        <v>0</v>
      </c>
      <c r="CS27">
        <f t="shared" si="77"/>
        <v>0</v>
      </c>
      <c r="CT27">
        <f t="shared" si="78"/>
        <v>0</v>
      </c>
      <c r="CU27">
        <f t="shared" si="79"/>
        <v>0</v>
      </c>
      <c r="CV27">
        <f t="shared" si="80"/>
        <v>0</v>
      </c>
      <c r="CW27">
        <f t="shared" si="81"/>
        <v>0</v>
      </c>
      <c r="CX27">
        <f t="shared" si="82"/>
        <v>0</v>
      </c>
      <c r="DT27" s="77"/>
      <c r="DU27" s="8" t="str">
        <f t="shared" si="14"/>
        <v>AAAAAAAAA</v>
      </c>
      <c r="DV27" s="8" t="str">
        <f t="shared" si="15"/>
        <v/>
      </c>
      <c r="DW27" s="8" t="str">
        <f t="shared" si="16"/>
        <v/>
      </c>
      <c r="DX27">
        <f t="shared" si="17"/>
        <v>0</v>
      </c>
      <c r="DY27">
        <f t="shared" si="17"/>
        <v>0</v>
      </c>
      <c r="EA27" t="str">
        <f t="shared" si="18"/>
        <v>AAAAAAAAA</v>
      </c>
      <c r="EB27" t="str">
        <f t="shared" si="19"/>
        <v/>
      </c>
      <c r="EC27" t="str">
        <f t="shared" si="20"/>
        <v/>
      </c>
      <c r="ED27">
        <f t="shared" si="21"/>
        <v>0</v>
      </c>
      <c r="EE27">
        <f t="shared" si="21"/>
        <v>0</v>
      </c>
      <c r="EG27" s="8" t="str">
        <f t="shared" si="22"/>
        <v>AAAAAAAAA</v>
      </c>
      <c r="EH27" s="8" t="str">
        <f t="shared" si="23"/>
        <v/>
      </c>
      <c r="EI27" s="8" t="str">
        <f t="shared" si="24"/>
        <v/>
      </c>
      <c r="EJ27">
        <f t="shared" si="25"/>
        <v>0</v>
      </c>
      <c r="EK27">
        <f t="shared" si="25"/>
        <v>0</v>
      </c>
      <c r="EM27" s="8" t="str">
        <f t="shared" si="26"/>
        <v>AAAAAAAAA</v>
      </c>
      <c r="EN27" s="8" t="str">
        <f t="shared" si="27"/>
        <v/>
      </c>
      <c r="EO27" s="8" t="str">
        <f t="shared" si="28"/>
        <v/>
      </c>
      <c r="EP27">
        <f t="shared" si="29"/>
        <v>0</v>
      </c>
      <c r="EQ27">
        <f t="shared" si="29"/>
        <v>0</v>
      </c>
      <c r="ES27" s="8" t="str">
        <f t="shared" si="30"/>
        <v>AAAAAAAAA</v>
      </c>
      <c r="ET27" s="8" t="str">
        <f t="shared" si="31"/>
        <v/>
      </c>
      <c r="EU27" s="8" t="str">
        <f t="shared" si="32"/>
        <v/>
      </c>
      <c r="EV27">
        <f t="shared" si="33"/>
        <v>0</v>
      </c>
      <c r="EW27">
        <f t="shared" si="33"/>
        <v>0</v>
      </c>
      <c r="EY27" s="8" t="str">
        <f>Hidden!$CG21</f>
        <v/>
      </c>
      <c r="EZ27">
        <f t="shared" si="34"/>
        <v>0</v>
      </c>
      <c r="FA27">
        <f t="shared" si="35"/>
        <v>0</v>
      </c>
      <c r="FB27">
        <f t="shared" si="36"/>
        <v>0</v>
      </c>
      <c r="FC27">
        <f t="shared" si="37"/>
        <v>0</v>
      </c>
      <c r="FD27">
        <f t="shared" si="38"/>
        <v>0</v>
      </c>
      <c r="FE27">
        <f t="shared" si="39"/>
        <v>0</v>
      </c>
      <c r="FF27">
        <f t="shared" si="40"/>
        <v>0</v>
      </c>
      <c r="FG27">
        <f t="shared" si="41"/>
        <v>0</v>
      </c>
      <c r="FH27">
        <f t="shared" si="42"/>
        <v>0</v>
      </c>
      <c r="FI27">
        <f t="shared" si="43"/>
        <v>0</v>
      </c>
      <c r="GH27">
        <f>IF(OR(GI27=0,ISNUMBER(MATCH(GI27,$GI$2:GI26,0))),0,MAX($GH$2:GH26)+1)</f>
        <v>0</v>
      </c>
      <c r="GI27">
        <f t="shared" si="83"/>
        <v>0</v>
      </c>
      <c r="GL27">
        <f>IF(OR(GM27=0,ISNUMBER(MATCH(GM27,$GM$2:GM26,0))),0,MAX($GL$2:GL26)+1)</f>
        <v>0</v>
      </c>
      <c r="GM27">
        <f t="shared" si="84"/>
        <v>0</v>
      </c>
    </row>
    <row r="28" spans="1:195" ht="28.5" x14ac:dyDescent="0.2">
      <c r="A28" s="8" t="str">
        <f>Tank1!A41</f>
        <v>AAAAAAAAA</v>
      </c>
      <c r="B28" s="8" t="str">
        <f>Tank1!E41</f>
        <v/>
      </c>
      <c r="C28" s="8" t="str">
        <f>Tank1!F41</f>
        <v/>
      </c>
      <c r="D28" s="8">
        <f t="shared" si="48"/>
        <v>0</v>
      </c>
      <c r="E28" s="8">
        <f t="shared" si="48"/>
        <v>0</v>
      </c>
      <c r="G28" s="8" t="str">
        <f>Tank2!A41</f>
        <v>AAAAAAAAA</v>
      </c>
      <c r="H28" s="8" t="str">
        <f>Tank2!E41</f>
        <v/>
      </c>
      <c r="I28" s="8" t="str">
        <f>Tank2!F41</f>
        <v/>
      </c>
      <c r="J28">
        <f t="shared" si="49"/>
        <v>0</v>
      </c>
      <c r="K28">
        <f t="shared" si="49"/>
        <v>0</v>
      </c>
      <c r="M28" s="8" t="str">
        <f>Tank3!A41</f>
        <v>AAAAAAAAA</v>
      </c>
      <c r="N28" s="8" t="str">
        <f>Tank3!E41</f>
        <v/>
      </c>
      <c r="O28" s="8" t="str">
        <f>Tank3!F41</f>
        <v/>
      </c>
      <c r="P28">
        <f t="shared" si="50"/>
        <v>0</v>
      </c>
      <c r="Q28">
        <f t="shared" si="50"/>
        <v>0</v>
      </c>
      <c r="S28" s="8" t="str">
        <f>Tank4!A41</f>
        <v>AAAAAAAAA</v>
      </c>
      <c r="T28" s="8" t="str">
        <f>Tank4!E41</f>
        <v/>
      </c>
      <c r="U28" s="8" t="str">
        <f>Tank4!F41</f>
        <v/>
      </c>
      <c r="V28">
        <f t="shared" si="51"/>
        <v>0</v>
      </c>
      <c r="W28">
        <f t="shared" si="51"/>
        <v>0</v>
      </c>
      <c r="Y28" s="8" t="str">
        <f>Tank5!A41</f>
        <v>AAAAAAAAA</v>
      </c>
      <c r="Z28" s="8" t="str">
        <f>Tank5!E41</f>
        <v/>
      </c>
      <c r="AA28" s="8" t="str">
        <f>Tank5!F41</f>
        <v/>
      </c>
      <c r="AB28">
        <f t="shared" si="52"/>
        <v>0</v>
      </c>
      <c r="AC28">
        <f t="shared" si="52"/>
        <v>0</v>
      </c>
      <c r="AE28" s="8" t="str">
        <f>Hidden!CC11</f>
        <v/>
      </c>
      <c r="AF28">
        <f t="shared" si="53"/>
        <v>0</v>
      </c>
      <c r="AG28">
        <f t="shared" si="54"/>
        <v>0</v>
      </c>
      <c r="AH28">
        <f t="shared" si="55"/>
        <v>0</v>
      </c>
      <c r="AI28">
        <f t="shared" si="56"/>
        <v>0</v>
      </c>
      <c r="AJ28">
        <f t="shared" si="57"/>
        <v>0</v>
      </c>
      <c r="AK28">
        <f t="shared" si="58"/>
        <v>0</v>
      </c>
      <c r="AL28">
        <f t="shared" si="59"/>
        <v>0</v>
      </c>
      <c r="AM28">
        <f t="shared" si="60"/>
        <v>0</v>
      </c>
      <c r="AN28">
        <f t="shared" si="61"/>
        <v>0</v>
      </c>
      <c r="AO28">
        <f t="shared" si="62"/>
        <v>0</v>
      </c>
      <c r="BJ28" s="8" t="str">
        <f>Tank1!A41</f>
        <v>AAAAAAAAA</v>
      </c>
      <c r="BK28" s="8" t="str">
        <f>Tank1!E41</f>
        <v/>
      </c>
      <c r="BL28" s="8" t="str">
        <f>Tank1!F41</f>
        <v/>
      </c>
      <c r="BM28" s="8">
        <f t="shared" si="63"/>
        <v>0</v>
      </c>
      <c r="BN28" s="8">
        <f t="shared" si="64"/>
        <v>0</v>
      </c>
      <c r="BO28" s="8"/>
      <c r="BP28" s="8" t="str">
        <f>Tank2!A41</f>
        <v>AAAAAAAAA</v>
      </c>
      <c r="BQ28" s="8" t="str">
        <f>Tank2!E41</f>
        <v/>
      </c>
      <c r="BR28" s="8" t="str">
        <f>Tank2!F41</f>
        <v/>
      </c>
      <c r="BS28" s="8">
        <f t="shared" si="65"/>
        <v>0</v>
      </c>
      <c r="BT28" s="8">
        <f t="shared" si="66"/>
        <v>0</v>
      </c>
      <c r="BU28" s="8"/>
      <c r="BV28" s="8" t="str">
        <f>Tank3!A41</f>
        <v>AAAAAAAAA</v>
      </c>
      <c r="BW28" s="8" t="str">
        <f>Tank3!E41</f>
        <v/>
      </c>
      <c r="BX28" s="8" t="str">
        <f>Tank3!F41</f>
        <v/>
      </c>
      <c r="BY28" s="8">
        <f t="shared" si="67"/>
        <v>0</v>
      </c>
      <c r="BZ28" s="8">
        <f t="shared" si="68"/>
        <v>0</v>
      </c>
      <c r="CA28" s="8"/>
      <c r="CB28" s="8" t="str">
        <f>Tank4!A41</f>
        <v>AAAAAAAAA</v>
      </c>
      <c r="CC28" s="8" t="str">
        <f>Tank4!E41</f>
        <v/>
      </c>
      <c r="CD28" s="8" t="str">
        <f>Tank4!F41</f>
        <v/>
      </c>
      <c r="CE28" s="8">
        <f t="shared" si="69"/>
        <v>0</v>
      </c>
      <c r="CF28" s="8">
        <f t="shared" si="70"/>
        <v>0</v>
      </c>
      <c r="CH28" s="8" t="str">
        <f>Tank5!A41</f>
        <v>AAAAAAAAA</v>
      </c>
      <c r="CI28" s="8" t="str">
        <f>Tank5!E41</f>
        <v/>
      </c>
      <c r="CJ28" s="8" t="str">
        <f>Tank5!F41</f>
        <v/>
      </c>
      <c r="CK28" s="8">
        <f t="shared" si="71"/>
        <v>0</v>
      </c>
      <c r="CL28" s="8">
        <f t="shared" si="72"/>
        <v>0</v>
      </c>
      <c r="CN28" s="8" t="str">
        <f>Hidden!$CC11</f>
        <v/>
      </c>
      <c r="CO28">
        <f t="shared" si="73"/>
        <v>0</v>
      </c>
      <c r="CP28">
        <f t="shared" si="74"/>
        <v>0</v>
      </c>
      <c r="CQ28">
        <f t="shared" si="75"/>
        <v>0</v>
      </c>
      <c r="CR28">
        <f t="shared" si="76"/>
        <v>0</v>
      </c>
      <c r="CS28">
        <f t="shared" si="77"/>
        <v>0</v>
      </c>
      <c r="CT28">
        <f t="shared" si="78"/>
        <v>0</v>
      </c>
      <c r="CU28">
        <f t="shared" si="79"/>
        <v>0</v>
      </c>
      <c r="CV28">
        <f t="shared" si="80"/>
        <v>0</v>
      </c>
      <c r="CW28">
        <f t="shared" si="81"/>
        <v>0</v>
      </c>
      <c r="CX28">
        <f t="shared" si="82"/>
        <v>0</v>
      </c>
      <c r="DT28" s="77"/>
      <c r="DU28" s="8" t="str">
        <f t="shared" si="14"/>
        <v>AAAAAAAAAA</v>
      </c>
      <c r="DV28" s="8" t="str">
        <f t="shared" si="15"/>
        <v/>
      </c>
      <c r="DW28" s="8" t="str">
        <f t="shared" si="16"/>
        <v/>
      </c>
      <c r="DX28">
        <f t="shared" si="17"/>
        <v>0</v>
      </c>
      <c r="DY28">
        <f t="shared" si="17"/>
        <v>0</v>
      </c>
      <c r="EA28" t="str">
        <f t="shared" si="18"/>
        <v>AAAAAAAAAA</v>
      </c>
      <c r="EB28" t="str">
        <f t="shared" si="19"/>
        <v/>
      </c>
      <c r="EC28" t="str">
        <f t="shared" si="20"/>
        <v/>
      </c>
      <c r="ED28">
        <f t="shared" si="21"/>
        <v>0</v>
      </c>
      <c r="EE28">
        <f t="shared" si="21"/>
        <v>0</v>
      </c>
      <c r="EG28" s="8" t="str">
        <f t="shared" si="22"/>
        <v>AAAAAAAAAA</v>
      </c>
      <c r="EH28" s="8" t="str">
        <f t="shared" si="23"/>
        <v/>
      </c>
      <c r="EI28" s="8" t="str">
        <f t="shared" si="24"/>
        <v/>
      </c>
      <c r="EJ28">
        <f t="shared" si="25"/>
        <v>0</v>
      </c>
      <c r="EK28">
        <f t="shared" si="25"/>
        <v>0</v>
      </c>
      <c r="EM28" s="8" t="str">
        <f t="shared" si="26"/>
        <v>AAAAAAAAAA</v>
      </c>
      <c r="EN28" s="8" t="str">
        <f t="shared" si="27"/>
        <v/>
      </c>
      <c r="EO28" s="8" t="str">
        <f t="shared" si="28"/>
        <v/>
      </c>
      <c r="EP28">
        <f t="shared" si="29"/>
        <v>0</v>
      </c>
      <c r="EQ28">
        <f t="shared" si="29"/>
        <v>0</v>
      </c>
      <c r="ES28" s="8" t="str">
        <f t="shared" si="30"/>
        <v>AAAAAAAAAA</v>
      </c>
      <c r="ET28" s="8" t="str">
        <f t="shared" si="31"/>
        <v/>
      </c>
      <c r="EU28" s="8" t="str">
        <f t="shared" si="32"/>
        <v/>
      </c>
      <c r="EV28">
        <f t="shared" si="33"/>
        <v>0</v>
      </c>
      <c r="EW28">
        <f t="shared" si="33"/>
        <v>0</v>
      </c>
      <c r="EY28" s="8" t="str">
        <f>Hidden!$CG22</f>
        <v/>
      </c>
      <c r="EZ28">
        <f t="shared" si="34"/>
        <v>0</v>
      </c>
      <c r="FA28">
        <f t="shared" si="35"/>
        <v>0</v>
      </c>
      <c r="FB28">
        <f t="shared" si="36"/>
        <v>0</v>
      </c>
      <c r="FC28">
        <f t="shared" si="37"/>
        <v>0</v>
      </c>
      <c r="FD28">
        <f t="shared" si="38"/>
        <v>0</v>
      </c>
      <c r="FE28">
        <f t="shared" si="39"/>
        <v>0</v>
      </c>
      <c r="FF28">
        <f t="shared" si="40"/>
        <v>0</v>
      </c>
      <c r="FG28">
        <f t="shared" si="41"/>
        <v>0</v>
      </c>
      <c r="FH28">
        <f t="shared" si="42"/>
        <v>0</v>
      </c>
      <c r="FI28">
        <f t="shared" si="43"/>
        <v>0</v>
      </c>
      <c r="GH28">
        <f>IF(OR(GI28=0,ISNUMBER(MATCH(GI28,$GI$2:GI27,0))),0,MAX($GH$2:GH27)+1)</f>
        <v>0</v>
      </c>
      <c r="GI28">
        <f t="shared" si="83"/>
        <v>0</v>
      </c>
      <c r="GL28">
        <f>IF(OR(GM28=0,ISNUMBER(MATCH(GM28,$GM$2:GM27,0))),0,MAX($GL$2:GL27)+1)</f>
        <v>0</v>
      </c>
      <c r="GM28">
        <f t="shared" si="84"/>
        <v>0</v>
      </c>
    </row>
    <row r="29" spans="1:195" x14ac:dyDescent="0.2">
      <c r="A29" s="8" t="str">
        <f>Tank1!A42</f>
        <v>AAAAAAAAAA</v>
      </c>
      <c r="B29" s="8" t="str">
        <f>Tank1!E42</f>
        <v/>
      </c>
      <c r="C29" s="8" t="str">
        <f>Tank1!F42</f>
        <v/>
      </c>
      <c r="D29" s="8">
        <f t="shared" si="48"/>
        <v>0</v>
      </c>
      <c r="E29" s="8">
        <f t="shared" si="48"/>
        <v>0</v>
      </c>
      <c r="G29" s="8" t="str">
        <f>Tank2!A42</f>
        <v>AAAAAAAAAA</v>
      </c>
      <c r="H29" s="8" t="str">
        <f>Tank2!E42</f>
        <v/>
      </c>
      <c r="I29" s="8" t="str">
        <f>Tank2!F42</f>
        <v/>
      </c>
      <c r="J29">
        <f t="shared" si="49"/>
        <v>0</v>
      </c>
      <c r="K29">
        <f t="shared" si="49"/>
        <v>0</v>
      </c>
      <c r="M29" s="8" t="str">
        <f>Tank3!A42</f>
        <v>AAAAAAAAAA</v>
      </c>
      <c r="N29" s="8" t="str">
        <f>Tank3!E42</f>
        <v/>
      </c>
      <c r="O29" s="8" t="str">
        <f>Tank3!F42</f>
        <v/>
      </c>
      <c r="P29">
        <f t="shared" si="50"/>
        <v>0</v>
      </c>
      <c r="Q29">
        <f t="shared" si="50"/>
        <v>0</v>
      </c>
      <c r="S29" s="8" t="str">
        <f>Tank4!A42</f>
        <v>AAAAAAAAAA</v>
      </c>
      <c r="T29" s="8" t="str">
        <f>Tank4!E42</f>
        <v/>
      </c>
      <c r="U29" s="8" t="str">
        <f>Tank4!F42</f>
        <v/>
      </c>
      <c r="V29">
        <f t="shared" si="51"/>
        <v>0</v>
      </c>
      <c r="W29">
        <f t="shared" si="51"/>
        <v>0</v>
      </c>
      <c r="Y29" s="8" t="str">
        <f>Tank5!A42</f>
        <v>AAAAAAAAAA</v>
      </c>
      <c r="Z29" s="8" t="str">
        <f>Tank5!E42</f>
        <v/>
      </c>
      <c r="AA29" s="8" t="str">
        <f>Tank5!F42</f>
        <v/>
      </c>
      <c r="AB29">
        <f t="shared" si="52"/>
        <v>0</v>
      </c>
      <c r="AC29">
        <f t="shared" si="52"/>
        <v>0</v>
      </c>
      <c r="AE29" s="8" t="str">
        <f>Hidden!CC12</f>
        <v/>
      </c>
      <c r="AF29">
        <f t="shared" si="53"/>
        <v>0</v>
      </c>
      <c r="AG29">
        <f t="shared" si="54"/>
        <v>0</v>
      </c>
      <c r="AH29">
        <f t="shared" si="55"/>
        <v>0</v>
      </c>
      <c r="AI29">
        <f t="shared" si="56"/>
        <v>0</v>
      </c>
      <c r="AJ29">
        <f t="shared" si="57"/>
        <v>0</v>
      </c>
      <c r="AK29">
        <f t="shared" si="58"/>
        <v>0</v>
      </c>
      <c r="AL29">
        <f t="shared" si="59"/>
        <v>0</v>
      </c>
      <c r="AM29">
        <f t="shared" si="60"/>
        <v>0</v>
      </c>
      <c r="AN29">
        <f t="shared" si="61"/>
        <v>0</v>
      </c>
      <c r="AO29">
        <f t="shared" si="62"/>
        <v>0</v>
      </c>
      <c r="BJ29" s="8" t="str">
        <f>Tank1!A42</f>
        <v>AAAAAAAAAA</v>
      </c>
      <c r="BK29" s="8" t="str">
        <f>Tank1!E42</f>
        <v/>
      </c>
      <c r="BL29" s="8" t="str">
        <f>Tank1!F42</f>
        <v/>
      </c>
      <c r="BM29" s="8">
        <f t="shared" si="63"/>
        <v>0</v>
      </c>
      <c r="BN29" s="8">
        <f t="shared" si="64"/>
        <v>0</v>
      </c>
      <c r="BO29" s="8"/>
      <c r="BP29" s="8" t="str">
        <f>Tank2!A42</f>
        <v>AAAAAAAAAA</v>
      </c>
      <c r="BQ29" s="8" t="str">
        <f>Tank2!E42</f>
        <v/>
      </c>
      <c r="BR29" s="8" t="str">
        <f>Tank2!F42</f>
        <v/>
      </c>
      <c r="BS29" s="8">
        <f t="shared" si="65"/>
        <v>0</v>
      </c>
      <c r="BT29" s="8">
        <f t="shared" si="66"/>
        <v>0</v>
      </c>
      <c r="BU29" s="8"/>
      <c r="BV29" s="8" t="str">
        <f>Tank3!A42</f>
        <v>AAAAAAAAAA</v>
      </c>
      <c r="BW29" s="8" t="str">
        <f>Tank3!E42</f>
        <v/>
      </c>
      <c r="BX29" s="8" t="str">
        <f>Tank3!F42</f>
        <v/>
      </c>
      <c r="BY29" s="8">
        <f t="shared" si="67"/>
        <v>0</v>
      </c>
      <c r="BZ29" s="8">
        <f t="shared" si="68"/>
        <v>0</v>
      </c>
      <c r="CA29" s="8"/>
      <c r="CB29" s="8" t="str">
        <f>Tank4!A42</f>
        <v>AAAAAAAAAA</v>
      </c>
      <c r="CC29" s="8" t="str">
        <f>Tank4!E42</f>
        <v/>
      </c>
      <c r="CD29" s="8" t="str">
        <f>Tank4!F42</f>
        <v/>
      </c>
      <c r="CE29" s="8">
        <f t="shared" si="69"/>
        <v>0</v>
      </c>
      <c r="CF29" s="8">
        <f t="shared" si="70"/>
        <v>0</v>
      </c>
      <c r="CH29" s="8" t="str">
        <f>Tank5!A42</f>
        <v>AAAAAAAAAA</v>
      </c>
      <c r="CI29" s="8" t="str">
        <f>Tank5!E42</f>
        <v/>
      </c>
      <c r="CJ29" s="8" t="str">
        <f>Tank5!F42</f>
        <v/>
      </c>
      <c r="CK29" s="8">
        <f t="shared" si="71"/>
        <v>0</v>
      </c>
      <c r="CL29" s="8">
        <f t="shared" si="72"/>
        <v>0</v>
      </c>
      <c r="CN29" s="8" t="str">
        <f>Hidden!$CC12</f>
        <v/>
      </c>
      <c r="CO29">
        <f t="shared" si="73"/>
        <v>0</v>
      </c>
      <c r="CP29">
        <f t="shared" si="74"/>
        <v>0</v>
      </c>
      <c r="CQ29">
        <f t="shared" si="75"/>
        <v>0</v>
      </c>
      <c r="CR29">
        <f t="shared" si="76"/>
        <v>0</v>
      </c>
      <c r="CS29">
        <f t="shared" si="77"/>
        <v>0</v>
      </c>
      <c r="CT29">
        <f t="shared" si="78"/>
        <v>0</v>
      </c>
      <c r="CU29">
        <f t="shared" si="79"/>
        <v>0</v>
      </c>
      <c r="CV29">
        <f t="shared" si="80"/>
        <v>0</v>
      </c>
      <c r="CW29">
        <f t="shared" si="81"/>
        <v>0</v>
      </c>
      <c r="CX29">
        <f t="shared" si="82"/>
        <v>0</v>
      </c>
      <c r="DT29" s="77"/>
      <c r="DU29" s="8" t="str">
        <f t="shared" si="14"/>
        <v>A</v>
      </c>
      <c r="DV29" s="8" t="str">
        <f t="shared" si="15"/>
        <v/>
      </c>
      <c r="DW29" s="8" t="str">
        <f t="shared" si="16"/>
        <v/>
      </c>
      <c r="DX29">
        <f t="shared" si="17"/>
        <v>0</v>
      </c>
      <c r="DY29">
        <f t="shared" si="17"/>
        <v>0</v>
      </c>
      <c r="EA29" t="str">
        <f t="shared" si="18"/>
        <v>A</v>
      </c>
      <c r="EB29" t="str">
        <f t="shared" si="19"/>
        <v/>
      </c>
      <c r="EC29" t="str">
        <f t="shared" si="20"/>
        <v/>
      </c>
      <c r="ED29">
        <f t="shared" si="21"/>
        <v>0</v>
      </c>
      <c r="EE29">
        <f t="shared" si="21"/>
        <v>0</v>
      </c>
      <c r="EG29" s="8" t="str">
        <f t="shared" si="22"/>
        <v>A</v>
      </c>
      <c r="EH29" s="8" t="str">
        <f t="shared" si="23"/>
        <v/>
      </c>
      <c r="EI29" s="8" t="str">
        <f t="shared" si="24"/>
        <v/>
      </c>
      <c r="EJ29">
        <f t="shared" si="25"/>
        <v>0</v>
      </c>
      <c r="EK29">
        <f t="shared" si="25"/>
        <v>0</v>
      </c>
      <c r="EM29" s="8" t="str">
        <f t="shared" si="26"/>
        <v>A</v>
      </c>
      <c r="EN29" s="8" t="str">
        <f t="shared" si="27"/>
        <v/>
      </c>
      <c r="EO29" s="8" t="str">
        <f t="shared" si="28"/>
        <v/>
      </c>
      <c r="EP29">
        <f t="shared" si="29"/>
        <v>0</v>
      </c>
      <c r="EQ29">
        <f t="shared" si="29"/>
        <v>0</v>
      </c>
      <c r="ES29" s="8" t="str">
        <f t="shared" si="30"/>
        <v>A</v>
      </c>
      <c r="ET29" s="8" t="str">
        <f t="shared" si="31"/>
        <v/>
      </c>
      <c r="EU29" s="8" t="str">
        <f t="shared" si="32"/>
        <v/>
      </c>
      <c r="EV29">
        <f t="shared" si="33"/>
        <v>0</v>
      </c>
      <c r="EW29">
        <f t="shared" si="33"/>
        <v>0</v>
      </c>
      <c r="EY29" s="8" t="str">
        <f>Hidden!$CG23</f>
        <v/>
      </c>
      <c r="EZ29">
        <f t="shared" si="34"/>
        <v>0</v>
      </c>
      <c r="FA29">
        <f t="shared" si="35"/>
        <v>0</v>
      </c>
      <c r="FB29">
        <f t="shared" si="36"/>
        <v>0</v>
      </c>
      <c r="FC29">
        <f t="shared" si="37"/>
        <v>0</v>
      </c>
      <c r="FD29">
        <f t="shared" si="38"/>
        <v>0</v>
      </c>
      <c r="FE29">
        <f t="shared" si="39"/>
        <v>0</v>
      </c>
      <c r="FF29">
        <f t="shared" si="40"/>
        <v>0</v>
      </c>
      <c r="FG29">
        <f t="shared" si="41"/>
        <v>0</v>
      </c>
      <c r="FH29">
        <f t="shared" si="42"/>
        <v>0</v>
      </c>
      <c r="FI29">
        <f t="shared" si="43"/>
        <v>0</v>
      </c>
      <c r="GH29">
        <f>IF(OR(GI29=0,ISNUMBER(MATCH(GI29,$GI$2:GI28,0))),0,MAX($GH$2:GH28)+1)</f>
        <v>0</v>
      </c>
      <c r="GI29">
        <f t="shared" si="83"/>
        <v>0</v>
      </c>
      <c r="GL29">
        <f>IF(OR(GM29=0,ISNUMBER(MATCH(GM29,$GM$2:GM28,0))),0,MAX($GL$2:GL28)+1)</f>
        <v>0</v>
      </c>
      <c r="GM29">
        <f t="shared" si="84"/>
        <v>0</v>
      </c>
    </row>
    <row r="30" spans="1:195" x14ac:dyDescent="0.2">
      <c r="A30" s="8" t="str">
        <f>Tank1!A44</f>
        <v>A</v>
      </c>
      <c r="B30" s="8" t="str">
        <f>Tank1!E44</f>
        <v/>
      </c>
      <c r="C30" s="8" t="str">
        <f>Tank1!F44</f>
        <v/>
      </c>
      <c r="D30" s="8">
        <f t="shared" si="48"/>
        <v>0</v>
      </c>
      <c r="E30" s="8">
        <f t="shared" si="48"/>
        <v>0</v>
      </c>
      <c r="G30" s="8" t="str">
        <f>Tank2!A44</f>
        <v>A</v>
      </c>
      <c r="H30" s="8" t="str">
        <f>Tank2!E44</f>
        <v/>
      </c>
      <c r="I30" s="8" t="str">
        <f>Tank2!F44</f>
        <v/>
      </c>
      <c r="J30">
        <f t="shared" si="49"/>
        <v>0</v>
      </c>
      <c r="K30">
        <f t="shared" si="49"/>
        <v>0</v>
      </c>
      <c r="M30" s="8" t="str">
        <f>Tank3!A44</f>
        <v>A</v>
      </c>
      <c r="N30" s="8" t="str">
        <f>Tank3!E44</f>
        <v/>
      </c>
      <c r="O30" s="8" t="str">
        <f>Tank3!F44</f>
        <v/>
      </c>
      <c r="P30">
        <f t="shared" si="50"/>
        <v>0</v>
      </c>
      <c r="Q30">
        <f t="shared" si="50"/>
        <v>0</v>
      </c>
      <c r="S30" s="8" t="str">
        <f>Tank4!A44</f>
        <v>A</v>
      </c>
      <c r="T30" s="8" t="str">
        <f>Tank4!E44</f>
        <v/>
      </c>
      <c r="U30" s="8" t="str">
        <f>Tank4!F44</f>
        <v/>
      </c>
      <c r="V30">
        <f t="shared" si="51"/>
        <v>0</v>
      </c>
      <c r="W30">
        <f t="shared" si="51"/>
        <v>0</v>
      </c>
      <c r="Y30" s="8" t="str">
        <f>Tank5!A44</f>
        <v>A</v>
      </c>
      <c r="Z30" s="8" t="str">
        <f>Tank5!E44</f>
        <v/>
      </c>
      <c r="AA30" s="8" t="str">
        <f>Tank5!F44</f>
        <v/>
      </c>
      <c r="AB30">
        <f t="shared" si="52"/>
        <v>0</v>
      </c>
      <c r="AC30">
        <f t="shared" si="52"/>
        <v>0</v>
      </c>
      <c r="AE30" s="8" t="str">
        <f>Hidden!CC13</f>
        <v/>
      </c>
      <c r="AF30">
        <f t="shared" si="53"/>
        <v>0</v>
      </c>
      <c r="AG30">
        <f t="shared" si="54"/>
        <v>0</v>
      </c>
      <c r="AH30">
        <f t="shared" si="55"/>
        <v>0</v>
      </c>
      <c r="AI30">
        <f t="shared" si="56"/>
        <v>0</v>
      </c>
      <c r="AJ30">
        <f t="shared" si="57"/>
        <v>0</v>
      </c>
      <c r="AK30">
        <f t="shared" si="58"/>
        <v>0</v>
      </c>
      <c r="AL30">
        <f t="shared" si="59"/>
        <v>0</v>
      </c>
      <c r="AM30">
        <f t="shared" si="60"/>
        <v>0</v>
      </c>
      <c r="AN30">
        <f t="shared" si="61"/>
        <v>0</v>
      </c>
      <c r="AO30">
        <f t="shared" si="62"/>
        <v>0</v>
      </c>
      <c r="BJ30" s="8" t="str">
        <f>Tank1!A44</f>
        <v>A</v>
      </c>
      <c r="BK30" s="8" t="str">
        <f>Tank1!E44</f>
        <v/>
      </c>
      <c r="BL30" s="8" t="str">
        <f>Tank1!F44</f>
        <v/>
      </c>
      <c r="BM30" s="8">
        <f t="shared" si="63"/>
        <v>0</v>
      </c>
      <c r="BN30" s="8">
        <f t="shared" si="64"/>
        <v>0</v>
      </c>
      <c r="BO30" s="8"/>
      <c r="BP30" s="8" t="str">
        <f>Tank2!A44</f>
        <v>A</v>
      </c>
      <c r="BQ30" s="8" t="str">
        <f>Tank2!E44</f>
        <v/>
      </c>
      <c r="BR30" s="8" t="str">
        <f>Tank2!F44</f>
        <v/>
      </c>
      <c r="BS30" s="8">
        <f t="shared" si="65"/>
        <v>0</v>
      </c>
      <c r="BT30" s="8">
        <f t="shared" si="66"/>
        <v>0</v>
      </c>
      <c r="BU30" s="8"/>
      <c r="BV30" s="8" t="str">
        <f>Tank3!A44</f>
        <v>A</v>
      </c>
      <c r="BW30" s="8" t="str">
        <f>Tank3!E44</f>
        <v/>
      </c>
      <c r="BX30" s="8" t="str">
        <f>Tank3!F44</f>
        <v/>
      </c>
      <c r="BY30" s="8">
        <f t="shared" si="67"/>
        <v>0</v>
      </c>
      <c r="BZ30" s="8">
        <f t="shared" si="68"/>
        <v>0</v>
      </c>
      <c r="CA30" s="8"/>
      <c r="CB30" s="8" t="str">
        <f>Tank4!A44</f>
        <v>A</v>
      </c>
      <c r="CC30" s="8" t="str">
        <f>Tank4!E44</f>
        <v/>
      </c>
      <c r="CD30" s="8" t="str">
        <f>Tank4!F44</f>
        <v/>
      </c>
      <c r="CE30" s="8">
        <f t="shared" si="69"/>
        <v>0</v>
      </c>
      <c r="CF30" s="8">
        <f t="shared" si="70"/>
        <v>0</v>
      </c>
      <c r="CH30" s="8" t="str">
        <f>Tank5!A44</f>
        <v>A</v>
      </c>
      <c r="CI30" s="8" t="str">
        <f>Tank5!E44</f>
        <v/>
      </c>
      <c r="CJ30" s="8" t="str">
        <f>Tank5!F44</f>
        <v/>
      </c>
      <c r="CK30" s="8">
        <f t="shared" si="71"/>
        <v>0</v>
      </c>
      <c r="CL30" s="8">
        <f t="shared" si="72"/>
        <v>0</v>
      </c>
      <c r="CN30" s="8" t="str">
        <f>Hidden!$CC13</f>
        <v/>
      </c>
      <c r="CO30">
        <f t="shared" si="73"/>
        <v>0</v>
      </c>
      <c r="CP30">
        <f t="shared" si="74"/>
        <v>0</v>
      </c>
      <c r="CQ30">
        <f t="shared" si="75"/>
        <v>0</v>
      </c>
      <c r="CR30">
        <f t="shared" si="76"/>
        <v>0</v>
      </c>
      <c r="CS30">
        <f t="shared" si="77"/>
        <v>0</v>
      </c>
      <c r="CT30">
        <f t="shared" si="78"/>
        <v>0</v>
      </c>
      <c r="CU30">
        <f t="shared" si="79"/>
        <v>0</v>
      </c>
      <c r="CV30">
        <f t="shared" si="80"/>
        <v>0</v>
      </c>
      <c r="CW30">
        <f t="shared" si="81"/>
        <v>0</v>
      </c>
      <c r="CX30">
        <f t="shared" si="82"/>
        <v>0</v>
      </c>
      <c r="DT30" s="77"/>
      <c r="DU30" s="8" t="str">
        <f t="shared" si="14"/>
        <v>AA</v>
      </c>
      <c r="DV30" s="8" t="str">
        <f t="shared" si="15"/>
        <v/>
      </c>
      <c r="DW30" s="8" t="str">
        <f t="shared" si="16"/>
        <v/>
      </c>
      <c r="DX30">
        <f t="shared" si="17"/>
        <v>0</v>
      </c>
      <c r="DY30">
        <f t="shared" si="17"/>
        <v>0</v>
      </c>
      <c r="EA30" t="str">
        <f t="shared" si="18"/>
        <v>AA</v>
      </c>
      <c r="EB30" t="str">
        <f t="shared" si="19"/>
        <v/>
      </c>
      <c r="EC30" t="str">
        <f t="shared" si="20"/>
        <v/>
      </c>
      <c r="ED30">
        <f t="shared" si="21"/>
        <v>0</v>
      </c>
      <c r="EE30">
        <f t="shared" si="21"/>
        <v>0</v>
      </c>
      <c r="EG30" s="8" t="str">
        <f t="shared" si="22"/>
        <v>AA</v>
      </c>
      <c r="EH30" s="8" t="str">
        <f t="shared" si="23"/>
        <v/>
      </c>
      <c r="EI30" s="8" t="str">
        <f t="shared" si="24"/>
        <v/>
      </c>
      <c r="EJ30">
        <f t="shared" si="25"/>
        <v>0</v>
      </c>
      <c r="EK30">
        <f t="shared" si="25"/>
        <v>0</v>
      </c>
      <c r="EM30" s="8" t="str">
        <f t="shared" si="26"/>
        <v>AA</v>
      </c>
      <c r="EN30" s="8" t="str">
        <f t="shared" si="27"/>
        <v/>
      </c>
      <c r="EO30" s="8" t="str">
        <f t="shared" si="28"/>
        <v/>
      </c>
      <c r="EP30">
        <f t="shared" si="29"/>
        <v>0</v>
      </c>
      <c r="EQ30">
        <f t="shared" si="29"/>
        <v>0</v>
      </c>
      <c r="ES30" s="8" t="str">
        <f t="shared" si="30"/>
        <v>AA</v>
      </c>
      <c r="ET30" s="8" t="str">
        <f t="shared" si="31"/>
        <v/>
      </c>
      <c r="EU30" s="8" t="str">
        <f t="shared" si="32"/>
        <v/>
      </c>
      <c r="EV30">
        <f t="shared" si="33"/>
        <v>0</v>
      </c>
      <c r="EW30">
        <f t="shared" si="33"/>
        <v>0</v>
      </c>
      <c r="EY30" s="8" t="str">
        <f>Hidden!$CG24</f>
        <v/>
      </c>
      <c r="EZ30">
        <f t="shared" si="34"/>
        <v>0</v>
      </c>
      <c r="FA30">
        <f t="shared" si="35"/>
        <v>0</v>
      </c>
      <c r="FB30">
        <f t="shared" si="36"/>
        <v>0</v>
      </c>
      <c r="FC30">
        <f t="shared" si="37"/>
        <v>0</v>
      </c>
      <c r="FD30">
        <f t="shared" si="38"/>
        <v>0</v>
      </c>
      <c r="FE30">
        <f t="shared" si="39"/>
        <v>0</v>
      </c>
      <c r="FF30">
        <f t="shared" si="40"/>
        <v>0</v>
      </c>
      <c r="FG30">
        <f t="shared" si="41"/>
        <v>0</v>
      </c>
      <c r="FH30">
        <f t="shared" si="42"/>
        <v>0</v>
      </c>
      <c r="FI30">
        <f t="shared" si="43"/>
        <v>0</v>
      </c>
      <c r="GH30">
        <f>IF(OR(GI30=0,ISNUMBER(MATCH(GI30,$GI$2:GI29,0))),0,MAX($GH$2:GH29)+1)</f>
        <v>0</v>
      </c>
      <c r="GI30">
        <f t="shared" si="83"/>
        <v>0</v>
      </c>
      <c r="GL30">
        <f>IF(OR(GM30=0,ISNUMBER(MATCH(GM30,$GM$2:GM29,0))),0,MAX($GL$2:GL29)+1)</f>
        <v>0</v>
      </c>
      <c r="GM30">
        <f t="shared" si="84"/>
        <v>0</v>
      </c>
    </row>
    <row r="31" spans="1:195" x14ac:dyDescent="0.2">
      <c r="A31" s="8" t="str">
        <f>Tank1!A45</f>
        <v>AA</v>
      </c>
      <c r="B31" s="8" t="str">
        <f>Tank1!E45</f>
        <v/>
      </c>
      <c r="C31" s="8" t="str">
        <f>Tank1!F45</f>
        <v/>
      </c>
      <c r="D31" s="8">
        <f t="shared" si="48"/>
        <v>0</v>
      </c>
      <c r="E31" s="8">
        <f t="shared" si="48"/>
        <v>0</v>
      </c>
      <c r="G31" s="8" t="str">
        <f>Tank2!A45</f>
        <v>AA</v>
      </c>
      <c r="H31" s="8" t="str">
        <f>Tank2!E45</f>
        <v/>
      </c>
      <c r="I31" s="8" t="str">
        <f>Tank2!F45</f>
        <v/>
      </c>
      <c r="J31">
        <f t="shared" si="49"/>
        <v>0</v>
      </c>
      <c r="K31">
        <f t="shared" si="49"/>
        <v>0</v>
      </c>
      <c r="M31" s="8" t="str">
        <f>Tank3!A45</f>
        <v>AA</v>
      </c>
      <c r="N31" s="8" t="str">
        <f>Tank3!E45</f>
        <v/>
      </c>
      <c r="O31" s="8" t="str">
        <f>Tank3!F45</f>
        <v/>
      </c>
      <c r="P31">
        <f t="shared" si="50"/>
        <v>0</v>
      </c>
      <c r="Q31">
        <f t="shared" si="50"/>
        <v>0</v>
      </c>
      <c r="S31" s="8" t="str">
        <f>Tank4!A45</f>
        <v>AA</v>
      </c>
      <c r="T31" s="8" t="str">
        <f>Tank4!E45</f>
        <v/>
      </c>
      <c r="U31" s="8" t="str">
        <f>Tank4!F45</f>
        <v/>
      </c>
      <c r="V31">
        <f t="shared" si="51"/>
        <v>0</v>
      </c>
      <c r="W31">
        <f t="shared" si="51"/>
        <v>0</v>
      </c>
      <c r="Y31" s="8" t="str">
        <f>Tank5!A45</f>
        <v>AA</v>
      </c>
      <c r="Z31" s="8" t="str">
        <f>Tank5!E45</f>
        <v/>
      </c>
      <c r="AA31" s="8" t="str">
        <f>Tank5!F45</f>
        <v/>
      </c>
      <c r="AB31">
        <f t="shared" si="52"/>
        <v>0</v>
      </c>
      <c r="AC31">
        <f t="shared" si="52"/>
        <v>0</v>
      </c>
      <c r="AE31" s="8" t="str">
        <f>Hidden!CC14</f>
        <v/>
      </c>
      <c r="AF31">
        <f t="shared" si="53"/>
        <v>0</v>
      </c>
      <c r="AG31">
        <f t="shared" si="54"/>
        <v>0</v>
      </c>
      <c r="AH31">
        <f t="shared" si="55"/>
        <v>0</v>
      </c>
      <c r="AI31">
        <f t="shared" si="56"/>
        <v>0</v>
      </c>
      <c r="AJ31">
        <f t="shared" si="57"/>
        <v>0</v>
      </c>
      <c r="AK31">
        <f t="shared" si="58"/>
        <v>0</v>
      </c>
      <c r="AL31">
        <f t="shared" si="59"/>
        <v>0</v>
      </c>
      <c r="AM31">
        <f t="shared" si="60"/>
        <v>0</v>
      </c>
      <c r="AN31">
        <f t="shared" si="61"/>
        <v>0</v>
      </c>
      <c r="AO31">
        <f t="shared" si="62"/>
        <v>0</v>
      </c>
      <c r="BJ31" s="8" t="str">
        <f>Tank1!A45</f>
        <v>AA</v>
      </c>
      <c r="BK31" s="8" t="str">
        <f>Tank1!E45</f>
        <v/>
      </c>
      <c r="BL31" s="8" t="str">
        <f>Tank1!F45</f>
        <v/>
      </c>
      <c r="BM31" s="8">
        <f t="shared" si="63"/>
        <v>0</v>
      </c>
      <c r="BN31" s="8">
        <f t="shared" si="64"/>
        <v>0</v>
      </c>
      <c r="BO31" s="8"/>
      <c r="BP31" s="8" t="str">
        <f>Tank2!A45</f>
        <v>AA</v>
      </c>
      <c r="BQ31" s="8" t="str">
        <f>Tank2!E45</f>
        <v/>
      </c>
      <c r="BR31" s="8" t="str">
        <f>Tank2!F45</f>
        <v/>
      </c>
      <c r="BS31" s="8">
        <f t="shared" si="65"/>
        <v>0</v>
      </c>
      <c r="BT31" s="8">
        <f t="shared" si="66"/>
        <v>0</v>
      </c>
      <c r="BU31" s="8"/>
      <c r="BV31" s="8" t="str">
        <f>Tank3!A45</f>
        <v>AA</v>
      </c>
      <c r="BW31" s="8" t="str">
        <f>Tank3!E45</f>
        <v/>
      </c>
      <c r="BX31" s="8" t="str">
        <f>Tank3!F45</f>
        <v/>
      </c>
      <c r="BY31" s="8">
        <f t="shared" si="67"/>
        <v>0</v>
      </c>
      <c r="BZ31" s="8">
        <f t="shared" si="68"/>
        <v>0</v>
      </c>
      <c r="CA31" s="8"/>
      <c r="CB31" s="8" t="str">
        <f>Tank4!A45</f>
        <v>AA</v>
      </c>
      <c r="CC31" s="8" t="str">
        <f>Tank4!E45</f>
        <v/>
      </c>
      <c r="CD31" s="8" t="str">
        <f>Tank4!F45</f>
        <v/>
      </c>
      <c r="CE31" s="8">
        <f t="shared" si="69"/>
        <v>0</v>
      </c>
      <c r="CF31" s="8">
        <f t="shared" si="70"/>
        <v>0</v>
      </c>
      <c r="CH31" s="8" t="str">
        <f>Tank5!A45</f>
        <v>AA</v>
      </c>
      <c r="CI31" s="8" t="str">
        <f>Tank5!E45</f>
        <v/>
      </c>
      <c r="CJ31" s="8" t="str">
        <f>Tank5!F45</f>
        <v/>
      </c>
      <c r="CK31" s="8">
        <f t="shared" si="71"/>
        <v>0</v>
      </c>
      <c r="CL31" s="8">
        <f t="shared" si="72"/>
        <v>0</v>
      </c>
      <c r="CN31" s="8" t="str">
        <f>Hidden!$CC14</f>
        <v/>
      </c>
      <c r="CO31">
        <f t="shared" si="73"/>
        <v>0</v>
      </c>
      <c r="CP31">
        <f t="shared" si="74"/>
        <v>0</v>
      </c>
      <c r="CQ31">
        <f t="shared" si="75"/>
        <v>0</v>
      </c>
      <c r="CR31">
        <f t="shared" si="76"/>
        <v>0</v>
      </c>
      <c r="CS31">
        <f t="shared" si="77"/>
        <v>0</v>
      </c>
      <c r="CT31">
        <f t="shared" si="78"/>
        <v>0</v>
      </c>
      <c r="CU31">
        <f t="shared" si="79"/>
        <v>0</v>
      </c>
      <c r="CV31">
        <f t="shared" si="80"/>
        <v>0</v>
      </c>
      <c r="CW31">
        <f t="shared" si="81"/>
        <v>0</v>
      </c>
      <c r="CX31">
        <f t="shared" si="82"/>
        <v>0</v>
      </c>
      <c r="DT31" s="77"/>
      <c r="DU31" s="8" t="str">
        <f t="shared" si="14"/>
        <v>AAA</v>
      </c>
      <c r="DV31" s="8" t="str">
        <f t="shared" si="15"/>
        <v/>
      </c>
      <c r="DW31" s="8" t="str">
        <f t="shared" si="16"/>
        <v/>
      </c>
      <c r="DX31">
        <f t="shared" si="17"/>
        <v>0</v>
      </c>
      <c r="DY31">
        <f t="shared" si="17"/>
        <v>0</v>
      </c>
      <c r="EA31" t="str">
        <f t="shared" si="18"/>
        <v>AAA</v>
      </c>
      <c r="EB31" t="str">
        <f t="shared" si="19"/>
        <v/>
      </c>
      <c r="EC31" t="str">
        <f t="shared" si="20"/>
        <v/>
      </c>
      <c r="ED31">
        <f t="shared" si="21"/>
        <v>0</v>
      </c>
      <c r="EE31">
        <f t="shared" si="21"/>
        <v>0</v>
      </c>
      <c r="EG31" s="8" t="str">
        <f t="shared" si="22"/>
        <v>AAA</v>
      </c>
      <c r="EH31" s="8" t="str">
        <f t="shared" si="23"/>
        <v/>
      </c>
      <c r="EI31" s="8" t="str">
        <f t="shared" si="24"/>
        <v/>
      </c>
      <c r="EJ31">
        <f t="shared" si="25"/>
        <v>0</v>
      </c>
      <c r="EK31">
        <f t="shared" si="25"/>
        <v>0</v>
      </c>
      <c r="EM31" s="8" t="str">
        <f t="shared" si="26"/>
        <v>AAA</v>
      </c>
      <c r="EN31" s="8" t="str">
        <f t="shared" si="27"/>
        <v/>
      </c>
      <c r="EO31" s="8" t="str">
        <f t="shared" si="28"/>
        <v/>
      </c>
      <c r="EP31">
        <f t="shared" si="29"/>
        <v>0</v>
      </c>
      <c r="EQ31">
        <f t="shared" si="29"/>
        <v>0</v>
      </c>
      <c r="ES31" s="8" t="str">
        <f t="shared" si="30"/>
        <v>AAA</v>
      </c>
      <c r="ET31" s="8" t="str">
        <f t="shared" si="31"/>
        <v/>
      </c>
      <c r="EU31" s="8" t="str">
        <f t="shared" si="32"/>
        <v/>
      </c>
      <c r="EV31">
        <f t="shared" si="33"/>
        <v>0</v>
      </c>
      <c r="EW31">
        <f t="shared" si="33"/>
        <v>0</v>
      </c>
      <c r="EY31" s="8" t="str">
        <f>Hidden!$CG25</f>
        <v/>
      </c>
      <c r="EZ31">
        <f t="shared" si="34"/>
        <v>0</v>
      </c>
      <c r="FA31">
        <f t="shared" si="35"/>
        <v>0</v>
      </c>
      <c r="FB31">
        <f t="shared" si="36"/>
        <v>0</v>
      </c>
      <c r="FC31">
        <f t="shared" si="37"/>
        <v>0</v>
      </c>
      <c r="FD31">
        <f t="shared" si="38"/>
        <v>0</v>
      </c>
      <c r="FE31">
        <f t="shared" si="39"/>
        <v>0</v>
      </c>
      <c r="FF31">
        <f t="shared" si="40"/>
        <v>0</v>
      </c>
      <c r="FG31">
        <f t="shared" si="41"/>
        <v>0</v>
      </c>
      <c r="FH31">
        <f t="shared" si="42"/>
        <v>0</v>
      </c>
      <c r="FI31">
        <f t="shared" si="43"/>
        <v>0</v>
      </c>
      <c r="GH31">
        <f>IF(OR(GI31=0,ISNUMBER(MATCH(GI31,$GI$2:GI30,0))),0,MAX($GH$2:GH30)+1)</f>
        <v>0</v>
      </c>
      <c r="GI31">
        <f t="shared" si="83"/>
        <v>0</v>
      </c>
      <c r="GL31">
        <f>IF(OR(GM31=0,ISNUMBER(MATCH(GM31,$GM$2:GM30,0))),0,MAX($GL$2:GL30)+1)</f>
        <v>0</v>
      </c>
      <c r="GM31">
        <f t="shared" si="84"/>
        <v>0</v>
      </c>
    </row>
    <row r="32" spans="1:195" x14ac:dyDescent="0.2">
      <c r="A32" s="8" t="str">
        <f>Tank1!A46</f>
        <v>AAA</v>
      </c>
      <c r="B32" s="8" t="str">
        <f>Tank1!E46</f>
        <v/>
      </c>
      <c r="C32" s="8" t="str">
        <f>Tank1!F46</f>
        <v/>
      </c>
      <c r="D32" s="8">
        <f t="shared" si="48"/>
        <v>0</v>
      </c>
      <c r="E32" s="8">
        <f t="shared" si="48"/>
        <v>0</v>
      </c>
      <c r="G32" s="8" t="str">
        <f>Tank2!A46</f>
        <v>AAA</v>
      </c>
      <c r="H32" s="8" t="str">
        <f>Tank2!E46</f>
        <v/>
      </c>
      <c r="I32" s="8" t="str">
        <f>Tank2!F46</f>
        <v/>
      </c>
      <c r="J32">
        <f t="shared" si="49"/>
        <v>0</v>
      </c>
      <c r="K32">
        <f t="shared" si="49"/>
        <v>0</v>
      </c>
      <c r="M32" s="8" t="str">
        <f>Tank3!A46</f>
        <v>AAA</v>
      </c>
      <c r="N32" s="8" t="str">
        <f>Tank3!E46</f>
        <v/>
      </c>
      <c r="O32" s="8" t="str">
        <f>Tank3!F46</f>
        <v/>
      </c>
      <c r="P32">
        <f t="shared" si="50"/>
        <v>0</v>
      </c>
      <c r="Q32">
        <f>IF($O32="",0,$O32*Q$17)</f>
        <v>0</v>
      </c>
      <c r="S32" s="8" t="str">
        <f>Tank4!A46</f>
        <v>AAA</v>
      </c>
      <c r="T32" s="8" t="str">
        <f>Tank4!E46</f>
        <v/>
      </c>
      <c r="U32" s="8" t="str">
        <f>Tank4!F46</f>
        <v/>
      </c>
      <c r="V32">
        <f t="shared" si="51"/>
        <v>0</v>
      </c>
      <c r="W32">
        <f t="shared" si="51"/>
        <v>0</v>
      </c>
      <c r="Y32" s="8" t="str">
        <f>Tank5!A46</f>
        <v>AAA</v>
      </c>
      <c r="Z32" s="8" t="str">
        <f>Tank5!E46</f>
        <v/>
      </c>
      <c r="AA32" s="8" t="str">
        <f>Tank5!F46</f>
        <v/>
      </c>
      <c r="AB32">
        <f t="shared" si="52"/>
        <v>0</v>
      </c>
      <c r="AC32">
        <f t="shared" si="52"/>
        <v>0</v>
      </c>
      <c r="AE32" s="8" t="str">
        <f>Hidden!CC15</f>
        <v/>
      </c>
      <c r="AF32">
        <f t="shared" si="53"/>
        <v>0</v>
      </c>
      <c r="AG32">
        <f t="shared" si="54"/>
        <v>0</v>
      </c>
      <c r="AH32">
        <f t="shared" si="55"/>
        <v>0</v>
      </c>
      <c r="AI32">
        <f t="shared" si="56"/>
        <v>0</v>
      </c>
      <c r="AJ32">
        <f t="shared" si="57"/>
        <v>0</v>
      </c>
      <c r="AK32">
        <f t="shared" si="58"/>
        <v>0</v>
      </c>
      <c r="AL32">
        <f t="shared" si="59"/>
        <v>0</v>
      </c>
      <c r="AM32">
        <f t="shared" si="60"/>
        <v>0</v>
      </c>
      <c r="AN32">
        <f t="shared" si="61"/>
        <v>0</v>
      </c>
      <c r="AO32">
        <f t="shared" si="62"/>
        <v>0</v>
      </c>
      <c r="BJ32" s="8" t="str">
        <f>Tank1!A46</f>
        <v>AAA</v>
      </c>
      <c r="BK32" s="8" t="str">
        <f>Tank1!E46</f>
        <v/>
      </c>
      <c r="BL32" s="8" t="str">
        <f>Tank1!F46</f>
        <v/>
      </c>
      <c r="BM32" s="8">
        <f t="shared" si="63"/>
        <v>0</v>
      </c>
      <c r="BN32" s="8">
        <f t="shared" si="64"/>
        <v>0</v>
      </c>
      <c r="BO32" s="8"/>
      <c r="BP32" s="8" t="str">
        <f>Tank2!A46</f>
        <v>AAA</v>
      </c>
      <c r="BQ32" s="8" t="str">
        <f>Tank2!E46</f>
        <v/>
      </c>
      <c r="BR32" s="8" t="str">
        <f>Tank2!F46</f>
        <v/>
      </c>
      <c r="BS32" s="8">
        <f t="shared" si="65"/>
        <v>0</v>
      </c>
      <c r="BT32" s="8">
        <f t="shared" si="66"/>
        <v>0</v>
      </c>
      <c r="BU32" s="8"/>
      <c r="BV32" s="8" t="str">
        <f>Tank3!A46</f>
        <v>AAA</v>
      </c>
      <c r="BW32" s="8" t="str">
        <f>Tank3!E46</f>
        <v/>
      </c>
      <c r="BX32" s="8" t="str">
        <f>Tank3!F46</f>
        <v/>
      </c>
      <c r="BY32" s="8">
        <f t="shared" si="67"/>
        <v>0</v>
      </c>
      <c r="BZ32" s="8">
        <f t="shared" si="68"/>
        <v>0</v>
      </c>
      <c r="CA32" s="8"/>
      <c r="CB32" s="8" t="str">
        <f>Tank4!A46</f>
        <v>AAA</v>
      </c>
      <c r="CC32" s="8" t="str">
        <f>Tank4!E46</f>
        <v/>
      </c>
      <c r="CD32" s="8" t="str">
        <f>Tank4!F46</f>
        <v/>
      </c>
      <c r="CE32" s="8">
        <f t="shared" si="69"/>
        <v>0</v>
      </c>
      <c r="CF32" s="8">
        <f t="shared" si="70"/>
        <v>0</v>
      </c>
      <c r="CH32" s="8" t="str">
        <f>Tank5!A46</f>
        <v>AAA</v>
      </c>
      <c r="CI32" s="8" t="str">
        <f>Tank5!E46</f>
        <v/>
      </c>
      <c r="CJ32" s="8" t="str">
        <f>Tank5!F46</f>
        <v/>
      </c>
      <c r="CK32" s="8">
        <f t="shared" si="71"/>
        <v>0</v>
      </c>
      <c r="CL32" s="8">
        <f t="shared" si="72"/>
        <v>0</v>
      </c>
      <c r="CN32" s="8" t="str">
        <f>Hidden!$CC15</f>
        <v/>
      </c>
      <c r="CO32">
        <f t="shared" si="73"/>
        <v>0</v>
      </c>
      <c r="CP32">
        <f t="shared" si="74"/>
        <v>0</v>
      </c>
      <c r="CQ32">
        <f t="shared" si="75"/>
        <v>0</v>
      </c>
      <c r="CR32">
        <f t="shared" si="76"/>
        <v>0</v>
      </c>
      <c r="CS32">
        <f t="shared" si="77"/>
        <v>0</v>
      </c>
      <c r="CT32">
        <f t="shared" si="78"/>
        <v>0</v>
      </c>
      <c r="CU32">
        <f t="shared" si="79"/>
        <v>0</v>
      </c>
      <c r="CV32">
        <f t="shared" si="80"/>
        <v>0</v>
      </c>
      <c r="CW32">
        <f t="shared" si="81"/>
        <v>0</v>
      </c>
      <c r="CX32">
        <f t="shared" si="82"/>
        <v>0</v>
      </c>
      <c r="DT32" s="77"/>
      <c r="DU32" s="8" t="str">
        <f t="shared" si="14"/>
        <v>AAAA</v>
      </c>
      <c r="DV32" s="8" t="str">
        <f t="shared" si="15"/>
        <v/>
      </c>
      <c r="DW32" s="8" t="str">
        <f t="shared" si="16"/>
        <v/>
      </c>
      <c r="DX32">
        <f t="shared" si="17"/>
        <v>0</v>
      </c>
      <c r="DY32">
        <f t="shared" si="17"/>
        <v>0</v>
      </c>
      <c r="EA32" t="str">
        <f t="shared" si="18"/>
        <v>AAAA</v>
      </c>
      <c r="EB32" t="str">
        <f t="shared" si="19"/>
        <v/>
      </c>
      <c r="EC32" t="str">
        <f t="shared" si="20"/>
        <v/>
      </c>
      <c r="ED32">
        <f t="shared" si="21"/>
        <v>0</v>
      </c>
      <c r="EE32">
        <f t="shared" si="21"/>
        <v>0</v>
      </c>
      <c r="EG32" s="8" t="str">
        <f t="shared" si="22"/>
        <v>AAAA</v>
      </c>
      <c r="EH32" s="8" t="str">
        <f t="shared" si="23"/>
        <v/>
      </c>
      <c r="EI32" s="8" t="str">
        <f t="shared" si="24"/>
        <v/>
      </c>
      <c r="EJ32">
        <f t="shared" si="25"/>
        <v>0</v>
      </c>
      <c r="EK32">
        <f t="shared" si="25"/>
        <v>0</v>
      </c>
      <c r="EM32" s="8" t="str">
        <f t="shared" si="26"/>
        <v>AAAA</v>
      </c>
      <c r="EN32" s="8" t="str">
        <f t="shared" si="27"/>
        <v/>
      </c>
      <c r="EO32" s="8" t="str">
        <f t="shared" si="28"/>
        <v/>
      </c>
      <c r="EP32">
        <f t="shared" si="29"/>
        <v>0</v>
      </c>
      <c r="EQ32">
        <f t="shared" si="29"/>
        <v>0</v>
      </c>
      <c r="ES32" s="8" t="str">
        <f t="shared" si="30"/>
        <v>AAAA</v>
      </c>
      <c r="ET32" s="8" t="str">
        <f t="shared" si="31"/>
        <v/>
      </c>
      <c r="EU32" s="8" t="str">
        <f t="shared" si="32"/>
        <v/>
      </c>
      <c r="EV32">
        <f t="shared" si="33"/>
        <v>0</v>
      </c>
      <c r="EW32">
        <f t="shared" si="33"/>
        <v>0</v>
      </c>
      <c r="EY32" s="8" t="str">
        <f>Hidden!$CG26</f>
        <v/>
      </c>
      <c r="EZ32">
        <f t="shared" si="34"/>
        <v>0</v>
      </c>
      <c r="FA32">
        <f t="shared" si="35"/>
        <v>0</v>
      </c>
      <c r="FB32">
        <f t="shared" si="36"/>
        <v>0</v>
      </c>
      <c r="FC32">
        <f t="shared" si="37"/>
        <v>0</v>
      </c>
      <c r="FD32">
        <f t="shared" si="38"/>
        <v>0</v>
      </c>
      <c r="FE32">
        <f t="shared" si="39"/>
        <v>0</v>
      </c>
      <c r="FF32">
        <f t="shared" si="40"/>
        <v>0</v>
      </c>
      <c r="FG32">
        <f t="shared" si="41"/>
        <v>0</v>
      </c>
      <c r="FH32">
        <f t="shared" si="42"/>
        <v>0</v>
      </c>
      <c r="FI32">
        <f t="shared" si="43"/>
        <v>0</v>
      </c>
      <c r="GH32">
        <f>IF(OR(GI32=0,ISNUMBER(MATCH(GI32,$GI$2:GI31,0))),0,MAX($GH$2:GH31)+1)</f>
        <v>0</v>
      </c>
      <c r="GI32">
        <f t="shared" si="83"/>
        <v>0</v>
      </c>
      <c r="GL32">
        <f>IF(OR(GM32=0,ISNUMBER(MATCH(GM32,$GM$2:GM31,0))),0,MAX($GL$2:GL31)+1)</f>
        <v>0</v>
      </c>
      <c r="GM32">
        <f t="shared" si="84"/>
        <v>0</v>
      </c>
    </row>
    <row r="33" spans="1:195" x14ac:dyDescent="0.2">
      <c r="A33" s="8" t="str">
        <f>Tank1!A47</f>
        <v>AAAA</v>
      </c>
      <c r="B33" s="8" t="str">
        <f>Tank1!E47</f>
        <v/>
      </c>
      <c r="C33" s="8" t="str">
        <f>Tank1!F47</f>
        <v/>
      </c>
      <c r="D33" s="8">
        <f t="shared" si="48"/>
        <v>0</v>
      </c>
      <c r="E33" s="8">
        <f t="shared" si="48"/>
        <v>0</v>
      </c>
      <c r="G33" s="8" t="str">
        <f>Tank2!A47</f>
        <v>AAAA</v>
      </c>
      <c r="H33" s="8" t="str">
        <f>Tank2!E47</f>
        <v/>
      </c>
      <c r="I33" s="8" t="str">
        <f>Tank2!F47</f>
        <v/>
      </c>
      <c r="J33">
        <f t="shared" si="49"/>
        <v>0</v>
      </c>
      <c r="K33">
        <f t="shared" si="49"/>
        <v>0</v>
      </c>
      <c r="M33" s="8" t="str">
        <f>Tank3!A47</f>
        <v>AAAA</v>
      </c>
      <c r="N33" s="8" t="str">
        <f>Tank3!E47</f>
        <v/>
      </c>
      <c r="O33" s="8" t="str">
        <f>Tank3!F47</f>
        <v/>
      </c>
      <c r="P33">
        <f t="shared" si="50"/>
        <v>0</v>
      </c>
      <c r="Q33">
        <f t="shared" si="50"/>
        <v>0</v>
      </c>
      <c r="S33" s="8" t="str">
        <f>Tank4!A47</f>
        <v>AAAA</v>
      </c>
      <c r="T33" s="8" t="str">
        <f>Tank4!E47</f>
        <v/>
      </c>
      <c r="U33" s="8" t="str">
        <f>Tank4!F47</f>
        <v/>
      </c>
      <c r="V33">
        <f t="shared" si="51"/>
        <v>0</v>
      </c>
      <c r="W33">
        <f t="shared" si="51"/>
        <v>0</v>
      </c>
      <c r="Y33" s="8" t="str">
        <f>Tank5!A47</f>
        <v>AAAA</v>
      </c>
      <c r="Z33" s="8" t="str">
        <f>Tank5!E47</f>
        <v/>
      </c>
      <c r="AA33" s="8" t="str">
        <f>Tank5!F47</f>
        <v/>
      </c>
      <c r="AB33">
        <f t="shared" si="52"/>
        <v>0</v>
      </c>
      <c r="AC33">
        <f t="shared" si="52"/>
        <v>0</v>
      </c>
      <c r="AE33" s="8" t="str">
        <f>Hidden!CC16</f>
        <v/>
      </c>
      <c r="AF33">
        <f t="shared" si="53"/>
        <v>0</v>
      </c>
      <c r="AG33">
        <f t="shared" si="54"/>
        <v>0</v>
      </c>
      <c r="AH33">
        <f t="shared" si="55"/>
        <v>0</v>
      </c>
      <c r="AI33">
        <f t="shared" si="56"/>
        <v>0</v>
      </c>
      <c r="AJ33">
        <f t="shared" si="57"/>
        <v>0</v>
      </c>
      <c r="AK33">
        <f t="shared" si="58"/>
        <v>0</v>
      </c>
      <c r="AL33">
        <f t="shared" si="59"/>
        <v>0</v>
      </c>
      <c r="AM33">
        <f t="shared" si="60"/>
        <v>0</v>
      </c>
      <c r="AN33">
        <f t="shared" si="61"/>
        <v>0</v>
      </c>
      <c r="AO33">
        <f t="shared" si="62"/>
        <v>0</v>
      </c>
      <c r="BJ33" s="8" t="str">
        <f>Tank1!A47</f>
        <v>AAAA</v>
      </c>
      <c r="BK33" s="8" t="str">
        <f>Tank1!E47</f>
        <v/>
      </c>
      <c r="BL33" s="8" t="str">
        <f>Tank1!F47</f>
        <v/>
      </c>
      <c r="BM33" s="8">
        <f t="shared" si="63"/>
        <v>0</v>
      </c>
      <c r="BN33" s="8">
        <f t="shared" si="64"/>
        <v>0</v>
      </c>
      <c r="BO33" s="8"/>
      <c r="BP33" s="8" t="str">
        <f>Tank2!A47</f>
        <v>AAAA</v>
      </c>
      <c r="BQ33" s="8" t="str">
        <f>Tank2!E47</f>
        <v/>
      </c>
      <c r="BR33" s="8" t="str">
        <f>Tank2!F47</f>
        <v/>
      </c>
      <c r="BS33" s="8">
        <f t="shared" si="65"/>
        <v>0</v>
      </c>
      <c r="BT33" s="8">
        <f t="shared" si="66"/>
        <v>0</v>
      </c>
      <c r="BU33" s="8"/>
      <c r="BV33" s="8" t="str">
        <f>Tank3!A47</f>
        <v>AAAA</v>
      </c>
      <c r="BW33" s="8" t="str">
        <f>Tank3!E47</f>
        <v/>
      </c>
      <c r="BX33" s="8" t="str">
        <f>Tank3!F47</f>
        <v/>
      </c>
      <c r="BY33" s="8">
        <f t="shared" si="67"/>
        <v>0</v>
      </c>
      <c r="BZ33" s="8">
        <f t="shared" si="68"/>
        <v>0</v>
      </c>
      <c r="CA33" s="8"/>
      <c r="CB33" s="8" t="str">
        <f>Tank4!A47</f>
        <v>AAAA</v>
      </c>
      <c r="CC33" s="8" t="str">
        <f>Tank4!E47</f>
        <v/>
      </c>
      <c r="CD33" s="8" t="str">
        <f>Tank4!F47</f>
        <v/>
      </c>
      <c r="CE33" s="8">
        <f t="shared" si="69"/>
        <v>0</v>
      </c>
      <c r="CF33" s="8">
        <f t="shared" si="70"/>
        <v>0</v>
      </c>
      <c r="CH33" s="8" t="str">
        <f>Tank5!A47</f>
        <v>AAAA</v>
      </c>
      <c r="CI33" s="8" t="str">
        <f>Tank5!E47</f>
        <v/>
      </c>
      <c r="CJ33" s="8" t="str">
        <f>Tank5!F47</f>
        <v/>
      </c>
      <c r="CK33" s="8">
        <f t="shared" si="71"/>
        <v>0</v>
      </c>
      <c r="CL33" s="8">
        <f t="shared" si="72"/>
        <v>0</v>
      </c>
      <c r="CN33" s="8" t="str">
        <f>Hidden!$CC16</f>
        <v/>
      </c>
      <c r="CO33">
        <f t="shared" si="73"/>
        <v>0</v>
      </c>
      <c r="CP33">
        <f t="shared" si="74"/>
        <v>0</v>
      </c>
      <c r="CQ33">
        <f t="shared" si="75"/>
        <v>0</v>
      </c>
      <c r="CR33">
        <f t="shared" si="76"/>
        <v>0</v>
      </c>
      <c r="CS33">
        <f t="shared" si="77"/>
        <v>0</v>
      </c>
      <c r="CT33">
        <f t="shared" si="78"/>
        <v>0</v>
      </c>
      <c r="CU33">
        <f t="shared" si="79"/>
        <v>0</v>
      </c>
      <c r="CV33">
        <f t="shared" si="80"/>
        <v>0</v>
      </c>
      <c r="CW33">
        <f t="shared" si="81"/>
        <v>0</v>
      </c>
      <c r="CX33">
        <f t="shared" si="82"/>
        <v>0</v>
      </c>
      <c r="DT33" s="77"/>
      <c r="DU33" s="8" t="str">
        <f t="shared" si="14"/>
        <v>AAAAA</v>
      </c>
      <c r="DV33" s="8" t="str">
        <f t="shared" si="15"/>
        <v/>
      </c>
      <c r="DW33" s="8" t="str">
        <f t="shared" si="16"/>
        <v/>
      </c>
      <c r="DX33">
        <f t="shared" si="17"/>
        <v>0</v>
      </c>
      <c r="DY33">
        <f t="shared" si="17"/>
        <v>0</v>
      </c>
      <c r="EA33" t="str">
        <f t="shared" si="18"/>
        <v>AAAAA</v>
      </c>
      <c r="EB33" t="str">
        <f t="shared" si="19"/>
        <v/>
      </c>
      <c r="EC33" t="str">
        <f t="shared" si="20"/>
        <v/>
      </c>
      <c r="ED33">
        <f t="shared" si="21"/>
        <v>0</v>
      </c>
      <c r="EE33">
        <f t="shared" si="21"/>
        <v>0</v>
      </c>
      <c r="EG33" s="8" t="str">
        <f t="shared" si="22"/>
        <v>AAAAA</v>
      </c>
      <c r="EH33" s="8" t="str">
        <f t="shared" si="23"/>
        <v/>
      </c>
      <c r="EI33" s="8" t="str">
        <f t="shared" si="24"/>
        <v/>
      </c>
      <c r="EJ33">
        <f t="shared" si="25"/>
        <v>0</v>
      </c>
      <c r="EK33">
        <f t="shared" si="25"/>
        <v>0</v>
      </c>
      <c r="EM33" s="8" t="str">
        <f t="shared" si="26"/>
        <v>AAAAA</v>
      </c>
      <c r="EN33" s="8" t="str">
        <f t="shared" si="27"/>
        <v/>
      </c>
      <c r="EO33" s="8" t="str">
        <f t="shared" si="28"/>
        <v/>
      </c>
      <c r="EP33">
        <f t="shared" si="29"/>
        <v>0</v>
      </c>
      <c r="EQ33">
        <f t="shared" si="29"/>
        <v>0</v>
      </c>
      <c r="ES33" s="8" t="str">
        <f t="shared" si="30"/>
        <v>AAAAA</v>
      </c>
      <c r="ET33" s="8" t="str">
        <f t="shared" si="31"/>
        <v/>
      </c>
      <c r="EU33" s="8" t="str">
        <f t="shared" si="32"/>
        <v/>
      </c>
      <c r="EV33">
        <f t="shared" si="33"/>
        <v>0</v>
      </c>
      <c r="EW33">
        <f t="shared" si="33"/>
        <v>0</v>
      </c>
      <c r="EY33" s="8" t="str">
        <f>Hidden!$CG27</f>
        <v/>
      </c>
      <c r="EZ33">
        <f t="shared" si="34"/>
        <v>0</v>
      </c>
      <c r="FA33">
        <f t="shared" si="35"/>
        <v>0</v>
      </c>
      <c r="FB33">
        <f t="shared" si="36"/>
        <v>0</v>
      </c>
      <c r="FC33">
        <f t="shared" si="37"/>
        <v>0</v>
      </c>
      <c r="FD33">
        <f t="shared" si="38"/>
        <v>0</v>
      </c>
      <c r="FE33">
        <f t="shared" si="39"/>
        <v>0</v>
      </c>
      <c r="FF33">
        <f t="shared" si="40"/>
        <v>0</v>
      </c>
      <c r="FG33">
        <f t="shared" si="41"/>
        <v>0</v>
      </c>
      <c r="FH33">
        <f t="shared" si="42"/>
        <v>0</v>
      </c>
      <c r="FI33">
        <f t="shared" si="43"/>
        <v>0</v>
      </c>
      <c r="GG33" t="s">
        <v>325</v>
      </c>
      <c r="GH33">
        <f>IF(OR(GI33=0,ISNUMBER(MATCH(GI33,$GI$2:GI32,0))),0,MAX($GH$2:GH32)+1)</f>
        <v>0</v>
      </c>
      <c r="GI33">
        <f>$U3</f>
        <v>0</v>
      </c>
      <c r="GL33">
        <f>IF(OR(GM33=0,ISNUMBER(MATCH(GM33,$GM$2:GM32,0))),0,MAX($GL$2:GL32)+1)</f>
        <v>0</v>
      </c>
      <c r="GM33">
        <f>$AA3</f>
        <v>0</v>
      </c>
    </row>
    <row r="34" spans="1:195" x14ac:dyDescent="0.2">
      <c r="A34" s="8" t="str">
        <f>Tank1!A48</f>
        <v>AAAAA</v>
      </c>
      <c r="B34" s="8" t="str">
        <f>Tank1!E48</f>
        <v/>
      </c>
      <c r="C34" s="8" t="str">
        <f>Tank1!F48</f>
        <v/>
      </c>
      <c r="D34" s="8">
        <f t="shared" si="48"/>
        <v>0</v>
      </c>
      <c r="E34" s="8">
        <f t="shared" si="48"/>
        <v>0</v>
      </c>
      <c r="G34" s="8" t="str">
        <f>Tank2!A48</f>
        <v>AAAAA</v>
      </c>
      <c r="H34" s="8" t="str">
        <f>Tank2!E48</f>
        <v/>
      </c>
      <c r="I34" s="8" t="str">
        <f>Tank2!F48</f>
        <v/>
      </c>
      <c r="J34">
        <f t="shared" si="49"/>
        <v>0</v>
      </c>
      <c r="K34">
        <f t="shared" si="49"/>
        <v>0</v>
      </c>
      <c r="M34" s="8" t="str">
        <f>Tank3!A48</f>
        <v>AAAAA</v>
      </c>
      <c r="N34" s="8" t="str">
        <f>Tank3!E48</f>
        <v/>
      </c>
      <c r="O34" s="8" t="str">
        <f>Tank3!F48</f>
        <v/>
      </c>
      <c r="P34">
        <f t="shared" si="50"/>
        <v>0</v>
      </c>
      <c r="Q34">
        <f t="shared" si="50"/>
        <v>0</v>
      </c>
      <c r="S34" s="8" t="str">
        <f>Tank4!A48</f>
        <v>AAAAA</v>
      </c>
      <c r="T34" s="8" t="str">
        <f>Tank4!E48</f>
        <v/>
      </c>
      <c r="U34" s="8" t="str">
        <f>Tank4!F48</f>
        <v/>
      </c>
      <c r="V34">
        <f t="shared" si="51"/>
        <v>0</v>
      </c>
      <c r="W34">
        <f t="shared" si="51"/>
        <v>0</v>
      </c>
      <c r="Y34" s="8" t="str">
        <f>Tank5!A48</f>
        <v>AAAAA</v>
      </c>
      <c r="Z34" s="8" t="str">
        <f>Tank5!E48</f>
        <v/>
      </c>
      <c r="AA34" s="8" t="str">
        <f>Tank5!F48</f>
        <v/>
      </c>
      <c r="AB34">
        <f t="shared" si="52"/>
        <v>0</v>
      </c>
      <c r="AC34">
        <f t="shared" si="52"/>
        <v>0</v>
      </c>
      <c r="AE34" s="8" t="str">
        <f>Hidden!CC17</f>
        <v/>
      </c>
      <c r="AF34">
        <f t="shared" si="53"/>
        <v>0</v>
      </c>
      <c r="AG34">
        <f t="shared" si="54"/>
        <v>0</v>
      </c>
      <c r="AH34">
        <f t="shared" si="55"/>
        <v>0</v>
      </c>
      <c r="AI34">
        <f t="shared" si="56"/>
        <v>0</v>
      </c>
      <c r="AJ34">
        <f t="shared" si="57"/>
        <v>0</v>
      </c>
      <c r="AK34">
        <f t="shared" si="58"/>
        <v>0</v>
      </c>
      <c r="AL34">
        <f t="shared" si="59"/>
        <v>0</v>
      </c>
      <c r="AM34">
        <f t="shared" si="60"/>
        <v>0</v>
      </c>
      <c r="AN34">
        <f t="shared" si="61"/>
        <v>0</v>
      </c>
      <c r="AO34">
        <f t="shared" si="62"/>
        <v>0</v>
      </c>
      <c r="BJ34" s="8" t="str">
        <f>Tank1!A48</f>
        <v>AAAAA</v>
      </c>
      <c r="BK34" s="8" t="str">
        <f>Tank1!E48</f>
        <v/>
      </c>
      <c r="BL34" s="8" t="str">
        <f>Tank1!F48</f>
        <v/>
      </c>
      <c r="BM34" s="8">
        <f t="shared" si="63"/>
        <v>0</v>
      </c>
      <c r="BN34" s="8">
        <f t="shared" si="64"/>
        <v>0</v>
      </c>
      <c r="BO34" s="8"/>
      <c r="BP34" s="8" t="str">
        <f>Tank2!A48</f>
        <v>AAAAA</v>
      </c>
      <c r="BQ34" s="8" t="str">
        <f>Tank2!E48</f>
        <v/>
      </c>
      <c r="BR34" s="8" t="str">
        <f>Tank2!F48</f>
        <v/>
      </c>
      <c r="BS34" s="8">
        <f t="shared" si="65"/>
        <v>0</v>
      </c>
      <c r="BT34" s="8">
        <f t="shared" si="66"/>
        <v>0</v>
      </c>
      <c r="BU34" s="8"/>
      <c r="BV34" s="8" t="str">
        <f>Tank3!A48</f>
        <v>AAAAA</v>
      </c>
      <c r="BW34" s="8" t="str">
        <f>Tank3!E48</f>
        <v/>
      </c>
      <c r="BX34" s="8" t="str">
        <f>Tank3!F48</f>
        <v/>
      </c>
      <c r="BY34" s="8">
        <f t="shared" si="67"/>
        <v>0</v>
      </c>
      <c r="BZ34" s="8">
        <f t="shared" si="68"/>
        <v>0</v>
      </c>
      <c r="CA34" s="8"/>
      <c r="CB34" s="8" t="str">
        <f>Tank4!A48</f>
        <v>AAAAA</v>
      </c>
      <c r="CC34" s="8" t="str">
        <f>Tank4!E48</f>
        <v/>
      </c>
      <c r="CD34" s="8" t="str">
        <f>Tank4!F48</f>
        <v/>
      </c>
      <c r="CE34" s="8">
        <f t="shared" si="69"/>
        <v>0</v>
      </c>
      <c r="CF34" s="8">
        <f t="shared" si="70"/>
        <v>0</v>
      </c>
      <c r="CH34" s="8" t="str">
        <f>Tank5!A48</f>
        <v>AAAAA</v>
      </c>
      <c r="CI34" s="8" t="str">
        <f>Tank5!E48</f>
        <v/>
      </c>
      <c r="CJ34" s="8" t="str">
        <f>Tank5!F48</f>
        <v/>
      </c>
      <c r="CK34" s="8">
        <f t="shared" si="71"/>
        <v>0</v>
      </c>
      <c r="CL34" s="8">
        <f t="shared" si="72"/>
        <v>0</v>
      </c>
      <c r="CN34" s="8" t="str">
        <f>Hidden!$CC17</f>
        <v/>
      </c>
      <c r="CO34">
        <f t="shared" si="73"/>
        <v>0</v>
      </c>
      <c r="CP34">
        <f t="shared" si="74"/>
        <v>0</v>
      </c>
      <c r="CQ34">
        <f t="shared" si="75"/>
        <v>0</v>
      </c>
      <c r="CR34">
        <f t="shared" si="76"/>
        <v>0</v>
      </c>
      <c r="CS34">
        <f t="shared" si="77"/>
        <v>0</v>
      </c>
      <c r="CT34">
        <f t="shared" si="78"/>
        <v>0</v>
      </c>
      <c r="CU34">
        <f t="shared" si="79"/>
        <v>0</v>
      </c>
      <c r="CV34">
        <f t="shared" si="80"/>
        <v>0</v>
      </c>
      <c r="CW34">
        <f t="shared" si="81"/>
        <v>0</v>
      </c>
      <c r="CX34">
        <f t="shared" si="82"/>
        <v>0</v>
      </c>
      <c r="DT34" s="77"/>
      <c r="DU34" s="8" t="str">
        <f t="shared" si="14"/>
        <v>AAAAAA</v>
      </c>
      <c r="DV34" s="8" t="str">
        <f t="shared" si="15"/>
        <v/>
      </c>
      <c r="DW34" s="8" t="str">
        <f t="shared" si="16"/>
        <v/>
      </c>
      <c r="DX34">
        <f t="shared" si="17"/>
        <v>0</v>
      </c>
      <c r="DY34">
        <f t="shared" si="17"/>
        <v>0</v>
      </c>
      <c r="EA34" t="str">
        <f t="shared" si="18"/>
        <v>AAAAAA</v>
      </c>
      <c r="EB34" t="str">
        <f t="shared" si="19"/>
        <v/>
      </c>
      <c r="EC34" t="str">
        <f t="shared" si="20"/>
        <v/>
      </c>
      <c r="ED34">
        <f t="shared" si="21"/>
        <v>0</v>
      </c>
      <c r="EE34">
        <f t="shared" si="21"/>
        <v>0</v>
      </c>
      <c r="EG34" s="8" t="str">
        <f t="shared" si="22"/>
        <v>AAAAAA</v>
      </c>
      <c r="EH34" s="8" t="str">
        <f t="shared" si="23"/>
        <v/>
      </c>
      <c r="EI34" s="8" t="str">
        <f t="shared" si="24"/>
        <v/>
      </c>
      <c r="EJ34">
        <f t="shared" si="25"/>
        <v>0</v>
      </c>
      <c r="EK34">
        <f t="shared" si="25"/>
        <v>0</v>
      </c>
      <c r="EM34" s="8" t="str">
        <f t="shared" si="26"/>
        <v>AAAAAA</v>
      </c>
      <c r="EN34" s="8" t="str">
        <f t="shared" si="27"/>
        <v/>
      </c>
      <c r="EO34" s="8" t="str">
        <f t="shared" si="28"/>
        <v/>
      </c>
      <c r="EP34">
        <f t="shared" si="29"/>
        <v>0</v>
      </c>
      <c r="EQ34">
        <f t="shared" si="29"/>
        <v>0</v>
      </c>
      <c r="ES34" s="8" t="str">
        <f t="shared" si="30"/>
        <v>AAAAAA</v>
      </c>
      <c r="ET34" s="8" t="str">
        <f t="shared" si="31"/>
        <v/>
      </c>
      <c r="EU34" s="8" t="str">
        <f t="shared" si="32"/>
        <v/>
      </c>
      <c r="EV34">
        <f t="shared" si="33"/>
        <v>0</v>
      </c>
      <c r="EW34">
        <f t="shared" si="33"/>
        <v>0</v>
      </c>
      <c r="EY34" s="8" t="str">
        <f>Hidden!$CG28</f>
        <v/>
      </c>
      <c r="EZ34">
        <f t="shared" si="34"/>
        <v>0</v>
      </c>
      <c r="FA34">
        <f t="shared" si="35"/>
        <v>0</v>
      </c>
      <c r="FB34">
        <f t="shared" si="36"/>
        <v>0</v>
      </c>
      <c r="FC34">
        <f t="shared" si="37"/>
        <v>0</v>
      </c>
      <c r="FD34">
        <f t="shared" si="38"/>
        <v>0</v>
      </c>
      <c r="FE34">
        <f t="shared" si="39"/>
        <v>0</v>
      </c>
      <c r="FF34">
        <f t="shared" si="40"/>
        <v>0</v>
      </c>
      <c r="FG34">
        <f t="shared" si="41"/>
        <v>0</v>
      </c>
      <c r="FH34">
        <f t="shared" si="42"/>
        <v>0</v>
      </c>
      <c r="FI34">
        <f t="shared" si="43"/>
        <v>0</v>
      </c>
      <c r="GH34">
        <f>IF(OR(GI34=0,ISNUMBER(MATCH(GI34,$GI$2:GI33,0))),0,MAX($GH$2:GH33)+1)</f>
        <v>0</v>
      </c>
      <c r="GI34">
        <f t="shared" ref="GI34:GI42" si="85">$U4</f>
        <v>0</v>
      </c>
      <c r="GL34">
        <f>IF(OR(GM34=0,ISNUMBER(MATCH(GM34,$GM$2:GM33,0))),0,MAX($GL$2:GL33)+1)</f>
        <v>0</v>
      </c>
      <c r="GM34">
        <f t="shared" ref="GM34:GM42" si="86">$AA4</f>
        <v>0</v>
      </c>
    </row>
    <row r="35" spans="1:195" x14ac:dyDescent="0.2">
      <c r="A35" s="8" t="str">
        <f>Tank1!A49</f>
        <v>AAAAAA</v>
      </c>
      <c r="B35" s="8" t="str">
        <f>Tank1!E49</f>
        <v/>
      </c>
      <c r="C35" s="8" t="str">
        <f>Tank1!F49</f>
        <v/>
      </c>
      <c r="D35" s="8">
        <f t="shared" si="48"/>
        <v>0</v>
      </c>
      <c r="E35" s="8">
        <f t="shared" si="48"/>
        <v>0</v>
      </c>
      <c r="G35" s="8" t="str">
        <f>Tank2!A49</f>
        <v>AAAAAA</v>
      </c>
      <c r="H35" s="8" t="str">
        <f>Tank2!E49</f>
        <v/>
      </c>
      <c r="I35" s="8" t="str">
        <f>Tank2!F49</f>
        <v/>
      </c>
      <c r="J35">
        <f t="shared" si="49"/>
        <v>0</v>
      </c>
      <c r="K35">
        <f t="shared" si="49"/>
        <v>0</v>
      </c>
      <c r="M35" s="8" t="str">
        <f>Tank3!A49</f>
        <v>AAAAAA</v>
      </c>
      <c r="N35" s="8" t="str">
        <f>Tank3!E49</f>
        <v/>
      </c>
      <c r="O35" s="8" t="str">
        <f>Tank3!F49</f>
        <v/>
      </c>
      <c r="P35">
        <f t="shared" si="50"/>
        <v>0</v>
      </c>
      <c r="Q35">
        <f t="shared" si="50"/>
        <v>0</v>
      </c>
      <c r="S35" s="8" t="str">
        <f>Tank4!A49</f>
        <v>AAAAAA</v>
      </c>
      <c r="T35" s="8" t="str">
        <f>Tank4!E49</f>
        <v/>
      </c>
      <c r="U35" s="8" t="str">
        <f>Tank4!F49</f>
        <v/>
      </c>
      <c r="V35">
        <f t="shared" si="51"/>
        <v>0</v>
      </c>
      <c r="W35">
        <f t="shared" si="51"/>
        <v>0</v>
      </c>
      <c r="Y35" s="8" t="str">
        <f>Tank5!A49</f>
        <v>AAAAAA</v>
      </c>
      <c r="Z35" s="8" t="str">
        <f>Tank5!E49</f>
        <v/>
      </c>
      <c r="AA35" s="8" t="str">
        <f>Tank5!F49</f>
        <v/>
      </c>
      <c r="AB35">
        <f t="shared" si="52"/>
        <v>0</v>
      </c>
      <c r="AC35">
        <f t="shared" si="52"/>
        <v>0</v>
      </c>
      <c r="AE35" s="8" t="str">
        <f>Hidden!CC18</f>
        <v/>
      </c>
      <c r="AF35">
        <f t="shared" si="53"/>
        <v>0</v>
      </c>
      <c r="AG35">
        <f t="shared" si="54"/>
        <v>0</v>
      </c>
      <c r="AH35">
        <f t="shared" si="55"/>
        <v>0</v>
      </c>
      <c r="AI35">
        <f t="shared" si="56"/>
        <v>0</v>
      </c>
      <c r="AJ35">
        <f t="shared" si="57"/>
        <v>0</v>
      </c>
      <c r="AK35">
        <f t="shared" si="58"/>
        <v>0</v>
      </c>
      <c r="AL35">
        <f t="shared" si="59"/>
        <v>0</v>
      </c>
      <c r="AM35">
        <f t="shared" si="60"/>
        <v>0</v>
      </c>
      <c r="AN35">
        <f t="shared" si="61"/>
        <v>0</v>
      </c>
      <c r="AO35">
        <f t="shared" si="62"/>
        <v>0</v>
      </c>
      <c r="BJ35" s="8" t="str">
        <f>Tank1!A49</f>
        <v>AAAAAA</v>
      </c>
      <c r="BK35" s="8" t="str">
        <f>Tank1!E49</f>
        <v/>
      </c>
      <c r="BL35" s="8" t="str">
        <f>Tank1!F49</f>
        <v/>
      </c>
      <c r="BM35" s="8">
        <f t="shared" si="63"/>
        <v>0</v>
      </c>
      <c r="BN35" s="8">
        <f t="shared" si="64"/>
        <v>0</v>
      </c>
      <c r="BO35" s="8"/>
      <c r="BP35" s="8" t="str">
        <f>Tank2!A49</f>
        <v>AAAAAA</v>
      </c>
      <c r="BQ35" s="8" t="str">
        <f>Tank2!E49</f>
        <v/>
      </c>
      <c r="BR35" s="8" t="str">
        <f>Tank2!F49</f>
        <v/>
      </c>
      <c r="BS35" s="8">
        <f t="shared" si="65"/>
        <v>0</v>
      </c>
      <c r="BT35" s="8">
        <f t="shared" si="66"/>
        <v>0</v>
      </c>
      <c r="BU35" s="8"/>
      <c r="BV35" s="8" t="str">
        <f>Tank3!A49</f>
        <v>AAAAAA</v>
      </c>
      <c r="BW35" s="8" t="str">
        <f>Tank3!E49</f>
        <v/>
      </c>
      <c r="BX35" s="8" t="str">
        <f>Tank3!F49</f>
        <v/>
      </c>
      <c r="BY35" s="8">
        <f t="shared" si="67"/>
        <v>0</v>
      </c>
      <c r="BZ35" s="8">
        <f t="shared" si="68"/>
        <v>0</v>
      </c>
      <c r="CA35" s="8"/>
      <c r="CB35" s="8" t="str">
        <f>Tank4!A49</f>
        <v>AAAAAA</v>
      </c>
      <c r="CC35" s="8" t="str">
        <f>Tank4!E49</f>
        <v/>
      </c>
      <c r="CD35" s="8" t="str">
        <f>Tank4!F49</f>
        <v/>
      </c>
      <c r="CE35" s="8">
        <f t="shared" si="69"/>
        <v>0</v>
      </c>
      <c r="CF35" s="8">
        <f t="shared" si="70"/>
        <v>0</v>
      </c>
      <c r="CH35" s="8" t="str">
        <f>Tank5!A49</f>
        <v>AAAAAA</v>
      </c>
      <c r="CI35" s="8" t="str">
        <f>Tank5!E49</f>
        <v/>
      </c>
      <c r="CJ35" s="8" t="str">
        <f>Tank5!F49</f>
        <v/>
      </c>
      <c r="CK35" s="8">
        <f t="shared" si="71"/>
        <v>0</v>
      </c>
      <c r="CL35" s="8">
        <f t="shared" si="72"/>
        <v>0</v>
      </c>
      <c r="CN35" s="8" t="str">
        <f>Hidden!$CC18</f>
        <v/>
      </c>
      <c r="CO35">
        <f t="shared" si="73"/>
        <v>0</v>
      </c>
      <c r="CP35">
        <f t="shared" si="74"/>
        <v>0</v>
      </c>
      <c r="CQ35">
        <f t="shared" si="75"/>
        <v>0</v>
      </c>
      <c r="CR35">
        <f t="shared" si="76"/>
        <v>0</v>
      </c>
      <c r="CS35">
        <f t="shared" si="77"/>
        <v>0</v>
      </c>
      <c r="CT35">
        <f t="shared" si="78"/>
        <v>0</v>
      </c>
      <c r="CU35">
        <f t="shared" si="79"/>
        <v>0</v>
      </c>
      <c r="CV35">
        <f t="shared" si="80"/>
        <v>0</v>
      </c>
      <c r="CW35">
        <f t="shared" si="81"/>
        <v>0</v>
      </c>
      <c r="CX35">
        <f t="shared" si="82"/>
        <v>0</v>
      </c>
      <c r="DT35" s="77"/>
      <c r="DU35" s="8" t="str">
        <f t="shared" si="14"/>
        <v>AAAAAAA</v>
      </c>
      <c r="DV35" s="8" t="str">
        <f t="shared" si="15"/>
        <v/>
      </c>
      <c r="DW35" s="8" t="str">
        <f t="shared" si="16"/>
        <v/>
      </c>
      <c r="DX35">
        <f t="shared" si="17"/>
        <v>0</v>
      </c>
      <c r="DY35">
        <f t="shared" si="17"/>
        <v>0</v>
      </c>
      <c r="EA35" t="str">
        <f t="shared" si="18"/>
        <v>AAAAAAA</v>
      </c>
      <c r="EB35" t="str">
        <f t="shared" si="19"/>
        <v/>
      </c>
      <c r="EC35" t="str">
        <f t="shared" si="20"/>
        <v/>
      </c>
      <c r="ED35">
        <f t="shared" si="21"/>
        <v>0</v>
      </c>
      <c r="EE35">
        <f t="shared" si="21"/>
        <v>0</v>
      </c>
      <c r="EG35" s="8" t="str">
        <f t="shared" si="22"/>
        <v>AAAAAAA</v>
      </c>
      <c r="EH35" s="8" t="str">
        <f t="shared" si="23"/>
        <v/>
      </c>
      <c r="EI35" s="8" t="str">
        <f t="shared" si="24"/>
        <v/>
      </c>
      <c r="EJ35">
        <f t="shared" si="25"/>
        <v>0</v>
      </c>
      <c r="EK35">
        <f t="shared" si="25"/>
        <v>0</v>
      </c>
      <c r="EM35" s="8" t="str">
        <f t="shared" si="26"/>
        <v>AAAAAAA</v>
      </c>
      <c r="EN35" s="8" t="str">
        <f t="shared" si="27"/>
        <v/>
      </c>
      <c r="EO35" s="8" t="str">
        <f t="shared" si="28"/>
        <v/>
      </c>
      <c r="EP35">
        <f t="shared" si="29"/>
        <v>0</v>
      </c>
      <c r="EQ35">
        <f t="shared" si="29"/>
        <v>0</v>
      </c>
      <c r="ES35" s="8" t="str">
        <f t="shared" si="30"/>
        <v>AAAAAAA</v>
      </c>
      <c r="ET35" s="8" t="str">
        <f t="shared" si="31"/>
        <v/>
      </c>
      <c r="EU35" s="8" t="str">
        <f t="shared" si="32"/>
        <v/>
      </c>
      <c r="EV35">
        <f t="shared" si="33"/>
        <v>0</v>
      </c>
      <c r="EW35">
        <f t="shared" si="33"/>
        <v>0</v>
      </c>
      <c r="EY35" s="8" t="str">
        <f>Hidden!$CG29</f>
        <v/>
      </c>
      <c r="EZ35">
        <f t="shared" si="34"/>
        <v>0</v>
      </c>
      <c r="FA35">
        <f t="shared" si="35"/>
        <v>0</v>
      </c>
      <c r="FB35">
        <f t="shared" si="36"/>
        <v>0</v>
      </c>
      <c r="FC35">
        <f t="shared" si="37"/>
        <v>0</v>
      </c>
      <c r="FD35">
        <f t="shared" si="38"/>
        <v>0</v>
      </c>
      <c r="FE35">
        <f t="shared" si="39"/>
        <v>0</v>
      </c>
      <c r="FF35">
        <f t="shared" si="40"/>
        <v>0</v>
      </c>
      <c r="FG35">
        <f t="shared" si="41"/>
        <v>0</v>
      </c>
      <c r="FH35">
        <f t="shared" si="42"/>
        <v>0</v>
      </c>
      <c r="FI35">
        <f t="shared" si="43"/>
        <v>0</v>
      </c>
      <c r="GH35">
        <f>IF(OR(GI35=0,ISNUMBER(MATCH(GI35,$GI$2:GI34,0))),0,MAX($GH$2:GH34)+1)</f>
        <v>0</v>
      </c>
      <c r="GI35">
        <f t="shared" si="85"/>
        <v>0</v>
      </c>
      <c r="GL35">
        <f>IF(OR(GM35=0,ISNUMBER(MATCH(GM35,$GM$2:GM34,0))),0,MAX($GL$2:GL34)+1)</f>
        <v>0</v>
      </c>
      <c r="GM35">
        <f t="shared" si="86"/>
        <v>0</v>
      </c>
    </row>
    <row r="36" spans="1:195" ht="28.5" x14ac:dyDescent="0.2">
      <c r="A36" s="8" t="str">
        <f>Tank1!A50</f>
        <v>AAAAAAA</v>
      </c>
      <c r="B36" s="8" t="str">
        <f>Tank1!E50</f>
        <v/>
      </c>
      <c r="C36" s="8" t="str">
        <f>Tank1!F50</f>
        <v/>
      </c>
      <c r="D36" s="8">
        <f t="shared" si="48"/>
        <v>0</v>
      </c>
      <c r="E36" s="8">
        <f t="shared" si="48"/>
        <v>0</v>
      </c>
      <c r="G36" s="8" t="str">
        <f>Tank2!A50</f>
        <v>AAAAAAA</v>
      </c>
      <c r="H36" s="8" t="str">
        <f>Tank2!E50</f>
        <v/>
      </c>
      <c r="I36" s="8" t="str">
        <f>Tank2!F50</f>
        <v/>
      </c>
      <c r="J36">
        <f t="shared" si="49"/>
        <v>0</v>
      </c>
      <c r="K36">
        <f t="shared" si="49"/>
        <v>0</v>
      </c>
      <c r="M36" s="8" t="str">
        <f>Tank3!A50</f>
        <v>AAAAAAA</v>
      </c>
      <c r="N36" s="8" t="str">
        <f>Tank3!E50</f>
        <v/>
      </c>
      <c r="O36" s="8" t="str">
        <f>Tank3!F50</f>
        <v/>
      </c>
      <c r="P36">
        <f t="shared" si="50"/>
        <v>0</v>
      </c>
      <c r="Q36">
        <f t="shared" si="50"/>
        <v>0</v>
      </c>
      <c r="S36" s="8" t="str">
        <f>Tank4!A50</f>
        <v>AAAAAAA</v>
      </c>
      <c r="T36" s="8" t="str">
        <f>Tank4!E50</f>
        <v/>
      </c>
      <c r="U36" s="8" t="str">
        <f>Tank4!F50</f>
        <v/>
      </c>
      <c r="V36">
        <f t="shared" si="51"/>
        <v>0</v>
      </c>
      <c r="W36">
        <f t="shared" si="51"/>
        <v>0</v>
      </c>
      <c r="Y36" s="8" t="str">
        <f>Tank5!A50</f>
        <v>AAAAAAA</v>
      </c>
      <c r="Z36" s="8" t="str">
        <f>Tank5!E50</f>
        <v/>
      </c>
      <c r="AA36" s="8" t="str">
        <f>Tank5!F50</f>
        <v/>
      </c>
      <c r="AB36">
        <f t="shared" si="52"/>
        <v>0</v>
      </c>
      <c r="AC36">
        <f t="shared" si="52"/>
        <v>0</v>
      </c>
      <c r="AE36" s="8" t="str">
        <f>Hidden!CC19</f>
        <v/>
      </c>
      <c r="AF36">
        <f t="shared" si="53"/>
        <v>0</v>
      </c>
      <c r="AG36">
        <f t="shared" si="54"/>
        <v>0</v>
      </c>
      <c r="AH36">
        <f t="shared" si="55"/>
        <v>0</v>
      </c>
      <c r="AI36">
        <f t="shared" si="56"/>
        <v>0</v>
      </c>
      <c r="AJ36">
        <f t="shared" si="57"/>
        <v>0</v>
      </c>
      <c r="AK36">
        <f t="shared" si="58"/>
        <v>0</v>
      </c>
      <c r="AL36">
        <f t="shared" si="59"/>
        <v>0</v>
      </c>
      <c r="AM36">
        <f t="shared" si="60"/>
        <v>0</v>
      </c>
      <c r="AN36">
        <f t="shared" si="61"/>
        <v>0</v>
      </c>
      <c r="AO36">
        <f t="shared" si="62"/>
        <v>0</v>
      </c>
      <c r="BJ36" s="8" t="str">
        <f>Tank1!A50</f>
        <v>AAAAAAA</v>
      </c>
      <c r="BK36" s="8" t="str">
        <f>Tank1!E50</f>
        <v/>
      </c>
      <c r="BL36" s="8" t="str">
        <f>Tank1!F50</f>
        <v/>
      </c>
      <c r="BM36" s="8">
        <f t="shared" si="63"/>
        <v>0</v>
      </c>
      <c r="BN36" s="8">
        <f t="shared" si="64"/>
        <v>0</v>
      </c>
      <c r="BO36" s="8"/>
      <c r="BP36" s="8" t="str">
        <f>Tank2!A50</f>
        <v>AAAAAAA</v>
      </c>
      <c r="BQ36" s="8" t="str">
        <f>Tank2!E50</f>
        <v/>
      </c>
      <c r="BR36" s="8" t="str">
        <f>Tank2!F50</f>
        <v/>
      </c>
      <c r="BS36" s="8">
        <f t="shared" si="65"/>
        <v>0</v>
      </c>
      <c r="BT36" s="8">
        <f t="shared" si="66"/>
        <v>0</v>
      </c>
      <c r="BU36" s="8"/>
      <c r="BV36" s="8" t="str">
        <f>Tank3!A50</f>
        <v>AAAAAAA</v>
      </c>
      <c r="BW36" s="8" t="str">
        <f>Tank3!E50</f>
        <v/>
      </c>
      <c r="BX36" s="8" t="str">
        <f>Tank3!F50</f>
        <v/>
      </c>
      <c r="BY36" s="8">
        <f t="shared" si="67"/>
        <v>0</v>
      </c>
      <c r="BZ36" s="8">
        <f t="shared" si="68"/>
        <v>0</v>
      </c>
      <c r="CA36" s="8"/>
      <c r="CB36" s="8" t="str">
        <f>Tank4!A50</f>
        <v>AAAAAAA</v>
      </c>
      <c r="CC36" s="8" t="str">
        <f>Tank4!E50</f>
        <v/>
      </c>
      <c r="CD36" s="8" t="str">
        <f>Tank4!F50</f>
        <v/>
      </c>
      <c r="CE36" s="8">
        <f t="shared" si="69"/>
        <v>0</v>
      </c>
      <c r="CF36" s="8">
        <f t="shared" si="70"/>
        <v>0</v>
      </c>
      <c r="CH36" s="8" t="str">
        <f>Tank5!A50</f>
        <v>AAAAAAA</v>
      </c>
      <c r="CI36" s="8" t="str">
        <f>Tank5!E50</f>
        <v/>
      </c>
      <c r="CJ36" s="8" t="str">
        <f>Tank5!F50</f>
        <v/>
      </c>
      <c r="CK36" s="8">
        <f t="shared" si="71"/>
        <v>0</v>
      </c>
      <c r="CL36" s="8">
        <f t="shared" si="72"/>
        <v>0</v>
      </c>
      <c r="CN36" s="8" t="str">
        <f>Hidden!$CC19</f>
        <v/>
      </c>
      <c r="CO36">
        <f t="shared" si="73"/>
        <v>0</v>
      </c>
      <c r="CP36">
        <f t="shared" si="74"/>
        <v>0</v>
      </c>
      <c r="CQ36">
        <f t="shared" si="75"/>
        <v>0</v>
      </c>
      <c r="CR36">
        <f t="shared" si="76"/>
        <v>0</v>
      </c>
      <c r="CS36">
        <f t="shared" si="77"/>
        <v>0</v>
      </c>
      <c r="CT36">
        <f t="shared" si="78"/>
        <v>0</v>
      </c>
      <c r="CU36">
        <f t="shared" si="79"/>
        <v>0</v>
      </c>
      <c r="CV36">
        <f t="shared" si="80"/>
        <v>0</v>
      </c>
      <c r="CW36">
        <f t="shared" si="81"/>
        <v>0</v>
      </c>
      <c r="CX36">
        <f t="shared" si="82"/>
        <v>0</v>
      </c>
      <c r="DT36" s="77"/>
      <c r="DU36" s="8" t="str">
        <f t="shared" si="14"/>
        <v>AAAAAAAA</v>
      </c>
      <c r="DV36" s="8" t="str">
        <f t="shared" si="15"/>
        <v/>
      </c>
      <c r="DW36" s="8" t="str">
        <f t="shared" si="16"/>
        <v/>
      </c>
      <c r="DX36">
        <f t="shared" si="17"/>
        <v>0</v>
      </c>
      <c r="DY36">
        <f t="shared" si="17"/>
        <v>0</v>
      </c>
      <c r="EA36" t="str">
        <f t="shared" si="18"/>
        <v>AAAAAAAA</v>
      </c>
      <c r="EB36" t="str">
        <f t="shared" si="19"/>
        <v/>
      </c>
      <c r="EC36" t="str">
        <f t="shared" si="20"/>
        <v/>
      </c>
      <c r="ED36">
        <f t="shared" si="21"/>
        <v>0</v>
      </c>
      <c r="EE36">
        <f t="shared" si="21"/>
        <v>0</v>
      </c>
      <c r="EG36" s="8" t="str">
        <f t="shared" si="22"/>
        <v>AAAAAAAA</v>
      </c>
      <c r="EH36" s="8" t="str">
        <f t="shared" si="23"/>
        <v/>
      </c>
      <c r="EI36" s="8" t="str">
        <f t="shared" si="24"/>
        <v/>
      </c>
      <c r="EJ36">
        <f t="shared" si="25"/>
        <v>0</v>
      </c>
      <c r="EK36">
        <f t="shared" si="25"/>
        <v>0</v>
      </c>
      <c r="EM36" s="8" t="str">
        <f t="shared" si="26"/>
        <v>AAAAAAAA</v>
      </c>
      <c r="EN36" s="8" t="str">
        <f t="shared" si="27"/>
        <v/>
      </c>
      <c r="EO36" s="8" t="str">
        <f t="shared" si="28"/>
        <v/>
      </c>
      <c r="EP36">
        <f t="shared" si="29"/>
        <v>0</v>
      </c>
      <c r="EQ36">
        <f t="shared" si="29"/>
        <v>0</v>
      </c>
      <c r="ES36" s="8" t="str">
        <f t="shared" si="30"/>
        <v>AAAAAAAA</v>
      </c>
      <c r="ET36" s="8" t="str">
        <f t="shared" si="31"/>
        <v/>
      </c>
      <c r="EU36" s="8" t="str">
        <f t="shared" si="32"/>
        <v/>
      </c>
      <c r="EV36">
        <f t="shared" si="33"/>
        <v>0</v>
      </c>
      <c r="EW36">
        <f t="shared" si="33"/>
        <v>0</v>
      </c>
      <c r="EY36" s="8" t="str">
        <f>Hidden!$CG30</f>
        <v/>
      </c>
      <c r="EZ36">
        <f t="shared" si="34"/>
        <v>0</v>
      </c>
      <c r="FA36">
        <f t="shared" si="35"/>
        <v>0</v>
      </c>
      <c r="FB36">
        <f t="shared" si="36"/>
        <v>0</v>
      </c>
      <c r="FC36">
        <f t="shared" si="37"/>
        <v>0</v>
      </c>
      <c r="FD36">
        <f t="shared" si="38"/>
        <v>0</v>
      </c>
      <c r="FE36">
        <f t="shared" si="39"/>
        <v>0</v>
      </c>
      <c r="FF36">
        <f t="shared" si="40"/>
        <v>0</v>
      </c>
      <c r="FG36">
        <f t="shared" si="41"/>
        <v>0</v>
      </c>
      <c r="FH36">
        <f t="shared" si="42"/>
        <v>0</v>
      </c>
      <c r="FI36">
        <f t="shared" si="43"/>
        <v>0</v>
      </c>
      <c r="GH36">
        <f>IF(OR(GI36=0,ISNUMBER(MATCH(GI36,$GI$2:GI35,0))),0,MAX($GH$2:GH35)+1)</f>
        <v>0</v>
      </c>
      <c r="GI36">
        <f t="shared" si="85"/>
        <v>0</v>
      </c>
      <c r="GL36">
        <f>IF(OR(GM36=0,ISNUMBER(MATCH(GM36,$GM$2:GM35,0))),0,MAX($GL$2:GL35)+1)</f>
        <v>0</v>
      </c>
      <c r="GM36">
        <f t="shared" si="86"/>
        <v>0</v>
      </c>
    </row>
    <row r="37" spans="1:195" ht="28.5" x14ac:dyDescent="0.2">
      <c r="A37" s="8" t="str">
        <f>Tank1!A51</f>
        <v>AAAAAAAA</v>
      </c>
      <c r="B37" s="8" t="str">
        <f>Tank1!E51</f>
        <v/>
      </c>
      <c r="C37" s="8" t="str">
        <f>Tank1!F51</f>
        <v/>
      </c>
      <c r="D37" s="8">
        <f t="shared" si="48"/>
        <v>0</v>
      </c>
      <c r="E37" s="8">
        <f t="shared" si="48"/>
        <v>0</v>
      </c>
      <c r="G37" s="8" t="str">
        <f>Tank2!A51</f>
        <v>AAAAAAAA</v>
      </c>
      <c r="H37" s="8" t="str">
        <f>Tank2!E51</f>
        <v/>
      </c>
      <c r="I37" s="8" t="str">
        <f>Tank2!F51</f>
        <v/>
      </c>
      <c r="J37">
        <f t="shared" si="49"/>
        <v>0</v>
      </c>
      <c r="K37">
        <f t="shared" si="49"/>
        <v>0</v>
      </c>
      <c r="M37" s="8" t="str">
        <f>Tank3!A51</f>
        <v>AAAAAAAA</v>
      </c>
      <c r="N37" s="8" t="str">
        <f>Tank3!E51</f>
        <v/>
      </c>
      <c r="O37" s="8" t="str">
        <f>Tank3!F51</f>
        <v/>
      </c>
      <c r="P37">
        <f t="shared" si="50"/>
        <v>0</v>
      </c>
      <c r="Q37">
        <f t="shared" si="50"/>
        <v>0</v>
      </c>
      <c r="S37" s="8" t="str">
        <f>Tank4!A51</f>
        <v>AAAAAAAA</v>
      </c>
      <c r="T37" s="8" t="str">
        <f>Tank4!E51</f>
        <v/>
      </c>
      <c r="U37" s="8" t="str">
        <f>Tank4!F51</f>
        <v/>
      </c>
      <c r="V37">
        <f t="shared" si="51"/>
        <v>0</v>
      </c>
      <c r="W37">
        <f t="shared" si="51"/>
        <v>0</v>
      </c>
      <c r="Y37" s="8" t="str">
        <f>Tank5!A51</f>
        <v>AAAAAAAA</v>
      </c>
      <c r="Z37" s="8" t="str">
        <f>Tank5!E51</f>
        <v/>
      </c>
      <c r="AA37" s="8" t="str">
        <f>Tank5!F51</f>
        <v/>
      </c>
      <c r="AB37">
        <f t="shared" si="52"/>
        <v>0</v>
      </c>
      <c r="AC37">
        <f t="shared" si="52"/>
        <v>0</v>
      </c>
      <c r="AE37" s="8" t="str">
        <f>Hidden!CC20</f>
        <v/>
      </c>
      <c r="AF37">
        <f t="shared" si="53"/>
        <v>0</v>
      </c>
      <c r="AG37">
        <f t="shared" si="54"/>
        <v>0</v>
      </c>
      <c r="AH37">
        <f t="shared" si="55"/>
        <v>0</v>
      </c>
      <c r="AI37">
        <f t="shared" si="56"/>
        <v>0</v>
      </c>
      <c r="AJ37">
        <f t="shared" si="57"/>
        <v>0</v>
      </c>
      <c r="AK37">
        <f t="shared" si="58"/>
        <v>0</v>
      </c>
      <c r="AL37">
        <f t="shared" si="59"/>
        <v>0</v>
      </c>
      <c r="AM37">
        <f t="shared" si="60"/>
        <v>0</v>
      </c>
      <c r="AN37">
        <f t="shared" si="61"/>
        <v>0</v>
      </c>
      <c r="AO37">
        <f t="shared" si="62"/>
        <v>0</v>
      </c>
      <c r="BJ37" s="8" t="str">
        <f>Tank1!A51</f>
        <v>AAAAAAAA</v>
      </c>
      <c r="BK37" s="8" t="str">
        <f>Tank1!E51</f>
        <v/>
      </c>
      <c r="BL37" s="8" t="str">
        <f>Tank1!F51</f>
        <v/>
      </c>
      <c r="BM37" s="8">
        <f t="shared" si="63"/>
        <v>0</v>
      </c>
      <c r="BN37" s="8">
        <f t="shared" si="64"/>
        <v>0</v>
      </c>
      <c r="BO37" s="8"/>
      <c r="BP37" s="8" t="str">
        <f>Tank2!A51</f>
        <v>AAAAAAAA</v>
      </c>
      <c r="BQ37" s="8" t="str">
        <f>Tank2!E51</f>
        <v/>
      </c>
      <c r="BR37" s="8" t="str">
        <f>Tank2!F51</f>
        <v/>
      </c>
      <c r="BS37" s="8">
        <f t="shared" si="65"/>
        <v>0</v>
      </c>
      <c r="BT37" s="8">
        <f t="shared" si="66"/>
        <v>0</v>
      </c>
      <c r="BU37" s="8"/>
      <c r="BV37" s="8" t="str">
        <f>Tank3!A51</f>
        <v>AAAAAAAA</v>
      </c>
      <c r="BW37" s="8" t="str">
        <f>Tank3!E51</f>
        <v/>
      </c>
      <c r="BX37" s="8" t="str">
        <f>Tank3!F51</f>
        <v/>
      </c>
      <c r="BY37" s="8">
        <f t="shared" si="67"/>
        <v>0</v>
      </c>
      <c r="BZ37" s="8">
        <f t="shared" si="68"/>
        <v>0</v>
      </c>
      <c r="CA37" s="8"/>
      <c r="CB37" s="8" t="str">
        <f>Tank4!A51</f>
        <v>AAAAAAAA</v>
      </c>
      <c r="CC37" s="8" t="str">
        <f>Tank4!E51</f>
        <v/>
      </c>
      <c r="CD37" s="8" t="str">
        <f>Tank4!F51</f>
        <v/>
      </c>
      <c r="CE37" s="8">
        <f t="shared" si="69"/>
        <v>0</v>
      </c>
      <c r="CF37" s="8">
        <f t="shared" si="70"/>
        <v>0</v>
      </c>
      <c r="CH37" s="8" t="str">
        <f>Tank5!A51</f>
        <v>AAAAAAAA</v>
      </c>
      <c r="CI37" s="8" t="str">
        <f>Tank5!E51</f>
        <v/>
      </c>
      <c r="CJ37" s="8" t="str">
        <f>Tank5!F51</f>
        <v/>
      </c>
      <c r="CK37" s="8">
        <f t="shared" si="71"/>
        <v>0</v>
      </c>
      <c r="CL37" s="8">
        <f t="shared" si="72"/>
        <v>0</v>
      </c>
      <c r="CN37" s="8" t="str">
        <f>Hidden!$CC20</f>
        <v/>
      </c>
      <c r="CO37">
        <f t="shared" si="73"/>
        <v>0</v>
      </c>
      <c r="CP37">
        <f t="shared" si="74"/>
        <v>0</v>
      </c>
      <c r="CQ37">
        <f t="shared" si="75"/>
        <v>0</v>
      </c>
      <c r="CR37">
        <f t="shared" si="76"/>
        <v>0</v>
      </c>
      <c r="CS37">
        <f t="shared" si="77"/>
        <v>0</v>
      </c>
      <c r="CT37">
        <f t="shared" si="78"/>
        <v>0</v>
      </c>
      <c r="CU37">
        <f t="shared" si="79"/>
        <v>0</v>
      </c>
      <c r="CV37">
        <f t="shared" si="80"/>
        <v>0</v>
      </c>
      <c r="CW37">
        <f t="shared" si="81"/>
        <v>0</v>
      </c>
      <c r="CX37">
        <f t="shared" si="82"/>
        <v>0</v>
      </c>
      <c r="DT37" s="77"/>
      <c r="DU37" s="8" t="str">
        <f t="shared" si="14"/>
        <v>AAAAAAAAA</v>
      </c>
      <c r="DV37" s="8" t="str">
        <f t="shared" si="15"/>
        <v/>
      </c>
      <c r="DW37" s="8" t="str">
        <f t="shared" si="16"/>
        <v/>
      </c>
      <c r="DX37">
        <f t="shared" si="17"/>
        <v>0</v>
      </c>
      <c r="DY37">
        <f t="shared" si="17"/>
        <v>0</v>
      </c>
      <c r="EA37" t="str">
        <f t="shared" si="18"/>
        <v>AAAAAAAAA</v>
      </c>
      <c r="EB37" t="str">
        <f t="shared" si="19"/>
        <v/>
      </c>
      <c r="EC37" t="str">
        <f t="shared" si="20"/>
        <v/>
      </c>
      <c r="ED37">
        <f t="shared" si="21"/>
        <v>0</v>
      </c>
      <c r="EE37">
        <f t="shared" si="21"/>
        <v>0</v>
      </c>
      <c r="EG37" s="8" t="str">
        <f t="shared" si="22"/>
        <v>AAAAAAAAA</v>
      </c>
      <c r="EH37" s="8" t="str">
        <f t="shared" si="23"/>
        <v/>
      </c>
      <c r="EI37" s="8" t="str">
        <f t="shared" si="24"/>
        <v/>
      </c>
      <c r="EJ37">
        <f t="shared" si="25"/>
        <v>0</v>
      </c>
      <c r="EK37">
        <f t="shared" si="25"/>
        <v>0</v>
      </c>
      <c r="EM37" s="8" t="str">
        <f t="shared" si="26"/>
        <v>AAAAAAAAA</v>
      </c>
      <c r="EN37" s="8" t="str">
        <f t="shared" si="27"/>
        <v/>
      </c>
      <c r="EO37" s="8" t="str">
        <f t="shared" si="28"/>
        <v/>
      </c>
      <c r="EP37">
        <f t="shared" si="29"/>
        <v>0</v>
      </c>
      <c r="EQ37">
        <f t="shared" si="29"/>
        <v>0</v>
      </c>
      <c r="ES37" s="8" t="str">
        <f t="shared" si="30"/>
        <v>AAAAAAAAA</v>
      </c>
      <c r="ET37" s="8" t="str">
        <f t="shared" si="31"/>
        <v/>
      </c>
      <c r="EU37" s="8" t="str">
        <f t="shared" si="32"/>
        <v/>
      </c>
      <c r="EV37">
        <f t="shared" si="33"/>
        <v>0</v>
      </c>
      <c r="EW37">
        <f t="shared" si="33"/>
        <v>0</v>
      </c>
      <c r="EY37" s="8" t="str">
        <f>Hidden!$CG31</f>
        <v/>
      </c>
      <c r="EZ37">
        <f t="shared" si="34"/>
        <v>0</v>
      </c>
      <c r="FA37">
        <f t="shared" si="35"/>
        <v>0</v>
      </c>
      <c r="FB37">
        <f t="shared" si="36"/>
        <v>0</v>
      </c>
      <c r="FC37">
        <f t="shared" si="37"/>
        <v>0</v>
      </c>
      <c r="FD37">
        <f t="shared" si="38"/>
        <v>0</v>
      </c>
      <c r="FE37">
        <f t="shared" si="39"/>
        <v>0</v>
      </c>
      <c r="FF37">
        <f t="shared" si="40"/>
        <v>0</v>
      </c>
      <c r="FG37">
        <f t="shared" si="41"/>
        <v>0</v>
      </c>
      <c r="FH37">
        <f t="shared" si="42"/>
        <v>0</v>
      </c>
      <c r="FI37">
        <f t="shared" si="43"/>
        <v>0</v>
      </c>
      <c r="GH37">
        <f>IF(OR(GI37=0,ISNUMBER(MATCH(GI37,$GI$2:GI36,0))),0,MAX($GH$2:GH36)+1)</f>
        <v>0</v>
      </c>
      <c r="GI37">
        <f t="shared" si="85"/>
        <v>0</v>
      </c>
      <c r="GL37">
        <f>IF(OR(GM37=0,ISNUMBER(MATCH(GM37,$GM$2:GM36,0))),0,MAX($GL$2:GL36)+1)</f>
        <v>0</v>
      </c>
      <c r="GM37">
        <f t="shared" si="86"/>
        <v>0</v>
      </c>
    </row>
    <row r="38" spans="1:195" ht="28.5" x14ac:dyDescent="0.2">
      <c r="A38" s="8" t="str">
        <f>Tank1!A52</f>
        <v>AAAAAAAAA</v>
      </c>
      <c r="B38" s="8" t="str">
        <f>Tank1!E52</f>
        <v/>
      </c>
      <c r="C38" s="8" t="str">
        <f>Tank1!F52</f>
        <v/>
      </c>
      <c r="D38" s="8">
        <f t="shared" si="48"/>
        <v>0</v>
      </c>
      <c r="E38" s="8">
        <f t="shared" si="48"/>
        <v>0</v>
      </c>
      <c r="G38" s="8" t="str">
        <f>Tank2!A52</f>
        <v>AAAAAAAAA</v>
      </c>
      <c r="H38" s="8" t="str">
        <f>Tank2!E52</f>
        <v/>
      </c>
      <c r="I38" s="8" t="str">
        <f>Tank2!F52</f>
        <v/>
      </c>
      <c r="J38">
        <f t="shared" si="49"/>
        <v>0</v>
      </c>
      <c r="K38">
        <f t="shared" si="49"/>
        <v>0</v>
      </c>
      <c r="M38" s="8" t="str">
        <f>Tank3!A52</f>
        <v>AAAAAAAAA</v>
      </c>
      <c r="N38" s="8" t="str">
        <f>Tank3!E52</f>
        <v/>
      </c>
      <c r="O38" s="8" t="str">
        <f>Tank3!F52</f>
        <v/>
      </c>
      <c r="P38">
        <f t="shared" si="50"/>
        <v>0</v>
      </c>
      <c r="Q38">
        <f t="shared" si="50"/>
        <v>0</v>
      </c>
      <c r="S38" s="8" t="str">
        <f>Tank4!A52</f>
        <v>AAAAAAAAA</v>
      </c>
      <c r="T38" s="8" t="str">
        <f>Tank4!E52</f>
        <v/>
      </c>
      <c r="U38" s="8" t="str">
        <f>Tank4!F52</f>
        <v/>
      </c>
      <c r="V38">
        <f t="shared" si="51"/>
        <v>0</v>
      </c>
      <c r="W38">
        <f t="shared" si="51"/>
        <v>0</v>
      </c>
      <c r="Y38" s="8" t="str">
        <f>Tank5!A52</f>
        <v>AAAAAAAAA</v>
      </c>
      <c r="Z38" s="8" t="str">
        <f>Tank5!E52</f>
        <v/>
      </c>
      <c r="AA38" s="8" t="str">
        <f>Tank5!F52</f>
        <v/>
      </c>
      <c r="AB38">
        <f t="shared" si="52"/>
        <v>0</v>
      </c>
      <c r="AC38">
        <f t="shared" si="52"/>
        <v>0</v>
      </c>
      <c r="AE38" s="8" t="str">
        <f>Hidden!CC21</f>
        <v/>
      </c>
      <c r="AF38">
        <f t="shared" si="53"/>
        <v>0</v>
      </c>
      <c r="AG38">
        <f t="shared" si="54"/>
        <v>0</v>
      </c>
      <c r="AH38">
        <f t="shared" si="55"/>
        <v>0</v>
      </c>
      <c r="AI38">
        <f t="shared" si="56"/>
        <v>0</v>
      </c>
      <c r="AJ38">
        <f t="shared" si="57"/>
        <v>0</v>
      </c>
      <c r="AK38">
        <f t="shared" si="58"/>
        <v>0</v>
      </c>
      <c r="AL38">
        <f t="shared" si="59"/>
        <v>0</v>
      </c>
      <c r="AM38">
        <f t="shared" si="60"/>
        <v>0</v>
      </c>
      <c r="AN38">
        <f t="shared" si="61"/>
        <v>0</v>
      </c>
      <c r="AO38">
        <f t="shared" si="62"/>
        <v>0</v>
      </c>
      <c r="BJ38" s="8" t="str">
        <f>Tank1!A52</f>
        <v>AAAAAAAAA</v>
      </c>
      <c r="BK38" s="8" t="str">
        <f>Tank1!E52</f>
        <v/>
      </c>
      <c r="BL38" s="8" t="str">
        <f>Tank1!F52</f>
        <v/>
      </c>
      <c r="BM38" s="8">
        <f t="shared" si="63"/>
        <v>0</v>
      </c>
      <c r="BN38" s="8">
        <f t="shared" si="64"/>
        <v>0</v>
      </c>
      <c r="BO38" s="8"/>
      <c r="BP38" s="8" t="str">
        <f>Tank2!A52</f>
        <v>AAAAAAAAA</v>
      </c>
      <c r="BQ38" s="8" t="str">
        <f>Tank2!E52</f>
        <v/>
      </c>
      <c r="BR38" s="8" t="str">
        <f>Tank2!F52</f>
        <v/>
      </c>
      <c r="BS38" s="8">
        <f t="shared" si="65"/>
        <v>0</v>
      </c>
      <c r="BT38" s="8">
        <f t="shared" si="66"/>
        <v>0</v>
      </c>
      <c r="BU38" s="8"/>
      <c r="BV38" s="8" t="str">
        <f>Tank3!A52</f>
        <v>AAAAAAAAA</v>
      </c>
      <c r="BW38" s="8" t="str">
        <f>Tank3!E52</f>
        <v/>
      </c>
      <c r="BX38" s="8" t="str">
        <f>Tank3!F52</f>
        <v/>
      </c>
      <c r="BY38" s="8">
        <f t="shared" si="67"/>
        <v>0</v>
      </c>
      <c r="BZ38" s="8">
        <f t="shared" si="68"/>
        <v>0</v>
      </c>
      <c r="CA38" s="8"/>
      <c r="CB38" s="8" t="str">
        <f>Tank4!A52</f>
        <v>AAAAAAAAA</v>
      </c>
      <c r="CC38" s="8" t="str">
        <f>Tank4!E52</f>
        <v/>
      </c>
      <c r="CD38" s="8" t="str">
        <f>Tank4!F52</f>
        <v/>
      </c>
      <c r="CE38" s="8">
        <f t="shared" si="69"/>
        <v>0</v>
      </c>
      <c r="CF38" s="8">
        <f t="shared" si="70"/>
        <v>0</v>
      </c>
      <c r="CH38" s="8" t="str">
        <f>Tank5!A52</f>
        <v>AAAAAAAAA</v>
      </c>
      <c r="CI38" s="8" t="str">
        <f>Tank5!E52</f>
        <v/>
      </c>
      <c r="CJ38" s="8" t="str">
        <f>Tank5!F52</f>
        <v/>
      </c>
      <c r="CK38" s="8">
        <f t="shared" si="71"/>
        <v>0</v>
      </c>
      <c r="CL38" s="8">
        <f t="shared" si="72"/>
        <v>0</v>
      </c>
      <c r="CN38" s="8" t="str">
        <f>Hidden!$CC21</f>
        <v/>
      </c>
      <c r="CO38">
        <f t="shared" si="73"/>
        <v>0</v>
      </c>
      <c r="CP38">
        <f t="shared" si="74"/>
        <v>0</v>
      </c>
      <c r="CQ38">
        <f t="shared" si="75"/>
        <v>0</v>
      </c>
      <c r="CR38">
        <f t="shared" si="76"/>
        <v>0</v>
      </c>
      <c r="CS38">
        <f t="shared" si="77"/>
        <v>0</v>
      </c>
      <c r="CT38">
        <f t="shared" si="78"/>
        <v>0</v>
      </c>
      <c r="CU38">
        <f t="shared" si="79"/>
        <v>0</v>
      </c>
      <c r="CV38">
        <f t="shared" si="80"/>
        <v>0</v>
      </c>
      <c r="CW38">
        <f t="shared" si="81"/>
        <v>0</v>
      </c>
      <c r="CX38">
        <f t="shared" si="82"/>
        <v>0</v>
      </c>
      <c r="DT38" s="77"/>
      <c r="DU38" s="8" t="str">
        <f t="shared" si="14"/>
        <v>AAAAAAAAAA</v>
      </c>
      <c r="DV38" s="8" t="str">
        <f t="shared" si="15"/>
        <v/>
      </c>
      <c r="DW38" s="8" t="str">
        <f t="shared" si="16"/>
        <v/>
      </c>
      <c r="DX38">
        <f t="shared" si="17"/>
        <v>0</v>
      </c>
      <c r="DY38">
        <f t="shared" si="17"/>
        <v>0</v>
      </c>
      <c r="EA38" t="str">
        <f t="shared" si="18"/>
        <v>AAAAAAAAAA</v>
      </c>
      <c r="EB38" t="str">
        <f t="shared" si="19"/>
        <v/>
      </c>
      <c r="EC38" t="str">
        <f t="shared" si="20"/>
        <v/>
      </c>
      <c r="ED38">
        <f t="shared" si="21"/>
        <v>0</v>
      </c>
      <c r="EE38">
        <f t="shared" si="21"/>
        <v>0</v>
      </c>
      <c r="EG38" s="8" t="str">
        <f t="shared" si="22"/>
        <v>AAAAAAAAAA</v>
      </c>
      <c r="EH38" s="8" t="str">
        <f t="shared" si="23"/>
        <v/>
      </c>
      <c r="EI38" s="8" t="str">
        <f t="shared" si="24"/>
        <v/>
      </c>
      <c r="EJ38">
        <f t="shared" si="25"/>
        <v>0</v>
      </c>
      <c r="EK38">
        <f t="shared" si="25"/>
        <v>0</v>
      </c>
      <c r="EM38" s="8" t="str">
        <f t="shared" si="26"/>
        <v>AAAAAAAAAA</v>
      </c>
      <c r="EN38" s="8" t="str">
        <f t="shared" si="27"/>
        <v/>
      </c>
      <c r="EO38" s="8" t="str">
        <f t="shared" si="28"/>
        <v/>
      </c>
      <c r="EP38">
        <f t="shared" si="29"/>
        <v>0</v>
      </c>
      <c r="EQ38">
        <f t="shared" si="29"/>
        <v>0</v>
      </c>
      <c r="ES38" s="8" t="str">
        <f t="shared" si="30"/>
        <v>AAAAAAAAAA</v>
      </c>
      <c r="ET38" s="8" t="str">
        <f t="shared" si="31"/>
        <v/>
      </c>
      <c r="EU38" s="8" t="str">
        <f t="shared" si="32"/>
        <v/>
      </c>
      <c r="EV38">
        <f t="shared" si="33"/>
        <v>0</v>
      </c>
      <c r="EW38">
        <f t="shared" si="33"/>
        <v>0</v>
      </c>
      <c r="EY38" s="8" t="str">
        <f>Hidden!$CG32</f>
        <v/>
      </c>
      <c r="EZ38">
        <f t="shared" si="34"/>
        <v>0</v>
      </c>
      <c r="FA38">
        <f t="shared" si="35"/>
        <v>0</v>
      </c>
      <c r="FB38">
        <f t="shared" si="36"/>
        <v>0</v>
      </c>
      <c r="FC38">
        <f t="shared" si="37"/>
        <v>0</v>
      </c>
      <c r="FD38">
        <f t="shared" si="38"/>
        <v>0</v>
      </c>
      <c r="FE38">
        <f t="shared" si="39"/>
        <v>0</v>
      </c>
      <c r="FF38">
        <f t="shared" si="40"/>
        <v>0</v>
      </c>
      <c r="FG38">
        <f t="shared" si="41"/>
        <v>0</v>
      </c>
      <c r="FH38">
        <f t="shared" si="42"/>
        <v>0</v>
      </c>
      <c r="FI38">
        <f t="shared" si="43"/>
        <v>0</v>
      </c>
      <c r="GH38">
        <f>IF(OR(GI38=0,ISNUMBER(MATCH(GI38,$GI$2:GI37,0))),0,MAX($GH$2:GH37)+1)</f>
        <v>0</v>
      </c>
      <c r="GI38">
        <f t="shared" si="85"/>
        <v>0</v>
      </c>
      <c r="GL38">
        <f>IF(OR(GM38=0,ISNUMBER(MATCH(GM38,$GM$2:GM37,0))),0,MAX($GL$2:GL37)+1)</f>
        <v>0</v>
      </c>
      <c r="GM38">
        <f t="shared" si="86"/>
        <v>0</v>
      </c>
    </row>
    <row r="39" spans="1:195" x14ac:dyDescent="0.2">
      <c r="A39" s="8" t="str">
        <f>Tank1!A53</f>
        <v>AAAAAAAAAA</v>
      </c>
      <c r="B39" s="8" t="str">
        <f>Tank1!E53</f>
        <v/>
      </c>
      <c r="C39" s="8" t="str">
        <f>Tank1!F53</f>
        <v/>
      </c>
      <c r="D39" s="8">
        <f t="shared" si="48"/>
        <v>0</v>
      </c>
      <c r="E39" s="8">
        <f t="shared" si="48"/>
        <v>0</v>
      </c>
      <c r="G39" s="8" t="str">
        <f>Tank2!A53</f>
        <v>AAAAAAAAAA</v>
      </c>
      <c r="H39" s="8" t="str">
        <f>Tank2!E53</f>
        <v/>
      </c>
      <c r="I39" s="8" t="str">
        <f>Tank2!F53</f>
        <v/>
      </c>
      <c r="J39">
        <f t="shared" si="49"/>
        <v>0</v>
      </c>
      <c r="K39">
        <f t="shared" si="49"/>
        <v>0</v>
      </c>
      <c r="M39" s="8" t="str">
        <f>Tank3!A53</f>
        <v>AAAAAAAAAA</v>
      </c>
      <c r="N39" s="8" t="str">
        <f>Tank3!E53</f>
        <v/>
      </c>
      <c r="O39" s="8" t="str">
        <f>Tank3!F53</f>
        <v/>
      </c>
      <c r="P39">
        <f t="shared" si="50"/>
        <v>0</v>
      </c>
      <c r="Q39">
        <f t="shared" si="50"/>
        <v>0</v>
      </c>
      <c r="S39" s="8" t="str">
        <f>Tank4!A53</f>
        <v>AAAAAAAAAA</v>
      </c>
      <c r="T39" s="8" t="str">
        <f>Tank4!E53</f>
        <v/>
      </c>
      <c r="U39" s="8" t="str">
        <f>Tank4!F53</f>
        <v/>
      </c>
      <c r="V39">
        <f t="shared" si="51"/>
        <v>0</v>
      </c>
      <c r="W39">
        <f t="shared" si="51"/>
        <v>0</v>
      </c>
      <c r="Y39" s="8" t="str">
        <f>Tank5!A53</f>
        <v>AAAAAAAAAA</v>
      </c>
      <c r="Z39" s="8" t="str">
        <f>Tank5!E53</f>
        <v/>
      </c>
      <c r="AA39" s="8" t="str">
        <f>Tank5!F53</f>
        <v/>
      </c>
      <c r="AB39">
        <f t="shared" si="52"/>
        <v>0</v>
      </c>
      <c r="AC39">
        <f t="shared" si="52"/>
        <v>0</v>
      </c>
      <c r="AE39" s="8" t="str">
        <f>Hidden!CC22</f>
        <v/>
      </c>
      <c r="AF39">
        <f t="shared" si="53"/>
        <v>0</v>
      </c>
      <c r="AG39">
        <f t="shared" si="54"/>
        <v>0</v>
      </c>
      <c r="AH39">
        <f t="shared" si="55"/>
        <v>0</v>
      </c>
      <c r="AI39">
        <f t="shared" si="56"/>
        <v>0</v>
      </c>
      <c r="AJ39">
        <f t="shared" si="57"/>
        <v>0</v>
      </c>
      <c r="AK39">
        <f t="shared" si="58"/>
        <v>0</v>
      </c>
      <c r="AL39">
        <f t="shared" si="59"/>
        <v>0</v>
      </c>
      <c r="AM39">
        <f t="shared" si="60"/>
        <v>0</v>
      </c>
      <c r="AN39">
        <f t="shared" si="61"/>
        <v>0</v>
      </c>
      <c r="AO39">
        <f t="shared" si="62"/>
        <v>0</v>
      </c>
      <c r="BJ39" s="8" t="str">
        <f>Tank1!A53</f>
        <v>AAAAAAAAAA</v>
      </c>
      <c r="BK39" s="8" t="str">
        <f>Tank1!E53</f>
        <v/>
      </c>
      <c r="BL39" s="8" t="str">
        <f>Tank1!F53</f>
        <v/>
      </c>
      <c r="BM39" s="8">
        <f t="shared" si="63"/>
        <v>0</v>
      </c>
      <c r="BN39" s="8">
        <f t="shared" si="64"/>
        <v>0</v>
      </c>
      <c r="BO39" s="8"/>
      <c r="BP39" s="8" t="str">
        <f>Tank2!A53</f>
        <v>AAAAAAAAAA</v>
      </c>
      <c r="BQ39" s="8" t="str">
        <f>Tank2!E53</f>
        <v/>
      </c>
      <c r="BR39" s="8" t="str">
        <f>Tank2!F53</f>
        <v/>
      </c>
      <c r="BS39" s="8">
        <f t="shared" si="65"/>
        <v>0</v>
      </c>
      <c r="BT39" s="8">
        <f t="shared" si="66"/>
        <v>0</v>
      </c>
      <c r="BU39" s="8"/>
      <c r="BV39" s="8" t="str">
        <f>Tank3!A53</f>
        <v>AAAAAAAAAA</v>
      </c>
      <c r="BW39" s="8" t="str">
        <f>Tank3!E53</f>
        <v/>
      </c>
      <c r="BX39" s="8" t="str">
        <f>Tank3!F53</f>
        <v/>
      </c>
      <c r="BY39" s="8">
        <f t="shared" si="67"/>
        <v>0</v>
      </c>
      <c r="BZ39" s="8">
        <f t="shared" si="68"/>
        <v>0</v>
      </c>
      <c r="CA39" s="8"/>
      <c r="CB39" s="8" t="str">
        <f>Tank4!A53</f>
        <v>AAAAAAAAAA</v>
      </c>
      <c r="CC39" s="8" t="str">
        <f>Tank4!E53</f>
        <v/>
      </c>
      <c r="CD39" s="8" t="str">
        <f>Tank4!F53</f>
        <v/>
      </c>
      <c r="CE39" s="8">
        <f t="shared" si="69"/>
        <v>0</v>
      </c>
      <c r="CF39" s="8">
        <f t="shared" si="70"/>
        <v>0</v>
      </c>
      <c r="CH39" s="8" t="str">
        <f>Tank5!A53</f>
        <v>AAAAAAAAAA</v>
      </c>
      <c r="CI39" s="8" t="str">
        <f>Tank5!E53</f>
        <v/>
      </c>
      <c r="CJ39" s="8" t="str">
        <f>Tank5!F53</f>
        <v/>
      </c>
      <c r="CK39" s="8">
        <f t="shared" si="71"/>
        <v>0</v>
      </c>
      <c r="CL39" s="8">
        <f t="shared" si="72"/>
        <v>0</v>
      </c>
      <c r="CN39" s="8" t="str">
        <f>Hidden!$CC22</f>
        <v/>
      </c>
      <c r="CO39">
        <f t="shared" si="73"/>
        <v>0</v>
      </c>
      <c r="CP39">
        <f t="shared" si="74"/>
        <v>0</v>
      </c>
      <c r="CQ39">
        <f t="shared" si="75"/>
        <v>0</v>
      </c>
      <c r="CR39">
        <f t="shared" si="76"/>
        <v>0</v>
      </c>
      <c r="CS39">
        <f t="shared" si="77"/>
        <v>0</v>
      </c>
      <c r="CT39">
        <f t="shared" si="78"/>
        <v>0</v>
      </c>
      <c r="CU39">
        <f t="shared" si="79"/>
        <v>0</v>
      </c>
      <c r="CV39">
        <f t="shared" si="80"/>
        <v>0</v>
      </c>
      <c r="CW39">
        <f t="shared" si="81"/>
        <v>0</v>
      </c>
      <c r="CX39">
        <f t="shared" si="82"/>
        <v>0</v>
      </c>
      <c r="DT39" s="77"/>
      <c r="DU39" s="8" t="str">
        <f t="shared" si="14"/>
        <v>A</v>
      </c>
      <c r="DV39" s="8" t="str">
        <f t="shared" si="15"/>
        <v/>
      </c>
      <c r="DW39" s="8" t="str">
        <f t="shared" si="16"/>
        <v/>
      </c>
      <c r="DX39">
        <f t="shared" si="17"/>
        <v>0</v>
      </c>
      <c r="DY39">
        <f t="shared" si="17"/>
        <v>0</v>
      </c>
      <c r="EA39" t="str">
        <f t="shared" si="18"/>
        <v>A</v>
      </c>
      <c r="EB39" t="str">
        <f t="shared" si="19"/>
        <v/>
      </c>
      <c r="EC39" t="str">
        <f t="shared" si="20"/>
        <v/>
      </c>
      <c r="ED39">
        <f t="shared" si="21"/>
        <v>0</v>
      </c>
      <c r="EE39">
        <f t="shared" si="21"/>
        <v>0</v>
      </c>
      <c r="EG39" s="8" t="str">
        <f t="shared" si="22"/>
        <v>A</v>
      </c>
      <c r="EH39" s="8" t="str">
        <f t="shared" si="23"/>
        <v/>
      </c>
      <c r="EI39" s="8" t="str">
        <f t="shared" si="24"/>
        <v/>
      </c>
      <c r="EJ39">
        <f t="shared" si="25"/>
        <v>0</v>
      </c>
      <c r="EK39">
        <f t="shared" si="25"/>
        <v>0</v>
      </c>
      <c r="EM39" s="8" t="str">
        <f t="shared" si="26"/>
        <v>A</v>
      </c>
      <c r="EN39" s="8" t="str">
        <f t="shared" si="27"/>
        <v/>
      </c>
      <c r="EO39" s="8" t="str">
        <f t="shared" si="28"/>
        <v/>
      </c>
      <c r="EP39">
        <f t="shared" si="29"/>
        <v>0</v>
      </c>
      <c r="EQ39">
        <f t="shared" si="29"/>
        <v>0</v>
      </c>
      <c r="ES39" s="8" t="str">
        <f t="shared" si="30"/>
        <v>A</v>
      </c>
      <c r="ET39" s="8" t="str">
        <f t="shared" si="31"/>
        <v/>
      </c>
      <c r="EU39" s="8" t="str">
        <f t="shared" si="32"/>
        <v/>
      </c>
      <c r="EV39">
        <f t="shared" si="33"/>
        <v>0</v>
      </c>
      <c r="EW39">
        <f t="shared" si="33"/>
        <v>0</v>
      </c>
      <c r="EY39" s="8" t="str">
        <f>Hidden!$CG33</f>
        <v/>
      </c>
      <c r="EZ39">
        <f t="shared" si="34"/>
        <v>0</v>
      </c>
      <c r="FA39">
        <f t="shared" si="35"/>
        <v>0</v>
      </c>
      <c r="FB39">
        <f t="shared" si="36"/>
        <v>0</v>
      </c>
      <c r="FC39">
        <f t="shared" si="37"/>
        <v>0</v>
      </c>
      <c r="FD39">
        <f t="shared" si="38"/>
        <v>0</v>
      </c>
      <c r="FE39">
        <f t="shared" si="39"/>
        <v>0</v>
      </c>
      <c r="FF39">
        <f t="shared" si="40"/>
        <v>0</v>
      </c>
      <c r="FG39">
        <f t="shared" si="41"/>
        <v>0</v>
      </c>
      <c r="FH39">
        <f t="shared" si="42"/>
        <v>0</v>
      </c>
      <c r="FI39">
        <f t="shared" si="43"/>
        <v>0</v>
      </c>
      <c r="GH39">
        <f>IF(OR(GI39=0,ISNUMBER(MATCH(GI39,$GI$2:GI38,0))),0,MAX($GH$2:GH38)+1)</f>
        <v>0</v>
      </c>
      <c r="GI39">
        <f t="shared" si="85"/>
        <v>0</v>
      </c>
      <c r="GL39">
        <f>IF(OR(GM39=0,ISNUMBER(MATCH(GM39,$GM$2:GM38,0))),0,MAX($GL$2:GL38)+1)</f>
        <v>0</v>
      </c>
      <c r="GM39">
        <f t="shared" si="86"/>
        <v>0</v>
      </c>
    </row>
    <row r="40" spans="1:195" x14ac:dyDescent="0.2">
      <c r="A40" s="8" t="str">
        <f>Tank1!A55</f>
        <v>A</v>
      </c>
      <c r="B40" s="8" t="str">
        <f>Tank1!E55</f>
        <v/>
      </c>
      <c r="C40" s="8" t="str">
        <f>Tank1!F55</f>
        <v/>
      </c>
      <c r="D40" s="8">
        <f t="shared" si="48"/>
        <v>0</v>
      </c>
      <c r="E40" s="8">
        <f t="shared" si="48"/>
        <v>0</v>
      </c>
      <c r="G40" s="8" t="str">
        <f>Tank2!A55</f>
        <v>A</v>
      </c>
      <c r="H40" s="8" t="str">
        <f>Tank2!E55</f>
        <v/>
      </c>
      <c r="I40" s="8" t="str">
        <f>Tank2!F55</f>
        <v/>
      </c>
      <c r="J40">
        <f t="shared" si="49"/>
        <v>0</v>
      </c>
      <c r="K40">
        <f t="shared" si="49"/>
        <v>0</v>
      </c>
      <c r="M40" s="8" t="str">
        <f>Tank3!A55</f>
        <v>A</v>
      </c>
      <c r="N40" s="8" t="str">
        <f>Tank3!E55</f>
        <v/>
      </c>
      <c r="O40" s="8" t="str">
        <f>Tank3!F55</f>
        <v/>
      </c>
      <c r="P40">
        <f t="shared" si="50"/>
        <v>0</v>
      </c>
      <c r="Q40">
        <f t="shared" si="50"/>
        <v>0</v>
      </c>
      <c r="S40" s="8" t="str">
        <f>Tank4!A55</f>
        <v>A</v>
      </c>
      <c r="T40" s="8" t="str">
        <f>Tank4!E55</f>
        <v/>
      </c>
      <c r="U40" s="8" t="str">
        <f>Tank4!F55</f>
        <v/>
      </c>
      <c r="V40">
        <f t="shared" si="51"/>
        <v>0</v>
      </c>
      <c r="W40">
        <f t="shared" si="51"/>
        <v>0</v>
      </c>
      <c r="Y40" s="8" t="str">
        <f>Tank5!A55</f>
        <v>A</v>
      </c>
      <c r="Z40" s="8" t="str">
        <f>Tank5!E55</f>
        <v/>
      </c>
      <c r="AA40" s="8" t="str">
        <f>Tank5!F55</f>
        <v/>
      </c>
      <c r="AB40">
        <f t="shared" si="52"/>
        <v>0</v>
      </c>
      <c r="AC40">
        <f t="shared" si="52"/>
        <v>0</v>
      </c>
      <c r="AE40" s="8" t="str">
        <f>Hidden!CC23</f>
        <v/>
      </c>
      <c r="AF40">
        <f t="shared" si="53"/>
        <v>0</v>
      </c>
      <c r="AG40">
        <f t="shared" si="54"/>
        <v>0</v>
      </c>
      <c r="AH40">
        <f t="shared" si="55"/>
        <v>0</v>
      </c>
      <c r="AI40">
        <f t="shared" si="56"/>
        <v>0</v>
      </c>
      <c r="AJ40">
        <f t="shared" si="57"/>
        <v>0</v>
      </c>
      <c r="AK40">
        <f t="shared" si="58"/>
        <v>0</v>
      </c>
      <c r="AL40">
        <f t="shared" si="59"/>
        <v>0</v>
      </c>
      <c r="AM40">
        <f t="shared" si="60"/>
        <v>0</v>
      </c>
      <c r="AN40">
        <f t="shared" si="61"/>
        <v>0</v>
      </c>
      <c r="AO40">
        <f t="shared" si="62"/>
        <v>0</v>
      </c>
      <c r="BJ40" s="8" t="str">
        <f>Tank1!A55</f>
        <v>A</v>
      </c>
      <c r="BK40" s="8" t="str">
        <f>Tank1!E55</f>
        <v/>
      </c>
      <c r="BL40" s="8" t="str">
        <f>Tank1!F55</f>
        <v/>
      </c>
      <c r="BM40" s="8">
        <f t="shared" si="63"/>
        <v>0</v>
      </c>
      <c r="BN40" s="8">
        <f t="shared" si="64"/>
        <v>0</v>
      </c>
      <c r="BO40" s="8"/>
      <c r="BP40" s="8" t="str">
        <f>Tank2!A55</f>
        <v>A</v>
      </c>
      <c r="BQ40" s="8" t="str">
        <f>Tank2!E55</f>
        <v/>
      </c>
      <c r="BR40" s="8" t="str">
        <f>Tank2!F55</f>
        <v/>
      </c>
      <c r="BS40" s="8">
        <f t="shared" si="65"/>
        <v>0</v>
      </c>
      <c r="BT40" s="8">
        <f t="shared" si="66"/>
        <v>0</v>
      </c>
      <c r="BU40" s="8"/>
      <c r="BV40" s="8" t="str">
        <f>Tank3!A55</f>
        <v>A</v>
      </c>
      <c r="BW40" s="8" t="str">
        <f>Tank3!E55</f>
        <v/>
      </c>
      <c r="BX40" s="8" t="str">
        <f>Tank3!F55</f>
        <v/>
      </c>
      <c r="BY40" s="8">
        <f t="shared" si="67"/>
        <v>0</v>
      </c>
      <c r="BZ40" s="8">
        <f t="shared" si="68"/>
        <v>0</v>
      </c>
      <c r="CA40" s="8"/>
      <c r="CB40" s="8" t="str">
        <f>Tank4!A55</f>
        <v>A</v>
      </c>
      <c r="CC40" s="8" t="str">
        <f>Tank4!E55</f>
        <v/>
      </c>
      <c r="CD40" s="8" t="str">
        <f>Tank4!F55</f>
        <v/>
      </c>
      <c r="CE40" s="8">
        <f t="shared" si="69"/>
        <v>0</v>
      </c>
      <c r="CF40" s="8">
        <f t="shared" si="70"/>
        <v>0</v>
      </c>
      <c r="CH40" s="8" t="str">
        <f>Tank5!A55</f>
        <v>A</v>
      </c>
      <c r="CI40" s="8" t="str">
        <f>Tank5!E55</f>
        <v/>
      </c>
      <c r="CJ40" s="8" t="str">
        <f>Tank5!F55</f>
        <v/>
      </c>
      <c r="CK40" s="8">
        <f t="shared" si="71"/>
        <v>0</v>
      </c>
      <c r="CL40" s="8">
        <f t="shared" si="72"/>
        <v>0</v>
      </c>
      <c r="CN40" s="8" t="str">
        <f>Hidden!$CC23</f>
        <v/>
      </c>
      <c r="CO40">
        <f t="shared" si="73"/>
        <v>0</v>
      </c>
      <c r="CP40">
        <f t="shared" si="74"/>
        <v>0</v>
      </c>
      <c r="CQ40">
        <f t="shared" si="75"/>
        <v>0</v>
      </c>
      <c r="CR40">
        <f t="shared" si="76"/>
        <v>0</v>
      </c>
      <c r="CS40">
        <f t="shared" si="77"/>
        <v>0</v>
      </c>
      <c r="CT40">
        <f t="shared" si="78"/>
        <v>0</v>
      </c>
      <c r="CU40">
        <f t="shared" si="79"/>
        <v>0</v>
      </c>
      <c r="CV40">
        <f t="shared" si="80"/>
        <v>0</v>
      </c>
      <c r="CW40">
        <f t="shared" si="81"/>
        <v>0</v>
      </c>
      <c r="CX40">
        <f t="shared" si="82"/>
        <v>0</v>
      </c>
      <c r="DT40" s="77"/>
      <c r="DU40" s="8" t="str">
        <f t="shared" si="14"/>
        <v>AA</v>
      </c>
      <c r="DV40" s="8" t="str">
        <f t="shared" si="15"/>
        <v/>
      </c>
      <c r="DW40" s="8" t="str">
        <f t="shared" si="16"/>
        <v/>
      </c>
      <c r="DX40">
        <f t="shared" si="17"/>
        <v>0</v>
      </c>
      <c r="DY40">
        <f t="shared" si="17"/>
        <v>0</v>
      </c>
      <c r="EA40" t="str">
        <f t="shared" si="18"/>
        <v>AA</v>
      </c>
      <c r="EB40" t="str">
        <f t="shared" si="19"/>
        <v/>
      </c>
      <c r="EC40" t="str">
        <f t="shared" si="20"/>
        <v/>
      </c>
      <c r="ED40">
        <f t="shared" si="21"/>
        <v>0</v>
      </c>
      <c r="EE40">
        <f t="shared" si="21"/>
        <v>0</v>
      </c>
      <c r="EG40" s="8" t="str">
        <f t="shared" si="22"/>
        <v>AA</v>
      </c>
      <c r="EH40" s="8" t="str">
        <f t="shared" si="23"/>
        <v/>
      </c>
      <c r="EI40" s="8" t="str">
        <f t="shared" si="24"/>
        <v/>
      </c>
      <c r="EJ40">
        <f t="shared" si="25"/>
        <v>0</v>
      </c>
      <c r="EK40">
        <f t="shared" si="25"/>
        <v>0</v>
      </c>
      <c r="EM40" s="8" t="str">
        <f t="shared" si="26"/>
        <v>AA</v>
      </c>
      <c r="EN40" s="8" t="str">
        <f t="shared" si="27"/>
        <v/>
      </c>
      <c r="EO40" s="8" t="str">
        <f t="shared" si="28"/>
        <v/>
      </c>
      <c r="EP40">
        <f t="shared" si="29"/>
        <v>0</v>
      </c>
      <c r="EQ40">
        <f t="shared" si="29"/>
        <v>0</v>
      </c>
      <c r="ES40" s="8" t="str">
        <f t="shared" si="30"/>
        <v>AA</v>
      </c>
      <c r="ET40" s="8" t="str">
        <f t="shared" si="31"/>
        <v/>
      </c>
      <c r="EU40" s="8" t="str">
        <f t="shared" si="32"/>
        <v/>
      </c>
      <c r="EV40">
        <f t="shared" si="33"/>
        <v>0</v>
      </c>
      <c r="EW40">
        <f t="shared" si="33"/>
        <v>0</v>
      </c>
      <c r="EY40" s="8" t="str">
        <f>Hidden!$CG34</f>
        <v/>
      </c>
      <c r="EZ40">
        <f t="shared" si="34"/>
        <v>0</v>
      </c>
      <c r="FA40">
        <f t="shared" si="35"/>
        <v>0</v>
      </c>
      <c r="FB40">
        <f t="shared" si="36"/>
        <v>0</v>
      </c>
      <c r="FC40">
        <f t="shared" si="37"/>
        <v>0</v>
      </c>
      <c r="FD40">
        <f t="shared" si="38"/>
        <v>0</v>
      </c>
      <c r="FE40">
        <f t="shared" si="39"/>
        <v>0</v>
      </c>
      <c r="FF40">
        <f t="shared" si="40"/>
        <v>0</v>
      </c>
      <c r="FG40">
        <f t="shared" si="41"/>
        <v>0</v>
      </c>
      <c r="FH40">
        <f t="shared" si="42"/>
        <v>0</v>
      </c>
      <c r="FI40">
        <f t="shared" si="43"/>
        <v>0</v>
      </c>
      <c r="GH40">
        <f>IF(OR(GI40=0,ISNUMBER(MATCH(GI40,$GI$2:GI39,0))),0,MAX($GH$2:GH39)+1)</f>
        <v>0</v>
      </c>
      <c r="GI40">
        <f t="shared" si="85"/>
        <v>0</v>
      </c>
      <c r="GL40">
        <f>IF(OR(GM40=0,ISNUMBER(MATCH(GM40,$GM$2:GM39,0))),0,MAX($GL$2:GL39)+1)</f>
        <v>0</v>
      </c>
      <c r="GM40">
        <f t="shared" si="86"/>
        <v>0</v>
      </c>
    </row>
    <row r="41" spans="1:195" x14ac:dyDescent="0.2">
      <c r="A41" s="8" t="str">
        <f>Tank1!A56</f>
        <v>AA</v>
      </c>
      <c r="B41" s="8" t="str">
        <f>Tank1!E56</f>
        <v/>
      </c>
      <c r="C41" s="8" t="str">
        <f>Tank1!F56</f>
        <v/>
      </c>
      <c r="D41" s="8">
        <f t="shared" si="48"/>
        <v>0</v>
      </c>
      <c r="E41" s="8">
        <f t="shared" si="48"/>
        <v>0</v>
      </c>
      <c r="G41" s="8" t="str">
        <f>Tank2!A56</f>
        <v>AA</v>
      </c>
      <c r="H41" s="8" t="str">
        <f>Tank2!E56</f>
        <v/>
      </c>
      <c r="I41" s="8" t="str">
        <f>Tank2!F56</f>
        <v/>
      </c>
      <c r="J41">
        <f t="shared" si="49"/>
        <v>0</v>
      </c>
      <c r="K41">
        <f t="shared" si="49"/>
        <v>0</v>
      </c>
      <c r="M41" s="8" t="str">
        <f>Tank3!A56</f>
        <v>AA</v>
      </c>
      <c r="N41" s="8" t="str">
        <f>Tank3!E56</f>
        <v/>
      </c>
      <c r="O41" s="8" t="str">
        <f>Tank3!F56</f>
        <v/>
      </c>
      <c r="P41">
        <f t="shared" si="50"/>
        <v>0</v>
      </c>
      <c r="Q41">
        <f t="shared" si="50"/>
        <v>0</v>
      </c>
      <c r="S41" s="8" t="str">
        <f>Tank4!A56</f>
        <v>AA</v>
      </c>
      <c r="T41" s="8" t="str">
        <f>Tank4!E56</f>
        <v/>
      </c>
      <c r="U41" s="8" t="str">
        <f>Tank4!F56</f>
        <v/>
      </c>
      <c r="V41">
        <f t="shared" si="51"/>
        <v>0</v>
      </c>
      <c r="W41">
        <f t="shared" si="51"/>
        <v>0</v>
      </c>
      <c r="Y41" s="8" t="str">
        <f>Tank5!A56</f>
        <v>AA</v>
      </c>
      <c r="Z41" s="8" t="str">
        <f>Tank5!E56</f>
        <v/>
      </c>
      <c r="AA41" s="8" t="str">
        <f>Tank5!F56</f>
        <v/>
      </c>
      <c r="AB41">
        <f t="shared" si="52"/>
        <v>0</v>
      </c>
      <c r="AC41">
        <f t="shared" si="52"/>
        <v>0</v>
      </c>
      <c r="AE41" s="8" t="str">
        <f>Hidden!CC24</f>
        <v/>
      </c>
      <c r="AF41">
        <f t="shared" si="53"/>
        <v>0</v>
      </c>
      <c r="AG41">
        <f t="shared" si="54"/>
        <v>0</v>
      </c>
      <c r="AH41">
        <f t="shared" si="55"/>
        <v>0</v>
      </c>
      <c r="AI41">
        <f t="shared" si="56"/>
        <v>0</v>
      </c>
      <c r="AJ41">
        <f t="shared" si="57"/>
        <v>0</v>
      </c>
      <c r="AK41">
        <f t="shared" si="58"/>
        <v>0</v>
      </c>
      <c r="AL41">
        <f t="shared" si="59"/>
        <v>0</v>
      </c>
      <c r="AM41">
        <f t="shared" si="60"/>
        <v>0</v>
      </c>
      <c r="AN41">
        <f t="shared" si="61"/>
        <v>0</v>
      </c>
      <c r="AO41">
        <f t="shared" si="62"/>
        <v>0</v>
      </c>
      <c r="BJ41" s="8" t="str">
        <f>Tank1!A56</f>
        <v>AA</v>
      </c>
      <c r="BK41" s="8" t="str">
        <f>Tank1!E56</f>
        <v/>
      </c>
      <c r="BL41" s="8" t="str">
        <f>Tank1!F56</f>
        <v/>
      </c>
      <c r="BM41" s="8">
        <f t="shared" si="63"/>
        <v>0</v>
      </c>
      <c r="BN41" s="8">
        <f t="shared" si="64"/>
        <v>0</v>
      </c>
      <c r="BO41" s="8"/>
      <c r="BP41" s="8" t="str">
        <f>Tank2!A56</f>
        <v>AA</v>
      </c>
      <c r="BQ41" s="8" t="str">
        <f>Tank2!E56</f>
        <v/>
      </c>
      <c r="BR41" s="8" t="str">
        <f>Tank2!F56</f>
        <v/>
      </c>
      <c r="BS41" s="8">
        <f t="shared" si="65"/>
        <v>0</v>
      </c>
      <c r="BT41" s="8">
        <f t="shared" si="66"/>
        <v>0</v>
      </c>
      <c r="BU41" s="8"/>
      <c r="BV41" s="8" t="str">
        <f>Tank3!A56</f>
        <v>AA</v>
      </c>
      <c r="BW41" s="8" t="str">
        <f>Tank3!E56</f>
        <v/>
      </c>
      <c r="BX41" s="8" t="str">
        <f>Tank3!F56</f>
        <v/>
      </c>
      <c r="BY41" s="8">
        <f t="shared" si="67"/>
        <v>0</v>
      </c>
      <c r="BZ41" s="8">
        <f t="shared" si="68"/>
        <v>0</v>
      </c>
      <c r="CA41" s="8"/>
      <c r="CB41" s="8" t="str">
        <f>Tank4!A56</f>
        <v>AA</v>
      </c>
      <c r="CC41" s="8" t="str">
        <f>Tank4!E56</f>
        <v/>
      </c>
      <c r="CD41" s="8" t="str">
        <f>Tank4!F56</f>
        <v/>
      </c>
      <c r="CE41" s="8">
        <f t="shared" si="69"/>
        <v>0</v>
      </c>
      <c r="CF41" s="8">
        <f t="shared" si="70"/>
        <v>0</v>
      </c>
      <c r="CH41" s="8" t="str">
        <f>Tank5!A56</f>
        <v>AA</v>
      </c>
      <c r="CI41" s="8" t="str">
        <f>Tank5!E56</f>
        <v/>
      </c>
      <c r="CJ41" s="8" t="str">
        <f>Tank5!F56</f>
        <v/>
      </c>
      <c r="CK41" s="8">
        <f t="shared" si="71"/>
        <v>0</v>
      </c>
      <c r="CL41" s="8">
        <f t="shared" si="72"/>
        <v>0</v>
      </c>
      <c r="CN41" s="8" t="str">
        <f>Hidden!$CC24</f>
        <v/>
      </c>
      <c r="CO41">
        <f t="shared" si="73"/>
        <v>0</v>
      </c>
      <c r="CP41">
        <f t="shared" si="74"/>
        <v>0</v>
      </c>
      <c r="CQ41">
        <f t="shared" si="75"/>
        <v>0</v>
      </c>
      <c r="CR41">
        <f t="shared" si="76"/>
        <v>0</v>
      </c>
      <c r="CS41">
        <f t="shared" si="77"/>
        <v>0</v>
      </c>
      <c r="CT41">
        <f t="shared" si="78"/>
        <v>0</v>
      </c>
      <c r="CU41">
        <f t="shared" si="79"/>
        <v>0</v>
      </c>
      <c r="CV41">
        <f t="shared" si="80"/>
        <v>0</v>
      </c>
      <c r="CW41">
        <f t="shared" si="81"/>
        <v>0</v>
      </c>
      <c r="CX41">
        <f t="shared" si="82"/>
        <v>0</v>
      </c>
      <c r="DT41" s="77"/>
      <c r="DU41" s="8" t="str">
        <f t="shared" si="14"/>
        <v>AAA</v>
      </c>
      <c r="DV41" s="8" t="str">
        <f t="shared" si="15"/>
        <v/>
      </c>
      <c r="DW41" s="8" t="str">
        <f t="shared" si="16"/>
        <v/>
      </c>
      <c r="DX41">
        <f t="shared" si="17"/>
        <v>0</v>
      </c>
      <c r="DY41">
        <f t="shared" si="17"/>
        <v>0</v>
      </c>
      <c r="EA41" t="str">
        <f t="shared" si="18"/>
        <v>AAA</v>
      </c>
      <c r="EB41" t="str">
        <f t="shared" si="19"/>
        <v/>
      </c>
      <c r="EC41" t="str">
        <f t="shared" si="20"/>
        <v/>
      </c>
      <c r="ED41">
        <f t="shared" si="21"/>
        <v>0</v>
      </c>
      <c r="EE41">
        <f t="shared" si="21"/>
        <v>0</v>
      </c>
      <c r="EG41" s="8" t="str">
        <f t="shared" si="22"/>
        <v>AAA</v>
      </c>
      <c r="EH41" s="8" t="str">
        <f t="shared" si="23"/>
        <v/>
      </c>
      <c r="EI41" s="8" t="str">
        <f t="shared" si="24"/>
        <v/>
      </c>
      <c r="EJ41">
        <f t="shared" si="25"/>
        <v>0</v>
      </c>
      <c r="EK41">
        <f t="shared" si="25"/>
        <v>0</v>
      </c>
      <c r="EM41" s="8" t="str">
        <f t="shared" si="26"/>
        <v>AAA</v>
      </c>
      <c r="EN41" s="8" t="str">
        <f t="shared" si="27"/>
        <v/>
      </c>
      <c r="EO41" s="8" t="str">
        <f t="shared" si="28"/>
        <v/>
      </c>
      <c r="EP41">
        <f t="shared" si="29"/>
        <v>0</v>
      </c>
      <c r="EQ41">
        <f t="shared" si="29"/>
        <v>0</v>
      </c>
      <c r="ES41" s="8" t="str">
        <f t="shared" si="30"/>
        <v>AAA</v>
      </c>
      <c r="ET41" s="8" t="str">
        <f t="shared" si="31"/>
        <v/>
      </c>
      <c r="EU41" s="8" t="str">
        <f t="shared" si="32"/>
        <v/>
      </c>
      <c r="EV41">
        <f t="shared" si="33"/>
        <v>0</v>
      </c>
      <c r="EW41">
        <f t="shared" si="33"/>
        <v>0</v>
      </c>
      <c r="EY41" s="8" t="str">
        <f>Hidden!$CG35</f>
        <v/>
      </c>
      <c r="EZ41">
        <f t="shared" si="34"/>
        <v>0</v>
      </c>
      <c r="FA41">
        <f t="shared" si="35"/>
        <v>0</v>
      </c>
      <c r="FB41">
        <f t="shared" si="36"/>
        <v>0</v>
      </c>
      <c r="FC41">
        <f t="shared" si="37"/>
        <v>0</v>
      </c>
      <c r="FD41">
        <f t="shared" si="38"/>
        <v>0</v>
      </c>
      <c r="FE41">
        <f t="shared" si="39"/>
        <v>0</v>
      </c>
      <c r="FF41">
        <f t="shared" si="40"/>
        <v>0</v>
      </c>
      <c r="FG41">
        <f t="shared" si="41"/>
        <v>0</v>
      </c>
      <c r="FH41">
        <f t="shared" si="42"/>
        <v>0</v>
      </c>
      <c r="FI41">
        <f t="shared" si="43"/>
        <v>0</v>
      </c>
      <c r="GH41">
        <f>IF(OR(GI41=0,ISNUMBER(MATCH(GI41,$GI$2:GI40,0))),0,MAX($GH$2:GH40)+1)</f>
        <v>0</v>
      </c>
      <c r="GI41">
        <f t="shared" si="85"/>
        <v>0</v>
      </c>
      <c r="GL41">
        <f>IF(OR(GM41=0,ISNUMBER(MATCH(GM41,$GM$2:GM40,0))),0,MAX($GL$2:GL40)+1)</f>
        <v>0</v>
      </c>
      <c r="GM41">
        <f t="shared" si="86"/>
        <v>0</v>
      </c>
    </row>
    <row r="42" spans="1:195" x14ac:dyDescent="0.2">
      <c r="A42" s="8" t="str">
        <f>Tank1!A57</f>
        <v>AAA</v>
      </c>
      <c r="B42" s="8" t="str">
        <f>Tank1!E57</f>
        <v/>
      </c>
      <c r="C42" s="8" t="str">
        <f>Tank1!F57</f>
        <v/>
      </c>
      <c r="D42" s="8">
        <f t="shared" si="48"/>
        <v>0</v>
      </c>
      <c r="E42" s="8">
        <f t="shared" si="48"/>
        <v>0</v>
      </c>
      <c r="G42" s="8" t="str">
        <f>Tank2!A57</f>
        <v>AAA</v>
      </c>
      <c r="H42" s="8" t="str">
        <f>Tank2!E57</f>
        <v/>
      </c>
      <c r="I42" s="8" t="str">
        <f>Tank2!F57</f>
        <v/>
      </c>
      <c r="J42">
        <f t="shared" si="49"/>
        <v>0</v>
      </c>
      <c r="K42">
        <f t="shared" si="49"/>
        <v>0</v>
      </c>
      <c r="M42" s="8" t="str">
        <f>Tank3!A57</f>
        <v>AAA</v>
      </c>
      <c r="N42" s="8" t="str">
        <f>Tank3!E57</f>
        <v/>
      </c>
      <c r="O42" s="8" t="str">
        <f>Tank3!F57</f>
        <v/>
      </c>
      <c r="P42">
        <f t="shared" si="50"/>
        <v>0</v>
      </c>
      <c r="Q42">
        <f t="shared" si="50"/>
        <v>0</v>
      </c>
      <c r="S42" s="8" t="str">
        <f>Tank4!A57</f>
        <v>AAA</v>
      </c>
      <c r="T42" s="8" t="str">
        <f>Tank4!E57</f>
        <v/>
      </c>
      <c r="U42" s="8" t="str">
        <f>Tank4!F57</f>
        <v/>
      </c>
      <c r="V42">
        <f t="shared" si="51"/>
        <v>0</v>
      </c>
      <c r="W42">
        <f t="shared" si="51"/>
        <v>0</v>
      </c>
      <c r="Y42" s="8" t="str">
        <f>Tank5!A57</f>
        <v>AAA</v>
      </c>
      <c r="Z42" s="8" t="str">
        <f>Tank5!E57</f>
        <v/>
      </c>
      <c r="AA42" s="8" t="str">
        <f>Tank5!F57</f>
        <v/>
      </c>
      <c r="AB42">
        <f t="shared" si="52"/>
        <v>0</v>
      </c>
      <c r="AC42">
        <f t="shared" si="52"/>
        <v>0</v>
      </c>
      <c r="AE42" s="8" t="str">
        <f>Hidden!CC25</f>
        <v/>
      </c>
      <c r="AF42">
        <f t="shared" si="53"/>
        <v>0</v>
      </c>
      <c r="AG42">
        <f t="shared" si="54"/>
        <v>0</v>
      </c>
      <c r="AH42">
        <f t="shared" si="55"/>
        <v>0</v>
      </c>
      <c r="AI42">
        <f t="shared" si="56"/>
        <v>0</v>
      </c>
      <c r="AJ42">
        <f t="shared" si="57"/>
        <v>0</v>
      </c>
      <c r="AK42">
        <f t="shared" si="58"/>
        <v>0</v>
      </c>
      <c r="AL42">
        <f t="shared" si="59"/>
        <v>0</v>
      </c>
      <c r="AM42">
        <f t="shared" si="60"/>
        <v>0</v>
      </c>
      <c r="AN42">
        <f t="shared" si="61"/>
        <v>0</v>
      </c>
      <c r="AO42">
        <f t="shared" si="62"/>
        <v>0</v>
      </c>
      <c r="BJ42" s="8" t="str">
        <f>Tank1!A57</f>
        <v>AAA</v>
      </c>
      <c r="BK42" s="8" t="str">
        <f>Tank1!E57</f>
        <v/>
      </c>
      <c r="BL42" s="8" t="str">
        <f>Tank1!F57</f>
        <v/>
      </c>
      <c r="BM42" s="8">
        <f t="shared" si="63"/>
        <v>0</v>
      </c>
      <c r="BN42" s="8">
        <f t="shared" si="64"/>
        <v>0</v>
      </c>
      <c r="BO42" s="8"/>
      <c r="BP42" s="8" t="str">
        <f>Tank2!A57</f>
        <v>AAA</v>
      </c>
      <c r="BQ42" s="8" t="str">
        <f>Tank2!E57</f>
        <v/>
      </c>
      <c r="BR42" s="8" t="str">
        <f>Tank2!F57</f>
        <v/>
      </c>
      <c r="BS42" s="8">
        <f t="shared" si="65"/>
        <v>0</v>
      </c>
      <c r="BT42" s="8">
        <f t="shared" si="66"/>
        <v>0</v>
      </c>
      <c r="BU42" s="8"/>
      <c r="BV42" s="8" t="str">
        <f>Tank3!A57</f>
        <v>AAA</v>
      </c>
      <c r="BW42" s="8" t="str">
        <f>Tank3!E57</f>
        <v/>
      </c>
      <c r="BX42" s="8" t="str">
        <f>Tank3!F57</f>
        <v/>
      </c>
      <c r="BY42" s="8">
        <f t="shared" si="67"/>
        <v>0</v>
      </c>
      <c r="BZ42" s="8">
        <f t="shared" si="68"/>
        <v>0</v>
      </c>
      <c r="CA42" s="8"/>
      <c r="CB42" s="8" t="str">
        <f>Tank4!A57</f>
        <v>AAA</v>
      </c>
      <c r="CC42" s="8" t="str">
        <f>Tank4!E57</f>
        <v/>
      </c>
      <c r="CD42" s="8" t="str">
        <f>Tank4!F57</f>
        <v/>
      </c>
      <c r="CE42" s="8">
        <f t="shared" si="69"/>
        <v>0</v>
      </c>
      <c r="CF42" s="8">
        <f t="shared" si="70"/>
        <v>0</v>
      </c>
      <c r="CH42" s="8" t="str">
        <f>Tank5!A57</f>
        <v>AAA</v>
      </c>
      <c r="CI42" s="8" t="str">
        <f>Tank5!E57</f>
        <v/>
      </c>
      <c r="CJ42" s="8" t="str">
        <f>Tank5!F57</f>
        <v/>
      </c>
      <c r="CK42" s="8">
        <f t="shared" si="71"/>
        <v>0</v>
      </c>
      <c r="CL42" s="8">
        <f t="shared" si="72"/>
        <v>0</v>
      </c>
      <c r="CN42" s="8" t="str">
        <f>Hidden!$CC25</f>
        <v/>
      </c>
      <c r="CO42">
        <f t="shared" si="73"/>
        <v>0</v>
      </c>
      <c r="CP42">
        <f t="shared" si="74"/>
        <v>0</v>
      </c>
      <c r="CQ42">
        <f t="shared" si="75"/>
        <v>0</v>
      </c>
      <c r="CR42">
        <f t="shared" si="76"/>
        <v>0</v>
      </c>
      <c r="CS42">
        <f t="shared" si="77"/>
        <v>0</v>
      </c>
      <c r="CT42">
        <f t="shared" si="78"/>
        <v>0</v>
      </c>
      <c r="CU42">
        <f t="shared" si="79"/>
        <v>0</v>
      </c>
      <c r="CV42">
        <f t="shared" si="80"/>
        <v>0</v>
      </c>
      <c r="CW42">
        <f t="shared" si="81"/>
        <v>0</v>
      </c>
      <c r="CX42">
        <f t="shared" si="82"/>
        <v>0</v>
      </c>
      <c r="DT42" s="77"/>
      <c r="DU42" s="8" t="str">
        <f t="shared" si="14"/>
        <v>AAAA</v>
      </c>
      <c r="DV42" s="8" t="str">
        <f t="shared" si="15"/>
        <v/>
      </c>
      <c r="DW42" s="8" t="str">
        <f t="shared" si="16"/>
        <v/>
      </c>
      <c r="DX42">
        <f t="shared" ref="DX42:DY73" si="87">IF($DW42="",0,$DW42*DX$6)</f>
        <v>0</v>
      </c>
      <c r="DY42">
        <f t="shared" si="87"/>
        <v>0</v>
      </c>
      <c r="EA42" t="str">
        <f t="shared" si="18"/>
        <v>AAAA</v>
      </c>
      <c r="EB42" t="str">
        <f t="shared" si="19"/>
        <v/>
      </c>
      <c r="EC42" t="str">
        <f t="shared" si="20"/>
        <v/>
      </c>
      <c r="ED42">
        <f t="shared" ref="ED42:EE73" si="88">IF($EC42="",0,$EC42*ED$6)</f>
        <v>0</v>
      </c>
      <c r="EE42">
        <f t="shared" si="88"/>
        <v>0</v>
      </c>
      <c r="EG42" s="8" t="str">
        <f t="shared" si="22"/>
        <v>AAAA</v>
      </c>
      <c r="EH42" s="8" t="str">
        <f t="shared" si="23"/>
        <v/>
      </c>
      <c r="EI42" s="8" t="str">
        <f t="shared" si="24"/>
        <v/>
      </c>
      <c r="EJ42">
        <f t="shared" ref="EJ42:EK73" si="89">IF($EI42="",0,$EI42*EJ$6)</f>
        <v>0</v>
      </c>
      <c r="EK42">
        <f t="shared" si="89"/>
        <v>0</v>
      </c>
      <c r="EM42" s="8" t="str">
        <f t="shared" si="26"/>
        <v>AAAA</v>
      </c>
      <c r="EN42" s="8" t="str">
        <f t="shared" si="27"/>
        <v/>
      </c>
      <c r="EO42" s="8" t="str">
        <f t="shared" si="28"/>
        <v/>
      </c>
      <c r="EP42">
        <f t="shared" ref="EP42:EQ73" si="90">IF($EO42="",0,$EO42*EP$6)</f>
        <v>0</v>
      </c>
      <c r="EQ42">
        <f t="shared" si="90"/>
        <v>0</v>
      </c>
      <c r="ES42" s="8" t="str">
        <f t="shared" si="30"/>
        <v>AAAA</v>
      </c>
      <c r="ET42" s="8" t="str">
        <f t="shared" si="31"/>
        <v/>
      </c>
      <c r="EU42" s="8" t="str">
        <f t="shared" si="32"/>
        <v/>
      </c>
      <c r="EV42">
        <f t="shared" ref="EV42:EW73" si="91">IF($EU42="",0,$EU42*EV$6)</f>
        <v>0</v>
      </c>
      <c r="EW42">
        <f t="shared" si="91"/>
        <v>0</v>
      </c>
      <c r="EY42" s="8" t="str">
        <f>Hidden!$CG36</f>
        <v/>
      </c>
      <c r="EZ42">
        <f t="shared" si="34"/>
        <v>0</v>
      </c>
      <c r="FA42">
        <f t="shared" si="35"/>
        <v>0</v>
      </c>
      <c r="FB42">
        <f t="shared" si="36"/>
        <v>0</v>
      </c>
      <c r="FC42">
        <f t="shared" si="37"/>
        <v>0</v>
      </c>
      <c r="FD42">
        <f t="shared" si="38"/>
        <v>0</v>
      </c>
      <c r="FE42">
        <f t="shared" si="39"/>
        <v>0</v>
      </c>
      <c r="FF42">
        <f t="shared" si="40"/>
        <v>0</v>
      </c>
      <c r="FG42">
        <f t="shared" si="41"/>
        <v>0</v>
      </c>
      <c r="FH42">
        <f t="shared" si="42"/>
        <v>0</v>
      </c>
      <c r="FI42">
        <f t="shared" si="43"/>
        <v>0</v>
      </c>
      <c r="GH42">
        <f>IF(OR(GI42=0,ISNUMBER(MATCH(GI42,$GI$2:GI41,0))),0,MAX($GH$2:GH41)+1)</f>
        <v>0</v>
      </c>
      <c r="GI42">
        <f t="shared" si="85"/>
        <v>0</v>
      </c>
      <c r="GL42">
        <f>IF(OR(GM42=0,ISNUMBER(MATCH(GM42,$GM$2:GM41,0))),0,MAX($GL$2:GL41)+1)</f>
        <v>0</v>
      </c>
      <c r="GM42">
        <f t="shared" si="86"/>
        <v>0</v>
      </c>
    </row>
    <row r="43" spans="1:195" x14ac:dyDescent="0.2">
      <c r="A43" s="8" t="str">
        <f>Tank1!A58</f>
        <v>AAAA</v>
      </c>
      <c r="B43" s="8" t="str">
        <f>Tank1!E58</f>
        <v/>
      </c>
      <c r="C43" s="8" t="str">
        <f>Tank1!F58</f>
        <v/>
      </c>
      <c r="D43" s="8">
        <f t="shared" si="48"/>
        <v>0</v>
      </c>
      <c r="E43" s="8">
        <f t="shared" si="48"/>
        <v>0</v>
      </c>
      <c r="G43" s="8" t="str">
        <f>Tank2!A58</f>
        <v>AAAA</v>
      </c>
      <c r="H43" s="8" t="str">
        <f>Tank2!E58</f>
        <v/>
      </c>
      <c r="I43" s="8" t="str">
        <f>Tank2!F58</f>
        <v/>
      </c>
      <c r="J43">
        <f t="shared" si="49"/>
        <v>0</v>
      </c>
      <c r="K43">
        <f t="shared" si="49"/>
        <v>0</v>
      </c>
      <c r="M43" s="8" t="str">
        <f>Tank3!A58</f>
        <v>AAAA</v>
      </c>
      <c r="N43" s="8" t="str">
        <f>Tank3!E58</f>
        <v/>
      </c>
      <c r="O43" s="8" t="str">
        <f>Tank3!F58</f>
        <v/>
      </c>
      <c r="P43">
        <f t="shared" si="50"/>
        <v>0</v>
      </c>
      <c r="Q43">
        <f t="shared" si="50"/>
        <v>0</v>
      </c>
      <c r="S43" s="8" t="str">
        <f>Tank4!A58</f>
        <v>AAAA</v>
      </c>
      <c r="T43" s="8" t="str">
        <f>Tank4!E58</f>
        <v/>
      </c>
      <c r="U43" s="8" t="str">
        <f>Tank4!F58</f>
        <v/>
      </c>
      <c r="V43">
        <f t="shared" si="51"/>
        <v>0</v>
      </c>
      <c r="W43">
        <f t="shared" si="51"/>
        <v>0</v>
      </c>
      <c r="Y43" s="8" t="str">
        <f>Tank5!A58</f>
        <v>AAAA</v>
      </c>
      <c r="Z43" s="8" t="str">
        <f>Tank5!E58</f>
        <v/>
      </c>
      <c r="AA43" s="8" t="str">
        <f>Tank5!F58</f>
        <v/>
      </c>
      <c r="AB43">
        <f t="shared" si="52"/>
        <v>0</v>
      </c>
      <c r="AC43">
        <f t="shared" si="52"/>
        <v>0</v>
      </c>
      <c r="AE43" s="8" t="str">
        <f>Hidden!CC26</f>
        <v/>
      </c>
      <c r="AF43">
        <f t="shared" si="53"/>
        <v>0</v>
      </c>
      <c r="AG43">
        <f t="shared" si="54"/>
        <v>0</v>
      </c>
      <c r="AH43">
        <f t="shared" si="55"/>
        <v>0</v>
      </c>
      <c r="AI43">
        <f t="shared" si="56"/>
        <v>0</v>
      </c>
      <c r="AJ43">
        <f t="shared" si="57"/>
        <v>0</v>
      </c>
      <c r="AK43">
        <f t="shared" si="58"/>
        <v>0</v>
      </c>
      <c r="AL43">
        <f t="shared" si="59"/>
        <v>0</v>
      </c>
      <c r="AM43">
        <f t="shared" si="60"/>
        <v>0</v>
      </c>
      <c r="AN43">
        <f t="shared" si="61"/>
        <v>0</v>
      </c>
      <c r="AO43">
        <f t="shared" si="62"/>
        <v>0</v>
      </c>
      <c r="BJ43" s="8" t="str">
        <f>Tank1!A58</f>
        <v>AAAA</v>
      </c>
      <c r="BK43" s="8" t="str">
        <f>Tank1!E58</f>
        <v/>
      </c>
      <c r="BL43" s="8" t="str">
        <f>Tank1!F58</f>
        <v/>
      </c>
      <c r="BM43" s="8">
        <f t="shared" si="63"/>
        <v>0</v>
      </c>
      <c r="BN43" s="8">
        <f t="shared" si="64"/>
        <v>0</v>
      </c>
      <c r="BO43" s="8"/>
      <c r="BP43" s="8" t="str">
        <f>Tank2!A58</f>
        <v>AAAA</v>
      </c>
      <c r="BQ43" s="8" t="str">
        <f>Tank2!E58</f>
        <v/>
      </c>
      <c r="BR43" s="8" t="str">
        <f>Tank2!F58</f>
        <v/>
      </c>
      <c r="BS43" s="8">
        <f t="shared" si="65"/>
        <v>0</v>
      </c>
      <c r="BT43" s="8">
        <f t="shared" si="66"/>
        <v>0</v>
      </c>
      <c r="BU43" s="8"/>
      <c r="BV43" s="8" t="str">
        <f>Tank3!A58</f>
        <v>AAAA</v>
      </c>
      <c r="BW43" s="8" t="str">
        <f>Tank3!E58</f>
        <v/>
      </c>
      <c r="BX43" s="8" t="str">
        <f>Tank3!F58</f>
        <v/>
      </c>
      <c r="BY43" s="8">
        <f t="shared" si="67"/>
        <v>0</v>
      </c>
      <c r="BZ43" s="8">
        <f t="shared" si="68"/>
        <v>0</v>
      </c>
      <c r="CA43" s="8"/>
      <c r="CB43" s="8" t="str">
        <f>Tank4!A58</f>
        <v>AAAA</v>
      </c>
      <c r="CC43" s="8" t="str">
        <f>Tank4!E58</f>
        <v/>
      </c>
      <c r="CD43" s="8" t="str">
        <f>Tank4!F58</f>
        <v/>
      </c>
      <c r="CE43" s="8">
        <f t="shared" si="69"/>
        <v>0</v>
      </c>
      <c r="CF43" s="8">
        <f t="shared" si="70"/>
        <v>0</v>
      </c>
      <c r="CH43" s="8" t="str">
        <f>Tank5!A58</f>
        <v>AAAA</v>
      </c>
      <c r="CI43" s="8" t="str">
        <f>Tank5!E58</f>
        <v/>
      </c>
      <c r="CJ43" s="8" t="str">
        <f>Tank5!F58</f>
        <v/>
      </c>
      <c r="CK43" s="8">
        <f t="shared" si="71"/>
        <v>0</v>
      </c>
      <c r="CL43" s="8">
        <f t="shared" si="72"/>
        <v>0</v>
      </c>
      <c r="CN43" s="8" t="str">
        <f>Hidden!$CC26</f>
        <v/>
      </c>
      <c r="CO43">
        <f t="shared" si="73"/>
        <v>0</v>
      </c>
      <c r="CP43">
        <f t="shared" si="74"/>
        <v>0</v>
      </c>
      <c r="CQ43">
        <f t="shared" si="75"/>
        <v>0</v>
      </c>
      <c r="CR43">
        <f t="shared" si="76"/>
        <v>0</v>
      </c>
      <c r="CS43">
        <f t="shared" si="77"/>
        <v>0</v>
      </c>
      <c r="CT43">
        <f t="shared" si="78"/>
        <v>0</v>
      </c>
      <c r="CU43">
        <f t="shared" si="79"/>
        <v>0</v>
      </c>
      <c r="CV43">
        <f t="shared" si="80"/>
        <v>0</v>
      </c>
      <c r="CW43">
        <f t="shared" si="81"/>
        <v>0</v>
      </c>
      <c r="CX43">
        <f t="shared" si="82"/>
        <v>0</v>
      </c>
      <c r="DT43" s="77"/>
      <c r="DU43" s="8" t="str">
        <f t="shared" si="14"/>
        <v>AAAAA</v>
      </c>
      <c r="DV43" s="8" t="str">
        <f t="shared" si="15"/>
        <v/>
      </c>
      <c r="DW43" s="8" t="str">
        <f t="shared" si="16"/>
        <v/>
      </c>
      <c r="DX43">
        <f t="shared" si="87"/>
        <v>0</v>
      </c>
      <c r="DY43">
        <f t="shared" si="87"/>
        <v>0</v>
      </c>
      <c r="EA43" t="str">
        <f t="shared" si="18"/>
        <v>AAAAA</v>
      </c>
      <c r="EB43" t="str">
        <f t="shared" si="19"/>
        <v/>
      </c>
      <c r="EC43" t="str">
        <f t="shared" si="20"/>
        <v/>
      </c>
      <c r="ED43">
        <f t="shared" si="88"/>
        <v>0</v>
      </c>
      <c r="EE43">
        <f t="shared" si="88"/>
        <v>0</v>
      </c>
      <c r="EG43" s="8" t="str">
        <f t="shared" si="22"/>
        <v>AAAAA</v>
      </c>
      <c r="EH43" s="8" t="str">
        <f t="shared" si="23"/>
        <v/>
      </c>
      <c r="EI43" s="8" t="str">
        <f t="shared" si="24"/>
        <v/>
      </c>
      <c r="EJ43">
        <f t="shared" si="89"/>
        <v>0</v>
      </c>
      <c r="EK43">
        <f t="shared" si="89"/>
        <v>0</v>
      </c>
      <c r="EM43" s="8" t="str">
        <f t="shared" si="26"/>
        <v>AAAAA</v>
      </c>
      <c r="EN43" s="8" t="str">
        <f t="shared" si="27"/>
        <v/>
      </c>
      <c r="EO43" s="8" t="str">
        <f t="shared" si="28"/>
        <v/>
      </c>
      <c r="EP43">
        <f t="shared" si="90"/>
        <v>0</v>
      </c>
      <c r="EQ43">
        <f t="shared" si="90"/>
        <v>0</v>
      </c>
      <c r="ES43" s="8" t="str">
        <f t="shared" si="30"/>
        <v>AAAAA</v>
      </c>
      <c r="ET43" s="8" t="str">
        <f t="shared" si="31"/>
        <v/>
      </c>
      <c r="EU43" s="8" t="str">
        <f t="shared" si="32"/>
        <v/>
      </c>
      <c r="EV43">
        <f t="shared" si="91"/>
        <v>0</v>
      </c>
      <c r="EW43">
        <f t="shared" si="91"/>
        <v>0</v>
      </c>
      <c r="EY43" s="8" t="str">
        <f>Hidden!$CG37</f>
        <v/>
      </c>
      <c r="EZ43">
        <f t="shared" si="34"/>
        <v>0</v>
      </c>
      <c r="FA43">
        <f t="shared" si="35"/>
        <v>0</v>
      </c>
      <c r="FB43">
        <f t="shared" si="36"/>
        <v>0</v>
      </c>
      <c r="FC43">
        <f t="shared" si="37"/>
        <v>0</v>
      </c>
      <c r="FD43">
        <f t="shared" si="38"/>
        <v>0</v>
      </c>
      <c r="FE43">
        <f t="shared" si="39"/>
        <v>0</v>
      </c>
      <c r="FF43">
        <f t="shared" si="40"/>
        <v>0</v>
      </c>
      <c r="FG43">
        <f t="shared" si="41"/>
        <v>0</v>
      </c>
      <c r="FH43">
        <f t="shared" si="42"/>
        <v>0</v>
      </c>
      <c r="FI43">
        <f t="shared" si="43"/>
        <v>0</v>
      </c>
      <c r="GG43" t="s">
        <v>326</v>
      </c>
      <c r="GH43">
        <f>IF(OR(GI43=0,ISNUMBER(MATCH(GI43,$GI$2:GI42,0))),0,MAX($GH$2:GH42)+1)</f>
        <v>0</v>
      </c>
      <c r="GI43">
        <f>$V3</f>
        <v>0</v>
      </c>
      <c r="GL43">
        <f>IF(OR(GM43=0,ISNUMBER(MATCH(GM43,$GM$2:GM42,0))),0,MAX($GL$2:GL42)+1)</f>
        <v>0</v>
      </c>
      <c r="GM43">
        <f>$AB3</f>
        <v>0</v>
      </c>
    </row>
    <row r="44" spans="1:195" x14ac:dyDescent="0.2">
      <c r="A44" s="8" t="str">
        <f>Tank1!A59</f>
        <v>AAAAA</v>
      </c>
      <c r="B44" s="8" t="str">
        <f>Tank1!E59</f>
        <v/>
      </c>
      <c r="C44" s="8" t="str">
        <f>Tank1!F59</f>
        <v/>
      </c>
      <c r="D44" s="8">
        <f t="shared" si="48"/>
        <v>0</v>
      </c>
      <c r="E44" s="8">
        <f t="shared" si="48"/>
        <v>0</v>
      </c>
      <c r="G44" s="8" t="str">
        <f>Tank2!A59</f>
        <v>AAAAA</v>
      </c>
      <c r="H44" s="8" t="str">
        <f>Tank2!E59</f>
        <v/>
      </c>
      <c r="I44" s="8" t="str">
        <f>Tank2!F59</f>
        <v/>
      </c>
      <c r="J44">
        <f t="shared" si="49"/>
        <v>0</v>
      </c>
      <c r="K44">
        <f t="shared" si="49"/>
        <v>0</v>
      </c>
      <c r="M44" s="8" t="str">
        <f>Tank3!A59</f>
        <v>AAAAA</v>
      </c>
      <c r="N44" s="8" t="str">
        <f>Tank3!E59</f>
        <v/>
      </c>
      <c r="O44" s="8" t="str">
        <f>Tank3!F59</f>
        <v/>
      </c>
      <c r="P44">
        <f t="shared" si="50"/>
        <v>0</v>
      </c>
      <c r="Q44">
        <f t="shared" si="50"/>
        <v>0</v>
      </c>
      <c r="S44" s="8" t="str">
        <f>Tank4!A59</f>
        <v>AAAAA</v>
      </c>
      <c r="T44" s="8" t="str">
        <f>Tank4!E59</f>
        <v/>
      </c>
      <c r="U44" s="8" t="str">
        <f>Tank4!F59</f>
        <v/>
      </c>
      <c r="V44">
        <f t="shared" si="51"/>
        <v>0</v>
      </c>
      <c r="W44">
        <f t="shared" si="51"/>
        <v>0</v>
      </c>
      <c r="Y44" s="8" t="str">
        <f>Tank5!A59</f>
        <v>AAAAA</v>
      </c>
      <c r="Z44" s="8" t="str">
        <f>Tank5!E59</f>
        <v/>
      </c>
      <c r="AA44" s="8" t="str">
        <f>Tank5!F59</f>
        <v/>
      </c>
      <c r="AB44">
        <f t="shared" si="52"/>
        <v>0</v>
      </c>
      <c r="AC44">
        <f t="shared" si="52"/>
        <v>0</v>
      </c>
      <c r="AE44" s="8" t="str">
        <f>Hidden!CC27</f>
        <v/>
      </c>
      <c r="AF44">
        <f t="shared" si="53"/>
        <v>0</v>
      </c>
      <c r="AG44">
        <f t="shared" si="54"/>
        <v>0</v>
      </c>
      <c r="AH44">
        <f t="shared" si="55"/>
        <v>0</v>
      </c>
      <c r="AI44">
        <f t="shared" si="56"/>
        <v>0</v>
      </c>
      <c r="AJ44">
        <f t="shared" si="57"/>
        <v>0</v>
      </c>
      <c r="AK44">
        <f t="shared" si="58"/>
        <v>0</v>
      </c>
      <c r="AL44">
        <f t="shared" si="59"/>
        <v>0</v>
      </c>
      <c r="AM44">
        <f t="shared" si="60"/>
        <v>0</v>
      </c>
      <c r="AN44">
        <f t="shared" si="61"/>
        <v>0</v>
      </c>
      <c r="AO44">
        <f t="shared" si="62"/>
        <v>0</v>
      </c>
      <c r="BJ44" s="8" t="str">
        <f>Tank1!A59</f>
        <v>AAAAA</v>
      </c>
      <c r="BK44" s="8" t="str">
        <f>Tank1!E59</f>
        <v/>
      </c>
      <c r="BL44" s="8" t="str">
        <f>Tank1!F59</f>
        <v/>
      </c>
      <c r="BM44" s="8">
        <f t="shared" si="63"/>
        <v>0</v>
      </c>
      <c r="BN44" s="8">
        <f t="shared" si="64"/>
        <v>0</v>
      </c>
      <c r="BO44" s="8"/>
      <c r="BP44" s="8" t="str">
        <f>Tank2!A59</f>
        <v>AAAAA</v>
      </c>
      <c r="BQ44" s="8" t="str">
        <f>Tank2!E59</f>
        <v/>
      </c>
      <c r="BR44" s="8" t="str">
        <f>Tank2!F59</f>
        <v/>
      </c>
      <c r="BS44" s="8">
        <f t="shared" si="65"/>
        <v>0</v>
      </c>
      <c r="BT44" s="8">
        <f t="shared" si="66"/>
        <v>0</v>
      </c>
      <c r="BU44" s="8"/>
      <c r="BV44" s="8" t="str">
        <f>Tank3!A59</f>
        <v>AAAAA</v>
      </c>
      <c r="BW44" s="8" t="str">
        <f>Tank3!E59</f>
        <v/>
      </c>
      <c r="BX44" s="8" t="str">
        <f>Tank3!F59</f>
        <v/>
      </c>
      <c r="BY44" s="8">
        <f t="shared" si="67"/>
        <v>0</v>
      </c>
      <c r="BZ44" s="8">
        <f t="shared" si="68"/>
        <v>0</v>
      </c>
      <c r="CA44" s="8"/>
      <c r="CB44" s="8" t="str">
        <f>Tank4!A59</f>
        <v>AAAAA</v>
      </c>
      <c r="CC44" s="8" t="str">
        <f>Tank4!E59</f>
        <v/>
      </c>
      <c r="CD44" s="8" t="str">
        <f>Tank4!F59</f>
        <v/>
      </c>
      <c r="CE44" s="8">
        <f t="shared" si="69"/>
        <v>0</v>
      </c>
      <c r="CF44" s="8">
        <f t="shared" si="70"/>
        <v>0</v>
      </c>
      <c r="CH44" s="8" t="str">
        <f>Tank5!A59</f>
        <v>AAAAA</v>
      </c>
      <c r="CI44" s="8" t="str">
        <f>Tank5!E59</f>
        <v/>
      </c>
      <c r="CJ44" s="8" t="str">
        <f>Tank5!F59</f>
        <v/>
      </c>
      <c r="CK44" s="8">
        <f t="shared" si="71"/>
        <v>0</v>
      </c>
      <c r="CL44" s="8">
        <f t="shared" si="72"/>
        <v>0</v>
      </c>
      <c r="CN44" s="8" t="str">
        <f>Hidden!$CC27</f>
        <v/>
      </c>
      <c r="CO44">
        <f t="shared" si="73"/>
        <v>0</v>
      </c>
      <c r="CP44">
        <f t="shared" si="74"/>
        <v>0</v>
      </c>
      <c r="CQ44">
        <f t="shared" si="75"/>
        <v>0</v>
      </c>
      <c r="CR44">
        <f t="shared" si="76"/>
        <v>0</v>
      </c>
      <c r="CS44">
        <f t="shared" si="77"/>
        <v>0</v>
      </c>
      <c r="CT44">
        <f t="shared" si="78"/>
        <v>0</v>
      </c>
      <c r="CU44">
        <f t="shared" si="79"/>
        <v>0</v>
      </c>
      <c r="CV44">
        <f t="shared" si="80"/>
        <v>0</v>
      </c>
      <c r="CW44">
        <f t="shared" si="81"/>
        <v>0</v>
      </c>
      <c r="CX44">
        <f t="shared" si="82"/>
        <v>0</v>
      </c>
      <c r="DT44" s="77"/>
      <c r="DU44" s="8" t="str">
        <f t="shared" si="14"/>
        <v>AAAAAA</v>
      </c>
      <c r="DV44" s="8" t="str">
        <f t="shared" si="15"/>
        <v/>
      </c>
      <c r="DW44" s="8" t="str">
        <f t="shared" si="16"/>
        <v/>
      </c>
      <c r="DX44">
        <f t="shared" si="87"/>
        <v>0</v>
      </c>
      <c r="DY44">
        <f t="shared" si="87"/>
        <v>0</v>
      </c>
      <c r="EA44" t="str">
        <f t="shared" si="18"/>
        <v>AAAAAA</v>
      </c>
      <c r="EB44" t="str">
        <f t="shared" si="19"/>
        <v/>
      </c>
      <c r="EC44" t="str">
        <f t="shared" si="20"/>
        <v/>
      </c>
      <c r="ED44">
        <f t="shared" si="88"/>
        <v>0</v>
      </c>
      <c r="EE44">
        <f t="shared" si="88"/>
        <v>0</v>
      </c>
      <c r="EG44" s="8" t="str">
        <f t="shared" si="22"/>
        <v>AAAAAA</v>
      </c>
      <c r="EH44" s="8" t="str">
        <f t="shared" si="23"/>
        <v/>
      </c>
      <c r="EI44" s="8" t="str">
        <f t="shared" si="24"/>
        <v/>
      </c>
      <c r="EJ44">
        <f t="shared" si="89"/>
        <v>0</v>
      </c>
      <c r="EK44">
        <f t="shared" si="89"/>
        <v>0</v>
      </c>
      <c r="EM44" s="8" t="str">
        <f t="shared" si="26"/>
        <v>AAAAAA</v>
      </c>
      <c r="EN44" s="8" t="str">
        <f t="shared" si="27"/>
        <v/>
      </c>
      <c r="EO44" s="8" t="str">
        <f t="shared" si="28"/>
        <v/>
      </c>
      <c r="EP44">
        <f t="shared" si="90"/>
        <v>0</v>
      </c>
      <c r="EQ44">
        <f t="shared" si="90"/>
        <v>0</v>
      </c>
      <c r="ES44" s="8" t="str">
        <f t="shared" si="30"/>
        <v>AAAAAA</v>
      </c>
      <c r="ET44" s="8" t="str">
        <f t="shared" si="31"/>
        <v/>
      </c>
      <c r="EU44" s="8" t="str">
        <f t="shared" si="32"/>
        <v/>
      </c>
      <c r="EV44">
        <f t="shared" si="91"/>
        <v>0</v>
      </c>
      <c r="EW44">
        <f t="shared" si="91"/>
        <v>0</v>
      </c>
      <c r="EY44" s="8" t="str">
        <f>Hidden!$CG38</f>
        <v/>
      </c>
      <c r="EZ44">
        <f t="shared" si="34"/>
        <v>0</v>
      </c>
      <c r="FA44">
        <f t="shared" si="35"/>
        <v>0</v>
      </c>
      <c r="FB44">
        <f t="shared" si="36"/>
        <v>0</v>
      </c>
      <c r="FC44">
        <f t="shared" si="37"/>
        <v>0</v>
      </c>
      <c r="FD44">
        <f t="shared" si="38"/>
        <v>0</v>
      </c>
      <c r="FE44">
        <f t="shared" si="39"/>
        <v>0</v>
      </c>
      <c r="FF44">
        <f t="shared" si="40"/>
        <v>0</v>
      </c>
      <c r="FG44">
        <f t="shared" si="41"/>
        <v>0</v>
      </c>
      <c r="FH44">
        <f t="shared" si="42"/>
        <v>0</v>
      </c>
      <c r="FI44">
        <f t="shared" si="43"/>
        <v>0</v>
      </c>
      <c r="GH44">
        <f>IF(OR(GI44=0,ISNUMBER(MATCH(GI44,$GI$2:GI43,0))),0,MAX($GH$2:GH43)+1)</f>
        <v>0</v>
      </c>
      <c r="GI44">
        <f t="shared" ref="GI44:GI52" si="92">$V4</f>
        <v>0</v>
      </c>
      <c r="GL44">
        <f>IF(OR(GM44=0,ISNUMBER(MATCH(GM44,$GM$2:GM43,0))),0,MAX($GL$2:GL43)+1)</f>
        <v>0</v>
      </c>
      <c r="GM44">
        <f t="shared" ref="GM44:GM52" si="93">$AB4</f>
        <v>0</v>
      </c>
    </row>
    <row r="45" spans="1:195" x14ac:dyDescent="0.2">
      <c r="A45" s="8" t="str">
        <f>Tank1!A60</f>
        <v>AAAAAA</v>
      </c>
      <c r="B45" s="8" t="str">
        <f>Tank1!E60</f>
        <v/>
      </c>
      <c r="C45" s="8" t="str">
        <f>Tank1!F60</f>
        <v/>
      </c>
      <c r="D45" s="8">
        <f t="shared" si="48"/>
        <v>0</v>
      </c>
      <c r="E45" s="8">
        <f t="shared" si="48"/>
        <v>0</v>
      </c>
      <c r="G45" s="8" t="str">
        <f>Tank2!A60</f>
        <v>AAAAAA</v>
      </c>
      <c r="H45" s="8" t="str">
        <f>Tank2!E60</f>
        <v/>
      </c>
      <c r="I45" s="8" t="str">
        <f>Tank2!F60</f>
        <v/>
      </c>
      <c r="J45">
        <f t="shared" si="49"/>
        <v>0</v>
      </c>
      <c r="K45">
        <f t="shared" si="49"/>
        <v>0</v>
      </c>
      <c r="M45" s="8" t="str">
        <f>Tank3!A60</f>
        <v>AAAAAA</v>
      </c>
      <c r="N45" s="8" t="str">
        <f>Tank3!E60</f>
        <v/>
      </c>
      <c r="O45" s="8" t="str">
        <f>Tank3!F60</f>
        <v/>
      </c>
      <c r="P45">
        <f t="shared" si="50"/>
        <v>0</v>
      </c>
      <c r="Q45">
        <f t="shared" si="50"/>
        <v>0</v>
      </c>
      <c r="S45" s="8" t="str">
        <f>Tank4!A60</f>
        <v>AAAAAA</v>
      </c>
      <c r="T45" s="8" t="str">
        <f>Tank4!E60</f>
        <v/>
      </c>
      <c r="U45" s="8" t="str">
        <f>Tank4!F60</f>
        <v/>
      </c>
      <c r="V45">
        <f t="shared" si="51"/>
        <v>0</v>
      </c>
      <c r="W45">
        <f t="shared" si="51"/>
        <v>0</v>
      </c>
      <c r="Y45" s="8" t="str">
        <f>Tank5!A60</f>
        <v>AAAAAA</v>
      </c>
      <c r="Z45" s="8" t="str">
        <f>Tank5!E60</f>
        <v/>
      </c>
      <c r="AA45" s="8" t="str">
        <f>Tank5!F60</f>
        <v/>
      </c>
      <c r="AB45">
        <f t="shared" si="52"/>
        <v>0</v>
      </c>
      <c r="AC45">
        <f t="shared" si="52"/>
        <v>0</v>
      </c>
      <c r="AE45" s="8" t="str">
        <f>Hidden!CC28</f>
        <v/>
      </c>
      <c r="AF45">
        <f t="shared" si="53"/>
        <v>0</v>
      </c>
      <c r="AG45">
        <f t="shared" si="54"/>
        <v>0</v>
      </c>
      <c r="AH45">
        <f t="shared" si="55"/>
        <v>0</v>
      </c>
      <c r="AI45">
        <f t="shared" si="56"/>
        <v>0</v>
      </c>
      <c r="AJ45">
        <f t="shared" si="57"/>
        <v>0</v>
      </c>
      <c r="AK45">
        <f t="shared" si="58"/>
        <v>0</v>
      </c>
      <c r="AL45">
        <f t="shared" si="59"/>
        <v>0</v>
      </c>
      <c r="AM45">
        <f t="shared" si="60"/>
        <v>0</v>
      </c>
      <c r="AN45">
        <f t="shared" si="61"/>
        <v>0</v>
      </c>
      <c r="AO45">
        <f t="shared" si="62"/>
        <v>0</v>
      </c>
      <c r="BJ45" s="8" t="str">
        <f>Tank1!A60</f>
        <v>AAAAAA</v>
      </c>
      <c r="BK45" s="8" t="str">
        <f>Tank1!E60</f>
        <v/>
      </c>
      <c r="BL45" s="8" t="str">
        <f>Tank1!F60</f>
        <v/>
      </c>
      <c r="BM45" s="8">
        <f t="shared" si="63"/>
        <v>0</v>
      </c>
      <c r="BN45" s="8">
        <f t="shared" si="64"/>
        <v>0</v>
      </c>
      <c r="BO45" s="8"/>
      <c r="BP45" s="8" t="str">
        <f>Tank2!A60</f>
        <v>AAAAAA</v>
      </c>
      <c r="BQ45" s="8" t="str">
        <f>Tank2!E60</f>
        <v/>
      </c>
      <c r="BR45" s="8" t="str">
        <f>Tank2!F60</f>
        <v/>
      </c>
      <c r="BS45" s="8">
        <f t="shared" si="65"/>
        <v>0</v>
      </c>
      <c r="BT45" s="8">
        <f t="shared" si="66"/>
        <v>0</v>
      </c>
      <c r="BU45" s="8"/>
      <c r="BV45" s="8" t="str">
        <f>Tank3!A60</f>
        <v>AAAAAA</v>
      </c>
      <c r="BW45" s="8" t="str">
        <f>Tank3!E60</f>
        <v/>
      </c>
      <c r="BX45" s="8" t="str">
        <f>Tank3!F60</f>
        <v/>
      </c>
      <c r="BY45" s="8">
        <f t="shared" si="67"/>
        <v>0</v>
      </c>
      <c r="BZ45" s="8">
        <f t="shared" si="68"/>
        <v>0</v>
      </c>
      <c r="CA45" s="8"/>
      <c r="CB45" s="8" t="str">
        <f>Tank4!A60</f>
        <v>AAAAAA</v>
      </c>
      <c r="CC45" s="8" t="str">
        <f>Tank4!E60</f>
        <v/>
      </c>
      <c r="CD45" s="8" t="str">
        <f>Tank4!F60</f>
        <v/>
      </c>
      <c r="CE45" s="8">
        <f t="shared" si="69"/>
        <v>0</v>
      </c>
      <c r="CF45" s="8">
        <f t="shared" si="70"/>
        <v>0</v>
      </c>
      <c r="CH45" s="8" t="str">
        <f>Tank5!A60</f>
        <v>AAAAAA</v>
      </c>
      <c r="CI45" s="8" t="str">
        <f>Tank5!E60</f>
        <v/>
      </c>
      <c r="CJ45" s="8" t="str">
        <f>Tank5!F60</f>
        <v/>
      </c>
      <c r="CK45" s="8">
        <f t="shared" si="71"/>
        <v>0</v>
      </c>
      <c r="CL45" s="8">
        <f t="shared" si="72"/>
        <v>0</v>
      </c>
      <c r="CN45" s="8" t="str">
        <f>Hidden!$CC28</f>
        <v/>
      </c>
      <c r="CO45">
        <f t="shared" si="73"/>
        <v>0</v>
      </c>
      <c r="CP45">
        <f t="shared" si="74"/>
        <v>0</v>
      </c>
      <c r="CQ45">
        <f t="shared" si="75"/>
        <v>0</v>
      </c>
      <c r="CR45">
        <f t="shared" si="76"/>
        <v>0</v>
      </c>
      <c r="CS45">
        <f t="shared" si="77"/>
        <v>0</v>
      </c>
      <c r="CT45">
        <f t="shared" si="78"/>
        <v>0</v>
      </c>
      <c r="CU45">
        <f t="shared" si="79"/>
        <v>0</v>
      </c>
      <c r="CV45">
        <f t="shared" si="80"/>
        <v>0</v>
      </c>
      <c r="CW45">
        <f t="shared" si="81"/>
        <v>0</v>
      </c>
      <c r="CX45">
        <f t="shared" si="82"/>
        <v>0</v>
      </c>
      <c r="DT45" s="77"/>
      <c r="DU45" s="8" t="str">
        <f t="shared" si="14"/>
        <v>AAAAAAA</v>
      </c>
      <c r="DV45" s="8" t="str">
        <f t="shared" si="15"/>
        <v/>
      </c>
      <c r="DW45" s="8" t="str">
        <f t="shared" si="16"/>
        <v/>
      </c>
      <c r="DX45">
        <f t="shared" si="87"/>
        <v>0</v>
      </c>
      <c r="DY45">
        <f t="shared" si="87"/>
        <v>0</v>
      </c>
      <c r="EA45" t="str">
        <f t="shared" si="18"/>
        <v>AAAAAAA</v>
      </c>
      <c r="EB45" t="str">
        <f t="shared" si="19"/>
        <v/>
      </c>
      <c r="EC45" t="str">
        <f t="shared" si="20"/>
        <v/>
      </c>
      <c r="ED45">
        <f t="shared" si="88"/>
        <v>0</v>
      </c>
      <c r="EE45">
        <f t="shared" si="88"/>
        <v>0</v>
      </c>
      <c r="EG45" s="8" t="str">
        <f t="shared" si="22"/>
        <v>AAAAAAA</v>
      </c>
      <c r="EH45" s="8" t="str">
        <f t="shared" si="23"/>
        <v/>
      </c>
      <c r="EI45" s="8" t="str">
        <f t="shared" si="24"/>
        <v/>
      </c>
      <c r="EJ45">
        <f t="shared" si="89"/>
        <v>0</v>
      </c>
      <c r="EK45">
        <f t="shared" si="89"/>
        <v>0</v>
      </c>
      <c r="EM45" s="8" t="str">
        <f t="shared" si="26"/>
        <v>AAAAAAA</v>
      </c>
      <c r="EN45" s="8" t="str">
        <f t="shared" si="27"/>
        <v/>
      </c>
      <c r="EO45" s="8" t="str">
        <f t="shared" si="28"/>
        <v/>
      </c>
      <c r="EP45">
        <f t="shared" si="90"/>
        <v>0</v>
      </c>
      <c r="EQ45">
        <f t="shared" si="90"/>
        <v>0</v>
      </c>
      <c r="ES45" s="8" t="str">
        <f t="shared" si="30"/>
        <v>AAAAAAA</v>
      </c>
      <c r="ET45" s="8" t="str">
        <f t="shared" si="31"/>
        <v/>
      </c>
      <c r="EU45" s="8" t="str">
        <f t="shared" si="32"/>
        <v/>
      </c>
      <c r="EV45">
        <f t="shared" si="91"/>
        <v>0</v>
      </c>
      <c r="EW45">
        <f t="shared" si="91"/>
        <v>0</v>
      </c>
      <c r="EY45" s="8" t="str">
        <f>Hidden!$CG39</f>
        <v/>
      </c>
      <c r="EZ45">
        <f t="shared" si="34"/>
        <v>0</v>
      </c>
      <c r="FA45">
        <f t="shared" si="35"/>
        <v>0</v>
      </c>
      <c r="FB45">
        <f t="shared" si="36"/>
        <v>0</v>
      </c>
      <c r="FC45">
        <f t="shared" si="37"/>
        <v>0</v>
      </c>
      <c r="FD45">
        <f t="shared" si="38"/>
        <v>0</v>
      </c>
      <c r="FE45">
        <f t="shared" si="39"/>
        <v>0</v>
      </c>
      <c r="FF45">
        <f t="shared" si="40"/>
        <v>0</v>
      </c>
      <c r="FG45">
        <f t="shared" si="41"/>
        <v>0</v>
      </c>
      <c r="FH45">
        <f t="shared" si="42"/>
        <v>0</v>
      </c>
      <c r="FI45">
        <f t="shared" si="43"/>
        <v>0</v>
      </c>
      <c r="GH45">
        <f>IF(OR(GI45=0,ISNUMBER(MATCH(GI45,$GI$2:GI44,0))),0,MAX($GH$2:GH44)+1)</f>
        <v>0</v>
      </c>
      <c r="GI45">
        <f t="shared" si="92"/>
        <v>0</v>
      </c>
      <c r="GL45">
        <f>IF(OR(GM45=0,ISNUMBER(MATCH(GM45,$GM$2:GM44,0))),0,MAX($GL$2:GL44)+1)</f>
        <v>0</v>
      </c>
      <c r="GM45">
        <f t="shared" si="93"/>
        <v>0</v>
      </c>
    </row>
    <row r="46" spans="1:195" ht="28.5" x14ac:dyDescent="0.2">
      <c r="A46" s="8" t="str">
        <f>Tank1!A61</f>
        <v>AAAAAAA</v>
      </c>
      <c r="B46" s="8" t="str">
        <f>Tank1!E61</f>
        <v/>
      </c>
      <c r="C46" s="8" t="str">
        <f>Tank1!F61</f>
        <v/>
      </c>
      <c r="D46" s="8">
        <f t="shared" si="48"/>
        <v>0</v>
      </c>
      <c r="E46" s="8">
        <f t="shared" si="48"/>
        <v>0</v>
      </c>
      <c r="G46" s="8" t="str">
        <f>Tank2!A61</f>
        <v>AAAAAAA</v>
      </c>
      <c r="H46" s="8" t="str">
        <f>Tank2!E61</f>
        <v/>
      </c>
      <c r="I46" s="8" t="str">
        <f>Tank2!F61</f>
        <v/>
      </c>
      <c r="J46">
        <f t="shared" si="49"/>
        <v>0</v>
      </c>
      <c r="K46">
        <f t="shared" si="49"/>
        <v>0</v>
      </c>
      <c r="M46" s="8" t="str">
        <f>Tank3!A61</f>
        <v>AAAAAAA</v>
      </c>
      <c r="N46" s="8" t="str">
        <f>Tank3!E61</f>
        <v/>
      </c>
      <c r="O46" s="8" t="str">
        <f>Tank3!F61</f>
        <v/>
      </c>
      <c r="P46">
        <f t="shared" si="50"/>
        <v>0</v>
      </c>
      <c r="Q46">
        <f t="shared" si="50"/>
        <v>0</v>
      </c>
      <c r="S46" s="8" t="str">
        <f>Tank4!A61</f>
        <v>AAAAAAA</v>
      </c>
      <c r="T46" s="8" t="str">
        <f>Tank4!E61</f>
        <v/>
      </c>
      <c r="U46" s="8" t="str">
        <f>Tank4!F61</f>
        <v/>
      </c>
      <c r="V46">
        <f t="shared" si="51"/>
        <v>0</v>
      </c>
      <c r="W46">
        <f t="shared" si="51"/>
        <v>0</v>
      </c>
      <c r="Y46" s="8" t="str">
        <f>Tank5!A61</f>
        <v>AAAAAAA</v>
      </c>
      <c r="Z46" s="8" t="str">
        <f>Tank5!E61</f>
        <v/>
      </c>
      <c r="AA46" s="8" t="str">
        <f>Tank5!F61</f>
        <v/>
      </c>
      <c r="AB46">
        <f t="shared" si="52"/>
        <v>0</v>
      </c>
      <c r="AC46">
        <f t="shared" si="52"/>
        <v>0</v>
      </c>
      <c r="AE46" s="8" t="str">
        <f>Hidden!CC29</f>
        <v/>
      </c>
      <c r="AF46">
        <f t="shared" si="53"/>
        <v>0</v>
      </c>
      <c r="AG46">
        <f t="shared" si="54"/>
        <v>0</v>
      </c>
      <c r="AH46">
        <f t="shared" si="55"/>
        <v>0</v>
      </c>
      <c r="AI46">
        <f t="shared" si="56"/>
        <v>0</v>
      </c>
      <c r="AJ46">
        <f t="shared" si="57"/>
        <v>0</v>
      </c>
      <c r="AK46">
        <f t="shared" si="58"/>
        <v>0</v>
      </c>
      <c r="AL46">
        <f t="shared" si="59"/>
        <v>0</v>
      </c>
      <c r="AM46">
        <f t="shared" si="60"/>
        <v>0</v>
      </c>
      <c r="AN46">
        <f t="shared" si="61"/>
        <v>0</v>
      </c>
      <c r="AO46">
        <f t="shared" si="62"/>
        <v>0</v>
      </c>
      <c r="BJ46" s="8" t="str">
        <f>Tank1!A61</f>
        <v>AAAAAAA</v>
      </c>
      <c r="BK46" s="8" t="str">
        <f>Tank1!E61</f>
        <v/>
      </c>
      <c r="BL46" s="8" t="str">
        <f>Tank1!F61</f>
        <v/>
      </c>
      <c r="BM46" s="8">
        <f t="shared" si="63"/>
        <v>0</v>
      </c>
      <c r="BN46" s="8">
        <f t="shared" si="64"/>
        <v>0</v>
      </c>
      <c r="BO46" s="8"/>
      <c r="BP46" s="8" t="str">
        <f>Tank2!A61</f>
        <v>AAAAAAA</v>
      </c>
      <c r="BQ46" s="8" t="str">
        <f>Tank2!E61</f>
        <v/>
      </c>
      <c r="BR46" s="8" t="str">
        <f>Tank2!F61</f>
        <v/>
      </c>
      <c r="BS46" s="8">
        <f t="shared" si="65"/>
        <v>0</v>
      </c>
      <c r="BT46" s="8">
        <f t="shared" si="66"/>
        <v>0</v>
      </c>
      <c r="BU46" s="8"/>
      <c r="BV46" s="8" t="str">
        <f>Tank3!A61</f>
        <v>AAAAAAA</v>
      </c>
      <c r="BW46" s="8" t="str">
        <f>Tank3!E61</f>
        <v/>
      </c>
      <c r="BX46" s="8" t="str">
        <f>Tank3!F61</f>
        <v/>
      </c>
      <c r="BY46" s="8">
        <f t="shared" si="67"/>
        <v>0</v>
      </c>
      <c r="BZ46" s="8">
        <f t="shared" si="68"/>
        <v>0</v>
      </c>
      <c r="CA46" s="8"/>
      <c r="CB46" s="8" t="str">
        <f>Tank4!A61</f>
        <v>AAAAAAA</v>
      </c>
      <c r="CC46" s="8" t="str">
        <f>Tank4!E61</f>
        <v/>
      </c>
      <c r="CD46" s="8" t="str">
        <f>Tank4!F61</f>
        <v/>
      </c>
      <c r="CE46" s="8">
        <f t="shared" si="69"/>
        <v>0</v>
      </c>
      <c r="CF46" s="8">
        <f t="shared" si="70"/>
        <v>0</v>
      </c>
      <c r="CH46" s="8" t="str">
        <f>Tank5!A61</f>
        <v>AAAAAAA</v>
      </c>
      <c r="CI46" s="8" t="str">
        <f>Tank5!E61</f>
        <v/>
      </c>
      <c r="CJ46" s="8" t="str">
        <f>Tank5!F61</f>
        <v/>
      </c>
      <c r="CK46" s="8">
        <f t="shared" si="71"/>
        <v>0</v>
      </c>
      <c r="CL46" s="8">
        <f t="shared" si="72"/>
        <v>0</v>
      </c>
      <c r="CN46" s="8" t="str">
        <f>Hidden!$CC29</f>
        <v/>
      </c>
      <c r="CO46">
        <f t="shared" si="73"/>
        <v>0</v>
      </c>
      <c r="CP46">
        <f t="shared" si="74"/>
        <v>0</v>
      </c>
      <c r="CQ46">
        <f t="shared" si="75"/>
        <v>0</v>
      </c>
      <c r="CR46">
        <f t="shared" si="76"/>
        <v>0</v>
      </c>
      <c r="CS46">
        <f t="shared" si="77"/>
        <v>0</v>
      </c>
      <c r="CT46">
        <f t="shared" si="78"/>
        <v>0</v>
      </c>
      <c r="CU46">
        <f t="shared" si="79"/>
        <v>0</v>
      </c>
      <c r="CV46">
        <f t="shared" si="80"/>
        <v>0</v>
      </c>
      <c r="CW46">
        <f t="shared" si="81"/>
        <v>0</v>
      </c>
      <c r="CX46">
        <f t="shared" si="82"/>
        <v>0</v>
      </c>
      <c r="DT46" s="77"/>
      <c r="DU46" s="8" t="str">
        <f t="shared" si="14"/>
        <v>AAAAAAAA</v>
      </c>
      <c r="DV46" s="8" t="str">
        <f t="shared" si="15"/>
        <v/>
      </c>
      <c r="DW46" s="8" t="str">
        <f t="shared" si="16"/>
        <v/>
      </c>
      <c r="DX46">
        <f t="shared" si="87"/>
        <v>0</v>
      </c>
      <c r="DY46">
        <f t="shared" si="87"/>
        <v>0</v>
      </c>
      <c r="EA46" t="str">
        <f t="shared" si="18"/>
        <v>AAAAAAAA</v>
      </c>
      <c r="EB46" t="str">
        <f t="shared" si="19"/>
        <v/>
      </c>
      <c r="EC46" t="str">
        <f t="shared" si="20"/>
        <v/>
      </c>
      <c r="ED46">
        <f t="shared" si="88"/>
        <v>0</v>
      </c>
      <c r="EE46">
        <f t="shared" si="88"/>
        <v>0</v>
      </c>
      <c r="EG46" s="8" t="str">
        <f t="shared" si="22"/>
        <v>AAAAAAAA</v>
      </c>
      <c r="EH46" s="8" t="str">
        <f t="shared" si="23"/>
        <v/>
      </c>
      <c r="EI46" s="8" t="str">
        <f t="shared" si="24"/>
        <v/>
      </c>
      <c r="EJ46">
        <f t="shared" si="89"/>
        <v>0</v>
      </c>
      <c r="EK46">
        <f t="shared" si="89"/>
        <v>0</v>
      </c>
      <c r="EM46" s="8" t="str">
        <f t="shared" si="26"/>
        <v>AAAAAAAA</v>
      </c>
      <c r="EN46" s="8" t="str">
        <f t="shared" si="27"/>
        <v/>
      </c>
      <c r="EO46" s="8" t="str">
        <f t="shared" si="28"/>
        <v/>
      </c>
      <c r="EP46">
        <f t="shared" si="90"/>
        <v>0</v>
      </c>
      <c r="EQ46">
        <f t="shared" si="90"/>
        <v>0</v>
      </c>
      <c r="ES46" s="8" t="str">
        <f t="shared" si="30"/>
        <v>AAAAAAAA</v>
      </c>
      <c r="ET46" s="8" t="str">
        <f t="shared" si="31"/>
        <v/>
      </c>
      <c r="EU46" s="8" t="str">
        <f t="shared" si="32"/>
        <v/>
      </c>
      <c r="EV46">
        <f t="shared" si="91"/>
        <v>0</v>
      </c>
      <c r="EW46">
        <f t="shared" si="91"/>
        <v>0</v>
      </c>
      <c r="EY46" s="8" t="str">
        <f>Hidden!$CG40</f>
        <v/>
      </c>
      <c r="EZ46">
        <f t="shared" si="34"/>
        <v>0</v>
      </c>
      <c r="FA46">
        <f t="shared" si="35"/>
        <v>0</v>
      </c>
      <c r="FB46">
        <f t="shared" si="36"/>
        <v>0</v>
      </c>
      <c r="FC46">
        <f t="shared" si="37"/>
        <v>0</v>
      </c>
      <c r="FD46">
        <f t="shared" si="38"/>
        <v>0</v>
      </c>
      <c r="FE46">
        <f t="shared" si="39"/>
        <v>0</v>
      </c>
      <c r="FF46">
        <f t="shared" si="40"/>
        <v>0</v>
      </c>
      <c r="FG46">
        <f t="shared" si="41"/>
        <v>0</v>
      </c>
      <c r="FH46">
        <f t="shared" si="42"/>
        <v>0</v>
      </c>
      <c r="FI46">
        <f t="shared" si="43"/>
        <v>0</v>
      </c>
      <c r="GH46">
        <f>IF(OR(GI46=0,ISNUMBER(MATCH(GI46,$GI$2:GI45,0))),0,MAX($GH$2:GH45)+1)</f>
        <v>0</v>
      </c>
      <c r="GI46">
        <f t="shared" si="92"/>
        <v>0</v>
      </c>
      <c r="GL46">
        <f>IF(OR(GM46=0,ISNUMBER(MATCH(GM46,$GM$2:GM45,0))),0,MAX($GL$2:GL45)+1)</f>
        <v>0</v>
      </c>
      <c r="GM46">
        <f t="shared" si="93"/>
        <v>0</v>
      </c>
    </row>
    <row r="47" spans="1:195" ht="28.5" x14ac:dyDescent="0.2">
      <c r="A47" s="8" t="str">
        <f>Tank1!A62</f>
        <v>AAAAAAAA</v>
      </c>
      <c r="B47" s="8" t="str">
        <f>Tank1!E62</f>
        <v/>
      </c>
      <c r="C47" s="8" t="str">
        <f>Tank1!F62</f>
        <v/>
      </c>
      <c r="D47" s="8">
        <f t="shared" si="48"/>
        <v>0</v>
      </c>
      <c r="E47" s="8">
        <f t="shared" si="48"/>
        <v>0</v>
      </c>
      <c r="G47" s="8" t="str">
        <f>Tank2!A62</f>
        <v>AAAAAAAA</v>
      </c>
      <c r="H47" s="8" t="str">
        <f>Tank2!E62</f>
        <v/>
      </c>
      <c r="I47" s="8" t="str">
        <f>Tank2!F62</f>
        <v/>
      </c>
      <c r="J47">
        <f t="shared" si="49"/>
        <v>0</v>
      </c>
      <c r="K47">
        <f t="shared" si="49"/>
        <v>0</v>
      </c>
      <c r="M47" s="8" t="str">
        <f>Tank3!A62</f>
        <v>AAAAAAAA</v>
      </c>
      <c r="N47" s="8" t="str">
        <f>Tank3!E62</f>
        <v/>
      </c>
      <c r="O47" s="8" t="str">
        <f>Tank3!F62</f>
        <v/>
      </c>
      <c r="P47">
        <f t="shared" si="50"/>
        <v>0</v>
      </c>
      <c r="Q47">
        <f t="shared" si="50"/>
        <v>0</v>
      </c>
      <c r="S47" s="8" t="str">
        <f>Tank4!A62</f>
        <v>AAAAAAAA</v>
      </c>
      <c r="T47" s="8" t="str">
        <f>Tank4!E62</f>
        <v/>
      </c>
      <c r="U47" s="8" t="str">
        <f>Tank4!F62</f>
        <v/>
      </c>
      <c r="V47">
        <f t="shared" si="51"/>
        <v>0</v>
      </c>
      <c r="W47">
        <f t="shared" si="51"/>
        <v>0</v>
      </c>
      <c r="Y47" s="8" t="str">
        <f>Tank5!A62</f>
        <v>AAAAAAAA</v>
      </c>
      <c r="Z47" s="8" t="str">
        <f>Tank5!E62</f>
        <v/>
      </c>
      <c r="AA47" s="8" t="str">
        <f>Tank5!F62</f>
        <v/>
      </c>
      <c r="AB47">
        <f t="shared" si="52"/>
        <v>0</v>
      </c>
      <c r="AC47">
        <f t="shared" si="52"/>
        <v>0</v>
      </c>
      <c r="AE47" s="8" t="str">
        <f>Hidden!CC30</f>
        <v/>
      </c>
      <c r="AF47">
        <f t="shared" si="53"/>
        <v>0</v>
      </c>
      <c r="AG47">
        <f t="shared" si="54"/>
        <v>0</v>
      </c>
      <c r="AH47">
        <f t="shared" si="55"/>
        <v>0</v>
      </c>
      <c r="AI47">
        <f t="shared" si="56"/>
        <v>0</v>
      </c>
      <c r="AJ47">
        <f t="shared" si="57"/>
        <v>0</v>
      </c>
      <c r="AK47">
        <f t="shared" si="58"/>
        <v>0</v>
      </c>
      <c r="AL47">
        <f t="shared" si="59"/>
        <v>0</v>
      </c>
      <c r="AM47">
        <f t="shared" si="60"/>
        <v>0</v>
      </c>
      <c r="AN47">
        <f t="shared" si="61"/>
        <v>0</v>
      </c>
      <c r="AO47">
        <f t="shared" si="62"/>
        <v>0</v>
      </c>
      <c r="BJ47" s="8" t="str">
        <f>Tank1!A62</f>
        <v>AAAAAAAA</v>
      </c>
      <c r="BK47" s="8" t="str">
        <f>Tank1!E62</f>
        <v/>
      </c>
      <c r="BL47" s="8" t="str">
        <f>Tank1!F62</f>
        <v/>
      </c>
      <c r="BM47" s="8">
        <f t="shared" si="63"/>
        <v>0</v>
      </c>
      <c r="BN47" s="8">
        <f t="shared" si="64"/>
        <v>0</v>
      </c>
      <c r="BO47" s="8"/>
      <c r="BP47" s="8" t="str">
        <f>Tank2!A62</f>
        <v>AAAAAAAA</v>
      </c>
      <c r="BQ47" s="8" t="str">
        <f>Tank2!E62</f>
        <v/>
      </c>
      <c r="BR47" s="8" t="str">
        <f>Tank2!F62</f>
        <v/>
      </c>
      <c r="BS47" s="8">
        <f t="shared" si="65"/>
        <v>0</v>
      </c>
      <c r="BT47" s="8">
        <f t="shared" si="66"/>
        <v>0</v>
      </c>
      <c r="BU47" s="8"/>
      <c r="BV47" s="8" t="str">
        <f>Tank3!A62</f>
        <v>AAAAAAAA</v>
      </c>
      <c r="BW47" s="8" t="str">
        <f>Tank3!E62</f>
        <v/>
      </c>
      <c r="BX47" s="8" t="str">
        <f>Tank3!F62</f>
        <v/>
      </c>
      <c r="BY47" s="8">
        <f t="shared" si="67"/>
        <v>0</v>
      </c>
      <c r="BZ47" s="8">
        <f t="shared" si="68"/>
        <v>0</v>
      </c>
      <c r="CA47" s="8"/>
      <c r="CB47" s="8" t="str">
        <f>Tank4!A62</f>
        <v>AAAAAAAA</v>
      </c>
      <c r="CC47" s="8" t="str">
        <f>Tank4!E62</f>
        <v/>
      </c>
      <c r="CD47" s="8" t="str">
        <f>Tank4!F62</f>
        <v/>
      </c>
      <c r="CE47" s="8">
        <f t="shared" si="69"/>
        <v>0</v>
      </c>
      <c r="CF47" s="8">
        <f t="shared" si="70"/>
        <v>0</v>
      </c>
      <c r="CH47" s="8" t="str">
        <f>Tank5!A62</f>
        <v>AAAAAAAA</v>
      </c>
      <c r="CI47" s="8" t="str">
        <f>Tank5!E62</f>
        <v/>
      </c>
      <c r="CJ47" s="8" t="str">
        <f>Tank5!F62</f>
        <v/>
      </c>
      <c r="CK47" s="8">
        <f t="shared" si="71"/>
        <v>0</v>
      </c>
      <c r="CL47" s="8">
        <f t="shared" si="72"/>
        <v>0</v>
      </c>
      <c r="CN47" s="8" t="str">
        <f>Hidden!$CC30</f>
        <v/>
      </c>
      <c r="CO47">
        <f t="shared" si="73"/>
        <v>0</v>
      </c>
      <c r="CP47">
        <f t="shared" si="74"/>
        <v>0</v>
      </c>
      <c r="CQ47">
        <f t="shared" si="75"/>
        <v>0</v>
      </c>
      <c r="CR47">
        <f t="shared" si="76"/>
        <v>0</v>
      </c>
      <c r="CS47">
        <f t="shared" si="77"/>
        <v>0</v>
      </c>
      <c r="CT47">
        <f t="shared" si="78"/>
        <v>0</v>
      </c>
      <c r="CU47">
        <f t="shared" si="79"/>
        <v>0</v>
      </c>
      <c r="CV47">
        <f t="shared" si="80"/>
        <v>0</v>
      </c>
      <c r="CW47">
        <f t="shared" si="81"/>
        <v>0</v>
      </c>
      <c r="CX47">
        <f t="shared" si="82"/>
        <v>0</v>
      </c>
      <c r="DT47" s="77"/>
      <c r="DU47" s="8" t="str">
        <f t="shared" si="14"/>
        <v>AAAAAAAAA</v>
      </c>
      <c r="DV47" s="8" t="str">
        <f t="shared" si="15"/>
        <v/>
      </c>
      <c r="DW47" s="8" t="str">
        <f t="shared" si="16"/>
        <v/>
      </c>
      <c r="DX47">
        <f t="shared" si="87"/>
        <v>0</v>
      </c>
      <c r="DY47">
        <f t="shared" si="87"/>
        <v>0</v>
      </c>
      <c r="EA47" t="str">
        <f t="shared" si="18"/>
        <v>AAAAAAAAA</v>
      </c>
      <c r="EB47" t="str">
        <f t="shared" si="19"/>
        <v/>
      </c>
      <c r="EC47" t="str">
        <f t="shared" si="20"/>
        <v/>
      </c>
      <c r="ED47">
        <f t="shared" si="88"/>
        <v>0</v>
      </c>
      <c r="EE47">
        <f t="shared" si="88"/>
        <v>0</v>
      </c>
      <c r="EG47" s="8" t="str">
        <f t="shared" si="22"/>
        <v>AAAAAAAAA</v>
      </c>
      <c r="EH47" s="8" t="str">
        <f t="shared" si="23"/>
        <v/>
      </c>
      <c r="EI47" s="8" t="str">
        <f t="shared" si="24"/>
        <v/>
      </c>
      <c r="EJ47">
        <f t="shared" si="89"/>
        <v>0</v>
      </c>
      <c r="EK47">
        <f t="shared" si="89"/>
        <v>0</v>
      </c>
      <c r="EM47" s="8" t="str">
        <f t="shared" si="26"/>
        <v>AAAAAAAAA</v>
      </c>
      <c r="EN47" s="8" t="str">
        <f t="shared" si="27"/>
        <v/>
      </c>
      <c r="EO47" s="8" t="str">
        <f t="shared" si="28"/>
        <v/>
      </c>
      <c r="EP47">
        <f t="shared" si="90"/>
        <v>0</v>
      </c>
      <c r="EQ47">
        <f t="shared" si="90"/>
        <v>0</v>
      </c>
      <c r="ES47" s="8" t="str">
        <f t="shared" si="30"/>
        <v>AAAAAAAAA</v>
      </c>
      <c r="ET47" s="8" t="str">
        <f t="shared" si="31"/>
        <v/>
      </c>
      <c r="EU47" s="8" t="str">
        <f t="shared" si="32"/>
        <v/>
      </c>
      <c r="EV47">
        <f t="shared" si="91"/>
        <v>0</v>
      </c>
      <c r="EW47">
        <f t="shared" si="91"/>
        <v>0</v>
      </c>
      <c r="EY47" s="8" t="str">
        <f>Hidden!$CG41</f>
        <v/>
      </c>
      <c r="EZ47">
        <f t="shared" si="34"/>
        <v>0</v>
      </c>
      <c r="FA47">
        <f t="shared" si="35"/>
        <v>0</v>
      </c>
      <c r="FB47">
        <f t="shared" si="36"/>
        <v>0</v>
      </c>
      <c r="FC47">
        <f t="shared" si="37"/>
        <v>0</v>
      </c>
      <c r="FD47">
        <f t="shared" si="38"/>
        <v>0</v>
      </c>
      <c r="FE47">
        <f t="shared" si="39"/>
        <v>0</v>
      </c>
      <c r="FF47">
        <f t="shared" si="40"/>
        <v>0</v>
      </c>
      <c r="FG47">
        <f t="shared" si="41"/>
        <v>0</v>
      </c>
      <c r="FH47">
        <f t="shared" si="42"/>
        <v>0</v>
      </c>
      <c r="FI47">
        <f t="shared" si="43"/>
        <v>0</v>
      </c>
      <c r="GH47">
        <f>IF(OR(GI47=0,ISNUMBER(MATCH(GI47,$GI$2:GI46,0))),0,MAX($GH$2:GH46)+1)</f>
        <v>0</v>
      </c>
      <c r="GI47">
        <f t="shared" si="92"/>
        <v>0</v>
      </c>
      <c r="GL47">
        <f>IF(OR(GM47=0,ISNUMBER(MATCH(GM47,$GM$2:GM46,0))),0,MAX($GL$2:GL46)+1)</f>
        <v>0</v>
      </c>
      <c r="GM47">
        <f t="shared" si="93"/>
        <v>0</v>
      </c>
    </row>
    <row r="48" spans="1:195" ht="28.5" x14ac:dyDescent="0.2">
      <c r="A48" s="8" t="str">
        <f>Tank1!A63</f>
        <v>AAAAAAAAA</v>
      </c>
      <c r="B48" s="8" t="str">
        <f>Tank1!E63</f>
        <v/>
      </c>
      <c r="C48" s="8" t="str">
        <f>Tank1!F63</f>
        <v/>
      </c>
      <c r="D48" s="8">
        <f t="shared" si="48"/>
        <v>0</v>
      </c>
      <c r="E48" s="8">
        <f t="shared" si="48"/>
        <v>0</v>
      </c>
      <c r="G48" s="8" t="str">
        <f>Tank2!A63</f>
        <v>AAAAAAAAA</v>
      </c>
      <c r="H48" s="8" t="str">
        <f>Tank2!E63</f>
        <v/>
      </c>
      <c r="I48" s="8" t="str">
        <f>Tank2!F63</f>
        <v/>
      </c>
      <c r="J48">
        <f t="shared" si="49"/>
        <v>0</v>
      </c>
      <c r="K48">
        <f t="shared" si="49"/>
        <v>0</v>
      </c>
      <c r="M48" s="8" t="str">
        <f>Tank3!A63</f>
        <v>AAAAAAAAA</v>
      </c>
      <c r="N48" s="8" t="str">
        <f>Tank3!E63</f>
        <v/>
      </c>
      <c r="O48" s="8" t="str">
        <f>Tank3!F63</f>
        <v/>
      </c>
      <c r="P48">
        <f t="shared" si="50"/>
        <v>0</v>
      </c>
      <c r="Q48">
        <f t="shared" si="50"/>
        <v>0</v>
      </c>
      <c r="S48" s="8" t="str">
        <f>Tank4!A63</f>
        <v>AAAAAAAAA</v>
      </c>
      <c r="T48" s="8" t="str">
        <f>Tank4!E63</f>
        <v/>
      </c>
      <c r="U48" s="8" t="str">
        <f>Tank4!F63</f>
        <v/>
      </c>
      <c r="V48">
        <f t="shared" si="51"/>
        <v>0</v>
      </c>
      <c r="W48">
        <f t="shared" si="51"/>
        <v>0</v>
      </c>
      <c r="Y48" s="8" t="str">
        <f>Tank5!A63</f>
        <v>AAAAAAAAA</v>
      </c>
      <c r="Z48" s="8" t="str">
        <f>Tank5!E63</f>
        <v/>
      </c>
      <c r="AA48" s="8" t="str">
        <f>Tank5!F63</f>
        <v/>
      </c>
      <c r="AB48">
        <f t="shared" si="52"/>
        <v>0</v>
      </c>
      <c r="AC48">
        <f t="shared" si="52"/>
        <v>0</v>
      </c>
      <c r="AE48" s="8" t="str">
        <f>Hidden!CC31</f>
        <v/>
      </c>
      <c r="AF48">
        <f t="shared" si="53"/>
        <v>0</v>
      </c>
      <c r="AG48">
        <f t="shared" si="54"/>
        <v>0</v>
      </c>
      <c r="AH48">
        <f t="shared" si="55"/>
        <v>0</v>
      </c>
      <c r="AI48">
        <f t="shared" si="56"/>
        <v>0</v>
      </c>
      <c r="AJ48">
        <f t="shared" si="57"/>
        <v>0</v>
      </c>
      <c r="AK48">
        <f t="shared" si="58"/>
        <v>0</v>
      </c>
      <c r="AL48">
        <f t="shared" si="59"/>
        <v>0</v>
      </c>
      <c r="AM48">
        <f t="shared" si="60"/>
        <v>0</v>
      </c>
      <c r="AN48">
        <f t="shared" si="61"/>
        <v>0</v>
      </c>
      <c r="AO48">
        <f t="shared" si="62"/>
        <v>0</v>
      </c>
      <c r="BJ48" s="8" t="str">
        <f>Tank1!A63</f>
        <v>AAAAAAAAA</v>
      </c>
      <c r="BK48" s="8" t="str">
        <f>Tank1!E63</f>
        <v/>
      </c>
      <c r="BL48" s="8" t="str">
        <f>Tank1!F63</f>
        <v/>
      </c>
      <c r="BM48" s="8">
        <f t="shared" si="63"/>
        <v>0</v>
      </c>
      <c r="BN48" s="8">
        <f t="shared" si="64"/>
        <v>0</v>
      </c>
      <c r="BO48" s="8"/>
      <c r="BP48" s="8" t="str">
        <f>Tank2!A63</f>
        <v>AAAAAAAAA</v>
      </c>
      <c r="BQ48" s="8" t="str">
        <f>Tank2!E63</f>
        <v/>
      </c>
      <c r="BR48" s="8" t="str">
        <f>Tank2!F63</f>
        <v/>
      </c>
      <c r="BS48" s="8">
        <f t="shared" si="65"/>
        <v>0</v>
      </c>
      <c r="BT48" s="8">
        <f t="shared" si="66"/>
        <v>0</v>
      </c>
      <c r="BU48" s="8"/>
      <c r="BV48" s="8" t="str">
        <f>Tank3!A63</f>
        <v>AAAAAAAAA</v>
      </c>
      <c r="BW48" s="8" t="str">
        <f>Tank3!E63</f>
        <v/>
      </c>
      <c r="BX48" s="8" t="str">
        <f>Tank3!F63</f>
        <v/>
      </c>
      <c r="BY48" s="8">
        <f t="shared" si="67"/>
        <v>0</v>
      </c>
      <c r="BZ48" s="8">
        <f t="shared" si="68"/>
        <v>0</v>
      </c>
      <c r="CA48" s="8"/>
      <c r="CB48" s="8" t="str">
        <f>Tank4!A63</f>
        <v>AAAAAAAAA</v>
      </c>
      <c r="CC48" s="8" t="str">
        <f>Tank4!E63</f>
        <v/>
      </c>
      <c r="CD48" s="8" t="str">
        <f>Tank4!F63</f>
        <v/>
      </c>
      <c r="CE48" s="8">
        <f t="shared" si="69"/>
        <v>0</v>
      </c>
      <c r="CF48" s="8">
        <f t="shared" si="70"/>
        <v>0</v>
      </c>
      <c r="CH48" s="8" t="str">
        <f>Tank5!A63</f>
        <v>AAAAAAAAA</v>
      </c>
      <c r="CI48" s="8" t="str">
        <f>Tank5!E63</f>
        <v/>
      </c>
      <c r="CJ48" s="8" t="str">
        <f>Tank5!F63</f>
        <v/>
      </c>
      <c r="CK48" s="8">
        <f t="shared" si="71"/>
        <v>0</v>
      </c>
      <c r="CL48" s="8">
        <f t="shared" si="72"/>
        <v>0</v>
      </c>
      <c r="CN48" s="8" t="str">
        <f>Hidden!$CC31</f>
        <v/>
      </c>
      <c r="CO48">
        <f t="shared" si="73"/>
        <v>0</v>
      </c>
      <c r="CP48">
        <f t="shared" si="74"/>
        <v>0</v>
      </c>
      <c r="CQ48">
        <f t="shared" si="75"/>
        <v>0</v>
      </c>
      <c r="CR48">
        <f t="shared" si="76"/>
        <v>0</v>
      </c>
      <c r="CS48">
        <f t="shared" si="77"/>
        <v>0</v>
      </c>
      <c r="CT48">
        <f t="shared" si="78"/>
        <v>0</v>
      </c>
      <c r="CU48">
        <f t="shared" si="79"/>
        <v>0</v>
      </c>
      <c r="CV48">
        <f t="shared" si="80"/>
        <v>0</v>
      </c>
      <c r="CW48">
        <f t="shared" si="81"/>
        <v>0</v>
      </c>
      <c r="CX48">
        <f t="shared" si="82"/>
        <v>0</v>
      </c>
      <c r="DT48" s="77"/>
      <c r="DU48" s="8" t="str">
        <f t="shared" si="14"/>
        <v>AAAAAAAAAA</v>
      </c>
      <c r="DV48" s="8" t="str">
        <f t="shared" si="15"/>
        <v/>
      </c>
      <c r="DW48" s="8" t="str">
        <f t="shared" si="16"/>
        <v/>
      </c>
      <c r="DX48">
        <f t="shared" si="87"/>
        <v>0</v>
      </c>
      <c r="DY48">
        <f t="shared" si="87"/>
        <v>0</v>
      </c>
      <c r="EA48" t="str">
        <f t="shared" si="18"/>
        <v>AAAAAAAAAA</v>
      </c>
      <c r="EB48" t="str">
        <f t="shared" si="19"/>
        <v/>
      </c>
      <c r="EC48" t="str">
        <f t="shared" si="20"/>
        <v/>
      </c>
      <c r="ED48">
        <f t="shared" si="88"/>
        <v>0</v>
      </c>
      <c r="EE48">
        <f t="shared" si="88"/>
        <v>0</v>
      </c>
      <c r="EG48" s="8" t="str">
        <f t="shared" si="22"/>
        <v>AAAAAAAAAA</v>
      </c>
      <c r="EH48" s="8" t="str">
        <f t="shared" si="23"/>
        <v/>
      </c>
      <c r="EI48" s="8" t="str">
        <f t="shared" si="24"/>
        <v/>
      </c>
      <c r="EJ48">
        <f t="shared" si="89"/>
        <v>0</v>
      </c>
      <c r="EK48">
        <f t="shared" si="89"/>
        <v>0</v>
      </c>
      <c r="EM48" s="8" t="str">
        <f t="shared" si="26"/>
        <v>AAAAAAAAAA</v>
      </c>
      <c r="EN48" s="8" t="str">
        <f t="shared" si="27"/>
        <v/>
      </c>
      <c r="EO48" s="8" t="str">
        <f t="shared" si="28"/>
        <v/>
      </c>
      <c r="EP48">
        <f t="shared" si="90"/>
        <v>0</v>
      </c>
      <c r="EQ48">
        <f t="shared" si="90"/>
        <v>0</v>
      </c>
      <c r="ES48" s="8" t="str">
        <f t="shared" si="30"/>
        <v>AAAAAAAAAA</v>
      </c>
      <c r="ET48" s="8" t="str">
        <f t="shared" si="31"/>
        <v/>
      </c>
      <c r="EU48" s="8" t="str">
        <f t="shared" si="32"/>
        <v/>
      </c>
      <c r="EV48">
        <f t="shared" si="91"/>
        <v>0</v>
      </c>
      <c r="EW48">
        <f t="shared" si="91"/>
        <v>0</v>
      </c>
      <c r="EY48" s="8" t="str">
        <f>Hidden!$CG42</f>
        <v/>
      </c>
      <c r="EZ48">
        <f t="shared" si="34"/>
        <v>0</v>
      </c>
      <c r="FA48">
        <f t="shared" si="35"/>
        <v>0</v>
      </c>
      <c r="FB48">
        <f t="shared" si="36"/>
        <v>0</v>
      </c>
      <c r="FC48">
        <f t="shared" si="37"/>
        <v>0</v>
      </c>
      <c r="FD48">
        <f t="shared" si="38"/>
        <v>0</v>
      </c>
      <c r="FE48">
        <f t="shared" si="39"/>
        <v>0</v>
      </c>
      <c r="FF48">
        <f t="shared" si="40"/>
        <v>0</v>
      </c>
      <c r="FG48">
        <f t="shared" si="41"/>
        <v>0</v>
      </c>
      <c r="FH48">
        <f t="shared" si="42"/>
        <v>0</v>
      </c>
      <c r="FI48">
        <f t="shared" si="43"/>
        <v>0</v>
      </c>
      <c r="GH48">
        <f>IF(OR(GI48=0,ISNUMBER(MATCH(GI48,$GI$2:GI47,0))),0,MAX($GH$2:GH47)+1)</f>
        <v>0</v>
      </c>
      <c r="GI48">
        <f t="shared" si="92"/>
        <v>0</v>
      </c>
      <c r="GL48">
        <f>IF(OR(GM48=0,ISNUMBER(MATCH(GM48,$GM$2:GM47,0))),0,MAX($GL$2:GL47)+1)</f>
        <v>0</v>
      </c>
      <c r="GM48">
        <f t="shared" si="93"/>
        <v>0</v>
      </c>
    </row>
    <row r="49" spans="1:195" x14ac:dyDescent="0.2">
      <c r="A49" s="8" t="str">
        <f>Tank1!A64</f>
        <v>AAAAAAAAAA</v>
      </c>
      <c r="B49" s="8" t="str">
        <f>Tank1!E64</f>
        <v/>
      </c>
      <c r="C49" s="8" t="str">
        <f>Tank1!F64</f>
        <v/>
      </c>
      <c r="D49" s="8">
        <f t="shared" si="48"/>
        <v>0</v>
      </c>
      <c r="E49" s="8">
        <f t="shared" si="48"/>
        <v>0</v>
      </c>
      <c r="G49" s="8" t="str">
        <f>Tank2!A64</f>
        <v>AAAAAAAAAA</v>
      </c>
      <c r="H49" s="8" t="str">
        <f>Tank2!E64</f>
        <v/>
      </c>
      <c r="I49" s="8" t="str">
        <f>Tank2!F64</f>
        <v/>
      </c>
      <c r="J49">
        <f t="shared" si="49"/>
        <v>0</v>
      </c>
      <c r="K49">
        <f t="shared" si="49"/>
        <v>0</v>
      </c>
      <c r="M49" s="8" t="str">
        <f>Tank3!A64</f>
        <v>AAAAAAAAAA</v>
      </c>
      <c r="N49" s="8" t="str">
        <f>Tank3!E64</f>
        <v/>
      </c>
      <c r="O49" s="8" t="str">
        <f>Tank3!F64</f>
        <v/>
      </c>
      <c r="P49">
        <f t="shared" si="50"/>
        <v>0</v>
      </c>
      <c r="Q49">
        <f t="shared" si="50"/>
        <v>0</v>
      </c>
      <c r="S49" s="8" t="str">
        <f>Tank4!A64</f>
        <v>AAAAAAAAAA</v>
      </c>
      <c r="T49" s="8" t="str">
        <f>Tank4!E64</f>
        <v/>
      </c>
      <c r="U49" s="8" t="str">
        <f>Tank4!F64</f>
        <v/>
      </c>
      <c r="V49">
        <f t="shared" si="51"/>
        <v>0</v>
      </c>
      <c r="W49">
        <f t="shared" si="51"/>
        <v>0</v>
      </c>
      <c r="Y49" s="8" t="str">
        <f>Tank5!A64</f>
        <v>AAAAAAAAAA</v>
      </c>
      <c r="Z49" s="8" t="str">
        <f>Tank5!E64</f>
        <v/>
      </c>
      <c r="AA49" s="8" t="str">
        <f>Tank5!F64</f>
        <v/>
      </c>
      <c r="AB49">
        <f t="shared" si="52"/>
        <v>0</v>
      </c>
      <c r="AC49">
        <f t="shared" si="52"/>
        <v>0</v>
      </c>
      <c r="AE49" s="8" t="str">
        <f>Hidden!CC32</f>
        <v/>
      </c>
      <c r="AF49">
        <f t="shared" si="53"/>
        <v>0</v>
      </c>
      <c r="AG49">
        <f t="shared" si="54"/>
        <v>0</v>
      </c>
      <c r="AH49">
        <f t="shared" si="55"/>
        <v>0</v>
      </c>
      <c r="AI49">
        <f t="shared" si="56"/>
        <v>0</v>
      </c>
      <c r="AJ49">
        <f t="shared" si="57"/>
        <v>0</v>
      </c>
      <c r="AK49">
        <f t="shared" si="58"/>
        <v>0</v>
      </c>
      <c r="AL49">
        <f t="shared" si="59"/>
        <v>0</v>
      </c>
      <c r="AM49">
        <f t="shared" si="60"/>
        <v>0</v>
      </c>
      <c r="AN49">
        <f t="shared" si="61"/>
        <v>0</v>
      </c>
      <c r="AO49">
        <f t="shared" si="62"/>
        <v>0</v>
      </c>
      <c r="BJ49" s="8" t="str">
        <f>Tank1!A64</f>
        <v>AAAAAAAAAA</v>
      </c>
      <c r="BK49" s="8" t="str">
        <f>Tank1!E64</f>
        <v/>
      </c>
      <c r="BL49" s="8" t="str">
        <f>Tank1!F64</f>
        <v/>
      </c>
      <c r="BM49" s="8">
        <f t="shared" si="63"/>
        <v>0</v>
      </c>
      <c r="BN49" s="8">
        <f t="shared" si="64"/>
        <v>0</v>
      </c>
      <c r="BO49" s="8"/>
      <c r="BP49" s="8" t="str">
        <f>Tank2!A64</f>
        <v>AAAAAAAAAA</v>
      </c>
      <c r="BQ49" s="8" t="str">
        <f>Tank2!E64</f>
        <v/>
      </c>
      <c r="BR49" s="8" t="str">
        <f>Tank2!F64</f>
        <v/>
      </c>
      <c r="BS49" s="8">
        <f t="shared" si="65"/>
        <v>0</v>
      </c>
      <c r="BT49" s="8">
        <f t="shared" si="66"/>
        <v>0</v>
      </c>
      <c r="BU49" s="8"/>
      <c r="BV49" s="8" t="str">
        <f>Tank3!A64</f>
        <v>AAAAAAAAAA</v>
      </c>
      <c r="BW49" s="8" t="str">
        <f>Tank3!E64</f>
        <v/>
      </c>
      <c r="BX49" s="8" t="str">
        <f>Tank3!F64</f>
        <v/>
      </c>
      <c r="BY49" s="8">
        <f t="shared" si="67"/>
        <v>0</v>
      </c>
      <c r="BZ49" s="8">
        <f t="shared" si="68"/>
        <v>0</v>
      </c>
      <c r="CA49" s="8"/>
      <c r="CB49" s="8" t="str">
        <f>Tank4!A64</f>
        <v>AAAAAAAAAA</v>
      </c>
      <c r="CC49" s="8" t="str">
        <f>Tank4!E64</f>
        <v/>
      </c>
      <c r="CD49" s="8" t="str">
        <f>Tank4!F64</f>
        <v/>
      </c>
      <c r="CE49" s="8">
        <f t="shared" si="69"/>
        <v>0</v>
      </c>
      <c r="CF49" s="8">
        <f t="shared" si="70"/>
        <v>0</v>
      </c>
      <c r="CH49" s="8" t="str">
        <f>Tank5!A64</f>
        <v>AAAAAAAAAA</v>
      </c>
      <c r="CI49" s="8" t="str">
        <f>Tank5!E64</f>
        <v/>
      </c>
      <c r="CJ49" s="8" t="str">
        <f>Tank5!F64</f>
        <v/>
      </c>
      <c r="CK49" s="8">
        <f t="shared" si="71"/>
        <v>0</v>
      </c>
      <c r="CL49" s="8">
        <f t="shared" si="72"/>
        <v>0</v>
      </c>
      <c r="CN49" s="8" t="str">
        <f>Hidden!$CC32</f>
        <v/>
      </c>
      <c r="CO49">
        <f t="shared" si="73"/>
        <v>0</v>
      </c>
      <c r="CP49">
        <f t="shared" si="74"/>
        <v>0</v>
      </c>
      <c r="CQ49">
        <f t="shared" si="75"/>
        <v>0</v>
      </c>
      <c r="CR49">
        <f t="shared" si="76"/>
        <v>0</v>
      </c>
      <c r="CS49">
        <f t="shared" si="77"/>
        <v>0</v>
      </c>
      <c r="CT49">
        <f t="shared" si="78"/>
        <v>0</v>
      </c>
      <c r="CU49">
        <f t="shared" si="79"/>
        <v>0</v>
      </c>
      <c r="CV49">
        <f t="shared" si="80"/>
        <v>0</v>
      </c>
      <c r="CW49">
        <f t="shared" si="81"/>
        <v>0</v>
      </c>
      <c r="CX49">
        <f t="shared" si="82"/>
        <v>0</v>
      </c>
      <c r="DT49" s="77"/>
      <c r="DU49" s="8" t="str">
        <f t="shared" si="14"/>
        <v>A</v>
      </c>
      <c r="DV49" s="8" t="str">
        <f t="shared" si="15"/>
        <v/>
      </c>
      <c r="DW49" s="8" t="str">
        <f t="shared" si="16"/>
        <v/>
      </c>
      <c r="DX49">
        <f t="shared" si="87"/>
        <v>0</v>
      </c>
      <c r="DY49">
        <f t="shared" si="87"/>
        <v>0</v>
      </c>
      <c r="EA49" t="str">
        <f t="shared" si="18"/>
        <v>A</v>
      </c>
      <c r="EB49" t="str">
        <f t="shared" si="19"/>
        <v/>
      </c>
      <c r="EC49" t="str">
        <f t="shared" si="20"/>
        <v/>
      </c>
      <c r="ED49">
        <f t="shared" si="88"/>
        <v>0</v>
      </c>
      <c r="EE49">
        <f t="shared" si="88"/>
        <v>0</v>
      </c>
      <c r="EG49" s="8" t="str">
        <f t="shared" si="22"/>
        <v>A</v>
      </c>
      <c r="EH49" s="8" t="str">
        <f t="shared" si="23"/>
        <v/>
      </c>
      <c r="EI49" s="8" t="str">
        <f t="shared" si="24"/>
        <v/>
      </c>
      <c r="EJ49">
        <f t="shared" si="89"/>
        <v>0</v>
      </c>
      <c r="EK49">
        <f t="shared" si="89"/>
        <v>0</v>
      </c>
      <c r="EM49" s="8" t="str">
        <f t="shared" si="26"/>
        <v>A</v>
      </c>
      <c r="EN49" s="8" t="str">
        <f t="shared" si="27"/>
        <v/>
      </c>
      <c r="EO49" s="8" t="str">
        <f t="shared" si="28"/>
        <v/>
      </c>
      <c r="EP49">
        <f t="shared" si="90"/>
        <v>0</v>
      </c>
      <c r="EQ49">
        <f t="shared" si="90"/>
        <v>0</v>
      </c>
      <c r="ES49" s="8" t="str">
        <f t="shared" si="30"/>
        <v>A</v>
      </c>
      <c r="ET49" s="8" t="str">
        <f t="shared" si="31"/>
        <v/>
      </c>
      <c r="EU49" s="8" t="str">
        <f t="shared" si="32"/>
        <v/>
      </c>
      <c r="EV49">
        <f t="shared" si="91"/>
        <v>0</v>
      </c>
      <c r="EW49">
        <f t="shared" si="91"/>
        <v>0</v>
      </c>
      <c r="EY49" s="8" t="str">
        <f>Hidden!$CG43</f>
        <v/>
      </c>
      <c r="EZ49">
        <f t="shared" si="34"/>
        <v>0</v>
      </c>
      <c r="FA49">
        <f t="shared" si="35"/>
        <v>0</v>
      </c>
      <c r="FB49">
        <f t="shared" si="36"/>
        <v>0</v>
      </c>
      <c r="FC49">
        <f t="shared" si="37"/>
        <v>0</v>
      </c>
      <c r="FD49">
        <f t="shared" si="38"/>
        <v>0</v>
      </c>
      <c r="FE49">
        <f t="shared" si="39"/>
        <v>0</v>
      </c>
      <c r="FF49">
        <f t="shared" si="40"/>
        <v>0</v>
      </c>
      <c r="FG49">
        <f t="shared" si="41"/>
        <v>0</v>
      </c>
      <c r="FH49">
        <f t="shared" si="42"/>
        <v>0</v>
      </c>
      <c r="FI49">
        <f t="shared" si="43"/>
        <v>0</v>
      </c>
      <c r="GH49">
        <f>IF(OR(GI49=0,ISNUMBER(MATCH(GI49,$GI$2:GI48,0))),0,MAX($GH$2:GH48)+1)</f>
        <v>0</v>
      </c>
      <c r="GI49">
        <f t="shared" si="92"/>
        <v>0</v>
      </c>
      <c r="GL49">
        <f>IF(OR(GM49=0,ISNUMBER(MATCH(GM49,$GM$2:GM48,0))),0,MAX($GL$2:GL48)+1)</f>
        <v>0</v>
      </c>
      <c r="GM49">
        <f t="shared" si="93"/>
        <v>0</v>
      </c>
    </row>
    <row r="50" spans="1:195" x14ac:dyDescent="0.2">
      <c r="A50" s="8" t="str">
        <f>Tank1!A66</f>
        <v>A</v>
      </c>
      <c r="B50" s="8" t="str">
        <f>Tank1!E66</f>
        <v/>
      </c>
      <c r="C50" s="8" t="str">
        <f>Tank1!F66</f>
        <v/>
      </c>
      <c r="D50" s="8">
        <f t="shared" si="48"/>
        <v>0</v>
      </c>
      <c r="E50" s="8">
        <f t="shared" si="48"/>
        <v>0</v>
      </c>
      <c r="G50" s="8" t="str">
        <f>Tank2!A66</f>
        <v>A</v>
      </c>
      <c r="H50" s="8" t="str">
        <f>Tank2!E66</f>
        <v/>
      </c>
      <c r="I50" s="8" t="str">
        <f>Tank2!F66</f>
        <v/>
      </c>
      <c r="J50">
        <f t="shared" si="49"/>
        <v>0</v>
      </c>
      <c r="K50">
        <f t="shared" si="49"/>
        <v>0</v>
      </c>
      <c r="M50" s="8" t="str">
        <f>Tank3!A66</f>
        <v>A</v>
      </c>
      <c r="N50" s="8" t="str">
        <f>Tank3!E66</f>
        <v/>
      </c>
      <c r="O50" s="8" t="str">
        <f>Tank3!F66</f>
        <v/>
      </c>
      <c r="P50">
        <f t="shared" si="50"/>
        <v>0</v>
      </c>
      <c r="Q50">
        <f t="shared" si="50"/>
        <v>0</v>
      </c>
      <c r="S50" s="8" t="str">
        <f>Tank4!A66</f>
        <v>A</v>
      </c>
      <c r="T50" s="8" t="str">
        <f>Tank4!E66</f>
        <v/>
      </c>
      <c r="U50" s="8" t="str">
        <f>Tank4!F66</f>
        <v/>
      </c>
      <c r="V50">
        <f t="shared" si="51"/>
        <v>0</v>
      </c>
      <c r="W50">
        <f t="shared" si="51"/>
        <v>0</v>
      </c>
      <c r="Y50" s="8" t="str">
        <f>Tank5!A66</f>
        <v>A</v>
      </c>
      <c r="Z50" s="8" t="str">
        <f>Tank5!E66</f>
        <v/>
      </c>
      <c r="AA50" s="8" t="str">
        <f>Tank5!F66</f>
        <v/>
      </c>
      <c r="AB50">
        <f t="shared" si="52"/>
        <v>0</v>
      </c>
      <c r="AC50">
        <f t="shared" si="52"/>
        <v>0</v>
      </c>
      <c r="AE50" s="8" t="str">
        <f>Hidden!CC33</f>
        <v/>
      </c>
      <c r="AF50">
        <f t="shared" si="53"/>
        <v>0</v>
      </c>
      <c r="AG50">
        <f t="shared" si="54"/>
        <v>0</v>
      </c>
      <c r="AH50">
        <f t="shared" si="55"/>
        <v>0</v>
      </c>
      <c r="AI50">
        <f t="shared" si="56"/>
        <v>0</v>
      </c>
      <c r="AJ50">
        <f t="shared" si="57"/>
        <v>0</v>
      </c>
      <c r="AK50">
        <f t="shared" si="58"/>
        <v>0</v>
      </c>
      <c r="AL50">
        <f t="shared" si="59"/>
        <v>0</v>
      </c>
      <c r="AM50">
        <f t="shared" si="60"/>
        <v>0</v>
      </c>
      <c r="AN50">
        <f t="shared" si="61"/>
        <v>0</v>
      </c>
      <c r="AO50">
        <f t="shared" si="62"/>
        <v>0</v>
      </c>
      <c r="BJ50" s="8" t="str">
        <f>Tank1!A66</f>
        <v>A</v>
      </c>
      <c r="BK50" s="8" t="str">
        <f>Tank1!E66</f>
        <v/>
      </c>
      <c r="BL50" s="8" t="str">
        <f>Tank1!F66</f>
        <v/>
      </c>
      <c r="BM50" s="8">
        <f t="shared" si="63"/>
        <v>0</v>
      </c>
      <c r="BN50" s="8">
        <f t="shared" si="64"/>
        <v>0</v>
      </c>
      <c r="BO50" s="8"/>
      <c r="BP50" s="8" t="str">
        <f>Tank2!A66</f>
        <v>A</v>
      </c>
      <c r="BQ50" s="8" t="str">
        <f>Tank2!E66</f>
        <v/>
      </c>
      <c r="BR50" s="8" t="str">
        <f>Tank2!F66</f>
        <v/>
      </c>
      <c r="BS50" s="8">
        <f t="shared" si="65"/>
        <v>0</v>
      </c>
      <c r="BT50" s="8">
        <f t="shared" si="66"/>
        <v>0</v>
      </c>
      <c r="BU50" s="8"/>
      <c r="BV50" s="8" t="str">
        <f>Tank3!A66</f>
        <v>A</v>
      </c>
      <c r="BW50" s="8" t="str">
        <f>Tank3!E66</f>
        <v/>
      </c>
      <c r="BX50" s="8" t="str">
        <f>Tank3!F66</f>
        <v/>
      </c>
      <c r="BY50" s="8">
        <f t="shared" si="67"/>
        <v>0</v>
      </c>
      <c r="BZ50" s="8">
        <f t="shared" si="68"/>
        <v>0</v>
      </c>
      <c r="CA50" s="8"/>
      <c r="CB50" s="8" t="str">
        <f>Tank4!A66</f>
        <v>A</v>
      </c>
      <c r="CC50" s="8" t="str">
        <f>Tank4!E66</f>
        <v/>
      </c>
      <c r="CD50" s="8" t="str">
        <f>Tank4!F66</f>
        <v/>
      </c>
      <c r="CE50" s="8">
        <f t="shared" si="69"/>
        <v>0</v>
      </c>
      <c r="CF50" s="8">
        <f t="shared" si="70"/>
        <v>0</v>
      </c>
      <c r="CH50" s="8" t="str">
        <f>Tank5!A66</f>
        <v>A</v>
      </c>
      <c r="CI50" s="8" t="str">
        <f>Tank5!E66</f>
        <v/>
      </c>
      <c r="CJ50" s="8" t="str">
        <f>Tank5!F66</f>
        <v/>
      </c>
      <c r="CK50" s="8">
        <f t="shared" si="71"/>
        <v>0</v>
      </c>
      <c r="CL50" s="8">
        <f t="shared" si="72"/>
        <v>0</v>
      </c>
      <c r="CN50" s="8" t="str">
        <f>Hidden!$CC33</f>
        <v/>
      </c>
      <c r="CO50">
        <f t="shared" si="73"/>
        <v>0</v>
      </c>
      <c r="CP50">
        <f t="shared" si="74"/>
        <v>0</v>
      </c>
      <c r="CQ50">
        <f t="shared" si="75"/>
        <v>0</v>
      </c>
      <c r="CR50">
        <f t="shared" si="76"/>
        <v>0</v>
      </c>
      <c r="CS50">
        <f t="shared" si="77"/>
        <v>0</v>
      </c>
      <c r="CT50">
        <f t="shared" si="78"/>
        <v>0</v>
      </c>
      <c r="CU50">
        <f t="shared" si="79"/>
        <v>0</v>
      </c>
      <c r="CV50">
        <f t="shared" si="80"/>
        <v>0</v>
      </c>
      <c r="CW50">
        <f t="shared" si="81"/>
        <v>0</v>
      </c>
      <c r="CX50">
        <f t="shared" si="82"/>
        <v>0</v>
      </c>
      <c r="DT50" s="77"/>
      <c r="DU50" s="8" t="str">
        <f t="shared" si="14"/>
        <v>AA</v>
      </c>
      <c r="DV50" s="8" t="str">
        <f t="shared" si="15"/>
        <v/>
      </c>
      <c r="DW50" s="8" t="str">
        <f t="shared" si="16"/>
        <v/>
      </c>
      <c r="DX50">
        <f t="shared" si="87"/>
        <v>0</v>
      </c>
      <c r="DY50">
        <f t="shared" si="87"/>
        <v>0</v>
      </c>
      <c r="EA50" t="str">
        <f t="shared" si="18"/>
        <v>AA</v>
      </c>
      <c r="EB50" t="str">
        <f t="shared" si="19"/>
        <v/>
      </c>
      <c r="EC50" t="str">
        <f t="shared" si="20"/>
        <v/>
      </c>
      <c r="ED50">
        <f t="shared" si="88"/>
        <v>0</v>
      </c>
      <c r="EE50">
        <f t="shared" si="88"/>
        <v>0</v>
      </c>
      <c r="EG50" s="8" t="str">
        <f t="shared" si="22"/>
        <v>AA</v>
      </c>
      <c r="EH50" s="8" t="str">
        <f t="shared" si="23"/>
        <v/>
      </c>
      <c r="EI50" s="8" t="str">
        <f t="shared" si="24"/>
        <v/>
      </c>
      <c r="EJ50">
        <f t="shared" si="89"/>
        <v>0</v>
      </c>
      <c r="EK50">
        <f t="shared" si="89"/>
        <v>0</v>
      </c>
      <c r="EM50" s="8" t="str">
        <f t="shared" si="26"/>
        <v>AA</v>
      </c>
      <c r="EN50" s="8" t="str">
        <f t="shared" si="27"/>
        <v/>
      </c>
      <c r="EO50" s="8" t="str">
        <f t="shared" si="28"/>
        <v/>
      </c>
      <c r="EP50">
        <f t="shared" si="90"/>
        <v>0</v>
      </c>
      <c r="EQ50">
        <f t="shared" si="90"/>
        <v>0</v>
      </c>
      <c r="ES50" s="8" t="str">
        <f t="shared" si="30"/>
        <v>AA</v>
      </c>
      <c r="ET50" s="8" t="str">
        <f t="shared" si="31"/>
        <v/>
      </c>
      <c r="EU50" s="8" t="str">
        <f t="shared" si="32"/>
        <v/>
      </c>
      <c r="EV50">
        <f t="shared" si="91"/>
        <v>0</v>
      </c>
      <c r="EW50">
        <f t="shared" si="91"/>
        <v>0</v>
      </c>
      <c r="EY50" s="8" t="str">
        <f>Hidden!$CG44</f>
        <v/>
      </c>
      <c r="EZ50">
        <f t="shared" si="34"/>
        <v>0</v>
      </c>
      <c r="FA50">
        <f t="shared" si="35"/>
        <v>0</v>
      </c>
      <c r="FB50">
        <f t="shared" si="36"/>
        <v>0</v>
      </c>
      <c r="FC50">
        <f t="shared" si="37"/>
        <v>0</v>
      </c>
      <c r="FD50">
        <f t="shared" si="38"/>
        <v>0</v>
      </c>
      <c r="FE50">
        <f t="shared" si="39"/>
        <v>0</v>
      </c>
      <c r="FF50">
        <f t="shared" si="40"/>
        <v>0</v>
      </c>
      <c r="FG50">
        <f t="shared" si="41"/>
        <v>0</v>
      </c>
      <c r="FH50">
        <f t="shared" si="42"/>
        <v>0</v>
      </c>
      <c r="FI50">
        <f t="shared" si="43"/>
        <v>0</v>
      </c>
      <c r="GH50">
        <f>IF(OR(GI50=0,ISNUMBER(MATCH(GI50,$GI$2:GI49,0))),0,MAX($GH$2:GH49)+1)</f>
        <v>0</v>
      </c>
      <c r="GI50">
        <f t="shared" si="92"/>
        <v>0</v>
      </c>
      <c r="GL50">
        <f>IF(OR(GM50=0,ISNUMBER(MATCH(GM50,$GM$2:GM49,0))),0,MAX($GL$2:GL49)+1)</f>
        <v>0</v>
      </c>
      <c r="GM50">
        <f t="shared" si="93"/>
        <v>0</v>
      </c>
    </row>
    <row r="51" spans="1:195" x14ac:dyDescent="0.2">
      <c r="A51" s="8" t="str">
        <f>Tank1!A67</f>
        <v>AA</v>
      </c>
      <c r="B51" s="8" t="str">
        <f>Tank1!E67</f>
        <v/>
      </c>
      <c r="C51" s="8" t="str">
        <f>Tank1!F67</f>
        <v/>
      </c>
      <c r="D51" s="8">
        <f t="shared" si="48"/>
        <v>0</v>
      </c>
      <c r="E51" s="8">
        <f t="shared" si="48"/>
        <v>0</v>
      </c>
      <c r="G51" s="8" t="str">
        <f>Tank2!A67</f>
        <v>AA</v>
      </c>
      <c r="H51" s="8" t="str">
        <f>Tank2!E67</f>
        <v/>
      </c>
      <c r="I51" s="8" t="str">
        <f>Tank2!F67</f>
        <v/>
      </c>
      <c r="J51">
        <f t="shared" si="49"/>
        <v>0</v>
      </c>
      <c r="K51">
        <f t="shared" si="49"/>
        <v>0</v>
      </c>
      <c r="M51" s="8" t="str">
        <f>Tank3!A67</f>
        <v>AA</v>
      </c>
      <c r="N51" s="8" t="str">
        <f>Tank3!E67</f>
        <v/>
      </c>
      <c r="O51" s="8" t="str">
        <f>Tank3!F67</f>
        <v/>
      </c>
      <c r="P51">
        <f t="shared" si="50"/>
        <v>0</v>
      </c>
      <c r="Q51">
        <f t="shared" si="50"/>
        <v>0</v>
      </c>
      <c r="S51" s="8" t="str">
        <f>Tank4!A67</f>
        <v>AA</v>
      </c>
      <c r="T51" s="8" t="str">
        <f>Tank4!E67</f>
        <v/>
      </c>
      <c r="U51" s="8" t="str">
        <f>Tank4!F67</f>
        <v/>
      </c>
      <c r="V51">
        <f t="shared" si="51"/>
        <v>0</v>
      </c>
      <c r="W51">
        <f t="shared" si="51"/>
        <v>0</v>
      </c>
      <c r="Y51" s="8" t="str">
        <f>Tank5!A67</f>
        <v>AA</v>
      </c>
      <c r="Z51" s="8" t="str">
        <f>Tank5!E67</f>
        <v/>
      </c>
      <c r="AA51" s="8" t="str">
        <f>Tank5!F67</f>
        <v/>
      </c>
      <c r="AB51">
        <f t="shared" si="52"/>
        <v>0</v>
      </c>
      <c r="AC51">
        <f t="shared" si="52"/>
        <v>0</v>
      </c>
      <c r="AE51" s="8" t="str">
        <f>Hidden!CC34</f>
        <v/>
      </c>
      <c r="AF51">
        <f t="shared" si="53"/>
        <v>0</v>
      </c>
      <c r="AG51">
        <f t="shared" si="54"/>
        <v>0</v>
      </c>
      <c r="AH51">
        <f t="shared" si="55"/>
        <v>0</v>
      </c>
      <c r="AI51">
        <f t="shared" si="56"/>
        <v>0</v>
      </c>
      <c r="AJ51">
        <f t="shared" si="57"/>
        <v>0</v>
      </c>
      <c r="AK51">
        <f t="shared" si="58"/>
        <v>0</v>
      </c>
      <c r="AL51">
        <f t="shared" si="59"/>
        <v>0</v>
      </c>
      <c r="AM51">
        <f t="shared" si="60"/>
        <v>0</v>
      </c>
      <c r="AN51">
        <f t="shared" si="61"/>
        <v>0</v>
      </c>
      <c r="AO51">
        <f t="shared" si="62"/>
        <v>0</v>
      </c>
      <c r="BJ51" s="8" t="str">
        <f>Tank1!A67</f>
        <v>AA</v>
      </c>
      <c r="BK51" s="8" t="str">
        <f>Tank1!E67</f>
        <v/>
      </c>
      <c r="BL51" s="8" t="str">
        <f>Tank1!F67</f>
        <v/>
      </c>
      <c r="BM51" s="8">
        <f t="shared" si="63"/>
        <v>0</v>
      </c>
      <c r="BN51" s="8">
        <f t="shared" si="64"/>
        <v>0</v>
      </c>
      <c r="BO51" s="8"/>
      <c r="BP51" s="8" t="str">
        <f>Tank2!A67</f>
        <v>AA</v>
      </c>
      <c r="BQ51" s="8" t="str">
        <f>Tank2!E67</f>
        <v/>
      </c>
      <c r="BR51" s="8" t="str">
        <f>Tank2!F67</f>
        <v/>
      </c>
      <c r="BS51" s="8">
        <f t="shared" si="65"/>
        <v>0</v>
      </c>
      <c r="BT51" s="8">
        <f t="shared" si="66"/>
        <v>0</v>
      </c>
      <c r="BU51" s="8"/>
      <c r="BV51" s="8" t="str">
        <f>Tank3!A67</f>
        <v>AA</v>
      </c>
      <c r="BW51" s="8" t="str">
        <f>Tank3!E67</f>
        <v/>
      </c>
      <c r="BX51" s="8" t="str">
        <f>Tank3!F67</f>
        <v/>
      </c>
      <c r="BY51" s="8">
        <f t="shared" si="67"/>
        <v>0</v>
      </c>
      <c r="BZ51" s="8">
        <f t="shared" si="68"/>
        <v>0</v>
      </c>
      <c r="CA51" s="8"/>
      <c r="CB51" s="8" t="str">
        <f>Tank4!A67</f>
        <v>AA</v>
      </c>
      <c r="CC51" s="8" t="str">
        <f>Tank4!E67</f>
        <v/>
      </c>
      <c r="CD51" s="8" t="str">
        <f>Tank4!F67</f>
        <v/>
      </c>
      <c r="CE51" s="8">
        <f t="shared" si="69"/>
        <v>0</v>
      </c>
      <c r="CF51" s="8">
        <f t="shared" si="70"/>
        <v>0</v>
      </c>
      <c r="CH51" s="8" t="str">
        <f>Tank5!A67</f>
        <v>AA</v>
      </c>
      <c r="CI51" s="8" t="str">
        <f>Tank5!E67</f>
        <v/>
      </c>
      <c r="CJ51" s="8" t="str">
        <f>Tank5!F67</f>
        <v/>
      </c>
      <c r="CK51" s="8">
        <f t="shared" si="71"/>
        <v>0</v>
      </c>
      <c r="CL51" s="8">
        <f t="shared" si="72"/>
        <v>0</v>
      </c>
      <c r="CN51" s="8" t="str">
        <f>Hidden!$CC34</f>
        <v/>
      </c>
      <c r="CO51">
        <f t="shared" si="73"/>
        <v>0</v>
      </c>
      <c r="CP51">
        <f t="shared" si="74"/>
        <v>0</v>
      </c>
      <c r="CQ51">
        <f t="shared" si="75"/>
        <v>0</v>
      </c>
      <c r="CR51">
        <f t="shared" si="76"/>
        <v>0</v>
      </c>
      <c r="CS51">
        <f t="shared" si="77"/>
        <v>0</v>
      </c>
      <c r="CT51">
        <f t="shared" si="78"/>
        <v>0</v>
      </c>
      <c r="CU51">
        <f t="shared" si="79"/>
        <v>0</v>
      </c>
      <c r="CV51">
        <f t="shared" si="80"/>
        <v>0</v>
      </c>
      <c r="CW51">
        <f t="shared" si="81"/>
        <v>0</v>
      </c>
      <c r="CX51">
        <f t="shared" si="82"/>
        <v>0</v>
      </c>
      <c r="DT51" s="77"/>
      <c r="DU51" s="8" t="str">
        <f t="shared" si="14"/>
        <v>AAA</v>
      </c>
      <c r="DV51" s="8" t="str">
        <f t="shared" si="15"/>
        <v/>
      </c>
      <c r="DW51" s="8" t="str">
        <f t="shared" si="16"/>
        <v/>
      </c>
      <c r="DX51">
        <f t="shared" si="87"/>
        <v>0</v>
      </c>
      <c r="DY51">
        <f t="shared" si="87"/>
        <v>0</v>
      </c>
      <c r="EA51" t="str">
        <f t="shared" si="18"/>
        <v>AAA</v>
      </c>
      <c r="EB51" t="str">
        <f t="shared" si="19"/>
        <v/>
      </c>
      <c r="EC51" t="str">
        <f t="shared" si="20"/>
        <v/>
      </c>
      <c r="ED51">
        <f t="shared" si="88"/>
        <v>0</v>
      </c>
      <c r="EE51">
        <f t="shared" si="88"/>
        <v>0</v>
      </c>
      <c r="EG51" s="8" t="str">
        <f t="shared" si="22"/>
        <v>AAA</v>
      </c>
      <c r="EH51" s="8" t="str">
        <f t="shared" si="23"/>
        <v/>
      </c>
      <c r="EI51" s="8" t="str">
        <f t="shared" si="24"/>
        <v/>
      </c>
      <c r="EJ51">
        <f t="shared" si="89"/>
        <v>0</v>
      </c>
      <c r="EK51">
        <f t="shared" si="89"/>
        <v>0</v>
      </c>
      <c r="EM51" s="8" t="str">
        <f t="shared" si="26"/>
        <v>AAA</v>
      </c>
      <c r="EN51" s="8" t="str">
        <f t="shared" si="27"/>
        <v/>
      </c>
      <c r="EO51" s="8" t="str">
        <f t="shared" si="28"/>
        <v/>
      </c>
      <c r="EP51">
        <f t="shared" si="90"/>
        <v>0</v>
      </c>
      <c r="EQ51">
        <f t="shared" si="90"/>
        <v>0</v>
      </c>
      <c r="ES51" s="8" t="str">
        <f t="shared" si="30"/>
        <v>AAA</v>
      </c>
      <c r="ET51" s="8" t="str">
        <f t="shared" si="31"/>
        <v/>
      </c>
      <c r="EU51" s="8" t="str">
        <f t="shared" si="32"/>
        <v/>
      </c>
      <c r="EV51">
        <f t="shared" si="91"/>
        <v>0</v>
      </c>
      <c r="EW51">
        <f t="shared" si="91"/>
        <v>0</v>
      </c>
      <c r="EY51" s="8" t="str">
        <f>Hidden!$CG45</f>
        <v/>
      </c>
      <c r="EZ51">
        <f t="shared" si="34"/>
        <v>0</v>
      </c>
      <c r="FA51">
        <f t="shared" si="35"/>
        <v>0</v>
      </c>
      <c r="FB51">
        <f t="shared" si="36"/>
        <v>0</v>
      </c>
      <c r="FC51">
        <f t="shared" si="37"/>
        <v>0</v>
      </c>
      <c r="FD51">
        <f t="shared" si="38"/>
        <v>0</v>
      </c>
      <c r="FE51">
        <f t="shared" si="39"/>
        <v>0</v>
      </c>
      <c r="FF51">
        <f t="shared" si="40"/>
        <v>0</v>
      </c>
      <c r="FG51">
        <f t="shared" si="41"/>
        <v>0</v>
      </c>
      <c r="FH51">
        <f t="shared" si="42"/>
        <v>0</v>
      </c>
      <c r="FI51">
        <f t="shared" si="43"/>
        <v>0</v>
      </c>
      <c r="GH51">
        <f>IF(OR(GI51=0,ISNUMBER(MATCH(GI51,$GI$2:GI50,0))),0,MAX($GH$2:GH50)+1)</f>
        <v>0</v>
      </c>
      <c r="GI51">
        <f t="shared" si="92"/>
        <v>0</v>
      </c>
      <c r="GL51">
        <f>IF(OR(GM51=0,ISNUMBER(MATCH(GM51,$GM$2:GM50,0))),0,MAX($GL$2:GL50)+1)</f>
        <v>0</v>
      </c>
      <c r="GM51">
        <f t="shared" si="93"/>
        <v>0</v>
      </c>
    </row>
    <row r="52" spans="1:195" x14ac:dyDescent="0.2">
      <c r="A52" s="8" t="str">
        <f>Tank1!A68</f>
        <v>AAA</v>
      </c>
      <c r="B52" s="8" t="str">
        <f>Tank1!E68</f>
        <v/>
      </c>
      <c r="C52" s="8" t="str">
        <f>Tank1!F68</f>
        <v/>
      </c>
      <c r="D52" s="8">
        <f t="shared" si="48"/>
        <v>0</v>
      </c>
      <c r="E52" s="8">
        <f t="shared" si="48"/>
        <v>0</v>
      </c>
      <c r="G52" s="8" t="str">
        <f>Tank2!A68</f>
        <v>AAA</v>
      </c>
      <c r="H52" s="8" t="str">
        <f>Tank2!E68</f>
        <v/>
      </c>
      <c r="I52" s="8" t="str">
        <f>Tank2!F68</f>
        <v/>
      </c>
      <c r="J52">
        <f t="shared" si="49"/>
        <v>0</v>
      </c>
      <c r="K52">
        <f t="shared" si="49"/>
        <v>0</v>
      </c>
      <c r="M52" s="8" t="str">
        <f>Tank3!A68</f>
        <v>AAA</v>
      </c>
      <c r="N52" s="8" t="str">
        <f>Tank3!E68</f>
        <v/>
      </c>
      <c r="O52" s="8" t="str">
        <f>Tank3!F68</f>
        <v/>
      </c>
      <c r="P52">
        <f t="shared" si="50"/>
        <v>0</v>
      </c>
      <c r="Q52">
        <f t="shared" si="50"/>
        <v>0</v>
      </c>
      <c r="S52" s="8" t="str">
        <f>Tank4!A68</f>
        <v>AAA</v>
      </c>
      <c r="T52" s="8" t="str">
        <f>Tank4!E68</f>
        <v/>
      </c>
      <c r="U52" s="8" t="str">
        <f>Tank4!F68</f>
        <v/>
      </c>
      <c r="V52">
        <f t="shared" si="51"/>
        <v>0</v>
      </c>
      <c r="W52">
        <f t="shared" si="51"/>
        <v>0</v>
      </c>
      <c r="Y52" s="8" t="str">
        <f>Tank5!A68</f>
        <v>AAA</v>
      </c>
      <c r="Z52" s="8" t="str">
        <f>Tank5!E68</f>
        <v/>
      </c>
      <c r="AA52" s="8" t="str">
        <f>Tank5!F68</f>
        <v/>
      </c>
      <c r="AB52">
        <f t="shared" si="52"/>
        <v>0</v>
      </c>
      <c r="AC52">
        <f t="shared" si="52"/>
        <v>0</v>
      </c>
      <c r="AE52" s="8" t="str">
        <f>Hidden!CC35</f>
        <v/>
      </c>
      <c r="AF52">
        <f t="shared" si="53"/>
        <v>0</v>
      </c>
      <c r="AG52">
        <f t="shared" si="54"/>
        <v>0</v>
      </c>
      <c r="AH52">
        <f t="shared" si="55"/>
        <v>0</v>
      </c>
      <c r="AI52">
        <f t="shared" si="56"/>
        <v>0</v>
      </c>
      <c r="AJ52">
        <f t="shared" si="57"/>
        <v>0</v>
      </c>
      <c r="AK52">
        <f t="shared" si="58"/>
        <v>0</v>
      </c>
      <c r="AL52">
        <f t="shared" si="59"/>
        <v>0</v>
      </c>
      <c r="AM52">
        <f t="shared" si="60"/>
        <v>0</v>
      </c>
      <c r="AN52">
        <f t="shared" si="61"/>
        <v>0</v>
      </c>
      <c r="AO52">
        <f t="shared" si="62"/>
        <v>0</v>
      </c>
      <c r="BJ52" s="8" t="str">
        <f>Tank1!A68</f>
        <v>AAA</v>
      </c>
      <c r="BK52" s="8" t="str">
        <f>Tank1!E68</f>
        <v/>
      </c>
      <c r="BL52" s="8" t="str">
        <f>Tank1!F68</f>
        <v/>
      </c>
      <c r="BM52" s="8">
        <f t="shared" si="63"/>
        <v>0</v>
      </c>
      <c r="BN52" s="8">
        <f t="shared" si="64"/>
        <v>0</v>
      </c>
      <c r="BO52" s="8"/>
      <c r="BP52" s="8" t="str">
        <f>Tank2!A68</f>
        <v>AAA</v>
      </c>
      <c r="BQ52" s="8" t="str">
        <f>Tank2!E68</f>
        <v/>
      </c>
      <c r="BR52" s="8" t="str">
        <f>Tank2!F68</f>
        <v/>
      </c>
      <c r="BS52" s="8">
        <f t="shared" si="65"/>
        <v>0</v>
      </c>
      <c r="BT52" s="8">
        <f t="shared" si="66"/>
        <v>0</v>
      </c>
      <c r="BU52" s="8"/>
      <c r="BV52" s="8" t="str">
        <f>Tank3!A68</f>
        <v>AAA</v>
      </c>
      <c r="BW52" s="8" t="str">
        <f>Tank3!E68</f>
        <v/>
      </c>
      <c r="BX52" s="8" t="str">
        <f>Tank3!F68</f>
        <v/>
      </c>
      <c r="BY52" s="8">
        <f t="shared" si="67"/>
        <v>0</v>
      </c>
      <c r="BZ52" s="8">
        <f t="shared" si="68"/>
        <v>0</v>
      </c>
      <c r="CA52" s="8"/>
      <c r="CB52" s="8" t="str">
        <f>Tank4!A68</f>
        <v>AAA</v>
      </c>
      <c r="CC52" s="8" t="str">
        <f>Tank4!E68</f>
        <v/>
      </c>
      <c r="CD52" s="8" t="str">
        <f>Tank4!F68</f>
        <v/>
      </c>
      <c r="CE52" s="8">
        <f t="shared" si="69"/>
        <v>0</v>
      </c>
      <c r="CF52" s="8">
        <f t="shared" si="70"/>
        <v>0</v>
      </c>
      <c r="CH52" s="8" t="str">
        <f>Tank5!A68</f>
        <v>AAA</v>
      </c>
      <c r="CI52" s="8" t="str">
        <f>Tank5!E68</f>
        <v/>
      </c>
      <c r="CJ52" s="8" t="str">
        <f>Tank5!F68</f>
        <v/>
      </c>
      <c r="CK52" s="8">
        <f t="shared" si="71"/>
        <v>0</v>
      </c>
      <c r="CL52" s="8">
        <f t="shared" si="72"/>
        <v>0</v>
      </c>
      <c r="CN52" s="8" t="str">
        <f>Hidden!$CC35</f>
        <v/>
      </c>
      <c r="CO52">
        <f t="shared" si="73"/>
        <v>0</v>
      </c>
      <c r="CP52">
        <f t="shared" si="74"/>
        <v>0</v>
      </c>
      <c r="CQ52">
        <f t="shared" si="75"/>
        <v>0</v>
      </c>
      <c r="CR52">
        <f t="shared" si="76"/>
        <v>0</v>
      </c>
      <c r="CS52">
        <f t="shared" si="77"/>
        <v>0</v>
      </c>
      <c r="CT52">
        <f t="shared" si="78"/>
        <v>0</v>
      </c>
      <c r="CU52">
        <f t="shared" si="79"/>
        <v>0</v>
      </c>
      <c r="CV52">
        <f t="shared" si="80"/>
        <v>0</v>
      </c>
      <c r="CW52">
        <f t="shared" si="81"/>
        <v>0</v>
      </c>
      <c r="CX52">
        <f t="shared" si="82"/>
        <v>0</v>
      </c>
      <c r="DT52" s="77"/>
      <c r="DU52" s="8" t="str">
        <f t="shared" si="14"/>
        <v>AAAA</v>
      </c>
      <c r="DV52" s="8" t="str">
        <f t="shared" si="15"/>
        <v/>
      </c>
      <c r="DW52" s="8" t="str">
        <f t="shared" si="16"/>
        <v/>
      </c>
      <c r="DX52">
        <f t="shared" si="87"/>
        <v>0</v>
      </c>
      <c r="DY52">
        <f t="shared" si="87"/>
        <v>0</v>
      </c>
      <c r="EA52" t="str">
        <f t="shared" si="18"/>
        <v>AAAA</v>
      </c>
      <c r="EB52" t="str">
        <f t="shared" si="19"/>
        <v/>
      </c>
      <c r="EC52" t="str">
        <f t="shared" si="20"/>
        <v/>
      </c>
      <c r="ED52">
        <f t="shared" si="88"/>
        <v>0</v>
      </c>
      <c r="EE52">
        <f t="shared" si="88"/>
        <v>0</v>
      </c>
      <c r="EG52" s="8" t="str">
        <f t="shared" si="22"/>
        <v>AAAA</v>
      </c>
      <c r="EH52" s="8" t="str">
        <f t="shared" si="23"/>
        <v/>
      </c>
      <c r="EI52" s="8" t="str">
        <f t="shared" si="24"/>
        <v/>
      </c>
      <c r="EJ52">
        <f t="shared" si="89"/>
        <v>0</v>
      </c>
      <c r="EK52">
        <f t="shared" si="89"/>
        <v>0</v>
      </c>
      <c r="EM52" s="8" t="str">
        <f t="shared" si="26"/>
        <v>AAAA</v>
      </c>
      <c r="EN52" s="8" t="str">
        <f t="shared" si="27"/>
        <v/>
      </c>
      <c r="EO52" s="8" t="str">
        <f t="shared" si="28"/>
        <v/>
      </c>
      <c r="EP52">
        <f t="shared" si="90"/>
        <v>0</v>
      </c>
      <c r="EQ52">
        <f t="shared" si="90"/>
        <v>0</v>
      </c>
      <c r="ES52" s="8" t="str">
        <f t="shared" si="30"/>
        <v>AAAA</v>
      </c>
      <c r="ET52" s="8" t="str">
        <f t="shared" si="31"/>
        <v/>
      </c>
      <c r="EU52" s="8" t="str">
        <f t="shared" si="32"/>
        <v/>
      </c>
      <c r="EV52">
        <f t="shared" si="91"/>
        <v>0</v>
      </c>
      <c r="EW52">
        <f t="shared" si="91"/>
        <v>0</v>
      </c>
      <c r="EY52" s="8" t="str">
        <f>Hidden!$CG46</f>
        <v/>
      </c>
      <c r="EZ52">
        <f t="shared" si="34"/>
        <v>0</v>
      </c>
      <c r="FA52">
        <f t="shared" si="35"/>
        <v>0</v>
      </c>
      <c r="FB52">
        <f t="shared" si="36"/>
        <v>0</v>
      </c>
      <c r="FC52">
        <f t="shared" si="37"/>
        <v>0</v>
      </c>
      <c r="FD52">
        <f t="shared" si="38"/>
        <v>0</v>
      </c>
      <c r="FE52">
        <f t="shared" si="39"/>
        <v>0</v>
      </c>
      <c r="FF52">
        <f t="shared" si="40"/>
        <v>0</v>
      </c>
      <c r="FG52">
        <f t="shared" si="41"/>
        <v>0</v>
      </c>
      <c r="FH52">
        <f t="shared" si="42"/>
        <v>0</v>
      </c>
      <c r="FI52">
        <f t="shared" si="43"/>
        <v>0</v>
      </c>
      <c r="GH52">
        <f>IF(OR(GI52=0,ISNUMBER(MATCH(GI52,$GI$2:GI51,0))),0,MAX($GH$2:GH51)+1)</f>
        <v>0</v>
      </c>
      <c r="GI52">
        <f t="shared" si="92"/>
        <v>0</v>
      </c>
      <c r="GL52">
        <f>IF(OR(GM52=0,ISNUMBER(MATCH(GM52,$GM$2:GM51,0))),0,MAX($GL$2:GL51)+1)</f>
        <v>0</v>
      </c>
      <c r="GM52">
        <f t="shared" si="93"/>
        <v>0</v>
      </c>
    </row>
    <row r="53" spans="1:195" x14ac:dyDescent="0.2">
      <c r="A53" s="8" t="str">
        <f>Tank1!A69</f>
        <v>AAAA</v>
      </c>
      <c r="B53" s="8" t="str">
        <f>Tank1!E69</f>
        <v/>
      </c>
      <c r="C53" s="8" t="str">
        <f>Tank1!F69</f>
        <v/>
      </c>
      <c r="D53" s="8">
        <f t="shared" ref="D53:E84" si="94">IF($C53="",0,$C53*D$17)</f>
        <v>0</v>
      </c>
      <c r="E53" s="8">
        <f t="shared" si="94"/>
        <v>0</v>
      </c>
      <c r="G53" s="8" t="str">
        <f>Tank2!A69</f>
        <v>AAAA</v>
      </c>
      <c r="H53" s="8" t="str">
        <f>Tank2!E69</f>
        <v/>
      </c>
      <c r="I53" s="8" t="str">
        <f>Tank2!F69</f>
        <v/>
      </c>
      <c r="J53">
        <f t="shared" ref="J53:K84" si="95">IF($I53="",0,$I53*J$17)</f>
        <v>0</v>
      </c>
      <c r="K53">
        <f t="shared" si="95"/>
        <v>0</v>
      </c>
      <c r="M53" s="8" t="str">
        <f>Tank3!A69</f>
        <v>AAAA</v>
      </c>
      <c r="N53" s="8" t="str">
        <f>Tank3!E69</f>
        <v/>
      </c>
      <c r="O53" s="8" t="str">
        <f>Tank3!F69</f>
        <v/>
      </c>
      <c r="P53">
        <f t="shared" ref="P53:Q84" si="96">IF($O53="",0,$O53*P$17)</f>
        <v>0</v>
      </c>
      <c r="Q53">
        <f t="shared" si="96"/>
        <v>0</v>
      </c>
      <c r="S53" s="8" t="str">
        <f>Tank4!A69</f>
        <v>AAAA</v>
      </c>
      <c r="T53" s="8" t="str">
        <f>Tank4!E69</f>
        <v/>
      </c>
      <c r="U53" s="8" t="str">
        <f>Tank4!F69</f>
        <v/>
      </c>
      <c r="V53">
        <f t="shared" ref="V53:W84" si="97">IF($U53="",0,$U53*V$17)</f>
        <v>0</v>
      </c>
      <c r="W53">
        <f t="shared" si="97"/>
        <v>0</v>
      </c>
      <c r="Y53" s="8" t="str">
        <f>Tank5!A69</f>
        <v>AAAA</v>
      </c>
      <c r="Z53" s="8" t="str">
        <f>Tank5!E69</f>
        <v/>
      </c>
      <c r="AA53" s="8" t="str">
        <f>Tank5!F69</f>
        <v/>
      </c>
      <c r="AB53">
        <f t="shared" ref="AB53:AC84" si="98">IF($AA53="",0,$AA53*AB$17)</f>
        <v>0</v>
      </c>
      <c r="AC53">
        <f t="shared" si="98"/>
        <v>0</v>
      </c>
      <c r="AE53" s="8" t="str">
        <f>Hidden!CC36</f>
        <v/>
      </c>
      <c r="AF53">
        <f t="shared" si="53"/>
        <v>0</v>
      </c>
      <c r="AG53">
        <f t="shared" si="54"/>
        <v>0</v>
      </c>
      <c r="AH53">
        <f t="shared" si="55"/>
        <v>0</v>
      </c>
      <c r="AI53">
        <f t="shared" si="56"/>
        <v>0</v>
      </c>
      <c r="AJ53">
        <f t="shared" si="57"/>
        <v>0</v>
      </c>
      <c r="AK53">
        <f t="shared" si="58"/>
        <v>0</v>
      </c>
      <c r="AL53">
        <f t="shared" si="59"/>
        <v>0</v>
      </c>
      <c r="AM53">
        <f t="shared" si="60"/>
        <v>0</v>
      </c>
      <c r="AN53">
        <f t="shared" si="61"/>
        <v>0</v>
      </c>
      <c r="AO53">
        <f t="shared" si="62"/>
        <v>0</v>
      </c>
      <c r="BJ53" s="8" t="str">
        <f>Tank1!A69</f>
        <v>AAAA</v>
      </c>
      <c r="BK53" s="8" t="str">
        <f>Tank1!E69</f>
        <v/>
      </c>
      <c r="BL53" s="8" t="str">
        <f>Tank1!F69</f>
        <v/>
      </c>
      <c r="BM53" s="8">
        <f t="shared" si="63"/>
        <v>0</v>
      </c>
      <c r="BN53" s="8">
        <f t="shared" si="64"/>
        <v>0</v>
      </c>
      <c r="BO53" s="8"/>
      <c r="BP53" s="8" t="str">
        <f>Tank2!A69</f>
        <v>AAAA</v>
      </c>
      <c r="BQ53" s="8" t="str">
        <f>Tank2!E69</f>
        <v/>
      </c>
      <c r="BR53" s="8" t="str">
        <f>Tank2!F69</f>
        <v/>
      </c>
      <c r="BS53" s="8">
        <f t="shared" si="65"/>
        <v>0</v>
      </c>
      <c r="BT53" s="8">
        <f t="shared" si="66"/>
        <v>0</v>
      </c>
      <c r="BU53" s="8"/>
      <c r="BV53" s="8" t="str">
        <f>Tank3!A69</f>
        <v>AAAA</v>
      </c>
      <c r="BW53" s="8" t="str">
        <f>Tank3!E69</f>
        <v/>
      </c>
      <c r="BX53" s="8" t="str">
        <f>Tank3!F69</f>
        <v/>
      </c>
      <c r="BY53" s="8">
        <f t="shared" si="67"/>
        <v>0</v>
      </c>
      <c r="BZ53" s="8">
        <f t="shared" si="68"/>
        <v>0</v>
      </c>
      <c r="CA53" s="8"/>
      <c r="CB53" s="8" t="str">
        <f>Tank4!A69</f>
        <v>AAAA</v>
      </c>
      <c r="CC53" s="8" t="str">
        <f>Tank4!E69</f>
        <v/>
      </c>
      <c r="CD53" s="8" t="str">
        <f>Tank4!F69</f>
        <v/>
      </c>
      <c r="CE53" s="8">
        <f t="shared" si="69"/>
        <v>0</v>
      </c>
      <c r="CF53" s="8">
        <f t="shared" si="70"/>
        <v>0</v>
      </c>
      <c r="CH53" s="8" t="str">
        <f>Tank5!A69</f>
        <v>AAAA</v>
      </c>
      <c r="CI53" s="8" t="str">
        <f>Tank5!E69</f>
        <v/>
      </c>
      <c r="CJ53" s="8" t="str">
        <f>Tank5!F69</f>
        <v/>
      </c>
      <c r="CK53" s="8">
        <f t="shared" si="71"/>
        <v>0</v>
      </c>
      <c r="CL53" s="8">
        <f t="shared" si="72"/>
        <v>0</v>
      </c>
      <c r="CN53" s="8" t="str">
        <f>Hidden!$CC36</f>
        <v/>
      </c>
      <c r="CO53">
        <f t="shared" si="73"/>
        <v>0</v>
      </c>
      <c r="CP53">
        <f t="shared" si="74"/>
        <v>0</v>
      </c>
      <c r="CQ53">
        <f t="shared" si="75"/>
        <v>0</v>
      </c>
      <c r="CR53">
        <f t="shared" si="76"/>
        <v>0</v>
      </c>
      <c r="CS53">
        <f t="shared" si="77"/>
        <v>0</v>
      </c>
      <c r="CT53">
        <f t="shared" si="78"/>
        <v>0</v>
      </c>
      <c r="CU53">
        <f t="shared" si="79"/>
        <v>0</v>
      </c>
      <c r="CV53">
        <f t="shared" si="80"/>
        <v>0</v>
      </c>
      <c r="CW53">
        <f t="shared" si="81"/>
        <v>0</v>
      </c>
      <c r="CX53">
        <f t="shared" si="82"/>
        <v>0</v>
      </c>
      <c r="DT53" s="77"/>
      <c r="DU53" s="8" t="str">
        <f t="shared" si="14"/>
        <v>AAAAA</v>
      </c>
      <c r="DV53" s="8" t="str">
        <f t="shared" si="15"/>
        <v/>
      </c>
      <c r="DW53" s="8" t="str">
        <f t="shared" si="16"/>
        <v/>
      </c>
      <c r="DX53">
        <f t="shared" si="87"/>
        <v>0</v>
      </c>
      <c r="DY53">
        <f t="shared" si="87"/>
        <v>0</v>
      </c>
      <c r="EA53" t="str">
        <f t="shared" si="18"/>
        <v>AAAAA</v>
      </c>
      <c r="EB53" t="str">
        <f t="shared" si="19"/>
        <v/>
      </c>
      <c r="EC53" t="str">
        <f t="shared" si="20"/>
        <v/>
      </c>
      <c r="ED53">
        <f t="shared" si="88"/>
        <v>0</v>
      </c>
      <c r="EE53">
        <f t="shared" si="88"/>
        <v>0</v>
      </c>
      <c r="EG53" s="8" t="str">
        <f t="shared" si="22"/>
        <v>AAAAA</v>
      </c>
      <c r="EH53" s="8" t="str">
        <f t="shared" si="23"/>
        <v/>
      </c>
      <c r="EI53" s="8" t="str">
        <f t="shared" si="24"/>
        <v/>
      </c>
      <c r="EJ53">
        <f t="shared" si="89"/>
        <v>0</v>
      </c>
      <c r="EK53">
        <f t="shared" si="89"/>
        <v>0</v>
      </c>
      <c r="EM53" s="8" t="str">
        <f t="shared" si="26"/>
        <v>AAAAA</v>
      </c>
      <c r="EN53" s="8" t="str">
        <f t="shared" si="27"/>
        <v/>
      </c>
      <c r="EO53" s="8" t="str">
        <f t="shared" si="28"/>
        <v/>
      </c>
      <c r="EP53">
        <f t="shared" si="90"/>
        <v>0</v>
      </c>
      <c r="EQ53">
        <f t="shared" si="90"/>
        <v>0</v>
      </c>
      <c r="ES53" s="8" t="str">
        <f t="shared" si="30"/>
        <v>AAAAA</v>
      </c>
      <c r="ET53" s="8" t="str">
        <f t="shared" si="31"/>
        <v/>
      </c>
      <c r="EU53" s="8" t="str">
        <f t="shared" si="32"/>
        <v/>
      </c>
      <c r="EV53">
        <f t="shared" si="91"/>
        <v>0</v>
      </c>
      <c r="EW53">
        <f t="shared" si="91"/>
        <v>0</v>
      </c>
      <c r="EY53" s="8" t="str">
        <f>Hidden!$CG47</f>
        <v/>
      </c>
      <c r="EZ53">
        <f t="shared" si="34"/>
        <v>0</v>
      </c>
      <c r="FA53">
        <f t="shared" si="35"/>
        <v>0</v>
      </c>
      <c r="FB53">
        <f t="shared" si="36"/>
        <v>0</v>
      </c>
      <c r="FC53">
        <f t="shared" si="37"/>
        <v>0</v>
      </c>
      <c r="FD53">
        <f t="shared" si="38"/>
        <v>0</v>
      </c>
      <c r="FE53">
        <f t="shared" si="39"/>
        <v>0</v>
      </c>
      <c r="FF53">
        <f t="shared" si="40"/>
        <v>0</v>
      </c>
      <c r="FG53">
        <f t="shared" si="41"/>
        <v>0</v>
      </c>
      <c r="FH53">
        <f t="shared" si="42"/>
        <v>0</v>
      </c>
      <c r="FI53">
        <f t="shared" si="43"/>
        <v>0</v>
      </c>
    </row>
    <row r="54" spans="1:195" x14ac:dyDescent="0.2">
      <c r="A54" s="8" t="str">
        <f>Tank1!A70</f>
        <v>AAAAA</v>
      </c>
      <c r="B54" s="8" t="str">
        <f>Tank1!E70</f>
        <v/>
      </c>
      <c r="C54" s="8" t="str">
        <f>Tank1!F70</f>
        <v/>
      </c>
      <c r="D54" s="8">
        <f t="shared" si="94"/>
        <v>0</v>
      </c>
      <c r="E54" s="8">
        <f t="shared" si="94"/>
        <v>0</v>
      </c>
      <c r="G54" s="8" t="str">
        <f>Tank2!A70</f>
        <v>AAAAA</v>
      </c>
      <c r="H54" s="8" t="str">
        <f>Tank2!E70</f>
        <v/>
      </c>
      <c r="I54" s="8" t="str">
        <f>Tank2!F70</f>
        <v/>
      </c>
      <c r="J54">
        <f t="shared" si="95"/>
        <v>0</v>
      </c>
      <c r="K54">
        <f t="shared" si="95"/>
        <v>0</v>
      </c>
      <c r="M54" s="8" t="str">
        <f>Tank3!A70</f>
        <v>AAAAA</v>
      </c>
      <c r="N54" s="8" t="str">
        <f>Tank3!E70</f>
        <v/>
      </c>
      <c r="O54" s="8" t="str">
        <f>Tank3!F70</f>
        <v/>
      </c>
      <c r="P54">
        <f t="shared" si="96"/>
        <v>0</v>
      </c>
      <c r="Q54">
        <f t="shared" si="96"/>
        <v>0</v>
      </c>
      <c r="S54" s="8" t="str">
        <f>Tank4!A70</f>
        <v>AAAAA</v>
      </c>
      <c r="T54" s="8" t="str">
        <f>Tank4!E70</f>
        <v/>
      </c>
      <c r="U54" s="8" t="str">
        <f>Tank4!F70</f>
        <v/>
      </c>
      <c r="V54">
        <f t="shared" si="97"/>
        <v>0</v>
      </c>
      <c r="W54">
        <f t="shared" si="97"/>
        <v>0</v>
      </c>
      <c r="Y54" s="8" t="str">
        <f>Tank5!A70</f>
        <v>AAAAA</v>
      </c>
      <c r="Z54" s="8" t="str">
        <f>Tank5!E70</f>
        <v/>
      </c>
      <c r="AA54" s="8" t="str">
        <f>Tank5!F70</f>
        <v/>
      </c>
      <c r="AB54">
        <f t="shared" si="98"/>
        <v>0</v>
      </c>
      <c r="AC54">
        <f t="shared" si="98"/>
        <v>0</v>
      </c>
      <c r="AE54" s="8" t="str">
        <f>Hidden!CC37</f>
        <v/>
      </c>
      <c r="AF54">
        <f t="shared" si="53"/>
        <v>0</v>
      </c>
      <c r="AG54">
        <f t="shared" si="54"/>
        <v>0</v>
      </c>
      <c r="AH54">
        <f t="shared" si="55"/>
        <v>0</v>
      </c>
      <c r="AI54">
        <f t="shared" si="56"/>
        <v>0</v>
      </c>
      <c r="AJ54">
        <f t="shared" si="57"/>
        <v>0</v>
      </c>
      <c r="AK54">
        <f t="shared" si="58"/>
        <v>0</v>
      </c>
      <c r="AL54">
        <f t="shared" si="59"/>
        <v>0</v>
      </c>
      <c r="AM54">
        <f t="shared" si="60"/>
        <v>0</v>
      </c>
      <c r="AN54">
        <f t="shared" si="61"/>
        <v>0</v>
      </c>
      <c r="AO54">
        <f t="shared" si="62"/>
        <v>0</v>
      </c>
      <c r="BJ54" s="8" t="str">
        <f>Tank1!A70</f>
        <v>AAAAA</v>
      </c>
      <c r="BK54" s="8" t="str">
        <f>Tank1!E70</f>
        <v/>
      </c>
      <c r="BL54" s="8" t="str">
        <f>Tank1!F70</f>
        <v/>
      </c>
      <c r="BM54" s="8">
        <f t="shared" si="63"/>
        <v>0</v>
      </c>
      <c r="BN54" s="8">
        <f t="shared" si="64"/>
        <v>0</v>
      </c>
      <c r="BO54" s="8"/>
      <c r="BP54" s="8" t="str">
        <f>Tank2!A70</f>
        <v>AAAAA</v>
      </c>
      <c r="BQ54" s="8" t="str">
        <f>Tank2!E70</f>
        <v/>
      </c>
      <c r="BR54" s="8" t="str">
        <f>Tank2!F70</f>
        <v/>
      </c>
      <c r="BS54" s="8">
        <f t="shared" si="65"/>
        <v>0</v>
      </c>
      <c r="BT54" s="8">
        <f t="shared" si="66"/>
        <v>0</v>
      </c>
      <c r="BU54" s="8"/>
      <c r="BV54" s="8" t="str">
        <f>Tank3!A70</f>
        <v>AAAAA</v>
      </c>
      <c r="BW54" s="8" t="str">
        <f>Tank3!E70</f>
        <v/>
      </c>
      <c r="BX54" s="8" t="str">
        <f>Tank3!F70</f>
        <v/>
      </c>
      <c r="BY54" s="8">
        <f t="shared" si="67"/>
        <v>0</v>
      </c>
      <c r="BZ54" s="8">
        <f t="shared" si="68"/>
        <v>0</v>
      </c>
      <c r="CA54" s="8"/>
      <c r="CB54" s="8" t="str">
        <f>Tank4!A70</f>
        <v>AAAAA</v>
      </c>
      <c r="CC54" s="8" t="str">
        <f>Tank4!E70</f>
        <v/>
      </c>
      <c r="CD54" s="8" t="str">
        <f>Tank4!F70</f>
        <v/>
      </c>
      <c r="CE54" s="8">
        <f t="shared" si="69"/>
        <v>0</v>
      </c>
      <c r="CF54" s="8">
        <f t="shared" si="70"/>
        <v>0</v>
      </c>
      <c r="CH54" s="8" t="str">
        <f>Tank5!A70</f>
        <v>AAAAA</v>
      </c>
      <c r="CI54" s="8" t="str">
        <f>Tank5!E70</f>
        <v/>
      </c>
      <c r="CJ54" s="8" t="str">
        <f>Tank5!F70</f>
        <v/>
      </c>
      <c r="CK54" s="8">
        <f t="shared" si="71"/>
        <v>0</v>
      </c>
      <c r="CL54" s="8">
        <f t="shared" si="72"/>
        <v>0</v>
      </c>
      <c r="CN54" s="8" t="str">
        <f>Hidden!$CC37</f>
        <v/>
      </c>
      <c r="CO54">
        <f t="shared" si="73"/>
        <v>0</v>
      </c>
      <c r="CP54">
        <f t="shared" si="74"/>
        <v>0</v>
      </c>
      <c r="CQ54">
        <f t="shared" si="75"/>
        <v>0</v>
      </c>
      <c r="CR54">
        <f t="shared" si="76"/>
        <v>0</v>
      </c>
      <c r="CS54">
        <f t="shared" si="77"/>
        <v>0</v>
      </c>
      <c r="CT54">
        <f t="shared" si="78"/>
        <v>0</v>
      </c>
      <c r="CU54">
        <f t="shared" si="79"/>
        <v>0</v>
      </c>
      <c r="CV54">
        <f t="shared" si="80"/>
        <v>0</v>
      </c>
      <c r="CW54">
        <f t="shared" si="81"/>
        <v>0</v>
      </c>
      <c r="CX54">
        <f t="shared" si="82"/>
        <v>0</v>
      </c>
      <c r="DT54" s="77"/>
      <c r="DU54" s="8" t="str">
        <f t="shared" si="14"/>
        <v>AAAAAA</v>
      </c>
      <c r="DV54" s="8" t="str">
        <f t="shared" si="15"/>
        <v/>
      </c>
      <c r="DW54" s="8" t="str">
        <f t="shared" si="16"/>
        <v/>
      </c>
      <c r="DX54">
        <f t="shared" si="87"/>
        <v>0</v>
      </c>
      <c r="DY54">
        <f t="shared" si="87"/>
        <v>0</v>
      </c>
      <c r="EA54" t="str">
        <f t="shared" si="18"/>
        <v>AAAAAA</v>
      </c>
      <c r="EB54" t="str">
        <f t="shared" si="19"/>
        <v/>
      </c>
      <c r="EC54" t="str">
        <f t="shared" si="20"/>
        <v/>
      </c>
      <c r="ED54">
        <f t="shared" si="88"/>
        <v>0</v>
      </c>
      <c r="EE54">
        <f t="shared" si="88"/>
        <v>0</v>
      </c>
      <c r="EG54" s="8" t="str">
        <f t="shared" si="22"/>
        <v>AAAAAA</v>
      </c>
      <c r="EH54" s="8" t="str">
        <f t="shared" si="23"/>
        <v/>
      </c>
      <c r="EI54" s="8" t="str">
        <f t="shared" si="24"/>
        <v/>
      </c>
      <c r="EJ54">
        <f t="shared" si="89"/>
        <v>0</v>
      </c>
      <c r="EK54">
        <f t="shared" si="89"/>
        <v>0</v>
      </c>
      <c r="EM54" s="8" t="str">
        <f t="shared" si="26"/>
        <v>AAAAAA</v>
      </c>
      <c r="EN54" s="8" t="str">
        <f t="shared" si="27"/>
        <v/>
      </c>
      <c r="EO54" s="8" t="str">
        <f t="shared" si="28"/>
        <v/>
      </c>
      <c r="EP54">
        <f t="shared" si="90"/>
        <v>0</v>
      </c>
      <c r="EQ54">
        <f t="shared" si="90"/>
        <v>0</v>
      </c>
      <c r="ES54" s="8" t="str">
        <f t="shared" si="30"/>
        <v>AAAAAA</v>
      </c>
      <c r="ET54" s="8" t="str">
        <f t="shared" si="31"/>
        <v/>
      </c>
      <c r="EU54" s="8" t="str">
        <f t="shared" si="32"/>
        <v/>
      </c>
      <c r="EV54">
        <f t="shared" si="91"/>
        <v>0</v>
      </c>
      <c r="EW54">
        <f t="shared" si="91"/>
        <v>0</v>
      </c>
      <c r="EY54" s="8" t="str">
        <f>Hidden!$CG48</f>
        <v/>
      </c>
      <c r="EZ54">
        <f t="shared" si="34"/>
        <v>0</v>
      </c>
      <c r="FA54">
        <f t="shared" si="35"/>
        <v>0</v>
      </c>
      <c r="FB54">
        <f t="shared" si="36"/>
        <v>0</v>
      </c>
      <c r="FC54">
        <f t="shared" si="37"/>
        <v>0</v>
      </c>
      <c r="FD54">
        <f t="shared" si="38"/>
        <v>0</v>
      </c>
      <c r="FE54">
        <f t="shared" si="39"/>
        <v>0</v>
      </c>
      <c r="FF54">
        <f t="shared" si="40"/>
        <v>0</v>
      </c>
      <c r="FG54">
        <f t="shared" si="41"/>
        <v>0</v>
      </c>
      <c r="FH54">
        <f t="shared" si="42"/>
        <v>0</v>
      </c>
      <c r="FI54">
        <f t="shared" si="43"/>
        <v>0</v>
      </c>
    </row>
    <row r="55" spans="1:195" x14ac:dyDescent="0.2">
      <c r="A55" s="8" t="str">
        <f>Tank1!A71</f>
        <v>AAAAAA</v>
      </c>
      <c r="B55" s="8" t="str">
        <f>Tank1!E71</f>
        <v/>
      </c>
      <c r="C55" s="8" t="str">
        <f>Tank1!F71</f>
        <v/>
      </c>
      <c r="D55" s="8">
        <f t="shared" si="94"/>
        <v>0</v>
      </c>
      <c r="E55" s="8">
        <f t="shared" si="94"/>
        <v>0</v>
      </c>
      <c r="G55" s="8" t="str">
        <f>Tank2!A71</f>
        <v>AAAAAA</v>
      </c>
      <c r="H55" s="8" t="str">
        <f>Tank2!E71</f>
        <v/>
      </c>
      <c r="I55" s="8" t="str">
        <f>Tank2!F71</f>
        <v/>
      </c>
      <c r="J55">
        <f t="shared" si="95"/>
        <v>0</v>
      </c>
      <c r="K55">
        <f t="shared" si="95"/>
        <v>0</v>
      </c>
      <c r="M55" s="8" t="str">
        <f>Tank3!A71</f>
        <v>AAAAAA</v>
      </c>
      <c r="N55" s="8" t="str">
        <f>Tank3!E71</f>
        <v/>
      </c>
      <c r="O55" s="8" t="str">
        <f>Tank3!F71</f>
        <v/>
      </c>
      <c r="P55">
        <f t="shared" si="96"/>
        <v>0</v>
      </c>
      <c r="Q55">
        <f t="shared" si="96"/>
        <v>0</v>
      </c>
      <c r="S55" s="8" t="str">
        <f>Tank4!A71</f>
        <v>AAAAAA</v>
      </c>
      <c r="T55" s="8" t="str">
        <f>Tank4!E71</f>
        <v/>
      </c>
      <c r="U55" s="8" t="str">
        <f>Tank4!F71</f>
        <v/>
      </c>
      <c r="V55">
        <f t="shared" si="97"/>
        <v>0</v>
      </c>
      <c r="W55">
        <f t="shared" si="97"/>
        <v>0</v>
      </c>
      <c r="Y55" s="8" t="str">
        <f>Tank5!A71</f>
        <v>AAAAAA</v>
      </c>
      <c r="Z55" s="8" t="str">
        <f>Tank5!E71</f>
        <v/>
      </c>
      <c r="AA55" s="8" t="str">
        <f>Tank5!F71</f>
        <v/>
      </c>
      <c r="AB55">
        <f t="shared" si="98"/>
        <v>0</v>
      </c>
      <c r="AC55">
        <f t="shared" si="98"/>
        <v>0</v>
      </c>
      <c r="AE55" s="8" t="str">
        <f>Hidden!CC38</f>
        <v/>
      </c>
      <c r="AF55">
        <f t="shared" si="53"/>
        <v>0</v>
      </c>
      <c r="AG55">
        <f t="shared" si="54"/>
        <v>0</v>
      </c>
      <c r="AH55">
        <f t="shared" si="55"/>
        <v>0</v>
      </c>
      <c r="AI55">
        <f t="shared" si="56"/>
        <v>0</v>
      </c>
      <c r="AJ55">
        <f t="shared" si="57"/>
        <v>0</v>
      </c>
      <c r="AK55">
        <f t="shared" si="58"/>
        <v>0</v>
      </c>
      <c r="AL55">
        <f t="shared" si="59"/>
        <v>0</v>
      </c>
      <c r="AM55">
        <f t="shared" si="60"/>
        <v>0</v>
      </c>
      <c r="AN55">
        <f t="shared" si="61"/>
        <v>0</v>
      </c>
      <c r="AO55">
        <f t="shared" si="62"/>
        <v>0</v>
      </c>
      <c r="BJ55" s="8" t="str">
        <f>Tank1!A71</f>
        <v>AAAAAA</v>
      </c>
      <c r="BK55" s="8" t="str">
        <f>Tank1!E71</f>
        <v/>
      </c>
      <c r="BL55" s="8" t="str">
        <f>Tank1!F71</f>
        <v/>
      </c>
      <c r="BM55" s="8">
        <f t="shared" si="63"/>
        <v>0</v>
      </c>
      <c r="BN55" s="8">
        <f t="shared" si="64"/>
        <v>0</v>
      </c>
      <c r="BO55" s="8"/>
      <c r="BP55" s="8" t="str">
        <f>Tank2!A71</f>
        <v>AAAAAA</v>
      </c>
      <c r="BQ55" s="8" t="str">
        <f>Tank2!E71</f>
        <v/>
      </c>
      <c r="BR55" s="8" t="str">
        <f>Tank2!F71</f>
        <v/>
      </c>
      <c r="BS55" s="8">
        <f t="shared" si="65"/>
        <v>0</v>
      </c>
      <c r="BT55" s="8">
        <f t="shared" si="66"/>
        <v>0</v>
      </c>
      <c r="BU55" s="8"/>
      <c r="BV55" s="8" t="str">
        <f>Tank3!A71</f>
        <v>AAAAAA</v>
      </c>
      <c r="BW55" s="8" t="str">
        <f>Tank3!E71</f>
        <v/>
      </c>
      <c r="BX55" s="8" t="str">
        <f>Tank3!F71</f>
        <v/>
      </c>
      <c r="BY55" s="8">
        <f t="shared" si="67"/>
        <v>0</v>
      </c>
      <c r="BZ55" s="8">
        <f t="shared" si="68"/>
        <v>0</v>
      </c>
      <c r="CA55" s="8"/>
      <c r="CB55" s="8" t="str">
        <f>Tank4!A71</f>
        <v>AAAAAA</v>
      </c>
      <c r="CC55" s="8" t="str">
        <f>Tank4!E71</f>
        <v/>
      </c>
      <c r="CD55" s="8" t="str">
        <f>Tank4!F71</f>
        <v/>
      </c>
      <c r="CE55" s="8">
        <f t="shared" si="69"/>
        <v>0</v>
      </c>
      <c r="CF55" s="8">
        <f t="shared" si="70"/>
        <v>0</v>
      </c>
      <c r="CH55" s="8" t="str">
        <f>Tank5!A71</f>
        <v>AAAAAA</v>
      </c>
      <c r="CI55" s="8" t="str">
        <f>Tank5!E71</f>
        <v/>
      </c>
      <c r="CJ55" s="8" t="str">
        <f>Tank5!F71</f>
        <v/>
      </c>
      <c r="CK55" s="8">
        <f t="shared" si="71"/>
        <v>0</v>
      </c>
      <c r="CL55" s="8">
        <f t="shared" si="72"/>
        <v>0</v>
      </c>
      <c r="CN55" s="8" t="str">
        <f>Hidden!$CC38</f>
        <v/>
      </c>
      <c r="CO55">
        <f t="shared" si="73"/>
        <v>0</v>
      </c>
      <c r="CP55">
        <f t="shared" si="74"/>
        <v>0</v>
      </c>
      <c r="CQ55">
        <f t="shared" si="75"/>
        <v>0</v>
      </c>
      <c r="CR55">
        <f t="shared" si="76"/>
        <v>0</v>
      </c>
      <c r="CS55">
        <f t="shared" si="77"/>
        <v>0</v>
      </c>
      <c r="CT55">
        <f t="shared" si="78"/>
        <v>0</v>
      </c>
      <c r="CU55">
        <f t="shared" si="79"/>
        <v>0</v>
      </c>
      <c r="CV55">
        <f t="shared" si="80"/>
        <v>0</v>
      </c>
      <c r="CW55">
        <f t="shared" si="81"/>
        <v>0</v>
      </c>
      <c r="CX55">
        <f t="shared" si="82"/>
        <v>0</v>
      </c>
      <c r="DT55" s="77"/>
      <c r="DU55" s="8" t="str">
        <f t="shared" si="14"/>
        <v>AAAAAAA</v>
      </c>
      <c r="DV55" s="8" t="str">
        <f t="shared" si="15"/>
        <v/>
      </c>
      <c r="DW55" s="8" t="str">
        <f t="shared" si="16"/>
        <v/>
      </c>
      <c r="DX55">
        <f t="shared" si="87"/>
        <v>0</v>
      </c>
      <c r="DY55">
        <f t="shared" si="87"/>
        <v>0</v>
      </c>
      <c r="EA55" t="str">
        <f t="shared" si="18"/>
        <v>AAAAAAA</v>
      </c>
      <c r="EB55" t="str">
        <f t="shared" si="19"/>
        <v/>
      </c>
      <c r="EC55" t="str">
        <f t="shared" si="20"/>
        <v/>
      </c>
      <c r="ED55">
        <f t="shared" si="88"/>
        <v>0</v>
      </c>
      <c r="EE55">
        <f t="shared" si="88"/>
        <v>0</v>
      </c>
      <c r="EG55" s="8" t="str">
        <f t="shared" si="22"/>
        <v>AAAAAAA</v>
      </c>
      <c r="EH55" s="8" t="str">
        <f t="shared" si="23"/>
        <v/>
      </c>
      <c r="EI55" s="8" t="str">
        <f t="shared" si="24"/>
        <v/>
      </c>
      <c r="EJ55">
        <f t="shared" si="89"/>
        <v>0</v>
      </c>
      <c r="EK55">
        <f t="shared" si="89"/>
        <v>0</v>
      </c>
      <c r="EM55" s="8" t="str">
        <f t="shared" si="26"/>
        <v>AAAAAAA</v>
      </c>
      <c r="EN55" s="8" t="str">
        <f t="shared" si="27"/>
        <v/>
      </c>
      <c r="EO55" s="8" t="str">
        <f t="shared" si="28"/>
        <v/>
      </c>
      <c r="EP55">
        <f t="shared" si="90"/>
        <v>0</v>
      </c>
      <c r="EQ55">
        <f t="shared" si="90"/>
        <v>0</v>
      </c>
      <c r="ES55" s="8" t="str">
        <f t="shared" si="30"/>
        <v>AAAAAAA</v>
      </c>
      <c r="ET55" s="8" t="str">
        <f t="shared" si="31"/>
        <v/>
      </c>
      <c r="EU55" s="8" t="str">
        <f t="shared" si="32"/>
        <v/>
      </c>
      <c r="EV55">
        <f t="shared" si="91"/>
        <v>0</v>
      </c>
      <c r="EW55">
        <f t="shared" si="91"/>
        <v>0</v>
      </c>
      <c r="EY55" s="8" t="str">
        <f>Hidden!$CG49</f>
        <v/>
      </c>
      <c r="EZ55">
        <f t="shared" si="34"/>
        <v>0</v>
      </c>
      <c r="FA55">
        <f t="shared" si="35"/>
        <v>0</v>
      </c>
      <c r="FB55">
        <f t="shared" si="36"/>
        <v>0</v>
      </c>
      <c r="FC55">
        <f t="shared" si="37"/>
        <v>0</v>
      </c>
      <c r="FD55">
        <f t="shared" si="38"/>
        <v>0</v>
      </c>
      <c r="FE55">
        <f t="shared" si="39"/>
        <v>0</v>
      </c>
      <c r="FF55">
        <f t="shared" si="40"/>
        <v>0</v>
      </c>
      <c r="FG55">
        <f t="shared" si="41"/>
        <v>0</v>
      </c>
      <c r="FH55">
        <f t="shared" si="42"/>
        <v>0</v>
      </c>
      <c r="FI55">
        <f t="shared" si="43"/>
        <v>0</v>
      </c>
    </row>
    <row r="56" spans="1:195" ht="28.5" x14ac:dyDescent="0.2">
      <c r="A56" s="8" t="str">
        <f>Tank1!A72</f>
        <v>AAAAAAA</v>
      </c>
      <c r="B56" s="8" t="str">
        <f>Tank1!E72</f>
        <v/>
      </c>
      <c r="C56" s="8" t="str">
        <f>Tank1!F72</f>
        <v/>
      </c>
      <c r="D56" s="8">
        <f t="shared" si="94"/>
        <v>0</v>
      </c>
      <c r="E56" s="8">
        <f t="shared" si="94"/>
        <v>0</v>
      </c>
      <c r="G56" s="8" t="str">
        <f>Tank2!A72</f>
        <v>AAAAAAA</v>
      </c>
      <c r="H56" s="8" t="str">
        <f>Tank2!E72</f>
        <v/>
      </c>
      <c r="I56" s="8" t="str">
        <f>Tank2!F72</f>
        <v/>
      </c>
      <c r="J56">
        <f t="shared" si="95"/>
        <v>0</v>
      </c>
      <c r="K56">
        <f t="shared" si="95"/>
        <v>0</v>
      </c>
      <c r="M56" s="8" t="str">
        <f>Tank3!A72</f>
        <v>AAAAAAA</v>
      </c>
      <c r="N56" s="8" t="str">
        <f>Tank3!E72</f>
        <v/>
      </c>
      <c r="O56" s="8" t="str">
        <f>Tank3!F72</f>
        <v/>
      </c>
      <c r="P56">
        <f t="shared" si="96"/>
        <v>0</v>
      </c>
      <c r="Q56">
        <f t="shared" si="96"/>
        <v>0</v>
      </c>
      <c r="S56" s="8" t="str">
        <f>Tank4!A72</f>
        <v>AAAAAAA</v>
      </c>
      <c r="T56" s="8" t="str">
        <f>Tank4!E72</f>
        <v/>
      </c>
      <c r="U56" s="8" t="str">
        <f>Tank4!F72</f>
        <v/>
      </c>
      <c r="V56">
        <f t="shared" si="97"/>
        <v>0</v>
      </c>
      <c r="W56">
        <f t="shared" si="97"/>
        <v>0</v>
      </c>
      <c r="Y56" s="8" t="str">
        <f>Tank5!A72</f>
        <v>AAAAAAA</v>
      </c>
      <c r="Z56" s="8" t="str">
        <f>Tank5!E72</f>
        <v/>
      </c>
      <c r="AA56" s="8" t="str">
        <f>Tank5!F72</f>
        <v/>
      </c>
      <c r="AB56">
        <f t="shared" si="98"/>
        <v>0</v>
      </c>
      <c r="AC56">
        <f t="shared" si="98"/>
        <v>0</v>
      </c>
      <c r="AE56" s="8" t="str">
        <f>Hidden!CC39</f>
        <v/>
      </c>
      <c r="AF56">
        <f t="shared" si="53"/>
        <v>0</v>
      </c>
      <c r="AG56">
        <f t="shared" si="54"/>
        <v>0</v>
      </c>
      <c r="AH56">
        <f t="shared" si="55"/>
        <v>0</v>
      </c>
      <c r="AI56">
        <f t="shared" si="56"/>
        <v>0</v>
      </c>
      <c r="AJ56">
        <f t="shared" si="57"/>
        <v>0</v>
      </c>
      <c r="AK56">
        <f t="shared" si="58"/>
        <v>0</v>
      </c>
      <c r="AL56">
        <f t="shared" si="59"/>
        <v>0</v>
      </c>
      <c r="AM56">
        <f t="shared" si="60"/>
        <v>0</v>
      </c>
      <c r="AN56">
        <f t="shared" si="61"/>
        <v>0</v>
      </c>
      <c r="AO56">
        <f t="shared" si="62"/>
        <v>0</v>
      </c>
      <c r="BJ56" s="8" t="str">
        <f>Tank1!A72</f>
        <v>AAAAAAA</v>
      </c>
      <c r="BK56" s="8" t="str">
        <f>Tank1!E72</f>
        <v/>
      </c>
      <c r="BL56" s="8" t="str">
        <f>Tank1!F72</f>
        <v/>
      </c>
      <c r="BM56" s="8">
        <f t="shared" si="63"/>
        <v>0</v>
      </c>
      <c r="BN56" s="8">
        <f t="shared" si="64"/>
        <v>0</v>
      </c>
      <c r="BO56" s="8"/>
      <c r="BP56" s="8" t="str">
        <f>Tank2!A72</f>
        <v>AAAAAAA</v>
      </c>
      <c r="BQ56" s="8" t="str">
        <f>Tank2!E72</f>
        <v/>
      </c>
      <c r="BR56" s="8" t="str">
        <f>Tank2!F72</f>
        <v/>
      </c>
      <c r="BS56" s="8">
        <f t="shared" si="65"/>
        <v>0</v>
      </c>
      <c r="BT56" s="8">
        <f t="shared" si="66"/>
        <v>0</v>
      </c>
      <c r="BU56" s="8"/>
      <c r="BV56" s="8" t="str">
        <f>Tank3!A72</f>
        <v>AAAAAAA</v>
      </c>
      <c r="BW56" s="8" t="str">
        <f>Tank3!E72</f>
        <v/>
      </c>
      <c r="BX56" s="8" t="str">
        <f>Tank3!F72</f>
        <v/>
      </c>
      <c r="BY56" s="8">
        <f t="shared" si="67"/>
        <v>0</v>
      </c>
      <c r="BZ56" s="8">
        <f t="shared" si="68"/>
        <v>0</v>
      </c>
      <c r="CA56" s="8"/>
      <c r="CB56" s="8" t="str">
        <f>Tank4!A72</f>
        <v>AAAAAAA</v>
      </c>
      <c r="CC56" s="8" t="str">
        <f>Tank4!E72</f>
        <v/>
      </c>
      <c r="CD56" s="8" t="str">
        <f>Tank4!F72</f>
        <v/>
      </c>
      <c r="CE56" s="8">
        <f t="shared" si="69"/>
        <v>0</v>
      </c>
      <c r="CF56" s="8">
        <f t="shared" si="70"/>
        <v>0</v>
      </c>
      <c r="CH56" s="8" t="str">
        <f>Tank5!A72</f>
        <v>AAAAAAA</v>
      </c>
      <c r="CI56" s="8" t="str">
        <f>Tank5!E72</f>
        <v/>
      </c>
      <c r="CJ56" s="8" t="str">
        <f>Tank5!F72</f>
        <v/>
      </c>
      <c r="CK56" s="8">
        <f t="shared" si="71"/>
        <v>0</v>
      </c>
      <c r="CL56" s="8">
        <f t="shared" si="72"/>
        <v>0</v>
      </c>
      <c r="CN56" s="8" t="str">
        <f>Hidden!$CC39</f>
        <v/>
      </c>
      <c r="CO56">
        <f t="shared" si="73"/>
        <v>0</v>
      </c>
      <c r="CP56">
        <f t="shared" si="74"/>
        <v>0</v>
      </c>
      <c r="CQ56">
        <f t="shared" si="75"/>
        <v>0</v>
      </c>
      <c r="CR56">
        <f t="shared" si="76"/>
        <v>0</v>
      </c>
      <c r="CS56">
        <f t="shared" si="77"/>
        <v>0</v>
      </c>
      <c r="CT56">
        <f t="shared" si="78"/>
        <v>0</v>
      </c>
      <c r="CU56">
        <f t="shared" si="79"/>
        <v>0</v>
      </c>
      <c r="CV56">
        <f t="shared" si="80"/>
        <v>0</v>
      </c>
      <c r="CW56">
        <f t="shared" si="81"/>
        <v>0</v>
      </c>
      <c r="CX56">
        <f t="shared" si="82"/>
        <v>0</v>
      </c>
      <c r="DT56" s="77"/>
      <c r="DU56" s="8" t="str">
        <f t="shared" si="14"/>
        <v>AAAAAAAA</v>
      </c>
      <c r="DV56" s="8" t="str">
        <f t="shared" si="15"/>
        <v/>
      </c>
      <c r="DW56" s="8" t="str">
        <f t="shared" si="16"/>
        <v/>
      </c>
      <c r="DX56">
        <f t="shared" si="87"/>
        <v>0</v>
      </c>
      <c r="DY56">
        <f t="shared" si="87"/>
        <v>0</v>
      </c>
      <c r="EA56" t="str">
        <f t="shared" si="18"/>
        <v>AAAAAAAA</v>
      </c>
      <c r="EB56" t="str">
        <f t="shared" si="19"/>
        <v/>
      </c>
      <c r="EC56" t="str">
        <f t="shared" si="20"/>
        <v/>
      </c>
      <c r="ED56">
        <f t="shared" si="88"/>
        <v>0</v>
      </c>
      <c r="EE56">
        <f t="shared" si="88"/>
        <v>0</v>
      </c>
      <c r="EG56" s="8" t="str">
        <f t="shared" si="22"/>
        <v>AAAAAAAA</v>
      </c>
      <c r="EH56" s="8" t="str">
        <f t="shared" si="23"/>
        <v/>
      </c>
      <c r="EI56" s="8" t="str">
        <f t="shared" si="24"/>
        <v/>
      </c>
      <c r="EJ56">
        <f t="shared" si="89"/>
        <v>0</v>
      </c>
      <c r="EK56">
        <f t="shared" si="89"/>
        <v>0</v>
      </c>
      <c r="EM56" s="8" t="str">
        <f t="shared" si="26"/>
        <v>AAAAAAAA</v>
      </c>
      <c r="EN56" s="8" t="str">
        <f t="shared" si="27"/>
        <v/>
      </c>
      <c r="EO56" s="8" t="str">
        <f t="shared" si="28"/>
        <v/>
      </c>
      <c r="EP56">
        <f t="shared" si="90"/>
        <v>0</v>
      </c>
      <c r="EQ56">
        <f t="shared" si="90"/>
        <v>0</v>
      </c>
      <c r="ES56" s="8" t="str">
        <f t="shared" si="30"/>
        <v>AAAAAAAA</v>
      </c>
      <c r="ET56" s="8" t="str">
        <f t="shared" si="31"/>
        <v/>
      </c>
      <c r="EU56" s="8" t="str">
        <f t="shared" si="32"/>
        <v/>
      </c>
      <c r="EV56">
        <f t="shared" si="91"/>
        <v>0</v>
      </c>
      <c r="EW56">
        <f t="shared" si="91"/>
        <v>0</v>
      </c>
      <c r="EY56" s="8" t="str">
        <f>Hidden!$CG50</f>
        <v/>
      </c>
      <c r="EZ56">
        <f t="shared" si="34"/>
        <v>0</v>
      </c>
      <c r="FA56">
        <f t="shared" si="35"/>
        <v>0</v>
      </c>
      <c r="FB56">
        <f t="shared" si="36"/>
        <v>0</v>
      </c>
      <c r="FC56">
        <f t="shared" si="37"/>
        <v>0</v>
      </c>
      <c r="FD56">
        <f t="shared" si="38"/>
        <v>0</v>
      </c>
      <c r="FE56">
        <f t="shared" si="39"/>
        <v>0</v>
      </c>
      <c r="FF56">
        <f t="shared" si="40"/>
        <v>0</v>
      </c>
      <c r="FG56">
        <f t="shared" si="41"/>
        <v>0</v>
      </c>
      <c r="FH56">
        <f t="shared" si="42"/>
        <v>0</v>
      </c>
      <c r="FI56">
        <f t="shared" si="43"/>
        <v>0</v>
      </c>
    </row>
    <row r="57" spans="1:195" ht="28.5" x14ac:dyDescent="0.2">
      <c r="A57" s="8" t="str">
        <f>Tank1!A73</f>
        <v>AAAAAAAA</v>
      </c>
      <c r="B57" s="8" t="str">
        <f>Tank1!E73</f>
        <v/>
      </c>
      <c r="C57" s="8" t="str">
        <f>Tank1!F73</f>
        <v/>
      </c>
      <c r="D57" s="8">
        <f t="shared" si="94"/>
        <v>0</v>
      </c>
      <c r="E57" s="8">
        <f t="shared" si="94"/>
        <v>0</v>
      </c>
      <c r="G57" s="8" t="str">
        <f>Tank2!A73</f>
        <v>AAAAAAAA</v>
      </c>
      <c r="H57" s="8" t="str">
        <f>Tank2!E73</f>
        <v/>
      </c>
      <c r="I57" s="8" t="str">
        <f>Tank2!F73</f>
        <v/>
      </c>
      <c r="J57">
        <f t="shared" si="95"/>
        <v>0</v>
      </c>
      <c r="K57">
        <f t="shared" si="95"/>
        <v>0</v>
      </c>
      <c r="M57" s="8" t="str">
        <f>Tank3!A73</f>
        <v>AAAAAAAA</v>
      </c>
      <c r="N57" s="8" t="str">
        <f>Tank3!E73</f>
        <v/>
      </c>
      <c r="O57" s="8" t="str">
        <f>Tank3!F73</f>
        <v/>
      </c>
      <c r="P57">
        <f t="shared" si="96"/>
        <v>0</v>
      </c>
      <c r="Q57">
        <f t="shared" si="96"/>
        <v>0</v>
      </c>
      <c r="S57" s="8" t="str">
        <f>Tank4!A73</f>
        <v>AAAAAAAA</v>
      </c>
      <c r="T57" s="8" t="str">
        <f>Tank4!E73</f>
        <v/>
      </c>
      <c r="U57" s="8" t="str">
        <f>Tank4!F73</f>
        <v/>
      </c>
      <c r="V57">
        <f t="shared" si="97"/>
        <v>0</v>
      </c>
      <c r="W57">
        <f t="shared" si="97"/>
        <v>0</v>
      </c>
      <c r="Y57" s="8" t="str">
        <f>Tank5!A73</f>
        <v>AAAAAAAA</v>
      </c>
      <c r="Z57" s="8" t="str">
        <f>Tank5!E73</f>
        <v/>
      </c>
      <c r="AA57" s="8" t="str">
        <f>Tank5!F73</f>
        <v/>
      </c>
      <c r="AB57">
        <f t="shared" si="98"/>
        <v>0</v>
      </c>
      <c r="AC57">
        <f t="shared" si="98"/>
        <v>0</v>
      </c>
      <c r="AE57" s="8" t="str">
        <f>Hidden!CC40</f>
        <v/>
      </c>
      <c r="AF57">
        <f t="shared" si="53"/>
        <v>0</v>
      </c>
      <c r="AG57">
        <f t="shared" si="54"/>
        <v>0</v>
      </c>
      <c r="AH57">
        <f t="shared" si="55"/>
        <v>0</v>
      </c>
      <c r="AI57">
        <f t="shared" si="56"/>
        <v>0</v>
      </c>
      <c r="AJ57">
        <f t="shared" si="57"/>
        <v>0</v>
      </c>
      <c r="AK57">
        <f t="shared" si="58"/>
        <v>0</v>
      </c>
      <c r="AL57">
        <f t="shared" si="59"/>
        <v>0</v>
      </c>
      <c r="AM57">
        <f t="shared" si="60"/>
        <v>0</v>
      </c>
      <c r="AN57">
        <f t="shared" si="61"/>
        <v>0</v>
      </c>
      <c r="AO57">
        <f t="shared" si="62"/>
        <v>0</v>
      </c>
      <c r="BJ57" s="8" t="str">
        <f>Tank1!A73</f>
        <v>AAAAAAAA</v>
      </c>
      <c r="BK57" s="8" t="str">
        <f>Tank1!E73</f>
        <v/>
      </c>
      <c r="BL57" s="8" t="str">
        <f>Tank1!F73</f>
        <v/>
      </c>
      <c r="BM57" s="8">
        <f t="shared" si="63"/>
        <v>0</v>
      </c>
      <c r="BN57" s="8">
        <f t="shared" si="64"/>
        <v>0</v>
      </c>
      <c r="BO57" s="8"/>
      <c r="BP57" s="8" t="str">
        <f>Tank2!A73</f>
        <v>AAAAAAAA</v>
      </c>
      <c r="BQ57" s="8" t="str">
        <f>Tank2!E73</f>
        <v/>
      </c>
      <c r="BR57" s="8" t="str">
        <f>Tank2!F73</f>
        <v/>
      </c>
      <c r="BS57" s="8">
        <f t="shared" si="65"/>
        <v>0</v>
      </c>
      <c r="BT57" s="8">
        <f t="shared" si="66"/>
        <v>0</v>
      </c>
      <c r="BU57" s="8"/>
      <c r="BV57" s="8" t="str">
        <f>Tank3!A73</f>
        <v>AAAAAAAA</v>
      </c>
      <c r="BW57" s="8" t="str">
        <f>Tank3!E73</f>
        <v/>
      </c>
      <c r="BX57" s="8" t="str">
        <f>Tank3!F73</f>
        <v/>
      </c>
      <c r="BY57" s="8">
        <f t="shared" si="67"/>
        <v>0</v>
      </c>
      <c r="BZ57" s="8">
        <f t="shared" si="68"/>
        <v>0</v>
      </c>
      <c r="CA57" s="8"/>
      <c r="CB57" s="8" t="str">
        <f>Tank4!A73</f>
        <v>AAAAAAAA</v>
      </c>
      <c r="CC57" s="8" t="str">
        <f>Tank4!E73</f>
        <v/>
      </c>
      <c r="CD57" s="8" t="str">
        <f>Tank4!F73</f>
        <v/>
      </c>
      <c r="CE57" s="8">
        <f t="shared" si="69"/>
        <v>0</v>
      </c>
      <c r="CF57" s="8">
        <f t="shared" si="70"/>
        <v>0</v>
      </c>
      <c r="CH57" s="8" t="str">
        <f>Tank5!A73</f>
        <v>AAAAAAAA</v>
      </c>
      <c r="CI57" s="8" t="str">
        <f>Tank5!E73</f>
        <v/>
      </c>
      <c r="CJ57" s="8" t="str">
        <f>Tank5!F73</f>
        <v/>
      </c>
      <c r="CK57" s="8">
        <f t="shared" si="71"/>
        <v>0</v>
      </c>
      <c r="CL57" s="8">
        <f t="shared" si="72"/>
        <v>0</v>
      </c>
      <c r="CN57" s="8" t="str">
        <f>Hidden!$CC40</f>
        <v/>
      </c>
      <c r="CO57">
        <f t="shared" si="73"/>
        <v>0</v>
      </c>
      <c r="CP57">
        <f t="shared" si="74"/>
        <v>0</v>
      </c>
      <c r="CQ57">
        <f t="shared" si="75"/>
        <v>0</v>
      </c>
      <c r="CR57">
        <f t="shared" si="76"/>
        <v>0</v>
      </c>
      <c r="CS57">
        <f t="shared" si="77"/>
        <v>0</v>
      </c>
      <c r="CT57">
        <f t="shared" si="78"/>
        <v>0</v>
      </c>
      <c r="CU57">
        <f t="shared" si="79"/>
        <v>0</v>
      </c>
      <c r="CV57">
        <f t="shared" si="80"/>
        <v>0</v>
      </c>
      <c r="CW57">
        <f t="shared" si="81"/>
        <v>0</v>
      </c>
      <c r="CX57">
        <f t="shared" si="82"/>
        <v>0</v>
      </c>
      <c r="DT57" s="77"/>
      <c r="DU57" s="8" t="str">
        <f t="shared" si="14"/>
        <v>AAAAAAAAA</v>
      </c>
      <c r="DV57" s="8" t="str">
        <f t="shared" si="15"/>
        <v/>
      </c>
      <c r="DW57" s="8" t="str">
        <f t="shared" si="16"/>
        <v/>
      </c>
      <c r="DX57">
        <f t="shared" si="87"/>
        <v>0</v>
      </c>
      <c r="DY57">
        <f t="shared" si="87"/>
        <v>0</v>
      </c>
      <c r="EA57" t="str">
        <f t="shared" si="18"/>
        <v>AAAAAAAAA</v>
      </c>
      <c r="EB57" t="str">
        <f t="shared" si="19"/>
        <v/>
      </c>
      <c r="EC57" t="str">
        <f t="shared" si="20"/>
        <v/>
      </c>
      <c r="ED57">
        <f t="shared" si="88"/>
        <v>0</v>
      </c>
      <c r="EE57">
        <f t="shared" si="88"/>
        <v>0</v>
      </c>
      <c r="EG57" s="8" t="str">
        <f t="shared" si="22"/>
        <v>AAAAAAAAA</v>
      </c>
      <c r="EH57" s="8" t="str">
        <f t="shared" si="23"/>
        <v/>
      </c>
      <c r="EI57" s="8" t="str">
        <f t="shared" si="24"/>
        <v/>
      </c>
      <c r="EJ57">
        <f t="shared" si="89"/>
        <v>0</v>
      </c>
      <c r="EK57">
        <f t="shared" si="89"/>
        <v>0</v>
      </c>
      <c r="EM57" s="8" t="str">
        <f t="shared" si="26"/>
        <v>AAAAAAAAA</v>
      </c>
      <c r="EN57" s="8" t="str">
        <f t="shared" si="27"/>
        <v/>
      </c>
      <c r="EO57" s="8" t="str">
        <f t="shared" si="28"/>
        <v/>
      </c>
      <c r="EP57">
        <f t="shared" si="90"/>
        <v>0</v>
      </c>
      <c r="EQ57">
        <f t="shared" si="90"/>
        <v>0</v>
      </c>
      <c r="ES57" s="8" t="str">
        <f t="shared" si="30"/>
        <v>AAAAAAAAA</v>
      </c>
      <c r="ET57" s="8" t="str">
        <f t="shared" si="31"/>
        <v/>
      </c>
      <c r="EU57" s="8" t="str">
        <f t="shared" si="32"/>
        <v/>
      </c>
      <c r="EV57">
        <f t="shared" si="91"/>
        <v>0</v>
      </c>
      <c r="EW57">
        <f t="shared" si="91"/>
        <v>0</v>
      </c>
      <c r="EY57" s="8" t="str">
        <f>Hidden!$CG51</f>
        <v/>
      </c>
      <c r="EZ57">
        <f t="shared" si="34"/>
        <v>0</v>
      </c>
      <c r="FA57">
        <f t="shared" si="35"/>
        <v>0</v>
      </c>
      <c r="FB57">
        <f t="shared" si="36"/>
        <v>0</v>
      </c>
      <c r="FC57">
        <f t="shared" si="37"/>
        <v>0</v>
      </c>
      <c r="FD57">
        <f t="shared" si="38"/>
        <v>0</v>
      </c>
      <c r="FE57">
        <f t="shared" si="39"/>
        <v>0</v>
      </c>
      <c r="FF57">
        <f t="shared" si="40"/>
        <v>0</v>
      </c>
      <c r="FG57">
        <f t="shared" si="41"/>
        <v>0</v>
      </c>
      <c r="FH57">
        <f t="shared" si="42"/>
        <v>0</v>
      </c>
      <c r="FI57">
        <f t="shared" si="43"/>
        <v>0</v>
      </c>
    </row>
    <row r="58" spans="1:195" ht="28.5" x14ac:dyDescent="0.2">
      <c r="A58" s="8" t="str">
        <f>Tank1!A74</f>
        <v>AAAAAAAAA</v>
      </c>
      <c r="B58" s="8" t="str">
        <f>Tank1!E74</f>
        <v/>
      </c>
      <c r="C58" s="8" t="str">
        <f>Tank1!F74</f>
        <v/>
      </c>
      <c r="D58" s="8">
        <f t="shared" si="94"/>
        <v>0</v>
      </c>
      <c r="E58" s="8">
        <f t="shared" si="94"/>
        <v>0</v>
      </c>
      <c r="G58" s="8" t="str">
        <f>Tank2!A74</f>
        <v>AAAAAAAAA</v>
      </c>
      <c r="H58" s="8" t="str">
        <f>Tank2!E74</f>
        <v/>
      </c>
      <c r="I58" s="8" t="str">
        <f>Tank2!F74</f>
        <v/>
      </c>
      <c r="J58">
        <f t="shared" si="95"/>
        <v>0</v>
      </c>
      <c r="K58">
        <f t="shared" si="95"/>
        <v>0</v>
      </c>
      <c r="M58" s="8" t="str">
        <f>Tank3!A74</f>
        <v>AAAAAAAAA</v>
      </c>
      <c r="N58" s="8" t="str">
        <f>Tank3!E74</f>
        <v/>
      </c>
      <c r="O58" s="8" t="str">
        <f>Tank3!F74</f>
        <v/>
      </c>
      <c r="P58">
        <f t="shared" si="96"/>
        <v>0</v>
      </c>
      <c r="Q58">
        <f t="shared" si="96"/>
        <v>0</v>
      </c>
      <c r="S58" s="8" t="str">
        <f>Tank4!A74</f>
        <v>AAAAAAAAA</v>
      </c>
      <c r="T58" s="8" t="str">
        <f>Tank4!E74</f>
        <v/>
      </c>
      <c r="U58" s="8" t="str">
        <f>Tank4!F74</f>
        <v/>
      </c>
      <c r="V58">
        <f t="shared" si="97"/>
        <v>0</v>
      </c>
      <c r="W58">
        <f t="shared" si="97"/>
        <v>0</v>
      </c>
      <c r="Y58" s="8" t="str">
        <f>Tank5!A74</f>
        <v>AAAAAAAAA</v>
      </c>
      <c r="Z58" s="8" t="str">
        <f>Tank5!E74</f>
        <v/>
      </c>
      <c r="AA58" s="8" t="str">
        <f>Tank5!F74</f>
        <v/>
      </c>
      <c r="AB58">
        <f t="shared" si="98"/>
        <v>0</v>
      </c>
      <c r="AC58">
        <f t="shared" si="98"/>
        <v>0</v>
      </c>
      <c r="AE58" s="8" t="str">
        <f>Hidden!CC41</f>
        <v/>
      </c>
      <c r="AF58">
        <f t="shared" si="53"/>
        <v>0</v>
      </c>
      <c r="AG58">
        <f t="shared" si="54"/>
        <v>0</v>
      </c>
      <c r="AH58">
        <f t="shared" si="55"/>
        <v>0</v>
      </c>
      <c r="AI58">
        <f t="shared" si="56"/>
        <v>0</v>
      </c>
      <c r="AJ58">
        <f t="shared" si="57"/>
        <v>0</v>
      </c>
      <c r="AK58">
        <f t="shared" si="58"/>
        <v>0</v>
      </c>
      <c r="AL58">
        <f t="shared" si="59"/>
        <v>0</v>
      </c>
      <c r="AM58">
        <f t="shared" si="60"/>
        <v>0</v>
      </c>
      <c r="AN58">
        <f t="shared" si="61"/>
        <v>0</v>
      </c>
      <c r="AO58">
        <f t="shared" si="62"/>
        <v>0</v>
      </c>
      <c r="BJ58" s="8" t="str">
        <f>Tank1!A74</f>
        <v>AAAAAAAAA</v>
      </c>
      <c r="BK58" s="8" t="str">
        <f>Tank1!E74</f>
        <v/>
      </c>
      <c r="BL58" s="8" t="str">
        <f>Tank1!F74</f>
        <v/>
      </c>
      <c r="BM58" s="8">
        <f t="shared" si="63"/>
        <v>0</v>
      </c>
      <c r="BN58" s="8">
        <f t="shared" si="64"/>
        <v>0</v>
      </c>
      <c r="BO58" s="8"/>
      <c r="BP58" s="8" t="str">
        <f>Tank2!A74</f>
        <v>AAAAAAAAA</v>
      </c>
      <c r="BQ58" s="8" t="str">
        <f>Tank2!E74</f>
        <v/>
      </c>
      <c r="BR58" s="8" t="str">
        <f>Tank2!F74</f>
        <v/>
      </c>
      <c r="BS58" s="8">
        <f t="shared" si="65"/>
        <v>0</v>
      </c>
      <c r="BT58" s="8">
        <f t="shared" si="66"/>
        <v>0</v>
      </c>
      <c r="BU58" s="8"/>
      <c r="BV58" s="8" t="str">
        <f>Tank3!A74</f>
        <v>AAAAAAAAA</v>
      </c>
      <c r="BW58" s="8" t="str">
        <f>Tank3!E74</f>
        <v/>
      </c>
      <c r="BX58" s="8" t="str">
        <f>Tank3!F74</f>
        <v/>
      </c>
      <c r="BY58" s="8">
        <f t="shared" si="67"/>
        <v>0</v>
      </c>
      <c r="BZ58" s="8">
        <f t="shared" si="68"/>
        <v>0</v>
      </c>
      <c r="CA58" s="8"/>
      <c r="CB58" s="8" t="str">
        <f>Tank4!A74</f>
        <v>AAAAAAAAA</v>
      </c>
      <c r="CC58" s="8" t="str">
        <f>Tank4!E74</f>
        <v/>
      </c>
      <c r="CD58" s="8" t="str">
        <f>Tank4!F74</f>
        <v/>
      </c>
      <c r="CE58" s="8">
        <f t="shared" si="69"/>
        <v>0</v>
      </c>
      <c r="CF58" s="8">
        <f t="shared" si="70"/>
        <v>0</v>
      </c>
      <c r="CH58" s="8" t="str">
        <f>Tank5!A74</f>
        <v>AAAAAAAAA</v>
      </c>
      <c r="CI58" s="8" t="str">
        <f>Tank5!E74</f>
        <v/>
      </c>
      <c r="CJ58" s="8" t="str">
        <f>Tank5!F74</f>
        <v/>
      </c>
      <c r="CK58" s="8">
        <f t="shared" si="71"/>
        <v>0</v>
      </c>
      <c r="CL58" s="8">
        <f t="shared" si="72"/>
        <v>0</v>
      </c>
      <c r="CN58" s="8" t="str">
        <f>Hidden!$CC41</f>
        <v/>
      </c>
      <c r="CO58">
        <f t="shared" si="73"/>
        <v>0</v>
      </c>
      <c r="CP58">
        <f t="shared" si="74"/>
        <v>0</v>
      </c>
      <c r="CQ58">
        <f t="shared" si="75"/>
        <v>0</v>
      </c>
      <c r="CR58">
        <f t="shared" si="76"/>
        <v>0</v>
      </c>
      <c r="CS58">
        <f t="shared" si="77"/>
        <v>0</v>
      </c>
      <c r="CT58">
        <f t="shared" si="78"/>
        <v>0</v>
      </c>
      <c r="CU58">
        <f t="shared" si="79"/>
        <v>0</v>
      </c>
      <c r="CV58">
        <f t="shared" si="80"/>
        <v>0</v>
      </c>
      <c r="CW58">
        <f t="shared" si="81"/>
        <v>0</v>
      </c>
      <c r="CX58">
        <f t="shared" si="82"/>
        <v>0</v>
      </c>
      <c r="DT58" s="77"/>
      <c r="DU58" s="8" t="str">
        <f t="shared" si="14"/>
        <v>AAAAAAAAAA</v>
      </c>
      <c r="DV58" s="8" t="str">
        <f t="shared" si="15"/>
        <v/>
      </c>
      <c r="DW58" s="8" t="str">
        <f t="shared" si="16"/>
        <v/>
      </c>
      <c r="DX58">
        <f t="shared" si="87"/>
        <v>0</v>
      </c>
      <c r="DY58">
        <f t="shared" si="87"/>
        <v>0</v>
      </c>
      <c r="EA58" t="str">
        <f t="shared" si="18"/>
        <v>AAAAAAAAAA</v>
      </c>
      <c r="EB58" t="str">
        <f t="shared" si="19"/>
        <v/>
      </c>
      <c r="EC58" t="str">
        <f t="shared" si="20"/>
        <v/>
      </c>
      <c r="ED58">
        <f t="shared" si="88"/>
        <v>0</v>
      </c>
      <c r="EE58">
        <f t="shared" si="88"/>
        <v>0</v>
      </c>
      <c r="EG58" s="8" t="str">
        <f t="shared" si="22"/>
        <v>AAAAAAAAAA</v>
      </c>
      <c r="EH58" s="8" t="str">
        <f t="shared" si="23"/>
        <v/>
      </c>
      <c r="EI58" s="8" t="str">
        <f t="shared" si="24"/>
        <v/>
      </c>
      <c r="EJ58">
        <f t="shared" si="89"/>
        <v>0</v>
      </c>
      <c r="EK58">
        <f t="shared" si="89"/>
        <v>0</v>
      </c>
      <c r="EM58" s="8" t="str">
        <f t="shared" si="26"/>
        <v>AAAAAAAAAA</v>
      </c>
      <c r="EN58" s="8" t="str">
        <f t="shared" si="27"/>
        <v/>
      </c>
      <c r="EO58" s="8" t="str">
        <f t="shared" si="28"/>
        <v/>
      </c>
      <c r="EP58">
        <f t="shared" si="90"/>
        <v>0</v>
      </c>
      <c r="EQ58">
        <f t="shared" si="90"/>
        <v>0</v>
      </c>
      <c r="ES58" s="8" t="str">
        <f t="shared" si="30"/>
        <v>AAAAAAAAAA</v>
      </c>
      <c r="ET58" s="8" t="str">
        <f t="shared" si="31"/>
        <v/>
      </c>
      <c r="EU58" s="8" t="str">
        <f t="shared" si="32"/>
        <v/>
      </c>
      <c r="EV58">
        <f t="shared" si="91"/>
        <v>0</v>
      </c>
      <c r="EW58">
        <f t="shared" si="91"/>
        <v>0</v>
      </c>
      <c r="EY58" s="8" t="str">
        <f>Hidden!$CG52</f>
        <v/>
      </c>
      <c r="EZ58">
        <f t="shared" si="34"/>
        <v>0</v>
      </c>
      <c r="FA58">
        <f t="shared" si="35"/>
        <v>0</v>
      </c>
      <c r="FB58">
        <f t="shared" si="36"/>
        <v>0</v>
      </c>
      <c r="FC58">
        <f t="shared" si="37"/>
        <v>0</v>
      </c>
      <c r="FD58">
        <f t="shared" si="38"/>
        <v>0</v>
      </c>
      <c r="FE58">
        <f t="shared" si="39"/>
        <v>0</v>
      </c>
      <c r="FF58">
        <f t="shared" si="40"/>
        <v>0</v>
      </c>
      <c r="FG58">
        <f t="shared" si="41"/>
        <v>0</v>
      </c>
      <c r="FH58">
        <f t="shared" si="42"/>
        <v>0</v>
      </c>
      <c r="FI58">
        <f t="shared" si="43"/>
        <v>0</v>
      </c>
    </row>
    <row r="59" spans="1:195" x14ac:dyDescent="0.2">
      <c r="A59" s="8" t="str">
        <f>Tank1!A75</f>
        <v>AAAAAAAAAA</v>
      </c>
      <c r="B59" s="8" t="str">
        <f>Tank1!E75</f>
        <v/>
      </c>
      <c r="C59" s="8" t="str">
        <f>Tank1!F75</f>
        <v/>
      </c>
      <c r="D59" s="8">
        <f t="shared" si="94"/>
        <v>0</v>
      </c>
      <c r="E59" s="8">
        <f t="shared" si="94"/>
        <v>0</v>
      </c>
      <c r="G59" s="8" t="str">
        <f>Tank2!A75</f>
        <v>AAAAAAAAAA</v>
      </c>
      <c r="H59" s="8" t="str">
        <f>Tank2!E75</f>
        <v/>
      </c>
      <c r="I59" s="8" t="str">
        <f>Tank2!F75</f>
        <v/>
      </c>
      <c r="J59">
        <f t="shared" si="95"/>
        <v>0</v>
      </c>
      <c r="K59">
        <f t="shared" si="95"/>
        <v>0</v>
      </c>
      <c r="M59" s="8" t="str">
        <f>Tank3!A75</f>
        <v>AAAAAAAAAA</v>
      </c>
      <c r="N59" s="8" t="str">
        <f>Tank3!E75</f>
        <v/>
      </c>
      <c r="O59" s="8" t="str">
        <f>Tank3!F75</f>
        <v/>
      </c>
      <c r="P59">
        <f t="shared" si="96"/>
        <v>0</v>
      </c>
      <c r="Q59">
        <f t="shared" si="96"/>
        <v>0</v>
      </c>
      <c r="S59" s="8" t="str">
        <f>Tank4!A75</f>
        <v>AAAAAAAAAA</v>
      </c>
      <c r="T59" s="8" t="str">
        <f>Tank4!E75</f>
        <v/>
      </c>
      <c r="U59" s="8" t="str">
        <f>Tank4!F75</f>
        <v/>
      </c>
      <c r="V59">
        <f t="shared" si="97"/>
        <v>0</v>
      </c>
      <c r="W59">
        <f t="shared" si="97"/>
        <v>0</v>
      </c>
      <c r="Y59" s="8" t="str">
        <f>Tank5!A75</f>
        <v>AAAAAAAAAA</v>
      </c>
      <c r="Z59" s="8" t="str">
        <f>Tank5!E75</f>
        <v/>
      </c>
      <c r="AA59" s="8" t="str">
        <f>Tank5!F75</f>
        <v/>
      </c>
      <c r="AB59">
        <f t="shared" si="98"/>
        <v>0</v>
      </c>
      <c r="AC59">
        <f t="shared" si="98"/>
        <v>0</v>
      </c>
      <c r="AE59" s="8" t="str">
        <f>Hidden!CC42</f>
        <v/>
      </c>
      <c r="AF59">
        <f t="shared" si="53"/>
        <v>0</v>
      </c>
      <c r="AG59">
        <f t="shared" si="54"/>
        <v>0</v>
      </c>
      <c r="AH59">
        <f t="shared" si="55"/>
        <v>0</v>
      </c>
      <c r="AI59">
        <f t="shared" si="56"/>
        <v>0</v>
      </c>
      <c r="AJ59">
        <f t="shared" si="57"/>
        <v>0</v>
      </c>
      <c r="AK59">
        <f t="shared" si="58"/>
        <v>0</v>
      </c>
      <c r="AL59">
        <f t="shared" si="59"/>
        <v>0</v>
      </c>
      <c r="AM59">
        <f t="shared" si="60"/>
        <v>0</v>
      </c>
      <c r="AN59">
        <f t="shared" si="61"/>
        <v>0</v>
      </c>
      <c r="AO59">
        <f t="shared" si="62"/>
        <v>0</v>
      </c>
      <c r="BJ59" s="8" t="str">
        <f>Tank1!A75</f>
        <v>AAAAAAAAAA</v>
      </c>
      <c r="BK59" s="8" t="str">
        <f>Tank1!E75</f>
        <v/>
      </c>
      <c r="BL59" s="8" t="str">
        <f>Tank1!F75</f>
        <v/>
      </c>
      <c r="BM59" s="8">
        <f t="shared" si="63"/>
        <v>0</v>
      </c>
      <c r="BN59" s="8">
        <f t="shared" si="64"/>
        <v>0</v>
      </c>
      <c r="BO59" s="8"/>
      <c r="BP59" s="8" t="str">
        <f>Tank2!A75</f>
        <v>AAAAAAAAAA</v>
      </c>
      <c r="BQ59" s="8" t="str">
        <f>Tank2!E75</f>
        <v/>
      </c>
      <c r="BR59" s="8" t="str">
        <f>Tank2!F75</f>
        <v/>
      </c>
      <c r="BS59" s="8">
        <f t="shared" si="65"/>
        <v>0</v>
      </c>
      <c r="BT59" s="8">
        <f t="shared" si="66"/>
        <v>0</v>
      </c>
      <c r="BU59" s="8"/>
      <c r="BV59" s="8" t="str">
        <f>Tank3!A75</f>
        <v>AAAAAAAAAA</v>
      </c>
      <c r="BW59" s="8" t="str">
        <f>Tank3!E75</f>
        <v/>
      </c>
      <c r="BX59" s="8" t="str">
        <f>Tank3!F75</f>
        <v/>
      </c>
      <c r="BY59" s="8">
        <f t="shared" si="67"/>
        <v>0</v>
      </c>
      <c r="BZ59" s="8">
        <f t="shared" si="68"/>
        <v>0</v>
      </c>
      <c r="CA59" s="8"/>
      <c r="CB59" s="8" t="str">
        <f>Tank4!A75</f>
        <v>AAAAAAAAAA</v>
      </c>
      <c r="CC59" s="8" t="str">
        <f>Tank4!E75</f>
        <v/>
      </c>
      <c r="CD59" s="8" t="str">
        <f>Tank4!F75</f>
        <v/>
      </c>
      <c r="CE59" s="8">
        <f t="shared" si="69"/>
        <v>0</v>
      </c>
      <c r="CF59" s="8">
        <f t="shared" si="70"/>
        <v>0</v>
      </c>
      <c r="CH59" s="8" t="str">
        <f>Tank5!A75</f>
        <v>AAAAAAAAAA</v>
      </c>
      <c r="CI59" s="8" t="str">
        <f>Tank5!E75</f>
        <v/>
      </c>
      <c r="CJ59" s="8" t="str">
        <f>Tank5!F75</f>
        <v/>
      </c>
      <c r="CK59" s="8">
        <f t="shared" si="71"/>
        <v>0</v>
      </c>
      <c r="CL59" s="8">
        <f t="shared" si="72"/>
        <v>0</v>
      </c>
      <c r="CN59" s="8" t="str">
        <f>Hidden!$CC42</f>
        <v/>
      </c>
      <c r="CO59">
        <f t="shared" si="73"/>
        <v>0</v>
      </c>
      <c r="CP59">
        <f t="shared" si="74"/>
        <v>0</v>
      </c>
      <c r="CQ59">
        <f t="shared" si="75"/>
        <v>0</v>
      </c>
      <c r="CR59">
        <f t="shared" si="76"/>
        <v>0</v>
      </c>
      <c r="CS59">
        <f t="shared" si="77"/>
        <v>0</v>
      </c>
      <c r="CT59">
        <f t="shared" si="78"/>
        <v>0</v>
      </c>
      <c r="CU59">
        <f t="shared" si="79"/>
        <v>0</v>
      </c>
      <c r="CV59">
        <f t="shared" si="80"/>
        <v>0</v>
      </c>
      <c r="CW59">
        <f t="shared" si="81"/>
        <v>0</v>
      </c>
      <c r="CX59">
        <f t="shared" si="82"/>
        <v>0</v>
      </c>
      <c r="DT59" s="77"/>
      <c r="DU59" s="8" t="str">
        <f t="shared" ref="DU59:DU90" si="99">A70</f>
        <v>A</v>
      </c>
      <c r="DV59" s="8" t="str">
        <f t="shared" ref="DV59:DV90" si="100">B70</f>
        <v/>
      </c>
      <c r="DW59" s="8" t="str">
        <f t="shared" ref="DW59:DW90" si="101">C70</f>
        <v/>
      </c>
      <c r="DX59">
        <f t="shared" si="87"/>
        <v>0</v>
      </c>
      <c r="DY59">
        <f t="shared" si="87"/>
        <v>0</v>
      </c>
      <c r="EA59" t="str">
        <f t="shared" si="18"/>
        <v>A</v>
      </c>
      <c r="EB59" t="str">
        <f t="shared" si="19"/>
        <v/>
      </c>
      <c r="EC59" t="str">
        <f t="shared" si="20"/>
        <v/>
      </c>
      <c r="ED59">
        <f t="shared" si="88"/>
        <v>0</v>
      </c>
      <c r="EE59">
        <f t="shared" si="88"/>
        <v>0</v>
      </c>
      <c r="EG59" s="8" t="str">
        <f t="shared" si="22"/>
        <v>A</v>
      </c>
      <c r="EH59" s="8" t="str">
        <f t="shared" si="23"/>
        <v/>
      </c>
      <c r="EI59" s="8" t="str">
        <f t="shared" si="24"/>
        <v/>
      </c>
      <c r="EJ59">
        <f t="shared" si="89"/>
        <v>0</v>
      </c>
      <c r="EK59">
        <f t="shared" si="89"/>
        <v>0</v>
      </c>
      <c r="EM59" s="8" t="str">
        <f t="shared" si="26"/>
        <v>A</v>
      </c>
      <c r="EN59" s="8" t="str">
        <f t="shared" si="27"/>
        <v/>
      </c>
      <c r="EO59" s="8" t="str">
        <f t="shared" si="28"/>
        <v/>
      </c>
      <c r="EP59">
        <f t="shared" si="90"/>
        <v>0</v>
      </c>
      <c r="EQ59">
        <f t="shared" si="90"/>
        <v>0</v>
      </c>
      <c r="ES59" s="8" t="str">
        <f t="shared" si="30"/>
        <v>A</v>
      </c>
      <c r="ET59" s="8" t="str">
        <f t="shared" si="31"/>
        <v/>
      </c>
      <c r="EU59" s="8" t="str">
        <f t="shared" si="32"/>
        <v/>
      </c>
      <c r="EV59">
        <f t="shared" si="91"/>
        <v>0</v>
      </c>
      <c r="EW59">
        <f t="shared" si="91"/>
        <v>0</v>
      </c>
      <c r="EY59" s="8" t="str">
        <f>Hidden!$CG53</f>
        <v/>
      </c>
      <c r="EZ59">
        <f t="shared" si="34"/>
        <v>0</v>
      </c>
      <c r="FA59">
        <f t="shared" si="35"/>
        <v>0</v>
      </c>
      <c r="FB59">
        <f t="shared" si="36"/>
        <v>0</v>
      </c>
      <c r="FC59">
        <f t="shared" si="37"/>
        <v>0</v>
      </c>
      <c r="FD59">
        <f t="shared" si="38"/>
        <v>0</v>
      </c>
      <c r="FE59">
        <f t="shared" si="39"/>
        <v>0</v>
      </c>
      <c r="FF59">
        <f t="shared" si="40"/>
        <v>0</v>
      </c>
      <c r="FG59">
        <f t="shared" si="41"/>
        <v>0</v>
      </c>
      <c r="FH59">
        <f t="shared" si="42"/>
        <v>0</v>
      </c>
      <c r="FI59">
        <f t="shared" si="43"/>
        <v>0</v>
      </c>
    </row>
    <row r="60" spans="1:195" x14ac:dyDescent="0.2">
      <c r="A60" s="8" t="str">
        <f>Tank1!A77</f>
        <v>A</v>
      </c>
      <c r="B60" s="8" t="str">
        <f>Tank1!E77</f>
        <v/>
      </c>
      <c r="C60" s="8" t="str">
        <f>Tank1!F77</f>
        <v/>
      </c>
      <c r="D60" s="8">
        <f t="shared" si="94"/>
        <v>0</v>
      </c>
      <c r="E60" s="8">
        <f t="shared" si="94"/>
        <v>0</v>
      </c>
      <c r="G60" s="8" t="str">
        <f>Tank2!A77</f>
        <v>A</v>
      </c>
      <c r="H60" s="8" t="str">
        <f>Tank2!E77</f>
        <v/>
      </c>
      <c r="I60" s="8" t="str">
        <f>Tank2!F77</f>
        <v/>
      </c>
      <c r="J60">
        <f t="shared" si="95"/>
        <v>0</v>
      </c>
      <c r="K60">
        <f t="shared" si="95"/>
        <v>0</v>
      </c>
      <c r="M60" s="8" t="str">
        <f>Tank3!A77</f>
        <v>A</v>
      </c>
      <c r="N60" s="8" t="str">
        <f>Tank3!E77</f>
        <v/>
      </c>
      <c r="O60" s="8" t="str">
        <f>Tank3!F77</f>
        <v/>
      </c>
      <c r="P60">
        <f t="shared" si="96"/>
        <v>0</v>
      </c>
      <c r="Q60">
        <f t="shared" si="96"/>
        <v>0</v>
      </c>
      <c r="S60" s="8" t="str">
        <f>Tank4!A77</f>
        <v>A</v>
      </c>
      <c r="T60" s="8" t="str">
        <f>Tank4!E77</f>
        <v/>
      </c>
      <c r="U60" s="8" t="str">
        <f>Tank4!F77</f>
        <v/>
      </c>
      <c r="V60">
        <f t="shared" si="97"/>
        <v>0</v>
      </c>
      <c r="W60">
        <f t="shared" si="97"/>
        <v>0</v>
      </c>
      <c r="Y60" s="8" t="str">
        <f>Tank5!A77</f>
        <v>A</v>
      </c>
      <c r="Z60" s="8" t="str">
        <f>Tank5!E77</f>
        <v/>
      </c>
      <c r="AA60" s="8" t="str">
        <f>Tank5!F77</f>
        <v/>
      </c>
      <c r="AB60">
        <f t="shared" si="98"/>
        <v>0</v>
      </c>
      <c r="AC60">
        <f t="shared" si="98"/>
        <v>0</v>
      </c>
      <c r="AE60" s="8" t="str">
        <f>Hidden!CC43</f>
        <v/>
      </c>
      <c r="AF60">
        <f t="shared" si="53"/>
        <v>0</v>
      </c>
      <c r="AG60">
        <f t="shared" si="54"/>
        <v>0</v>
      </c>
      <c r="AH60">
        <f t="shared" si="55"/>
        <v>0</v>
      </c>
      <c r="AI60">
        <f t="shared" si="56"/>
        <v>0</v>
      </c>
      <c r="AJ60">
        <f t="shared" si="57"/>
        <v>0</v>
      </c>
      <c r="AK60">
        <f t="shared" si="58"/>
        <v>0</v>
      </c>
      <c r="AL60">
        <f t="shared" si="59"/>
        <v>0</v>
      </c>
      <c r="AM60">
        <f t="shared" si="60"/>
        <v>0</v>
      </c>
      <c r="AN60">
        <f t="shared" si="61"/>
        <v>0</v>
      </c>
      <c r="AO60">
        <f t="shared" si="62"/>
        <v>0</v>
      </c>
      <c r="BJ60" s="8" t="str">
        <f>Tank1!A77</f>
        <v>A</v>
      </c>
      <c r="BK60" s="8" t="str">
        <f>Tank1!E77</f>
        <v/>
      </c>
      <c r="BL60" s="8" t="str">
        <f>Tank1!F77</f>
        <v/>
      </c>
      <c r="BM60" s="8">
        <f t="shared" si="63"/>
        <v>0</v>
      </c>
      <c r="BN60" s="8">
        <f t="shared" si="64"/>
        <v>0</v>
      </c>
      <c r="BO60" s="8"/>
      <c r="BP60" s="8" t="str">
        <f>Tank2!A77</f>
        <v>A</v>
      </c>
      <c r="BQ60" s="8" t="str">
        <f>Tank2!E77</f>
        <v/>
      </c>
      <c r="BR60" s="8" t="str">
        <f>Tank2!F77</f>
        <v/>
      </c>
      <c r="BS60" s="8">
        <f t="shared" si="65"/>
        <v>0</v>
      </c>
      <c r="BT60" s="8">
        <f t="shared" si="66"/>
        <v>0</v>
      </c>
      <c r="BU60" s="8"/>
      <c r="BV60" s="8" t="str">
        <f>Tank3!A77</f>
        <v>A</v>
      </c>
      <c r="BW60" s="8" t="str">
        <f>Tank3!E77</f>
        <v/>
      </c>
      <c r="BX60" s="8" t="str">
        <f>Tank3!F77</f>
        <v/>
      </c>
      <c r="BY60" s="8">
        <f t="shared" si="67"/>
        <v>0</v>
      </c>
      <c r="BZ60" s="8">
        <f t="shared" si="68"/>
        <v>0</v>
      </c>
      <c r="CA60" s="8"/>
      <c r="CB60" s="8" t="str">
        <f>Tank4!A77</f>
        <v>A</v>
      </c>
      <c r="CC60" s="8" t="str">
        <f>Tank4!E77</f>
        <v/>
      </c>
      <c r="CD60" s="8" t="str">
        <f>Tank4!F77</f>
        <v/>
      </c>
      <c r="CE60" s="8">
        <f t="shared" si="69"/>
        <v>0</v>
      </c>
      <c r="CF60" s="8">
        <f t="shared" si="70"/>
        <v>0</v>
      </c>
      <c r="CH60" s="8" t="str">
        <f>Tank5!A77</f>
        <v>A</v>
      </c>
      <c r="CI60" s="8" t="str">
        <f>Tank5!E77</f>
        <v/>
      </c>
      <c r="CJ60" s="8" t="str">
        <f>Tank5!F77</f>
        <v/>
      </c>
      <c r="CK60" s="8">
        <f t="shared" si="71"/>
        <v>0</v>
      </c>
      <c r="CL60" s="8">
        <f t="shared" si="72"/>
        <v>0</v>
      </c>
      <c r="CN60" s="8" t="str">
        <f>Hidden!$CC43</f>
        <v/>
      </c>
      <c r="CO60">
        <f t="shared" si="73"/>
        <v>0</v>
      </c>
      <c r="CP60">
        <f t="shared" si="74"/>
        <v>0</v>
      </c>
      <c r="CQ60">
        <f t="shared" si="75"/>
        <v>0</v>
      </c>
      <c r="CR60">
        <f t="shared" si="76"/>
        <v>0</v>
      </c>
      <c r="CS60">
        <f t="shared" si="77"/>
        <v>0</v>
      </c>
      <c r="CT60">
        <f t="shared" si="78"/>
        <v>0</v>
      </c>
      <c r="CU60">
        <f t="shared" si="79"/>
        <v>0</v>
      </c>
      <c r="CV60">
        <f t="shared" si="80"/>
        <v>0</v>
      </c>
      <c r="CW60">
        <f t="shared" si="81"/>
        <v>0</v>
      </c>
      <c r="CX60">
        <f t="shared" si="82"/>
        <v>0</v>
      </c>
      <c r="DT60" s="77"/>
      <c r="DU60" s="8" t="str">
        <f t="shared" si="99"/>
        <v>AA</v>
      </c>
      <c r="DV60" s="8" t="str">
        <f t="shared" si="100"/>
        <v/>
      </c>
      <c r="DW60" s="8" t="str">
        <f t="shared" si="101"/>
        <v/>
      </c>
      <c r="DX60">
        <f t="shared" si="87"/>
        <v>0</v>
      </c>
      <c r="DY60">
        <f t="shared" si="87"/>
        <v>0</v>
      </c>
      <c r="EA60" t="str">
        <f t="shared" si="18"/>
        <v>AA</v>
      </c>
      <c r="EB60" t="str">
        <f t="shared" si="19"/>
        <v/>
      </c>
      <c r="EC60" t="str">
        <f t="shared" si="20"/>
        <v/>
      </c>
      <c r="ED60">
        <f t="shared" si="88"/>
        <v>0</v>
      </c>
      <c r="EE60">
        <f t="shared" si="88"/>
        <v>0</v>
      </c>
      <c r="EG60" s="8" t="str">
        <f t="shared" si="22"/>
        <v>AA</v>
      </c>
      <c r="EH60" s="8" t="str">
        <f t="shared" si="23"/>
        <v/>
      </c>
      <c r="EI60" s="8" t="str">
        <f t="shared" si="24"/>
        <v/>
      </c>
      <c r="EJ60">
        <f t="shared" si="89"/>
        <v>0</v>
      </c>
      <c r="EK60">
        <f t="shared" si="89"/>
        <v>0</v>
      </c>
      <c r="EM60" s="8" t="str">
        <f t="shared" si="26"/>
        <v>AA</v>
      </c>
      <c r="EN60" s="8" t="str">
        <f t="shared" si="27"/>
        <v/>
      </c>
      <c r="EO60" s="8" t="str">
        <f t="shared" si="28"/>
        <v/>
      </c>
      <c r="EP60">
        <f t="shared" si="90"/>
        <v>0</v>
      </c>
      <c r="EQ60">
        <f t="shared" si="90"/>
        <v>0</v>
      </c>
      <c r="ES60" s="8" t="str">
        <f t="shared" si="30"/>
        <v>AA</v>
      </c>
      <c r="ET60" s="8" t="str">
        <f t="shared" si="31"/>
        <v/>
      </c>
      <c r="EU60" s="8" t="str">
        <f t="shared" si="32"/>
        <v/>
      </c>
      <c r="EV60">
        <f t="shared" si="91"/>
        <v>0</v>
      </c>
      <c r="EW60">
        <f t="shared" si="91"/>
        <v>0</v>
      </c>
      <c r="EY60" s="8" t="str">
        <f>Hidden!$CG54</f>
        <v/>
      </c>
      <c r="EZ60">
        <f t="shared" si="34"/>
        <v>0</v>
      </c>
      <c r="FA60">
        <f t="shared" si="35"/>
        <v>0</v>
      </c>
      <c r="FB60">
        <f t="shared" si="36"/>
        <v>0</v>
      </c>
      <c r="FC60">
        <f t="shared" si="37"/>
        <v>0</v>
      </c>
      <c r="FD60">
        <f t="shared" si="38"/>
        <v>0</v>
      </c>
      <c r="FE60">
        <f t="shared" si="39"/>
        <v>0</v>
      </c>
      <c r="FF60">
        <f t="shared" si="40"/>
        <v>0</v>
      </c>
      <c r="FG60">
        <f t="shared" si="41"/>
        <v>0</v>
      </c>
      <c r="FH60">
        <f t="shared" si="42"/>
        <v>0</v>
      </c>
      <c r="FI60">
        <f t="shared" si="43"/>
        <v>0</v>
      </c>
    </row>
    <row r="61" spans="1:195" x14ac:dyDescent="0.2">
      <c r="A61" s="8" t="str">
        <f>Tank1!A78</f>
        <v>AA</v>
      </c>
      <c r="B61" s="8" t="str">
        <f>Tank1!E78</f>
        <v/>
      </c>
      <c r="C61" s="8" t="str">
        <f>Tank1!F78</f>
        <v/>
      </c>
      <c r="D61" s="8">
        <f t="shared" si="94"/>
        <v>0</v>
      </c>
      <c r="E61" s="8">
        <f t="shared" si="94"/>
        <v>0</v>
      </c>
      <c r="G61" s="8" t="str">
        <f>Tank2!A78</f>
        <v>AA</v>
      </c>
      <c r="H61" s="8" t="str">
        <f>Tank2!E78</f>
        <v/>
      </c>
      <c r="I61" s="8" t="str">
        <f>Tank2!F78</f>
        <v/>
      </c>
      <c r="J61">
        <f t="shared" si="95"/>
        <v>0</v>
      </c>
      <c r="K61">
        <f t="shared" si="95"/>
        <v>0</v>
      </c>
      <c r="M61" s="8" t="str">
        <f>Tank3!A78</f>
        <v>AA</v>
      </c>
      <c r="N61" s="8" t="str">
        <f>Tank3!E78</f>
        <v/>
      </c>
      <c r="O61" s="8" t="str">
        <f>Tank3!F78</f>
        <v/>
      </c>
      <c r="P61">
        <f t="shared" si="96"/>
        <v>0</v>
      </c>
      <c r="Q61">
        <f t="shared" si="96"/>
        <v>0</v>
      </c>
      <c r="S61" s="8" t="str">
        <f>Tank4!A78</f>
        <v>AA</v>
      </c>
      <c r="T61" s="8" t="str">
        <f>Tank4!E78</f>
        <v/>
      </c>
      <c r="U61" s="8" t="str">
        <f>Tank4!F78</f>
        <v/>
      </c>
      <c r="V61">
        <f t="shared" si="97"/>
        <v>0</v>
      </c>
      <c r="W61">
        <f t="shared" si="97"/>
        <v>0</v>
      </c>
      <c r="Y61" s="8" t="str">
        <f>Tank5!A78</f>
        <v>AA</v>
      </c>
      <c r="Z61" s="8" t="str">
        <f>Tank5!E78</f>
        <v/>
      </c>
      <c r="AA61" s="8" t="str">
        <f>Tank5!F78</f>
        <v/>
      </c>
      <c r="AB61">
        <f t="shared" si="98"/>
        <v>0</v>
      </c>
      <c r="AC61">
        <f t="shared" si="98"/>
        <v>0</v>
      </c>
      <c r="AE61" s="8" t="str">
        <f>Hidden!CC44</f>
        <v/>
      </c>
      <c r="AF61">
        <f t="shared" si="53"/>
        <v>0</v>
      </c>
      <c r="AG61">
        <f t="shared" si="54"/>
        <v>0</v>
      </c>
      <c r="AH61">
        <f t="shared" si="55"/>
        <v>0</v>
      </c>
      <c r="AI61">
        <f t="shared" si="56"/>
        <v>0</v>
      </c>
      <c r="AJ61">
        <f t="shared" si="57"/>
        <v>0</v>
      </c>
      <c r="AK61">
        <f t="shared" si="58"/>
        <v>0</v>
      </c>
      <c r="AL61">
        <f t="shared" si="59"/>
        <v>0</v>
      </c>
      <c r="AM61">
        <f t="shared" si="60"/>
        <v>0</v>
      </c>
      <c r="AN61">
        <f t="shared" si="61"/>
        <v>0</v>
      </c>
      <c r="AO61">
        <f t="shared" si="62"/>
        <v>0</v>
      </c>
      <c r="BJ61" s="8" t="str">
        <f>Tank1!A78</f>
        <v>AA</v>
      </c>
      <c r="BK61" s="8" t="str">
        <f>Tank1!E78</f>
        <v/>
      </c>
      <c r="BL61" s="8" t="str">
        <f>Tank1!F78</f>
        <v/>
      </c>
      <c r="BM61" s="8">
        <f t="shared" si="63"/>
        <v>0</v>
      </c>
      <c r="BN61" s="8">
        <f t="shared" si="64"/>
        <v>0</v>
      </c>
      <c r="BO61" s="8"/>
      <c r="BP61" s="8" t="str">
        <f>Tank2!A78</f>
        <v>AA</v>
      </c>
      <c r="BQ61" s="8" t="str">
        <f>Tank2!E78</f>
        <v/>
      </c>
      <c r="BR61" s="8" t="str">
        <f>Tank2!F78</f>
        <v/>
      </c>
      <c r="BS61" s="8">
        <f t="shared" si="65"/>
        <v>0</v>
      </c>
      <c r="BT61" s="8">
        <f t="shared" si="66"/>
        <v>0</v>
      </c>
      <c r="BU61" s="8"/>
      <c r="BV61" s="8" t="str">
        <f>Tank3!A78</f>
        <v>AA</v>
      </c>
      <c r="BW61" s="8" t="str">
        <f>Tank3!E78</f>
        <v/>
      </c>
      <c r="BX61" s="8" t="str">
        <f>Tank3!F78</f>
        <v/>
      </c>
      <c r="BY61" s="8">
        <f t="shared" si="67"/>
        <v>0</v>
      </c>
      <c r="BZ61" s="8">
        <f t="shared" si="68"/>
        <v>0</v>
      </c>
      <c r="CA61" s="8"/>
      <c r="CB61" s="8" t="str">
        <f>Tank4!A78</f>
        <v>AA</v>
      </c>
      <c r="CC61" s="8" t="str">
        <f>Tank4!E78</f>
        <v/>
      </c>
      <c r="CD61" s="8" t="str">
        <f>Tank4!F78</f>
        <v/>
      </c>
      <c r="CE61" s="8">
        <f t="shared" si="69"/>
        <v>0</v>
      </c>
      <c r="CF61" s="8">
        <f t="shared" si="70"/>
        <v>0</v>
      </c>
      <c r="CH61" s="8" t="str">
        <f>Tank5!A78</f>
        <v>AA</v>
      </c>
      <c r="CI61" s="8" t="str">
        <f>Tank5!E78</f>
        <v/>
      </c>
      <c r="CJ61" s="8" t="str">
        <f>Tank5!F78</f>
        <v/>
      </c>
      <c r="CK61" s="8">
        <f t="shared" si="71"/>
        <v>0</v>
      </c>
      <c r="CL61" s="8">
        <f t="shared" si="72"/>
        <v>0</v>
      </c>
      <c r="CN61" s="8" t="str">
        <f>Hidden!$CC44</f>
        <v/>
      </c>
      <c r="CO61">
        <f t="shared" si="73"/>
        <v>0</v>
      </c>
      <c r="CP61">
        <f t="shared" si="74"/>
        <v>0</v>
      </c>
      <c r="CQ61">
        <f t="shared" si="75"/>
        <v>0</v>
      </c>
      <c r="CR61">
        <f t="shared" si="76"/>
        <v>0</v>
      </c>
      <c r="CS61">
        <f t="shared" si="77"/>
        <v>0</v>
      </c>
      <c r="CT61">
        <f t="shared" si="78"/>
        <v>0</v>
      </c>
      <c r="CU61">
        <f t="shared" si="79"/>
        <v>0</v>
      </c>
      <c r="CV61">
        <f t="shared" si="80"/>
        <v>0</v>
      </c>
      <c r="CW61">
        <f t="shared" si="81"/>
        <v>0</v>
      </c>
      <c r="CX61">
        <f t="shared" si="82"/>
        <v>0</v>
      </c>
      <c r="DT61" s="77"/>
      <c r="DU61" s="8" t="str">
        <f t="shared" si="99"/>
        <v>AAA</v>
      </c>
      <c r="DV61" s="8" t="str">
        <f t="shared" si="100"/>
        <v/>
      </c>
      <c r="DW61" s="8" t="str">
        <f t="shared" si="101"/>
        <v/>
      </c>
      <c r="DX61">
        <f t="shared" si="87"/>
        <v>0</v>
      </c>
      <c r="DY61">
        <f t="shared" si="87"/>
        <v>0</v>
      </c>
      <c r="EA61" t="str">
        <f t="shared" si="18"/>
        <v>AAA</v>
      </c>
      <c r="EB61" t="str">
        <f t="shared" si="19"/>
        <v/>
      </c>
      <c r="EC61" t="str">
        <f t="shared" si="20"/>
        <v/>
      </c>
      <c r="ED61">
        <f t="shared" si="88"/>
        <v>0</v>
      </c>
      <c r="EE61">
        <f t="shared" si="88"/>
        <v>0</v>
      </c>
      <c r="EG61" s="8" t="str">
        <f t="shared" si="22"/>
        <v>AAA</v>
      </c>
      <c r="EH61" s="8" t="str">
        <f t="shared" si="23"/>
        <v/>
      </c>
      <c r="EI61" s="8" t="str">
        <f t="shared" si="24"/>
        <v/>
      </c>
      <c r="EJ61">
        <f t="shared" si="89"/>
        <v>0</v>
      </c>
      <c r="EK61">
        <f t="shared" si="89"/>
        <v>0</v>
      </c>
      <c r="EM61" s="8" t="str">
        <f t="shared" si="26"/>
        <v>AAA</v>
      </c>
      <c r="EN61" s="8" t="str">
        <f t="shared" si="27"/>
        <v/>
      </c>
      <c r="EO61" s="8" t="str">
        <f t="shared" si="28"/>
        <v/>
      </c>
      <c r="EP61">
        <f t="shared" si="90"/>
        <v>0</v>
      </c>
      <c r="EQ61">
        <f t="shared" si="90"/>
        <v>0</v>
      </c>
      <c r="ES61" s="8" t="str">
        <f t="shared" si="30"/>
        <v>AAA</v>
      </c>
      <c r="ET61" s="8" t="str">
        <f t="shared" si="31"/>
        <v/>
      </c>
      <c r="EU61" s="8" t="str">
        <f t="shared" si="32"/>
        <v/>
      </c>
      <c r="EV61">
        <f t="shared" si="91"/>
        <v>0</v>
      </c>
      <c r="EW61">
        <f t="shared" si="91"/>
        <v>0</v>
      </c>
      <c r="EY61" s="8" t="str">
        <f>Hidden!$CG55</f>
        <v/>
      </c>
      <c r="EZ61">
        <f t="shared" si="34"/>
        <v>0</v>
      </c>
      <c r="FA61">
        <f t="shared" si="35"/>
        <v>0</v>
      </c>
      <c r="FB61">
        <f t="shared" si="36"/>
        <v>0</v>
      </c>
      <c r="FC61">
        <f t="shared" si="37"/>
        <v>0</v>
      </c>
      <c r="FD61">
        <f t="shared" si="38"/>
        <v>0</v>
      </c>
      <c r="FE61">
        <f t="shared" si="39"/>
        <v>0</v>
      </c>
      <c r="FF61">
        <f t="shared" si="40"/>
        <v>0</v>
      </c>
      <c r="FG61">
        <f t="shared" si="41"/>
        <v>0</v>
      </c>
      <c r="FH61">
        <f t="shared" si="42"/>
        <v>0</v>
      </c>
      <c r="FI61">
        <f t="shared" si="43"/>
        <v>0</v>
      </c>
    </row>
    <row r="62" spans="1:195" x14ac:dyDescent="0.2">
      <c r="A62" s="8" t="str">
        <f>Tank1!A79</f>
        <v>AAA</v>
      </c>
      <c r="B62" s="8" t="str">
        <f>Tank1!E79</f>
        <v/>
      </c>
      <c r="C62" s="8" t="str">
        <f>Tank1!F79</f>
        <v/>
      </c>
      <c r="D62" s="8">
        <f t="shared" si="94"/>
        <v>0</v>
      </c>
      <c r="E62" s="8">
        <f t="shared" si="94"/>
        <v>0</v>
      </c>
      <c r="G62" s="8" t="str">
        <f>Tank2!A79</f>
        <v>AAA</v>
      </c>
      <c r="H62" s="8" t="str">
        <f>Tank2!E79</f>
        <v/>
      </c>
      <c r="I62" s="8" t="str">
        <f>Tank2!F79</f>
        <v/>
      </c>
      <c r="J62">
        <f t="shared" si="95"/>
        <v>0</v>
      </c>
      <c r="K62">
        <f t="shared" si="95"/>
        <v>0</v>
      </c>
      <c r="M62" s="8" t="str">
        <f>Tank3!A79</f>
        <v>AAA</v>
      </c>
      <c r="N62" s="8" t="str">
        <f>Tank3!E79</f>
        <v/>
      </c>
      <c r="O62" s="8" t="str">
        <f>Tank3!F79</f>
        <v/>
      </c>
      <c r="P62">
        <f t="shared" si="96"/>
        <v>0</v>
      </c>
      <c r="Q62">
        <f t="shared" si="96"/>
        <v>0</v>
      </c>
      <c r="S62" s="8" t="str">
        <f>Tank4!A79</f>
        <v>AAA</v>
      </c>
      <c r="T62" s="8" t="str">
        <f>Tank4!E79</f>
        <v/>
      </c>
      <c r="U62" s="8" t="str">
        <f>Tank4!F79</f>
        <v/>
      </c>
      <c r="V62">
        <f t="shared" si="97"/>
        <v>0</v>
      </c>
      <c r="W62">
        <f t="shared" si="97"/>
        <v>0</v>
      </c>
      <c r="Y62" s="8" t="str">
        <f>Tank5!A79</f>
        <v>AAA</v>
      </c>
      <c r="Z62" s="8" t="str">
        <f>Tank5!E79</f>
        <v/>
      </c>
      <c r="AA62" s="8" t="str">
        <f>Tank5!F79</f>
        <v/>
      </c>
      <c r="AB62">
        <f t="shared" si="98"/>
        <v>0</v>
      </c>
      <c r="AC62">
        <f t="shared" si="98"/>
        <v>0</v>
      </c>
      <c r="AE62" s="8" t="str">
        <f>Hidden!CC45</f>
        <v/>
      </c>
      <c r="AF62">
        <f t="shared" si="53"/>
        <v>0</v>
      </c>
      <c r="AG62">
        <f t="shared" si="54"/>
        <v>0</v>
      </c>
      <c r="AH62">
        <f t="shared" si="55"/>
        <v>0</v>
      </c>
      <c r="AI62">
        <f t="shared" si="56"/>
        <v>0</v>
      </c>
      <c r="AJ62">
        <f t="shared" si="57"/>
        <v>0</v>
      </c>
      <c r="AK62">
        <f t="shared" si="58"/>
        <v>0</v>
      </c>
      <c r="AL62">
        <f t="shared" si="59"/>
        <v>0</v>
      </c>
      <c r="AM62">
        <f t="shared" si="60"/>
        <v>0</v>
      </c>
      <c r="AN62">
        <f t="shared" si="61"/>
        <v>0</v>
      </c>
      <c r="AO62">
        <f t="shared" si="62"/>
        <v>0</v>
      </c>
      <c r="BJ62" s="8" t="str">
        <f>Tank1!A79</f>
        <v>AAA</v>
      </c>
      <c r="BK62" s="8" t="str">
        <f>Tank1!E79</f>
        <v/>
      </c>
      <c r="BL62" s="8" t="str">
        <f>Tank1!F79</f>
        <v/>
      </c>
      <c r="BM62" s="8">
        <f t="shared" si="63"/>
        <v>0</v>
      </c>
      <c r="BN62" s="8">
        <f t="shared" si="64"/>
        <v>0</v>
      </c>
      <c r="BO62" s="8"/>
      <c r="BP62" s="8" t="str">
        <f>Tank2!A79</f>
        <v>AAA</v>
      </c>
      <c r="BQ62" s="8" t="str">
        <f>Tank2!E79</f>
        <v/>
      </c>
      <c r="BR62" s="8" t="str">
        <f>Tank2!F79</f>
        <v/>
      </c>
      <c r="BS62" s="8">
        <f t="shared" si="65"/>
        <v>0</v>
      </c>
      <c r="BT62" s="8">
        <f t="shared" si="66"/>
        <v>0</v>
      </c>
      <c r="BU62" s="8"/>
      <c r="BV62" s="8" t="str">
        <f>Tank3!A79</f>
        <v>AAA</v>
      </c>
      <c r="BW62" s="8" t="str">
        <f>Tank3!E79</f>
        <v/>
      </c>
      <c r="BX62" s="8" t="str">
        <f>Tank3!F79</f>
        <v/>
      </c>
      <c r="BY62" s="8">
        <f t="shared" si="67"/>
        <v>0</v>
      </c>
      <c r="BZ62" s="8">
        <f t="shared" si="68"/>
        <v>0</v>
      </c>
      <c r="CA62" s="8"/>
      <c r="CB62" s="8" t="str">
        <f>Tank4!A79</f>
        <v>AAA</v>
      </c>
      <c r="CC62" s="8" t="str">
        <f>Tank4!E79</f>
        <v/>
      </c>
      <c r="CD62" s="8" t="str">
        <f>Tank4!F79</f>
        <v/>
      </c>
      <c r="CE62" s="8">
        <f t="shared" si="69"/>
        <v>0</v>
      </c>
      <c r="CF62" s="8">
        <f t="shared" si="70"/>
        <v>0</v>
      </c>
      <c r="CH62" s="8" t="str">
        <f>Tank5!A79</f>
        <v>AAA</v>
      </c>
      <c r="CI62" s="8" t="str">
        <f>Tank5!E79</f>
        <v/>
      </c>
      <c r="CJ62" s="8" t="str">
        <f>Tank5!F79</f>
        <v/>
      </c>
      <c r="CK62" s="8">
        <f t="shared" si="71"/>
        <v>0</v>
      </c>
      <c r="CL62" s="8">
        <f t="shared" si="72"/>
        <v>0</v>
      </c>
      <c r="CN62" s="8" t="str">
        <f>Hidden!$CC45</f>
        <v/>
      </c>
      <c r="CO62">
        <f t="shared" si="73"/>
        <v>0</v>
      </c>
      <c r="CP62">
        <f t="shared" si="74"/>
        <v>0</v>
      </c>
      <c r="CQ62">
        <f t="shared" si="75"/>
        <v>0</v>
      </c>
      <c r="CR62">
        <f t="shared" si="76"/>
        <v>0</v>
      </c>
      <c r="CS62">
        <f t="shared" si="77"/>
        <v>0</v>
      </c>
      <c r="CT62">
        <f t="shared" si="78"/>
        <v>0</v>
      </c>
      <c r="CU62">
        <f t="shared" si="79"/>
        <v>0</v>
      </c>
      <c r="CV62">
        <f t="shared" si="80"/>
        <v>0</v>
      </c>
      <c r="CW62">
        <f t="shared" si="81"/>
        <v>0</v>
      </c>
      <c r="CX62">
        <f t="shared" si="82"/>
        <v>0</v>
      </c>
      <c r="DT62" s="77"/>
      <c r="DU62" s="8" t="str">
        <f t="shared" si="99"/>
        <v>AAAA</v>
      </c>
      <c r="DV62" s="8" t="str">
        <f t="shared" si="100"/>
        <v/>
      </c>
      <c r="DW62" s="8" t="str">
        <f t="shared" si="101"/>
        <v/>
      </c>
      <c r="DX62">
        <f t="shared" si="87"/>
        <v>0</v>
      </c>
      <c r="DY62">
        <f t="shared" si="87"/>
        <v>0</v>
      </c>
      <c r="EA62" t="str">
        <f t="shared" si="18"/>
        <v>AAAA</v>
      </c>
      <c r="EB62" t="str">
        <f t="shared" si="19"/>
        <v/>
      </c>
      <c r="EC62" t="str">
        <f t="shared" si="20"/>
        <v/>
      </c>
      <c r="ED62">
        <f t="shared" si="88"/>
        <v>0</v>
      </c>
      <c r="EE62">
        <f t="shared" si="88"/>
        <v>0</v>
      </c>
      <c r="EG62" s="8" t="str">
        <f t="shared" si="22"/>
        <v>AAAA</v>
      </c>
      <c r="EH62" s="8" t="str">
        <f t="shared" si="23"/>
        <v/>
      </c>
      <c r="EI62" s="8" t="str">
        <f t="shared" si="24"/>
        <v/>
      </c>
      <c r="EJ62">
        <f t="shared" si="89"/>
        <v>0</v>
      </c>
      <c r="EK62">
        <f t="shared" si="89"/>
        <v>0</v>
      </c>
      <c r="EM62" s="8" t="str">
        <f t="shared" si="26"/>
        <v>AAAA</v>
      </c>
      <c r="EN62" s="8" t="str">
        <f t="shared" si="27"/>
        <v/>
      </c>
      <c r="EO62" s="8" t="str">
        <f t="shared" si="28"/>
        <v/>
      </c>
      <c r="EP62">
        <f t="shared" si="90"/>
        <v>0</v>
      </c>
      <c r="EQ62">
        <f t="shared" si="90"/>
        <v>0</v>
      </c>
      <c r="ES62" s="8" t="str">
        <f t="shared" si="30"/>
        <v>AAAA</v>
      </c>
      <c r="ET62" s="8" t="str">
        <f t="shared" si="31"/>
        <v/>
      </c>
      <c r="EU62" s="8" t="str">
        <f t="shared" si="32"/>
        <v/>
      </c>
      <c r="EV62">
        <f t="shared" si="91"/>
        <v>0</v>
      </c>
      <c r="EW62">
        <f t="shared" si="91"/>
        <v>0</v>
      </c>
      <c r="EY62" s="8" t="str">
        <f>Hidden!$CG56</f>
        <v/>
      </c>
      <c r="EZ62">
        <f t="shared" si="34"/>
        <v>0</v>
      </c>
      <c r="FA62">
        <f t="shared" si="35"/>
        <v>0</v>
      </c>
      <c r="FB62">
        <f t="shared" si="36"/>
        <v>0</v>
      </c>
      <c r="FC62">
        <f t="shared" si="37"/>
        <v>0</v>
      </c>
      <c r="FD62">
        <f t="shared" si="38"/>
        <v>0</v>
      </c>
      <c r="FE62">
        <f t="shared" si="39"/>
        <v>0</v>
      </c>
      <c r="FF62">
        <f t="shared" si="40"/>
        <v>0</v>
      </c>
      <c r="FG62">
        <f t="shared" si="41"/>
        <v>0</v>
      </c>
      <c r="FH62">
        <f t="shared" si="42"/>
        <v>0</v>
      </c>
      <c r="FI62">
        <f t="shared" si="43"/>
        <v>0</v>
      </c>
    </row>
    <row r="63" spans="1:195" x14ac:dyDescent="0.2">
      <c r="A63" s="8" t="str">
        <f>Tank1!A80</f>
        <v>AAAA</v>
      </c>
      <c r="B63" s="8" t="str">
        <f>Tank1!E80</f>
        <v/>
      </c>
      <c r="C63" s="8" t="str">
        <f>Tank1!F80</f>
        <v/>
      </c>
      <c r="D63" s="8">
        <f t="shared" si="94"/>
        <v>0</v>
      </c>
      <c r="E63" s="8">
        <f t="shared" si="94"/>
        <v>0</v>
      </c>
      <c r="G63" s="8" t="str">
        <f>Tank2!A80</f>
        <v>AAAA</v>
      </c>
      <c r="H63" s="8" t="str">
        <f>Tank2!E80</f>
        <v/>
      </c>
      <c r="I63" s="8" t="str">
        <f>Tank2!F80</f>
        <v/>
      </c>
      <c r="J63">
        <f t="shared" si="95"/>
        <v>0</v>
      </c>
      <c r="K63">
        <f t="shared" si="95"/>
        <v>0</v>
      </c>
      <c r="M63" s="8" t="str">
        <f>Tank3!A80</f>
        <v>AAAA</v>
      </c>
      <c r="N63" s="8" t="str">
        <f>Tank3!E80</f>
        <v/>
      </c>
      <c r="O63" s="8" t="str">
        <f>Tank3!F80</f>
        <v/>
      </c>
      <c r="P63">
        <f t="shared" si="96"/>
        <v>0</v>
      </c>
      <c r="Q63">
        <f t="shared" si="96"/>
        <v>0</v>
      </c>
      <c r="S63" s="8" t="str">
        <f>Tank4!A80</f>
        <v>AAAA</v>
      </c>
      <c r="T63" s="8" t="str">
        <f>Tank4!E80</f>
        <v/>
      </c>
      <c r="U63" s="8" t="str">
        <f>Tank4!F80</f>
        <v/>
      </c>
      <c r="V63">
        <f t="shared" si="97"/>
        <v>0</v>
      </c>
      <c r="W63">
        <f t="shared" si="97"/>
        <v>0</v>
      </c>
      <c r="Y63" s="8" t="str">
        <f>Tank5!A80</f>
        <v>AAAA</v>
      </c>
      <c r="Z63" s="8" t="str">
        <f>Tank5!E80</f>
        <v/>
      </c>
      <c r="AA63" s="8" t="str">
        <f>Tank5!F80</f>
        <v/>
      </c>
      <c r="AB63">
        <f t="shared" si="98"/>
        <v>0</v>
      </c>
      <c r="AC63">
        <f t="shared" si="98"/>
        <v>0</v>
      </c>
      <c r="AE63" s="8" t="str">
        <f>Hidden!CC46</f>
        <v/>
      </c>
      <c r="AF63">
        <f t="shared" si="53"/>
        <v>0</v>
      </c>
      <c r="AG63">
        <f t="shared" si="54"/>
        <v>0</v>
      </c>
      <c r="AH63">
        <f t="shared" si="55"/>
        <v>0</v>
      </c>
      <c r="AI63">
        <f t="shared" si="56"/>
        <v>0</v>
      </c>
      <c r="AJ63">
        <f t="shared" si="57"/>
        <v>0</v>
      </c>
      <c r="AK63">
        <f t="shared" si="58"/>
        <v>0</v>
      </c>
      <c r="AL63">
        <f t="shared" si="59"/>
        <v>0</v>
      </c>
      <c r="AM63">
        <f t="shared" si="60"/>
        <v>0</v>
      </c>
      <c r="AN63">
        <f t="shared" si="61"/>
        <v>0</v>
      </c>
      <c r="AO63">
        <f t="shared" si="62"/>
        <v>0</v>
      </c>
      <c r="BJ63" s="8" t="str">
        <f>Tank1!A80</f>
        <v>AAAA</v>
      </c>
      <c r="BK63" s="8" t="str">
        <f>Tank1!E80</f>
        <v/>
      </c>
      <c r="BL63" s="8" t="str">
        <f>Tank1!F80</f>
        <v/>
      </c>
      <c r="BM63" s="8">
        <f t="shared" si="63"/>
        <v>0</v>
      </c>
      <c r="BN63" s="8">
        <f t="shared" si="64"/>
        <v>0</v>
      </c>
      <c r="BO63" s="8"/>
      <c r="BP63" s="8" t="str">
        <f>Tank2!A80</f>
        <v>AAAA</v>
      </c>
      <c r="BQ63" s="8" t="str">
        <f>Tank2!E80</f>
        <v/>
      </c>
      <c r="BR63" s="8" t="str">
        <f>Tank2!F80</f>
        <v/>
      </c>
      <c r="BS63" s="8">
        <f t="shared" si="65"/>
        <v>0</v>
      </c>
      <c r="BT63" s="8">
        <f t="shared" si="66"/>
        <v>0</v>
      </c>
      <c r="BU63" s="8"/>
      <c r="BV63" s="8" t="str">
        <f>Tank3!A80</f>
        <v>AAAA</v>
      </c>
      <c r="BW63" s="8" t="str">
        <f>Tank3!E80</f>
        <v/>
      </c>
      <c r="BX63" s="8" t="str">
        <f>Tank3!F80</f>
        <v/>
      </c>
      <c r="BY63" s="8">
        <f t="shared" si="67"/>
        <v>0</v>
      </c>
      <c r="BZ63" s="8">
        <f t="shared" si="68"/>
        <v>0</v>
      </c>
      <c r="CA63" s="8"/>
      <c r="CB63" s="8" t="str">
        <f>Tank4!A80</f>
        <v>AAAA</v>
      </c>
      <c r="CC63" s="8" t="str">
        <f>Tank4!E80</f>
        <v/>
      </c>
      <c r="CD63" s="8" t="str">
        <f>Tank4!F80</f>
        <v/>
      </c>
      <c r="CE63" s="8">
        <f t="shared" si="69"/>
        <v>0</v>
      </c>
      <c r="CF63" s="8">
        <f t="shared" si="70"/>
        <v>0</v>
      </c>
      <c r="CH63" s="8" t="str">
        <f>Tank5!A80</f>
        <v>AAAA</v>
      </c>
      <c r="CI63" s="8" t="str">
        <f>Tank5!E80</f>
        <v/>
      </c>
      <c r="CJ63" s="8" t="str">
        <f>Tank5!F80</f>
        <v/>
      </c>
      <c r="CK63" s="8">
        <f t="shared" si="71"/>
        <v>0</v>
      </c>
      <c r="CL63" s="8">
        <f t="shared" si="72"/>
        <v>0</v>
      </c>
      <c r="CN63" s="8" t="str">
        <f>Hidden!$CC46</f>
        <v/>
      </c>
      <c r="CO63">
        <f t="shared" si="73"/>
        <v>0</v>
      </c>
      <c r="CP63">
        <f t="shared" si="74"/>
        <v>0</v>
      </c>
      <c r="CQ63">
        <f t="shared" si="75"/>
        <v>0</v>
      </c>
      <c r="CR63">
        <f t="shared" si="76"/>
        <v>0</v>
      </c>
      <c r="CS63">
        <f t="shared" si="77"/>
        <v>0</v>
      </c>
      <c r="CT63">
        <f t="shared" si="78"/>
        <v>0</v>
      </c>
      <c r="CU63">
        <f t="shared" si="79"/>
        <v>0</v>
      </c>
      <c r="CV63">
        <f t="shared" si="80"/>
        <v>0</v>
      </c>
      <c r="CW63">
        <f t="shared" si="81"/>
        <v>0</v>
      </c>
      <c r="CX63">
        <f t="shared" si="82"/>
        <v>0</v>
      </c>
      <c r="DT63" s="77"/>
      <c r="DU63" s="8" t="str">
        <f t="shared" si="99"/>
        <v>AAAAA</v>
      </c>
      <c r="DV63" s="8" t="str">
        <f t="shared" si="100"/>
        <v/>
      </c>
      <c r="DW63" s="8" t="str">
        <f t="shared" si="101"/>
        <v/>
      </c>
      <c r="DX63">
        <f t="shared" si="87"/>
        <v>0</v>
      </c>
      <c r="DY63">
        <f t="shared" si="87"/>
        <v>0</v>
      </c>
      <c r="EA63" t="str">
        <f t="shared" si="18"/>
        <v>AAAAA</v>
      </c>
      <c r="EB63" t="str">
        <f t="shared" si="19"/>
        <v/>
      </c>
      <c r="EC63" t="str">
        <f t="shared" si="20"/>
        <v/>
      </c>
      <c r="ED63">
        <f t="shared" si="88"/>
        <v>0</v>
      </c>
      <c r="EE63">
        <f t="shared" si="88"/>
        <v>0</v>
      </c>
      <c r="EG63" s="8" t="str">
        <f t="shared" si="22"/>
        <v>AAAAA</v>
      </c>
      <c r="EH63" s="8" t="str">
        <f t="shared" si="23"/>
        <v/>
      </c>
      <c r="EI63" s="8" t="str">
        <f t="shared" si="24"/>
        <v/>
      </c>
      <c r="EJ63">
        <f t="shared" si="89"/>
        <v>0</v>
      </c>
      <c r="EK63">
        <f t="shared" si="89"/>
        <v>0</v>
      </c>
      <c r="EM63" s="8" t="str">
        <f t="shared" si="26"/>
        <v>AAAAA</v>
      </c>
      <c r="EN63" s="8" t="str">
        <f t="shared" si="27"/>
        <v/>
      </c>
      <c r="EO63" s="8" t="str">
        <f t="shared" si="28"/>
        <v/>
      </c>
      <c r="EP63">
        <f t="shared" si="90"/>
        <v>0</v>
      </c>
      <c r="EQ63">
        <f t="shared" si="90"/>
        <v>0</v>
      </c>
      <c r="ES63" s="8" t="str">
        <f t="shared" si="30"/>
        <v>AAAAA</v>
      </c>
      <c r="ET63" s="8" t="str">
        <f t="shared" si="31"/>
        <v/>
      </c>
      <c r="EU63" s="8" t="str">
        <f t="shared" si="32"/>
        <v/>
      </c>
      <c r="EV63">
        <f t="shared" si="91"/>
        <v>0</v>
      </c>
      <c r="EW63">
        <f t="shared" si="91"/>
        <v>0</v>
      </c>
      <c r="EY63" s="8" t="str">
        <f>Hidden!$CG57</f>
        <v/>
      </c>
      <c r="EZ63">
        <f t="shared" si="34"/>
        <v>0</v>
      </c>
      <c r="FA63">
        <f t="shared" si="35"/>
        <v>0</v>
      </c>
      <c r="FB63">
        <f t="shared" si="36"/>
        <v>0</v>
      </c>
      <c r="FC63">
        <f t="shared" si="37"/>
        <v>0</v>
      </c>
      <c r="FD63">
        <f t="shared" si="38"/>
        <v>0</v>
      </c>
      <c r="FE63">
        <f t="shared" si="39"/>
        <v>0</v>
      </c>
      <c r="FF63">
        <f t="shared" si="40"/>
        <v>0</v>
      </c>
      <c r="FG63">
        <f t="shared" si="41"/>
        <v>0</v>
      </c>
      <c r="FH63">
        <f t="shared" si="42"/>
        <v>0</v>
      </c>
      <c r="FI63">
        <f t="shared" si="43"/>
        <v>0</v>
      </c>
    </row>
    <row r="64" spans="1:195" x14ac:dyDescent="0.2">
      <c r="A64" s="8" t="str">
        <f>Tank1!A81</f>
        <v>AAAAA</v>
      </c>
      <c r="B64" s="8" t="str">
        <f>Tank1!E81</f>
        <v/>
      </c>
      <c r="C64" s="8" t="str">
        <f>Tank1!F81</f>
        <v/>
      </c>
      <c r="D64" s="8">
        <f t="shared" si="94"/>
        <v>0</v>
      </c>
      <c r="E64" s="8">
        <f t="shared" si="94"/>
        <v>0</v>
      </c>
      <c r="G64" s="8" t="str">
        <f>Tank2!A81</f>
        <v>AAAAA</v>
      </c>
      <c r="H64" s="8" t="str">
        <f>Tank2!E81</f>
        <v/>
      </c>
      <c r="I64" s="8" t="str">
        <f>Tank2!F81</f>
        <v/>
      </c>
      <c r="J64">
        <f t="shared" si="95"/>
        <v>0</v>
      </c>
      <c r="K64">
        <f t="shared" si="95"/>
        <v>0</v>
      </c>
      <c r="M64" s="8" t="str">
        <f>Tank3!A81</f>
        <v>AAAAA</v>
      </c>
      <c r="N64" s="8" t="str">
        <f>Tank3!E81</f>
        <v/>
      </c>
      <c r="O64" s="8" t="str">
        <f>Tank3!F81</f>
        <v/>
      </c>
      <c r="P64">
        <f t="shared" si="96"/>
        <v>0</v>
      </c>
      <c r="Q64">
        <f t="shared" si="96"/>
        <v>0</v>
      </c>
      <c r="S64" s="8" t="str">
        <f>Tank4!A81</f>
        <v>AAAAA</v>
      </c>
      <c r="T64" s="8" t="str">
        <f>Tank4!E81</f>
        <v/>
      </c>
      <c r="U64" s="8" t="str">
        <f>Tank4!F81</f>
        <v/>
      </c>
      <c r="V64">
        <f t="shared" si="97"/>
        <v>0</v>
      </c>
      <c r="W64">
        <f t="shared" si="97"/>
        <v>0</v>
      </c>
      <c r="Y64" s="8" t="str">
        <f>Tank5!A81</f>
        <v>AAAAA</v>
      </c>
      <c r="Z64" s="8" t="str">
        <f>Tank5!E81</f>
        <v/>
      </c>
      <c r="AA64" s="8" t="str">
        <f>Tank5!F81</f>
        <v/>
      </c>
      <c r="AB64">
        <f t="shared" si="98"/>
        <v>0</v>
      </c>
      <c r="AC64">
        <f t="shared" si="98"/>
        <v>0</v>
      </c>
      <c r="AE64" s="8" t="str">
        <f>Hidden!CC47</f>
        <v/>
      </c>
      <c r="AF64">
        <f t="shared" si="53"/>
        <v>0</v>
      </c>
      <c r="AG64">
        <f t="shared" si="54"/>
        <v>0</v>
      </c>
      <c r="AH64">
        <f t="shared" si="55"/>
        <v>0</v>
      </c>
      <c r="AI64">
        <f t="shared" si="56"/>
        <v>0</v>
      </c>
      <c r="AJ64">
        <f t="shared" si="57"/>
        <v>0</v>
      </c>
      <c r="AK64">
        <f t="shared" si="58"/>
        <v>0</v>
      </c>
      <c r="AL64">
        <f t="shared" si="59"/>
        <v>0</v>
      </c>
      <c r="AM64">
        <f t="shared" si="60"/>
        <v>0</v>
      </c>
      <c r="AN64">
        <f t="shared" si="61"/>
        <v>0</v>
      </c>
      <c r="AO64">
        <f t="shared" si="62"/>
        <v>0</v>
      </c>
      <c r="BJ64" s="8" t="str">
        <f>Tank1!A81</f>
        <v>AAAAA</v>
      </c>
      <c r="BK64" s="8" t="str">
        <f>Tank1!E81</f>
        <v/>
      </c>
      <c r="BL64" s="8" t="str">
        <f>Tank1!F81</f>
        <v/>
      </c>
      <c r="BM64" s="8">
        <f t="shared" si="63"/>
        <v>0</v>
      </c>
      <c r="BN64" s="8">
        <f t="shared" si="64"/>
        <v>0</v>
      </c>
      <c r="BO64" s="8"/>
      <c r="BP64" s="8" t="str">
        <f>Tank2!A81</f>
        <v>AAAAA</v>
      </c>
      <c r="BQ64" s="8" t="str">
        <f>Tank2!E81</f>
        <v/>
      </c>
      <c r="BR64" s="8" t="str">
        <f>Tank2!F81</f>
        <v/>
      </c>
      <c r="BS64" s="8">
        <f t="shared" si="65"/>
        <v>0</v>
      </c>
      <c r="BT64" s="8">
        <f t="shared" si="66"/>
        <v>0</v>
      </c>
      <c r="BU64" s="8"/>
      <c r="BV64" s="8" t="str">
        <f>Tank3!A81</f>
        <v>AAAAA</v>
      </c>
      <c r="BW64" s="8" t="str">
        <f>Tank3!E81</f>
        <v/>
      </c>
      <c r="BX64" s="8" t="str">
        <f>Tank3!F81</f>
        <v/>
      </c>
      <c r="BY64" s="8">
        <f t="shared" si="67"/>
        <v>0</v>
      </c>
      <c r="BZ64" s="8">
        <f t="shared" si="68"/>
        <v>0</v>
      </c>
      <c r="CA64" s="8"/>
      <c r="CB64" s="8" t="str">
        <f>Tank4!A81</f>
        <v>AAAAA</v>
      </c>
      <c r="CC64" s="8" t="str">
        <f>Tank4!E81</f>
        <v/>
      </c>
      <c r="CD64" s="8" t="str">
        <f>Tank4!F81</f>
        <v/>
      </c>
      <c r="CE64" s="8">
        <f t="shared" si="69"/>
        <v>0</v>
      </c>
      <c r="CF64" s="8">
        <f t="shared" si="70"/>
        <v>0</v>
      </c>
      <c r="CH64" s="8" t="str">
        <f>Tank5!A81</f>
        <v>AAAAA</v>
      </c>
      <c r="CI64" s="8" t="str">
        <f>Tank5!E81</f>
        <v/>
      </c>
      <c r="CJ64" s="8" t="str">
        <f>Tank5!F81</f>
        <v/>
      </c>
      <c r="CK64" s="8">
        <f t="shared" si="71"/>
        <v>0</v>
      </c>
      <c r="CL64" s="8">
        <f t="shared" si="72"/>
        <v>0</v>
      </c>
      <c r="CN64" s="8" t="str">
        <f>Hidden!$CC47</f>
        <v/>
      </c>
      <c r="CO64">
        <f t="shared" si="73"/>
        <v>0</v>
      </c>
      <c r="CP64">
        <f t="shared" si="74"/>
        <v>0</v>
      </c>
      <c r="CQ64">
        <f t="shared" si="75"/>
        <v>0</v>
      </c>
      <c r="CR64">
        <f t="shared" si="76"/>
        <v>0</v>
      </c>
      <c r="CS64">
        <f t="shared" si="77"/>
        <v>0</v>
      </c>
      <c r="CT64">
        <f t="shared" si="78"/>
        <v>0</v>
      </c>
      <c r="CU64">
        <f t="shared" si="79"/>
        <v>0</v>
      </c>
      <c r="CV64">
        <f t="shared" si="80"/>
        <v>0</v>
      </c>
      <c r="CW64">
        <f t="shared" si="81"/>
        <v>0</v>
      </c>
      <c r="CX64">
        <f t="shared" si="82"/>
        <v>0</v>
      </c>
      <c r="DT64" s="77"/>
      <c r="DU64" s="8" t="str">
        <f t="shared" si="99"/>
        <v>AAAAAA</v>
      </c>
      <c r="DV64" s="8" t="str">
        <f t="shared" si="100"/>
        <v/>
      </c>
      <c r="DW64" s="8" t="str">
        <f t="shared" si="101"/>
        <v/>
      </c>
      <c r="DX64">
        <f t="shared" si="87"/>
        <v>0</v>
      </c>
      <c r="DY64">
        <f t="shared" si="87"/>
        <v>0</v>
      </c>
      <c r="EA64" t="str">
        <f t="shared" si="18"/>
        <v>AAAAAA</v>
      </c>
      <c r="EB64" t="str">
        <f t="shared" si="19"/>
        <v/>
      </c>
      <c r="EC64" t="str">
        <f t="shared" si="20"/>
        <v/>
      </c>
      <c r="ED64">
        <f t="shared" si="88"/>
        <v>0</v>
      </c>
      <c r="EE64">
        <f t="shared" si="88"/>
        <v>0</v>
      </c>
      <c r="EG64" s="8" t="str">
        <f t="shared" si="22"/>
        <v>AAAAAA</v>
      </c>
      <c r="EH64" s="8" t="str">
        <f t="shared" si="23"/>
        <v/>
      </c>
      <c r="EI64" s="8" t="str">
        <f t="shared" si="24"/>
        <v/>
      </c>
      <c r="EJ64">
        <f t="shared" si="89"/>
        <v>0</v>
      </c>
      <c r="EK64">
        <f t="shared" si="89"/>
        <v>0</v>
      </c>
      <c r="EM64" s="8" t="str">
        <f t="shared" si="26"/>
        <v>AAAAAA</v>
      </c>
      <c r="EN64" s="8" t="str">
        <f t="shared" si="27"/>
        <v/>
      </c>
      <c r="EO64" s="8" t="str">
        <f t="shared" si="28"/>
        <v/>
      </c>
      <c r="EP64">
        <f t="shared" si="90"/>
        <v>0</v>
      </c>
      <c r="EQ64">
        <f t="shared" si="90"/>
        <v>0</v>
      </c>
      <c r="ES64" s="8" t="str">
        <f t="shared" si="30"/>
        <v>AAAAAA</v>
      </c>
      <c r="ET64" s="8" t="str">
        <f t="shared" si="31"/>
        <v/>
      </c>
      <c r="EU64" s="8" t="str">
        <f t="shared" si="32"/>
        <v/>
      </c>
      <c r="EV64">
        <f t="shared" si="91"/>
        <v>0</v>
      </c>
      <c r="EW64">
        <f t="shared" si="91"/>
        <v>0</v>
      </c>
      <c r="EY64" s="8" t="str">
        <f>Hidden!$CG58</f>
        <v/>
      </c>
      <c r="EZ64">
        <f t="shared" si="34"/>
        <v>0</v>
      </c>
      <c r="FA64">
        <f t="shared" si="35"/>
        <v>0</v>
      </c>
      <c r="FB64">
        <f t="shared" si="36"/>
        <v>0</v>
      </c>
      <c r="FC64">
        <f t="shared" si="37"/>
        <v>0</v>
      </c>
      <c r="FD64">
        <f t="shared" si="38"/>
        <v>0</v>
      </c>
      <c r="FE64">
        <f t="shared" si="39"/>
        <v>0</v>
      </c>
      <c r="FF64">
        <f t="shared" si="40"/>
        <v>0</v>
      </c>
      <c r="FG64">
        <f t="shared" si="41"/>
        <v>0</v>
      </c>
      <c r="FH64">
        <f t="shared" si="42"/>
        <v>0</v>
      </c>
      <c r="FI64">
        <f t="shared" si="43"/>
        <v>0</v>
      </c>
    </row>
    <row r="65" spans="1:165" x14ac:dyDescent="0.2">
      <c r="A65" s="8" t="str">
        <f>Tank1!A82</f>
        <v>AAAAAA</v>
      </c>
      <c r="B65" s="8" t="str">
        <f>Tank1!E82</f>
        <v/>
      </c>
      <c r="C65" s="8" t="str">
        <f>Tank1!F82</f>
        <v/>
      </c>
      <c r="D65" s="8">
        <f t="shared" si="94"/>
        <v>0</v>
      </c>
      <c r="E65" s="8">
        <f t="shared" si="94"/>
        <v>0</v>
      </c>
      <c r="G65" s="8" t="str">
        <f>Tank2!A82</f>
        <v>AAAAAA</v>
      </c>
      <c r="H65" s="8" t="str">
        <f>Tank2!E82</f>
        <v/>
      </c>
      <c r="I65" s="8" t="str">
        <f>Tank2!F82</f>
        <v/>
      </c>
      <c r="J65">
        <f t="shared" si="95"/>
        <v>0</v>
      </c>
      <c r="K65">
        <f t="shared" si="95"/>
        <v>0</v>
      </c>
      <c r="M65" s="8" t="str">
        <f>Tank3!A82</f>
        <v>AAAAAA</v>
      </c>
      <c r="N65" s="8" t="str">
        <f>Tank3!E82</f>
        <v/>
      </c>
      <c r="O65" s="8" t="str">
        <f>Tank3!F82</f>
        <v/>
      </c>
      <c r="P65">
        <f t="shared" si="96"/>
        <v>0</v>
      </c>
      <c r="Q65">
        <f t="shared" si="96"/>
        <v>0</v>
      </c>
      <c r="S65" s="8" t="str">
        <f>Tank4!A82</f>
        <v>AAAAAA</v>
      </c>
      <c r="T65" s="8" t="str">
        <f>Tank4!E82</f>
        <v/>
      </c>
      <c r="U65" s="8" t="str">
        <f>Tank4!F82</f>
        <v/>
      </c>
      <c r="V65">
        <f t="shared" si="97"/>
        <v>0</v>
      </c>
      <c r="W65">
        <f t="shared" si="97"/>
        <v>0</v>
      </c>
      <c r="Y65" s="8" t="str">
        <f>Tank5!A82</f>
        <v>AAAAAA</v>
      </c>
      <c r="Z65" s="8" t="str">
        <f>Tank5!E82</f>
        <v/>
      </c>
      <c r="AA65" s="8" t="str">
        <f>Tank5!F82</f>
        <v/>
      </c>
      <c r="AB65">
        <f t="shared" si="98"/>
        <v>0</v>
      </c>
      <c r="AC65">
        <f t="shared" si="98"/>
        <v>0</v>
      </c>
      <c r="AE65" s="8" t="str">
        <f>Hidden!CC48</f>
        <v/>
      </c>
      <c r="AF65">
        <f t="shared" si="53"/>
        <v>0</v>
      </c>
      <c r="AG65">
        <f t="shared" si="54"/>
        <v>0</v>
      </c>
      <c r="AH65">
        <f t="shared" si="55"/>
        <v>0</v>
      </c>
      <c r="AI65">
        <f t="shared" si="56"/>
        <v>0</v>
      </c>
      <c r="AJ65">
        <f t="shared" si="57"/>
        <v>0</v>
      </c>
      <c r="AK65">
        <f t="shared" si="58"/>
        <v>0</v>
      </c>
      <c r="AL65">
        <f t="shared" si="59"/>
        <v>0</v>
      </c>
      <c r="AM65">
        <f t="shared" si="60"/>
        <v>0</v>
      </c>
      <c r="AN65">
        <f t="shared" si="61"/>
        <v>0</v>
      </c>
      <c r="AO65">
        <f t="shared" si="62"/>
        <v>0</v>
      </c>
      <c r="BJ65" s="8" t="str">
        <f>Tank1!A82</f>
        <v>AAAAAA</v>
      </c>
      <c r="BK65" s="8" t="str">
        <f>Tank1!E82</f>
        <v/>
      </c>
      <c r="BL65" s="8" t="str">
        <f>Tank1!F82</f>
        <v/>
      </c>
      <c r="BM65" s="8">
        <f t="shared" si="63"/>
        <v>0</v>
      </c>
      <c r="BN65" s="8">
        <f t="shared" si="64"/>
        <v>0</v>
      </c>
      <c r="BO65" s="8"/>
      <c r="BP65" s="8" t="str">
        <f>Tank2!A82</f>
        <v>AAAAAA</v>
      </c>
      <c r="BQ65" s="8" t="str">
        <f>Tank2!E82</f>
        <v/>
      </c>
      <c r="BR65" s="8" t="str">
        <f>Tank2!F82</f>
        <v/>
      </c>
      <c r="BS65" s="8">
        <f t="shared" si="65"/>
        <v>0</v>
      </c>
      <c r="BT65" s="8">
        <f t="shared" si="66"/>
        <v>0</v>
      </c>
      <c r="BU65" s="8"/>
      <c r="BV65" s="8" t="str">
        <f>Tank3!A82</f>
        <v>AAAAAA</v>
      </c>
      <c r="BW65" s="8" t="str">
        <f>Tank3!E82</f>
        <v/>
      </c>
      <c r="BX65" s="8" t="str">
        <f>Tank3!F82</f>
        <v/>
      </c>
      <c r="BY65" s="8">
        <f t="shared" si="67"/>
        <v>0</v>
      </c>
      <c r="BZ65" s="8">
        <f t="shared" si="68"/>
        <v>0</v>
      </c>
      <c r="CA65" s="8"/>
      <c r="CB65" s="8" t="str">
        <f>Tank4!A82</f>
        <v>AAAAAA</v>
      </c>
      <c r="CC65" s="8" t="str">
        <f>Tank4!E82</f>
        <v/>
      </c>
      <c r="CD65" s="8" t="str">
        <f>Tank4!F82</f>
        <v/>
      </c>
      <c r="CE65" s="8">
        <f t="shared" si="69"/>
        <v>0</v>
      </c>
      <c r="CF65" s="8">
        <f t="shared" si="70"/>
        <v>0</v>
      </c>
      <c r="CH65" s="8" t="str">
        <f>Tank5!A82</f>
        <v>AAAAAA</v>
      </c>
      <c r="CI65" s="8" t="str">
        <f>Tank5!E82</f>
        <v/>
      </c>
      <c r="CJ65" s="8" t="str">
        <f>Tank5!F82</f>
        <v/>
      </c>
      <c r="CK65" s="8">
        <f t="shared" si="71"/>
        <v>0</v>
      </c>
      <c r="CL65" s="8">
        <f t="shared" si="72"/>
        <v>0</v>
      </c>
      <c r="CN65" s="8" t="str">
        <f>Hidden!$CC48</f>
        <v/>
      </c>
      <c r="CO65">
        <f t="shared" si="73"/>
        <v>0</v>
      </c>
      <c r="CP65">
        <f t="shared" si="74"/>
        <v>0</v>
      </c>
      <c r="CQ65">
        <f t="shared" si="75"/>
        <v>0</v>
      </c>
      <c r="CR65">
        <f t="shared" si="76"/>
        <v>0</v>
      </c>
      <c r="CS65">
        <f t="shared" si="77"/>
        <v>0</v>
      </c>
      <c r="CT65">
        <f t="shared" si="78"/>
        <v>0</v>
      </c>
      <c r="CU65">
        <f t="shared" si="79"/>
        <v>0</v>
      </c>
      <c r="CV65">
        <f t="shared" si="80"/>
        <v>0</v>
      </c>
      <c r="CW65">
        <f t="shared" si="81"/>
        <v>0</v>
      </c>
      <c r="CX65">
        <f t="shared" si="82"/>
        <v>0</v>
      </c>
      <c r="DT65" s="77"/>
      <c r="DU65" s="8" t="str">
        <f t="shared" si="99"/>
        <v>AAAAAAA</v>
      </c>
      <c r="DV65" s="8" t="str">
        <f t="shared" si="100"/>
        <v/>
      </c>
      <c r="DW65" s="8" t="str">
        <f t="shared" si="101"/>
        <v/>
      </c>
      <c r="DX65">
        <f t="shared" si="87"/>
        <v>0</v>
      </c>
      <c r="DY65">
        <f t="shared" si="87"/>
        <v>0</v>
      </c>
      <c r="EA65" t="str">
        <f t="shared" si="18"/>
        <v>AAAAAAA</v>
      </c>
      <c r="EB65" t="str">
        <f t="shared" si="19"/>
        <v/>
      </c>
      <c r="EC65" t="str">
        <f t="shared" si="20"/>
        <v/>
      </c>
      <c r="ED65">
        <f t="shared" si="88"/>
        <v>0</v>
      </c>
      <c r="EE65">
        <f t="shared" si="88"/>
        <v>0</v>
      </c>
      <c r="EG65" s="8" t="str">
        <f t="shared" si="22"/>
        <v>AAAAAAA</v>
      </c>
      <c r="EH65" s="8" t="str">
        <f t="shared" si="23"/>
        <v/>
      </c>
      <c r="EI65" s="8" t="str">
        <f t="shared" si="24"/>
        <v/>
      </c>
      <c r="EJ65">
        <f t="shared" si="89"/>
        <v>0</v>
      </c>
      <c r="EK65">
        <f t="shared" si="89"/>
        <v>0</v>
      </c>
      <c r="EM65" s="8" t="str">
        <f t="shared" si="26"/>
        <v>AAAAAAA</v>
      </c>
      <c r="EN65" s="8" t="str">
        <f t="shared" si="27"/>
        <v/>
      </c>
      <c r="EO65" s="8" t="str">
        <f t="shared" si="28"/>
        <v/>
      </c>
      <c r="EP65">
        <f t="shared" si="90"/>
        <v>0</v>
      </c>
      <c r="EQ65">
        <f t="shared" si="90"/>
        <v>0</v>
      </c>
      <c r="ES65" s="8" t="str">
        <f t="shared" si="30"/>
        <v>AAAAAAA</v>
      </c>
      <c r="ET65" s="8" t="str">
        <f t="shared" si="31"/>
        <v/>
      </c>
      <c r="EU65" s="8" t="str">
        <f t="shared" si="32"/>
        <v/>
      </c>
      <c r="EV65">
        <f t="shared" si="91"/>
        <v>0</v>
      </c>
      <c r="EW65">
        <f t="shared" si="91"/>
        <v>0</v>
      </c>
      <c r="EY65" s="8" t="str">
        <f>Hidden!$CG59</f>
        <v/>
      </c>
      <c r="EZ65">
        <f t="shared" si="34"/>
        <v>0</v>
      </c>
      <c r="FA65">
        <f t="shared" si="35"/>
        <v>0</v>
      </c>
      <c r="FB65">
        <f t="shared" si="36"/>
        <v>0</v>
      </c>
      <c r="FC65">
        <f t="shared" si="37"/>
        <v>0</v>
      </c>
      <c r="FD65">
        <f t="shared" si="38"/>
        <v>0</v>
      </c>
      <c r="FE65">
        <f t="shared" si="39"/>
        <v>0</v>
      </c>
      <c r="FF65">
        <f t="shared" si="40"/>
        <v>0</v>
      </c>
      <c r="FG65">
        <f t="shared" si="41"/>
        <v>0</v>
      </c>
      <c r="FH65">
        <f t="shared" si="42"/>
        <v>0</v>
      </c>
      <c r="FI65">
        <f t="shared" si="43"/>
        <v>0</v>
      </c>
    </row>
    <row r="66" spans="1:165" ht="28.5" x14ac:dyDescent="0.2">
      <c r="A66" s="8" t="str">
        <f>Tank1!A83</f>
        <v>AAAAAAA</v>
      </c>
      <c r="B66" s="8" t="str">
        <f>Tank1!E83</f>
        <v/>
      </c>
      <c r="C66" s="8" t="str">
        <f>Tank1!F83</f>
        <v/>
      </c>
      <c r="D66" s="8">
        <f t="shared" si="94"/>
        <v>0</v>
      </c>
      <c r="E66" s="8">
        <f t="shared" si="94"/>
        <v>0</v>
      </c>
      <c r="G66" s="8" t="str">
        <f>Tank2!A83</f>
        <v>AAAAAAA</v>
      </c>
      <c r="H66" s="8" t="str">
        <f>Tank2!E83</f>
        <v/>
      </c>
      <c r="I66" s="8" t="str">
        <f>Tank2!F83</f>
        <v/>
      </c>
      <c r="J66">
        <f t="shared" si="95"/>
        <v>0</v>
      </c>
      <c r="K66">
        <f t="shared" si="95"/>
        <v>0</v>
      </c>
      <c r="M66" s="8" t="str">
        <f>Tank3!A83</f>
        <v>AAAAAAA</v>
      </c>
      <c r="N66" s="8" t="str">
        <f>Tank3!E83</f>
        <v/>
      </c>
      <c r="O66" s="8" t="str">
        <f>Tank3!F83</f>
        <v/>
      </c>
      <c r="P66">
        <f t="shared" si="96"/>
        <v>0</v>
      </c>
      <c r="Q66">
        <f t="shared" si="96"/>
        <v>0</v>
      </c>
      <c r="S66" s="8" t="str">
        <f>Tank4!A83</f>
        <v>AAAAAAA</v>
      </c>
      <c r="T66" s="8" t="str">
        <f>Tank4!E83</f>
        <v/>
      </c>
      <c r="U66" s="8" t="str">
        <f>Tank4!F83</f>
        <v/>
      </c>
      <c r="V66">
        <f t="shared" si="97"/>
        <v>0</v>
      </c>
      <c r="W66">
        <f t="shared" si="97"/>
        <v>0</v>
      </c>
      <c r="Y66" s="8" t="str">
        <f>Tank5!A83</f>
        <v>AAAAAAA</v>
      </c>
      <c r="Z66" s="8" t="str">
        <f>Tank5!E83</f>
        <v/>
      </c>
      <c r="AA66" s="8" t="str">
        <f>Tank5!F83</f>
        <v/>
      </c>
      <c r="AB66">
        <f t="shared" si="98"/>
        <v>0</v>
      </c>
      <c r="AC66">
        <f t="shared" si="98"/>
        <v>0</v>
      </c>
      <c r="AE66" s="8" t="str">
        <f>Hidden!CC49</f>
        <v/>
      </c>
      <c r="AF66">
        <f t="shared" si="53"/>
        <v>0</v>
      </c>
      <c r="AG66">
        <f t="shared" si="54"/>
        <v>0</v>
      </c>
      <c r="AH66">
        <f t="shared" si="55"/>
        <v>0</v>
      </c>
      <c r="AI66">
        <f t="shared" si="56"/>
        <v>0</v>
      </c>
      <c r="AJ66">
        <f t="shared" si="57"/>
        <v>0</v>
      </c>
      <c r="AK66">
        <f t="shared" si="58"/>
        <v>0</v>
      </c>
      <c r="AL66">
        <f t="shared" si="59"/>
        <v>0</v>
      </c>
      <c r="AM66">
        <f t="shared" si="60"/>
        <v>0</v>
      </c>
      <c r="AN66">
        <f t="shared" si="61"/>
        <v>0</v>
      </c>
      <c r="AO66">
        <f t="shared" si="62"/>
        <v>0</v>
      </c>
      <c r="BJ66" s="8" t="str">
        <f>Tank1!A83</f>
        <v>AAAAAAA</v>
      </c>
      <c r="BK66" s="8" t="str">
        <f>Tank1!E83</f>
        <v/>
      </c>
      <c r="BL66" s="8" t="str">
        <f>Tank1!F83</f>
        <v/>
      </c>
      <c r="BM66" s="8">
        <f t="shared" si="63"/>
        <v>0</v>
      </c>
      <c r="BN66" s="8">
        <f t="shared" si="64"/>
        <v>0</v>
      </c>
      <c r="BO66" s="8"/>
      <c r="BP66" s="8" t="str">
        <f>Tank2!A83</f>
        <v>AAAAAAA</v>
      </c>
      <c r="BQ66" s="8" t="str">
        <f>Tank2!E83</f>
        <v/>
      </c>
      <c r="BR66" s="8" t="str">
        <f>Tank2!F83</f>
        <v/>
      </c>
      <c r="BS66" s="8">
        <f t="shared" si="65"/>
        <v>0</v>
      </c>
      <c r="BT66" s="8">
        <f t="shared" si="66"/>
        <v>0</v>
      </c>
      <c r="BU66" s="8"/>
      <c r="BV66" s="8" t="str">
        <f>Tank3!A83</f>
        <v>AAAAAAA</v>
      </c>
      <c r="BW66" s="8" t="str">
        <f>Tank3!E83</f>
        <v/>
      </c>
      <c r="BX66" s="8" t="str">
        <f>Tank3!F83</f>
        <v/>
      </c>
      <c r="BY66" s="8">
        <f t="shared" si="67"/>
        <v>0</v>
      </c>
      <c r="BZ66" s="8">
        <f t="shared" si="68"/>
        <v>0</v>
      </c>
      <c r="CA66" s="8"/>
      <c r="CB66" s="8" t="str">
        <f>Tank4!A83</f>
        <v>AAAAAAA</v>
      </c>
      <c r="CC66" s="8" t="str">
        <f>Tank4!E83</f>
        <v/>
      </c>
      <c r="CD66" s="8" t="str">
        <f>Tank4!F83</f>
        <v/>
      </c>
      <c r="CE66" s="8">
        <f t="shared" si="69"/>
        <v>0</v>
      </c>
      <c r="CF66" s="8">
        <f t="shared" si="70"/>
        <v>0</v>
      </c>
      <c r="CH66" s="8" t="str">
        <f>Tank5!A83</f>
        <v>AAAAAAA</v>
      </c>
      <c r="CI66" s="8" t="str">
        <f>Tank5!E83</f>
        <v/>
      </c>
      <c r="CJ66" s="8" t="str">
        <f>Tank5!F83</f>
        <v/>
      </c>
      <c r="CK66" s="8">
        <f t="shared" si="71"/>
        <v>0</v>
      </c>
      <c r="CL66" s="8">
        <f t="shared" si="72"/>
        <v>0</v>
      </c>
      <c r="CN66" s="8" t="str">
        <f>Hidden!$CC49</f>
        <v/>
      </c>
      <c r="CO66">
        <f t="shared" si="73"/>
        <v>0</v>
      </c>
      <c r="CP66">
        <f t="shared" si="74"/>
        <v>0</v>
      </c>
      <c r="CQ66">
        <f t="shared" si="75"/>
        <v>0</v>
      </c>
      <c r="CR66">
        <f t="shared" si="76"/>
        <v>0</v>
      </c>
      <c r="CS66">
        <f t="shared" si="77"/>
        <v>0</v>
      </c>
      <c r="CT66">
        <f t="shared" si="78"/>
        <v>0</v>
      </c>
      <c r="CU66">
        <f t="shared" si="79"/>
        <v>0</v>
      </c>
      <c r="CV66">
        <f t="shared" si="80"/>
        <v>0</v>
      </c>
      <c r="CW66">
        <f t="shared" si="81"/>
        <v>0</v>
      </c>
      <c r="CX66">
        <f t="shared" si="82"/>
        <v>0</v>
      </c>
      <c r="DT66" s="77"/>
      <c r="DU66" s="8" t="str">
        <f t="shared" si="99"/>
        <v>AAAAAAAA</v>
      </c>
      <c r="DV66" s="8" t="str">
        <f t="shared" si="100"/>
        <v/>
      </c>
      <c r="DW66" s="8" t="str">
        <f t="shared" si="101"/>
        <v/>
      </c>
      <c r="DX66">
        <f t="shared" si="87"/>
        <v>0</v>
      </c>
      <c r="DY66">
        <f t="shared" si="87"/>
        <v>0</v>
      </c>
      <c r="EA66" t="str">
        <f t="shared" si="18"/>
        <v>AAAAAAAA</v>
      </c>
      <c r="EB66" t="str">
        <f t="shared" si="19"/>
        <v/>
      </c>
      <c r="EC66" t="str">
        <f t="shared" si="20"/>
        <v/>
      </c>
      <c r="ED66">
        <f t="shared" si="88"/>
        <v>0</v>
      </c>
      <c r="EE66">
        <f t="shared" si="88"/>
        <v>0</v>
      </c>
      <c r="EG66" s="8" t="str">
        <f t="shared" si="22"/>
        <v>AAAAAAAA</v>
      </c>
      <c r="EH66" s="8" t="str">
        <f t="shared" si="23"/>
        <v/>
      </c>
      <c r="EI66" s="8" t="str">
        <f t="shared" si="24"/>
        <v/>
      </c>
      <c r="EJ66">
        <f t="shared" si="89"/>
        <v>0</v>
      </c>
      <c r="EK66">
        <f t="shared" si="89"/>
        <v>0</v>
      </c>
      <c r="EM66" s="8" t="str">
        <f t="shared" si="26"/>
        <v>AAAAAAAA</v>
      </c>
      <c r="EN66" s="8" t="str">
        <f t="shared" si="27"/>
        <v/>
      </c>
      <c r="EO66" s="8" t="str">
        <f t="shared" si="28"/>
        <v/>
      </c>
      <c r="EP66">
        <f t="shared" si="90"/>
        <v>0</v>
      </c>
      <c r="EQ66">
        <f t="shared" si="90"/>
        <v>0</v>
      </c>
      <c r="ES66" s="8" t="str">
        <f t="shared" si="30"/>
        <v>AAAAAAAA</v>
      </c>
      <c r="ET66" s="8" t="str">
        <f t="shared" si="31"/>
        <v/>
      </c>
      <c r="EU66" s="8" t="str">
        <f t="shared" si="32"/>
        <v/>
      </c>
      <c r="EV66">
        <f t="shared" si="91"/>
        <v>0</v>
      </c>
      <c r="EW66">
        <f t="shared" si="91"/>
        <v>0</v>
      </c>
      <c r="EY66" s="8" t="str">
        <f>Hidden!$CG60</f>
        <v/>
      </c>
      <c r="EZ66">
        <f t="shared" si="34"/>
        <v>0</v>
      </c>
      <c r="FA66">
        <f t="shared" si="35"/>
        <v>0</v>
      </c>
      <c r="FB66">
        <f t="shared" si="36"/>
        <v>0</v>
      </c>
      <c r="FC66">
        <f t="shared" si="37"/>
        <v>0</v>
      </c>
      <c r="FD66">
        <f t="shared" si="38"/>
        <v>0</v>
      </c>
      <c r="FE66">
        <f t="shared" si="39"/>
        <v>0</v>
      </c>
      <c r="FF66">
        <f t="shared" si="40"/>
        <v>0</v>
      </c>
      <c r="FG66">
        <f t="shared" si="41"/>
        <v>0</v>
      </c>
      <c r="FH66">
        <f t="shared" si="42"/>
        <v>0</v>
      </c>
      <c r="FI66">
        <f t="shared" si="43"/>
        <v>0</v>
      </c>
    </row>
    <row r="67" spans="1:165" ht="28.5" x14ac:dyDescent="0.2">
      <c r="A67" s="8" t="str">
        <f>Tank1!A84</f>
        <v>AAAAAAAA</v>
      </c>
      <c r="B67" s="8" t="str">
        <f>Tank1!E84</f>
        <v/>
      </c>
      <c r="C67" s="8" t="str">
        <f>Tank1!F84</f>
        <v/>
      </c>
      <c r="D67" s="8">
        <f t="shared" si="94"/>
        <v>0</v>
      </c>
      <c r="E67" s="8">
        <f t="shared" si="94"/>
        <v>0</v>
      </c>
      <c r="G67" s="8" t="str">
        <f>Tank2!A84</f>
        <v>AAAAAAAA</v>
      </c>
      <c r="H67" s="8" t="str">
        <f>Tank2!E84</f>
        <v/>
      </c>
      <c r="I67" s="8" t="str">
        <f>Tank2!F84</f>
        <v/>
      </c>
      <c r="J67">
        <f t="shared" si="95"/>
        <v>0</v>
      </c>
      <c r="K67">
        <f t="shared" si="95"/>
        <v>0</v>
      </c>
      <c r="M67" s="8" t="str">
        <f>Tank3!A84</f>
        <v>AAAAAAAA</v>
      </c>
      <c r="N67" s="8" t="str">
        <f>Tank3!E84</f>
        <v/>
      </c>
      <c r="O67" s="8" t="str">
        <f>Tank3!F84</f>
        <v/>
      </c>
      <c r="P67">
        <f t="shared" si="96"/>
        <v>0</v>
      </c>
      <c r="Q67">
        <f t="shared" si="96"/>
        <v>0</v>
      </c>
      <c r="S67" s="8" t="str">
        <f>Tank4!A84</f>
        <v>AAAAAAAA</v>
      </c>
      <c r="T67" s="8" t="str">
        <f>Tank4!E84</f>
        <v/>
      </c>
      <c r="U67" s="8" t="str">
        <f>Tank4!F84</f>
        <v/>
      </c>
      <c r="V67">
        <f t="shared" si="97"/>
        <v>0</v>
      </c>
      <c r="W67">
        <f t="shared" si="97"/>
        <v>0</v>
      </c>
      <c r="Y67" s="8" t="str">
        <f>Tank5!A84</f>
        <v>AAAAAAAA</v>
      </c>
      <c r="Z67" s="8" t="str">
        <f>Tank5!E84</f>
        <v/>
      </c>
      <c r="AA67" s="8" t="str">
        <f>Tank5!F84</f>
        <v/>
      </c>
      <c r="AB67">
        <f t="shared" si="98"/>
        <v>0</v>
      </c>
      <c r="AC67">
        <f t="shared" si="98"/>
        <v>0</v>
      </c>
      <c r="AE67" s="8" t="str">
        <f>Hidden!CC50</f>
        <v/>
      </c>
      <c r="AF67">
        <f t="shared" si="53"/>
        <v>0</v>
      </c>
      <c r="AG67">
        <f t="shared" si="54"/>
        <v>0</v>
      </c>
      <c r="AH67">
        <f t="shared" si="55"/>
        <v>0</v>
      </c>
      <c r="AI67">
        <f t="shared" si="56"/>
        <v>0</v>
      </c>
      <c r="AJ67">
        <f t="shared" si="57"/>
        <v>0</v>
      </c>
      <c r="AK67">
        <f t="shared" si="58"/>
        <v>0</v>
      </c>
      <c r="AL67">
        <f t="shared" si="59"/>
        <v>0</v>
      </c>
      <c r="AM67">
        <f t="shared" si="60"/>
        <v>0</v>
      </c>
      <c r="AN67">
        <f t="shared" si="61"/>
        <v>0</v>
      </c>
      <c r="AO67">
        <f t="shared" si="62"/>
        <v>0</v>
      </c>
      <c r="BJ67" s="8" t="str">
        <f>Tank1!A84</f>
        <v>AAAAAAAA</v>
      </c>
      <c r="BK67" s="8" t="str">
        <f>Tank1!E84</f>
        <v/>
      </c>
      <c r="BL67" s="8" t="str">
        <f>Tank1!F84</f>
        <v/>
      </c>
      <c r="BM67" s="8">
        <f t="shared" si="63"/>
        <v>0</v>
      </c>
      <c r="BN67" s="8">
        <f t="shared" si="64"/>
        <v>0</v>
      </c>
      <c r="BO67" s="8"/>
      <c r="BP67" s="8" t="str">
        <f>Tank2!A84</f>
        <v>AAAAAAAA</v>
      </c>
      <c r="BQ67" s="8" t="str">
        <f>Tank2!E84</f>
        <v/>
      </c>
      <c r="BR67" s="8" t="str">
        <f>Tank2!F84</f>
        <v/>
      </c>
      <c r="BS67" s="8">
        <f t="shared" si="65"/>
        <v>0</v>
      </c>
      <c r="BT67" s="8">
        <f t="shared" si="66"/>
        <v>0</v>
      </c>
      <c r="BU67" s="8"/>
      <c r="BV67" s="8" t="str">
        <f>Tank3!A84</f>
        <v>AAAAAAAA</v>
      </c>
      <c r="BW67" s="8" t="str">
        <f>Tank3!E84</f>
        <v/>
      </c>
      <c r="BX67" s="8" t="str">
        <f>Tank3!F84</f>
        <v/>
      </c>
      <c r="BY67" s="8">
        <f t="shared" si="67"/>
        <v>0</v>
      </c>
      <c r="BZ67" s="8">
        <f t="shared" si="68"/>
        <v>0</v>
      </c>
      <c r="CA67" s="8"/>
      <c r="CB67" s="8" t="str">
        <f>Tank4!A84</f>
        <v>AAAAAAAA</v>
      </c>
      <c r="CC67" s="8" t="str">
        <f>Tank4!E84</f>
        <v/>
      </c>
      <c r="CD67" s="8" t="str">
        <f>Tank4!F84</f>
        <v/>
      </c>
      <c r="CE67" s="8">
        <f t="shared" si="69"/>
        <v>0</v>
      </c>
      <c r="CF67" s="8">
        <f t="shared" si="70"/>
        <v>0</v>
      </c>
      <c r="CH67" s="8" t="str">
        <f>Tank5!A84</f>
        <v>AAAAAAAA</v>
      </c>
      <c r="CI67" s="8" t="str">
        <f>Tank5!E84</f>
        <v/>
      </c>
      <c r="CJ67" s="8" t="str">
        <f>Tank5!F84</f>
        <v/>
      </c>
      <c r="CK67" s="8">
        <f t="shared" si="71"/>
        <v>0</v>
      </c>
      <c r="CL67" s="8">
        <f t="shared" si="72"/>
        <v>0</v>
      </c>
      <c r="CN67" s="8" t="str">
        <f>Hidden!$CC50</f>
        <v/>
      </c>
      <c r="CO67">
        <f t="shared" si="73"/>
        <v>0</v>
      </c>
      <c r="CP67">
        <f t="shared" si="74"/>
        <v>0</v>
      </c>
      <c r="CQ67">
        <f t="shared" si="75"/>
        <v>0</v>
      </c>
      <c r="CR67">
        <f t="shared" si="76"/>
        <v>0</v>
      </c>
      <c r="CS67">
        <f t="shared" si="77"/>
        <v>0</v>
      </c>
      <c r="CT67">
        <f t="shared" si="78"/>
        <v>0</v>
      </c>
      <c r="CU67">
        <f t="shared" si="79"/>
        <v>0</v>
      </c>
      <c r="CV67">
        <f t="shared" si="80"/>
        <v>0</v>
      </c>
      <c r="CW67">
        <f t="shared" si="81"/>
        <v>0</v>
      </c>
      <c r="CX67">
        <f t="shared" si="82"/>
        <v>0</v>
      </c>
      <c r="DT67" s="77"/>
      <c r="DU67" s="8" t="str">
        <f t="shared" si="99"/>
        <v>AAAAAAAAA</v>
      </c>
      <c r="DV67" s="8" t="str">
        <f t="shared" si="100"/>
        <v/>
      </c>
      <c r="DW67" s="8" t="str">
        <f t="shared" si="101"/>
        <v/>
      </c>
      <c r="DX67">
        <f t="shared" si="87"/>
        <v>0</v>
      </c>
      <c r="DY67">
        <f t="shared" si="87"/>
        <v>0</v>
      </c>
      <c r="EA67" t="str">
        <f t="shared" si="18"/>
        <v>AAAAAAAAA</v>
      </c>
      <c r="EB67" t="str">
        <f t="shared" si="19"/>
        <v/>
      </c>
      <c r="EC67" t="str">
        <f t="shared" si="20"/>
        <v/>
      </c>
      <c r="ED67">
        <f t="shared" si="88"/>
        <v>0</v>
      </c>
      <c r="EE67">
        <f t="shared" si="88"/>
        <v>0</v>
      </c>
      <c r="EG67" s="8" t="str">
        <f t="shared" si="22"/>
        <v>AAAAAAAAA</v>
      </c>
      <c r="EH67" s="8" t="str">
        <f t="shared" si="23"/>
        <v/>
      </c>
      <c r="EI67" s="8" t="str">
        <f t="shared" si="24"/>
        <v/>
      </c>
      <c r="EJ67">
        <f t="shared" si="89"/>
        <v>0</v>
      </c>
      <c r="EK67">
        <f t="shared" si="89"/>
        <v>0</v>
      </c>
      <c r="EM67" s="8" t="str">
        <f t="shared" si="26"/>
        <v>AAAAAAAAA</v>
      </c>
      <c r="EN67" s="8" t="str">
        <f t="shared" si="27"/>
        <v/>
      </c>
      <c r="EO67" s="8" t="str">
        <f t="shared" si="28"/>
        <v/>
      </c>
      <c r="EP67">
        <f t="shared" si="90"/>
        <v>0</v>
      </c>
      <c r="EQ67">
        <f t="shared" si="90"/>
        <v>0</v>
      </c>
      <c r="ES67" s="8" t="str">
        <f t="shared" si="30"/>
        <v>AAAAAAAAA</v>
      </c>
      <c r="ET67" s="8" t="str">
        <f t="shared" si="31"/>
        <v/>
      </c>
      <c r="EU67" s="8" t="str">
        <f t="shared" si="32"/>
        <v/>
      </c>
      <c r="EV67">
        <f t="shared" si="91"/>
        <v>0</v>
      </c>
      <c r="EW67">
        <f t="shared" si="91"/>
        <v>0</v>
      </c>
      <c r="EY67" s="8" t="str">
        <f>Hidden!$CG61</f>
        <v/>
      </c>
      <c r="EZ67">
        <f t="shared" si="34"/>
        <v>0</v>
      </c>
      <c r="FA67">
        <f t="shared" si="35"/>
        <v>0</v>
      </c>
      <c r="FB67">
        <f t="shared" si="36"/>
        <v>0</v>
      </c>
      <c r="FC67">
        <f t="shared" si="37"/>
        <v>0</v>
      </c>
      <c r="FD67">
        <f t="shared" si="38"/>
        <v>0</v>
      </c>
      <c r="FE67">
        <f t="shared" si="39"/>
        <v>0</v>
      </c>
      <c r="FF67">
        <f t="shared" si="40"/>
        <v>0</v>
      </c>
      <c r="FG67">
        <f t="shared" si="41"/>
        <v>0</v>
      </c>
      <c r="FH67">
        <f t="shared" si="42"/>
        <v>0</v>
      </c>
      <c r="FI67">
        <f t="shared" si="43"/>
        <v>0</v>
      </c>
    </row>
    <row r="68" spans="1:165" ht="28.5" x14ac:dyDescent="0.2">
      <c r="A68" s="8" t="str">
        <f>Tank1!A85</f>
        <v>AAAAAAAAA</v>
      </c>
      <c r="B68" s="8" t="str">
        <f>Tank1!E85</f>
        <v/>
      </c>
      <c r="C68" s="8" t="str">
        <f>Tank1!F85</f>
        <v/>
      </c>
      <c r="D68" s="8">
        <f t="shared" si="94"/>
        <v>0</v>
      </c>
      <c r="E68" s="8">
        <f t="shared" si="94"/>
        <v>0</v>
      </c>
      <c r="G68" s="8" t="str">
        <f>Tank2!A85</f>
        <v>AAAAAAAAA</v>
      </c>
      <c r="H68" s="8" t="str">
        <f>Tank2!E85</f>
        <v/>
      </c>
      <c r="I68" s="8" t="str">
        <f>Tank2!F85</f>
        <v/>
      </c>
      <c r="J68">
        <f t="shared" si="95"/>
        <v>0</v>
      </c>
      <c r="K68">
        <f t="shared" si="95"/>
        <v>0</v>
      </c>
      <c r="M68" s="8" t="str">
        <f>Tank3!A85</f>
        <v>AAAAAAAAA</v>
      </c>
      <c r="N68" s="8" t="str">
        <f>Tank3!E85</f>
        <v/>
      </c>
      <c r="O68" s="8" t="str">
        <f>Tank3!F85</f>
        <v/>
      </c>
      <c r="P68">
        <f t="shared" si="96"/>
        <v>0</v>
      </c>
      <c r="Q68">
        <f t="shared" si="96"/>
        <v>0</v>
      </c>
      <c r="S68" s="8" t="str">
        <f>Tank4!A85</f>
        <v>AAAAAAAAA</v>
      </c>
      <c r="T68" s="8" t="str">
        <f>Tank4!E85</f>
        <v/>
      </c>
      <c r="U68" s="8" t="str">
        <f>Tank4!F85</f>
        <v/>
      </c>
      <c r="V68">
        <f t="shared" si="97"/>
        <v>0</v>
      </c>
      <c r="W68">
        <f t="shared" si="97"/>
        <v>0</v>
      </c>
      <c r="Y68" s="8" t="str">
        <f>Tank5!A85</f>
        <v>AAAAAAAAA</v>
      </c>
      <c r="Z68" s="8" t="str">
        <f>Tank5!E85</f>
        <v/>
      </c>
      <c r="AA68" s="8" t="str">
        <f>Tank5!F85</f>
        <v/>
      </c>
      <c r="AB68">
        <f t="shared" si="98"/>
        <v>0</v>
      </c>
      <c r="AC68">
        <f t="shared" si="98"/>
        <v>0</v>
      </c>
      <c r="AE68" s="8" t="str">
        <f>Hidden!CC51</f>
        <v/>
      </c>
      <c r="AF68">
        <f t="shared" si="53"/>
        <v>0</v>
      </c>
      <c r="AG68">
        <f t="shared" si="54"/>
        <v>0</v>
      </c>
      <c r="AH68">
        <f t="shared" si="55"/>
        <v>0</v>
      </c>
      <c r="AI68">
        <f t="shared" si="56"/>
        <v>0</v>
      </c>
      <c r="AJ68">
        <f t="shared" si="57"/>
        <v>0</v>
      </c>
      <c r="AK68">
        <f t="shared" si="58"/>
        <v>0</v>
      </c>
      <c r="AL68">
        <f t="shared" si="59"/>
        <v>0</v>
      </c>
      <c r="AM68">
        <f t="shared" si="60"/>
        <v>0</v>
      </c>
      <c r="AN68">
        <f t="shared" si="61"/>
        <v>0</v>
      </c>
      <c r="AO68">
        <f t="shared" si="62"/>
        <v>0</v>
      </c>
      <c r="BJ68" s="8" t="str">
        <f>Tank1!A85</f>
        <v>AAAAAAAAA</v>
      </c>
      <c r="BK68" s="8" t="str">
        <f>Tank1!E85</f>
        <v/>
      </c>
      <c r="BL68" s="8" t="str">
        <f>Tank1!F85</f>
        <v/>
      </c>
      <c r="BM68" s="8">
        <f t="shared" si="63"/>
        <v>0</v>
      </c>
      <c r="BN68" s="8">
        <f t="shared" si="64"/>
        <v>0</v>
      </c>
      <c r="BO68" s="8"/>
      <c r="BP68" s="8" t="str">
        <f>Tank2!A85</f>
        <v>AAAAAAAAA</v>
      </c>
      <c r="BQ68" s="8" t="str">
        <f>Tank2!E85</f>
        <v/>
      </c>
      <c r="BR68" s="8" t="str">
        <f>Tank2!F85</f>
        <v/>
      </c>
      <c r="BS68" s="8">
        <f t="shared" si="65"/>
        <v>0</v>
      </c>
      <c r="BT68" s="8">
        <f t="shared" si="66"/>
        <v>0</v>
      </c>
      <c r="BU68" s="8"/>
      <c r="BV68" s="8" t="str">
        <f>Tank3!A85</f>
        <v>AAAAAAAAA</v>
      </c>
      <c r="BW68" s="8" t="str">
        <f>Tank3!E85</f>
        <v/>
      </c>
      <c r="BX68" s="8" t="str">
        <f>Tank3!F85</f>
        <v/>
      </c>
      <c r="BY68" s="8">
        <f t="shared" si="67"/>
        <v>0</v>
      </c>
      <c r="BZ68" s="8">
        <f t="shared" si="68"/>
        <v>0</v>
      </c>
      <c r="CA68" s="8"/>
      <c r="CB68" s="8" t="str">
        <f>Tank4!A85</f>
        <v>AAAAAAAAA</v>
      </c>
      <c r="CC68" s="8" t="str">
        <f>Tank4!E85</f>
        <v/>
      </c>
      <c r="CD68" s="8" t="str">
        <f>Tank4!F85</f>
        <v/>
      </c>
      <c r="CE68" s="8">
        <f t="shared" si="69"/>
        <v>0</v>
      </c>
      <c r="CF68" s="8">
        <f t="shared" si="70"/>
        <v>0</v>
      </c>
      <c r="CH68" s="8" t="str">
        <f>Tank5!A85</f>
        <v>AAAAAAAAA</v>
      </c>
      <c r="CI68" s="8" t="str">
        <f>Tank5!E85</f>
        <v/>
      </c>
      <c r="CJ68" s="8" t="str">
        <f>Tank5!F85</f>
        <v/>
      </c>
      <c r="CK68" s="8">
        <f t="shared" si="71"/>
        <v>0</v>
      </c>
      <c r="CL68" s="8">
        <f t="shared" si="72"/>
        <v>0</v>
      </c>
      <c r="CN68" s="8" t="str">
        <f>Hidden!$CC51</f>
        <v/>
      </c>
      <c r="CO68">
        <f t="shared" si="73"/>
        <v>0</v>
      </c>
      <c r="CP68">
        <f t="shared" si="74"/>
        <v>0</v>
      </c>
      <c r="CQ68">
        <f t="shared" si="75"/>
        <v>0</v>
      </c>
      <c r="CR68">
        <f t="shared" si="76"/>
        <v>0</v>
      </c>
      <c r="CS68">
        <f t="shared" si="77"/>
        <v>0</v>
      </c>
      <c r="CT68">
        <f t="shared" si="78"/>
        <v>0</v>
      </c>
      <c r="CU68">
        <f t="shared" si="79"/>
        <v>0</v>
      </c>
      <c r="CV68">
        <f t="shared" si="80"/>
        <v>0</v>
      </c>
      <c r="CW68">
        <f t="shared" si="81"/>
        <v>0</v>
      </c>
      <c r="CX68">
        <f t="shared" si="82"/>
        <v>0</v>
      </c>
      <c r="DT68" s="77"/>
      <c r="DU68" s="8" t="str">
        <f t="shared" si="99"/>
        <v>AAAAAAAAAA</v>
      </c>
      <c r="DV68" s="8" t="str">
        <f t="shared" si="100"/>
        <v/>
      </c>
      <c r="DW68" s="8" t="str">
        <f t="shared" si="101"/>
        <v/>
      </c>
      <c r="DX68">
        <f t="shared" si="87"/>
        <v>0</v>
      </c>
      <c r="DY68">
        <f t="shared" si="87"/>
        <v>0</v>
      </c>
      <c r="EA68" t="str">
        <f t="shared" si="18"/>
        <v>AAAAAAAAAA</v>
      </c>
      <c r="EB68" t="str">
        <f t="shared" si="19"/>
        <v/>
      </c>
      <c r="EC68" t="str">
        <f t="shared" si="20"/>
        <v/>
      </c>
      <c r="ED68">
        <f t="shared" si="88"/>
        <v>0</v>
      </c>
      <c r="EE68">
        <f t="shared" si="88"/>
        <v>0</v>
      </c>
      <c r="EG68" s="8" t="str">
        <f t="shared" si="22"/>
        <v>AAAAAAAAAA</v>
      </c>
      <c r="EH68" s="8" t="str">
        <f t="shared" si="23"/>
        <v/>
      </c>
      <c r="EI68" s="8" t="str">
        <f t="shared" si="24"/>
        <v/>
      </c>
      <c r="EJ68">
        <f t="shared" si="89"/>
        <v>0</v>
      </c>
      <c r="EK68">
        <f t="shared" si="89"/>
        <v>0</v>
      </c>
      <c r="EM68" s="8" t="str">
        <f t="shared" si="26"/>
        <v>AAAAAAAAAA</v>
      </c>
      <c r="EN68" s="8" t="str">
        <f t="shared" si="27"/>
        <v/>
      </c>
      <c r="EO68" s="8" t="str">
        <f t="shared" si="28"/>
        <v/>
      </c>
      <c r="EP68">
        <f t="shared" si="90"/>
        <v>0</v>
      </c>
      <c r="EQ68">
        <f t="shared" si="90"/>
        <v>0</v>
      </c>
      <c r="ES68" s="8" t="str">
        <f t="shared" si="30"/>
        <v>AAAAAAAAAA</v>
      </c>
      <c r="ET68" s="8" t="str">
        <f t="shared" si="31"/>
        <v/>
      </c>
      <c r="EU68" s="8" t="str">
        <f t="shared" si="32"/>
        <v/>
      </c>
      <c r="EV68">
        <f t="shared" si="91"/>
        <v>0</v>
      </c>
      <c r="EW68">
        <f t="shared" si="91"/>
        <v>0</v>
      </c>
      <c r="EY68" s="8" t="str">
        <f>Hidden!$CG62</f>
        <v/>
      </c>
      <c r="EZ68">
        <f t="shared" si="34"/>
        <v>0</v>
      </c>
      <c r="FA68">
        <f t="shared" si="35"/>
        <v>0</v>
      </c>
      <c r="FB68">
        <f t="shared" si="36"/>
        <v>0</v>
      </c>
      <c r="FC68">
        <f t="shared" si="37"/>
        <v>0</v>
      </c>
      <c r="FD68">
        <f t="shared" si="38"/>
        <v>0</v>
      </c>
      <c r="FE68">
        <f t="shared" si="39"/>
        <v>0</v>
      </c>
      <c r="FF68">
        <f t="shared" si="40"/>
        <v>0</v>
      </c>
      <c r="FG68">
        <f t="shared" si="41"/>
        <v>0</v>
      </c>
      <c r="FH68">
        <f t="shared" si="42"/>
        <v>0</v>
      </c>
      <c r="FI68">
        <f t="shared" si="43"/>
        <v>0</v>
      </c>
    </row>
    <row r="69" spans="1:165" x14ac:dyDescent="0.2">
      <c r="A69" s="8" t="str">
        <f>Tank1!A86</f>
        <v>AAAAAAAAAA</v>
      </c>
      <c r="B69" s="8" t="str">
        <f>Tank1!E86</f>
        <v/>
      </c>
      <c r="C69" s="8" t="str">
        <f>Tank1!F86</f>
        <v/>
      </c>
      <c r="D69" s="8">
        <f t="shared" si="94"/>
        <v>0</v>
      </c>
      <c r="E69" s="8">
        <f t="shared" si="94"/>
        <v>0</v>
      </c>
      <c r="G69" s="8" t="str">
        <f>Tank2!A86</f>
        <v>AAAAAAAAAA</v>
      </c>
      <c r="H69" s="8" t="str">
        <f>Tank2!E86</f>
        <v/>
      </c>
      <c r="I69" s="8" t="str">
        <f>Tank2!F86</f>
        <v/>
      </c>
      <c r="J69">
        <f t="shared" si="95"/>
        <v>0</v>
      </c>
      <c r="K69">
        <f t="shared" si="95"/>
        <v>0</v>
      </c>
      <c r="M69" s="8" t="str">
        <f>Tank3!A86</f>
        <v>AAAAAAAAAA</v>
      </c>
      <c r="N69" s="8" t="str">
        <f>Tank3!E86</f>
        <v/>
      </c>
      <c r="O69" s="8" t="str">
        <f>Tank3!F86</f>
        <v/>
      </c>
      <c r="P69">
        <f t="shared" si="96"/>
        <v>0</v>
      </c>
      <c r="Q69">
        <f t="shared" si="96"/>
        <v>0</v>
      </c>
      <c r="S69" s="8" t="str">
        <f>Tank4!A86</f>
        <v>AAAAAAAAAA</v>
      </c>
      <c r="T69" s="8" t="str">
        <f>Tank4!E86</f>
        <v/>
      </c>
      <c r="U69" s="8" t="str">
        <f>Tank4!F86</f>
        <v/>
      </c>
      <c r="V69">
        <f t="shared" si="97"/>
        <v>0</v>
      </c>
      <c r="W69">
        <f t="shared" si="97"/>
        <v>0</v>
      </c>
      <c r="Y69" s="8" t="str">
        <f>Tank5!A86</f>
        <v>AAAAAAAAAA</v>
      </c>
      <c r="Z69" s="8" t="str">
        <f>Tank5!E86</f>
        <v/>
      </c>
      <c r="AA69" s="8" t="str">
        <f>Tank5!F86</f>
        <v/>
      </c>
      <c r="AB69">
        <f t="shared" si="98"/>
        <v>0</v>
      </c>
      <c r="AC69">
        <f t="shared" si="98"/>
        <v>0</v>
      </c>
      <c r="AE69" s="8" t="str">
        <f>Hidden!CC52</f>
        <v/>
      </c>
      <c r="AF69">
        <f t="shared" si="53"/>
        <v>0</v>
      </c>
      <c r="AG69">
        <f t="shared" si="54"/>
        <v>0</v>
      </c>
      <c r="AH69">
        <f t="shared" si="55"/>
        <v>0</v>
      </c>
      <c r="AI69">
        <f t="shared" si="56"/>
        <v>0</v>
      </c>
      <c r="AJ69">
        <f t="shared" si="57"/>
        <v>0</v>
      </c>
      <c r="AK69">
        <f t="shared" si="58"/>
        <v>0</v>
      </c>
      <c r="AL69">
        <f t="shared" si="59"/>
        <v>0</v>
      </c>
      <c r="AM69">
        <f t="shared" si="60"/>
        <v>0</v>
      </c>
      <c r="AN69">
        <f t="shared" si="61"/>
        <v>0</v>
      </c>
      <c r="AO69">
        <f t="shared" si="62"/>
        <v>0</v>
      </c>
      <c r="BJ69" s="8" t="str">
        <f>Tank1!A86</f>
        <v>AAAAAAAAAA</v>
      </c>
      <c r="BK69" s="8" t="str">
        <f>Tank1!E86</f>
        <v/>
      </c>
      <c r="BL69" s="8" t="str">
        <f>Tank1!F86</f>
        <v/>
      </c>
      <c r="BM69" s="8">
        <f t="shared" si="63"/>
        <v>0</v>
      </c>
      <c r="BN69" s="8">
        <f t="shared" si="64"/>
        <v>0</v>
      </c>
      <c r="BO69" s="8"/>
      <c r="BP69" s="8" t="str">
        <f>Tank2!A86</f>
        <v>AAAAAAAAAA</v>
      </c>
      <c r="BQ69" s="8" t="str">
        <f>Tank2!E86</f>
        <v/>
      </c>
      <c r="BR69" s="8" t="str">
        <f>Tank2!F86</f>
        <v/>
      </c>
      <c r="BS69" s="8">
        <f t="shared" si="65"/>
        <v>0</v>
      </c>
      <c r="BT69" s="8">
        <f t="shared" si="66"/>
        <v>0</v>
      </c>
      <c r="BU69" s="8"/>
      <c r="BV69" s="8" t="str">
        <f>Tank3!A86</f>
        <v>AAAAAAAAAA</v>
      </c>
      <c r="BW69" s="8" t="str">
        <f>Tank3!E86</f>
        <v/>
      </c>
      <c r="BX69" s="8" t="str">
        <f>Tank3!F86</f>
        <v/>
      </c>
      <c r="BY69" s="8">
        <f t="shared" si="67"/>
        <v>0</v>
      </c>
      <c r="BZ69" s="8">
        <f t="shared" si="68"/>
        <v>0</v>
      </c>
      <c r="CA69" s="8"/>
      <c r="CB69" s="8" t="str">
        <f>Tank4!A86</f>
        <v>AAAAAAAAAA</v>
      </c>
      <c r="CC69" s="8" t="str">
        <f>Tank4!E86</f>
        <v/>
      </c>
      <c r="CD69" s="8" t="str">
        <f>Tank4!F86</f>
        <v/>
      </c>
      <c r="CE69" s="8">
        <f t="shared" si="69"/>
        <v>0</v>
      </c>
      <c r="CF69" s="8">
        <f t="shared" si="70"/>
        <v>0</v>
      </c>
      <c r="CH69" s="8" t="str">
        <f>Tank5!A86</f>
        <v>AAAAAAAAAA</v>
      </c>
      <c r="CI69" s="8" t="str">
        <f>Tank5!E86</f>
        <v/>
      </c>
      <c r="CJ69" s="8" t="str">
        <f>Tank5!F86</f>
        <v/>
      </c>
      <c r="CK69" s="8">
        <f t="shared" si="71"/>
        <v>0</v>
      </c>
      <c r="CL69" s="8">
        <f t="shared" si="72"/>
        <v>0</v>
      </c>
      <c r="CN69" s="8" t="str">
        <f>Hidden!$CC52</f>
        <v/>
      </c>
      <c r="CO69">
        <f t="shared" si="73"/>
        <v>0</v>
      </c>
      <c r="CP69">
        <f t="shared" si="74"/>
        <v>0</v>
      </c>
      <c r="CQ69">
        <f t="shared" si="75"/>
        <v>0</v>
      </c>
      <c r="CR69">
        <f t="shared" si="76"/>
        <v>0</v>
      </c>
      <c r="CS69">
        <f t="shared" si="77"/>
        <v>0</v>
      </c>
      <c r="CT69">
        <f t="shared" si="78"/>
        <v>0</v>
      </c>
      <c r="CU69">
        <f t="shared" si="79"/>
        <v>0</v>
      </c>
      <c r="CV69">
        <f t="shared" si="80"/>
        <v>0</v>
      </c>
      <c r="CW69">
        <f t="shared" si="81"/>
        <v>0</v>
      </c>
      <c r="CX69">
        <f t="shared" si="82"/>
        <v>0</v>
      </c>
      <c r="DT69" s="77"/>
      <c r="DU69" s="8" t="str">
        <f t="shared" si="99"/>
        <v>A</v>
      </c>
      <c r="DV69" s="8" t="str">
        <f t="shared" si="100"/>
        <v/>
      </c>
      <c r="DW69" s="8" t="str">
        <f t="shared" si="101"/>
        <v/>
      </c>
      <c r="DX69">
        <f t="shared" si="87"/>
        <v>0</v>
      </c>
      <c r="DY69">
        <f t="shared" si="87"/>
        <v>0</v>
      </c>
      <c r="EA69" t="str">
        <f t="shared" si="18"/>
        <v>A</v>
      </c>
      <c r="EB69" t="str">
        <f t="shared" si="19"/>
        <v/>
      </c>
      <c r="EC69" t="str">
        <f t="shared" si="20"/>
        <v/>
      </c>
      <c r="ED69">
        <f t="shared" si="88"/>
        <v>0</v>
      </c>
      <c r="EE69">
        <f t="shared" si="88"/>
        <v>0</v>
      </c>
      <c r="EG69" s="8" t="str">
        <f t="shared" si="22"/>
        <v>A</v>
      </c>
      <c r="EH69" s="8" t="str">
        <f t="shared" si="23"/>
        <v/>
      </c>
      <c r="EI69" s="8" t="str">
        <f t="shared" si="24"/>
        <v/>
      </c>
      <c r="EJ69">
        <f t="shared" si="89"/>
        <v>0</v>
      </c>
      <c r="EK69">
        <f t="shared" si="89"/>
        <v>0</v>
      </c>
      <c r="EM69" s="8" t="str">
        <f t="shared" si="26"/>
        <v>A</v>
      </c>
      <c r="EN69" s="8" t="str">
        <f t="shared" si="27"/>
        <v/>
      </c>
      <c r="EO69" s="8" t="str">
        <f t="shared" si="28"/>
        <v/>
      </c>
      <c r="EP69">
        <f t="shared" si="90"/>
        <v>0</v>
      </c>
      <c r="EQ69">
        <f t="shared" si="90"/>
        <v>0</v>
      </c>
      <c r="ES69" s="8" t="str">
        <f t="shared" si="30"/>
        <v>A</v>
      </c>
      <c r="ET69" s="8" t="str">
        <f t="shared" si="31"/>
        <v/>
      </c>
      <c r="EU69" s="8" t="str">
        <f t="shared" si="32"/>
        <v/>
      </c>
      <c r="EV69">
        <f t="shared" si="91"/>
        <v>0</v>
      </c>
      <c r="EW69">
        <f t="shared" si="91"/>
        <v>0</v>
      </c>
      <c r="EY69" s="8" t="str">
        <f>Hidden!$CG63</f>
        <v/>
      </c>
      <c r="EZ69">
        <f t="shared" si="34"/>
        <v>0</v>
      </c>
      <c r="FA69">
        <f t="shared" si="35"/>
        <v>0</v>
      </c>
      <c r="FB69">
        <f t="shared" si="36"/>
        <v>0</v>
      </c>
      <c r="FC69">
        <f t="shared" si="37"/>
        <v>0</v>
      </c>
      <c r="FD69">
        <f t="shared" si="38"/>
        <v>0</v>
      </c>
      <c r="FE69">
        <f t="shared" si="39"/>
        <v>0</v>
      </c>
      <c r="FF69">
        <f t="shared" si="40"/>
        <v>0</v>
      </c>
      <c r="FG69">
        <f t="shared" si="41"/>
        <v>0</v>
      </c>
      <c r="FH69">
        <f t="shared" si="42"/>
        <v>0</v>
      </c>
      <c r="FI69">
        <f t="shared" si="43"/>
        <v>0</v>
      </c>
    </row>
    <row r="70" spans="1:165" x14ac:dyDescent="0.2">
      <c r="A70" s="8" t="str">
        <f>Tank1!A88</f>
        <v>A</v>
      </c>
      <c r="B70" s="8" t="str">
        <f>Tank1!E88</f>
        <v/>
      </c>
      <c r="C70" s="8" t="str">
        <f>Tank1!F88</f>
        <v/>
      </c>
      <c r="D70" s="8">
        <f t="shared" si="94"/>
        <v>0</v>
      </c>
      <c r="E70" s="8">
        <f t="shared" si="94"/>
        <v>0</v>
      </c>
      <c r="G70" s="8" t="str">
        <f>Tank2!A88</f>
        <v>A</v>
      </c>
      <c r="H70" s="8" t="str">
        <f>Tank2!E88</f>
        <v/>
      </c>
      <c r="I70" s="8" t="str">
        <f>Tank2!F88</f>
        <v/>
      </c>
      <c r="J70">
        <f t="shared" si="95"/>
        <v>0</v>
      </c>
      <c r="K70">
        <f t="shared" si="95"/>
        <v>0</v>
      </c>
      <c r="M70" s="8" t="str">
        <f>Tank3!A88</f>
        <v>A</v>
      </c>
      <c r="N70" s="8" t="str">
        <f>Tank3!E88</f>
        <v/>
      </c>
      <c r="O70" s="8" t="str">
        <f>Tank3!F88</f>
        <v/>
      </c>
      <c r="P70">
        <f t="shared" si="96"/>
        <v>0</v>
      </c>
      <c r="Q70">
        <f t="shared" si="96"/>
        <v>0</v>
      </c>
      <c r="S70" s="8" t="str">
        <f>Tank4!A88</f>
        <v>A</v>
      </c>
      <c r="T70" s="8" t="str">
        <f>Tank4!E88</f>
        <v/>
      </c>
      <c r="U70" s="8" t="str">
        <f>Tank4!F88</f>
        <v/>
      </c>
      <c r="V70">
        <f t="shared" si="97"/>
        <v>0</v>
      </c>
      <c r="W70">
        <f t="shared" si="97"/>
        <v>0</v>
      </c>
      <c r="Y70" s="8" t="str">
        <f>Tank5!A88</f>
        <v>A</v>
      </c>
      <c r="Z70" s="8" t="str">
        <f>Tank5!E88</f>
        <v/>
      </c>
      <c r="AA70" s="8" t="str">
        <f>Tank5!F88</f>
        <v/>
      </c>
      <c r="AB70">
        <f t="shared" si="98"/>
        <v>0</v>
      </c>
      <c r="AC70">
        <f t="shared" si="98"/>
        <v>0</v>
      </c>
      <c r="AE70" s="8" t="str">
        <f>Hidden!CC53</f>
        <v/>
      </c>
      <c r="AF70">
        <f t="shared" si="53"/>
        <v>0</v>
      </c>
      <c r="AG70">
        <f t="shared" si="54"/>
        <v>0</v>
      </c>
      <c r="AH70">
        <f t="shared" si="55"/>
        <v>0</v>
      </c>
      <c r="AI70">
        <f t="shared" si="56"/>
        <v>0</v>
      </c>
      <c r="AJ70">
        <f t="shared" si="57"/>
        <v>0</v>
      </c>
      <c r="AK70">
        <f t="shared" si="58"/>
        <v>0</v>
      </c>
      <c r="AL70">
        <f t="shared" si="59"/>
        <v>0</v>
      </c>
      <c r="AM70">
        <f t="shared" si="60"/>
        <v>0</v>
      </c>
      <c r="AN70">
        <f t="shared" si="61"/>
        <v>0</v>
      </c>
      <c r="AO70">
        <f t="shared" si="62"/>
        <v>0</v>
      </c>
      <c r="BJ70" s="8" t="str">
        <f>Tank1!A88</f>
        <v>A</v>
      </c>
      <c r="BK70" s="8" t="str">
        <f>Tank1!E88</f>
        <v/>
      </c>
      <c r="BL70" s="8" t="str">
        <f>Tank1!F88</f>
        <v/>
      </c>
      <c r="BM70" s="8">
        <f t="shared" si="63"/>
        <v>0</v>
      </c>
      <c r="BN70" s="8">
        <f t="shared" si="64"/>
        <v>0</v>
      </c>
      <c r="BO70" s="8"/>
      <c r="BP70" s="8" t="str">
        <f>Tank2!A88</f>
        <v>A</v>
      </c>
      <c r="BQ70" s="8" t="str">
        <f>Tank2!E88</f>
        <v/>
      </c>
      <c r="BR70" s="8" t="str">
        <f>Tank2!F88</f>
        <v/>
      </c>
      <c r="BS70" s="8">
        <f t="shared" si="65"/>
        <v>0</v>
      </c>
      <c r="BT70" s="8">
        <f t="shared" si="66"/>
        <v>0</v>
      </c>
      <c r="BU70" s="8"/>
      <c r="BV70" s="8" t="str">
        <f>Tank3!A88</f>
        <v>A</v>
      </c>
      <c r="BW70" s="8" t="str">
        <f>Tank3!E88</f>
        <v/>
      </c>
      <c r="BX70" s="8" t="str">
        <f>Tank3!F88</f>
        <v/>
      </c>
      <c r="BY70" s="8">
        <f t="shared" si="67"/>
        <v>0</v>
      </c>
      <c r="BZ70" s="8">
        <f t="shared" si="68"/>
        <v>0</v>
      </c>
      <c r="CA70" s="8"/>
      <c r="CB70" s="8" t="str">
        <f>Tank4!A88</f>
        <v>A</v>
      </c>
      <c r="CC70" s="8" t="str">
        <f>Tank4!E88</f>
        <v/>
      </c>
      <c r="CD70" s="8" t="str">
        <f>Tank4!F88</f>
        <v/>
      </c>
      <c r="CE70" s="8">
        <f t="shared" si="69"/>
        <v>0</v>
      </c>
      <c r="CF70" s="8">
        <f t="shared" si="70"/>
        <v>0</v>
      </c>
      <c r="CH70" s="8" t="str">
        <f>Tank5!A88</f>
        <v>A</v>
      </c>
      <c r="CI70" s="8" t="str">
        <f>Tank5!E88</f>
        <v/>
      </c>
      <c r="CJ70" s="8" t="str">
        <f>Tank5!F88</f>
        <v/>
      </c>
      <c r="CK70" s="8">
        <f t="shared" si="71"/>
        <v>0</v>
      </c>
      <c r="CL70" s="8">
        <f t="shared" si="72"/>
        <v>0</v>
      </c>
      <c r="CN70" s="8" t="str">
        <f>Hidden!$CC53</f>
        <v/>
      </c>
      <c r="CO70">
        <f t="shared" si="73"/>
        <v>0</v>
      </c>
      <c r="CP70">
        <f t="shared" si="74"/>
        <v>0</v>
      </c>
      <c r="CQ70">
        <f t="shared" si="75"/>
        <v>0</v>
      </c>
      <c r="CR70">
        <f t="shared" si="76"/>
        <v>0</v>
      </c>
      <c r="CS70">
        <f t="shared" si="77"/>
        <v>0</v>
      </c>
      <c r="CT70">
        <f t="shared" si="78"/>
        <v>0</v>
      </c>
      <c r="CU70">
        <f t="shared" si="79"/>
        <v>0</v>
      </c>
      <c r="CV70">
        <f t="shared" si="80"/>
        <v>0</v>
      </c>
      <c r="CW70">
        <f t="shared" si="81"/>
        <v>0</v>
      </c>
      <c r="CX70">
        <f t="shared" si="82"/>
        <v>0</v>
      </c>
      <c r="DT70" s="77"/>
      <c r="DU70" s="8" t="str">
        <f t="shared" si="99"/>
        <v>AA</v>
      </c>
      <c r="DV70" s="8" t="str">
        <f t="shared" si="100"/>
        <v/>
      </c>
      <c r="DW70" s="8" t="str">
        <f t="shared" si="101"/>
        <v/>
      </c>
      <c r="DX70">
        <f t="shared" si="87"/>
        <v>0</v>
      </c>
      <c r="DY70">
        <f t="shared" si="87"/>
        <v>0</v>
      </c>
      <c r="EA70" t="str">
        <f t="shared" si="18"/>
        <v>AA</v>
      </c>
      <c r="EB70" t="str">
        <f t="shared" si="19"/>
        <v/>
      </c>
      <c r="EC70" t="str">
        <f t="shared" si="20"/>
        <v/>
      </c>
      <c r="ED70">
        <f t="shared" si="88"/>
        <v>0</v>
      </c>
      <c r="EE70">
        <f t="shared" si="88"/>
        <v>0</v>
      </c>
      <c r="EG70" s="8" t="str">
        <f t="shared" si="22"/>
        <v>AA</v>
      </c>
      <c r="EH70" s="8" t="str">
        <f t="shared" si="23"/>
        <v/>
      </c>
      <c r="EI70" s="8" t="str">
        <f t="shared" si="24"/>
        <v/>
      </c>
      <c r="EJ70">
        <f t="shared" si="89"/>
        <v>0</v>
      </c>
      <c r="EK70">
        <f t="shared" si="89"/>
        <v>0</v>
      </c>
      <c r="EM70" s="8" t="str">
        <f t="shared" si="26"/>
        <v>AA</v>
      </c>
      <c r="EN70" s="8" t="str">
        <f t="shared" si="27"/>
        <v/>
      </c>
      <c r="EO70" s="8" t="str">
        <f t="shared" si="28"/>
        <v/>
      </c>
      <c r="EP70">
        <f t="shared" si="90"/>
        <v>0</v>
      </c>
      <c r="EQ70">
        <f t="shared" si="90"/>
        <v>0</v>
      </c>
      <c r="ES70" s="8" t="str">
        <f t="shared" si="30"/>
        <v>AA</v>
      </c>
      <c r="ET70" s="8" t="str">
        <f t="shared" si="31"/>
        <v/>
      </c>
      <c r="EU70" s="8" t="str">
        <f t="shared" si="32"/>
        <v/>
      </c>
      <c r="EV70">
        <f t="shared" si="91"/>
        <v>0</v>
      </c>
      <c r="EW70">
        <f t="shared" si="91"/>
        <v>0</v>
      </c>
      <c r="EY70" s="8" t="str">
        <f>Hidden!$CG64</f>
        <v/>
      </c>
      <c r="EZ70">
        <f t="shared" si="34"/>
        <v>0</v>
      </c>
      <c r="FA70">
        <f t="shared" si="35"/>
        <v>0</v>
      </c>
      <c r="FB70">
        <f t="shared" si="36"/>
        <v>0</v>
      </c>
      <c r="FC70">
        <f t="shared" si="37"/>
        <v>0</v>
      </c>
      <c r="FD70">
        <f t="shared" si="38"/>
        <v>0</v>
      </c>
      <c r="FE70">
        <f t="shared" si="39"/>
        <v>0</v>
      </c>
      <c r="FF70">
        <f t="shared" si="40"/>
        <v>0</v>
      </c>
      <c r="FG70">
        <f t="shared" si="41"/>
        <v>0</v>
      </c>
      <c r="FH70">
        <f t="shared" si="42"/>
        <v>0</v>
      </c>
      <c r="FI70">
        <f t="shared" si="43"/>
        <v>0</v>
      </c>
    </row>
    <row r="71" spans="1:165" x14ac:dyDescent="0.2">
      <c r="A71" s="8" t="str">
        <f>Tank1!A89</f>
        <v>AA</v>
      </c>
      <c r="B71" s="8" t="str">
        <f>Tank1!E89</f>
        <v/>
      </c>
      <c r="C71" s="8" t="str">
        <f>Tank1!F89</f>
        <v/>
      </c>
      <c r="D71" s="8">
        <f t="shared" si="94"/>
        <v>0</v>
      </c>
      <c r="E71" s="8">
        <f t="shared" si="94"/>
        <v>0</v>
      </c>
      <c r="G71" s="8" t="str">
        <f>Tank2!A89</f>
        <v>AA</v>
      </c>
      <c r="H71" s="8" t="str">
        <f>Tank2!E89</f>
        <v/>
      </c>
      <c r="I71" s="8" t="str">
        <f>Tank2!F89</f>
        <v/>
      </c>
      <c r="J71">
        <f t="shared" si="95"/>
        <v>0</v>
      </c>
      <c r="K71">
        <f t="shared" si="95"/>
        <v>0</v>
      </c>
      <c r="M71" s="8" t="str">
        <f>Tank3!A89</f>
        <v>AA</v>
      </c>
      <c r="N71" s="8" t="str">
        <f>Tank3!E89</f>
        <v/>
      </c>
      <c r="O71" s="8" t="str">
        <f>Tank3!F89</f>
        <v/>
      </c>
      <c r="P71">
        <f t="shared" si="96"/>
        <v>0</v>
      </c>
      <c r="Q71">
        <f t="shared" si="96"/>
        <v>0</v>
      </c>
      <c r="S71" s="8" t="str">
        <f>Tank4!A89</f>
        <v>AA</v>
      </c>
      <c r="T71" s="8" t="str">
        <f>Tank4!E89</f>
        <v/>
      </c>
      <c r="U71" s="8" t="str">
        <f>Tank4!F89</f>
        <v/>
      </c>
      <c r="V71">
        <f t="shared" si="97"/>
        <v>0</v>
      </c>
      <c r="W71">
        <f t="shared" si="97"/>
        <v>0</v>
      </c>
      <c r="Y71" s="8" t="str">
        <f>Tank5!A89</f>
        <v>AA</v>
      </c>
      <c r="Z71" s="8" t="str">
        <f>Tank5!E89</f>
        <v/>
      </c>
      <c r="AA71" s="8" t="str">
        <f>Tank5!F89</f>
        <v/>
      </c>
      <c r="AB71">
        <f t="shared" si="98"/>
        <v>0</v>
      </c>
      <c r="AC71">
        <f t="shared" si="98"/>
        <v>0</v>
      </c>
      <c r="AE71" s="8" t="str">
        <f>Hidden!CC54</f>
        <v/>
      </c>
      <c r="AF71">
        <f t="shared" si="53"/>
        <v>0</v>
      </c>
      <c r="AG71">
        <f t="shared" si="54"/>
        <v>0</v>
      </c>
      <c r="AH71">
        <f t="shared" si="55"/>
        <v>0</v>
      </c>
      <c r="AI71">
        <f t="shared" si="56"/>
        <v>0</v>
      </c>
      <c r="AJ71">
        <f t="shared" si="57"/>
        <v>0</v>
      </c>
      <c r="AK71">
        <f t="shared" si="58"/>
        <v>0</v>
      </c>
      <c r="AL71">
        <f t="shared" si="59"/>
        <v>0</v>
      </c>
      <c r="AM71">
        <f t="shared" si="60"/>
        <v>0</v>
      </c>
      <c r="AN71">
        <f t="shared" si="61"/>
        <v>0</v>
      </c>
      <c r="AO71">
        <f t="shared" si="62"/>
        <v>0</v>
      </c>
      <c r="BJ71" s="8" t="str">
        <f>Tank1!A89</f>
        <v>AA</v>
      </c>
      <c r="BK71" s="8" t="str">
        <f>Tank1!E89</f>
        <v/>
      </c>
      <c r="BL71" s="8" t="str">
        <f>Tank1!F89</f>
        <v/>
      </c>
      <c r="BM71" s="8">
        <f t="shared" si="63"/>
        <v>0</v>
      </c>
      <c r="BN71" s="8">
        <f t="shared" si="64"/>
        <v>0</v>
      </c>
      <c r="BO71" s="8"/>
      <c r="BP71" s="8" t="str">
        <f>Tank2!A89</f>
        <v>AA</v>
      </c>
      <c r="BQ71" s="8" t="str">
        <f>Tank2!E89</f>
        <v/>
      </c>
      <c r="BR71" s="8" t="str">
        <f>Tank2!F89</f>
        <v/>
      </c>
      <c r="BS71" s="8">
        <f t="shared" si="65"/>
        <v>0</v>
      </c>
      <c r="BT71" s="8">
        <f t="shared" si="66"/>
        <v>0</v>
      </c>
      <c r="BU71" s="8"/>
      <c r="BV71" s="8" t="str">
        <f>Tank3!A89</f>
        <v>AA</v>
      </c>
      <c r="BW71" s="8" t="str">
        <f>Tank3!E89</f>
        <v/>
      </c>
      <c r="BX71" s="8" t="str">
        <f>Tank3!F89</f>
        <v/>
      </c>
      <c r="BY71" s="8">
        <f t="shared" si="67"/>
        <v>0</v>
      </c>
      <c r="BZ71" s="8">
        <f t="shared" si="68"/>
        <v>0</v>
      </c>
      <c r="CA71" s="8"/>
      <c r="CB71" s="8" t="str">
        <f>Tank4!A89</f>
        <v>AA</v>
      </c>
      <c r="CC71" s="8" t="str">
        <f>Tank4!E89</f>
        <v/>
      </c>
      <c r="CD71" s="8" t="str">
        <f>Tank4!F89</f>
        <v/>
      </c>
      <c r="CE71" s="8">
        <f t="shared" si="69"/>
        <v>0</v>
      </c>
      <c r="CF71" s="8">
        <f t="shared" si="70"/>
        <v>0</v>
      </c>
      <c r="CH71" s="8" t="str">
        <f>Tank5!A89</f>
        <v>AA</v>
      </c>
      <c r="CI71" s="8" t="str">
        <f>Tank5!E89</f>
        <v/>
      </c>
      <c r="CJ71" s="8" t="str">
        <f>Tank5!F89</f>
        <v/>
      </c>
      <c r="CK71" s="8">
        <f t="shared" si="71"/>
        <v>0</v>
      </c>
      <c r="CL71" s="8">
        <f t="shared" si="72"/>
        <v>0</v>
      </c>
      <c r="CN71" s="8" t="str">
        <f>Hidden!$CC54</f>
        <v/>
      </c>
      <c r="CO71">
        <f t="shared" si="73"/>
        <v>0</v>
      </c>
      <c r="CP71">
        <f t="shared" si="74"/>
        <v>0</v>
      </c>
      <c r="CQ71">
        <f t="shared" si="75"/>
        <v>0</v>
      </c>
      <c r="CR71">
        <f t="shared" si="76"/>
        <v>0</v>
      </c>
      <c r="CS71">
        <f t="shared" si="77"/>
        <v>0</v>
      </c>
      <c r="CT71">
        <f t="shared" si="78"/>
        <v>0</v>
      </c>
      <c r="CU71">
        <f t="shared" si="79"/>
        <v>0</v>
      </c>
      <c r="CV71">
        <f t="shared" si="80"/>
        <v>0</v>
      </c>
      <c r="CW71">
        <f t="shared" si="81"/>
        <v>0</v>
      </c>
      <c r="CX71">
        <f t="shared" si="82"/>
        <v>0</v>
      </c>
      <c r="DT71" s="77"/>
      <c r="DU71" s="8" t="str">
        <f t="shared" si="99"/>
        <v>AAA</v>
      </c>
      <c r="DV71" s="8" t="str">
        <f t="shared" si="100"/>
        <v/>
      </c>
      <c r="DW71" s="8" t="str">
        <f t="shared" si="101"/>
        <v/>
      </c>
      <c r="DX71">
        <f t="shared" si="87"/>
        <v>0</v>
      </c>
      <c r="DY71">
        <f t="shared" si="87"/>
        <v>0</v>
      </c>
      <c r="EA71" t="str">
        <f t="shared" si="18"/>
        <v>AAA</v>
      </c>
      <c r="EB71" t="str">
        <f t="shared" si="19"/>
        <v/>
      </c>
      <c r="EC71" t="str">
        <f t="shared" si="20"/>
        <v/>
      </c>
      <c r="ED71">
        <f t="shared" si="88"/>
        <v>0</v>
      </c>
      <c r="EE71">
        <f t="shared" si="88"/>
        <v>0</v>
      </c>
      <c r="EG71" s="8" t="str">
        <f t="shared" si="22"/>
        <v>AAA</v>
      </c>
      <c r="EH71" s="8" t="str">
        <f t="shared" si="23"/>
        <v/>
      </c>
      <c r="EI71" s="8" t="str">
        <f t="shared" si="24"/>
        <v/>
      </c>
      <c r="EJ71">
        <f t="shared" si="89"/>
        <v>0</v>
      </c>
      <c r="EK71">
        <f t="shared" si="89"/>
        <v>0</v>
      </c>
      <c r="EM71" s="8" t="str">
        <f t="shared" si="26"/>
        <v>AAA</v>
      </c>
      <c r="EN71" s="8" t="str">
        <f t="shared" si="27"/>
        <v/>
      </c>
      <c r="EO71" s="8" t="str">
        <f t="shared" si="28"/>
        <v/>
      </c>
      <c r="EP71">
        <f t="shared" si="90"/>
        <v>0</v>
      </c>
      <c r="EQ71">
        <f t="shared" si="90"/>
        <v>0</v>
      </c>
      <c r="ES71" s="8" t="str">
        <f t="shared" si="30"/>
        <v>AAA</v>
      </c>
      <c r="ET71" s="8" t="str">
        <f t="shared" si="31"/>
        <v/>
      </c>
      <c r="EU71" s="8" t="str">
        <f t="shared" si="32"/>
        <v/>
      </c>
      <c r="EV71">
        <f t="shared" si="91"/>
        <v>0</v>
      </c>
      <c r="EW71">
        <f t="shared" si="91"/>
        <v>0</v>
      </c>
      <c r="EY71" s="8" t="str">
        <f>Hidden!$CG65</f>
        <v/>
      </c>
      <c r="EZ71">
        <f t="shared" si="34"/>
        <v>0</v>
      </c>
      <c r="FA71">
        <f t="shared" si="35"/>
        <v>0</v>
      </c>
      <c r="FB71">
        <f t="shared" si="36"/>
        <v>0</v>
      </c>
      <c r="FC71">
        <f t="shared" si="37"/>
        <v>0</v>
      </c>
      <c r="FD71">
        <f t="shared" si="38"/>
        <v>0</v>
      </c>
      <c r="FE71">
        <f t="shared" si="39"/>
        <v>0</v>
      </c>
      <c r="FF71">
        <f t="shared" si="40"/>
        <v>0</v>
      </c>
      <c r="FG71">
        <f t="shared" si="41"/>
        <v>0</v>
      </c>
      <c r="FH71">
        <f t="shared" si="42"/>
        <v>0</v>
      </c>
      <c r="FI71">
        <f t="shared" si="43"/>
        <v>0</v>
      </c>
    </row>
    <row r="72" spans="1:165" x14ac:dyDescent="0.2">
      <c r="A72" s="8" t="str">
        <f>Tank1!A90</f>
        <v>AAA</v>
      </c>
      <c r="B72" s="8" t="str">
        <f>Tank1!E90</f>
        <v/>
      </c>
      <c r="C72" s="8" t="str">
        <f>Tank1!F90</f>
        <v/>
      </c>
      <c r="D72" s="8">
        <f t="shared" si="94"/>
        <v>0</v>
      </c>
      <c r="E72" s="8">
        <f t="shared" si="94"/>
        <v>0</v>
      </c>
      <c r="G72" s="8" t="str">
        <f>Tank2!A90</f>
        <v>AAA</v>
      </c>
      <c r="H72" s="8" t="str">
        <f>Tank2!E90</f>
        <v/>
      </c>
      <c r="I72" s="8" t="str">
        <f>Tank2!F90</f>
        <v/>
      </c>
      <c r="J72">
        <f t="shared" si="95"/>
        <v>0</v>
      </c>
      <c r="K72">
        <f t="shared" si="95"/>
        <v>0</v>
      </c>
      <c r="M72" s="8" t="str">
        <f>Tank3!A90</f>
        <v>AAA</v>
      </c>
      <c r="N72" s="8" t="str">
        <f>Tank3!E90</f>
        <v/>
      </c>
      <c r="O72" s="8" t="str">
        <f>Tank3!F90</f>
        <v/>
      </c>
      <c r="P72">
        <f t="shared" si="96"/>
        <v>0</v>
      </c>
      <c r="Q72">
        <f t="shared" si="96"/>
        <v>0</v>
      </c>
      <c r="S72" s="8" t="str">
        <f>Tank4!A90</f>
        <v>AAA</v>
      </c>
      <c r="T72" s="8" t="str">
        <f>Tank4!E90</f>
        <v/>
      </c>
      <c r="U72" s="8" t="str">
        <f>Tank4!F90</f>
        <v/>
      </c>
      <c r="V72">
        <f t="shared" si="97"/>
        <v>0</v>
      </c>
      <c r="W72">
        <f t="shared" si="97"/>
        <v>0</v>
      </c>
      <c r="Y72" s="8" t="str">
        <f>Tank5!A90</f>
        <v>AAA</v>
      </c>
      <c r="Z72" s="8" t="str">
        <f>Tank5!E90</f>
        <v/>
      </c>
      <c r="AA72" s="8" t="str">
        <f>Tank5!F90</f>
        <v/>
      </c>
      <c r="AB72">
        <f t="shared" si="98"/>
        <v>0</v>
      </c>
      <c r="AC72">
        <f t="shared" si="98"/>
        <v>0</v>
      </c>
      <c r="AE72" s="8" t="str">
        <f>Hidden!CC55</f>
        <v/>
      </c>
      <c r="AF72">
        <f t="shared" si="53"/>
        <v>0</v>
      </c>
      <c r="AG72">
        <f t="shared" si="54"/>
        <v>0</v>
      </c>
      <c r="AH72">
        <f t="shared" si="55"/>
        <v>0</v>
      </c>
      <c r="AI72">
        <f t="shared" si="56"/>
        <v>0</v>
      </c>
      <c r="AJ72">
        <f t="shared" si="57"/>
        <v>0</v>
      </c>
      <c r="AK72">
        <f t="shared" si="58"/>
        <v>0</v>
      </c>
      <c r="AL72">
        <f t="shared" si="59"/>
        <v>0</v>
      </c>
      <c r="AM72">
        <f t="shared" si="60"/>
        <v>0</v>
      </c>
      <c r="AN72">
        <f t="shared" si="61"/>
        <v>0</v>
      </c>
      <c r="AO72">
        <f t="shared" si="62"/>
        <v>0</v>
      </c>
      <c r="BJ72" s="8" t="str">
        <f>Tank1!A90</f>
        <v>AAA</v>
      </c>
      <c r="BK72" s="8" t="str">
        <f>Tank1!E90</f>
        <v/>
      </c>
      <c r="BL72" s="8" t="str">
        <f>Tank1!F90</f>
        <v/>
      </c>
      <c r="BM72" s="8">
        <f t="shared" si="63"/>
        <v>0</v>
      </c>
      <c r="BN72" s="8">
        <f t="shared" si="64"/>
        <v>0</v>
      </c>
      <c r="BO72" s="8"/>
      <c r="BP72" s="8" t="str">
        <f>Tank2!A90</f>
        <v>AAA</v>
      </c>
      <c r="BQ72" s="8" t="str">
        <f>Tank2!E90</f>
        <v/>
      </c>
      <c r="BR72" s="8" t="str">
        <f>Tank2!F90</f>
        <v/>
      </c>
      <c r="BS72" s="8">
        <f t="shared" si="65"/>
        <v>0</v>
      </c>
      <c r="BT72" s="8">
        <f t="shared" si="66"/>
        <v>0</v>
      </c>
      <c r="BU72" s="8"/>
      <c r="BV72" s="8" t="str">
        <f>Tank3!A90</f>
        <v>AAA</v>
      </c>
      <c r="BW72" s="8" t="str">
        <f>Tank3!E90</f>
        <v/>
      </c>
      <c r="BX72" s="8" t="str">
        <f>Tank3!F90</f>
        <v/>
      </c>
      <c r="BY72" s="8">
        <f t="shared" si="67"/>
        <v>0</v>
      </c>
      <c r="BZ72" s="8">
        <f t="shared" si="68"/>
        <v>0</v>
      </c>
      <c r="CA72" s="8"/>
      <c r="CB72" s="8" t="str">
        <f>Tank4!A90</f>
        <v>AAA</v>
      </c>
      <c r="CC72" s="8" t="str">
        <f>Tank4!E90</f>
        <v/>
      </c>
      <c r="CD72" s="8" t="str">
        <f>Tank4!F90</f>
        <v/>
      </c>
      <c r="CE72" s="8">
        <f t="shared" si="69"/>
        <v>0</v>
      </c>
      <c r="CF72" s="8">
        <f t="shared" si="70"/>
        <v>0</v>
      </c>
      <c r="CH72" s="8" t="str">
        <f>Tank5!A90</f>
        <v>AAA</v>
      </c>
      <c r="CI72" s="8" t="str">
        <f>Tank5!E90</f>
        <v/>
      </c>
      <c r="CJ72" s="8" t="str">
        <f>Tank5!F90</f>
        <v/>
      </c>
      <c r="CK72" s="8">
        <f t="shared" si="71"/>
        <v>0</v>
      </c>
      <c r="CL72" s="8">
        <f t="shared" si="72"/>
        <v>0</v>
      </c>
      <c r="CN72" s="8" t="str">
        <f>Hidden!$CC55</f>
        <v/>
      </c>
      <c r="CO72">
        <f t="shared" si="73"/>
        <v>0</v>
      </c>
      <c r="CP72">
        <f t="shared" si="74"/>
        <v>0</v>
      </c>
      <c r="CQ72">
        <f t="shared" si="75"/>
        <v>0</v>
      </c>
      <c r="CR72">
        <f t="shared" si="76"/>
        <v>0</v>
      </c>
      <c r="CS72">
        <f t="shared" si="77"/>
        <v>0</v>
      </c>
      <c r="CT72">
        <f t="shared" si="78"/>
        <v>0</v>
      </c>
      <c r="CU72">
        <f t="shared" si="79"/>
        <v>0</v>
      </c>
      <c r="CV72">
        <f t="shared" si="80"/>
        <v>0</v>
      </c>
      <c r="CW72">
        <f t="shared" si="81"/>
        <v>0</v>
      </c>
      <c r="CX72">
        <f t="shared" si="82"/>
        <v>0</v>
      </c>
      <c r="DT72" s="77"/>
      <c r="DU72" s="8" t="str">
        <f t="shared" si="99"/>
        <v>AAAA</v>
      </c>
      <c r="DV72" s="8" t="str">
        <f t="shared" si="100"/>
        <v/>
      </c>
      <c r="DW72" s="8" t="str">
        <f t="shared" si="101"/>
        <v/>
      </c>
      <c r="DX72">
        <f t="shared" si="87"/>
        <v>0</v>
      </c>
      <c r="DY72">
        <f t="shared" si="87"/>
        <v>0</v>
      </c>
      <c r="EA72" t="str">
        <f t="shared" si="18"/>
        <v>AAAA</v>
      </c>
      <c r="EB72" t="str">
        <f t="shared" si="19"/>
        <v/>
      </c>
      <c r="EC72" t="str">
        <f t="shared" si="20"/>
        <v/>
      </c>
      <c r="ED72">
        <f t="shared" si="88"/>
        <v>0</v>
      </c>
      <c r="EE72">
        <f t="shared" si="88"/>
        <v>0</v>
      </c>
      <c r="EG72" s="8" t="str">
        <f t="shared" si="22"/>
        <v>AAAA</v>
      </c>
      <c r="EH72" s="8" t="str">
        <f t="shared" si="23"/>
        <v/>
      </c>
      <c r="EI72" s="8" t="str">
        <f t="shared" si="24"/>
        <v/>
      </c>
      <c r="EJ72">
        <f t="shared" si="89"/>
        <v>0</v>
      </c>
      <c r="EK72">
        <f t="shared" si="89"/>
        <v>0</v>
      </c>
      <c r="EM72" s="8" t="str">
        <f t="shared" si="26"/>
        <v>AAAA</v>
      </c>
      <c r="EN72" s="8" t="str">
        <f t="shared" si="27"/>
        <v/>
      </c>
      <c r="EO72" s="8" t="str">
        <f t="shared" si="28"/>
        <v/>
      </c>
      <c r="EP72">
        <f t="shared" si="90"/>
        <v>0</v>
      </c>
      <c r="EQ72">
        <f t="shared" si="90"/>
        <v>0</v>
      </c>
      <c r="ES72" s="8" t="str">
        <f t="shared" si="30"/>
        <v>AAAA</v>
      </c>
      <c r="ET72" s="8" t="str">
        <f t="shared" si="31"/>
        <v/>
      </c>
      <c r="EU72" s="8" t="str">
        <f t="shared" si="32"/>
        <v/>
      </c>
      <c r="EV72">
        <f t="shared" si="91"/>
        <v>0</v>
      </c>
      <c r="EW72">
        <f t="shared" si="91"/>
        <v>0</v>
      </c>
      <c r="EY72" s="8" t="str">
        <f>Hidden!$CG66</f>
        <v/>
      </c>
      <c r="EZ72">
        <f t="shared" si="34"/>
        <v>0</v>
      </c>
      <c r="FA72">
        <f t="shared" si="35"/>
        <v>0</v>
      </c>
      <c r="FB72">
        <f t="shared" si="36"/>
        <v>0</v>
      </c>
      <c r="FC72">
        <f t="shared" si="37"/>
        <v>0</v>
      </c>
      <c r="FD72">
        <f t="shared" si="38"/>
        <v>0</v>
      </c>
      <c r="FE72">
        <f t="shared" si="39"/>
        <v>0</v>
      </c>
      <c r="FF72">
        <f t="shared" si="40"/>
        <v>0</v>
      </c>
      <c r="FG72">
        <f t="shared" si="41"/>
        <v>0</v>
      </c>
      <c r="FH72">
        <f t="shared" si="42"/>
        <v>0</v>
      </c>
      <c r="FI72">
        <f t="shared" si="43"/>
        <v>0</v>
      </c>
    </row>
    <row r="73" spans="1:165" x14ac:dyDescent="0.2">
      <c r="A73" s="8" t="str">
        <f>Tank1!A91</f>
        <v>AAAA</v>
      </c>
      <c r="B73" s="8" t="str">
        <f>Tank1!E91</f>
        <v/>
      </c>
      <c r="C73" s="8" t="str">
        <f>Tank1!F91</f>
        <v/>
      </c>
      <c r="D73" s="8">
        <f t="shared" si="94"/>
        <v>0</v>
      </c>
      <c r="E73" s="8">
        <f t="shared" si="94"/>
        <v>0</v>
      </c>
      <c r="G73" s="8" t="str">
        <f>Tank2!A91</f>
        <v>AAAA</v>
      </c>
      <c r="H73" s="8" t="str">
        <f>Tank2!E91</f>
        <v/>
      </c>
      <c r="I73" s="8" t="str">
        <f>Tank2!F91</f>
        <v/>
      </c>
      <c r="J73">
        <f t="shared" si="95"/>
        <v>0</v>
      </c>
      <c r="K73">
        <f t="shared" si="95"/>
        <v>0</v>
      </c>
      <c r="M73" s="8" t="str">
        <f>Tank3!A91</f>
        <v>AAAA</v>
      </c>
      <c r="N73" s="8" t="str">
        <f>Tank3!E91</f>
        <v/>
      </c>
      <c r="O73" s="8" t="str">
        <f>Tank3!F91</f>
        <v/>
      </c>
      <c r="P73">
        <f t="shared" si="96"/>
        <v>0</v>
      </c>
      <c r="Q73">
        <f t="shared" si="96"/>
        <v>0</v>
      </c>
      <c r="S73" s="8" t="str">
        <f>Tank4!A91</f>
        <v>AAAA</v>
      </c>
      <c r="T73" s="8" t="str">
        <f>Tank4!E91</f>
        <v/>
      </c>
      <c r="U73" s="8" t="str">
        <f>Tank4!F91</f>
        <v/>
      </c>
      <c r="V73">
        <f t="shared" si="97"/>
        <v>0</v>
      </c>
      <c r="W73">
        <f t="shared" si="97"/>
        <v>0</v>
      </c>
      <c r="Y73" s="8" t="str">
        <f>Tank5!A91</f>
        <v>AAAA</v>
      </c>
      <c r="Z73" s="8" t="str">
        <f>Tank5!E91</f>
        <v/>
      </c>
      <c r="AA73" s="8" t="str">
        <f>Tank5!F91</f>
        <v/>
      </c>
      <c r="AB73">
        <f t="shared" si="98"/>
        <v>0</v>
      </c>
      <c r="AC73">
        <f t="shared" si="98"/>
        <v>0</v>
      </c>
      <c r="AE73" s="8" t="str">
        <f>Hidden!CC56</f>
        <v/>
      </c>
      <c r="AF73">
        <f t="shared" si="53"/>
        <v>0</v>
      </c>
      <c r="AG73">
        <f t="shared" si="54"/>
        <v>0</v>
      </c>
      <c r="AH73">
        <f t="shared" si="55"/>
        <v>0</v>
      </c>
      <c r="AI73">
        <f t="shared" si="56"/>
        <v>0</v>
      </c>
      <c r="AJ73">
        <f t="shared" si="57"/>
        <v>0</v>
      </c>
      <c r="AK73">
        <f t="shared" si="58"/>
        <v>0</v>
      </c>
      <c r="AL73">
        <f t="shared" si="59"/>
        <v>0</v>
      </c>
      <c r="AM73">
        <f t="shared" si="60"/>
        <v>0</v>
      </c>
      <c r="AN73">
        <f t="shared" si="61"/>
        <v>0</v>
      </c>
      <c r="AO73">
        <f t="shared" si="62"/>
        <v>0</v>
      </c>
      <c r="BJ73" s="8" t="str">
        <f>Tank1!A91</f>
        <v>AAAA</v>
      </c>
      <c r="BK73" s="8" t="str">
        <f>Tank1!E91</f>
        <v/>
      </c>
      <c r="BL73" s="8" t="str">
        <f>Tank1!F91</f>
        <v/>
      </c>
      <c r="BM73" s="8">
        <f t="shared" si="63"/>
        <v>0</v>
      </c>
      <c r="BN73" s="8">
        <f t="shared" si="64"/>
        <v>0</v>
      </c>
      <c r="BO73" s="8"/>
      <c r="BP73" s="8" t="str">
        <f>Tank2!A91</f>
        <v>AAAA</v>
      </c>
      <c r="BQ73" s="8" t="str">
        <f>Tank2!E91</f>
        <v/>
      </c>
      <c r="BR73" s="8" t="str">
        <f>Tank2!F91</f>
        <v/>
      </c>
      <c r="BS73" s="8">
        <f t="shared" si="65"/>
        <v>0</v>
      </c>
      <c r="BT73" s="8">
        <f t="shared" si="66"/>
        <v>0</v>
      </c>
      <c r="BU73" s="8"/>
      <c r="BV73" s="8" t="str">
        <f>Tank3!A91</f>
        <v>AAAA</v>
      </c>
      <c r="BW73" s="8" t="str">
        <f>Tank3!E91</f>
        <v/>
      </c>
      <c r="BX73" s="8" t="str">
        <f>Tank3!F91</f>
        <v/>
      </c>
      <c r="BY73" s="8">
        <f t="shared" si="67"/>
        <v>0</v>
      </c>
      <c r="BZ73" s="8">
        <f t="shared" si="68"/>
        <v>0</v>
      </c>
      <c r="CA73" s="8"/>
      <c r="CB73" s="8" t="str">
        <f>Tank4!A91</f>
        <v>AAAA</v>
      </c>
      <c r="CC73" s="8" t="str">
        <f>Tank4!E91</f>
        <v/>
      </c>
      <c r="CD73" s="8" t="str">
        <f>Tank4!F91</f>
        <v/>
      </c>
      <c r="CE73" s="8">
        <f t="shared" si="69"/>
        <v>0</v>
      </c>
      <c r="CF73" s="8">
        <f t="shared" si="70"/>
        <v>0</v>
      </c>
      <c r="CH73" s="8" t="str">
        <f>Tank5!A91</f>
        <v>AAAA</v>
      </c>
      <c r="CI73" s="8" t="str">
        <f>Tank5!E91</f>
        <v/>
      </c>
      <c r="CJ73" s="8" t="str">
        <f>Tank5!F91</f>
        <v/>
      </c>
      <c r="CK73" s="8">
        <f t="shared" si="71"/>
        <v>0</v>
      </c>
      <c r="CL73" s="8">
        <f t="shared" si="72"/>
        <v>0</v>
      </c>
      <c r="CN73" s="8" t="str">
        <f>Hidden!$CC56</f>
        <v/>
      </c>
      <c r="CO73">
        <f t="shared" si="73"/>
        <v>0</v>
      </c>
      <c r="CP73">
        <f t="shared" si="74"/>
        <v>0</v>
      </c>
      <c r="CQ73">
        <f t="shared" si="75"/>
        <v>0</v>
      </c>
      <c r="CR73">
        <f t="shared" si="76"/>
        <v>0</v>
      </c>
      <c r="CS73">
        <f t="shared" si="77"/>
        <v>0</v>
      </c>
      <c r="CT73">
        <f t="shared" si="78"/>
        <v>0</v>
      </c>
      <c r="CU73">
        <f t="shared" si="79"/>
        <v>0</v>
      </c>
      <c r="CV73">
        <f t="shared" si="80"/>
        <v>0</v>
      </c>
      <c r="CW73">
        <f t="shared" si="81"/>
        <v>0</v>
      </c>
      <c r="CX73">
        <f t="shared" si="82"/>
        <v>0</v>
      </c>
      <c r="DT73" s="77"/>
      <c r="DU73" s="8" t="str">
        <f t="shared" si="99"/>
        <v>AAAAA</v>
      </c>
      <c r="DV73" s="8" t="str">
        <f t="shared" si="100"/>
        <v/>
      </c>
      <c r="DW73" s="8" t="str">
        <f t="shared" si="101"/>
        <v/>
      </c>
      <c r="DX73">
        <f t="shared" si="87"/>
        <v>0</v>
      </c>
      <c r="DY73">
        <f t="shared" si="87"/>
        <v>0</v>
      </c>
      <c r="EA73" t="str">
        <f t="shared" si="18"/>
        <v>AAAAA</v>
      </c>
      <c r="EB73" t="str">
        <f t="shared" si="19"/>
        <v/>
      </c>
      <c r="EC73" t="str">
        <f t="shared" si="20"/>
        <v/>
      </c>
      <c r="ED73">
        <f t="shared" si="88"/>
        <v>0</v>
      </c>
      <c r="EE73">
        <f t="shared" si="88"/>
        <v>0</v>
      </c>
      <c r="EG73" s="8" t="str">
        <f t="shared" si="22"/>
        <v>AAAAA</v>
      </c>
      <c r="EH73" s="8" t="str">
        <f t="shared" si="23"/>
        <v/>
      </c>
      <c r="EI73" s="8" t="str">
        <f t="shared" si="24"/>
        <v/>
      </c>
      <c r="EJ73">
        <f t="shared" si="89"/>
        <v>0</v>
      </c>
      <c r="EK73">
        <f t="shared" si="89"/>
        <v>0</v>
      </c>
      <c r="EM73" s="8" t="str">
        <f t="shared" si="26"/>
        <v>AAAAA</v>
      </c>
      <c r="EN73" s="8" t="str">
        <f t="shared" si="27"/>
        <v/>
      </c>
      <c r="EO73" s="8" t="str">
        <f t="shared" si="28"/>
        <v/>
      </c>
      <c r="EP73">
        <f t="shared" si="90"/>
        <v>0</v>
      </c>
      <c r="EQ73">
        <f t="shared" si="90"/>
        <v>0</v>
      </c>
      <c r="ES73" s="8" t="str">
        <f t="shared" si="30"/>
        <v>AAAAA</v>
      </c>
      <c r="ET73" s="8" t="str">
        <f t="shared" si="31"/>
        <v/>
      </c>
      <c r="EU73" s="8" t="str">
        <f t="shared" si="32"/>
        <v/>
      </c>
      <c r="EV73">
        <f t="shared" si="91"/>
        <v>0</v>
      </c>
      <c r="EW73">
        <f t="shared" si="91"/>
        <v>0</v>
      </c>
      <c r="EY73" s="8" t="str">
        <f>Hidden!$CG67</f>
        <v/>
      </c>
      <c r="EZ73">
        <f t="shared" si="34"/>
        <v>0</v>
      </c>
      <c r="FA73">
        <f t="shared" si="35"/>
        <v>0</v>
      </c>
      <c r="FB73">
        <f t="shared" si="36"/>
        <v>0</v>
      </c>
      <c r="FC73">
        <f t="shared" si="37"/>
        <v>0</v>
      </c>
      <c r="FD73">
        <f t="shared" si="38"/>
        <v>0</v>
      </c>
      <c r="FE73">
        <f t="shared" si="39"/>
        <v>0</v>
      </c>
      <c r="FF73">
        <f t="shared" si="40"/>
        <v>0</v>
      </c>
      <c r="FG73">
        <f t="shared" si="41"/>
        <v>0</v>
      </c>
      <c r="FH73">
        <f t="shared" si="42"/>
        <v>0</v>
      </c>
      <c r="FI73">
        <f t="shared" si="43"/>
        <v>0</v>
      </c>
    </row>
    <row r="74" spans="1:165" x14ac:dyDescent="0.2">
      <c r="A74" s="8" t="str">
        <f>Tank1!A92</f>
        <v>AAAAA</v>
      </c>
      <c r="B74" s="8" t="str">
        <f>Tank1!E92</f>
        <v/>
      </c>
      <c r="C74" s="8" t="str">
        <f>Tank1!F92</f>
        <v/>
      </c>
      <c r="D74" s="8">
        <f t="shared" si="94"/>
        <v>0</v>
      </c>
      <c r="E74" s="8">
        <f t="shared" si="94"/>
        <v>0</v>
      </c>
      <c r="G74" s="8" t="str">
        <f>Tank2!A92</f>
        <v>AAAAA</v>
      </c>
      <c r="H74" s="8" t="str">
        <f>Tank2!E92</f>
        <v/>
      </c>
      <c r="I74" s="8" t="str">
        <f>Tank2!F92</f>
        <v/>
      </c>
      <c r="J74">
        <f t="shared" si="95"/>
        <v>0</v>
      </c>
      <c r="K74">
        <f t="shared" si="95"/>
        <v>0</v>
      </c>
      <c r="M74" s="8" t="str">
        <f>Tank3!A92</f>
        <v>AAAAA</v>
      </c>
      <c r="N74" s="8" t="str">
        <f>Tank3!E92</f>
        <v/>
      </c>
      <c r="O74" s="8" t="str">
        <f>Tank3!F92</f>
        <v/>
      </c>
      <c r="P74">
        <f t="shared" si="96"/>
        <v>0</v>
      </c>
      <c r="Q74">
        <f t="shared" si="96"/>
        <v>0</v>
      </c>
      <c r="S74" s="8" t="str">
        <f>Tank4!A92</f>
        <v>AAAAA</v>
      </c>
      <c r="T74" s="8" t="str">
        <f>Tank4!E92</f>
        <v/>
      </c>
      <c r="U74" s="8" t="str">
        <f>Tank4!F92</f>
        <v/>
      </c>
      <c r="V74">
        <f t="shared" si="97"/>
        <v>0</v>
      </c>
      <c r="W74">
        <f t="shared" si="97"/>
        <v>0</v>
      </c>
      <c r="Y74" s="8" t="str">
        <f>Tank5!A92</f>
        <v>AAAAA</v>
      </c>
      <c r="Z74" s="8" t="str">
        <f>Tank5!E92</f>
        <v/>
      </c>
      <c r="AA74" s="8" t="str">
        <f>Tank5!F92</f>
        <v/>
      </c>
      <c r="AB74">
        <f t="shared" si="98"/>
        <v>0</v>
      </c>
      <c r="AC74">
        <f t="shared" si="98"/>
        <v>0</v>
      </c>
      <c r="AE74" s="8" t="str">
        <f>Hidden!CC57</f>
        <v/>
      </c>
      <c r="AF74">
        <f t="shared" si="53"/>
        <v>0</v>
      </c>
      <c r="AG74">
        <f t="shared" si="54"/>
        <v>0</v>
      </c>
      <c r="AH74">
        <f t="shared" si="55"/>
        <v>0</v>
      </c>
      <c r="AI74">
        <f t="shared" si="56"/>
        <v>0</v>
      </c>
      <c r="AJ74">
        <f t="shared" si="57"/>
        <v>0</v>
      </c>
      <c r="AK74">
        <f t="shared" si="58"/>
        <v>0</v>
      </c>
      <c r="AL74">
        <f t="shared" si="59"/>
        <v>0</v>
      </c>
      <c r="AM74">
        <f t="shared" si="60"/>
        <v>0</v>
      </c>
      <c r="AN74">
        <f t="shared" si="61"/>
        <v>0</v>
      </c>
      <c r="AO74">
        <f t="shared" si="62"/>
        <v>0</v>
      </c>
      <c r="BJ74" s="8" t="str">
        <f>Tank1!A92</f>
        <v>AAAAA</v>
      </c>
      <c r="BK74" s="8" t="str">
        <f>Tank1!E92</f>
        <v/>
      </c>
      <c r="BL74" s="8" t="str">
        <f>Tank1!F92</f>
        <v/>
      </c>
      <c r="BM74" s="8">
        <f t="shared" si="63"/>
        <v>0</v>
      </c>
      <c r="BN74" s="8">
        <f t="shared" si="64"/>
        <v>0</v>
      </c>
      <c r="BO74" s="8"/>
      <c r="BP74" s="8" t="str">
        <f>Tank2!A92</f>
        <v>AAAAA</v>
      </c>
      <c r="BQ74" s="8" t="str">
        <f>Tank2!E92</f>
        <v/>
      </c>
      <c r="BR74" s="8" t="str">
        <f>Tank2!F92</f>
        <v/>
      </c>
      <c r="BS74" s="8">
        <f t="shared" si="65"/>
        <v>0</v>
      </c>
      <c r="BT74" s="8">
        <f t="shared" si="66"/>
        <v>0</v>
      </c>
      <c r="BU74" s="8"/>
      <c r="BV74" s="8" t="str">
        <f>Tank3!A92</f>
        <v>AAAAA</v>
      </c>
      <c r="BW74" s="8" t="str">
        <f>Tank3!E92</f>
        <v/>
      </c>
      <c r="BX74" s="8" t="str">
        <f>Tank3!F92</f>
        <v/>
      </c>
      <c r="BY74" s="8">
        <f t="shared" si="67"/>
        <v>0</v>
      </c>
      <c r="BZ74" s="8">
        <f t="shared" si="68"/>
        <v>0</v>
      </c>
      <c r="CA74" s="8"/>
      <c r="CB74" s="8" t="str">
        <f>Tank4!A92</f>
        <v>AAAAA</v>
      </c>
      <c r="CC74" s="8" t="str">
        <f>Tank4!E92</f>
        <v/>
      </c>
      <c r="CD74" s="8" t="str">
        <f>Tank4!F92</f>
        <v/>
      </c>
      <c r="CE74" s="8">
        <f t="shared" si="69"/>
        <v>0</v>
      </c>
      <c r="CF74" s="8">
        <f t="shared" si="70"/>
        <v>0</v>
      </c>
      <c r="CH74" s="8" t="str">
        <f>Tank5!A92</f>
        <v>AAAAA</v>
      </c>
      <c r="CI74" s="8" t="str">
        <f>Tank5!E92</f>
        <v/>
      </c>
      <c r="CJ74" s="8" t="str">
        <f>Tank5!F92</f>
        <v/>
      </c>
      <c r="CK74" s="8">
        <f t="shared" si="71"/>
        <v>0</v>
      </c>
      <c r="CL74" s="8">
        <f t="shared" si="72"/>
        <v>0</v>
      </c>
      <c r="CN74" s="8" t="str">
        <f>Hidden!$CC57</f>
        <v/>
      </c>
      <c r="CO74">
        <f t="shared" si="73"/>
        <v>0</v>
      </c>
      <c r="CP74">
        <f t="shared" si="74"/>
        <v>0</v>
      </c>
      <c r="CQ74">
        <f t="shared" si="75"/>
        <v>0</v>
      </c>
      <c r="CR74">
        <f t="shared" si="76"/>
        <v>0</v>
      </c>
      <c r="CS74">
        <f t="shared" si="77"/>
        <v>0</v>
      </c>
      <c r="CT74">
        <f t="shared" si="78"/>
        <v>0</v>
      </c>
      <c r="CU74">
        <f t="shared" si="79"/>
        <v>0</v>
      </c>
      <c r="CV74">
        <f t="shared" si="80"/>
        <v>0</v>
      </c>
      <c r="CW74">
        <f t="shared" si="81"/>
        <v>0</v>
      </c>
      <c r="CX74">
        <f t="shared" si="82"/>
        <v>0</v>
      </c>
      <c r="DT74" s="77"/>
      <c r="DU74" s="8" t="str">
        <f t="shared" si="99"/>
        <v>AAAAAA</v>
      </c>
      <c r="DV74" s="8" t="str">
        <f t="shared" si="100"/>
        <v/>
      </c>
      <c r="DW74" s="8" t="str">
        <f t="shared" si="101"/>
        <v/>
      </c>
      <c r="DX74">
        <f t="shared" ref="DX74:DY108" si="102">IF($DW74="",0,$DW74*DX$6)</f>
        <v>0</v>
      </c>
      <c r="DY74">
        <f t="shared" si="102"/>
        <v>0</v>
      </c>
      <c r="EA74" t="str">
        <f t="shared" ref="EA74:EA108" si="103">G85</f>
        <v>AAAAAA</v>
      </c>
      <c r="EB74" t="str">
        <f t="shared" ref="EB74:EB108" si="104">H85</f>
        <v/>
      </c>
      <c r="EC74" t="str">
        <f t="shared" ref="EC74:EC108" si="105">I85</f>
        <v/>
      </c>
      <c r="ED74">
        <f t="shared" ref="ED74:EE107" si="106">IF($EC74="",0,$EC74*ED$6)</f>
        <v>0</v>
      </c>
      <c r="EE74">
        <f t="shared" si="106"/>
        <v>0</v>
      </c>
      <c r="EG74" s="8" t="str">
        <f t="shared" ref="EG74:EG108" si="107">M85</f>
        <v>AAAAAA</v>
      </c>
      <c r="EH74" s="8" t="str">
        <f t="shared" ref="EH74:EH108" si="108">N85</f>
        <v/>
      </c>
      <c r="EI74" s="8" t="str">
        <f t="shared" ref="EI74:EI108" si="109">O85</f>
        <v/>
      </c>
      <c r="EJ74">
        <f t="shared" ref="EJ74:EK108" si="110">IF($EI74="",0,$EI74*EJ$6)</f>
        <v>0</v>
      </c>
      <c r="EK74">
        <f t="shared" si="110"/>
        <v>0</v>
      </c>
      <c r="EM74" s="8" t="str">
        <f t="shared" ref="EM74:EM108" si="111">S85</f>
        <v>AAAAAA</v>
      </c>
      <c r="EN74" s="8" t="str">
        <f t="shared" ref="EN74:EN108" si="112">T85</f>
        <v/>
      </c>
      <c r="EO74" s="8" t="str">
        <f t="shared" ref="EO74:EO108" si="113">U85</f>
        <v/>
      </c>
      <c r="EP74">
        <f t="shared" ref="EP74:EQ108" si="114">IF($EO74="",0,$EO74*EP$6)</f>
        <v>0</v>
      </c>
      <c r="EQ74">
        <f t="shared" si="114"/>
        <v>0</v>
      </c>
      <c r="ES74" s="8" t="str">
        <f t="shared" ref="ES74:ES108" si="115">Y85</f>
        <v>AAAAAA</v>
      </c>
      <c r="ET74" s="8" t="str">
        <f t="shared" ref="ET74:ET108" si="116">Z85</f>
        <v/>
      </c>
      <c r="EU74" s="8" t="str">
        <f t="shared" ref="EU74:EU108" si="117">AA85</f>
        <v/>
      </c>
      <c r="EV74">
        <f t="shared" ref="EV74:EW108" si="118">IF($EU74="",0,$EU74*EV$6)</f>
        <v>0</v>
      </c>
      <c r="EW74">
        <f t="shared" si="118"/>
        <v>0</v>
      </c>
      <c r="EY74" s="8" t="str">
        <f>Hidden!$CG68</f>
        <v/>
      </c>
      <c r="EZ74">
        <f t="shared" ref="EZ74:EZ108" si="119">IF(EZ$6,_xlfn.MAXIFS($DX$9:$DX$108,$DV$9:$DV$108,$EY74),0)</f>
        <v>0</v>
      </c>
      <c r="FA74">
        <f t="shared" ref="FA74:FA108" si="120">IF(FA$6,_xlfn.MAXIFS($ED$9:$ED$108,$EB$9:$EB$108,$EY74),0)</f>
        <v>0</v>
      </c>
      <c r="FB74">
        <f t="shared" ref="FB74:FB108" si="121">IF(FB$6,_xlfn.MAXIFS($EJ$9:$EJ$108,$EH$9:$EH$108,$EY74),0)</f>
        <v>0</v>
      </c>
      <c r="FC74">
        <f t="shared" ref="FC74:FC108" si="122">IF(FC$6,_xlfn.MAXIFS($EP$9:$EP$108,$EN$9:$EN$108,$EY74),0)</f>
        <v>0</v>
      </c>
      <c r="FD74">
        <f t="shared" ref="FD74:FD108" si="123">IF(FD$6,_xlfn.MAXIFS($EV$9:$EV$108,$ET$9:$ET$108,$EY74),0)</f>
        <v>0</v>
      </c>
      <c r="FE74">
        <f t="shared" ref="FE74:FE108" si="124">IF(FE$6,SUMIF($DV$9:$DV$108,$EY74,$DY$9:$DY$108),0)</f>
        <v>0</v>
      </c>
      <c r="FF74">
        <f t="shared" ref="FF74:FF108" si="125">IF(FF$6,SUMIF($EB$9:$EB$108,$EY74,$EE$9:$EE$108),0)</f>
        <v>0</v>
      </c>
      <c r="FG74">
        <f t="shared" ref="FG74:FG108" si="126">IF(FG$6,SUMIF($EH$9:$EH$108,$EY74,$EK$9:$EK$108),0)</f>
        <v>0</v>
      </c>
      <c r="FH74">
        <f t="shared" ref="FH74:FH108" si="127">IF(FH$6,SUMIF($EN$9:$EN$108,$EY74,$EQ$9:$EQ$108),0)</f>
        <v>0</v>
      </c>
      <c r="FI74">
        <f t="shared" ref="FI74:FI108" si="128">IF(FI$6,SUMIF($ET$9:$ET$108,$EY74,$EW$9:$EW$108),0)</f>
        <v>0</v>
      </c>
    </row>
    <row r="75" spans="1:165" x14ac:dyDescent="0.2">
      <c r="A75" s="8" t="str">
        <f>Tank1!A93</f>
        <v>AAAAAA</v>
      </c>
      <c r="B75" s="8" t="str">
        <f>Tank1!E93</f>
        <v/>
      </c>
      <c r="C75" s="8" t="str">
        <f>Tank1!F93</f>
        <v/>
      </c>
      <c r="D75" s="8">
        <f t="shared" si="94"/>
        <v>0</v>
      </c>
      <c r="E75" s="8">
        <f t="shared" si="94"/>
        <v>0</v>
      </c>
      <c r="G75" s="8" t="str">
        <f>Tank2!A93</f>
        <v>AAAAAA</v>
      </c>
      <c r="H75" s="8" t="str">
        <f>Tank2!E93</f>
        <v/>
      </c>
      <c r="I75" s="8" t="str">
        <f>Tank2!F93</f>
        <v/>
      </c>
      <c r="J75">
        <f t="shared" si="95"/>
        <v>0</v>
      </c>
      <c r="K75">
        <f t="shared" si="95"/>
        <v>0</v>
      </c>
      <c r="M75" s="8" t="str">
        <f>Tank3!A93</f>
        <v>AAAAAA</v>
      </c>
      <c r="N75" s="8" t="str">
        <f>Tank3!E93</f>
        <v/>
      </c>
      <c r="O75" s="8" t="str">
        <f>Tank3!F93</f>
        <v/>
      </c>
      <c r="P75">
        <f t="shared" si="96"/>
        <v>0</v>
      </c>
      <c r="Q75">
        <f t="shared" si="96"/>
        <v>0</v>
      </c>
      <c r="S75" s="8" t="str">
        <f>Tank4!A93</f>
        <v>AAAAAA</v>
      </c>
      <c r="T75" s="8" t="str">
        <f>Tank4!E93</f>
        <v/>
      </c>
      <c r="U75" s="8" t="str">
        <f>Tank4!F93</f>
        <v/>
      </c>
      <c r="V75">
        <f t="shared" si="97"/>
        <v>0</v>
      </c>
      <c r="W75">
        <f t="shared" si="97"/>
        <v>0</v>
      </c>
      <c r="Y75" s="8" t="str">
        <f>Tank5!A93</f>
        <v>AAAAAA</v>
      </c>
      <c r="Z75" s="8" t="str">
        <f>Tank5!E93</f>
        <v/>
      </c>
      <c r="AA75" s="8" t="str">
        <f>Tank5!F93</f>
        <v/>
      </c>
      <c r="AB75">
        <f t="shared" si="98"/>
        <v>0</v>
      </c>
      <c r="AC75">
        <f t="shared" si="98"/>
        <v>0</v>
      </c>
      <c r="AE75" s="8" t="str">
        <f>Hidden!CC58</f>
        <v/>
      </c>
      <c r="AF75">
        <f t="shared" si="53"/>
        <v>0</v>
      </c>
      <c r="AG75">
        <f t="shared" si="54"/>
        <v>0</v>
      </c>
      <c r="AH75">
        <f t="shared" si="55"/>
        <v>0</v>
      </c>
      <c r="AI75">
        <f t="shared" si="56"/>
        <v>0</v>
      </c>
      <c r="AJ75">
        <f t="shared" si="57"/>
        <v>0</v>
      </c>
      <c r="AK75">
        <f t="shared" si="58"/>
        <v>0</v>
      </c>
      <c r="AL75">
        <f t="shared" si="59"/>
        <v>0</v>
      </c>
      <c r="AM75">
        <f t="shared" si="60"/>
        <v>0</v>
      </c>
      <c r="AN75">
        <f t="shared" si="61"/>
        <v>0</v>
      </c>
      <c r="AO75">
        <f t="shared" si="62"/>
        <v>0</v>
      </c>
      <c r="BJ75" s="8" t="str">
        <f>Tank1!A93</f>
        <v>AAAAAA</v>
      </c>
      <c r="BK75" s="8" t="str">
        <f>Tank1!E93</f>
        <v/>
      </c>
      <c r="BL75" s="8" t="str">
        <f>Tank1!F93</f>
        <v/>
      </c>
      <c r="BM75" s="8">
        <f t="shared" si="63"/>
        <v>0</v>
      </c>
      <c r="BN75" s="8">
        <f t="shared" si="64"/>
        <v>0</v>
      </c>
      <c r="BO75" s="8"/>
      <c r="BP75" s="8" t="str">
        <f>Tank2!A93</f>
        <v>AAAAAA</v>
      </c>
      <c r="BQ75" s="8" t="str">
        <f>Tank2!E93</f>
        <v/>
      </c>
      <c r="BR75" s="8" t="str">
        <f>Tank2!F93</f>
        <v/>
      </c>
      <c r="BS75" s="8">
        <f t="shared" si="65"/>
        <v>0</v>
      </c>
      <c r="BT75" s="8">
        <f t="shared" si="66"/>
        <v>0</v>
      </c>
      <c r="BU75" s="8"/>
      <c r="BV75" s="8" t="str">
        <f>Tank3!A93</f>
        <v>AAAAAA</v>
      </c>
      <c r="BW75" s="8" t="str">
        <f>Tank3!E93</f>
        <v/>
      </c>
      <c r="BX75" s="8" t="str">
        <f>Tank3!F93</f>
        <v/>
      </c>
      <c r="BY75" s="8">
        <f t="shared" si="67"/>
        <v>0</v>
      </c>
      <c r="BZ75" s="8">
        <f t="shared" si="68"/>
        <v>0</v>
      </c>
      <c r="CA75" s="8"/>
      <c r="CB75" s="8" t="str">
        <f>Tank4!A93</f>
        <v>AAAAAA</v>
      </c>
      <c r="CC75" s="8" t="str">
        <f>Tank4!E93</f>
        <v/>
      </c>
      <c r="CD75" s="8" t="str">
        <f>Tank4!F93</f>
        <v/>
      </c>
      <c r="CE75" s="8">
        <f t="shared" si="69"/>
        <v>0</v>
      </c>
      <c r="CF75" s="8">
        <f t="shared" si="70"/>
        <v>0</v>
      </c>
      <c r="CH75" s="8" t="str">
        <f>Tank5!A93</f>
        <v>AAAAAA</v>
      </c>
      <c r="CI75" s="8" t="str">
        <f>Tank5!E93</f>
        <v/>
      </c>
      <c r="CJ75" s="8" t="str">
        <f>Tank5!F93</f>
        <v/>
      </c>
      <c r="CK75" s="8">
        <f t="shared" si="71"/>
        <v>0</v>
      </c>
      <c r="CL75" s="8">
        <f t="shared" si="72"/>
        <v>0</v>
      </c>
      <c r="CN75" s="8" t="str">
        <f>Hidden!$CC58</f>
        <v/>
      </c>
      <c r="CO75">
        <f t="shared" si="73"/>
        <v>0</v>
      </c>
      <c r="CP75">
        <f t="shared" si="74"/>
        <v>0</v>
      </c>
      <c r="CQ75">
        <f t="shared" si="75"/>
        <v>0</v>
      </c>
      <c r="CR75">
        <f t="shared" si="76"/>
        <v>0</v>
      </c>
      <c r="CS75">
        <f t="shared" si="77"/>
        <v>0</v>
      </c>
      <c r="CT75">
        <f t="shared" si="78"/>
        <v>0</v>
      </c>
      <c r="CU75">
        <f t="shared" si="79"/>
        <v>0</v>
      </c>
      <c r="CV75">
        <f t="shared" si="80"/>
        <v>0</v>
      </c>
      <c r="CW75">
        <f t="shared" si="81"/>
        <v>0</v>
      </c>
      <c r="CX75">
        <f t="shared" si="82"/>
        <v>0</v>
      </c>
      <c r="DT75" s="77"/>
      <c r="DU75" s="8" t="str">
        <f t="shared" si="99"/>
        <v>AAAAAAA</v>
      </c>
      <c r="DV75" s="8" t="str">
        <f t="shared" si="100"/>
        <v/>
      </c>
      <c r="DW75" s="8" t="str">
        <f t="shared" si="101"/>
        <v/>
      </c>
      <c r="DX75">
        <f t="shared" si="102"/>
        <v>0</v>
      </c>
      <c r="DY75">
        <f t="shared" si="102"/>
        <v>0</v>
      </c>
      <c r="EA75" t="str">
        <f t="shared" si="103"/>
        <v>AAAAAAA</v>
      </c>
      <c r="EB75" t="str">
        <f t="shared" si="104"/>
        <v/>
      </c>
      <c r="EC75" t="str">
        <f t="shared" si="105"/>
        <v/>
      </c>
      <c r="ED75">
        <f t="shared" si="106"/>
        <v>0</v>
      </c>
      <c r="EE75">
        <f t="shared" si="106"/>
        <v>0</v>
      </c>
      <c r="EG75" s="8" t="str">
        <f t="shared" si="107"/>
        <v>AAAAAAA</v>
      </c>
      <c r="EH75" s="8" t="str">
        <f t="shared" si="108"/>
        <v/>
      </c>
      <c r="EI75" s="8" t="str">
        <f t="shared" si="109"/>
        <v/>
      </c>
      <c r="EJ75">
        <f t="shared" si="110"/>
        <v>0</v>
      </c>
      <c r="EK75">
        <f t="shared" si="110"/>
        <v>0</v>
      </c>
      <c r="EM75" s="8" t="str">
        <f t="shared" si="111"/>
        <v>AAAAAAA</v>
      </c>
      <c r="EN75" s="8" t="str">
        <f t="shared" si="112"/>
        <v/>
      </c>
      <c r="EO75" s="8" t="str">
        <f t="shared" si="113"/>
        <v/>
      </c>
      <c r="EP75">
        <f t="shared" si="114"/>
        <v>0</v>
      </c>
      <c r="EQ75">
        <f t="shared" si="114"/>
        <v>0</v>
      </c>
      <c r="ES75" s="8" t="str">
        <f t="shared" si="115"/>
        <v>AAAAAAA</v>
      </c>
      <c r="ET75" s="8" t="str">
        <f t="shared" si="116"/>
        <v/>
      </c>
      <c r="EU75" s="8" t="str">
        <f t="shared" si="117"/>
        <v/>
      </c>
      <c r="EV75">
        <f t="shared" si="118"/>
        <v>0</v>
      </c>
      <c r="EW75">
        <f t="shared" si="118"/>
        <v>0</v>
      </c>
      <c r="EY75" s="8" t="str">
        <f>Hidden!$CG69</f>
        <v/>
      </c>
      <c r="EZ75">
        <f t="shared" si="119"/>
        <v>0</v>
      </c>
      <c r="FA75">
        <f t="shared" si="120"/>
        <v>0</v>
      </c>
      <c r="FB75">
        <f t="shared" si="121"/>
        <v>0</v>
      </c>
      <c r="FC75">
        <f t="shared" si="122"/>
        <v>0</v>
      </c>
      <c r="FD75">
        <f t="shared" si="123"/>
        <v>0</v>
      </c>
      <c r="FE75">
        <f t="shared" si="124"/>
        <v>0</v>
      </c>
      <c r="FF75">
        <f t="shared" si="125"/>
        <v>0</v>
      </c>
      <c r="FG75">
        <f t="shared" si="126"/>
        <v>0</v>
      </c>
      <c r="FH75">
        <f t="shared" si="127"/>
        <v>0</v>
      </c>
      <c r="FI75">
        <f t="shared" si="128"/>
        <v>0</v>
      </c>
    </row>
    <row r="76" spans="1:165" ht="28.5" x14ac:dyDescent="0.2">
      <c r="A76" s="8" t="str">
        <f>Tank1!A94</f>
        <v>AAAAAAA</v>
      </c>
      <c r="B76" s="8" t="str">
        <f>Tank1!E94</f>
        <v/>
      </c>
      <c r="C76" s="8" t="str">
        <f>Tank1!F94</f>
        <v/>
      </c>
      <c r="D76" s="8">
        <f t="shared" si="94"/>
        <v>0</v>
      </c>
      <c r="E76" s="8">
        <f t="shared" si="94"/>
        <v>0</v>
      </c>
      <c r="G76" s="8" t="str">
        <f>Tank2!A94</f>
        <v>AAAAAAA</v>
      </c>
      <c r="H76" s="8" t="str">
        <f>Tank2!E94</f>
        <v/>
      </c>
      <c r="I76" s="8" t="str">
        <f>Tank2!F94</f>
        <v/>
      </c>
      <c r="J76">
        <f t="shared" si="95"/>
        <v>0</v>
      </c>
      <c r="K76">
        <f t="shared" si="95"/>
        <v>0</v>
      </c>
      <c r="M76" s="8" t="str">
        <f>Tank3!A94</f>
        <v>AAAAAAA</v>
      </c>
      <c r="N76" s="8" t="str">
        <f>Tank3!E94</f>
        <v/>
      </c>
      <c r="O76" s="8" t="str">
        <f>Tank3!F94</f>
        <v/>
      </c>
      <c r="P76">
        <f t="shared" si="96"/>
        <v>0</v>
      </c>
      <c r="Q76">
        <f t="shared" si="96"/>
        <v>0</v>
      </c>
      <c r="S76" s="8" t="str">
        <f>Tank4!A94</f>
        <v>AAAAAAA</v>
      </c>
      <c r="T76" s="8" t="str">
        <f>Tank4!E94</f>
        <v/>
      </c>
      <c r="U76" s="8" t="str">
        <f>Tank4!F94</f>
        <v/>
      </c>
      <c r="V76">
        <f t="shared" si="97"/>
        <v>0</v>
      </c>
      <c r="W76">
        <f t="shared" si="97"/>
        <v>0</v>
      </c>
      <c r="Y76" s="8" t="str">
        <f>Tank5!A94</f>
        <v>AAAAAAA</v>
      </c>
      <c r="Z76" s="8" t="str">
        <f>Tank5!E94</f>
        <v/>
      </c>
      <c r="AA76" s="8" t="str">
        <f>Tank5!F94</f>
        <v/>
      </c>
      <c r="AB76">
        <f t="shared" si="98"/>
        <v>0</v>
      </c>
      <c r="AC76">
        <f t="shared" si="98"/>
        <v>0</v>
      </c>
      <c r="AE76" s="8" t="str">
        <f>Hidden!CC59</f>
        <v/>
      </c>
      <c r="AF76">
        <f t="shared" si="53"/>
        <v>0</v>
      </c>
      <c r="AG76">
        <f t="shared" si="54"/>
        <v>0</v>
      </c>
      <c r="AH76">
        <f t="shared" si="55"/>
        <v>0</v>
      </c>
      <c r="AI76">
        <f t="shared" si="56"/>
        <v>0</v>
      </c>
      <c r="AJ76">
        <f t="shared" si="57"/>
        <v>0</v>
      </c>
      <c r="AK76">
        <f t="shared" si="58"/>
        <v>0</v>
      </c>
      <c r="AL76">
        <f t="shared" si="59"/>
        <v>0</v>
      </c>
      <c r="AM76">
        <f t="shared" si="60"/>
        <v>0</v>
      </c>
      <c r="AN76">
        <f t="shared" si="61"/>
        <v>0</v>
      </c>
      <c r="AO76">
        <f t="shared" si="62"/>
        <v>0</v>
      </c>
      <c r="BJ76" s="8" t="str">
        <f>Tank1!A94</f>
        <v>AAAAAAA</v>
      </c>
      <c r="BK76" s="8" t="str">
        <f>Tank1!E94</f>
        <v/>
      </c>
      <c r="BL76" s="8" t="str">
        <f>Tank1!F94</f>
        <v/>
      </c>
      <c r="BM76" s="8">
        <f t="shared" si="63"/>
        <v>0</v>
      </c>
      <c r="BN76" s="8">
        <f t="shared" si="64"/>
        <v>0</v>
      </c>
      <c r="BO76" s="8"/>
      <c r="BP76" s="8" t="str">
        <f>Tank2!A94</f>
        <v>AAAAAAA</v>
      </c>
      <c r="BQ76" s="8" t="str">
        <f>Tank2!E94</f>
        <v/>
      </c>
      <c r="BR76" s="8" t="str">
        <f>Tank2!F94</f>
        <v/>
      </c>
      <c r="BS76" s="8">
        <f t="shared" si="65"/>
        <v>0</v>
      </c>
      <c r="BT76" s="8">
        <f t="shared" si="66"/>
        <v>0</v>
      </c>
      <c r="BU76" s="8"/>
      <c r="BV76" s="8" t="str">
        <f>Tank3!A94</f>
        <v>AAAAAAA</v>
      </c>
      <c r="BW76" s="8" t="str">
        <f>Tank3!E94</f>
        <v/>
      </c>
      <c r="BX76" s="8" t="str">
        <f>Tank3!F94</f>
        <v/>
      </c>
      <c r="BY76" s="8">
        <f t="shared" si="67"/>
        <v>0</v>
      </c>
      <c r="BZ76" s="8">
        <f t="shared" si="68"/>
        <v>0</v>
      </c>
      <c r="CA76" s="8"/>
      <c r="CB76" s="8" t="str">
        <f>Tank4!A94</f>
        <v>AAAAAAA</v>
      </c>
      <c r="CC76" s="8" t="str">
        <f>Tank4!E94</f>
        <v/>
      </c>
      <c r="CD76" s="8" t="str">
        <f>Tank4!F94</f>
        <v/>
      </c>
      <c r="CE76" s="8">
        <f t="shared" si="69"/>
        <v>0</v>
      </c>
      <c r="CF76" s="8">
        <f t="shared" si="70"/>
        <v>0</v>
      </c>
      <c r="CH76" s="8" t="str">
        <f>Tank5!A94</f>
        <v>AAAAAAA</v>
      </c>
      <c r="CI76" s="8" t="str">
        <f>Tank5!E94</f>
        <v/>
      </c>
      <c r="CJ76" s="8" t="str">
        <f>Tank5!F94</f>
        <v/>
      </c>
      <c r="CK76" s="8">
        <f t="shared" si="71"/>
        <v>0</v>
      </c>
      <c r="CL76" s="8">
        <f t="shared" si="72"/>
        <v>0</v>
      </c>
      <c r="CN76" s="8" t="str">
        <f>Hidden!$CC59</f>
        <v/>
      </c>
      <c r="CO76">
        <f t="shared" si="73"/>
        <v>0</v>
      </c>
      <c r="CP76">
        <f t="shared" si="74"/>
        <v>0</v>
      </c>
      <c r="CQ76">
        <f t="shared" si="75"/>
        <v>0</v>
      </c>
      <c r="CR76">
        <f t="shared" si="76"/>
        <v>0</v>
      </c>
      <c r="CS76">
        <f t="shared" si="77"/>
        <v>0</v>
      </c>
      <c r="CT76">
        <f t="shared" si="78"/>
        <v>0</v>
      </c>
      <c r="CU76">
        <f t="shared" si="79"/>
        <v>0</v>
      </c>
      <c r="CV76">
        <f t="shared" si="80"/>
        <v>0</v>
      </c>
      <c r="CW76">
        <f t="shared" si="81"/>
        <v>0</v>
      </c>
      <c r="CX76">
        <f t="shared" si="82"/>
        <v>0</v>
      </c>
      <c r="DT76" s="77"/>
      <c r="DU76" s="8" t="str">
        <f t="shared" si="99"/>
        <v>AAAAAAAA</v>
      </c>
      <c r="DV76" s="8" t="str">
        <f t="shared" si="100"/>
        <v/>
      </c>
      <c r="DW76" s="8" t="str">
        <f t="shared" si="101"/>
        <v/>
      </c>
      <c r="DX76">
        <f t="shared" si="102"/>
        <v>0</v>
      </c>
      <c r="DY76">
        <f t="shared" si="102"/>
        <v>0</v>
      </c>
      <c r="EA76" t="str">
        <f t="shared" si="103"/>
        <v>AAAAAAAA</v>
      </c>
      <c r="EB76" t="str">
        <f t="shared" si="104"/>
        <v/>
      </c>
      <c r="EC76" t="str">
        <f t="shared" si="105"/>
        <v/>
      </c>
      <c r="ED76">
        <f t="shared" si="106"/>
        <v>0</v>
      </c>
      <c r="EE76">
        <f t="shared" si="106"/>
        <v>0</v>
      </c>
      <c r="EG76" s="8" t="str">
        <f t="shared" si="107"/>
        <v>AAAAAAAA</v>
      </c>
      <c r="EH76" s="8" t="str">
        <f t="shared" si="108"/>
        <v/>
      </c>
      <c r="EI76" s="8" t="str">
        <f t="shared" si="109"/>
        <v/>
      </c>
      <c r="EJ76">
        <f t="shared" si="110"/>
        <v>0</v>
      </c>
      <c r="EK76">
        <f t="shared" si="110"/>
        <v>0</v>
      </c>
      <c r="EM76" s="8" t="str">
        <f t="shared" si="111"/>
        <v>AAAAAAAA</v>
      </c>
      <c r="EN76" s="8" t="str">
        <f t="shared" si="112"/>
        <v/>
      </c>
      <c r="EO76" s="8" t="str">
        <f t="shared" si="113"/>
        <v/>
      </c>
      <c r="EP76">
        <f t="shared" si="114"/>
        <v>0</v>
      </c>
      <c r="EQ76">
        <f t="shared" si="114"/>
        <v>0</v>
      </c>
      <c r="ES76" s="8" t="str">
        <f t="shared" si="115"/>
        <v>AAAAAAAA</v>
      </c>
      <c r="ET76" s="8" t="str">
        <f t="shared" si="116"/>
        <v/>
      </c>
      <c r="EU76" s="8" t="str">
        <f t="shared" si="117"/>
        <v/>
      </c>
      <c r="EV76">
        <f t="shared" si="118"/>
        <v>0</v>
      </c>
      <c r="EW76">
        <f t="shared" si="118"/>
        <v>0</v>
      </c>
      <c r="EY76" s="8" t="str">
        <f>Hidden!$CG70</f>
        <v/>
      </c>
      <c r="EZ76">
        <f t="shared" si="119"/>
        <v>0</v>
      </c>
      <c r="FA76">
        <f t="shared" si="120"/>
        <v>0</v>
      </c>
      <c r="FB76">
        <f t="shared" si="121"/>
        <v>0</v>
      </c>
      <c r="FC76">
        <f t="shared" si="122"/>
        <v>0</v>
      </c>
      <c r="FD76">
        <f t="shared" si="123"/>
        <v>0</v>
      </c>
      <c r="FE76">
        <f t="shared" si="124"/>
        <v>0</v>
      </c>
      <c r="FF76">
        <f t="shared" si="125"/>
        <v>0</v>
      </c>
      <c r="FG76">
        <f t="shared" si="126"/>
        <v>0</v>
      </c>
      <c r="FH76">
        <f t="shared" si="127"/>
        <v>0</v>
      </c>
      <c r="FI76">
        <f t="shared" si="128"/>
        <v>0</v>
      </c>
    </row>
    <row r="77" spans="1:165" ht="28.5" x14ac:dyDescent="0.2">
      <c r="A77" s="8" t="str">
        <f>Tank1!A95</f>
        <v>AAAAAAAA</v>
      </c>
      <c r="B77" s="8" t="str">
        <f>Tank1!E95</f>
        <v/>
      </c>
      <c r="C77" s="8" t="str">
        <f>Tank1!F95</f>
        <v/>
      </c>
      <c r="D77" s="8">
        <f t="shared" si="94"/>
        <v>0</v>
      </c>
      <c r="E77" s="8">
        <f t="shared" si="94"/>
        <v>0</v>
      </c>
      <c r="G77" s="8" t="str">
        <f>Tank2!A95</f>
        <v>AAAAAAAA</v>
      </c>
      <c r="H77" s="8" t="str">
        <f>Tank2!E95</f>
        <v/>
      </c>
      <c r="I77" s="8" t="str">
        <f>Tank2!F95</f>
        <v/>
      </c>
      <c r="J77">
        <f t="shared" si="95"/>
        <v>0</v>
      </c>
      <c r="K77">
        <f t="shared" si="95"/>
        <v>0</v>
      </c>
      <c r="M77" s="8" t="str">
        <f>Tank3!A95</f>
        <v>AAAAAAAA</v>
      </c>
      <c r="N77" s="8" t="str">
        <f>Tank3!E95</f>
        <v/>
      </c>
      <c r="O77" s="8" t="str">
        <f>Tank3!F95</f>
        <v/>
      </c>
      <c r="P77">
        <f t="shared" si="96"/>
        <v>0</v>
      </c>
      <c r="Q77">
        <f t="shared" si="96"/>
        <v>0</v>
      </c>
      <c r="S77" s="8" t="str">
        <f>Tank4!A95</f>
        <v>AAAAAAAA</v>
      </c>
      <c r="T77" s="8" t="str">
        <f>Tank4!E95</f>
        <v/>
      </c>
      <c r="U77" s="8" t="str">
        <f>Tank4!F95</f>
        <v/>
      </c>
      <c r="V77">
        <f t="shared" si="97"/>
        <v>0</v>
      </c>
      <c r="W77">
        <f t="shared" si="97"/>
        <v>0</v>
      </c>
      <c r="Y77" s="8" t="str">
        <f>Tank5!A95</f>
        <v>AAAAAAAA</v>
      </c>
      <c r="Z77" s="8" t="str">
        <f>Tank5!E95</f>
        <v/>
      </c>
      <c r="AA77" s="8" t="str">
        <f>Tank5!F95</f>
        <v/>
      </c>
      <c r="AB77">
        <f t="shared" si="98"/>
        <v>0</v>
      </c>
      <c r="AC77">
        <f t="shared" si="98"/>
        <v>0</v>
      </c>
      <c r="AE77" s="8" t="str">
        <f>Hidden!CC60</f>
        <v/>
      </c>
      <c r="AF77">
        <f t="shared" si="53"/>
        <v>0</v>
      </c>
      <c r="AG77">
        <f t="shared" si="54"/>
        <v>0</v>
      </c>
      <c r="AH77">
        <f t="shared" si="55"/>
        <v>0</v>
      </c>
      <c r="AI77">
        <f t="shared" si="56"/>
        <v>0</v>
      </c>
      <c r="AJ77">
        <f t="shared" si="57"/>
        <v>0</v>
      </c>
      <c r="AK77">
        <f t="shared" si="58"/>
        <v>0</v>
      </c>
      <c r="AL77">
        <f t="shared" si="59"/>
        <v>0</v>
      </c>
      <c r="AM77">
        <f t="shared" si="60"/>
        <v>0</v>
      </c>
      <c r="AN77">
        <f t="shared" si="61"/>
        <v>0</v>
      </c>
      <c r="AO77">
        <f t="shared" si="62"/>
        <v>0</v>
      </c>
      <c r="BJ77" s="8" t="str">
        <f>Tank1!A95</f>
        <v>AAAAAAAA</v>
      </c>
      <c r="BK77" s="8" t="str">
        <f>Tank1!E95</f>
        <v/>
      </c>
      <c r="BL77" s="8" t="str">
        <f>Tank1!F95</f>
        <v/>
      </c>
      <c r="BM77" s="8">
        <f t="shared" si="63"/>
        <v>0</v>
      </c>
      <c r="BN77" s="8">
        <f t="shared" si="64"/>
        <v>0</v>
      </c>
      <c r="BO77" s="8"/>
      <c r="BP77" s="8" t="str">
        <f>Tank2!A95</f>
        <v>AAAAAAAA</v>
      </c>
      <c r="BQ77" s="8" t="str">
        <f>Tank2!E95</f>
        <v/>
      </c>
      <c r="BR77" s="8" t="str">
        <f>Tank2!F95</f>
        <v/>
      </c>
      <c r="BS77" s="8">
        <f t="shared" si="65"/>
        <v>0</v>
      </c>
      <c r="BT77" s="8">
        <f t="shared" si="66"/>
        <v>0</v>
      </c>
      <c r="BU77" s="8"/>
      <c r="BV77" s="8" t="str">
        <f>Tank3!A95</f>
        <v>AAAAAAAA</v>
      </c>
      <c r="BW77" s="8" t="str">
        <f>Tank3!E95</f>
        <v/>
      </c>
      <c r="BX77" s="8" t="str">
        <f>Tank3!F95</f>
        <v/>
      </c>
      <c r="BY77" s="8">
        <f t="shared" si="67"/>
        <v>0</v>
      </c>
      <c r="BZ77" s="8">
        <f t="shared" si="68"/>
        <v>0</v>
      </c>
      <c r="CA77" s="8"/>
      <c r="CB77" s="8" t="str">
        <f>Tank4!A95</f>
        <v>AAAAAAAA</v>
      </c>
      <c r="CC77" s="8" t="str">
        <f>Tank4!E95</f>
        <v/>
      </c>
      <c r="CD77" s="8" t="str">
        <f>Tank4!F95</f>
        <v/>
      </c>
      <c r="CE77" s="8">
        <f t="shared" si="69"/>
        <v>0</v>
      </c>
      <c r="CF77" s="8">
        <f t="shared" si="70"/>
        <v>0</v>
      </c>
      <c r="CH77" s="8" t="str">
        <f>Tank5!A95</f>
        <v>AAAAAAAA</v>
      </c>
      <c r="CI77" s="8" t="str">
        <f>Tank5!E95</f>
        <v/>
      </c>
      <c r="CJ77" s="8" t="str">
        <f>Tank5!F95</f>
        <v/>
      </c>
      <c r="CK77" s="8">
        <f t="shared" si="71"/>
        <v>0</v>
      </c>
      <c r="CL77" s="8">
        <f t="shared" si="72"/>
        <v>0</v>
      </c>
      <c r="CN77" s="8" t="str">
        <f>Hidden!$CC60</f>
        <v/>
      </c>
      <c r="CO77">
        <f t="shared" si="73"/>
        <v>0</v>
      </c>
      <c r="CP77">
        <f t="shared" si="74"/>
        <v>0</v>
      </c>
      <c r="CQ77">
        <f t="shared" si="75"/>
        <v>0</v>
      </c>
      <c r="CR77">
        <f t="shared" si="76"/>
        <v>0</v>
      </c>
      <c r="CS77">
        <f t="shared" si="77"/>
        <v>0</v>
      </c>
      <c r="CT77">
        <f t="shared" si="78"/>
        <v>0</v>
      </c>
      <c r="CU77">
        <f t="shared" si="79"/>
        <v>0</v>
      </c>
      <c r="CV77">
        <f t="shared" si="80"/>
        <v>0</v>
      </c>
      <c r="CW77">
        <f t="shared" si="81"/>
        <v>0</v>
      </c>
      <c r="CX77">
        <f t="shared" si="82"/>
        <v>0</v>
      </c>
      <c r="DT77" s="77"/>
      <c r="DU77" s="8" t="str">
        <f t="shared" si="99"/>
        <v>AAAAAAAAA</v>
      </c>
      <c r="DV77" s="8" t="str">
        <f t="shared" si="100"/>
        <v/>
      </c>
      <c r="DW77" s="8" t="str">
        <f t="shared" si="101"/>
        <v/>
      </c>
      <c r="DX77">
        <f t="shared" si="102"/>
        <v>0</v>
      </c>
      <c r="DY77">
        <f t="shared" si="102"/>
        <v>0</v>
      </c>
      <c r="EA77" t="str">
        <f t="shared" si="103"/>
        <v>AAAAAAAAA</v>
      </c>
      <c r="EB77" t="str">
        <f t="shared" si="104"/>
        <v/>
      </c>
      <c r="EC77" t="str">
        <f t="shared" si="105"/>
        <v/>
      </c>
      <c r="ED77">
        <f t="shared" si="106"/>
        <v>0</v>
      </c>
      <c r="EE77">
        <f t="shared" si="106"/>
        <v>0</v>
      </c>
      <c r="EG77" s="8" t="str">
        <f t="shared" si="107"/>
        <v>AAAAAAAAA</v>
      </c>
      <c r="EH77" s="8" t="str">
        <f t="shared" si="108"/>
        <v/>
      </c>
      <c r="EI77" s="8" t="str">
        <f t="shared" si="109"/>
        <v/>
      </c>
      <c r="EJ77">
        <f t="shared" si="110"/>
        <v>0</v>
      </c>
      <c r="EK77">
        <f t="shared" si="110"/>
        <v>0</v>
      </c>
      <c r="EM77" s="8" t="str">
        <f t="shared" si="111"/>
        <v>AAAAAAAAA</v>
      </c>
      <c r="EN77" s="8" t="str">
        <f t="shared" si="112"/>
        <v/>
      </c>
      <c r="EO77" s="8" t="str">
        <f t="shared" si="113"/>
        <v/>
      </c>
      <c r="EP77">
        <f t="shared" si="114"/>
        <v>0</v>
      </c>
      <c r="EQ77">
        <f t="shared" si="114"/>
        <v>0</v>
      </c>
      <c r="ES77" s="8" t="str">
        <f t="shared" si="115"/>
        <v>AAAAAAAAA</v>
      </c>
      <c r="ET77" s="8" t="str">
        <f t="shared" si="116"/>
        <v/>
      </c>
      <c r="EU77" s="8" t="str">
        <f t="shared" si="117"/>
        <v/>
      </c>
      <c r="EV77">
        <f t="shared" si="118"/>
        <v>0</v>
      </c>
      <c r="EW77">
        <f t="shared" si="118"/>
        <v>0</v>
      </c>
      <c r="EY77" s="8" t="str">
        <f>Hidden!$CG71</f>
        <v/>
      </c>
      <c r="EZ77">
        <f t="shared" si="119"/>
        <v>0</v>
      </c>
      <c r="FA77">
        <f t="shared" si="120"/>
        <v>0</v>
      </c>
      <c r="FB77">
        <f t="shared" si="121"/>
        <v>0</v>
      </c>
      <c r="FC77">
        <f t="shared" si="122"/>
        <v>0</v>
      </c>
      <c r="FD77">
        <f t="shared" si="123"/>
        <v>0</v>
      </c>
      <c r="FE77">
        <f t="shared" si="124"/>
        <v>0</v>
      </c>
      <c r="FF77">
        <f t="shared" si="125"/>
        <v>0</v>
      </c>
      <c r="FG77">
        <f t="shared" si="126"/>
        <v>0</v>
      </c>
      <c r="FH77">
        <f t="shared" si="127"/>
        <v>0</v>
      </c>
      <c r="FI77">
        <f t="shared" si="128"/>
        <v>0</v>
      </c>
    </row>
    <row r="78" spans="1:165" ht="28.5" x14ac:dyDescent="0.2">
      <c r="A78" s="8" t="str">
        <f>Tank1!A96</f>
        <v>AAAAAAAAA</v>
      </c>
      <c r="B78" s="8" t="str">
        <f>Tank1!E96</f>
        <v/>
      </c>
      <c r="C78" s="8" t="str">
        <f>Tank1!F96</f>
        <v/>
      </c>
      <c r="D78" s="8">
        <f t="shared" si="94"/>
        <v>0</v>
      </c>
      <c r="E78" s="8">
        <f t="shared" si="94"/>
        <v>0</v>
      </c>
      <c r="G78" s="8" t="str">
        <f>Tank2!A96</f>
        <v>AAAAAAAAA</v>
      </c>
      <c r="H78" s="8" t="str">
        <f>Tank2!E96</f>
        <v/>
      </c>
      <c r="I78" s="8" t="str">
        <f>Tank2!F96</f>
        <v/>
      </c>
      <c r="J78">
        <f t="shared" si="95"/>
        <v>0</v>
      </c>
      <c r="K78">
        <f t="shared" si="95"/>
        <v>0</v>
      </c>
      <c r="M78" s="8" t="str">
        <f>Tank3!A96</f>
        <v>AAAAAAAAA</v>
      </c>
      <c r="N78" s="8" t="str">
        <f>Tank3!E96</f>
        <v/>
      </c>
      <c r="O78" s="8" t="str">
        <f>Tank3!F96</f>
        <v/>
      </c>
      <c r="P78">
        <f t="shared" si="96"/>
        <v>0</v>
      </c>
      <c r="Q78">
        <f t="shared" si="96"/>
        <v>0</v>
      </c>
      <c r="S78" s="8" t="str">
        <f>Tank4!A96</f>
        <v>AAAAAAAAA</v>
      </c>
      <c r="T78" s="8" t="str">
        <f>Tank4!E96</f>
        <v/>
      </c>
      <c r="U78" s="8" t="str">
        <f>Tank4!F96</f>
        <v/>
      </c>
      <c r="V78">
        <f t="shared" si="97"/>
        <v>0</v>
      </c>
      <c r="W78">
        <f t="shared" si="97"/>
        <v>0</v>
      </c>
      <c r="Y78" s="8" t="str">
        <f>Tank5!A96</f>
        <v>AAAAAAAAA</v>
      </c>
      <c r="Z78" s="8" t="str">
        <f>Tank5!E96</f>
        <v/>
      </c>
      <c r="AA78" s="8" t="str">
        <f>Tank5!F96</f>
        <v/>
      </c>
      <c r="AB78">
        <f t="shared" si="98"/>
        <v>0</v>
      </c>
      <c r="AC78">
        <f t="shared" si="98"/>
        <v>0</v>
      </c>
      <c r="AE78" s="8" t="str">
        <f>Hidden!CC61</f>
        <v/>
      </c>
      <c r="AF78">
        <f t="shared" si="53"/>
        <v>0</v>
      </c>
      <c r="AG78">
        <f t="shared" si="54"/>
        <v>0</v>
      </c>
      <c r="AH78">
        <f t="shared" si="55"/>
        <v>0</v>
      </c>
      <c r="AI78">
        <f t="shared" si="56"/>
        <v>0</v>
      </c>
      <c r="AJ78">
        <f t="shared" si="57"/>
        <v>0</v>
      </c>
      <c r="AK78">
        <f t="shared" si="58"/>
        <v>0</v>
      </c>
      <c r="AL78">
        <f t="shared" si="59"/>
        <v>0</v>
      </c>
      <c r="AM78">
        <f t="shared" si="60"/>
        <v>0</v>
      </c>
      <c r="AN78">
        <f t="shared" si="61"/>
        <v>0</v>
      </c>
      <c r="AO78">
        <f t="shared" si="62"/>
        <v>0</v>
      </c>
      <c r="BJ78" s="8" t="str">
        <f>Tank1!A96</f>
        <v>AAAAAAAAA</v>
      </c>
      <c r="BK78" s="8" t="str">
        <f>Tank1!E96</f>
        <v/>
      </c>
      <c r="BL78" s="8" t="str">
        <f>Tank1!F96</f>
        <v/>
      </c>
      <c r="BM78" s="8">
        <f t="shared" si="63"/>
        <v>0</v>
      </c>
      <c r="BN78" s="8">
        <f t="shared" si="64"/>
        <v>0</v>
      </c>
      <c r="BO78" s="8"/>
      <c r="BP78" s="8" t="str">
        <f>Tank2!A96</f>
        <v>AAAAAAAAA</v>
      </c>
      <c r="BQ78" s="8" t="str">
        <f>Tank2!E96</f>
        <v/>
      </c>
      <c r="BR78" s="8" t="str">
        <f>Tank2!F96</f>
        <v/>
      </c>
      <c r="BS78" s="8">
        <f t="shared" si="65"/>
        <v>0</v>
      </c>
      <c r="BT78" s="8">
        <f t="shared" si="66"/>
        <v>0</v>
      </c>
      <c r="BU78" s="8"/>
      <c r="BV78" s="8" t="str">
        <f>Tank3!A96</f>
        <v>AAAAAAAAA</v>
      </c>
      <c r="BW78" s="8" t="str">
        <f>Tank3!E96</f>
        <v/>
      </c>
      <c r="BX78" s="8" t="str">
        <f>Tank3!F96</f>
        <v/>
      </c>
      <c r="BY78" s="8">
        <f t="shared" si="67"/>
        <v>0</v>
      </c>
      <c r="BZ78" s="8">
        <f t="shared" si="68"/>
        <v>0</v>
      </c>
      <c r="CA78" s="8"/>
      <c r="CB78" s="8" t="str">
        <f>Tank4!A96</f>
        <v>AAAAAAAAA</v>
      </c>
      <c r="CC78" s="8" t="str">
        <f>Tank4!E96</f>
        <v/>
      </c>
      <c r="CD78" s="8" t="str">
        <f>Tank4!F96</f>
        <v/>
      </c>
      <c r="CE78" s="8">
        <f t="shared" si="69"/>
        <v>0</v>
      </c>
      <c r="CF78" s="8">
        <f t="shared" si="70"/>
        <v>0</v>
      </c>
      <c r="CH78" s="8" t="str">
        <f>Tank5!A96</f>
        <v>AAAAAAAAA</v>
      </c>
      <c r="CI78" s="8" t="str">
        <f>Tank5!E96</f>
        <v/>
      </c>
      <c r="CJ78" s="8" t="str">
        <f>Tank5!F96</f>
        <v/>
      </c>
      <c r="CK78" s="8">
        <f t="shared" si="71"/>
        <v>0</v>
      </c>
      <c r="CL78" s="8">
        <f t="shared" si="72"/>
        <v>0</v>
      </c>
      <c r="CN78" s="8" t="str">
        <f>Hidden!$CC61</f>
        <v/>
      </c>
      <c r="CO78">
        <f t="shared" si="73"/>
        <v>0</v>
      </c>
      <c r="CP78">
        <f t="shared" si="74"/>
        <v>0</v>
      </c>
      <c r="CQ78">
        <f t="shared" si="75"/>
        <v>0</v>
      </c>
      <c r="CR78">
        <f t="shared" si="76"/>
        <v>0</v>
      </c>
      <c r="CS78">
        <f t="shared" si="77"/>
        <v>0</v>
      </c>
      <c r="CT78">
        <f t="shared" si="78"/>
        <v>0</v>
      </c>
      <c r="CU78">
        <f t="shared" si="79"/>
        <v>0</v>
      </c>
      <c r="CV78">
        <f t="shared" si="80"/>
        <v>0</v>
      </c>
      <c r="CW78">
        <f t="shared" si="81"/>
        <v>0</v>
      </c>
      <c r="CX78">
        <f t="shared" si="82"/>
        <v>0</v>
      </c>
      <c r="DT78" s="77"/>
      <c r="DU78" s="8" t="str">
        <f t="shared" si="99"/>
        <v>AAAAAAAAAA</v>
      </c>
      <c r="DV78" s="8" t="str">
        <f t="shared" si="100"/>
        <v/>
      </c>
      <c r="DW78" s="8" t="str">
        <f t="shared" si="101"/>
        <v/>
      </c>
      <c r="DX78">
        <f t="shared" si="102"/>
        <v>0</v>
      </c>
      <c r="DY78">
        <f t="shared" si="102"/>
        <v>0</v>
      </c>
      <c r="EA78" t="str">
        <f t="shared" si="103"/>
        <v>AAAAAAAAAA</v>
      </c>
      <c r="EB78" t="str">
        <f t="shared" si="104"/>
        <v/>
      </c>
      <c r="EC78" t="str">
        <f t="shared" si="105"/>
        <v/>
      </c>
      <c r="ED78">
        <f t="shared" si="106"/>
        <v>0</v>
      </c>
      <c r="EE78">
        <f t="shared" si="106"/>
        <v>0</v>
      </c>
      <c r="EG78" s="8" t="str">
        <f t="shared" si="107"/>
        <v>AAAAAAAAAA</v>
      </c>
      <c r="EH78" s="8" t="str">
        <f t="shared" si="108"/>
        <v/>
      </c>
      <c r="EI78" s="8" t="str">
        <f t="shared" si="109"/>
        <v/>
      </c>
      <c r="EJ78">
        <f t="shared" si="110"/>
        <v>0</v>
      </c>
      <c r="EK78">
        <f t="shared" si="110"/>
        <v>0</v>
      </c>
      <c r="EM78" s="8" t="str">
        <f t="shared" si="111"/>
        <v>AAAAAAAAAA</v>
      </c>
      <c r="EN78" s="8" t="str">
        <f t="shared" si="112"/>
        <v/>
      </c>
      <c r="EO78" s="8" t="str">
        <f t="shared" si="113"/>
        <v/>
      </c>
      <c r="EP78">
        <f t="shared" si="114"/>
        <v>0</v>
      </c>
      <c r="EQ78">
        <f t="shared" si="114"/>
        <v>0</v>
      </c>
      <c r="ES78" s="8" t="str">
        <f t="shared" si="115"/>
        <v>AAAAAAAAAA</v>
      </c>
      <c r="ET78" s="8" t="str">
        <f t="shared" si="116"/>
        <v/>
      </c>
      <c r="EU78" s="8" t="str">
        <f t="shared" si="117"/>
        <v/>
      </c>
      <c r="EV78">
        <f t="shared" si="118"/>
        <v>0</v>
      </c>
      <c r="EW78">
        <f t="shared" si="118"/>
        <v>0</v>
      </c>
      <c r="EY78" s="8" t="str">
        <f>Hidden!$CG72</f>
        <v/>
      </c>
      <c r="EZ78">
        <f t="shared" si="119"/>
        <v>0</v>
      </c>
      <c r="FA78">
        <f t="shared" si="120"/>
        <v>0</v>
      </c>
      <c r="FB78">
        <f t="shared" si="121"/>
        <v>0</v>
      </c>
      <c r="FC78">
        <f t="shared" si="122"/>
        <v>0</v>
      </c>
      <c r="FD78">
        <f t="shared" si="123"/>
        <v>0</v>
      </c>
      <c r="FE78">
        <f t="shared" si="124"/>
        <v>0</v>
      </c>
      <c r="FF78">
        <f t="shared" si="125"/>
        <v>0</v>
      </c>
      <c r="FG78">
        <f t="shared" si="126"/>
        <v>0</v>
      </c>
      <c r="FH78">
        <f t="shared" si="127"/>
        <v>0</v>
      </c>
      <c r="FI78">
        <f t="shared" si="128"/>
        <v>0</v>
      </c>
    </row>
    <row r="79" spans="1:165" x14ac:dyDescent="0.2">
      <c r="A79" s="8" t="str">
        <f>Tank1!A97</f>
        <v>AAAAAAAAAA</v>
      </c>
      <c r="B79" s="8" t="str">
        <f>Tank1!E97</f>
        <v/>
      </c>
      <c r="C79" s="8" t="str">
        <f>Tank1!F97</f>
        <v/>
      </c>
      <c r="D79" s="8">
        <f t="shared" si="94"/>
        <v>0</v>
      </c>
      <c r="E79" s="8">
        <f t="shared" si="94"/>
        <v>0</v>
      </c>
      <c r="G79" s="8" t="str">
        <f>Tank2!A97</f>
        <v>AAAAAAAAAA</v>
      </c>
      <c r="H79" s="8" t="str">
        <f>Tank2!E97</f>
        <v/>
      </c>
      <c r="I79" s="8" t="str">
        <f>Tank2!F97</f>
        <v/>
      </c>
      <c r="J79">
        <f t="shared" si="95"/>
        <v>0</v>
      </c>
      <c r="K79">
        <f t="shared" si="95"/>
        <v>0</v>
      </c>
      <c r="M79" s="8" t="str">
        <f>Tank3!A97</f>
        <v>AAAAAAAAAA</v>
      </c>
      <c r="N79" s="8" t="str">
        <f>Tank3!E97</f>
        <v/>
      </c>
      <c r="O79" s="8" t="str">
        <f>Tank3!F97</f>
        <v/>
      </c>
      <c r="P79">
        <f t="shared" si="96"/>
        <v>0</v>
      </c>
      <c r="Q79">
        <f t="shared" si="96"/>
        <v>0</v>
      </c>
      <c r="S79" s="8" t="str">
        <f>Tank4!A97</f>
        <v>AAAAAAAAAA</v>
      </c>
      <c r="T79" s="8" t="str">
        <f>Tank4!E97</f>
        <v/>
      </c>
      <c r="U79" s="8" t="str">
        <f>Tank4!F97</f>
        <v/>
      </c>
      <c r="V79">
        <f t="shared" si="97"/>
        <v>0</v>
      </c>
      <c r="W79">
        <f t="shared" si="97"/>
        <v>0</v>
      </c>
      <c r="Y79" s="8" t="str">
        <f>Tank5!A97</f>
        <v>AAAAAAAAAA</v>
      </c>
      <c r="Z79" s="8" t="str">
        <f>Tank5!E97</f>
        <v/>
      </c>
      <c r="AA79" s="8" t="str">
        <f>Tank5!F97</f>
        <v/>
      </c>
      <c r="AB79">
        <f t="shared" si="98"/>
        <v>0</v>
      </c>
      <c r="AC79">
        <f t="shared" si="98"/>
        <v>0</v>
      </c>
      <c r="AE79" s="8" t="str">
        <f>Hidden!CC62</f>
        <v/>
      </c>
      <c r="AF79">
        <f t="shared" si="53"/>
        <v>0</v>
      </c>
      <c r="AG79">
        <f t="shared" si="54"/>
        <v>0</v>
      </c>
      <c r="AH79">
        <f t="shared" si="55"/>
        <v>0</v>
      </c>
      <c r="AI79">
        <f t="shared" si="56"/>
        <v>0</v>
      </c>
      <c r="AJ79">
        <f t="shared" si="57"/>
        <v>0</v>
      </c>
      <c r="AK79">
        <f t="shared" si="58"/>
        <v>0</v>
      </c>
      <c r="AL79">
        <f t="shared" si="59"/>
        <v>0</v>
      </c>
      <c r="AM79">
        <f t="shared" si="60"/>
        <v>0</v>
      </c>
      <c r="AN79">
        <f t="shared" si="61"/>
        <v>0</v>
      </c>
      <c r="AO79">
        <f t="shared" si="62"/>
        <v>0</v>
      </c>
      <c r="BJ79" s="8" t="str">
        <f>Tank1!A97</f>
        <v>AAAAAAAAAA</v>
      </c>
      <c r="BK79" s="8" t="str">
        <f>Tank1!E97</f>
        <v/>
      </c>
      <c r="BL79" s="8" t="str">
        <f>Tank1!F97</f>
        <v/>
      </c>
      <c r="BM79" s="8">
        <f t="shared" si="63"/>
        <v>0</v>
      </c>
      <c r="BN79" s="8">
        <f t="shared" si="64"/>
        <v>0</v>
      </c>
      <c r="BO79" s="8"/>
      <c r="BP79" s="8" t="str">
        <f>Tank2!A97</f>
        <v>AAAAAAAAAA</v>
      </c>
      <c r="BQ79" s="8" t="str">
        <f>Tank2!E97</f>
        <v/>
      </c>
      <c r="BR79" s="8" t="str">
        <f>Tank2!F97</f>
        <v/>
      </c>
      <c r="BS79" s="8">
        <f t="shared" si="65"/>
        <v>0</v>
      </c>
      <c r="BT79" s="8">
        <f t="shared" si="66"/>
        <v>0</v>
      </c>
      <c r="BU79" s="8"/>
      <c r="BV79" s="8" t="str">
        <f>Tank3!A97</f>
        <v>AAAAAAAAAA</v>
      </c>
      <c r="BW79" s="8" t="str">
        <f>Tank3!E97</f>
        <v/>
      </c>
      <c r="BX79" s="8" t="str">
        <f>Tank3!F97</f>
        <v/>
      </c>
      <c r="BY79" s="8">
        <f t="shared" si="67"/>
        <v>0</v>
      </c>
      <c r="BZ79" s="8">
        <f t="shared" si="68"/>
        <v>0</v>
      </c>
      <c r="CA79" s="8"/>
      <c r="CB79" s="8" t="str">
        <f>Tank4!A97</f>
        <v>AAAAAAAAAA</v>
      </c>
      <c r="CC79" s="8" t="str">
        <f>Tank4!E97</f>
        <v/>
      </c>
      <c r="CD79" s="8" t="str">
        <f>Tank4!F97</f>
        <v/>
      </c>
      <c r="CE79" s="8">
        <f t="shared" si="69"/>
        <v>0</v>
      </c>
      <c r="CF79" s="8">
        <f t="shared" si="70"/>
        <v>0</v>
      </c>
      <c r="CH79" s="8" t="str">
        <f>Tank5!A97</f>
        <v>AAAAAAAAAA</v>
      </c>
      <c r="CI79" s="8" t="str">
        <f>Tank5!E97</f>
        <v/>
      </c>
      <c r="CJ79" s="8" t="str">
        <f>Tank5!F97</f>
        <v/>
      </c>
      <c r="CK79" s="8">
        <f t="shared" si="71"/>
        <v>0</v>
      </c>
      <c r="CL79" s="8">
        <f t="shared" si="72"/>
        <v>0</v>
      </c>
      <c r="CN79" s="8" t="str">
        <f>Hidden!$CC62</f>
        <v/>
      </c>
      <c r="CO79">
        <f t="shared" si="73"/>
        <v>0</v>
      </c>
      <c r="CP79">
        <f t="shared" si="74"/>
        <v>0</v>
      </c>
      <c r="CQ79">
        <f t="shared" si="75"/>
        <v>0</v>
      </c>
      <c r="CR79">
        <f t="shared" si="76"/>
        <v>0</v>
      </c>
      <c r="CS79">
        <f t="shared" si="77"/>
        <v>0</v>
      </c>
      <c r="CT79">
        <f t="shared" si="78"/>
        <v>0</v>
      </c>
      <c r="CU79">
        <f t="shared" si="79"/>
        <v>0</v>
      </c>
      <c r="CV79">
        <f t="shared" si="80"/>
        <v>0</v>
      </c>
      <c r="CW79">
        <f t="shared" si="81"/>
        <v>0</v>
      </c>
      <c r="CX79">
        <f t="shared" si="82"/>
        <v>0</v>
      </c>
      <c r="DT79" s="77"/>
      <c r="DU79" s="8" t="str">
        <f t="shared" si="99"/>
        <v>A</v>
      </c>
      <c r="DV79" s="8" t="str">
        <f t="shared" si="100"/>
        <v/>
      </c>
      <c r="DW79" s="8" t="str">
        <f t="shared" si="101"/>
        <v/>
      </c>
      <c r="DX79">
        <f t="shared" si="102"/>
        <v>0</v>
      </c>
      <c r="DY79">
        <f t="shared" si="102"/>
        <v>0</v>
      </c>
      <c r="EA79" t="str">
        <f t="shared" si="103"/>
        <v>A</v>
      </c>
      <c r="EB79" t="str">
        <f t="shared" si="104"/>
        <v/>
      </c>
      <c r="EC79" t="str">
        <f t="shared" si="105"/>
        <v/>
      </c>
      <c r="ED79">
        <f t="shared" si="106"/>
        <v>0</v>
      </c>
      <c r="EE79">
        <f t="shared" si="106"/>
        <v>0</v>
      </c>
      <c r="EG79" s="8" t="str">
        <f t="shared" si="107"/>
        <v>A</v>
      </c>
      <c r="EH79" s="8" t="str">
        <f t="shared" si="108"/>
        <v/>
      </c>
      <c r="EI79" s="8" t="str">
        <f t="shared" si="109"/>
        <v/>
      </c>
      <c r="EJ79">
        <f t="shared" si="110"/>
        <v>0</v>
      </c>
      <c r="EK79">
        <f t="shared" si="110"/>
        <v>0</v>
      </c>
      <c r="EM79" s="8" t="str">
        <f t="shared" si="111"/>
        <v>A</v>
      </c>
      <c r="EN79" s="8" t="str">
        <f t="shared" si="112"/>
        <v/>
      </c>
      <c r="EO79" s="8" t="str">
        <f t="shared" si="113"/>
        <v/>
      </c>
      <c r="EP79">
        <f t="shared" si="114"/>
        <v>0</v>
      </c>
      <c r="EQ79">
        <f t="shared" si="114"/>
        <v>0</v>
      </c>
      <c r="ES79" s="8" t="str">
        <f t="shared" si="115"/>
        <v>A</v>
      </c>
      <c r="ET79" s="8" t="str">
        <f t="shared" si="116"/>
        <v/>
      </c>
      <c r="EU79" s="8" t="str">
        <f t="shared" si="117"/>
        <v/>
      </c>
      <c r="EV79">
        <f t="shared" si="118"/>
        <v>0</v>
      </c>
      <c r="EW79">
        <f t="shared" si="118"/>
        <v>0</v>
      </c>
      <c r="EY79" s="8" t="str">
        <f>Hidden!$CG73</f>
        <v/>
      </c>
      <c r="EZ79">
        <f t="shared" si="119"/>
        <v>0</v>
      </c>
      <c r="FA79">
        <f t="shared" si="120"/>
        <v>0</v>
      </c>
      <c r="FB79">
        <f t="shared" si="121"/>
        <v>0</v>
      </c>
      <c r="FC79">
        <f t="shared" si="122"/>
        <v>0</v>
      </c>
      <c r="FD79">
        <f t="shared" si="123"/>
        <v>0</v>
      </c>
      <c r="FE79">
        <f t="shared" si="124"/>
        <v>0</v>
      </c>
      <c r="FF79">
        <f t="shared" si="125"/>
        <v>0</v>
      </c>
      <c r="FG79">
        <f t="shared" si="126"/>
        <v>0</v>
      </c>
      <c r="FH79">
        <f t="shared" si="127"/>
        <v>0</v>
      </c>
      <c r="FI79">
        <f t="shared" si="128"/>
        <v>0</v>
      </c>
    </row>
    <row r="80" spans="1:165" x14ac:dyDescent="0.2">
      <c r="A80" s="8" t="str">
        <f>Tank1!A99</f>
        <v>A</v>
      </c>
      <c r="B80" s="8" t="str">
        <f>Tank1!E99</f>
        <v/>
      </c>
      <c r="C80" s="8" t="str">
        <f>Tank1!F99</f>
        <v/>
      </c>
      <c r="D80" s="8">
        <f t="shared" si="94"/>
        <v>0</v>
      </c>
      <c r="E80" s="8">
        <f t="shared" si="94"/>
        <v>0</v>
      </c>
      <c r="G80" s="8" t="str">
        <f>Tank2!A99</f>
        <v>A</v>
      </c>
      <c r="H80" s="8" t="str">
        <f>Tank2!E99</f>
        <v/>
      </c>
      <c r="I80" s="8" t="str">
        <f>Tank2!F99</f>
        <v/>
      </c>
      <c r="J80">
        <f t="shared" si="95"/>
        <v>0</v>
      </c>
      <c r="K80">
        <f t="shared" si="95"/>
        <v>0</v>
      </c>
      <c r="M80" s="8" t="str">
        <f>Tank3!A99</f>
        <v>A</v>
      </c>
      <c r="N80" s="8" t="str">
        <f>Tank3!E99</f>
        <v/>
      </c>
      <c r="O80" s="8" t="str">
        <f>Tank3!F99</f>
        <v/>
      </c>
      <c r="P80">
        <f t="shared" si="96"/>
        <v>0</v>
      </c>
      <c r="Q80">
        <f t="shared" si="96"/>
        <v>0</v>
      </c>
      <c r="S80" s="8" t="str">
        <f>Tank4!A99</f>
        <v>A</v>
      </c>
      <c r="T80" s="8" t="str">
        <f>Tank4!E99</f>
        <v/>
      </c>
      <c r="U80" s="8" t="str">
        <f>Tank4!F99</f>
        <v/>
      </c>
      <c r="V80">
        <f t="shared" si="97"/>
        <v>0</v>
      </c>
      <c r="W80">
        <f t="shared" si="97"/>
        <v>0</v>
      </c>
      <c r="Y80" s="8" t="str">
        <f>Tank5!A99</f>
        <v>A</v>
      </c>
      <c r="Z80" s="8" t="str">
        <f>Tank5!E99</f>
        <v/>
      </c>
      <c r="AA80" s="8" t="str">
        <f>Tank5!F99</f>
        <v/>
      </c>
      <c r="AB80">
        <f t="shared" si="98"/>
        <v>0</v>
      </c>
      <c r="AC80">
        <f t="shared" si="98"/>
        <v>0</v>
      </c>
      <c r="AE80" s="8" t="str">
        <f>Hidden!CC63</f>
        <v/>
      </c>
      <c r="AF80">
        <f t="shared" si="53"/>
        <v>0</v>
      </c>
      <c r="AG80">
        <f t="shared" si="54"/>
        <v>0</v>
      </c>
      <c r="AH80">
        <f t="shared" si="55"/>
        <v>0</v>
      </c>
      <c r="AI80">
        <f t="shared" si="56"/>
        <v>0</v>
      </c>
      <c r="AJ80">
        <f t="shared" si="57"/>
        <v>0</v>
      </c>
      <c r="AK80">
        <f t="shared" si="58"/>
        <v>0</v>
      </c>
      <c r="AL80">
        <f t="shared" si="59"/>
        <v>0</v>
      </c>
      <c r="AM80">
        <f t="shared" si="60"/>
        <v>0</v>
      </c>
      <c r="AN80">
        <f t="shared" si="61"/>
        <v>0</v>
      </c>
      <c r="AO80">
        <f t="shared" si="62"/>
        <v>0</v>
      </c>
      <c r="BJ80" s="8" t="str">
        <f>Tank1!A99</f>
        <v>A</v>
      </c>
      <c r="BK80" s="8" t="str">
        <f>Tank1!E99</f>
        <v/>
      </c>
      <c r="BL80" s="8" t="str">
        <f>Tank1!F99</f>
        <v/>
      </c>
      <c r="BM80" s="8">
        <f t="shared" si="63"/>
        <v>0</v>
      </c>
      <c r="BN80" s="8">
        <f t="shared" si="64"/>
        <v>0</v>
      </c>
      <c r="BO80" s="8"/>
      <c r="BP80" s="8" t="str">
        <f>Tank2!A99</f>
        <v>A</v>
      </c>
      <c r="BQ80" s="8" t="str">
        <f>Tank2!E99</f>
        <v/>
      </c>
      <c r="BR80" s="8" t="str">
        <f>Tank2!F99</f>
        <v/>
      </c>
      <c r="BS80" s="8">
        <f t="shared" si="65"/>
        <v>0</v>
      </c>
      <c r="BT80" s="8">
        <f t="shared" si="66"/>
        <v>0</v>
      </c>
      <c r="BU80" s="8"/>
      <c r="BV80" s="8" t="str">
        <f>Tank3!A99</f>
        <v>A</v>
      </c>
      <c r="BW80" s="8" t="str">
        <f>Tank3!E99</f>
        <v/>
      </c>
      <c r="BX80" s="8" t="str">
        <f>Tank3!F99</f>
        <v/>
      </c>
      <c r="BY80" s="8">
        <f t="shared" si="67"/>
        <v>0</v>
      </c>
      <c r="BZ80" s="8">
        <f t="shared" si="68"/>
        <v>0</v>
      </c>
      <c r="CA80" s="8"/>
      <c r="CB80" s="8" t="str">
        <f>Tank4!A99</f>
        <v>A</v>
      </c>
      <c r="CC80" s="8" t="str">
        <f>Tank4!E99</f>
        <v/>
      </c>
      <c r="CD80" s="8" t="str">
        <f>Tank4!F99</f>
        <v/>
      </c>
      <c r="CE80" s="8">
        <f t="shared" si="69"/>
        <v>0</v>
      </c>
      <c r="CF80" s="8">
        <f t="shared" si="70"/>
        <v>0</v>
      </c>
      <c r="CH80" s="8" t="str">
        <f>Tank5!A99</f>
        <v>A</v>
      </c>
      <c r="CI80" s="8" t="str">
        <f>Tank5!E99</f>
        <v/>
      </c>
      <c r="CJ80" s="8" t="str">
        <f>Tank5!F99</f>
        <v/>
      </c>
      <c r="CK80" s="8">
        <f t="shared" si="71"/>
        <v>0</v>
      </c>
      <c r="CL80" s="8">
        <f t="shared" si="72"/>
        <v>0</v>
      </c>
      <c r="CN80" s="8" t="str">
        <f>Hidden!$CC63</f>
        <v/>
      </c>
      <c r="CO80">
        <f t="shared" si="73"/>
        <v>0</v>
      </c>
      <c r="CP80">
        <f t="shared" si="74"/>
        <v>0</v>
      </c>
      <c r="CQ80">
        <f t="shared" si="75"/>
        <v>0</v>
      </c>
      <c r="CR80">
        <f t="shared" si="76"/>
        <v>0</v>
      </c>
      <c r="CS80">
        <f t="shared" si="77"/>
        <v>0</v>
      </c>
      <c r="CT80">
        <f t="shared" si="78"/>
        <v>0</v>
      </c>
      <c r="CU80">
        <f t="shared" si="79"/>
        <v>0</v>
      </c>
      <c r="CV80">
        <f t="shared" si="80"/>
        <v>0</v>
      </c>
      <c r="CW80">
        <f t="shared" si="81"/>
        <v>0</v>
      </c>
      <c r="CX80">
        <f t="shared" si="82"/>
        <v>0</v>
      </c>
      <c r="DT80" s="77"/>
      <c r="DU80" s="8" t="str">
        <f t="shared" si="99"/>
        <v>AA</v>
      </c>
      <c r="DV80" s="8" t="str">
        <f t="shared" si="100"/>
        <v/>
      </c>
      <c r="DW80" s="8" t="str">
        <f t="shared" si="101"/>
        <v/>
      </c>
      <c r="DX80">
        <f t="shared" si="102"/>
        <v>0</v>
      </c>
      <c r="DY80">
        <f t="shared" si="102"/>
        <v>0</v>
      </c>
      <c r="EA80" t="str">
        <f t="shared" si="103"/>
        <v>AA</v>
      </c>
      <c r="EB80" t="str">
        <f t="shared" si="104"/>
        <v/>
      </c>
      <c r="EC80" t="str">
        <f t="shared" si="105"/>
        <v/>
      </c>
      <c r="ED80">
        <f t="shared" si="106"/>
        <v>0</v>
      </c>
      <c r="EE80">
        <f t="shared" si="106"/>
        <v>0</v>
      </c>
      <c r="EG80" s="8" t="str">
        <f t="shared" si="107"/>
        <v>AA</v>
      </c>
      <c r="EH80" s="8" t="str">
        <f t="shared" si="108"/>
        <v/>
      </c>
      <c r="EI80" s="8" t="str">
        <f t="shared" si="109"/>
        <v/>
      </c>
      <c r="EJ80">
        <f t="shared" si="110"/>
        <v>0</v>
      </c>
      <c r="EK80">
        <f t="shared" si="110"/>
        <v>0</v>
      </c>
      <c r="EM80" s="8" t="str">
        <f t="shared" si="111"/>
        <v>AA</v>
      </c>
      <c r="EN80" s="8" t="str">
        <f t="shared" si="112"/>
        <v/>
      </c>
      <c r="EO80" s="8" t="str">
        <f t="shared" si="113"/>
        <v/>
      </c>
      <c r="EP80">
        <f t="shared" si="114"/>
        <v>0</v>
      </c>
      <c r="EQ80">
        <f t="shared" si="114"/>
        <v>0</v>
      </c>
      <c r="ES80" s="8" t="str">
        <f t="shared" si="115"/>
        <v>AA</v>
      </c>
      <c r="ET80" s="8" t="str">
        <f t="shared" si="116"/>
        <v/>
      </c>
      <c r="EU80" s="8" t="str">
        <f t="shared" si="117"/>
        <v/>
      </c>
      <c r="EV80">
        <f t="shared" si="118"/>
        <v>0</v>
      </c>
      <c r="EW80">
        <f t="shared" si="118"/>
        <v>0</v>
      </c>
      <c r="EY80" s="8" t="str">
        <f>Hidden!$CG74</f>
        <v/>
      </c>
      <c r="EZ80">
        <f t="shared" si="119"/>
        <v>0</v>
      </c>
      <c r="FA80">
        <f t="shared" si="120"/>
        <v>0</v>
      </c>
      <c r="FB80">
        <f t="shared" si="121"/>
        <v>0</v>
      </c>
      <c r="FC80">
        <f t="shared" si="122"/>
        <v>0</v>
      </c>
      <c r="FD80">
        <f t="shared" si="123"/>
        <v>0</v>
      </c>
      <c r="FE80">
        <f t="shared" si="124"/>
        <v>0</v>
      </c>
      <c r="FF80">
        <f t="shared" si="125"/>
        <v>0</v>
      </c>
      <c r="FG80">
        <f t="shared" si="126"/>
        <v>0</v>
      </c>
      <c r="FH80">
        <f t="shared" si="127"/>
        <v>0</v>
      </c>
      <c r="FI80">
        <f t="shared" si="128"/>
        <v>0</v>
      </c>
    </row>
    <row r="81" spans="1:165" x14ac:dyDescent="0.2">
      <c r="A81" s="8" t="str">
        <f>Tank1!A100</f>
        <v>AA</v>
      </c>
      <c r="B81" s="8" t="str">
        <f>Tank1!E100</f>
        <v/>
      </c>
      <c r="C81" s="8" t="str">
        <f>Tank1!F100</f>
        <v/>
      </c>
      <c r="D81" s="8">
        <f t="shared" si="94"/>
        <v>0</v>
      </c>
      <c r="E81" s="8">
        <f t="shared" si="94"/>
        <v>0</v>
      </c>
      <c r="G81" s="8" t="str">
        <f>Tank2!A100</f>
        <v>AA</v>
      </c>
      <c r="H81" s="8" t="str">
        <f>Tank2!E100</f>
        <v/>
      </c>
      <c r="I81" s="8" t="str">
        <f>Tank2!F100</f>
        <v/>
      </c>
      <c r="J81">
        <f t="shared" si="95"/>
        <v>0</v>
      </c>
      <c r="K81">
        <f t="shared" si="95"/>
        <v>0</v>
      </c>
      <c r="M81" s="8" t="str">
        <f>Tank3!A100</f>
        <v>AA</v>
      </c>
      <c r="N81" s="8" t="str">
        <f>Tank3!E100</f>
        <v/>
      </c>
      <c r="O81" s="8" t="str">
        <f>Tank3!F100</f>
        <v/>
      </c>
      <c r="P81">
        <f t="shared" si="96"/>
        <v>0</v>
      </c>
      <c r="Q81">
        <f t="shared" si="96"/>
        <v>0</v>
      </c>
      <c r="S81" s="8" t="str">
        <f>Tank4!A100</f>
        <v>AA</v>
      </c>
      <c r="T81" s="8" t="str">
        <f>Tank4!E100</f>
        <v/>
      </c>
      <c r="U81" s="8" t="str">
        <f>Tank4!F100</f>
        <v/>
      </c>
      <c r="V81">
        <f t="shared" si="97"/>
        <v>0</v>
      </c>
      <c r="W81">
        <f t="shared" si="97"/>
        <v>0</v>
      </c>
      <c r="Y81" s="8" t="str">
        <f>Tank5!A100</f>
        <v>AA</v>
      </c>
      <c r="Z81" s="8" t="str">
        <f>Tank5!E100</f>
        <v/>
      </c>
      <c r="AA81" s="8" t="str">
        <f>Tank5!F100</f>
        <v/>
      </c>
      <c r="AB81">
        <f t="shared" si="98"/>
        <v>0</v>
      </c>
      <c r="AC81">
        <f t="shared" si="98"/>
        <v>0</v>
      </c>
      <c r="AE81" s="8" t="str">
        <f>Hidden!CC64</f>
        <v/>
      </c>
      <c r="AF81">
        <f t="shared" si="53"/>
        <v>0</v>
      </c>
      <c r="AG81">
        <f t="shared" si="54"/>
        <v>0</v>
      </c>
      <c r="AH81">
        <f t="shared" si="55"/>
        <v>0</v>
      </c>
      <c r="AI81">
        <f t="shared" si="56"/>
        <v>0</v>
      </c>
      <c r="AJ81">
        <f t="shared" si="57"/>
        <v>0</v>
      </c>
      <c r="AK81">
        <f t="shared" si="58"/>
        <v>0</v>
      </c>
      <c r="AL81">
        <f t="shared" si="59"/>
        <v>0</v>
      </c>
      <c r="AM81">
        <f t="shared" si="60"/>
        <v>0</v>
      </c>
      <c r="AN81">
        <f t="shared" si="61"/>
        <v>0</v>
      </c>
      <c r="AO81">
        <f t="shared" si="62"/>
        <v>0</v>
      </c>
      <c r="BJ81" s="8" t="str">
        <f>Tank1!A100</f>
        <v>AA</v>
      </c>
      <c r="BK81" s="8" t="str">
        <f>Tank1!E100</f>
        <v/>
      </c>
      <c r="BL81" s="8" t="str">
        <f>Tank1!F100</f>
        <v/>
      </c>
      <c r="BM81" s="8">
        <f t="shared" si="63"/>
        <v>0</v>
      </c>
      <c r="BN81" s="8">
        <f t="shared" si="64"/>
        <v>0</v>
      </c>
      <c r="BO81" s="8"/>
      <c r="BP81" s="8" t="str">
        <f>Tank2!A100</f>
        <v>AA</v>
      </c>
      <c r="BQ81" s="8" t="str">
        <f>Tank2!E100</f>
        <v/>
      </c>
      <c r="BR81" s="8" t="str">
        <f>Tank2!F100</f>
        <v/>
      </c>
      <c r="BS81" s="8">
        <f t="shared" si="65"/>
        <v>0</v>
      </c>
      <c r="BT81" s="8">
        <f t="shared" si="66"/>
        <v>0</v>
      </c>
      <c r="BU81" s="8"/>
      <c r="BV81" s="8" t="str">
        <f>Tank3!A100</f>
        <v>AA</v>
      </c>
      <c r="BW81" s="8" t="str">
        <f>Tank3!E100</f>
        <v/>
      </c>
      <c r="BX81" s="8" t="str">
        <f>Tank3!F100</f>
        <v/>
      </c>
      <c r="BY81" s="8">
        <f t="shared" si="67"/>
        <v>0</v>
      </c>
      <c r="BZ81" s="8">
        <f t="shared" si="68"/>
        <v>0</v>
      </c>
      <c r="CA81" s="8"/>
      <c r="CB81" s="8" t="str">
        <f>Tank4!A100</f>
        <v>AA</v>
      </c>
      <c r="CC81" s="8" t="str">
        <f>Tank4!E100</f>
        <v/>
      </c>
      <c r="CD81" s="8" t="str">
        <f>Tank4!F100</f>
        <v/>
      </c>
      <c r="CE81" s="8">
        <f t="shared" si="69"/>
        <v>0</v>
      </c>
      <c r="CF81" s="8">
        <f t="shared" si="70"/>
        <v>0</v>
      </c>
      <c r="CH81" s="8" t="str">
        <f>Tank5!A100</f>
        <v>AA</v>
      </c>
      <c r="CI81" s="8" t="str">
        <f>Tank5!E100</f>
        <v/>
      </c>
      <c r="CJ81" s="8" t="str">
        <f>Tank5!F100</f>
        <v/>
      </c>
      <c r="CK81" s="8">
        <f t="shared" si="71"/>
        <v>0</v>
      </c>
      <c r="CL81" s="8">
        <f t="shared" si="72"/>
        <v>0</v>
      </c>
      <c r="CN81" s="8" t="str">
        <f>Hidden!$CC64</f>
        <v/>
      </c>
      <c r="CO81">
        <f t="shared" si="73"/>
        <v>0</v>
      </c>
      <c r="CP81">
        <f t="shared" si="74"/>
        <v>0</v>
      </c>
      <c r="CQ81">
        <f t="shared" si="75"/>
        <v>0</v>
      </c>
      <c r="CR81">
        <f t="shared" si="76"/>
        <v>0</v>
      </c>
      <c r="CS81">
        <f t="shared" si="77"/>
        <v>0</v>
      </c>
      <c r="CT81">
        <f t="shared" si="78"/>
        <v>0</v>
      </c>
      <c r="CU81">
        <f t="shared" si="79"/>
        <v>0</v>
      </c>
      <c r="CV81">
        <f t="shared" si="80"/>
        <v>0</v>
      </c>
      <c r="CW81">
        <f t="shared" si="81"/>
        <v>0</v>
      </c>
      <c r="CX81">
        <f t="shared" si="82"/>
        <v>0</v>
      </c>
      <c r="DT81" s="77"/>
      <c r="DU81" s="8" t="str">
        <f t="shared" si="99"/>
        <v>AAA</v>
      </c>
      <c r="DV81" s="8" t="str">
        <f t="shared" si="100"/>
        <v/>
      </c>
      <c r="DW81" s="8" t="str">
        <f t="shared" si="101"/>
        <v/>
      </c>
      <c r="DX81">
        <f t="shared" si="102"/>
        <v>0</v>
      </c>
      <c r="DY81">
        <f t="shared" si="102"/>
        <v>0</v>
      </c>
      <c r="EA81" t="str">
        <f t="shared" si="103"/>
        <v>AAA</v>
      </c>
      <c r="EB81" t="str">
        <f t="shared" si="104"/>
        <v/>
      </c>
      <c r="EC81" t="str">
        <f t="shared" si="105"/>
        <v/>
      </c>
      <c r="ED81">
        <f t="shared" si="106"/>
        <v>0</v>
      </c>
      <c r="EE81">
        <f t="shared" si="106"/>
        <v>0</v>
      </c>
      <c r="EG81" s="8" t="str">
        <f t="shared" si="107"/>
        <v>AAA</v>
      </c>
      <c r="EH81" s="8" t="str">
        <f t="shared" si="108"/>
        <v/>
      </c>
      <c r="EI81" s="8" t="str">
        <f t="shared" si="109"/>
        <v/>
      </c>
      <c r="EJ81">
        <f t="shared" si="110"/>
        <v>0</v>
      </c>
      <c r="EK81">
        <f t="shared" si="110"/>
        <v>0</v>
      </c>
      <c r="EM81" s="8" t="str">
        <f t="shared" si="111"/>
        <v>AAA</v>
      </c>
      <c r="EN81" s="8" t="str">
        <f t="shared" si="112"/>
        <v/>
      </c>
      <c r="EO81" s="8" t="str">
        <f t="shared" si="113"/>
        <v/>
      </c>
      <c r="EP81">
        <f t="shared" si="114"/>
        <v>0</v>
      </c>
      <c r="EQ81">
        <f t="shared" si="114"/>
        <v>0</v>
      </c>
      <c r="ES81" s="8" t="str">
        <f t="shared" si="115"/>
        <v>AAA</v>
      </c>
      <c r="ET81" s="8" t="str">
        <f t="shared" si="116"/>
        <v/>
      </c>
      <c r="EU81" s="8" t="str">
        <f t="shared" si="117"/>
        <v/>
      </c>
      <c r="EV81">
        <f t="shared" si="118"/>
        <v>0</v>
      </c>
      <c r="EW81">
        <f t="shared" si="118"/>
        <v>0</v>
      </c>
      <c r="EY81" s="8" t="str">
        <f>Hidden!$CG75</f>
        <v/>
      </c>
      <c r="EZ81">
        <f t="shared" si="119"/>
        <v>0</v>
      </c>
      <c r="FA81">
        <f t="shared" si="120"/>
        <v>0</v>
      </c>
      <c r="FB81">
        <f t="shared" si="121"/>
        <v>0</v>
      </c>
      <c r="FC81">
        <f t="shared" si="122"/>
        <v>0</v>
      </c>
      <c r="FD81">
        <f t="shared" si="123"/>
        <v>0</v>
      </c>
      <c r="FE81">
        <f t="shared" si="124"/>
        <v>0</v>
      </c>
      <c r="FF81">
        <f t="shared" si="125"/>
        <v>0</v>
      </c>
      <c r="FG81">
        <f t="shared" si="126"/>
        <v>0</v>
      </c>
      <c r="FH81">
        <f t="shared" si="127"/>
        <v>0</v>
      </c>
      <c r="FI81">
        <f t="shared" si="128"/>
        <v>0</v>
      </c>
    </row>
    <row r="82" spans="1:165" x14ac:dyDescent="0.2">
      <c r="A82" s="8" t="str">
        <f>Tank1!A101</f>
        <v>AAA</v>
      </c>
      <c r="B82" s="8" t="str">
        <f>Tank1!E101</f>
        <v/>
      </c>
      <c r="C82" s="8" t="str">
        <f>Tank1!F101</f>
        <v/>
      </c>
      <c r="D82" s="8">
        <f t="shared" si="94"/>
        <v>0</v>
      </c>
      <c r="E82" s="8">
        <f t="shared" si="94"/>
        <v>0</v>
      </c>
      <c r="G82" s="8" t="str">
        <f>Tank2!A101</f>
        <v>AAA</v>
      </c>
      <c r="H82" s="8" t="str">
        <f>Tank2!E101</f>
        <v/>
      </c>
      <c r="I82" s="8" t="str">
        <f>Tank2!F101</f>
        <v/>
      </c>
      <c r="J82">
        <f t="shared" si="95"/>
        <v>0</v>
      </c>
      <c r="K82">
        <f t="shared" si="95"/>
        <v>0</v>
      </c>
      <c r="M82" s="8" t="str">
        <f>Tank3!A101</f>
        <v>AAA</v>
      </c>
      <c r="N82" s="8" t="str">
        <f>Tank3!E101</f>
        <v/>
      </c>
      <c r="O82" s="8" t="str">
        <f>Tank3!F101</f>
        <v/>
      </c>
      <c r="P82">
        <f t="shared" si="96"/>
        <v>0</v>
      </c>
      <c r="Q82">
        <f t="shared" si="96"/>
        <v>0</v>
      </c>
      <c r="S82" s="8" t="str">
        <f>Tank4!A101</f>
        <v>AAA</v>
      </c>
      <c r="T82" s="8" t="str">
        <f>Tank4!E101</f>
        <v/>
      </c>
      <c r="U82" s="8" t="str">
        <f>Tank4!F101</f>
        <v/>
      </c>
      <c r="V82">
        <f t="shared" si="97"/>
        <v>0</v>
      </c>
      <c r="W82">
        <f t="shared" si="97"/>
        <v>0</v>
      </c>
      <c r="Y82" s="8" t="str">
        <f>Tank5!A101</f>
        <v>AAA</v>
      </c>
      <c r="Z82" s="8" t="str">
        <f>Tank5!E101</f>
        <v/>
      </c>
      <c r="AA82" s="8" t="str">
        <f>Tank5!F101</f>
        <v/>
      </c>
      <c r="AB82">
        <f t="shared" si="98"/>
        <v>0</v>
      </c>
      <c r="AC82">
        <f t="shared" si="98"/>
        <v>0</v>
      </c>
      <c r="AE82" s="8" t="str">
        <f>Hidden!CC65</f>
        <v/>
      </c>
      <c r="AF82">
        <f t="shared" si="53"/>
        <v>0</v>
      </c>
      <c r="AG82">
        <f t="shared" si="54"/>
        <v>0</v>
      </c>
      <c r="AH82">
        <f t="shared" si="55"/>
        <v>0</v>
      </c>
      <c r="AI82">
        <f t="shared" si="56"/>
        <v>0</v>
      </c>
      <c r="AJ82">
        <f t="shared" si="57"/>
        <v>0</v>
      </c>
      <c r="AK82">
        <f t="shared" si="58"/>
        <v>0</v>
      </c>
      <c r="AL82">
        <f t="shared" si="59"/>
        <v>0</v>
      </c>
      <c r="AM82">
        <f t="shared" si="60"/>
        <v>0</v>
      </c>
      <c r="AN82">
        <f t="shared" si="61"/>
        <v>0</v>
      </c>
      <c r="AO82">
        <f t="shared" si="62"/>
        <v>0</v>
      </c>
      <c r="BJ82" s="8" t="str">
        <f>Tank1!A101</f>
        <v>AAA</v>
      </c>
      <c r="BK82" s="8" t="str">
        <f>Tank1!E101</f>
        <v/>
      </c>
      <c r="BL82" s="8" t="str">
        <f>Tank1!F101</f>
        <v/>
      </c>
      <c r="BM82" s="8">
        <f t="shared" si="63"/>
        <v>0</v>
      </c>
      <c r="BN82" s="8">
        <f t="shared" si="64"/>
        <v>0</v>
      </c>
      <c r="BO82" s="8"/>
      <c r="BP82" s="8" t="str">
        <f>Tank2!A101</f>
        <v>AAA</v>
      </c>
      <c r="BQ82" s="8" t="str">
        <f>Tank2!E101</f>
        <v/>
      </c>
      <c r="BR82" s="8" t="str">
        <f>Tank2!F101</f>
        <v/>
      </c>
      <c r="BS82" s="8">
        <f t="shared" si="65"/>
        <v>0</v>
      </c>
      <c r="BT82" s="8">
        <f t="shared" si="66"/>
        <v>0</v>
      </c>
      <c r="BU82" s="8"/>
      <c r="BV82" s="8" t="str">
        <f>Tank3!A101</f>
        <v>AAA</v>
      </c>
      <c r="BW82" s="8" t="str">
        <f>Tank3!E101</f>
        <v/>
      </c>
      <c r="BX82" s="8" t="str">
        <f>Tank3!F101</f>
        <v/>
      </c>
      <c r="BY82" s="8">
        <f t="shared" si="67"/>
        <v>0</v>
      </c>
      <c r="BZ82" s="8">
        <f t="shared" si="68"/>
        <v>0</v>
      </c>
      <c r="CA82" s="8"/>
      <c r="CB82" s="8" t="str">
        <f>Tank4!A101</f>
        <v>AAA</v>
      </c>
      <c r="CC82" s="8" t="str">
        <f>Tank4!E101</f>
        <v/>
      </c>
      <c r="CD82" s="8" t="str">
        <f>Tank4!F101</f>
        <v/>
      </c>
      <c r="CE82" s="8">
        <f t="shared" si="69"/>
        <v>0</v>
      </c>
      <c r="CF82" s="8">
        <f t="shared" si="70"/>
        <v>0</v>
      </c>
      <c r="CH82" s="8" t="str">
        <f>Tank5!A101</f>
        <v>AAA</v>
      </c>
      <c r="CI82" s="8" t="str">
        <f>Tank5!E101</f>
        <v/>
      </c>
      <c r="CJ82" s="8" t="str">
        <f>Tank5!F101</f>
        <v/>
      </c>
      <c r="CK82" s="8">
        <f t="shared" si="71"/>
        <v>0</v>
      </c>
      <c r="CL82" s="8">
        <f t="shared" si="72"/>
        <v>0</v>
      </c>
      <c r="CN82" s="8" t="str">
        <f>Hidden!$CC65</f>
        <v/>
      </c>
      <c r="CO82">
        <f t="shared" si="73"/>
        <v>0</v>
      </c>
      <c r="CP82">
        <f t="shared" si="74"/>
        <v>0</v>
      </c>
      <c r="CQ82">
        <f t="shared" si="75"/>
        <v>0</v>
      </c>
      <c r="CR82">
        <f t="shared" si="76"/>
        <v>0</v>
      </c>
      <c r="CS82">
        <f t="shared" si="77"/>
        <v>0</v>
      </c>
      <c r="CT82">
        <f t="shared" si="78"/>
        <v>0</v>
      </c>
      <c r="CU82">
        <f t="shared" si="79"/>
        <v>0</v>
      </c>
      <c r="CV82">
        <f t="shared" si="80"/>
        <v>0</v>
      </c>
      <c r="CW82">
        <f t="shared" si="81"/>
        <v>0</v>
      </c>
      <c r="CX82">
        <f t="shared" si="82"/>
        <v>0</v>
      </c>
      <c r="DT82" s="77"/>
      <c r="DU82" s="8" t="str">
        <f t="shared" si="99"/>
        <v>AAAA</v>
      </c>
      <c r="DV82" s="8" t="str">
        <f t="shared" si="100"/>
        <v/>
      </c>
      <c r="DW82" s="8" t="str">
        <f t="shared" si="101"/>
        <v/>
      </c>
      <c r="DX82">
        <f t="shared" si="102"/>
        <v>0</v>
      </c>
      <c r="DY82">
        <f t="shared" si="102"/>
        <v>0</v>
      </c>
      <c r="EA82" t="str">
        <f t="shared" si="103"/>
        <v>AAAA</v>
      </c>
      <c r="EB82" t="str">
        <f t="shared" si="104"/>
        <v/>
      </c>
      <c r="EC82" t="str">
        <f t="shared" si="105"/>
        <v/>
      </c>
      <c r="ED82">
        <f t="shared" si="106"/>
        <v>0</v>
      </c>
      <c r="EE82">
        <f t="shared" si="106"/>
        <v>0</v>
      </c>
      <c r="EG82" s="8" t="str">
        <f t="shared" si="107"/>
        <v>AAAA</v>
      </c>
      <c r="EH82" s="8" t="str">
        <f t="shared" si="108"/>
        <v/>
      </c>
      <c r="EI82" s="8" t="str">
        <f t="shared" si="109"/>
        <v/>
      </c>
      <c r="EJ82">
        <f t="shared" si="110"/>
        <v>0</v>
      </c>
      <c r="EK82">
        <f t="shared" si="110"/>
        <v>0</v>
      </c>
      <c r="EM82" s="8" t="str">
        <f t="shared" si="111"/>
        <v>AAAA</v>
      </c>
      <c r="EN82" s="8" t="str">
        <f t="shared" si="112"/>
        <v/>
      </c>
      <c r="EO82" s="8" t="str">
        <f t="shared" si="113"/>
        <v/>
      </c>
      <c r="EP82">
        <f t="shared" si="114"/>
        <v>0</v>
      </c>
      <c r="EQ82">
        <f t="shared" si="114"/>
        <v>0</v>
      </c>
      <c r="ES82" s="8" t="str">
        <f t="shared" si="115"/>
        <v>AAAA</v>
      </c>
      <c r="ET82" s="8" t="str">
        <f t="shared" si="116"/>
        <v/>
      </c>
      <c r="EU82" s="8" t="str">
        <f t="shared" si="117"/>
        <v/>
      </c>
      <c r="EV82">
        <f t="shared" si="118"/>
        <v>0</v>
      </c>
      <c r="EW82">
        <f t="shared" si="118"/>
        <v>0</v>
      </c>
      <c r="EY82" s="8" t="str">
        <f>Hidden!$CG76</f>
        <v/>
      </c>
      <c r="EZ82">
        <f t="shared" si="119"/>
        <v>0</v>
      </c>
      <c r="FA82">
        <f t="shared" si="120"/>
        <v>0</v>
      </c>
      <c r="FB82">
        <f t="shared" si="121"/>
        <v>0</v>
      </c>
      <c r="FC82">
        <f t="shared" si="122"/>
        <v>0</v>
      </c>
      <c r="FD82">
        <f t="shared" si="123"/>
        <v>0</v>
      </c>
      <c r="FE82">
        <f t="shared" si="124"/>
        <v>0</v>
      </c>
      <c r="FF82">
        <f t="shared" si="125"/>
        <v>0</v>
      </c>
      <c r="FG82">
        <f t="shared" si="126"/>
        <v>0</v>
      </c>
      <c r="FH82">
        <f t="shared" si="127"/>
        <v>0</v>
      </c>
      <c r="FI82">
        <f t="shared" si="128"/>
        <v>0</v>
      </c>
    </row>
    <row r="83" spans="1:165" x14ac:dyDescent="0.2">
      <c r="A83" s="8" t="str">
        <f>Tank1!A102</f>
        <v>AAAA</v>
      </c>
      <c r="B83" s="8" t="str">
        <f>Tank1!E102</f>
        <v/>
      </c>
      <c r="C83" s="8" t="str">
        <f>Tank1!F102</f>
        <v/>
      </c>
      <c r="D83" s="8">
        <f t="shared" si="94"/>
        <v>0</v>
      </c>
      <c r="E83" s="8">
        <f t="shared" si="94"/>
        <v>0</v>
      </c>
      <c r="G83" s="8" t="str">
        <f>Tank2!A102</f>
        <v>AAAA</v>
      </c>
      <c r="H83" s="8" t="str">
        <f>Tank2!E102</f>
        <v/>
      </c>
      <c r="I83" s="8" t="str">
        <f>Tank2!F102</f>
        <v/>
      </c>
      <c r="J83">
        <f t="shared" si="95"/>
        <v>0</v>
      </c>
      <c r="K83">
        <f t="shared" si="95"/>
        <v>0</v>
      </c>
      <c r="M83" s="8" t="str">
        <f>Tank3!A102</f>
        <v>AAAA</v>
      </c>
      <c r="N83" s="8" t="str">
        <f>Tank3!E102</f>
        <v/>
      </c>
      <c r="O83" s="8" t="str">
        <f>Tank3!F102</f>
        <v/>
      </c>
      <c r="P83">
        <f t="shared" si="96"/>
        <v>0</v>
      </c>
      <c r="Q83">
        <f t="shared" si="96"/>
        <v>0</v>
      </c>
      <c r="S83" s="8" t="str">
        <f>Tank4!A102</f>
        <v>AAAA</v>
      </c>
      <c r="T83" s="8" t="str">
        <f>Tank4!E102</f>
        <v/>
      </c>
      <c r="U83" s="8" t="str">
        <f>Tank4!F102</f>
        <v/>
      </c>
      <c r="V83">
        <f t="shared" si="97"/>
        <v>0</v>
      </c>
      <c r="W83">
        <f t="shared" si="97"/>
        <v>0</v>
      </c>
      <c r="Y83" s="8" t="str">
        <f>Tank5!A102</f>
        <v>AAAA</v>
      </c>
      <c r="Z83" s="8" t="str">
        <f>Tank5!E102</f>
        <v/>
      </c>
      <c r="AA83" s="8" t="str">
        <f>Tank5!F102</f>
        <v/>
      </c>
      <c r="AB83">
        <f t="shared" si="98"/>
        <v>0</v>
      </c>
      <c r="AC83">
        <f t="shared" si="98"/>
        <v>0</v>
      </c>
      <c r="AE83" s="8" t="str">
        <f>Hidden!CC66</f>
        <v/>
      </c>
      <c r="AF83">
        <f t="shared" si="53"/>
        <v>0</v>
      </c>
      <c r="AG83">
        <f t="shared" si="54"/>
        <v>0</v>
      </c>
      <c r="AH83">
        <f t="shared" si="55"/>
        <v>0</v>
      </c>
      <c r="AI83">
        <f t="shared" si="56"/>
        <v>0</v>
      </c>
      <c r="AJ83">
        <f t="shared" si="57"/>
        <v>0</v>
      </c>
      <c r="AK83">
        <f t="shared" si="58"/>
        <v>0</v>
      </c>
      <c r="AL83">
        <f t="shared" si="59"/>
        <v>0</v>
      </c>
      <c r="AM83">
        <f t="shared" si="60"/>
        <v>0</v>
      </c>
      <c r="AN83">
        <f t="shared" si="61"/>
        <v>0</v>
      </c>
      <c r="AO83">
        <f t="shared" si="62"/>
        <v>0</v>
      </c>
      <c r="BJ83" s="8" t="str">
        <f>Tank1!A102</f>
        <v>AAAA</v>
      </c>
      <c r="BK83" s="8" t="str">
        <f>Tank1!E102</f>
        <v/>
      </c>
      <c r="BL83" s="8" t="str">
        <f>Tank1!F102</f>
        <v/>
      </c>
      <c r="BM83" s="8">
        <f t="shared" si="63"/>
        <v>0</v>
      </c>
      <c r="BN83" s="8">
        <f t="shared" si="64"/>
        <v>0</v>
      </c>
      <c r="BO83" s="8"/>
      <c r="BP83" s="8" t="str">
        <f>Tank2!A102</f>
        <v>AAAA</v>
      </c>
      <c r="BQ83" s="8" t="str">
        <f>Tank2!E102</f>
        <v/>
      </c>
      <c r="BR83" s="8" t="str">
        <f>Tank2!F102</f>
        <v/>
      </c>
      <c r="BS83" s="8">
        <f t="shared" si="65"/>
        <v>0</v>
      </c>
      <c r="BT83" s="8">
        <f t="shared" si="66"/>
        <v>0</v>
      </c>
      <c r="BU83" s="8"/>
      <c r="BV83" s="8" t="str">
        <f>Tank3!A102</f>
        <v>AAAA</v>
      </c>
      <c r="BW83" s="8" t="str">
        <f>Tank3!E102</f>
        <v/>
      </c>
      <c r="BX83" s="8" t="str">
        <f>Tank3!F102</f>
        <v/>
      </c>
      <c r="BY83" s="8">
        <f t="shared" si="67"/>
        <v>0</v>
      </c>
      <c r="BZ83" s="8">
        <f t="shared" si="68"/>
        <v>0</v>
      </c>
      <c r="CA83" s="8"/>
      <c r="CB83" s="8" t="str">
        <f>Tank4!A102</f>
        <v>AAAA</v>
      </c>
      <c r="CC83" s="8" t="str">
        <f>Tank4!E102</f>
        <v/>
      </c>
      <c r="CD83" s="8" t="str">
        <f>Tank4!F102</f>
        <v/>
      </c>
      <c r="CE83" s="8">
        <f t="shared" si="69"/>
        <v>0</v>
      </c>
      <c r="CF83" s="8">
        <f t="shared" si="70"/>
        <v>0</v>
      </c>
      <c r="CH83" s="8" t="str">
        <f>Tank5!A102</f>
        <v>AAAA</v>
      </c>
      <c r="CI83" s="8" t="str">
        <f>Tank5!E102</f>
        <v/>
      </c>
      <c r="CJ83" s="8" t="str">
        <f>Tank5!F102</f>
        <v/>
      </c>
      <c r="CK83" s="8">
        <f t="shared" si="71"/>
        <v>0</v>
      </c>
      <c r="CL83" s="8">
        <f t="shared" si="72"/>
        <v>0</v>
      </c>
      <c r="CN83" s="8" t="str">
        <f>Hidden!$CC66</f>
        <v/>
      </c>
      <c r="CO83">
        <f t="shared" si="73"/>
        <v>0</v>
      </c>
      <c r="CP83">
        <f t="shared" si="74"/>
        <v>0</v>
      </c>
      <c r="CQ83">
        <f t="shared" si="75"/>
        <v>0</v>
      </c>
      <c r="CR83">
        <f t="shared" si="76"/>
        <v>0</v>
      </c>
      <c r="CS83">
        <f t="shared" si="77"/>
        <v>0</v>
      </c>
      <c r="CT83">
        <f t="shared" si="78"/>
        <v>0</v>
      </c>
      <c r="CU83">
        <f t="shared" si="79"/>
        <v>0</v>
      </c>
      <c r="CV83">
        <f t="shared" si="80"/>
        <v>0</v>
      </c>
      <c r="CW83">
        <f t="shared" si="81"/>
        <v>0</v>
      </c>
      <c r="CX83">
        <f t="shared" si="82"/>
        <v>0</v>
      </c>
      <c r="DT83" s="77"/>
      <c r="DU83" s="8" t="str">
        <f t="shared" si="99"/>
        <v>AAAAA</v>
      </c>
      <c r="DV83" s="8" t="str">
        <f t="shared" si="100"/>
        <v/>
      </c>
      <c r="DW83" s="8" t="str">
        <f t="shared" si="101"/>
        <v/>
      </c>
      <c r="DX83">
        <f t="shared" si="102"/>
        <v>0</v>
      </c>
      <c r="DY83">
        <f t="shared" si="102"/>
        <v>0</v>
      </c>
      <c r="EA83" t="str">
        <f t="shared" si="103"/>
        <v>AAAAA</v>
      </c>
      <c r="EB83" t="str">
        <f t="shared" si="104"/>
        <v/>
      </c>
      <c r="EC83" t="str">
        <f t="shared" si="105"/>
        <v/>
      </c>
      <c r="ED83">
        <f t="shared" si="106"/>
        <v>0</v>
      </c>
      <c r="EE83">
        <f t="shared" si="106"/>
        <v>0</v>
      </c>
      <c r="EG83" s="8" t="str">
        <f t="shared" si="107"/>
        <v>AAAAA</v>
      </c>
      <c r="EH83" s="8" t="str">
        <f t="shared" si="108"/>
        <v/>
      </c>
      <c r="EI83" s="8" t="str">
        <f t="shared" si="109"/>
        <v/>
      </c>
      <c r="EJ83">
        <f t="shared" si="110"/>
        <v>0</v>
      </c>
      <c r="EK83">
        <f t="shared" si="110"/>
        <v>0</v>
      </c>
      <c r="EM83" s="8" t="str">
        <f t="shared" si="111"/>
        <v>AAAAA</v>
      </c>
      <c r="EN83" s="8" t="str">
        <f t="shared" si="112"/>
        <v/>
      </c>
      <c r="EO83" s="8" t="str">
        <f t="shared" si="113"/>
        <v/>
      </c>
      <c r="EP83">
        <f t="shared" si="114"/>
        <v>0</v>
      </c>
      <c r="EQ83">
        <f t="shared" si="114"/>
        <v>0</v>
      </c>
      <c r="ES83" s="8" t="str">
        <f t="shared" si="115"/>
        <v>AAAAA</v>
      </c>
      <c r="ET83" s="8" t="str">
        <f t="shared" si="116"/>
        <v/>
      </c>
      <c r="EU83" s="8" t="str">
        <f t="shared" si="117"/>
        <v/>
      </c>
      <c r="EV83">
        <f t="shared" si="118"/>
        <v>0</v>
      </c>
      <c r="EW83">
        <f t="shared" si="118"/>
        <v>0</v>
      </c>
      <c r="EY83" s="8" t="str">
        <f>Hidden!$CG77</f>
        <v/>
      </c>
      <c r="EZ83">
        <f t="shared" si="119"/>
        <v>0</v>
      </c>
      <c r="FA83">
        <f t="shared" si="120"/>
        <v>0</v>
      </c>
      <c r="FB83">
        <f t="shared" si="121"/>
        <v>0</v>
      </c>
      <c r="FC83">
        <f t="shared" si="122"/>
        <v>0</v>
      </c>
      <c r="FD83">
        <f t="shared" si="123"/>
        <v>0</v>
      </c>
      <c r="FE83">
        <f t="shared" si="124"/>
        <v>0</v>
      </c>
      <c r="FF83">
        <f t="shared" si="125"/>
        <v>0</v>
      </c>
      <c r="FG83">
        <f t="shared" si="126"/>
        <v>0</v>
      </c>
      <c r="FH83">
        <f t="shared" si="127"/>
        <v>0</v>
      </c>
      <c r="FI83">
        <f t="shared" si="128"/>
        <v>0</v>
      </c>
    </row>
    <row r="84" spans="1:165" x14ac:dyDescent="0.2">
      <c r="A84" s="8" t="str">
        <f>Tank1!A103</f>
        <v>AAAAA</v>
      </c>
      <c r="B84" s="8" t="str">
        <f>Tank1!E103</f>
        <v/>
      </c>
      <c r="C84" s="8" t="str">
        <f>Tank1!F103</f>
        <v/>
      </c>
      <c r="D84" s="8">
        <f t="shared" si="94"/>
        <v>0</v>
      </c>
      <c r="E84" s="8">
        <f t="shared" si="94"/>
        <v>0</v>
      </c>
      <c r="G84" s="8" t="str">
        <f>Tank2!A103</f>
        <v>AAAAA</v>
      </c>
      <c r="H84" s="8" t="str">
        <f>Tank2!E103</f>
        <v/>
      </c>
      <c r="I84" s="8" t="str">
        <f>Tank2!F103</f>
        <v/>
      </c>
      <c r="J84">
        <f t="shared" si="95"/>
        <v>0</v>
      </c>
      <c r="K84">
        <f t="shared" si="95"/>
        <v>0</v>
      </c>
      <c r="M84" s="8" t="str">
        <f>Tank3!A103</f>
        <v>AAAAA</v>
      </c>
      <c r="N84" s="8" t="str">
        <f>Tank3!E103</f>
        <v/>
      </c>
      <c r="O84" s="8" t="str">
        <f>Tank3!F103</f>
        <v/>
      </c>
      <c r="P84">
        <f t="shared" si="96"/>
        <v>0</v>
      </c>
      <c r="Q84">
        <f t="shared" si="96"/>
        <v>0</v>
      </c>
      <c r="S84" s="8" t="str">
        <f>Tank4!A103</f>
        <v>AAAAA</v>
      </c>
      <c r="T84" s="8" t="str">
        <f>Tank4!E103</f>
        <v/>
      </c>
      <c r="U84" s="8" t="str">
        <f>Tank4!F103</f>
        <v/>
      </c>
      <c r="V84">
        <f t="shared" si="97"/>
        <v>0</v>
      </c>
      <c r="W84">
        <f t="shared" si="97"/>
        <v>0</v>
      </c>
      <c r="Y84" s="8" t="str">
        <f>Tank5!A103</f>
        <v>AAAAA</v>
      </c>
      <c r="Z84" s="8" t="str">
        <f>Tank5!E103</f>
        <v/>
      </c>
      <c r="AA84" s="8" t="str">
        <f>Tank5!F103</f>
        <v/>
      </c>
      <c r="AB84">
        <f t="shared" si="98"/>
        <v>0</v>
      </c>
      <c r="AC84">
        <f t="shared" si="98"/>
        <v>0</v>
      </c>
      <c r="AE84" s="8" t="str">
        <f>Hidden!CC67</f>
        <v/>
      </c>
      <c r="AF84">
        <f t="shared" si="53"/>
        <v>0</v>
      </c>
      <c r="AG84">
        <f t="shared" si="54"/>
        <v>0</v>
      </c>
      <c r="AH84">
        <f t="shared" si="55"/>
        <v>0</v>
      </c>
      <c r="AI84">
        <f t="shared" si="56"/>
        <v>0</v>
      </c>
      <c r="AJ84">
        <f t="shared" si="57"/>
        <v>0</v>
      </c>
      <c r="AK84">
        <f t="shared" si="58"/>
        <v>0</v>
      </c>
      <c r="AL84">
        <f t="shared" si="59"/>
        <v>0</v>
      </c>
      <c r="AM84">
        <f t="shared" si="60"/>
        <v>0</v>
      </c>
      <c r="AN84">
        <f t="shared" si="61"/>
        <v>0</v>
      </c>
      <c r="AO84">
        <f t="shared" si="62"/>
        <v>0</v>
      </c>
      <c r="BJ84" s="8" t="str">
        <f>Tank1!A103</f>
        <v>AAAAA</v>
      </c>
      <c r="BK84" s="8" t="str">
        <f>Tank1!E103</f>
        <v/>
      </c>
      <c r="BL84" s="8" t="str">
        <f>Tank1!F103</f>
        <v/>
      </c>
      <c r="BM84" s="8">
        <f t="shared" si="63"/>
        <v>0</v>
      </c>
      <c r="BN84" s="8">
        <f t="shared" si="64"/>
        <v>0</v>
      </c>
      <c r="BO84" s="8"/>
      <c r="BP84" s="8" t="str">
        <f>Tank2!A103</f>
        <v>AAAAA</v>
      </c>
      <c r="BQ84" s="8" t="str">
        <f>Tank2!E103</f>
        <v/>
      </c>
      <c r="BR84" s="8" t="str">
        <f>Tank2!F103</f>
        <v/>
      </c>
      <c r="BS84" s="8">
        <f t="shared" si="65"/>
        <v>0</v>
      </c>
      <c r="BT84" s="8">
        <f t="shared" si="66"/>
        <v>0</v>
      </c>
      <c r="BU84" s="8"/>
      <c r="BV84" s="8" t="str">
        <f>Tank3!A103</f>
        <v>AAAAA</v>
      </c>
      <c r="BW84" s="8" t="str">
        <f>Tank3!E103</f>
        <v/>
      </c>
      <c r="BX84" s="8" t="str">
        <f>Tank3!F103</f>
        <v/>
      </c>
      <c r="BY84" s="8">
        <f t="shared" si="67"/>
        <v>0</v>
      </c>
      <c r="BZ84" s="8">
        <f t="shared" si="68"/>
        <v>0</v>
      </c>
      <c r="CA84" s="8"/>
      <c r="CB84" s="8" t="str">
        <f>Tank4!A103</f>
        <v>AAAAA</v>
      </c>
      <c r="CC84" s="8" t="str">
        <f>Tank4!E103</f>
        <v/>
      </c>
      <c r="CD84" s="8" t="str">
        <f>Tank4!F103</f>
        <v/>
      </c>
      <c r="CE84" s="8">
        <f t="shared" si="69"/>
        <v>0</v>
      </c>
      <c r="CF84" s="8">
        <f t="shared" si="70"/>
        <v>0</v>
      </c>
      <c r="CH84" s="8" t="str">
        <f>Tank5!A103</f>
        <v>AAAAA</v>
      </c>
      <c r="CI84" s="8" t="str">
        <f>Tank5!E103</f>
        <v/>
      </c>
      <c r="CJ84" s="8" t="str">
        <f>Tank5!F103</f>
        <v/>
      </c>
      <c r="CK84" s="8">
        <f t="shared" si="71"/>
        <v>0</v>
      </c>
      <c r="CL84" s="8">
        <f t="shared" si="72"/>
        <v>0</v>
      </c>
      <c r="CN84" s="8" t="str">
        <f>Hidden!$CC67</f>
        <v/>
      </c>
      <c r="CO84">
        <f t="shared" si="73"/>
        <v>0</v>
      </c>
      <c r="CP84">
        <f t="shared" si="74"/>
        <v>0</v>
      </c>
      <c r="CQ84">
        <f t="shared" si="75"/>
        <v>0</v>
      </c>
      <c r="CR84">
        <f t="shared" si="76"/>
        <v>0</v>
      </c>
      <c r="CS84">
        <f t="shared" si="77"/>
        <v>0</v>
      </c>
      <c r="CT84">
        <f t="shared" si="78"/>
        <v>0</v>
      </c>
      <c r="CU84">
        <f t="shared" si="79"/>
        <v>0</v>
      </c>
      <c r="CV84">
        <f t="shared" si="80"/>
        <v>0</v>
      </c>
      <c r="CW84">
        <f t="shared" si="81"/>
        <v>0</v>
      </c>
      <c r="CX84">
        <f t="shared" si="82"/>
        <v>0</v>
      </c>
      <c r="DT84" s="77"/>
      <c r="DU84" s="8" t="str">
        <f t="shared" si="99"/>
        <v>AAAAAA</v>
      </c>
      <c r="DV84" s="8" t="str">
        <f t="shared" si="100"/>
        <v/>
      </c>
      <c r="DW84" s="8" t="str">
        <f t="shared" si="101"/>
        <v/>
      </c>
      <c r="DX84">
        <f t="shared" si="102"/>
        <v>0</v>
      </c>
      <c r="DY84">
        <f t="shared" si="102"/>
        <v>0</v>
      </c>
      <c r="EA84" t="str">
        <f t="shared" si="103"/>
        <v>AAAAAA</v>
      </c>
      <c r="EB84" t="str">
        <f t="shared" si="104"/>
        <v/>
      </c>
      <c r="EC84" t="str">
        <f t="shared" si="105"/>
        <v/>
      </c>
      <c r="ED84">
        <f t="shared" si="106"/>
        <v>0</v>
      </c>
      <c r="EE84">
        <f t="shared" si="106"/>
        <v>0</v>
      </c>
      <c r="EG84" s="8" t="str">
        <f t="shared" si="107"/>
        <v>AAAAAA</v>
      </c>
      <c r="EH84" s="8" t="str">
        <f t="shared" si="108"/>
        <v/>
      </c>
      <c r="EI84" s="8" t="str">
        <f t="shared" si="109"/>
        <v/>
      </c>
      <c r="EJ84">
        <f t="shared" si="110"/>
        <v>0</v>
      </c>
      <c r="EK84">
        <f t="shared" si="110"/>
        <v>0</v>
      </c>
      <c r="EM84" s="8" t="str">
        <f t="shared" si="111"/>
        <v>AAAAAA</v>
      </c>
      <c r="EN84" s="8" t="str">
        <f t="shared" si="112"/>
        <v/>
      </c>
      <c r="EO84" s="8" t="str">
        <f t="shared" si="113"/>
        <v/>
      </c>
      <c r="EP84">
        <f t="shared" si="114"/>
        <v>0</v>
      </c>
      <c r="EQ84">
        <f t="shared" si="114"/>
        <v>0</v>
      </c>
      <c r="ES84" s="8" t="str">
        <f t="shared" si="115"/>
        <v>AAAAAA</v>
      </c>
      <c r="ET84" s="8" t="str">
        <f t="shared" si="116"/>
        <v/>
      </c>
      <c r="EU84" s="8" t="str">
        <f t="shared" si="117"/>
        <v/>
      </c>
      <c r="EV84">
        <f t="shared" si="118"/>
        <v>0</v>
      </c>
      <c r="EW84">
        <f t="shared" si="118"/>
        <v>0</v>
      </c>
      <c r="EY84" s="8" t="str">
        <f>Hidden!$CG78</f>
        <v/>
      </c>
      <c r="EZ84">
        <f t="shared" si="119"/>
        <v>0</v>
      </c>
      <c r="FA84">
        <f t="shared" si="120"/>
        <v>0</v>
      </c>
      <c r="FB84">
        <f t="shared" si="121"/>
        <v>0</v>
      </c>
      <c r="FC84">
        <f t="shared" si="122"/>
        <v>0</v>
      </c>
      <c r="FD84">
        <f t="shared" si="123"/>
        <v>0</v>
      </c>
      <c r="FE84">
        <f t="shared" si="124"/>
        <v>0</v>
      </c>
      <c r="FF84">
        <f t="shared" si="125"/>
        <v>0</v>
      </c>
      <c r="FG84">
        <f t="shared" si="126"/>
        <v>0</v>
      </c>
      <c r="FH84">
        <f t="shared" si="127"/>
        <v>0</v>
      </c>
      <c r="FI84">
        <f t="shared" si="128"/>
        <v>0</v>
      </c>
    </row>
    <row r="85" spans="1:165" x14ac:dyDescent="0.2">
      <c r="A85" s="8" t="str">
        <f>Tank1!A104</f>
        <v>AAAAAA</v>
      </c>
      <c r="B85" s="8" t="str">
        <f>Tank1!E104</f>
        <v/>
      </c>
      <c r="C85" s="8" t="str">
        <f>Tank1!F104</f>
        <v/>
      </c>
      <c r="D85" s="8">
        <f t="shared" ref="D85:E118" si="129">IF($C85="",0,$C85*D$17)</f>
        <v>0</v>
      </c>
      <c r="E85" s="8">
        <f t="shared" si="129"/>
        <v>0</v>
      </c>
      <c r="G85" s="8" t="str">
        <f>Tank2!A104</f>
        <v>AAAAAA</v>
      </c>
      <c r="H85" s="8" t="str">
        <f>Tank2!E104</f>
        <v/>
      </c>
      <c r="I85" s="8" t="str">
        <f>Tank2!F104</f>
        <v/>
      </c>
      <c r="J85">
        <f t="shared" ref="J85:K119" si="130">IF($I85="",0,$I85*J$17)</f>
        <v>0</v>
      </c>
      <c r="K85">
        <f t="shared" si="130"/>
        <v>0</v>
      </c>
      <c r="M85" s="8" t="str">
        <f>Tank3!A104</f>
        <v>AAAAAA</v>
      </c>
      <c r="N85" s="8" t="str">
        <f>Tank3!E104</f>
        <v/>
      </c>
      <c r="O85" s="8" t="str">
        <f>Tank3!F104</f>
        <v/>
      </c>
      <c r="P85">
        <f t="shared" ref="P85:Q119" si="131">IF($O85="",0,$O85*P$17)</f>
        <v>0</v>
      </c>
      <c r="Q85">
        <f t="shared" si="131"/>
        <v>0</v>
      </c>
      <c r="S85" s="8" t="str">
        <f>Tank4!A104</f>
        <v>AAAAAA</v>
      </c>
      <c r="T85" s="8" t="str">
        <f>Tank4!E104</f>
        <v/>
      </c>
      <c r="U85" s="8" t="str">
        <f>Tank4!F104</f>
        <v/>
      </c>
      <c r="V85">
        <f t="shared" ref="V85:W119" si="132">IF($U85="",0,$U85*V$17)</f>
        <v>0</v>
      </c>
      <c r="W85">
        <f t="shared" si="132"/>
        <v>0</v>
      </c>
      <c r="Y85" s="8" t="str">
        <f>Tank5!A104</f>
        <v>AAAAAA</v>
      </c>
      <c r="Z85" s="8" t="str">
        <f>Tank5!E104</f>
        <v/>
      </c>
      <c r="AA85" s="8" t="str">
        <f>Tank5!F104</f>
        <v/>
      </c>
      <c r="AB85">
        <f t="shared" ref="AB85:AC119" si="133">IF($AA85="",0,$AA85*AB$17)</f>
        <v>0</v>
      </c>
      <c r="AC85">
        <f t="shared" si="133"/>
        <v>0</v>
      </c>
      <c r="AE85" s="8" t="str">
        <f>Hidden!CC68</f>
        <v/>
      </c>
      <c r="AF85">
        <f t="shared" ref="AF85:AF119" si="134">IF($AF$17,_xlfn.MAXIFS($D$20:$D$119,$B$20:$B$119,$AE85),0)</f>
        <v>0</v>
      </c>
      <c r="AG85">
        <f t="shared" ref="AG85:AG119" si="135">IF($AG$17,_xlfn.MAXIFS($J$20:$J$119,$H$20:$H$119,$AE85),0)</f>
        <v>0</v>
      </c>
      <c r="AH85">
        <f t="shared" ref="AH85:AH119" si="136">IF($AH$17,_xlfn.MAXIFS($P$20:$P$119,$N$20:$N$119,$AE85),0)</f>
        <v>0</v>
      </c>
      <c r="AI85">
        <f t="shared" ref="AI85:AI119" si="137">IF($AI$17,_xlfn.MAXIFS($V$20:$V$119,$T$20:$T$119,$AE85),0)</f>
        <v>0</v>
      </c>
      <c r="AJ85">
        <f t="shared" ref="AJ85:AJ119" si="138">IF($AJ$17,_xlfn.MAXIFS($AB$20:$AB$119,$Z$20:$Z$119,$AE85),0)</f>
        <v>0</v>
      </c>
      <c r="AK85">
        <f t="shared" ref="AK85:AK119" si="139">IF($AK$17,_xlfn.MAXIFS($E$20:$E$119,$B$20:$B$119,$AE85),0)</f>
        <v>0</v>
      </c>
      <c r="AL85">
        <f t="shared" ref="AL85:AL119" si="140">IF($AL$17,_xlfn.MAXIFS($K$20:$K$119,$H$20:$H$119,$AE85),0)</f>
        <v>0</v>
      </c>
      <c r="AM85">
        <f t="shared" ref="AM85:AM119" si="141">IF($AM$17,_xlfn.MAXIFS($Q$20:$Q$119,$N$20:$N$119,$AE85),0)</f>
        <v>0</v>
      </c>
      <c r="AN85">
        <f t="shared" ref="AN85:AN119" si="142">IF($AN$17,_xlfn.MAXIFS($W$20:$W$119,$T$20:$T$119,$AE85),0)</f>
        <v>0</v>
      </c>
      <c r="AO85">
        <f t="shared" ref="AO85:AO119" si="143">IF($AO$17,_xlfn.MAXIFS($AC$20:$AC$119,$Z$20:$Z$119,$AE85),0)</f>
        <v>0</v>
      </c>
      <c r="BJ85" s="8" t="str">
        <f>Tank1!A104</f>
        <v>AAAAAA</v>
      </c>
      <c r="BK85" s="8" t="str">
        <f>Tank1!E104</f>
        <v/>
      </c>
      <c r="BL85" s="8" t="str">
        <f>Tank1!F104</f>
        <v/>
      </c>
      <c r="BM85" s="8">
        <f t="shared" ref="BM85:BM119" si="144">IF($BL85="",0,$BL85*BK$17)</f>
        <v>0</v>
      </c>
      <c r="BN85" s="8">
        <f t="shared" ref="BN85:BN119" si="145">IF($BL85="",0,$BL85*BL$17)</f>
        <v>0</v>
      </c>
      <c r="BO85" s="8"/>
      <c r="BP85" s="8" t="str">
        <f>Tank2!A104</f>
        <v>AAAAAA</v>
      </c>
      <c r="BQ85" s="8" t="str">
        <f>Tank2!E104</f>
        <v/>
      </c>
      <c r="BR85" s="8" t="str">
        <f>Tank2!F104</f>
        <v/>
      </c>
      <c r="BS85" s="8">
        <f t="shared" ref="BS85:BS119" si="146">IF($BR85="",0,$BR85*BQ$17)</f>
        <v>0</v>
      </c>
      <c r="BT85" s="8">
        <f t="shared" ref="BT85:BT119" si="147">IF($BR85="",0,$BR85*BR$17)</f>
        <v>0</v>
      </c>
      <c r="BU85" s="8"/>
      <c r="BV85" s="8" t="str">
        <f>Tank3!A104</f>
        <v>AAAAAA</v>
      </c>
      <c r="BW85" s="8" t="str">
        <f>Tank3!E104</f>
        <v/>
      </c>
      <c r="BX85" s="8" t="str">
        <f>Tank3!F104</f>
        <v/>
      </c>
      <c r="BY85" s="8">
        <f t="shared" ref="BY85:BY119" si="148">IF($BX85="",0,$BX85*BW$17)</f>
        <v>0</v>
      </c>
      <c r="BZ85" s="8">
        <f t="shared" ref="BZ85:BZ119" si="149">IF($BX85="",0,$BX85*BX$17)</f>
        <v>0</v>
      </c>
      <c r="CA85" s="8"/>
      <c r="CB85" s="8" t="str">
        <f>Tank4!A104</f>
        <v>AAAAAA</v>
      </c>
      <c r="CC85" s="8" t="str">
        <f>Tank4!E104</f>
        <v/>
      </c>
      <c r="CD85" s="8" t="str">
        <f>Tank4!F104</f>
        <v/>
      </c>
      <c r="CE85" s="8">
        <f t="shared" ref="CE85:CE119" si="150">IF($CD85="",0,$CD85*CC$17)</f>
        <v>0</v>
      </c>
      <c r="CF85" s="8">
        <f t="shared" ref="CF85:CF119" si="151">IF($CD85="",0,$CD85*CD$17)</f>
        <v>0</v>
      </c>
      <c r="CH85" s="8" t="str">
        <f>Tank5!A104</f>
        <v>AAAAAA</v>
      </c>
      <c r="CI85" s="8" t="str">
        <f>Tank5!E104</f>
        <v/>
      </c>
      <c r="CJ85" s="8" t="str">
        <f>Tank5!F104</f>
        <v/>
      </c>
      <c r="CK85" s="8">
        <f t="shared" ref="CK85:CK119" si="152">IF($CJ85="",0,$CJ85*CI$17)</f>
        <v>0</v>
      </c>
      <c r="CL85" s="8">
        <f t="shared" ref="CL85:CL119" si="153">IF($CJ85="",0,$CJ85*CJ$17)</f>
        <v>0</v>
      </c>
      <c r="CN85" s="8" t="str">
        <f>Hidden!$CC68</f>
        <v/>
      </c>
      <c r="CO85">
        <f t="shared" ref="CO85:CO119" si="154">IF(CO$17,_xlfn.MAXIFS($BM$20:$BM$119,$BK$20:$BK$119,$CN85),0)</f>
        <v>0</v>
      </c>
      <c r="CP85">
        <f t="shared" ref="CP85:CP119" si="155">IF(CP$17,_xlfn.MAXIFS($BS$20:$BS$119,$BQ$20:$BQ$119,$CN85),0)</f>
        <v>0</v>
      </c>
      <c r="CQ85">
        <f t="shared" ref="CQ85:CQ119" si="156">IF(CQ$17,_xlfn.MAXIFS($BY$20:$BY$119,$BW$20:$BW$119,$CN85),0)</f>
        <v>0</v>
      </c>
      <c r="CR85">
        <f t="shared" ref="CR85:CR119" si="157">IF(CR$17,_xlfn.MAXIFS($CE$20:$CE$119,$CC$20:$CC$119,$CN85),0)</f>
        <v>0</v>
      </c>
      <c r="CS85">
        <f t="shared" ref="CS85:CS119" si="158">IF(CS$17,_xlfn.MAXIFS($CK$20:$CK$119,$CI$20:$CI$119,$CN85),0)</f>
        <v>0</v>
      </c>
      <c r="CT85">
        <f t="shared" ref="CT85:CT119" si="159">IF(CT$17,SUMIF($BK$20:$BK$119,$CN85,$BN$20:$BN$119),0)</f>
        <v>0</v>
      </c>
      <c r="CU85">
        <f t="shared" ref="CU85:CU119" si="160">IF(CU$17,SUMIF($BQ$20:$BQ$119,$CN85,$BT$20:$BT$119),0)</f>
        <v>0</v>
      </c>
      <c r="CV85">
        <f t="shared" ref="CV85:CV119" si="161">IF(CV$17,SUMIF($BW$20:$BW$119,$CN85,$BZ$20:$BZ$119),0)</f>
        <v>0</v>
      </c>
      <c r="CW85">
        <f t="shared" ref="CW85:CW119" si="162">IF(CW$17,SUMIF($CC$20:$CC$119,$CN85,$CF$20:$CF$119),0)</f>
        <v>0</v>
      </c>
      <c r="CX85">
        <f t="shared" ref="CX85:CX119" si="163">IF(CX$17,SUMIF($CI$20:$CI$119,$CN85,$CL$20:$CL$119),0)</f>
        <v>0</v>
      </c>
      <c r="DT85" s="77"/>
      <c r="DU85" s="8" t="str">
        <f t="shared" si="99"/>
        <v>AAAAAAA</v>
      </c>
      <c r="DV85" s="8" t="str">
        <f t="shared" si="100"/>
        <v/>
      </c>
      <c r="DW85" s="8" t="str">
        <f t="shared" si="101"/>
        <v/>
      </c>
      <c r="DX85">
        <f t="shared" si="102"/>
        <v>0</v>
      </c>
      <c r="DY85">
        <f t="shared" si="102"/>
        <v>0</v>
      </c>
      <c r="EA85" t="str">
        <f t="shared" si="103"/>
        <v>AAAAAAA</v>
      </c>
      <c r="EB85" t="str">
        <f t="shared" si="104"/>
        <v/>
      </c>
      <c r="EC85" t="str">
        <f t="shared" si="105"/>
        <v/>
      </c>
      <c r="ED85">
        <f t="shared" si="106"/>
        <v>0</v>
      </c>
      <c r="EE85">
        <f t="shared" si="106"/>
        <v>0</v>
      </c>
      <c r="EG85" s="8" t="str">
        <f t="shared" si="107"/>
        <v>AAAAAAA</v>
      </c>
      <c r="EH85" s="8" t="str">
        <f t="shared" si="108"/>
        <v/>
      </c>
      <c r="EI85" s="8" t="str">
        <f t="shared" si="109"/>
        <v/>
      </c>
      <c r="EJ85">
        <f t="shared" si="110"/>
        <v>0</v>
      </c>
      <c r="EK85">
        <f t="shared" si="110"/>
        <v>0</v>
      </c>
      <c r="EM85" s="8" t="str">
        <f t="shared" si="111"/>
        <v>AAAAAAA</v>
      </c>
      <c r="EN85" s="8" t="str">
        <f t="shared" si="112"/>
        <v/>
      </c>
      <c r="EO85" s="8" t="str">
        <f t="shared" si="113"/>
        <v/>
      </c>
      <c r="EP85">
        <f t="shared" si="114"/>
        <v>0</v>
      </c>
      <c r="EQ85">
        <f t="shared" si="114"/>
        <v>0</v>
      </c>
      <c r="ES85" s="8" t="str">
        <f t="shared" si="115"/>
        <v>AAAAAAA</v>
      </c>
      <c r="ET85" s="8" t="str">
        <f t="shared" si="116"/>
        <v/>
      </c>
      <c r="EU85" s="8" t="str">
        <f t="shared" si="117"/>
        <v/>
      </c>
      <c r="EV85">
        <f t="shared" si="118"/>
        <v>0</v>
      </c>
      <c r="EW85">
        <f t="shared" si="118"/>
        <v>0</v>
      </c>
      <c r="EY85" s="8" t="str">
        <f>Hidden!$CG79</f>
        <v/>
      </c>
      <c r="EZ85">
        <f t="shared" si="119"/>
        <v>0</v>
      </c>
      <c r="FA85">
        <f t="shared" si="120"/>
        <v>0</v>
      </c>
      <c r="FB85">
        <f t="shared" si="121"/>
        <v>0</v>
      </c>
      <c r="FC85">
        <f t="shared" si="122"/>
        <v>0</v>
      </c>
      <c r="FD85">
        <f t="shared" si="123"/>
        <v>0</v>
      </c>
      <c r="FE85">
        <f t="shared" si="124"/>
        <v>0</v>
      </c>
      <c r="FF85">
        <f t="shared" si="125"/>
        <v>0</v>
      </c>
      <c r="FG85">
        <f t="shared" si="126"/>
        <v>0</v>
      </c>
      <c r="FH85">
        <f t="shared" si="127"/>
        <v>0</v>
      </c>
      <c r="FI85">
        <f t="shared" si="128"/>
        <v>0</v>
      </c>
    </row>
    <row r="86" spans="1:165" ht="28.5" x14ac:dyDescent="0.2">
      <c r="A86" s="8" t="str">
        <f>Tank1!A105</f>
        <v>AAAAAAA</v>
      </c>
      <c r="B86" s="8" t="str">
        <f>Tank1!E105</f>
        <v/>
      </c>
      <c r="C86" s="8" t="str">
        <f>Tank1!F105</f>
        <v/>
      </c>
      <c r="D86" s="8">
        <f t="shared" si="129"/>
        <v>0</v>
      </c>
      <c r="E86" s="8">
        <f t="shared" si="129"/>
        <v>0</v>
      </c>
      <c r="G86" s="8" t="str">
        <f>Tank2!A105</f>
        <v>AAAAAAA</v>
      </c>
      <c r="H86" s="8" t="str">
        <f>Tank2!E105</f>
        <v/>
      </c>
      <c r="I86" s="8" t="str">
        <f>Tank2!F105</f>
        <v/>
      </c>
      <c r="J86">
        <f t="shared" si="130"/>
        <v>0</v>
      </c>
      <c r="K86">
        <f t="shared" si="130"/>
        <v>0</v>
      </c>
      <c r="M86" s="8" t="str">
        <f>Tank3!A105</f>
        <v>AAAAAAA</v>
      </c>
      <c r="N86" s="8" t="str">
        <f>Tank3!E105</f>
        <v/>
      </c>
      <c r="O86" s="8" t="str">
        <f>Tank3!F105</f>
        <v/>
      </c>
      <c r="P86">
        <f t="shared" si="131"/>
        <v>0</v>
      </c>
      <c r="Q86">
        <f t="shared" si="131"/>
        <v>0</v>
      </c>
      <c r="S86" s="8" t="str">
        <f>Tank4!A105</f>
        <v>AAAAAAA</v>
      </c>
      <c r="T86" s="8" t="str">
        <f>Tank4!E105</f>
        <v/>
      </c>
      <c r="U86" s="8" t="str">
        <f>Tank4!F105</f>
        <v/>
      </c>
      <c r="V86">
        <f t="shared" si="132"/>
        <v>0</v>
      </c>
      <c r="W86">
        <f t="shared" si="132"/>
        <v>0</v>
      </c>
      <c r="Y86" s="8" t="str">
        <f>Tank5!A105</f>
        <v>AAAAAAA</v>
      </c>
      <c r="Z86" s="8" t="str">
        <f>Tank5!E105</f>
        <v/>
      </c>
      <c r="AA86" s="8" t="str">
        <f>Tank5!F105</f>
        <v/>
      </c>
      <c r="AB86">
        <f t="shared" si="133"/>
        <v>0</v>
      </c>
      <c r="AC86">
        <f t="shared" si="133"/>
        <v>0</v>
      </c>
      <c r="AE86" s="8" t="str">
        <f>Hidden!CC69</f>
        <v/>
      </c>
      <c r="AF86">
        <f t="shared" si="134"/>
        <v>0</v>
      </c>
      <c r="AG86">
        <f t="shared" si="135"/>
        <v>0</v>
      </c>
      <c r="AH86">
        <f t="shared" si="136"/>
        <v>0</v>
      </c>
      <c r="AI86">
        <f t="shared" si="137"/>
        <v>0</v>
      </c>
      <c r="AJ86">
        <f t="shared" si="138"/>
        <v>0</v>
      </c>
      <c r="AK86">
        <f t="shared" si="139"/>
        <v>0</v>
      </c>
      <c r="AL86">
        <f t="shared" si="140"/>
        <v>0</v>
      </c>
      <c r="AM86">
        <f t="shared" si="141"/>
        <v>0</v>
      </c>
      <c r="AN86">
        <f t="shared" si="142"/>
        <v>0</v>
      </c>
      <c r="AO86">
        <f t="shared" si="143"/>
        <v>0</v>
      </c>
      <c r="BJ86" s="8" t="str">
        <f>Tank1!A105</f>
        <v>AAAAAAA</v>
      </c>
      <c r="BK86" s="8" t="str">
        <f>Tank1!E105</f>
        <v/>
      </c>
      <c r="BL86" s="8" t="str">
        <f>Tank1!F105</f>
        <v/>
      </c>
      <c r="BM86" s="8">
        <f t="shared" si="144"/>
        <v>0</v>
      </c>
      <c r="BN86" s="8">
        <f t="shared" si="145"/>
        <v>0</v>
      </c>
      <c r="BO86" s="8"/>
      <c r="BP86" s="8" t="str">
        <f>Tank2!A105</f>
        <v>AAAAAAA</v>
      </c>
      <c r="BQ86" s="8" t="str">
        <f>Tank2!E105</f>
        <v/>
      </c>
      <c r="BR86" s="8" t="str">
        <f>Tank2!F105</f>
        <v/>
      </c>
      <c r="BS86" s="8">
        <f t="shared" si="146"/>
        <v>0</v>
      </c>
      <c r="BT86" s="8">
        <f t="shared" si="147"/>
        <v>0</v>
      </c>
      <c r="BU86" s="8"/>
      <c r="BV86" s="8" t="str">
        <f>Tank3!A105</f>
        <v>AAAAAAA</v>
      </c>
      <c r="BW86" s="8" t="str">
        <f>Tank3!E105</f>
        <v/>
      </c>
      <c r="BX86" s="8" t="str">
        <f>Tank3!F105</f>
        <v/>
      </c>
      <c r="BY86" s="8">
        <f t="shared" si="148"/>
        <v>0</v>
      </c>
      <c r="BZ86" s="8">
        <f t="shared" si="149"/>
        <v>0</v>
      </c>
      <c r="CA86" s="8"/>
      <c r="CB86" s="8" t="str">
        <f>Tank4!A105</f>
        <v>AAAAAAA</v>
      </c>
      <c r="CC86" s="8" t="str">
        <f>Tank4!E105</f>
        <v/>
      </c>
      <c r="CD86" s="8" t="str">
        <f>Tank4!F105</f>
        <v/>
      </c>
      <c r="CE86" s="8">
        <f t="shared" si="150"/>
        <v>0</v>
      </c>
      <c r="CF86" s="8">
        <f t="shared" si="151"/>
        <v>0</v>
      </c>
      <c r="CH86" s="8" t="str">
        <f>Tank5!A105</f>
        <v>AAAAAAA</v>
      </c>
      <c r="CI86" s="8" t="str">
        <f>Tank5!E105</f>
        <v/>
      </c>
      <c r="CJ86" s="8" t="str">
        <f>Tank5!F105</f>
        <v/>
      </c>
      <c r="CK86" s="8">
        <f t="shared" si="152"/>
        <v>0</v>
      </c>
      <c r="CL86" s="8">
        <f t="shared" si="153"/>
        <v>0</v>
      </c>
      <c r="CN86" s="8" t="str">
        <f>Hidden!$CC69</f>
        <v/>
      </c>
      <c r="CO86">
        <f t="shared" si="154"/>
        <v>0</v>
      </c>
      <c r="CP86">
        <f t="shared" si="155"/>
        <v>0</v>
      </c>
      <c r="CQ86">
        <f t="shared" si="156"/>
        <v>0</v>
      </c>
      <c r="CR86">
        <f t="shared" si="157"/>
        <v>0</v>
      </c>
      <c r="CS86">
        <f t="shared" si="158"/>
        <v>0</v>
      </c>
      <c r="CT86">
        <f t="shared" si="159"/>
        <v>0</v>
      </c>
      <c r="CU86">
        <f t="shared" si="160"/>
        <v>0</v>
      </c>
      <c r="CV86">
        <f t="shared" si="161"/>
        <v>0</v>
      </c>
      <c r="CW86">
        <f t="shared" si="162"/>
        <v>0</v>
      </c>
      <c r="CX86">
        <f t="shared" si="163"/>
        <v>0</v>
      </c>
      <c r="DT86" s="77"/>
      <c r="DU86" s="8" t="str">
        <f t="shared" si="99"/>
        <v>AAAAAAAA</v>
      </c>
      <c r="DV86" s="8" t="str">
        <f t="shared" si="100"/>
        <v/>
      </c>
      <c r="DW86" s="8" t="str">
        <f t="shared" si="101"/>
        <v/>
      </c>
      <c r="DX86">
        <f t="shared" si="102"/>
        <v>0</v>
      </c>
      <c r="DY86">
        <f t="shared" si="102"/>
        <v>0</v>
      </c>
      <c r="EA86" t="str">
        <f t="shared" si="103"/>
        <v>AAAAAAAA</v>
      </c>
      <c r="EB86" t="str">
        <f t="shared" si="104"/>
        <v/>
      </c>
      <c r="EC86" t="str">
        <f t="shared" si="105"/>
        <v/>
      </c>
      <c r="ED86">
        <f t="shared" si="106"/>
        <v>0</v>
      </c>
      <c r="EE86">
        <f t="shared" si="106"/>
        <v>0</v>
      </c>
      <c r="EG86" s="8" t="str">
        <f t="shared" si="107"/>
        <v>AAAAAAAA</v>
      </c>
      <c r="EH86" s="8" t="str">
        <f t="shared" si="108"/>
        <v/>
      </c>
      <c r="EI86" s="8" t="str">
        <f t="shared" si="109"/>
        <v/>
      </c>
      <c r="EJ86">
        <f t="shared" si="110"/>
        <v>0</v>
      </c>
      <c r="EK86">
        <f t="shared" si="110"/>
        <v>0</v>
      </c>
      <c r="EM86" s="8" t="str">
        <f t="shared" si="111"/>
        <v>AAAAAAAA</v>
      </c>
      <c r="EN86" s="8" t="str">
        <f t="shared" si="112"/>
        <v/>
      </c>
      <c r="EO86" s="8" t="str">
        <f t="shared" si="113"/>
        <v/>
      </c>
      <c r="EP86">
        <f t="shared" si="114"/>
        <v>0</v>
      </c>
      <c r="EQ86">
        <f t="shared" si="114"/>
        <v>0</v>
      </c>
      <c r="ES86" s="8" t="str">
        <f t="shared" si="115"/>
        <v>AAAAAAAA</v>
      </c>
      <c r="ET86" s="8" t="str">
        <f t="shared" si="116"/>
        <v/>
      </c>
      <c r="EU86" s="8" t="str">
        <f t="shared" si="117"/>
        <v/>
      </c>
      <c r="EV86">
        <f t="shared" si="118"/>
        <v>0</v>
      </c>
      <c r="EW86">
        <f t="shared" si="118"/>
        <v>0</v>
      </c>
      <c r="EY86" s="8" t="str">
        <f>Hidden!$CG80</f>
        <v/>
      </c>
      <c r="EZ86">
        <f t="shared" si="119"/>
        <v>0</v>
      </c>
      <c r="FA86">
        <f t="shared" si="120"/>
        <v>0</v>
      </c>
      <c r="FB86">
        <f t="shared" si="121"/>
        <v>0</v>
      </c>
      <c r="FC86">
        <f t="shared" si="122"/>
        <v>0</v>
      </c>
      <c r="FD86">
        <f t="shared" si="123"/>
        <v>0</v>
      </c>
      <c r="FE86">
        <f t="shared" si="124"/>
        <v>0</v>
      </c>
      <c r="FF86">
        <f t="shared" si="125"/>
        <v>0</v>
      </c>
      <c r="FG86">
        <f t="shared" si="126"/>
        <v>0</v>
      </c>
      <c r="FH86">
        <f t="shared" si="127"/>
        <v>0</v>
      </c>
      <c r="FI86">
        <f t="shared" si="128"/>
        <v>0</v>
      </c>
    </row>
    <row r="87" spans="1:165" ht="28.5" x14ac:dyDescent="0.2">
      <c r="A87" s="8" t="str">
        <f>Tank1!A106</f>
        <v>AAAAAAAA</v>
      </c>
      <c r="B87" s="8" t="str">
        <f>Tank1!E106</f>
        <v/>
      </c>
      <c r="C87" s="8" t="str">
        <f>Tank1!F106</f>
        <v/>
      </c>
      <c r="D87" s="8">
        <f t="shared" si="129"/>
        <v>0</v>
      </c>
      <c r="E87" s="8">
        <f t="shared" si="129"/>
        <v>0</v>
      </c>
      <c r="G87" s="8" t="str">
        <f>Tank2!A106</f>
        <v>AAAAAAAA</v>
      </c>
      <c r="H87" s="8" t="str">
        <f>Tank2!E106</f>
        <v/>
      </c>
      <c r="I87" s="8" t="str">
        <f>Tank2!F106</f>
        <v/>
      </c>
      <c r="J87">
        <f t="shared" si="130"/>
        <v>0</v>
      </c>
      <c r="K87">
        <f t="shared" si="130"/>
        <v>0</v>
      </c>
      <c r="M87" s="8" t="str">
        <f>Tank3!A106</f>
        <v>AAAAAAAA</v>
      </c>
      <c r="N87" s="8" t="str">
        <f>Tank3!E106</f>
        <v/>
      </c>
      <c r="O87" s="8" t="str">
        <f>Tank3!F106</f>
        <v/>
      </c>
      <c r="P87">
        <f t="shared" si="131"/>
        <v>0</v>
      </c>
      <c r="Q87">
        <f t="shared" si="131"/>
        <v>0</v>
      </c>
      <c r="S87" s="8" t="str">
        <f>Tank4!A106</f>
        <v>AAAAAAAA</v>
      </c>
      <c r="T87" s="8" t="str">
        <f>Tank4!E106</f>
        <v/>
      </c>
      <c r="U87" s="8" t="str">
        <f>Tank4!F106</f>
        <v/>
      </c>
      <c r="V87">
        <f t="shared" si="132"/>
        <v>0</v>
      </c>
      <c r="W87">
        <f t="shared" si="132"/>
        <v>0</v>
      </c>
      <c r="Y87" s="8" t="str">
        <f>Tank5!A106</f>
        <v>AAAAAAAA</v>
      </c>
      <c r="Z87" s="8" t="str">
        <f>Tank5!E106</f>
        <v/>
      </c>
      <c r="AA87" s="8" t="str">
        <f>Tank5!F106</f>
        <v/>
      </c>
      <c r="AB87">
        <f t="shared" si="133"/>
        <v>0</v>
      </c>
      <c r="AC87">
        <f t="shared" si="133"/>
        <v>0</v>
      </c>
      <c r="AE87" s="8" t="str">
        <f>Hidden!CC70</f>
        <v/>
      </c>
      <c r="AF87">
        <f t="shared" si="134"/>
        <v>0</v>
      </c>
      <c r="AG87">
        <f t="shared" si="135"/>
        <v>0</v>
      </c>
      <c r="AH87">
        <f t="shared" si="136"/>
        <v>0</v>
      </c>
      <c r="AI87">
        <f t="shared" si="137"/>
        <v>0</v>
      </c>
      <c r="AJ87">
        <f t="shared" si="138"/>
        <v>0</v>
      </c>
      <c r="AK87">
        <f t="shared" si="139"/>
        <v>0</v>
      </c>
      <c r="AL87">
        <f t="shared" si="140"/>
        <v>0</v>
      </c>
      <c r="AM87">
        <f t="shared" si="141"/>
        <v>0</v>
      </c>
      <c r="AN87">
        <f t="shared" si="142"/>
        <v>0</v>
      </c>
      <c r="AO87">
        <f t="shared" si="143"/>
        <v>0</v>
      </c>
      <c r="BJ87" s="8" t="str">
        <f>Tank1!A106</f>
        <v>AAAAAAAA</v>
      </c>
      <c r="BK87" s="8" t="str">
        <f>Tank1!E106</f>
        <v/>
      </c>
      <c r="BL87" s="8" t="str">
        <f>Tank1!F106</f>
        <v/>
      </c>
      <c r="BM87" s="8">
        <f t="shared" si="144"/>
        <v>0</v>
      </c>
      <c r="BN87" s="8">
        <f t="shared" si="145"/>
        <v>0</v>
      </c>
      <c r="BO87" s="8"/>
      <c r="BP87" s="8" t="str">
        <f>Tank2!A106</f>
        <v>AAAAAAAA</v>
      </c>
      <c r="BQ87" s="8" t="str">
        <f>Tank2!E106</f>
        <v/>
      </c>
      <c r="BR87" s="8" t="str">
        <f>Tank2!F106</f>
        <v/>
      </c>
      <c r="BS87" s="8">
        <f t="shared" si="146"/>
        <v>0</v>
      </c>
      <c r="BT87" s="8">
        <f t="shared" si="147"/>
        <v>0</v>
      </c>
      <c r="BU87" s="8"/>
      <c r="BV87" s="8" t="str">
        <f>Tank3!A106</f>
        <v>AAAAAAAA</v>
      </c>
      <c r="BW87" s="8" t="str">
        <f>Tank3!E106</f>
        <v/>
      </c>
      <c r="BX87" s="8" t="str">
        <f>Tank3!F106</f>
        <v/>
      </c>
      <c r="BY87" s="8">
        <f t="shared" si="148"/>
        <v>0</v>
      </c>
      <c r="BZ87" s="8">
        <f t="shared" si="149"/>
        <v>0</v>
      </c>
      <c r="CA87" s="8"/>
      <c r="CB87" s="8" t="str">
        <f>Tank4!A106</f>
        <v>AAAAAAAA</v>
      </c>
      <c r="CC87" s="8" t="str">
        <f>Tank4!E106</f>
        <v/>
      </c>
      <c r="CD87" s="8" t="str">
        <f>Tank4!F106</f>
        <v/>
      </c>
      <c r="CE87" s="8">
        <f t="shared" si="150"/>
        <v>0</v>
      </c>
      <c r="CF87" s="8">
        <f t="shared" si="151"/>
        <v>0</v>
      </c>
      <c r="CH87" s="8" t="str">
        <f>Tank5!A106</f>
        <v>AAAAAAAA</v>
      </c>
      <c r="CI87" s="8" t="str">
        <f>Tank5!E106</f>
        <v/>
      </c>
      <c r="CJ87" s="8" t="str">
        <f>Tank5!F106</f>
        <v/>
      </c>
      <c r="CK87" s="8">
        <f t="shared" si="152"/>
        <v>0</v>
      </c>
      <c r="CL87" s="8">
        <f t="shared" si="153"/>
        <v>0</v>
      </c>
      <c r="CN87" s="8" t="str">
        <f>Hidden!$CC70</f>
        <v/>
      </c>
      <c r="CO87">
        <f t="shared" si="154"/>
        <v>0</v>
      </c>
      <c r="CP87">
        <f t="shared" si="155"/>
        <v>0</v>
      </c>
      <c r="CQ87">
        <f t="shared" si="156"/>
        <v>0</v>
      </c>
      <c r="CR87">
        <f t="shared" si="157"/>
        <v>0</v>
      </c>
      <c r="CS87">
        <f t="shared" si="158"/>
        <v>0</v>
      </c>
      <c r="CT87">
        <f t="shared" si="159"/>
        <v>0</v>
      </c>
      <c r="CU87">
        <f t="shared" si="160"/>
        <v>0</v>
      </c>
      <c r="CV87">
        <f t="shared" si="161"/>
        <v>0</v>
      </c>
      <c r="CW87">
        <f t="shared" si="162"/>
        <v>0</v>
      </c>
      <c r="CX87">
        <f t="shared" si="163"/>
        <v>0</v>
      </c>
      <c r="DT87" s="77"/>
      <c r="DU87" s="8" t="str">
        <f t="shared" si="99"/>
        <v>AAAAAAAAA</v>
      </c>
      <c r="DV87" s="8" t="str">
        <f t="shared" si="100"/>
        <v/>
      </c>
      <c r="DW87" s="8" t="str">
        <f t="shared" si="101"/>
        <v/>
      </c>
      <c r="DX87">
        <f t="shared" si="102"/>
        <v>0</v>
      </c>
      <c r="DY87">
        <f t="shared" si="102"/>
        <v>0</v>
      </c>
      <c r="EA87" t="str">
        <f t="shared" si="103"/>
        <v>AAAAAAAAA</v>
      </c>
      <c r="EB87" t="str">
        <f t="shared" si="104"/>
        <v/>
      </c>
      <c r="EC87" t="str">
        <f t="shared" si="105"/>
        <v/>
      </c>
      <c r="ED87">
        <f t="shared" si="106"/>
        <v>0</v>
      </c>
      <c r="EE87">
        <f t="shared" si="106"/>
        <v>0</v>
      </c>
      <c r="EG87" s="8" t="str">
        <f t="shared" si="107"/>
        <v>AAAAAAAAA</v>
      </c>
      <c r="EH87" s="8" t="str">
        <f t="shared" si="108"/>
        <v/>
      </c>
      <c r="EI87" s="8" t="str">
        <f t="shared" si="109"/>
        <v/>
      </c>
      <c r="EJ87">
        <f t="shared" si="110"/>
        <v>0</v>
      </c>
      <c r="EK87">
        <f t="shared" si="110"/>
        <v>0</v>
      </c>
      <c r="EM87" s="8" t="str">
        <f t="shared" si="111"/>
        <v>AAAAAAAAA</v>
      </c>
      <c r="EN87" s="8" t="str">
        <f t="shared" si="112"/>
        <v/>
      </c>
      <c r="EO87" s="8" t="str">
        <f t="shared" si="113"/>
        <v/>
      </c>
      <c r="EP87">
        <f t="shared" si="114"/>
        <v>0</v>
      </c>
      <c r="EQ87">
        <f t="shared" si="114"/>
        <v>0</v>
      </c>
      <c r="ES87" s="8" t="str">
        <f t="shared" si="115"/>
        <v>AAAAAAAAA</v>
      </c>
      <c r="ET87" s="8" t="str">
        <f t="shared" si="116"/>
        <v/>
      </c>
      <c r="EU87" s="8" t="str">
        <f t="shared" si="117"/>
        <v/>
      </c>
      <c r="EV87">
        <f t="shared" si="118"/>
        <v>0</v>
      </c>
      <c r="EW87">
        <f t="shared" si="118"/>
        <v>0</v>
      </c>
      <c r="EY87" s="8" t="str">
        <f>Hidden!$CG81</f>
        <v/>
      </c>
      <c r="EZ87">
        <f t="shared" si="119"/>
        <v>0</v>
      </c>
      <c r="FA87">
        <f t="shared" si="120"/>
        <v>0</v>
      </c>
      <c r="FB87">
        <f t="shared" si="121"/>
        <v>0</v>
      </c>
      <c r="FC87">
        <f t="shared" si="122"/>
        <v>0</v>
      </c>
      <c r="FD87">
        <f t="shared" si="123"/>
        <v>0</v>
      </c>
      <c r="FE87">
        <f t="shared" si="124"/>
        <v>0</v>
      </c>
      <c r="FF87">
        <f t="shared" si="125"/>
        <v>0</v>
      </c>
      <c r="FG87">
        <f t="shared" si="126"/>
        <v>0</v>
      </c>
      <c r="FH87">
        <f t="shared" si="127"/>
        <v>0</v>
      </c>
      <c r="FI87">
        <f t="shared" si="128"/>
        <v>0</v>
      </c>
    </row>
    <row r="88" spans="1:165" ht="28.5" x14ac:dyDescent="0.2">
      <c r="A88" s="8" t="str">
        <f>Tank1!A107</f>
        <v>AAAAAAAAA</v>
      </c>
      <c r="B88" s="8" t="str">
        <f>Tank1!E107</f>
        <v/>
      </c>
      <c r="C88" s="8" t="str">
        <f>Tank1!F107</f>
        <v/>
      </c>
      <c r="D88" s="8">
        <f t="shared" si="129"/>
        <v>0</v>
      </c>
      <c r="E88" s="8">
        <f t="shared" si="129"/>
        <v>0</v>
      </c>
      <c r="G88" s="8" t="str">
        <f>Tank2!A107</f>
        <v>AAAAAAAAA</v>
      </c>
      <c r="H88" s="8" t="str">
        <f>Tank2!E107</f>
        <v/>
      </c>
      <c r="I88" s="8" t="str">
        <f>Tank2!F107</f>
        <v/>
      </c>
      <c r="J88">
        <f t="shared" si="130"/>
        <v>0</v>
      </c>
      <c r="K88">
        <f t="shared" si="130"/>
        <v>0</v>
      </c>
      <c r="M88" s="8" t="str">
        <f>Tank3!A107</f>
        <v>AAAAAAAAA</v>
      </c>
      <c r="N88" s="8" t="str">
        <f>Tank3!E107</f>
        <v/>
      </c>
      <c r="O88" s="8" t="str">
        <f>Tank3!F107</f>
        <v/>
      </c>
      <c r="P88">
        <f t="shared" si="131"/>
        <v>0</v>
      </c>
      <c r="Q88">
        <f t="shared" si="131"/>
        <v>0</v>
      </c>
      <c r="S88" s="8" t="str">
        <f>Tank4!A107</f>
        <v>AAAAAAAAA</v>
      </c>
      <c r="T88" s="8" t="str">
        <f>Tank4!E107</f>
        <v/>
      </c>
      <c r="U88" s="8" t="str">
        <f>Tank4!F107</f>
        <v/>
      </c>
      <c r="V88">
        <f t="shared" si="132"/>
        <v>0</v>
      </c>
      <c r="W88">
        <f t="shared" si="132"/>
        <v>0</v>
      </c>
      <c r="Y88" s="8" t="str">
        <f>Tank5!A107</f>
        <v>AAAAAAAAA</v>
      </c>
      <c r="Z88" s="8" t="str">
        <f>Tank5!E107</f>
        <v/>
      </c>
      <c r="AA88" s="8" t="str">
        <f>Tank5!F107</f>
        <v/>
      </c>
      <c r="AB88">
        <f t="shared" si="133"/>
        <v>0</v>
      </c>
      <c r="AC88">
        <f t="shared" si="133"/>
        <v>0</v>
      </c>
      <c r="AE88" s="8" t="str">
        <f>Hidden!CC71</f>
        <v/>
      </c>
      <c r="AF88">
        <f t="shared" si="134"/>
        <v>0</v>
      </c>
      <c r="AG88">
        <f t="shared" si="135"/>
        <v>0</v>
      </c>
      <c r="AH88">
        <f t="shared" si="136"/>
        <v>0</v>
      </c>
      <c r="AI88">
        <f t="shared" si="137"/>
        <v>0</v>
      </c>
      <c r="AJ88">
        <f t="shared" si="138"/>
        <v>0</v>
      </c>
      <c r="AK88">
        <f t="shared" si="139"/>
        <v>0</v>
      </c>
      <c r="AL88">
        <f t="shared" si="140"/>
        <v>0</v>
      </c>
      <c r="AM88">
        <f t="shared" si="141"/>
        <v>0</v>
      </c>
      <c r="AN88">
        <f t="shared" si="142"/>
        <v>0</v>
      </c>
      <c r="AO88">
        <f t="shared" si="143"/>
        <v>0</v>
      </c>
      <c r="BJ88" s="8" t="str">
        <f>Tank1!A107</f>
        <v>AAAAAAAAA</v>
      </c>
      <c r="BK88" s="8" t="str">
        <f>Tank1!E107</f>
        <v/>
      </c>
      <c r="BL88" s="8" t="str">
        <f>Tank1!F107</f>
        <v/>
      </c>
      <c r="BM88" s="8">
        <f t="shared" si="144"/>
        <v>0</v>
      </c>
      <c r="BN88" s="8">
        <f t="shared" si="145"/>
        <v>0</v>
      </c>
      <c r="BO88" s="8"/>
      <c r="BP88" s="8" t="str">
        <f>Tank2!A107</f>
        <v>AAAAAAAAA</v>
      </c>
      <c r="BQ88" s="8" t="str">
        <f>Tank2!E107</f>
        <v/>
      </c>
      <c r="BR88" s="8" t="str">
        <f>Tank2!F107</f>
        <v/>
      </c>
      <c r="BS88" s="8">
        <f t="shared" si="146"/>
        <v>0</v>
      </c>
      <c r="BT88" s="8">
        <f t="shared" si="147"/>
        <v>0</v>
      </c>
      <c r="BU88" s="8"/>
      <c r="BV88" s="8" t="str">
        <f>Tank3!A107</f>
        <v>AAAAAAAAA</v>
      </c>
      <c r="BW88" s="8" t="str">
        <f>Tank3!E107</f>
        <v/>
      </c>
      <c r="BX88" s="8" t="str">
        <f>Tank3!F107</f>
        <v/>
      </c>
      <c r="BY88" s="8">
        <f t="shared" si="148"/>
        <v>0</v>
      </c>
      <c r="BZ88" s="8">
        <f t="shared" si="149"/>
        <v>0</v>
      </c>
      <c r="CA88" s="8"/>
      <c r="CB88" s="8" t="str">
        <f>Tank4!A107</f>
        <v>AAAAAAAAA</v>
      </c>
      <c r="CC88" s="8" t="str">
        <f>Tank4!E107</f>
        <v/>
      </c>
      <c r="CD88" s="8" t="str">
        <f>Tank4!F107</f>
        <v/>
      </c>
      <c r="CE88" s="8">
        <f t="shared" si="150"/>
        <v>0</v>
      </c>
      <c r="CF88" s="8">
        <f t="shared" si="151"/>
        <v>0</v>
      </c>
      <c r="CH88" s="8" t="str">
        <f>Tank5!A107</f>
        <v>AAAAAAAAA</v>
      </c>
      <c r="CI88" s="8" t="str">
        <f>Tank5!E107</f>
        <v/>
      </c>
      <c r="CJ88" s="8" t="str">
        <f>Tank5!F107</f>
        <v/>
      </c>
      <c r="CK88" s="8">
        <f t="shared" si="152"/>
        <v>0</v>
      </c>
      <c r="CL88" s="8">
        <f t="shared" si="153"/>
        <v>0</v>
      </c>
      <c r="CN88" s="8" t="str">
        <f>Hidden!$CC71</f>
        <v/>
      </c>
      <c r="CO88">
        <f t="shared" si="154"/>
        <v>0</v>
      </c>
      <c r="CP88">
        <f t="shared" si="155"/>
        <v>0</v>
      </c>
      <c r="CQ88">
        <f t="shared" si="156"/>
        <v>0</v>
      </c>
      <c r="CR88">
        <f t="shared" si="157"/>
        <v>0</v>
      </c>
      <c r="CS88">
        <f t="shared" si="158"/>
        <v>0</v>
      </c>
      <c r="CT88">
        <f t="shared" si="159"/>
        <v>0</v>
      </c>
      <c r="CU88">
        <f t="shared" si="160"/>
        <v>0</v>
      </c>
      <c r="CV88">
        <f t="shared" si="161"/>
        <v>0</v>
      </c>
      <c r="CW88">
        <f t="shared" si="162"/>
        <v>0</v>
      </c>
      <c r="CX88">
        <f t="shared" si="163"/>
        <v>0</v>
      </c>
      <c r="DT88" s="77"/>
      <c r="DU88" s="8" t="str">
        <f t="shared" si="99"/>
        <v>AAAAAAAAAA</v>
      </c>
      <c r="DV88" s="8" t="str">
        <f t="shared" si="100"/>
        <v/>
      </c>
      <c r="DW88" s="8" t="str">
        <f t="shared" si="101"/>
        <v/>
      </c>
      <c r="DX88">
        <f t="shared" si="102"/>
        <v>0</v>
      </c>
      <c r="DY88">
        <f t="shared" si="102"/>
        <v>0</v>
      </c>
      <c r="EA88" t="str">
        <f t="shared" si="103"/>
        <v>AAAAAAAAAA</v>
      </c>
      <c r="EB88" t="str">
        <f t="shared" si="104"/>
        <v/>
      </c>
      <c r="EC88" t="str">
        <f t="shared" si="105"/>
        <v/>
      </c>
      <c r="ED88">
        <f t="shared" si="106"/>
        <v>0</v>
      </c>
      <c r="EE88">
        <f t="shared" si="106"/>
        <v>0</v>
      </c>
      <c r="EG88" s="8" t="str">
        <f t="shared" si="107"/>
        <v>AAAAAAAAAA</v>
      </c>
      <c r="EH88" s="8" t="str">
        <f t="shared" si="108"/>
        <v/>
      </c>
      <c r="EI88" s="8" t="str">
        <f t="shared" si="109"/>
        <v/>
      </c>
      <c r="EJ88">
        <f t="shared" si="110"/>
        <v>0</v>
      </c>
      <c r="EK88">
        <f t="shared" si="110"/>
        <v>0</v>
      </c>
      <c r="EM88" s="8" t="str">
        <f t="shared" si="111"/>
        <v>AAAAAAAAAA</v>
      </c>
      <c r="EN88" s="8" t="str">
        <f t="shared" si="112"/>
        <v/>
      </c>
      <c r="EO88" s="8" t="str">
        <f t="shared" si="113"/>
        <v/>
      </c>
      <c r="EP88">
        <f t="shared" si="114"/>
        <v>0</v>
      </c>
      <c r="EQ88">
        <f t="shared" si="114"/>
        <v>0</v>
      </c>
      <c r="ES88" s="8" t="str">
        <f t="shared" si="115"/>
        <v>AAAAAAAAAA</v>
      </c>
      <c r="ET88" s="8" t="str">
        <f t="shared" si="116"/>
        <v/>
      </c>
      <c r="EU88" s="8" t="str">
        <f t="shared" si="117"/>
        <v/>
      </c>
      <c r="EV88">
        <f t="shared" si="118"/>
        <v>0</v>
      </c>
      <c r="EW88">
        <f t="shared" si="118"/>
        <v>0</v>
      </c>
      <c r="EY88" s="8" t="str">
        <f>Hidden!$CG82</f>
        <v/>
      </c>
      <c r="EZ88">
        <f t="shared" si="119"/>
        <v>0</v>
      </c>
      <c r="FA88">
        <f t="shared" si="120"/>
        <v>0</v>
      </c>
      <c r="FB88">
        <f t="shared" si="121"/>
        <v>0</v>
      </c>
      <c r="FC88">
        <f t="shared" si="122"/>
        <v>0</v>
      </c>
      <c r="FD88">
        <f t="shared" si="123"/>
        <v>0</v>
      </c>
      <c r="FE88">
        <f t="shared" si="124"/>
        <v>0</v>
      </c>
      <c r="FF88">
        <f t="shared" si="125"/>
        <v>0</v>
      </c>
      <c r="FG88">
        <f t="shared" si="126"/>
        <v>0</v>
      </c>
      <c r="FH88">
        <f t="shared" si="127"/>
        <v>0</v>
      </c>
      <c r="FI88">
        <f t="shared" si="128"/>
        <v>0</v>
      </c>
    </row>
    <row r="89" spans="1:165" x14ac:dyDescent="0.2">
      <c r="A89" s="8" t="str">
        <f>Tank1!A108</f>
        <v>AAAAAAAAAA</v>
      </c>
      <c r="B89" s="8" t="str">
        <f>Tank1!E108</f>
        <v/>
      </c>
      <c r="C89" s="8" t="str">
        <f>Tank1!F108</f>
        <v/>
      </c>
      <c r="D89" s="8">
        <f t="shared" si="129"/>
        <v>0</v>
      </c>
      <c r="E89" s="8">
        <f t="shared" si="129"/>
        <v>0</v>
      </c>
      <c r="G89" s="8" t="str">
        <f>Tank2!A108</f>
        <v>AAAAAAAAAA</v>
      </c>
      <c r="H89" s="8" t="str">
        <f>Tank2!E108</f>
        <v/>
      </c>
      <c r="I89" s="8" t="str">
        <f>Tank2!F108</f>
        <v/>
      </c>
      <c r="J89">
        <f t="shared" si="130"/>
        <v>0</v>
      </c>
      <c r="K89">
        <f t="shared" si="130"/>
        <v>0</v>
      </c>
      <c r="M89" s="8" t="str">
        <f>Tank3!A108</f>
        <v>AAAAAAAAAA</v>
      </c>
      <c r="N89" s="8" t="str">
        <f>Tank3!E108</f>
        <v/>
      </c>
      <c r="O89" s="8" t="str">
        <f>Tank3!F108</f>
        <v/>
      </c>
      <c r="P89">
        <f t="shared" si="131"/>
        <v>0</v>
      </c>
      <c r="Q89">
        <f t="shared" si="131"/>
        <v>0</v>
      </c>
      <c r="S89" s="8" t="str">
        <f>Tank4!A108</f>
        <v>AAAAAAAAAA</v>
      </c>
      <c r="T89" s="8" t="str">
        <f>Tank4!E108</f>
        <v/>
      </c>
      <c r="U89" s="8" t="str">
        <f>Tank4!F108</f>
        <v/>
      </c>
      <c r="V89">
        <f t="shared" si="132"/>
        <v>0</v>
      </c>
      <c r="W89">
        <f t="shared" si="132"/>
        <v>0</v>
      </c>
      <c r="Y89" s="8" t="str">
        <f>Tank5!A108</f>
        <v>AAAAAAAAAA</v>
      </c>
      <c r="Z89" s="8" t="str">
        <f>Tank5!E108</f>
        <v/>
      </c>
      <c r="AA89" s="8" t="str">
        <f>Tank5!F108</f>
        <v/>
      </c>
      <c r="AB89">
        <f t="shared" si="133"/>
        <v>0</v>
      </c>
      <c r="AC89">
        <f t="shared" si="133"/>
        <v>0</v>
      </c>
      <c r="AE89" s="8" t="str">
        <f>Hidden!CC72</f>
        <v/>
      </c>
      <c r="AF89">
        <f t="shared" si="134"/>
        <v>0</v>
      </c>
      <c r="AG89">
        <f t="shared" si="135"/>
        <v>0</v>
      </c>
      <c r="AH89">
        <f t="shared" si="136"/>
        <v>0</v>
      </c>
      <c r="AI89">
        <f t="shared" si="137"/>
        <v>0</v>
      </c>
      <c r="AJ89">
        <f t="shared" si="138"/>
        <v>0</v>
      </c>
      <c r="AK89">
        <f t="shared" si="139"/>
        <v>0</v>
      </c>
      <c r="AL89">
        <f t="shared" si="140"/>
        <v>0</v>
      </c>
      <c r="AM89">
        <f t="shared" si="141"/>
        <v>0</v>
      </c>
      <c r="AN89">
        <f t="shared" si="142"/>
        <v>0</v>
      </c>
      <c r="AO89">
        <f t="shared" si="143"/>
        <v>0</v>
      </c>
      <c r="BJ89" s="8" t="str">
        <f>Tank1!A108</f>
        <v>AAAAAAAAAA</v>
      </c>
      <c r="BK89" s="8" t="str">
        <f>Tank1!E108</f>
        <v/>
      </c>
      <c r="BL89" s="8" t="str">
        <f>Tank1!F108</f>
        <v/>
      </c>
      <c r="BM89" s="8">
        <f t="shared" si="144"/>
        <v>0</v>
      </c>
      <c r="BN89" s="8">
        <f t="shared" si="145"/>
        <v>0</v>
      </c>
      <c r="BO89" s="8"/>
      <c r="BP89" s="8" t="str">
        <f>Tank2!A108</f>
        <v>AAAAAAAAAA</v>
      </c>
      <c r="BQ89" s="8" t="str">
        <f>Tank2!E108</f>
        <v/>
      </c>
      <c r="BR89" s="8" t="str">
        <f>Tank2!F108</f>
        <v/>
      </c>
      <c r="BS89" s="8">
        <f t="shared" si="146"/>
        <v>0</v>
      </c>
      <c r="BT89" s="8">
        <f t="shared" si="147"/>
        <v>0</v>
      </c>
      <c r="BU89" s="8"/>
      <c r="BV89" s="8" t="str">
        <f>Tank3!A108</f>
        <v>AAAAAAAAAA</v>
      </c>
      <c r="BW89" s="8" t="str">
        <f>Tank3!E108</f>
        <v/>
      </c>
      <c r="BX89" s="8" t="str">
        <f>Tank3!F108</f>
        <v/>
      </c>
      <c r="BY89" s="8">
        <f t="shared" si="148"/>
        <v>0</v>
      </c>
      <c r="BZ89" s="8">
        <f t="shared" si="149"/>
        <v>0</v>
      </c>
      <c r="CA89" s="8"/>
      <c r="CB89" s="8" t="str">
        <f>Tank4!A108</f>
        <v>AAAAAAAAAA</v>
      </c>
      <c r="CC89" s="8" t="str">
        <f>Tank4!E108</f>
        <v/>
      </c>
      <c r="CD89" s="8" t="str">
        <f>Tank4!F108</f>
        <v/>
      </c>
      <c r="CE89" s="8">
        <f t="shared" si="150"/>
        <v>0</v>
      </c>
      <c r="CF89" s="8">
        <f t="shared" si="151"/>
        <v>0</v>
      </c>
      <c r="CH89" s="8" t="str">
        <f>Tank5!A108</f>
        <v>AAAAAAAAAA</v>
      </c>
      <c r="CI89" s="8" t="str">
        <f>Tank5!E108</f>
        <v/>
      </c>
      <c r="CJ89" s="8" t="str">
        <f>Tank5!F108</f>
        <v/>
      </c>
      <c r="CK89" s="8">
        <f t="shared" si="152"/>
        <v>0</v>
      </c>
      <c r="CL89" s="8">
        <f t="shared" si="153"/>
        <v>0</v>
      </c>
      <c r="CN89" s="8" t="str">
        <f>Hidden!$CC72</f>
        <v/>
      </c>
      <c r="CO89">
        <f t="shared" si="154"/>
        <v>0</v>
      </c>
      <c r="CP89">
        <f t="shared" si="155"/>
        <v>0</v>
      </c>
      <c r="CQ89">
        <f t="shared" si="156"/>
        <v>0</v>
      </c>
      <c r="CR89">
        <f t="shared" si="157"/>
        <v>0</v>
      </c>
      <c r="CS89">
        <f t="shared" si="158"/>
        <v>0</v>
      </c>
      <c r="CT89">
        <f t="shared" si="159"/>
        <v>0</v>
      </c>
      <c r="CU89">
        <f t="shared" si="160"/>
        <v>0</v>
      </c>
      <c r="CV89">
        <f t="shared" si="161"/>
        <v>0</v>
      </c>
      <c r="CW89">
        <f t="shared" si="162"/>
        <v>0</v>
      </c>
      <c r="CX89">
        <f t="shared" si="163"/>
        <v>0</v>
      </c>
      <c r="DT89" s="77"/>
      <c r="DU89" s="8" t="str">
        <f t="shared" si="99"/>
        <v>A</v>
      </c>
      <c r="DV89" s="8" t="str">
        <f t="shared" si="100"/>
        <v/>
      </c>
      <c r="DW89" s="8" t="str">
        <f t="shared" si="101"/>
        <v/>
      </c>
      <c r="DX89">
        <f t="shared" si="102"/>
        <v>0</v>
      </c>
      <c r="DY89">
        <f t="shared" si="102"/>
        <v>0</v>
      </c>
      <c r="EA89" t="str">
        <f t="shared" si="103"/>
        <v>A</v>
      </c>
      <c r="EB89" t="str">
        <f t="shared" si="104"/>
        <v/>
      </c>
      <c r="EC89" t="str">
        <f t="shared" si="105"/>
        <v/>
      </c>
      <c r="ED89">
        <f t="shared" si="106"/>
        <v>0</v>
      </c>
      <c r="EE89">
        <f t="shared" si="106"/>
        <v>0</v>
      </c>
      <c r="EG89" s="8" t="str">
        <f t="shared" si="107"/>
        <v>A</v>
      </c>
      <c r="EH89" s="8" t="str">
        <f t="shared" si="108"/>
        <v/>
      </c>
      <c r="EI89" s="8" t="str">
        <f t="shared" si="109"/>
        <v/>
      </c>
      <c r="EJ89">
        <f t="shared" si="110"/>
        <v>0</v>
      </c>
      <c r="EK89">
        <f t="shared" si="110"/>
        <v>0</v>
      </c>
      <c r="EM89" s="8" t="str">
        <f t="shared" si="111"/>
        <v>A</v>
      </c>
      <c r="EN89" s="8" t="str">
        <f t="shared" si="112"/>
        <v/>
      </c>
      <c r="EO89" s="8" t="str">
        <f t="shared" si="113"/>
        <v/>
      </c>
      <c r="EP89">
        <f t="shared" si="114"/>
        <v>0</v>
      </c>
      <c r="EQ89">
        <f t="shared" si="114"/>
        <v>0</v>
      </c>
      <c r="ES89" s="8" t="str">
        <f t="shared" si="115"/>
        <v>A</v>
      </c>
      <c r="ET89" s="8" t="str">
        <f t="shared" si="116"/>
        <v/>
      </c>
      <c r="EU89" s="8" t="str">
        <f t="shared" si="117"/>
        <v/>
      </c>
      <c r="EV89">
        <f t="shared" si="118"/>
        <v>0</v>
      </c>
      <c r="EW89">
        <f t="shared" si="118"/>
        <v>0</v>
      </c>
      <c r="EY89" s="8" t="str">
        <f>Hidden!$CG83</f>
        <v/>
      </c>
      <c r="EZ89">
        <f t="shared" si="119"/>
        <v>0</v>
      </c>
      <c r="FA89">
        <f t="shared" si="120"/>
        <v>0</v>
      </c>
      <c r="FB89">
        <f t="shared" si="121"/>
        <v>0</v>
      </c>
      <c r="FC89">
        <f t="shared" si="122"/>
        <v>0</v>
      </c>
      <c r="FD89">
        <f t="shared" si="123"/>
        <v>0</v>
      </c>
      <c r="FE89">
        <f t="shared" si="124"/>
        <v>0</v>
      </c>
      <c r="FF89">
        <f t="shared" si="125"/>
        <v>0</v>
      </c>
      <c r="FG89">
        <f t="shared" si="126"/>
        <v>0</v>
      </c>
      <c r="FH89">
        <f t="shared" si="127"/>
        <v>0</v>
      </c>
      <c r="FI89">
        <f t="shared" si="128"/>
        <v>0</v>
      </c>
    </row>
    <row r="90" spans="1:165" x14ac:dyDescent="0.2">
      <c r="A90" s="8" t="str">
        <f>Tank1!A110</f>
        <v>A</v>
      </c>
      <c r="B90" s="8" t="str">
        <f>Tank1!E110</f>
        <v/>
      </c>
      <c r="C90" s="8" t="str">
        <f>Tank1!F110</f>
        <v/>
      </c>
      <c r="D90" s="8">
        <f t="shared" si="129"/>
        <v>0</v>
      </c>
      <c r="E90" s="8">
        <f t="shared" si="129"/>
        <v>0</v>
      </c>
      <c r="G90" s="8" t="str">
        <f>Tank2!A110</f>
        <v>A</v>
      </c>
      <c r="H90" s="8" t="str">
        <f>Tank2!E110</f>
        <v/>
      </c>
      <c r="I90" s="8" t="str">
        <f>Tank2!F110</f>
        <v/>
      </c>
      <c r="J90">
        <f t="shared" si="130"/>
        <v>0</v>
      </c>
      <c r="K90">
        <f t="shared" si="130"/>
        <v>0</v>
      </c>
      <c r="M90" s="8" t="str">
        <f>Tank3!A110</f>
        <v>A</v>
      </c>
      <c r="N90" s="8" t="str">
        <f>Tank3!E110</f>
        <v/>
      </c>
      <c r="O90" s="8" t="str">
        <f>Tank3!F110</f>
        <v/>
      </c>
      <c r="P90">
        <f t="shared" si="131"/>
        <v>0</v>
      </c>
      <c r="Q90">
        <f t="shared" si="131"/>
        <v>0</v>
      </c>
      <c r="S90" s="8" t="str">
        <f>Tank4!A110</f>
        <v>A</v>
      </c>
      <c r="T90" s="8" t="str">
        <f>Tank4!E110</f>
        <v/>
      </c>
      <c r="U90" s="8" t="str">
        <f>Tank4!F110</f>
        <v/>
      </c>
      <c r="V90">
        <f t="shared" si="132"/>
        <v>0</v>
      </c>
      <c r="W90">
        <f t="shared" si="132"/>
        <v>0</v>
      </c>
      <c r="Y90" s="8" t="str">
        <f>Tank5!A110</f>
        <v>A</v>
      </c>
      <c r="Z90" s="8" t="str">
        <f>Tank5!E110</f>
        <v/>
      </c>
      <c r="AA90" s="8" t="str">
        <f>Tank5!F110</f>
        <v/>
      </c>
      <c r="AB90">
        <f t="shared" si="133"/>
        <v>0</v>
      </c>
      <c r="AC90">
        <f t="shared" si="133"/>
        <v>0</v>
      </c>
      <c r="AE90" s="8" t="str">
        <f>Hidden!CC73</f>
        <v/>
      </c>
      <c r="AF90">
        <f t="shared" si="134"/>
        <v>0</v>
      </c>
      <c r="AG90">
        <f t="shared" si="135"/>
        <v>0</v>
      </c>
      <c r="AH90">
        <f t="shared" si="136"/>
        <v>0</v>
      </c>
      <c r="AI90">
        <f t="shared" si="137"/>
        <v>0</v>
      </c>
      <c r="AJ90">
        <f t="shared" si="138"/>
        <v>0</v>
      </c>
      <c r="AK90">
        <f t="shared" si="139"/>
        <v>0</v>
      </c>
      <c r="AL90">
        <f t="shared" si="140"/>
        <v>0</v>
      </c>
      <c r="AM90">
        <f t="shared" si="141"/>
        <v>0</v>
      </c>
      <c r="AN90">
        <f t="shared" si="142"/>
        <v>0</v>
      </c>
      <c r="AO90">
        <f t="shared" si="143"/>
        <v>0</v>
      </c>
      <c r="BJ90" s="8" t="str">
        <f>Tank1!A110</f>
        <v>A</v>
      </c>
      <c r="BK90" s="8" t="str">
        <f>Tank1!E110</f>
        <v/>
      </c>
      <c r="BL90" s="8" t="str">
        <f>Tank1!F110</f>
        <v/>
      </c>
      <c r="BM90" s="8">
        <f t="shared" si="144"/>
        <v>0</v>
      </c>
      <c r="BN90" s="8">
        <f t="shared" si="145"/>
        <v>0</v>
      </c>
      <c r="BO90" s="8"/>
      <c r="BP90" s="8" t="str">
        <f>Tank2!A110</f>
        <v>A</v>
      </c>
      <c r="BQ90" s="8" t="str">
        <f>Tank2!E110</f>
        <v/>
      </c>
      <c r="BR90" s="8" t="str">
        <f>Tank2!F110</f>
        <v/>
      </c>
      <c r="BS90" s="8">
        <f t="shared" si="146"/>
        <v>0</v>
      </c>
      <c r="BT90" s="8">
        <f t="shared" si="147"/>
        <v>0</v>
      </c>
      <c r="BU90" s="8"/>
      <c r="BV90" s="8" t="str">
        <f>Tank3!A110</f>
        <v>A</v>
      </c>
      <c r="BW90" s="8" t="str">
        <f>Tank3!E110</f>
        <v/>
      </c>
      <c r="BX90" s="8" t="str">
        <f>Tank3!F110</f>
        <v/>
      </c>
      <c r="BY90" s="8">
        <f t="shared" si="148"/>
        <v>0</v>
      </c>
      <c r="BZ90" s="8">
        <f t="shared" si="149"/>
        <v>0</v>
      </c>
      <c r="CA90" s="8"/>
      <c r="CB90" s="8" t="str">
        <f>Tank4!A110</f>
        <v>A</v>
      </c>
      <c r="CC90" s="8" t="str">
        <f>Tank4!E110</f>
        <v/>
      </c>
      <c r="CD90" s="8" t="str">
        <f>Tank4!F110</f>
        <v/>
      </c>
      <c r="CE90" s="8">
        <f t="shared" si="150"/>
        <v>0</v>
      </c>
      <c r="CF90" s="8">
        <f t="shared" si="151"/>
        <v>0</v>
      </c>
      <c r="CH90" s="8" t="str">
        <f>Tank5!A110</f>
        <v>A</v>
      </c>
      <c r="CI90" s="8" t="str">
        <f>Tank5!E110</f>
        <v/>
      </c>
      <c r="CJ90" s="8" t="str">
        <f>Tank5!F110</f>
        <v/>
      </c>
      <c r="CK90" s="8">
        <f t="shared" si="152"/>
        <v>0</v>
      </c>
      <c r="CL90" s="8">
        <f t="shared" si="153"/>
        <v>0</v>
      </c>
      <c r="CN90" s="8" t="str">
        <f>Hidden!$CC73</f>
        <v/>
      </c>
      <c r="CO90">
        <f t="shared" si="154"/>
        <v>0</v>
      </c>
      <c r="CP90">
        <f t="shared" si="155"/>
        <v>0</v>
      </c>
      <c r="CQ90">
        <f t="shared" si="156"/>
        <v>0</v>
      </c>
      <c r="CR90">
        <f t="shared" si="157"/>
        <v>0</v>
      </c>
      <c r="CS90">
        <f t="shared" si="158"/>
        <v>0</v>
      </c>
      <c r="CT90">
        <f t="shared" si="159"/>
        <v>0</v>
      </c>
      <c r="CU90">
        <f t="shared" si="160"/>
        <v>0</v>
      </c>
      <c r="CV90">
        <f t="shared" si="161"/>
        <v>0</v>
      </c>
      <c r="CW90">
        <f t="shared" si="162"/>
        <v>0</v>
      </c>
      <c r="CX90">
        <f t="shared" si="163"/>
        <v>0</v>
      </c>
      <c r="DT90" s="77"/>
      <c r="DU90" s="8" t="str">
        <f t="shared" si="99"/>
        <v>AA</v>
      </c>
      <c r="DV90" s="8" t="str">
        <f t="shared" si="100"/>
        <v/>
      </c>
      <c r="DW90" s="8" t="str">
        <f t="shared" si="101"/>
        <v/>
      </c>
      <c r="DX90">
        <f t="shared" si="102"/>
        <v>0</v>
      </c>
      <c r="DY90">
        <f t="shared" si="102"/>
        <v>0</v>
      </c>
      <c r="EA90" t="str">
        <f t="shared" si="103"/>
        <v>AA</v>
      </c>
      <c r="EB90" t="str">
        <f t="shared" si="104"/>
        <v/>
      </c>
      <c r="EC90" t="str">
        <f t="shared" si="105"/>
        <v/>
      </c>
      <c r="ED90">
        <f t="shared" si="106"/>
        <v>0</v>
      </c>
      <c r="EE90">
        <f t="shared" si="106"/>
        <v>0</v>
      </c>
      <c r="EG90" s="8" t="str">
        <f t="shared" si="107"/>
        <v>AA</v>
      </c>
      <c r="EH90" s="8" t="str">
        <f t="shared" si="108"/>
        <v/>
      </c>
      <c r="EI90" s="8" t="str">
        <f t="shared" si="109"/>
        <v/>
      </c>
      <c r="EJ90">
        <f t="shared" si="110"/>
        <v>0</v>
      </c>
      <c r="EK90">
        <f t="shared" si="110"/>
        <v>0</v>
      </c>
      <c r="EM90" s="8" t="str">
        <f t="shared" si="111"/>
        <v>AA</v>
      </c>
      <c r="EN90" s="8" t="str">
        <f t="shared" si="112"/>
        <v/>
      </c>
      <c r="EO90" s="8" t="str">
        <f t="shared" si="113"/>
        <v/>
      </c>
      <c r="EP90">
        <f t="shared" si="114"/>
        <v>0</v>
      </c>
      <c r="EQ90">
        <f t="shared" si="114"/>
        <v>0</v>
      </c>
      <c r="ES90" s="8" t="str">
        <f t="shared" si="115"/>
        <v>AA</v>
      </c>
      <c r="ET90" s="8" t="str">
        <f t="shared" si="116"/>
        <v/>
      </c>
      <c r="EU90" s="8" t="str">
        <f t="shared" si="117"/>
        <v/>
      </c>
      <c r="EV90">
        <f t="shared" si="118"/>
        <v>0</v>
      </c>
      <c r="EW90">
        <f t="shared" si="118"/>
        <v>0</v>
      </c>
      <c r="EY90" s="8" t="str">
        <f>Hidden!$CG84</f>
        <v/>
      </c>
      <c r="EZ90">
        <f t="shared" si="119"/>
        <v>0</v>
      </c>
      <c r="FA90">
        <f t="shared" si="120"/>
        <v>0</v>
      </c>
      <c r="FB90">
        <f t="shared" si="121"/>
        <v>0</v>
      </c>
      <c r="FC90">
        <f t="shared" si="122"/>
        <v>0</v>
      </c>
      <c r="FD90">
        <f t="shared" si="123"/>
        <v>0</v>
      </c>
      <c r="FE90">
        <f t="shared" si="124"/>
        <v>0</v>
      </c>
      <c r="FF90">
        <f t="shared" si="125"/>
        <v>0</v>
      </c>
      <c r="FG90">
        <f t="shared" si="126"/>
        <v>0</v>
      </c>
      <c r="FH90">
        <f t="shared" si="127"/>
        <v>0</v>
      </c>
      <c r="FI90">
        <f t="shared" si="128"/>
        <v>0</v>
      </c>
    </row>
    <row r="91" spans="1:165" x14ac:dyDescent="0.2">
      <c r="A91" s="8" t="str">
        <f>Tank1!A111</f>
        <v>AA</v>
      </c>
      <c r="B91" s="8" t="str">
        <f>Tank1!E111</f>
        <v/>
      </c>
      <c r="C91" s="8" t="str">
        <f>Tank1!F111</f>
        <v/>
      </c>
      <c r="D91" s="8">
        <f t="shared" si="129"/>
        <v>0</v>
      </c>
      <c r="E91" s="8">
        <f t="shared" si="129"/>
        <v>0</v>
      </c>
      <c r="G91" s="8" t="str">
        <f>Tank2!A111</f>
        <v>AA</v>
      </c>
      <c r="H91" s="8" t="str">
        <f>Tank2!E111</f>
        <v/>
      </c>
      <c r="I91" s="8" t="str">
        <f>Tank2!F111</f>
        <v/>
      </c>
      <c r="J91">
        <f t="shared" si="130"/>
        <v>0</v>
      </c>
      <c r="K91">
        <f t="shared" si="130"/>
        <v>0</v>
      </c>
      <c r="M91" s="8" t="str">
        <f>Tank3!A111</f>
        <v>AA</v>
      </c>
      <c r="N91" s="8" t="str">
        <f>Tank3!E111</f>
        <v/>
      </c>
      <c r="O91" s="8" t="str">
        <f>Tank3!F111</f>
        <v/>
      </c>
      <c r="P91">
        <f t="shared" si="131"/>
        <v>0</v>
      </c>
      <c r="Q91">
        <f t="shared" si="131"/>
        <v>0</v>
      </c>
      <c r="S91" s="8" t="str">
        <f>Tank4!A111</f>
        <v>AA</v>
      </c>
      <c r="T91" s="8" t="str">
        <f>Tank4!E111</f>
        <v/>
      </c>
      <c r="U91" s="8" t="str">
        <f>Tank4!F111</f>
        <v/>
      </c>
      <c r="V91">
        <f t="shared" si="132"/>
        <v>0</v>
      </c>
      <c r="W91">
        <f t="shared" si="132"/>
        <v>0</v>
      </c>
      <c r="Y91" s="8" t="str">
        <f>Tank5!A111</f>
        <v>AA</v>
      </c>
      <c r="Z91" s="8" t="str">
        <f>Tank5!E111</f>
        <v/>
      </c>
      <c r="AA91" s="8" t="str">
        <f>Tank5!F111</f>
        <v/>
      </c>
      <c r="AB91">
        <f t="shared" si="133"/>
        <v>0</v>
      </c>
      <c r="AC91">
        <f t="shared" si="133"/>
        <v>0</v>
      </c>
      <c r="AE91" s="8" t="str">
        <f>Hidden!CC74</f>
        <v/>
      </c>
      <c r="AF91">
        <f t="shared" si="134"/>
        <v>0</v>
      </c>
      <c r="AG91">
        <f t="shared" si="135"/>
        <v>0</v>
      </c>
      <c r="AH91">
        <f t="shared" si="136"/>
        <v>0</v>
      </c>
      <c r="AI91">
        <f t="shared" si="137"/>
        <v>0</v>
      </c>
      <c r="AJ91">
        <f t="shared" si="138"/>
        <v>0</v>
      </c>
      <c r="AK91">
        <f t="shared" si="139"/>
        <v>0</v>
      </c>
      <c r="AL91">
        <f t="shared" si="140"/>
        <v>0</v>
      </c>
      <c r="AM91">
        <f t="shared" si="141"/>
        <v>0</v>
      </c>
      <c r="AN91">
        <f t="shared" si="142"/>
        <v>0</v>
      </c>
      <c r="AO91">
        <f t="shared" si="143"/>
        <v>0</v>
      </c>
      <c r="BJ91" s="8" t="str">
        <f>Tank1!A111</f>
        <v>AA</v>
      </c>
      <c r="BK91" s="8" t="str">
        <f>Tank1!E111</f>
        <v/>
      </c>
      <c r="BL91" s="8" t="str">
        <f>Tank1!F111</f>
        <v/>
      </c>
      <c r="BM91" s="8">
        <f t="shared" si="144"/>
        <v>0</v>
      </c>
      <c r="BN91" s="8">
        <f t="shared" si="145"/>
        <v>0</v>
      </c>
      <c r="BO91" s="8"/>
      <c r="BP91" s="8" t="str">
        <f>Tank2!A111</f>
        <v>AA</v>
      </c>
      <c r="BQ91" s="8" t="str">
        <f>Tank2!E111</f>
        <v/>
      </c>
      <c r="BR91" s="8" t="str">
        <f>Tank2!F111</f>
        <v/>
      </c>
      <c r="BS91" s="8">
        <f t="shared" si="146"/>
        <v>0</v>
      </c>
      <c r="BT91" s="8">
        <f t="shared" si="147"/>
        <v>0</v>
      </c>
      <c r="BU91" s="8"/>
      <c r="BV91" s="8" t="str">
        <f>Tank3!A111</f>
        <v>AA</v>
      </c>
      <c r="BW91" s="8" t="str">
        <f>Tank3!E111</f>
        <v/>
      </c>
      <c r="BX91" s="8" t="str">
        <f>Tank3!F111</f>
        <v/>
      </c>
      <c r="BY91" s="8">
        <f t="shared" si="148"/>
        <v>0</v>
      </c>
      <c r="BZ91" s="8">
        <f t="shared" si="149"/>
        <v>0</v>
      </c>
      <c r="CA91" s="8"/>
      <c r="CB91" s="8" t="str">
        <f>Tank4!A111</f>
        <v>AA</v>
      </c>
      <c r="CC91" s="8" t="str">
        <f>Tank4!E111</f>
        <v/>
      </c>
      <c r="CD91" s="8" t="str">
        <f>Tank4!F111</f>
        <v/>
      </c>
      <c r="CE91" s="8">
        <f t="shared" si="150"/>
        <v>0</v>
      </c>
      <c r="CF91" s="8">
        <f t="shared" si="151"/>
        <v>0</v>
      </c>
      <c r="CH91" s="8" t="str">
        <f>Tank5!A111</f>
        <v>AA</v>
      </c>
      <c r="CI91" s="8" t="str">
        <f>Tank5!E111</f>
        <v/>
      </c>
      <c r="CJ91" s="8" t="str">
        <f>Tank5!F111</f>
        <v/>
      </c>
      <c r="CK91" s="8">
        <f t="shared" si="152"/>
        <v>0</v>
      </c>
      <c r="CL91" s="8">
        <f t="shared" si="153"/>
        <v>0</v>
      </c>
      <c r="CN91" s="8" t="str">
        <f>Hidden!$CC74</f>
        <v/>
      </c>
      <c r="CO91">
        <f t="shared" si="154"/>
        <v>0</v>
      </c>
      <c r="CP91">
        <f t="shared" si="155"/>
        <v>0</v>
      </c>
      <c r="CQ91">
        <f t="shared" si="156"/>
        <v>0</v>
      </c>
      <c r="CR91">
        <f t="shared" si="157"/>
        <v>0</v>
      </c>
      <c r="CS91">
        <f t="shared" si="158"/>
        <v>0</v>
      </c>
      <c r="CT91">
        <f t="shared" si="159"/>
        <v>0</v>
      </c>
      <c r="CU91">
        <f t="shared" si="160"/>
        <v>0</v>
      </c>
      <c r="CV91">
        <f t="shared" si="161"/>
        <v>0</v>
      </c>
      <c r="CW91">
        <f t="shared" si="162"/>
        <v>0</v>
      </c>
      <c r="CX91">
        <f t="shared" si="163"/>
        <v>0</v>
      </c>
      <c r="DT91" s="77"/>
      <c r="DU91" s="8" t="str">
        <f t="shared" ref="DU91:DU108" si="164">A102</f>
        <v>AAA</v>
      </c>
      <c r="DV91" s="8" t="str">
        <f t="shared" ref="DV91:DV108" si="165">B102</f>
        <v/>
      </c>
      <c r="DW91" s="8" t="str">
        <f t="shared" ref="DW91:DW108" si="166">C102</f>
        <v/>
      </c>
      <c r="DX91">
        <f t="shared" si="102"/>
        <v>0</v>
      </c>
      <c r="DY91">
        <f t="shared" si="102"/>
        <v>0</v>
      </c>
      <c r="EA91" t="str">
        <f t="shared" si="103"/>
        <v>AAA</v>
      </c>
      <c r="EB91" t="str">
        <f t="shared" si="104"/>
        <v/>
      </c>
      <c r="EC91" t="str">
        <f t="shared" si="105"/>
        <v/>
      </c>
      <c r="ED91">
        <f t="shared" si="106"/>
        <v>0</v>
      </c>
      <c r="EE91">
        <f t="shared" si="106"/>
        <v>0</v>
      </c>
      <c r="EG91" s="8" t="str">
        <f t="shared" si="107"/>
        <v>AAA</v>
      </c>
      <c r="EH91" s="8" t="str">
        <f t="shared" si="108"/>
        <v/>
      </c>
      <c r="EI91" s="8" t="str">
        <f t="shared" si="109"/>
        <v/>
      </c>
      <c r="EJ91">
        <f t="shared" si="110"/>
        <v>0</v>
      </c>
      <c r="EK91">
        <f t="shared" si="110"/>
        <v>0</v>
      </c>
      <c r="EM91" s="8" t="str">
        <f t="shared" si="111"/>
        <v>AAA</v>
      </c>
      <c r="EN91" s="8" t="str">
        <f t="shared" si="112"/>
        <v/>
      </c>
      <c r="EO91" s="8" t="str">
        <f t="shared" si="113"/>
        <v/>
      </c>
      <c r="EP91">
        <f t="shared" si="114"/>
        <v>0</v>
      </c>
      <c r="EQ91">
        <f t="shared" si="114"/>
        <v>0</v>
      </c>
      <c r="ES91" s="8" t="str">
        <f t="shared" si="115"/>
        <v>AAA</v>
      </c>
      <c r="ET91" s="8" t="str">
        <f t="shared" si="116"/>
        <v/>
      </c>
      <c r="EU91" s="8" t="str">
        <f t="shared" si="117"/>
        <v/>
      </c>
      <c r="EV91">
        <f t="shared" si="118"/>
        <v>0</v>
      </c>
      <c r="EW91">
        <f t="shared" si="118"/>
        <v>0</v>
      </c>
      <c r="EY91" s="8" t="str">
        <f>Hidden!$CG85</f>
        <v/>
      </c>
      <c r="EZ91">
        <f t="shared" si="119"/>
        <v>0</v>
      </c>
      <c r="FA91">
        <f t="shared" si="120"/>
        <v>0</v>
      </c>
      <c r="FB91">
        <f t="shared" si="121"/>
        <v>0</v>
      </c>
      <c r="FC91">
        <f t="shared" si="122"/>
        <v>0</v>
      </c>
      <c r="FD91">
        <f t="shared" si="123"/>
        <v>0</v>
      </c>
      <c r="FE91">
        <f t="shared" si="124"/>
        <v>0</v>
      </c>
      <c r="FF91">
        <f t="shared" si="125"/>
        <v>0</v>
      </c>
      <c r="FG91">
        <f t="shared" si="126"/>
        <v>0</v>
      </c>
      <c r="FH91">
        <f t="shared" si="127"/>
        <v>0</v>
      </c>
      <c r="FI91">
        <f t="shared" si="128"/>
        <v>0</v>
      </c>
    </row>
    <row r="92" spans="1:165" x14ac:dyDescent="0.2">
      <c r="A92" s="8" t="str">
        <f>Tank1!A112</f>
        <v>AAA</v>
      </c>
      <c r="B92" s="8" t="str">
        <f>Tank1!E112</f>
        <v/>
      </c>
      <c r="C92" s="8" t="str">
        <f>Tank1!F112</f>
        <v/>
      </c>
      <c r="D92" s="8">
        <f t="shared" si="129"/>
        <v>0</v>
      </c>
      <c r="E92" s="8">
        <f t="shared" si="129"/>
        <v>0</v>
      </c>
      <c r="G92" s="8" t="str">
        <f>Tank2!A112</f>
        <v>AAA</v>
      </c>
      <c r="H92" s="8" t="str">
        <f>Tank2!E112</f>
        <v/>
      </c>
      <c r="I92" s="8" t="str">
        <f>Tank2!F112</f>
        <v/>
      </c>
      <c r="J92">
        <f t="shared" si="130"/>
        <v>0</v>
      </c>
      <c r="K92">
        <f t="shared" si="130"/>
        <v>0</v>
      </c>
      <c r="M92" s="8" t="str">
        <f>Tank3!A112</f>
        <v>AAA</v>
      </c>
      <c r="N92" s="8" t="str">
        <f>Tank3!E112</f>
        <v/>
      </c>
      <c r="O92" s="8" t="str">
        <f>Tank3!F112</f>
        <v/>
      </c>
      <c r="P92">
        <f t="shared" si="131"/>
        <v>0</v>
      </c>
      <c r="Q92">
        <f t="shared" si="131"/>
        <v>0</v>
      </c>
      <c r="S92" s="8" t="str">
        <f>Tank4!A112</f>
        <v>AAA</v>
      </c>
      <c r="T92" s="8" t="str">
        <f>Tank4!E112</f>
        <v/>
      </c>
      <c r="U92" s="8" t="str">
        <f>Tank4!F112</f>
        <v/>
      </c>
      <c r="V92">
        <f t="shared" si="132"/>
        <v>0</v>
      </c>
      <c r="W92">
        <f t="shared" si="132"/>
        <v>0</v>
      </c>
      <c r="Y92" s="8" t="str">
        <f>Tank5!A112</f>
        <v>AAA</v>
      </c>
      <c r="Z92" s="8" t="str">
        <f>Tank5!E112</f>
        <v/>
      </c>
      <c r="AA92" s="8" t="str">
        <f>Tank5!F112</f>
        <v/>
      </c>
      <c r="AB92">
        <f t="shared" si="133"/>
        <v>0</v>
      </c>
      <c r="AC92">
        <f t="shared" si="133"/>
        <v>0</v>
      </c>
      <c r="AE92" s="8" t="str">
        <f>Hidden!CC75</f>
        <v/>
      </c>
      <c r="AF92">
        <f t="shared" si="134"/>
        <v>0</v>
      </c>
      <c r="AG92">
        <f t="shared" si="135"/>
        <v>0</v>
      </c>
      <c r="AH92">
        <f t="shared" si="136"/>
        <v>0</v>
      </c>
      <c r="AI92">
        <f t="shared" si="137"/>
        <v>0</v>
      </c>
      <c r="AJ92">
        <f t="shared" si="138"/>
        <v>0</v>
      </c>
      <c r="AK92">
        <f t="shared" si="139"/>
        <v>0</v>
      </c>
      <c r="AL92">
        <f t="shared" si="140"/>
        <v>0</v>
      </c>
      <c r="AM92">
        <f t="shared" si="141"/>
        <v>0</v>
      </c>
      <c r="AN92">
        <f t="shared" si="142"/>
        <v>0</v>
      </c>
      <c r="AO92">
        <f t="shared" si="143"/>
        <v>0</v>
      </c>
      <c r="BJ92" s="8" t="str">
        <f>Tank1!A112</f>
        <v>AAA</v>
      </c>
      <c r="BK92" s="8" t="str">
        <f>Tank1!E112</f>
        <v/>
      </c>
      <c r="BL92" s="8" t="str">
        <f>Tank1!F112</f>
        <v/>
      </c>
      <c r="BM92" s="8">
        <f t="shared" si="144"/>
        <v>0</v>
      </c>
      <c r="BN92" s="8">
        <f t="shared" si="145"/>
        <v>0</v>
      </c>
      <c r="BO92" s="8"/>
      <c r="BP92" s="8" t="str">
        <f>Tank2!A112</f>
        <v>AAA</v>
      </c>
      <c r="BQ92" s="8" t="str">
        <f>Tank2!E112</f>
        <v/>
      </c>
      <c r="BR92" s="8" t="str">
        <f>Tank2!F112</f>
        <v/>
      </c>
      <c r="BS92" s="8">
        <f t="shared" si="146"/>
        <v>0</v>
      </c>
      <c r="BT92" s="8">
        <f t="shared" si="147"/>
        <v>0</v>
      </c>
      <c r="BU92" s="8"/>
      <c r="BV92" s="8" t="str">
        <f>Tank3!A112</f>
        <v>AAA</v>
      </c>
      <c r="BW92" s="8" t="str">
        <f>Tank3!E112</f>
        <v/>
      </c>
      <c r="BX92" s="8" t="str">
        <f>Tank3!F112</f>
        <v/>
      </c>
      <c r="BY92" s="8">
        <f t="shared" si="148"/>
        <v>0</v>
      </c>
      <c r="BZ92" s="8">
        <f t="shared" si="149"/>
        <v>0</v>
      </c>
      <c r="CA92" s="8"/>
      <c r="CB92" s="8" t="str">
        <f>Tank4!A112</f>
        <v>AAA</v>
      </c>
      <c r="CC92" s="8" t="str">
        <f>Tank4!E112</f>
        <v/>
      </c>
      <c r="CD92" s="8" t="str">
        <f>Tank4!F112</f>
        <v/>
      </c>
      <c r="CE92" s="8">
        <f t="shared" si="150"/>
        <v>0</v>
      </c>
      <c r="CF92" s="8">
        <f t="shared" si="151"/>
        <v>0</v>
      </c>
      <c r="CH92" s="8" t="str">
        <f>Tank5!A112</f>
        <v>AAA</v>
      </c>
      <c r="CI92" s="8" t="str">
        <f>Tank5!E112</f>
        <v/>
      </c>
      <c r="CJ92" s="8" t="str">
        <f>Tank5!F112</f>
        <v/>
      </c>
      <c r="CK92" s="8">
        <f t="shared" si="152"/>
        <v>0</v>
      </c>
      <c r="CL92" s="8">
        <f t="shared" si="153"/>
        <v>0</v>
      </c>
      <c r="CN92" s="8" t="str">
        <f>Hidden!$CC75</f>
        <v/>
      </c>
      <c r="CO92">
        <f t="shared" si="154"/>
        <v>0</v>
      </c>
      <c r="CP92">
        <f t="shared" si="155"/>
        <v>0</v>
      </c>
      <c r="CQ92">
        <f t="shared" si="156"/>
        <v>0</v>
      </c>
      <c r="CR92">
        <f t="shared" si="157"/>
        <v>0</v>
      </c>
      <c r="CS92">
        <f t="shared" si="158"/>
        <v>0</v>
      </c>
      <c r="CT92">
        <f t="shared" si="159"/>
        <v>0</v>
      </c>
      <c r="CU92">
        <f t="shared" si="160"/>
        <v>0</v>
      </c>
      <c r="CV92">
        <f t="shared" si="161"/>
        <v>0</v>
      </c>
      <c r="CW92">
        <f t="shared" si="162"/>
        <v>0</v>
      </c>
      <c r="CX92">
        <f t="shared" si="163"/>
        <v>0</v>
      </c>
      <c r="DT92" s="77"/>
      <c r="DU92" s="8" t="str">
        <f t="shared" si="164"/>
        <v>AAAA</v>
      </c>
      <c r="DV92" s="8" t="str">
        <f t="shared" si="165"/>
        <v/>
      </c>
      <c r="DW92" s="8" t="str">
        <f t="shared" si="166"/>
        <v/>
      </c>
      <c r="DX92">
        <f t="shared" si="102"/>
        <v>0</v>
      </c>
      <c r="DY92">
        <f t="shared" si="102"/>
        <v>0</v>
      </c>
      <c r="EA92" t="str">
        <f t="shared" si="103"/>
        <v>AAAA</v>
      </c>
      <c r="EB92" t="str">
        <f t="shared" si="104"/>
        <v/>
      </c>
      <c r="EC92" t="str">
        <f t="shared" si="105"/>
        <v/>
      </c>
      <c r="ED92">
        <f t="shared" si="106"/>
        <v>0</v>
      </c>
      <c r="EE92">
        <f t="shared" si="106"/>
        <v>0</v>
      </c>
      <c r="EG92" s="8" t="str">
        <f t="shared" si="107"/>
        <v>AAAA</v>
      </c>
      <c r="EH92" s="8" t="str">
        <f t="shared" si="108"/>
        <v/>
      </c>
      <c r="EI92" s="8" t="str">
        <f t="shared" si="109"/>
        <v/>
      </c>
      <c r="EJ92">
        <f t="shared" si="110"/>
        <v>0</v>
      </c>
      <c r="EK92">
        <f t="shared" si="110"/>
        <v>0</v>
      </c>
      <c r="EM92" s="8" t="str">
        <f t="shared" si="111"/>
        <v>AAAA</v>
      </c>
      <c r="EN92" s="8" t="str">
        <f t="shared" si="112"/>
        <v/>
      </c>
      <c r="EO92" s="8" t="str">
        <f t="shared" si="113"/>
        <v/>
      </c>
      <c r="EP92">
        <f t="shared" si="114"/>
        <v>0</v>
      </c>
      <c r="EQ92">
        <f t="shared" si="114"/>
        <v>0</v>
      </c>
      <c r="ES92" s="8" t="str">
        <f t="shared" si="115"/>
        <v>AAAA</v>
      </c>
      <c r="ET92" s="8" t="str">
        <f t="shared" si="116"/>
        <v/>
      </c>
      <c r="EU92" s="8" t="str">
        <f t="shared" si="117"/>
        <v/>
      </c>
      <c r="EV92">
        <f t="shared" si="118"/>
        <v>0</v>
      </c>
      <c r="EW92">
        <f t="shared" si="118"/>
        <v>0</v>
      </c>
      <c r="EY92" s="8" t="str">
        <f>Hidden!$CG86</f>
        <v/>
      </c>
      <c r="EZ92">
        <f t="shared" si="119"/>
        <v>0</v>
      </c>
      <c r="FA92">
        <f t="shared" si="120"/>
        <v>0</v>
      </c>
      <c r="FB92">
        <f t="shared" si="121"/>
        <v>0</v>
      </c>
      <c r="FC92">
        <f t="shared" si="122"/>
        <v>0</v>
      </c>
      <c r="FD92">
        <f t="shared" si="123"/>
        <v>0</v>
      </c>
      <c r="FE92">
        <f t="shared" si="124"/>
        <v>0</v>
      </c>
      <c r="FF92">
        <f t="shared" si="125"/>
        <v>0</v>
      </c>
      <c r="FG92">
        <f t="shared" si="126"/>
        <v>0</v>
      </c>
      <c r="FH92">
        <f t="shared" si="127"/>
        <v>0</v>
      </c>
      <c r="FI92">
        <f t="shared" si="128"/>
        <v>0</v>
      </c>
    </row>
    <row r="93" spans="1:165" x14ac:dyDescent="0.2">
      <c r="A93" s="8" t="str">
        <f>Tank1!A113</f>
        <v>AAAA</v>
      </c>
      <c r="B93" s="8" t="str">
        <f>Tank1!E113</f>
        <v/>
      </c>
      <c r="C93" s="8" t="str">
        <f>Tank1!F113</f>
        <v/>
      </c>
      <c r="D93" s="8">
        <f t="shared" si="129"/>
        <v>0</v>
      </c>
      <c r="E93" s="8">
        <f t="shared" si="129"/>
        <v>0</v>
      </c>
      <c r="G93" s="8" t="str">
        <f>Tank2!A113</f>
        <v>AAAA</v>
      </c>
      <c r="H93" s="8" t="str">
        <f>Tank2!E113</f>
        <v/>
      </c>
      <c r="I93" s="8" t="str">
        <f>Tank2!F113</f>
        <v/>
      </c>
      <c r="J93">
        <f t="shared" si="130"/>
        <v>0</v>
      </c>
      <c r="K93">
        <f t="shared" si="130"/>
        <v>0</v>
      </c>
      <c r="M93" s="8" t="str">
        <f>Tank3!A113</f>
        <v>AAAA</v>
      </c>
      <c r="N93" s="8" t="str">
        <f>Tank3!E113</f>
        <v/>
      </c>
      <c r="O93" s="8" t="str">
        <f>Tank3!F113</f>
        <v/>
      </c>
      <c r="P93">
        <f t="shared" si="131"/>
        <v>0</v>
      </c>
      <c r="Q93">
        <f t="shared" si="131"/>
        <v>0</v>
      </c>
      <c r="S93" s="8" t="str">
        <f>Tank4!A113</f>
        <v>AAAA</v>
      </c>
      <c r="T93" s="8" t="str">
        <f>Tank4!E113</f>
        <v/>
      </c>
      <c r="U93" s="8" t="str">
        <f>Tank4!F113</f>
        <v/>
      </c>
      <c r="V93">
        <f t="shared" si="132"/>
        <v>0</v>
      </c>
      <c r="W93">
        <f t="shared" si="132"/>
        <v>0</v>
      </c>
      <c r="Y93" s="8" t="str">
        <f>Tank5!A113</f>
        <v>AAAA</v>
      </c>
      <c r="Z93" s="8" t="str">
        <f>Tank5!E113</f>
        <v/>
      </c>
      <c r="AA93" s="8" t="str">
        <f>Tank5!F113</f>
        <v/>
      </c>
      <c r="AB93">
        <f t="shared" si="133"/>
        <v>0</v>
      </c>
      <c r="AC93">
        <f t="shared" si="133"/>
        <v>0</v>
      </c>
      <c r="AE93" s="8" t="str">
        <f>Hidden!CC76</f>
        <v/>
      </c>
      <c r="AF93">
        <f t="shared" si="134"/>
        <v>0</v>
      </c>
      <c r="AG93">
        <f t="shared" si="135"/>
        <v>0</v>
      </c>
      <c r="AH93">
        <f t="shared" si="136"/>
        <v>0</v>
      </c>
      <c r="AI93">
        <f t="shared" si="137"/>
        <v>0</v>
      </c>
      <c r="AJ93">
        <f t="shared" si="138"/>
        <v>0</v>
      </c>
      <c r="AK93">
        <f t="shared" si="139"/>
        <v>0</v>
      </c>
      <c r="AL93">
        <f t="shared" si="140"/>
        <v>0</v>
      </c>
      <c r="AM93">
        <f t="shared" si="141"/>
        <v>0</v>
      </c>
      <c r="AN93">
        <f t="shared" si="142"/>
        <v>0</v>
      </c>
      <c r="AO93">
        <f t="shared" si="143"/>
        <v>0</v>
      </c>
      <c r="BJ93" s="8" t="str">
        <f>Tank1!A113</f>
        <v>AAAA</v>
      </c>
      <c r="BK93" s="8" t="str">
        <f>Tank1!E113</f>
        <v/>
      </c>
      <c r="BL93" s="8" t="str">
        <f>Tank1!F113</f>
        <v/>
      </c>
      <c r="BM93" s="8">
        <f t="shared" si="144"/>
        <v>0</v>
      </c>
      <c r="BN93" s="8">
        <f t="shared" si="145"/>
        <v>0</v>
      </c>
      <c r="BO93" s="8"/>
      <c r="BP93" s="8" t="str">
        <f>Tank2!A113</f>
        <v>AAAA</v>
      </c>
      <c r="BQ93" s="8" t="str">
        <f>Tank2!E113</f>
        <v/>
      </c>
      <c r="BR93" s="8" t="str">
        <f>Tank2!F113</f>
        <v/>
      </c>
      <c r="BS93" s="8">
        <f t="shared" si="146"/>
        <v>0</v>
      </c>
      <c r="BT93" s="8">
        <f t="shared" si="147"/>
        <v>0</v>
      </c>
      <c r="BU93" s="8"/>
      <c r="BV93" s="8" t="str">
        <f>Tank3!A113</f>
        <v>AAAA</v>
      </c>
      <c r="BW93" s="8" t="str">
        <f>Tank3!E113</f>
        <v/>
      </c>
      <c r="BX93" s="8" t="str">
        <f>Tank3!F113</f>
        <v/>
      </c>
      <c r="BY93" s="8">
        <f t="shared" si="148"/>
        <v>0</v>
      </c>
      <c r="BZ93" s="8">
        <f t="shared" si="149"/>
        <v>0</v>
      </c>
      <c r="CA93" s="8"/>
      <c r="CB93" s="8" t="str">
        <f>Tank4!A113</f>
        <v>AAAA</v>
      </c>
      <c r="CC93" s="8" t="str">
        <f>Tank4!E113</f>
        <v/>
      </c>
      <c r="CD93" s="8" t="str">
        <f>Tank4!F113</f>
        <v/>
      </c>
      <c r="CE93" s="8">
        <f t="shared" si="150"/>
        <v>0</v>
      </c>
      <c r="CF93" s="8">
        <f t="shared" si="151"/>
        <v>0</v>
      </c>
      <c r="CH93" s="8" t="str">
        <f>Tank5!A113</f>
        <v>AAAA</v>
      </c>
      <c r="CI93" s="8" t="str">
        <f>Tank5!E113</f>
        <v/>
      </c>
      <c r="CJ93" s="8" t="str">
        <f>Tank5!F113</f>
        <v/>
      </c>
      <c r="CK93" s="8">
        <f t="shared" si="152"/>
        <v>0</v>
      </c>
      <c r="CL93" s="8">
        <f t="shared" si="153"/>
        <v>0</v>
      </c>
      <c r="CN93" s="8" t="str">
        <f>Hidden!$CC76</f>
        <v/>
      </c>
      <c r="CO93">
        <f t="shared" si="154"/>
        <v>0</v>
      </c>
      <c r="CP93">
        <f t="shared" si="155"/>
        <v>0</v>
      </c>
      <c r="CQ93">
        <f t="shared" si="156"/>
        <v>0</v>
      </c>
      <c r="CR93">
        <f t="shared" si="157"/>
        <v>0</v>
      </c>
      <c r="CS93">
        <f t="shared" si="158"/>
        <v>0</v>
      </c>
      <c r="CT93">
        <f t="shared" si="159"/>
        <v>0</v>
      </c>
      <c r="CU93">
        <f t="shared" si="160"/>
        <v>0</v>
      </c>
      <c r="CV93">
        <f t="shared" si="161"/>
        <v>0</v>
      </c>
      <c r="CW93">
        <f t="shared" si="162"/>
        <v>0</v>
      </c>
      <c r="CX93">
        <f t="shared" si="163"/>
        <v>0</v>
      </c>
      <c r="DT93" s="77"/>
      <c r="DU93" s="8" t="str">
        <f t="shared" si="164"/>
        <v>AAAAA</v>
      </c>
      <c r="DV93" s="8" t="str">
        <f t="shared" si="165"/>
        <v/>
      </c>
      <c r="DW93" s="8" t="str">
        <f t="shared" si="166"/>
        <v/>
      </c>
      <c r="DX93">
        <f t="shared" si="102"/>
        <v>0</v>
      </c>
      <c r="DY93">
        <f t="shared" si="102"/>
        <v>0</v>
      </c>
      <c r="EA93" t="str">
        <f t="shared" si="103"/>
        <v>AAAAA</v>
      </c>
      <c r="EB93" t="str">
        <f t="shared" si="104"/>
        <v/>
      </c>
      <c r="EC93" t="str">
        <f t="shared" si="105"/>
        <v/>
      </c>
      <c r="ED93">
        <f t="shared" si="106"/>
        <v>0</v>
      </c>
      <c r="EE93">
        <f t="shared" si="106"/>
        <v>0</v>
      </c>
      <c r="EG93" s="8" t="str">
        <f t="shared" si="107"/>
        <v>AAAAA</v>
      </c>
      <c r="EH93" s="8" t="str">
        <f t="shared" si="108"/>
        <v/>
      </c>
      <c r="EI93" s="8" t="str">
        <f t="shared" si="109"/>
        <v/>
      </c>
      <c r="EJ93">
        <f t="shared" si="110"/>
        <v>0</v>
      </c>
      <c r="EK93">
        <f t="shared" si="110"/>
        <v>0</v>
      </c>
      <c r="EM93" s="8" t="str">
        <f t="shared" si="111"/>
        <v>AAAAA</v>
      </c>
      <c r="EN93" s="8" t="str">
        <f t="shared" si="112"/>
        <v/>
      </c>
      <c r="EO93" s="8" t="str">
        <f t="shared" si="113"/>
        <v/>
      </c>
      <c r="EP93">
        <f t="shared" si="114"/>
        <v>0</v>
      </c>
      <c r="EQ93">
        <f t="shared" si="114"/>
        <v>0</v>
      </c>
      <c r="ES93" s="8" t="str">
        <f t="shared" si="115"/>
        <v>AAAAA</v>
      </c>
      <c r="ET93" s="8" t="str">
        <f t="shared" si="116"/>
        <v/>
      </c>
      <c r="EU93" s="8" t="str">
        <f t="shared" si="117"/>
        <v/>
      </c>
      <c r="EV93">
        <f t="shared" si="118"/>
        <v>0</v>
      </c>
      <c r="EW93">
        <f t="shared" si="118"/>
        <v>0</v>
      </c>
      <c r="EY93" s="8" t="str">
        <f>Hidden!$CG87</f>
        <v/>
      </c>
      <c r="EZ93">
        <f t="shared" si="119"/>
        <v>0</v>
      </c>
      <c r="FA93">
        <f t="shared" si="120"/>
        <v>0</v>
      </c>
      <c r="FB93">
        <f t="shared" si="121"/>
        <v>0</v>
      </c>
      <c r="FC93">
        <f t="shared" si="122"/>
        <v>0</v>
      </c>
      <c r="FD93">
        <f t="shared" si="123"/>
        <v>0</v>
      </c>
      <c r="FE93">
        <f t="shared" si="124"/>
        <v>0</v>
      </c>
      <c r="FF93">
        <f t="shared" si="125"/>
        <v>0</v>
      </c>
      <c r="FG93">
        <f t="shared" si="126"/>
        <v>0</v>
      </c>
      <c r="FH93">
        <f t="shared" si="127"/>
        <v>0</v>
      </c>
      <c r="FI93">
        <f t="shared" si="128"/>
        <v>0</v>
      </c>
    </row>
    <row r="94" spans="1:165" x14ac:dyDescent="0.2">
      <c r="A94" s="8" t="str">
        <f>Tank1!A114</f>
        <v>AAAAA</v>
      </c>
      <c r="B94" s="8" t="str">
        <f>Tank1!E114</f>
        <v/>
      </c>
      <c r="C94" s="8" t="str">
        <f>Tank1!F114</f>
        <v/>
      </c>
      <c r="D94" s="8">
        <f t="shared" si="129"/>
        <v>0</v>
      </c>
      <c r="E94" s="8">
        <f t="shared" si="129"/>
        <v>0</v>
      </c>
      <c r="G94" s="8" t="str">
        <f>Tank2!A114</f>
        <v>AAAAA</v>
      </c>
      <c r="H94" s="8" t="str">
        <f>Tank2!E114</f>
        <v/>
      </c>
      <c r="I94" s="8" t="str">
        <f>Tank2!F114</f>
        <v/>
      </c>
      <c r="J94">
        <f t="shared" si="130"/>
        <v>0</v>
      </c>
      <c r="K94">
        <f t="shared" si="130"/>
        <v>0</v>
      </c>
      <c r="M94" s="8" t="str">
        <f>Tank3!A114</f>
        <v>AAAAA</v>
      </c>
      <c r="N94" s="8" t="str">
        <f>Tank3!E114</f>
        <v/>
      </c>
      <c r="O94" s="8" t="str">
        <f>Tank3!F114</f>
        <v/>
      </c>
      <c r="P94">
        <f t="shared" si="131"/>
        <v>0</v>
      </c>
      <c r="Q94">
        <f t="shared" si="131"/>
        <v>0</v>
      </c>
      <c r="S94" s="8" t="str">
        <f>Tank4!A114</f>
        <v>AAAAA</v>
      </c>
      <c r="T94" s="8" t="str">
        <f>Tank4!E114</f>
        <v/>
      </c>
      <c r="U94" s="8" t="str">
        <f>Tank4!F114</f>
        <v/>
      </c>
      <c r="V94">
        <f t="shared" si="132"/>
        <v>0</v>
      </c>
      <c r="W94">
        <f t="shared" si="132"/>
        <v>0</v>
      </c>
      <c r="Y94" s="8" t="str">
        <f>Tank5!A114</f>
        <v>AAAAA</v>
      </c>
      <c r="Z94" s="8" t="str">
        <f>Tank5!E114</f>
        <v/>
      </c>
      <c r="AA94" s="8" t="str">
        <f>Tank5!F114</f>
        <v/>
      </c>
      <c r="AB94">
        <f t="shared" si="133"/>
        <v>0</v>
      </c>
      <c r="AC94">
        <f t="shared" si="133"/>
        <v>0</v>
      </c>
      <c r="AE94" s="8" t="str">
        <f>Hidden!CC77</f>
        <v/>
      </c>
      <c r="AF94">
        <f t="shared" si="134"/>
        <v>0</v>
      </c>
      <c r="AG94">
        <f t="shared" si="135"/>
        <v>0</v>
      </c>
      <c r="AH94">
        <f t="shared" si="136"/>
        <v>0</v>
      </c>
      <c r="AI94">
        <f t="shared" si="137"/>
        <v>0</v>
      </c>
      <c r="AJ94">
        <f t="shared" si="138"/>
        <v>0</v>
      </c>
      <c r="AK94">
        <f t="shared" si="139"/>
        <v>0</v>
      </c>
      <c r="AL94">
        <f t="shared" si="140"/>
        <v>0</v>
      </c>
      <c r="AM94">
        <f t="shared" si="141"/>
        <v>0</v>
      </c>
      <c r="AN94">
        <f t="shared" si="142"/>
        <v>0</v>
      </c>
      <c r="AO94">
        <f t="shared" si="143"/>
        <v>0</v>
      </c>
      <c r="BJ94" s="8" t="str">
        <f>Tank1!A114</f>
        <v>AAAAA</v>
      </c>
      <c r="BK94" s="8" t="str">
        <f>Tank1!E114</f>
        <v/>
      </c>
      <c r="BL94" s="8" t="str">
        <f>Tank1!F114</f>
        <v/>
      </c>
      <c r="BM94" s="8">
        <f t="shared" si="144"/>
        <v>0</v>
      </c>
      <c r="BN94" s="8">
        <f t="shared" si="145"/>
        <v>0</v>
      </c>
      <c r="BO94" s="8"/>
      <c r="BP94" s="8" t="str">
        <f>Tank2!A114</f>
        <v>AAAAA</v>
      </c>
      <c r="BQ94" s="8" t="str">
        <f>Tank2!E114</f>
        <v/>
      </c>
      <c r="BR94" s="8" t="str">
        <f>Tank2!F114</f>
        <v/>
      </c>
      <c r="BS94" s="8">
        <f t="shared" si="146"/>
        <v>0</v>
      </c>
      <c r="BT94" s="8">
        <f t="shared" si="147"/>
        <v>0</v>
      </c>
      <c r="BU94" s="8"/>
      <c r="BV94" s="8" t="str">
        <f>Tank3!A114</f>
        <v>AAAAA</v>
      </c>
      <c r="BW94" s="8" t="str">
        <f>Tank3!E114</f>
        <v/>
      </c>
      <c r="BX94" s="8" t="str">
        <f>Tank3!F114</f>
        <v/>
      </c>
      <c r="BY94" s="8">
        <f t="shared" si="148"/>
        <v>0</v>
      </c>
      <c r="BZ94" s="8">
        <f t="shared" si="149"/>
        <v>0</v>
      </c>
      <c r="CA94" s="8"/>
      <c r="CB94" s="8" t="str">
        <f>Tank4!A114</f>
        <v>AAAAA</v>
      </c>
      <c r="CC94" s="8" t="str">
        <f>Tank4!E114</f>
        <v/>
      </c>
      <c r="CD94" s="8" t="str">
        <f>Tank4!F114</f>
        <v/>
      </c>
      <c r="CE94" s="8">
        <f t="shared" si="150"/>
        <v>0</v>
      </c>
      <c r="CF94" s="8">
        <f t="shared" si="151"/>
        <v>0</v>
      </c>
      <c r="CH94" s="8" t="str">
        <f>Tank5!A114</f>
        <v>AAAAA</v>
      </c>
      <c r="CI94" s="8" t="str">
        <f>Tank5!E114</f>
        <v/>
      </c>
      <c r="CJ94" s="8" t="str">
        <f>Tank5!F114</f>
        <v/>
      </c>
      <c r="CK94" s="8">
        <f t="shared" si="152"/>
        <v>0</v>
      </c>
      <c r="CL94" s="8">
        <f t="shared" si="153"/>
        <v>0</v>
      </c>
      <c r="CN94" s="8" t="str">
        <f>Hidden!$CC77</f>
        <v/>
      </c>
      <c r="CO94">
        <f t="shared" si="154"/>
        <v>0</v>
      </c>
      <c r="CP94">
        <f t="shared" si="155"/>
        <v>0</v>
      </c>
      <c r="CQ94">
        <f t="shared" si="156"/>
        <v>0</v>
      </c>
      <c r="CR94">
        <f t="shared" si="157"/>
        <v>0</v>
      </c>
      <c r="CS94">
        <f t="shared" si="158"/>
        <v>0</v>
      </c>
      <c r="CT94">
        <f t="shared" si="159"/>
        <v>0</v>
      </c>
      <c r="CU94">
        <f t="shared" si="160"/>
        <v>0</v>
      </c>
      <c r="CV94">
        <f t="shared" si="161"/>
        <v>0</v>
      </c>
      <c r="CW94">
        <f t="shared" si="162"/>
        <v>0</v>
      </c>
      <c r="CX94">
        <f t="shared" si="163"/>
        <v>0</v>
      </c>
      <c r="DT94" s="77"/>
      <c r="DU94" s="8" t="str">
        <f t="shared" si="164"/>
        <v>AAAAAA</v>
      </c>
      <c r="DV94" s="8" t="str">
        <f t="shared" si="165"/>
        <v/>
      </c>
      <c r="DW94" s="8" t="str">
        <f t="shared" si="166"/>
        <v/>
      </c>
      <c r="DX94">
        <f t="shared" si="102"/>
        <v>0</v>
      </c>
      <c r="DY94">
        <f t="shared" si="102"/>
        <v>0</v>
      </c>
      <c r="EA94" t="str">
        <f t="shared" si="103"/>
        <v>AAAAAA</v>
      </c>
      <c r="EB94" t="str">
        <f t="shared" si="104"/>
        <v/>
      </c>
      <c r="EC94" t="str">
        <f t="shared" si="105"/>
        <v/>
      </c>
      <c r="ED94">
        <f t="shared" si="106"/>
        <v>0</v>
      </c>
      <c r="EE94">
        <f t="shared" si="106"/>
        <v>0</v>
      </c>
      <c r="EG94" s="8" t="str">
        <f t="shared" si="107"/>
        <v>AAAAAA</v>
      </c>
      <c r="EH94" s="8" t="str">
        <f t="shared" si="108"/>
        <v/>
      </c>
      <c r="EI94" s="8" t="str">
        <f t="shared" si="109"/>
        <v/>
      </c>
      <c r="EJ94">
        <f t="shared" si="110"/>
        <v>0</v>
      </c>
      <c r="EK94">
        <f t="shared" si="110"/>
        <v>0</v>
      </c>
      <c r="EM94" s="8" t="str">
        <f t="shared" si="111"/>
        <v>AAAAAA</v>
      </c>
      <c r="EN94" s="8" t="str">
        <f t="shared" si="112"/>
        <v/>
      </c>
      <c r="EO94" s="8" t="str">
        <f t="shared" si="113"/>
        <v/>
      </c>
      <c r="EP94">
        <f t="shared" si="114"/>
        <v>0</v>
      </c>
      <c r="EQ94">
        <f t="shared" si="114"/>
        <v>0</v>
      </c>
      <c r="ES94" s="8" t="str">
        <f t="shared" si="115"/>
        <v>AAAAAA</v>
      </c>
      <c r="ET94" s="8" t="str">
        <f t="shared" si="116"/>
        <v/>
      </c>
      <c r="EU94" s="8" t="str">
        <f t="shared" si="117"/>
        <v/>
      </c>
      <c r="EV94">
        <f t="shared" si="118"/>
        <v>0</v>
      </c>
      <c r="EW94">
        <f t="shared" si="118"/>
        <v>0</v>
      </c>
      <c r="EY94" s="8" t="str">
        <f>Hidden!$CG88</f>
        <v/>
      </c>
      <c r="EZ94">
        <f t="shared" si="119"/>
        <v>0</v>
      </c>
      <c r="FA94">
        <f t="shared" si="120"/>
        <v>0</v>
      </c>
      <c r="FB94">
        <f t="shared" si="121"/>
        <v>0</v>
      </c>
      <c r="FC94">
        <f t="shared" si="122"/>
        <v>0</v>
      </c>
      <c r="FD94">
        <f t="shared" si="123"/>
        <v>0</v>
      </c>
      <c r="FE94">
        <f t="shared" si="124"/>
        <v>0</v>
      </c>
      <c r="FF94">
        <f t="shared" si="125"/>
        <v>0</v>
      </c>
      <c r="FG94">
        <f t="shared" si="126"/>
        <v>0</v>
      </c>
      <c r="FH94">
        <f t="shared" si="127"/>
        <v>0</v>
      </c>
      <c r="FI94">
        <f t="shared" si="128"/>
        <v>0</v>
      </c>
    </row>
    <row r="95" spans="1:165" x14ac:dyDescent="0.2">
      <c r="A95" s="8" t="str">
        <f>Tank1!A115</f>
        <v>AAAAAA</v>
      </c>
      <c r="B95" s="8" t="str">
        <f>Tank1!E115</f>
        <v/>
      </c>
      <c r="C95" s="8" t="str">
        <f>Tank1!F115</f>
        <v/>
      </c>
      <c r="D95" s="8">
        <f t="shared" si="129"/>
        <v>0</v>
      </c>
      <c r="E95" s="8">
        <f t="shared" si="129"/>
        <v>0</v>
      </c>
      <c r="G95" s="8" t="str">
        <f>Tank2!A115</f>
        <v>AAAAAA</v>
      </c>
      <c r="H95" s="8" t="str">
        <f>Tank2!E115</f>
        <v/>
      </c>
      <c r="I95" s="8" t="str">
        <f>Tank2!F115</f>
        <v/>
      </c>
      <c r="J95">
        <f t="shared" si="130"/>
        <v>0</v>
      </c>
      <c r="K95">
        <f t="shared" si="130"/>
        <v>0</v>
      </c>
      <c r="M95" s="8" t="str">
        <f>Tank3!A115</f>
        <v>AAAAAA</v>
      </c>
      <c r="N95" s="8" t="str">
        <f>Tank3!E115</f>
        <v/>
      </c>
      <c r="O95" s="8" t="str">
        <f>Tank3!F115</f>
        <v/>
      </c>
      <c r="P95">
        <f t="shared" si="131"/>
        <v>0</v>
      </c>
      <c r="Q95">
        <f t="shared" si="131"/>
        <v>0</v>
      </c>
      <c r="S95" s="8" t="str">
        <f>Tank4!A115</f>
        <v>AAAAAA</v>
      </c>
      <c r="T95" s="8" t="str">
        <f>Tank4!E115</f>
        <v/>
      </c>
      <c r="U95" s="8" t="str">
        <f>Tank4!F115</f>
        <v/>
      </c>
      <c r="V95">
        <f t="shared" si="132"/>
        <v>0</v>
      </c>
      <c r="W95">
        <f t="shared" si="132"/>
        <v>0</v>
      </c>
      <c r="Y95" s="8" t="str">
        <f>Tank5!A115</f>
        <v>AAAAAA</v>
      </c>
      <c r="Z95" s="8" t="str">
        <f>Tank5!E115</f>
        <v/>
      </c>
      <c r="AA95" s="8" t="str">
        <f>Tank5!F115</f>
        <v/>
      </c>
      <c r="AB95">
        <f t="shared" si="133"/>
        <v>0</v>
      </c>
      <c r="AC95">
        <f t="shared" si="133"/>
        <v>0</v>
      </c>
      <c r="AE95" s="8" t="str">
        <f>Hidden!CC78</f>
        <v/>
      </c>
      <c r="AF95">
        <f t="shared" si="134"/>
        <v>0</v>
      </c>
      <c r="AG95">
        <f t="shared" si="135"/>
        <v>0</v>
      </c>
      <c r="AH95">
        <f t="shared" si="136"/>
        <v>0</v>
      </c>
      <c r="AI95">
        <f t="shared" si="137"/>
        <v>0</v>
      </c>
      <c r="AJ95">
        <f t="shared" si="138"/>
        <v>0</v>
      </c>
      <c r="AK95">
        <f t="shared" si="139"/>
        <v>0</v>
      </c>
      <c r="AL95">
        <f t="shared" si="140"/>
        <v>0</v>
      </c>
      <c r="AM95">
        <f t="shared" si="141"/>
        <v>0</v>
      </c>
      <c r="AN95">
        <f t="shared" si="142"/>
        <v>0</v>
      </c>
      <c r="AO95">
        <f t="shared" si="143"/>
        <v>0</v>
      </c>
      <c r="BJ95" s="8" t="str">
        <f>Tank1!A115</f>
        <v>AAAAAA</v>
      </c>
      <c r="BK95" s="8" t="str">
        <f>Tank1!E115</f>
        <v/>
      </c>
      <c r="BL95" s="8" t="str">
        <f>Tank1!F115</f>
        <v/>
      </c>
      <c r="BM95" s="8">
        <f t="shared" si="144"/>
        <v>0</v>
      </c>
      <c r="BN95" s="8">
        <f t="shared" si="145"/>
        <v>0</v>
      </c>
      <c r="BO95" s="8"/>
      <c r="BP95" s="8" t="str">
        <f>Tank2!A115</f>
        <v>AAAAAA</v>
      </c>
      <c r="BQ95" s="8" t="str">
        <f>Tank2!E115</f>
        <v/>
      </c>
      <c r="BR95" s="8" t="str">
        <f>Tank2!F115</f>
        <v/>
      </c>
      <c r="BS95" s="8">
        <f t="shared" si="146"/>
        <v>0</v>
      </c>
      <c r="BT95" s="8">
        <f t="shared" si="147"/>
        <v>0</v>
      </c>
      <c r="BU95" s="8"/>
      <c r="BV95" s="8" t="str">
        <f>Tank3!A115</f>
        <v>AAAAAA</v>
      </c>
      <c r="BW95" s="8" t="str">
        <f>Tank3!E115</f>
        <v/>
      </c>
      <c r="BX95" s="8" t="str">
        <f>Tank3!F115</f>
        <v/>
      </c>
      <c r="BY95" s="8">
        <f t="shared" si="148"/>
        <v>0</v>
      </c>
      <c r="BZ95" s="8">
        <f t="shared" si="149"/>
        <v>0</v>
      </c>
      <c r="CA95" s="8"/>
      <c r="CB95" s="8" t="str">
        <f>Tank4!A115</f>
        <v>AAAAAA</v>
      </c>
      <c r="CC95" s="8" t="str">
        <f>Tank4!E115</f>
        <v/>
      </c>
      <c r="CD95" s="8" t="str">
        <f>Tank4!F115</f>
        <v/>
      </c>
      <c r="CE95" s="8">
        <f t="shared" si="150"/>
        <v>0</v>
      </c>
      <c r="CF95" s="8">
        <f t="shared" si="151"/>
        <v>0</v>
      </c>
      <c r="CH95" s="8" t="str">
        <f>Tank5!A115</f>
        <v>AAAAAA</v>
      </c>
      <c r="CI95" s="8" t="str">
        <f>Tank5!E115</f>
        <v/>
      </c>
      <c r="CJ95" s="8" t="str">
        <f>Tank5!F115</f>
        <v/>
      </c>
      <c r="CK95" s="8">
        <f t="shared" si="152"/>
        <v>0</v>
      </c>
      <c r="CL95" s="8">
        <f t="shared" si="153"/>
        <v>0</v>
      </c>
      <c r="CN95" s="8" t="str">
        <f>Hidden!$CC78</f>
        <v/>
      </c>
      <c r="CO95">
        <f t="shared" si="154"/>
        <v>0</v>
      </c>
      <c r="CP95">
        <f t="shared" si="155"/>
        <v>0</v>
      </c>
      <c r="CQ95">
        <f t="shared" si="156"/>
        <v>0</v>
      </c>
      <c r="CR95">
        <f t="shared" si="157"/>
        <v>0</v>
      </c>
      <c r="CS95">
        <f t="shared" si="158"/>
        <v>0</v>
      </c>
      <c r="CT95">
        <f t="shared" si="159"/>
        <v>0</v>
      </c>
      <c r="CU95">
        <f t="shared" si="160"/>
        <v>0</v>
      </c>
      <c r="CV95">
        <f t="shared" si="161"/>
        <v>0</v>
      </c>
      <c r="CW95">
        <f t="shared" si="162"/>
        <v>0</v>
      </c>
      <c r="CX95">
        <f t="shared" si="163"/>
        <v>0</v>
      </c>
      <c r="DT95" s="77"/>
      <c r="DU95" s="8" t="str">
        <f t="shared" si="164"/>
        <v>AAAAAAA</v>
      </c>
      <c r="DV95" s="8" t="str">
        <f t="shared" si="165"/>
        <v/>
      </c>
      <c r="DW95" s="8" t="str">
        <f t="shared" si="166"/>
        <v/>
      </c>
      <c r="DX95">
        <f t="shared" si="102"/>
        <v>0</v>
      </c>
      <c r="DY95">
        <f t="shared" si="102"/>
        <v>0</v>
      </c>
      <c r="EA95" t="str">
        <f t="shared" si="103"/>
        <v>AAAAAAA</v>
      </c>
      <c r="EB95" t="str">
        <f t="shared" si="104"/>
        <v/>
      </c>
      <c r="EC95" t="str">
        <f t="shared" si="105"/>
        <v/>
      </c>
      <c r="ED95">
        <f t="shared" si="106"/>
        <v>0</v>
      </c>
      <c r="EE95">
        <f t="shared" si="106"/>
        <v>0</v>
      </c>
      <c r="EG95" s="8" t="str">
        <f t="shared" si="107"/>
        <v>AAAAAAA</v>
      </c>
      <c r="EH95" s="8" t="str">
        <f t="shared" si="108"/>
        <v/>
      </c>
      <c r="EI95" s="8" t="str">
        <f t="shared" si="109"/>
        <v/>
      </c>
      <c r="EJ95">
        <f t="shared" si="110"/>
        <v>0</v>
      </c>
      <c r="EK95">
        <f t="shared" si="110"/>
        <v>0</v>
      </c>
      <c r="EM95" s="8" t="str">
        <f t="shared" si="111"/>
        <v>AAAAAAA</v>
      </c>
      <c r="EN95" s="8" t="str">
        <f t="shared" si="112"/>
        <v/>
      </c>
      <c r="EO95" s="8" t="str">
        <f t="shared" si="113"/>
        <v/>
      </c>
      <c r="EP95">
        <f t="shared" si="114"/>
        <v>0</v>
      </c>
      <c r="EQ95">
        <f t="shared" si="114"/>
        <v>0</v>
      </c>
      <c r="ES95" s="8" t="str">
        <f t="shared" si="115"/>
        <v>AAAAAAA</v>
      </c>
      <c r="ET95" s="8" t="str">
        <f t="shared" si="116"/>
        <v/>
      </c>
      <c r="EU95" s="8" t="str">
        <f t="shared" si="117"/>
        <v/>
      </c>
      <c r="EV95">
        <f t="shared" si="118"/>
        <v>0</v>
      </c>
      <c r="EW95">
        <f t="shared" si="118"/>
        <v>0</v>
      </c>
      <c r="EY95" s="8" t="str">
        <f>Hidden!$CG89</f>
        <v/>
      </c>
      <c r="EZ95">
        <f t="shared" si="119"/>
        <v>0</v>
      </c>
      <c r="FA95">
        <f t="shared" si="120"/>
        <v>0</v>
      </c>
      <c r="FB95">
        <f t="shared" si="121"/>
        <v>0</v>
      </c>
      <c r="FC95">
        <f t="shared" si="122"/>
        <v>0</v>
      </c>
      <c r="FD95">
        <f t="shared" si="123"/>
        <v>0</v>
      </c>
      <c r="FE95">
        <f t="shared" si="124"/>
        <v>0</v>
      </c>
      <c r="FF95">
        <f t="shared" si="125"/>
        <v>0</v>
      </c>
      <c r="FG95">
        <f t="shared" si="126"/>
        <v>0</v>
      </c>
      <c r="FH95">
        <f t="shared" si="127"/>
        <v>0</v>
      </c>
      <c r="FI95">
        <f t="shared" si="128"/>
        <v>0</v>
      </c>
    </row>
    <row r="96" spans="1:165" ht="28.5" x14ac:dyDescent="0.2">
      <c r="A96" s="8" t="str">
        <f>Tank1!A116</f>
        <v>AAAAAAA</v>
      </c>
      <c r="B96" s="8" t="str">
        <f>Tank1!E116</f>
        <v/>
      </c>
      <c r="C96" s="8" t="str">
        <f>Tank1!F116</f>
        <v/>
      </c>
      <c r="D96" s="8">
        <f t="shared" si="129"/>
        <v>0</v>
      </c>
      <c r="E96" s="8">
        <f t="shared" si="129"/>
        <v>0</v>
      </c>
      <c r="G96" s="8" t="str">
        <f>Tank2!A116</f>
        <v>AAAAAAA</v>
      </c>
      <c r="H96" s="8" t="str">
        <f>Tank2!E116</f>
        <v/>
      </c>
      <c r="I96" s="8" t="str">
        <f>Tank2!F116</f>
        <v/>
      </c>
      <c r="J96">
        <f t="shared" si="130"/>
        <v>0</v>
      </c>
      <c r="K96">
        <f t="shared" si="130"/>
        <v>0</v>
      </c>
      <c r="M96" s="8" t="str">
        <f>Tank3!A116</f>
        <v>AAAAAAA</v>
      </c>
      <c r="N96" s="8" t="str">
        <f>Tank3!E116</f>
        <v/>
      </c>
      <c r="O96" s="8" t="str">
        <f>Tank3!F116</f>
        <v/>
      </c>
      <c r="P96">
        <f t="shared" si="131"/>
        <v>0</v>
      </c>
      <c r="Q96">
        <f t="shared" si="131"/>
        <v>0</v>
      </c>
      <c r="S96" s="8" t="str">
        <f>Tank4!A116</f>
        <v>AAAAAAA</v>
      </c>
      <c r="T96" s="8" t="str">
        <f>Tank4!E116</f>
        <v/>
      </c>
      <c r="U96" s="8" t="str">
        <f>Tank4!F116</f>
        <v/>
      </c>
      <c r="V96">
        <f t="shared" si="132"/>
        <v>0</v>
      </c>
      <c r="W96">
        <f t="shared" si="132"/>
        <v>0</v>
      </c>
      <c r="Y96" s="8" t="str">
        <f>Tank5!A116</f>
        <v>AAAAAAA</v>
      </c>
      <c r="Z96" s="8" t="str">
        <f>Tank5!E116</f>
        <v/>
      </c>
      <c r="AA96" s="8" t="str">
        <f>Tank5!F116</f>
        <v/>
      </c>
      <c r="AB96">
        <f t="shared" si="133"/>
        <v>0</v>
      </c>
      <c r="AC96">
        <f t="shared" si="133"/>
        <v>0</v>
      </c>
      <c r="AE96" s="8" t="str">
        <f>Hidden!CC79</f>
        <v/>
      </c>
      <c r="AF96">
        <f t="shared" si="134"/>
        <v>0</v>
      </c>
      <c r="AG96">
        <f t="shared" si="135"/>
        <v>0</v>
      </c>
      <c r="AH96">
        <f t="shared" si="136"/>
        <v>0</v>
      </c>
      <c r="AI96">
        <f t="shared" si="137"/>
        <v>0</v>
      </c>
      <c r="AJ96">
        <f t="shared" si="138"/>
        <v>0</v>
      </c>
      <c r="AK96">
        <f t="shared" si="139"/>
        <v>0</v>
      </c>
      <c r="AL96">
        <f t="shared" si="140"/>
        <v>0</v>
      </c>
      <c r="AM96">
        <f t="shared" si="141"/>
        <v>0</v>
      </c>
      <c r="AN96">
        <f t="shared" si="142"/>
        <v>0</v>
      </c>
      <c r="AO96">
        <f t="shared" si="143"/>
        <v>0</v>
      </c>
      <c r="BJ96" s="8" t="str">
        <f>Tank1!A116</f>
        <v>AAAAAAA</v>
      </c>
      <c r="BK96" s="8" t="str">
        <f>Tank1!E116</f>
        <v/>
      </c>
      <c r="BL96" s="8" t="str">
        <f>Tank1!F116</f>
        <v/>
      </c>
      <c r="BM96" s="8">
        <f t="shared" si="144"/>
        <v>0</v>
      </c>
      <c r="BN96" s="8">
        <f t="shared" si="145"/>
        <v>0</v>
      </c>
      <c r="BO96" s="8"/>
      <c r="BP96" s="8" t="str">
        <f>Tank2!A116</f>
        <v>AAAAAAA</v>
      </c>
      <c r="BQ96" s="8" t="str">
        <f>Tank2!E116</f>
        <v/>
      </c>
      <c r="BR96" s="8" t="str">
        <f>Tank2!F116</f>
        <v/>
      </c>
      <c r="BS96" s="8">
        <f t="shared" si="146"/>
        <v>0</v>
      </c>
      <c r="BT96" s="8">
        <f t="shared" si="147"/>
        <v>0</v>
      </c>
      <c r="BU96" s="8"/>
      <c r="BV96" s="8" t="str">
        <f>Tank3!A116</f>
        <v>AAAAAAA</v>
      </c>
      <c r="BW96" s="8" t="str">
        <f>Tank3!E116</f>
        <v/>
      </c>
      <c r="BX96" s="8" t="str">
        <f>Tank3!F116</f>
        <v/>
      </c>
      <c r="BY96" s="8">
        <f t="shared" si="148"/>
        <v>0</v>
      </c>
      <c r="BZ96" s="8">
        <f t="shared" si="149"/>
        <v>0</v>
      </c>
      <c r="CA96" s="8"/>
      <c r="CB96" s="8" t="str">
        <f>Tank4!A116</f>
        <v>AAAAAAA</v>
      </c>
      <c r="CC96" s="8" t="str">
        <f>Tank4!E116</f>
        <v/>
      </c>
      <c r="CD96" s="8" t="str">
        <f>Tank4!F116</f>
        <v/>
      </c>
      <c r="CE96" s="8">
        <f t="shared" si="150"/>
        <v>0</v>
      </c>
      <c r="CF96" s="8">
        <f t="shared" si="151"/>
        <v>0</v>
      </c>
      <c r="CH96" s="8" t="str">
        <f>Tank5!A116</f>
        <v>AAAAAAA</v>
      </c>
      <c r="CI96" s="8" t="str">
        <f>Tank5!E116</f>
        <v/>
      </c>
      <c r="CJ96" s="8" t="str">
        <f>Tank5!F116</f>
        <v/>
      </c>
      <c r="CK96" s="8">
        <f t="shared" si="152"/>
        <v>0</v>
      </c>
      <c r="CL96" s="8">
        <f t="shared" si="153"/>
        <v>0</v>
      </c>
      <c r="CN96" s="8" t="str">
        <f>Hidden!$CC79</f>
        <v/>
      </c>
      <c r="CO96">
        <f t="shared" si="154"/>
        <v>0</v>
      </c>
      <c r="CP96">
        <f t="shared" si="155"/>
        <v>0</v>
      </c>
      <c r="CQ96">
        <f t="shared" si="156"/>
        <v>0</v>
      </c>
      <c r="CR96">
        <f t="shared" si="157"/>
        <v>0</v>
      </c>
      <c r="CS96">
        <f t="shared" si="158"/>
        <v>0</v>
      </c>
      <c r="CT96">
        <f t="shared" si="159"/>
        <v>0</v>
      </c>
      <c r="CU96">
        <f t="shared" si="160"/>
        <v>0</v>
      </c>
      <c r="CV96">
        <f t="shared" si="161"/>
        <v>0</v>
      </c>
      <c r="CW96">
        <f t="shared" si="162"/>
        <v>0</v>
      </c>
      <c r="CX96">
        <f t="shared" si="163"/>
        <v>0</v>
      </c>
      <c r="DT96" s="77"/>
      <c r="DU96" s="8" t="str">
        <f t="shared" si="164"/>
        <v>AAAAAAAA</v>
      </c>
      <c r="DV96" s="8" t="str">
        <f t="shared" si="165"/>
        <v/>
      </c>
      <c r="DW96" s="8" t="str">
        <f t="shared" si="166"/>
        <v/>
      </c>
      <c r="DX96">
        <f t="shared" si="102"/>
        <v>0</v>
      </c>
      <c r="DY96">
        <f t="shared" si="102"/>
        <v>0</v>
      </c>
      <c r="EA96" t="str">
        <f t="shared" si="103"/>
        <v>AAAAAAAA</v>
      </c>
      <c r="EB96" t="str">
        <f t="shared" si="104"/>
        <v/>
      </c>
      <c r="EC96" t="str">
        <f t="shared" si="105"/>
        <v/>
      </c>
      <c r="ED96">
        <f t="shared" si="106"/>
        <v>0</v>
      </c>
      <c r="EE96">
        <f t="shared" si="106"/>
        <v>0</v>
      </c>
      <c r="EG96" s="8" t="str">
        <f t="shared" si="107"/>
        <v>AAAAAAAA</v>
      </c>
      <c r="EH96" s="8" t="str">
        <f t="shared" si="108"/>
        <v/>
      </c>
      <c r="EI96" s="8" t="str">
        <f t="shared" si="109"/>
        <v/>
      </c>
      <c r="EJ96">
        <f t="shared" si="110"/>
        <v>0</v>
      </c>
      <c r="EK96">
        <f t="shared" si="110"/>
        <v>0</v>
      </c>
      <c r="EM96" s="8" t="str">
        <f t="shared" si="111"/>
        <v>AAAAAAAA</v>
      </c>
      <c r="EN96" s="8" t="str">
        <f t="shared" si="112"/>
        <v/>
      </c>
      <c r="EO96" s="8" t="str">
        <f t="shared" si="113"/>
        <v/>
      </c>
      <c r="EP96">
        <f t="shared" si="114"/>
        <v>0</v>
      </c>
      <c r="EQ96">
        <f t="shared" si="114"/>
        <v>0</v>
      </c>
      <c r="ES96" s="8" t="str">
        <f t="shared" si="115"/>
        <v>AAAAAAAA</v>
      </c>
      <c r="ET96" s="8" t="str">
        <f t="shared" si="116"/>
        <v/>
      </c>
      <c r="EU96" s="8" t="str">
        <f t="shared" si="117"/>
        <v/>
      </c>
      <c r="EV96">
        <f t="shared" si="118"/>
        <v>0</v>
      </c>
      <c r="EW96">
        <f t="shared" si="118"/>
        <v>0</v>
      </c>
      <c r="EY96" s="8" t="str">
        <f>Hidden!$CG90</f>
        <v/>
      </c>
      <c r="EZ96">
        <f t="shared" si="119"/>
        <v>0</v>
      </c>
      <c r="FA96">
        <f t="shared" si="120"/>
        <v>0</v>
      </c>
      <c r="FB96">
        <f t="shared" si="121"/>
        <v>0</v>
      </c>
      <c r="FC96">
        <f t="shared" si="122"/>
        <v>0</v>
      </c>
      <c r="FD96">
        <f t="shared" si="123"/>
        <v>0</v>
      </c>
      <c r="FE96">
        <f t="shared" si="124"/>
        <v>0</v>
      </c>
      <c r="FF96">
        <f t="shared" si="125"/>
        <v>0</v>
      </c>
      <c r="FG96">
        <f t="shared" si="126"/>
        <v>0</v>
      </c>
      <c r="FH96">
        <f t="shared" si="127"/>
        <v>0</v>
      </c>
      <c r="FI96">
        <f t="shared" si="128"/>
        <v>0</v>
      </c>
    </row>
    <row r="97" spans="1:165" ht="28.5" x14ac:dyDescent="0.2">
      <c r="A97" s="8" t="str">
        <f>Tank1!A117</f>
        <v>AAAAAAAA</v>
      </c>
      <c r="B97" s="8" t="str">
        <f>Tank1!E117</f>
        <v/>
      </c>
      <c r="C97" s="8" t="str">
        <f>Tank1!F117</f>
        <v/>
      </c>
      <c r="D97" s="8">
        <f t="shared" si="129"/>
        <v>0</v>
      </c>
      <c r="E97" s="8">
        <f t="shared" si="129"/>
        <v>0</v>
      </c>
      <c r="G97" s="8" t="str">
        <f>Tank2!A117</f>
        <v>AAAAAAAA</v>
      </c>
      <c r="H97" s="8" t="str">
        <f>Tank2!E117</f>
        <v/>
      </c>
      <c r="I97" s="8" t="str">
        <f>Tank2!F117</f>
        <v/>
      </c>
      <c r="J97">
        <f t="shared" si="130"/>
        <v>0</v>
      </c>
      <c r="K97">
        <f t="shared" si="130"/>
        <v>0</v>
      </c>
      <c r="M97" s="8" t="str">
        <f>Tank3!A117</f>
        <v>AAAAAAAA</v>
      </c>
      <c r="N97" s="8" t="str">
        <f>Tank3!E117</f>
        <v/>
      </c>
      <c r="O97" s="8" t="str">
        <f>Tank3!F117</f>
        <v/>
      </c>
      <c r="P97">
        <f t="shared" si="131"/>
        <v>0</v>
      </c>
      <c r="Q97">
        <f t="shared" si="131"/>
        <v>0</v>
      </c>
      <c r="S97" s="8" t="str">
        <f>Tank4!A117</f>
        <v>AAAAAAAA</v>
      </c>
      <c r="T97" s="8" t="str">
        <f>Tank4!E117</f>
        <v/>
      </c>
      <c r="U97" s="8" t="str">
        <f>Tank4!F117</f>
        <v/>
      </c>
      <c r="V97">
        <f t="shared" si="132"/>
        <v>0</v>
      </c>
      <c r="W97">
        <f t="shared" si="132"/>
        <v>0</v>
      </c>
      <c r="Y97" s="8" t="str">
        <f>Tank5!A117</f>
        <v>AAAAAAAA</v>
      </c>
      <c r="Z97" s="8" t="str">
        <f>Tank5!E117</f>
        <v/>
      </c>
      <c r="AA97" s="8" t="str">
        <f>Tank5!F117</f>
        <v/>
      </c>
      <c r="AB97">
        <f t="shared" si="133"/>
        <v>0</v>
      </c>
      <c r="AC97">
        <f t="shared" si="133"/>
        <v>0</v>
      </c>
      <c r="AE97" s="8" t="str">
        <f>Hidden!CC80</f>
        <v/>
      </c>
      <c r="AF97">
        <f t="shared" si="134"/>
        <v>0</v>
      </c>
      <c r="AG97">
        <f t="shared" si="135"/>
        <v>0</v>
      </c>
      <c r="AH97">
        <f t="shared" si="136"/>
        <v>0</v>
      </c>
      <c r="AI97">
        <f t="shared" si="137"/>
        <v>0</v>
      </c>
      <c r="AJ97">
        <f t="shared" si="138"/>
        <v>0</v>
      </c>
      <c r="AK97">
        <f t="shared" si="139"/>
        <v>0</v>
      </c>
      <c r="AL97">
        <f t="shared" si="140"/>
        <v>0</v>
      </c>
      <c r="AM97">
        <f t="shared" si="141"/>
        <v>0</v>
      </c>
      <c r="AN97">
        <f t="shared" si="142"/>
        <v>0</v>
      </c>
      <c r="AO97">
        <f t="shared" si="143"/>
        <v>0</v>
      </c>
      <c r="BJ97" s="8" t="str">
        <f>Tank1!A117</f>
        <v>AAAAAAAA</v>
      </c>
      <c r="BK97" s="8" t="str">
        <f>Tank1!E117</f>
        <v/>
      </c>
      <c r="BL97" s="8" t="str">
        <f>Tank1!F117</f>
        <v/>
      </c>
      <c r="BM97" s="8">
        <f t="shared" si="144"/>
        <v>0</v>
      </c>
      <c r="BN97" s="8">
        <f t="shared" si="145"/>
        <v>0</v>
      </c>
      <c r="BO97" s="8"/>
      <c r="BP97" s="8" t="str">
        <f>Tank2!A117</f>
        <v>AAAAAAAA</v>
      </c>
      <c r="BQ97" s="8" t="str">
        <f>Tank2!E117</f>
        <v/>
      </c>
      <c r="BR97" s="8" t="str">
        <f>Tank2!F117</f>
        <v/>
      </c>
      <c r="BS97" s="8">
        <f t="shared" si="146"/>
        <v>0</v>
      </c>
      <c r="BT97" s="8">
        <f t="shared" si="147"/>
        <v>0</v>
      </c>
      <c r="BU97" s="8"/>
      <c r="BV97" s="8" t="str">
        <f>Tank3!A117</f>
        <v>AAAAAAAA</v>
      </c>
      <c r="BW97" s="8" t="str">
        <f>Tank3!E117</f>
        <v/>
      </c>
      <c r="BX97" s="8" t="str">
        <f>Tank3!F117</f>
        <v/>
      </c>
      <c r="BY97" s="8">
        <f t="shared" si="148"/>
        <v>0</v>
      </c>
      <c r="BZ97" s="8">
        <f t="shared" si="149"/>
        <v>0</v>
      </c>
      <c r="CA97" s="8"/>
      <c r="CB97" s="8" t="str">
        <f>Tank4!A117</f>
        <v>AAAAAAAA</v>
      </c>
      <c r="CC97" s="8" t="str">
        <f>Tank4!E117</f>
        <v/>
      </c>
      <c r="CD97" s="8" t="str">
        <f>Tank4!F117</f>
        <v/>
      </c>
      <c r="CE97" s="8">
        <f t="shared" si="150"/>
        <v>0</v>
      </c>
      <c r="CF97" s="8">
        <f t="shared" si="151"/>
        <v>0</v>
      </c>
      <c r="CH97" s="8" t="str">
        <f>Tank5!A117</f>
        <v>AAAAAAAA</v>
      </c>
      <c r="CI97" s="8" t="str">
        <f>Tank5!E117</f>
        <v/>
      </c>
      <c r="CJ97" s="8" t="str">
        <f>Tank5!F117</f>
        <v/>
      </c>
      <c r="CK97" s="8">
        <f t="shared" si="152"/>
        <v>0</v>
      </c>
      <c r="CL97" s="8">
        <f t="shared" si="153"/>
        <v>0</v>
      </c>
      <c r="CN97" s="8" t="str">
        <f>Hidden!$CC80</f>
        <v/>
      </c>
      <c r="CO97">
        <f t="shared" si="154"/>
        <v>0</v>
      </c>
      <c r="CP97">
        <f t="shared" si="155"/>
        <v>0</v>
      </c>
      <c r="CQ97">
        <f t="shared" si="156"/>
        <v>0</v>
      </c>
      <c r="CR97">
        <f t="shared" si="157"/>
        <v>0</v>
      </c>
      <c r="CS97">
        <f t="shared" si="158"/>
        <v>0</v>
      </c>
      <c r="CT97">
        <f t="shared" si="159"/>
        <v>0</v>
      </c>
      <c r="CU97">
        <f t="shared" si="160"/>
        <v>0</v>
      </c>
      <c r="CV97">
        <f t="shared" si="161"/>
        <v>0</v>
      </c>
      <c r="CW97">
        <f t="shared" si="162"/>
        <v>0</v>
      </c>
      <c r="CX97">
        <f t="shared" si="163"/>
        <v>0</v>
      </c>
      <c r="DT97" s="77"/>
      <c r="DU97" s="8" t="str">
        <f t="shared" si="164"/>
        <v>AAAAAAAAA</v>
      </c>
      <c r="DV97" s="8" t="str">
        <f t="shared" si="165"/>
        <v/>
      </c>
      <c r="DW97" s="8" t="str">
        <f t="shared" si="166"/>
        <v/>
      </c>
      <c r="DX97">
        <f t="shared" si="102"/>
        <v>0</v>
      </c>
      <c r="DY97">
        <f t="shared" si="102"/>
        <v>0</v>
      </c>
      <c r="EA97" t="str">
        <f t="shared" si="103"/>
        <v>AAAAAAAAA</v>
      </c>
      <c r="EB97" t="str">
        <f t="shared" si="104"/>
        <v/>
      </c>
      <c r="EC97" t="str">
        <f t="shared" si="105"/>
        <v/>
      </c>
      <c r="ED97">
        <f t="shared" si="106"/>
        <v>0</v>
      </c>
      <c r="EE97">
        <f t="shared" si="106"/>
        <v>0</v>
      </c>
      <c r="EG97" s="8" t="str">
        <f t="shared" si="107"/>
        <v>AAAAAAAAA</v>
      </c>
      <c r="EH97" s="8" t="str">
        <f t="shared" si="108"/>
        <v/>
      </c>
      <c r="EI97" s="8" t="str">
        <f t="shared" si="109"/>
        <v/>
      </c>
      <c r="EJ97">
        <f t="shared" si="110"/>
        <v>0</v>
      </c>
      <c r="EK97">
        <f t="shared" si="110"/>
        <v>0</v>
      </c>
      <c r="EM97" s="8" t="str">
        <f t="shared" si="111"/>
        <v>AAAAAAAAA</v>
      </c>
      <c r="EN97" s="8" t="str">
        <f t="shared" si="112"/>
        <v/>
      </c>
      <c r="EO97" s="8" t="str">
        <f t="shared" si="113"/>
        <v/>
      </c>
      <c r="EP97">
        <f t="shared" si="114"/>
        <v>0</v>
      </c>
      <c r="EQ97">
        <f t="shared" si="114"/>
        <v>0</v>
      </c>
      <c r="ES97" s="8" t="str">
        <f t="shared" si="115"/>
        <v>AAAAAAAAA</v>
      </c>
      <c r="ET97" s="8" t="str">
        <f t="shared" si="116"/>
        <v/>
      </c>
      <c r="EU97" s="8" t="str">
        <f t="shared" si="117"/>
        <v/>
      </c>
      <c r="EV97">
        <f t="shared" si="118"/>
        <v>0</v>
      </c>
      <c r="EW97">
        <f t="shared" si="118"/>
        <v>0</v>
      </c>
      <c r="EY97" s="8" t="str">
        <f>Hidden!$CG91</f>
        <v/>
      </c>
      <c r="EZ97">
        <f t="shared" si="119"/>
        <v>0</v>
      </c>
      <c r="FA97">
        <f t="shared" si="120"/>
        <v>0</v>
      </c>
      <c r="FB97">
        <f t="shared" si="121"/>
        <v>0</v>
      </c>
      <c r="FC97">
        <f t="shared" si="122"/>
        <v>0</v>
      </c>
      <c r="FD97">
        <f t="shared" si="123"/>
        <v>0</v>
      </c>
      <c r="FE97">
        <f t="shared" si="124"/>
        <v>0</v>
      </c>
      <c r="FF97">
        <f t="shared" si="125"/>
        <v>0</v>
      </c>
      <c r="FG97">
        <f t="shared" si="126"/>
        <v>0</v>
      </c>
      <c r="FH97">
        <f t="shared" si="127"/>
        <v>0</v>
      </c>
      <c r="FI97">
        <f t="shared" si="128"/>
        <v>0</v>
      </c>
    </row>
    <row r="98" spans="1:165" ht="28.5" x14ac:dyDescent="0.2">
      <c r="A98" s="8" t="str">
        <f>Tank1!A118</f>
        <v>AAAAAAAAA</v>
      </c>
      <c r="B98" s="8" t="str">
        <f>Tank1!E118</f>
        <v/>
      </c>
      <c r="C98" s="8" t="str">
        <f>Tank1!F118</f>
        <v/>
      </c>
      <c r="D98" s="8">
        <f t="shared" si="129"/>
        <v>0</v>
      </c>
      <c r="E98" s="8">
        <f t="shared" si="129"/>
        <v>0</v>
      </c>
      <c r="G98" s="8" t="str">
        <f>Tank2!A118</f>
        <v>AAAAAAAAA</v>
      </c>
      <c r="H98" s="8" t="str">
        <f>Tank2!E118</f>
        <v/>
      </c>
      <c r="I98" s="8" t="str">
        <f>Tank2!F118</f>
        <v/>
      </c>
      <c r="J98">
        <f t="shared" si="130"/>
        <v>0</v>
      </c>
      <c r="K98">
        <f t="shared" si="130"/>
        <v>0</v>
      </c>
      <c r="M98" s="8" t="str">
        <f>Tank3!A118</f>
        <v>AAAAAAAAA</v>
      </c>
      <c r="N98" s="8" t="str">
        <f>Tank3!E118</f>
        <v/>
      </c>
      <c r="O98" s="8" t="str">
        <f>Tank3!F118</f>
        <v/>
      </c>
      <c r="P98">
        <f t="shared" si="131"/>
        <v>0</v>
      </c>
      <c r="Q98">
        <f t="shared" si="131"/>
        <v>0</v>
      </c>
      <c r="S98" s="8" t="str">
        <f>Tank4!A118</f>
        <v>AAAAAAAAA</v>
      </c>
      <c r="T98" s="8" t="str">
        <f>Tank4!E118</f>
        <v/>
      </c>
      <c r="U98" s="8" t="str">
        <f>Tank4!F118</f>
        <v/>
      </c>
      <c r="V98">
        <f t="shared" si="132"/>
        <v>0</v>
      </c>
      <c r="W98">
        <f t="shared" si="132"/>
        <v>0</v>
      </c>
      <c r="Y98" s="8" t="str">
        <f>Tank5!A118</f>
        <v>AAAAAAAAA</v>
      </c>
      <c r="Z98" s="8" t="str">
        <f>Tank5!E118</f>
        <v/>
      </c>
      <c r="AA98" s="8" t="str">
        <f>Tank5!F118</f>
        <v/>
      </c>
      <c r="AB98">
        <f t="shared" si="133"/>
        <v>0</v>
      </c>
      <c r="AC98">
        <f t="shared" si="133"/>
        <v>0</v>
      </c>
      <c r="AE98" s="8" t="str">
        <f>Hidden!CC81</f>
        <v/>
      </c>
      <c r="AF98">
        <f t="shared" si="134"/>
        <v>0</v>
      </c>
      <c r="AG98">
        <f t="shared" si="135"/>
        <v>0</v>
      </c>
      <c r="AH98">
        <f t="shared" si="136"/>
        <v>0</v>
      </c>
      <c r="AI98">
        <f t="shared" si="137"/>
        <v>0</v>
      </c>
      <c r="AJ98">
        <f t="shared" si="138"/>
        <v>0</v>
      </c>
      <c r="AK98">
        <f t="shared" si="139"/>
        <v>0</v>
      </c>
      <c r="AL98">
        <f t="shared" si="140"/>
        <v>0</v>
      </c>
      <c r="AM98">
        <f t="shared" si="141"/>
        <v>0</v>
      </c>
      <c r="AN98">
        <f t="shared" si="142"/>
        <v>0</v>
      </c>
      <c r="AO98">
        <f t="shared" si="143"/>
        <v>0</v>
      </c>
      <c r="BJ98" s="8" t="str">
        <f>Tank1!A118</f>
        <v>AAAAAAAAA</v>
      </c>
      <c r="BK98" s="8" t="str">
        <f>Tank1!E118</f>
        <v/>
      </c>
      <c r="BL98" s="8" t="str">
        <f>Tank1!F118</f>
        <v/>
      </c>
      <c r="BM98" s="8">
        <f t="shared" si="144"/>
        <v>0</v>
      </c>
      <c r="BN98" s="8">
        <f t="shared" si="145"/>
        <v>0</v>
      </c>
      <c r="BO98" s="8"/>
      <c r="BP98" s="8" t="str">
        <f>Tank2!A118</f>
        <v>AAAAAAAAA</v>
      </c>
      <c r="BQ98" s="8" t="str">
        <f>Tank2!E118</f>
        <v/>
      </c>
      <c r="BR98" s="8" t="str">
        <f>Tank2!F118</f>
        <v/>
      </c>
      <c r="BS98" s="8">
        <f t="shared" si="146"/>
        <v>0</v>
      </c>
      <c r="BT98" s="8">
        <f t="shared" si="147"/>
        <v>0</v>
      </c>
      <c r="BU98" s="8"/>
      <c r="BV98" s="8" t="str">
        <f>Tank3!A118</f>
        <v>AAAAAAAAA</v>
      </c>
      <c r="BW98" s="8" t="str">
        <f>Tank3!E118</f>
        <v/>
      </c>
      <c r="BX98" s="8" t="str">
        <f>Tank3!F118</f>
        <v/>
      </c>
      <c r="BY98" s="8">
        <f t="shared" si="148"/>
        <v>0</v>
      </c>
      <c r="BZ98" s="8">
        <f t="shared" si="149"/>
        <v>0</v>
      </c>
      <c r="CA98" s="8"/>
      <c r="CB98" s="8" t="str">
        <f>Tank4!A118</f>
        <v>AAAAAAAAA</v>
      </c>
      <c r="CC98" s="8" t="str">
        <f>Tank4!E118</f>
        <v/>
      </c>
      <c r="CD98" s="8" t="str">
        <f>Tank4!F118</f>
        <v/>
      </c>
      <c r="CE98" s="8">
        <f t="shared" si="150"/>
        <v>0</v>
      </c>
      <c r="CF98" s="8">
        <f t="shared" si="151"/>
        <v>0</v>
      </c>
      <c r="CH98" s="8" t="str">
        <f>Tank5!A118</f>
        <v>AAAAAAAAA</v>
      </c>
      <c r="CI98" s="8" t="str">
        <f>Tank5!E118</f>
        <v/>
      </c>
      <c r="CJ98" s="8" t="str">
        <f>Tank5!F118</f>
        <v/>
      </c>
      <c r="CK98" s="8">
        <f t="shared" si="152"/>
        <v>0</v>
      </c>
      <c r="CL98" s="8">
        <f t="shared" si="153"/>
        <v>0</v>
      </c>
      <c r="CN98" s="8" t="str">
        <f>Hidden!$CC81</f>
        <v/>
      </c>
      <c r="CO98">
        <f t="shared" si="154"/>
        <v>0</v>
      </c>
      <c r="CP98">
        <f t="shared" si="155"/>
        <v>0</v>
      </c>
      <c r="CQ98">
        <f t="shared" si="156"/>
        <v>0</v>
      </c>
      <c r="CR98">
        <f t="shared" si="157"/>
        <v>0</v>
      </c>
      <c r="CS98">
        <f t="shared" si="158"/>
        <v>0</v>
      </c>
      <c r="CT98">
        <f t="shared" si="159"/>
        <v>0</v>
      </c>
      <c r="CU98">
        <f t="shared" si="160"/>
        <v>0</v>
      </c>
      <c r="CV98">
        <f t="shared" si="161"/>
        <v>0</v>
      </c>
      <c r="CW98">
        <f t="shared" si="162"/>
        <v>0</v>
      </c>
      <c r="CX98">
        <f t="shared" si="163"/>
        <v>0</v>
      </c>
      <c r="DT98" s="77"/>
      <c r="DU98" s="8" t="str">
        <f t="shared" si="164"/>
        <v>AAAAAAAAAA</v>
      </c>
      <c r="DV98" s="8" t="str">
        <f t="shared" si="165"/>
        <v/>
      </c>
      <c r="DW98" s="8" t="str">
        <f t="shared" si="166"/>
        <v/>
      </c>
      <c r="DX98">
        <f t="shared" si="102"/>
        <v>0</v>
      </c>
      <c r="DY98">
        <f t="shared" si="102"/>
        <v>0</v>
      </c>
      <c r="EA98" t="str">
        <f t="shared" si="103"/>
        <v>AAAAAAAAAA</v>
      </c>
      <c r="EB98" t="str">
        <f t="shared" si="104"/>
        <v/>
      </c>
      <c r="EC98" t="str">
        <f t="shared" si="105"/>
        <v/>
      </c>
      <c r="ED98">
        <f t="shared" si="106"/>
        <v>0</v>
      </c>
      <c r="EE98">
        <f t="shared" si="106"/>
        <v>0</v>
      </c>
      <c r="EG98" s="8" t="str">
        <f t="shared" si="107"/>
        <v>AAAAAAAAAA</v>
      </c>
      <c r="EH98" s="8" t="str">
        <f t="shared" si="108"/>
        <v/>
      </c>
      <c r="EI98" s="8" t="str">
        <f t="shared" si="109"/>
        <v/>
      </c>
      <c r="EJ98">
        <f t="shared" si="110"/>
        <v>0</v>
      </c>
      <c r="EK98">
        <f t="shared" si="110"/>
        <v>0</v>
      </c>
      <c r="EM98" s="8" t="str">
        <f t="shared" si="111"/>
        <v>AAAAAAAAAA</v>
      </c>
      <c r="EN98" s="8" t="str">
        <f t="shared" si="112"/>
        <v/>
      </c>
      <c r="EO98" s="8" t="str">
        <f t="shared" si="113"/>
        <v/>
      </c>
      <c r="EP98">
        <f t="shared" si="114"/>
        <v>0</v>
      </c>
      <c r="EQ98">
        <f t="shared" si="114"/>
        <v>0</v>
      </c>
      <c r="ES98" s="8" t="str">
        <f t="shared" si="115"/>
        <v>AAAAAAAAAA</v>
      </c>
      <c r="ET98" s="8" t="str">
        <f t="shared" si="116"/>
        <v/>
      </c>
      <c r="EU98" s="8" t="str">
        <f t="shared" si="117"/>
        <v/>
      </c>
      <c r="EV98">
        <f t="shared" si="118"/>
        <v>0</v>
      </c>
      <c r="EW98">
        <f t="shared" si="118"/>
        <v>0</v>
      </c>
      <c r="EY98" s="8" t="str">
        <f>Hidden!$CG92</f>
        <v/>
      </c>
      <c r="EZ98">
        <f t="shared" si="119"/>
        <v>0</v>
      </c>
      <c r="FA98">
        <f t="shared" si="120"/>
        <v>0</v>
      </c>
      <c r="FB98">
        <f t="shared" si="121"/>
        <v>0</v>
      </c>
      <c r="FC98">
        <f t="shared" si="122"/>
        <v>0</v>
      </c>
      <c r="FD98">
        <f t="shared" si="123"/>
        <v>0</v>
      </c>
      <c r="FE98">
        <f t="shared" si="124"/>
        <v>0</v>
      </c>
      <c r="FF98">
        <f t="shared" si="125"/>
        <v>0</v>
      </c>
      <c r="FG98">
        <f t="shared" si="126"/>
        <v>0</v>
      </c>
      <c r="FH98">
        <f t="shared" si="127"/>
        <v>0</v>
      </c>
      <c r="FI98">
        <f t="shared" si="128"/>
        <v>0</v>
      </c>
    </row>
    <row r="99" spans="1:165" x14ac:dyDescent="0.2">
      <c r="A99" s="8" t="str">
        <f>Tank1!A119</f>
        <v>AAAAAAAAAA</v>
      </c>
      <c r="B99" s="8" t="str">
        <f>Tank1!E119</f>
        <v/>
      </c>
      <c r="C99" s="8" t="str">
        <f>Tank1!F119</f>
        <v/>
      </c>
      <c r="D99" s="8">
        <f t="shared" si="129"/>
        <v>0</v>
      </c>
      <c r="E99" s="8">
        <f t="shared" si="129"/>
        <v>0</v>
      </c>
      <c r="G99" s="8" t="str">
        <f>Tank2!A119</f>
        <v>AAAAAAAAAA</v>
      </c>
      <c r="H99" s="8" t="str">
        <f>Tank2!E119</f>
        <v/>
      </c>
      <c r="I99" s="8" t="str">
        <f>Tank2!F119</f>
        <v/>
      </c>
      <c r="J99">
        <f t="shared" si="130"/>
        <v>0</v>
      </c>
      <c r="K99">
        <f t="shared" si="130"/>
        <v>0</v>
      </c>
      <c r="M99" s="8" t="str">
        <f>Tank3!A119</f>
        <v>AAAAAAAAAA</v>
      </c>
      <c r="N99" s="8" t="str">
        <f>Tank3!E119</f>
        <v/>
      </c>
      <c r="O99" s="8" t="str">
        <f>Tank3!F119</f>
        <v/>
      </c>
      <c r="P99">
        <f t="shared" si="131"/>
        <v>0</v>
      </c>
      <c r="Q99">
        <f t="shared" si="131"/>
        <v>0</v>
      </c>
      <c r="S99" s="8" t="str">
        <f>Tank4!A119</f>
        <v>AAAAAAAAAA</v>
      </c>
      <c r="T99" s="8" t="str">
        <f>Tank4!E119</f>
        <v/>
      </c>
      <c r="U99" s="8" t="str">
        <f>Tank4!F119</f>
        <v/>
      </c>
      <c r="V99">
        <f t="shared" si="132"/>
        <v>0</v>
      </c>
      <c r="W99">
        <f t="shared" si="132"/>
        <v>0</v>
      </c>
      <c r="Y99" s="8" t="str">
        <f>Tank5!A119</f>
        <v>AAAAAAAAAA</v>
      </c>
      <c r="Z99" s="8" t="str">
        <f>Tank5!E119</f>
        <v/>
      </c>
      <c r="AA99" s="8" t="str">
        <f>Tank5!F119</f>
        <v/>
      </c>
      <c r="AB99">
        <f t="shared" si="133"/>
        <v>0</v>
      </c>
      <c r="AC99">
        <f t="shared" si="133"/>
        <v>0</v>
      </c>
      <c r="AE99" s="8" t="str">
        <f>Hidden!CC82</f>
        <v/>
      </c>
      <c r="AF99">
        <f t="shared" si="134"/>
        <v>0</v>
      </c>
      <c r="AG99">
        <f t="shared" si="135"/>
        <v>0</v>
      </c>
      <c r="AH99">
        <f t="shared" si="136"/>
        <v>0</v>
      </c>
      <c r="AI99">
        <f t="shared" si="137"/>
        <v>0</v>
      </c>
      <c r="AJ99">
        <f t="shared" si="138"/>
        <v>0</v>
      </c>
      <c r="AK99">
        <f t="shared" si="139"/>
        <v>0</v>
      </c>
      <c r="AL99">
        <f t="shared" si="140"/>
        <v>0</v>
      </c>
      <c r="AM99">
        <f t="shared" si="141"/>
        <v>0</v>
      </c>
      <c r="AN99">
        <f t="shared" si="142"/>
        <v>0</v>
      </c>
      <c r="AO99">
        <f t="shared" si="143"/>
        <v>0</v>
      </c>
      <c r="BJ99" s="8" t="str">
        <f>Tank1!A119</f>
        <v>AAAAAAAAAA</v>
      </c>
      <c r="BK99" s="8" t="str">
        <f>Tank1!E119</f>
        <v/>
      </c>
      <c r="BL99" s="8" t="str">
        <f>Tank1!F119</f>
        <v/>
      </c>
      <c r="BM99" s="8">
        <f t="shared" si="144"/>
        <v>0</v>
      </c>
      <c r="BN99" s="8">
        <f t="shared" si="145"/>
        <v>0</v>
      </c>
      <c r="BO99" s="8"/>
      <c r="BP99" s="8" t="str">
        <f>Tank2!A119</f>
        <v>AAAAAAAAAA</v>
      </c>
      <c r="BQ99" s="8" t="str">
        <f>Tank2!E119</f>
        <v/>
      </c>
      <c r="BR99" s="8" t="str">
        <f>Tank2!F119</f>
        <v/>
      </c>
      <c r="BS99" s="8">
        <f t="shared" si="146"/>
        <v>0</v>
      </c>
      <c r="BT99" s="8">
        <f t="shared" si="147"/>
        <v>0</v>
      </c>
      <c r="BU99" s="8"/>
      <c r="BV99" s="8" t="str">
        <f>Tank3!A119</f>
        <v>AAAAAAAAAA</v>
      </c>
      <c r="BW99" s="8" t="str">
        <f>Tank3!E119</f>
        <v/>
      </c>
      <c r="BX99" s="8" t="str">
        <f>Tank3!F119</f>
        <v/>
      </c>
      <c r="BY99" s="8">
        <f t="shared" si="148"/>
        <v>0</v>
      </c>
      <c r="BZ99" s="8">
        <f t="shared" si="149"/>
        <v>0</v>
      </c>
      <c r="CA99" s="8"/>
      <c r="CB99" s="8" t="str">
        <f>Tank4!A119</f>
        <v>AAAAAAAAAA</v>
      </c>
      <c r="CC99" s="8" t="str">
        <f>Tank4!E119</f>
        <v/>
      </c>
      <c r="CD99" s="8" t="str">
        <f>Tank4!F119</f>
        <v/>
      </c>
      <c r="CE99" s="8">
        <f t="shared" si="150"/>
        <v>0</v>
      </c>
      <c r="CF99" s="8">
        <f t="shared" si="151"/>
        <v>0</v>
      </c>
      <c r="CH99" s="8" t="str">
        <f>Tank5!A119</f>
        <v>AAAAAAAAAA</v>
      </c>
      <c r="CI99" s="8" t="str">
        <f>Tank5!E119</f>
        <v/>
      </c>
      <c r="CJ99" s="8" t="str">
        <f>Tank5!F119</f>
        <v/>
      </c>
      <c r="CK99" s="8">
        <f t="shared" si="152"/>
        <v>0</v>
      </c>
      <c r="CL99" s="8">
        <f t="shared" si="153"/>
        <v>0</v>
      </c>
      <c r="CN99" s="8" t="str">
        <f>Hidden!$CC82</f>
        <v/>
      </c>
      <c r="CO99">
        <f t="shared" si="154"/>
        <v>0</v>
      </c>
      <c r="CP99">
        <f t="shared" si="155"/>
        <v>0</v>
      </c>
      <c r="CQ99">
        <f t="shared" si="156"/>
        <v>0</v>
      </c>
      <c r="CR99">
        <f t="shared" si="157"/>
        <v>0</v>
      </c>
      <c r="CS99">
        <f t="shared" si="158"/>
        <v>0</v>
      </c>
      <c r="CT99">
        <f t="shared" si="159"/>
        <v>0</v>
      </c>
      <c r="CU99">
        <f t="shared" si="160"/>
        <v>0</v>
      </c>
      <c r="CV99">
        <f t="shared" si="161"/>
        <v>0</v>
      </c>
      <c r="CW99">
        <f t="shared" si="162"/>
        <v>0</v>
      </c>
      <c r="CX99">
        <f t="shared" si="163"/>
        <v>0</v>
      </c>
      <c r="DT99" s="77"/>
      <c r="DU99" s="8" t="str">
        <f t="shared" si="164"/>
        <v>A</v>
      </c>
      <c r="DV99" s="8" t="str">
        <f t="shared" si="165"/>
        <v/>
      </c>
      <c r="DW99" s="8" t="str">
        <f t="shared" si="166"/>
        <v/>
      </c>
      <c r="DX99">
        <f t="shared" si="102"/>
        <v>0</v>
      </c>
      <c r="DY99">
        <f t="shared" si="102"/>
        <v>0</v>
      </c>
      <c r="EA99" t="str">
        <f t="shared" si="103"/>
        <v>A</v>
      </c>
      <c r="EB99" t="str">
        <f t="shared" si="104"/>
        <v/>
      </c>
      <c r="EC99" t="str">
        <f t="shared" si="105"/>
        <v/>
      </c>
      <c r="ED99">
        <f t="shared" si="106"/>
        <v>0</v>
      </c>
      <c r="EE99">
        <f t="shared" si="106"/>
        <v>0</v>
      </c>
      <c r="EG99" s="8" t="str">
        <f t="shared" si="107"/>
        <v>A</v>
      </c>
      <c r="EH99" s="8" t="str">
        <f t="shared" si="108"/>
        <v/>
      </c>
      <c r="EI99" s="8" t="str">
        <f t="shared" si="109"/>
        <v/>
      </c>
      <c r="EJ99">
        <f t="shared" si="110"/>
        <v>0</v>
      </c>
      <c r="EK99">
        <f t="shared" si="110"/>
        <v>0</v>
      </c>
      <c r="EM99" s="8" t="str">
        <f t="shared" si="111"/>
        <v>A</v>
      </c>
      <c r="EN99" s="8" t="str">
        <f t="shared" si="112"/>
        <v/>
      </c>
      <c r="EO99" s="8" t="str">
        <f t="shared" si="113"/>
        <v/>
      </c>
      <c r="EP99">
        <f t="shared" si="114"/>
        <v>0</v>
      </c>
      <c r="EQ99">
        <f t="shared" si="114"/>
        <v>0</v>
      </c>
      <c r="ES99" s="8" t="str">
        <f t="shared" si="115"/>
        <v>A</v>
      </c>
      <c r="ET99" s="8" t="str">
        <f t="shared" si="116"/>
        <v/>
      </c>
      <c r="EU99" s="8" t="str">
        <f t="shared" si="117"/>
        <v/>
      </c>
      <c r="EV99">
        <f t="shared" si="118"/>
        <v>0</v>
      </c>
      <c r="EW99">
        <f t="shared" si="118"/>
        <v>0</v>
      </c>
      <c r="EY99" s="8" t="str">
        <f>Hidden!$CG93</f>
        <v/>
      </c>
      <c r="EZ99">
        <f t="shared" si="119"/>
        <v>0</v>
      </c>
      <c r="FA99">
        <f t="shared" si="120"/>
        <v>0</v>
      </c>
      <c r="FB99">
        <f t="shared" si="121"/>
        <v>0</v>
      </c>
      <c r="FC99">
        <f t="shared" si="122"/>
        <v>0</v>
      </c>
      <c r="FD99">
        <f t="shared" si="123"/>
        <v>0</v>
      </c>
      <c r="FE99">
        <f t="shared" si="124"/>
        <v>0</v>
      </c>
      <c r="FF99">
        <f t="shared" si="125"/>
        <v>0</v>
      </c>
      <c r="FG99">
        <f t="shared" si="126"/>
        <v>0</v>
      </c>
      <c r="FH99">
        <f t="shared" si="127"/>
        <v>0</v>
      </c>
      <c r="FI99">
        <f t="shared" si="128"/>
        <v>0</v>
      </c>
    </row>
    <row r="100" spans="1:165" x14ac:dyDescent="0.2">
      <c r="A100" s="8" t="str">
        <f>Tank1!A121</f>
        <v>A</v>
      </c>
      <c r="B100" s="8" t="str">
        <f>Tank1!E121</f>
        <v/>
      </c>
      <c r="C100" s="8" t="str">
        <f>Tank1!F121</f>
        <v/>
      </c>
      <c r="D100" s="8">
        <f t="shared" si="129"/>
        <v>0</v>
      </c>
      <c r="E100" s="8">
        <f t="shared" si="129"/>
        <v>0</v>
      </c>
      <c r="G100" s="8" t="str">
        <f>Tank2!A121</f>
        <v>A</v>
      </c>
      <c r="H100" s="8" t="str">
        <f>Tank2!E121</f>
        <v/>
      </c>
      <c r="I100" s="8" t="str">
        <f>Tank2!F121</f>
        <v/>
      </c>
      <c r="J100">
        <f t="shared" si="130"/>
        <v>0</v>
      </c>
      <c r="K100">
        <f t="shared" si="130"/>
        <v>0</v>
      </c>
      <c r="M100" s="8" t="str">
        <f>Tank3!A121</f>
        <v>A</v>
      </c>
      <c r="N100" s="8" t="str">
        <f>Tank3!E121</f>
        <v/>
      </c>
      <c r="O100" s="8" t="str">
        <f>Tank3!F121</f>
        <v/>
      </c>
      <c r="P100">
        <f t="shared" si="131"/>
        <v>0</v>
      </c>
      <c r="Q100">
        <f t="shared" si="131"/>
        <v>0</v>
      </c>
      <c r="S100" s="8" t="str">
        <f>Tank4!A121</f>
        <v>A</v>
      </c>
      <c r="T100" s="8" t="str">
        <f>Tank4!E121</f>
        <v/>
      </c>
      <c r="U100" s="8" t="str">
        <f>Tank4!F121</f>
        <v/>
      </c>
      <c r="V100">
        <f t="shared" si="132"/>
        <v>0</v>
      </c>
      <c r="W100">
        <f t="shared" si="132"/>
        <v>0</v>
      </c>
      <c r="Y100" s="8" t="str">
        <f>Tank5!A121</f>
        <v>A</v>
      </c>
      <c r="Z100" s="8" t="str">
        <f>Tank5!E121</f>
        <v/>
      </c>
      <c r="AA100" s="8" t="str">
        <f>Tank5!F121</f>
        <v/>
      </c>
      <c r="AB100">
        <f t="shared" si="133"/>
        <v>0</v>
      </c>
      <c r="AC100">
        <f t="shared" si="133"/>
        <v>0</v>
      </c>
      <c r="AE100" s="8" t="str">
        <f>Hidden!CC83</f>
        <v/>
      </c>
      <c r="AF100">
        <f t="shared" si="134"/>
        <v>0</v>
      </c>
      <c r="AG100">
        <f t="shared" si="135"/>
        <v>0</v>
      </c>
      <c r="AH100">
        <f t="shared" si="136"/>
        <v>0</v>
      </c>
      <c r="AI100">
        <f t="shared" si="137"/>
        <v>0</v>
      </c>
      <c r="AJ100">
        <f t="shared" si="138"/>
        <v>0</v>
      </c>
      <c r="AK100">
        <f t="shared" si="139"/>
        <v>0</v>
      </c>
      <c r="AL100">
        <f t="shared" si="140"/>
        <v>0</v>
      </c>
      <c r="AM100">
        <f t="shared" si="141"/>
        <v>0</v>
      </c>
      <c r="AN100">
        <f t="shared" si="142"/>
        <v>0</v>
      </c>
      <c r="AO100">
        <f t="shared" si="143"/>
        <v>0</v>
      </c>
      <c r="BJ100" s="8" t="str">
        <f>Tank1!A121</f>
        <v>A</v>
      </c>
      <c r="BK100" s="8" t="str">
        <f>Tank1!E121</f>
        <v/>
      </c>
      <c r="BL100" s="8" t="str">
        <f>Tank1!F121</f>
        <v/>
      </c>
      <c r="BM100" s="8">
        <f t="shared" si="144"/>
        <v>0</v>
      </c>
      <c r="BN100" s="8">
        <f t="shared" si="145"/>
        <v>0</v>
      </c>
      <c r="BO100" s="8"/>
      <c r="BP100" s="8" t="str">
        <f>Tank2!A121</f>
        <v>A</v>
      </c>
      <c r="BQ100" s="8" t="str">
        <f>Tank2!E121</f>
        <v/>
      </c>
      <c r="BR100" s="8" t="str">
        <f>Tank2!F121</f>
        <v/>
      </c>
      <c r="BS100" s="8">
        <f t="shared" si="146"/>
        <v>0</v>
      </c>
      <c r="BT100" s="8">
        <f t="shared" si="147"/>
        <v>0</v>
      </c>
      <c r="BU100" s="8"/>
      <c r="BV100" s="8" t="str">
        <f>Tank3!A121</f>
        <v>A</v>
      </c>
      <c r="BW100" s="8" t="str">
        <f>Tank3!E121</f>
        <v/>
      </c>
      <c r="BX100" s="8" t="str">
        <f>Tank3!F121</f>
        <v/>
      </c>
      <c r="BY100" s="8">
        <f t="shared" si="148"/>
        <v>0</v>
      </c>
      <c r="BZ100" s="8">
        <f t="shared" si="149"/>
        <v>0</v>
      </c>
      <c r="CA100" s="8"/>
      <c r="CB100" s="8" t="str">
        <f>Tank4!A121</f>
        <v>A</v>
      </c>
      <c r="CC100" s="8" t="str">
        <f>Tank4!E121</f>
        <v/>
      </c>
      <c r="CD100" s="8" t="str">
        <f>Tank4!F121</f>
        <v/>
      </c>
      <c r="CE100" s="8">
        <f t="shared" si="150"/>
        <v>0</v>
      </c>
      <c r="CF100" s="8">
        <f t="shared" si="151"/>
        <v>0</v>
      </c>
      <c r="CH100" s="8" t="str">
        <f>Tank5!A121</f>
        <v>A</v>
      </c>
      <c r="CI100" s="8" t="str">
        <f>Tank5!E121</f>
        <v/>
      </c>
      <c r="CJ100" s="8" t="str">
        <f>Tank5!F121</f>
        <v/>
      </c>
      <c r="CK100" s="8">
        <f t="shared" si="152"/>
        <v>0</v>
      </c>
      <c r="CL100" s="8">
        <f t="shared" si="153"/>
        <v>0</v>
      </c>
      <c r="CN100" s="8" t="str">
        <f>Hidden!$CC83</f>
        <v/>
      </c>
      <c r="CO100">
        <f t="shared" si="154"/>
        <v>0</v>
      </c>
      <c r="CP100">
        <f t="shared" si="155"/>
        <v>0</v>
      </c>
      <c r="CQ100">
        <f t="shared" si="156"/>
        <v>0</v>
      </c>
      <c r="CR100">
        <f t="shared" si="157"/>
        <v>0</v>
      </c>
      <c r="CS100">
        <f t="shared" si="158"/>
        <v>0</v>
      </c>
      <c r="CT100">
        <f t="shared" si="159"/>
        <v>0</v>
      </c>
      <c r="CU100">
        <f t="shared" si="160"/>
        <v>0</v>
      </c>
      <c r="CV100">
        <f t="shared" si="161"/>
        <v>0</v>
      </c>
      <c r="CW100">
        <f t="shared" si="162"/>
        <v>0</v>
      </c>
      <c r="CX100">
        <f t="shared" si="163"/>
        <v>0</v>
      </c>
      <c r="DT100" s="77"/>
      <c r="DU100" s="8" t="str">
        <f t="shared" si="164"/>
        <v>AA</v>
      </c>
      <c r="DV100" s="8" t="str">
        <f t="shared" si="165"/>
        <v/>
      </c>
      <c r="DW100" s="8" t="str">
        <f t="shared" si="166"/>
        <v/>
      </c>
      <c r="DX100">
        <f t="shared" si="102"/>
        <v>0</v>
      </c>
      <c r="DY100">
        <f t="shared" si="102"/>
        <v>0</v>
      </c>
      <c r="EA100" t="str">
        <f t="shared" si="103"/>
        <v>AA</v>
      </c>
      <c r="EB100" t="str">
        <f t="shared" si="104"/>
        <v/>
      </c>
      <c r="EC100" t="str">
        <f t="shared" si="105"/>
        <v/>
      </c>
      <c r="ED100">
        <f t="shared" si="106"/>
        <v>0</v>
      </c>
      <c r="EE100">
        <f t="shared" si="106"/>
        <v>0</v>
      </c>
      <c r="EG100" s="8" t="str">
        <f t="shared" si="107"/>
        <v>AA</v>
      </c>
      <c r="EH100" s="8" t="str">
        <f t="shared" si="108"/>
        <v/>
      </c>
      <c r="EI100" s="8" t="str">
        <f t="shared" si="109"/>
        <v/>
      </c>
      <c r="EJ100">
        <f t="shared" si="110"/>
        <v>0</v>
      </c>
      <c r="EK100">
        <f t="shared" si="110"/>
        <v>0</v>
      </c>
      <c r="EM100" s="8" t="str">
        <f t="shared" si="111"/>
        <v>AA</v>
      </c>
      <c r="EN100" s="8" t="str">
        <f t="shared" si="112"/>
        <v/>
      </c>
      <c r="EO100" s="8" t="str">
        <f t="shared" si="113"/>
        <v/>
      </c>
      <c r="EP100">
        <f t="shared" si="114"/>
        <v>0</v>
      </c>
      <c r="EQ100">
        <f t="shared" si="114"/>
        <v>0</v>
      </c>
      <c r="ES100" s="8" t="str">
        <f t="shared" si="115"/>
        <v>AA</v>
      </c>
      <c r="ET100" s="8" t="str">
        <f t="shared" si="116"/>
        <v/>
      </c>
      <c r="EU100" s="8" t="str">
        <f t="shared" si="117"/>
        <v/>
      </c>
      <c r="EV100">
        <f t="shared" si="118"/>
        <v>0</v>
      </c>
      <c r="EW100">
        <f t="shared" si="118"/>
        <v>0</v>
      </c>
      <c r="EY100" s="8" t="str">
        <f>Hidden!$CG94</f>
        <v/>
      </c>
      <c r="EZ100">
        <f t="shared" si="119"/>
        <v>0</v>
      </c>
      <c r="FA100">
        <f t="shared" si="120"/>
        <v>0</v>
      </c>
      <c r="FB100">
        <f t="shared" si="121"/>
        <v>0</v>
      </c>
      <c r="FC100">
        <f t="shared" si="122"/>
        <v>0</v>
      </c>
      <c r="FD100">
        <f t="shared" si="123"/>
        <v>0</v>
      </c>
      <c r="FE100">
        <f t="shared" si="124"/>
        <v>0</v>
      </c>
      <c r="FF100">
        <f t="shared" si="125"/>
        <v>0</v>
      </c>
      <c r="FG100">
        <f t="shared" si="126"/>
        <v>0</v>
      </c>
      <c r="FH100">
        <f t="shared" si="127"/>
        <v>0</v>
      </c>
      <c r="FI100">
        <f t="shared" si="128"/>
        <v>0</v>
      </c>
    </row>
    <row r="101" spans="1:165" x14ac:dyDescent="0.2">
      <c r="A101" s="8" t="str">
        <f>Tank1!A122</f>
        <v>AA</v>
      </c>
      <c r="B101" s="8" t="str">
        <f>Tank1!E122</f>
        <v/>
      </c>
      <c r="C101" s="8" t="str">
        <f>Tank1!F122</f>
        <v/>
      </c>
      <c r="D101" s="8">
        <f t="shared" si="129"/>
        <v>0</v>
      </c>
      <c r="E101" s="8">
        <f t="shared" si="129"/>
        <v>0</v>
      </c>
      <c r="G101" s="8" t="str">
        <f>Tank2!A122</f>
        <v>AA</v>
      </c>
      <c r="H101" s="8" t="str">
        <f>Tank2!E122</f>
        <v/>
      </c>
      <c r="I101" s="8" t="str">
        <f>Tank2!F122</f>
        <v/>
      </c>
      <c r="J101">
        <f t="shared" si="130"/>
        <v>0</v>
      </c>
      <c r="K101">
        <f t="shared" si="130"/>
        <v>0</v>
      </c>
      <c r="M101" s="8" t="str">
        <f>Tank3!A122</f>
        <v>AA</v>
      </c>
      <c r="N101" s="8" t="str">
        <f>Tank3!E122</f>
        <v/>
      </c>
      <c r="O101" s="8" t="str">
        <f>Tank3!F122</f>
        <v/>
      </c>
      <c r="P101">
        <f t="shared" si="131"/>
        <v>0</v>
      </c>
      <c r="Q101">
        <f t="shared" si="131"/>
        <v>0</v>
      </c>
      <c r="S101" s="8" t="str">
        <f>Tank4!A122</f>
        <v>AA</v>
      </c>
      <c r="T101" s="8" t="str">
        <f>Tank4!E122</f>
        <v/>
      </c>
      <c r="U101" s="8" t="str">
        <f>Tank4!F122</f>
        <v/>
      </c>
      <c r="V101">
        <f t="shared" si="132"/>
        <v>0</v>
      </c>
      <c r="W101">
        <f t="shared" si="132"/>
        <v>0</v>
      </c>
      <c r="Y101" s="8" t="str">
        <f>Tank5!A122</f>
        <v>AA</v>
      </c>
      <c r="Z101" s="8" t="str">
        <f>Tank5!E122</f>
        <v/>
      </c>
      <c r="AA101" s="8" t="str">
        <f>Tank5!F122</f>
        <v/>
      </c>
      <c r="AB101">
        <f t="shared" si="133"/>
        <v>0</v>
      </c>
      <c r="AC101">
        <f t="shared" si="133"/>
        <v>0</v>
      </c>
      <c r="AE101" s="8" t="str">
        <f>Hidden!CC84</f>
        <v/>
      </c>
      <c r="AF101">
        <f t="shared" si="134"/>
        <v>0</v>
      </c>
      <c r="AG101">
        <f t="shared" si="135"/>
        <v>0</v>
      </c>
      <c r="AH101">
        <f t="shared" si="136"/>
        <v>0</v>
      </c>
      <c r="AI101">
        <f t="shared" si="137"/>
        <v>0</v>
      </c>
      <c r="AJ101">
        <f t="shared" si="138"/>
        <v>0</v>
      </c>
      <c r="AK101">
        <f t="shared" si="139"/>
        <v>0</v>
      </c>
      <c r="AL101">
        <f t="shared" si="140"/>
        <v>0</v>
      </c>
      <c r="AM101">
        <f t="shared" si="141"/>
        <v>0</v>
      </c>
      <c r="AN101">
        <f t="shared" si="142"/>
        <v>0</v>
      </c>
      <c r="AO101">
        <f t="shared" si="143"/>
        <v>0</v>
      </c>
      <c r="BJ101" s="8" t="str">
        <f>Tank1!A122</f>
        <v>AA</v>
      </c>
      <c r="BK101" s="8" t="str">
        <f>Tank1!E122</f>
        <v/>
      </c>
      <c r="BL101" s="8" t="str">
        <f>Tank1!F122</f>
        <v/>
      </c>
      <c r="BM101" s="8">
        <f t="shared" si="144"/>
        <v>0</v>
      </c>
      <c r="BN101" s="8">
        <f t="shared" si="145"/>
        <v>0</v>
      </c>
      <c r="BO101" s="8"/>
      <c r="BP101" s="8" t="str">
        <f>Tank2!A122</f>
        <v>AA</v>
      </c>
      <c r="BQ101" s="8" t="str">
        <f>Tank2!E122</f>
        <v/>
      </c>
      <c r="BR101" s="8" t="str">
        <f>Tank2!F122</f>
        <v/>
      </c>
      <c r="BS101" s="8">
        <f t="shared" si="146"/>
        <v>0</v>
      </c>
      <c r="BT101" s="8">
        <f t="shared" si="147"/>
        <v>0</v>
      </c>
      <c r="BU101" s="8"/>
      <c r="BV101" s="8" t="str">
        <f>Tank3!A122</f>
        <v>AA</v>
      </c>
      <c r="BW101" s="8" t="str">
        <f>Tank3!E122</f>
        <v/>
      </c>
      <c r="BX101" s="8" t="str">
        <f>Tank3!F122</f>
        <v/>
      </c>
      <c r="BY101" s="8">
        <f t="shared" si="148"/>
        <v>0</v>
      </c>
      <c r="BZ101" s="8">
        <f t="shared" si="149"/>
        <v>0</v>
      </c>
      <c r="CA101" s="8"/>
      <c r="CB101" s="8" t="str">
        <f>Tank4!A122</f>
        <v>AA</v>
      </c>
      <c r="CC101" s="8" t="str">
        <f>Tank4!E122</f>
        <v/>
      </c>
      <c r="CD101" s="8" t="str">
        <f>Tank4!F122</f>
        <v/>
      </c>
      <c r="CE101" s="8">
        <f t="shared" si="150"/>
        <v>0</v>
      </c>
      <c r="CF101" s="8">
        <f t="shared" si="151"/>
        <v>0</v>
      </c>
      <c r="CH101" s="8" t="str">
        <f>Tank5!A122</f>
        <v>AA</v>
      </c>
      <c r="CI101" s="8" t="str">
        <f>Tank5!E122</f>
        <v/>
      </c>
      <c r="CJ101" s="8" t="str">
        <f>Tank5!F122</f>
        <v/>
      </c>
      <c r="CK101" s="8">
        <f t="shared" si="152"/>
        <v>0</v>
      </c>
      <c r="CL101" s="8">
        <f t="shared" si="153"/>
        <v>0</v>
      </c>
      <c r="CN101" s="8" t="str">
        <f>Hidden!$CC84</f>
        <v/>
      </c>
      <c r="CO101">
        <f t="shared" si="154"/>
        <v>0</v>
      </c>
      <c r="CP101">
        <f t="shared" si="155"/>
        <v>0</v>
      </c>
      <c r="CQ101">
        <f t="shared" si="156"/>
        <v>0</v>
      </c>
      <c r="CR101">
        <f t="shared" si="157"/>
        <v>0</v>
      </c>
      <c r="CS101">
        <f t="shared" si="158"/>
        <v>0</v>
      </c>
      <c r="CT101">
        <f t="shared" si="159"/>
        <v>0</v>
      </c>
      <c r="CU101">
        <f t="shared" si="160"/>
        <v>0</v>
      </c>
      <c r="CV101">
        <f t="shared" si="161"/>
        <v>0</v>
      </c>
      <c r="CW101">
        <f t="shared" si="162"/>
        <v>0</v>
      </c>
      <c r="CX101">
        <f t="shared" si="163"/>
        <v>0</v>
      </c>
      <c r="DT101" s="77"/>
      <c r="DU101" s="8" t="str">
        <f t="shared" si="164"/>
        <v>AAA</v>
      </c>
      <c r="DV101" s="8" t="str">
        <f t="shared" si="165"/>
        <v/>
      </c>
      <c r="DW101" s="8" t="str">
        <f t="shared" si="166"/>
        <v/>
      </c>
      <c r="DX101">
        <f t="shared" si="102"/>
        <v>0</v>
      </c>
      <c r="DY101">
        <f t="shared" si="102"/>
        <v>0</v>
      </c>
      <c r="EA101" t="str">
        <f t="shared" si="103"/>
        <v>AAA</v>
      </c>
      <c r="EB101" t="str">
        <f t="shared" si="104"/>
        <v/>
      </c>
      <c r="EC101" t="str">
        <f t="shared" si="105"/>
        <v/>
      </c>
      <c r="ED101">
        <f t="shared" si="106"/>
        <v>0</v>
      </c>
      <c r="EE101">
        <f t="shared" si="106"/>
        <v>0</v>
      </c>
      <c r="EG101" s="8" t="str">
        <f t="shared" si="107"/>
        <v>AAA</v>
      </c>
      <c r="EH101" s="8" t="str">
        <f t="shared" si="108"/>
        <v/>
      </c>
      <c r="EI101" s="8" t="str">
        <f t="shared" si="109"/>
        <v/>
      </c>
      <c r="EJ101">
        <f t="shared" si="110"/>
        <v>0</v>
      </c>
      <c r="EK101">
        <f t="shared" si="110"/>
        <v>0</v>
      </c>
      <c r="EM101" s="8" t="str">
        <f t="shared" si="111"/>
        <v>AAA</v>
      </c>
      <c r="EN101" s="8" t="str">
        <f t="shared" si="112"/>
        <v/>
      </c>
      <c r="EO101" s="8" t="str">
        <f t="shared" si="113"/>
        <v/>
      </c>
      <c r="EP101">
        <f t="shared" si="114"/>
        <v>0</v>
      </c>
      <c r="EQ101">
        <f t="shared" si="114"/>
        <v>0</v>
      </c>
      <c r="ES101" s="8" t="str">
        <f t="shared" si="115"/>
        <v>AAA</v>
      </c>
      <c r="ET101" s="8" t="str">
        <f t="shared" si="116"/>
        <v/>
      </c>
      <c r="EU101" s="8" t="str">
        <f t="shared" si="117"/>
        <v/>
      </c>
      <c r="EV101">
        <f t="shared" si="118"/>
        <v>0</v>
      </c>
      <c r="EW101">
        <f t="shared" si="118"/>
        <v>0</v>
      </c>
      <c r="EY101" s="8" t="str">
        <f>Hidden!$CG95</f>
        <v/>
      </c>
      <c r="EZ101">
        <f t="shared" si="119"/>
        <v>0</v>
      </c>
      <c r="FA101">
        <f t="shared" si="120"/>
        <v>0</v>
      </c>
      <c r="FB101">
        <f t="shared" si="121"/>
        <v>0</v>
      </c>
      <c r="FC101">
        <f t="shared" si="122"/>
        <v>0</v>
      </c>
      <c r="FD101">
        <f t="shared" si="123"/>
        <v>0</v>
      </c>
      <c r="FE101">
        <f t="shared" si="124"/>
        <v>0</v>
      </c>
      <c r="FF101">
        <f t="shared" si="125"/>
        <v>0</v>
      </c>
      <c r="FG101">
        <f t="shared" si="126"/>
        <v>0</v>
      </c>
      <c r="FH101">
        <f t="shared" si="127"/>
        <v>0</v>
      </c>
      <c r="FI101">
        <f t="shared" si="128"/>
        <v>0</v>
      </c>
    </row>
    <row r="102" spans="1:165" x14ac:dyDescent="0.2">
      <c r="A102" s="8" t="str">
        <f>Tank1!A123</f>
        <v>AAA</v>
      </c>
      <c r="B102" s="8" t="str">
        <f>Tank1!E123</f>
        <v/>
      </c>
      <c r="C102" s="8" t="str">
        <f>Tank1!F123</f>
        <v/>
      </c>
      <c r="D102" s="8">
        <f t="shared" si="129"/>
        <v>0</v>
      </c>
      <c r="E102" s="8">
        <f t="shared" si="129"/>
        <v>0</v>
      </c>
      <c r="G102" s="8" t="str">
        <f>Tank2!A123</f>
        <v>AAA</v>
      </c>
      <c r="H102" s="8" t="str">
        <f>Tank2!E123</f>
        <v/>
      </c>
      <c r="I102" s="8" t="str">
        <f>Tank2!F123</f>
        <v/>
      </c>
      <c r="J102">
        <f t="shared" si="130"/>
        <v>0</v>
      </c>
      <c r="K102">
        <f t="shared" si="130"/>
        <v>0</v>
      </c>
      <c r="M102" s="8" t="str">
        <f>Tank3!A123</f>
        <v>AAA</v>
      </c>
      <c r="N102" s="8" t="str">
        <f>Tank3!E123</f>
        <v/>
      </c>
      <c r="O102" s="8" t="str">
        <f>Tank3!F123</f>
        <v/>
      </c>
      <c r="P102">
        <f t="shared" si="131"/>
        <v>0</v>
      </c>
      <c r="Q102">
        <f t="shared" si="131"/>
        <v>0</v>
      </c>
      <c r="S102" s="8" t="str">
        <f>Tank4!A123</f>
        <v>AAA</v>
      </c>
      <c r="T102" s="8" t="str">
        <f>Tank4!E123</f>
        <v/>
      </c>
      <c r="U102" s="8" t="str">
        <f>Tank4!F123</f>
        <v/>
      </c>
      <c r="V102">
        <f t="shared" si="132"/>
        <v>0</v>
      </c>
      <c r="W102">
        <f t="shared" si="132"/>
        <v>0</v>
      </c>
      <c r="Y102" s="8" t="str">
        <f>Tank5!A123</f>
        <v>AAA</v>
      </c>
      <c r="Z102" s="8" t="str">
        <f>Tank5!E123</f>
        <v/>
      </c>
      <c r="AA102" s="8" t="str">
        <f>Tank5!F123</f>
        <v/>
      </c>
      <c r="AB102">
        <f t="shared" si="133"/>
        <v>0</v>
      </c>
      <c r="AC102">
        <f t="shared" si="133"/>
        <v>0</v>
      </c>
      <c r="AE102" s="8" t="str">
        <f>Hidden!CC85</f>
        <v/>
      </c>
      <c r="AF102">
        <f t="shared" si="134"/>
        <v>0</v>
      </c>
      <c r="AG102">
        <f t="shared" si="135"/>
        <v>0</v>
      </c>
      <c r="AH102">
        <f t="shared" si="136"/>
        <v>0</v>
      </c>
      <c r="AI102">
        <f t="shared" si="137"/>
        <v>0</v>
      </c>
      <c r="AJ102">
        <f t="shared" si="138"/>
        <v>0</v>
      </c>
      <c r="AK102">
        <f t="shared" si="139"/>
        <v>0</v>
      </c>
      <c r="AL102">
        <f t="shared" si="140"/>
        <v>0</v>
      </c>
      <c r="AM102">
        <f t="shared" si="141"/>
        <v>0</v>
      </c>
      <c r="AN102">
        <f t="shared" si="142"/>
        <v>0</v>
      </c>
      <c r="AO102">
        <f t="shared" si="143"/>
        <v>0</v>
      </c>
      <c r="BJ102" s="8" t="str">
        <f>Tank1!A123</f>
        <v>AAA</v>
      </c>
      <c r="BK102" s="8" t="str">
        <f>Tank1!E123</f>
        <v/>
      </c>
      <c r="BL102" s="8" t="str">
        <f>Tank1!F123</f>
        <v/>
      </c>
      <c r="BM102" s="8">
        <f t="shared" si="144"/>
        <v>0</v>
      </c>
      <c r="BN102" s="8">
        <f t="shared" si="145"/>
        <v>0</v>
      </c>
      <c r="BO102" s="8"/>
      <c r="BP102" s="8" t="str">
        <f>Tank2!A123</f>
        <v>AAA</v>
      </c>
      <c r="BQ102" s="8" t="str">
        <f>Tank2!E123</f>
        <v/>
      </c>
      <c r="BR102" s="8" t="str">
        <f>Tank2!F123</f>
        <v/>
      </c>
      <c r="BS102" s="8">
        <f t="shared" si="146"/>
        <v>0</v>
      </c>
      <c r="BT102" s="8">
        <f t="shared" si="147"/>
        <v>0</v>
      </c>
      <c r="BU102" s="8"/>
      <c r="BV102" s="8" t="str">
        <f>Tank3!A123</f>
        <v>AAA</v>
      </c>
      <c r="BW102" s="8" t="str">
        <f>Tank3!E123</f>
        <v/>
      </c>
      <c r="BX102" s="8" t="str">
        <f>Tank3!F123</f>
        <v/>
      </c>
      <c r="BY102" s="8">
        <f t="shared" si="148"/>
        <v>0</v>
      </c>
      <c r="BZ102" s="8">
        <f t="shared" si="149"/>
        <v>0</v>
      </c>
      <c r="CA102" s="8"/>
      <c r="CB102" s="8" t="str">
        <f>Tank4!A123</f>
        <v>AAA</v>
      </c>
      <c r="CC102" s="8" t="str">
        <f>Tank4!E123</f>
        <v/>
      </c>
      <c r="CD102" s="8" t="str">
        <f>Tank4!F123</f>
        <v/>
      </c>
      <c r="CE102" s="8">
        <f t="shared" si="150"/>
        <v>0</v>
      </c>
      <c r="CF102" s="8">
        <f t="shared" si="151"/>
        <v>0</v>
      </c>
      <c r="CH102" s="8" t="str">
        <f>Tank5!A123</f>
        <v>AAA</v>
      </c>
      <c r="CI102" s="8" t="str">
        <f>Tank5!E123</f>
        <v/>
      </c>
      <c r="CJ102" s="8" t="str">
        <f>Tank5!F123</f>
        <v/>
      </c>
      <c r="CK102" s="8">
        <f t="shared" si="152"/>
        <v>0</v>
      </c>
      <c r="CL102" s="8">
        <f t="shared" si="153"/>
        <v>0</v>
      </c>
      <c r="CN102" s="8" t="str">
        <f>Hidden!$CC85</f>
        <v/>
      </c>
      <c r="CO102">
        <f t="shared" si="154"/>
        <v>0</v>
      </c>
      <c r="CP102">
        <f t="shared" si="155"/>
        <v>0</v>
      </c>
      <c r="CQ102">
        <f t="shared" si="156"/>
        <v>0</v>
      </c>
      <c r="CR102">
        <f t="shared" si="157"/>
        <v>0</v>
      </c>
      <c r="CS102">
        <f t="shared" si="158"/>
        <v>0</v>
      </c>
      <c r="CT102">
        <f t="shared" si="159"/>
        <v>0</v>
      </c>
      <c r="CU102">
        <f t="shared" si="160"/>
        <v>0</v>
      </c>
      <c r="CV102">
        <f t="shared" si="161"/>
        <v>0</v>
      </c>
      <c r="CW102">
        <f t="shared" si="162"/>
        <v>0</v>
      </c>
      <c r="CX102">
        <f t="shared" si="163"/>
        <v>0</v>
      </c>
      <c r="DT102" s="77"/>
      <c r="DU102" s="8" t="str">
        <f t="shared" si="164"/>
        <v>AAAA</v>
      </c>
      <c r="DV102" s="8" t="str">
        <f t="shared" si="165"/>
        <v/>
      </c>
      <c r="DW102" s="8" t="str">
        <f t="shared" si="166"/>
        <v/>
      </c>
      <c r="DX102">
        <f t="shared" si="102"/>
        <v>0</v>
      </c>
      <c r="DY102">
        <f t="shared" si="102"/>
        <v>0</v>
      </c>
      <c r="EA102" t="str">
        <f t="shared" si="103"/>
        <v>AAAA</v>
      </c>
      <c r="EB102" t="str">
        <f t="shared" si="104"/>
        <v/>
      </c>
      <c r="EC102" t="str">
        <f t="shared" si="105"/>
        <v/>
      </c>
      <c r="ED102">
        <f t="shared" si="106"/>
        <v>0</v>
      </c>
      <c r="EE102">
        <f t="shared" si="106"/>
        <v>0</v>
      </c>
      <c r="EG102" s="8" t="str">
        <f t="shared" si="107"/>
        <v>AAAA</v>
      </c>
      <c r="EH102" s="8" t="str">
        <f t="shared" si="108"/>
        <v/>
      </c>
      <c r="EI102" s="8" t="str">
        <f t="shared" si="109"/>
        <v/>
      </c>
      <c r="EJ102">
        <f t="shared" si="110"/>
        <v>0</v>
      </c>
      <c r="EK102">
        <f t="shared" si="110"/>
        <v>0</v>
      </c>
      <c r="EM102" s="8" t="str">
        <f t="shared" si="111"/>
        <v>AAAA</v>
      </c>
      <c r="EN102" s="8" t="str">
        <f t="shared" si="112"/>
        <v/>
      </c>
      <c r="EO102" s="8" t="str">
        <f t="shared" si="113"/>
        <v/>
      </c>
      <c r="EP102">
        <f t="shared" si="114"/>
        <v>0</v>
      </c>
      <c r="EQ102">
        <f t="shared" si="114"/>
        <v>0</v>
      </c>
      <c r="ES102" s="8" t="str">
        <f t="shared" si="115"/>
        <v>AAAA</v>
      </c>
      <c r="ET102" s="8" t="str">
        <f t="shared" si="116"/>
        <v/>
      </c>
      <c r="EU102" s="8" t="str">
        <f t="shared" si="117"/>
        <v/>
      </c>
      <c r="EV102">
        <f t="shared" si="118"/>
        <v>0</v>
      </c>
      <c r="EW102">
        <f t="shared" si="118"/>
        <v>0</v>
      </c>
      <c r="EY102" s="8" t="str">
        <f>Hidden!$CG96</f>
        <v/>
      </c>
      <c r="EZ102">
        <f t="shared" si="119"/>
        <v>0</v>
      </c>
      <c r="FA102">
        <f t="shared" si="120"/>
        <v>0</v>
      </c>
      <c r="FB102">
        <f t="shared" si="121"/>
        <v>0</v>
      </c>
      <c r="FC102">
        <f t="shared" si="122"/>
        <v>0</v>
      </c>
      <c r="FD102">
        <f t="shared" si="123"/>
        <v>0</v>
      </c>
      <c r="FE102">
        <f t="shared" si="124"/>
        <v>0</v>
      </c>
      <c r="FF102">
        <f t="shared" si="125"/>
        <v>0</v>
      </c>
      <c r="FG102">
        <f t="shared" si="126"/>
        <v>0</v>
      </c>
      <c r="FH102">
        <f t="shared" si="127"/>
        <v>0</v>
      </c>
      <c r="FI102">
        <f t="shared" si="128"/>
        <v>0</v>
      </c>
    </row>
    <row r="103" spans="1:165" x14ac:dyDescent="0.2">
      <c r="A103" s="8" t="str">
        <f>Tank1!A124</f>
        <v>AAAA</v>
      </c>
      <c r="B103" s="8" t="str">
        <f>Tank1!E124</f>
        <v/>
      </c>
      <c r="C103" s="8" t="str">
        <f>Tank1!F124</f>
        <v/>
      </c>
      <c r="D103" s="8">
        <f t="shared" si="129"/>
        <v>0</v>
      </c>
      <c r="E103" s="8">
        <f t="shared" si="129"/>
        <v>0</v>
      </c>
      <c r="G103" s="8" t="str">
        <f>Tank2!A124</f>
        <v>AAAA</v>
      </c>
      <c r="H103" s="8" t="str">
        <f>Tank2!E124</f>
        <v/>
      </c>
      <c r="I103" s="8" t="str">
        <f>Tank2!F124</f>
        <v/>
      </c>
      <c r="J103">
        <f t="shared" si="130"/>
        <v>0</v>
      </c>
      <c r="K103">
        <f t="shared" si="130"/>
        <v>0</v>
      </c>
      <c r="M103" s="8" t="str">
        <f>Tank3!A124</f>
        <v>AAAA</v>
      </c>
      <c r="N103" s="8" t="str">
        <f>Tank3!E124</f>
        <v/>
      </c>
      <c r="O103" s="8" t="str">
        <f>Tank3!F124</f>
        <v/>
      </c>
      <c r="P103">
        <f t="shared" si="131"/>
        <v>0</v>
      </c>
      <c r="Q103">
        <f t="shared" si="131"/>
        <v>0</v>
      </c>
      <c r="S103" s="8" t="str">
        <f>Tank4!A124</f>
        <v>AAAA</v>
      </c>
      <c r="T103" s="8" t="str">
        <f>Tank4!E124</f>
        <v/>
      </c>
      <c r="U103" s="8" t="str">
        <f>Tank4!F124</f>
        <v/>
      </c>
      <c r="V103">
        <f t="shared" si="132"/>
        <v>0</v>
      </c>
      <c r="W103">
        <f t="shared" si="132"/>
        <v>0</v>
      </c>
      <c r="Y103" s="8" t="str">
        <f>Tank5!A124</f>
        <v>AAAA</v>
      </c>
      <c r="Z103" s="8" t="str">
        <f>Tank5!E124</f>
        <v/>
      </c>
      <c r="AA103" s="8" t="str">
        <f>Tank5!F124</f>
        <v/>
      </c>
      <c r="AB103">
        <f t="shared" si="133"/>
        <v>0</v>
      </c>
      <c r="AC103">
        <f t="shared" si="133"/>
        <v>0</v>
      </c>
      <c r="AE103" s="8" t="str">
        <f>Hidden!CC86</f>
        <v/>
      </c>
      <c r="AF103">
        <f t="shared" si="134"/>
        <v>0</v>
      </c>
      <c r="AG103">
        <f t="shared" si="135"/>
        <v>0</v>
      </c>
      <c r="AH103">
        <f t="shared" si="136"/>
        <v>0</v>
      </c>
      <c r="AI103">
        <f t="shared" si="137"/>
        <v>0</v>
      </c>
      <c r="AJ103">
        <f t="shared" si="138"/>
        <v>0</v>
      </c>
      <c r="AK103">
        <f t="shared" si="139"/>
        <v>0</v>
      </c>
      <c r="AL103">
        <f t="shared" si="140"/>
        <v>0</v>
      </c>
      <c r="AM103">
        <f t="shared" si="141"/>
        <v>0</v>
      </c>
      <c r="AN103">
        <f t="shared" si="142"/>
        <v>0</v>
      </c>
      <c r="AO103">
        <f t="shared" si="143"/>
        <v>0</v>
      </c>
      <c r="BJ103" s="8" t="str">
        <f>Tank1!A124</f>
        <v>AAAA</v>
      </c>
      <c r="BK103" s="8" t="str">
        <f>Tank1!E124</f>
        <v/>
      </c>
      <c r="BL103" s="8" t="str">
        <f>Tank1!F124</f>
        <v/>
      </c>
      <c r="BM103" s="8">
        <f t="shared" si="144"/>
        <v>0</v>
      </c>
      <c r="BN103" s="8">
        <f t="shared" si="145"/>
        <v>0</v>
      </c>
      <c r="BO103" s="8"/>
      <c r="BP103" s="8" t="str">
        <f>Tank2!A124</f>
        <v>AAAA</v>
      </c>
      <c r="BQ103" s="8" t="str">
        <f>Tank2!E124</f>
        <v/>
      </c>
      <c r="BR103" s="8" t="str">
        <f>Tank2!F124</f>
        <v/>
      </c>
      <c r="BS103" s="8">
        <f t="shared" si="146"/>
        <v>0</v>
      </c>
      <c r="BT103" s="8">
        <f t="shared" si="147"/>
        <v>0</v>
      </c>
      <c r="BU103" s="8"/>
      <c r="BV103" s="8" t="str">
        <f>Tank3!A124</f>
        <v>AAAA</v>
      </c>
      <c r="BW103" s="8" t="str">
        <f>Tank3!E124</f>
        <v/>
      </c>
      <c r="BX103" s="8" t="str">
        <f>Tank3!F124</f>
        <v/>
      </c>
      <c r="BY103" s="8">
        <f t="shared" si="148"/>
        <v>0</v>
      </c>
      <c r="BZ103" s="8">
        <f t="shared" si="149"/>
        <v>0</v>
      </c>
      <c r="CA103" s="8"/>
      <c r="CB103" s="8" t="str">
        <f>Tank4!A124</f>
        <v>AAAA</v>
      </c>
      <c r="CC103" s="8" t="str">
        <f>Tank4!E124</f>
        <v/>
      </c>
      <c r="CD103" s="8" t="str">
        <f>Tank4!F124</f>
        <v/>
      </c>
      <c r="CE103" s="8">
        <f t="shared" si="150"/>
        <v>0</v>
      </c>
      <c r="CF103" s="8">
        <f t="shared" si="151"/>
        <v>0</v>
      </c>
      <c r="CH103" s="8" t="str">
        <f>Tank5!A124</f>
        <v>AAAA</v>
      </c>
      <c r="CI103" s="8" t="str">
        <f>Tank5!E124</f>
        <v/>
      </c>
      <c r="CJ103" s="8" t="str">
        <f>Tank5!F124</f>
        <v/>
      </c>
      <c r="CK103" s="8">
        <f t="shared" si="152"/>
        <v>0</v>
      </c>
      <c r="CL103" s="8">
        <f t="shared" si="153"/>
        <v>0</v>
      </c>
      <c r="CN103" s="8" t="str">
        <f>Hidden!$CC86</f>
        <v/>
      </c>
      <c r="CO103">
        <f t="shared" si="154"/>
        <v>0</v>
      </c>
      <c r="CP103">
        <f t="shared" si="155"/>
        <v>0</v>
      </c>
      <c r="CQ103">
        <f t="shared" si="156"/>
        <v>0</v>
      </c>
      <c r="CR103">
        <f t="shared" si="157"/>
        <v>0</v>
      </c>
      <c r="CS103">
        <f t="shared" si="158"/>
        <v>0</v>
      </c>
      <c r="CT103">
        <f t="shared" si="159"/>
        <v>0</v>
      </c>
      <c r="CU103">
        <f t="shared" si="160"/>
        <v>0</v>
      </c>
      <c r="CV103">
        <f t="shared" si="161"/>
        <v>0</v>
      </c>
      <c r="CW103">
        <f t="shared" si="162"/>
        <v>0</v>
      </c>
      <c r="CX103">
        <f t="shared" si="163"/>
        <v>0</v>
      </c>
      <c r="DT103" s="77"/>
      <c r="DU103" s="8" t="str">
        <f t="shared" si="164"/>
        <v>AAAAA</v>
      </c>
      <c r="DV103" s="8" t="str">
        <f t="shared" si="165"/>
        <v/>
      </c>
      <c r="DW103" s="8" t="str">
        <f t="shared" si="166"/>
        <v/>
      </c>
      <c r="DX103">
        <f t="shared" si="102"/>
        <v>0</v>
      </c>
      <c r="DY103">
        <f t="shared" si="102"/>
        <v>0</v>
      </c>
      <c r="EA103" t="str">
        <f t="shared" si="103"/>
        <v>AAAAA</v>
      </c>
      <c r="EB103" t="str">
        <f t="shared" si="104"/>
        <v/>
      </c>
      <c r="EC103" t="str">
        <f t="shared" si="105"/>
        <v/>
      </c>
      <c r="ED103">
        <f t="shared" si="106"/>
        <v>0</v>
      </c>
      <c r="EE103">
        <f t="shared" si="106"/>
        <v>0</v>
      </c>
      <c r="EG103" s="8" t="str">
        <f t="shared" si="107"/>
        <v>AAAAA</v>
      </c>
      <c r="EH103" s="8" t="str">
        <f t="shared" si="108"/>
        <v/>
      </c>
      <c r="EI103" s="8" t="str">
        <f t="shared" si="109"/>
        <v/>
      </c>
      <c r="EJ103">
        <f t="shared" si="110"/>
        <v>0</v>
      </c>
      <c r="EK103">
        <f t="shared" si="110"/>
        <v>0</v>
      </c>
      <c r="EM103" s="8" t="str">
        <f t="shared" si="111"/>
        <v>AAAAA</v>
      </c>
      <c r="EN103" s="8" t="str">
        <f t="shared" si="112"/>
        <v/>
      </c>
      <c r="EO103" s="8" t="str">
        <f t="shared" si="113"/>
        <v/>
      </c>
      <c r="EP103">
        <f t="shared" si="114"/>
        <v>0</v>
      </c>
      <c r="EQ103">
        <f t="shared" si="114"/>
        <v>0</v>
      </c>
      <c r="ES103" s="8" t="str">
        <f t="shared" si="115"/>
        <v>AAAAA</v>
      </c>
      <c r="ET103" s="8" t="str">
        <f t="shared" si="116"/>
        <v/>
      </c>
      <c r="EU103" s="8" t="str">
        <f t="shared" si="117"/>
        <v/>
      </c>
      <c r="EV103">
        <f t="shared" si="118"/>
        <v>0</v>
      </c>
      <c r="EW103">
        <f t="shared" si="118"/>
        <v>0</v>
      </c>
      <c r="EY103" s="8" t="str">
        <f>Hidden!$CG97</f>
        <v/>
      </c>
      <c r="EZ103">
        <f t="shared" si="119"/>
        <v>0</v>
      </c>
      <c r="FA103">
        <f t="shared" si="120"/>
        <v>0</v>
      </c>
      <c r="FB103">
        <f t="shared" si="121"/>
        <v>0</v>
      </c>
      <c r="FC103">
        <f t="shared" si="122"/>
        <v>0</v>
      </c>
      <c r="FD103">
        <f t="shared" si="123"/>
        <v>0</v>
      </c>
      <c r="FE103">
        <f t="shared" si="124"/>
        <v>0</v>
      </c>
      <c r="FF103">
        <f t="shared" si="125"/>
        <v>0</v>
      </c>
      <c r="FG103">
        <f t="shared" si="126"/>
        <v>0</v>
      </c>
      <c r="FH103">
        <f t="shared" si="127"/>
        <v>0</v>
      </c>
      <c r="FI103">
        <f t="shared" si="128"/>
        <v>0</v>
      </c>
    </row>
    <row r="104" spans="1:165" x14ac:dyDescent="0.2">
      <c r="A104" s="8" t="str">
        <f>Tank1!A125</f>
        <v>AAAAA</v>
      </c>
      <c r="B104" s="8" t="str">
        <f>Tank1!E125</f>
        <v/>
      </c>
      <c r="C104" s="8" t="str">
        <f>Tank1!F125</f>
        <v/>
      </c>
      <c r="D104" s="8">
        <f t="shared" si="129"/>
        <v>0</v>
      </c>
      <c r="E104" s="8">
        <f t="shared" si="129"/>
        <v>0</v>
      </c>
      <c r="G104" s="8" t="str">
        <f>Tank2!A125</f>
        <v>AAAAA</v>
      </c>
      <c r="H104" s="8" t="str">
        <f>Tank2!E125</f>
        <v/>
      </c>
      <c r="I104" s="8" t="str">
        <f>Tank2!F125</f>
        <v/>
      </c>
      <c r="J104">
        <f t="shared" si="130"/>
        <v>0</v>
      </c>
      <c r="K104">
        <f t="shared" si="130"/>
        <v>0</v>
      </c>
      <c r="M104" s="8" t="str">
        <f>Tank3!A125</f>
        <v>AAAAA</v>
      </c>
      <c r="N104" s="8" t="str">
        <f>Tank3!E125</f>
        <v/>
      </c>
      <c r="O104" s="8" t="str">
        <f>Tank3!F125</f>
        <v/>
      </c>
      <c r="P104">
        <f t="shared" si="131"/>
        <v>0</v>
      </c>
      <c r="Q104">
        <f t="shared" si="131"/>
        <v>0</v>
      </c>
      <c r="S104" s="8" t="str">
        <f>Tank4!A125</f>
        <v>AAAAA</v>
      </c>
      <c r="T104" s="8" t="str">
        <f>Tank4!E125</f>
        <v/>
      </c>
      <c r="U104" s="8" t="str">
        <f>Tank4!F125</f>
        <v/>
      </c>
      <c r="V104">
        <f t="shared" si="132"/>
        <v>0</v>
      </c>
      <c r="W104">
        <f t="shared" si="132"/>
        <v>0</v>
      </c>
      <c r="Y104" s="8" t="str">
        <f>Tank5!A125</f>
        <v>AAAAA</v>
      </c>
      <c r="Z104" s="8" t="str">
        <f>Tank5!E125</f>
        <v/>
      </c>
      <c r="AA104" s="8" t="str">
        <f>Tank5!F125</f>
        <v/>
      </c>
      <c r="AB104">
        <f t="shared" si="133"/>
        <v>0</v>
      </c>
      <c r="AC104">
        <f t="shared" si="133"/>
        <v>0</v>
      </c>
      <c r="AE104" s="8" t="str">
        <f>Hidden!CC87</f>
        <v/>
      </c>
      <c r="AF104">
        <f t="shared" si="134"/>
        <v>0</v>
      </c>
      <c r="AG104">
        <f t="shared" si="135"/>
        <v>0</v>
      </c>
      <c r="AH104">
        <f t="shared" si="136"/>
        <v>0</v>
      </c>
      <c r="AI104">
        <f t="shared" si="137"/>
        <v>0</v>
      </c>
      <c r="AJ104">
        <f t="shared" si="138"/>
        <v>0</v>
      </c>
      <c r="AK104">
        <f t="shared" si="139"/>
        <v>0</v>
      </c>
      <c r="AL104">
        <f t="shared" si="140"/>
        <v>0</v>
      </c>
      <c r="AM104">
        <f t="shared" si="141"/>
        <v>0</v>
      </c>
      <c r="AN104">
        <f t="shared" si="142"/>
        <v>0</v>
      </c>
      <c r="AO104">
        <f t="shared" si="143"/>
        <v>0</v>
      </c>
      <c r="BJ104" s="8" t="str">
        <f>Tank1!A125</f>
        <v>AAAAA</v>
      </c>
      <c r="BK104" s="8" t="str">
        <f>Tank1!E125</f>
        <v/>
      </c>
      <c r="BL104" s="8" t="str">
        <f>Tank1!F125</f>
        <v/>
      </c>
      <c r="BM104" s="8">
        <f t="shared" si="144"/>
        <v>0</v>
      </c>
      <c r="BN104" s="8">
        <f t="shared" si="145"/>
        <v>0</v>
      </c>
      <c r="BO104" s="8"/>
      <c r="BP104" s="8" t="str">
        <f>Tank2!A125</f>
        <v>AAAAA</v>
      </c>
      <c r="BQ104" s="8" t="str">
        <f>Tank2!E125</f>
        <v/>
      </c>
      <c r="BR104" s="8" t="str">
        <f>Tank2!F125</f>
        <v/>
      </c>
      <c r="BS104" s="8">
        <f t="shared" si="146"/>
        <v>0</v>
      </c>
      <c r="BT104" s="8">
        <f t="shared" si="147"/>
        <v>0</v>
      </c>
      <c r="BU104" s="8"/>
      <c r="BV104" s="8" t="str">
        <f>Tank3!A125</f>
        <v>AAAAA</v>
      </c>
      <c r="BW104" s="8" t="str">
        <f>Tank3!E125</f>
        <v/>
      </c>
      <c r="BX104" s="8" t="str">
        <f>Tank3!F125</f>
        <v/>
      </c>
      <c r="BY104" s="8">
        <f t="shared" si="148"/>
        <v>0</v>
      </c>
      <c r="BZ104" s="8">
        <f t="shared" si="149"/>
        <v>0</v>
      </c>
      <c r="CA104" s="8"/>
      <c r="CB104" s="8" t="str">
        <f>Tank4!A125</f>
        <v>AAAAA</v>
      </c>
      <c r="CC104" s="8" t="str">
        <f>Tank4!E125</f>
        <v/>
      </c>
      <c r="CD104" s="8" t="str">
        <f>Tank4!F125</f>
        <v/>
      </c>
      <c r="CE104" s="8">
        <f t="shared" si="150"/>
        <v>0</v>
      </c>
      <c r="CF104" s="8">
        <f t="shared" si="151"/>
        <v>0</v>
      </c>
      <c r="CH104" s="8" t="str">
        <f>Tank5!A125</f>
        <v>AAAAA</v>
      </c>
      <c r="CI104" s="8" t="str">
        <f>Tank5!E125</f>
        <v/>
      </c>
      <c r="CJ104" s="8" t="str">
        <f>Tank5!F125</f>
        <v/>
      </c>
      <c r="CK104" s="8">
        <f t="shared" si="152"/>
        <v>0</v>
      </c>
      <c r="CL104" s="8">
        <f t="shared" si="153"/>
        <v>0</v>
      </c>
      <c r="CN104" s="8" t="str">
        <f>Hidden!$CC87</f>
        <v/>
      </c>
      <c r="CO104">
        <f t="shared" si="154"/>
        <v>0</v>
      </c>
      <c r="CP104">
        <f t="shared" si="155"/>
        <v>0</v>
      </c>
      <c r="CQ104">
        <f t="shared" si="156"/>
        <v>0</v>
      </c>
      <c r="CR104">
        <f t="shared" si="157"/>
        <v>0</v>
      </c>
      <c r="CS104">
        <f t="shared" si="158"/>
        <v>0</v>
      </c>
      <c r="CT104">
        <f t="shared" si="159"/>
        <v>0</v>
      </c>
      <c r="CU104">
        <f t="shared" si="160"/>
        <v>0</v>
      </c>
      <c r="CV104">
        <f t="shared" si="161"/>
        <v>0</v>
      </c>
      <c r="CW104">
        <f t="shared" si="162"/>
        <v>0</v>
      </c>
      <c r="CX104">
        <f t="shared" si="163"/>
        <v>0</v>
      </c>
      <c r="DT104" s="77"/>
      <c r="DU104" s="8" t="str">
        <f t="shared" si="164"/>
        <v>AAAAAA</v>
      </c>
      <c r="DV104" s="8" t="str">
        <f t="shared" si="165"/>
        <v/>
      </c>
      <c r="DW104" s="8" t="str">
        <f t="shared" si="166"/>
        <v/>
      </c>
      <c r="DX104">
        <f t="shared" si="102"/>
        <v>0</v>
      </c>
      <c r="DY104">
        <f t="shared" si="102"/>
        <v>0</v>
      </c>
      <c r="EA104" t="str">
        <f t="shared" si="103"/>
        <v>AAAAAA</v>
      </c>
      <c r="EB104" t="str">
        <f t="shared" si="104"/>
        <v/>
      </c>
      <c r="EC104" t="str">
        <f t="shared" si="105"/>
        <v/>
      </c>
      <c r="ED104">
        <f t="shared" si="106"/>
        <v>0</v>
      </c>
      <c r="EE104">
        <f t="shared" si="106"/>
        <v>0</v>
      </c>
      <c r="EG104" s="8" t="str">
        <f t="shared" si="107"/>
        <v>AAAAAA</v>
      </c>
      <c r="EH104" s="8" t="str">
        <f t="shared" si="108"/>
        <v/>
      </c>
      <c r="EI104" s="8" t="str">
        <f t="shared" si="109"/>
        <v/>
      </c>
      <c r="EJ104">
        <f t="shared" si="110"/>
        <v>0</v>
      </c>
      <c r="EK104">
        <f t="shared" si="110"/>
        <v>0</v>
      </c>
      <c r="EM104" s="8" t="str">
        <f t="shared" si="111"/>
        <v>AAAAAA</v>
      </c>
      <c r="EN104" s="8" t="str">
        <f t="shared" si="112"/>
        <v/>
      </c>
      <c r="EO104" s="8" t="str">
        <f t="shared" si="113"/>
        <v/>
      </c>
      <c r="EP104">
        <f t="shared" si="114"/>
        <v>0</v>
      </c>
      <c r="EQ104">
        <f t="shared" si="114"/>
        <v>0</v>
      </c>
      <c r="ES104" s="8" t="str">
        <f t="shared" si="115"/>
        <v>AAAAAA</v>
      </c>
      <c r="ET104" s="8" t="str">
        <f t="shared" si="116"/>
        <v/>
      </c>
      <c r="EU104" s="8" t="str">
        <f t="shared" si="117"/>
        <v/>
      </c>
      <c r="EV104">
        <f t="shared" si="118"/>
        <v>0</v>
      </c>
      <c r="EW104">
        <f t="shared" si="118"/>
        <v>0</v>
      </c>
      <c r="EY104" s="8" t="str">
        <f>Hidden!$CG98</f>
        <v/>
      </c>
      <c r="EZ104">
        <f t="shared" si="119"/>
        <v>0</v>
      </c>
      <c r="FA104">
        <f t="shared" si="120"/>
        <v>0</v>
      </c>
      <c r="FB104">
        <f t="shared" si="121"/>
        <v>0</v>
      </c>
      <c r="FC104">
        <f t="shared" si="122"/>
        <v>0</v>
      </c>
      <c r="FD104">
        <f t="shared" si="123"/>
        <v>0</v>
      </c>
      <c r="FE104">
        <f t="shared" si="124"/>
        <v>0</v>
      </c>
      <c r="FF104">
        <f t="shared" si="125"/>
        <v>0</v>
      </c>
      <c r="FG104">
        <f t="shared" si="126"/>
        <v>0</v>
      </c>
      <c r="FH104">
        <f t="shared" si="127"/>
        <v>0</v>
      </c>
      <c r="FI104">
        <f t="shared" si="128"/>
        <v>0</v>
      </c>
    </row>
    <row r="105" spans="1:165" x14ac:dyDescent="0.2">
      <c r="A105" s="8" t="str">
        <f>Tank1!A126</f>
        <v>AAAAAA</v>
      </c>
      <c r="B105" s="8" t="str">
        <f>Tank1!E126</f>
        <v/>
      </c>
      <c r="C105" s="8" t="str">
        <f>Tank1!F126</f>
        <v/>
      </c>
      <c r="D105" s="8">
        <f t="shared" si="129"/>
        <v>0</v>
      </c>
      <c r="E105" s="8">
        <f t="shared" si="129"/>
        <v>0</v>
      </c>
      <c r="G105" s="8" t="str">
        <f>Tank2!A126</f>
        <v>AAAAAA</v>
      </c>
      <c r="H105" s="8" t="str">
        <f>Tank2!E126</f>
        <v/>
      </c>
      <c r="I105" s="8" t="str">
        <f>Tank2!F126</f>
        <v/>
      </c>
      <c r="J105">
        <f t="shared" si="130"/>
        <v>0</v>
      </c>
      <c r="K105">
        <f t="shared" si="130"/>
        <v>0</v>
      </c>
      <c r="M105" s="8" t="str">
        <f>Tank3!A126</f>
        <v>AAAAAA</v>
      </c>
      <c r="N105" s="8" t="str">
        <f>Tank3!E126</f>
        <v/>
      </c>
      <c r="O105" s="8" t="str">
        <f>Tank3!F126</f>
        <v/>
      </c>
      <c r="P105">
        <f t="shared" si="131"/>
        <v>0</v>
      </c>
      <c r="Q105">
        <f t="shared" si="131"/>
        <v>0</v>
      </c>
      <c r="S105" s="8" t="str">
        <f>Tank4!A126</f>
        <v>AAAAAA</v>
      </c>
      <c r="T105" s="8" t="str">
        <f>Tank4!E126</f>
        <v/>
      </c>
      <c r="U105" s="8" t="str">
        <f>Tank4!F126</f>
        <v/>
      </c>
      <c r="V105">
        <f t="shared" si="132"/>
        <v>0</v>
      </c>
      <c r="W105">
        <f t="shared" si="132"/>
        <v>0</v>
      </c>
      <c r="Y105" s="8" t="str">
        <f>Tank5!A126</f>
        <v>AAAAAA</v>
      </c>
      <c r="Z105" s="8" t="str">
        <f>Tank5!E126</f>
        <v/>
      </c>
      <c r="AA105" s="8" t="str">
        <f>Tank5!F126</f>
        <v/>
      </c>
      <c r="AB105">
        <f t="shared" si="133"/>
        <v>0</v>
      </c>
      <c r="AC105">
        <f t="shared" si="133"/>
        <v>0</v>
      </c>
      <c r="AE105" s="8" t="str">
        <f>Hidden!CC88</f>
        <v/>
      </c>
      <c r="AF105">
        <f t="shared" si="134"/>
        <v>0</v>
      </c>
      <c r="AG105">
        <f t="shared" si="135"/>
        <v>0</v>
      </c>
      <c r="AH105">
        <f t="shared" si="136"/>
        <v>0</v>
      </c>
      <c r="AI105">
        <f t="shared" si="137"/>
        <v>0</v>
      </c>
      <c r="AJ105">
        <f t="shared" si="138"/>
        <v>0</v>
      </c>
      <c r="AK105">
        <f t="shared" si="139"/>
        <v>0</v>
      </c>
      <c r="AL105">
        <f t="shared" si="140"/>
        <v>0</v>
      </c>
      <c r="AM105">
        <f t="shared" si="141"/>
        <v>0</v>
      </c>
      <c r="AN105">
        <f t="shared" si="142"/>
        <v>0</v>
      </c>
      <c r="AO105">
        <f t="shared" si="143"/>
        <v>0</v>
      </c>
      <c r="BJ105" s="8" t="str">
        <f>Tank1!A126</f>
        <v>AAAAAA</v>
      </c>
      <c r="BK105" s="8" t="str">
        <f>Tank1!E126</f>
        <v/>
      </c>
      <c r="BL105" s="8" t="str">
        <f>Tank1!F126</f>
        <v/>
      </c>
      <c r="BM105" s="8">
        <f t="shared" si="144"/>
        <v>0</v>
      </c>
      <c r="BN105" s="8">
        <f t="shared" si="145"/>
        <v>0</v>
      </c>
      <c r="BO105" s="8"/>
      <c r="BP105" s="8" t="str">
        <f>Tank2!A126</f>
        <v>AAAAAA</v>
      </c>
      <c r="BQ105" s="8" t="str">
        <f>Tank2!E126</f>
        <v/>
      </c>
      <c r="BR105" s="8" t="str">
        <f>Tank2!F126</f>
        <v/>
      </c>
      <c r="BS105" s="8">
        <f t="shared" si="146"/>
        <v>0</v>
      </c>
      <c r="BT105" s="8">
        <f t="shared" si="147"/>
        <v>0</v>
      </c>
      <c r="BU105" s="8"/>
      <c r="BV105" s="8" t="str">
        <f>Tank3!A126</f>
        <v>AAAAAA</v>
      </c>
      <c r="BW105" s="8" t="str">
        <f>Tank3!E126</f>
        <v/>
      </c>
      <c r="BX105" s="8" t="str">
        <f>Tank3!F126</f>
        <v/>
      </c>
      <c r="BY105" s="8">
        <f t="shared" si="148"/>
        <v>0</v>
      </c>
      <c r="BZ105" s="8">
        <f t="shared" si="149"/>
        <v>0</v>
      </c>
      <c r="CA105" s="8"/>
      <c r="CB105" s="8" t="str">
        <f>Tank4!A126</f>
        <v>AAAAAA</v>
      </c>
      <c r="CC105" s="8" t="str">
        <f>Tank4!E126</f>
        <v/>
      </c>
      <c r="CD105" s="8" t="str">
        <f>Tank4!F126</f>
        <v/>
      </c>
      <c r="CE105" s="8">
        <f t="shared" si="150"/>
        <v>0</v>
      </c>
      <c r="CF105" s="8">
        <f t="shared" si="151"/>
        <v>0</v>
      </c>
      <c r="CH105" s="8" t="str">
        <f>Tank5!A126</f>
        <v>AAAAAA</v>
      </c>
      <c r="CI105" s="8" t="str">
        <f>Tank5!E126</f>
        <v/>
      </c>
      <c r="CJ105" s="8" t="str">
        <f>Tank5!F126</f>
        <v/>
      </c>
      <c r="CK105" s="8">
        <f t="shared" si="152"/>
        <v>0</v>
      </c>
      <c r="CL105" s="8">
        <f t="shared" si="153"/>
        <v>0</v>
      </c>
      <c r="CN105" s="8" t="str">
        <f>Hidden!$CC88</f>
        <v/>
      </c>
      <c r="CO105">
        <f t="shared" si="154"/>
        <v>0</v>
      </c>
      <c r="CP105">
        <f t="shared" si="155"/>
        <v>0</v>
      </c>
      <c r="CQ105">
        <f t="shared" si="156"/>
        <v>0</v>
      </c>
      <c r="CR105">
        <f t="shared" si="157"/>
        <v>0</v>
      </c>
      <c r="CS105">
        <f t="shared" si="158"/>
        <v>0</v>
      </c>
      <c r="CT105">
        <f t="shared" si="159"/>
        <v>0</v>
      </c>
      <c r="CU105">
        <f t="shared" si="160"/>
        <v>0</v>
      </c>
      <c r="CV105">
        <f t="shared" si="161"/>
        <v>0</v>
      </c>
      <c r="CW105">
        <f t="shared" si="162"/>
        <v>0</v>
      </c>
      <c r="CX105">
        <f t="shared" si="163"/>
        <v>0</v>
      </c>
      <c r="DT105" s="77"/>
      <c r="DU105" s="8" t="str">
        <f t="shared" si="164"/>
        <v>AAAAAAA</v>
      </c>
      <c r="DV105" s="8" t="str">
        <f t="shared" si="165"/>
        <v/>
      </c>
      <c r="DW105" s="8" t="str">
        <f t="shared" si="166"/>
        <v/>
      </c>
      <c r="DX105">
        <f t="shared" si="102"/>
        <v>0</v>
      </c>
      <c r="DY105">
        <f t="shared" si="102"/>
        <v>0</v>
      </c>
      <c r="EA105" t="str">
        <f t="shared" si="103"/>
        <v>AAAAAAA</v>
      </c>
      <c r="EB105" t="str">
        <f t="shared" si="104"/>
        <v/>
      </c>
      <c r="EC105" t="str">
        <f t="shared" si="105"/>
        <v/>
      </c>
      <c r="ED105">
        <f t="shared" si="106"/>
        <v>0</v>
      </c>
      <c r="EE105">
        <f t="shared" si="106"/>
        <v>0</v>
      </c>
      <c r="EG105" s="8" t="str">
        <f t="shared" si="107"/>
        <v>AAAAAAA</v>
      </c>
      <c r="EH105" s="8" t="str">
        <f t="shared" si="108"/>
        <v/>
      </c>
      <c r="EI105" s="8" t="str">
        <f t="shared" si="109"/>
        <v/>
      </c>
      <c r="EJ105">
        <f t="shared" si="110"/>
        <v>0</v>
      </c>
      <c r="EK105">
        <f t="shared" si="110"/>
        <v>0</v>
      </c>
      <c r="EM105" s="8" t="str">
        <f t="shared" si="111"/>
        <v>AAAAAAA</v>
      </c>
      <c r="EN105" s="8" t="str">
        <f t="shared" si="112"/>
        <v/>
      </c>
      <c r="EO105" s="8" t="str">
        <f t="shared" si="113"/>
        <v/>
      </c>
      <c r="EP105">
        <f t="shared" si="114"/>
        <v>0</v>
      </c>
      <c r="EQ105">
        <f t="shared" si="114"/>
        <v>0</v>
      </c>
      <c r="ES105" s="8" t="str">
        <f t="shared" si="115"/>
        <v>AAAAAAA</v>
      </c>
      <c r="ET105" s="8" t="str">
        <f t="shared" si="116"/>
        <v/>
      </c>
      <c r="EU105" s="8" t="str">
        <f t="shared" si="117"/>
        <v/>
      </c>
      <c r="EV105">
        <f t="shared" si="118"/>
        <v>0</v>
      </c>
      <c r="EW105">
        <f t="shared" si="118"/>
        <v>0</v>
      </c>
      <c r="EY105" s="8" t="str">
        <f>Hidden!$CG99</f>
        <v/>
      </c>
      <c r="EZ105">
        <f t="shared" si="119"/>
        <v>0</v>
      </c>
      <c r="FA105">
        <f t="shared" si="120"/>
        <v>0</v>
      </c>
      <c r="FB105">
        <f t="shared" si="121"/>
        <v>0</v>
      </c>
      <c r="FC105">
        <f t="shared" si="122"/>
        <v>0</v>
      </c>
      <c r="FD105">
        <f t="shared" si="123"/>
        <v>0</v>
      </c>
      <c r="FE105">
        <f t="shared" si="124"/>
        <v>0</v>
      </c>
      <c r="FF105">
        <f t="shared" si="125"/>
        <v>0</v>
      </c>
      <c r="FG105">
        <f t="shared" si="126"/>
        <v>0</v>
      </c>
      <c r="FH105">
        <f t="shared" si="127"/>
        <v>0</v>
      </c>
      <c r="FI105">
        <f t="shared" si="128"/>
        <v>0</v>
      </c>
    </row>
    <row r="106" spans="1:165" ht="28.5" x14ac:dyDescent="0.2">
      <c r="A106" s="8" t="str">
        <f>Tank1!A127</f>
        <v>AAAAAAA</v>
      </c>
      <c r="B106" s="8" t="str">
        <f>Tank1!E127</f>
        <v/>
      </c>
      <c r="C106" s="8" t="str">
        <f>Tank1!F127</f>
        <v/>
      </c>
      <c r="D106" s="8">
        <f t="shared" si="129"/>
        <v>0</v>
      </c>
      <c r="E106" s="8">
        <f t="shared" si="129"/>
        <v>0</v>
      </c>
      <c r="G106" s="8" t="str">
        <f>Tank2!A127</f>
        <v>AAAAAAA</v>
      </c>
      <c r="H106" s="8" t="str">
        <f>Tank2!E127</f>
        <v/>
      </c>
      <c r="I106" s="8" t="str">
        <f>Tank2!F127</f>
        <v/>
      </c>
      <c r="J106">
        <f t="shared" si="130"/>
        <v>0</v>
      </c>
      <c r="K106">
        <f t="shared" si="130"/>
        <v>0</v>
      </c>
      <c r="M106" s="8" t="str">
        <f>Tank3!A127</f>
        <v>AAAAAAA</v>
      </c>
      <c r="N106" s="8" t="str">
        <f>Tank3!E127</f>
        <v/>
      </c>
      <c r="O106" s="8" t="str">
        <f>Tank3!F127</f>
        <v/>
      </c>
      <c r="P106">
        <f t="shared" si="131"/>
        <v>0</v>
      </c>
      <c r="Q106">
        <f t="shared" si="131"/>
        <v>0</v>
      </c>
      <c r="S106" s="8" t="str">
        <f>Tank4!A127</f>
        <v>AAAAAAA</v>
      </c>
      <c r="T106" s="8" t="str">
        <f>Tank4!E127</f>
        <v/>
      </c>
      <c r="U106" s="8" t="str">
        <f>Tank4!F127</f>
        <v/>
      </c>
      <c r="V106">
        <f t="shared" si="132"/>
        <v>0</v>
      </c>
      <c r="W106">
        <f t="shared" si="132"/>
        <v>0</v>
      </c>
      <c r="Y106" s="8" t="str">
        <f>Tank5!A127</f>
        <v>AAAAAAA</v>
      </c>
      <c r="Z106" s="8" t="str">
        <f>Tank5!E127</f>
        <v/>
      </c>
      <c r="AA106" s="8" t="str">
        <f>Tank5!F127</f>
        <v/>
      </c>
      <c r="AB106">
        <f t="shared" si="133"/>
        <v>0</v>
      </c>
      <c r="AC106">
        <f t="shared" si="133"/>
        <v>0</v>
      </c>
      <c r="AE106" s="8" t="str">
        <f>Hidden!CC89</f>
        <v/>
      </c>
      <c r="AF106">
        <f t="shared" si="134"/>
        <v>0</v>
      </c>
      <c r="AG106">
        <f t="shared" si="135"/>
        <v>0</v>
      </c>
      <c r="AH106">
        <f t="shared" si="136"/>
        <v>0</v>
      </c>
      <c r="AI106">
        <f t="shared" si="137"/>
        <v>0</v>
      </c>
      <c r="AJ106">
        <f t="shared" si="138"/>
        <v>0</v>
      </c>
      <c r="AK106">
        <f t="shared" si="139"/>
        <v>0</v>
      </c>
      <c r="AL106">
        <f t="shared" si="140"/>
        <v>0</v>
      </c>
      <c r="AM106">
        <f t="shared" si="141"/>
        <v>0</v>
      </c>
      <c r="AN106">
        <f t="shared" si="142"/>
        <v>0</v>
      </c>
      <c r="AO106">
        <f t="shared" si="143"/>
        <v>0</v>
      </c>
      <c r="BJ106" s="8" t="str">
        <f>Tank1!A127</f>
        <v>AAAAAAA</v>
      </c>
      <c r="BK106" s="8" t="str">
        <f>Tank1!E127</f>
        <v/>
      </c>
      <c r="BL106" s="8" t="str">
        <f>Tank1!F127</f>
        <v/>
      </c>
      <c r="BM106" s="8">
        <f t="shared" si="144"/>
        <v>0</v>
      </c>
      <c r="BN106" s="8">
        <f t="shared" si="145"/>
        <v>0</v>
      </c>
      <c r="BO106" s="8"/>
      <c r="BP106" s="8" t="str">
        <f>Tank2!A127</f>
        <v>AAAAAAA</v>
      </c>
      <c r="BQ106" s="8" t="str">
        <f>Tank2!E127</f>
        <v/>
      </c>
      <c r="BR106" s="8" t="str">
        <f>Tank2!F127</f>
        <v/>
      </c>
      <c r="BS106" s="8">
        <f t="shared" si="146"/>
        <v>0</v>
      </c>
      <c r="BT106" s="8">
        <f t="shared" si="147"/>
        <v>0</v>
      </c>
      <c r="BU106" s="8"/>
      <c r="BV106" s="8" t="str">
        <f>Tank3!A127</f>
        <v>AAAAAAA</v>
      </c>
      <c r="BW106" s="8" t="str">
        <f>Tank3!E127</f>
        <v/>
      </c>
      <c r="BX106" s="8" t="str">
        <f>Tank3!F127</f>
        <v/>
      </c>
      <c r="BY106" s="8">
        <f t="shared" si="148"/>
        <v>0</v>
      </c>
      <c r="BZ106" s="8">
        <f t="shared" si="149"/>
        <v>0</v>
      </c>
      <c r="CA106" s="8"/>
      <c r="CB106" s="8" t="str">
        <f>Tank4!A127</f>
        <v>AAAAAAA</v>
      </c>
      <c r="CC106" s="8" t="str">
        <f>Tank4!E127</f>
        <v/>
      </c>
      <c r="CD106" s="8" t="str">
        <f>Tank4!F127</f>
        <v/>
      </c>
      <c r="CE106" s="8">
        <f t="shared" si="150"/>
        <v>0</v>
      </c>
      <c r="CF106" s="8">
        <f t="shared" si="151"/>
        <v>0</v>
      </c>
      <c r="CH106" s="8" t="str">
        <f>Tank5!A127</f>
        <v>AAAAAAA</v>
      </c>
      <c r="CI106" s="8" t="str">
        <f>Tank5!E127</f>
        <v/>
      </c>
      <c r="CJ106" s="8" t="str">
        <f>Tank5!F127</f>
        <v/>
      </c>
      <c r="CK106" s="8">
        <f t="shared" si="152"/>
        <v>0</v>
      </c>
      <c r="CL106" s="8">
        <f t="shared" si="153"/>
        <v>0</v>
      </c>
      <c r="CN106" s="8" t="str">
        <f>Hidden!$CC89</f>
        <v/>
      </c>
      <c r="CO106">
        <f t="shared" si="154"/>
        <v>0</v>
      </c>
      <c r="CP106">
        <f t="shared" si="155"/>
        <v>0</v>
      </c>
      <c r="CQ106">
        <f t="shared" si="156"/>
        <v>0</v>
      </c>
      <c r="CR106">
        <f t="shared" si="157"/>
        <v>0</v>
      </c>
      <c r="CS106">
        <f t="shared" si="158"/>
        <v>0</v>
      </c>
      <c r="CT106">
        <f t="shared" si="159"/>
        <v>0</v>
      </c>
      <c r="CU106">
        <f t="shared" si="160"/>
        <v>0</v>
      </c>
      <c r="CV106">
        <f t="shared" si="161"/>
        <v>0</v>
      </c>
      <c r="CW106">
        <f t="shared" si="162"/>
        <v>0</v>
      </c>
      <c r="CX106">
        <f t="shared" si="163"/>
        <v>0</v>
      </c>
      <c r="DT106" s="77"/>
      <c r="DU106" s="8" t="str">
        <f t="shared" si="164"/>
        <v>AAAAAAAA</v>
      </c>
      <c r="DV106" s="8" t="str">
        <f t="shared" si="165"/>
        <v/>
      </c>
      <c r="DW106" s="8" t="str">
        <f t="shared" si="166"/>
        <v/>
      </c>
      <c r="DX106">
        <f t="shared" si="102"/>
        <v>0</v>
      </c>
      <c r="DY106">
        <f t="shared" si="102"/>
        <v>0</v>
      </c>
      <c r="EA106" t="str">
        <f t="shared" si="103"/>
        <v>AAAAAAAA</v>
      </c>
      <c r="EB106" t="str">
        <f t="shared" si="104"/>
        <v/>
      </c>
      <c r="EC106" t="str">
        <f t="shared" si="105"/>
        <v/>
      </c>
      <c r="ED106">
        <f t="shared" si="106"/>
        <v>0</v>
      </c>
      <c r="EE106">
        <f t="shared" si="106"/>
        <v>0</v>
      </c>
      <c r="EG106" s="8" t="str">
        <f t="shared" si="107"/>
        <v>AAAAAAAA</v>
      </c>
      <c r="EH106" s="8" t="str">
        <f t="shared" si="108"/>
        <v/>
      </c>
      <c r="EI106" s="8" t="str">
        <f t="shared" si="109"/>
        <v/>
      </c>
      <c r="EJ106">
        <f t="shared" si="110"/>
        <v>0</v>
      </c>
      <c r="EK106">
        <f t="shared" si="110"/>
        <v>0</v>
      </c>
      <c r="EM106" s="8" t="str">
        <f t="shared" si="111"/>
        <v>AAAAAAAA</v>
      </c>
      <c r="EN106" s="8" t="str">
        <f t="shared" si="112"/>
        <v/>
      </c>
      <c r="EO106" s="8" t="str">
        <f t="shared" si="113"/>
        <v/>
      </c>
      <c r="EP106">
        <f t="shared" si="114"/>
        <v>0</v>
      </c>
      <c r="EQ106">
        <f t="shared" si="114"/>
        <v>0</v>
      </c>
      <c r="ES106" s="8" t="str">
        <f t="shared" si="115"/>
        <v>AAAAAAAA</v>
      </c>
      <c r="ET106" s="8" t="str">
        <f t="shared" si="116"/>
        <v/>
      </c>
      <c r="EU106" s="8" t="str">
        <f t="shared" si="117"/>
        <v/>
      </c>
      <c r="EV106">
        <f t="shared" si="118"/>
        <v>0</v>
      </c>
      <c r="EW106">
        <f t="shared" si="118"/>
        <v>0</v>
      </c>
      <c r="EY106" s="8" t="str">
        <f>Hidden!$CG100</f>
        <v/>
      </c>
      <c r="EZ106">
        <f t="shared" si="119"/>
        <v>0</v>
      </c>
      <c r="FA106">
        <f t="shared" si="120"/>
        <v>0</v>
      </c>
      <c r="FB106">
        <f t="shared" si="121"/>
        <v>0</v>
      </c>
      <c r="FC106">
        <f t="shared" si="122"/>
        <v>0</v>
      </c>
      <c r="FD106">
        <f t="shared" si="123"/>
        <v>0</v>
      </c>
      <c r="FE106">
        <f t="shared" si="124"/>
        <v>0</v>
      </c>
      <c r="FF106">
        <f t="shared" si="125"/>
        <v>0</v>
      </c>
      <c r="FG106">
        <f t="shared" si="126"/>
        <v>0</v>
      </c>
      <c r="FH106">
        <f t="shared" si="127"/>
        <v>0</v>
      </c>
      <c r="FI106">
        <f t="shared" si="128"/>
        <v>0</v>
      </c>
    </row>
    <row r="107" spans="1:165" ht="28.5" x14ac:dyDescent="0.2">
      <c r="A107" s="8" t="str">
        <f>Tank1!A128</f>
        <v>AAAAAAAA</v>
      </c>
      <c r="B107" s="8" t="str">
        <f>Tank1!E128</f>
        <v/>
      </c>
      <c r="C107" s="8" t="str">
        <f>Tank1!F128</f>
        <v/>
      </c>
      <c r="D107" s="8">
        <f t="shared" si="129"/>
        <v>0</v>
      </c>
      <c r="E107" s="8">
        <f t="shared" si="129"/>
        <v>0</v>
      </c>
      <c r="G107" s="8" t="str">
        <f>Tank2!A128</f>
        <v>AAAAAAAA</v>
      </c>
      <c r="H107" s="8" t="str">
        <f>Tank2!E128</f>
        <v/>
      </c>
      <c r="I107" s="8" t="str">
        <f>Tank2!F128</f>
        <v/>
      </c>
      <c r="J107">
        <f t="shared" si="130"/>
        <v>0</v>
      </c>
      <c r="K107">
        <f t="shared" si="130"/>
        <v>0</v>
      </c>
      <c r="M107" s="8" t="str">
        <f>Tank3!A128</f>
        <v>AAAAAAAA</v>
      </c>
      <c r="N107" s="8" t="str">
        <f>Tank3!E128</f>
        <v/>
      </c>
      <c r="O107" s="8" t="str">
        <f>Tank3!F128</f>
        <v/>
      </c>
      <c r="P107">
        <f t="shared" si="131"/>
        <v>0</v>
      </c>
      <c r="Q107">
        <f t="shared" si="131"/>
        <v>0</v>
      </c>
      <c r="S107" s="8" t="str">
        <f>Tank4!A128</f>
        <v>AAAAAAAA</v>
      </c>
      <c r="T107" s="8" t="str">
        <f>Tank4!E128</f>
        <v/>
      </c>
      <c r="U107" s="8" t="str">
        <f>Tank4!F128</f>
        <v/>
      </c>
      <c r="V107">
        <f t="shared" si="132"/>
        <v>0</v>
      </c>
      <c r="W107">
        <f t="shared" si="132"/>
        <v>0</v>
      </c>
      <c r="Y107" s="8" t="str">
        <f>Tank5!A128</f>
        <v>AAAAAAAA</v>
      </c>
      <c r="Z107" s="8" t="str">
        <f>Tank5!E128</f>
        <v/>
      </c>
      <c r="AA107" s="8" t="str">
        <f>Tank5!F128</f>
        <v/>
      </c>
      <c r="AB107">
        <f t="shared" si="133"/>
        <v>0</v>
      </c>
      <c r="AC107">
        <f t="shared" si="133"/>
        <v>0</v>
      </c>
      <c r="AE107" s="8" t="str">
        <f>Hidden!CC90</f>
        <v/>
      </c>
      <c r="AF107">
        <f t="shared" si="134"/>
        <v>0</v>
      </c>
      <c r="AG107">
        <f t="shared" si="135"/>
        <v>0</v>
      </c>
      <c r="AH107">
        <f t="shared" si="136"/>
        <v>0</v>
      </c>
      <c r="AI107">
        <f t="shared" si="137"/>
        <v>0</v>
      </c>
      <c r="AJ107">
        <f t="shared" si="138"/>
        <v>0</v>
      </c>
      <c r="AK107">
        <f t="shared" si="139"/>
        <v>0</v>
      </c>
      <c r="AL107">
        <f t="shared" si="140"/>
        <v>0</v>
      </c>
      <c r="AM107">
        <f t="shared" si="141"/>
        <v>0</v>
      </c>
      <c r="AN107">
        <f t="shared" si="142"/>
        <v>0</v>
      </c>
      <c r="AO107">
        <f t="shared" si="143"/>
        <v>0</v>
      </c>
      <c r="BJ107" s="8" t="str">
        <f>Tank1!A128</f>
        <v>AAAAAAAA</v>
      </c>
      <c r="BK107" s="8" t="str">
        <f>Tank1!E128</f>
        <v/>
      </c>
      <c r="BL107" s="8" t="str">
        <f>Tank1!F128</f>
        <v/>
      </c>
      <c r="BM107" s="8">
        <f t="shared" si="144"/>
        <v>0</v>
      </c>
      <c r="BN107" s="8">
        <f t="shared" si="145"/>
        <v>0</v>
      </c>
      <c r="BO107" s="8"/>
      <c r="BP107" s="8" t="str">
        <f>Tank2!A128</f>
        <v>AAAAAAAA</v>
      </c>
      <c r="BQ107" s="8" t="str">
        <f>Tank2!E128</f>
        <v/>
      </c>
      <c r="BR107" s="8" t="str">
        <f>Tank2!F128</f>
        <v/>
      </c>
      <c r="BS107" s="8">
        <f t="shared" si="146"/>
        <v>0</v>
      </c>
      <c r="BT107" s="8">
        <f t="shared" si="147"/>
        <v>0</v>
      </c>
      <c r="BU107" s="8"/>
      <c r="BV107" s="8" t="str">
        <f>Tank3!A128</f>
        <v>AAAAAAAA</v>
      </c>
      <c r="BW107" s="8" t="str">
        <f>Tank3!E128</f>
        <v/>
      </c>
      <c r="BX107" s="8" t="str">
        <f>Tank3!F128</f>
        <v/>
      </c>
      <c r="BY107" s="8">
        <f t="shared" si="148"/>
        <v>0</v>
      </c>
      <c r="BZ107" s="8">
        <f t="shared" si="149"/>
        <v>0</v>
      </c>
      <c r="CA107" s="8"/>
      <c r="CB107" s="8" t="str">
        <f>Tank4!A128</f>
        <v>AAAAAAAA</v>
      </c>
      <c r="CC107" s="8" t="str">
        <f>Tank4!E128</f>
        <v/>
      </c>
      <c r="CD107" s="8" t="str">
        <f>Tank4!F128</f>
        <v/>
      </c>
      <c r="CE107" s="8">
        <f t="shared" si="150"/>
        <v>0</v>
      </c>
      <c r="CF107" s="8">
        <f t="shared" si="151"/>
        <v>0</v>
      </c>
      <c r="CH107" s="8" t="str">
        <f>Tank5!A128</f>
        <v>AAAAAAAA</v>
      </c>
      <c r="CI107" s="8" t="str">
        <f>Tank5!E128</f>
        <v/>
      </c>
      <c r="CJ107" s="8" t="str">
        <f>Tank5!F128</f>
        <v/>
      </c>
      <c r="CK107" s="8">
        <f t="shared" si="152"/>
        <v>0</v>
      </c>
      <c r="CL107" s="8">
        <f t="shared" si="153"/>
        <v>0</v>
      </c>
      <c r="CN107" s="8" t="str">
        <f>Hidden!$CC90</f>
        <v/>
      </c>
      <c r="CO107">
        <f t="shared" si="154"/>
        <v>0</v>
      </c>
      <c r="CP107">
        <f t="shared" si="155"/>
        <v>0</v>
      </c>
      <c r="CQ107">
        <f t="shared" si="156"/>
        <v>0</v>
      </c>
      <c r="CR107">
        <f t="shared" si="157"/>
        <v>0</v>
      </c>
      <c r="CS107">
        <f t="shared" si="158"/>
        <v>0</v>
      </c>
      <c r="CT107">
        <f t="shared" si="159"/>
        <v>0</v>
      </c>
      <c r="CU107">
        <f t="shared" si="160"/>
        <v>0</v>
      </c>
      <c r="CV107">
        <f t="shared" si="161"/>
        <v>0</v>
      </c>
      <c r="CW107">
        <f t="shared" si="162"/>
        <v>0</v>
      </c>
      <c r="CX107">
        <f t="shared" si="163"/>
        <v>0</v>
      </c>
      <c r="DT107" s="77"/>
      <c r="DU107" s="8" t="str">
        <f t="shared" si="164"/>
        <v>AAAAAAAAA</v>
      </c>
      <c r="DV107" s="8" t="str">
        <f t="shared" si="165"/>
        <v/>
      </c>
      <c r="DW107" s="8" t="str">
        <f t="shared" si="166"/>
        <v/>
      </c>
      <c r="DX107">
        <f t="shared" si="102"/>
        <v>0</v>
      </c>
      <c r="DY107">
        <f t="shared" si="102"/>
        <v>0</v>
      </c>
      <c r="EA107" t="str">
        <f t="shared" si="103"/>
        <v>AAAAAAAAA</v>
      </c>
      <c r="EB107" t="str">
        <f t="shared" si="104"/>
        <v/>
      </c>
      <c r="EC107" t="str">
        <f t="shared" si="105"/>
        <v/>
      </c>
      <c r="ED107">
        <f t="shared" si="106"/>
        <v>0</v>
      </c>
      <c r="EE107">
        <f t="shared" si="106"/>
        <v>0</v>
      </c>
      <c r="EG107" s="8" t="str">
        <f t="shared" si="107"/>
        <v>AAAAAAAAA</v>
      </c>
      <c r="EH107" s="8" t="str">
        <f t="shared" si="108"/>
        <v/>
      </c>
      <c r="EI107" s="8" t="str">
        <f t="shared" si="109"/>
        <v/>
      </c>
      <c r="EJ107">
        <f t="shared" si="110"/>
        <v>0</v>
      </c>
      <c r="EK107">
        <f t="shared" si="110"/>
        <v>0</v>
      </c>
      <c r="EM107" s="8" t="str">
        <f t="shared" si="111"/>
        <v>AAAAAAAAA</v>
      </c>
      <c r="EN107" s="8" t="str">
        <f t="shared" si="112"/>
        <v/>
      </c>
      <c r="EO107" s="8" t="str">
        <f t="shared" si="113"/>
        <v/>
      </c>
      <c r="EP107">
        <f t="shared" si="114"/>
        <v>0</v>
      </c>
      <c r="EQ107">
        <f t="shared" si="114"/>
        <v>0</v>
      </c>
      <c r="ES107" s="8" t="str">
        <f t="shared" si="115"/>
        <v>AAAAAAAAA</v>
      </c>
      <c r="ET107" s="8" t="str">
        <f t="shared" si="116"/>
        <v/>
      </c>
      <c r="EU107" s="8" t="str">
        <f t="shared" si="117"/>
        <v/>
      </c>
      <c r="EV107">
        <f t="shared" si="118"/>
        <v>0</v>
      </c>
      <c r="EW107">
        <f t="shared" si="118"/>
        <v>0</v>
      </c>
      <c r="EY107" s="8" t="str">
        <f>Hidden!$CG101</f>
        <v/>
      </c>
      <c r="EZ107">
        <f t="shared" si="119"/>
        <v>0</v>
      </c>
      <c r="FA107">
        <f t="shared" si="120"/>
        <v>0</v>
      </c>
      <c r="FB107">
        <f t="shared" si="121"/>
        <v>0</v>
      </c>
      <c r="FC107">
        <f t="shared" si="122"/>
        <v>0</v>
      </c>
      <c r="FD107">
        <f t="shared" si="123"/>
        <v>0</v>
      </c>
      <c r="FE107">
        <f t="shared" si="124"/>
        <v>0</v>
      </c>
      <c r="FF107">
        <f t="shared" si="125"/>
        <v>0</v>
      </c>
      <c r="FG107">
        <f t="shared" si="126"/>
        <v>0</v>
      </c>
      <c r="FH107">
        <f t="shared" si="127"/>
        <v>0</v>
      </c>
      <c r="FI107">
        <f t="shared" si="128"/>
        <v>0</v>
      </c>
    </row>
    <row r="108" spans="1:165" ht="29.25" thickBot="1" x14ac:dyDescent="0.25">
      <c r="A108" s="8" t="str">
        <f>Tank1!A129</f>
        <v>AAAAAAAAA</v>
      </c>
      <c r="B108" s="8" t="str">
        <f>Tank1!E129</f>
        <v/>
      </c>
      <c r="C108" s="8" t="str">
        <f>Tank1!F129</f>
        <v/>
      </c>
      <c r="D108" s="8">
        <f t="shared" si="129"/>
        <v>0</v>
      </c>
      <c r="E108" s="8">
        <f t="shared" si="129"/>
        <v>0</v>
      </c>
      <c r="G108" s="8" t="str">
        <f>Tank2!A129</f>
        <v>AAAAAAAAA</v>
      </c>
      <c r="H108" s="8" t="str">
        <f>Tank2!E129</f>
        <v/>
      </c>
      <c r="I108" s="8" t="str">
        <f>Tank2!F129</f>
        <v/>
      </c>
      <c r="J108">
        <f t="shared" si="130"/>
        <v>0</v>
      </c>
      <c r="K108">
        <f t="shared" si="130"/>
        <v>0</v>
      </c>
      <c r="M108" s="8" t="str">
        <f>Tank3!A129</f>
        <v>AAAAAAAAA</v>
      </c>
      <c r="N108" s="8" t="str">
        <f>Tank3!E129</f>
        <v/>
      </c>
      <c r="O108" s="8" t="str">
        <f>Tank3!F129</f>
        <v/>
      </c>
      <c r="P108">
        <f t="shared" si="131"/>
        <v>0</v>
      </c>
      <c r="Q108">
        <f t="shared" si="131"/>
        <v>0</v>
      </c>
      <c r="S108" s="8" t="str">
        <f>Tank4!A129</f>
        <v>AAAAAAAAA</v>
      </c>
      <c r="T108" s="8" t="str">
        <f>Tank4!E129</f>
        <v/>
      </c>
      <c r="U108" s="8" t="str">
        <f>Tank4!F129</f>
        <v/>
      </c>
      <c r="V108">
        <f t="shared" si="132"/>
        <v>0</v>
      </c>
      <c r="W108">
        <f t="shared" si="132"/>
        <v>0</v>
      </c>
      <c r="Y108" s="8" t="str">
        <f>Tank5!A129</f>
        <v>AAAAAAAAA</v>
      </c>
      <c r="Z108" s="8" t="str">
        <f>Tank5!E129</f>
        <v/>
      </c>
      <c r="AA108" s="8" t="str">
        <f>Tank5!F129</f>
        <v/>
      </c>
      <c r="AB108">
        <f t="shared" si="133"/>
        <v>0</v>
      </c>
      <c r="AC108">
        <f t="shared" si="133"/>
        <v>0</v>
      </c>
      <c r="AE108" s="8" t="str">
        <f>Hidden!CC91</f>
        <v/>
      </c>
      <c r="AF108">
        <f t="shared" si="134"/>
        <v>0</v>
      </c>
      <c r="AG108">
        <f t="shared" si="135"/>
        <v>0</v>
      </c>
      <c r="AH108">
        <f t="shared" si="136"/>
        <v>0</v>
      </c>
      <c r="AI108">
        <f t="shared" si="137"/>
        <v>0</v>
      </c>
      <c r="AJ108">
        <f t="shared" si="138"/>
        <v>0</v>
      </c>
      <c r="AK108">
        <f t="shared" si="139"/>
        <v>0</v>
      </c>
      <c r="AL108">
        <f t="shared" si="140"/>
        <v>0</v>
      </c>
      <c r="AM108">
        <f t="shared" si="141"/>
        <v>0</v>
      </c>
      <c r="AN108">
        <f t="shared" si="142"/>
        <v>0</v>
      </c>
      <c r="AO108">
        <f t="shared" si="143"/>
        <v>0</v>
      </c>
      <c r="BJ108" s="8" t="str">
        <f>Tank1!A129</f>
        <v>AAAAAAAAA</v>
      </c>
      <c r="BK108" s="8" t="str">
        <f>Tank1!E129</f>
        <v/>
      </c>
      <c r="BL108" s="8" t="str">
        <f>Tank1!F129</f>
        <v/>
      </c>
      <c r="BM108" s="8">
        <f t="shared" si="144"/>
        <v>0</v>
      </c>
      <c r="BN108" s="8">
        <f t="shared" si="145"/>
        <v>0</v>
      </c>
      <c r="BO108" s="8"/>
      <c r="BP108" s="8" t="str">
        <f>Tank2!A129</f>
        <v>AAAAAAAAA</v>
      </c>
      <c r="BQ108" s="8" t="str">
        <f>Tank2!E129</f>
        <v/>
      </c>
      <c r="BR108" s="8" t="str">
        <f>Tank2!F129</f>
        <v/>
      </c>
      <c r="BS108" s="8">
        <f t="shared" si="146"/>
        <v>0</v>
      </c>
      <c r="BT108" s="8">
        <f t="shared" si="147"/>
        <v>0</v>
      </c>
      <c r="BU108" s="8"/>
      <c r="BV108" s="8" t="str">
        <f>Tank3!A129</f>
        <v>AAAAAAAAA</v>
      </c>
      <c r="BW108" s="8" t="str">
        <f>Tank3!E129</f>
        <v/>
      </c>
      <c r="BX108" s="8" t="str">
        <f>Tank3!F129</f>
        <v/>
      </c>
      <c r="BY108" s="8">
        <f t="shared" si="148"/>
        <v>0</v>
      </c>
      <c r="BZ108" s="8">
        <f t="shared" si="149"/>
        <v>0</v>
      </c>
      <c r="CA108" s="8"/>
      <c r="CB108" s="8" t="str">
        <f>Tank4!A129</f>
        <v>AAAAAAAAA</v>
      </c>
      <c r="CC108" s="8" t="str">
        <f>Tank4!E129</f>
        <v/>
      </c>
      <c r="CD108" s="8" t="str">
        <f>Tank4!F129</f>
        <v/>
      </c>
      <c r="CE108" s="8">
        <f t="shared" si="150"/>
        <v>0</v>
      </c>
      <c r="CF108" s="8">
        <f t="shared" si="151"/>
        <v>0</v>
      </c>
      <c r="CH108" s="8" t="str">
        <f>Tank5!A129</f>
        <v>AAAAAAAAA</v>
      </c>
      <c r="CI108" s="8" t="str">
        <f>Tank5!E129</f>
        <v/>
      </c>
      <c r="CJ108" s="8" t="str">
        <f>Tank5!F129</f>
        <v/>
      </c>
      <c r="CK108" s="8">
        <f t="shared" si="152"/>
        <v>0</v>
      </c>
      <c r="CL108" s="8">
        <f t="shared" si="153"/>
        <v>0</v>
      </c>
      <c r="CN108" s="8" t="str">
        <f>Hidden!$CC91</f>
        <v/>
      </c>
      <c r="CO108">
        <f t="shared" si="154"/>
        <v>0</v>
      </c>
      <c r="CP108">
        <f t="shared" si="155"/>
        <v>0</v>
      </c>
      <c r="CQ108">
        <f t="shared" si="156"/>
        <v>0</v>
      </c>
      <c r="CR108">
        <f t="shared" si="157"/>
        <v>0</v>
      </c>
      <c r="CS108">
        <f t="shared" si="158"/>
        <v>0</v>
      </c>
      <c r="CT108">
        <f t="shared" si="159"/>
        <v>0</v>
      </c>
      <c r="CU108">
        <f t="shared" si="160"/>
        <v>0</v>
      </c>
      <c r="CV108">
        <f t="shared" si="161"/>
        <v>0</v>
      </c>
      <c r="CW108">
        <f t="shared" si="162"/>
        <v>0</v>
      </c>
      <c r="CX108">
        <f t="shared" si="163"/>
        <v>0</v>
      </c>
      <c r="DT108" s="77"/>
      <c r="DU108" s="8" t="str">
        <f t="shared" si="164"/>
        <v>AAAAAAAAAA</v>
      </c>
      <c r="DV108" s="8" t="str">
        <f t="shared" si="165"/>
        <v/>
      </c>
      <c r="DW108" s="8" t="str">
        <f t="shared" si="166"/>
        <v/>
      </c>
      <c r="DX108">
        <f t="shared" si="102"/>
        <v>0</v>
      </c>
      <c r="DY108">
        <f t="shared" si="102"/>
        <v>0</v>
      </c>
      <c r="EA108" t="str">
        <f t="shared" si="103"/>
        <v>AAAAAAAAAA</v>
      </c>
      <c r="EB108" t="str">
        <f t="shared" si="104"/>
        <v/>
      </c>
      <c r="EC108" t="str">
        <f t="shared" si="105"/>
        <v/>
      </c>
      <c r="ED108">
        <f>IF($EC108="",0,$EC108*ED$6)</f>
        <v>0</v>
      </c>
      <c r="EE108">
        <f>IF($EC108="",0,$EC108*EE$6)</f>
        <v>0</v>
      </c>
      <c r="EG108" s="8" t="str">
        <f t="shared" si="107"/>
        <v>AAAAAAAAAA</v>
      </c>
      <c r="EH108" s="8" t="str">
        <f t="shared" si="108"/>
        <v/>
      </c>
      <c r="EI108" s="8" t="str">
        <f t="shared" si="109"/>
        <v/>
      </c>
      <c r="EJ108">
        <f t="shared" si="110"/>
        <v>0</v>
      </c>
      <c r="EK108">
        <f t="shared" si="110"/>
        <v>0</v>
      </c>
      <c r="EM108" s="8" t="str">
        <f t="shared" si="111"/>
        <v>AAAAAAAAAA</v>
      </c>
      <c r="EN108" s="8" t="str">
        <f t="shared" si="112"/>
        <v/>
      </c>
      <c r="EO108" s="8" t="str">
        <f t="shared" si="113"/>
        <v/>
      </c>
      <c r="EP108">
        <f t="shared" si="114"/>
        <v>0</v>
      </c>
      <c r="EQ108">
        <f t="shared" si="114"/>
        <v>0</v>
      </c>
      <c r="ES108" s="8" t="str">
        <f t="shared" si="115"/>
        <v>AAAAAAAAAA</v>
      </c>
      <c r="ET108" s="8" t="str">
        <f t="shared" si="116"/>
        <v/>
      </c>
      <c r="EU108" s="8" t="str">
        <f t="shared" si="117"/>
        <v/>
      </c>
      <c r="EV108">
        <f t="shared" si="118"/>
        <v>0</v>
      </c>
      <c r="EW108">
        <f t="shared" si="118"/>
        <v>0</v>
      </c>
      <c r="EY108" s="8" t="str">
        <f>Hidden!$CG102</f>
        <v/>
      </c>
      <c r="EZ108">
        <f t="shared" si="119"/>
        <v>0</v>
      </c>
      <c r="FA108">
        <f t="shared" si="120"/>
        <v>0</v>
      </c>
      <c r="FB108">
        <f t="shared" si="121"/>
        <v>0</v>
      </c>
      <c r="FC108">
        <f t="shared" si="122"/>
        <v>0</v>
      </c>
      <c r="FD108">
        <f t="shared" si="123"/>
        <v>0</v>
      </c>
      <c r="FE108">
        <f t="shared" si="124"/>
        <v>0</v>
      </c>
      <c r="FF108">
        <f t="shared" si="125"/>
        <v>0</v>
      </c>
      <c r="FG108">
        <f t="shared" si="126"/>
        <v>0</v>
      </c>
      <c r="FH108">
        <f t="shared" si="127"/>
        <v>0</v>
      </c>
      <c r="FI108">
        <f t="shared" si="128"/>
        <v>0</v>
      </c>
    </row>
    <row r="109" spans="1:165" ht="15.75" thickBot="1" x14ac:dyDescent="0.25">
      <c r="A109" s="8" t="str">
        <f>Tank1!A130</f>
        <v>AAAAAAAAAA</v>
      </c>
      <c r="B109" s="8" t="str">
        <f>Tank1!E130</f>
        <v/>
      </c>
      <c r="C109" s="8" t="str">
        <f>Tank1!F130</f>
        <v/>
      </c>
      <c r="D109" s="8">
        <f t="shared" si="129"/>
        <v>0</v>
      </c>
      <c r="E109" s="8">
        <f t="shared" si="129"/>
        <v>0</v>
      </c>
      <c r="G109" s="8" t="str">
        <f>Tank2!A130</f>
        <v>AAAAAAAAAA</v>
      </c>
      <c r="H109" s="8" t="str">
        <f>Tank2!E130</f>
        <v/>
      </c>
      <c r="I109" s="8" t="str">
        <f>Tank2!F130</f>
        <v/>
      </c>
      <c r="J109">
        <f t="shared" si="130"/>
        <v>0</v>
      </c>
      <c r="K109">
        <f t="shared" si="130"/>
        <v>0</v>
      </c>
      <c r="M109" s="8" t="str">
        <f>Tank3!A130</f>
        <v>AAAAAAAAAA</v>
      </c>
      <c r="N109" s="8" t="str">
        <f>Tank3!E130</f>
        <v/>
      </c>
      <c r="O109" s="8" t="str">
        <f>Tank3!F130</f>
        <v/>
      </c>
      <c r="P109">
        <f t="shared" si="131"/>
        <v>0</v>
      </c>
      <c r="Q109">
        <f t="shared" si="131"/>
        <v>0</v>
      </c>
      <c r="S109" s="8" t="str">
        <f>Tank4!A130</f>
        <v>AAAAAAAAAA</v>
      </c>
      <c r="T109" s="8" t="str">
        <f>Tank4!E130</f>
        <v/>
      </c>
      <c r="U109" s="8" t="str">
        <f>Tank4!F130</f>
        <v/>
      </c>
      <c r="V109">
        <f t="shared" si="132"/>
        <v>0</v>
      </c>
      <c r="W109">
        <f t="shared" si="132"/>
        <v>0</v>
      </c>
      <c r="Y109" s="8" t="str">
        <f>Tank5!A130</f>
        <v>AAAAAAAAAA</v>
      </c>
      <c r="Z109" s="8" t="str">
        <f>Tank5!E130</f>
        <v/>
      </c>
      <c r="AA109" s="8" t="str">
        <f>Tank5!F130</f>
        <v/>
      </c>
      <c r="AB109">
        <f t="shared" si="133"/>
        <v>0</v>
      </c>
      <c r="AC109">
        <f t="shared" si="133"/>
        <v>0</v>
      </c>
      <c r="AE109" s="8" t="str">
        <f>Hidden!CC92</f>
        <v/>
      </c>
      <c r="AF109">
        <f t="shared" si="134"/>
        <v>0</v>
      </c>
      <c r="AG109">
        <f t="shared" si="135"/>
        <v>0</v>
      </c>
      <c r="AH109">
        <f t="shared" si="136"/>
        <v>0</v>
      </c>
      <c r="AI109">
        <f t="shared" si="137"/>
        <v>0</v>
      </c>
      <c r="AJ109">
        <f t="shared" si="138"/>
        <v>0</v>
      </c>
      <c r="AK109">
        <f t="shared" si="139"/>
        <v>0</v>
      </c>
      <c r="AL109">
        <f t="shared" si="140"/>
        <v>0</v>
      </c>
      <c r="AM109">
        <f t="shared" si="141"/>
        <v>0</v>
      </c>
      <c r="AN109">
        <f t="shared" si="142"/>
        <v>0</v>
      </c>
      <c r="AO109">
        <f t="shared" si="143"/>
        <v>0</v>
      </c>
      <c r="BJ109" s="8" t="str">
        <f>Tank1!A130</f>
        <v>AAAAAAAAAA</v>
      </c>
      <c r="BK109" s="8" t="str">
        <f>Tank1!E130</f>
        <v/>
      </c>
      <c r="BL109" s="8" t="str">
        <f>Tank1!F130</f>
        <v/>
      </c>
      <c r="BM109" s="8">
        <f t="shared" si="144"/>
        <v>0</v>
      </c>
      <c r="BN109" s="8">
        <f t="shared" si="145"/>
        <v>0</v>
      </c>
      <c r="BO109" s="8"/>
      <c r="BP109" s="8" t="str">
        <f>Tank2!A130</f>
        <v>AAAAAAAAAA</v>
      </c>
      <c r="BQ109" s="8" t="str">
        <f>Tank2!E130</f>
        <v/>
      </c>
      <c r="BR109" s="8" t="str">
        <f>Tank2!F130</f>
        <v/>
      </c>
      <c r="BS109" s="8">
        <f t="shared" si="146"/>
        <v>0</v>
      </c>
      <c r="BT109" s="8">
        <f t="shared" si="147"/>
        <v>0</v>
      </c>
      <c r="BU109" s="8"/>
      <c r="BV109" s="8" t="str">
        <f>Tank3!A130</f>
        <v>AAAAAAAAAA</v>
      </c>
      <c r="BW109" s="8" t="str">
        <f>Tank3!E130</f>
        <v/>
      </c>
      <c r="BX109" s="8" t="str">
        <f>Tank3!F130</f>
        <v/>
      </c>
      <c r="BY109" s="8">
        <f t="shared" si="148"/>
        <v>0</v>
      </c>
      <c r="BZ109" s="8">
        <f t="shared" si="149"/>
        <v>0</v>
      </c>
      <c r="CA109" s="8"/>
      <c r="CB109" s="8" t="str">
        <f>Tank4!A130</f>
        <v>AAAAAAAAAA</v>
      </c>
      <c r="CC109" s="8" t="str">
        <f>Tank4!E130</f>
        <v/>
      </c>
      <c r="CD109" s="8" t="str">
        <f>Tank4!F130</f>
        <v/>
      </c>
      <c r="CE109" s="8">
        <f t="shared" si="150"/>
        <v>0</v>
      </c>
      <c r="CF109" s="8">
        <f t="shared" si="151"/>
        <v>0</v>
      </c>
      <c r="CH109" s="8" t="str">
        <f>Tank5!A130</f>
        <v>AAAAAAAAAA</v>
      </c>
      <c r="CI109" s="8" t="str">
        <f>Tank5!E130</f>
        <v/>
      </c>
      <c r="CJ109" s="8" t="str">
        <f>Tank5!F130</f>
        <v/>
      </c>
      <c r="CK109" s="8">
        <f t="shared" si="152"/>
        <v>0</v>
      </c>
      <c r="CL109" s="8">
        <f t="shared" si="153"/>
        <v>0</v>
      </c>
      <c r="CN109" s="8" t="str">
        <f>Hidden!$CC92</f>
        <v/>
      </c>
      <c r="CO109">
        <f t="shared" si="154"/>
        <v>0</v>
      </c>
      <c r="CP109">
        <f t="shared" si="155"/>
        <v>0</v>
      </c>
      <c r="CQ109">
        <f t="shared" si="156"/>
        <v>0</v>
      </c>
      <c r="CR109">
        <f t="shared" si="157"/>
        <v>0</v>
      </c>
      <c r="CS109">
        <f t="shared" si="158"/>
        <v>0</v>
      </c>
      <c r="CT109">
        <f t="shared" si="159"/>
        <v>0</v>
      </c>
      <c r="CU109">
        <f t="shared" si="160"/>
        <v>0</v>
      </c>
      <c r="CV109">
        <f t="shared" si="161"/>
        <v>0</v>
      </c>
      <c r="CW109">
        <f t="shared" si="162"/>
        <v>0</v>
      </c>
      <c r="CX109">
        <f t="shared" si="163"/>
        <v>0</v>
      </c>
      <c r="DT109" s="77"/>
      <c r="DU109" s="479" t="s">
        <v>9990</v>
      </c>
      <c r="DV109" s="479"/>
      <c r="DW109" s="479"/>
      <c r="DX109" s="479"/>
      <c r="DY109" s="479"/>
      <c r="DZ109" s="479"/>
      <c r="EA109" s="479"/>
      <c r="EB109" s="479"/>
      <c r="EC109" s="479"/>
      <c r="ED109" s="479"/>
      <c r="EE109" s="479"/>
      <c r="EF109" s="479"/>
      <c r="EG109" s="479"/>
      <c r="EH109" s="479"/>
      <c r="EI109" s="479"/>
      <c r="EJ109" s="479"/>
      <c r="EK109" s="479"/>
      <c r="EL109" s="479"/>
      <c r="EM109" s="479"/>
      <c r="EN109" s="479"/>
      <c r="EO109" s="479"/>
      <c r="EP109" s="479"/>
      <c r="EQ109" s="479"/>
      <c r="ER109" s="479"/>
      <c r="ES109" s="479"/>
      <c r="ET109" s="479"/>
      <c r="EU109" s="479"/>
      <c r="EV109" s="479"/>
      <c r="EW109" s="479"/>
      <c r="EX109" s="479"/>
      <c r="EY109" s="479"/>
      <c r="EZ109" s="479"/>
      <c r="FA109" s="479"/>
      <c r="FB109" s="479"/>
      <c r="FC109" s="479"/>
      <c r="FD109" s="479"/>
      <c r="FE109" s="479"/>
      <c r="FF109" s="479"/>
      <c r="FG109" s="479"/>
      <c r="FH109" s="479"/>
      <c r="FI109" s="479"/>
    </row>
    <row r="110" spans="1:165" ht="71.25" x14ac:dyDescent="0.2">
      <c r="A110" s="8" t="str">
        <f>Tank1!A132</f>
        <v>A</v>
      </c>
      <c r="B110" s="8" t="str">
        <f>Tank1!E132</f>
        <v/>
      </c>
      <c r="C110" s="8" t="str">
        <f>Tank1!F132</f>
        <v/>
      </c>
      <c r="D110" s="8">
        <f t="shared" si="129"/>
        <v>0</v>
      </c>
      <c r="E110" s="8">
        <f t="shared" si="129"/>
        <v>0</v>
      </c>
      <c r="G110" s="8" t="str">
        <f>Tank2!A132</f>
        <v>A</v>
      </c>
      <c r="H110" s="8" t="str">
        <f>Tank2!E132</f>
        <v/>
      </c>
      <c r="I110" s="8" t="str">
        <f>Tank2!F132</f>
        <v/>
      </c>
      <c r="J110">
        <f t="shared" si="130"/>
        <v>0</v>
      </c>
      <c r="K110">
        <f t="shared" si="130"/>
        <v>0</v>
      </c>
      <c r="M110" s="8" t="str">
        <f>Tank3!A132</f>
        <v>A</v>
      </c>
      <c r="N110" s="8" t="str">
        <f>Tank3!E132</f>
        <v/>
      </c>
      <c r="O110" s="8" t="str">
        <f>Tank3!F132</f>
        <v/>
      </c>
      <c r="P110">
        <f t="shared" si="131"/>
        <v>0</v>
      </c>
      <c r="Q110">
        <f t="shared" si="131"/>
        <v>0</v>
      </c>
      <c r="S110" s="8" t="str">
        <f>Tank4!A132</f>
        <v>A</v>
      </c>
      <c r="T110" s="8" t="str">
        <f>Tank4!E132</f>
        <v/>
      </c>
      <c r="U110" s="8" t="str">
        <f>Tank4!F132</f>
        <v/>
      </c>
      <c r="V110">
        <f t="shared" si="132"/>
        <v>0</v>
      </c>
      <c r="W110">
        <f t="shared" si="132"/>
        <v>0</v>
      </c>
      <c r="Y110" s="8" t="str">
        <f>Tank5!A132</f>
        <v>A</v>
      </c>
      <c r="Z110" s="8" t="str">
        <f>Tank5!E132</f>
        <v/>
      </c>
      <c r="AA110" s="8" t="str">
        <f>Tank5!F132</f>
        <v/>
      </c>
      <c r="AB110">
        <f t="shared" si="133"/>
        <v>0</v>
      </c>
      <c r="AC110">
        <f t="shared" si="133"/>
        <v>0</v>
      </c>
      <c r="AE110" s="8" t="str">
        <f>Hidden!CC93</f>
        <v/>
      </c>
      <c r="AF110">
        <f t="shared" si="134"/>
        <v>0</v>
      </c>
      <c r="AG110">
        <f t="shared" si="135"/>
        <v>0</v>
      </c>
      <c r="AH110">
        <f t="shared" si="136"/>
        <v>0</v>
      </c>
      <c r="AI110">
        <f t="shared" si="137"/>
        <v>0</v>
      </c>
      <c r="AJ110">
        <f t="shared" si="138"/>
        <v>0</v>
      </c>
      <c r="AK110">
        <f t="shared" si="139"/>
        <v>0</v>
      </c>
      <c r="AL110">
        <f t="shared" si="140"/>
        <v>0</v>
      </c>
      <c r="AM110">
        <f t="shared" si="141"/>
        <v>0</v>
      </c>
      <c r="AN110">
        <f t="shared" si="142"/>
        <v>0</v>
      </c>
      <c r="AO110">
        <f t="shared" si="143"/>
        <v>0</v>
      </c>
      <c r="BJ110" s="8" t="str">
        <f>Tank1!A132</f>
        <v>A</v>
      </c>
      <c r="BK110" s="8" t="str">
        <f>Tank1!E132</f>
        <v/>
      </c>
      <c r="BL110" s="8" t="str">
        <f>Tank1!F132</f>
        <v/>
      </c>
      <c r="BM110" s="8">
        <f t="shared" si="144"/>
        <v>0</v>
      </c>
      <c r="BN110" s="8">
        <f t="shared" si="145"/>
        <v>0</v>
      </c>
      <c r="BO110" s="8"/>
      <c r="BP110" s="8" t="str">
        <f>Tank2!A132</f>
        <v>A</v>
      </c>
      <c r="BQ110" s="8" t="str">
        <f>Tank2!E132</f>
        <v/>
      </c>
      <c r="BR110" s="8" t="str">
        <f>Tank2!F132</f>
        <v/>
      </c>
      <c r="BS110" s="8">
        <f t="shared" si="146"/>
        <v>0</v>
      </c>
      <c r="BT110" s="8">
        <f t="shared" si="147"/>
        <v>0</v>
      </c>
      <c r="BU110" s="8"/>
      <c r="BV110" s="8" t="str">
        <f>Tank3!A132</f>
        <v>A</v>
      </c>
      <c r="BW110" s="8" t="str">
        <f>Tank3!E132</f>
        <v/>
      </c>
      <c r="BX110" s="8" t="str">
        <f>Tank3!F132</f>
        <v/>
      </c>
      <c r="BY110" s="8">
        <f t="shared" si="148"/>
        <v>0</v>
      </c>
      <c r="BZ110" s="8">
        <f t="shared" si="149"/>
        <v>0</v>
      </c>
      <c r="CA110" s="8"/>
      <c r="CB110" s="8" t="str">
        <f>Tank4!A132</f>
        <v>A</v>
      </c>
      <c r="CC110" s="8" t="str">
        <f>Tank4!E132</f>
        <v/>
      </c>
      <c r="CD110" s="8" t="str">
        <f>Tank4!F132</f>
        <v/>
      </c>
      <c r="CE110" s="8">
        <f t="shared" si="150"/>
        <v>0</v>
      </c>
      <c r="CF110" s="8">
        <f t="shared" si="151"/>
        <v>0</v>
      </c>
      <c r="CH110" s="8" t="str">
        <f>Tank5!A132</f>
        <v>A</v>
      </c>
      <c r="CI110" s="8" t="str">
        <f>Tank5!E132</f>
        <v/>
      </c>
      <c r="CJ110" s="8" t="str">
        <f>Tank5!F132</f>
        <v/>
      </c>
      <c r="CK110" s="8">
        <f t="shared" si="152"/>
        <v>0</v>
      </c>
      <c r="CL110" s="8">
        <f t="shared" si="153"/>
        <v>0</v>
      </c>
      <c r="CN110" s="8" t="str">
        <f>Hidden!$CC93</f>
        <v/>
      </c>
      <c r="CO110">
        <f t="shared" si="154"/>
        <v>0</v>
      </c>
      <c r="CP110">
        <f t="shared" si="155"/>
        <v>0</v>
      </c>
      <c r="CQ110">
        <f t="shared" si="156"/>
        <v>0</v>
      </c>
      <c r="CR110">
        <f t="shared" si="157"/>
        <v>0</v>
      </c>
      <c r="CS110">
        <f>IF(CS$17,_xlfn.MAXIFS($CK$20:$CK$119,$CI$20:$CI$119,$CN110),0)</f>
        <v>0</v>
      </c>
      <c r="CT110">
        <f t="shared" si="159"/>
        <v>0</v>
      </c>
      <c r="CU110">
        <f t="shared" si="160"/>
        <v>0</v>
      </c>
      <c r="CV110">
        <f t="shared" si="161"/>
        <v>0</v>
      </c>
      <c r="CW110">
        <f t="shared" si="162"/>
        <v>0</v>
      </c>
      <c r="CX110">
        <f t="shared" si="163"/>
        <v>0</v>
      </c>
      <c r="DT110" s="77"/>
      <c r="DU110" s="8" t="s">
        <v>9726</v>
      </c>
      <c r="DV110" s="8"/>
      <c r="DW110" s="8"/>
      <c r="EA110" t="s">
        <v>9728</v>
      </c>
      <c r="EG110" t="s">
        <v>9729</v>
      </c>
      <c r="EM110" t="s">
        <v>9730</v>
      </c>
      <c r="ES110" t="s">
        <v>9731</v>
      </c>
      <c r="EY110" t="s">
        <v>9203</v>
      </c>
      <c r="EZ110" t="s">
        <v>9732</v>
      </c>
      <c r="FA110" t="s">
        <v>9733</v>
      </c>
      <c r="FB110" t="s">
        <v>9734</v>
      </c>
      <c r="FC110" t="s">
        <v>9735</v>
      </c>
      <c r="FD110" t="s">
        <v>9736</v>
      </c>
      <c r="FE110" t="s">
        <v>9738</v>
      </c>
      <c r="FF110" t="s">
        <v>9739</v>
      </c>
      <c r="FG110" t="s">
        <v>9740</v>
      </c>
      <c r="FH110" t="s">
        <v>9741</v>
      </c>
      <c r="FI110" t="s">
        <v>9742</v>
      </c>
    </row>
    <row r="111" spans="1:165" x14ac:dyDescent="0.2">
      <c r="A111" s="8" t="str">
        <f>Tank1!A133</f>
        <v>AA</v>
      </c>
      <c r="B111" s="8" t="str">
        <f>Tank1!E133</f>
        <v/>
      </c>
      <c r="C111" s="8" t="str">
        <f>Tank1!F133</f>
        <v/>
      </c>
      <c r="D111" s="8">
        <f t="shared" si="129"/>
        <v>0</v>
      </c>
      <c r="E111" s="8">
        <f t="shared" si="129"/>
        <v>0</v>
      </c>
      <c r="G111" s="8" t="str">
        <f>Tank2!A133</f>
        <v>AA</v>
      </c>
      <c r="H111" s="8" t="str">
        <f>Tank2!E133</f>
        <v/>
      </c>
      <c r="I111" s="8" t="str">
        <f>Tank2!F133</f>
        <v/>
      </c>
      <c r="J111">
        <f t="shared" si="130"/>
        <v>0</v>
      </c>
      <c r="K111">
        <f t="shared" si="130"/>
        <v>0</v>
      </c>
      <c r="M111" s="8" t="str">
        <f>Tank3!A133</f>
        <v>AA</v>
      </c>
      <c r="N111" s="8" t="str">
        <f>Tank3!E133</f>
        <v/>
      </c>
      <c r="O111" s="8" t="str">
        <f>Tank3!F133</f>
        <v/>
      </c>
      <c r="P111">
        <f t="shared" si="131"/>
        <v>0</v>
      </c>
      <c r="Q111">
        <f t="shared" si="131"/>
        <v>0</v>
      </c>
      <c r="S111" s="8" t="str">
        <f>Tank4!A133</f>
        <v>AA</v>
      </c>
      <c r="T111" s="8" t="str">
        <f>Tank4!E133</f>
        <v/>
      </c>
      <c r="U111" s="8" t="str">
        <f>Tank4!F133</f>
        <v/>
      </c>
      <c r="V111">
        <f t="shared" si="132"/>
        <v>0</v>
      </c>
      <c r="W111">
        <f t="shared" si="132"/>
        <v>0</v>
      </c>
      <c r="Y111" s="8" t="str">
        <f>Tank5!A133</f>
        <v>AA</v>
      </c>
      <c r="Z111" s="8" t="str">
        <f>Tank5!E133</f>
        <v/>
      </c>
      <c r="AA111" s="8" t="str">
        <f>Tank5!F133</f>
        <v/>
      </c>
      <c r="AB111">
        <f t="shared" si="133"/>
        <v>0</v>
      </c>
      <c r="AC111">
        <f t="shared" si="133"/>
        <v>0</v>
      </c>
      <c r="AE111" s="8" t="str">
        <f>Hidden!CC94</f>
        <v/>
      </c>
      <c r="AF111">
        <f t="shared" si="134"/>
        <v>0</v>
      </c>
      <c r="AG111">
        <f t="shared" si="135"/>
        <v>0</v>
      </c>
      <c r="AH111">
        <f t="shared" si="136"/>
        <v>0</v>
      </c>
      <c r="AI111">
        <f t="shared" si="137"/>
        <v>0</v>
      </c>
      <c r="AJ111">
        <f t="shared" si="138"/>
        <v>0</v>
      </c>
      <c r="AK111">
        <f t="shared" si="139"/>
        <v>0</v>
      </c>
      <c r="AL111">
        <f t="shared" si="140"/>
        <v>0</v>
      </c>
      <c r="AM111">
        <f t="shared" si="141"/>
        <v>0</v>
      </c>
      <c r="AN111">
        <f t="shared" si="142"/>
        <v>0</v>
      </c>
      <c r="AO111">
        <f t="shared" si="143"/>
        <v>0</v>
      </c>
      <c r="BJ111" s="8" t="str">
        <f>Tank1!A133</f>
        <v>AA</v>
      </c>
      <c r="BK111" s="8" t="str">
        <f>Tank1!E133</f>
        <v/>
      </c>
      <c r="BL111" s="8" t="str">
        <f>Tank1!F133</f>
        <v/>
      </c>
      <c r="BM111" s="8">
        <f t="shared" si="144"/>
        <v>0</v>
      </c>
      <c r="BN111" s="8">
        <f t="shared" si="145"/>
        <v>0</v>
      </c>
      <c r="BO111" s="8"/>
      <c r="BP111" s="8" t="str">
        <f>Tank2!A133</f>
        <v>AA</v>
      </c>
      <c r="BQ111" s="8" t="str">
        <f>Tank2!E133</f>
        <v/>
      </c>
      <c r="BR111" s="8" t="str">
        <f>Tank2!F133</f>
        <v/>
      </c>
      <c r="BS111" s="8">
        <f t="shared" si="146"/>
        <v>0</v>
      </c>
      <c r="BT111" s="8">
        <f t="shared" si="147"/>
        <v>0</v>
      </c>
      <c r="BU111" s="8"/>
      <c r="BV111" s="8" t="str">
        <f>Tank3!A133</f>
        <v>AA</v>
      </c>
      <c r="BW111" s="8" t="str">
        <f>Tank3!E133</f>
        <v/>
      </c>
      <c r="BX111" s="8" t="str">
        <f>Tank3!F133</f>
        <v/>
      </c>
      <c r="BY111" s="8">
        <f t="shared" si="148"/>
        <v>0</v>
      </c>
      <c r="BZ111" s="8">
        <f t="shared" si="149"/>
        <v>0</v>
      </c>
      <c r="CA111" s="8"/>
      <c r="CB111" s="8" t="str">
        <f>Tank4!A133</f>
        <v>AA</v>
      </c>
      <c r="CC111" s="8" t="str">
        <f>Tank4!E133</f>
        <v/>
      </c>
      <c r="CD111" s="8" t="str">
        <f>Tank4!F133</f>
        <v/>
      </c>
      <c r="CE111" s="8">
        <f t="shared" si="150"/>
        <v>0</v>
      </c>
      <c r="CF111" s="8">
        <f t="shared" si="151"/>
        <v>0</v>
      </c>
      <c r="CH111" s="8" t="str">
        <f>Tank5!A133</f>
        <v>AA</v>
      </c>
      <c r="CI111" s="8" t="str">
        <f>Tank5!E133</f>
        <v/>
      </c>
      <c r="CJ111" s="8" t="str">
        <f>Tank5!F133</f>
        <v/>
      </c>
      <c r="CK111" s="8">
        <f t="shared" si="152"/>
        <v>0</v>
      </c>
      <c r="CL111" s="8">
        <f t="shared" si="153"/>
        <v>0</v>
      </c>
      <c r="CN111" s="8" t="str">
        <f>Hidden!$CC94</f>
        <v/>
      </c>
      <c r="CO111">
        <f t="shared" si="154"/>
        <v>0</v>
      </c>
      <c r="CP111">
        <f t="shared" si="155"/>
        <v>0</v>
      </c>
      <c r="CQ111">
        <f t="shared" si="156"/>
        <v>0</v>
      </c>
      <c r="CR111">
        <f t="shared" si="157"/>
        <v>0</v>
      </c>
      <c r="CS111">
        <f t="shared" si="158"/>
        <v>0</v>
      </c>
      <c r="CT111">
        <f t="shared" si="159"/>
        <v>0</v>
      </c>
      <c r="CU111">
        <f t="shared" si="160"/>
        <v>0</v>
      </c>
      <c r="CV111">
        <f t="shared" si="161"/>
        <v>0</v>
      </c>
      <c r="CW111">
        <f t="shared" si="162"/>
        <v>0</v>
      </c>
      <c r="CX111">
        <f t="shared" si="163"/>
        <v>0</v>
      </c>
      <c r="DT111" s="77"/>
      <c r="DU111" s="8"/>
      <c r="DV111" s="8"/>
      <c r="DW111" s="8"/>
      <c r="DX111" t="s">
        <v>8741</v>
      </c>
      <c r="DY111" t="s">
        <v>8742</v>
      </c>
      <c r="ED111" t="s">
        <v>8741</v>
      </c>
      <c r="EE111" t="s">
        <v>8742</v>
      </c>
      <c r="EJ111" t="s">
        <v>8741</v>
      </c>
      <c r="EK111" t="s">
        <v>8742</v>
      </c>
      <c r="EP111" t="s">
        <v>8741</v>
      </c>
      <c r="EQ111" t="s">
        <v>8742</v>
      </c>
      <c r="EV111" t="s">
        <v>8741</v>
      </c>
      <c r="EW111" t="s">
        <v>8742</v>
      </c>
      <c r="EY111" s="77"/>
      <c r="EZ111" s="77"/>
      <c r="FA111" s="77"/>
      <c r="FB111" s="77"/>
      <c r="FC111" s="77"/>
      <c r="FD111" s="77"/>
      <c r="FE111" s="77"/>
      <c r="FF111" s="77"/>
      <c r="FG111" s="77"/>
      <c r="FH111" s="77"/>
      <c r="FI111" s="77"/>
    </row>
    <row r="112" spans="1:165" x14ac:dyDescent="0.2">
      <c r="A112" s="8" t="str">
        <f>Tank1!A134</f>
        <v>AAA</v>
      </c>
      <c r="B112" s="8" t="str">
        <f>Tank1!E134</f>
        <v/>
      </c>
      <c r="C112" s="8" t="str">
        <f>Tank1!F134</f>
        <v/>
      </c>
      <c r="D112" s="8">
        <f t="shared" si="129"/>
        <v>0</v>
      </c>
      <c r="E112" s="8">
        <f t="shared" si="129"/>
        <v>0</v>
      </c>
      <c r="G112" s="8" t="str">
        <f>Tank2!A134</f>
        <v>AAA</v>
      </c>
      <c r="H112" s="8" t="str">
        <f>Tank2!E134</f>
        <v/>
      </c>
      <c r="I112" s="8" t="str">
        <f>Tank2!F134</f>
        <v/>
      </c>
      <c r="J112">
        <f t="shared" si="130"/>
        <v>0</v>
      </c>
      <c r="K112">
        <f t="shared" si="130"/>
        <v>0</v>
      </c>
      <c r="M112" s="8" t="str">
        <f>Tank3!A134</f>
        <v>AAA</v>
      </c>
      <c r="N112" s="8" t="str">
        <f>Tank3!E134</f>
        <v/>
      </c>
      <c r="O112" s="8" t="str">
        <f>Tank3!F134</f>
        <v/>
      </c>
      <c r="P112">
        <f t="shared" si="131"/>
        <v>0</v>
      </c>
      <c r="Q112">
        <f t="shared" si="131"/>
        <v>0</v>
      </c>
      <c r="S112" s="8" t="str">
        <f>Tank4!A134</f>
        <v>AAA</v>
      </c>
      <c r="T112" s="8" t="str">
        <f>Tank4!E134</f>
        <v/>
      </c>
      <c r="U112" s="8" t="str">
        <f>Tank4!F134</f>
        <v/>
      </c>
      <c r="V112">
        <f t="shared" si="132"/>
        <v>0</v>
      </c>
      <c r="W112">
        <f t="shared" si="132"/>
        <v>0</v>
      </c>
      <c r="Y112" s="8" t="str">
        <f>Tank5!A134</f>
        <v>AAA</v>
      </c>
      <c r="Z112" s="8" t="str">
        <f>Tank5!E134</f>
        <v/>
      </c>
      <c r="AA112" s="8" t="str">
        <f>Tank5!F134</f>
        <v/>
      </c>
      <c r="AB112">
        <f t="shared" si="133"/>
        <v>0</v>
      </c>
      <c r="AC112">
        <f t="shared" si="133"/>
        <v>0</v>
      </c>
      <c r="AE112" s="8" t="str">
        <f>Hidden!CC95</f>
        <v/>
      </c>
      <c r="AF112">
        <f t="shared" si="134"/>
        <v>0</v>
      </c>
      <c r="AG112">
        <f t="shared" si="135"/>
        <v>0</v>
      </c>
      <c r="AH112">
        <f t="shared" si="136"/>
        <v>0</v>
      </c>
      <c r="AI112">
        <f t="shared" si="137"/>
        <v>0</v>
      </c>
      <c r="AJ112">
        <f t="shared" si="138"/>
        <v>0</v>
      </c>
      <c r="AK112">
        <f t="shared" si="139"/>
        <v>0</v>
      </c>
      <c r="AL112">
        <f t="shared" si="140"/>
        <v>0</v>
      </c>
      <c r="AM112">
        <f t="shared" si="141"/>
        <v>0</v>
      </c>
      <c r="AN112">
        <f t="shared" si="142"/>
        <v>0</v>
      </c>
      <c r="AO112">
        <f t="shared" si="143"/>
        <v>0</v>
      </c>
      <c r="BJ112" s="8" t="str">
        <f>Tank1!A134</f>
        <v>AAA</v>
      </c>
      <c r="BK112" s="8" t="str">
        <f>Tank1!E134</f>
        <v/>
      </c>
      <c r="BL112" s="8" t="str">
        <f>Tank1!F134</f>
        <v/>
      </c>
      <c r="BM112" s="8">
        <f t="shared" si="144"/>
        <v>0</v>
      </c>
      <c r="BN112" s="8">
        <f t="shared" si="145"/>
        <v>0</v>
      </c>
      <c r="BO112" s="8"/>
      <c r="BP112" s="8" t="str">
        <f>Tank2!A134</f>
        <v>AAA</v>
      </c>
      <c r="BQ112" s="8" t="str">
        <f>Tank2!E134</f>
        <v/>
      </c>
      <c r="BR112" s="8" t="str">
        <f>Tank2!F134</f>
        <v/>
      </c>
      <c r="BS112" s="8">
        <f t="shared" si="146"/>
        <v>0</v>
      </c>
      <c r="BT112" s="8">
        <f t="shared" si="147"/>
        <v>0</v>
      </c>
      <c r="BU112" s="8"/>
      <c r="BV112" s="8" t="str">
        <f>Tank3!A134</f>
        <v>AAA</v>
      </c>
      <c r="BW112" s="8" t="str">
        <f>Tank3!E134</f>
        <v/>
      </c>
      <c r="BX112" s="8" t="str">
        <f>Tank3!F134</f>
        <v/>
      </c>
      <c r="BY112" s="8">
        <f t="shared" si="148"/>
        <v>0</v>
      </c>
      <c r="BZ112" s="8">
        <f t="shared" si="149"/>
        <v>0</v>
      </c>
      <c r="CA112" s="8"/>
      <c r="CB112" s="8" t="str">
        <f>Tank4!A134</f>
        <v>AAA</v>
      </c>
      <c r="CC112" s="8" t="str">
        <f>Tank4!E134</f>
        <v/>
      </c>
      <c r="CD112" s="8" t="str">
        <f>Tank4!F134</f>
        <v/>
      </c>
      <c r="CE112" s="8">
        <f t="shared" si="150"/>
        <v>0</v>
      </c>
      <c r="CF112" s="8">
        <f t="shared" si="151"/>
        <v>0</v>
      </c>
      <c r="CH112" s="8" t="str">
        <f>Tank5!A134</f>
        <v>AAA</v>
      </c>
      <c r="CI112" s="8" t="str">
        <f>Tank5!E134</f>
        <v/>
      </c>
      <c r="CJ112" s="8" t="str">
        <f>Tank5!F134</f>
        <v/>
      </c>
      <c r="CK112" s="8">
        <f t="shared" si="152"/>
        <v>0</v>
      </c>
      <c r="CL112" s="8">
        <f t="shared" si="153"/>
        <v>0</v>
      </c>
      <c r="CN112" s="8" t="str">
        <f>Hidden!$CC95</f>
        <v/>
      </c>
      <c r="CO112">
        <f t="shared" si="154"/>
        <v>0</v>
      </c>
      <c r="CP112">
        <f t="shared" si="155"/>
        <v>0</v>
      </c>
      <c r="CQ112">
        <f t="shared" si="156"/>
        <v>0</v>
      </c>
      <c r="CR112">
        <f t="shared" si="157"/>
        <v>0</v>
      </c>
      <c r="CS112">
        <f t="shared" si="158"/>
        <v>0</v>
      </c>
      <c r="CT112">
        <f t="shared" si="159"/>
        <v>0</v>
      </c>
      <c r="CU112">
        <f t="shared" si="160"/>
        <v>0</v>
      </c>
      <c r="CV112">
        <f t="shared" si="161"/>
        <v>0</v>
      </c>
      <c r="CW112">
        <f t="shared" si="162"/>
        <v>0</v>
      </c>
      <c r="CX112">
        <f t="shared" si="163"/>
        <v>0</v>
      </c>
      <c r="DT112" s="77"/>
      <c r="DU112" s="8" t="s">
        <v>229</v>
      </c>
      <c r="DV112" s="8"/>
      <c r="DW112" s="8"/>
      <c r="DX112" s="156">
        <f>TankMSS!$C$166</f>
        <v>0</v>
      </c>
      <c r="DY112" s="156">
        <f>TankMSS!$D$166</f>
        <v>0</v>
      </c>
      <c r="EA112" t="s">
        <v>229</v>
      </c>
      <c r="ED112" s="156">
        <f>$DX$112</f>
        <v>0</v>
      </c>
      <c r="EE112" s="156">
        <f>$DY$112</f>
        <v>0</v>
      </c>
      <c r="EG112" t="s">
        <v>229</v>
      </c>
      <c r="EJ112" s="156">
        <f>$DX$112</f>
        <v>0</v>
      </c>
      <c r="EK112" s="156">
        <f>$DY$112</f>
        <v>0</v>
      </c>
      <c r="EM112" t="s">
        <v>229</v>
      </c>
      <c r="EP112" s="156">
        <f>$DX$112</f>
        <v>0</v>
      </c>
      <c r="EQ112" s="156">
        <f>$DY$112</f>
        <v>0</v>
      </c>
      <c r="ES112" t="s">
        <v>229</v>
      </c>
      <c r="EV112" s="156">
        <f>$DX$112</f>
        <v>0</v>
      </c>
      <c r="EW112" s="156">
        <f>$DY$112</f>
        <v>0</v>
      </c>
      <c r="EY112" t="s">
        <v>9988</v>
      </c>
      <c r="EZ112" t="b">
        <f>IF(OR(Tank1!$D$18="HORIZONTAL FIXED ROOF",Tank1!$D$18="VERTICAL FIXED ROOF"),TRUE,FALSE)</f>
        <v>0</v>
      </c>
      <c r="FA112" t="b">
        <f>IF(OR(Tank2!$D$18="HORIZONTAL FIXED ROOF",Tank2!$D$18="VERTICAL FIXED ROOF"),TRUE,FALSE)</f>
        <v>0</v>
      </c>
      <c r="FB112" t="b">
        <f>IF(OR(Tank3!$D$18="HORIZONTAL FIXED ROOF",Tank3!$D$18="VERTICAL FIXED ROOF"),TRUE,FALSE)</f>
        <v>0</v>
      </c>
      <c r="FC112" t="b">
        <f>IF(OR(Tank4!$D$18="HORIZONTAL FIXED ROOF",Tank4!$D$18="VERTICAL FIXED ROOF"),TRUE,FALSE)</f>
        <v>0</v>
      </c>
      <c r="FD112" t="b">
        <f>IF(OR(Tank5!$D$18="HORIZONTAL FIXED ROOF",Tank5!$D$18="VERTICAL FIXED ROOF"),TRUE,FALSE)</f>
        <v>0</v>
      </c>
      <c r="FE112" t="b">
        <f>EZ$112</f>
        <v>0</v>
      </c>
      <c r="FF112" t="b">
        <f t="shared" ref="FF112:FI112" si="167">FA$112</f>
        <v>0</v>
      </c>
      <c r="FG112" t="b">
        <f t="shared" si="167"/>
        <v>0</v>
      </c>
      <c r="FH112" t="b">
        <f t="shared" si="167"/>
        <v>0</v>
      </c>
      <c r="FI112" t="b">
        <f t="shared" si="167"/>
        <v>0</v>
      </c>
    </row>
    <row r="113" spans="1:165" x14ac:dyDescent="0.2">
      <c r="A113" s="8" t="str">
        <f>Tank1!A135</f>
        <v>AAAA</v>
      </c>
      <c r="B113" s="8" t="str">
        <f>Tank1!E135</f>
        <v/>
      </c>
      <c r="C113" s="8" t="str">
        <f>Tank1!F135</f>
        <v/>
      </c>
      <c r="D113" s="8">
        <f t="shared" si="129"/>
        <v>0</v>
      </c>
      <c r="E113" s="8">
        <f t="shared" si="129"/>
        <v>0</v>
      </c>
      <c r="G113" s="8" t="str">
        <f>Tank2!A135</f>
        <v>AAAA</v>
      </c>
      <c r="H113" s="8" t="str">
        <f>Tank2!E135</f>
        <v/>
      </c>
      <c r="I113" s="8" t="str">
        <f>Tank2!F135</f>
        <v/>
      </c>
      <c r="J113">
        <f t="shared" si="130"/>
        <v>0</v>
      </c>
      <c r="K113">
        <f t="shared" si="130"/>
        <v>0</v>
      </c>
      <c r="M113" s="8" t="str">
        <f>Tank3!A135</f>
        <v>AAAA</v>
      </c>
      <c r="N113" s="8" t="str">
        <f>Tank3!E135</f>
        <v/>
      </c>
      <c r="O113" s="8" t="str">
        <f>Tank3!F135</f>
        <v/>
      </c>
      <c r="P113">
        <f t="shared" si="131"/>
        <v>0</v>
      </c>
      <c r="Q113">
        <f t="shared" si="131"/>
        <v>0</v>
      </c>
      <c r="S113" s="8" t="str">
        <f>Tank4!A135</f>
        <v>AAAA</v>
      </c>
      <c r="T113" s="8" t="str">
        <f>Tank4!E135</f>
        <v/>
      </c>
      <c r="U113" s="8" t="str">
        <f>Tank4!F135</f>
        <v/>
      </c>
      <c r="V113">
        <f t="shared" si="132"/>
        <v>0</v>
      </c>
      <c r="W113">
        <f t="shared" si="132"/>
        <v>0</v>
      </c>
      <c r="Y113" s="8" t="str">
        <f>Tank5!A135</f>
        <v>AAAA</v>
      </c>
      <c r="Z113" s="8" t="str">
        <f>Tank5!E135</f>
        <v/>
      </c>
      <c r="AA113" s="8" t="str">
        <f>Tank5!F135</f>
        <v/>
      </c>
      <c r="AB113">
        <f t="shared" si="133"/>
        <v>0</v>
      </c>
      <c r="AC113">
        <f t="shared" si="133"/>
        <v>0</v>
      </c>
      <c r="AE113" s="8" t="str">
        <f>Hidden!CC96</f>
        <v/>
      </c>
      <c r="AF113">
        <f t="shared" si="134"/>
        <v>0</v>
      </c>
      <c r="AG113">
        <f t="shared" si="135"/>
        <v>0</v>
      </c>
      <c r="AH113">
        <f t="shared" si="136"/>
        <v>0</v>
      </c>
      <c r="AI113">
        <f t="shared" si="137"/>
        <v>0</v>
      </c>
      <c r="AJ113">
        <f t="shared" si="138"/>
        <v>0</v>
      </c>
      <c r="AK113">
        <f t="shared" si="139"/>
        <v>0</v>
      </c>
      <c r="AL113">
        <f t="shared" si="140"/>
        <v>0</v>
      </c>
      <c r="AM113">
        <f t="shared" si="141"/>
        <v>0</v>
      </c>
      <c r="AN113">
        <f t="shared" si="142"/>
        <v>0</v>
      </c>
      <c r="AO113">
        <f t="shared" si="143"/>
        <v>0</v>
      </c>
      <c r="BJ113" s="8" t="str">
        <f>Tank1!A135</f>
        <v>AAAA</v>
      </c>
      <c r="BK113" s="8" t="str">
        <f>Tank1!E135</f>
        <v/>
      </c>
      <c r="BL113" s="8" t="str">
        <f>Tank1!F135</f>
        <v/>
      </c>
      <c r="BM113" s="8">
        <f t="shared" si="144"/>
        <v>0</v>
      </c>
      <c r="BN113" s="8">
        <f t="shared" si="145"/>
        <v>0</v>
      </c>
      <c r="BO113" s="8"/>
      <c r="BP113" s="8" t="str">
        <f>Tank2!A135</f>
        <v>AAAA</v>
      </c>
      <c r="BQ113" s="8" t="str">
        <f>Tank2!E135</f>
        <v/>
      </c>
      <c r="BR113" s="8" t="str">
        <f>Tank2!F135</f>
        <v/>
      </c>
      <c r="BS113" s="8">
        <f t="shared" si="146"/>
        <v>0</v>
      </c>
      <c r="BT113" s="8">
        <f t="shared" si="147"/>
        <v>0</v>
      </c>
      <c r="BU113" s="8"/>
      <c r="BV113" s="8" t="str">
        <f>Tank3!A135</f>
        <v>AAAA</v>
      </c>
      <c r="BW113" s="8" t="str">
        <f>Tank3!E135</f>
        <v/>
      </c>
      <c r="BX113" s="8" t="str">
        <f>Tank3!F135</f>
        <v/>
      </c>
      <c r="BY113" s="8">
        <f t="shared" si="148"/>
        <v>0</v>
      </c>
      <c r="BZ113" s="8">
        <f t="shared" si="149"/>
        <v>0</v>
      </c>
      <c r="CA113" s="8"/>
      <c r="CB113" s="8" t="str">
        <f>Tank4!A135</f>
        <v>AAAA</v>
      </c>
      <c r="CC113" s="8" t="str">
        <f>Tank4!E135</f>
        <v/>
      </c>
      <c r="CD113" s="8" t="str">
        <f>Tank4!F135</f>
        <v/>
      </c>
      <c r="CE113" s="8">
        <f t="shared" si="150"/>
        <v>0</v>
      </c>
      <c r="CF113" s="8">
        <f t="shared" si="151"/>
        <v>0</v>
      </c>
      <c r="CH113" s="8" t="str">
        <f>Tank5!A135</f>
        <v>AAAA</v>
      </c>
      <c r="CI113" s="8" t="str">
        <f>Tank5!E135</f>
        <v/>
      </c>
      <c r="CJ113" s="8" t="str">
        <f>Tank5!F135</f>
        <v/>
      </c>
      <c r="CK113" s="8">
        <f t="shared" si="152"/>
        <v>0</v>
      </c>
      <c r="CL113" s="8">
        <f t="shared" si="153"/>
        <v>0</v>
      </c>
      <c r="CN113" s="8" t="str">
        <f>Hidden!$CC96</f>
        <v/>
      </c>
      <c r="CO113">
        <f t="shared" si="154"/>
        <v>0</v>
      </c>
      <c r="CP113">
        <f t="shared" si="155"/>
        <v>0</v>
      </c>
      <c r="CQ113">
        <f t="shared" si="156"/>
        <v>0</v>
      </c>
      <c r="CR113">
        <f t="shared" si="157"/>
        <v>0</v>
      </c>
      <c r="CS113">
        <f t="shared" si="158"/>
        <v>0</v>
      </c>
      <c r="CT113">
        <f t="shared" si="159"/>
        <v>0</v>
      </c>
      <c r="CU113">
        <f t="shared" si="160"/>
        <v>0</v>
      </c>
      <c r="CV113">
        <f t="shared" si="161"/>
        <v>0</v>
      </c>
      <c r="CW113">
        <f t="shared" si="162"/>
        <v>0</v>
      </c>
      <c r="CX113">
        <f t="shared" si="163"/>
        <v>0</v>
      </c>
      <c r="DT113" s="77"/>
      <c r="DU113" s="8"/>
      <c r="DV113" s="8"/>
      <c r="DW113" s="8"/>
      <c r="EY113" s="77"/>
      <c r="EZ113" s="77"/>
      <c r="FA113" s="77"/>
      <c r="FB113" s="77"/>
      <c r="FC113" s="77"/>
      <c r="FD113" s="77"/>
      <c r="FE113" s="77"/>
      <c r="FF113" s="77"/>
      <c r="FG113" s="77"/>
      <c r="FH113" s="77"/>
      <c r="FI113" s="77"/>
    </row>
    <row r="114" spans="1:165" ht="28.5" x14ac:dyDescent="0.2">
      <c r="A114" s="8" t="str">
        <f>Tank1!A136</f>
        <v>AAAAA</v>
      </c>
      <c r="B114" s="8" t="str">
        <f>Tank1!E136</f>
        <v/>
      </c>
      <c r="C114" s="8" t="str">
        <f>Tank1!F136</f>
        <v/>
      </c>
      <c r="D114" s="8">
        <f t="shared" si="129"/>
        <v>0</v>
      </c>
      <c r="E114" s="8">
        <f t="shared" si="129"/>
        <v>0</v>
      </c>
      <c r="G114" s="8" t="str">
        <f>Tank2!A136</f>
        <v>AAAAA</v>
      </c>
      <c r="H114" s="8" t="str">
        <f>Tank2!E136</f>
        <v/>
      </c>
      <c r="I114" s="8" t="str">
        <f>Tank2!F136</f>
        <v/>
      </c>
      <c r="J114">
        <f t="shared" si="130"/>
        <v>0</v>
      </c>
      <c r="K114">
        <f t="shared" si="130"/>
        <v>0</v>
      </c>
      <c r="M114" s="8" t="str">
        <f>Tank3!A136</f>
        <v>AAAAA</v>
      </c>
      <c r="N114" s="8" t="str">
        <f>Tank3!E136</f>
        <v/>
      </c>
      <c r="O114" s="8" t="str">
        <f>Tank3!F136</f>
        <v/>
      </c>
      <c r="P114">
        <f t="shared" si="131"/>
        <v>0</v>
      </c>
      <c r="Q114">
        <f t="shared" si="131"/>
        <v>0</v>
      </c>
      <c r="S114" s="8" t="str">
        <f>Tank4!A136</f>
        <v>AAAAA</v>
      </c>
      <c r="T114" s="8" t="str">
        <f>Tank4!E136</f>
        <v/>
      </c>
      <c r="U114" s="8" t="str">
        <f>Tank4!F136</f>
        <v/>
      </c>
      <c r="V114">
        <f t="shared" si="132"/>
        <v>0</v>
      </c>
      <c r="W114">
        <f t="shared" si="132"/>
        <v>0</v>
      </c>
      <c r="Y114" s="8" t="str">
        <f>Tank5!A136</f>
        <v>AAAAA</v>
      </c>
      <c r="Z114" s="8" t="str">
        <f>Tank5!E136</f>
        <v/>
      </c>
      <c r="AA114" s="8" t="str">
        <f>Tank5!F136</f>
        <v/>
      </c>
      <c r="AB114">
        <f t="shared" si="133"/>
        <v>0</v>
      </c>
      <c r="AC114">
        <f t="shared" si="133"/>
        <v>0</v>
      </c>
      <c r="AE114" s="8" t="str">
        <f>Hidden!CC97</f>
        <v/>
      </c>
      <c r="AF114">
        <f t="shared" si="134"/>
        <v>0</v>
      </c>
      <c r="AG114">
        <f t="shared" si="135"/>
        <v>0</v>
      </c>
      <c r="AH114">
        <f t="shared" si="136"/>
        <v>0</v>
      </c>
      <c r="AI114">
        <f t="shared" si="137"/>
        <v>0</v>
      </c>
      <c r="AJ114">
        <f t="shared" si="138"/>
        <v>0</v>
      </c>
      <c r="AK114">
        <f t="shared" si="139"/>
        <v>0</v>
      </c>
      <c r="AL114">
        <f t="shared" si="140"/>
        <v>0</v>
      </c>
      <c r="AM114">
        <f t="shared" si="141"/>
        <v>0</v>
      </c>
      <c r="AN114">
        <f t="shared" si="142"/>
        <v>0</v>
      </c>
      <c r="AO114">
        <f t="shared" si="143"/>
        <v>0</v>
      </c>
      <c r="BJ114" s="8" t="str">
        <f>Tank1!A136</f>
        <v>AAAAA</v>
      </c>
      <c r="BK114" s="8" t="str">
        <f>Tank1!E136</f>
        <v/>
      </c>
      <c r="BL114" s="8" t="str">
        <f>Tank1!F136</f>
        <v/>
      </c>
      <c r="BM114" s="8">
        <f t="shared" si="144"/>
        <v>0</v>
      </c>
      <c r="BN114" s="8">
        <f t="shared" si="145"/>
        <v>0</v>
      </c>
      <c r="BO114" s="8"/>
      <c r="BP114" s="8" t="str">
        <f>Tank2!A136</f>
        <v>AAAAA</v>
      </c>
      <c r="BQ114" s="8" t="str">
        <f>Tank2!E136</f>
        <v/>
      </c>
      <c r="BR114" s="8" t="str">
        <f>Tank2!F136</f>
        <v/>
      </c>
      <c r="BS114" s="8">
        <f t="shared" si="146"/>
        <v>0</v>
      </c>
      <c r="BT114" s="8">
        <f t="shared" si="147"/>
        <v>0</v>
      </c>
      <c r="BU114" s="8"/>
      <c r="BV114" s="8" t="str">
        <f>Tank3!A136</f>
        <v>AAAAA</v>
      </c>
      <c r="BW114" s="8" t="str">
        <f>Tank3!E136</f>
        <v/>
      </c>
      <c r="BX114" s="8" t="str">
        <f>Tank3!F136</f>
        <v/>
      </c>
      <c r="BY114" s="8">
        <f t="shared" si="148"/>
        <v>0</v>
      </c>
      <c r="BZ114" s="8">
        <f t="shared" si="149"/>
        <v>0</v>
      </c>
      <c r="CA114" s="8"/>
      <c r="CB114" s="8" t="str">
        <f>Tank4!A136</f>
        <v>AAAAA</v>
      </c>
      <c r="CC114" s="8" t="str">
        <f>Tank4!E136</f>
        <v/>
      </c>
      <c r="CD114" s="8" t="str">
        <f>Tank4!F136</f>
        <v/>
      </c>
      <c r="CE114" s="8">
        <f t="shared" si="150"/>
        <v>0</v>
      </c>
      <c r="CF114" s="8">
        <f t="shared" si="151"/>
        <v>0</v>
      </c>
      <c r="CH114" s="8" t="str">
        <f>Tank5!A136</f>
        <v>AAAAA</v>
      </c>
      <c r="CI114" s="8" t="str">
        <f>Tank5!E136</f>
        <v/>
      </c>
      <c r="CJ114" s="8" t="str">
        <f>Tank5!F136</f>
        <v/>
      </c>
      <c r="CK114" s="8">
        <f t="shared" si="152"/>
        <v>0</v>
      </c>
      <c r="CL114" s="8">
        <f t="shared" si="153"/>
        <v>0</v>
      </c>
      <c r="CN114" s="8" t="str">
        <f>Hidden!$CC97</f>
        <v/>
      </c>
      <c r="CO114">
        <f t="shared" si="154"/>
        <v>0</v>
      </c>
      <c r="CP114">
        <f t="shared" si="155"/>
        <v>0</v>
      </c>
      <c r="CQ114">
        <f t="shared" si="156"/>
        <v>0</v>
      </c>
      <c r="CR114">
        <f t="shared" si="157"/>
        <v>0</v>
      </c>
      <c r="CS114">
        <f t="shared" si="158"/>
        <v>0</v>
      </c>
      <c r="CT114">
        <f t="shared" si="159"/>
        <v>0</v>
      </c>
      <c r="CU114">
        <f t="shared" si="160"/>
        <v>0</v>
      </c>
      <c r="CV114">
        <f t="shared" si="161"/>
        <v>0</v>
      </c>
      <c r="CW114">
        <f t="shared" si="162"/>
        <v>0</v>
      </c>
      <c r="CX114">
        <f t="shared" si="163"/>
        <v>0</v>
      </c>
      <c r="DT114" s="77"/>
      <c r="DU114" s="8" t="s">
        <v>289</v>
      </c>
      <c r="DV114" s="8" t="s">
        <v>9203</v>
      </c>
      <c r="DW114" s="8" t="s">
        <v>9727</v>
      </c>
      <c r="DX114" t="s">
        <v>8741</v>
      </c>
      <c r="DY114" t="s">
        <v>8742</v>
      </c>
      <c r="EA114" t="s">
        <v>289</v>
      </c>
      <c r="EB114" t="s">
        <v>9203</v>
      </c>
      <c r="EC114" t="s">
        <v>9727</v>
      </c>
      <c r="ED114" t="s">
        <v>8741</v>
      </c>
      <c r="EE114" t="s">
        <v>8742</v>
      </c>
      <c r="EG114" t="s">
        <v>289</v>
      </c>
      <c r="EH114" t="s">
        <v>9203</v>
      </c>
      <c r="EI114" t="s">
        <v>9727</v>
      </c>
      <c r="EJ114" t="s">
        <v>8741</v>
      </c>
      <c r="EK114" t="s">
        <v>8742</v>
      </c>
      <c r="EM114" t="s">
        <v>289</v>
      </c>
      <c r="EN114" t="s">
        <v>9203</v>
      </c>
      <c r="EO114" t="s">
        <v>9727</v>
      </c>
      <c r="EP114" t="s">
        <v>8741</v>
      </c>
      <c r="EQ114" t="s">
        <v>8742</v>
      </c>
      <c r="ES114" t="s">
        <v>289</v>
      </c>
      <c r="ET114" t="s">
        <v>9203</v>
      </c>
      <c r="EU114" t="s">
        <v>9727</v>
      </c>
      <c r="EV114" t="s">
        <v>8741</v>
      </c>
      <c r="EW114" t="s">
        <v>8742</v>
      </c>
      <c r="EY114" t="s">
        <v>9203</v>
      </c>
      <c r="EZ114" t="s">
        <v>8741</v>
      </c>
      <c r="FA114" t="s">
        <v>8741</v>
      </c>
      <c r="FB114" t="s">
        <v>8741</v>
      </c>
      <c r="FC114" t="s">
        <v>8741</v>
      </c>
      <c r="FD114" t="s">
        <v>8741</v>
      </c>
      <c r="FE114" t="s">
        <v>8742</v>
      </c>
      <c r="FF114" t="s">
        <v>8742</v>
      </c>
      <c r="FG114" t="s">
        <v>8742</v>
      </c>
      <c r="FH114" t="s">
        <v>8742</v>
      </c>
      <c r="FI114" t="s">
        <v>8742</v>
      </c>
    </row>
    <row r="115" spans="1:165" x14ac:dyDescent="0.2">
      <c r="A115" s="8" t="str">
        <f>Tank1!A137</f>
        <v>AAAAAA</v>
      </c>
      <c r="B115" s="8" t="str">
        <f>Tank1!E137</f>
        <v/>
      </c>
      <c r="C115" s="8" t="str">
        <f>Tank1!F137</f>
        <v/>
      </c>
      <c r="D115" s="8">
        <f t="shared" si="129"/>
        <v>0</v>
      </c>
      <c r="E115" s="8">
        <f t="shared" si="129"/>
        <v>0</v>
      </c>
      <c r="G115" s="8" t="str">
        <f>Tank2!A137</f>
        <v>AAAAAA</v>
      </c>
      <c r="H115" s="8" t="str">
        <f>Tank2!E137</f>
        <v/>
      </c>
      <c r="I115" s="8" t="str">
        <f>Tank2!F137</f>
        <v/>
      </c>
      <c r="J115">
        <f t="shared" si="130"/>
        <v>0</v>
      </c>
      <c r="K115">
        <f t="shared" si="130"/>
        <v>0</v>
      </c>
      <c r="M115" s="8" t="str">
        <f>Tank3!A137</f>
        <v>AAAAAA</v>
      </c>
      <c r="N115" s="8" t="str">
        <f>Tank3!E137</f>
        <v/>
      </c>
      <c r="O115" s="8" t="str">
        <f>Tank3!F137</f>
        <v/>
      </c>
      <c r="P115">
        <f t="shared" si="131"/>
        <v>0</v>
      </c>
      <c r="Q115">
        <f t="shared" si="131"/>
        <v>0</v>
      </c>
      <c r="S115" s="8" t="str">
        <f>Tank4!A137</f>
        <v>AAAAAA</v>
      </c>
      <c r="T115" s="8" t="str">
        <f>Tank4!E137</f>
        <v/>
      </c>
      <c r="U115" s="8" t="str">
        <f>Tank4!F137</f>
        <v/>
      </c>
      <c r="V115">
        <f t="shared" si="132"/>
        <v>0</v>
      </c>
      <c r="W115">
        <f t="shared" si="132"/>
        <v>0</v>
      </c>
      <c r="Y115" s="8" t="str">
        <f>Tank5!A137</f>
        <v>AAAAAA</v>
      </c>
      <c r="Z115" s="8" t="str">
        <f>Tank5!E137</f>
        <v/>
      </c>
      <c r="AA115" s="8" t="str">
        <f>Tank5!F137</f>
        <v/>
      </c>
      <c r="AB115">
        <f t="shared" si="133"/>
        <v>0</v>
      </c>
      <c r="AC115">
        <f t="shared" si="133"/>
        <v>0</v>
      </c>
      <c r="AE115" s="8" t="str">
        <f>Hidden!CC98</f>
        <v/>
      </c>
      <c r="AF115">
        <f t="shared" si="134"/>
        <v>0</v>
      </c>
      <c r="AG115">
        <f t="shared" si="135"/>
        <v>0</v>
      </c>
      <c r="AH115">
        <f t="shared" si="136"/>
        <v>0</v>
      </c>
      <c r="AI115">
        <f t="shared" si="137"/>
        <v>0</v>
      </c>
      <c r="AJ115">
        <f t="shared" si="138"/>
        <v>0</v>
      </c>
      <c r="AK115">
        <f t="shared" si="139"/>
        <v>0</v>
      </c>
      <c r="AL115">
        <f t="shared" si="140"/>
        <v>0</v>
      </c>
      <c r="AM115">
        <f t="shared" si="141"/>
        <v>0</v>
      </c>
      <c r="AN115">
        <f t="shared" si="142"/>
        <v>0</v>
      </c>
      <c r="AO115">
        <f t="shared" si="143"/>
        <v>0</v>
      </c>
      <c r="BJ115" s="8" t="str">
        <f>Tank1!A137</f>
        <v>AAAAAA</v>
      </c>
      <c r="BK115" s="8" t="str">
        <f>Tank1!E137</f>
        <v/>
      </c>
      <c r="BL115" s="8" t="str">
        <f>Tank1!F137</f>
        <v/>
      </c>
      <c r="BM115" s="8">
        <f t="shared" si="144"/>
        <v>0</v>
      </c>
      <c r="BN115" s="8">
        <f t="shared" si="145"/>
        <v>0</v>
      </c>
      <c r="BO115" s="8"/>
      <c r="BP115" s="8" t="str">
        <f>Tank2!A137</f>
        <v>AAAAAA</v>
      </c>
      <c r="BQ115" s="8" t="str">
        <f>Tank2!E137</f>
        <v/>
      </c>
      <c r="BR115" s="8" t="str">
        <f>Tank2!F137</f>
        <v/>
      </c>
      <c r="BS115" s="8">
        <f t="shared" si="146"/>
        <v>0</v>
      </c>
      <c r="BT115" s="8">
        <f t="shared" si="147"/>
        <v>0</v>
      </c>
      <c r="BU115" s="8"/>
      <c r="BV115" s="8" t="str">
        <f>Tank3!A137</f>
        <v>AAAAAA</v>
      </c>
      <c r="BW115" s="8" t="str">
        <f>Tank3!E137</f>
        <v/>
      </c>
      <c r="BX115" s="8" t="str">
        <f>Tank3!F137</f>
        <v/>
      </c>
      <c r="BY115" s="8">
        <f t="shared" si="148"/>
        <v>0</v>
      </c>
      <c r="BZ115" s="8">
        <f t="shared" si="149"/>
        <v>0</v>
      </c>
      <c r="CA115" s="8"/>
      <c r="CB115" s="8" t="str">
        <f>Tank4!A137</f>
        <v>AAAAAA</v>
      </c>
      <c r="CC115" s="8" t="str">
        <f>Tank4!E137</f>
        <v/>
      </c>
      <c r="CD115" s="8" t="str">
        <f>Tank4!F137</f>
        <v/>
      </c>
      <c r="CE115" s="8">
        <f t="shared" si="150"/>
        <v>0</v>
      </c>
      <c r="CF115" s="8">
        <f t="shared" si="151"/>
        <v>0</v>
      </c>
      <c r="CH115" s="8" t="str">
        <f>Tank5!A137</f>
        <v>AAAAAA</v>
      </c>
      <c r="CI115" s="8" t="str">
        <f>Tank5!E137</f>
        <v/>
      </c>
      <c r="CJ115" s="8" t="str">
        <f>Tank5!F137</f>
        <v/>
      </c>
      <c r="CK115" s="8">
        <f t="shared" si="152"/>
        <v>0</v>
      </c>
      <c r="CL115" s="8">
        <f t="shared" si="153"/>
        <v>0</v>
      </c>
      <c r="CN115" s="8" t="str">
        <f>Hidden!$CC98</f>
        <v/>
      </c>
      <c r="CO115">
        <f t="shared" si="154"/>
        <v>0</v>
      </c>
      <c r="CP115">
        <f t="shared" si="155"/>
        <v>0</v>
      </c>
      <c r="CQ115">
        <f t="shared" si="156"/>
        <v>0</v>
      </c>
      <c r="CR115">
        <f t="shared" si="157"/>
        <v>0</v>
      </c>
      <c r="CS115">
        <f t="shared" si="158"/>
        <v>0</v>
      </c>
      <c r="CT115">
        <f t="shared" si="159"/>
        <v>0</v>
      </c>
      <c r="CU115">
        <f t="shared" si="160"/>
        <v>0</v>
      </c>
      <c r="CV115">
        <f t="shared" si="161"/>
        <v>0</v>
      </c>
      <c r="CW115">
        <f t="shared" si="162"/>
        <v>0</v>
      </c>
      <c r="CX115">
        <f t="shared" si="163"/>
        <v>0</v>
      </c>
      <c r="DT115" s="77"/>
      <c r="DU115" s="8" t="str">
        <f>A20</f>
        <v>A</v>
      </c>
      <c r="DV115" s="8" t="str">
        <f t="shared" ref="DV115:EU115" si="168">B20</f>
        <v/>
      </c>
      <c r="DW115" s="8" t="str">
        <f t="shared" si="168"/>
        <v/>
      </c>
      <c r="DX115" s="8">
        <f>IF($DW115="",0,$DW115*DX$112)</f>
        <v>0</v>
      </c>
      <c r="DY115" s="8">
        <f>IF($DW115="",0,$DW115*DY$112)</f>
        <v>0</v>
      </c>
      <c r="DZ115" s="8"/>
      <c r="EA115" s="8" t="str">
        <f t="shared" si="168"/>
        <v>A</v>
      </c>
      <c r="EB115" s="8" t="str">
        <f t="shared" si="168"/>
        <v/>
      </c>
      <c r="EC115" s="8" t="str">
        <f t="shared" si="168"/>
        <v/>
      </c>
      <c r="ED115" s="8">
        <f>IF($EC115="",0,$EC115*ED$112)</f>
        <v>0</v>
      </c>
      <c r="EE115" s="8">
        <f>IF($EC115="",0,$EC115*EE$112)</f>
        <v>0</v>
      </c>
      <c r="EF115" s="8"/>
      <c r="EG115" s="8" t="str">
        <f t="shared" si="168"/>
        <v>A</v>
      </c>
      <c r="EH115" s="8" t="str">
        <f t="shared" si="168"/>
        <v/>
      </c>
      <c r="EI115" s="8" t="str">
        <f t="shared" si="168"/>
        <v/>
      </c>
      <c r="EJ115" s="8">
        <f>IF($EI115="",0,$EI115*EJ$112)</f>
        <v>0</v>
      </c>
      <c r="EK115" s="8">
        <f>IF($EI115="",0,$EI115*EK$112)</f>
        <v>0</v>
      </c>
      <c r="EL115" s="8"/>
      <c r="EM115" s="8" t="str">
        <f t="shared" si="168"/>
        <v>A</v>
      </c>
      <c r="EN115" s="8" t="str">
        <f t="shared" si="168"/>
        <v/>
      </c>
      <c r="EO115" s="8" t="str">
        <f t="shared" si="168"/>
        <v/>
      </c>
      <c r="EP115" s="8">
        <f>IF($EO115="",0,$EO115*EP$112)</f>
        <v>0</v>
      </c>
      <c r="EQ115" s="8">
        <f>IF($EO115="",0,$EO115*EQ$112)</f>
        <v>0</v>
      </c>
      <c r="ER115" s="8"/>
      <c r="ES115" s="8" t="str">
        <f t="shared" si="168"/>
        <v>A</v>
      </c>
      <c r="ET115" s="8" t="str">
        <f t="shared" si="168"/>
        <v/>
      </c>
      <c r="EU115" s="8" t="str">
        <f t="shared" si="168"/>
        <v/>
      </c>
      <c r="EV115" s="8">
        <f>IF($EU115="",0,$EU115*EV$112)</f>
        <v>0</v>
      </c>
      <c r="EW115" s="8">
        <f>IF($EU115="",0,$EU115*EW$112)</f>
        <v>0</v>
      </c>
      <c r="EY115" s="8" t="str">
        <f>Hidden!$CG3</f>
        <v/>
      </c>
      <c r="EZ115">
        <f>IF(EZ$112,_xlfn.MAXIFS($DX$115:$DX$214,$DV$115:$DV$214,$EY115),0)</f>
        <v>0</v>
      </c>
      <c r="FA115">
        <f>IF(FA$112,_xlfn.MAXIFS($ED$115:$ED$214,$EB$115:$EB$214,$EY115),0)</f>
        <v>0</v>
      </c>
      <c r="FB115">
        <f>IF(FB$112,_xlfn.MAXIFS($EJ$115:$EJ$214,$EH$115:$EH$214,$EY115),0)</f>
        <v>0</v>
      </c>
      <c r="FC115">
        <f>IF(FC$112,_xlfn.MAXIFS($EP$115:$EP$214,$EN$115:$EN$214,$EY115),0)</f>
        <v>0</v>
      </c>
      <c r="FD115">
        <f>IF(FD$112,_xlfn.MAXIFS($EV$115:$EV$214,$ET$115:$ET$214,$EY115),0)</f>
        <v>0</v>
      </c>
      <c r="FE115">
        <f>IF(FE$112,SUMIF($DV$115:$DV$214,$EY115,$DY$115:$DY$214),0)</f>
        <v>0</v>
      </c>
      <c r="FF115">
        <f>IF(FF$112,SUMIF($EB$115:$EB$214,$EY115,$EE$115:$EE$214),0)</f>
        <v>0</v>
      </c>
      <c r="FG115">
        <f>IF(FG$112,SUMIF($EH$115:$EH$214,$EY115,$EK$115:$EK$214),0)</f>
        <v>0</v>
      </c>
      <c r="FH115">
        <f>IF(FH$112,SUMIF($EN$115:$EN$214,$EY115,$EQ$115:$EQ$214),0)</f>
        <v>0</v>
      </c>
      <c r="FI115">
        <f>IF(FI$112,SUMIF($ET$115:$ET$214,$EY115,$EW$115:$EW$214),0)</f>
        <v>0</v>
      </c>
    </row>
    <row r="116" spans="1:165" x14ac:dyDescent="0.2">
      <c r="A116" s="8" t="str">
        <f>Tank1!A138</f>
        <v>AAAAAAA</v>
      </c>
      <c r="B116" s="8" t="str">
        <f>Tank1!E138</f>
        <v/>
      </c>
      <c r="C116" s="8" t="str">
        <f>Tank1!F138</f>
        <v/>
      </c>
      <c r="D116" s="8">
        <f t="shared" si="129"/>
        <v>0</v>
      </c>
      <c r="E116" s="8">
        <f t="shared" si="129"/>
        <v>0</v>
      </c>
      <c r="G116" s="8" t="str">
        <f>Tank2!A138</f>
        <v>AAAAAAA</v>
      </c>
      <c r="H116" s="8" t="str">
        <f>Tank2!E138</f>
        <v/>
      </c>
      <c r="I116" s="8" t="str">
        <f>Tank2!F138</f>
        <v/>
      </c>
      <c r="J116">
        <f t="shared" si="130"/>
        <v>0</v>
      </c>
      <c r="K116">
        <f t="shared" si="130"/>
        <v>0</v>
      </c>
      <c r="M116" s="8" t="str">
        <f>Tank3!A138</f>
        <v>AAAAAAA</v>
      </c>
      <c r="N116" s="8" t="str">
        <f>Tank3!E138</f>
        <v/>
      </c>
      <c r="O116" s="8" t="str">
        <f>Tank3!F138</f>
        <v/>
      </c>
      <c r="P116">
        <f t="shared" si="131"/>
        <v>0</v>
      </c>
      <c r="Q116">
        <f t="shared" si="131"/>
        <v>0</v>
      </c>
      <c r="S116" s="8" t="str">
        <f>Tank4!A138</f>
        <v>AAAAAAA</v>
      </c>
      <c r="T116" s="8" t="str">
        <f>Tank4!E138</f>
        <v/>
      </c>
      <c r="U116" s="8" t="str">
        <f>Tank4!F138</f>
        <v/>
      </c>
      <c r="V116">
        <f t="shared" si="132"/>
        <v>0</v>
      </c>
      <c r="W116">
        <f t="shared" si="132"/>
        <v>0</v>
      </c>
      <c r="Y116" s="8" t="str">
        <f>Tank5!A138</f>
        <v>AAAAAAA</v>
      </c>
      <c r="Z116" s="8" t="str">
        <f>Tank5!E138</f>
        <v/>
      </c>
      <c r="AA116" s="8" t="str">
        <f>Tank5!F138</f>
        <v/>
      </c>
      <c r="AB116">
        <f t="shared" si="133"/>
        <v>0</v>
      </c>
      <c r="AC116">
        <f t="shared" si="133"/>
        <v>0</v>
      </c>
      <c r="AE116" s="8" t="str">
        <f>Hidden!CC99</f>
        <v/>
      </c>
      <c r="AF116">
        <f t="shared" si="134"/>
        <v>0</v>
      </c>
      <c r="AG116">
        <f t="shared" si="135"/>
        <v>0</v>
      </c>
      <c r="AH116">
        <f t="shared" si="136"/>
        <v>0</v>
      </c>
      <c r="AI116">
        <f t="shared" si="137"/>
        <v>0</v>
      </c>
      <c r="AJ116">
        <f t="shared" si="138"/>
        <v>0</v>
      </c>
      <c r="AK116">
        <f t="shared" si="139"/>
        <v>0</v>
      </c>
      <c r="AL116">
        <f t="shared" si="140"/>
        <v>0</v>
      </c>
      <c r="AM116">
        <f t="shared" si="141"/>
        <v>0</v>
      </c>
      <c r="AN116">
        <f t="shared" si="142"/>
        <v>0</v>
      </c>
      <c r="AO116">
        <f t="shared" si="143"/>
        <v>0</v>
      </c>
      <c r="BJ116" s="8" t="str">
        <f>Tank1!A138</f>
        <v>AAAAAAA</v>
      </c>
      <c r="BK116" s="8" t="str">
        <f>Tank1!E138</f>
        <v/>
      </c>
      <c r="BL116" s="8" t="str">
        <f>Tank1!F138</f>
        <v/>
      </c>
      <c r="BM116" s="8">
        <f t="shared" si="144"/>
        <v>0</v>
      </c>
      <c r="BN116" s="8">
        <f t="shared" si="145"/>
        <v>0</v>
      </c>
      <c r="BO116" s="8"/>
      <c r="BP116" s="8" t="str">
        <f>Tank2!A138</f>
        <v>AAAAAAA</v>
      </c>
      <c r="BQ116" s="8" t="str">
        <f>Tank2!E138</f>
        <v/>
      </c>
      <c r="BR116" s="8" t="str">
        <f>Tank2!F138</f>
        <v/>
      </c>
      <c r="BS116" s="8">
        <f t="shared" si="146"/>
        <v>0</v>
      </c>
      <c r="BT116" s="8">
        <f t="shared" si="147"/>
        <v>0</v>
      </c>
      <c r="BU116" s="8"/>
      <c r="BV116" s="8" t="str">
        <f>Tank3!A138</f>
        <v>AAAAAAA</v>
      </c>
      <c r="BW116" s="8" t="str">
        <f>Tank3!E138</f>
        <v/>
      </c>
      <c r="BX116" s="8" t="str">
        <f>Tank3!F138</f>
        <v/>
      </c>
      <c r="BY116" s="8">
        <f t="shared" si="148"/>
        <v>0</v>
      </c>
      <c r="BZ116" s="8">
        <f t="shared" si="149"/>
        <v>0</v>
      </c>
      <c r="CA116" s="8"/>
      <c r="CB116" s="8" t="str">
        <f>Tank4!A138</f>
        <v>AAAAAAA</v>
      </c>
      <c r="CC116" s="8" t="str">
        <f>Tank4!E138</f>
        <v/>
      </c>
      <c r="CD116" s="8" t="str">
        <f>Tank4!F138</f>
        <v/>
      </c>
      <c r="CE116" s="8">
        <f t="shared" si="150"/>
        <v>0</v>
      </c>
      <c r="CF116" s="8">
        <f t="shared" si="151"/>
        <v>0</v>
      </c>
      <c r="CH116" s="8" t="str">
        <f>Tank5!A138</f>
        <v>AAAAAAA</v>
      </c>
      <c r="CI116" s="8" t="str">
        <f>Tank5!E138</f>
        <v/>
      </c>
      <c r="CJ116" s="8" t="str">
        <f>Tank5!F138</f>
        <v/>
      </c>
      <c r="CK116" s="8">
        <f t="shared" si="152"/>
        <v>0</v>
      </c>
      <c r="CL116" s="8">
        <f t="shared" si="153"/>
        <v>0</v>
      </c>
      <c r="CN116" s="8" t="str">
        <f>Hidden!$CC99</f>
        <v/>
      </c>
      <c r="CO116">
        <f t="shared" si="154"/>
        <v>0</v>
      </c>
      <c r="CP116">
        <f t="shared" si="155"/>
        <v>0</v>
      </c>
      <c r="CQ116">
        <f t="shared" si="156"/>
        <v>0</v>
      </c>
      <c r="CR116">
        <f t="shared" si="157"/>
        <v>0</v>
      </c>
      <c r="CS116">
        <f t="shared" si="158"/>
        <v>0</v>
      </c>
      <c r="CT116">
        <f t="shared" si="159"/>
        <v>0</v>
      </c>
      <c r="CU116">
        <f t="shared" si="160"/>
        <v>0</v>
      </c>
      <c r="CV116">
        <f t="shared" si="161"/>
        <v>0</v>
      </c>
      <c r="CW116">
        <f t="shared" si="162"/>
        <v>0</v>
      </c>
      <c r="CX116">
        <f t="shared" si="163"/>
        <v>0</v>
      </c>
      <c r="DT116" s="77"/>
      <c r="DU116" s="8" t="str">
        <f t="shared" ref="DU116:DU179" si="169">A21</f>
        <v>AA</v>
      </c>
      <c r="DV116" s="8" t="str">
        <f t="shared" ref="DV116:DV179" si="170">B21</f>
        <v/>
      </c>
      <c r="DW116" s="8" t="str">
        <f t="shared" ref="DW116:DW179" si="171">C21</f>
        <v/>
      </c>
      <c r="DX116" s="8">
        <f t="shared" ref="DX116:DY147" si="172">IF($DW116="",0,$DW116*DX$112)</f>
        <v>0</v>
      </c>
      <c r="DY116" s="8">
        <f t="shared" si="172"/>
        <v>0</v>
      </c>
      <c r="EA116" s="8" t="str">
        <f t="shared" ref="EA116:EA179" si="173">G21</f>
        <v>AA</v>
      </c>
      <c r="EB116" s="8" t="str">
        <f t="shared" ref="EB116:EB179" si="174">H21</f>
        <v/>
      </c>
      <c r="EC116" s="8" t="str">
        <f t="shared" ref="EC116:EC179" si="175">I21</f>
        <v/>
      </c>
      <c r="ED116">
        <f t="shared" ref="ED116:EE147" si="176">IF($EC116="",0,$EC116*ED$112)</f>
        <v>0</v>
      </c>
      <c r="EE116">
        <f t="shared" si="176"/>
        <v>0</v>
      </c>
      <c r="EG116" s="8" t="str">
        <f t="shared" ref="EG116:EG179" si="177">M21</f>
        <v>AA</v>
      </c>
      <c r="EH116" s="8" t="str">
        <f t="shared" ref="EH116:EH179" si="178">N21</f>
        <v/>
      </c>
      <c r="EI116" s="8" t="str">
        <f t="shared" ref="EI116:EI179" si="179">O21</f>
        <v/>
      </c>
      <c r="EJ116" s="8">
        <f t="shared" ref="EJ116:EK147" si="180">IF($EI116="",0,$EI116*EJ$112)</f>
        <v>0</v>
      </c>
      <c r="EK116" s="8">
        <f t="shared" si="180"/>
        <v>0</v>
      </c>
      <c r="EM116" s="8" t="str">
        <f t="shared" ref="EM116:EM179" si="181">S21</f>
        <v>AA</v>
      </c>
      <c r="EN116" s="8" t="str">
        <f t="shared" ref="EN116:EN179" si="182">T21</f>
        <v/>
      </c>
      <c r="EO116" s="8" t="str">
        <f t="shared" ref="EO116:EO179" si="183">U21</f>
        <v/>
      </c>
      <c r="EP116" s="8">
        <f t="shared" ref="EP116:EQ147" si="184">IF($EO116="",0,$EO116*EP$112)</f>
        <v>0</v>
      </c>
      <c r="EQ116" s="8">
        <f t="shared" si="184"/>
        <v>0</v>
      </c>
      <c r="ES116" s="8" t="str">
        <f t="shared" ref="ES116:ES179" si="185">Y21</f>
        <v>AA</v>
      </c>
      <c r="ET116" s="8" t="str">
        <f t="shared" ref="ET116:ET179" si="186">Z21</f>
        <v/>
      </c>
      <c r="EU116" s="8" t="str">
        <f t="shared" ref="EU116:EU179" si="187">AA21</f>
        <v/>
      </c>
      <c r="EV116" s="8">
        <f t="shared" ref="EV116:EW147" si="188">IF($EU116="",0,$EU116*EV$112)</f>
        <v>0</v>
      </c>
      <c r="EW116" s="8">
        <f t="shared" si="188"/>
        <v>0</v>
      </c>
      <c r="EY116" s="8" t="str">
        <f>Hidden!$CG4</f>
        <v/>
      </c>
      <c r="EZ116">
        <f t="shared" ref="EZ116:EZ179" si="189">IF(EZ$112,_xlfn.MAXIFS($DX$115:$DX$214,$DV$115:$DV$214,$EY116),0)</f>
        <v>0</v>
      </c>
      <c r="FA116">
        <f t="shared" ref="FA116:FA179" si="190">IF(FA$112,_xlfn.MAXIFS($ED$115:$ED$214,$EB$115:$EB$214,$EY116),0)</f>
        <v>0</v>
      </c>
      <c r="FB116">
        <f t="shared" ref="FB116:FB179" si="191">IF(FB$112,_xlfn.MAXIFS($EJ$115:$EJ$214,$EH$115:$EH$214,$EY116),0)</f>
        <v>0</v>
      </c>
      <c r="FC116">
        <f t="shared" ref="FC116:FC179" si="192">IF(FC$112,_xlfn.MAXIFS($EP$115:$EP$214,$EN$115:$EN$214,$EY116),0)</f>
        <v>0</v>
      </c>
      <c r="FD116">
        <f t="shared" ref="FD116:FD179" si="193">IF(FD$112,_xlfn.MAXIFS($EV$115:$EV$214,$ET$115:$ET$214,$EY116),0)</f>
        <v>0</v>
      </c>
      <c r="FE116">
        <f t="shared" ref="FE116:FE179" si="194">IF(FE$112,SUMIF($DV$115:$DV$214,$EY116,$DY$115:$DY$214),0)</f>
        <v>0</v>
      </c>
      <c r="FF116">
        <f t="shared" ref="FF116:FF179" si="195">IF(FF$112,SUMIF($EB$115:$EB$214,$EY116,$EE$115:$EE$214),0)</f>
        <v>0</v>
      </c>
      <c r="FG116">
        <f t="shared" ref="FG116:FG179" si="196">IF(FG$112,SUMIF($EH$115:$EH$214,$EY116,$EK$115:$EK$214),0)</f>
        <v>0</v>
      </c>
      <c r="FH116">
        <f t="shared" ref="FH116:FH179" si="197">IF(FH$112,SUMIF($EN$115:$EN$214,$EY116,$EQ$115:$EQ$214),0)</f>
        <v>0</v>
      </c>
      <c r="FI116">
        <f t="shared" ref="FI116:FI179" si="198">IF(FI$112,SUMIF($ET$115:$ET$214,$EY116,$EW$115:$EW$214),0)</f>
        <v>0</v>
      </c>
    </row>
    <row r="117" spans="1:165" x14ac:dyDescent="0.2">
      <c r="A117" s="8" t="str">
        <f>Tank1!A139</f>
        <v>AAAAAAAA</v>
      </c>
      <c r="B117" s="8" t="str">
        <f>Tank1!E139</f>
        <v/>
      </c>
      <c r="C117" s="8" t="str">
        <f>Tank1!F139</f>
        <v/>
      </c>
      <c r="D117" s="8">
        <f t="shared" si="129"/>
        <v>0</v>
      </c>
      <c r="E117" s="8">
        <f t="shared" si="129"/>
        <v>0</v>
      </c>
      <c r="G117" s="8" t="str">
        <f>Tank2!A139</f>
        <v>AAAAAAAA</v>
      </c>
      <c r="H117" s="8" t="str">
        <f>Tank2!E139</f>
        <v/>
      </c>
      <c r="I117" s="8" t="str">
        <f>Tank2!F139</f>
        <v/>
      </c>
      <c r="J117">
        <f t="shared" si="130"/>
        <v>0</v>
      </c>
      <c r="K117">
        <f t="shared" si="130"/>
        <v>0</v>
      </c>
      <c r="M117" s="8" t="str">
        <f>Tank3!A139</f>
        <v>AAAAAAAA</v>
      </c>
      <c r="N117" s="8" t="str">
        <f>Tank3!E139</f>
        <v/>
      </c>
      <c r="O117" s="8" t="str">
        <f>Tank3!F139</f>
        <v/>
      </c>
      <c r="P117">
        <f t="shared" si="131"/>
        <v>0</v>
      </c>
      <c r="Q117">
        <f t="shared" si="131"/>
        <v>0</v>
      </c>
      <c r="S117" s="8" t="str">
        <f>Tank4!A139</f>
        <v>AAAAAAAA</v>
      </c>
      <c r="T117" s="8" t="str">
        <f>Tank4!E139</f>
        <v/>
      </c>
      <c r="U117" s="8" t="str">
        <f>Tank4!F139</f>
        <v/>
      </c>
      <c r="V117">
        <f t="shared" si="132"/>
        <v>0</v>
      </c>
      <c r="W117">
        <f t="shared" si="132"/>
        <v>0</v>
      </c>
      <c r="Y117" s="8" t="str">
        <f>Tank5!A139</f>
        <v>AAAAAAAA</v>
      </c>
      <c r="Z117" s="8" t="str">
        <f>Tank5!E139</f>
        <v/>
      </c>
      <c r="AA117" s="8" t="str">
        <f>Tank5!F139</f>
        <v/>
      </c>
      <c r="AB117">
        <f t="shared" si="133"/>
        <v>0</v>
      </c>
      <c r="AC117">
        <f t="shared" si="133"/>
        <v>0</v>
      </c>
      <c r="AE117" s="8" t="str">
        <f>Hidden!CC100</f>
        <v/>
      </c>
      <c r="AF117">
        <f t="shared" si="134"/>
        <v>0</v>
      </c>
      <c r="AG117">
        <f t="shared" si="135"/>
        <v>0</v>
      </c>
      <c r="AH117">
        <f t="shared" si="136"/>
        <v>0</v>
      </c>
      <c r="AI117">
        <f t="shared" si="137"/>
        <v>0</v>
      </c>
      <c r="AJ117">
        <f t="shared" si="138"/>
        <v>0</v>
      </c>
      <c r="AK117">
        <f t="shared" si="139"/>
        <v>0</v>
      </c>
      <c r="AL117">
        <f t="shared" si="140"/>
        <v>0</v>
      </c>
      <c r="AM117">
        <f t="shared" si="141"/>
        <v>0</v>
      </c>
      <c r="AN117">
        <f t="shared" si="142"/>
        <v>0</v>
      </c>
      <c r="AO117">
        <f t="shared" si="143"/>
        <v>0</v>
      </c>
      <c r="BJ117" s="8" t="str">
        <f>Tank1!A139</f>
        <v>AAAAAAAA</v>
      </c>
      <c r="BK117" s="8" t="str">
        <f>Tank1!E139</f>
        <v/>
      </c>
      <c r="BL117" s="8" t="str">
        <f>Tank1!F139</f>
        <v/>
      </c>
      <c r="BM117" s="8">
        <f t="shared" si="144"/>
        <v>0</v>
      </c>
      <c r="BN117" s="8">
        <f t="shared" si="145"/>
        <v>0</v>
      </c>
      <c r="BO117" s="8"/>
      <c r="BP117" s="8" t="str">
        <f>Tank2!A139</f>
        <v>AAAAAAAA</v>
      </c>
      <c r="BQ117" s="8" t="str">
        <f>Tank2!E139</f>
        <v/>
      </c>
      <c r="BR117" s="8" t="str">
        <f>Tank2!F139</f>
        <v/>
      </c>
      <c r="BS117" s="8">
        <f t="shared" si="146"/>
        <v>0</v>
      </c>
      <c r="BT117" s="8">
        <f t="shared" si="147"/>
        <v>0</v>
      </c>
      <c r="BU117" s="8"/>
      <c r="BV117" s="8" t="str">
        <f>Tank3!A139</f>
        <v>AAAAAAAA</v>
      </c>
      <c r="BW117" s="8" t="str">
        <f>Tank3!E139</f>
        <v/>
      </c>
      <c r="BX117" s="8" t="str">
        <f>Tank3!F139</f>
        <v/>
      </c>
      <c r="BY117" s="8">
        <f t="shared" si="148"/>
        <v>0</v>
      </c>
      <c r="BZ117" s="8">
        <f t="shared" si="149"/>
        <v>0</v>
      </c>
      <c r="CA117" s="8"/>
      <c r="CB117" s="8" t="str">
        <f>Tank4!A139</f>
        <v>AAAAAAAA</v>
      </c>
      <c r="CC117" s="8" t="str">
        <f>Tank4!E139</f>
        <v/>
      </c>
      <c r="CD117" s="8" t="str">
        <f>Tank4!F139</f>
        <v/>
      </c>
      <c r="CE117" s="8">
        <f t="shared" si="150"/>
        <v>0</v>
      </c>
      <c r="CF117" s="8">
        <f t="shared" si="151"/>
        <v>0</v>
      </c>
      <c r="CH117" s="8" t="str">
        <f>Tank5!A139</f>
        <v>AAAAAAAA</v>
      </c>
      <c r="CI117" s="8" t="str">
        <f>Tank5!E139</f>
        <v/>
      </c>
      <c r="CJ117" s="8" t="str">
        <f>Tank5!F139</f>
        <v/>
      </c>
      <c r="CK117" s="8">
        <f t="shared" si="152"/>
        <v>0</v>
      </c>
      <c r="CL117" s="8">
        <f t="shared" si="153"/>
        <v>0</v>
      </c>
      <c r="CN117" s="8" t="str">
        <f>Hidden!$CC100</f>
        <v/>
      </c>
      <c r="CO117">
        <f t="shared" si="154"/>
        <v>0</v>
      </c>
      <c r="CP117">
        <f t="shared" si="155"/>
        <v>0</v>
      </c>
      <c r="CQ117">
        <f t="shared" si="156"/>
        <v>0</v>
      </c>
      <c r="CR117">
        <f t="shared" si="157"/>
        <v>0</v>
      </c>
      <c r="CS117">
        <f t="shared" si="158"/>
        <v>0</v>
      </c>
      <c r="CT117">
        <f t="shared" si="159"/>
        <v>0</v>
      </c>
      <c r="CU117">
        <f t="shared" si="160"/>
        <v>0</v>
      </c>
      <c r="CV117">
        <f t="shared" si="161"/>
        <v>0</v>
      </c>
      <c r="CW117">
        <f t="shared" si="162"/>
        <v>0</v>
      </c>
      <c r="CX117">
        <f t="shared" si="163"/>
        <v>0</v>
      </c>
      <c r="DT117" s="77"/>
      <c r="DU117" s="8" t="str">
        <f t="shared" si="169"/>
        <v>AAA</v>
      </c>
      <c r="DV117" s="8" t="str">
        <f t="shared" si="170"/>
        <v/>
      </c>
      <c r="DW117" s="8" t="str">
        <f t="shared" si="171"/>
        <v/>
      </c>
      <c r="DX117" s="8">
        <f t="shared" si="172"/>
        <v>0</v>
      </c>
      <c r="DY117" s="8">
        <f t="shared" si="172"/>
        <v>0</v>
      </c>
      <c r="EA117" s="8" t="str">
        <f t="shared" si="173"/>
        <v>AAA</v>
      </c>
      <c r="EB117" s="8" t="str">
        <f t="shared" si="174"/>
        <v/>
      </c>
      <c r="EC117" s="8" t="str">
        <f t="shared" si="175"/>
        <v/>
      </c>
      <c r="ED117">
        <f t="shared" si="176"/>
        <v>0</v>
      </c>
      <c r="EE117">
        <f t="shared" si="176"/>
        <v>0</v>
      </c>
      <c r="EG117" s="8" t="str">
        <f t="shared" si="177"/>
        <v>AAA</v>
      </c>
      <c r="EH117" s="8" t="str">
        <f t="shared" si="178"/>
        <v/>
      </c>
      <c r="EI117" s="8" t="str">
        <f t="shared" si="179"/>
        <v/>
      </c>
      <c r="EJ117" s="8">
        <f t="shared" si="180"/>
        <v>0</v>
      </c>
      <c r="EK117" s="8">
        <f t="shared" si="180"/>
        <v>0</v>
      </c>
      <c r="EM117" s="8" t="str">
        <f t="shared" si="181"/>
        <v>AAA</v>
      </c>
      <c r="EN117" s="8" t="str">
        <f t="shared" si="182"/>
        <v/>
      </c>
      <c r="EO117" s="8" t="str">
        <f t="shared" si="183"/>
        <v/>
      </c>
      <c r="EP117" s="8">
        <f t="shared" si="184"/>
        <v>0</v>
      </c>
      <c r="EQ117" s="8">
        <f t="shared" si="184"/>
        <v>0</v>
      </c>
      <c r="ES117" s="8" t="str">
        <f t="shared" si="185"/>
        <v>AAA</v>
      </c>
      <c r="ET117" s="8" t="str">
        <f t="shared" si="186"/>
        <v/>
      </c>
      <c r="EU117" s="8" t="str">
        <f t="shared" si="187"/>
        <v/>
      </c>
      <c r="EV117" s="8">
        <f t="shared" si="188"/>
        <v>0</v>
      </c>
      <c r="EW117" s="8">
        <f t="shared" si="188"/>
        <v>0</v>
      </c>
      <c r="EY117" s="8" t="str">
        <f>Hidden!$CG5</f>
        <v/>
      </c>
      <c r="EZ117">
        <f t="shared" si="189"/>
        <v>0</v>
      </c>
      <c r="FA117">
        <f t="shared" si="190"/>
        <v>0</v>
      </c>
      <c r="FB117">
        <f t="shared" si="191"/>
        <v>0</v>
      </c>
      <c r="FC117">
        <f t="shared" si="192"/>
        <v>0</v>
      </c>
      <c r="FD117">
        <f t="shared" si="193"/>
        <v>0</v>
      </c>
      <c r="FE117">
        <f t="shared" si="194"/>
        <v>0</v>
      </c>
      <c r="FF117">
        <f t="shared" si="195"/>
        <v>0</v>
      </c>
      <c r="FG117">
        <f t="shared" si="196"/>
        <v>0</v>
      </c>
      <c r="FH117">
        <f t="shared" si="197"/>
        <v>0</v>
      </c>
      <c r="FI117">
        <f t="shared" si="198"/>
        <v>0</v>
      </c>
    </row>
    <row r="118" spans="1:165" x14ac:dyDescent="0.2">
      <c r="A118" s="8" t="str">
        <f>Tank1!A140</f>
        <v>AAAAAAAAA</v>
      </c>
      <c r="B118" s="8" t="str">
        <f>Tank1!E140</f>
        <v/>
      </c>
      <c r="C118" s="8" t="str">
        <f>Tank1!F140</f>
        <v/>
      </c>
      <c r="D118" s="8">
        <f t="shared" si="129"/>
        <v>0</v>
      </c>
      <c r="E118" s="8">
        <f t="shared" si="129"/>
        <v>0</v>
      </c>
      <c r="G118" s="8" t="str">
        <f>Tank2!A140</f>
        <v>AAAAAAAAA</v>
      </c>
      <c r="H118" s="8" t="str">
        <f>Tank2!E140</f>
        <v/>
      </c>
      <c r="I118" s="8" t="str">
        <f>Tank2!F140</f>
        <v/>
      </c>
      <c r="J118">
        <f t="shared" si="130"/>
        <v>0</v>
      </c>
      <c r="K118">
        <f t="shared" si="130"/>
        <v>0</v>
      </c>
      <c r="M118" s="8" t="str">
        <f>Tank3!A140</f>
        <v>AAAAAAAAA</v>
      </c>
      <c r="N118" s="8" t="str">
        <f>Tank3!E140</f>
        <v/>
      </c>
      <c r="O118" s="8" t="str">
        <f>Tank3!F140</f>
        <v/>
      </c>
      <c r="P118">
        <f t="shared" si="131"/>
        <v>0</v>
      </c>
      <c r="Q118">
        <f t="shared" si="131"/>
        <v>0</v>
      </c>
      <c r="S118" s="8" t="str">
        <f>Tank4!A140</f>
        <v>AAAAAAAAA</v>
      </c>
      <c r="T118" s="8" t="str">
        <f>Tank4!E140</f>
        <v/>
      </c>
      <c r="U118" s="8" t="str">
        <f>Tank4!F140</f>
        <v/>
      </c>
      <c r="V118">
        <f t="shared" si="132"/>
        <v>0</v>
      </c>
      <c r="W118">
        <f t="shared" si="132"/>
        <v>0</v>
      </c>
      <c r="Y118" s="8" t="str">
        <f>Tank5!A140</f>
        <v>AAAAAAAAA</v>
      </c>
      <c r="Z118" s="8" t="str">
        <f>Tank5!E140</f>
        <v/>
      </c>
      <c r="AA118" s="8" t="str">
        <f>Tank5!F140</f>
        <v/>
      </c>
      <c r="AB118">
        <f t="shared" si="133"/>
        <v>0</v>
      </c>
      <c r="AC118">
        <f t="shared" si="133"/>
        <v>0</v>
      </c>
      <c r="AE118" s="8" t="str">
        <f>Hidden!CC101</f>
        <v/>
      </c>
      <c r="AF118">
        <f t="shared" si="134"/>
        <v>0</v>
      </c>
      <c r="AG118">
        <f t="shared" si="135"/>
        <v>0</v>
      </c>
      <c r="AH118">
        <f t="shared" si="136"/>
        <v>0</v>
      </c>
      <c r="AI118">
        <f t="shared" si="137"/>
        <v>0</v>
      </c>
      <c r="AJ118">
        <f t="shared" si="138"/>
        <v>0</v>
      </c>
      <c r="AK118">
        <f t="shared" si="139"/>
        <v>0</v>
      </c>
      <c r="AL118">
        <f t="shared" si="140"/>
        <v>0</v>
      </c>
      <c r="AM118">
        <f t="shared" si="141"/>
        <v>0</v>
      </c>
      <c r="AN118">
        <f t="shared" si="142"/>
        <v>0</v>
      </c>
      <c r="AO118">
        <f t="shared" si="143"/>
        <v>0</v>
      </c>
      <c r="BJ118" s="8" t="str">
        <f>Tank1!A140</f>
        <v>AAAAAAAAA</v>
      </c>
      <c r="BK118" s="8" t="str">
        <f>Tank1!E140</f>
        <v/>
      </c>
      <c r="BL118" s="8" t="str">
        <f>Tank1!F140</f>
        <v/>
      </c>
      <c r="BM118" s="8">
        <f t="shared" si="144"/>
        <v>0</v>
      </c>
      <c r="BN118" s="8">
        <f t="shared" si="145"/>
        <v>0</v>
      </c>
      <c r="BO118" s="8"/>
      <c r="BP118" s="8" t="str">
        <f>Tank2!A140</f>
        <v>AAAAAAAAA</v>
      </c>
      <c r="BQ118" s="8" t="str">
        <f>Tank2!E140</f>
        <v/>
      </c>
      <c r="BR118" s="8" t="str">
        <f>Tank2!F140</f>
        <v/>
      </c>
      <c r="BS118" s="8">
        <f t="shared" si="146"/>
        <v>0</v>
      </c>
      <c r="BT118" s="8">
        <f t="shared" si="147"/>
        <v>0</v>
      </c>
      <c r="BU118" s="8"/>
      <c r="BV118" s="8" t="str">
        <f>Tank3!A140</f>
        <v>AAAAAAAAA</v>
      </c>
      <c r="BW118" s="8" t="str">
        <f>Tank3!E140</f>
        <v/>
      </c>
      <c r="BX118" s="8" t="str">
        <f>Tank3!F140</f>
        <v/>
      </c>
      <c r="BY118" s="8">
        <f t="shared" si="148"/>
        <v>0</v>
      </c>
      <c r="BZ118" s="8">
        <f t="shared" si="149"/>
        <v>0</v>
      </c>
      <c r="CA118" s="8"/>
      <c r="CB118" s="8" t="str">
        <f>Tank4!A140</f>
        <v>AAAAAAAAA</v>
      </c>
      <c r="CC118" s="8" t="str">
        <f>Tank4!E140</f>
        <v/>
      </c>
      <c r="CD118" s="8" t="str">
        <f>Tank4!F140</f>
        <v/>
      </c>
      <c r="CE118" s="8">
        <f t="shared" si="150"/>
        <v>0</v>
      </c>
      <c r="CF118" s="8">
        <f t="shared" si="151"/>
        <v>0</v>
      </c>
      <c r="CH118" s="8" t="str">
        <f>Tank5!A140</f>
        <v>AAAAAAAAA</v>
      </c>
      <c r="CI118" s="8" t="str">
        <f>Tank5!E140</f>
        <v/>
      </c>
      <c r="CJ118" s="8" t="str">
        <f>Tank5!F140</f>
        <v/>
      </c>
      <c r="CK118" s="8">
        <f t="shared" si="152"/>
        <v>0</v>
      </c>
      <c r="CL118" s="8">
        <f t="shared" si="153"/>
        <v>0</v>
      </c>
      <c r="CN118" s="8" t="str">
        <f>Hidden!$CC101</f>
        <v/>
      </c>
      <c r="CO118">
        <f t="shared" si="154"/>
        <v>0</v>
      </c>
      <c r="CP118">
        <f t="shared" si="155"/>
        <v>0</v>
      </c>
      <c r="CQ118">
        <f t="shared" si="156"/>
        <v>0</v>
      </c>
      <c r="CR118">
        <f t="shared" si="157"/>
        <v>0</v>
      </c>
      <c r="CS118">
        <f t="shared" si="158"/>
        <v>0</v>
      </c>
      <c r="CT118">
        <f t="shared" si="159"/>
        <v>0</v>
      </c>
      <c r="CU118">
        <f t="shared" si="160"/>
        <v>0</v>
      </c>
      <c r="CV118">
        <f t="shared" si="161"/>
        <v>0</v>
      </c>
      <c r="CW118">
        <f t="shared" si="162"/>
        <v>0</v>
      </c>
      <c r="CX118">
        <f t="shared" si="163"/>
        <v>0</v>
      </c>
      <c r="DT118" s="77"/>
      <c r="DU118" s="8" t="str">
        <f t="shared" si="169"/>
        <v>AAAA</v>
      </c>
      <c r="DV118" s="8" t="str">
        <f t="shared" si="170"/>
        <v/>
      </c>
      <c r="DW118" s="8" t="str">
        <f t="shared" si="171"/>
        <v/>
      </c>
      <c r="DX118" s="8">
        <f t="shared" si="172"/>
        <v>0</v>
      </c>
      <c r="DY118" s="8">
        <f t="shared" si="172"/>
        <v>0</v>
      </c>
      <c r="EA118" s="8" t="str">
        <f t="shared" si="173"/>
        <v>AAAA</v>
      </c>
      <c r="EB118" s="8" t="str">
        <f t="shared" si="174"/>
        <v/>
      </c>
      <c r="EC118" s="8" t="str">
        <f t="shared" si="175"/>
        <v/>
      </c>
      <c r="ED118">
        <f t="shared" si="176"/>
        <v>0</v>
      </c>
      <c r="EE118">
        <f t="shared" si="176"/>
        <v>0</v>
      </c>
      <c r="EG118" s="8" t="str">
        <f t="shared" si="177"/>
        <v>AAAA</v>
      </c>
      <c r="EH118" s="8" t="str">
        <f t="shared" si="178"/>
        <v/>
      </c>
      <c r="EI118" s="8" t="str">
        <f t="shared" si="179"/>
        <v/>
      </c>
      <c r="EJ118" s="8">
        <f t="shared" si="180"/>
        <v>0</v>
      </c>
      <c r="EK118" s="8">
        <f t="shared" si="180"/>
        <v>0</v>
      </c>
      <c r="EM118" s="8" t="str">
        <f t="shared" si="181"/>
        <v>AAAA</v>
      </c>
      <c r="EN118" s="8" t="str">
        <f t="shared" si="182"/>
        <v/>
      </c>
      <c r="EO118" s="8" t="str">
        <f t="shared" si="183"/>
        <v/>
      </c>
      <c r="EP118" s="8">
        <f t="shared" si="184"/>
        <v>0</v>
      </c>
      <c r="EQ118" s="8">
        <f t="shared" si="184"/>
        <v>0</v>
      </c>
      <c r="ES118" s="8" t="str">
        <f t="shared" si="185"/>
        <v>AAAA</v>
      </c>
      <c r="ET118" s="8" t="str">
        <f t="shared" si="186"/>
        <v/>
      </c>
      <c r="EU118" s="8" t="str">
        <f t="shared" si="187"/>
        <v/>
      </c>
      <c r="EV118" s="8">
        <f t="shared" si="188"/>
        <v>0</v>
      </c>
      <c r="EW118" s="8">
        <f t="shared" si="188"/>
        <v>0</v>
      </c>
      <c r="EY118" s="8" t="str">
        <f>Hidden!$CG6</f>
        <v/>
      </c>
      <c r="EZ118">
        <f t="shared" si="189"/>
        <v>0</v>
      </c>
      <c r="FA118">
        <f t="shared" si="190"/>
        <v>0</v>
      </c>
      <c r="FB118">
        <f t="shared" si="191"/>
        <v>0</v>
      </c>
      <c r="FC118">
        <f t="shared" si="192"/>
        <v>0</v>
      </c>
      <c r="FD118">
        <f t="shared" si="193"/>
        <v>0</v>
      </c>
      <c r="FE118">
        <f t="shared" si="194"/>
        <v>0</v>
      </c>
      <c r="FF118">
        <f t="shared" si="195"/>
        <v>0</v>
      </c>
      <c r="FG118">
        <f t="shared" si="196"/>
        <v>0</v>
      </c>
      <c r="FH118">
        <f t="shared" si="197"/>
        <v>0</v>
      </c>
      <c r="FI118">
        <f t="shared" si="198"/>
        <v>0</v>
      </c>
    </row>
    <row r="119" spans="1:165" x14ac:dyDescent="0.2">
      <c r="A119" s="8" t="str">
        <f>Tank1!A141</f>
        <v>AAAAAAAAAA</v>
      </c>
      <c r="B119" s="8" t="str">
        <f>Tank1!E141</f>
        <v/>
      </c>
      <c r="C119" s="8" t="str">
        <f>Tank1!F141</f>
        <v/>
      </c>
      <c r="D119" s="8">
        <f>IF($C119="",0,$C119*D$17)</f>
        <v>0</v>
      </c>
      <c r="E119" s="8">
        <f>IF($C119="",0,$C119*E$17)</f>
        <v>0</v>
      </c>
      <c r="G119" s="8" t="str">
        <f>Tank2!A141</f>
        <v>AAAAAAAAAA</v>
      </c>
      <c r="H119" s="8" t="str">
        <f>Tank2!E141</f>
        <v/>
      </c>
      <c r="I119" s="8" t="str">
        <f>Tank2!F141</f>
        <v/>
      </c>
      <c r="J119">
        <f t="shared" si="130"/>
        <v>0</v>
      </c>
      <c r="K119">
        <f t="shared" si="130"/>
        <v>0</v>
      </c>
      <c r="M119" s="8" t="str">
        <f>Tank3!A141</f>
        <v>AAAAAAAAAA</v>
      </c>
      <c r="N119" s="8" t="str">
        <f>Tank3!E141</f>
        <v/>
      </c>
      <c r="O119" s="8" t="str">
        <f>Tank3!F141</f>
        <v/>
      </c>
      <c r="P119">
        <f t="shared" si="131"/>
        <v>0</v>
      </c>
      <c r="Q119">
        <f t="shared" si="131"/>
        <v>0</v>
      </c>
      <c r="S119" s="8" t="str">
        <f>Tank4!A141</f>
        <v>AAAAAAAAAA</v>
      </c>
      <c r="T119" s="8" t="str">
        <f>Tank4!E141</f>
        <v/>
      </c>
      <c r="U119" s="8" t="str">
        <f>Tank4!F141</f>
        <v/>
      </c>
      <c r="V119">
        <f t="shared" si="132"/>
        <v>0</v>
      </c>
      <c r="W119">
        <f t="shared" si="132"/>
        <v>0</v>
      </c>
      <c r="Y119" s="8" t="str">
        <f>Tank5!A141</f>
        <v>AAAAAAAAAA</v>
      </c>
      <c r="Z119" s="8" t="str">
        <f>Tank5!E141</f>
        <v/>
      </c>
      <c r="AA119" s="8" t="str">
        <f>Tank5!F141</f>
        <v/>
      </c>
      <c r="AB119">
        <f t="shared" si="133"/>
        <v>0</v>
      </c>
      <c r="AC119">
        <f t="shared" si="133"/>
        <v>0</v>
      </c>
      <c r="AE119" s="8" t="str">
        <f>Hidden!CC102</f>
        <v/>
      </c>
      <c r="AF119">
        <f t="shared" si="134"/>
        <v>0</v>
      </c>
      <c r="AG119">
        <f t="shared" si="135"/>
        <v>0</v>
      </c>
      <c r="AH119">
        <f t="shared" si="136"/>
        <v>0</v>
      </c>
      <c r="AI119">
        <f t="shared" si="137"/>
        <v>0</v>
      </c>
      <c r="AJ119">
        <f t="shared" si="138"/>
        <v>0</v>
      </c>
      <c r="AK119">
        <f t="shared" si="139"/>
        <v>0</v>
      </c>
      <c r="AL119">
        <f t="shared" si="140"/>
        <v>0</v>
      </c>
      <c r="AM119">
        <f t="shared" si="141"/>
        <v>0</v>
      </c>
      <c r="AN119">
        <f t="shared" si="142"/>
        <v>0</v>
      </c>
      <c r="AO119">
        <f t="shared" si="143"/>
        <v>0</v>
      </c>
      <c r="BJ119" s="8" t="str">
        <f>Tank1!A141</f>
        <v>AAAAAAAAAA</v>
      </c>
      <c r="BK119" s="8" t="str">
        <f>Tank1!E141</f>
        <v/>
      </c>
      <c r="BL119" s="8" t="str">
        <f>Tank1!F141</f>
        <v/>
      </c>
      <c r="BM119" s="8">
        <f t="shared" si="144"/>
        <v>0</v>
      </c>
      <c r="BN119" s="8">
        <f t="shared" si="145"/>
        <v>0</v>
      </c>
      <c r="BO119" s="8"/>
      <c r="BP119" s="8" t="str">
        <f>Tank2!A141</f>
        <v>AAAAAAAAAA</v>
      </c>
      <c r="BQ119" s="8" t="str">
        <f>Tank2!E141</f>
        <v/>
      </c>
      <c r="BR119" s="8" t="str">
        <f>Tank2!F141</f>
        <v/>
      </c>
      <c r="BS119" s="8">
        <f t="shared" si="146"/>
        <v>0</v>
      </c>
      <c r="BT119" s="8">
        <f t="shared" si="147"/>
        <v>0</v>
      </c>
      <c r="BU119" s="8"/>
      <c r="BV119" s="8" t="str">
        <f>Tank3!A141</f>
        <v>AAAAAAAAAA</v>
      </c>
      <c r="BW119" s="8" t="str">
        <f>Tank3!E141</f>
        <v/>
      </c>
      <c r="BX119" s="8" t="str">
        <f>Tank3!F141</f>
        <v/>
      </c>
      <c r="BY119" s="8">
        <f t="shared" si="148"/>
        <v>0</v>
      </c>
      <c r="BZ119" s="8">
        <f t="shared" si="149"/>
        <v>0</v>
      </c>
      <c r="CA119" s="8"/>
      <c r="CB119" s="8" t="str">
        <f>Tank4!A141</f>
        <v>AAAAAAAAAA</v>
      </c>
      <c r="CC119" s="8" t="str">
        <f>Tank4!E141</f>
        <v/>
      </c>
      <c r="CD119" s="8" t="str">
        <f>Tank4!F141</f>
        <v/>
      </c>
      <c r="CE119" s="8">
        <f t="shared" si="150"/>
        <v>0</v>
      </c>
      <c r="CF119" s="8">
        <f t="shared" si="151"/>
        <v>0</v>
      </c>
      <c r="CH119" s="8" t="str">
        <f>Tank5!A141</f>
        <v>AAAAAAAAAA</v>
      </c>
      <c r="CI119" s="8" t="str">
        <f>Tank5!E141</f>
        <v/>
      </c>
      <c r="CJ119" s="8" t="str">
        <f>Tank5!F141</f>
        <v/>
      </c>
      <c r="CK119" s="8">
        <f t="shared" si="152"/>
        <v>0</v>
      </c>
      <c r="CL119" s="8">
        <f t="shared" si="153"/>
        <v>0</v>
      </c>
      <c r="CN119" s="8" t="str">
        <f>Hidden!$CC102</f>
        <v/>
      </c>
      <c r="CO119">
        <f t="shared" si="154"/>
        <v>0</v>
      </c>
      <c r="CP119">
        <f t="shared" si="155"/>
        <v>0</v>
      </c>
      <c r="CQ119">
        <f t="shared" si="156"/>
        <v>0</v>
      </c>
      <c r="CR119">
        <f t="shared" si="157"/>
        <v>0</v>
      </c>
      <c r="CS119">
        <f t="shared" si="158"/>
        <v>0</v>
      </c>
      <c r="CT119">
        <f t="shared" si="159"/>
        <v>0</v>
      </c>
      <c r="CU119">
        <f t="shared" si="160"/>
        <v>0</v>
      </c>
      <c r="CV119">
        <f t="shared" si="161"/>
        <v>0</v>
      </c>
      <c r="CW119">
        <f t="shared" si="162"/>
        <v>0</v>
      </c>
      <c r="CX119">
        <f t="shared" si="163"/>
        <v>0</v>
      </c>
      <c r="DT119" s="77"/>
      <c r="DU119" s="8" t="str">
        <f t="shared" si="169"/>
        <v>AAAAA</v>
      </c>
      <c r="DV119" s="8" t="str">
        <f t="shared" si="170"/>
        <v/>
      </c>
      <c r="DW119" s="8" t="str">
        <f t="shared" si="171"/>
        <v/>
      </c>
      <c r="DX119" s="8">
        <f t="shared" si="172"/>
        <v>0</v>
      </c>
      <c r="DY119" s="8">
        <f t="shared" si="172"/>
        <v>0</v>
      </c>
      <c r="EA119" s="8" t="str">
        <f t="shared" si="173"/>
        <v>AAAAA</v>
      </c>
      <c r="EB119" s="8" t="str">
        <f t="shared" si="174"/>
        <v/>
      </c>
      <c r="EC119" s="8" t="str">
        <f t="shared" si="175"/>
        <v/>
      </c>
      <c r="ED119">
        <f t="shared" si="176"/>
        <v>0</v>
      </c>
      <c r="EE119">
        <f t="shared" si="176"/>
        <v>0</v>
      </c>
      <c r="EG119" s="8" t="str">
        <f t="shared" si="177"/>
        <v>AAAAA</v>
      </c>
      <c r="EH119" s="8" t="str">
        <f t="shared" si="178"/>
        <v/>
      </c>
      <c r="EI119" s="8" t="str">
        <f t="shared" si="179"/>
        <v/>
      </c>
      <c r="EJ119" s="8">
        <f t="shared" si="180"/>
        <v>0</v>
      </c>
      <c r="EK119" s="8">
        <f t="shared" si="180"/>
        <v>0</v>
      </c>
      <c r="EM119" s="8" t="str">
        <f t="shared" si="181"/>
        <v>AAAAA</v>
      </c>
      <c r="EN119" s="8" t="str">
        <f t="shared" si="182"/>
        <v/>
      </c>
      <c r="EO119" s="8" t="str">
        <f t="shared" si="183"/>
        <v/>
      </c>
      <c r="EP119" s="8">
        <f t="shared" si="184"/>
        <v>0</v>
      </c>
      <c r="EQ119" s="8">
        <f t="shared" si="184"/>
        <v>0</v>
      </c>
      <c r="ES119" s="8" t="str">
        <f t="shared" si="185"/>
        <v>AAAAA</v>
      </c>
      <c r="ET119" s="8" t="str">
        <f t="shared" si="186"/>
        <v/>
      </c>
      <c r="EU119" s="8" t="str">
        <f t="shared" si="187"/>
        <v/>
      </c>
      <c r="EV119" s="8">
        <f t="shared" si="188"/>
        <v>0</v>
      </c>
      <c r="EW119" s="8">
        <f t="shared" si="188"/>
        <v>0</v>
      </c>
      <c r="EY119" s="8" t="str">
        <f>Hidden!$CG7</f>
        <v/>
      </c>
      <c r="EZ119">
        <f t="shared" si="189"/>
        <v>0</v>
      </c>
      <c r="FA119">
        <f t="shared" si="190"/>
        <v>0</v>
      </c>
      <c r="FB119">
        <f t="shared" si="191"/>
        <v>0</v>
      </c>
      <c r="FC119">
        <f t="shared" si="192"/>
        <v>0</v>
      </c>
      <c r="FD119">
        <f t="shared" si="193"/>
        <v>0</v>
      </c>
      <c r="FE119">
        <f t="shared" si="194"/>
        <v>0</v>
      </c>
      <c r="FF119">
        <f t="shared" si="195"/>
        <v>0</v>
      </c>
      <c r="FG119">
        <f t="shared" si="196"/>
        <v>0</v>
      </c>
      <c r="FH119">
        <f t="shared" si="197"/>
        <v>0</v>
      </c>
      <c r="FI119">
        <f t="shared" si="198"/>
        <v>0</v>
      </c>
    </row>
    <row r="120" spans="1:165" ht="15" thickBot="1" x14ac:dyDescent="0.25">
      <c r="A120" s="8"/>
      <c r="B120" s="8"/>
      <c r="C120" s="8"/>
      <c r="D120" s="8"/>
      <c r="E120" s="8"/>
      <c r="G120" s="8"/>
      <c r="H120" s="8"/>
      <c r="I120" s="8"/>
      <c r="M120" s="8"/>
      <c r="N120" s="8"/>
      <c r="O120" s="8"/>
      <c r="S120" s="8"/>
      <c r="T120" s="8"/>
      <c r="U120" s="8"/>
      <c r="V120" s="8"/>
      <c r="W120" s="8"/>
      <c r="Y120" s="8"/>
      <c r="Z120" s="8"/>
      <c r="AA120" s="8"/>
      <c r="AE120" s="8"/>
      <c r="BJ120" s="8"/>
      <c r="BK120" s="8"/>
      <c r="BL120" s="8"/>
      <c r="BQ120" s="8"/>
      <c r="BR120" s="8"/>
      <c r="BW120" s="8"/>
      <c r="BX120" s="8"/>
      <c r="CB120" s="8"/>
      <c r="CC120" s="8"/>
      <c r="CD120" s="8"/>
      <c r="CH120" s="8"/>
      <c r="CI120" s="8"/>
      <c r="CJ120" s="8"/>
      <c r="DT120" s="77"/>
      <c r="DU120" s="8" t="str">
        <f t="shared" si="169"/>
        <v>AAAAAA</v>
      </c>
      <c r="DV120" s="8" t="str">
        <f t="shared" si="170"/>
        <v/>
      </c>
      <c r="DW120" s="8" t="str">
        <f t="shared" si="171"/>
        <v/>
      </c>
      <c r="DX120" s="8">
        <f t="shared" si="172"/>
        <v>0</v>
      </c>
      <c r="DY120" s="8">
        <f t="shared" si="172"/>
        <v>0</v>
      </c>
      <c r="EA120" s="8" t="str">
        <f t="shared" si="173"/>
        <v>AAAAAA</v>
      </c>
      <c r="EB120" s="8" t="str">
        <f t="shared" si="174"/>
        <v/>
      </c>
      <c r="EC120" s="8" t="str">
        <f t="shared" si="175"/>
        <v/>
      </c>
      <c r="ED120">
        <f t="shared" si="176"/>
        <v>0</v>
      </c>
      <c r="EE120">
        <f t="shared" si="176"/>
        <v>0</v>
      </c>
      <c r="EG120" s="8" t="str">
        <f t="shared" si="177"/>
        <v>AAAAAA</v>
      </c>
      <c r="EH120" s="8" t="str">
        <f t="shared" si="178"/>
        <v/>
      </c>
      <c r="EI120" s="8" t="str">
        <f t="shared" si="179"/>
        <v/>
      </c>
      <c r="EJ120" s="8">
        <f t="shared" si="180"/>
        <v>0</v>
      </c>
      <c r="EK120" s="8">
        <f t="shared" si="180"/>
        <v>0</v>
      </c>
      <c r="EM120" s="8" t="str">
        <f t="shared" si="181"/>
        <v>AAAAAA</v>
      </c>
      <c r="EN120" s="8" t="str">
        <f t="shared" si="182"/>
        <v/>
      </c>
      <c r="EO120" s="8" t="str">
        <f t="shared" si="183"/>
        <v/>
      </c>
      <c r="EP120" s="8">
        <f t="shared" si="184"/>
        <v>0</v>
      </c>
      <c r="EQ120" s="8">
        <f t="shared" si="184"/>
        <v>0</v>
      </c>
      <c r="ES120" s="8" t="str">
        <f t="shared" si="185"/>
        <v>AAAAAA</v>
      </c>
      <c r="ET120" s="8" t="str">
        <f t="shared" si="186"/>
        <v/>
      </c>
      <c r="EU120" s="8" t="str">
        <f t="shared" si="187"/>
        <v/>
      </c>
      <c r="EV120" s="8">
        <f t="shared" si="188"/>
        <v>0</v>
      </c>
      <c r="EW120" s="8">
        <f t="shared" si="188"/>
        <v>0</v>
      </c>
      <c r="EY120" s="8" t="str">
        <f>Hidden!$CG8</f>
        <v/>
      </c>
      <c r="EZ120">
        <f t="shared" si="189"/>
        <v>0</v>
      </c>
      <c r="FA120">
        <f t="shared" si="190"/>
        <v>0</v>
      </c>
      <c r="FB120">
        <f t="shared" si="191"/>
        <v>0</v>
      </c>
      <c r="FC120">
        <f t="shared" si="192"/>
        <v>0</v>
      </c>
      <c r="FD120">
        <f t="shared" si="193"/>
        <v>0</v>
      </c>
      <c r="FE120">
        <f t="shared" si="194"/>
        <v>0</v>
      </c>
      <c r="FF120">
        <f t="shared" si="195"/>
        <v>0</v>
      </c>
      <c r="FG120">
        <f t="shared" si="196"/>
        <v>0</v>
      </c>
      <c r="FH120">
        <f t="shared" si="197"/>
        <v>0</v>
      </c>
      <c r="FI120">
        <f t="shared" si="198"/>
        <v>0</v>
      </c>
    </row>
    <row r="121" spans="1:165" ht="15.75" thickBot="1" x14ac:dyDescent="0.25">
      <c r="A121" s="479" t="s">
        <v>9748</v>
      </c>
      <c r="B121" s="479"/>
      <c r="C121" s="479"/>
      <c r="D121" s="479"/>
      <c r="E121" s="479"/>
      <c r="F121" s="479"/>
      <c r="G121" s="479"/>
      <c r="H121" s="479"/>
      <c r="I121" s="479"/>
      <c r="J121" s="479"/>
      <c r="K121" s="479"/>
      <c r="L121" s="479"/>
      <c r="M121" s="479"/>
      <c r="N121" s="479"/>
      <c r="O121" s="479"/>
      <c r="P121" s="479"/>
      <c r="Q121" s="479"/>
      <c r="R121" s="479"/>
      <c r="S121" s="479"/>
      <c r="T121" s="479"/>
      <c r="U121" s="479"/>
      <c r="V121" s="479"/>
      <c r="W121" s="479"/>
      <c r="X121" s="479"/>
      <c r="Y121" s="479"/>
      <c r="Z121" s="479"/>
      <c r="AA121" s="479"/>
      <c r="AB121" s="479"/>
      <c r="AC121" s="479"/>
      <c r="AD121" s="479"/>
      <c r="AE121" s="479"/>
      <c r="AF121" s="479"/>
      <c r="AG121" s="479"/>
      <c r="AH121" s="479"/>
      <c r="AI121" s="479"/>
      <c r="AJ121" s="479"/>
      <c r="AK121" s="479"/>
      <c r="AL121" s="479"/>
      <c r="AM121" s="479"/>
      <c r="AN121" s="479"/>
      <c r="AO121" s="479"/>
      <c r="BJ121" s="479" t="s">
        <v>9972</v>
      </c>
      <c r="BK121" s="479"/>
      <c r="BL121" s="479"/>
      <c r="BM121" s="479"/>
      <c r="BN121" s="479"/>
      <c r="BO121" s="479"/>
      <c r="BP121" s="479"/>
      <c r="BQ121" s="479"/>
      <c r="BR121" s="479"/>
      <c r="BS121" s="479"/>
      <c r="BT121" s="479"/>
      <c r="BU121" s="479"/>
      <c r="BV121" s="479"/>
      <c r="BW121" s="479"/>
      <c r="BX121" s="479"/>
      <c r="BY121" s="479"/>
      <c r="BZ121" s="479"/>
      <c r="CA121" s="479"/>
      <c r="CB121" s="479"/>
      <c r="CC121" s="479"/>
      <c r="CD121" s="479"/>
      <c r="CE121" s="479"/>
      <c r="CF121" s="479"/>
      <c r="CG121" s="479"/>
      <c r="CH121" s="479"/>
      <c r="CI121" s="479"/>
      <c r="CJ121" s="479"/>
      <c r="CK121" s="479"/>
      <c r="CL121" s="479"/>
      <c r="CM121" s="479"/>
      <c r="CN121" s="479"/>
      <c r="CO121" s="479"/>
      <c r="CP121" s="479"/>
      <c r="CQ121" s="479"/>
      <c r="CR121" s="479"/>
      <c r="CS121" s="479"/>
      <c r="CT121" s="479"/>
      <c r="CU121" s="479"/>
      <c r="CV121" s="479"/>
      <c r="CW121" s="479"/>
      <c r="CX121" s="479"/>
      <c r="CY121" s="479"/>
      <c r="DT121" s="77"/>
      <c r="DU121" s="8" t="str">
        <f t="shared" si="169"/>
        <v>AAAAAAA</v>
      </c>
      <c r="DV121" s="8" t="str">
        <f t="shared" si="170"/>
        <v/>
      </c>
      <c r="DW121" s="8" t="str">
        <f t="shared" si="171"/>
        <v/>
      </c>
      <c r="DX121" s="8">
        <f t="shared" si="172"/>
        <v>0</v>
      </c>
      <c r="DY121" s="8">
        <f t="shared" si="172"/>
        <v>0</v>
      </c>
      <c r="EA121" s="8" t="str">
        <f t="shared" si="173"/>
        <v>AAAAAAA</v>
      </c>
      <c r="EB121" s="8" t="str">
        <f t="shared" si="174"/>
        <v/>
      </c>
      <c r="EC121" s="8" t="str">
        <f t="shared" si="175"/>
        <v/>
      </c>
      <c r="ED121">
        <f t="shared" si="176"/>
        <v>0</v>
      </c>
      <c r="EE121">
        <f t="shared" si="176"/>
        <v>0</v>
      </c>
      <c r="EG121" s="8" t="str">
        <f t="shared" si="177"/>
        <v>AAAAAAA</v>
      </c>
      <c r="EH121" s="8" t="str">
        <f t="shared" si="178"/>
        <v/>
      </c>
      <c r="EI121" s="8" t="str">
        <f t="shared" si="179"/>
        <v/>
      </c>
      <c r="EJ121" s="8">
        <f t="shared" si="180"/>
        <v>0</v>
      </c>
      <c r="EK121" s="8">
        <f t="shared" si="180"/>
        <v>0</v>
      </c>
      <c r="EM121" s="8" t="str">
        <f t="shared" si="181"/>
        <v>AAAAAAA</v>
      </c>
      <c r="EN121" s="8" t="str">
        <f t="shared" si="182"/>
        <v/>
      </c>
      <c r="EO121" s="8" t="str">
        <f t="shared" si="183"/>
        <v/>
      </c>
      <c r="EP121" s="8">
        <f t="shared" si="184"/>
        <v>0</v>
      </c>
      <c r="EQ121" s="8">
        <f t="shared" si="184"/>
        <v>0</v>
      </c>
      <c r="ES121" s="8" t="str">
        <f t="shared" si="185"/>
        <v>AAAAAAA</v>
      </c>
      <c r="ET121" s="8" t="str">
        <f t="shared" si="186"/>
        <v/>
      </c>
      <c r="EU121" s="8" t="str">
        <f t="shared" si="187"/>
        <v/>
      </c>
      <c r="EV121" s="8">
        <f t="shared" si="188"/>
        <v>0</v>
      </c>
      <c r="EW121" s="8">
        <f t="shared" si="188"/>
        <v>0</v>
      </c>
      <c r="EY121" s="8" t="str">
        <f>Hidden!$CG9</f>
        <v/>
      </c>
      <c r="EZ121">
        <f t="shared" si="189"/>
        <v>0</v>
      </c>
      <c r="FA121">
        <f t="shared" si="190"/>
        <v>0</v>
      </c>
      <c r="FB121">
        <f t="shared" si="191"/>
        <v>0</v>
      </c>
      <c r="FC121">
        <f t="shared" si="192"/>
        <v>0</v>
      </c>
      <c r="FD121">
        <f t="shared" si="193"/>
        <v>0</v>
      </c>
      <c r="FE121">
        <f t="shared" si="194"/>
        <v>0</v>
      </c>
      <c r="FF121">
        <f t="shared" si="195"/>
        <v>0</v>
      </c>
      <c r="FG121">
        <f t="shared" si="196"/>
        <v>0</v>
      </c>
      <c r="FH121">
        <f t="shared" si="197"/>
        <v>0</v>
      </c>
      <c r="FI121">
        <f t="shared" si="198"/>
        <v>0</v>
      </c>
    </row>
    <row r="122" spans="1:165" ht="71.25" x14ac:dyDescent="0.2">
      <c r="A122" t="s">
        <v>9726</v>
      </c>
      <c r="G122" s="8" t="s">
        <v>9728</v>
      </c>
      <c r="H122" s="8"/>
      <c r="I122" s="8"/>
      <c r="J122" s="8"/>
      <c r="K122" s="8"/>
      <c r="M122" s="8" t="s">
        <v>9729</v>
      </c>
      <c r="N122" s="8"/>
      <c r="O122" s="8"/>
      <c r="P122" s="8"/>
      <c r="Q122" s="8"/>
      <c r="R122" s="8"/>
      <c r="S122" s="8" t="s">
        <v>9730</v>
      </c>
      <c r="T122" s="8"/>
      <c r="U122" s="8"/>
      <c r="Y122" s="8" t="s">
        <v>9731</v>
      </c>
      <c r="Z122" s="8"/>
      <c r="AA122" s="8"/>
      <c r="AE122" s="181" t="s">
        <v>9203</v>
      </c>
      <c r="AF122" t="s">
        <v>9732</v>
      </c>
      <c r="AG122" t="s">
        <v>9733</v>
      </c>
      <c r="AH122" t="s">
        <v>9734</v>
      </c>
      <c r="AI122" t="s">
        <v>9735</v>
      </c>
      <c r="AJ122" t="s">
        <v>9736</v>
      </c>
      <c r="AK122" t="s">
        <v>9738</v>
      </c>
      <c r="AL122" t="s">
        <v>9739</v>
      </c>
      <c r="AM122" t="s">
        <v>9740</v>
      </c>
      <c r="AN122" t="s">
        <v>9741</v>
      </c>
      <c r="AO122" t="s">
        <v>9742</v>
      </c>
      <c r="BJ122" t="s">
        <v>9726</v>
      </c>
      <c r="BK122" s="8"/>
      <c r="BL122" s="8"/>
      <c r="BP122" t="s">
        <v>9728</v>
      </c>
      <c r="BQ122" s="8"/>
      <c r="BR122" s="8"/>
      <c r="BV122" t="s">
        <v>9729</v>
      </c>
      <c r="BW122" s="8"/>
      <c r="BX122" s="8"/>
      <c r="CB122" s="8" t="s">
        <v>9730</v>
      </c>
      <c r="CC122" s="8"/>
      <c r="CD122" s="8"/>
      <c r="CH122" s="8" t="s">
        <v>9731</v>
      </c>
      <c r="CI122" s="8"/>
      <c r="CJ122" s="8"/>
      <c r="CO122" t="s">
        <v>9203</v>
      </c>
      <c r="CP122" t="s">
        <v>9732</v>
      </c>
      <c r="CQ122" t="s">
        <v>9733</v>
      </c>
      <c r="CR122" t="s">
        <v>9734</v>
      </c>
      <c r="CS122" t="s">
        <v>9735</v>
      </c>
      <c r="CT122" t="s">
        <v>9736</v>
      </c>
      <c r="CU122" t="s">
        <v>9738</v>
      </c>
      <c r="CV122" t="s">
        <v>9739</v>
      </c>
      <c r="CW122" t="s">
        <v>9740</v>
      </c>
      <c r="CX122" t="s">
        <v>9741</v>
      </c>
      <c r="CY122" t="s">
        <v>9742</v>
      </c>
      <c r="DT122" s="77"/>
      <c r="DU122" s="8" t="str">
        <f t="shared" si="169"/>
        <v>AAAAAAAA</v>
      </c>
      <c r="DV122" s="8" t="str">
        <f t="shared" si="170"/>
        <v/>
      </c>
      <c r="DW122" s="8" t="str">
        <f t="shared" si="171"/>
        <v/>
      </c>
      <c r="DX122" s="8">
        <f t="shared" si="172"/>
        <v>0</v>
      </c>
      <c r="DY122" s="8">
        <f t="shared" si="172"/>
        <v>0</v>
      </c>
      <c r="EA122" s="8" t="str">
        <f t="shared" si="173"/>
        <v>AAAAAAAA</v>
      </c>
      <c r="EB122" s="8" t="str">
        <f t="shared" si="174"/>
        <v/>
      </c>
      <c r="EC122" s="8" t="str">
        <f t="shared" si="175"/>
        <v/>
      </c>
      <c r="ED122">
        <f t="shared" si="176"/>
        <v>0</v>
      </c>
      <c r="EE122">
        <f t="shared" si="176"/>
        <v>0</v>
      </c>
      <c r="EG122" s="8" t="str">
        <f t="shared" si="177"/>
        <v>AAAAAAAA</v>
      </c>
      <c r="EH122" s="8" t="str">
        <f t="shared" si="178"/>
        <v/>
      </c>
      <c r="EI122" s="8" t="str">
        <f t="shared" si="179"/>
        <v/>
      </c>
      <c r="EJ122" s="8">
        <f t="shared" si="180"/>
        <v>0</v>
      </c>
      <c r="EK122" s="8">
        <f t="shared" si="180"/>
        <v>0</v>
      </c>
      <c r="EM122" s="8" t="str">
        <f t="shared" si="181"/>
        <v>AAAAAAAA</v>
      </c>
      <c r="EN122" s="8" t="str">
        <f t="shared" si="182"/>
        <v/>
      </c>
      <c r="EO122" s="8" t="str">
        <f t="shared" si="183"/>
        <v/>
      </c>
      <c r="EP122" s="8">
        <f t="shared" si="184"/>
        <v>0</v>
      </c>
      <c r="EQ122" s="8">
        <f t="shared" si="184"/>
        <v>0</v>
      </c>
      <c r="ES122" s="8" t="str">
        <f t="shared" si="185"/>
        <v>AAAAAAAA</v>
      </c>
      <c r="ET122" s="8" t="str">
        <f t="shared" si="186"/>
        <v/>
      </c>
      <c r="EU122" s="8" t="str">
        <f t="shared" si="187"/>
        <v/>
      </c>
      <c r="EV122" s="8">
        <f t="shared" si="188"/>
        <v>0</v>
      </c>
      <c r="EW122" s="8">
        <f t="shared" si="188"/>
        <v>0</v>
      </c>
      <c r="EY122" s="8" t="str">
        <f>Hidden!$CG10</f>
        <v/>
      </c>
      <c r="EZ122">
        <f t="shared" si="189"/>
        <v>0</v>
      </c>
      <c r="FA122">
        <f t="shared" si="190"/>
        <v>0</v>
      </c>
      <c r="FB122">
        <f t="shared" si="191"/>
        <v>0</v>
      </c>
      <c r="FC122">
        <f t="shared" si="192"/>
        <v>0</v>
      </c>
      <c r="FD122">
        <f t="shared" si="193"/>
        <v>0</v>
      </c>
      <c r="FE122">
        <f t="shared" si="194"/>
        <v>0</v>
      </c>
      <c r="FF122">
        <f t="shared" si="195"/>
        <v>0</v>
      </c>
      <c r="FG122">
        <f t="shared" si="196"/>
        <v>0</v>
      </c>
      <c r="FH122">
        <f t="shared" si="197"/>
        <v>0</v>
      </c>
      <c r="FI122">
        <f t="shared" si="198"/>
        <v>0</v>
      </c>
    </row>
    <row r="123" spans="1:165" x14ac:dyDescent="0.2">
      <c r="D123" t="s">
        <v>8741</v>
      </c>
      <c r="E123" t="s">
        <v>8742</v>
      </c>
      <c r="G123" s="8"/>
      <c r="H123" s="8"/>
      <c r="I123" s="8"/>
      <c r="J123" s="8" t="s">
        <v>8741</v>
      </c>
      <c r="K123" s="8" t="s">
        <v>8742</v>
      </c>
      <c r="M123" s="8"/>
      <c r="N123" s="8"/>
      <c r="O123" s="8"/>
      <c r="P123" s="8" t="s">
        <v>8741</v>
      </c>
      <c r="Q123" s="8" t="s">
        <v>8742</v>
      </c>
      <c r="R123" s="8"/>
      <c r="S123" s="8"/>
      <c r="T123" s="8"/>
      <c r="U123" s="8"/>
      <c r="V123" t="s">
        <v>8741</v>
      </c>
      <c r="W123" t="s">
        <v>8742</v>
      </c>
      <c r="Y123" s="8"/>
      <c r="Z123" s="8"/>
      <c r="AA123" s="8"/>
      <c r="AE123" s="77"/>
      <c r="AF123" s="77"/>
      <c r="AG123" s="77"/>
      <c r="AH123" s="77"/>
      <c r="AI123" s="77"/>
      <c r="AJ123" s="77"/>
      <c r="AK123" s="77"/>
      <c r="AL123" s="77"/>
      <c r="AM123" s="77"/>
      <c r="AN123" s="77"/>
      <c r="AO123" s="77"/>
      <c r="BJ123" s="8"/>
      <c r="BK123" s="8" t="s">
        <v>8741</v>
      </c>
      <c r="BL123" s="8" t="s">
        <v>8742</v>
      </c>
      <c r="BQ123" s="8" t="s">
        <v>8741</v>
      </c>
      <c r="BR123" s="8" t="s">
        <v>8742</v>
      </c>
      <c r="BW123" s="8" t="s">
        <v>8741</v>
      </c>
      <c r="BX123" s="8" t="s">
        <v>8742</v>
      </c>
      <c r="CB123" s="8"/>
      <c r="CC123" s="8" t="s">
        <v>8741</v>
      </c>
      <c r="CD123" s="8" t="s">
        <v>8742</v>
      </c>
      <c r="CH123" s="8"/>
      <c r="CI123" s="8" t="s">
        <v>8741</v>
      </c>
      <c r="CJ123" s="8" t="s">
        <v>8742</v>
      </c>
      <c r="CO123" s="77"/>
      <c r="CP123" s="77"/>
      <c r="CQ123" s="77"/>
      <c r="CR123" s="77"/>
      <c r="CS123" s="77"/>
      <c r="CT123" s="77"/>
      <c r="CU123" s="77"/>
      <c r="CV123" s="77"/>
      <c r="CW123" s="77"/>
      <c r="CX123" s="77"/>
      <c r="CY123" s="77"/>
      <c r="DT123" s="77"/>
      <c r="DU123" s="8" t="str">
        <f t="shared" si="169"/>
        <v>AAAAAAAAA</v>
      </c>
      <c r="DV123" s="8" t="str">
        <f t="shared" si="170"/>
        <v/>
      </c>
      <c r="DW123" s="8" t="str">
        <f t="shared" si="171"/>
        <v/>
      </c>
      <c r="DX123" s="8">
        <f t="shared" si="172"/>
        <v>0</v>
      </c>
      <c r="DY123" s="8">
        <f t="shared" si="172"/>
        <v>0</v>
      </c>
      <c r="EA123" s="8" t="str">
        <f t="shared" si="173"/>
        <v>AAAAAAAAA</v>
      </c>
      <c r="EB123" s="8" t="str">
        <f t="shared" si="174"/>
        <v/>
      </c>
      <c r="EC123" s="8" t="str">
        <f t="shared" si="175"/>
        <v/>
      </c>
      <c r="ED123">
        <f t="shared" si="176"/>
        <v>0</v>
      </c>
      <c r="EE123">
        <f t="shared" si="176"/>
        <v>0</v>
      </c>
      <c r="EG123" s="8" t="str">
        <f t="shared" si="177"/>
        <v>AAAAAAAAA</v>
      </c>
      <c r="EH123" s="8" t="str">
        <f t="shared" si="178"/>
        <v/>
      </c>
      <c r="EI123" s="8" t="str">
        <f t="shared" si="179"/>
        <v/>
      </c>
      <c r="EJ123" s="8">
        <f t="shared" si="180"/>
        <v>0</v>
      </c>
      <c r="EK123" s="8">
        <f t="shared" si="180"/>
        <v>0</v>
      </c>
      <c r="EM123" s="8" t="str">
        <f t="shared" si="181"/>
        <v>AAAAAAAAA</v>
      </c>
      <c r="EN123" s="8" t="str">
        <f t="shared" si="182"/>
        <v/>
      </c>
      <c r="EO123" s="8" t="str">
        <f t="shared" si="183"/>
        <v/>
      </c>
      <c r="EP123" s="8">
        <f t="shared" si="184"/>
        <v>0</v>
      </c>
      <c r="EQ123" s="8">
        <f t="shared" si="184"/>
        <v>0</v>
      </c>
      <c r="ES123" s="8" t="str">
        <f t="shared" si="185"/>
        <v>AAAAAAAAA</v>
      </c>
      <c r="ET123" s="8" t="str">
        <f t="shared" si="186"/>
        <v/>
      </c>
      <c r="EU123" s="8" t="str">
        <f t="shared" si="187"/>
        <v/>
      </c>
      <c r="EV123" s="8">
        <f t="shared" si="188"/>
        <v>0</v>
      </c>
      <c r="EW123" s="8">
        <f t="shared" si="188"/>
        <v>0</v>
      </c>
      <c r="EY123" s="8" t="str">
        <f>Hidden!$CG11</f>
        <v/>
      </c>
      <c r="EZ123">
        <f t="shared" si="189"/>
        <v>0</v>
      </c>
      <c r="FA123">
        <f t="shared" si="190"/>
        <v>0</v>
      </c>
      <c r="FB123">
        <f t="shared" si="191"/>
        <v>0</v>
      </c>
      <c r="FC123">
        <f t="shared" si="192"/>
        <v>0</v>
      </c>
      <c r="FD123">
        <f t="shared" si="193"/>
        <v>0</v>
      </c>
      <c r="FE123">
        <f t="shared" si="194"/>
        <v>0</v>
      </c>
      <c r="FF123">
        <f t="shared" si="195"/>
        <v>0</v>
      </c>
      <c r="FG123">
        <f t="shared" si="196"/>
        <v>0</v>
      </c>
      <c r="FH123">
        <f t="shared" si="197"/>
        <v>0</v>
      </c>
      <c r="FI123">
        <f t="shared" si="198"/>
        <v>0</v>
      </c>
    </row>
    <row r="124" spans="1:165" x14ac:dyDescent="0.2">
      <c r="A124" t="s">
        <v>229</v>
      </c>
      <c r="D124">
        <f>ConvenienceLand!F19</f>
        <v>0</v>
      </c>
      <c r="E124">
        <f>ConvenienceLand!H19</f>
        <v>0</v>
      </c>
      <c r="G124" t="s">
        <v>229</v>
      </c>
      <c r="J124">
        <f>ConvenienceLand!F36</f>
        <v>0</v>
      </c>
      <c r="K124">
        <f>ConvenienceLand!H36</f>
        <v>0</v>
      </c>
      <c r="M124" s="8" t="s">
        <v>229</v>
      </c>
      <c r="N124" s="8"/>
      <c r="O124" s="8"/>
      <c r="P124" s="8">
        <f>ConvenienceLand!F53</f>
        <v>0</v>
      </c>
      <c r="Q124" s="8">
        <f>ConvenienceLand!H53</f>
        <v>0</v>
      </c>
      <c r="R124" s="8"/>
      <c r="S124" s="8" t="s">
        <v>229</v>
      </c>
      <c r="T124" s="8"/>
      <c r="U124" s="8"/>
      <c r="V124">
        <f>ConvenienceLand!F70</f>
        <v>0</v>
      </c>
      <c r="W124">
        <f>ConvenienceLand!H70</f>
        <v>0</v>
      </c>
      <c r="Y124" s="8" t="s">
        <v>229</v>
      </c>
      <c r="Z124" s="8"/>
      <c r="AA124" s="8"/>
      <c r="AB124">
        <f>ConvenienceLand!F87</f>
        <v>0</v>
      </c>
      <c r="AC124">
        <f>ConvenienceLand!H87</f>
        <v>0</v>
      </c>
      <c r="AE124" t="s">
        <v>9970</v>
      </c>
      <c r="AF124" t="b">
        <f>IF(OR(Tank1!$D$18="EXTERNAL FLOATING ROOF",Tank1!$D$18="INTERNAL FLOATING ROOF"),TRUE,FALSE)</f>
        <v>0</v>
      </c>
      <c r="AG124" t="b">
        <f>IF(OR(Tank2!$D$18="EXTERNAL FLOATING ROOF",Tank2!$D$18="INTERNAL FLOATING ROOF"),TRUE,FALSE)</f>
        <v>0</v>
      </c>
      <c r="AH124" t="b">
        <f>IF(OR(Tank3!$D$18="EXTERNAL FLOATING ROOF",Tank3!$D$18="INTERNAL FLOATING ROOF"),TRUE,FALSE)</f>
        <v>0</v>
      </c>
      <c r="AI124" t="b">
        <f>IF(OR(Tank4!$D$18="EXTERNAL FLOATING ROOF",Tank4!$D$18="INTERNAL FLOATING ROOF"),TRUE,FALSE)</f>
        <v>0</v>
      </c>
      <c r="AJ124" t="b">
        <f>IF(OR(Tank5!$D$18="EXTERNAL FLOATING ROOF",Tank5!$D$18="INTERNAL FLOATING ROOF"),TRUE,FALSE)</f>
        <v>0</v>
      </c>
      <c r="AK124" t="b">
        <f>AF$124</f>
        <v>0</v>
      </c>
      <c r="AL124" t="b">
        <f t="shared" ref="AL124:AO124" si="199">AG$124</f>
        <v>0</v>
      </c>
      <c r="AM124" t="b">
        <f t="shared" si="199"/>
        <v>0</v>
      </c>
      <c r="AN124" t="b">
        <f t="shared" si="199"/>
        <v>0</v>
      </c>
      <c r="AO124" t="b">
        <f t="shared" si="199"/>
        <v>0</v>
      </c>
      <c r="BJ124" s="8" t="s">
        <v>229</v>
      </c>
      <c r="BK124" s="155">
        <f>TankMSS!$C$95</f>
        <v>0</v>
      </c>
      <c r="BL124" s="155">
        <f>TankMSS!$D$95</f>
        <v>0</v>
      </c>
      <c r="BP124" t="s">
        <v>229</v>
      </c>
      <c r="BQ124" s="8">
        <f>TankMSS!$C$95</f>
        <v>0</v>
      </c>
      <c r="BR124" s="8">
        <f>TankMSS!$D$95</f>
        <v>0</v>
      </c>
      <c r="BV124" t="s">
        <v>229</v>
      </c>
      <c r="BW124" s="8">
        <f>TankMSS!$C$95</f>
        <v>0</v>
      </c>
      <c r="BX124" s="8">
        <f>TankMSS!$D$95</f>
        <v>0</v>
      </c>
      <c r="CB124" s="8" t="s">
        <v>229</v>
      </c>
      <c r="CC124" s="8">
        <f>TankMSS!$C$95</f>
        <v>0</v>
      </c>
      <c r="CD124" s="8">
        <f>TankMSS!$D$95</f>
        <v>0</v>
      </c>
      <c r="CH124" s="8" t="s">
        <v>229</v>
      </c>
      <c r="CI124" s="8">
        <f>TankMSS!$C$95</f>
        <v>0</v>
      </c>
      <c r="CJ124" s="8">
        <f>TankMSS!$D$95</f>
        <v>0</v>
      </c>
      <c r="CO124" t="s">
        <v>9970</v>
      </c>
      <c r="CP124" t="b">
        <f>IF(OR(Tank1!$D$18="EXTERNAL FLOATING ROOF",Tank1!$D$18="INTERNAL FLOATING ROOF"),TRUE,FALSE)</f>
        <v>0</v>
      </c>
      <c r="CQ124" t="b">
        <f>IF(OR(Tank2!$D$18="EXTERNAL FLOATING ROOF",Tank2!$D$18="INTERNAL FLOATING ROOF"),TRUE,FALSE)</f>
        <v>0</v>
      </c>
      <c r="CR124" t="b">
        <f>IF(OR(Tank3!$D$18="EXTERNAL FLOATING ROOF",Tank3!$D$18="INTERNAL FLOATING ROOF"),TRUE,FALSE)</f>
        <v>0</v>
      </c>
      <c r="CS124" t="b">
        <f>IF(OR(Tank4!$D$18="EXTERNAL FLOATING ROOF",Tank4!$D$18="INTERNAL FLOATING ROOF"),TRUE,FALSE)</f>
        <v>0</v>
      </c>
      <c r="CT124" t="b">
        <f>IF(OR(Tank5!$D$18="EXTERNAL FLOATING ROOF",Tank5!$D$18="INTERNAL FLOATING ROOF"),TRUE,FALSE)</f>
        <v>0</v>
      </c>
      <c r="CU124" t="b">
        <f>CP$124</f>
        <v>0</v>
      </c>
      <c r="CV124" t="b">
        <f t="shared" ref="CV124:CY124" si="200">CQ$124</f>
        <v>0</v>
      </c>
      <c r="CW124" t="b">
        <f t="shared" si="200"/>
        <v>0</v>
      </c>
      <c r="CX124" t="b">
        <f t="shared" si="200"/>
        <v>0</v>
      </c>
      <c r="CY124" t="b">
        <f t="shared" si="200"/>
        <v>0</v>
      </c>
      <c r="DT124" s="77"/>
      <c r="DU124" s="8" t="str">
        <f t="shared" si="169"/>
        <v>AAAAAAAAAA</v>
      </c>
      <c r="DV124" s="8" t="str">
        <f t="shared" si="170"/>
        <v/>
      </c>
      <c r="DW124" s="8" t="str">
        <f t="shared" si="171"/>
        <v/>
      </c>
      <c r="DX124" s="8">
        <f t="shared" si="172"/>
        <v>0</v>
      </c>
      <c r="DY124" s="8">
        <f t="shared" si="172"/>
        <v>0</v>
      </c>
      <c r="EA124" s="8" t="str">
        <f t="shared" si="173"/>
        <v>AAAAAAAAAA</v>
      </c>
      <c r="EB124" s="8" t="str">
        <f t="shared" si="174"/>
        <v/>
      </c>
      <c r="EC124" s="8" t="str">
        <f t="shared" si="175"/>
        <v/>
      </c>
      <c r="ED124">
        <f t="shared" si="176"/>
        <v>0</v>
      </c>
      <c r="EE124">
        <f t="shared" si="176"/>
        <v>0</v>
      </c>
      <c r="EG124" s="8" t="str">
        <f t="shared" si="177"/>
        <v>AAAAAAAAAA</v>
      </c>
      <c r="EH124" s="8" t="str">
        <f t="shared" si="178"/>
        <v/>
      </c>
      <c r="EI124" s="8" t="str">
        <f t="shared" si="179"/>
        <v/>
      </c>
      <c r="EJ124" s="8">
        <f t="shared" si="180"/>
        <v>0</v>
      </c>
      <c r="EK124" s="8">
        <f t="shared" si="180"/>
        <v>0</v>
      </c>
      <c r="EM124" s="8" t="str">
        <f t="shared" si="181"/>
        <v>AAAAAAAAAA</v>
      </c>
      <c r="EN124" s="8" t="str">
        <f t="shared" si="182"/>
        <v/>
      </c>
      <c r="EO124" s="8" t="str">
        <f t="shared" si="183"/>
        <v/>
      </c>
      <c r="EP124" s="8">
        <f t="shared" si="184"/>
        <v>0</v>
      </c>
      <c r="EQ124" s="8">
        <f t="shared" si="184"/>
        <v>0</v>
      </c>
      <c r="ES124" s="8" t="str">
        <f t="shared" si="185"/>
        <v>AAAAAAAAAA</v>
      </c>
      <c r="ET124" s="8" t="str">
        <f t="shared" si="186"/>
        <v/>
      </c>
      <c r="EU124" s="8" t="str">
        <f t="shared" si="187"/>
        <v/>
      </c>
      <c r="EV124" s="8">
        <f t="shared" si="188"/>
        <v>0</v>
      </c>
      <c r="EW124" s="8">
        <f t="shared" si="188"/>
        <v>0</v>
      </c>
      <c r="EY124" s="8" t="str">
        <f>Hidden!$CG12</f>
        <v/>
      </c>
      <c r="EZ124">
        <f t="shared" si="189"/>
        <v>0</v>
      </c>
      <c r="FA124">
        <f t="shared" si="190"/>
        <v>0</v>
      </c>
      <c r="FB124">
        <f t="shared" si="191"/>
        <v>0</v>
      </c>
      <c r="FC124">
        <f t="shared" si="192"/>
        <v>0</v>
      </c>
      <c r="FD124">
        <f t="shared" si="193"/>
        <v>0</v>
      </c>
      <c r="FE124">
        <f t="shared" si="194"/>
        <v>0</v>
      </c>
      <c r="FF124">
        <f t="shared" si="195"/>
        <v>0</v>
      </c>
      <c r="FG124">
        <f t="shared" si="196"/>
        <v>0</v>
      </c>
      <c r="FH124">
        <f t="shared" si="197"/>
        <v>0</v>
      </c>
      <c r="FI124">
        <f t="shared" si="198"/>
        <v>0</v>
      </c>
    </row>
    <row r="125" spans="1:165" x14ac:dyDescent="0.2">
      <c r="M125" s="8"/>
      <c r="N125" s="8"/>
      <c r="O125" s="8"/>
      <c r="P125" s="8"/>
      <c r="Q125" s="8"/>
      <c r="R125" s="8"/>
      <c r="S125" s="8"/>
      <c r="T125" s="8"/>
      <c r="U125" s="8"/>
      <c r="AE125" s="77"/>
      <c r="AF125" s="77"/>
      <c r="AG125" s="77"/>
      <c r="AH125" s="77"/>
      <c r="AI125" s="77"/>
      <c r="AJ125" s="77"/>
      <c r="AK125" s="77"/>
      <c r="AL125" s="77"/>
      <c r="AM125" s="77"/>
      <c r="AN125" s="77"/>
      <c r="AO125" s="77"/>
      <c r="BJ125" s="8"/>
      <c r="BK125" s="8"/>
      <c r="BL125" s="8"/>
      <c r="BQ125" s="8"/>
      <c r="BR125" s="8"/>
      <c r="BW125" s="8"/>
      <c r="BX125" s="8"/>
      <c r="CB125" s="8"/>
      <c r="CC125" s="8"/>
      <c r="CD125" s="8"/>
      <c r="CH125" s="8"/>
      <c r="CI125" s="8"/>
      <c r="CJ125" s="8"/>
      <c r="CO125" s="77"/>
      <c r="CP125" s="77"/>
      <c r="CQ125" s="77"/>
      <c r="CR125" s="77"/>
      <c r="CS125" s="77"/>
      <c r="CT125" s="77"/>
      <c r="CU125" s="77"/>
      <c r="CV125" s="77"/>
      <c r="CW125" s="77"/>
      <c r="CX125" s="77"/>
      <c r="CY125" s="77"/>
      <c r="DT125" s="77"/>
      <c r="DU125" s="8" t="str">
        <f t="shared" si="169"/>
        <v>A</v>
      </c>
      <c r="DV125" s="8" t="str">
        <f t="shared" si="170"/>
        <v/>
      </c>
      <c r="DW125" s="8" t="str">
        <f t="shared" si="171"/>
        <v/>
      </c>
      <c r="DX125" s="8">
        <f t="shared" si="172"/>
        <v>0</v>
      </c>
      <c r="DY125" s="8">
        <f t="shared" si="172"/>
        <v>0</v>
      </c>
      <c r="EA125" s="8" t="str">
        <f t="shared" si="173"/>
        <v>A</v>
      </c>
      <c r="EB125" s="8" t="str">
        <f t="shared" si="174"/>
        <v/>
      </c>
      <c r="EC125" s="8" t="str">
        <f t="shared" si="175"/>
        <v/>
      </c>
      <c r="ED125">
        <f t="shared" si="176"/>
        <v>0</v>
      </c>
      <c r="EE125">
        <f t="shared" si="176"/>
        <v>0</v>
      </c>
      <c r="EG125" s="8" t="str">
        <f t="shared" si="177"/>
        <v>A</v>
      </c>
      <c r="EH125" s="8" t="str">
        <f t="shared" si="178"/>
        <v/>
      </c>
      <c r="EI125" s="8" t="str">
        <f t="shared" si="179"/>
        <v/>
      </c>
      <c r="EJ125" s="8">
        <f t="shared" si="180"/>
        <v>0</v>
      </c>
      <c r="EK125" s="8">
        <f t="shared" si="180"/>
        <v>0</v>
      </c>
      <c r="EM125" s="8" t="str">
        <f t="shared" si="181"/>
        <v>A</v>
      </c>
      <c r="EN125" s="8" t="str">
        <f t="shared" si="182"/>
        <v/>
      </c>
      <c r="EO125" s="8" t="str">
        <f t="shared" si="183"/>
        <v/>
      </c>
      <c r="EP125" s="8">
        <f t="shared" si="184"/>
        <v>0</v>
      </c>
      <c r="EQ125" s="8">
        <f t="shared" si="184"/>
        <v>0</v>
      </c>
      <c r="ES125" s="8" t="str">
        <f t="shared" si="185"/>
        <v>A</v>
      </c>
      <c r="ET125" s="8" t="str">
        <f t="shared" si="186"/>
        <v/>
      </c>
      <c r="EU125" s="8" t="str">
        <f t="shared" si="187"/>
        <v/>
      </c>
      <c r="EV125" s="8">
        <f t="shared" si="188"/>
        <v>0</v>
      </c>
      <c r="EW125" s="8">
        <f t="shared" si="188"/>
        <v>0</v>
      </c>
      <c r="EY125" s="8" t="str">
        <f>Hidden!$CG13</f>
        <v/>
      </c>
      <c r="EZ125">
        <f t="shared" si="189"/>
        <v>0</v>
      </c>
      <c r="FA125">
        <f t="shared" si="190"/>
        <v>0</v>
      </c>
      <c r="FB125">
        <f t="shared" si="191"/>
        <v>0</v>
      </c>
      <c r="FC125">
        <f t="shared" si="192"/>
        <v>0</v>
      </c>
      <c r="FD125">
        <f t="shared" si="193"/>
        <v>0</v>
      </c>
      <c r="FE125">
        <f t="shared" si="194"/>
        <v>0</v>
      </c>
      <c r="FF125">
        <f t="shared" si="195"/>
        <v>0</v>
      </c>
      <c r="FG125">
        <f t="shared" si="196"/>
        <v>0</v>
      </c>
      <c r="FH125">
        <f t="shared" si="197"/>
        <v>0</v>
      </c>
      <c r="FI125">
        <f t="shared" si="198"/>
        <v>0</v>
      </c>
    </row>
    <row r="126" spans="1:165" ht="28.5" x14ac:dyDescent="0.2">
      <c r="A126" t="s">
        <v>289</v>
      </c>
      <c r="B126" t="s">
        <v>9203</v>
      </c>
      <c r="C126" t="s">
        <v>9727</v>
      </c>
      <c r="D126" t="s">
        <v>8741</v>
      </c>
      <c r="E126" t="s">
        <v>8742</v>
      </c>
      <c r="G126" t="s">
        <v>289</v>
      </c>
      <c r="H126" t="s">
        <v>9203</v>
      </c>
      <c r="I126" t="s">
        <v>9727</v>
      </c>
      <c r="J126" t="s">
        <v>8741</v>
      </c>
      <c r="K126" t="s">
        <v>8742</v>
      </c>
      <c r="M126" s="8" t="s">
        <v>289</v>
      </c>
      <c r="N126" s="8" t="s">
        <v>9203</v>
      </c>
      <c r="O126" s="8" t="s">
        <v>9727</v>
      </c>
      <c r="P126" s="8" t="s">
        <v>8741</v>
      </c>
      <c r="Q126" s="8" t="s">
        <v>8742</v>
      </c>
      <c r="R126" s="8"/>
      <c r="S126" s="8" t="s">
        <v>289</v>
      </c>
      <c r="T126" s="8" t="s">
        <v>9203</v>
      </c>
      <c r="U126" s="8" t="s">
        <v>9727</v>
      </c>
      <c r="V126" t="s">
        <v>8741</v>
      </c>
      <c r="W126" t="s">
        <v>8742</v>
      </c>
      <c r="Y126" s="8" t="s">
        <v>289</v>
      </c>
      <c r="Z126" s="8" t="s">
        <v>9203</v>
      </c>
      <c r="AA126" t="s">
        <v>9727</v>
      </c>
      <c r="AB126" t="s">
        <v>8741</v>
      </c>
      <c r="AC126" t="s">
        <v>8742</v>
      </c>
      <c r="AE126" t="s">
        <v>9203</v>
      </c>
      <c r="AF126" t="s">
        <v>8741</v>
      </c>
      <c r="AG126" t="s">
        <v>8741</v>
      </c>
      <c r="AH126" t="s">
        <v>8741</v>
      </c>
      <c r="AI126" t="s">
        <v>8741</v>
      </c>
      <c r="AJ126" t="s">
        <v>8741</v>
      </c>
      <c r="AK126" t="s">
        <v>8742</v>
      </c>
      <c r="AL126" t="s">
        <v>8742</v>
      </c>
      <c r="AM126" t="s">
        <v>8742</v>
      </c>
      <c r="AN126" t="s">
        <v>8742</v>
      </c>
      <c r="AO126" t="s">
        <v>8742</v>
      </c>
      <c r="BJ126" s="8" t="s">
        <v>289</v>
      </c>
      <c r="BK126" s="8" t="s">
        <v>9203</v>
      </c>
      <c r="BL126" s="8" t="s">
        <v>9727</v>
      </c>
      <c r="BM126" t="s">
        <v>8741</v>
      </c>
      <c r="BN126" t="s">
        <v>8742</v>
      </c>
      <c r="BP126" t="s">
        <v>289</v>
      </c>
      <c r="BQ126" s="8" t="s">
        <v>9203</v>
      </c>
      <c r="BR126" s="8" t="s">
        <v>9727</v>
      </c>
      <c r="BS126" t="s">
        <v>8741</v>
      </c>
      <c r="BT126" t="s">
        <v>8742</v>
      </c>
      <c r="BV126" t="s">
        <v>289</v>
      </c>
      <c r="BW126" s="8" t="s">
        <v>9203</v>
      </c>
      <c r="BX126" s="8" t="s">
        <v>9727</v>
      </c>
      <c r="BY126" t="s">
        <v>8741</v>
      </c>
      <c r="BZ126" t="s">
        <v>8742</v>
      </c>
      <c r="CB126" s="8" t="s">
        <v>289</v>
      </c>
      <c r="CC126" s="8" t="s">
        <v>9203</v>
      </c>
      <c r="CD126" s="8" t="s">
        <v>9727</v>
      </c>
      <c r="CE126" t="s">
        <v>8741</v>
      </c>
      <c r="CF126" t="s">
        <v>8742</v>
      </c>
      <c r="CH126" s="8" t="s">
        <v>289</v>
      </c>
      <c r="CI126" s="8" t="s">
        <v>9203</v>
      </c>
      <c r="CJ126" s="8" t="s">
        <v>9727</v>
      </c>
      <c r="CK126" t="s">
        <v>8741</v>
      </c>
      <c r="CL126" t="s">
        <v>8742</v>
      </c>
      <c r="CO126" t="s">
        <v>9203</v>
      </c>
      <c r="CP126" t="s">
        <v>8741</v>
      </c>
      <c r="CQ126" t="s">
        <v>8741</v>
      </c>
      <c r="CR126" t="s">
        <v>8741</v>
      </c>
      <c r="CS126" t="s">
        <v>8741</v>
      </c>
      <c r="CT126" t="s">
        <v>8741</v>
      </c>
      <c r="CU126" t="s">
        <v>8742</v>
      </c>
      <c r="CV126" t="s">
        <v>8742</v>
      </c>
      <c r="CW126" t="s">
        <v>8742</v>
      </c>
      <c r="CX126" t="s">
        <v>8742</v>
      </c>
      <c r="CY126" t="s">
        <v>8742</v>
      </c>
      <c r="DT126" s="77"/>
      <c r="DU126" s="8" t="str">
        <f t="shared" si="169"/>
        <v>AA</v>
      </c>
      <c r="DV126" s="8" t="str">
        <f t="shared" si="170"/>
        <v/>
      </c>
      <c r="DW126" s="8" t="str">
        <f t="shared" si="171"/>
        <v/>
      </c>
      <c r="DX126" s="8">
        <f t="shared" si="172"/>
        <v>0</v>
      </c>
      <c r="DY126" s="8">
        <f t="shared" si="172"/>
        <v>0</v>
      </c>
      <c r="EA126" s="8" t="str">
        <f t="shared" si="173"/>
        <v>AA</v>
      </c>
      <c r="EB126" s="8" t="str">
        <f t="shared" si="174"/>
        <v/>
      </c>
      <c r="EC126" s="8" t="str">
        <f t="shared" si="175"/>
        <v/>
      </c>
      <c r="ED126">
        <f t="shared" si="176"/>
        <v>0</v>
      </c>
      <c r="EE126">
        <f t="shared" si="176"/>
        <v>0</v>
      </c>
      <c r="EG126" s="8" t="str">
        <f t="shared" si="177"/>
        <v>AA</v>
      </c>
      <c r="EH126" s="8" t="str">
        <f t="shared" si="178"/>
        <v/>
      </c>
      <c r="EI126" s="8" t="str">
        <f t="shared" si="179"/>
        <v/>
      </c>
      <c r="EJ126" s="8">
        <f t="shared" si="180"/>
        <v>0</v>
      </c>
      <c r="EK126" s="8">
        <f t="shared" si="180"/>
        <v>0</v>
      </c>
      <c r="EM126" s="8" t="str">
        <f t="shared" si="181"/>
        <v>AA</v>
      </c>
      <c r="EN126" s="8" t="str">
        <f t="shared" si="182"/>
        <v/>
      </c>
      <c r="EO126" s="8" t="str">
        <f t="shared" si="183"/>
        <v/>
      </c>
      <c r="EP126" s="8">
        <f t="shared" si="184"/>
        <v>0</v>
      </c>
      <c r="EQ126" s="8">
        <f t="shared" si="184"/>
        <v>0</v>
      </c>
      <c r="ES126" s="8" t="str">
        <f t="shared" si="185"/>
        <v>AA</v>
      </c>
      <c r="ET126" s="8" t="str">
        <f t="shared" si="186"/>
        <v/>
      </c>
      <c r="EU126" s="8" t="str">
        <f t="shared" si="187"/>
        <v/>
      </c>
      <c r="EV126" s="8">
        <f t="shared" si="188"/>
        <v>0</v>
      </c>
      <c r="EW126" s="8">
        <f t="shared" si="188"/>
        <v>0</v>
      </c>
      <c r="EY126" s="8" t="str">
        <f>Hidden!$CG14</f>
        <v/>
      </c>
      <c r="EZ126">
        <f t="shared" si="189"/>
        <v>0</v>
      </c>
      <c r="FA126">
        <f t="shared" si="190"/>
        <v>0</v>
      </c>
      <c r="FB126">
        <f t="shared" si="191"/>
        <v>0</v>
      </c>
      <c r="FC126">
        <f t="shared" si="192"/>
        <v>0</v>
      </c>
      <c r="FD126">
        <f t="shared" si="193"/>
        <v>0</v>
      </c>
      <c r="FE126">
        <f t="shared" si="194"/>
        <v>0</v>
      </c>
      <c r="FF126">
        <f t="shared" si="195"/>
        <v>0</v>
      </c>
      <c r="FG126">
        <f t="shared" si="196"/>
        <v>0</v>
      </c>
      <c r="FH126">
        <f t="shared" si="197"/>
        <v>0</v>
      </c>
      <c r="FI126">
        <f t="shared" si="198"/>
        <v>0</v>
      </c>
    </row>
    <row r="127" spans="1:165" x14ac:dyDescent="0.2">
      <c r="A127" s="8" t="str">
        <f>A20</f>
        <v>A</v>
      </c>
      <c r="B127" s="8" t="str">
        <f t="shared" ref="B127:C127" si="201">B20</f>
        <v/>
      </c>
      <c r="C127" s="8" t="str">
        <f t="shared" si="201"/>
        <v/>
      </c>
      <c r="D127" s="8">
        <f>IF($C127="",0,$C127*D$124)</f>
        <v>0</v>
      </c>
      <c r="E127" s="8">
        <f>IF($C127="",0,$C127*E$124)</f>
        <v>0</v>
      </c>
      <c r="F127" s="8"/>
      <c r="G127" s="8" t="str">
        <f>G20</f>
        <v>A</v>
      </c>
      <c r="H127" s="8" t="str">
        <f t="shared" ref="H127:I127" si="202">H20</f>
        <v/>
      </c>
      <c r="I127" s="8" t="str">
        <f t="shared" si="202"/>
        <v/>
      </c>
      <c r="J127" s="8">
        <f>IF($I127="",0,$I127*J$124)</f>
        <v>0</v>
      </c>
      <c r="K127" s="8">
        <f>IF($I127="",0,$I127*K$124)</f>
        <v>0</v>
      </c>
      <c r="L127" s="8"/>
      <c r="M127" s="8" t="str">
        <f>M20</f>
        <v>A</v>
      </c>
      <c r="N127" s="8" t="str">
        <f t="shared" ref="N127:O127" si="203">N20</f>
        <v/>
      </c>
      <c r="O127" s="8" t="str">
        <f t="shared" si="203"/>
        <v/>
      </c>
      <c r="P127" s="8">
        <f>IF($O127="",0,$O127*P$124)</f>
        <v>0</v>
      </c>
      <c r="Q127" s="8">
        <f>IF($O127="",0,$O127*Q$124)</f>
        <v>0</v>
      </c>
      <c r="R127" s="8"/>
      <c r="S127" s="8" t="str">
        <f>S20</f>
        <v>A</v>
      </c>
      <c r="T127" s="8" t="str">
        <f t="shared" ref="T127:U127" si="204">T20</f>
        <v/>
      </c>
      <c r="U127" s="8" t="str">
        <f t="shared" si="204"/>
        <v/>
      </c>
      <c r="V127" s="8">
        <f>IF($U127="",0,$U127*V$124)</f>
        <v>0</v>
      </c>
      <c r="W127" s="8">
        <f>IF($U127="",0,$U127*W$124)</f>
        <v>0</v>
      </c>
      <c r="Y127" s="8" t="str">
        <f>Y20</f>
        <v>A</v>
      </c>
      <c r="Z127" s="8"/>
      <c r="AB127" s="8">
        <f>IF($AA127="",0,$AA127*AB$124)</f>
        <v>0</v>
      </c>
      <c r="AC127" s="8">
        <f>IF($AA127="",0,$AA127*AC$124)</f>
        <v>0</v>
      </c>
      <c r="AE127" s="8" t="str">
        <f>Hidden!$CC3</f>
        <v/>
      </c>
      <c r="AF127">
        <f>IF($AF$124,_xlfn.MAXIFS($D$127:$D$226,$B$127:$B$226,$AE127),0)</f>
        <v>0</v>
      </c>
      <c r="AG127">
        <f>IF($AG$124,_xlfn.MAXIFS($J$127:$J$226,$H$127:$H$226,$AE127),0)</f>
        <v>0</v>
      </c>
      <c r="AH127">
        <f>IF($AH$124,_xlfn.MAXIFS($P$127:$P$226,$N$127:$N$226,$AE127),0)</f>
        <v>0</v>
      </c>
      <c r="AI127">
        <f>IF($AI$124,_xlfn.MAXIFS($V$127:$V$226,$T$127:$T$226,$AE127),0)</f>
        <v>0</v>
      </c>
      <c r="AJ127">
        <f>IF($AJ$124,_xlfn.MAXIFS($AB$127:$AB$226,$Z$127:$Z$226,$AE127),0)</f>
        <v>0</v>
      </c>
      <c r="AK127">
        <f>IF(AK$124,_xlfn.MAXIFS($E$127:$E$226,$B$127:$B$226,$AE127),0)</f>
        <v>0</v>
      </c>
      <c r="AL127">
        <f>IF(AL$124,_xlfn.MAXIFS($K$127:$K$226,$H$127:$H$226,$AE127),0)</f>
        <v>0</v>
      </c>
      <c r="AM127">
        <f>IF(AM$124,_xlfn.MAXIFS($Q$127:$Q$226,$N$127:$N$226,$AE127),0)</f>
        <v>0</v>
      </c>
      <c r="AN127">
        <f>IF(AN$124,_xlfn.MAXIFS($W$127:$W$226,$T$127:$T$226,$AE127),0)</f>
        <v>0</v>
      </c>
      <c r="AO127">
        <f>IF(AO$124,_xlfn.MAXIFS($AC$127:$AC$226,$Z$127:$Z$226,$AE127),0)</f>
        <v>0</v>
      </c>
      <c r="BJ127" s="8" t="str">
        <f>BJ20</f>
        <v>A</v>
      </c>
      <c r="BK127" s="8" t="str">
        <f t="shared" ref="BK127:CJ127" si="205">BK20</f>
        <v/>
      </c>
      <c r="BL127" s="8" t="str">
        <f t="shared" si="205"/>
        <v/>
      </c>
      <c r="BM127" s="8">
        <f>IF($BL127="",0,$BL127*BK$124)</f>
        <v>0</v>
      </c>
      <c r="BN127" s="8">
        <f>IF($BL127="",0,$BL127*BL$124)</f>
        <v>0</v>
      </c>
      <c r="BO127" s="8"/>
      <c r="BP127" s="8" t="str">
        <f t="shared" si="205"/>
        <v>A</v>
      </c>
      <c r="BQ127" s="8" t="str">
        <f t="shared" si="205"/>
        <v/>
      </c>
      <c r="BR127" s="8" t="str">
        <f t="shared" si="205"/>
        <v/>
      </c>
      <c r="BS127" s="8">
        <f>IF($BR127="",0,$BR127*BQ$124)</f>
        <v>0</v>
      </c>
      <c r="BT127" s="8">
        <f>IF($BR127="",0,$BR127*BR$124)</f>
        <v>0</v>
      </c>
      <c r="BU127" s="8"/>
      <c r="BV127" s="8" t="str">
        <f t="shared" si="205"/>
        <v>A</v>
      </c>
      <c r="BW127" s="8" t="str">
        <f t="shared" si="205"/>
        <v/>
      </c>
      <c r="BX127" s="8" t="str">
        <f t="shared" si="205"/>
        <v/>
      </c>
      <c r="BY127" s="8">
        <f>IF($BX127="",0,$BX127*BW$124)</f>
        <v>0</v>
      </c>
      <c r="BZ127" s="8">
        <f>IF($BX127="",0,$BX127*BX$124)</f>
        <v>0</v>
      </c>
      <c r="CA127" s="8"/>
      <c r="CB127" s="8" t="str">
        <f t="shared" si="205"/>
        <v>A</v>
      </c>
      <c r="CC127" s="8" t="str">
        <f t="shared" si="205"/>
        <v/>
      </c>
      <c r="CD127" s="8" t="str">
        <f t="shared" si="205"/>
        <v/>
      </c>
      <c r="CE127" s="8">
        <f>IF($CD127="",0,$CD127*CC$124)</f>
        <v>0</v>
      </c>
      <c r="CF127" s="8">
        <f>IF($CD127="",0,$CD127*CD$124)</f>
        <v>0</v>
      </c>
      <c r="CG127" s="8"/>
      <c r="CH127" s="8" t="str">
        <f t="shared" si="205"/>
        <v>A</v>
      </c>
      <c r="CI127" s="8" t="str">
        <f t="shared" si="205"/>
        <v/>
      </c>
      <c r="CJ127" s="8" t="str">
        <f t="shared" si="205"/>
        <v/>
      </c>
      <c r="CK127" s="8">
        <f>IF($CJ127="",0,$CJ127*CI$124)</f>
        <v>0</v>
      </c>
      <c r="CL127" s="8">
        <f>IF($CJ127="",0,$CJ127*CJ$124)</f>
        <v>0</v>
      </c>
      <c r="CO127" s="8" t="str">
        <f>Hidden!$CC3</f>
        <v/>
      </c>
      <c r="CP127">
        <f>IF(CP$124,_xlfn.MAXIFS($BM$127:$BM$226,$BK$127:$BK$226,$CO127),0)</f>
        <v>0</v>
      </c>
      <c r="CQ127">
        <f>IF(CQ$124,_xlfn.MAXIFS($BS$127:$BS$226,$BQ$127:$BQ$226,$CO127),0)</f>
        <v>0</v>
      </c>
      <c r="CR127">
        <f>IF(CR$124,_xlfn.MAXIFS($BY$127:$BY$226,$BW$127:$BW$226,$CO127),0)</f>
        <v>0</v>
      </c>
      <c r="CS127">
        <f>IF(CS$124,_xlfn.MAXIFS($CE$127:$CE$226,$CC$127:$CC$226,$CO127),0)</f>
        <v>0</v>
      </c>
      <c r="CT127">
        <f>IF(CT$124,_xlfn.MAXIFS($CK$127:$CK$226,$CI$127:$CI$226,$CO127),0)</f>
        <v>0</v>
      </c>
      <c r="CU127">
        <f>IF(CU$124,SUMIF($BK$127:$BK$226,$CO127,$BN$127:$BN$226),0)</f>
        <v>0</v>
      </c>
      <c r="CV127">
        <f>IF(CV$124,SUMIF($BQ$127:$BQ$226,$CO127,$BT$127:$BT$226),0)</f>
        <v>0</v>
      </c>
      <c r="CW127">
        <f>IF(CW$124,SUMIF($BW$127:$BW$226,$CO127,$BZ$127:$BZ$226),0)</f>
        <v>0</v>
      </c>
      <c r="CX127">
        <f>IF(CX$124,SUMIF($CC$127:$CC$226,$CO127,$CF$127:$CF$226),0)</f>
        <v>0</v>
      </c>
      <c r="CY127">
        <f>IF(CY$124,SUMIF($CI$127:$CI$226,$CO127,$CL$127:$CL$226),0)</f>
        <v>0</v>
      </c>
      <c r="DT127" s="77"/>
      <c r="DU127" s="8" t="str">
        <f t="shared" si="169"/>
        <v>AAA</v>
      </c>
      <c r="DV127" s="8" t="str">
        <f t="shared" si="170"/>
        <v/>
      </c>
      <c r="DW127" s="8" t="str">
        <f t="shared" si="171"/>
        <v/>
      </c>
      <c r="DX127" s="8">
        <f t="shared" si="172"/>
        <v>0</v>
      </c>
      <c r="DY127" s="8">
        <f t="shared" si="172"/>
        <v>0</v>
      </c>
      <c r="EA127" s="8" t="str">
        <f t="shared" si="173"/>
        <v>AAA</v>
      </c>
      <c r="EB127" s="8" t="str">
        <f t="shared" si="174"/>
        <v/>
      </c>
      <c r="EC127" s="8" t="str">
        <f t="shared" si="175"/>
        <v/>
      </c>
      <c r="ED127">
        <f t="shared" si="176"/>
        <v>0</v>
      </c>
      <c r="EE127">
        <f t="shared" si="176"/>
        <v>0</v>
      </c>
      <c r="EG127" s="8" t="str">
        <f t="shared" si="177"/>
        <v>AAA</v>
      </c>
      <c r="EH127" s="8" t="str">
        <f t="shared" si="178"/>
        <v/>
      </c>
      <c r="EI127" s="8" t="str">
        <f t="shared" si="179"/>
        <v/>
      </c>
      <c r="EJ127" s="8">
        <f t="shared" si="180"/>
        <v>0</v>
      </c>
      <c r="EK127" s="8">
        <f t="shared" si="180"/>
        <v>0</v>
      </c>
      <c r="EM127" s="8" t="str">
        <f t="shared" si="181"/>
        <v>AAA</v>
      </c>
      <c r="EN127" s="8" t="str">
        <f t="shared" si="182"/>
        <v/>
      </c>
      <c r="EO127" s="8" t="str">
        <f t="shared" si="183"/>
        <v/>
      </c>
      <c r="EP127" s="8">
        <f t="shared" si="184"/>
        <v>0</v>
      </c>
      <c r="EQ127" s="8">
        <f t="shared" si="184"/>
        <v>0</v>
      </c>
      <c r="ES127" s="8" t="str">
        <f t="shared" si="185"/>
        <v>AAA</v>
      </c>
      <c r="ET127" s="8" t="str">
        <f t="shared" si="186"/>
        <v/>
      </c>
      <c r="EU127" s="8" t="str">
        <f t="shared" si="187"/>
        <v/>
      </c>
      <c r="EV127" s="8">
        <f t="shared" si="188"/>
        <v>0</v>
      </c>
      <c r="EW127" s="8">
        <f t="shared" si="188"/>
        <v>0</v>
      </c>
      <c r="EY127" s="8" t="str">
        <f>Hidden!$CG15</f>
        <v/>
      </c>
      <c r="EZ127">
        <f t="shared" si="189"/>
        <v>0</v>
      </c>
      <c r="FA127">
        <f t="shared" si="190"/>
        <v>0</v>
      </c>
      <c r="FB127">
        <f t="shared" si="191"/>
        <v>0</v>
      </c>
      <c r="FC127">
        <f t="shared" si="192"/>
        <v>0</v>
      </c>
      <c r="FD127">
        <f t="shared" si="193"/>
        <v>0</v>
      </c>
      <c r="FE127">
        <f t="shared" si="194"/>
        <v>0</v>
      </c>
      <c r="FF127">
        <f t="shared" si="195"/>
        <v>0</v>
      </c>
      <c r="FG127">
        <f t="shared" si="196"/>
        <v>0</v>
      </c>
      <c r="FH127">
        <f t="shared" si="197"/>
        <v>0</v>
      </c>
      <c r="FI127">
        <f t="shared" si="198"/>
        <v>0</v>
      </c>
    </row>
    <row r="128" spans="1:165" x14ac:dyDescent="0.2">
      <c r="A128" s="8" t="str">
        <f t="shared" ref="A128:C128" si="206">A21</f>
        <v>AA</v>
      </c>
      <c r="B128" s="8" t="str">
        <f t="shared" si="206"/>
        <v/>
      </c>
      <c r="C128" s="8" t="str">
        <f t="shared" si="206"/>
        <v/>
      </c>
      <c r="D128" s="8">
        <f t="shared" ref="D128:E159" si="207">IF($C128="",0,$C128*D$124)</f>
        <v>0</v>
      </c>
      <c r="E128" s="8">
        <f t="shared" si="207"/>
        <v>0</v>
      </c>
      <c r="F128" s="8"/>
      <c r="G128" s="8" t="str">
        <f t="shared" ref="G128:I128" si="208">G21</f>
        <v>AA</v>
      </c>
      <c r="H128" s="8" t="str">
        <f t="shared" si="208"/>
        <v/>
      </c>
      <c r="I128" s="8" t="str">
        <f t="shared" si="208"/>
        <v/>
      </c>
      <c r="J128" s="8">
        <f t="shared" ref="J128:K159" si="209">IF($I128="",0,$I128*J$124)</f>
        <v>0</v>
      </c>
      <c r="K128" s="8">
        <f t="shared" si="209"/>
        <v>0</v>
      </c>
      <c r="L128" s="8"/>
      <c r="M128" s="8" t="str">
        <f t="shared" ref="M128:O128" si="210">M21</f>
        <v>AA</v>
      </c>
      <c r="N128" s="8" t="str">
        <f t="shared" si="210"/>
        <v/>
      </c>
      <c r="O128" s="8" t="str">
        <f t="shared" si="210"/>
        <v/>
      </c>
      <c r="P128" s="8">
        <f t="shared" ref="P128:Q166" si="211">IF($O128="",0,$O128*P$124)</f>
        <v>0</v>
      </c>
      <c r="Q128" s="8">
        <f t="shared" si="211"/>
        <v>0</v>
      </c>
      <c r="R128" s="8"/>
      <c r="S128" s="8" t="str">
        <f t="shared" ref="S128:U128" si="212">S21</f>
        <v>AA</v>
      </c>
      <c r="T128" s="8" t="str">
        <f t="shared" si="212"/>
        <v/>
      </c>
      <c r="U128" s="8" t="str">
        <f t="shared" si="212"/>
        <v/>
      </c>
      <c r="V128">
        <f t="shared" ref="V128:W159" si="213">IF($U128="",0,$U128*V$124)</f>
        <v>0</v>
      </c>
      <c r="W128">
        <f t="shared" si="213"/>
        <v>0</v>
      </c>
      <c r="Y128" s="8" t="str">
        <f t="shared" ref="Y128:Y191" si="214">Y21</f>
        <v>AA</v>
      </c>
      <c r="Z128" s="8"/>
      <c r="AB128">
        <f t="shared" ref="AB128:AC159" si="215">IF($AA128="",0,$AA128*AB$124)</f>
        <v>0</v>
      </c>
      <c r="AC128">
        <f t="shared" si="215"/>
        <v>0</v>
      </c>
      <c r="AE128" s="8" t="str">
        <f>Hidden!$CC4</f>
        <v/>
      </c>
      <c r="AF128">
        <f t="shared" ref="AF128:AF191" si="216">IF($AF$124,_xlfn.MAXIFS($D$127:$D$226,$B$127:$B$226,$AE128),0)</f>
        <v>0</v>
      </c>
      <c r="AG128">
        <f t="shared" ref="AG128:AG191" si="217">IF($AG$124,_xlfn.MAXIFS($J$127:$J$226,$H$127:$H$226,$AE128),0)</f>
        <v>0</v>
      </c>
      <c r="AH128">
        <f t="shared" ref="AH128:AH191" si="218">IF($AH$124,_xlfn.MAXIFS($P$127:$P$226,$N$127:$N$226,$AE128),0)</f>
        <v>0</v>
      </c>
      <c r="AI128">
        <f t="shared" ref="AI128:AI191" si="219">IF($AI$124,_xlfn.MAXIFS($V$127:$V$226,$T$127:$T$226,$AE128),0)</f>
        <v>0</v>
      </c>
      <c r="AJ128">
        <f t="shared" ref="AJ128:AJ191" si="220">IF($AJ$124,_xlfn.MAXIFS($AB$127:$AB$226,$Z$127:$Z$226,$AE128),0)</f>
        <v>0</v>
      </c>
      <c r="AK128">
        <f t="shared" ref="AK128:AK191" si="221">IF(AK$124,_xlfn.MAXIFS($E$127:$E$226,$B$127:$B$226,$AE128),0)</f>
        <v>0</v>
      </c>
      <c r="AL128">
        <f t="shared" ref="AL128:AL191" si="222">IF(AL$124,_xlfn.MAXIFS($K$127:$K$226,$H$127:$H$226,$AE128),0)</f>
        <v>0</v>
      </c>
      <c r="AM128">
        <f t="shared" ref="AM128:AM191" si="223">IF(AM$124,_xlfn.MAXIFS($Q$127:$Q$226,$N$127:$N$226,$AE128),0)</f>
        <v>0</v>
      </c>
      <c r="AN128">
        <f t="shared" ref="AN128:AN191" si="224">IF(AN$124,_xlfn.MAXIFS($W$127:$W$226,$T$127:$T$226,$AE128),0)</f>
        <v>0</v>
      </c>
      <c r="AO128">
        <f t="shared" ref="AO128:AO191" si="225">IF(AO$124,_xlfn.MAXIFS($AC$127:$AC$226,$Z$127:$Z$226,$AE128),0)</f>
        <v>0</v>
      </c>
      <c r="BJ128" s="8" t="str">
        <f t="shared" ref="BJ128:BL128" si="226">BJ21</f>
        <v>AA</v>
      </c>
      <c r="BK128" s="8" t="str">
        <f t="shared" si="226"/>
        <v/>
      </c>
      <c r="BL128" s="8" t="str">
        <f t="shared" si="226"/>
        <v/>
      </c>
      <c r="BM128" s="8">
        <f t="shared" ref="BM128:BM191" si="227">IF($BL128="",0,$BL128*BK$124)</f>
        <v>0</v>
      </c>
      <c r="BN128" s="8">
        <f t="shared" ref="BN128:BN191" si="228">IF($BL128="",0,$BL128*BL$124)</f>
        <v>0</v>
      </c>
      <c r="BO128" s="8"/>
      <c r="BP128" s="8" t="str">
        <f t="shared" ref="BP128:BR128" si="229">BP21</f>
        <v>AA</v>
      </c>
      <c r="BQ128" s="8" t="str">
        <f t="shared" si="229"/>
        <v/>
      </c>
      <c r="BR128" s="8" t="str">
        <f t="shared" si="229"/>
        <v/>
      </c>
      <c r="BS128" s="8">
        <f t="shared" ref="BS128:BS191" si="230">IF($BR128="",0,$BR128*BQ$124)</f>
        <v>0</v>
      </c>
      <c r="BT128" s="8">
        <f t="shared" ref="BT128:BT191" si="231">IF($BR128="",0,$BR128*BR$124)</f>
        <v>0</v>
      </c>
      <c r="BU128" s="8"/>
      <c r="BV128" s="8" t="str">
        <f t="shared" ref="BV128:BX128" si="232">BV21</f>
        <v>AA</v>
      </c>
      <c r="BW128" s="8" t="str">
        <f t="shared" si="232"/>
        <v/>
      </c>
      <c r="BX128" s="8" t="str">
        <f t="shared" si="232"/>
        <v/>
      </c>
      <c r="BY128" s="8">
        <f t="shared" ref="BY128:BY191" si="233">IF($BX128="",0,$BX128*BW$124)</f>
        <v>0</v>
      </c>
      <c r="BZ128" s="8">
        <f t="shared" ref="BZ128:BZ191" si="234">IF($BX128="",0,$BX128*BX$124)</f>
        <v>0</v>
      </c>
      <c r="CA128" s="8"/>
      <c r="CB128" s="8" t="str">
        <f t="shared" ref="CB128:CD128" si="235">CB21</f>
        <v>AA</v>
      </c>
      <c r="CC128" s="8" t="str">
        <f t="shared" si="235"/>
        <v/>
      </c>
      <c r="CD128" s="8" t="str">
        <f t="shared" si="235"/>
        <v/>
      </c>
      <c r="CE128" s="8">
        <f t="shared" ref="CE128:CE191" si="236">IF($CD128="",0,$CD128*CC$124)</f>
        <v>0</v>
      </c>
      <c r="CF128" s="8">
        <f t="shared" ref="CF128:CF191" si="237">IF($CD128="",0,$CD128*CD$124)</f>
        <v>0</v>
      </c>
      <c r="CG128" s="8"/>
      <c r="CH128" s="8" t="str">
        <f t="shared" ref="CH128:CJ128" si="238">CH21</f>
        <v>AA</v>
      </c>
      <c r="CI128" s="8" t="str">
        <f t="shared" si="238"/>
        <v/>
      </c>
      <c r="CJ128" s="8" t="str">
        <f t="shared" si="238"/>
        <v/>
      </c>
      <c r="CK128" s="8">
        <f t="shared" ref="CK128:CK191" si="239">IF($CJ128="",0,$CJ128*CI$124)</f>
        <v>0</v>
      </c>
      <c r="CL128" s="8">
        <f t="shared" ref="CL128:CL191" si="240">IF($CJ128="",0,$CJ128*CJ$124)</f>
        <v>0</v>
      </c>
      <c r="CO128" s="8" t="str">
        <f>Hidden!$CC4</f>
        <v/>
      </c>
      <c r="CP128">
        <f t="shared" ref="CP128:CP191" si="241">IF(CP$124,_xlfn.MAXIFS($BM$127:$BM$226,$BK$127:$BK$226,$CO128),0)</f>
        <v>0</v>
      </c>
      <c r="CQ128">
        <f t="shared" ref="CQ128:CQ191" si="242">IF(CQ$124,_xlfn.MAXIFS($BS$127:$BS$226,$BQ$127:$BQ$226,$CO128),0)</f>
        <v>0</v>
      </c>
      <c r="CR128">
        <f t="shared" ref="CR128:CR191" si="243">IF(CR$124,_xlfn.MAXIFS($BY$127:$BY$226,$BW$127:$BW$226,$CO128),0)</f>
        <v>0</v>
      </c>
      <c r="CS128">
        <f t="shared" ref="CS128:CS191" si="244">IF(CS$124,_xlfn.MAXIFS($CE$127:$CE$226,$CC$127:$CC$226,$CO128),0)</f>
        <v>0</v>
      </c>
      <c r="CT128">
        <f t="shared" ref="CT128:CT191" si="245">IF(CT$124,_xlfn.MAXIFS($CK$127:$CK$226,$CI$127:$CI$226,$CO128),0)</f>
        <v>0</v>
      </c>
      <c r="CU128">
        <f t="shared" ref="CU128:CU191" si="246">IF(CU$124,SUMIF($BK$127:$BK$226,$CO128,$BN$127:$BN$226),0)</f>
        <v>0</v>
      </c>
      <c r="CV128">
        <f t="shared" ref="CV128:CV191" si="247">IF(CV$124,SUMIF($BQ$127:$BQ$226,$CO128,$BT$127:$BT$226),0)</f>
        <v>0</v>
      </c>
      <c r="CW128">
        <f t="shared" ref="CW128:CW191" si="248">IF(CW$124,SUMIF($BW$127:$BW$226,$CO128,$BZ$127:$BZ$226),0)</f>
        <v>0</v>
      </c>
      <c r="CX128">
        <f t="shared" ref="CX128:CX191" si="249">IF(CX$124,SUMIF($CC$127:$CC$226,$CO128,$CF$127:$CF$226),0)</f>
        <v>0</v>
      </c>
      <c r="CY128">
        <f t="shared" ref="CY128:CY191" si="250">IF(CY$124,SUMIF($CI$127:$CI$226,$CO128,$CL$127:$CL$226),0)</f>
        <v>0</v>
      </c>
      <c r="DT128" s="77"/>
      <c r="DU128" s="8" t="str">
        <f t="shared" si="169"/>
        <v>AAAA</v>
      </c>
      <c r="DV128" s="8" t="str">
        <f t="shared" si="170"/>
        <v/>
      </c>
      <c r="DW128" s="8" t="str">
        <f t="shared" si="171"/>
        <v/>
      </c>
      <c r="DX128" s="8">
        <f t="shared" si="172"/>
        <v>0</v>
      </c>
      <c r="DY128" s="8">
        <f t="shared" si="172"/>
        <v>0</v>
      </c>
      <c r="EA128" s="8" t="str">
        <f t="shared" si="173"/>
        <v>AAAA</v>
      </c>
      <c r="EB128" s="8" t="str">
        <f t="shared" si="174"/>
        <v/>
      </c>
      <c r="EC128" s="8" t="str">
        <f t="shared" si="175"/>
        <v/>
      </c>
      <c r="ED128">
        <f t="shared" si="176"/>
        <v>0</v>
      </c>
      <c r="EE128">
        <f t="shared" si="176"/>
        <v>0</v>
      </c>
      <c r="EG128" s="8" t="str">
        <f t="shared" si="177"/>
        <v>AAAA</v>
      </c>
      <c r="EH128" s="8" t="str">
        <f t="shared" si="178"/>
        <v/>
      </c>
      <c r="EI128" s="8" t="str">
        <f t="shared" si="179"/>
        <v/>
      </c>
      <c r="EJ128" s="8">
        <f t="shared" si="180"/>
        <v>0</v>
      </c>
      <c r="EK128" s="8">
        <f t="shared" si="180"/>
        <v>0</v>
      </c>
      <c r="EM128" s="8" t="str">
        <f t="shared" si="181"/>
        <v>AAAA</v>
      </c>
      <c r="EN128" s="8" t="str">
        <f t="shared" si="182"/>
        <v/>
      </c>
      <c r="EO128" s="8" t="str">
        <f t="shared" si="183"/>
        <v/>
      </c>
      <c r="EP128" s="8">
        <f t="shared" si="184"/>
        <v>0</v>
      </c>
      <c r="EQ128" s="8">
        <f t="shared" si="184"/>
        <v>0</v>
      </c>
      <c r="ES128" s="8" t="str">
        <f t="shared" si="185"/>
        <v>AAAA</v>
      </c>
      <c r="ET128" s="8" t="str">
        <f t="shared" si="186"/>
        <v/>
      </c>
      <c r="EU128" s="8" t="str">
        <f t="shared" si="187"/>
        <v/>
      </c>
      <c r="EV128" s="8">
        <f t="shared" si="188"/>
        <v>0</v>
      </c>
      <c r="EW128" s="8">
        <f t="shared" si="188"/>
        <v>0</v>
      </c>
      <c r="EY128" s="8" t="str">
        <f>Hidden!$CG16</f>
        <v/>
      </c>
      <c r="EZ128">
        <f t="shared" si="189"/>
        <v>0</v>
      </c>
      <c r="FA128">
        <f t="shared" si="190"/>
        <v>0</v>
      </c>
      <c r="FB128">
        <f t="shared" si="191"/>
        <v>0</v>
      </c>
      <c r="FC128">
        <f t="shared" si="192"/>
        <v>0</v>
      </c>
      <c r="FD128">
        <f t="shared" si="193"/>
        <v>0</v>
      </c>
      <c r="FE128">
        <f t="shared" si="194"/>
        <v>0</v>
      </c>
      <c r="FF128">
        <f t="shared" si="195"/>
        <v>0</v>
      </c>
      <c r="FG128">
        <f t="shared" si="196"/>
        <v>0</v>
      </c>
      <c r="FH128">
        <f t="shared" si="197"/>
        <v>0</v>
      </c>
      <c r="FI128">
        <f t="shared" si="198"/>
        <v>0</v>
      </c>
    </row>
    <row r="129" spans="1:165" x14ac:dyDescent="0.2">
      <c r="A129" s="8" t="str">
        <f t="shared" ref="A129:C129" si="251">A22</f>
        <v>AAA</v>
      </c>
      <c r="B129" s="8" t="str">
        <f t="shared" si="251"/>
        <v/>
      </c>
      <c r="C129" s="8" t="str">
        <f t="shared" si="251"/>
        <v/>
      </c>
      <c r="D129" s="8">
        <f t="shared" si="207"/>
        <v>0</v>
      </c>
      <c r="E129" s="8">
        <f t="shared" si="207"/>
        <v>0</v>
      </c>
      <c r="F129" s="8"/>
      <c r="G129" s="8" t="str">
        <f t="shared" ref="G129:I129" si="252">G22</f>
        <v>AAA</v>
      </c>
      <c r="H129" s="8" t="str">
        <f t="shared" si="252"/>
        <v/>
      </c>
      <c r="I129" s="8" t="str">
        <f t="shared" si="252"/>
        <v/>
      </c>
      <c r="J129" s="8">
        <f t="shared" si="209"/>
        <v>0</v>
      </c>
      <c r="K129" s="8">
        <f t="shared" si="209"/>
        <v>0</v>
      </c>
      <c r="L129" s="8"/>
      <c r="M129" s="8" t="str">
        <f t="shared" ref="M129:O129" si="253">M22</f>
        <v>AAA</v>
      </c>
      <c r="N129" s="8" t="str">
        <f t="shared" si="253"/>
        <v/>
      </c>
      <c r="O129" s="8" t="str">
        <f t="shared" si="253"/>
        <v/>
      </c>
      <c r="P129" s="8">
        <f t="shared" si="211"/>
        <v>0</v>
      </c>
      <c r="Q129" s="8">
        <f t="shared" si="211"/>
        <v>0</v>
      </c>
      <c r="R129" s="8"/>
      <c r="S129" s="8" t="str">
        <f t="shared" ref="S129:U129" si="254">S22</f>
        <v>AAA</v>
      </c>
      <c r="T129" s="8" t="str">
        <f t="shared" si="254"/>
        <v/>
      </c>
      <c r="U129" s="8" t="str">
        <f t="shared" si="254"/>
        <v/>
      </c>
      <c r="V129">
        <f t="shared" si="213"/>
        <v>0</v>
      </c>
      <c r="W129">
        <f t="shared" si="213"/>
        <v>0</v>
      </c>
      <c r="Y129" s="8" t="str">
        <f t="shared" si="214"/>
        <v>AAA</v>
      </c>
      <c r="Z129" s="8"/>
      <c r="AB129">
        <f t="shared" si="215"/>
        <v>0</v>
      </c>
      <c r="AC129">
        <f t="shared" si="215"/>
        <v>0</v>
      </c>
      <c r="AE129" s="8" t="str">
        <f>Hidden!$CC5</f>
        <v/>
      </c>
      <c r="AF129">
        <f t="shared" si="216"/>
        <v>0</v>
      </c>
      <c r="AG129">
        <f t="shared" si="217"/>
        <v>0</v>
      </c>
      <c r="AH129">
        <f t="shared" si="218"/>
        <v>0</v>
      </c>
      <c r="AI129">
        <f t="shared" si="219"/>
        <v>0</v>
      </c>
      <c r="AJ129">
        <f t="shared" si="220"/>
        <v>0</v>
      </c>
      <c r="AK129">
        <f t="shared" si="221"/>
        <v>0</v>
      </c>
      <c r="AL129">
        <f t="shared" si="222"/>
        <v>0</v>
      </c>
      <c r="AM129">
        <f t="shared" si="223"/>
        <v>0</v>
      </c>
      <c r="AN129">
        <f t="shared" si="224"/>
        <v>0</v>
      </c>
      <c r="AO129">
        <f t="shared" si="225"/>
        <v>0</v>
      </c>
      <c r="BJ129" s="8" t="str">
        <f t="shared" ref="BJ129:BL129" si="255">BJ22</f>
        <v>AAA</v>
      </c>
      <c r="BK129" s="8" t="str">
        <f t="shared" si="255"/>
        <v/>
      </c>
      <c r="BL129" s="8" t="str">
        <f t="shared" si="255"/>
        <v/>
      </c>
      <c r="BM129" s="8">
        <f t="shared" si="227"/>
        <v>0</v>
      </c>
      <c r="BN129" s="8">
        <f t="shared" si="228"/>
        <v>0</v>
      </c>
      <c r="BO129" s="8"/>
      <c r="BP129" s="8" t="str">
        <f t="shared" ref="BP129:BR129" si="256">BP22</f>
        <v>AAA</v>
      </c>
      <c r="BQ129" s="8" t="str">
        <f t="shared" si="256"/>
        <v/>
      </c>
      <c r="BR129" s="8" t="str">
        <f t="shared" si="256"/>
        <v/>
      </c>
      <c r="BS129" s="8">
        <f t="shared" si="230"/>
        <v>0</v>
      </c>
      <c r="BT129" s="8">
        <f t="shared" si="231"/>
        <v>0</v>
      </c>
      <c r="BU129" s="8"/>
      <c r="BV129" s="8" t="str">
        <f t="shared" ref="BV129:BX129" si="257">BV22</f>
        <v>AAA</v>
      </c>
      <c r="BW129" s="8" t="str">
        <f t="shared" si="257"/>
        <v/>
      </c>
      <c r="BX129" s="8" t="str">
        <f t="shared" si="257"/>
        <v/>
      </c>
      <c r="BY129" s="8">
        <f t="shared" si="233"/>
        <v>0</v>
      </c>
      <c r="BZ129" s="8">
        <f t="shared" si="234"/>
        <v>0</v>
      </c>
      <c r="CA129" s="8"/>
      <c r="CB129" s="8" t="str">
        <f t="shared" ref="CB129:CD129" si="258">CB22</f>
        <v>AAA</v>
      </c>
      <c r="CC129" s="8" t="str">
        <f t="shared" si="258"/>
        <v/>
      </c>
      <c r="CD129" s="8" t="str">
        <f t="shared" si="258"/>
        <v/>
      </c>
      <c r="CE129" s="8">
        <f t="shared" si="236"/>
        <v>0</v>
      </c>
      <c r="CF129" s="8">
        <f t="shared" si="237"/>
        <v>0</v>
      </c>
      <c r="CG129" s="8"/>
      <c r="CH129" s="8" t="str">
        <f t="shared" ref="CH129:CJ129" si="259">CH22</f>
        <v>AAA</v>
      </c>
      <c r="CI129" s="8" t="str">
        <f t="shared" si="259"/>
        <v/>
      </c>
      <c r="CJ129" s="8" t="str">
        <f t="shared" si="259"/>
        <v/>
      </c>
      <c r="CK129" s="8">
        <f t="shared" si="239"/>
        <v>0</v>
      </c>
      <c r="CL129" s="8">
        <f t="shared" si="240"/>
        <v>0</v>
      </c>
      <c r="CO129" s="8" t="str">
        <f>Hidden!$CC5</f>
        <v/>
      </c>
      <c r="CP129">
        <f t="shared" si="241"/>
        <v>0</v>
      </c>
      <c r="CQ129">
        <f t="shared" si="242"/>
        <v>0</v>
      </c>
      <c r="CR129">
        <f t="shared" si="243"/>
        <v>0</v>
      </c>
      <c r="CS129">
        <f t="shared" si="244"/>
        <v>0</v>
      </c>
      <c r="CT129">
        <f t="shared" si="245"/>
        <v>0</v>
      </c>
      <c r="CU129">
        <f t="shared" si="246"/>
        <v>0</v>
      </c>
      <c r="CV129">
        <f t="shared" si="247"/>
        <v>0</v>
      </c>
      <c r="CW129">
        <f t="shared" si="248"/>
        <v>0</v>
      </c>
      <c r="CX129">
        <f t="shared" si="249"/>
        <v>0</v>
      </c>
      <c r="CY129">
        <f t="shared" si="250"/>
        <v>0</v>
      </c>
      <c r="DT129" s="77"/>
      <c r="DU129" s="8" t="str">
        <f t="shared" si="169"/>
        <v>AAAAA</v>
      </c>
      <c r="DV129" s="8" t="str">
        <f t="shared" si="170"/>
        <v/>
      </c>
      <c r="DW129" s="8" t="str">
        <f t="shared" si="171"/>
        <v/>
      </c>
      <c r="DX129" s="8">
        <f t="shared" si="172"/>
        <v>0</v>
      </c>
      <c r="DY129" s="8">
        <f t="shared" si="172"/>
        <v>0</v>
      </c>
      <c r="EA129" s="8" t="str">
        <f t="shared" si="173"/>
        <v>AAAAA</v>
      </c>
      <c r="EB129" s="8" t="str">
        <f t="shared" si="174"/>
        <v/>
      </c>
      <c r="EC129" s="8" t="str">
        <f t="shared" si="175"/>
        <v/>
      </c>
      <c r="ED129">
        <f t="shared" si="176"/>
        <v>0</v>
      </c>
      <c r="EE129">
        <f t="shared" si="176"/>
        <v>0</v>
      </c>
      <c r="EG129" s="8" t="str">
        <f t="shared" si="177"/>
        <v>AAAAA</v>
      </c>
      <c r="EH129" s="8" t="str">
        <f t="shared" si="178"/>
        <v/>
      </c>
      <c r="EI129" s="8" t="str">
        <f t="shared" si="179"/>
        <v/>
      </c>
      <c r="EJ129" s="8">
        <f t="shared" si="180"/>
        <v>0</v>
      </c>
      <c r="EK129" s="8">
        <f t="shared" si="180"/>
        <v>0</v>
      </c>
      <c r="EM129" s="8" t="str">
        <f t="shared" si="181"/>
        <v>AAAAA</v>
      </c>
      <c r="EN129" s="8" t="str">
        <f t="shared" si="182"/>
        <v/>
      </c>
      <c r="EO129" s="8" t="str">
        <f t="shared" si="183"/>
        <v/>
      </c>
      <c r="EP129" s="8">
        <f t="shared" si="184"/>
        <v>0</v>
      </c>
      <c r="EQ129" s="8">
        <f t="shared" si="184"/>
        <v>0</v>
      </c>
      <c r="ES129" s="8" t="str">
        <f t="shared" si="185"/>
        <v>AAAAA</v>
      </c>
      <c r="ET129" s="8" t="str">
        <f t="shared" si="186"/>
        <v/>
      </c>
      <c r="EU129" s="8" t="str">
        <f t="shared" si="187"/>
        <v/>
      </c>
      <c r="EV129" s="8">
        <f t="shared" si="188"/>
        <v>0</v>
      </c>
      <c r="EW129" s="8">
        <f t="shared" si="188"/>
        <v>0</v>
      </c>
      <c r="EY129" s="8" t="str">
        <f>Hidden!$CG17</f>
        <v/>
      </c>
      <c r="EZ129">
        <f t="shared" si="189"/>
        <v>0</v>
      </c>
      <c r="FA129">
        <f t="shared" si="190"/>
        <v>0</v>
      </c>
      <c r="FB129">
        <f t="shared" si="191"/>
        <v>0</v>
      </c>
      <c r="FC129">
        <f t="shared" si="192"/>
        <v>0</v>
      </c>
      <c r="FD129">
        <f t="shared" si="193"/>
        <v>0</v>
      </c>
      <c r="FE129">
        <f t="shared" si="194"/>
        <v>0</v>
      </c>
      <c r="FF129">
        <f t="shared" si="195"/>
        <v>0</v>
      </c>
      <c r="FG129">
        <f t="shared" si="196"/>
        <v>0</v>
      </c>
      <c r="FH129">
        <f t="shared" si="197"/>
        <v>0</v>
      </c>
      <c r="FI129">
        <f t="shared" si="198"/>
        <v>0</v>
      </c>
    </row>
    <row r="130" spans="1:165" x14ac:dyDescent="0.2">
      <c r="A130" s="8" t="str">
        <f t="shared" ref="A130:C130" si="260">A23</f>
        <v>AAAA</v>
      </c>
      <c r="B130" s="8" t="str">
        <f t="shared" si="260"/>
        <v/>
      </c>
      <c r="C130" s="8" t="str">
        <f t="shared" si="260"/>
        <v/>
      </c>
      <c r="D130" s="8">
        <f t="shared" si="207"/>
        <v>0</v>
      </c>
      <c r="E130" s="8">
        <f t="shared" si="207"/>
        <v>0</v>
      </c>
      <c r="F130" s="8"/>
      <c r="G130" s="8" t="str">
        <f t="shared" ref="G130:I130" si="261">G23</f>
        <v>AAAA</v>
      </c>
      <c r="H130" s="8" t="str">
        <f t="shared" si="261"/>
        <v/>
      </c>
      <c r="I130" s="8" t="str">
        <f t="shared" si="261"/>
        <v/>
      </c>
      <c r="J130" s="8">
        <f t="shared" si="209"/>
        <v>0</v>
      </c>
      <c r="K130" s="8">
        <f t="shared" si="209"/>
        <v>0</v>
      </c>
      <c r="L130" s="8"/>
      <c r="M130" s="8" t="str">
        <f t="shared" ref="M130:O130" si="262">M23</f>
        <v>AAAA</v>
      </c>
      <c r="N130" s="8" t="str">
        <f t="shared" si="262"/>
        <v/>
      </c>
      <c r="O130" s="8" t="str">
        <f t="shared" si="262"/>
        <v/>
      </c>
      <c r="P130" s="8">
        <f t="shared" si="211"/>
        <v>0</v>
      </c>
      <c r="Q130" s="8">
        <f t="shared" si="211"/>
        <v>0</v>
      </c>
      <c r="R130" s="8"/>
      <c r="S130" s="8" t="str">
        <f t="shared" ref="S130:U130" si="263">S23</f>
        <v>AAAA</v>
      </c>
      <c r="T130" s="8" t="str">
        <f t="shared" si="263"/>
        <v/>
      </c>
      <c r="U130" s="8" t="str">
        <f t="shared" si="263"/>
        <v/>
      </c>
      <c r="V130">
        <f t="shared" si="213"/>
        <v>0</v>
      </c>
      <c r="W130">
        <f t="shared" si="213"/>
        <v>0</v>
      </c>
      <c r="Y130" s="8" t="str">
        <f t="shared" si="214"/>
        <v>AAAA</v>
      </c>
      <c r="Z130" s="8"/>
      <c r="AB130">
        <f t="shared" si="215"/>
        <v>0</v>
      </c>
      <c r="AC130">
        <f t="shared" si="215"/>
        <v>0</v>
      </c>
      <c r="AE130" s="8" t="str">
        <f>Hidden!$CC6</f>
        <v/>
      </c>
      <c r="AF130">
        <f t="shared" si="216"/>
        <v>0</v>
      </c>
      <c r="AG130">
        <f t="shared" si="217"/>
        <v>0</v>
      </c>
      <c r="AH130">
        <f t="shared" si="218"/>
        <v>0</v>
      </c>
      <c r="AI130">
        <f t="shared" si="219"/>
        <v>0</v>
      </c>
      <c r="AJ130">
        <f t="shared" si="220"/>
        <v>0</v>
      </c>
      <c r="AK130">
        <f t="shared" si="221"/>
        <v>0</v>
      </c>
      <c r="AL130">
        <f t="shared" si="222"/>
        <v>0</v>
      </c>
      <c r="AM130">
        <f t="shared" si="223"/>
        <v>0</v>
      </c>
      <c r="AN130">
        <f t="shared" si="224"/>
        <v>0</v>
      </c>
      <c r="AO130">
        <f t="shared" si="225"/>
        <v>0</v>
      </c>
      <c r="BJ130" s="8" t="str">
        <f t="shared" ref="BJ130:BL130" si="264">BJ23</f>
        <v>AAAA</v>
      </c>
      <c r="BK130" s="8" t="str">
        <f t="shared" si="264"/>
        <v/>
      </c>
      <c r="BL130" s="8" t="str">
        <f t="shared" si="264"/>
        <v/>
      </c>
      <c r="BM130" s="8">
        <f t="shared" si="227"/>
        <v>0</v>
      </c>
      <c r="BN130" s="8">
        <f t="shared" si="228"/>
        <v>0</v>
      </c>
      <c r="BO130" s="8"/>
      <c r="BP130" s="8" t="str">
        <f t="shared" ref="BP130:BR130" si="265">BP23</f>
        <v>AAAA</v>
      </c>
      <c r="BQ130" s="8" t="str">
        <f t="shared" si="265"/>
        <v/>
      </c>
      <c r="BR130" s="8" t="str">
        <f t="shared" si="265"/>
        <v/>
      </c>
      <c r="BS130" s="8">
        <f t="shared" si="230"/>
        <v>0</v>
      </c>
      <c r="BT130" s="8">
        <f t="shared" si="231"/>
        <v>0</v>
      </c>
      <c r="BU130" s="8"/>
      <c r="BV130" s="8" t="str">
        <f t="shared" ref="BV130:BX130" si="266">BV23</f>
        <v>AAAA</v>
      </c>
      <c r="BW130" s="8" t="str">
        <f t="shared" si="266"/>
        <v/>
      </c>
      <c r="BX130" s="8" t="str">
        <f t="shared" si="266"/>
        <v/>
      </c>
      <c r="BY130" s="8">
        <f t="shared" si="233"/>
        <v>0</v>
      </c>
      <c r="BZ130" s="8">
        <f t="shared" si="234"/>
        <v>0</v>
      </c>
      <c r="CA130" s="8"/>
      <c r="CB130" s="8" t="str">
        <f t="shared" ref="CB130:CD130" si="267">CB23</f>
        <v>AAAA</v>
      </c>
      <c r="CC130" s="8" t="str">
        <f t="shared" si="267"/>
        <v/>
      </c>
      <c r="CD130" s="8" t="str">
        <f t="shared" si="267"/>
        <v/>
      </c>
      <c r="CE130" s="8">
        <f t="shared" si="236"/>
        <v>0</v>
      </c>
      <c r="CF130" s="8">
        <f t="shared" si="237"/>
        <v>0</v>
      </c>
      <c r="CG130" s="8"/>
      <c r="CH130" s="8" t="str">
        <f t="shared" ref="CH130:CJ130" si="268">CH23</f>
        <v>AAAA</v>
      </c>
      <c r="CI130" s="8" t="str">
        <f t="shared" si="268"/>
        <v/>
      </c>
      <c r="CJ130" s="8" t="str">
        <f t="shared" si="268"/>
        <v/>
      </c>
      <c r="CK130" s="8">
        <f t="shared" si="239"/>
        <v>0</v>
      </c>
      <c r="CL130" s="8">
        <f t="shared" si="240"/>
        <v>0</v>
      </c>
      <c r="CO130" s="8" t="str">
        <f>Hidden!$CC6</f>
        <v/>
      </c>
      <c r="CP130">
        <f t="shared" si="241"/>
        <v>0</v>
      </c>
      <c r="CQ130">
        <f t="shared" si="242"/>
        <v>0</v>
      </c>
      <c r="CR130">
        <f t="shared" si="243"/>
        <v>0</v>
      </c>
      <c r="CS130">
        <f t="shared" si="244"/>
        <v>0</v>
      </c>
      <c r="CT130">
        <f t="shared" si="245"/>
        <v>0</v>
      </c>
      <c r="CU130">
        <f t="shared" si="246"/>
        <v>0</v>
      </c>
      <c r="CV130">
        <f t="shared" si="247"/>
        <v>0</v>
      </c>
      <c r="CW130">
        <f t="shared" si="248"/>
        <v>0</v>
      </c>
      <c r="CX130">
        <f t="shared" si="249"/>
        <v>0</v>
      </c>
      <c r="CY130">
        <f t="shared" si="250"/>
        <v>0</v>
      </c>
      <c r="DT130" s="77"/>
      <c r="DU130" s="8" t="str">
        <f t="shared" si="169"/>
        <v>AAAAAA</v>
      </c>
      <c r="DV130" s="8" t="str">
        <f t="shared" si="170"/>
        <v/>
      </c>
      <c r="DW130" s="8" t="str">
        <f t="shared" si="171"/>
        <v/>
      </c>
      <c r="DX130" s="8">
        <f t="shared" si="172"/>
        <v>0</v>
      </c>
      <c r="DY130" s="8">
        <f t="shared" si="172"/>
        <v>0</v>
      </c>
      <c r="EA130" s="8" t="str">
        <f t="shared" si="173"/>
        <v>AAAAAA</v>
      </c>
      <c r="EB130" s="8" t="str">
        <f t="shared" si="174"/>
        <v/>
      </c>
      <c r="EC130" s="8" t="str">
        <f t="shared" si="175"/>
        <v/>
      </c>
      <c r="ED130">
        <f t="shared" si="176"/>
        <v>0</v>
      </c>
      <c r="EE130">
        <f t="shared" si="176"/>
        <v>0</v>
      </c>
      <c r="EG130" s="8" t="str">
        <f t="shared" si="177"/>
        <v>AAAAAA</v>
      </c>
      <c r="EH130" s="8" t="str">
        <f t="shared" si="178"/>
        <v/>
      </c>
      <c r="EI130" s="8" t="str">
        <f t="shared" si="179"/>
        <v/>
      </c>
      <c r="EJ130" s="8">
        <f t="shared" si="180"/>
        <v>0</v>
      </c>
      <c r="EK130" s="8">
        <f t="shared" si="180"/>
        <v>0</v>
      </c>
      <c r="EM130" s="8" t="str">
        <f t="shared" si="181"/>
        <v>AAAAAA</v>
      </c>
      <c r="EN130" s="8" t="str">
        <f t="shared" si="182"/>
        <v/>
      </c>
      <c r="EO130" s="8" t="str">
        <f t="shared" si="183"/>
        <v/>
      </c>
      <c r="EP130" s="8">
        <f t="shared" si="184"/>
        <v>0</v>
      </c>
      <c r="EQ130" s="8">
        <f t="shared" si="184"/>
        <v>0</v>
      </c>
      <c r="ES130" s="8" t="str">
        <f t="shared" si="185"/>
        <v>AAAAAA</v>
      </c>
      <c r="ET130" s="8" t="str">
        <f t="shared" si="186"/>
        <v/>
      </c>
      <c r="EU130" s="8" t="str">
        <f t="shared" si="187"/>
        <v/>
      </c>
      <c r="EV130" s="8">
        <f t="shared" si="188"/>
        <v>0</v>
      </c>
      <c r="EW130" s="8">
        <f t="shared" si="188"/>
        <v>0</v>
      </c>
      <c r="EY130" s="8" t="str">
        <f>Hidden!$CG18</f>
        <v/>
      </c>
      <c r="EZ130">
        <f t="shared" si="189"/>
        <v>0</v>
      </c>
      <c r="FA130">
        <f t="shared" si="190"/>
        <v>0</v>
      </c>
      <c r="FB130">
        <f t="shared" si="191"/>
        <v>0</v>
      </c>
      <c r="FC130">
        <f t="shared" si="192"/>
        <v>0</v>
      </c>
      <c r="FD130">
        <f t="shared" si="193"/>
        <v>0</v>
      </c>
      <c r="FE130">
        <f t="shared" si="194"/>
        <v>0</v>
      </c>
      <c r="FF130">
        <f t="shared" si="195"/>
        <v>0</v>
      </c>
      <c r="FG130">
        <f t="shared" si="196"/>
        <v>0</v>
      </c>
      <c r="FH130">
        <f t="shared" si="197"/>
        <v>0</v>
      </c>
      <c r="FI130">
        <f t="shared" si="198"/>
        <v>0</v>
      </c>
    </row>
    <row r="131" spans="1:165" x14ac:dyDescent="0.2">
      <c r="A131" s="8" t="str">
        <f t="shared" ref="A131:C131" si="269">A24</f>
        <v>AAAAA</v>
      </c>
      <c r="B131" s="8" t="str">
        <f t="shared" si="269"/>
        <v/>
      </c>
      <c r="C131" s="8" t="str">
        <f t="shared" si="269"/>
        <v/>
      </c>
      <c r="D131" s="8">
        <f t="shared" si="207"/>
        <v>0</v>
      </c>
      <c r="E131" s="8">
        <f t="shared" si="207"/>
        <v>0</v>
      </c>
      <c r="F131" s="8"/>
      <c r="G131" s="8" t="str">
        <f t="shared" ref="G131:I131" si="270">G24</f>
        <v>AAAAA</v>
      </c>
      <c r="H131" s="8" t="str">
        <f t="shared" si="270"/>
        <v/>
      </c>
      <c r="I131" s="8" t="str">
        <f t="shared" si="270"/>
        <v/>
      </c>
      <c r="J131" s="8">
        <f t="shared" si="209"/>
        <v>0</v>
      </c>
      <c r="K131" s="8">
        <f t="shared" si="209"/>
        <v>0</v>
      </c>
      <c r="L131" s="8"/>
      <c r="M131" s="8" t="str">
        <f t="shared" ref="M131:O131" si="271">M24</f>
        <v>AAAAA</v>
      </c>
      <c r="N131" s="8" t="str">
        <f t="shared" si="271"/>
        <v/>
      </c>
      <c r="O131" s="8" t="str">
        <f t="shared" si="271"/>
        <v/>
      </c>
      <c r="P131" s="8">
        <f t="shared" si="211"/>
        <v>0</v>
      </c>
      <c r="Q131" s="8">
        <f t="shared" si="211"/>
        <v>0</v>
      </c>
      <c r="R131" s="8"/>
      <c r="S131" s="8" t="str">
        <f t="shared" ref="S131:U131" si="272">S24</f>
        <v>AAAAA</v>
      </c>
      <c r="T131" s="8" t="str">
        <f t="shared" si="272"/>
        <v/>
      </c>
      <c r="U131" s="8" t="str">
        <f t="shared" si="272"/>
        <v/>
      </c>
      <c r="V131">
        <f t="shared" si="213"/>
        <v>0</v>
      </c>
      <c r="W131">
        <f t="shared" si="213"/>
        <v>0</v>
      </c>
      <c r="Y131" s="8" t="str">
        <f t="shared" si="214"/>
        <v>AAAAA</v>
      </c>
      <c r="Z131" s="8"/>
      <c r="AB131">
        <f t="shared" si="215"/>
        <v>0</v>
      </c>
      <c r="AC131">
        <f t="shared" si="215"/>
        <v>0</v>
      </c>
      <c r="AE131" s="8" t="str">
        <f>Hidden!$CC7</f>
        <v/>
      </c>
      <c r="AF131">
        <f>IF($AF$124,_xlfn.MAXIFS($D$127:$D$226,$B$127:$B$226,$AE131),0)</f>
        <v>0</v>
      </c>
      <c r="AG131">
        <f>IF($AG$124,_xlfn.MAXIFS($J$127:$J$226,$H$127:$H$226,$AE131),0)</f>
        <v>0</v>
      </c>
      <c r="AH131">
        <f>IF($AH$124,_xlfn.MAXIFS($P$127:$P$226,$N$127:$N$226,$AE131),0)</f>
        <v>0</v>
      </c>
      <c r="AI131">
        <f>IF($AI$124,_xlfn.MAXIFS($V$127:$V$226,$T$127:$T$226,$AE131),0)</f>
        <v>0</v>
      </c>
      <c r="AJ131">
        <f>IF($AJ$124,_xlfn.MAXIFS($AB$127:$AB$226,$Z$127:$Z$226,$AE131),0)</f>
        <v>0</v>
      </c>
      <c r="AK131">
        <f t="shared" si="221"/>
        <v>0</v>
      </c>
      <c r="AL131">
        <f t="shared" si="222"/>
        <v>0</v>
      </c>
      <c r="AM131">
        <f t="shared" si="223"/>
        <v>0</v>
      </c>
      <c r="AN131">
        <f t="shared" si="224"/>
        <v>0</v>
      </c>
      <c r="AO131">
        <f t="shared" si="225"/>
        <v>0</v>
      </c>
      <c r="BJ131" s="8" t="str">
        <f t="shared" ref="BJ131:BL131" si="273">BJ24</f>
        <v>AAAAA</v>
      </c>
      <c r="BK131" s="8" t="str">
        <f t="shared" si="273"/>
        <v/>
      </c>
      <c r="BL131" s="8" t="str">
        <f t="shared" si="273"/>
        <v/>
      </c>
      <c r="BM131" s="8">
        <f t="shared" si="227"/>
        <v>0</v>
      </c>
      <c r="BN131" s="8">
        <f t="shared" si="228"/>
        <v>0</v>
      </c>
      <c r="BO131" s="8"/>
      <c r="BP131" s="8" t="str">
        <f t="shared" ref="BP131:BR131" si="274">BP24</f>
        <v>AAAAA</v>
      </c>
      <c r="BQ131" s="8" t="str">
        <f t="shared" si="274"/>
        <v/>
      </c>
      <c r="BR131" s="8" t="str">
        <f t="shared" si="274"/>
        <v/>
      </c>
      <c r="BS131" s="8">
        <f t="shared" si="230"/>
        <v>0</v>
      </c>
      <c r="BT131" s="8">
        <f t="shared" si="231"/>
        <v>0</v>
      </c>
      <c r="BU131" s="8"/>
      <c r="BV131" s="8" t="str">
        <f t="shared" ref="BV131:BX131" si="275">BV24</f>
        <v>AAAAA</v>
      </c>
      <c r="BW131" s="8" t="str">
        <f t="shared" si="275"/>
        <v/>
      </c>
      <c r="BX131" s="8" t="str">
        <f t="shared" si="275"/>
        <v/>
      </c>
      <c r="BY131" s="8">
        <f t="shared" si="233"/>
        <v>0</v>
      </c>
      <c r="BZ131" s="8">
        <f t="shared" si="234"/>
        <v>0</v>
      </c>
      <c r="CA131" s="8"/>
      <c r="CB131" s="8" t="str">
        <f t="shared" ref="CB131:CD131" si="276">CB24</f>
        <v>AAAAA</v>
      </c>
      <c r="CC131" s="8" t="str">
        <f t="shared" si="276"/>
        <v/>
      </c>
      <c r="CD131" s="8" t="str">
        <f t="shared" si="276"/>
        <v/>
      </c>
      <c r="CE131" s="8">
        <f t="shared" si="236"/>
        <v>0</v>
      </c>
      <c r="CF131" s="8">
        <f t="shared" si="237"/>
        <v>0</v>
      </c>
      <c r="CG131" s="8"/>
      <c r="CH131" s="8" t="str">
        <f t="shared" ref="CH131:CJ131" si="277">CH24</f>
        <v>AAAAA</v>
      </c>
      <c r="CI131" s="8" t="str">
        <f t="shared" si="277"/>
        <v/>
      </c>
      <c r="CJ131" s="8" t="str">
        <f t="shared" si="277"/>
        <v/>
      </c>
      <c r="CK131" s="8">
        <f t="shared" si="239"/>
        <v>0</v>
      </c>
      <c r="CL131" s="8">
        <f t="shared" si="240"/>
        <v>0</v>
      </c>
      <c r="CO131" s="8" t="str">
        <f>Hidden!$CC7</f>
        <v/>
      </c>
      <c r="CP131">
        <f t="shared" si="241"/>
        <v>0</v>
      </c>
      <c r="CQ131">
        <f t="shared" si="242"/>
        <v>0</v>
      </c>
      <c r="CR131">
        <f t="shared" si="243"/>
        <v>0</v>
      </c>
      <c r="CS131">
        <f t="shared" si="244"/>
        <v>0</v>
      </c>
      <c r="CT131">
        <f t="shared" si="245"/>
        <v>0</v>
      </c>
      <c r="CU131">
        <f t="shared" si="246"/>
        <v>0</v>
      </c>
      <c r="CV131">
        <f t="shared" si="247"/>
        <v>0</v>
      </c>
      <c r="CW131">
        <f t="shared" si="248"/>
        <v>0</v>
      </c>
      <c r="CX131">
        <f t="shared" si="249"/>
        <v>0</v>
      </c>
      <c r="CY131">
        <f t="shared" si="250"/>
        <v>0</v>
      </c>
      <c r="DT131" s="77"/>
      <c r="DU131" s="8" t="str">
        <f t="shared" si="169"/>
        <v>AAAAAAA</v>
      </c>
      <c r="DV131" s="8" t="str">
        <f t="shared" si="170"/>
        <v/>
      </c>
      <c r="DW131" s="8" t="str">
        <f t="shared" si="171"/>
        <v/>
      </c>
      <c r="DX131" s="8">
        <f t="shared" si="172"/>
        <v>0</v>
      </c>
      <c r="DY131" s="8">
        <f t="shared" si="172"/>
        <v>0</v>
      </c>
      <c r="EA131" s="8" t="str">
        <f t="shared" si="173"/>
        <v>AAAAAAA</v>
      </c>
      <c r="EB131" s="8" t="str">
        <f t="shared" si="174"/>
        <v/>
      </c>
      <c r="EC131" s="8" t="str">
        <f t="shared" si="175"/>
        <v/>
      </c>
      <c r="ED131">
        <f t="shared" si="176"/>
        <v>0</v>
      </c>
      <c r="EE131">
        <f t="shared" si="176"/>
        <v>0</v>
      </c>
      <c r="EG131" s="8" t="str">
        <f t="shared" si="177"/>
        <v>AAAAAAA</v>
      </c>
      <c r="EH131" s="8" t="str">
        <f t="shared" si="178"/>
        <v/>
      </c>
      <c r="EI131" s="8" t="str">
        <f t="shared" si="179"/>
        <v/>
      </c>
      <c r="EJ131" s="8">
        <f t="shared" si="180"/>
        <v>0</v>
      </c>
      <c r="EK131" s="8">
        <f t="shared" si="180"/>
        <v>0</v>
      </c>
      <c r="EM131" s="8" t="str">
        <f t="shared" si="181"/>
        <v>AAAAAAA</v>
      </c>
      <c r="EN131" s="8" t="str">
        <f t="shared" si="182"/>
        <v/>
      </c>
      <c r="EO131" s="8" t="str">
        <f t="shared" si="183"/>
        <v/>
      </c>
      <c r="EP131" s="8">
        <f t="shared" si="184"/>
        <v>0</v>
      </c>
      <c r="EQ131" s="8">
        <f t="shared" si="184"/>
        <v>0</v>
      </c>
      <c r="ES131" s="8" t="str">
        <f t="shared" si="185"/>
        <v>AAAAAAA</v>
      </c>
      <c r="ET131" s="8" t="str">
        <f t="shared" si="186"/>
        <v/>
      </c>
      <c r="EU131" s="8" t="str">
        <f t="shared" si="187"/>
        <v/>
      </c>
      <c r="EV131" s="8">
        <f t="shared" si="188"/>
        <v>0</v>
      </c>
      <c r="EW131" s="8">
        <f t="shared" si="188"/>
        <v>0</v>
      </c>
      <c r="EY131" s="8" t="str">
        <f>Hidden!$CG19</f>
        <v/>
      </c>
      <c r="EZ131">
        <f t="shared" si="189"/>
        <v>0</v>
      </c>
      <c r="FA131">
        <f t="shared" si="190"/>
        <v>0</v>
      </c>
      <c r="FB131">
        <f t="shared" si="191"/>
        <v>0</v>
      </c>
      <c r="FC131">
        <f t="shared" si="192"/>
        <v>0</v>
      </c>
      <c r="FD131">
        <f t="shared" si="193"/>
        <v>0</v>
      </c>
      <c r="FE131">
        <f t="shared" si="194"/>
        <v>0</v>
      </c>
      <c r="FF131">
        <f t="shared" si="195"/>
        <v>0</v>
      </c>
      <c r="FG131">
        <f t="shared" si="196"/>
        <v>0</v>
      </c>
      <c r="FH131">
        <f t="shared" si="197"/>
        <v>0</v>
      </c>
      <c r="FI131">
        <f t="shared" si="198"/>
        <v>0</v>
      </c>
    </row>
    <row r="132" spans="1:165" x14ac:dyDescent="0.2">
      <c r="A132" s="8" t="str">
        <f t="shared" ref="A132:C132" si="278">A25</f>
        <v>AAAAAA</v>
      </c>
      <c r="B132" s="8" t="str">
        <f t="shared" si="278"/>
        <v/>
      </c>
      <c r="C132" s="8" t="str">
        <f t="shared" si="278"/>
        <v/>
      </c>
      <c r="D132" s="8">
        <f t="shared" si="207"/>
        <v>0</v>
      </c>
      <c r="E132" s="8">
        <f t="shared" si="207"/>
        <v>0</v>
      </c>
      <c r="F132" s="8"/>
      <c r="G132" s="8" t="str">
        <f t="shared" ref="G132:I132" si="279">G25</f>
        <v>AAAAAA</v>
      </c>
      <c r="H132" s="8" t="str">
        <f t="shared" si="279"/>
        <v/>
      </c>
      <c r="I132" s="8" t="str">
        <f t="shared" si="279"/>
        <v/>
      </c>
      <c r="J132" s="8">
        <f t="shared" si="209"/>
        <v>0</v>
      </c>
      <c r="K132" s="8">
        <f t="shared" si="209"/>
        <v>0</v>
      </c>
      <c r="L132" s="8"/>
      <c r="M132" s="8" t="str">
        <f t="shared" ref="M132:O132" si="280">M25</f>
        <v>AAAAAA</v>
      </c>
      <c r="N132" s="8" t="str">
        <f t="shared" si="280"/>
        <v/>
      </c>
      <c r="O132" s="8" t="str">
        <f t="shared" si="280"/>
        <v/>
      </c>
      <c r="P132" s="8">
        <f t="shared" si="211"/>
        <v>0</v>
      </c>
      <c r="Q132" s="8">
        <f t="shared" si="211"/>
        <v>0</v>
      </c>
      <c r="R132" s="8"/>
      <c r="S132" s="8" t="str">
        <f t="shared" ref="S132:U132" si="281">S25</f>
        <v>AAAAAA</v>
      </c>
      <c r="T132" s="8" t="str">
        <f t="shared" si="281"/>
        <v/>
      </c>
      <c r="U132" s="8" t="str">
        <f t="shared" si="281"/>
        <v/>
      </c>
      <c r="V132">
        <f t="shared" si="213"/>
        <v>0</v>
      </c>
      <c r="W132">
        <f t="shared" si="213"/>
        <v>0</v>
      </c>
      <c r="Y132" s="8" t="str">
        <f t="shared" si="214"/>
        <v>AAAAAA</v>
      </c>
      <c r="Z132" s="8"/>
      <c r="AB132">
        <f t="shared" si="215"/>
        <v>0</v>
      </c>
      <c r="AC132">
        <f t="shared" si="215"/>
        <v>0</v>
      </c>
      <c r="AE132" s="8" t="str">
        <f>Hidden!$CC8</f>
        <v/>
      </c>
      <c r="AF132">
        <f t="shared" si="216"/>
        <v>0</v>
      </c>
      <c r="AG132">
        <f t="shared" si="217"/>
        <v>0</v>
      </c>
      <c r="AH132">
        <f t="shared" si="218"/>
        <v>0</v>
      </c>
      <c r="AI132">
        <f t="shared" si="219"/>
        <v>0</v>
      </c>
      <c r="AJ132">
        <f t="shared" si="220"/>
        <v>0</v>
      </c>
      <c r="AK132">
        <f t="shared" si="221"/>
        <v>0</v>
      </c>
      <c r="AL132">
        <f t="shared" si="222"/>
        <v>0</v>
      </c>
      <c r="AM132">
        <f t="shared" si="223"/>
        <v>0</v>
      </c>
      <c r="AN132">
        <f t="shared" si="224"/>
        <v>0</v>
      </c>
      <c r="AO132">
        <f t="shared" si="225"/>
        <v>0</v>
      </c>
      <c r="BJ132" s="8" t="str">
        <f t="shared" ref="BJ132:BL132" si="282">BJ25</f>
        <v>AAAAAA</v>
      </c>
      <c r="BK132" s="8" t="str">
        <f t="shared" si="282"/>
        <v/>
      </c>
      <c r="BL132" s="8" t="str">
        <f t="shared" si="282"/>
        <v/>
      </c>
      <c r="BM132" s="8">
        <f t="shared" si="227"/>
        <v>0</v>
      </c>
      <c r="BN132" s="8">
        <f t="shared" si="228"/>
        <v>0</v>
      </c>
      <c r="BO132" s="8"/>
      <c r="BP132" s="8" t="str">
        <f t="shared" ref="BP132:BR132" si="283">BP25</f>
        <v>AAAAAA</v>
      </c>
      <c r="BQ132" s="8" t="str">
        <f t="shared" si="283"/>
        <v/>
      </c>
      <c r="BR132" s="8" t="str">
        <f t="shared" si="283"/>
        <v/>
      </c>
      <c r="BS132" s="8">
        <f t="shared" si="230"/>
        <v>0</v>
      </c>
      <c r="BT132" s="8">
        <f t="shared" si="231"/>
        <v>0</v>
      </c>
      <c r="BU132" s="8"/>
      <c r="BV132" s="8" t="str">
        <f t="shared" ref="BV132:BX132" si="284">BV25</f>
        <v>AAAAAA</v>
      </c>
      <c r="BW132" s="8" t="str">
        <f t="shared" si="284"/>
        <v/>
      </c>
      <c r="BX132" s="8" t="str">
        <f t="shared" si="284"/>
        <v/>
      </c>
      <c r="BY132" s="8">
        <f t="shared" si="233"/>
        <v>0</v>
      </c>
      <c r="BZ132" s="8">
        <f t="shared" si="234"/>
        <v>0</v>
      </c>
      <c r="CA132" s="8"/>
      <c r="CB132" s="8" t="str">
        <f t="shared" ref="CB132:CD132" si="285">CB25</f>
        <v>AAAAAA</v>
      </c>
      <c r="CC132" s="8" t="str">
        <f t="shared" si="285"/>
        <v/>
      </c>
      <c r="CD132" s="8" t="str">
        <f t="shared" si="285"/>
        <v/>
      </c>
      <c r="CE132" s="8">
        <f t="shared" si="236"/>
        <v>0</v>
      </c>
      <c r="CF132" s="8">
        <f t="shared" si="237"/>
        <v>0</v>
      </c>
      <c r="CG132" s="8"/>
      <c r="CH132" s="8" t="str">
        <f t="shared" ref="CH132:CJ132" si="286">CH25</f>
        <v>AAAAAA</v>
      </c>
      <c r="CI132" s="8" t="str">
        <f t="shared" si="286"/>
        <v/>
      </c>
      <c r="CJ132" s="8" t="str">
        <f t="shared" si="286"/>
        <v/>
      </c>
      <c r="CK132" s="8">
        <f t="shared" si="239"/>
        <v>0</v>
      </c>
      <c r="CL132" s="8">
        <f t="shared" si="240"/>
        <v>0</v>
      </c>
      <c r="CO132" s="8" t="str">
        <f>Hidden!$CC8</f>
        <v/>
      </c>
      <c r="CP132">
        <f t="shared" si="241"/>
        <v>0</v>
      </c>
      <c r="CQ132">
        <f t="shared" si="242"/>
        <v>0</v>
      </c>
      <c r="CR132">
        <f t="shared" si="243"/>
        <v>0</v>
      </c>
      <c r="CS132">
        <f t="shared" si="244"/>
        <v>0</v>
      </c>
      <c r="CT132">
        <f t="shared" si="245"/>
        <v>0</v>
      </c>
      <c r="CU132">
        <f t="shared" si="246"/>
        <v>0</v>
      </c>
      <c r="CV132">
        <f t="shared" si="247"/>
        <v>0</v>
      </c>
      <c r="CW132">
        <f t="shared" si="248"/>
        <v>0</v>
      </c>
      <c r="CX132">
        <f t="shared" si="249"/>
        <v>0</v>
      </c>
      <c r="CY132">
        <f t="shared" si="250"/>
        <v>0</v>
      </c>
      <c r="DT132" s="77"/>
      <c r="DU132" s="8" t="str">
        <f t="shared" si="169"/>
        <v>AAAAAAAA</v>
      </c>
      <c r="DV132" s="8" t="str">
        <f t="shared" si="170"/>
        <v/>
      </c>
      <c r="DW132" s="8" t="str">
        <f t="shared" si="171"/>
        <v/>
      </c>
      <c r="DX132" s="8">
        <f t="shared" si="172"/>
        <v>0</v>
      </c>
      <c r="DY132" s="8">
        <f t="shared" si="172"/>
        <v>0</v>
      </c>
      <c r="EA132" s="8" t="str">
        <f t="shared" si="173"/>
        <v>AAAAAAAA</v>
      </c>
      <c r="EB132" s="8" t="str">
        <f t="shared" si="174"/>
        <v/>
      </c>
      <c r="EC132" s="8" t="str">
        <f t="shared" si="175"/>
        <v/>
      </c>
      <c r="ED132">
        <f t="shared" si="176"/>
        <v>0</v>
      </c>
      <c r="EE132">
        <f t="shared" si="176"/>
        <v>0</v>
      </c>
      <c r="EG132" s="8" t="str">
        <f t="shared" si="177"/>
        <v>AAAAAAAA</v>
      </c>
      <c r="EH132" s="8" t="str">
        <f t="shared" si="178"/>
        <v/>
      </c>
      <c r="EI132" s="8" t="str">
        <f t="shared" si="179"/>
        <v/>
      </c>
      <c r="EJ132" s="8">
        <f t="shared" si="180"/>
        <v>0</v>
      </c>
      <c r="EK132" s="8">
        <f t="shared" si="180"/>
        <v>0</v>
      </c>
      <c r="EM132" s="8" t="str">
        <f t="shared" si="181"/>
        <v>AAAAAAAA</v>
      </c>
      <c r="EN132" s="8" t="str">
        <f t="shared" si="182"/>
        <v/>
      </c>
      <c r="EO132" s="8" t="str">
        <f t="shared" si="183"/>
        <v/>
      </c>
      <c r="EP132" s="8">
        <f t="shared" si="184"/>
        <v>0</v>
      </c>
      <c r="EQ132" s="8">
        <f t="shared" si="184"/>
        <v>0</v>
      </c>
      <c r="ES132" s="8" t="str">
        <f t="shared" si="185"/>
        <v>AAAAAAAA</v>
      </c>
      <c r="ET132" s="8" t="str">
        <f t="shared" si="186"/>
        <v/>
      </c>
      <c r="EU132" s="8" t="str">
        <f t="shared" si="187"/>
        <v/>
      </c>
      <c r="EV132" s="8">
        <f t="shared" si="188"/>
        <v>0</v>
      </c>
      <c r="EW132" s="8">
        <f t="shared" si="188"/>
        <v>0</v>
      </c>
      <c r="EY132" s="8" t="str">
        <f>Hidden!$CG20</f>
        <v/>
      </c>
      <c r="EZ132">
        <f t="shared" si="189"/>
        <v>0</v>
      </c>
      <c r="FA132">
        <f t="shared" si="190"/>
        <v>0</v>
      </c>
      <c r="FB132">
        <f t="shared" si="191"/>
        <v>0</v>
      </c>
      <c r="FC132">
        <f t="shared" si="192"/>
        <v>0</v>
      </c>
      <c r="FD132">
        <f t="shared" si="193"/>
        <v>0</v>
      </c>
      <c r="FE132">
        <f t="shared" si="194"/>
        <v>0</v>
      </c>
      <c r="FF132">
        <f t="shared" si="195"/>
        <v>0</v>
      </c>
      <c r="FG132">
        <f t="shared" si="196"/>
        <v>0</v>
      </c>
      <c r="FH132">
        <f t="shared" si="197"/>
        <v>0</v>
      </c>
      <c r="FI132">
        <f t="shared" si="198"/>
        <v>0</v>
      </c>
    </row>
    <row r="133" spans="1:165" x14ac:dyDescent="0.2">
      <c r="A133" s="8" t="str">
        <f t="shared" ref="A133:C133" si="287">A26</f>
        <v>AAAAAAA</v>
      </c>
      <c r="B133" s="8" t="str">
        <f t="shared" si="287"/>
        <v/>
      </c>
      <c r="C133" s="8" t="str">
        <f t="shared" si="287"/>
        <v/>
      </c>
      <c r="D133" s="8">
        <f t="shared" si="207"/>
        <v>0</v>
      </c>
      <c r="E133" s="8">
        <f t="shared" si="207"/>
        <v>0</v>
      </c>
      <c r="F133" s="8"/>
      <c r="G133" s="8" t="str">
        <f t="shared" ref="G133:I133" si="288">G26</f>
        <v>AAAAAAA</v>
      </c>
      <c r="H133" s="8" t="str">
        <f t="shared" si="288"/>
        <v/>
      </c>
      <c r="I133" s="8" t="str">
        <f t="shared" si="288"/>
        <v/>
      </c>
      <c r="J133" s="8">
        <f t="shared" si="209"/>
        <v>0</v>
      </c>
      <c r="K133" s="8">
        <f t="shared" si="209"/>
        <v>0</v>
      </c>
      <c r="L133" s="8"/>
      <c r="M133" s="8" t="str">
        <f t="shared" ref="M133:O133" si="289">M26</f>
        <v>AAAAAAA</v>
      </c>
      <c r="N133" s="8" t="str">
        <f t="shared" si="289"/>
        <v/>
      </c>
      <c r="O133" s="8" t="str">
        <f t="shared" si="289"/>
        <v/>
      </c>
      <c r="P133" s="8">
        <f t="shared" si="211"/>
        <v>0</v>
      </c>
      <c r="Q133" s="8">
        <f t="shared" si="211"/>
        <v>0</v>
      </c>
      <c r="R133" s="8"/>
      <c r="S133" s="8" t="str">
        <f t="shared" ref="S133:U133" si="290">S26</f>
        <v>AAAAAAA</v>
      </c>
      <c r="T133" s="8" t="str">
        <f t="shared" si="290"/>
        <v/>
      </c>
      <c r="U133" s="8" t="str">
        <f t="shared" si="290"/>
        <v/>
      </c>
      <c r="V133">
        <f t="shared" si="213"/>
        <v>0</v>
      </c>
      <c r="W133">
        <f t="shared" si="213"/>
        <v>0</v>
      </c>
      <c r="Y133" s="8" t="str">
        <f t="shared" si="214"/>
        <v>AAAAAAA</v>
      </c>
      <c r="Z133" s="8"/>
      <c r="AB133">
        <f t="shared" si="215"/>
        <v>0</v>
      </c>
      <c r="AC133">
        <f t="shared" si="215"/>
        <v>0</v>
      </c>
      <c r="AE133" s="8" t="str">
        <f>Hidden!$CC9</f>
        <v/>
      </c>
      <c r="AF133">
        <f t="shared" si="216"/>
        <v>0</v>
      </c>
      <c r="AG133">
        <f t="shared" si="217"/>
        <v>0</v>
      </c>
      <c r="AH133">
        <f t="shared" si="218"/>
        <v>0</v>
      </c>
      <c r="AI133">
        <f t="shared" si="219"/>
        <v>0</v>
      </c>
      <c r="AJ133">
        <f t="shared" si="220"/>
        <v>0</v>
      </c>
      <c r="AK133">
        <f t="shared" si="221"/>
        <v>0</v>
      </c>
      <c r="AL133">
        <f t="shared" si="222"/>
        <v>0</v>
      </c>
      <c r="AM133">
        <f t="shared" si="223"/>
        <v>0</v>
      </c>
      <c r="AN133">
        <f t="shared" si="224"/>
        <v>0</v>
      </c>
      <c r="AO133">
        <f t="shared" si="225"/>
        <v>0</v>
      </c>
      <c r="BJ133" s="8" t="str">
        <f t="shared" ref="BJ133:BL133" si="291">BJ26</f>
        <v>AAAAAAA</v>
      </c>
      <c r="BK133" s="8" t="str">
        <f t="shared" si="291"/>
        <v/>
      </c>
      <c r="BL133" s="8" t="str">
        <f t="shared" si="291"/>
        <v/>
      </c>
      <c r="BM133" s="8">
        <f t="shared" si="227"/>
        <v>0</v>
      </c>
      <c r="BN133" s="8">
        <f t="shared" si="228"/>
        <v>0</v>
      </c>
      <c r="BO133" s="8"/>
      <c r="BP133" s="8" t="str">
        <f t="shared" ref="BP133:BR133" si="292">BP26</f>
        <v>AAAAAAA</v>
      </c>
      <c r="BQ133" s="8" t="str">
        <f t="shared" si="292"/>
        <v/>
      </c>
      <c r="BR133" s="8" t="str">
        <f t="shared" si="292"/>
        <v/>
      </c>
      <c r="BS133" s="8">
        <f t="shared" si="230"/>
        <v>0</v>
      </c>
      <c r="BT133" s="8">
        <f t="shared" si="231"/>
        <v>0</v>
      </c>
      <c r="BU133" s="8"/>
      <c r="BV133" s="8" t="str">
        <f t="shared" ref="BV133:BX133" si="293">BV26</f>
        <v>AAAAAAA</v>
      </c>
      <c r="BW133" s="8" t="str">
        <f t="shared" si="293"/>
        <v/>
      </c>
      <c r="BX133" s="8" t="str">
        <f t="shared" si="293"/>
        <v/>
      </c>
      <c r="BY133" s="8">
        <f t="shared" si="233"/>
        <v>0</v>
      </c>
      <c r="BZ133" s="8">
        <f t="shared" si="234"/>
        <v>0</v>
      </c>
      <c r="CA133" s="8"/>
      <c r="CB133" s="8" t="str">
        <f t="shared" ref="CB133:CD133" si="294">CB26</f>
        <v>AAAAAAA</v>
      </c>
      <c r="CC133" s="8" t="str">
        <f t="shared" si="294"/>
        <v/>
      </c>
      <c r="CD133" s="8" t="str">
        <f t="shared" si="294"/>
        <v/>
      </c>
      <c r="CE133" s="8">
        <f t="shared" si="236"/>
        <v>0</v>
      </c>
      <c r="CF133" s="8">
        <f t="shared" si="237"/>
        <v>0</v>
      </c>
      <c r="CG133" s="8"/>
      <c r="CH133" s="8" t="str">
        <f t="shared" ref="CH133:CJ133" si="295">CH26</f>
        <v>AAAAAAA</v>
      </c>
      <c r="CI133" s="8" t="str">
        <f t="shared" si="295"/>
        <v/>
      </c>
      <c r="CJ133" s="8" t="str">
        <f t="shared" si="295"/>
        <v/>
      </c>
      <c r="CK133" s="8">
        <f t="shared" si="239"/>
        <v>0</v>
      </c>
      <c r="CL133" s="8">
        <f t="shared" si="240"/>
        <v>0</v>
      </c>
      <c r="CO133" s="8" t="str">
        <f>Hidden!$CC9</f>
        <v/>
      </c>
      <c r="CP133">
        <f t="shared" si="241"/>
        <v>0</v>
      </c>
      <c r="CQ133">
        <f t="shared" si="242"/>
        <v>0</v>
      </c>
      <c r="CR133">
        <f t="shared" si="243"/>
        <v>0</v>
      </c>
      <c r="CS133">
        <f t="shared" si="244"/>
        <v>0</v>
      </c>
      <c r="CT133">
        <f t="shared" si="245"/>
        <v>0</v>
      </c>
      <c r="CU133">
        <f t="shared" si="246"/>
        <v>0</v>
      </c>
      <c r="CV133">
        <f t="shared" si="247"/>
        <v>0</v>
      </c>
      <c r="CW133">
        <f t="shared" si="248"/>
        <v>0</v>
      </c>
      <c r="CX133">
        <f t="shared" si="249"/>
        <v>0</v>
      </c>
      <c r="CY133">
        <f t="shared" si="250"/>
        <v>0</v>
      </c>
      <c r="DT133" s="77"/>
      <c r="DU133" s="8" t="str">
        <f t="shared" si="169"/>
        <v>AAAAAAAAA</v>
      </c>
      <c r="DV133" s="8" t="str">
        <f t="shared" si="170"/>
        <v/>
      </c>
      <c r="DW133" s="8" t="str">
        <f t="shared" si="171"/>
        <v/>
      </c>
      <c r="DX133" s="8">
        <f t="shared" si="172"/>
        <v>0</v>
      </c>
      <c r="DY133" s="8">
        <f t="shared" si="172"/>
        <v>0</v>
      </c>
      <c r="EA133" s="8" t="str">
        <f t="shared" si="173"/>
        <v>AAAAAAAAA</v>
      </c>
      <c r="EB133" s="8" t="str">
        <f t="shared" si="174"/>
        <v/>
      </c>
      <c r="EC133" s="8" t="str">
        <f t="shared" si="175"/>
        <v/>
      </c>
      <c r="ED133">
        <f t="shared" si="176"/>
        <v>0</v>
      </c>
      <c r="EE133">
        <f t="shared" si="176"/>
        <v>0</v>
      </c>
      <c r="EG133" s="8" t="str">
        <f t="shared" si="177"/>
        <v>AAAAAAAAA</v>
      </c>
      <c r="EH133" s="8" t="str">
        <f t="shared" si="178"/>
        <v/>
      </c>
      <c r="EI133" s="8" t="str">
        <f t="shared" si="179"/>
        <v/>
      </c>
      <c r="EJ133" s="8">
        <f t="shared" si="180"/>
        <v>0</v>
      </c>
      <c r="EK133" s="8">
        <f t="shared" si="180"/>
        <v>0</v>
      </c>
      <c r="EM133" s="8" t="str">
        <f t="shared" si="181"/>
        <v>AAAAAAAAA</v>
      </c>
      <c r="EN133" s="8" t="str">
        <f t="shared" si="182"/>
        <v/>
      </c>
      <c r="EO133" s="8" t="str">
        <f t="shared" si="183"/>
        <v/>
      </c>
      <c r="EP133" s="8">
        <f t="shared" si="184"/>
        <v>0</v>
      </c>
      <c r="EQ133" s="8">
        <f t="shared" si="184"/>
        <v>0</v>
      </c>
      <c r="ES133" s="8" t="str">
        <f t="shared" si="185"/>
        <v>AAAAAAAAA</v>
      </c>
      <c r="ET133" s="8" t="str">
        <f t="shared" si="186"/>
        <v/>
      </c>
      <c r="EU133" s="8" t="str">
        <f t="shared" si="187"/>
        <v/>
      </c>
      <c r="EV133" s="8">
        <f t="shared" si="188"/>
        <v>0</v>
      </c>
      <c r="EW133" s="8">
        <f t="shared" si="188"/>
        <v>0</v>
      </c>
      <c r="EY133" s="8" t="str">
        <f>Hidden!$CG21</f>
        <v/>
      </c>
      <c r="EZ133">
        <f t="shared" si="189"/>
        <v>0</v>
      </c>
      <c r="FA133">
        <f t="shared" si="190"/>
        <v>0</v>
      </c>
      <c r="FB133">
        <f t="shared" si="191"/>
        <v>0</v>
      </c>
      <c r="FC133">
        <f t="shared" si="192"/>
        <v>0</v>
      </c>
      <c r="FD133">
        <f t="shared" si="193"/>
        <v>0</v>
      </c>
      <c r="FE133">
        <f t="shared" si="194"/>
        <v>0</v>
      </c>
      <c r="FF133">
        <f t="shared" si="195"/>
        <v>0</v>
      </c>
      <c r="FG133">
        <f t="shared" si="196"/>
        <v>0</v>
      </c>
      <c r="FH133">
        <f t="shared" si="197"/>
        <v>0</v>
      </c>
      <c r="FI133">
        <f t="shared" si="198"/>
        <v>0</v>
      </c>
    </row>
    <row r="134" spans="1:165" x14ac:dyDescent="0.2">
      <c r="A134" s="8" t="str">
        <f t="shared" ref="A134:C134" si="296">A27</f>
        <v>AAAAAAAA</v>
      </c>
      <c r="B134" s="8" t="str">
        <f t="shared" si="296"/>
        <v/>
      </c>
      <c r="C134" s="8" t="str">
        <f t="shared" si="296"/>
        <v/>
      </c>
      <c r="D134" s="8">
        <f t="shared" si="207"/>
        <v>0</v>
      </c>
      <c r="E134" s="8">
        <f t="shared" si="207"/>
        <v>0</v>
      </c>
      <c r="F134" s="8"/>
      <c r="G134" s="8" t="str">
        <f t="shared" ref="G134:I134" si="297">G27</f>
        <v>AAAAAAAA</v>
      </c>
      <c r="H134" s="8" t="str">
        <f t="shared" si="297"/>
        <v/>
      </c>
      <c r="I134" s="8" t="str">
        <f t="shared" si="297"/>
        <v/>
      </c>
      <c r="J134" s="8">
        <f t="shared" si="209"/>
        <v>0</v>
      </c>
      <c r="K134" s="8">
        <f t="shared" si="209"/>
        <v>0</v>
      </c>
      <c r="L134" s="8"/>
      <c r="M134" s="8" t="str">
        <f t="shared" ref="M134:O134" si="298">M27</f>
        <v>AAAAAAAA</v>
      </c>
      <c r="N134" s="8" t="str">
        <f t="shared" si="298"/>
        <v/>
      </c>
      <c r="O134" s="8" t="str">
        <f t="shared" si="298"/>
        <v/>
      </c>
      <c r="P134" s="8">
        <f t="shared" si="211"/>
        <v>0</v>
      </c>
      <c r="Q134" s="8">
        <f t="shared" si="211"/>
        <v>0</v>
      </c>
      <c r="R134" s="8"/>
      <c r="S134" s="8" t="str">
        <f t="shared" ref="S134:U134" si="299">S27</f>
        <v>AAAAAAAA</v>
      </c>
      <c r="T134" s="8" t="str">
        <f t="shared" si="299"/>
        <v/>
      </c>
      <c r="U134" s="8" t="str">
        <f t="shared" si="299"/>
        <v/>
      </c>
      <c r="V134">
        <f t="shared" si="213"/>
        <v>0</v>
      </c>
      <c r="W134">
        <f t="shared" si="213"/>
        <v>0</v>
      </c>
      <c r="Y134" s="8" t="str">
        <f t="shared" si="214"/>
        <v>AAAAAAAA</v>
      </c>
      <c r="Z134" s="8"/>
      <c r="AB134">
        <f t="shared" si="215"/>
        <v>0</v>
      </c>
      <c r="AC134">
        <f t="shared" si="215"/>
        <v>0</v>
      </c>
      <c r="AE134" s="8" t="str">
        <f>Hidden!$CC10</f>
        <v/>
      </c>
      <c r="AF134">
        <f t="shared" si="216"/>
        <v>0</v>
      </c>
      <c r="AG134">
        <f t="shared" si="217"/>
        <v>0</v>
      </c>
      <c r="AH134">
        <f t="shared" si="218"/>
        <v>0</v>
      </c>
      <c r="AI134">
        <f t="shared" si="219"/>
        <v>0</v>
      </c>
      <c r="AJ134">
        <f t="shared" si="220"/>
        <v>0</v>
      </c>
      <c r="AK134">
        <f t="shared" si="221"/>
        <v>0</v>
      </c>
      <c r="AL134">
        <f t="shared" si="222"/>
        <v>0</v>
      </c>
      <c r="AM134">
        <f t="shared" si="223"/>
        <v>0</v>
      </c>
      <c r="AN134">
        <f t="shared" si="224"/>
        <v>0</v>
      </c>
      <c r="AO134">
        <f t="shared" si="225"/>
        <v>0</v>
      </c>
      <c r="BJ134" s="8" t="str">
        <f t="shared" ref="BJ134:BL134" si="300">BJ27</f>
        <v>AAAAAAAA</v>
      </c>
      <c r="BK134" s="8" t="str">
        <f t="shared" si="300"/>
        <v/>
      </c>
      <c r="BL134" s="8" t="str">
        <f t="shared" si="300"/>
        <v/>
      </c>
      <c r="BM134" s="8">
        <f t="shared" si="227"/>
        <v>0</v>
      </c>
      <c r="BN134" s="8">
        <f t="shared" si="228"/>
        <v>0</v>
      </c>
      <c r="BO134" s="8"/>
      <c r="BP134" s="8" t="str">
        <f t="shared" ref="BP134:BR134" si="301">BP27</f>
        <v>AAAAAAAA</v>
      </c>
      <c r="BQ134" s="8" t="str">
        <f t="shared" si="301"/>
        <v/>
      </c>
      <c r="BR134" s="8" t="str">
        <f t="shared" si="301"/>
        <v/>
      </c>
      <c r="BS134" s="8">
        <f t="shared" si="230"/>
        <v>0</v>
      </c>
      <c r="BT134" s="8">
        <f t="shared" si="231"/>
        <v>0</v>
      </c>
      <c r="BU134" s="8"/>
      <c r="BV134" s="8" t="str">
        <f t="shared" ref="BV134:BX134" si="302">BV27</f>
        <v>AAAAAAAA</v>
      </c>
      <c r="BW134" s="8" t="str">
        <f t="shared" si="302"/>
        <v/>
      </c>
      <c r="BX134" s="8" t="str">
        <f t="shared" si="302"/>
        <v/>
      </c>
      <c r="BY134" s="8">
        <f t="shared" si="233"/>
        <v>0</v>
      </c>
      <c r="BZ134" s="8">
        <f t="shared" si="234"/>
        <v>0</v>
      </c>
      <c r="CA134" s="8"/>
      <c r="CB134" s="8" t="str">
        <f t="shared" ref="CB134:CD134" si="303">CB27</f>
        <v>AAAAAAAA</v>
      </c>
      <c r="CC134" s="8" t="str">
        <f t="shared" si="303"/>
        <v/>
      </c>
      <c r="CD134" s="8" t="str">
        <f t="shared" si="303"/>
        <v/>
      </c>
      <c r="CE134" s="8">
        <f t="shared" si="236"/>
        <v>0</v>
      </c>
      <c r="CF134" s="8">
        <f t="shared" si="237"/>
        <v>0</v>
      </c>
      <c r="CG134" s="8"/>
      <c r="CH134" s="8" t="str">
        <f t="shared" ref="CH134:CJ134" si="304">CH27</f>
        <v>AAAAAAAA</v>
      </c>
      <c r="CI134" s="8" t="str">
        <f t="shared" si="304"/>
        <v/>
      </c>
      <c r="CJ134" s="8" t="str">
        <f t="shared" si="304"/>
        <v/>
      </c>
      <c r="CK134" s="8">
        <f t="shared" si="239"/>
        <v>0</v>
      </c>
      <c r="CL134" s="8">
        <f t="shared" si="240"/>
        <v>0</v>
      </c>
      <c r="CO134" s="8" t="str">
        <f>Hidden!$CC10</f>
        <v/>
      </c>
      <c r="CP134">
        <f t="shared" si="241"/>
        <v>0</v>
      </c>
      <c r="CQ134">
        <f t="shared" si="242"/>
        <v>0</v>
      </c>
      <c r="CR134">
        <f t="shared" si="243"/>
        <v>0</v>
      </c>
      <c r="CS134">
        <f t="shared" si="244"/>
        <v>0</v>
      </c>
      <c r="CT134">
        <f t="shared" si="245"/>
        <v>0</v>
      </c>
      <c r="CU134">
        <f t="shared" si="246"/>
        <v>0</v>
      </c>
      <c r="CV134">
        <f t="shared" si="247"/>
        <v>0</v>
      </c>
      <c r="CW134">
        <f t="shared" si="248"/>
        <v>0</v>
      </c>
      <c r="CX134">
        <f t="shared" si="249"/>
        <v>0</v>
      </c>
      <c r="CY134">
        <f t="shared" si="250"/>
        <v>0</v>
      </c>
      <c r="DT134" s="77"/>
      <c r="DU134" s="8" t="str">
        <f t="shared" si="169"/>
        <v>AAAAAAAAAA</v>
      </c>
      <c r="DV134" s="8" t="str">
        <f t="shared" si="170"/>
        <v/>
      </c>
      <c r="DW134" s="8" t="str">
        <f t="shared" si="171"/>
        <v/>
      </c>
      <c r="DX134" s="8">
        <f t="shared" si="172"/>
        <v>0</v>
      </c>
      <c r="DY134" s="8">
        <f t="shared" si="172"/>
        <v>0</v>
      </c>
      <c r="EA134" s="8" t="str">
        <f t="shared" si="173"/>
        <v>AAAAAAAAAA</v>
      </c>
      <c r="EB134" s="8" t="str">
        <f t="shared" si="174"/>
        <v/>
      </c>
      <c r="EC134" s="8" t="str">
        <f t="shared" si="175"/>
        <v/>
      </c>
      <c r="ED134">
        <f t="shared" si="176"/>
        <v>0</v>
      </c>
      <c r="EE134">
        <f t="shared" si="176"/>
        <v>0</v>
      </c>
      <c r="EG134" s="8" t="str">
        <f t="shared" si="177"/>
        <v>AAAAAAAAAA</v>
      </c>
      <c r="EH134" s="8" t="str">
        <f t="shared" si="178"/>
        <v/>
      </c>
      <c r="EI134" s="8" t="str">
        <f t="shared" si="179"/>
        <v/>
      </c>
      <c r="EJ134" s="8">
        <f t="shared" si="180"/>
        <v>0</v>
      </c>
      <c r="EK134" s="8">
        <f t="shared" si="180"/>
        <v>0</v>
      </c>
      <c r="EM134" s="8" t="str">
        <f t="shared" si="181"/>
        <v>AAAAAAAAAA</v>
      </c>
      <c r="EN134" s="8" t="str">
        <f t="shared" si="182"/>
        <v/>
      </c>
      <c r="EO134" s="8" t="str">
        <f t="shared" si="183"/>
        <v/>
      </c>
      <c r="EP134" s="8">
        <f t="shared" si="184"/>
        <v>0</v>
      </c>
      <c r="EQ134" s="8">
        <f t="shared" si="184"/>
        <v>0</v>
      </c>
      <c r="ES134" s="8" t="str">
        <f t="shared" si="185"/>
        <v>AAAAAAAAAA</v>
      </c>
      <c r="ET134" s="8" t="str">
        <f t="shared" si="186"/>
        <v/>
      </c>
      <c r="EU134" s="8" t="str">
        <f t="shared" si="187"/>
        <v/>
      </c>
      <c r="EV134" s="8">
        <f t="shared" si="188"/>
        <v>0</v>
      </c>
      <c r="EW134" s="8">
        <f t="shared" si="188"/>
        <v>0</v>
      </c>
      <c r="EY134" s="8" t="str">
        <f>Hidden!$CG22</f>
        <v/>
      </c>
      <c r="EZ134">
        <f t="shared" si="189"/>
        <v>0</v>
      </c>
      <c r="FA134">
        <f t="shared" si="190"/>
        <v>0</v>
      </c>
      <c r="FB134">
        <f t="shared" si="191"/>
        <v>0</v>
      </c>
      <c r="FC134">
        <f t="shared" si="192"/>
        <v>0</v>
      </c>
      <c r="FD134">
        <f t="shared" si="193"/>
        <v>0</v>
      </c>
      <c r="FE134">
        <f t="shared" si="194"/>
        <v>0</v>
      </c>
      <c r="FF134">
        <f t="shared" si="195"/>
        <v>0</v>
      </c>
      <c r="FG134">
        <f t="shared" si="196"/>
        <v>0</v>
      </c>
      <c r="FH134">
        <f t="shared" si="197"/>
        <v>0</v>
      </c>
      <c r="FI134">
        <f t="shared" si="198"/>
        <v>0</v>
      </c>
    </row>
    <row r="135" spans="1:165" x14ac:dyDescent="0.2">
      <c r="A135" s="8" t="str">
        <f t="shared" ref="A135:C135" si="305">A28</f>
        <v>AAAAAAAAA</v>
      </c>
      <c r="B135" s="8" t="str">
        <f t="shared" si="305"/>
        <v/>
      </c>
      <c r="C135" s="8" t="str">
        <f t="shared" si="305"/>
        <v/>
      </c>
      <c r="D135" s="8">
        <f t="shared" si="207"/>
        <v>0</v>
      </c>
      <c r="E135" s="8">
        <f t="shared" si="207"/>
        <v>0</v>
      </c>
      <c r="F135" s="8"/>
      <c r="G135" s="8" t="str">
        <f t="shared" ref="G135:I135" si="306">G28</f>
        <v>AAAAAAAAA</v>
      </c>
      <c r="H135" s="8" t="str">
        <f t="shared" si="306"/>
        <v/>
      </c>
      <c r="I135" s="8" t="str">
        <f t="shared" si="306"/>
        <v/>
      </c>
      <c r="J135" s="8">
        <f t="shared" si="209"/>
        <v>0</v>
      </c>
      <c r="K135" s="8">
        <f t="shared" si="209"/>
        <v>0</v>
      </c>
      <c r="L135" s="8"/>
      <c r="M135" s="8" t="str">
        <f t="shared" ref="M135:O135" si="307">M28</f>
        <v>AAAAAAAAA</v>
      </c>
      <c r="N135" s="8" t="str">
        <f t="shared" si="307"/>
        <v/>
      </c>
      <c r="O135" s="8" t="str">
        <f t="shared" si="307"/>
        <v/>
      </c>
      <c r="P135" s="8">
        <f t="shared" si="211"/>
        <v>0</v>
      </c>
      <c r="Q135" s="8">
        <f t="shared" si="211"/>
        <v>0</v>
      </c>
      <c r="R135" s="8"/>
      <c r="S135" s="8" t="str">
        <f t="shared" ref="S135:U135" si="308">S28</f>
        <v>AAAAAAAAA</v>
      </c>
      <c r="T135" s="8" t="str">
        <f t="shared" si="308"/>
        <v/>
      </c>
      <c r="U135" s="8" t="str">
        <f t="shared" si="308"/>
        <v/>
      </c>
      <c r="V135">
        <f t="shared" si="213"/>
        <v>0</v>
      </c>
      <c r="W135">
        <f t="shared" si="213"/>
        <v>0</v>
      </c>
      <c r="Y135" s="8" t="str">
        <f t="shared" si="214"/>
        <v>AAAAAAAAA</v>
      </c>
      <c r="Z135" s="8"/>
      <c r="AB135">
        <f t="shared" si="215"/>
        <v>0</v>
      </c>
      <c r="AC135">
        <f t="shared" si="215"/>
        <v>0</v>
      </c>
      <c r="AE135" s="8" t="str">
        <f>Hidden!$CC11</f>
        <v/>
      </c>
      <c r="AF135">
        <f t="shared" si="216"/>
        <v>0</v>
      </c>
      <c r="AG135">
        <f t="shared" si="217"/>
        <v>0</v>
      </c>
      <c r="AH135">
        <f t="shared" si="218"/>
        <v>0</v>
      </c>
      <c r="AI135">
        <f t="shared" si="219"/>
        <v>0</v>
      </c>
      <c r="AJ135">
        <f t="shared" si="220"/>
        <v>0</v>
      </c>
      <c r="AK135">
        <f t="shared" si="221"/>
        <v>0</v>
      </c>
      <c r="AL135">
        <f t="shared" si="222"/>
        <v>0</v>
      </c>
      <c r="AM135">
        <f t="shared" si="223"/>
        <v>0</v>
      </c>
      <c r="AN135">
        <f t="shared" si="224"/>
        <v>0</v>
      </c>
      <c r="AO135">
        <f t="shared" si="225"/>
        <v>0</v>
      </c>
      <c r="BJ135" s="8" t="str">
        <f t="shared" ref="BJ135:BL135" si="309">BJ28</f>
        <v>AAAAAAAAA</v>
      </c>
      <c r="BK135" s="8" t="str">
        <f t="shared" si="309"/>
        <v/>
      </c>
      <c r="BL135" s="8" t="str">
        <f t="shared" si="309"/>
        <v/>
      </c>
      <c r="BM135" s="8">
        <f t="shared" si="227"/>
        <v>0</v>
      </c>
      <c r="BN135" s="8">
        <f t="shared" si="228"/>
        <v>0</v>
      </c>
      <c r="BO135" s="8"/>
      <c r="BP135" s="8" t="str">
        <f t="shared" ref="BP135:BR135" si="310">BP28</f>
        <v>AAAAAAAAA</v>
      </c>
      <c r="BQ135" s="8" t="str">
        <f t="shared" si="310"/>
        <v/>
      </c>
      <c r="BR135" s="8" t="str">
        <f t="shared" si="310"/>
        <v/>
      </c>
      <c r="BS135" s="8">
        <f t="shared" si="230"/>
        <v>0</v>
      </c>
      <c r="BT135" s="8">
        <f t="shared" si="231"/>
        <v>0</v>
      </c>
      <c r="BU135" s="8"/>
      <c r="BV135" s="8" t="str">
        <f t="shared" ref="BV135:BX135" si="311">BV28</f>
        <v>AAAAAAAAA</v>
      </c>
      <c r="BW135" s="8" t="str">
        <f t="shared" si="311"/>
        <v/>
      </c>
      <c r="BX135" s="8" t="str">
        <f t="shared" si="311"/>
        <v/>
      </c>
      <c r="BY135" s="8">
        <f t="shared" si="233"/>
        <v>0</v>
      </c>
      <c r="BZ135" s="8">
        <f t="shared" si="234"/>
        <v>0</v>
      </c>
      <c r="CA135" s="8"/>
      <c r="CB135" s="8" t="str">
        <f t="shared" ref="CB135:CD135" si="312">CB28</f>
        <v>AAAAAAAAA</v>
      </c>
      <c r="CC135" s="8" t="str">
        <f t="shared" si="312"/>
        <v/>
      </c>
      <c r="CD135" s="8" t="str">
        <f t="shared" si="312"/>
        <v/>
      </c>
      <c r="CE135" s="8">
        <f t="shared" si="236"/>
        <v>0</v>
      </c>
      <c r="CF135" s="8">
        <f t="shared" si="237"/>
        <v>0</v>
      </c>
      <c r="CG135" s="8"/>
      <c r="CH135" s="8" t="str">
        <f t="shared" ref="CH135:CJ135" si="313">CH28</f>
        <v>AAAAAAAAA</v>
      </c>
      <c r="CI135" s="8" t="str">
        <f t="shared" si="313"/>
        <v/>
      </c>
      <c r="CJ135" s="8" t="str">
        <f t="shared" si="313"/>
        <v/>
      </c>
      <c r="CK135" s="8">
        <f t="shared" si="239"/>
        <v>0</v>
      </c>
      <c r="CL135" s="8">
        <f t="shared" si="240"/>
        <v>0</v>
      </c>
      <c r="CO135" s="8" t="str">
        <f>Hidden!$CC11</f>
        <v/>
      </c>
      <c r="CP135">
        <f t="shared" si="241"/>
        <v>0</v>
      </c>
      <c r="CQ135">
        <f t="shared" si="242"/>
        <v>0</v>
      </c>
      <c r="CR135">
        <f t="shared" si="243"/>
        <v>0</v>
      </c>
      <c r="CS135">
        <f t="shared" si="244"/>
        <v>0</v>
      </c>
      <c r="CT135">
        <f t="shared" si="245"/>
        <v>0</v>
      </c>
      <c r="CU135">
        <f t="shared" si="246"/>
        <v>0</v>
      </c>
      <c r="CV135">
        <f t="shared" si="247"/>
        <v>0</v>
      </c>
      <c r="CW135">
        <f t="shared" si="248"/>
        <v>0</v>
      </c>
      <c r="CX135">
        <f t="shared" si="249"/>
        <v>0</v>
      </c>
      <c r="CY135">
        <f t="shared" si="250"/>
        <v>0</v>
      </c>
      <c r="DT135" s="77"/>
      <c r="DU135" s="8" t="str">
        <f t="shared" si="169"/>
        <v>A</v>
      </c>
      <c r="DV135" s="8" t="str">
        <f t="shared" si="170"/>
        <v/>
      </c>
      <c r="DW135" s="8" t="str">
        <f t="shared" si="171"/>
        <v/>
      </c>
      <c r="DX135" s="8">
        <f t="shared" si="172"/>
        <v>0</v>
      </c>
      <c r="DY135" s="8">
        <f t="shared" si="172"/>
        <v>0</v>
      </c>
      <c r="EA135" s="8" t="str">
        <f t="shared" si="173"/>
        <v>A</v>
      </c>
      <c r="EB135" s="8" t="str">
        <f t="shared" si="174"/>
        <v/>
      </c>
      <c r="EC135" s="8" t="str">
        <f t="shared" si="175"/>
        <v/>
      </c>
      <c r="ED135">
        <f t="shared" si="176"/>
        <v>0</v>
      </c>
      <c r="EE135">
        <f t="shared" si="176"/>
        <v>0</v>
      </c>
      <c r="EG135" s="8" t="str">
        <f t="shared" si="177"/>
        <v>A</v>
      </c>
      <c r="EH135" s="8" t="str">
        <f t="shared" si="178"/>
        <v/>
      </c>
      <c r="EI135" s="8" t="str">
        <f t="shared" si="179"/>
        <v/>
      </c>
      <c r="EJ135" s="8">
        <f t="shared" si="180"/>
        <v>0</v>
      </c>
      <c r="EK135" s="8">
        <f t="shared" si="180"/>
        <v>0</v>
      </c>
      <c r="EM135" s="8" t="str">
        <f t="shared" si="181"/>
        <v>A</v>
      </c>
      <c r="EN135" s="8" t="str">
        <f t="shared" si="182"/>
        <v/>
      </c>
      <c r="EO135" s="8" t="str">
        <f t="shared" si="183"/>
        <v/>
      </c>
      <c r="EP135" s="8">
        <f t="shared" si="184"/>
        <v>0</v>
      </c>
      <c r="EQ135" s="8">
        <f t="shared" si="184"/>
        <v>0</v>
      </c>
      <c r="ES135" s="8" t="str">
        <f t="shared" si="185"/>
        <v>A</v>
      </c>
      <c r="ET135" s="8" t="str">
        <f t="shared" si="186"/>
        <v/>
      </c>
      <c r="EU135" s="8" t="str">
        <f t="shared" si="187"/>
        <v/>
      </c>
      <c r="EV135" s="8">
        <f t="shared" si="188"/>
        <v>0</v>
      </c>
      <c r="EW135" s="8">
        <f t="shared" si="188"/>
        <v>0</v>
      </c>
      <c r="EY135" s="8" t="str">
        <f>Hidden!$CG23</f>
        <v/>
      </c>
      <c r="EZ135">
        <f t="shared" si="189"/>
        <v>0</v>
      </c>
      <c r="FA135">
        <f t="shared" si="190"/>
        <v>0</v>
      </c>
      <c r="FB135">
        <f t="shared" si="191"/>
        <v>0</v>
      </c>
      <c r="FC135">
        <f t="shared" si="192"/>
        <v>0</v>
      </c>
      <c r="FD135">
        <f t="shared" si="193"/>
        <v>0</v>
      </c>
      <c r="FE135">
        <f t="shared" si="194"/>
        <v>0</v>
      </c>
      <c r="FF135">
        <f t="shared" si="195"/>
        <v>0</v>
      </c>
      <c r="FG135">
        <f t="shared" si="196"/>
        <v>0</v>
      </c>
      <c r="FH135">
        <f t="shared" si="197"/>
        <v>0</v>
      </c>
      <c r="FI135">
        <f t="shared" si="198"/>
        <v>0</v>
      </c>
    </row>
    <row r="136" spans="1:165" x14ac:dyDescent="0.2">
      <c r="A136" s="8" t="str">
        <f t="shared" ref="A136:C136" si="314">A29</f>
        <v>AAAAAAAAAA</v>
      </c>
      <c r="B136" s="8" t="str">
        <f t="shared" si="314"/>
        <v/>
      </c>
      <c r="C136" s="8" t="str">
        <f t="shared" si="314"/>
        <v/>
      </c>
      <c r="D136" s="8">
        <f>IF($C136="",0,$C136*D$124)</f>
        <v>0</v>
      </c>
      <c r="E136" s="8">
        <f t="shared" si="207"/>
        <v>0</v>
      </c>
      <c r="F136" s="8"/>
      <c r="G136" s="8" t="str">
        <f t="shared" ref="G136:I136" si="315">G29</f>
        <v>AAAAAAAAAA</v>
      </c>
      <c r="H136" s="8" t="str">
        <f t="shared" si="315"/>
        <v/>
      </c>
      <c r="I136" s="8" t="str">
        <f t="shared" si="315"/>
        <v/>
      </c>
      <c r="J136" s="8">
        <f t="shared" si="209"/>
        <v>0</v>
      </c>
      <c r="K136" s="8">
        <f t="shared" si="209"/>
        <v>0</v>
      </c>
      <c r="L136" s="8"/>
      <c r="M136" s="8" t="str">
        <f t="shared" ref="M136:O136" si="316">M29</f>
        <v>AAAAAAAAAA</v>
      </c>
      <c r="N136" s="8" t="str">
        <f t="shared" si="316"/>
        <v/>
      </c>
      <c r="O136" s="8" t="str">
        <f t="shared" si="316"/>
        <v/>
      </c>
      <c r="P136" s="8">
        <f t="shared" si="211"/>
        <v>0</v>
      </c>
      <c r="Q136" s="8">
        <f t="shared" si="211"/>
        <v>0</v>
      </c>
      <c r="R136" s="8"/>
      <c r="S136" s="8" t="str">
        <f t="shared" ref="S136:U136" si="317">S29</f>
        <v>AAAAAAAAAA</v>
      </c>
      <c r="T136" s="8" t="str">
        <f t="shared" si="317"/>
        <v/>
      </c>
      <c r="U136" s="8" t="str">
        <f t="shared" si="317"/>
        <v/>
      </c>
      <c r="V136">
        <f t="shared" si="213"/>
        <v>0</v>
      </c>
      <c r="W136">
        <f t="shared" si="213"/>
        <v>0</v>
      </c>
      <c r="Y136" s="8" t="str">
        <f t="shared" si="214"/>
        <v>AAAAAAAAAA</v>
      </c>
      <c r="Z136" s="8"/>
      <c r="AB136">
        <f t="shared" si="215"/>
        <v>0</v>
      </c>
      <c r="AC136">
        <f t="shared" si="215"/>
        <v>0</v>
      </c>
      <c r="AE136" s="8" t="str">
        <f>Hidden!$CC12</f>
        <v/>
      </c>
      <c r="AF136">
        <f t="shared" si="216"/>
        <v>0</v>
      </c>
      <c r="AG136">
        <f t="shared" si="217"/>
        <v>0</v>
      </c>
      <c r="AH136">
        <f t="shared" si="218"/>
        <v>0</v>
      </c>
      <c r="AI136">
        <f t="shared" si="219"/>
        <v>0</v>
      </c>
      <c r="AJ136">
        <f t="shared" si="220"/>
        <v>0</v>
      </c>
      <c r="AK136">
        <f t="shared" si="221"/>
        <v>0</v>
      </c>
      <c r="AL136">
        <f t="shared" si="222"/>
        <v>0</v>
      </c>
      <c r="AM136">
        <f t="shared" si="223"/>
        <v>0</v>
      </c>
      <c r="AN136">
        <f t="shared" si="224"/>
        <v>0</v>
      </c>
      <c r="AO136">
        <f t="shared" si="225"/>
        <v>0</v>
      </c>
      <c r="BJ136" s="8" t="str">
        <f t="shared" ref="BJ136:BL136" si="318">BJ29</f>
        <v>AAAAAAAAAA</v>
      </c>
      <c r="BK136" s="8" t="str">
        <f t="shared" si="318"/>
        <v/>
      </c>
      <c r="BL136" s="8" t="str">
        <f t="shared" si="318"/>
        <v/>
      </c>
      <c r="BM136" s="8">
        <f t="shared" si="227"/>
        <v>0</v>
      </c>
      <c r="BN136" s="8">
        <f t="shared" si="228"/>
        <v>0</v>
      </c>
      <c r="BO136" s="8"/>
      <c r="BP136" s="8" t="str">
        <f t="shared" ref="BP136:BR136" si="319">BP29</f>
        <v>AAAAAAAAAA</v>
      </c>
      <c r="BQ136" s="8" t="str">
        <f t="shared" si="319"/>
        <v/>
      </c>
      <c r="BR136" s="8" t="str">
        <f t="shared" si="319"/>
        <v/>
      </c>
      <c r="BS136" s="8">
        <f t="shared" si="230"/>
        <v>0</v>
      </c>
      <c r="BT136" s="8">
        <f t="shared" si="231"/>
        <v>0</v>
      </c>
      <c r="BU136" s="8"/>
      <c r="BV136" s="8" t="str">
        <f t="shared" ref="BV136:BX136" si="320">BV29</f>
        <v>AAAAAAAAAA</v>
      </c>
      <c r="BW136" s="8" t="str">
        <f t="shared" si="320"/>
        <v/>
      </c>
      <c r="BX136" s="8" t="str">
        <f t="shared" si="320"/>
        <v/>
      </c>
      <c r="BY136" s="8">
        <f t="shared" si="233"/>
        <v>0</v>
      </c>
      <c r="BZ136" s="8">
        <f t="shared" si="234"/>
        <v>0</v>
      </c>
      <c r="CA136" s="8"/>
      <c r="CB136" s="8" t="str">
        <f t="shared" ref="CB136:CD136" si="321">CB29</f>
        <v>AAAAAAAAAA</v>
      </c>
      <c r="CC136" s="8" t="str">
        <f t="shared" si="321"/>
        <v/>
      </c>
      <c r="CD136" s="8" t="str">
        <f t="shared" si="321"/>
        <v/>
      </c>
      <c r="CE136" s="8">
        <f t="shared" si="236"/>
        <v>0</v>
      </c>
      <c r="CF136" s="8">
        <f t="shared" si="237"/>
        <v>0</v>
      </c>
      <c r="CG136" s="8"/>
      <c r="CH136" s="8" t="str">
        <f t="shared" ref="CH136:CJ136" si="322">CH29</f>
        <v>AAAAAAAAAA</v>
      </c>
      <c r="CI136" s="8" t="str">
        <f t="shared" si="322"/>
        <v/>
      </c>
      <c r="CJ136" s="8" t="str">
        <f t="shared" si="322"/>
        <v/>
      </c>
      <c r="CK136" s="8">
        <f t="shared" si="239"/>
        <v>0</v>
      </c>
      <c r="CL136" s="8">
        <f t="shared" si="240"/>
        <v>0</v>
      </c>
      <c r="CO136" s="8" t="str">
        <f>Hidden!$CC12</f>
        <v/>
      </c>
      <c r="CP136">
        <f t="shared" si="241"/>
        <v>0</v>
      </c>
      <c r="CQ136">
        <f t="shared" si="242"/>
        <v>0</v>
      </c>
      <c r="CR136">
        <f t="shared" si="243"/>
        <v>0</v>
      </c>
      <c r="CS136">
        <f t="shared" si="244"/>
        <v>0</v>
      </c>
      <c r="CT136">
        <f t="shared" si="245"/>
        <v>0</v>
      </c>
      <c r="CU136">
        <f t="shared" si="246"/>
        <v>0</v>
      </c>
      <c r="CV136">
        <f t="shared" si="247"/>
        <v>0</v>
      </c>
      <c r="CW136">
        <f t="shared" si="248"/>
        <v>0</v>
      </c>
      <c r="CX136">
        <f t="shared" si="249"/>
        <v>0</v>
      </c>
      <c r="CY136">
        <f t="shared" si="250"/>
        <v>0</v>
      </c>
      <c r="DT136" s="77"/>
      <c r="DU136" s="8" t="str">
        <f t="shared" si="169"/>
        <v>AA</v>
      </c>
      <c r="DV136" s="8" t="str">
        <f t="shared" si="170"/>
        <v/>
      </c>
      <c r="DW136" s="8" t="str">
        <f t="shared" si="171"/>
        <v/>
      </c>
      <c r="DX136" s="8">
        <f t="shared" si="172"/>
        <v>0</v>
      </c>
      <c r="DY136" s="8">
        <f t="shared" si="172"/>
        <v>0</v>
      </c>
      <c r="EA136" s="8" t="str">
        <f t="shared" si="173"/>
        <v>AA</v>
      </c>
      <c r="EB136" s="8" t="str">
        <f t="shared" si="174"/>
        <v/>
      </c>
      <c r="EC136" s="8" t="str">
        <f t="shared" si="175"/>
        <v/>
      </c>
      <c r="ED136">
        <f t="shared" si="176"/>
        <v>0</v>
      </c>
      <c r="EE136">
        <f t="shared" si="176"/>
        <v>0</v>
      </c>
      <c r="EG136" s="8" t="str">
        <f t="shared" si="177"/>
        <v>AA</v>
      </c>
      <c r="EH136" s="8" t="str">
        <f t="shared" si="178"/>
        <v/>
      </c>
      <c r="EI136" s="8" t="str">
        <f t="shared" si="179"/>
        <v/>
      </c>
      <c r="EJ136" s="8">
        <f t="shared" si="180"/>
        <v>0</v>
      </c>
      <c r="EK136" s="8">
        <f t="shared" si="180"/>
        <v>0</v>
      </c>
      <c r="EM136" s="8" t="str">
        <f t="shared" si="181"/>
        <v>AA</v>
      </c>
      <c r="EN136" s="8" t="str">
        <f t="shared" si="182"/>
        <v/>
      </c>
      <c r="EO136" s="8" t="str">
        <f t="shared" si="183"/>
        <v/>
      </c>
      <c r="EP136" s="8">
        <f t="shared" si="184"/>
        <v>0</v>
      </c>
      <c r="EQ136" s="8">
        <f t="shared" si="184"/>
        <v>0</v>
      </c>
      <c r="ES136" s="8" t="str">
        <f t="shared" si="185"/>
        <v>AA</v>
      </c>
      <c r="ET136" s="8" t="str">
        <f t="shared" si="186"/>
        <v/>
      </c>
      <c r="EU136" s="8" t="str">
        <f t="shared" si="187"/>
        <v/>
      </c>
      <c r="EV136" s="8">
        <f t="shared" si="188"/>
        <v>0</v>
      </c>
      <c r="EW136" s="8">
        <f t="shared" si="188"/>
        <v>0</v>
      </c>
      <c r="EY136" s="8" t="str">
        <f>Hidden!$CG24</f>
        <v/>
      </c>
      <c r="EZ136">
        <f t="shared" si="189"/>
        <v>0</v>
      </c>
      <c r="FA136">
        <f t="shared" si="190"/>
        <v>0</v>
      </c>
      <c r="FB136">
        <f t="shared" si="191"/>
        <v>0</v>
      </c>
      <c r="FC136">
        <f t="shared" si="192"/>
        <v>0</v>
      </c>
      <c r="FD136">
        <f t="shared" si="193"/>
        <v>0</v>
      </c>
      <c r="FE136">
        <f t="shared" si="194"/>
        <v>0</v>
      </c>
      <c r="FF136">
        <f t="shared" si="195"/>
        <v>0</v>
      </c>
      <c r="FG136">
        <f t="shared" si="196"/>
        <v>0</v>
      </c>
      <c r="FH136">
        <f t="shared" si="197"/>
        <v>0</v>
      </c>
      <c r="FI136">
        <f t="shared" si="198"/>
        <v>0</v>
      </c>
    </row>
    <row r="137" spans="1:165" x14ac:dyDescent="0.2">
      <c r="A137" s="8" t="str">
        <f t="shared" ref="A137:C137" si="323">A30</f>
        <v>A</v>
      </c>
      <c r="B137" s="8" t="str">
        <f t="shared" si="323"/>
        <v/>
      </c>
      <c r="C137" s="8" t="str">
        <f t="shared" si="323"/>
        <v/>
      </c>
      <c r="D137" s="8">
        <f t="shared" si="207"/>
        <v>0</v>
      </c>
      <c r="E137" s="8">
        <f t="shared" si="207"/>
        <v>0</v>
      </c>
      <c r="F137" s="8"/>
      <c r="G137" s="8" t="str">
        <f t="shared" ref="G137:I137" si="324">G30</f>
        <v>A</v>
      </c>
      <c r="H137" s="8" t="str">
        <f t="shared" si="324"/>
        <v/>
      </c>
      <c r="I137" s="8" t="str">
        <f t="shared" si="324"/>
        <v/>
      </c>
      <c r="J137" s="8">
        <f t="shared" si="209"/>
        <v>0</v>
      </c>
      <c r="K137" s="8">
        <f t="shared" si="209"/>
        <v>0</v>
      </c>
      <c r="L137" s="8"/>
      <c r="M137" s="8" t="str">
        <f t="shared" ref="M137:O137" si="325">M30</f>
        <v>A</v>
      </c>
      <c r="N137" s="8" t="str">
        <f t="shared" si="325"/>
        <v/>
      </c>
      <c r="O137" s="8" t="str">
        <f t="shared" si="325"/>
        <v/>
      </c>
      <c r="P137" s="8">
        <f t="shared" si="211"/>
        <v>0</v>
      </c>
      <c r="Q137" s="8">
        <f t="shared" si="211"/>
        <v>0</v>
      </c>
      <c r="R137" s="8"/>
      <c r="S137" s="8" t="str">
        <f t="shared" ref="S137:U137" si="326">S30</f>
        <v>A</v>
      </c>
      <c r="T137" s="8" t="str">
        <f t="shared" si="326"/>
        <v/>
      </c>
      <c r="U137" s="8" t="str">
        <f t="shared" si="326"/>
        <v/>
      </c>
      <c r="V137">
        <f t="shared" si="213"/>
        <v>0</v>
      </c>
      <c r="W137">
        <f t="shared" si="213"/>
        <v>0</v>
      </c>
      <c r="Y137" s="8" t="str">
        <f t="shared" si="214"/>
        <v>A</v>
      </c>
      <c r="Z137" s="8"/>
      <c r="AB137">
        <f t="shared" si="215"/>
        <v>0</v>
      </c>
      <c r="AC137">
        <f t="shared" si="215"/>
        <v>0</v>
      </c>
      <c r="AE137" s="8" t="str">
        <f>Hidden!$CC13</f>
        <v/>
      </c>
      <c r="AF137">
        <f t="shared" si="216"/>
        <v>0</v>
      </c>
      <c r="AG137">
        <f t="shared" si="217"/>
        <v>0</v>
      </c>
      <c r="AH137">
        <f t="shared" si="218"/>
        <v>0</v>
      </c>
      <c r="AI137">
        <f t="shared" si="219"/>
        <v>0</v>
      </c>
      <c r="AJ137">
        <f t="shared" si="220"/>
        <v>0</v>
      </c>
      <c r="AK137">
        <f t="shared" si="221"/>
        <v>0</v>
      </c>
      <c r="AL137">
        <f t="shared" si="222"/>
        <v>0</v>
      </c>
      <c r="AM137">
        <f t="shared" si="223"/>
        <v>0</v>
      </c>
      <c r="AN137">
        <f t="shared" si="224"/>
        <v>0</v>
      </c>
      <c r="AO137">
        <f t="shared" si="225"/>
        <v>0</v>
      </c>
      <c r="BJ137" s="8" t="str">
        <f t="shared" ref="BJ137:BL137" si="327">BJ30</f>
        <v>A</v>
      </c>
      <c r="BK137" s="8" t="str">
        <f t="shared" si="327"/>
        <v/>
      </c>
      <c r="BL137" s="8" t="str">
        <f t="shared" si="327"/>
        <v/>
      </c>
      <c r="BM137" s="8">
        <f t="shared" si="227"/>
        <v>0</v>
      </c>
      <c r="BN137" s="8">
        <f t="shared" si="228"/>
        <v>0</v>
      </c>
      <c r="BO137" s="8"/>
      <c r="BP137" s="8" t="str">
        <f t="shared" ref="BP137:BR137" si="328">BP30</f>
        <v>A</v>
      </c>
      <c r="BQ137" s="8" t="str">
        <f t="shared" si="328"/>
        <v/>
      </c>
      <c r="BR137" s="8" t="str">
        <f t="shared" si="328"/>
        <v/>
      </c>
      <c r="BS137" s="8">
        <f t="shared" si="230"/>
        <v>0</v>
      </c>
      <c r="BT137" s="8">
        <f t="shared" si="231"/>
        <v>0</v>
      </c>
      <c r="BU137" s="8"/>
      <c r="BV137" s="8" t="str">
        <f t="shared" ref="BV137:BX137" si="329">BV30</f>
        <v>A</v>
      </c>
      <c r="BW137" s="8" t="str">
        <f t="shared" si="329"/>
        <v/>
      </c>
      <c r="BX137" s="8" t="str">
        <f t="shared" si="329"/>
        <v/>
      </c>
      <c r="BY137" s="8">
        <f t="shared" si="233"/>
        <v>0</v>
      </c>
      <c r="BZ137" s="8">
        <f t="shared" si="234"/>
        <v>0</v>
      </c>
      <c r="CA137" s="8"/>
      <c r="CB137" s="8" t="str">
        <f t="shared" ref="CB137:CD137" si="330">CB30</f>
        <v>A</v>
      </c>
      <c r="CC137" s="8" t="str">
        <f t="shared" si="330"/>
        <v/>
      </c>
      <c r="CD137" s="8" t="str">
        <f t="shared" si="330"/>
        <v/>
      </c>
      <c r="CE137" s="8">
        <f t="shared" si="236"/>
        <v>0</v>
      </c>
      <c r="CF137" s="8">
        <f t="shared" si="237"/>
        <v>0</v>
      </c>
      <c r="CG137" s="8"/>
      <c r="CH137" s="8" t="str">
        <f t="shared" ref="CH137:CJ137" si="331">CH30</f>
        <v>A</v>
      </c>
      <c r="CI137" s="8" t="str">
        <f t="shared" si="331"/>
        <v/>
      </c>
      <c r="CJ137" s="8" t="str">
        <f t="shared" si="331"/>
        <v/>
      </c>
      <c r="CK137" s="8">
        <f t="shared" si="239"/>
        <v>0</v>
      </c>
      <c r="CL137" s="8">
        <f t="shared" si="240"/>
        <v>0</v>
      </c>
      <c r="CO137" s="8" t="str">
        <f>Hidden!$CC13</f>
        <v/>
      </c>
      <c r="CP137">
        <f t="shared" si="241"/>
        <v>0</v>
      </c>
      <c r="CQ137">
        <f t="shared" si="242"/>
        <v>0</v>
      </c>
      <c r="CR137">
        <f t="shared" si="243"/>
        <v>0</v>
      </c>
      <c r="CS137">
        <f t="shared" si="244"/>
        <v>0</v>
      </c>
      <c r="CT137">
        <f t="shared" si="245"/>
        <v>0</v>
      </c>
      <c r="CU137">
        <f t="shared" si="246"/>
        <v>0</v>
      </c>
      <c r="CV137">
        <f t="shared" si="247"/>
        <v>0</v>
      </c>
      <c r="CW137">
        <f t="shared" si="248"/>
        <v>0</v>
      </c>
      <c r="CX137">
        <f t="shared" si="249"/>
        <v>0</v>
      </c>
      <c r="CY137">
        <f t="shared" si="250"/>
        <v>0</v>
      </c>
      <c r="DT137" s="77"/>
      <c r="DU137" s="8" t="str">
        <f t="shared" si="169"/>
        <v>AAA</v>
      </c>
      <c r="DV137" s="8" t="str">
        <f t="shared" si="170"/>
        <v/>
      </c>
      <c r="DW137" s="8" t="str">
        <f t="shared" si="171"/>
        <v/>
      </c>
      <c r="DX137" s="8">
        <f t="shared" si="172"/>
        <v>0</v>
      </c>
      <c r="DY137" s="8">
        <f t="shared" si="172"/>
        <v>0</v>
      </c>
      <c r="EA137" s="8" t="str">
        <f t="shared" si="173"/>
        <v>AAA</v>
      </c>
      <c r="EB137" s="8" t="str">
        <f t="shared" si="174"/>
        <v/>
      </c>
      <c r="EC137" s="8" t="str">
        <f t="shared" si="175"/>
        <v/>
      </c>
      <c r="ED137">
        <f t="shared" si="176"/>
        <v>0</v>
      </c>
      <c r="EE137">
        <f t="shared" si="176"/>
        <v>0</v>
      </c>
      <c r="EG137" s="8" t="str">
        <f t="shared" si="177"/>
        <v>AAA</v>
      </c>
      <c r="EH137" s="8" t="str">
        <f t="shared" si="178"/>
        <v/>
      </c>
      <c r="EI137" s="8" t="str">
        <f t="shared" si="179"/>
        <v/>
      </c>
      <c r="EJ137" s="8">
        <f t="shared" si="180"/>
        <v>0</v>
      </c>
      <c r="EK137" s="8">
        <f t="shared" si="180"/>
        <v>0</v>
      </c>
      <c r="EM137" s="8" t="str">
        <f t="shared" si="181"/>
        <v>AAA</v>
      </c>
      <c r="EN137" s="8" t="str">
        <f t="shared" si="182"/>
        <v/>
      </c>
      <c r="EO137" s="8" t="str">
        <f t="shared" si="183"/>
        <v/>
      </c>
      <c r="EP137" s="8">
        <f t="shared" si="184"/>
        <v>0</v>
      </c>
      <c r="EQ137" s="8">
        <f t="shared" si="184"/>
        <v>0</v>
      </c>
      <c r="ES137" s="8" t="str">
        <f t="shared" si="185"/>
        <v>AAA</v>
      </c>
      <c r="ET137" s="8" t="str">
        <f t="shared" si="186"/>
        <v/>
      </c>
      <c r="EU137" s="8" t="str">
        <f t="shared" si="187"/>
        <v/>
      </c>
      <c r="EV137" s="8">
        <f t="shared" si="188"/>
        <v>0</v>
      </c>
      <c r="EW137" s="8">
        <f t="shared" si="188"/>
        <v>0</v>
      </c>
      <c r="EY137" s="8" t="str">
        <f>Hidden!$CG25</f>
        <v/>
      </c>
      <c r="EZ137">
        <f t="shared" si="189"/>
        <v>0</v>
      </c>
      <c r="FA137">
        <f t="shared" si="190"/>
        <v>0</v>
      </c>
      <c r="FB137">
        <f t="shared" si="191"/>
        <v>0</v>
      </c>
      <c r="FC137">
        <f t="shared" si="192"/>
        <v>0</v>
      </c>
      <c r="FD137">
        <f t="shared" si="193"/>
        <v>0</v>
      </c>
      <c r="FE137">
        <f t="shared" si="194"/>
        <v>0</v>
      </c>
      <c r="FF137">
        <f t="shared" si="195"/>
        <v>0</v>
      </c>
      <c r="FG137">
        <f t="shared" si="196"/>
        <v>0</v>
      </c>
      <c r="FH137">
        <f t="shared" si="197"/>
        <v>0</v>
      </c>
      <c r="FI137">
        <f t="shared" si="198"/>
        <v>0</v>
      </c>
    </row>
    <row r="138" spans="1:165" x14ac:dyDescent="0.2">
      <c r="A138" s="8" t="str">
        <f t="shared" ref="A138:C138" si="332">A31</f>
        <v>AA</v>
      </c>
      <c r="B138" s="8" t="str">
        <f t="shared" si="332"/>
        <v/>
      </c>
      <c r="C138" s="8" t="str">
        <f t="shared" si="332"/>
        <v/>
      </c>
      <c r="D138" s="8">
        <f t="shared" si="207"/>
        <v>0</v>
      </c>
      <c r="E138" s="8">
        <f t="shared" si="207"/>
        <v>0</v>
      </c>
      <c r="F138" s="8"/>
      <c r="G138" s="8" t="str">
        <f t="shared" ref="G138:I138" si="333">G31</f>
        <v>AA</v>
      </c>
      <c r="H138" s="8" t="str">
        <f t="shared" si="333"/>
        <v/>
      </c>
      <c r="I138" s="8" t="str">
        <f t="shared" si="333"/>
        <v/>
      </c>
      <c r="J138" s="8">
        <f t="shared" si="209"/>
        <v>0</v>
      </c>
      <c r="K138" s="8">
        <f t="shared" si="209"/>
        <v>0</v>
      </c>
      <c r="L138" s="8"/>
      <c r="M138" s="8" t="str">
        <f t="shared" ref="M138:O138" si="334">M31</f>
        <v>AA</v>
      </c>
      <c r="N138" s="8" t="str">
        <f t="shared" si="334"/>
        <v/>
      </c>
      <c r="O138" s="8" t="str">
        <f t="shared" si="334"/>
        <v/>
      </c>
      <c r="P138" s="8">
        <f t="shared" si="211"/>
        <v>0</v>
      </c>
      <c r="Q138" s="8">
        <f t="shared" si="211"/>
        <v>0</v>
      </c>
      <c r="R138" s="8"/>
      <c r="S138" s="8" t="str">
        <f t="shared" ref="S138:U138" si="335">S31</f>
        <v>AA</v>
      </c>
      <c r="T138" s="8" t="str">
        <f t="shared" si="335"/>
        <v/>
      </c>
      <c r="U138" s="8" t="str">
        <f t="shared" si="335"/>
        <v/>
      </c>
      <c r="V138">
        <f t="shared" si="213"/>
        <v>0</v>
      </c>
      <c r="W138">
        <f t="shared" si="213"/>
        <v>0</v>
      </c>
      <c r="Y138" s="8" t="str">
        <f t="shared" si="214"/>
        <v>AA</v>
      </c>
      <c r="Z138" s="8"/>
      <c r="AB138">
        <f t="shared" si="215"/>
        <v>0</v>
      </c>
      <c r="AC138">
        <f t="shared" si="215"/>
        <v>0</v>
      </c>
      <c r="AE138" s="8" t="str">
        <f>Hidden!$CC14</f>
        <v/>
      </c>
      <c r="AF138">
        <f t="shared" si="216"/>
        <v>0</v>
      </c>
      <c r="AG138">
        <f t="shared" si="217"/>
        <v>0</v>
      </c>
      <c r="AH138">
        <f t="shared" si="218"/>
        <v>0</v>
      </c>
      <c r="AI138">
        <f t="shared" si="219"/>
        <v>0</v>
      </c>
      <c r="AJ138">
        <f t="shared" si="220"/>
        <v>0</v>
      </c>
      <c r="AK138">
        <f t="shared" si="221"/>
        <v>0</v>
      </c>
      <c r="AL138">
        <f t="shared" si="222"/>
        <v>0</v>
      </c>
      <c r="AM138">
        <f t="shared" si="223"/>
        <v>0</v>
      </c>
      <c r="AN138">
        <f t="shared" si="224"/>
        <v>0</v>
      </c>
      <c r="AO138">
        <f t="shared" si="225"/>
        <v>0</v>
      </c>
      <c r="BJ138" s="8" t="str">
        <f t="shared" ref="BJ138:BL138" si="336">BJ31</f>
        <v>AA</v>
      </c>
      <c r="BK138" s="8" t="str">
        <f t="shared" si="336"/>
        <v/>
      </c>
      <c r="BL138" s="8" t="str">
        <f t="shared" si="336"/>
        <v/>
      </c>
      <c r="BM138" s="8">
        <f t="shared" si="227"/>
        <v>0</v>
      </c>
      <c r="BN138" s="8">
        <f t="shared" si="228"/>
        <v>0</v>
      </c>
      <c r="BO138" s="8"/>
      <c r="BP138" s="8" t="str">
        <f t="shared" ref="BP138:BR138" si="337">BP31</f>
        <v>AA</v>
      </c>
      <c r="BQ138" s="8" t="str">
        <f t="shared" si="337"/>
        <v/>
      </c>
      <c r="BR138" s="8" t="str">
        <f t="shared" si="337"/>
        <v/>
      </c>
      <c r="BS138" s="8">
        <f t="shared" si="230"/>
        <v>0</v>
      </c>
      <c r="BT138" s="8">
        <f t="shared" si="231"/>
        <v>0</v>
      </c>
      <c r="BU138" s="8"/>
      <c r="BV138" s="8" t="str">
        <f t="shared" ref="BV138:BX138" si="338">BV31</f>
        <v>AA</v>
      </c>
      <c r="BW138" s="8" t="str">
        <f t="shared" si="338"/>
        <v/>
      </c>
      <c r="BX138" s="8" t="str">
        <f t="shared" si="338"/>
        <v/>
      </c>
      <c r="BY138" s="8">
        <f t="shared" si="233"/>
        <v>0</v>
      </c>
      <c r="BZ138" s="8">
        <f t="shared" si="234"/>
        <v>0</v>
      </c>
      <c r="CA138" s="8"/>
      <c r="CB138" s="8" t="str">
        <f t="shared" ref="CB138:CD138" si="339">CB31</f>
        <v>AA</v>
      </c>
      <c r="CC138" s="8" t="str">
        <f t="shared" si="339"/>
        <v/>
      </c>
      <c r="CD138" s="8" t="str">
        <f t="shared" si="339"/>
        <v/>
      </c>
      <c r="CE138" s="8">
        <f t="shared" si="236"/>
        <v>0</v>
      </c>
      <c r="CF138" s="8">
        <f t="shared" si="237"/>
        <v>0</v>
      </c>
      <c r="CG138" s="8"/>
      <c r="CH138" s="8" t="str">
        <f t="shared" ref="CH138:CJ138" si="340">CH31</f>
        <v>AA</v>
      </c>
      <c r="CI138" s="8" t="str">
        <f t="shared" si="340"/>
        <v/>
      </c>
      <c r="CJ138" s="8" t="str">
        <f t="shared" si="340"/>
        <v/>
      </c>
      <c r="CK138" s="8">
        <f t="shared" si="239"/>
        <v>0</v>
      </c>
      <c r="CL138" s="8">
        <f t="shared" si="240"/>
        <v>0</v>
      </c>
      <c r="CO138" s="8" t="str">
        <f>Hidden!$CC14</f>
        <v/>
      </c>
      <c r="CP138">
        <f t="shared" si="241"/>
        <v>0</v>
      </c>
      <c r="CQ138">
        <f t="shared" si="242"/>
        <v>0</v>
      </c>
      <c r="CR138">
        <f t="shared" si="243"/>
        <v>0</v>
      </c>
      <c r="CS138">
        <f t="shared" si="244"/>
        <v>0</v>
      </c>
      <c r="CT138">
        <f t="shared" si="245"/>
        <v>0</v>
      </c>
      <c r="CU138">
        <f t="shared" si="246"/>
        <v>0</v>
      </c>
      <c r="CV138">
        <f t="shared" si="247"/>
        <v>0</v>
      </c>
      <c r="CW138">
        <f t="shared" si="248"/>
        <v>0</v>
      </c>
      <c r="CX138">
        <f t="shared" si="249"/>
        <v>0</v>
      </c>
      <c r="CY138">
        <f t="shared" si="250"/>
        <v>0</v>
      </c>
      <c r="DT138" s="77"/>
      <c r="DU138" s="8" t="str">
        <f t="shared" si="169"/>
        <v>AAAA</v>
      </c>
      <c r="DV138" s="8" t="str">
        <f t="shared" si="170"/>
        <v/>
      </c>
      <c r="DW138" s="8" t="str">
        <f t="shared" si="171"/>
        <v/>
      </c>
      <c r="DX138" s="8">
        <f t="shared" si="172"/>
        <v>0</v>
      </c>
      <c r="DY138" s="8">
        <f t="shared" si="172"/>
        <v>0</v>
      </c>
      <c r="EA138" s="8" t="str">
        <f t="shared" si="173"/>
        <v>AAAA</v>
      </c>
      <c r="EB138" s="8" t="str">
        <f t="shared" si="174"/>
        <v/>
      </c>
      <c r="EC138" s="8" t="str">
        <f t="shared" si="175"/>
        <v/>
      </c>
      <c r="ED138">
        <f t="shared" si="176"/>
        <v>0</v>
      </c>
      <c r="EE138">
        <f t="shared" si="176"/>
        <v>0</v>
      </c>
      <c r="EG138" s="8" t="str">
        <f t="shared" si="177"/>
        <v>AAAA</v>
      </c>
      <c r="EH138" s="8" t="str">
        <f t="shared" si="178"/>
        <v/>
      </c>
      <c r="EI138" s="8" t="str">
        <f t="shared" si="179"/>
        <v/>
      </c>
      <c r="EJ138" s="8">
        <f t="shared" si="180"/>
        <v>0</v>
      </c>
      <c r="EK138" s="8">
        <f t="shared" si="180"/>
        <v>0</v>
      </c>
      <c r="EM138" s="8" t="str">
        <f t="shared" si="181"/>
        <v>AAAA</v>
      </c>
      <c r="EN138" s="8" t="str">
        <f t="shared" si="182"/>
        <v/>
      </c>
      <c r="EO138" s="8" t="str">
        <f t="shared" si="183"/>
        <v/>
      </c>
      <c r="EP138" s="8">
        <f t="shared" si="184"/>
        <v>0</v>
      </c>
      <c r="EQ138" s="8">
        <f t="shared" si="184"/>
        <v>0</v>
      </c>
      <c r="ES138" s="8" t="str">
        <f t="shared" si="185"/>
        <v>AAAA</v>
      </c>
      <c r="ET138" s="8" t="str">
        <f t="shared" si="186"/>
        <v/>
      </c>
      <c r="EU138" s="8" t="str">
        <f t="shared" si="187"/>
        <v/>
      </c>
      <c r="EV138" s="8">
        <f t="shared" si="188"/>
        <v>0</v>
      </c>
      <c r="EW138" s="8">
        <f t="shared" si="188"/>
        <v>0</v>
      </c>
      <c r="EY138" s="8" t="str">
        <f>Hidden!$CG26</f>
        <v/>
      </c>
      <c r="EZ138">
        <f t="shared" si="189"/>
        <v>0</v>
      </c>
      <c r="FA138">
        <f t="shared" si="190"/>
        <v>0</v>
      </c>
      <c r="FB138">
        <f t="shared" si="191"/>
        <v>0</v>
      </c>
      <c r="FC138">
        <f t="shared" si="192"/>
        <v>0</v>
      </c>
      <c r="FD138">
        <f t="shared" si="193"/>
        <v>0</v>
      </c>
      <c r="FE138">
        <f t="shared" si="194"/>
        <v>0</v>
      </c>
      <c r="FF138">
        <f t="shared" si="195"/>
        <v>0</v>
      </c>
      <c r="FG138">
        <f t="shared" si="196"/>
        <v>0</v>
      </c>
      <c r="FH138">
        <f t="shared" si="197"/>
        <v>0</v>
      </c>
      <c r="FI138">
        <f t="shared" si="198"/>
        <v>0</v>
      </c>
    </row>
    <row r="139" spans="1:165" x14ac:dyDescent="0.2">
      <c r="A139" s="8" t="str">
        <f t="shared" ref="A139:C139" si="341">A32</f>
        <v>AAA</v>
      </c>
      <c r="B139" s="8" t="str">
        <f t="shared" si="341"/>
        <v/>
      </c>
      <c r="C139" s="8" t="str">
        <f t="shared" si="341"/>
        <v/>
      </c>
      <c r="D139" s="8">
        <f t="shared" si="207"/>
        <v>0</v>
      </c>
      <c r="E139" s="8">
        <f t="shared" si="207"/>
        <v>0</v>
      </c>
      <c r="F139" s="8"/>
      <c r="G139" s="8" t="str">
        <f t="shared" ref="G139:I139" si="342">G32</f>
        <v>AAA</v>
      </c>
      <c r="H139" s="8" t="str">
        <f t="shared" si="342"/>
        <v/>
      </c>
      <c r="I139" s="8" t="str">
        <f t="shared" si="342"/>
        <v/>
      </c>
      <c r="J139" s="8">
        <f t="shared" si="209"/>
        <v>0</v>
      </c>
      <c r="K139" s="8">
        <f t="shared" si="209"/>
        <v>0</v>
      </c>
      <c r="L139" s="8"/>
      <c r="M139" s="8" t="str">
        <f t="shared" ref="M139:O139" si="343">M32</f>
        <v>AAA</v>
      </c>
      <c r="N139" s="8" t="str">
        <f t="shared" si="343"/>
        <v/>
      </c>
      <c r="O139" s="8" t="str">
        <f t="shared" si="343"/>
        <v/>
      </c>
      <c r="P139" s="8">
        <f t="shared" si="211"/>
        <v>0</v>
      </c>
      <c r="Q139" s="8">
        <f t="shared" si="211"/>
        <v>0</v>
      </c>
      <c r="R139" s="8"/>
      <c r="S139" s="8" t="str">
        <f t="shared" ref="S139:U139" si="344">S32</f>
        <v>AAA</v>
      </c>
      <c r="T139" s="8" t="str">
        <f t="shared" si="344"/>
        <v/>
      </c>
      <c r="U139" s="8" t="str">
        <f t="shared" si="344"/>
        <v/>
      </c>
      <c r="V139">
        <f t="shared" si="213"/>
        <v>0</v>
      </c>
      <c r="W139">
        <f t="shared" si="213"/>
        <v>0</v>
      </c>
      <c r="Y139" s="8" t="str">
        <f t="shared" si="214"/>
        <v>AAA</v>
      </c>
      <c r="Z139" s="8"/>
      <c r="AB139">
        <f t="shared" si="215"/>
        <v>0</v>
      </c>
      <c r="AC139">
        <f t="shared" si="215"/>
        <v>0</v>
      </c>
      <c r="AE139" s="8" t="str">
        <f>Hidden!$CC15</f>
        <v/>
      </c>
      <c r="AF139">
        <f t="shared" si="216"/>
        <v>0</v>
      </c>
      <c r="AG139">
        <f t="shared" si="217"/>
        <v>0</v>
      </c>
      <c r="AH139">
        <f t="shared" si="218"/>
        <v>0</v>
      </c>
      <c r="AI139">
        <f t="shared" si="219"/>
        <v>0</v>
      </c>
      <c r="AJ139">
        <f t="shared" si="220"/>
        <v>0</v>
      </c>
      <c r="AK139">
        <f t="shared" si="221"/>
        <v>0</v>
      </c>
      <c r="AL139">
        <f t="shared" si="222"/>
        <v>0</v>
      </c>
      <c r="AM139">
        <f t="shared" si="223"/>
        <v>0</v>
      </c>
      <c r="AN139">
        <f t="shared" si="224"/>
        <v>0</v>
      </c>
      <c r="AO139">
        <f t="shared" si="225"/>
        <v>0</v>
      </c>
      <c r="BJ139" s="8" t="str">
        <f t="shared" ref="BJ139:BL139" si="345">BJ32</f>
        <v>AAA</v>
      </c>
      <c r="BK139" s="8" t="str">
        <f t="shared" si="345"/>
        <v/>
      </c>
      <c r="BL139" s="8" t="str">
        <f t="shared" si="345"/>
        <v/>
      </c>
      <c r="BM139" s="8">
        <f t="shared" si="227"/>
        <v>0</v>
      </c>
      <c r="BN139" s="8">
        <f t="shared" si="228"/>
        <v>0</v>
      </c>
      <c r="BO139" s="8"/>
      <c r="BP139" s="8" t="str">
        <f t="shared" ref="BP139:BR139" si="346">BP32</f>
        <v>AAA</v>
      </c>
      <c r="BQ139" s="8" t="str">
        <f t="shared" si="346"/>
        <v/>
      </c>
      <c r="BR139" s="8" t="str">
        <f t="shared" si="346"/>
        <v/>
      </c>
      <c r="BS139" s="8">
        <f t="shared" si="230"/>
        <v>0</v>
      </c>
      <c r="BT139" s="8">
        <f t="shared" si="231"/>
        <v>0</v>
      </c>
      <c r="BU139" s="8"/>
      <c r="BV139" s="8" t="str">
        <f t="shared" ref="BV139:BX139" si="347">BV32</f>
        <v>AAA</v>
      </c>
      <c r="BW139" s="8" t="str">
        <f t="shared" si="347"/>
        <v/>
      </c>
      <c r="BX139" s="8" t="str">
        <f t="shared" si="347"/>
        <v/>
      </c>
      <c r="BY139" s="8">
        <f t="shared" si="233"/>
        <v>0</v>
      </c>
      <c r="BZ139" s="8">
        <f t="shared" si="234"/>
        <v>0</v>
      </c>
      <c r="CA139" s="8"/>
      <c r="CB139" s="8" t="str">
        <f t="shared" ref="CB139:CD139" si="348">CB32</f>
        <v>AAA</v>
      </c>
      <c r="CC139" s="8" t="str">
        <f t="shared" si="348"/>
        <v/>
      </c>
      <c r="CD139" s="8" t="str">
        <f t="shared" si="348"/>
        <v/>
      </c>
      <c r="CE139" s="8">
        <f t="shared" si="236"/>
        <v>0</v>
      </c>
      <c r="CF139" s="8">
        <f t="shared" si="237"/>
        <v>0</v>
      </c>
      <c r="CG139" s="8"/>
      <c r="CH139" s="8" t="str">
        <f t="shared" ref="CH139:CJ139" si="349">CH32</f>
        <v>AAA</v>
      </c>
      <c r="CI139" s="8" t="str">
        <f t="shared" si="349"/>
        <v/>
      </c>
      <c r="CJ139" s="8" t="str">
        <f t="shared" si="349"/>
        <v/>
      </c>
      <c r="CK139" s="8">
        <f t="shared" si="239"/>
        <v>0</v>
      </c>
      <c r="CL139" s="8">
        <f t="shared" si="240"/>
        <v>0</v>
      </c>
      <c r="CO139" s="8" t="str">
        <f>Hidden!$CC15</f>
        <v/>
      </c>
      <c r="CP139">
        <f t="shared" si="241"/>
        <v>0</v>
      </c>
      <c r="CQ139">
        <f t="shared" si="242"/>
        <v>0</v>
      </c>
      <c r="CR139">
        <f t="shared" si="243"/>
        <v>0</v>
      </c>
      <c r="CS139">
        <f t="shared" si="244"/>
        <v>0</v>
      </c>
      <c r="CT139">
        <f t="shared" si="245"/>
        <v>0</v>
      </c>
      <c r="CU139">
        <f t="shared" si="246"/>
        <v>0</v>
      </c>
      <c r="CV139">
        <f t="shared" si="247"/>
        <v>0</v>
      </c>
      <c r="CW139">
        <f t="shared" si="248"/>
        <v>0</v>
      </c>
      <c r="CX139">
        <f t="shared" si="249"/>
        <v>0</v>
      </c>
      <c r="CY139">
        <f t="shared" si="250"/>
        <v>0</v>
      </c>
      <c r="DT139" s="77"/>
      <c r="DU139" s="8" t="str">
        <f t="shared" si="169"/>
        <v>AAAAA</v>
      </c>
      <c r="DV139" s="8" t="str">
        <f t="shared" si="170"/>
        <v/>
      </c>
      <c r="DW139" s="8" t="str">
        <f t="shared" si="171"/>
        <v/>
      </c>
      <c r="DX139" s="8">
        <f t="shared" si="172"/>
        <v>0</v>
      </c>
      <c r="DY139" s="8">
        <f t="shared" si="172"/>
        <v>0</v>
      </c>
      <c r="EA139" s="8" t="str">
        <f t="shared" si="173"/>
        <v>AAAAA</v>
      </c>
      <c r="EB139" s="8" t="str">
        <f t="shared" si="174"/>
        <v/>
      </c>
      <c r="EC139" s="8" t="str">
        <f t="shared" si="175"/>
        <v/>
      </c>
      <c r="ED139">
        <f t="shared" si="176"/>
        <v>0</v>
      </c>
      <c r="EE139">
        <f t="shared" si="176"/>
        <v>0</v>
      </c>
      <c r="EG139" s="8" t="str">
        <f t="shared" si="177"/>
        <v>AAAAA</v>
      </c>
      <c r="EH139" s="8" t="str">
        <f t="shared" si="178"/>
        <v/>
      </c>
      <c r="EI139" s="8" t="str">
        <f t="shared" si="179"/>
        <v/>
      </c>
      <c r="EJ139" s="8">
        <f t="shared" si="180"/>
        <v>0</v>
      </c>
      <c r="EK139" s="8">
        <f t="shared" si="180"/>
        <v>0</v>
      </c>
      <c r="EM139" s="8" t="str">
        <f t="shared" si="181"/>
        <v>AAAAA</v>
      </c>
      <c r="EN139" s="8" t="str">
        <f t="shared" si="182"/>
        <v/>
      </c>
      <c r="EO139" s="8" t="str">
        <f t="shared" si="183"/>
        <v/>
      </c>
      <c r="EP139" s="8">
        <f t="shared" si="184"/>
        <v>0</v>
      </c>
      <c r="EQ139" s="8">
        <f t="shared" si="184"/>
        <v>0</v>
      </c>
      <c r="ES139" s="8" t="str">
        <f t="shared" si="185"/>
        <v>AAAAA</v>
      </c>
      <c r="ET139" s="8" t="str">
        <f t="shared" si="186"/>
        <v/>
      </c>
      <c r="EU139" s="8" t="str">
        <f t="shared" si="187"/>
        <v/>
      </c>
      <c r="EV139" s="8">
        <f t="shared" si="188"/>
        <v>0</v>
      </c>
      <c r="EW139" s="8">
        <f t="shared" si="188"/>
        <v>0</v>
      </c>
      <c r="EY139" s="8" t="str">
        <f>Hidden!$CG27</f>
        <v/>
      </c>
      <c r="EZ139">
        <f t="shared" si="189"/>
        <v>0</v>
      </c>
      <c r="FA139">
        <f t="shared" si="190"/>
        <v>0</v>
      </c>
      <c r="FB139">
        <f t="shared" si="191"/>
        <v>0</v>
      </c>
      <c r="FC139">
        <f t="shared" si="192"/>
        <v>0</v>
      </c>
      <c r="FD139">
        <f t="shared" si="193"/>
        <v>0</v>
      </c>
      <c r="FE139">
        <f t="shared" si="194"/>
        <v>0</v>
      </c>
      <c r="FF139">
        <f t="shared" si="195"/>
        <v>0</v>
      </c>
      <c r="FG139">
        <f t="shared" si="196"/>
        <v>0</v>
      </c>
      <c r="FH139">
        <f t="shared" si="197"/>
        <v>0</v>
      </c>
      <c r="FI139">
        <f t="shared" si="198"/>
        <v>0</v>
      </c>
    </row>
    <row r="140" spans="1:165" x14ac:dyDescent="0.2">
      <c r="A140" s="8" t="str">
        <f t="shared" ref="A140:C140" si="350">A33</f>
        <v>AAAA</v>
      </c>
      <c r="B140" s="8" t="str">
        <f t="shared" si="350"/>
        <v/>
      </c>
      <c r="C140" s="8" t="str">
        <f t="shared" si="350"/>
        <v/>
      </c>
      <c r="D140" s="8">
        <f t="shared" si="207"/>
        <v>0</v>
      </c>
      <c r="E140" s="8">
        <f t="shared" si="207"/>
        <v>0</v>
      </c>
      <c r="F140" s="8"/>
      <c r="G140" s="8" t="str">
        <f t="shared" ref="G140:I140" si="351">G33</f>
        <v>AAAA</v>
      </c>
      <c r="H140" s="8" t="str">
        <f t="shared" si="351"/>
        <v/>
      </c>
      <c r="I140" s="8" t="str">
        <f t="shared" si="351"/>
        <v/>
      </c>
      <c r="J140" s="8">
        <f t="shared" si="209"/>
        <v>0</v>
      </c>
      <c r="K140" s="8">
        <f t="shared" si="209"/>
        <v>0</v>
      </c>
      <c r="L140" s="8"/>
      <c r="M140" s="8" t="str">
        <f t="shared" ref="M140:O140" si="352">M33</f>
        <v>AAAA</v>
      </c>
      <c r="N140" s="8" t="str">
        <f t="shared" si="352"/>
        <v/>
      </c>
      <c r="O140" s="8" t="str">
        <f t="shared" si="352"/>
        <v/>
      </c>
      <c r="P140" s="8">
        <f t="shared" si="211"/>
        <v>0</v>
      </c>
      <c r="Q140" s="8">
        <f t="shared" si="211"/>
        <v>0</v>
      </c>
      <c r="R140" s="8"/>
      <c r="S140" s="8" t="str">
        <f t="shared" ref="S140:U140" si="353">S33</f>
        <v>AAAA</v>
      </c>
      <c r="T140" s="8" t="str">
        <f t="shared" si="353"/>
        <v/>
      </c>
      <c r="U140" s="8" t="str">
        <f t="shared" si="353"/>
        <v/>
      </c>
      <c r="V140">
        <f t="shared" si="213"/>
        <v>0</v>
      </c>
      <c r="W140">
        <f t="shared" si="213"/>
        <v>0</v>
      </c>
      <c r="Y140" s="8" t="str">
        <f t="shared" si="214"/>
        <v>AAAA</v>
      </c>
      <c r="Z140" s="8"/>
      <c r="AB140">
        <f t="shared" si="215"/>
        <v>0</v>
      </c>
      <c r="AC140">
        <f t="shared" si="215"/>
        <v>0</v>
      </c>
      <c r="AE140" s="8" t="str">
        <f>Hidden!$CC16</f>
        <v/>
      </c>
      <c r="AF140">
        <f t="shared" si="216"/>
        <v>0</v>
      </c>
      <c r="AG140">
        <f t="shared" si="217"/>
        <v>0</v>
      </c>
      <c r="AH140">
        <f t="shared" si="218"/>
        <v>0</v>
      </c>
      <c r="AI140">
        <f t="shared" si="219"/>
        <v>0</v>
      </c>
      <c r="AJ140">
        <f t="shared" si="220"/>
        <v>0</v>
      </c>
      <c r="AK140">
        <f t="shared" si="221"/>
        <v>0</v>
      </c>
      <c r="AL140">
        <f t="shared" si="222"/>
        <v>0</v>
      </c>
      <c r="AM140">
        <f t="shared" si="223"/>
        <v>0</v>
      </c>
      <c r="AN140">
        <f t="shared" si="224"/>
        <v>0</v>
      </c>
      <c r="AO140">
        <f t="shared" si="225"/>
        <v>0</v>
      </c>
      <c r="BJ140" s="8" t="str">
        <f t="shared" ref="BJ140:BL140" si="354">BJ33</f>
        <v>AAAA</v>
      </c>
      <c r="BK140" s="8" t="str">
        <f t="shared" si="354"/>
        <v/>
      </c>
      <c r="BL140" s="8" t="str">
        <f t="shared" si="354"/>
        <v/>
      </c>
      <c r="BM140" s="8">
        <f t="shared" si="227"/>
        <v>0</v>
      </c>
      <c r="BN140" s="8">
        <f t="shared" si="228"/>
        <v>0</v>
      </c>
      <c r="BO140" s="8"/>
      <c r="BP140" s="8" t="str">
        <f t="shared" ref="BP140:BR140" si="355">BP33</f>
        <v>AAAA</v>
      </c>
      <c r="BQ140" s="8" t="str">
        <f t="shared" si="355"/>
        <v/>
      </c>
      <c r="BR140" s="8" t="str">
        <f t="shared" si="355"/>
        <v/>
      </c>
      <c r="BS140" s="8">
        <f t="shared" si="230"/>
        <v>0</v>
      </c>
      <c r="BT140" s="8">
        <f t="shared" si="231"/>
        <v>0</v>
      </c>
      <c r="BU140" s="8"/>
      <c r="BV140" s="8" t="str">
        <f t="shared" ref="BV140:BX140" si="356">BV33</f>
        <v>AAAA</v>
      </c>
      <c r="BW140" s="8" t="str">
        <f t="shared" si="356"/>
        <v/>
      </c>
      <c r="BX140" s="8" t="str">
        <f t="shared" si="356"/>
        <v/>
      </c>
      <c r="BY140" s="8">
        <f t="shared" si="233"/>
        <v>0</v>
      </c>
      <c r="BZ140" s="8">
        <f t="shared" si="234"/>
        <v>0</v>
      </c>
      <c r="CA140" s="8"/>
      <c r="CB140" s="8" t="str">
        <f t="shared" ref="CB140:CD140" si="357">CB33</f>
        <v>AAAA</v>
      </c>
      <c r="CC140" s="8" t="str">
        <f t="shared" si="357"/>
        <v/>
      </c>
      <c r="CD140" s="8" t="str">
        <f t="shared" si="357"/>
        <v/>
      </c>
      <c r="CE140" s="8">
        <f t="shared" si="236"/>
        <v>0</v>
      </c>
      <c r="CF140" s="8">
        <f t="shared" si="237"/>
        <v>0</v>
      </c>
      <c r="CG140" s="8"/>
      <c r="CH140" s="8" t="str">
        <f t="shared" ref="CH140:CJ140" si="358">CH33</f>
        <v>AAAA</v>
      </c>
      <c r="CI140" s="8" t="str">
        <f t="shared" si="358"/>
        <v/>
      </c>
      <c r="CJ140" s="8" t="str">
        <f t="shared" si="358"/>
        <v/>
      </c>
      <c r="CK140" s="8">
        <f t="shared" si="239"/>
        <v>0</v>
      </c>
      <c r="CL140" s="8">
        <f t="shared" si="240"/>
        <v>0</v>
      </c>
      <c r="CO140" s="8" t="str">
        <f>Hidden!$CC16</f>
        <v/>
      </c>
      <c r="CP140">
        <f t="shared" si="241"/>
        <v>0</v>
      </c>
      <c r="CQ140">
        <f t="shared" si="242"/>
        <v>0</v>
      </c>
      <c r="CR140">
        <f t="shared" si="243"/>
        <v>0</v>
      </c>
      <c r="CS140">
        <f t="shared" si="244"/>
        <v>0</v>
      </c>
      <c r="CT140">
        <f t="shared" si="245"/>
        <v>0</v>
      </c>
      <c r="CU140">
        <f t="shared" si="246"/>
        <v>0</v>
      </c>
      <c r="CV140">
        <f t="shared" si="247"/>
        <v>0</v>
      </c>
      <c r="CW140">
        <f t="shared" si="248"/>
        <v>0</v>
      </c>
      <c r="CX140">
        <f t="shared" si="249"/>
        <v>0</v>
      </c>
      <c r="CY140">
        <f t="shared" si="250"/>
        <v>0</v>
      </c>
      <c r="DT140" s="77"/>
      <c r="DU140" s="8" t="str">
        <f t="shared" si="169"/>
        <v>AAAAAA</v>
      </c>
      <c r="DV140" s="8" t="str">
        <f t="shared" si="170"/>
        <v/>
      </c>
      <c r="DW140" s="8" t="str">
        <f t="shared" si="171"/>
        <v/>
      </c>
      <c r="DX140" s="8">
        <f t="shared" si="172"/>
        <v>0</v>
      </c>
      <c r="DY140" s="8">
        <f t="shared" si="172"/>
        <v>0</v>
      </c>
      <c r="EA140" s="8" t="str">
        <f t="shared" si="173"/>
        <v>AAAAAA</v>
      </c>
      <c r="EB140" s="8" t="str">
        <f t="shared" si="174"/>
        <v/>
      </c>
      <c r="EC140" s="8" t="str">
        <f t="shared" si="175"/>
        <v/>
      </c>
      <c r="ED140">
        <f t="shared" si="176"/>
        <v>0</v>
      </c>
      <c r="EE140">
        <f t="shared" si="176"/>
        <v>0</v>
      </c>
      <c r="EG140" s="8" t="str">
        <f t="shared" si="177"/>
        <v>AAAAAA</v>
      </c>
      <c r="EH140" s="8" t="str">
        <f t="shared" si="178"/>
        <v/>
      </c>
      <c r="EI140" s="8" t="str">
        <f t="shared" si="179"/>
        <v/>
      </c>
      <c r="EJ140" s="8">
        <f t="shared" si="180"/>
        <v>0</v>
      </c>
      <c r="EK140" s="8">
        <f t="shared" si="180"/>
        <v>0</v>
      </c>
      <c r="EM140" s="8" t="str">
        <f t="shared" si="181"/>
        <v>AAAAAA</v>
      </c>
      <c r="EN140" s="8" t="str">
        <f t="shared" si="182"/>
        <v/>
      </c>
      <c r="EO140" s="8" t="str">
        <f t="shared" si="183"/>
        <v/>
      </c>
      <c r="EP140" s="8">
        <f t="shared" si="184"/>
        <v>0</v>
      </c>
      <c r="EQ140" s="8">
        <f t="shared" si="184"/>
        <v>0</v>
      </c>
      <c r="ES140" s="8" t="str">
        <f t="shared" si="185"/>
        <v>AAAAAA</v>
      </c>
      <c r="ET140" s="8" t="str">
        <f t="shared" si="186"/>
        <v/>
      </c>
      <c r="EU140" s="8" t="str">
        <f t="shared" si="187"/>
        <v/>
      </c>
      <c r="EV140" s="8">
        <f t="shared" si="188"/>
        <v>0</v>
      </c>
      <c r="EW140" s="8">
        <f t="shared" si="188"/>
        <v>0</v>
      </c>
      <c r="EY140" s="8" t="str">
        <f>Hidden!$CG28</f>
        <v/>
      </c>
      <c r="EZ140">
        <f t="shared" si="189"/>
        <v>0</v>
      </c>
      <c r="FA140">
        <f t="shared" si="190"/>
        <v>0</v>
      </c>
      <c r="FB140">
        <f t="shared" si="191"/>
        <v>0</v>
      </c>
      <c r="FC140">
        <f t="shared" si="192"/>
        <v>0</v>
      </c>
      <c r="FD140">
        <f t="shared" si="193"/>
        <v>0</v>
      </c>
      <c r="FE140">
        <f t="shared" si="194"/>
        <v>0</v>
      </c>
      <c r="FF140">
        <f t="shared" si="195"/>
        <v>0</v>
      </c>
      <c r="FG140">
        <f t="shared" si="196"/>
        <v>0</v>
      </c>
      <c r="FH140">
        <f t="shared" si="197"/>
        <v>0</v>
      </c>
      <c r="FI140">
        <f t="shared" si="198"/>
        <v>0</v>
      </c>
    </row>
    <row r="141" spans="1:165" x14ac:dyDescent="0.2">
      <c r="A141" s="8" t="str">
        <f t="shared" ref="A141:C141" si="359">A34</f>
        <v>AAAAA</v>
      </c>
      <c r="B141" s="8" t="str">
        <f t="shared" si="359"/>
        <v/>
      </c>
      <c r="C141" s="8" t="str">
        <f t="shared" si="359"/>
        <v/>
      </c>
      <c r="D141" s="8">
        <f t="shared" si="207"/>
        <v>0</v>
      </c>
      <c r="E141" s="8">
        <f t="shared" si="207"/>
        <v>0</v>
      </c>
      <c r="F141" s="8"/>
      <c r="G141" s="8" t="str">
        <f t="shared" ref="G141:I141" si="360">G34</f>
        <v>AAAAA</v>
      </c>
      <c r="H141" s="8" t="str">
        <f t="shared" si="360"/>
        <v/>
      </c>
      <c r="I141" s="8" t="str">
        <f t="shared" si="360"/>
        <v/>
      </c>
      <c r="J141" s="8">
        <f t="shared" si="209"/>
        <v>0</v>
      </c>
      <c r="K141" s="8">
        <f t="shared" si="209"/>
        <v>0</v>
      </c>
      <c r="L141" s="8"/>
      <c r="M141" s="8" t="str">
        <f t="shared" ref="M141:O141" si="361">M34</f>
        <v>AAAAA</v>
      </c>
      <c r="N141" s="8" t="str">
        <f t="shared" si="361"/>
        <v/>
      </c>
      <c r="O141" s="8" t="str">
        <f t="shared" si="361"/>
        <v/>
      </c>
      <c r="P141" s="8">
        <f t="shared" si="211"/>
        <v>0</v>
      </c>
      <c r="Q141" s="8">
        <f t="shared" si="211"/>
        <v>0</v>
      </c>
      <c r="R141" s="8"/>
      <c r="S141" s="8" t="str">
        <f t="shared" ref="S141:U141" si="362">S34</f>
        <v>AAAAA</v>
      </c>
      <c r="T141" s="8" t="str">
        <f t="shared" si="362"/>
        <v/>
      </c>
      <c r="U141" s="8" t="str">
        <f t="shared" si="362"/>
        <v/>
      </c>
      <c r="V141">
        <f t="shared" si="213"/>
        <v>0</v>
      </c>
      <c r="W141">
        <f t="shared" si="213"/>
        <v>0</v>
      </c>
      <c r="Y141" s="8" t="str">
        <f t="shared" si="214"/>
        <v>AAAAA</v>
      </c>
      <c r="Z141" s="8"/>
      <c r="AB141">
        <f t="shared" si="215"/>
        <v>0</v>
      </c>
      <c r="AC141">
        <f t="shared" si="215"/>
        <v>0</v>
      </c>
      <c r="AE141" s="8" t="str">
        <f>Hidden!$CC17</f>
        <v/>
      </c>
      <c r="AF141">
        <f t="shared" si="216"/>
        <v>0</v>
      </c>
      <c r="AG141">
        <f t="shared" si="217"/>
        <v>0</v>
      </c>
      <c r="AH141">
        <f t="shared" si="218"/>
        <v>0</v>
      </c>
      <c r="AI141">
        <f t="shared" si="219"/>
        <v>0</v>
      </c>
      <c r="AJ141">
        <f t="shared" si="220"/>
        <v>0</v>
      </c>
      <c r="AK141">
        <f t="shared" si="221"/>
        <v>0</v>
      </c>
      <c r="AL141">
        <f t="shared" si="222"/>
        <v>0</v>
      </c>
      <c r="AM141">
        <f t="shared" si="223"/>
        <v>0</v>
      </c>
      <c r="AN141">
        <f t="shared" si="224"/>
        <v>0</v>
      </c>
      <c r="AO141">
        <f t="shared" si="225"/>
        <v>0</v>
      </c>
      <c r="BJ141" s="8" t="str">
        <f t="shared" ref="BJ141:BL141" si="363">BJ34</f>
        <v>AAAAA</v>
      </c>
      <c r="BK141" s="8" t="str">
        <f t="shared" si="363"/>
        <v/>
      </c>
      <c r="BL141" s="8" t="str">
        <f t="shared" si="363"/>
        <v/>
      </c>
      <c r="BM141" s="8">
        <f t="shared" si="227"/>
        <v>0</v>
      </c>
      <c r="BN141" s="8">
        <f t="shared" si="228"/>
        <v>0</v>
      </c>
      <c r="BO141" s="8"/>
      <c r="BP141" s="8" t="str">
        <f t="shared" ref="BP141:BR141" si="364">BP34</f>
        <v>AAAAA</v>
      </c>
      <c r="BQ141" s="8" t="str">
        <f t="shared" si="364"/>
        <v/>
      </c>
      <c r="BR141" s="8" t="str">
        <f t="shared" si="364"/>
        <v/>
      </c>
      <c r="BS141" s="8">
        <f t="shared" si="230"/>
        <v>0</v>
      </c>
      <c r="BT141" s="8">
        <f t="shared" si="231"/>
        <v>0</v>
      </c>
      <c r="BU141" s="8"/>
      <c r="BV141" s="8" t="str">
        <f t="shared" ref="BV141:BX141" si="365">BV34</f>
        <v>AAAAA</v>
      </c>
      <c r="BW141" s="8" t="str">
        <f t="shared" si="365"/>
        <v/>
      </c>
      <c r="BX141" s="8" t="str">
        <f t="shared" si="365"/>
        <v/>
      </c>
      <c r="BY141" s="8">
        <f t="shared" si="233"/>
        <v>0</v>
      </c>
      <c r="BZ141" s="8">
        <f t="shared" si="234"/>
        <v>0</v>
      </c>
      <c r="CA141" s="8"/>
      <c r="CB141" s="8" t="str">
        <f t="shared" ref="CB141:CD141" si="366">CB34</f>
        <v>AAAAA</v>
      </c>
      <c r="CC141" s="8" t="str">
        <f t="shared" si="366"/>
        <v/>
      </c>
      <c r="CD141" s="8" t="str">
        <f t="shared" si="366"/>
        <v/>
      </c>
      <c r="CE141" s="8">
        <f t="shared" si="236"/>
        <v>0</v>
      </c>
      <c r="CF141" s="8">
        <f t="shared" si="237"/>
        <v>0</v>
      </c>
      <c r="CG141" s="8"/>
      <c r="CH141" s="8" t="str">
        <f t="shared" ref="CH141:CJ141" si="367">CH34</f>
        <v>AAAAA</v>
      </c>
      <c r="CI141" s="8" t="str">
        <f t="shared" si="367"/>
        <v/>
      </c>
      <c r="CJ141" s="8" t="str">
        <f t="shared" si="367"/>
        <v/>
      </c>
      <c r="CK141" s="8">
        <f t="shared" si="239"/>
        <v>0</v>
      </c>
      <c r="CL141" s="8">
        <f t="shared" si="240"/>
        <v>0</v>
      </c>
      <c r="CO141" s="8" t="str">
        <f>Hidden!$CC17</f>
        <v/>
      </c>
      <c r="CP141">
        <f t="shared" si="241"/>
        <v>0</v>
      </c>
      <c r="CQ141">
        <f t="shared" si="242"/>
        <v>0</v>
      </c>
      <c r="CR141">
        <f t="shared" si="243"/>
        <v>0</v>
      </c>
      <c r="CS141">
        <f t="shared" si="244"/>
        <v>0</v>
      </c>
      <c r="CT141">
        <f t="shared" si="245"/>
        <v>0</v>
      </c>
      <c r="CU141">
        <f t="shared" si="246"/>
        <v>0</v>
      </c>
      <c r="CV141">
        <f t="shared" si="247"/>
        <v>0</v>
      </c>
      <c r="CW141">
        <f t="shared" si="248"/>
        <v>0</v>
      </c>
      <c r="CX141">
        <f t="shared" si="249"/>
        <v>0</v>
      </c>
      <c r="CY141">
        <f t="shared" si="250"/>
        <v>0</v>
      </c>
      <c r="DT141" s="77"/>
      <c r="DU141" s="8" t="str">
        <f t="shared" si="169"/>
        <v>AAAAAAA</v>
      </c>
      <c r="DV141" s="8" t="str">
        <f t="shared" si="170"/>
        <v/>
      </c>
      <c r="DW141" s="8" t="str">
        <f t="shared" si="171"/>
        <v/>
      </c>
      <c r="DX141" s="8">
        <f t="shared" si="172"/>
        <v>0</v>
      </c>
      <c r="DY141" s="8">
        <f t="shared" si="172"/>
        <v>0</v>
      </c>
      <c r="EA141" s="8" t="str">
        <f t="shared" si="173"/>
        <v>AAAAAAA</v>
      </c>
      <c r="EB141" s="8" t="str">
        <f t="shared" si="174"/>
        <v/>
      </c>
      <c r="EC141" s="8" t="str">
        <f t="shared" si="175"/>
        <v/>
      </c>
      <c r="ED141">
        <f t="shared" si="176"/>
        <v>0</v>
      </c>
      <c r="EE141">
        <f t="shared" si="176"/>
        <v>0</v>
      </c>
      <c r="EG141" s="8" t="str">
        <f t="shared" si="177"/>
        <v>AAAAAAA</v>
      </c>
      <c r="EH141" s="8" t="str">
        <f t="shared" si="178"/>
        <v/>
      </c>
      <c r="EI141" s="8" t="str">
        <f t="shared" si="179"/>
        <v/>
      </c>
      <c r="EJ141" s="8">
        <f t="shared" si="180"/>
        <v>0</v>
      </c>
      <c r="EK141" s="8">
        <f t="shared" si="180"/>
        <v>0</v>
      </c>
      <c r="EM141" s="8" t="str">
        <f t="shared" si="181"/>
        <v>AAAAAAA</v>
      </c>
      <c r="EN141" s="8" t="str">
        <f t="shared" si="182"/>
        <v/>
      </c>
      <c r="EO141" s="8" t="str">
        <f t="shared" si="183"/>
        <v/>
      </c>
      <c r="EP141" s="8">
        <f t="shared" si="184"/>
        <v>0</v>
      </c>
      <c r="EQ141" s="8">
        <f t="shared" si="184"/>
        <v>0</v>
      </c>
      <c r="ES141" s="8" t="str">
        <f t="shared" si="185"/>
        <v>AAAAAAA</v>
      </c>
      <c r="ET141" s="8" t="str">
        <f t="shared" si="186"/>
        <v/>
      </c>
      <c r="EU141" s="8" t="str">
        <f t="shared" si="187"/>
        <v/>
      </c>
      <c r="EV141" s="8">
        <f t="shared" si="188"/>
        <v>0</v>
      </c>
      <c r="EW141" s="8">
        <f t="shared" si="188"/>
        <v>0</v>
      </c>
      <c r="EY141" s="8" t="str">
        <f>Hidden!$CG29</f>
        <v/>
      </c>
      <c r="EZ141">
        <f t="shared" si="189"/>
        <v>0</v>
      </c>
      <c r="FA141">
        <f t="shared" si="190"/>
        <v>0</v>
      </c>
      <c r="FB141">
        <f t="shared" si="191"/>
        <v>0</v>
      </c>
      <c r="FC141">
        <f t="shared" si="192"/>
        <v>0</v>
      </c>
      <c r="FD141">
        <f t="shared" si="193"/>
        <v>0</v>
      </c>
      <c r="FE141">
        <f t="shared" si="194"/>
        <v>0</v>
      </c>
      <c r="FF141">
        <f t="shared" si="195"/>
        <v>0</v>
      </c>
      <c r="FG141">
        <f t="shared" si="196"/>
        <v>0</v>
      </c>
      <c r="FH141">
        <f t="shared" si="197"/>
        <v>0</v>
      </c>
      <c r="FI141">
        <f t="shared" si="198"/>
        <v>0</v>
      </c>
    </row>
    <row r="142" spans="1:165" x14ac:dyDescent="0.2">
      <c r="A142" s="8" t="str">
        <f t="shared" ref="A142:C142" si="368">A35</f>
        <v>AAAAAA</v>
      </c>
      <c r="B142" s="8" t="str">
        <f t="shared" si="368"/>
        <v/>
      </c>
      <c r="C142" s="8" t="str">
        <f t="shared" si="368"/>
        <v/>
      </c>
      <c r="D142" s="8">
        <f t="shared" si="207"/>
        <v>0</v>
      </c>
      <c r="E142" s="8">
        <f t="shared" si="207"/>
        <v>0</v>
      </c>
      <c r="F142" s="8"/>
      <c r="G142" s="8" t="str">
        <f t="shared" ref="G142:I142" si="369">G35</f>
        <v>AAAAAA</v>
      </c>
      <c r="H142" s="8" t="str">
        <f t="shared" si="369"/>
        <v/>
      </c>
      <c r="I142" s="8" t="str">
        <f t="shared" si="369"/>
        <v/>
      </c>
      <c r="J142" s="8">
        <f t="shared" si="209"/>
        <v>0</v>
      </c>
      <c r="K142" s="8">
        <f t="shared" si="209"/>
        <v>0</v>
      </c>
      <c r="L142" s="8"/>
      <c r="M142" s="8" t="str">
        <f t="shared" ref="M142:O142" si="370">M35</f>
        <v>AAAAAA</v>
      </c>
      <c r="N142" s="8" t="str">
        <f t="shared" si="370"/>
        <v/>
      </c>
      <c r="O142" s="8" t="str">
        <f t="shared" si="370"/>
        <v/>
      </c>
      <c r="P142" s="8">
        <f t="shared" si="211"/>
        <v>0</v>
      </c>
      <c r="Q142" s="8">
        <f t="shared" si="211"/>
        <v>0</v>
      </c>
      <c r="R142" s="8"/>
      <c r="S142" s="8" t="str">
        <f t="shared" ref="S142:U142" si="371">S35</f>
        <v>AAAAAA</v>
      </c>
      <c r="T142" s="8" t="str">
        <f t="shared" si="371"/>
        <v/>
      </c>
      <c r="U142" s="8" t="str">
        <f t="shared" si="371"/>
        <v/>
      </c>
      <c r="V142">
        <f t="shared" si="213"/>
        <v>0</v>
      </c>
      <c r="W142">
        <f t="shared" si="213"/>
        <v>0</v>
      </c>
      <c r="Y142" s="8" t="str">
        <f t="shared" si="214"/>
        <v>AAAAAA</v>
      </c>
      <c r="Z142" s="8"/>
      <c r="AB142">
        <f t="shared" si="215"/>
        <v>0</v>
      </c>
      <c r="AC142">
        <f t="shared" si="215"/>
        <v>0</v>
      </c>
      <c r="AE142" s="8" t="str">
        <f>Hidden!$CC18</f>
        <v/>
      </c>
      <c r="AF142">
        <f t="shared" si="216"/>
        <v>0</v>
      </c>
      <c r="AG142">
        <f t="shared" si="217"/>
        <v>0</v>
      </c>
      <c r="AH142">
        <f t="shared" si="218"/>
        <v>0</v>
      </c>
      <c r="AI142">
        <f t="shared" si="219"/>
        <v>0</v>
      </c>
      <c r="AJ142">
        <f t="shared" si="220"/>
        <v>0</v>
      </c>
      <c r="AK142">
        <f t="shared" si="221"/>
        <v>0</v>
      </c>
      <c r="AL142">
        <f t="shared" si="222"/>
        <v>0</v>
      </c>
      <c r="AM142">
        <f t="shared" si="223"/>
        <v>0</v>
      </c>
      <c r="AN142">
        <f t="shared" si="224"/>
        <v>0</v>
      </c>
      <c r="AO142">
        <f t="shared" si="225"/>
        <v>0</v>
      </c>
      <c r="BJ142" s="8" t="str">
        <f t="shared" ref="BJ142:BL142" si="372">BJ35</f>
        <v>AAAAAA</v>
      </c>
      <c r="BK142" s="8" t="str">
        <f t="shared" si="372"/>
        <v/>
      </c>
      <c r="BL142" s="8" t="str">
        <f t="shared" si="372"/>
        <v/>
      </c>
      <c r="BM142" s="8">
        <f t="shared" si="227"/>
        <v>0</v>
      </c>
      <c r="BN142" s="8">
        <f t="shared" si="228"/>
        <v>0</v>
      </c>
      <c r="BO142" s="8"/>
      <c r="BP142" s="8" t="str">
        <f t="shared" ref="BP142:BR142" si="373">BP35</f>
        <v>AAAAAA</v>
      </c>
      <c r="BQ142" s="8" t="str">
        <f t="shared" si="373"/>
        <v/>
      </c>
      <c r="BR142" s="8" t="str">
        <f t="shared" si="373"/>
        <v/>
      </c>
      <c r="BS142" s="8">
        <f t="shared" si="230"/>
        <v>0</v>
      </c>
      <c r="BT142" s="8">
        <f t="shared" si="231"/>
        <v>0</v>
      </c>
      <c r="BU142" s="8"/>
      <c r="BV142" s="8" t="str">
        <f t="shared" ref="BV142:BX142" si="374">BV35</f>
        <v>AAAAAA</v>
      </c>
      <c r="BW142" s="8" t="str">
        <f t="shared" si="374"/>
        <v/>
      </c>
      <c r="BX142" s="8" t="str">
        <f t="shared" si="374"/>
        <v/>
      </c>
      <c r="BY142" s="8">
        <f t="shared" si="233"/>
        <v>0</v>
      </c>
      <c r="BZ142" s="8">
        <f t="shared" si="234"/>
        <v>0</v>
      </c>
      <c r="CA142" s="8"/>
      <c r="CB142" s="8" t="str">
        <f t="shared" ref="CB142:CD142" si="375">CB35</f>
        <v>AAAAAA</v>
      </c>
      <c r="CC142" s="8" t="str">
        <f t="shared" si="375"/>
        <v/>
      </c>
      <c r="CD142" s="8" t="str">
        <f t="shared" si="375"/>
        <v/>
      </c>
      <c r="CE142" s="8">
        <f t="shared" si="236"/>
        <v>0</v>
      </c>
      <c r="CF142" s="8">
        <f t="shared" si="237"/>
        <v>0</v>
      </c>
      <c r="CG142" s="8"/>
      <c r="CH142" s="8" t="str">
        <f t="shared" ref="CH142:CJ142" si="376">CH35</f>
        <v>AAAAAA</v>
      </c>
      <c r="CI142" s="8" t="str">
        <f t="shared" si="376"/>
        <v/>
      </c>
      <c r="CJ142" s="8" t="str">
        <f t="shared" si="376"/>
        <v/>
      </c>
      <c r="CK142" s="8">
        <f t="shared" si="239"/>
        <v>0</v>
      </c>
      <c r="CL142" s="8">
        <f t="shared" si="240"/>
        <v>0</v>
      </c>
      <c r="CO142" s="8" t="str">
        <f>Hidden!$CC18</f>
        <v/>
      </c>
      <c r="CP142">
        <f t="shared" si="241"/>
        <v>0</v>
      </c>
      <c r="CQ142">
        <f t="shared" si="242"/>
        <v>0</v>
      </c>
      <c r="CR142">
        <f t="shared" si="243"/>
        <v>0</v>
      </c>
      <c r="CS142">
        <f t="shared" si="244"/>
        <v>0</v>
      </c>
      <c r="CT142">
        <f t="shared" si="245"/>
        <v>0</v>
      </c>
      <c r="CU142">
        <f t="shared" si="246"/>
        <v>0</v>
      </c>
      <c r="CV142">
        <f t="shared" si="247"/>
        <v>0</v>
      </c>
      <c r="CW142">
        <f t="shared" si="248"/>
        <v>0</v>
      </c>
      <c r="CX142">
        <f t="shared" si="249"/>
        <v>0</v>
      </c>
      <c r="CY142">
        <f t="shared" si="250"/>
        <v>0</v>
      </c>
      <c r="DT142" s="77"/>
      <c r="DU142" s="8" t="str">
        <f t="shared" si="169"/>
        <v>AAAAAAAA</v>
      </c>
      <c r="DV142" s="8" t="str">
        <f t="shared" si="170"/>
        <v/>
      </c>
      <c r="DW142" s="8" t="str">
        <f t="shared" si="171"/>
        <v/>
      </c>
      <c r="DX142" s="8">
        <f t="shared" si="172"/>
        <v>0</v>
      </c>
      <c r="DY142" s="8">
        <f t="shared" si="172"/>
        <v>0</v>
      </c>
      <c r="EA142" s="8" t="str">
        <f t="shared" si="173"/>
        <v>AAAAAAAA</v>
      </c>
      <c r="EB142" s="8" t="str">
        <f t="shared" si="174"/>
        <v/>
      </c>
      <c r="EC142" s="8" t="str">
        <f t="shared" si="175"/>
        <v/>
      </c>
      <c r="ED142">
        <f t="shared" si="176"/>
        <v>0</v>
      </c>
      <c r="EE142">
        <f t="shared" si="176"/>
        <v>0</v>
      </c>
      <c r="EG142" s="8" t="str">
        <f t="shared" si="177"/>
        <v>AAAAAAAA</v>
      </c>
      <c r="EH142" s="8" t="str">
        <f t="shared" si="178"/>
        <v/>
      </c>
      <c r="EI142" s="8" t="str">
        <f t="shared" si="179"/>
        <v/>
      </c>
      <c r="EJ142" s="8">
        <f t="shared" si="180"/>
        <v>0</v>
      </c>
      <c r="EK142" s="8">
        <f t="shared" si="180"/>
        <v>0</v>
      </c>
      <c r="EM142" s="8" t="str">
        <f t="shared" si="181"/>
        <v>AAAAAAAA</v>
      </c>
      <c r="EN142" s="8" t="str">
        <f t="shared" si="182"/>
        <v/>
      </c>
      <c r="EO142" s="8" t="str">
        <f t="shared" si="183"/>
        <v/>
      </c>
      <c r="EP142" s="8">
        <f t="shared" si="184"/>
        <v>0</v>
      </c>
      <c r="EQ142" s="8">
        <f t="shared" si="184"/>
        <v>0</v>
      </c>
      <c r="ES142" s="8" t="str">
        <f t="shared" si="185"/>
        <v>AAAAAAAA</v>
      </c>
      <c r="ET142" s="8" t="str">
        <f t="shared" si="186"/>
        <v/>
      </c>
      <c r="EU142" s="8" t="str">
        <f t="shared" si="187"/>
        <v/>
      </c>
      <c r="EV142" s="8">
        <f t="shared" si="188"/>
        <v>0</v>
      </c>
      <c r="EW142" s="8">
        <f t="shared" si="188"/>
        <v>0</v>
      </c>
      <c r="EY142" s="8" t="str">
        <f>Hidden!$CG30</f>
        <v/>
      </c>
      <c r="EZ142">
        <f t="shared" si="189"/>
        <v>0</v>
      </c>
      <c r="FA142">
        <f t="shared" si="190"/>
        <v>0</v>
      </c>
      <c r="FB142">
        <f t="shared" si="191"/>
        <v>0</v>
      </c>
      <c r="FC142">
        <f t="shared" si="192"/>
        <v>0</v>
      </c>
      <c r="FD142">
        <f t="shared" si="193"/>
        <v>0</v>
      </c>
      <c r="FE142">
        <f t="shared" si="194"/>
        <v>0</v>
      </c>
      <c r="FF142">
        <f t="shared" si="195"/>
        <v>0</v>
      </c>
      <c r="FG142">
        <f t="shared" si="196"/>
        <v>0</v>
      </c>
      <c r="FH142">
        <f t="shared" si="197"/>
        <v>0</v>
      </c>
      <c r="FI142">
        <f t="shared" si="198"/>
        <v>0</v>
      </c>
    </row>
    <row r="143" spans="1:165" x14ac:dyDescent="0.2">
      <c r="A143" s="8" t="str">
        <f t="shared" ref="A143:C143" si="377">A36</f>
        <v>AAAAAAA</v>
      </c>
      <c r="B143" s="8" t="str">
        <f t="shared" si="377"/>
        <v/>
      </c>
      <c r="C143" s="8" t="str">
        <f t="shared" si="377"/>
        <v/>
      </c>
      <c r="D143" s="8">
        <f t="shared" si="207"/>
        <v>0</v>
      </c>
      <c r="E143" s="8">
        <f t="shared" si="207"/>
        <v>0</v>
      </c>
      <c r="F143" s="8"/>
      <c r="G143" s="8" t="str">
        <f t="shared" ref="G143:I143" si="378">G36</f>
        <v>AAAAAAA</v>
      </c>
      <c r="H143" s="8" t="str">
        <f t="shared" si="378"/>
        <v/>
      </c>
      <c r="I143" s="8" t="str">
        <f t="shared" si="378"/>
        <v/>
      </c>
      <c r="J143" s="8">
        <f t="shared" si="209"/>
        <v>0</v>
      </c>
      <c r="K143" s="8">
        <f t="shared" si="209"/>
        <v>0</v>
      </c>
      <c r="L143" s="8"/>
      <c r="M143" s="8" t="str">
        <f t="shared" ref="M143:O143" si="379">M36</f>
        <v>AAAAAAA</v>
      </c>
      <c r="N143" s="8" t="str">
        <f t="shared" si="379"/>
        <v/>
      </c>
      <c r="O143" s="8" t="str">
        <f t="shared" si="379"/>
        <v/>
      </c>
      <c r="P143" s="8">
        <f t="shared" si="211"/>
        <v>0</v>
      </c>
      <c r="Q143" s="8">
        <f t="shared" si="211"/>
        <v>0</v>
      </c>
      <c r="R143" s="8"/>
      <c r="S143" s="8" t="str">
        <f t="shared" ref="S143:U143" si="380">S36</f>
        <v>AAAAAAA</v>
      </c>
      <c r="T143" s="8" t="str">
        <f t="shared" si="380"/>
        <v/>
      </c>
      <c r="U143" s="8" t="str">
        <f t="shared" si="380"/>
        <v/>
      </c>
      <c r="V143">
        <f t="shared" si="213"/>
        <v>0</v>
      </c>
      <c r="W143">
        <f t="shared" si="213"/>
        <v>0</v>
      </c>
      <c r="Y143" s="8" t="str">
        <f t="shared" si="214"/>
        <v>AAAAAAA</v>
      </c>
      <c r="Z143" s="8"/>
      <c r="AB143">
        <f t="shared" si="215"/>
        <v>0</v>
      </c>
      <c r="AC143">
        <f t="shared" si="215"/>
        <v>0</v>
      </c>
      <c r="AE143" s="8" t="str">
        <f>Hidden!$CC19</f>
        <v/>
      </c>
      <c r="AF143">
        <f t="shared" si="216"/>
        <v>0</v>
      </c>
      <c r="AG143">
        <f t="shared" si="217"/>
        <v>0</v>
      </c>
      <c r="AH143">
        <f t="shared" si="218"/>
        <v>0</v>
      </c>
      <c r="AI143">
        <f t="shared" si="219"/>
        <v>0</v>
      </c>
      <c r="AJ143">
        <f t="shared" si="220"/>
        <v>0</v>
      </c>
      <c r="AK143">
        <f t="shared" si="221"/>
        <v>0</v>
      </c>
      <c r="AL143">
        <f t="shared" si="222"/>
        <v>0</v>
      </c>
      <c r="AM143">
        <f t="shared" si="223"/>
        <v>0</v>
      </c>
      <c r="AN143">
        <f t="shared" si="224"/>
        <v>0</v>
      </c>
      <c r="AO143">
        <f t="shared" si="225"/>
        <v>0</v>
      </c>
      <c r="BJ143" s="8" t="str">
        <f t="shared" ref="BJ143:BL143" si="381">BJ36</f>
        <v>AAAAAAA</v>
      </c>
      <c r="BK143" s="8" t="str">
        <f t="shared" si="381"/>
        <v/>
      </c>
      <c r="BL143" s="8" t="str">
        <f t="shared" si="381"/>
        <v/>
      </c>
      <c r="BM143" s="8">
        <f t="shared" si="227"/>
        <v>0</v>
      </c>
      <c r="BN143" s="8">
        <f t="shared" si="228"/>
        <v>0</v>
      </c>
      <c r="BO143" s="8"/>
      <c r="BP143" s="8" t="str">
        <f t="shared" ref="BP143:BR143" si="382">BP36</f>
        <v>AAAAAAA</v>
      </c>
      <c r="BQ143" s="8" t="str">
        <f t="shared" si="382"/>
        <v/>
      </c>
      <c r="BR143" s="8" t="str">
        <f t="shared" si="382"/>
        <v/>
      </c>
      <c r="BS143" s="8">
        <f t="shared" si="230"/>
        <v>0</v>
      </c>
      <c r="BT143" s="8">
        <f t="shared" si="231"/>
        <v>0</v>
      </c>
      <c r="BU143" s="8"/>
      <c r="BV143" s="8" t="str">
        <f t="shared" ref="BV143:BX143" si="383">BV36</f>
        <v>AAAAAAA</v>
      </c>
      <c r="BW143" s="8" t="str">
        <f t="shared" si="383"/>
        <v/>
      </c>
      <c r="BX143" s="8" t="str">
        <f t="shared" si="383"/>
        <v/>
      </c>
      <c r="BY143" s="8">
        <f t="shared" si="233"/>
        <v>0</v>
      </c>
      <c r="BZ143" s="8">
        <f t="shared" si="234"/>
        <v>0</v>
      </c>
      <c r="CA143" s="8"/>
      <c r="CB143" s="8" t="str">
        <f t="shared" ref="CB143:CD143" si="384">CB36</f>
        <v>AAAAAAA</v>
      </c>
      <c r="CC143" s="8" t="str">
        <f t="shared" si="384"/>
        <v/>
      </c>
      <c r="CD143" s="8" t="str">
        <f t="shared" si="384"/>
        <v/>
      </c>
      <c r="CE143" s="8">
        <f t="shared" si="236"/>
        <v>0</v>
      </c>
      <c r="CF143" s="8">
        <f t="shared" si="237"/>
        <v>0</v>
      </c>
      <c r="CG143" s="8"/>
      <c r="CH143" s="8" t="str">
        <f t="shared" ref="CH143:CJ143" si="385">CH36</f>
        <v>AAAAAAA</v>
      </c>
      <c r="CI143" s="8" t="str">
        <f t="shared" si="385"/>
        <v/>
      </c>
      <c r="CJ143" s="8" t="str">
        <f t="shared" si="385"/>
        <v/>
      </c>
      <c r="CK143" s="8">
        <f t="shared" si="239"/>
        <v>0</v>
      </c>
      <c r="CL143" s="8">
        <f t="shared" si="240"/>
        <v>0</v>
      </c>
      <c r="CO143" s="8" t="str">
        <f>Hidden!$CC19</f>
        <v/>
      </c>
      <c r="CP143">
        <f t="shared" si="241"/>
        <v>0</v>
      </c>
      <c r="CQ143">
        <f t="shared" si="242"/>
        <v>0</v>
      </c>
      <c r="CR143">
        <f t="shared" si="243"/>
        <v>0</v>
      </c>
      <c r="CS143">
        <f t="shared" si="244"/>
        <v>0</v>
      </c>
      <c r="CT143">
        <f t="shared" si="245"/>
        <v>0</v>
      </c>
      <c r="CU143">
        <f t="shared" si="246"/>
        <v>0</v>
      </c>
      <c r="CV143">
        <f t="shared" si="247"/>
        <v>0</v>
      </c>
      <c r="CW143">
        <f t="shared" si="248"/>
        <v>0</v>
      </c>
      <c r="CX143">
        <f t="shared" si="249"/>
        <v>0</v>
      </c>
      <c r="CY143">
        <f t="shared" si="250"/>
        <v>0</v>
      </c>
      <c r="DT143" s="77"/>
      <c r="DU143" s="8" t="str">
        <f t="shared" si="169"/>
        <v>AAAAAAAAA</v>
      </c>
      <c r="DV143" s="8" t="str">
        <f t="shared" si="170"/>
        <v/>
      </c>
      <c r="DW143" s="8" t="str">
        <f t="shared" si="171"/>
        <v/>
      </c>
      <c r="DX143" s="8">
        <f t="shared" si="172"/>
        <v>0</v>
      </c>
      <c r="DY143" s="8">
        <f t="shared" si="172"/>
        <v>0</v>
      </c>
      <c r="EA143" s="8" t="str">
        <f t="shared" si="173"/>
        <v>AAAAAAAAA</v>
      </c>
      <c r="EB143" s="8" t="str">
        <f t="shared" si="174"/>
        <v/>
      </c>
      <c r="EC143" s="8" t="str">
        <f t="shared" si="175"/>
        <v/>
      </c>
      <c r="ED143">
        <f t="shared" si="176"/>
        <v>0</v>
      </c>
      <c r="EE143">
        <f t="shared" si="176"/>
        <v>0</v>
      </c>
      <c r="EG143" s="8" t="str">
        <f t="shared" si="177"/>
        <v>AAAAAAAAA</v>
      </c>
      <c r="EH143" s="8" t="str">
        <f t="shared" si="178"/>
        <v/>
      </c>
      <c r="EI143" s="8" t="str">
        <f t="shared" si="179"/>
        <v/>
      </c>
      <c r="EJ143" s="8">
        <f t="shared" si="180"/>
        <v>0</v>
      </c>
      <c r="EK143" s="8">
        <f t="shared" si="180"/>
        <v>0</v>
      </c>
      <c r="EM143" s="8" t="str">
        <f t="shared" si="181"/>
        <v>AAAAAAAAA</v>
      </c>
      <c r="EN143" s="8" t="str">
        <f t="shared" si="182"/>
        <v/>
      </c>
      <c r="EO143" s="8" t="str">
        <f t="shared" si="183"/>
        <v/>
      </c>
      <c r="EP143" s="8">
        <f t="shared" si="184"/>
        <v>0</v>
      </c>
      <c r="EQ143" s="8">
        <f t="shared" si="184"/>
        <v>0</v>
      </c>
      <c r="ES143" s="8" t="str">
        <f t="shared" si="185"/>
        <v>AAAAAAAAA</v>
      </c>
      <c r="ET143" s="8" t="str">
        <f t="shared" si="186"/>
        <v/>
      </c>
      <c r="EU143" s="8" t="str">
        <f t="shared" si="187"/>
        <v/>
      </c>
      <c r="EV143" s="8">
        <f t="shared" si="188"/>
        <v>0</v>
      </c>
      <c r="EW143" s="8">
        <f t="shared" si="188"/>
        <v>0</v>
      </c>
      <c r="EY143" s="8" t="str">
        <f>Hidden!$CG31</f>
        <v/>
      </c>
      <c r="EZ143">
        <f t="shared" si="189"/>
        <v>0</v>
      </c>
      <c r="FA143">
        <f t="shared" si="190"/>
        <v>0</v>
      </c>
      <c r="FB143">
        <f t="shared" si="191"/>
        <v>0</v>
      </c>
      <c r="FC143">
        <f t="shared" si="192"/>
        <v>0</v>
      </c>
      <c r="FD143">
        <f t="shared" si="193"/>
        <v>0</v>
      </c>
      <c r="FE143">
        <f t="shared" si="194"/>
        <v>0</v>
      </c>
      <c r="FF143">
        <f t="shared" si="195"/>
        <v>0</v>
      </c>
      <c r="FG143">
        <f t="shared" si="196"/>
        <v>0</v>
      </c>
      <c r="FH143">
        <f t="shared" si="197"/>
        <v>0</v>
      </c>
      <c r="FI143">
        <f t="shared" si="198"/>
        <v>0</v>
      </c>
    </row>
    <row r="144" spans="1:165" x14ac:dyDescent="0.2">
      <c r="A144" s="8" t="str">
        <f t="shared" ref="A144:C144" si="386">A37</f>
        <v>AAAAAAAA</v>
      </c>
      <c r="B144" s="8" t="str">
        <f t="shared" si="386"/>
        <v/>
      </c>
      <c r="C144" s="8" t="str">
        <f t="shared" si="386"/>
        <v/>
      </c>
      <c r="D144" s="8">
        <f t="shared" si="207"/>
        <v>0</v>
      </c>
      <c r="E144" s="8">
        <f t="shared" si="207"/>
        <v>0</v>
      </c>
      <c r="F144" s="8"/>
      <c r="G144" s="8" t="str">
        <f t="shared" ref="G144:I144" si="387">G37</f>
        <v>AAAAAAAA</v>
      </c>
      <c r="H144" s="8" t="str">
        <f t="shared" si="387"/>
        <v/>
      </c>
      <c r="I144" s="8" t="str">
        <f t="shared" si="387"/>
        <v/>
      </c>
      <c r="J144" s="8">
        <f t="shared" si="209"/>
        <v>0</v>
      </c>
      <c r="K144" s="8">
        <f t="shared" si="209"/>
        <v>0</v>
      </c>
      <c r="L144" s="8"/>
      <c r="M144" s="8" t="str">
        <f t="shared" ref="M144:O144" si="388">M37</f>
        <v>AAAAAAAA</v>
      </c>
      <c r="N144" s="8" t="str">
        <f t="shared" si="388"/>
        <v/>
      </c>
      <c r="O144" s="8" t="str">
        <f t="shared" si="388"/>
        <v/>
      </c>
      <c r="P144" s="8">
        <f t="shared" si="211"/>
        <v>0</v>
      </c>
      <c r="Q144" s="8">
        <f t="shared" si="211"/>
        <v>0</v>
      </c>
      <c r="R144" s="8"/>
      <c r="S144" s="8" t="str">
        <f t="shared" ref="S144:U144" si="389">S37</f>
        <v>AAAAAAAA</v>
      </c>
      <c r="T144" s="8" t="str">
        <f t="shared" si="389"/>
        <v/>
      </c>
      <c r="U144" s="8" t="str">
        <f t="shared" si="389"/>
        <v/>
      </c>
      <c r="V144">
        <f t="shared" si="213"/>
        <v>0</v>
      </c>
      <c r="W144">
        <f t="shared" si="213"/>
        <v>0</v>
      </c>
      <c r="Y144" s="8" t="str">
        <f t="shared" si="214"/>
        <v>AAAAAAAA</v>
      </c>
      <c r="Z144" s="8"/>
      <c r="AB144">
        <f t="shared" si="215"/>
        <v>0</v>
      </c>
      <c r="AC144">
        <f t="shared" si="215"/>
        <v>0</v>
      </c>
      <c r="AE144" s="8" t="str">
        <f>Hidden!$CC20</f>
        <v/>
      </c>
      <c r="AF144">
        <f t="shared" si="216"/>
        <v>0</v>
      </c>
      <c r="AG144">
        <f t="shared" si="217"/>
        <v>0</v>
      </c>
      <c r="AH144">
        <f t="shared" si="218"/>
        <v>0</v>
      </c>
      <c r="AI144">
        <f t="shared" si="219"/>
        <v>0</v>
      </c>
      <c r="AJ144">
        <f t="shared" si="220"/>
        <v>0</v>
      </c>
      <c r="AK144">
        <f t="shared" si="221"/>
        <v>0</v>
      </c>
      <c r="AL144">
        <f t="shared" si="222"/>
        <v>0</v>
      </c>
      <c r="AM144">
        <f t="shared" si="223"/>
        <v>0</v>
      </c>
      <c r="AN144">
        <f t="shared" si="224"/>
        <v>0</v>
      </c>
      <c r="AO144">
        <f t="shared" si="225"/>
        <v>0</v>
      </c>
      <c r="BJ144" s="8" t="str">
        <f t="shared" ref="BJ144:BL144" si="390">BJ37</f>
        <v>AAAAAAAA</v>
      </c>
      <c r="BK144" s="8" t="str">
        <f t="shared" si="390"/>
        <v/>
      </c>
      <c r="BL144" s="8" t="str">
        <f t="shared" si="390"/>
        <v/>
      </c>
      <c r="BM144" s="8">
        <f t="shared" si="227"/>
        <v>0</v>
      </c>
      <c r="BN144" s="8">
        <f t="shared" si="228"/>
        <v>0</v>
      </c>
      <c r="BO144" s="8"/>
      <c r="BP144" s="8" t="str">
        <f t="shared" ref="BP144:BR144" si="391">BP37</f>
        <v>AAAAAAAA</v>
      </c>
      <c r="BQ144" s="8" t="str">
        <f t="shared" si="391"/>
        <v/>
      </c>
      <c r="BR144" s="8" t="str">
        <f t="shared" si="391"/>
        <v/>
      </c>
      <c r="BS144" s="8">
        <f t="shared" si="230"/>
        <v>0</v>
      </c>
      <c r="BT144" s="8">
        <f t="shared" si="231"/>
        <v>0</v>
      </c>
      <c r="BU144" s="8"/>
      <c r="BV144" s="8" t="str">
        <f t="shared" ref="BV144:BX144" si="392">BV37</f>
        <v>AAAAAAAA</v>
      </c>
      <c r="BW144" s="8" t="str">
        <f t="shared" si="392"/>
        <v/>
      </c>
      <c r="BX144" s="8" t="str">
        <f t="shared" si="392"/>
        <v/>
      </c>
      <c r="BY144" s="8">
        <f t="shared" si="233"/>
        <v>0</v>
      </c>
      <c r="BZ144" s="8">
        <f t="shared" si="234"/>
        <v>0</v>
      </c>
      <c r="CA144" s="8"/>
      <c r="CB144" s="8" t="str">
        <f t="shared" ref="CB144:CD144" si="393">CB37</f>
        <v>AAAAAAAA</v>
      </c>
      <c r="CC144" s="8" t="str">
        <f t="shared" si="393"/>
        <v/>
      </c>
      <c r="CD144" s="8" t="str">
        <f t="shared" si="393"/>
        <v/>
      </c>
      <c r="CE144" s="8">
        <f t="shared" si="236"/>
        <v>0</v>
      </c>
      <c r="CF144" s="8">
        <f t="shared" si="237"/>
        <v>0</v>
      </c>
      <c r="CG144" s="8"/>
      <c r="CH144" s="8" t="str">
        <f t="shared" ref="CH144:CJ144" si="394">CH37</f>
        <v>AAAAAAAA</v>
      </c>
      <c r="CI144" s="8" t="str">
        <f t="shared" si="394"/>
        <v/>
      </c>
      <c r="CJ144" s="8" t="str">
        <f t="shared" si="394"/>
        <v/>
      </c>
      <c r="CK144" s="8">
        <f t="shared" si="239"/>
        <v>0</v>
      </c>
      <c r="CL144" s="8">
        <f t="shared" si="240"/>
        <v>0</v>
      </c>
      <c r="CO144" s="8" t="str">
        <f>Hidden!$CC20</f>
        <v/>
      </c>
      <c r="CP144">
        <f t="shared" si="241"/>
        <v>0</v>
      </c>
      <c r="CQ144">
        <f t="shared" si="242"/>
        <v>0</v>
      </c>
      <c r="CR144">
        <f t="shared" si="243"/>
        <v>0</v>
      </c>
      <c r="CS144">
        <f t="shared" si="244"/>
        <v>0</v>
      </c>
      <c r="CT144">
        <f t="shared" si="245"/>
        <v>0</v>
      </c>
      <c r="CU144">
        <f t="shared" si="246"/>
        <v>0</v>
      </c>
      <c r="CV144">
        <f t="shared" si="247"/>
        <v>0</v>
      </c>
      <c r="CW144">
        <f t="shared" si="248"/>
        <v>0</v>
      </c>
      <c r="CX144">
        <f t="shared" si="249"/>
        <v>0</v>
      </c>
      <c r="CY144">
        <f t="shared" si="250"/>
        <v>0</v>
      </c>
      <c r="DT144" s="77"/>
      <c r="DU144" s="8" t="str">
        <f t="shared" si="169"/>
        <v>AAAAAAAAAA</v>
      </c>
      <c r="DV144" s="8" t="str">
        <f t="shared" si="170"/>
        <v/>
      </c>
      <c r="DW144" s="8" t="str">
        <f t="shared" si="171"/>
        <v/>
      </c>
      <c r="DX144" s="8">
        <f t="shared" si="172"/>
        <v>0</v>
      </c>
      <c r="DY144" s="8">
        <f t="shared" si="172"/>
        <v>0</v>
      </c>
      <c r="EA144" s="8" t="str">
        <f t="shared" si="173"/>
        <v>AAAAAAAAAA</v>
      </c>
      <c r="EB144" s="8" t="str">
        <f t="shared" si="174"/>
        <v/>
      </c>
      <c r="EC144" s="8" t="str">
        <f t="shared" si="175"/>
        <v/>
      </c>
      <c r="ED144">
        <f t="shared" si="176"/>
        <v>0</v>
      </c>
      <c r="EE144">
        <f t="shared" si="176"/>
        <v>0</v>
      </c>
      <c r="EG144" s="8" t="str">
        <f t="shared" si="177"/>
        <v>AAAAAAAAAA</v>
      </c>
      <c r="EH144" s="8" t="str">
        <f t="shared" si="178"/>
        <v/>
      </c>
      <c r="EI144" s="8" t="str">
        <f t="shared" si="179"/>
        <v/>
      </c>
      <c r="EJ144" s="8">
        <f t="shared" si="180"/>
        <v>0</v>
      </c>
      <c r="EK144" s="8">
        <f t="shared" si="180"/>
        <v>0</v>
      </c>
      <c r="EM144" s="8" t="str">
        <f t="shared" si="181"/>
        <v>AAAAAAAAAA</v>
      </c>
      <c r="EN144" s="8" t="str">
        <f t="shared" si="182"/>
        <v/>
      </c>
      <c r="EO144" s="8" t="str">
        <f t="shared" si="183"/>
        <v/>
      </c>
      <c r="EP144" s="8">
        <f t="shared" si="184"/>
        <v>0</v>
      </c>
      <c r="EQ144" s="8">
        <f t="shared" si="184"/>
        <v>0</v>
      </c>
      <c r="ES144" s="8" t="str">
        <f t="shared" si="185"/>
        <v>AAAAAAAAAA</v>
      </c>
      <c r="ET144" s="8" t="str">
        <f t="shared" si="186"/>
        <v/>
      </c>
      <c r="EU144" s="8" t="str">
        <f t="shared" si="187"/>
        <v/>
      </c>
      <c r="EV144" s="8">
        <f t="shared" si="188"/>
        <v>0</v>
      </c>
      <c r="EW144" s="8">
        <f t="shared" si="188"/>
        <v>0</v>
      </c>
      <c r="EY144" s="8" t="str">
        <f>Hidden!$CG32</f>
        <v/>
      </c>
      <c r="EZ144">
        <f t="shared" si="189"/>
        <v>0</v>
      </c>
      <c r="FA144">
        <f t="shared" si="190"/>
        <v>0</v>
      </c>
      <c r="FB144">
        <f t="shared" si="191"/>
        <v>0</v>
      </c>
      <c r="FC144">
        <f t="shared" si="192"/>
        <v>0</v>
      </c>
      <c r="FD144">
        <f t="shared" si="193"/>
        <v>0</v>
      </c>
      <c r="FE144">
        <f t="shared" si="194"/>
        <v>0</v>
      </c>
      <c r="FF144">
        <f t="shared" si="195"/>
        <v>0</v>
      </c>
      <c r="FG144">
        <f t="shared" si="196"/>
        <v>0</v>
      </c>
      <c r="FH144">
        <f t="shared" si="197"/>
        <v>0</v>
      </c>
      <c r="FI144">
        <f t="shared" si="198"/>
        <v>0</v>
      </c>
    </row>
    <row r="145" spans="1:165" x14ac:dyDescent="0.2">
      <c r="A145" s="8" t="str">
        <f t="shared" ref="A145:C145" si="395">A38</f>
        <v>AAAAAAAAA</v>
      </c>
      <c r="B145" s="8" t="str">
        <f t="shared" si="395"/>
        <v/>
      </c>
      <c r="C145" s="8" t="str">
        <f t="shared" si="395"/>
        <v/>
      </c>
      <c r="D145" s="8">
        <f t="shared" si="207"/>
        <v>0</v>
      </c>
      <c r="E145" s="8">
        <f t="shared" si="207"/>
        <v>0</v>
      </c>
      <c r="F145" s="8"/>
      <c r="G145" s="8" t="str">
        <f t="shared" ref="G145:I145" si="396">G38</f>
        <v>AAAAAAAAA</v>
      </c>
      <c r="H145" s="8" t="str">
        <f t="shared" si="396"/>
        <v/>
      </c>
      <c r="I145" s="8" t="str">
        <f t="shared" si="396"/>
        <v/>
      </c>
      <c r="J145" s="8">
        <f t="shared" si="209"/>
        <v>0</v>
      </c>
      <c r="K145" s="8">
        <f t="shared" si="209"/>
        <v>0</v>
      </c>
      <c r="L145" s="8"/>
      <c r="M145" s="8" t="str">
        <f t="shared" ref="M145:O145" si="397">M38</f>
        <v>AAAAAAAAA</v>
      </c>
      <c r="N145" s="8" t="str">
        <f t="shared" si="397"/>
        <v/>
      </c>
      <c r="O145" s="8" t="str">
        <f t="shared" si="397"/>
        <v/>
      </c>
      <c r="P145" s="8">
        <f t="shared" si="211"/>
        <v>0</v>
      </c>
      <c r="Q145" s="8">
        <f t="shared" si="211"/>
        <v>0</v>
      </c>
      <c r="R145" s="8"/>
      <c r="S145" s="8" t="str">
        <f t="shared" ref="S145:U145" si="398">S38</f>
        <v>AAAAAAAAA</v>
      </c>
      <c r="T145" s="8" t="str">
        <f t="shared" si="398"/>
        <v/>
      </c>
      <c r="U145" s="8" t="str">
        <f t="shared" si="398"/>
        <v/>
      </c>
      <c r="V145">
        <f t="shared" si="213"/>
        <v>0</v>
      </c>
      <c r="W145">
        <f t="shared" si="213"/>
        <v>0</v>
      </c>
      <c r="Y145" s="8" t="str">
        <f t="shared" si="214"/>
        <v>AAAAAAAAA</v>
      </c>
      <c r="Z145" s="8"/>
      <c r="AB145">
        <f t="shared" si="215"/>
        <v>0</v>
      </c>
      <c r="AC145">
        <f t="shared" si="215"/>
        <v>0</v>
      </c>
      <c r="AE145" s="8" t="str">
        <f>Hidden!$CC21</f>
        <v/>
      </c>
      <c r="AF145">
        <f t="shared" si="216"/>
        <v>0</v>
      </c>
      <c r="AG145">
        <f t="shared" si="217"/>
        <v>0</v>
      </c>
      <c r="AH145">
        <f t="shared" si="218"/>
        <v>0</v>
      </c>
      <c r="AI145">
        <f t="shared" si="219"/>
        <v>0</v>
      </c>
      <c r="AJ145">
        <f t="shared" si="220"/>
        <v>0</v>
      </c>
      <c r="AK145">
        <f t="shared" si="221"/>
        <v>0</v>
      </c>
      <c r="AL145">
        <f t="shared" si="222"/>
        <v>0</v>
      </c>
      <c r="AM145">
        <f t="shared" si="223"/>
        <v>0</v>
      </c>
      <c r="AN145">
        <f t="shared" si="224"/>
        <v>0</v>
      </c>
      <c r="AO145">
        <f t="shared" si="225"/>
        <v>0</v>
      </c>
      <c r="BJ145" s="8" t="str">
        <f t="shared" ref="BJ145:BL145" si="399">BJ38</f>
        <v>AAAAAAAAA</v>
      </c>
      <c r="BK145" s="8" t="str">
        <f t="shared" si="399"/>
        <v/>
      </c>
      <c r="BL145" s="8" t="str">
        <f t="shared" si="399"/>
        <v/>
      </c>
      <c r="BM145" s="8">
        <f t="shared" si="227"/>
        <v>0</v>
      </c>
      <c r="BN145" s="8">
        <f t="shared" si="228"/>
        <v>0</v>
      </c>
      <c r="BO145" s="8"/>
      <c r="BP145" s="8" t="str">
        <f t="shared" ref="BP145:BR145" si="400">BP38</f>
        <v>AAAAAAAAA</v>
      </c>
      <c r="BQ145" s="8" t="str">
        <f t="shared" si="400"/>
        <v/>
      </c>
      <c r="BR145" s="8" t="str">
        <f t="shared" si="400"/>
        <v/>
      </c>
      <c r="BS145" s="8">
        <f t="shared" si="230"/>
        <v>0</v>
      </c>
      <c r="BT145" s="8">
        <f t="shared" si="231"/>
        <v>0</v>
      </c>
      <c r="BU145" s="8"/>
      <c r="BV145" s="8" t="str">
        <f t="shared" ref="BV145:BX145" si="401">BV38</f>
        <v>AAAAAAAAA</v>
      </c>
      <c r="BW145" s="8" t="str">
        <f t="shared" si="401"/>
        <v/>
      </c>
      <c r="BX145" s="8" t="str">
        <f t="shared" si="401"/>
        <v/>
      </c>
      <c r="BY145" s="8">
        <f t="shared" si="233"/>
        <v>0</v>
      </c>
      <c r="BZ145" s="8">
        <f t="shared" si="234"/>
        <v>0</v>
      </c>
      <c r="CA145" s="8"/>
      <c r="CB145" s="8" t="str">
        <f t="shared" ref="CB145:CD145" si="402">CB38</f>
        <v>AAAAAAAAA</v>
      </c>
      <c r="CC145" s="8" t="str">
        <f t="shared" si="402"/>
        <v/>
      </c>
      <c r="CD145" s="8" t="str">
        <f t="shared" si="402"/>
        <v/>
      </c>
      <c r="CE145" s="8">
        <f t="shared" si="236"/>
        <v>0</v>
      </c>
      <c r="CF145" s="8">
        <f t="shared" si="237"/>
        <v>0</v>
      </c>
      <c r="CG145" s="8"/>
      <c r="CH145" s="8" t="str">
        <f t="shared" ref="CH145:CJ145" si="403">CH38</f>
        <v>AAAAAAAAA</v>
      </c>
      <c r="CI145" s="8" t="str">
        <f t="shared" si="403"/>
        <v/>
      </c>
      <c r="CJ145" s="8" t="str">
        <f t="shared" si="403"/>
        <v/>
      </c>
      <c r="CK145" s="8">
        <f t="shared" si="239"/>
        <v>0</v>
      </c>
      <c r="CL145" s="8">
        <f t="shared" si="240"/>
        <v>0</v>
      </c>
      <c r="CO145" s="8" t="str">
        <f>Hidden!$CC21</f>
        <v/>
      </c>
      <c r="CP145">
        <f t="shared" si="241"/>
        <v>0</v>
      </c>
      <c r="CQ145">
        <f t="shared" si="242"/>
        <v>0</v>
      </c>
      <c r="CR145">
        <f t="shared" si="243"/>
        <v>0</v>
      </c>
      <c r="CS145">
        <f t="shared" si="244"/>
        <v>0</v>
      </c>
      <c r="CT145">
        <f t="shared" si="245"/>
        <v>0</v>
      </c>
      <c r="CU145">
        <f t="shared" si="246"/>
        <v>0</v>
      </c>
      <c r="CV145">
        <f t="shared" si="247"/>
        <v>0</v>
      </c>
      <c r="CW145">
        <f t="shared" si="248"/>
        <v>0</v>
      </c>
      <c r="CX145">
        <f t="shared" si="249"/>
        <v>0</v>
      </c>
      <c r="CY145">
        <f t="shared" si="250"/>
        <v>0</v>
      </c>
      <c r="DT145" s="77"/>
      <c r="DU145" s="8" t="str">
        <f t="shared" si="169"/>
        <v>A</v>
      </c>
      <c r="DV145" s="8" t="str">
        <f t="shared" si="170"/>
        <v/>
      </c>
      <c r="DW145" s="8" t="str">
        <f t="shared" si="171"/>
        <v/>
      </c>
      <c r="DX145" s="8">
        <f t="shared" si="172"/>
        <v>0</v>
      </c>
      <c r="DY145" s="8">
        <f t="shared" si="172"/>
        <v>0</v>
      </c>
      <c r="EA145" s="8" t="str">
        <f t="shared" si="173"/>
        <v>A</v>
      </c>
      <c r="EB145" s="8" t="str">
        <f t="shared" si="174"/>
        <v/>
      </c>
      <c r="EC145" s="8" t="str">
        <f t="shared" si="175"/>
        <v/>
      </c>
      <c r="ED145">
        <f t="shared" si="176"/>
        <v>0</v>
      </c>
      <c r="EE145">
        <f t="shared" si="176"/>
        <v>0</v>
      </c>
      <c r="EG145" s="8" t="str">
        <f t="shared" si="177"/>
        <v>A</v>
      </c>
      <c r="EH145" s="8" t="str">
        <f t="shared" si="178"/>
        <v/>
      </c>
      <c r="EI145" s="8" t="str">
        <f t="shared" si="179"/>
        <v/>
      </c>
      <c r="EJ145" s="8">
        <f t="shared" si="180"/>
        <v>0</v>
      </c>
      <c r="EK145" s="8">
        <f t="shared" si="180"/>
        <v>0</v>
      </c>
      <c r="EM145" s="8" t="str">
        <f t="shared" si="181"/>
        <v>A</v>
      </c>
      <c r="EN145" s="8" t="str">
        <f t="shared" si="182"/>
        <v/>
      </c>
      <c r="EO145" s="8" t="str">
        <f t="shared" si="183"/>
        <v/>
      </c>
      <c r="EP145" s="8">
        <f t="shared" si="184"/>
        <v>0</v>
      </c>
      <c r="EQ145" s="8">
        <f t="shared" si="184"/>
        <v>0</v>
      </c>
      <c r="ES145" s="8" t="str">
        <f t="shared" si="185"/>
        <v>A</v>
      </c>
      <c r="ET145" s="8" t="str">
        <f t="shared" si="186"/>
        <v/>
      </c>
      <c r="EU145" s="8" t="str">
        <f t="shared" si="187"/>
        <v/>
      </c>
      <c r="EV145" s="8">
        <f t="shared" si="188"/>
        <v>0</v>
      </c>
      <c r="EW145" s="8">
        <f t="shared" si="188"/>
        <v>0</v>
      </c>
      <c r="EY145" s="8" t="str">
        <f>Hidden!$CG33</f>
        <v/>
      </c>
      <c r="EZ145">
        <f t="shared" si="189"/>
        <v>0</v>
      </c>
      <c r="FA145">
        <f t="shared" si="190"/>
        <v>0</v>
      </c>
      <c r="FB145">
        <f t="shared" si="191"/>
        <v>0</v>
      </c>
      <c r="FC145">
        <f t="shared" si="192"/>
        <v>0</v>
      </c>
      <c r="FD145">
        <f t="shared" si="193"/>
        <v>0</v>
      </c>
      <c r="FE145">
        <f t="shared" si="194"/>
        <v>0</v>
      </c>
      <c r="FF145">
        <f t="shared" si="195"/>
        <v>0</v>
      </c>
      <c r="FG145">
        <f t="shared" si="196"/>
        <v>0</v>
      </c>
      <c r="FH145">
        <f t="shared" si="197"/>
        <v>0</v>
      </c>
      <c r="FI145">
        <f t="shared" si="198"/>
        <v>0</v>
      </c>
    </row>
    <row r="146" spans="1:165" x14ac:dyDescent="0.2">
      <c r="A146" s="8" t="str">
        <f t="shared" ref="A146:C146" si="404">A39</f>
        <v>AAAAAAAAAA</v>
      </c>
      <c r="B146" s="8" t="str">
        <f t="shared" si="404"/>
        <v/>
      </c>
      <c r="C146" s="8" t="str">
        <f t="shared" si="404"/>
        <v/>
      </c>
      <c r="D146" s="8">
        <f t="shared" si="207"/>
        <v>0</v>
      </c>
      <c r="E146" s="8">
        <f t="shared" si="207"/>
        <v>0</v>
      </c>
      <c r="F146" s="8"/>
      <c r="G146" s="8" t="str">
        <f t="shared" ref="G146:I146" si="405">G39</f>
        <v>AAAAAAAAAA</v>
      </c>
      <c r="H146" s="8" t="str">
        <f t="shared" si="405"/>
        <v/>
      </c>
      <c r="I146" s="8" t="str">
        <f t="shared" si="405"/>
        <v/>
      </c>
      <c r="J146" s="8">
        <f t="shared" si="209"/>
        <v>0</v>
      </c>
      <c r="K146" s="8">
        <f t="shared" si="209"/>
        <v>0</v>
      </c>
      <c r="L146" s="8"/>
      <c r="M146" s="8" t="str">
        <f t="shared" ref="M146:O146" si="406">M39</f>
        <v>AAAAAAAAAA</v>
      </c>
      <c r="N146" s="8" t="str">
        <f t="shared" si="406"/>
        <v/>
      </c>
      <c r="O146" s="8" t="str">
        <f t="shared" si="406"/>
        <v/>
      </c>
      <c r="P146" s="8">
        <f t="shared" si="211"/>
        <v>0</v>
      </c>
      <c r="Q146" s="8">
        <f t="shared" si="211"/>
        <v>0</v>
      </c>
      <c r="R146" s="8"/>
      <c r="S146" s="8" t="str">
        <f t="shared" ref="S146:U146" si="407">S39</f>
        <v>AAAAAAAAAA</v>
      </c>
      <c r="T146" s="8" t="str">
        <f t="shared" si="407"/>
        <v/>
      </c>
      <c r="U146" s="8" t="str">
        <f t="shared" si="407"/>
        <v/>
      </c>
      <c r="V146">
        <f t="shared" si="213"/>
        <v>0</v>
      </c>
      <c r="W146">
        <f t="shared" si="213"/>
        <v>0</v>
      </c>
      <c r="Y146" s="8" t="str">
        <f t="shared" si="214"/>
        <v>AAAAAAAAAA</v>
      </c>
      <c r="Z146" s="8"/>
      <c r="AB146">
        <f t="shared" si="215"/>
        <v>0</v>
      </c>
      <c r="AC146">
        <f t="shared" si="215"/>
        <v>0</v>
      </c>
      <c r="AE146" s="8" t="str">
        <f>Hidden!$CC22</f>
        <v/>
      </c>
      <c r="AF146">
        <f t="shared" si="216"/>
        <v>0</v>
      </c>
      <c r="AG146">
        <f t="shared" si="217"/>
        <v>0</v>
      </c>
      <c r="AH146">
        <f t="shared" si="218"/>
        <v>0</v>
      </c>
      <c r="AI146">
        <f t="shared" si="219"/>
        <v>0</v>
      </c>
      <c r="AJ146">
        <f t="shared" si="220"/>
        <v>0</v>
      </c>
      <c r="AK146">
        <f t="shared" si="221"/>
        <v>0</v>
      </c>
      <c r="AL146">
        <f t="shared" si="222"/>
        <v>0</v>
      </c>
      <c r="AM146">
        <f t="shared" si="223"/>
        <v>0</v>
      </c>
      <c r="AN146">
        <f t="shared" si="224"/>
        <v>0</v>
      </c>
      <c r="AO146">
        <f t="shared" si="225"/>
        <v>0</v>
      </c>
      <c r="BJ146" s="8" t="str">
        <f t="shared" ref="BJ146:BL146" si="408">BJ39</f>
        <v>AAAAAAAAAA</v>
      </c>
      <c r="BK146" s="8" t="str">
        <f t="shared" si="408"/>
        <v/>
      </c>
      <c r="BL146" s="8" t="str">
        <f t="shared" si="408"/>
        <v/>
      </c>
      <c r="BM146" s="8">
        <f t="shared" si="227"/>
        <v>0</v>
      </c>
      <c r="BN146" s="8">
        <f t="shared" si="228"/>
        <v>0</v>
      </c>
      <c r="BO146" s="8"/>
      <c r="BP146" s="8" t="str">
        <f t="shared" ref="BP146:BR146" si="409">BP39</f>
        <v>AAAAAAAAAA</v>
      </c>
      <c r="BQ146" s="8" t="str">
        <f t="shared" si="409"/>
        <v/>
      </c>
      <c r="BR146" s="8" t="str">
        <f t="shared" si="409"/>
        <v/>
      </c>
      <c r="BS146" s="8">
        <f t="shared" si="230"/>
        <v>0</v>
      </c>
      <c r="BT146" s="8">
        <f t="shared" si="231"/>
        <v>0</v>
      </c>
      <c r="BU146" s="8"/>
      <c r="BV146" s="8" t="str">
        <f t="shared" ref="BV146:BX146" si="410">BV39</f>
        <v>AAAAAAAAAA</v>
      </c>
      <c r="BW146" s="8" t="str">
        <f t="shared" si="410"/>
        <v/>
      </c>
      <c r="BX146" s="8" t="str">
        <f t="shared" si="410"/>
        <v/>
      </c>
      <c r="BY146" s="8">
        <f t="shared" si="233"/>
        <v>0</v>
      </c>
      <c r="BZ146" s="8">
        <f t="shared" si="234"/>
        <v>0</v>
      </c>
      <c r="CA146" s="8"/>
      <c r="CB146" s="8" t="str">
        <f t="shared" ref="CB146:CD146" si="411">CB39</f>
        <v>AAAAAAAAAA</v>
      </c>
      <c r="CC146" s="8" t="str">
        <f t="shared" si="411"/>
        <v/>
      </c>
      <c r="CD146" s="8" t="str">
        <f t="shared" si="411"/>
        <v/>
      </c>
      <c r="CE146" s="8">
        <f t="shared" si="236"/>
        <v>0</v>
      </c>
      <c r="CF146" s="8">
        <f t="shared" si="237"/>
        <v>0</v>
      </c>
      <c r="CG146" s="8"/>
      <c r="CH146" s="8" t="str">
        <f t="shared" ref="CH146:CJ146" si="412">CH39</f>
        <v>AAAAAAAAAA</v>
      </c>
      <c r="CI146" s="8" t="str">
        <f t="shared" si="412"/>
        <v/>
      </c>
      <c r="CJ146" s="8" t="str">
        <f t="shared" si="412"/>
        <v/>
      </c>
      <c r="CK146" s="8">
        <f t="shared" si="239"/>
        <v>0</v>
      </c>
      <c r="CL146" s="8">
        <f t="shared" si="240"/>
        <v>0</v>
      </c>
      <c r="CO146" s="8" t="str">
        <f>Hidden!$CC22</f>
        <v/>
      </c>
      <c r="CP146">
        <f t="shared" si="241"/>
        <v>0</v>
      </c>
      <c r="CQ146">
        <f t="shared" si="242"/>
        <v>0</v>
      </c>
      <c r="CR146">
        <f t="shared" si="243"/>
        <v>0</v>
      </c>
      <c r="CS146">
        <f t="shared" si="244"/>
        <v>0</v>
      </c>
      <c r="CT146">
        <f t="shared" si="245"/>
        <v>0</v>
      </c>
      <c r="CU146">
        <f t="shared" si="246"/>
        <v>0</v>
      </c>
      <c r="CV146">
        <f t="shared" si="247"/>
        <v>0</v>
      </c>
      <c r="CW146">
        <f t="shared" si="248"/>
        <v>0</v>
      </c>
      <c r="CX146">
        <f t="shared" si="249"/>
        <v>0</v>
      </c>
      <c r="CY146">
        <f t="shared" si="250"/>
        <v>0</v>
      </c>
      <c r="DT146" s="77"/>
      <c r="DU146" s="8" t="str">
        <f t="shared" si="169"/>
        <v>AA</v>
      </c>
      <c r="DV146" s="8" t="str">
        <f t="shared" si="170"/>
        <v/>
      </c>
      <c r="DW146" s="8" t="str">
        <f t="shared" si="171"/>
        <v/>
      </c>
      <c r="DX146" s="8">
        <f t="shared" si="172"/>
        <v>0</v>
      </c>
      <c r="DY146" s="8">
        <f t="shared" si="172"/>
        <v>0</v>
      </c>
      <c r="EA146" s="8" t="str">
        <f t="shared" si="173"/>
        <v>AA</v>
      </c>
      <c r="EB146" s="8" t="str">
        <f t="shared" si="174"/>
        <v/>
      </c>
      <c r="EC146" s="8" t="str">
        <f t="shared" si="175"/>
        <v/>
      </c>
      <c r="ED146">
        <f t="shared" si="176"/>
        <v>0</v>
      </c>
      <c r="EE146">
        <f t="shared" si="176"/>
        <v>0</v>
      </c>
      <c r="EG146" s="8" t="str">
        <f t="shared" si="177"/>
        <v>AA</v>
      </c>
      <c r="EH146" s="8" t="str">
        <f t="shared" si="178"/>
        <v/>
      </c>
      <c r="EI146" s="8" t="str">
        <f t="shared" si="179"/>
        <v/>
      </c>
      <c r="EJ146" s="8">
        <f t="shared" si="180"/>
        <v>0</v>
      </c>
      <c r="EK146" s="8">
        <f t="shared" si="180"/>
        <v>0</v>
      </c>
      <c r="EM146" s="8" t="str">
        <f t="shared" si="181"/>
        <v>AA</v>
      </c>
      <c r="EN146" s="8" t="str">
        <f t="shared" si="182"/>
        <v/>
      </c>
      <c r="EO146" s="8" t="str">
        <f t="shared" si="183"/>
        <v/>
      </c>
      <c r="EP146" s="8">
        <f t="shared" si="184"/>
        <v>0</v>
      </c>
      <c r="EQ146" s="8">
        <f t="shared" si="184"/>
        <v>0</v>
      </c>
      <c r="ES146" s="8" t="str">
        <f t="shared" si="185"/>
        <v>AA</v>
      </c>
      <c r="ET146" s="8" t="str">
        <f t="shared" si="186"/>
        <v/>
      </c>
      <c r="EU146" s="8" t="str">
        <f t="shared" si="187"/>
        <v/>
      </c>
      <c r="EV146" s="8">
        <f t="shared" si="188"/>
        <v>0</v>
      </c>
      <c r="EW146" s="8">
        <f t="shared" si="188"/>
        <v>0</v>
      </c>
      <c r="EY146" s="8" t="str">
        <f>Hidden!$CG34</f>
        <v/>
      </c>
      <c r="EZ146">
        <f t="shared" si="189"/>
        <v>0</v>
      </c>
      <c r="FA146">
        <f t="shared" si="190"/>
        <v>0</v>
      </c>
      <c r="FB146">
        <f t="shared" si="191"/>
        <v>0</v>
      </c>
      <c r="FC146">
        <f t="shared" si="192"/>
        <v>0</v>
      </c>
      <c r="FD146">
        <f t="shared" si="193"/>
        <v>0</v>
      </c>
      <c r="FE146">
        <f t="shared" si="194"/>
        <v>0</v>
      </c>
      <c r="FF146">
        <f t="shared" si="195"/>
        <v>0</v>
      </c>
      <c r="FG146">
        <f t="shared" si="196"/>
        <v>0</v>
      </c>
      <c r="FH146">
        <f t="shared" si="197"/>
        <v>0</v>
      </c>
      <c r="FI146">
        <f t="shared" si="198"/>
        <v>0</v>
      </c>
    </row>
    <row r="147" spans="1:165" x14ac:dyDescent="0.2">
      <c r="A147" s="8" t="str">
        <f t="shared" ref="A147:C147" si="413">A40</f>
        <v>A</v>
      </c>
      <c r="B147" s="8" t="str">
        <f t="shared" si="413"/>
        <v/>
      </c>
      <c r="C147" s="8" t="str">
        <f t="shared" si="413"/>
        <v/>
      </c>
      <c r="D147" s="8">
        <f t="shared" si="207"/>
        <v>0</v>
      </c>
      <c r="E147" s="8">
        <f t="shared" si="207"/>
        <v>0</v>
      </c>
      <c r="F147" s="8"/>
      <c r="G147" s="8" t="str">
        <f t="shared" ref="G147:I147" si="414">G40</f>
        <v>A</v>
      </c>
      <c r="H147" s="8" t="str">
        <f t="shared" si="414"/>
        <v/>
      </c>
      <c r="I147" s="8" t="str">
        <f t="shared" si="414"/>
        <v/>
      </c>
      <c r="J147" s="8">
        <f t="shared" si="209"/>
        <v>0</v>
      </c>
      <c r="K147" s="8">
        <f t="shared" si="209"/>
        <v>0</v>
      </c>
      <c r="L147" s="8"/>
      <c r="M147" s="8" t="str">
        <f t="shared" ref="M147:O147" si="415">M40</f>
        <v>A</v>
      </c>
      <c r="N147" s="8" t="str">
        <f t="shared" si="415"/>
        <v/>
      </c>
      <c r="O147" s="8" t="str">
        <f t="shared" si="415"/>
        <v/>
      </c>
      <c r="P147" s="8">
        <f t="shared" si="211"/>
        <v>0</v>
      </c>
      <c r="Q147" s="8">
        <f t="shared" si="211"/>
        <v>0</v>
      </c>
      <c r="R147" s="8"/>
      <c r="S147" s="8" t="str">
        <f t="shared" ref="S147:U147" si="416">S40</f>
        <v>A</v>
      </c>
      <c r="T147" s="8" t="str">
        <f t="shared" si="416"/>
        <v/>
      </c>
      <c r="U147" s="8" t="str">
        <f t="shared" si="416"/>
        <v/>
      </c>
      <c r="V147">
        <f t="shared" si="213"/>
        <v>0</v>
      </c>
      <c r="W147">
        <f t="shared" si="213"/>
        <v>0</v>
      </c>
      <c r="Y147" s="8" t="str">
        <f t="shared" si="214"/>
        <v>A</v>
      </c>
      <c r="Z147" s="8"/>
      <c r="AB147">
        <f t="shared" si="215"/>
        <v>0</v>
      </c>
      <c r="AC147">
        <f t="shared" si="215"/>
        <v>0</v>
      </c>
      <c r="AE147" s="8" t="str">
        <f>Hidden!$CC23</f>
        <v/>
      </c>
      <c r="AF147">
        <f t="shared" si="216"/>
        <v>0</v>
      </c>
      <c r="AG147">
        <f t="shared" si="217"/>
        <v>0</v>
      </c>
      <c r="AH147">
        <f t="shared" si="218"/>
        <v>0</v>
      </c>
      <c r="AI147">
        <f t="shared" si="219"/>
        <v>0</v>
      </c>
      <c r="AJ147">
        <f t="shared" si="220"/>
        <v>0</v>
      </c>
      <c r="AK147">
        <f t="shared" si="221"/>
        <v>0</v>
      </c>
      <c r="AL147">
        <f t="shared" si="222"/>
        <v>0</v>
      </c>
      <c r="AM147">
        <f t="shared" si="223"/>
        <v>0</v>
      </c>
      <c r="AN147">
        <f t="shared" si="224"/>
        <v>0</v>
      </c>
      <c r="AO147">
        <f t="shared" si="225"/>
        <v>0</v>
      </c>
      <c r="BJ147" s="8" t="str">
        <f t="shared" ref="BJ147:BL147" si="417">BJ40</f>
        <v>A</v>
      </c>
      <c r="BK147" s="8" t="str">
        <f t="shared" si="417"/>
        <v/>
      </c>
      <c r="BL147" s="8" t="str">
        <f t="shared" si="417"/>
        <v/>
      </c>
      <c r="BM147" s="8">
        <f t="shared" si="227"/>
        <v>0</v>
      </c>
      <c r="BN147" s="8">
        <f t="shared" si="228"/>
        <v>0</v>
      </c>
      <c r="BO147" s="8"/>
      <c r="BP147" s="8" t="str">
        <f t="shared" ref="BP147:BR147" si="418">BP40</f>
        <v>A</v>
      </c>
      <c r="BQ147" s="8" t="str">
        <f t="shared" si="418"/>
        <v/>
      </c>
      <c r="BR147" s="8" t="str">
        <f t="shared" si="418"/>
        <v/>
      </c>
      <c r="BS147" s="8">
        <f t="shared" si="230"/>
        <v>0</v>
      </c>
      <c r="BT147" s="8">
        <f t="shared" si="231"/>
        <v>0</v>
      </c>
      <c r="BU147" s="8"/>
      <c r="BV147" s="8" t="str">
        <f t="shared" ref="BV147:BX147" si="419">BV40</f>
        <v>A</v>
      </c>
      <c r="BW147" s="8" t="str">
        <f t="shared" si="419"/>
        <v/>
      </c>
      <c r="BX147" s="8" t="str">
        <f t="shared" si="419"/>
        <v/>
      </c>
      <c r="BY147" s="8">
        <f t="shared" si="233"/>
        <v>0</v>
      </c>
      <c r="BZ147" s="8">
        <f t="shared" si="234"/>
        <v>0</v>
      </c>
      <c r="CA147" s="8"/>
      <c r="CB147" s="8" t="str">
        <f t="shared" ref="CB147:CD147" si="420">CB40</f>
        <v>A</v>
      </c>
      <c r="CC147" s="8" t="str">
        <f t="shared" si="420"/>
        <v/>
      </c>
      <c r="CD147" s="8" t="str">
        <f t="shared" si="420"/>
        <v/>
      </c>
      <c r="CE147" s="8">
        <f t="shared" si="236"/>
        <v>0</v>
      </c>
      <c r="CF147" s="8">
        <f t="shared" si="237"/>
        <v>0</v>
      </c>
      <c r="CG147" s="8"/>
      <c r="CH147" s="8" t="str">
        <f t="shared" ref="CH147:CJ147" si="421">CH40</f>
        <v>A</v>
      </c>
      <c r="CI147" s="8" t="str">
        <f t="shared" si="421"/>
        <v/>
      </c>
      <c r="CJ147" s="8" t="str">
        <f t="shared" si="421"/>
        <v/>
      </c>
      <c r="CK147" s="8">
        <f t="shared" si="239"/>
        <v>0</v>
      </c>
      <c r="CL147" s="8">
        <f t="shared" si="240"/>
        <v>0</v>
      </c>
      <c r="CO147" s="8" t="str">
        <f>Hidden!$CC23</f>
        <v/>
      </c>
      <c r="CP147">
        <f t="shared" si="241"/>
        <v>0</v>
      </c>
      <c r="CQ147">
        <f t="shared" si="242"/>
        <v>0</v>
      </c>
      <c r="CR147">
        <f t="shared" si="243"/>
        <v>0</v>
      </c>
      <c r="CS147">
        <f t="shared" si="244"/>
        <v>0</v>
      </c>
      <c r="CT147">
        <f t="shared" si="245"/>
        <v>0</v>
      </c>
      <c r="CU147">
        <f t="shared" si="246"/>
        <v>0</v>
      </c>
      <c r="CV147">
        <f t="shared" si="247"/>
        <v>0</v>
      </c>
      <c r="CW147">
        <f t="shared" si="248"/>
        <v>0</v>
      </c>
      <c r="CX147">
        <f t="shared" si="249"/>
        <v>0</v>
      </c>
      <c r="CY147">
        <f t="shared" si="250"/>
        <v>0</v>
      </c>
      <c r="DT147" s="77"/>
      <c r="DU147" s="8" t="str">
        <f t="shared" si="169"/>
        <v>AAA</v>
      </c>
      <c r="DV147" s="8" t="str">
        <f t="shared" si="170"/>
        <v/>
      </c>
      <c r="DW147" s="8" t="str">
        <f t="shared" si="171"/>
        <v/>
      </c>
      <c r="DX147" s="8">
        <f t="shared" si="172"/>
        <v>0</v>
      </c>
      <c r="DY147" s="8">
        <f t="shared" si="172"/>
        <v>0</v>
      </c>
      <c r="EA147" s="8" t="str">
        <f t="shared" si="173"/>
        <v>AAA</v>
      </c>
      <c r="EB147" s="8" t="str">
        <f t="shared" si="174"/>
        <v/>
      </c>
      <c r="EC147" s="8" t="str">
        <f t="shared" si="175"/>
        <v/>
      </c>
      <c r="ED147">
        <f t="shared" si="176"/>
        <v>0</v>
      </c>
      <c r="EE147">
        <f t="shared" si="176"/>
        <v>0</v>
      </c>
      <c r="EG147" s="8" t="str">
        <f t="shared" si="177"/>
        <v>AAA</v>
      </c>
      <c r="EH147" s="8" t="str">
        <f t="shared" si="178"/>
        <v/>
      </c>
      <c r="EI147" s="8" t="str">
        <f t="shared" si="179"/>
        <v/>
      </c>
      <c r="EJ147" s="8">
        <f t="shared" si="180"/>
        <v>0</v>
      </c>
      <c r="EK147" s="8">
        <f t="shared" si="180"/>
        <v>0</v>
      </c>
      <c r="EM147" s="8" t="str">
        <f t="shared" si="181"/>
        <v>AAA</v>
      </c>
      <c r="EN147" s="8" t="str">
        <f t="shared" si="182"/>
        <v/>
      </c>
      <c r="EO147" s="8" t="str">
        <f t="shared" si="183"/>
        <v/>
      </c>
      <c r="EP147" s="8">
        <f t="shared" si="184"/>
        <v>0</v>
      </c>
      <c r="EQ147" s="8">
        <f t="shared" si="184"/>
        <v>0</v>
      </c>
      <c r="ES147" s="8" t="str">
        <f t="shared" si="185"/>
        <v>AAA</v>
      </c>
      <c r="ET147" s="8" t="str">
        <f t="shared" si="186"/>
        <v/>
      </c>
      <c r="EU147" s="8" t="str">
        <f t="shared" si="187"/>
        <v/>
      </c>
      <c r="EV147" s="8">
        <f t="shared" si="188"/>
        <v>0</v>
      </c>
      <c r="EW147" s="8">
        <f t="shared" si="188"/>
        <v>0</v>
      </c>
      <c r="EY147" s="8" t="str">
        <f>Hidden!$CG35</f>
        <v/>
      </c>
      <c r="EZ147">
        <f t="shared" si="189"/>
        <v>0</v>
      </c>
      <c r="FA147">
        <f t="shared" si="190"/>
        <v>0</v>
      </c>
      <c r="FB147">
        <f t="shared" si="191"/>
        <v>0</v>
      </c>
      <c r="FC147">
        <f t="shared" si="192"/>
        <v>0</v>
      </c>
      <c r="FD147">
        <f t="shared" si="193"/>
        <v>0</v>
      </c>
      <c r="FE147">
        <f t="shared" si="194"/>
        <v>0</v>
      </c>
      <c r="FF147">
        <f t="shared" si="195"/>
        <v>0</v>
      </c>
      <c r="FG147">
        <f t="shared" si="196"/>
        <v>0</v>
      </c>
      <c r="FH147">
        <f t="shared" si="197"/>
        <v>0</v>
      </c>
      <c r="FI147">
        <f t="shared" si="198"/>
        <v>0</v>
      </c>
    </row>
    <row r="148" spans="1:165" x14ac:dyDescent="0.2">
      <c r="A148" s="8" t="str">
        <f t="shared" ref="A148:C148" si="422">A41</f>
        <v>AA</v>
      </c>
      <c r="B148" s="8" t="str">
        <f t="shared" si="422"/>
        <v/>
      </c>
      <c r="C148" s="8" t="str">
        <f t="shared" si="422"/>
        <v/>
      </c>
      <c r="D148" s="8">
        <f t="shared" si="207"/>
        <v>0</v>
      </c>
      <c r="E148" s="8">
        <f t="shared" si="207"/>
        <v>0</v>
      </c>
      <c r="F148" s="8"/>
      <c r="G148" s="8" t="str">
        <f t="shared" ref="G148:I148" si="423">G41</f>
        <v>AA</v>
      </c>
      <c r="H148" s="8" t="str">
        <f t="shared" si="423"/>
        <v/>
      </c>
      <c r="I148" s="8" t="str">
        <f t="shared" si="423"/>
        <v/>
      </c>
      <c r="J148" s="8">
        <f t="shared" si="209"/>
        <v>0</v>
      </c>
      <c r="K148" s="8">
        <f t="shared" si="209"/>
        <v>0</v>
      </c>
      <c r="L148" s="8"/>
      <c r="M148" s="8" t="str">
        <f t="shared" ref="M148:O148" si="424">M41</f>
        <v>AA</v>
      </c>
      <c r="N148" s="8" t="str">
        <f t="shared" si="424"/>
        <v/>
      </c>
      <c r="O148" s="8" t="str">
        <f t="shared" si="424"/>
        <v/>
      </c>
      <c r="P148" s="8">
        <f t="shared" si="211"/>
        <v>0</v>
      </c>
      <c r="Q148" s="8">
        <f t="shared" si="211"/>
        <v>0</v>
      </c>
      <c r="R148" s="8"/>
      <c r="S148" s="8" t="str">
        <f t="shared" ref="S148:U148" si="425">S41</f>
        <v>AA</v>
      </c>
      <c r="T148" s="8" t="str">
        <f t="shared" si="425"/>
        <v/>
      </c>
      <c r="U148" s="8" t="str">
        <f t="shared" si="425"/>
        <v/>
      </c>
      <c r="V148">
        <f t="shared" si="213"/>
        <v>0</v>
      </c>
      <c r="W148">
        <f t="shared" si="213"/>
        <v>0</v>
      </c>
      <c r="Y148" s="8" t="str">
        <f t="shared" si="214"/>
        <v>AA</v>
      </c>
      <c r="Z148" s="8"/>
      <c r="AB148">
        <f t="shared" si="215"/>
        <v>0</v>
      </c>
      <c r="AC148">
        <f t="shared" si="215"/>
        <v>0</v>
      </c>
      <c r="AE148" s="8" t="str">
        <f>Hidden!$CC24</f>
        <v/>
      </c>
      <c r="AF148">
        <f t="shared" si="216"/>
        <v>0</v>
      </c>
      <c r="AG148">
        <f t="shared" si="217"/>
        <v>0</v>
      </c>
      <c r="AH148">
        <f t="shared" si="218"/>
        <v>0</v>
      </c>
      <c r="AI148">
        <f t="shared" si="219"/>
        <v>0</v>
      </c>
      <c r="AJ148">
        <f t="shared" si="220"/>
        <v>0</v>
      </c>
      <c r="AK148">
        <f t="shared" si="221"/>
        <v>0</v>
      </c>
      <c r="AL148">
        <f t="shared" si="222"/>
        <v>0</v>
      </c>
      <c r="AM148">
        <f t="shared" si="223"/>
        <v>0</v>
      </c>
      <c r="AN148">
        <f t="shared" si="224"/>
        <v>0</v>
      </c>
      <c r="AO148">
        <f t="shared" si="225"/>
        <v>0</v>
      </c>
      <c r="BJ148" s="8" t="str">
        <f t="shared" ref="BJ148:BL148" si="426">BJ41</f>
        <v>AA</v>
      </c>
      <c r="BK148" s="8" t="str">
        <f t="shared" si="426"/>
        <v/>
      </c>
      <c r="BL148" s="8" t="str">
        <f t="shared" si="426"/>
        <v/>
      </c>
      <c r="BM148" s="8">
        <f t="shared" si="227"/>
        <v>0</v>
      </c>
      <c r="BN148" s="8">
        <f t="shared" si="228"/>
        <v>0</v>
      </c>
      <c r="BO148" s="8"/>
      <c r="BP148" s="8" t="str">
        <f t="shared" ref="BP148:BR148" si="427">BP41</f>
        <v>AA</v>
      </c>
      <c r="BQ148" s="8" t="str">
        <f t="shared" si="427"/>
        <v/>
      </c>
      <c r="BR148" s="8" t="str">
        <f t="shared" si="427"/>
        <v/>
      </c>
      <c r="BS148" s="8">
        <f t="shared" si="230"/>
        <v>0</v>
      </c>
      <c r="BT148" s="8">
        <f t="shared" si="231"/>
        <v>0</v>
      </c>
      <c r="BU148" s="8"/>
      <c r="BV148" s="8" t="str">
        <f t="shared" ref="BV148:BX148" si="428">BV41</f>
        <v>AA</v>
      </c>
      <c r="BW148" s="8" t="str">
        <f t="shared" si="428"/>
        <v/>
      </c>
      <c r="BX148" s="8" t="str">
        <f t="shared" si="428"/>
        <v/>
      </c>
      <c r="BY148" s="8">
        <f t="shared" si="233"/>
        <v>0</v>
      </c>
      <c r="BZ148" s="8">
        <f t="shared" si="234"/>
        <v>0</v>
      </c>
      <c r="CA148" s="8"/>
      <c r="CB148" s="8" t="str">
        <f t="shared" ref="CB148:CD148" si="429">CB41</f>
        <v>AA</v>
      </c>
      <c r="CC148" s="8" t="str">
        <f t="shared" si="429"/>
        <v/>
      </c>
      <c r="CD148" s="8" t="str">
        <f t="shared" si="429"/>
        <v/>
      </c>
      <c r="CE148" s="8">
        <f t="shared" si="236"/>
        <v>0</v>
      </c>
      <c r="CF148" s="8">
        <f t="shared" si="237"/>
        <v>0</v>
      </c>
      <c r="CG148" s="8"/>
      <c r="CH148" s="8" t="str">
        <f t="shared" ref="CH148:CJ148" si="430">CH41</f>
        <v>AA</v>
      </c>
      <c r="CI148" s="8" t="str">
        <f t="shared" si="430"/>
        <v/>
      </c>
      <c r="CJ148" s="8" t="str">
        <f t="shared" si="430"/>
        <v/>
      </c>
      <c r="CK148" s="8">
        <f t="shared" si="239"/>
        <v>0</v>
      </c>
      <c r="CL148" s="8">
        <f t="shared" si="240"/>
        <v>0</v>
      </c>
      <c r="CO148" s="8" t="str">
        <f>Hidden!$CC24</f>
        <v/>
      </c>
      <c r="CP148">
        <f t="shared" si="241"/>
        <v>0</v>
      </c>
      <c r="CQ148">
        <f t="shared" si="242"/>
        <v>0</v>
      </c>
      <c r="CR148">
        <f t="shared" si="243"/>
        <v>0</v>
      </c>
      <c r="CS148">
        <f t="shared" si="244"/>
        <v>0</v>
      </c>
      <c r="CT148">
        <f t="shared" si="245"/>
        <v>0</v>
      </c>
      <c r="CU148">
        <f t="shared" si="246"/>
        <v>0</v>
      </c>
      <c r="CV148">
        <f t="shared" si="247"/>
        <v>0</v>
      </c>
      <c r="CW148">
        <f t="shared" si="248"/>
        <v>0</v>
      </c>
      <c r="CX148">
        <f t="shared" si="249"/>
        <v>0</v>
      </c>
      <c r="CY148">
        <f t="shared" si="250"/>
        <v>0</v>
      </c>
      <c r="DT148" s="77"/>
      <c r="DU148" s="8" t="str">
        <f t="shared" si="169"/>
        <v>AAAA</v>
      </c>
      <c r="DV148" s="8" t="str">
        <f t="shared" si="170"/>
        <v/>
      </c>
      <c r="DW148" s="8" t="str">
        <f t="shared" si="171"/>
        <v/>
      </c>
      <c r="DX148" s="8">
        <f t="shared" ref="DX148:DY179" si="431">IF($DW148="",0,$DW148*DX$112)</f>
        <v>0</v>
      </c>
      <c r="DY148" s="8">
        <f t="shared" si="431"/>
        <v>0</v>
      </c>
      <c r="EA148" s="8" t="str">
        <f t="shared" si="173"/>
        <v>AAAA</v>
      </c>
      <c r="EB148" s="8" t="str">
        <f t="shared" si="174"/>
        <v/>
      </c>
      <c r="EC148" s="8" t="str">
        <f t="shared" si="175"/>
        <v/>
      </c>
      <c r="ED148">
        <f t="shared" ref="ED148:EE179" si="432">IF($EC148="",0,$EC148*ED$112)</f>
        <v>0</v>
      </c>
      <c r="EE148">
        <f t="shared" si="432"/>
        <v>0</v>
      </c>
      <c r="EG148" s="8" t="str">
        <f t="shared" si="177"/>
        <v>AAAA</v>
      </c>
      <c r="EH148" s="8" t="str">
        <f t="shared" si="178"/>
        <v/>
      </c>
      <c r="EI148" s="8" t="str">
        <f t="shared" si="179"/>
        <v/>
      </c>
      <c r="EJ148" s="8">
        <f t="shared" ref="EJ148:EK179" si="433">IF($EI148="",0,$EI148*EJ$112)</f>
        <v>0</v>
      </c>
      <c r="EK148" s="8">
        <f t="shared" si="433"/>
        <v>0</v>
      </c>
      <c r="EM148" s="8" t="str">
        <f t="shared" si="181"/>
        <v>AAAA</v>
      </c>
      <c r="EN148" s="8" t="str">
        <f t="shared" si="182"/>
        <v/>
      </c>
      <c r="EO148" s="8" t="str">
        <f t="shared" si="183"/>
        <v/>
      </c>
      <c r="EP148" s="8">
        <f t="shared" ref="EP148:EQ179" si="434">IF($EO148="",0,$EO148*EP$112)</f>
        <v>0</v>
      </c>
      <c r="EQ148" s="8">
        <f t="shared" si="434"/>
        <v>0</v>
      </c>
      <c r="ES148" s="8" t="str">
        <f t="shared" si="185"/>
        <v>AAAA</v>
      </c>
      <c r="ET148" s="8" t="str">
        <f t="shared" si="186"/>
        <v/>
      </c>
      <c r="EU148" s="8" t="str">
        <f t="shared" si="187"/>
        <v/>
      </c>
      <c r="EV148" s="8">
        <f t="shared" ref="EV148:EW179" si="435">IF($EU148="",0,$EU148*EV$112)</f>
        <v>0</v>
      </c>
      <c r="EW148" s="8">
        <f t="shared" si="435"/>
        <v>0</v>
      </c>
      <c r="EY148" s="8" t="str">
        <f>Hidden!$CG36</f>
        <v/>
      </c>
      <c r="EZ148">
        <f t="shared" si="189"/>
        <v>0</v>
      </c>
      <c r="FA148">
        <f t="shared" si="190"/>
        <v>0</v>
      </c>
      <c r="FB148">
        <f t="shared" si="191"/>
        <v>0</v>
      </c>
      <c r="FC148">
        <f t="shared" si="192"/>
        <v>0</v>
      </c>
      <c r="FD148">
        <f t="shared" si="193"/>
        <v>0</v>
      </c>
      <c r="FE148">
        <f t="shared" si="194"/>
        <v>0</v>
      </c>
      <c r="FF148">
        <f t="shared" si="195"/>
        <v>0</v>
      </c>
      <c r="FG148">
        <f t="shared" si="196"/>
        <v>0</v>
      </c>
      <c r="FH148">
        <f t="shared" si="197"/>
        <v>0</v>
      </c>
      <c r="FI148">
        <f t="shared" si="198"/>
        <v>0</v>
      </c>
    </row>
    <row r="149" spans="1:165" x14ac:dyDescent="0.2">
      <c r="A149" s="8" t="str">
        <f t="shared" ref="A149:C149" si="436">A42</f>
        <v>AAA</v>
      </c>
      <c r="B149" s="8" t="str">
        <f t="shared" si="436"/>
        <v/>
      </c>
      <c r="C149" s="8" t="str">
        <f t="shared" si="436"/>
        <v/>
      </c>
      <c r="D149" s="8">
        <f t="shared" si="207"/>
        <v>0</v>
      </c>
      <c r="E149" s="8">
        <f t="shared" si="207"/>
        <v>0</v>
      </c>
      <c r="F149" s="8"/>
      <c r="G149" s="8" t="str">
        <f t="shared" ref="G149:I149" si="437">G42</f>
        <v>AAA</v>
      </c>
      <c r="H149" s="8" t="str">
        <f t="shared" si="437"/>
        <v/>
      </c>
      <c r="I149" s="8" t="str">
        <f t="shared" si="437"/>
        <v/>
      </c>
      <c r="J149" s="8">
        <f t="shared" si="209"/>
        <v>0</v>
      </c>
      <c r="K149" s="8">
        <f t="shared" si="209"/>
        <v>0</v>
      </c>
      <c r="L149" s="8"/>
      <c r="M149" s="8" t="str">
        <f t="shared" ref="M149:O149" si="438">M42</f>
        <v>AAA</v>
      </c>
      <c r="N149" s="8" t="str">
        <f t="shared" si="438"/>
        <v/>
      </c>
      <c r="O149" s="8" t="str">
        <f t="shared" si="438"/>
        <v/>
      </c>
      <c r="P149" s="8">
        <f t="shared" si="211"/>
        <v>0</v>
      </c>
      <c r="Q149" s="8">
        <f t="shared" si="211"/>
        <v>0</v>
      </c>
      <c r="R149" s="8"/>
      <c r="S149" s="8" t="str">
        <f t="shared" ref="S149:U149" si="439">S42</f>
        <v>AAA</v>
      </c>
      <c r="T149" s="8" t="str">
        <f t="shared" si="439"/>
        <v/>
      </c>
      <c r="U149" s="8" t="str">
        <f t="shared" si="439"/>
        <v/>
      </c>
      <c r="V149">
        <f t="shared" si="213"/>
        <v>0</v>
      </c>
      <c r="W149">
        <f t="shared" si="213"/>
        <v>0</v>
      </c>
      <c r="Y149" s="8" t="str">
        <f t="shared" si="214"/>
        <v>AAA</v>
      </c>
      <c r="Z149" s="8"/>
      <c r="AB149">
        <f t="shared" si="215"/>
        <v>0</v>
      </c>
      <c r="AC149">
        <f t="shared" si="215"/>
        <v>0</v>
      </c>
      <c r="AE149" s="8" t="str">
        <f>Hidden!$CC25</f>
        <v/>
      </c>
      <c r="AF149">
        <f t="shared" si="216"/>
        <v>0</v>
      </c>
      <c r="AG149">
        <f t="shared" si="217"/>
        <v>0</v>
      </c>
      <c r="AH149">
        <f t="shared" si="218"/>
        <v>0</v>
      </c>
      <c r="AI149">
        <f t="shared" si="219"/>
        <v>0</v>
      </c>
      <c r="AJ149">
        <f t="shared" si="220"/>
        <v>0</v>
      </c>
      <c r="AK149">
        <f t="shared" si="221"/>
        <v>0</v>
      </c>
      <c r="AL149">
        <f t="shared" si="222"/>
        <v>0</v>
      </c>
      <c r="AM149">
        <f t="shared" si="223"/>
        <v>0</v>
      </c>
      <c r="AN149">
        <f t="shared" si="224"/>
        <v>0</v>
      </c>
      <c r="AO149">
        <f t="shared" si="225"/>
        <v>0</v>
      </c>
      <c r="BJ149" s="8" t="str">
        <f t="shared" ref="BJ149:BL149" si="440">BJ42</f>
        <v>AAA</v>
      </c>
      <c r="BK149" s="8" t="str">
        <f t="shared" si="440"/>
        <v/>
      </c>
      <c r="BL149" s="8" t="str">
        <f t="shared" si="440"/>
        <v/>
      </c>
      <c r="BM149" s="8">
        <f t="shared" si="227"/>
        <v>0</v>
      </c>
      <c r="BN149" s="8">
        <f t="shared" si="228"/>
        <v>0</v>
      </c>
      <c r="BO149" s="8"/>
      <c r="BP149" s="8" t="str">
        <f t="shared" ref="BP149:BR149" si="441">BP42</f>
        <v>AAA</v>
      </c>
      <c r="BQ149" s="8" t="str">
        <f t="shared" si="441"/>
        <v/>
      </c>
      <c r="BR149" s="8" t="str">
        <f t="shared" si="441"/>
        <v/>
      </c>
      <c r="BS149" s="8">
        <f t="shared" si="230"/>
        <v>0</v>
      </c>
      <c r="BT149" s="8">
        <f t="shared" si="231"/>
        <v>0</v>
      </c>
      <c r="BU149" s="8"/>
      <c r="BV149" s="8" t="str">
        <f t="shared" ref="BV149:BX149" si="442">BV42</f>
        <v>AAA</v>
      </c>
      <c r="BW149" s="8" t="str">
        <f t="shared" si="442"/>
        <v/>
      </c>
      <c r="BX149" s="8" t="str">
        <f t="shared" si="442"/>
        <v/>
      </c>
      <c r="BY149" s="8">
        <f t="shared" si="233"/>
        <v>0</v>
      </c>
      <c r="BZ149" s="8">
        <f t="shared" si="234"/>
        <v>0</v>
      </c>
      <c r="CA149" s="8"/>
      <c r="CB149" s="8" t="str">
        <f t="shared" ref="CB149:CD149" si="443">CB42</f>
        <v>AAA</v>
      </c>
      <c r="CC149" s="8" t="str">
        <f t="shared" si="443"/>
        <v/>
      </c>
      <c r="CD149" s="8" t="str">
        <f t="shared" si="443"/>
        <v/>
      </c>
      <c r="CE149" s="8">
        <f t="shared" si="236"/>
        <v>0</v>
      </c>
      <c r="CF149" s="8">
        <f t="shared" si="237"/>
        <v>0</v>
      </c>
      <c r="CG149" s="8"/>
      <c r="CH149" s="8" t="str">
        <f t="shared" ref="CH149:CJ149" si="444">CH42</f>
        <v>AAA</v>
      </c>
      <c r="CI149" s="8" t="str">
        <f t="shared" si="444"/>
        <v/>
      </c>
      <c r="CJ149" s="8" t="str">
        <f t="shared" si="444"/>
        <v/>
      </c>
      <c r="CK149" s="8">
        <f t="shared" si="239"/>
        <v>0</v>
      </c>
      <c r="CL149" s="8">
        <f t="shared" si="240"/>
        <v>0</v>
      </c>
      <c r="CO149" s="8" t="str">
        <f>Hidden!$CC25</f>
        <v/>
      </c>
      <c r="CP149">
        <f t="shared" si="241"/>
        <v>0</v>
      </c>
      <c r="CQ149">
        <f t="shared" si="242"/>
        <v>0</v>
      </c>
      <c r="CR149">
        <f t="shared" si="243"/>
        <v>0</v>
      </c>
      <c r="CS149">
        <f t="shared" si="244"/>
        <v>0</v>
      </c>
      <c r="CT149">
        <f t="shared" si="245"/>
        <v>0</v>
      </c>
      <c r="CU149">
        <f t="shared" si="246"/>
        <v>0</v>
      </c>
      <c r="CV149">
        <f t="shared" si="247"/>
        <v>0</v>
      </c>
      <c r="CW149">
        <f t="shared" si="248"/>
        <v>0</v>
      </c>
      <c r="CX149">
        <f t="shared" si="249"/>
        <v>0</v>
      </c>
      <c r="CY149">
        <f t="shared" si="250"/>
        <v>0</v>
      </c>
      <c r="DT149" s="77"/>
      <c r="DU149" s="8" t="str">
        <f t="shared" si="169"/>
        <v>AAAAA</v>
      </c>
      <c r="DV149" s="8" t="str">
        <f t="shared" si="170"/>
        <v/>
      </c>
      <c r="DW149" s="8" t="str">
        <f t="shared" si="171"/>
        <v/>
      </c>
      <c r="DX149" s="8">
        <f t="shared" si="431"/>
        <v>0</v>
      </c>
      <c r="DY149" s="8">
        <f t="shared" si="431"/>
        <v>0</v>
      </c>
      <c r="EA149" s="8" t="str">
        <f t="shared" si="173"/>
        <v>AAAAA</v>
      </c>
      <c r="EB149" s="8" t="str">
        <f t="shared" si="174"/>
        <v/>
      </c>
      <c r="EC149" s="8" t="str">
        <f t="shared" si="175"/>
        <v/>
      </c>
      <c r="ED149">
        <f t="shared" si="432"/>
        <v>0</v>
      </c>
      <c r="EE149">
        <f t="shared" si="432"/>
        <v>0</v>
      </c>
      <c r="EG149" s="8" t="str">
        <f t="shared" si="177"/>
        <v>AAAAA</v>
      </c>
      <c r="EH149" s="8" t="str">
        <f t="shared" si="178"/>
        <v/>
      </c>
      <c r="EI149" s="8" t="str">
        <f t="shared" si="179"/>
        <v/>
      </c>
      <c r="EJ149" s="8">
        <f t="shared" si="433"/>
        <v>0</v>
      </c>
      <c r="EK149" s="8">
        <f t="shared" si="433"/>
        <v>0</v>
      </c>
      <c r="EM149" s="8" t="str">
        <f t="shared" si="181"/>
        <v>AAAAA</v>
      </c>
      <c r="EN149" s="8" t="str">
        <f t="shared" si="182"/>
        <v/>
      </c>
      <c r="EO149" s="8" t="str">
        <f t="shared" si="183"/>
        <v/>
      </c>
      <c r="EP149" s="8">
        <f t="shared" si="434"/>
        <v>0</v>
      </c>
      <c r="EQ149" s="8">
        <f t="shared" si="434"/>
        <v>0</v>
      </c>
      <c r="ES149" s="8" t="str">
        <f t="shared" si="185"/>
        <v>AAAAA</v>
      </c>
      <c r="ET149" s="8" t="str">
        <f t="shared" si="186"/>
        <v/>
      </c>
      <c r="EU149" s="8" t="str">
        <f t="shared" si="187"/>
        <v/>
      </c>
      <c r="EV149" s="8">
        <f t="shared" si="435"/>
        <v>0</v>
      </c>
      <c r="EW149" s="8">
        <f t="shared" si="435"/>
        <v>0</v>
      </c>
      <c r="EY149" s="8" t="str">
        <f>Hidden!$CG37</f>
        <v/>
      </c>
      <c r="EZ149">
        <f t="shared" si="189"/>
        <v>0</v>
      </c>
      <c r="FA149">
        <f t="shared" si="190"/>
        <v>0</v>
      </c>
      <c r="FB149">
        <f t="shared" si="191"/>
        <v>0</v>
      </c>
      <c r="FC149">
        <f t="shared" si="192"/>
        <v>0</v>
      </c>
      <c r="FD149">
        <f t="shared" si="193"/>
        <v>0</v>
      </c>
      <c r="FE149">
        <f t="shared" si="194"/>
        <v>0</v>
      </c>
      <c r="FF149">
        <f t="shared" si="195"/>
        <v>0</v>
      </c>
      <c r="FG149">
        <f t="shared" si="196"/>
        <v>0</v>
      </c>
      <c r="FH149">
        <f t="shared" si="197"/>
        <v>0</v>
      </c>
      <c r="FI149">
        <f t="shared" si="198"/>
        <v>0</v>
      </c>
    </row>
    <row r="150" spans="1:165" x14ac:dyDescent="0.2">
      <c r="A150" s="8" t="str">
        <f t="shared" ref="A150:C150" si="445">A43</f>
        <v>AAAA</v>
      </c>
      <c r="B150" s="8" t="str">
        <f t="shared" si="445"/>
        <v/>
      </c>
      <c r="C150" s="8" t="str">
        <f t="shared" si="445"/>
        <v/>
      </c>
      <c r="D150" s="8">
        <f t="shared" si="207"/>
        <v>0</v>
      </c>
      <c r="E150" s="8">
        <f t="shared" si="207"/>
        <v>0</v>
      </c>
      <c r="F150" s="8"/>
      <c r="G150" s="8" t="str">
        <f t="shared" ref="G150:I150" si="446">G43</f>
        <v>AAAA</v>
      </c>
      <c r="H150" s="8" t="str">
        <f t="shared" si="446"/>
        <v/>
      </c>
      <c r="I150" s="8" t="str">
        <f t="shared" si="446"/>
        <v/>
      </c>
      <c r="J150" s="8">
        <f t="shared" si="209"/>
        <v>0</v>
      </c>
      <c r="K150" s="8">
        <f t="shared" si="209"/>
        <v>0</v>
      </c>
      <c r="L150" s="8"/>
      <c r="M150" s="8" t="str">
        <f t="shared" ref="M150:O150" si="447">M43</f>
        <v>AAAA</v>
      </c>
      <c r="N150" s="8" t="str">
        <f t="shared" si="447"/>
        <v/>
      </c>
      <c r="O150" s="8" t="str">
        <f t="shared" si="447"/>
        <v/>
      </c>
      <c r="P150" s="8">
        <f t="shared" si="211"/>
        <v>0</v>
      </c>
      <c r="Q150" s="8">
        <f t="shared" si="211"/>
        <v>0</v>
      </c>
      <c r="R150" s="8"/>
      <c r="S150" s="8" t="str">
        <f t="shared" ref="S150:U150" si="448">S43</f>
        <v>AAAA</v>
      </c>
      <c r="T150" s="8" t="str">
        <f t="shared" si="448"/>
        <v/>
      </c>
      <c r="U150" s="8" t="str">
        <f t="shared" si="448"/>
        <v/>
      </c>
      <c r="V150">
        <f t="shared" si="213"/>
        <v>0</v>
      </c>
      <c r="W150">
        <f t="shared" si="213"/>
        <v>0</v>
      </c>
      <c r="Y150" s="8" t="str">
        <f t="shared" si="214"/>
        <v>AAAA</v>
      </c>
      <c r="Z150" s="8"/>
      <c r="AB150">
        <f t="shared" si="215"/>
        <v>0</v>
      </c>
      <c r="AC150">
        <f t="shared" si="215"/>
        <v>0</v>
      </c>
      <c r="AE150" s="8" t="str">
        <f>Hidden!$CC26</f>
        <v/>
      </c>
      <c r="AF150">
        <f t="shared" si="216"/>
        <v>0</v>
      </c>
      <c r="AG150">
        <f t="shared" si="217"/>
        <v>0</v>
      </c>
      <c r="AH150">
        <f t="shared" si="218"/>
        <v>0</v>
      </c>
      <c r="AI150">
        <f t="shared" si="219"/>
        <v>0</v>
      </c>
      <c r="AJ150">
        <f t="shared" si="220"/>
        <v>0</v>
      </c>
      <c r="AK150">
        <f t="shared" si="221"/>
        <v>0</v>
      </c>
      <c r="AL150">
        <f t="shared" si="222"/>
        <v>0</v>
      </c>
      <c r="AM150">
        <f t="shared" si="223"/>
        <v>0</v>
      </c>
      <c r="AN150">
        <f t="shared" si="224"/>
        <v>0</v>
      </c>
      <c r="AO150">
        <f t="shared" si="225"/>
        <v>0</v>
      </c>
      <c r="BJ150" s="8" t="str">
        <f t="shared" ref="BJ150:BL150" si="449">BJ43</f>
        <v>AAAA</v>
      </c>
      <c r="BK150" s="8" t="str">
        <f t="shared" si="449"/>
        <v/>
      </c>
      <c r="BL150" s="8" t="str">
        <f t="shared" si="449"/>
        <v/>
      </c>
      <c r="BM150" s="8">
        <f t="shared" si="227"/>
        <v>0</v>
      </c>
      <c r="BN150" s="8">
        <f t="shared" si="228"/>
        <v>0</v>
      </c>
      <c r="BO150" s="8"/>
      <c r="BP150" s="8" t="str">
        <f t="shared" ref="BP150:BR150" si="450">BP43</f>
        <v>AAAA</v>
      </c>
      <c r="BQ150" s="8" t="str">
        <f t="shared" si="450"/>
        <v/>
      </c>
      <c r="BR150" s="8" t="str">
        <f t="shared" si="450"/>
        <v/>
      </c>
      <c r="BS150" s="8">
        <f t="shared" si="230"/>
        <v>0</v>
      </c>
      <c r="BT150" s="8">
        <f t="shared" si="231"/>
        <v>0</v>
      </c>
      <c r="BU150" s="8"/>
      <c r="BV150" s="8" t="str">
        <f t="shared" ref="BV150:BX150" si="451">BV43</f>
        <v>AAAA</v>
      </c>
      <c r="BW150" s="8" t="str">
        <f t="shared" si="451"/>
        <v/>
      </c>
      <c r="BX150" s="8" t="str">
        <f t="shared" si="451"/>
        <v/>
      </c>
      <c r="BY150" s="8">
        <f t="shared" si="233"/>
        <v>0</v>
      </c>
      <c r="BZ150" s="8">
        <f t="shared" si="234"/>
        <v>0</v>
      </c>
      <c r="CA150" s="8"/>
      <c r="CB150" s="8" t="str">
        <f t="shared" ref="CB150:CD150" si="452">CB43</f>
        <v>AAAA</v>
      </c>
      <c r="CC150" s="8" t="str">
        <f t="shared" si="452"/>
        <v/>
      </c>
      <c r="CD150" s="8" t="str">
        <f t="shared" si="452"/>
        <v/>
      </c>
      <c r="CE150" s="8">
        <f t="shared" si="236"/>
        <v>0</v>
      </c>
      <c r="CF150" s="8">
        <f t="shared" si="237"/>
        <v>0</v>
      </c>
      <c r="CG150" s="8"/>
      <c r="CH150" s="8" t="str">
        <f t="shared" ref="CH150:CJ150" si="453">CH43</f>
        <v>AAAA</v>
      </c>
      <c r="CI150" s="8" t="str">
        <f t="shared" si="453"/>
        <v/>
      </c>
      <c r="CJ150" s="8" t="str">
        <f t="shared" si="453"/>
        <v/>
      </c>
      <c r="CK150" s="8">
        <f t="shared" si="239"/>
        <v>0</v>
      </c>
      <c r="CL150" s="8">
        <f t="shared" si="240"/>
        <v>0</v>
      </c>
      <c r="CO150" s="8" t="str">
        <f>Hidden!$CC26</f>
        <v/>
      </c>
      <c r="CP150">
        <f t="shared" si="241"/>
        <v>0</v>
      </c>
      <c r="CQ150">
        <f t="shared" si="242"/>
        <v>0</v>
      </c>
      <c r="CR150">
        <f t="shared" si="243"/>
        <v>0</v>
      </c>
      <c r="CS150">
        <f t="shared" si="244"/>
        <v>0</v>
      </c>
      <c r="CT150">
        <f t="shared" si="245"/>
        <v>0</v>
      </c>
      <c r="CU150">
        <f t="shared" si="246"/>
        <v>0</v>
      </c>
      <c r="CV150">
        <f t="shared" si="247"/>
        <v>0</v>
      </c>
      <c r="CW150">
        <f t="shared" si="248"/>
        <v>0</v>
      </c>
      <c r="CX150">
        <f t="shared" si="249"/>
        <v>0</v>
      </c>
      <c r="CY150">
        <f t="shared" si="250"/>
        <v>0</v>
      </c>
      <c r="DT150" s="77"/>
      <c r="DU150" s="8" t="str">
        <f t="shared" si="169"/>
        <v>AAAAAA</v>
      </c>
      <c r="DV150" s="8" t="str">
        <f t="shared" si="170"/>
        <v/>
      </c>
      <c r="DW150" s="8" t="str">
        <f t="shared" si="171"/>
        <v/>
      </c>
      <c r="DX150" s="8">
        <f t="shared" si="431"/>
        <v>0</v>
      </c>
      <c r="DY150" s="8">
        <f t="shared" si="431"/>
        <v>0</v>
      </c>
      <c r="EA150" s="8" t="str">
        <f t="shared" si="173"/>
        <v>AAAAAA</v>
      </c>
      <c r="EB150" s="8" t="str">
        <f t="shared" si="174"/>
        <v/>
      </c>
      <c r="EC150" s="8" t="str">
        <f t="shared" si="175"/>
        <v/>
      </c>
      <c r="ED150">
        <f t="shared" si="432"/>
        <v>0</v>
      </c>
      <c r="EE150">
        <f t="shared" si="432"/>
        <v>0</v>
      </c>
      <c r="EG150" s="8" t="str">
        <f t="shared" si="177"/>
        <v>AAAAAA</v>
      </c>
      <c r="EH150" s="8" t="str">
        <f t="shared" si="178"/>
        <v/>
      </c>
      <c r="EI150" s="8" t="str">
        <f t="shared" si="179"/>
        <v/>
      </c>
      <c r="EJ150" s="8">
        <f t="shared" si="433"/>
        <v>0</v>
      </c>
      <c r="EK150" s="8">
        <f t="shared" si="433"/>
        <v>0</v>
      </c>
      <c r="EM150" s="8" t="str">
        <f t="shared" si="181"/>
        <v>AAAAAA</v>
      </c>
      <c r="EN150" s="8" t="str">
        <f t="shared" si="182"/>
        <v/>
      </c>
      <c r="EO150" s="8" t="str">
        <f t="shared" si="183"/>
        <v/>
      </c>
      <c r="EP150" s="8">
        <f t="shared" si="434"/>
        <v>0</v>
      </c>
      <c r="EQ150" s="8">
        <f t="shared" si="434"/>
        <v>0</v>
      </c>
      <c r="ES150" s="8" t="str">
        <f t="shared" si="185"/>
        <v>AAAAAA</v>
      </c>
      <c r="ET150" s="8" t="str">
        <f t="shared" si="186"/>
        <v/>
      </c>
      <c r="EU150" s="8" t="str">
        <f t="shared" si="187"/>
        <v/>
      </c>
      <c r="EV150" s="8">
        <f t="shared" si="435"/>
        <v>0</v>
      </c>
      <c r="EW150" s="8">
        <f t="shared" si="435"/>
        <v>0</v>
      </c>
      <c r="EY150" s="8" t="str">
        <f>Hidden!$CG38</f>
        <v/>
      </c>
      <c r="EZ150">
        <f t="shared" si="189"/>
        <v>0</v>
      </c>
      <c r="FA150">
        <f t="shared" si="190"/>
        <v>0</v>
      </c>
      <c r="FB150">
        <f t="shared" si="191"/>
        <v>0</v>
      </c>
      <c r="FC150">
        <f t="shared" si="192"/>
        <v>0</v>
      </c>
      <c r="FD150">
        <f t="shared" si="193"/>
        <v>0</v>
      </c>
      <c r="FE150">
        <f t="shared" si="194"/>
        <v>0</v>
      </c>
      <c r="FF150">
        <f t="shared" si="195"/>
        <v>0</v>
      </c>
      <c r="FG150">
        <f t="shared" si="196"/>
        <v>0</v>
      </c>
      <c r="FH150">
        <f t="shared" si="197"/>
        <v>0</v>
      </c>
      <c r="FI150">
        <f t="shared" si="198"/>
        <v>0</v>
      </c>
    </row>
    <row r="151" spans="1:165" x14ac:dyDescent="0.2">
      <c r="A151" s="8" t="str">
        <f t="shared" ref="A151:C151" si="454">A44</f>
        <v>AAAAA</v>
      </c>
      <c r="B151" s="8" t="str">
        <f t="shared" si="454"/>
        <v/>
      </c>
      <c r="C151" s="8" t="str">
        <f t="shared" si="454"/>
        <v/>
      </c>
      <c r="D151" s="8">
        <f t="shared" si="207"/>
        <v>0</v>
      </c>
      <c r="E151" s="8">
        <f t="shared" si="207"/>
        <v>0</v>
      </c>
      <c r="F151" s="8"/>
      <c r="G151" s="8" t="str">
        <f t="shared" ref="G151:I151" si="455">G44</f>
        <v>AAAAA</v>
      </c>
      <c r="H151" s="8" t="str">
        <f t="shared" si="455"/>
        <v/>
      </c>
      <c r="I151" s="8" t="str">
        <f t="shared" si="455"/>
        <v/>
      </c>
      <c r="J151" s="8">
        <f t="shared" si="209"/>
        <v>0</v>
      </c>
      <c r="K151" s="8">
        <f t="shared" si="209"/>
        <v>0</v>
      </c>
      <c r="L151" s="8"/>
      <c r="M151" s="8" t="str">
        <f t="shared" ref="M151:O151" si="456">M44</f>
        <v>AAAAA</v>
      </c>
      <c r="N151" s="8" t="str">
        <f t="shared" si="456"/>
        <v/>
      </c>
      <c r="O151" s="8" t="str">
        <f t="shared" si="456"/>
        <v/>
      </c>
      <c r="P151" s="8">
        <f t="shared" si="211"/>
        <v>0</v>
      </c>
      <c r="Q151" s="8">
        <f t="shared" si="211"/>
        <v>0</v>
      </c>
      <c r="R151" s="8"/>
      <c r="S151" s="8" t="str">
        <f t="shared" ref="S151:U151" si="457">S44</f>
        <v>AAAAA</v>
      </c>
      <c r="T151" s="8" t="str">
        <f t="shared" si="457"/>
        <v/>
      </c>
      <c r="U151" s="8" t="str">
        <f t="shared" si="457"/>
        <v/>
      </c>
      <c r="V151">
        <f t="shared" si="213"/>
        <v>0</v>
      </c>
      <c r="W151">
        <f t="shared" si="213"/>
        <v>0</v>
      </c>
      <c r="Y151" s="8" t="str">
        <f t="shared" si="214"/>
        <v>AAAAA</v>
      </c>
      <c r="Z151" s="8"/>
      <c r="AB151">
        <f t="shared" si="215"/>
        <v>0</v>
      </c>
      <c r="AC151">
        <f t="shared" si="215"/>
        <v>0</v>
      </c>
      <c r="AE151" s="8" t="str">
        <f>Hidden!$CC27</f>
        <v/>
      </c>
      <c r="AF151">
        <f t="shared" si="216"/>
        <v>0</v>
      </c>
      <c r="AG151">
        <f t="shared" si="217"/>
        <v>0</v>
      </c>
      <c r="AH151">
        <f t="shared" si="218"/>
        <v>0</v>
      </c>
      <c r="AI151">
        <f t="shared" si="219"/>
        <v>0</v>
      </c>
      <c r="AJ151">
        <f t="shared" si="220"/>
        <v>0</v>
      </c>
      <c r="AK151">
        <f t="shared" si="221"/>
        <v>0</v>
      </c>
      <c r="AL151">
        <f t="shared" si="222"/>
        <v>0</v>
      </c>
      <c r="AM151">
        <f t="shared" si="223"/>
        <v>0</v>
      </c>
      <c r="AN151">
        <f t="shared" si="224"/>
        <v>0</v>
      </c>
      <c r="AO151">
        <f t="shared" si="225"/>
        <v>0</v>
      </c>
      <c r="BJ151" s="8" t="str">
        <f t="shared" ref="BJ151:BL151" si="458">BJ44</f>
        <v>AAAAA</v>
      </c>
      <c r="BK151" s="8" t="str">
        <f t="shared" si="458"/>
        <v/>
      </c>
      <c r="BL151" s="8" t="str">
        <f t="shared" si="458"/>
        <v/>
      </c>
      <c r="BM151" s="8">
        <f t="shared" si="227"/>
        <v>0</v>
      </c>
      <c r="BN151" s="8">
        <f t="shared" si="228"/>
        <v>0</v>
      </c>
      <c r="BO151" s="8"/>
      <c r="BP151" s="8" t="str">
        <f t="shared" ref="BP151:BR151" si="459">BP44</f>
        <v>AAAAA</v>
      </c>
      <c r="BQ151" s="8" t="str">
        <f t="shared" si="459"/>
        <v/>
      </c>
      <c r="BR151" s="8" t="str">
        <f t="shared" si="459"/>
        <v/>
      </c>
      <c r="BS151" s="8">
        <f t="shared" si="230"/>
        <v>0</v>
      </c>
      <c r="BT151" s="8">
        <f t="shared" si="231"/>
        <v>0</v>
      </c>
      <c r="BU151" s="8"/>
      <c r="BV151" s="8" t="str">
        <f t="shared" ref="BV151:BX151" si="460">BV44</f>
        <v>AAAAA</v>
      </c>
      <c r="BW151" s="8" t="str">
        <f t="shared" si="460"/>
        <v/>
      </c>
      <c r="BX151" s="8" t="str">
        <f t="shared" si="460"/>
        <v/>
      </c>
      <c r="BY151" s="8">
        <f t="shared" si="233"/>
        <v>0</v>
      </c>
      <c r="BZ151" s="8">
        <f t="shared" si="234"/>
        <v>0</v>
      </c>
      <c r="CA151" s="8"/>
      <c r="CB151" s="8" t="str">
        <f t="shared" ref="CB151:CD151" si="461">CB44</f>
        <v>AAAAA</v>
      </c>
      <c r="CC151" s="8" t="str">
        <f t="shared" si="461"/>
        <v/>
      </c>
      <c r="CD151" s="8" t="str">
        <f t="shared" si="461"/>
        <v/>
      </c>
      <c r="CE151" s="8">
        <f t="shared" si="236"/>
        <v>0</v>
      </c>
      <c r="CF151" s="8">
        <f t="shared" si="237"/>
        <v>0</v>
      </c>
      <c r="CG151" s="8"/>
      <c r="CH151" s="8" t="str">
        <f t="shared" ref="CH151:CJ151" si="462">CH44</f>
        <v>AAAAA</v>
      </c>
      <c r="CI151" s="8" t="str">
        <f t="shared" si="462"/>
        <v/>
      </c>
      <c r="CJ151" s="8" t="str">
        <f t="shared" si="462"/>
        <v/>
      </c>
      <c r="CK151" s="8">
        <f t="shared" si="239"/>
        <v>0</v>
      </c>
      <c r="CL151" s="8">
        <f t="shared" si="240"/>
        <v>0</v>
      </c>
      <c r="CO151" s="8" t="str">
        <f>Hidden!$CC27</f>
        <v/>
      </c>
      <c r="CP151">
        <f t="shared" si="241"/>
        <v>0</v>
      </c>
      <c r="CQ151">
        <f t="shared" si="242"/>
        <v>0</v>
      </c>
      <c r="CR151">
        <f t="shared" si="243"/>
        <v>0</v>
      </c>
      <c r="CS151">
        <f t="shared" si="244"/>
        <v>0</v>
      </c>
      <c r="CT151">
        <f t="shared" si="245"/>
        <v>0</v>
      </c>
      <c r="CU151">
        <f t="shared" si="246"/>
        <v>0</v>
      </c>
      <c r="CV151">
        <f t="shared" si="247"/>
        <v>0</v>
      </c>
      <c r="CW151">
        <f t="shared" si="248"/>
        <v>0</v>
      </c>
      <c r="CX151">
        <f t="shared" si="249"/>
        <v>0</v>
      </c>
      <c r="CY151">
        <f t="shared" si="250"/>
        <v>0</v>
      </c>
      <c r="DT151" s="77"/>
      <c r="DU151" s="8" t="str">
        <f t="shared" si="169"/>
        <v>AAAAAAA</v>
      </c>
      <c r="DV151" s="8" t="str">
        <f t="shared" si="170"/>
        <v/>
      </c>
      <c r="DW151" s="8" t="str">
        <f t="shared" si="171"/>
        <v/>
      </c>
      <c r="DX151" s="8">
        <f t="shared" si="431"/>
        <v>0</v>
      </c>
      <c r="DY151" s="8">
        <f t="shared" si="431"/>
        <v>0</v>
      </c>
      <c r="EA151" s="8" t="str">
        <f t="shared" si="173"/>
        <v>AAAAAAA</v>
      </c>
      <c r="EB151" s="8" t="str">
        <f t="shared" si="174"/>
        <v/>
      </c>
      <c r="EC151" s="8" t="str">
        <f t="shared" si="175"/>
        <v/>
      </c>
      <c r="ED151">
        <f t="shared" si="432"/>
        <v>0</v>
      </c>
      <c r="EE151">
        <f t="shared" si="432"/>
        <v>0</v>
      </c>
      <c r="EG151" s="8" t="str">
        <f t="shared" si="177"/>
        <v>AAAAAAA</v>
      </c>
      <c r="EH151" s="8" t="str">
        <f t="shared" si="178"/>
        <v/>
      </c>
      <c r="EI151" s="8" t="str">
        <f t="shared" si="179"/>
        <v/>
      </c>
      <c r="EJ151" s="8">
        <f t="shared" si="433"/>
        <v>0</v>
      </c>
      <c r="EK151" s="8">
        <f t="shared" si="433"/>
        <v>0</v>
      </c>
      <c r="EM151" s="8" t="str">
        <f t="shared" si="181"/>
        <v>AAAAAAA</v>
      </c>
      <c r="EN151" s="8" t="str">
        <f t="shared" si="182"/>
        <v/>
      </c>
      <c r="EO151" s="8" t="str">
        <f t="shared" si="183"/>
        <v/>
      </c>
      <c r="EP151" s="8">
        <f t="shared" si="434"/>
        <v>0</v>
      </c>
      <c r="EQ151" s="8">
        <f t="shared" si="434"/>
        <v>0</v>
      </c>
      <c r="ES151" s="8" t="str">
        <f t="shared" si="185"/>
        <v>AAAAAAA</v>
      </c>
      <c r="ET151" s="8" t="str">
        <f t="shared" si="186"/>
        <v/>
      </c>
      <c r="EU151" s="8" t="str">
        <f t="shared" si="187"/>
        <v/>
      </c>
      <c r="EV151" s="8">
        <f t="shared" si="435"/>
        <v>0</v>
      </c>
      <c r="EW151" s="8">
        <f t="shared" si="435"/>
        <v>0</v>
      </c>
      <c r="EY151" s="8" t="str">
        <f>Hidden!$CG39</f>
        <v/>
      </c>
      <c r="EZ151">
        <f t="shared" si="189"/>
        <v>0</v>
      </c>
      <c r="FA151">
        <f t="shared" si="190"/>
        <v>0</v>
      </c>
      <c r="FB151">
        <f t="shared" si="191"/>
        <v>0</v>
      </c>
      <c r="FC151">
        <f t="shared" si="192"/>
        <v>0</v>
      </c>
      <c r="FD151">
        <f t="shared" si="193"/>
        <v>0</v>
      </c>
      <c r="FE151">
        <f t="shared" si="194"/>
        <v>0</v>
      </c>
      <c r="FF151">
        <f t="shared" si="195"/>
        <v>0</v>
      </c>
      <c r="FG151">
        <f t="shared" si="196"/>
        <v>0</v>
      </c>
      <c r="FH151">
        <f t="shared" si="197"/>
        <v>0</v>
      </c>
      <c r="FI151">
        <f t="shared" si="198"/>
        <v>0</v>
      </c>
    </row>
    <row r="152" spans="1:165" x14ac:dyDescent="0.2">
      <c r="A152" s="8" t="str">
        <f t="shared" ref="A152:C152" si="463">A45</f>
        <v>AAAAAA</v>
      </c>
      <c r="B152" s="8" t="str">
        <f t="shared" si="463"/>
        <v/>
      </c>
      <c r="C152" s="8" t="str">
        <f t="shared" si="463"/>
        <v/>
      </c>
      <c r="D152" s="8">
        <f t="shared" si="207"/>
        <v>0</v>
      </c>
      <c r="E152" s="8">
        <f t="shared" si="207"/>
        <v>0</v>
      </c>
      <c r="F152" s="8"/>
      <c r="G152" s="8" t="str">
        <f t="shared" ref="G152:I152" si="464">G45</f>
        <v>AAAAAA</v>
      </c>
      <c r="H152" s="8" t="str">
        <f t="shared" si="464"/>
        <v/>
      </c>
      <c r="I152" s="8" t="str">
        <f t="shared" si="464"/>
        <v/>
      </c>
      <c r="J152" s="8">
        <f t="shared" si="209"/>
        <v>0</v>
      </c>
      <c r="K152" s="8">
        <f t="shared" si="209"/>
        <v>0</v>
      </c>
      <c r="L152" s="8"/>
      <c r="M152" s="8" t="str">
        <f t="shared" ref="M152:O152" si="465">M45</f>
        <v>AAAAAA</v>
      </c>
      <c r="N152" s="8" t="str">
        <f t="shared" si="465"/>
        <v/>
      </c>
      <c r="O152" s="8" t="str">
        <f t="shared" si="465"/>
        <v/>
      </c>
      <c r="P152" s="8">
        <f t="shared" si="211"/>
        <v>0</v>
      </c>
      <c r="Q152" s="8">
        <f t="shared" si="211"/>
        <v>0</v>
      </c>
      <c r="R152" s="8"/>
      <c r="S152" s="8" t="str">
        <f t="shared" ref="S152:U152" si="466">S45</f>
        <v>AAAAAA</v>
      </c>
      <c r="T152" s="8" t="str">
        <f t="shared" si="466"/>
        <v/>
      </c>
      <c r="U152" s="8" t="str">
        <f t="shared" si="466"/>
        <v/>
      </c>
      <c r="V152">
        <f t="shared" si="213"/>
        <v>0</v>
      </c>
      <c r="W152">
        <f t="shared" si="213"/>
        <v>0</v>
      </c>
      <c r="Y152" s="8" t="str">
        <f t="shared" si="214"/>
        <v>AAAAAA</v>
      </c>
      <c r="Z152" s="8"/>
      <c r="AB152">
        <f t="shared" si="215"/>
        <v>0</v>
      </c>
      <c r="AC152">
        <f t="shared" si="215"/>
        <v>0</v>
      </c>
      <c r="AE152" s="8" t="str">
        <f>Hidden!$CC28</f>
        <v/>
      </c>
      <c r="AF152">
        <f t="shared" si="216"/>
        <v>0</v>
      </c>
      <c r="AG152">
        <f t="shared" si="217"/>
        <v>0</v>
      </c>
      <c r="AH152">
        <f t="shared" si="218"/>
        <v>0</v>
      </c>
      <c r="AI152">
        <f t="shared" si="219"/>
        <v>0</v>
      </c>
      <c r="AJ152">
        <f t="shared" si="220"/>
        <v>0</v>
      </c>
      <c r="AK152">
        <f t="shared" si="221"/>
        <v>0</v>
      </c>
      <c r="AL152">
        <f t="shared" si="222"/>
        <v>0</v>
      </c>
      <c r="AM152">
        <f t="shared" si="223"/>
        <v>0</v>
      </c>
      <c r="AN152">
        <f t="shared" si="224"/>
        <v>0</v>
      </c>
      <c r="AO152">
        <f t="shared" si="225"/>
        <v>0</v>
      </c>
      <c r="BJ152" s="8" t="str">
        <f t="shared" ref="BJ152:BL152" si="467">BJ45</f>
        <v>AAAAAA</v>
      </c>
      <c r="BK152" s="8" t="str">
        <f t="shared" si="467"/>
        <v/>
      </c>
      <c r="BL152" s="8" t="str">
        <f t="shared" si="467"/>
        <v/>
      </c>
      <c r="BM152" s="8">
        <f t="shared" si="227"/>
        <v>0</v>
      </c>
      <c r="BN152" s="8">
        <f t="shared" si="228"/>
        <v>0</v>
      </c>
      <c r="BO152" s="8"/>
      <c r="BP152" s="8" t="str">
        <f t="shared" ref="BP152:BR152" si="468">BP45</f>
        <v>AAAAAA</v>
      </c>
      <c r="BQ152" s="8" t="str">
        <f t="shared" si="468"/>
        <v/>
      </c>
      <c r="BR152" s="8" t="str">
        <f t="shared" si="468"/>
        <v/>
      </c>
      <c r="BS152" s="8">
        <f t="shared" si="230"/>
        <v>0</v>
      </c>
      <c r="BT152" s="8">
        <f t="shared" si="231"/>
        <v>0</v>
      </c>
      <c r="BU152" s="8"/>
      <c r="BV152" s="8" t="str">
        <f t="shared" ref="BV152:BX152" si="469">BV45</f>
        <v>AAAAAA</v>
      </c>
      <c r="BW152" s="8" t="str">
        <f t="shared" si="469"/>
        <v/>
      </c>
      <c r="BX152" s="8" t="str">
        <f t="shared" si="469"/>
        <v/>
      </c>
      <c r="BY152" s="8">
        <f t="shared" si="233"/>
        <v>0</v>
      </c>
      <c r="BZ152" s="8">
        <f t="shared" si="234"/>
        <v>0</v>
      </c>
      <c r="CA152" s="8"/>
      <c r="CB152" s="8" t="str">
        <f t="shared" ref="CB152:CD152" si="470">CB45</f>
        <v>AAAAAA</v>
      </c>
      <c r="CC152" s="8" t="str">
        <f t="shared" si="470"/>
        <v/>
      </c>
      <c r="CD152" s="8" t="str">
        <f t="shared" si="470"/>
        <v/>
      </c>
      <c r="CE152" s="8">
        <f t="shared" si="236"/>
        <v>0</v>
      </c>
      <c r="CF152" s="8">
        <f t="shared" si="237"/>
        <v>0</v>
      </c>
      <c r="CG152" s="8"/>
      <c r="CH152" s="8" t="str">
        <f t="shared" ref="CH152:CJ152" si="471">CH45</f>
        <v>AAAAAA</v>
      </c>
      <c r="CI152" s="8" t="str">
        <f t="shared" si="471"/>
        <v/>
      </c>
      <c r="CJ152" s="8" t="str">
        <f t="shared" si="471"/>
        <v/>
      </c>
      <c r="CK152" s="8">
        <f t="shared" si="239"/>
        <v>0</v>
      </c>
      <c r="CL152" s="8">
        <f t="shared" si="240"/>
        <v>0</v>
      </c>
      <c r="CO152" s="8" t="str">
        <f>Hidden!$CC28</f>
        <v/>
      </c>
      <c r="CP152">
        <f t="shared" si="241"/>
        <v>0</v>
      </c>
      <c r="CQ152">
        <f t="shared" si="242"/>
        <v>0</v>
      </c>
      <c r="CR152">
        <f t="shared" si="243"/>
        <v>0</v>
      </c>
      <c r="CS152">
        <f t="shared" si="244"/>
        <v>0</v>
      </c>
      <c r="CT152">
        <f t="shared" si="245"/>
        <v>0</v>
      </c>
      <c r="CU152">
        <f t="shared" si="246"/>
        <v>0</v>
      </c>
      <c r="CV152">
        <f t="shared" si="247"/>
        <v>0</v>
      </c>
      <c r="CW152">
        <f t="shared" si="248"/>
        <v>0</v>
      </c>
      <c r="CX152">
        <f t="shared" si="249"/>
        <v>0</v>
      </c>
      <c r="CY152">
        <f t="shared" si="250"/>
        <v>0</v>
      </c>
      <c r="DT152" s="77"/>
      <c r="DU152" s="8" t="str">
        <f t="shared" si="169"/>
        <v>AAAAAAAA</v>
      </c>
      <c r="DV152" s="8" t="str">
        <f t="shared" si="170"/>
        <v/>
      </c>
      <c r="DW152" s="8" t="str">
        <f t="shared" si="171"/>
        <v/>
      </c>
      <c r="DX152" s="8">
        <f t="shared" si="431"/>
        <v>0</v>
      </c>
      <c r="DY152" s="8">
        <f t="shared" si="431"/>
        <v>0</v>
      </c>
      <c r="EA152" s="8" t="str">
        <f t="shared" si="173"/>
        <v>AAAAAAAA</v>
      </c>
      <c r="EB152" s="8" t="str">
        <f t="shared" si="174"/>
        <v/>
      </c>
      <c r="EC152" s="8" t="str">
        <f t="shared" si="175"/>
        <v/>
      </c>
      <c r="ED152">
        <f t="shared" si="432"/>
        <v>0</v>
      </c>
      <c r="EE152">
        <f t="shared" si="432"/>
        <v>0</v>
      </c>
      <c r="EG152" s="8" t="str">
        <f t="shared" si="177"/>
        <v>AAAAAAAA</v>
      </c>
      <c r="EH152" s="8" t="str">
        <f t="shared" si="178"/>
        <v/>
      </c>
      <c r="EI152" s="8" t="str">
        <f t="shared" si="179"/>
        <v/>
      </c>
      <c r="EJ152" s="8">
        <f t="shared" si="433"/>
        <v>0</v>
      </c>
      <c r="EK152" s="8">
        <f t="shared" si="433"/>
        <v>0</v>
      </c>
      <c r="EM152" s="8" t="str">
        <f t="shared" si="181"/>
        <v>AAAAAAAA</v>
      </c>
      <c r="EN152" s="8" t="str">
        <f t="shared" si="182"/>
        <v/>
      </c>
      <c r="EO152" s="8" t="str">
        <f t="shared" si="183"/>
        <v/>
      </c>
      <c r="EP152" s="8">
        <f t="shared" si="434"/>
        <v>0</v>
      </c>
      <c r="EQ152" s="8">
        <f t="shared" si="434"/>
        <v>0</v>
      </c>
      <c r="ES152" s="8" t="str">
        <f t="shared" si="185"/>
        <v>AAAAAAAA</v>
      </c>
      <c r="ET152" s="8" t="str">
        <f t="shared" si="186"/>
        <v/>
      </c>
      <c r="EU152" s="8" t="str">
        <f t="shared" si="187"/>
        <v/>
      </c>
      <c r="EV152" s="8">
        <f t="shared" si="435"/>
        <v>0</v>
      </c>
      <c r="EW152" s="8">
        <f t="shared" si="435"/>
        <v>0</v>
      </c>
      <c r="EY152" s="8" t="str">
        <f>Hidden!$CG40</f>
        <v/>
      </c>
      <c r="EZ152">
        <f t="shared" si="189"/>
        <v>0</v>
      </c>
      <c r="FA152">
        <f t="shared" si="190"/>
        <v>0</v>
      </c>
      <c r="FB152">
        <f t="shared" si="191"/>
        <v>0</v>
      </c>
      <c r="FC152">
        <f t="shared" si="192"/>
        <v>0</v>
      </c>
      <c r="FD152">
        <f t="shared" si="193"/>
        <v>0</v>
      </c>
      <c r="FE152">
        <f t="shared" si="194"/>
        <v>0</v>
      </c>
      <c r="FF152">
        <f t="shared" si="195"/>
        <v>0</v>
      </c>
      <c r="FG152">
        <f t="shared" si="196"/>
        <v>0</v>
      </c>
      <c r="FH152">
        <f t="shared" si="197"/>
        <v>0</v>
      </c>
      <c r="FI152">
        <f t="shared" si="198"/>
        <v>0</v>
      </c>
    </row>
    <row r="153" spans="1:165" x14ac:dyDescent="0.2">
      <c r="A153" s="8" t="str">
        <f t="shared" ref="A153:C153" si="472">A46</f>
        <v>AAAAAAA</v>
      </c>
      <c r="B153" s="8" t="str">
        <f t="shared" si="472"/>
        <v/>
      </c>
      <c r="C153" s="8" t="str">
        <f t="shared" si="472"/>
        <v/>
      </c>
      <c r="D153" s="8">
        <f t="shared" si="207"/>
        <v>0</v>
      </c>
      <c r="E153" s="8">
        <f t="shared" si="207"/>
        <v>0</v>
      </c>
      <c r="F153" s="8"/>
      <c r="G153" s="8" t="str">
        <f t="shared" ref="G153:I153" si="473">G46</f>
        <v>AAAAAAA</v>
      </c>
      <c r="H153" s="8" t="str">
        <f t="shared" si="473"/>
        <v/>
      </c>
      <c r="I153" s="8" t="str">
        <f t="shared" si="473"/>
        <v/>
      </c>
      <c r="J153" s="8">
        <f t="shared" si="209"/>
        <v>0</v>
      </c>
      <c r="K153" s="8">
        <f t="shared" si="209"/>
        <v>0</v>
      </c>
      <c r="L153" s="8"/>
      <c r="M153" s="8" t="str">
        <f t="shared" ref="M153:O153" si="474">M46</f>
        <v>AAAAAAA</v>
      </c>
      <c r="N153" s="8" t="str">
        <f t="shared" si="474"/>
        <v/>
      </c>
      <c r="O153" s="8" t="str">
        <f t="shared" si="474"/>
        <v/>
      </c>
      <c r="P153" s="8">
        <f t="shared" si="211"/>
        <v>0</v>
      </c>
      <c r="Q153" s="8">
        <f t="shared" si="211"/>
        <v>0</v>
      </c>
      <c r="R153" s="8"/>
      <c r="S153" s="8" t="str">
        <f t="shared" ref="S153:U153" si="475">S46</f>
        <v>AAAAAAA</v>
      </c>
      <c r="T153" s="8" t="str">
        <f t="shared" si="475"/>
        <v/>
      </c>
      <c r="U153" s="8" t="str">
        <f t="shared" si="475"/>
        <v/>
      </c>
      <c r="V153">
        <f t="shared" si="213"/>
        <v>0</v>
      </c>
      <c r="W153">
        <f t="shared" si="213"/>
        <v>0</v>
      </c>
      <c r="Y153" s="8" t="str">
        <f t="shared" si="214"/>
        <v>AAAAAAA</v>
      </c>
      <c r="Z153" s="8"/>
      <c r="AB153">
        <f t="shared" si="215"/>
        <v>0</v>
      </c>
      <c r="AC153">
        <f t="shared" si="215"/>
        <v>0</v>
      </c>
      <c r="AE153" s="8" t="str">
        <f>Hidden!$CC29</f>
        <v/>
      </c>
      <c r="AF153">
        <f t="shared" si="216"/>
        <v>0</v>
      </c>
      <c r="AG153">
        <f t="shared" si="217"/>
        <v>0</v>
      </c>
      <c r="AH153">
        <f t="shared" si="218"/>
        <v>0</v>
      </c>
      <c r="AI153">
        <f t="shared" si="219"/>
        <v>0</v>
      </c>
      <c r="AJ153">
        <f t="shared" si="220"/>
        <v>0</v>
      </c>
      <c r="AK153">
        <f t="shared" si="221"/>
        <v>0</v>
      </c>
      <c r="AL153">
        <f t="shared" si="222"/>
        <v>0</v>
      </c>
      <c r="AM153">
        <f t="shared" si="223"/>
        <v>0</v>
      </c>
      <c r="AN153">
        <f t="shared" si="224"/>
        <v>0</v>
      </c>
      <c r="AO153">
        <f t="shared" si="225"/>
        <v>0</v>
      </c>
      <c r="BJ153" s="8" t="str">
        <f t="shared" ref="BJ153:BL153" si="476">BJ46</f>
        <v>AAAAAAA</v>
      </c>
      <c r="BK153" s="8" t="str">
        <f t="shared" si="476"/>
        <v/>
      </c>
      <c r="BL153" s="8" t="str">
        <f t="shared" si="476"/>
        <v/>
      </c>
      <c r="BM153" s="8">
        <f t="shared" si="227"/>
        <v>0</v>
      </c>
      <c r="BN153" s="8">
        <f t="shared" si="228"/>
        <v>0</v>
      </c>
      <c r="BO153" s="8"/>
      <c r="BP153" s="8" t="str">
        <f t="shared" ref="BP153:BR153" si="477">BP46</f>
        <v>AAAAAAA</v>
      </c>
      <c r="BQ153" s="8" t="str">
        <f t="shared" si="477"/>
        <v/>
      </c>
      <c r="BR153" s="8" t="str">
        <f t="shared" si="477"/>
        <v/>
      </c>
      <c r="BS153" s="8">
        <f t="shared" si="230"/>
        <v>0</v>
      </c>
      <c r="BT153" s="8">
        <f t="shared" si="231"/>
        <v>0</v>
      </c>
      <c r="BU153" s="8"/>
      <c r="BV153" s="8" t="str">
        <f t="shared" ref="BV153:BX153" si="478">BV46</f>
        <v>AAAAAAA</v>
      </c>
      <c r="BW153" s="8" t="str">
        <f t="shared" si="478"/>
        <v/>
      </c>
      <c r="BX153" s="8" t="str">
        <f t="shared" si="478"/>
        <v/>
      </c>
      <c r="BY153" s="8">
        <f t="shared" si="233"/>
        <v>0</v>
      </c>
      <c r="BZ153" s="8">
        <f t="shared" si="234"/>
        <v>0</v>
      </c>
      <c r="CA153" s="8"/>
      <c r="CB153" s="8" t="str">
        <f t="shared" ref="CB153:CD153" si="479">CB46</f>
        <v>AAAAAAA</v>
      </c>
      <c r="CC153" s="8" t="str">
        <f t="shared" si="479"/>
        <v/>
      </c>
      <c r="CD153" s="8" t="str">
        <f t="shared" si="479"/>
        <v/>
      </c>
      <c r="CE153" s="8">
        <f t="shared" si="236"/>
        <v>0</v>
      </c>
      <c r="CF153" s="8">
        <f t="shared" si="237"/>
        <v>0</v>
      </c>
      <c r="CG153" s="8"/>
      <c r="CH153" s="8" t="str">
        <f t="shared" ref="CH153:CJ153" si="480">CH46</f>
        <v>AAAAAAA</v>
      </c>
      <c r="CI153" s="8" t="str">
        <f t="shared" si="480"/>
        <v/>
      </c>
      <c r="CJ153" s="8" t="str">
        <f t="shared" si="480"/>
        <v/>
      </c>
      <c r="CK153" s="8">
        <f t="shared" si="239"/>
        <v>0</v>
      </c>
      <c r="CL153" s="8">
        <f t="shared" si="240"/>
        <v>0</v>
      </c>
      <c r="CO153" s="8" t="str">
        <f>Hidden!$CC29</f>
        <v/>
      </c>
      <c r="CP153">
        <f t="shared" si="241"/>
        <v>0</v>
      </c>
      <c r="CQ153">
        <f t="shared" si="242"/>
        <v>0</v>
      </c>
      <c r="CR153">
        <f t="shared" si="243"/>
        <v>0</v>
      </c>
      <c r="CS153">
        <f t="shared" si="244"/>
        <v>0</v>
      </c>
      <c r="CT153">
        <f t="shared" si="245"/>
        <v>0</v>
      </c>
      <c r="CU153">
        <f t="shared" si="246"/>
        <v>0</v>
      </c>
      <c r="CV153">
        <f t="shared" si="247"/>
        <v>0</v>
      </c>
      <c r="CW153">
        <f t="shared" si="248"/>
        <v>0</v>
      </c>
      <c r="CX153">
        <f t="shared" si="249"/>
        <v>0</v>
      </c>
      <c r="CY153">
        <f t="shared" si="250"/>
        <v>0</v>
      </c>
      <c r="DT153" s="77"/>
      <c r="DU153" s="8" t="str">
        <f t="shared" si="169"/>
        <v>AAAAAAAAA</v>
      </c>
      <c r="DV153" s="8" t="str">
        <f t="shared" si="170"/>
        <v/>
      </c>
      <c r="DW153" s="8" t="str">
        <f t="shared" si="171"/>
        <v/>
      </c>
      <c r="DX153" s="8">
        <f t="shared" si="431"/>
        <v>0</v>
      </c>
      <c r="DY153" s="8">
        <f t="shared" si="431"/>
        <v>0</v>
      </c>
      <c r="EA153" s="8" t="str">
        <f t="shared" si="173"/>
        <v>AAAAAAAAA</v>
      </c>
      <c r="EB153" s="8" t="str">
        <f t="shared" si="174"/>
        <v/>
      </c>
      <c r="EC153" s="8" t="str">
        <f t="shared" si="175"/>
        <v/>
      </c>
      <c r="ED153">
        <f t="shared" si="432"/>
        <v>0</v>
      </c>
      <c r="EE153">
        <f t="shared" si="432"/>
        <v>0</v>
      </c>
      <c r="EG153" s="8" t="str">
        <f t="shared" si="177"/>
        <v>AAAAAAAAA</v>
      </c>
      <c r="EH153" s="8" t="str">
        <f t="shared" si="178"/>
        <v/>
      </c>
      <c r="EI153" s="8" t="str">
        <f t="shared" si="179"/>
        <v/>
      </c>
      <c r="EJ153" s="8">
        <f t="shared" si="433"/>
        <v>0</v>
      </c>
      <c r="EK153" s="8">
        <f t="shared" si="433"/>
        <v>0</v>
      </c>
      <c r="EM153" s="8" t="str">
        <f t="shared" si="181"/>
        <v>AAAAAAAAA</v>
      </c>
      <c r="EN153" s="8" t="str">
        <f t="shared" si="182"/>
        <v/>
      </c>
      <c r="EO153" s="8" t="str">
        <f t="shared" si="183"/>
        <v/>
      </c>
      <c r="EP153" s="8">
        <f t="shared" si="434"/>
        <v>0</v>
      </c>
      <c r="EQ153" s="8">
        <f t="shared" si="434"/>
        <v>0</v>
      </c>
      <c r="ES153" s="8" t="str">
        <f t="shared" si="185"/>
        <v>AAAAAAAAA</v>
      </c>
      <c r="ET153" s="8" t="str">
        <f t="shared" si="186"/>
        <v/>
      </c>
      <c r="EU153" s="8" t="str">
        <f t="shared" si="187"/>
        <v/>
      </c>
      <c r="EV153" s="8">
        <f t="shared" si="435"/>
        <v>0</v>
      </c>
      <c r="EW153" s="8">
        <f t="shared" si="435"/>
        <v>0</v>
      </c>
      <c r="EY153" s="8" t="str">
        <f>Hidden!$CG41</f>
        <v/>
      </c>
      <c r="EZ153">
        <f t="shared" si="189"/>
        <v>0</v>
      </c>
      <c r="FA153">
        <f t="shared" si="190"/>
        <v>0</v>
      </c>
      <c r="FB153">
        <f t="shared" si="191"/>
        <v>0</v>
      </c>
      <c r="FC153">
        <f t="shared" si="192"/>
        <v>0</v>
      </c>
      <c r="FD153">
        <f t="shared" si="193"/>
        <v>0</v>
      </c>
      <c r="FE153">
        <f t="shared" si="194"/>
        <v>0</v>
      </c>
      <c r="FF153">
        <f t="shared" si="195"/>
        <v>0</v>
      </c>
      <c r="FG153">
        <f t="shared" si="196"/>
        <v>0</v>
      </c>
      <c r="FH153">
        <f t="shared" si="197"/>
        <v>0</v>
      </c>
      <c r="FI153">
        <f t="shared" si="198"/>
        <v>0</v>
      </c>
    </row>
    <row r="154" spans="1:165" x14ac:dyDescent="0.2">
      <c r="A154" s="8" t="str">
        <f t="shared" ref="A154:C154" si="481">A47</f>
        <v>AAAAAAAA</v>
      </c>
      <c r="B154" s="8" t="str">
        <f t="shared" si="481"/>
        <v/>
      </c>
      <c r="C154" s="8" t="str">
        <f t="shared" si="481"/>
        <v/>
      </c>
      <c r="D154" s="8">
        <f t="shared" si="207"/>
        <v>0</v>
      </c>
      <c r="E154" s="8">
        <f t="shared" si="207"/>
        <v>0</v>
      </c>
      <c r="F154" s="8"/>
      <c r="G154" s="8" t="str">
        <f t="shared" ref="G154:I154" si="482">G47</f>
        <v>AAAAAAAA</v>
      </c>
      <c r="H154" s="8" t="str">
        <f t="shared" si="482"/>
        <v/>
      </c>
      <c r="I154" s="8" t="str">
        <f t="shared" si="482"/>
        <v/>
      </c>
      <c r="J154" s="8">
        <f t="shared" si="209"/>
        <v>0</v>
      </c>
      <c r="K154" s="8">
        <f t="shared" si="209"/>
        <v>0</v>
      </c>
      <c r="L154" s="8"/>
      <c r="M154" s="8" t="str">
        <f t="shared" ref="M154:O154" si="483">M47</f>
        <v>AAAAAAAA</v>
      </c>
      <c r="N154" s="8" t="str">
        <f t="shared" si="483"/>
        <v/>
      </c>
      <c r="O154" s="8" t="str">
        <f t="shared" si="483"/>
        <v/>
      </c>
      <c r="P154" s="8">
        <f t="shared" si="211"/>
        <v>0</v>
      </c>
      <c r="Q154" s="8">
        <f t="shared" si="211"/>
        <v>0</v>
      </c>
      <c r="R154" s="8"/>
      <c r="S154" s="8" t="str">
        <f t="shared" ref="S154:U154" si="484">S47</f>
        <v>AAAAAAAA</v>
      </c>
      <c r="T154" s="8" t="str">
        <f t="shared" si="484"/>
        <v/>
      </c>
      <c r="U154" s="8" t="str">
        <f t="shared" si="484"/>
        <v/>
      </c>
      <c r="V154">
        <f t="shared" si="213"/>
        <v>0</v>
      </c>
      <c r="W154">
        <f t="shared" si="213"/>
        <v>0</v>
      </c>
      <c r="Y154" s="8" t="str">
        <f t="shared" si="214"/>
        <v>AAAAAAAA</v>
      </c>
      <c r="Z154" s="8"/>
      <c r="AB154">
        <f t="shared" si="215"/>
        <v>0</v>
      </c>
      <c r="AC154">
        <f t="shared" si="215"/>
        <v>0</v>
      </c>
      <c r="AE154" s="8" t="str">
        <f>Hidden!$CC30</f>
        <v/>
      </c>
      <c r="AF154">
        <f t="shared" si="216"/>
        <v>0</v>
      </c>
      <c r="AG154">
        <f t="shared" si="217"/>
        <v>0</v>
      </c>
      <c r="AH154">
        <f t="shared" si="218"/>
        <v>0</v>
      </c>
      <c r="AI154">
        <f t="shared" si="219"/>
        <v>0</v>
      </c>
      <c r="AJ154">
        <f t="shared" si="220"/>
        <v>0</v>
      </c>
      <c r="AK154">
        <f t="shared" si="221"/>
        <v>0</v>
      </c>
      <c r="AL154">
        <f t="shared" si="222"/>
        <v>0</v>
      </c>
      <c r="AM154">
        <f t="shared" si="223"/>
        <v>0</v>
      </c>
      <c r="AN154">
        <f t="shared" si="224"/>
        <v>0</v>
      </c>
      <c r="AO154">
        <f t="shared" si="225"/>
        <v>0</v>
      </c>
      <c r="BJ154" s="8" t="str">
        <f t="shared" ref="BJ154:BL154" si="485">BJ47</f>
        <v>AAAAAAAA</v>
      </c>
      <c r="BK154" s="8" t="str">
        <f t="shared" si="485"/>
        <v/>
      </c>
      <c r="BL154" s="8" t="str">
        <f t="shared" si="485"/>
        <v/>
      </c>
      <c r="BM154" s="8">
        <f t="shared" si="227"/>
        <v>0</v>
      </c>
      <c r="BN154" s="8">
        <f t="shared" si="228"/>
        <v>0</v>
      </c>
      <c r="BO154" s="8"/>
      <c r="BP154" s="8" t="str">
        <f t="shared" ref="BP154:BR154" si="486">BP47</f>
        <v>AAAAAAAA</v>
      </c>
      <c r="BQ154" s="8" t="str">
        <f t="shared" si="486"/>
        <v/>
      </c>
      <c r="BR154" s="8" t="str">
        <f t="shared" si="486"/>
        <v/>
      </c>
      <c r="BS154" s="8">
        <f t="shared" si="230"/>
        <v>0</v>
      </c>
      <c r="BT154" s="8">
        <f t="shared" si="231"/>
        <v>0</v>
      </c>
      <c r="BU154" s="8"/>
      <c r="BV154" s="8" t="str">
        <f t="shared" ref="BV154:BX154" si="487">BV47</f>
        <v>AAAAAAAA</v>
      </c>
      <c r="BW154" s="8" t="str">
        <f t="shared" si="487"/>
        <v/>
      </c>
      <c r="BX154" s="8" t="str">
        <f t="shared" si="487"/>
        <v/>
      </c>
      <c r="BY154" s="8">
        <f t="shared" si="233"/>
        <v>0</v>
      </c>
      <c r="BZ154" s="8">
        <f t="shared" si="234"/>
        <v>0</v>
      </c>
      <c r="CA154" s="8"/>
      <c r="CB154" s="8" t="str">
        <f t="shared" ref="CB154:CD154" si="488">CB47</f>
        <v>AAAAAAAA</v>
      </c>
      <c r="CC154" s="8" t="str">
        <f t="shared" si="488"/>
        <v/>
      </c>
      <c r="CD154" s="8" t="str">
        <f t="shared" si="488"/>
        <v/>
      </c>
      <c r="CE154" s="8">
        <f t="shared" si="236"/>
        <v>0</v>
      </c>
      <c r="CF154" s="8">
        <f t="shared" si="237"/>
        <v>0</v>
      </c>
      <c r="CG154" s="8"/>
      <c r="CH154" s="8" t="str">
        <f t="shared" ref="CH154:CJ154" si="489">CH47</f>
        <v>AAAAAAAA</v>
      </c>
      <c r="CI154" s="8" t="str">
        <f t="shared" si="489"/>
        <v/>
      </c>
      <c r="CJ154" s="8" t="str">
        <f t="shared" si="489"/>
        <v/>
      </c>
      <c r="CK154" s="8">
        <f t="shared" si="239"/>
        <v>0</v>
      </c>
      <c r="CL154" s="8">
        <f t="shared" si="240"/>
        <v>0</v>
      </c>
      <c r="CO154" s="8" t="str">
        <f>Hidden!$CC30</f>
        <v/>
      </c>
      <c r="CP154">
        <f t="shared" si="241"/>
        <v>0</v>
      </c>
      <c r="CQ154">
        <f t="shared" si="242"/>
        <v>0</v>
      </c>
      <c r="CR154">
        <f t="shared" si="243"/>
        <v>0</v>
      </c>
      <c r="CS154">
        <f t="shared" si="244"/>
        <v>0</v>
      </c>
      <c r="CT154">
        <f t="shared" si="245"/>
        <v>0</v>
      </c>
      <c r="CU154">
        <f t="shared" si="246"/>
        <v>0</v>
      </c>
      <c r="CV154">
        <f t="shared" si="247"/>
        <v>0</v>
      </c>
      <c r="CW154">
        <f t="shared" si="248"/>
        <v>0</v>
      </c>
      <c r="CX154">
        <f t="shared" si="249"/>
        <v>0</v>
      </c>
      <c r="CY154">
        <f t="shared" si="250"/>
        <v>0</v>
      </c>
      <c r="DT154" s="77"/>
      <c r="DU154" s="8" t="str">
        <f t="shared" si="169"/>
        <v>AAAAAAAAAA</v>
      </c>
      <c r="DV154" s="8" t="str">
        <f t="shared" si="170"/>
        <v/>
      </c>
      <c r="DW154" s="8" t="str">
        <f t="shared" si="171"/>
        <v/>
      </c>
      <c r="DX154" s="8">
        <f t="shared" si="431"/>
        <v>0</v>
      </c>
      <c r="DY154" s="8">
        <f t="shared" si="431"/>
        <v>0</v>
      </c>
      <c r="EA154" s="8" t="str">
        <f t="shared" si="173"/>
        <v>AAAAAAAAAA</v>
      </c>
      <c r="EB154" s="8" t="str">
        <f t="shared" si="174"/>
        <v/>
      </c>
      <c r="EC154" s="8" t="str">
        <f t="shared" si="175"/>
        <v/>
      </c>
      <c r="ED154">
        <f t="shared" si="432"/>
        <v>0</v>
      </c>
      <c r="EE154">
        <f t="shared" si="432"/>
        <v>0</v>
      </c>
      <c r="EG154" s="8" t="str">
        <f t="shared" si="177"/>
        <v>AAAAAAAAAA</v>
      </c>
      <c r="EH154" s="8" t="str">
        <f t="shared" si="178"/>
        <v/>
      </c>
      <c r="EI154" s="8" t="str">
        <f t="shared" si="179"/>
        <v/>
      </c>
      <c r="EJ154" s="8">
        <f t="shared" si="433"/>
        <v>0</v>
      </c>
      <c r="EK154" s="8">
        <f t="shared" si="433"/>
        <v>0</v>
      </c>
      <c r="EM154" s="8" t="str">
        <f t="shared" si="181"/>
        <v>AAAAAAAAAA</v>
      </c>
      <c r="EN154" s="8" t="str">
        <f t="shared" si="182"/>
        <v/>
      </c>
      <c r="EO154" s="8" t="str">
        <f t="shared" si="183"/>
        <v/>
      </c>
      <c r="EP154" s="8">
        <f t="shared" si="434"/>
        <v>0</v>
      </c>
      <c r="EQ154" s="8">
        <f t="shared" si="434"/>
        <v>0</v>
      </c>
      <c r="ES154" s="8" t="str">
        <f t="shared" si="185"/>
        <v>AAAAAAAAAA</v>
      </c>
      <c r="ET154" s="8" t="str">
        <f t="shared" si="186"/>
        <v/>
      </c>
      <c r="EU154" s="8" t="str">
        <f t="shared" si="187"/>
        <v/>
      </c>
      <c r="EV154" s="8">
        <f t="shared" si="435"/>
        <v>0</v>
      </c>
      <c r="EW154" s="8">
        <f t="shared" si="435"/>
        <v>0</v>
      </c>
      <c r="EY154" s="8" t="str">
        <f>Hidden!$CG42</f>
        <v/>
      </c>
      <c r="EZ154">
        <f t="shared" si="189"/>
        <v>0</v>
      </c>
      <c r="FA154">
        <f t="shared" si="190"/>
        <v>0</v>
      </c>
      <c r="FB154">
        <f t="shared" si="191"/>
        <v>0</v>
      </c>
      <c r="FC154">
        <f t="shared" si="192"/>
        <v>0</v>
      </c>
      <c r="FD154">
        <f t="shared" si="193"/>
        <v>0</v>
      </c>
      <c r="FE154">
        <f t="shared" si="194"/>
        <v>0</v>
      </c>
      <c r="FF154">
        <f t="shared" si="195"/>
        <v>0</v>
      </c>
      <c r="FG154">
        <f t="shared" si="196"/>
        <v>0</v>
      </c>
      <c r="FH154">
        <f t="shared" si="197"/>
        <v>0</v>
      </c>
      <c r="FI154">
        <f t="shared" si="198"/>
        <v>0</v>
      </c>
    </row>
    <row r="155" spans="1:165" x14ac:dyDescent="0.2">
      <c r="A155" s="8" t="str">
        <f t="shared" ref="A155:C155" si="490">A48</f>
        <v>AAAAAAAAA</v>
      </c>
      <c r="B155" s="8" t="str">
        <f t="shared" si="490"/>
        <v/>
      </c>
      <c r="C155" s="8" t="str">
        <f t="shared" si="490"/>
        <v/>
      </c>
      <c r="D155" s="8">
        <f t="shared" si="207"/>
        <v>0</v>
      </c>
      <c r="E155" s="8">
        <f t="shared" si="207"/>
        <v>0</v>
      </c>
      <c r="F155" s="8"/>
      <c r="G155" s="8" t="str">
        <f t="shared" ref="G155:I155" si="491">G48</f>
        <v>AAAAAAAAA</v>
      </c>
      <c r="H155" s="8" t="str">
        <f t="shared" si="491"/>
        <v/>
      </c>
      <c r="I155" s="8" t="str">
        <f t="shared" si="491"/>
        <v/>
      </c>
      <c r="J155" s="8">
        <f t="shared" si="209"/>
        <v>0</v>
      </c>
      <c r="K155" s="8">
        <f t="shared" si="209"/>
        <v>0</v>
      </c>
      <c r="L155" s="8"/>
      <c r="M155" s="8" t="str">
        <f t="shared" ref="M155:O155" si="492">M48</f>
        <v>AAAAAAAAA</v>
      </c>
      <c r="N155" s="8" t="str">
        <f t="shared" si="492"/>
        <v/>
      </c>
      <c r="O155" s="8" t="str">
        <f t="shared" si="492"/>
        <v/>
      </c>
      <c r="P155" s="8">
        <f t="shared" si="211"/>
        <v>0</v>
      </c>
      <c r="Q155" s="8">
        <f t="shared" si="211"/>
        <v>0</v>
      </c>
      <c r="R155" s="8"/>
      <c r="S155" s="8" t="str">
        <f t="shared" ref="S155:U155" si="493">S48</f>
        <v>AAAAAAAAA</v>
      </c>
      <c r="T155" s="8" t="str">
        <f t="shared" si="493"/>
        <v/>
      </c>
      <c r="U155" s="8" t="str">
        <f t="shared" si="493"/>
        <v/>
      </c>
      <c r="V155">
        <f t="shared" si="213"/>
        <v>0</v>
      </c>
      <c r="W155">
        <f t="shared" si="213"/>
        <v>0</v>
      </c>
      <c r="Y155" s="8" t="str">
        <f t="shared" si="214"/>
        <v>AAAAAAAAA</v>
      </c>
      <c r="Z155" s="8"/>
      <c r="AB155">
        <f t="shared" si="215"/>
        <v>0</v>
      </c>
      <c r="AC155">
        <f t="shared" si="215"/>
        <v>0</v>
      </c>
      <c r="AE155" s="8" t="str">
        <f>Hidden!$CC31</f>
        <v/>
      </c>
      <c r="AF155">
        <f t="shared" si="216"/>
        <v>0</v>
      </c>
      <c r="AG155">
        <f t="shared" si="217"/>
        <v>0</v>
      </c>
      <c r="AH155">
        <f t="shared" si="218"/>
        <v>0</v>
      </c>
      <c r="AI155">
        <f t="shared" si="219"/>
        <v>0</v>
      </c>
      <c r="AJ155">
        <f t="shared" si="220"/>
        <v>0</v>
      </c>
      <c r="AK155">
        <f t="shared" si="221"/>
        <v>0</v>
      </c>
      <c r="AL155">
        <f t="shared" si="222"/>
        <v>0</v>
      </c>
      <c r="AM155">
        <f t="shared" si="223"/>
        <v>0</v>
      </c>
      <c r="AN155">
        <f t="shared" si="224"/>
        <v>0</v>
      </c>
      <c r="AO155">
        <f t="shared" si="225"/>
        <v>0</v>
      </c>
      <c r="BJ155" s="8" t="str">
        <f t="shared" ref="BJ155:BL155" si="494">BJ48</f>
        <v>AAAAAAAAA</v>
      </c>
      <c r="BK155" s="8" t="str">
        <f t="shared" si="494"/>
        <v/>
      </c>
      <c r="BL155" s="8" t="str">
        <f t="shared" si="494"/>
        <v/>
      </c>
      <c r="BM155" s="8">
        <f t="shared" si="227"/>
        <v>0</v>
      </c>
      <c r="BN155" s="8">
        <f t="shared" si="228"/>
        <v>0</v>
      </c>
      <c r="BO155" s="8"/>
      <c r="BP155" s="8" t="str">
        <f t="shared" ref="BP155:BR155" si="495">BP48</f>
        <v>AAAAAAAAA</v>
      </c>
      <c r="BQ155" s="8" t="str">
        <f t="shared" si="495"/>
        <v/>
      </c>
      <c r="BR155" s="8" t="str">
        <f t="shared" si="495"/>
        <v/>
      </c>
      <c r="BS155" s="8">
        <f t="shared" si="230"/>
        <v>0</v>
      </c>
      <c r="BT155" s="8">
        <f t="shared" si="231"/>
        <v>0</v>
      </c>
      <c r="BU155" s="8"/>
      <c r="BV155" s="8" t="str">
        <f t="shared" ref="BV155:BX155" si="496">BV48</f>
        <v>AAAAAAAAA</v>
      </c>
      <c r="BW155" s="8" t="str">
        <f t="shared" si="496"/>
        <v/>
      </c>
      <c r="BX155" s="8" t="str">
        <f t="shared" si="496"/>
        <v/>
      </c>
      <c r="BY155" s="8">
        <f t="shared" si="233"/>
        <v>0</v>
      </c>
      <c r="BZ155" s="8">
        <f t="shared" si="234"/>
        <v>0</v>
      </c>
      <c r="CA155" s="8"/>
      <c r="CB155" s="8" t="str">
        <f t="shared" ref="CB155:CD155" si="497">CB48</f>
        <v>AAAAAAAAA</v>
      </c>
      <c r="CC155" s="8" t="str">
        <f t="shared" si="497"/>
        <v/>
      </c>
      <c r="CD155" s="8" t="str">
        <f t="shared" si="497"/>
        <v/>
      </c>
      <c r="CE155" s="8">
        <f t="shared" si="236"/>
        <v>0</v>
      </c>
      <c r="CF155" s="8">
        <f t="shared" si="237"/>
        <v>0</v>
      </c>
      <c r="CG155" s="8"/>
      <c r="CH155" s="8" t="str">
        <f t="shared" ref="CH155:CJ155" si="498">CH48</f>
        <v>AAAAAAAAA</v>
      </c>
      <c r="CI155" s="8" t="str">
        <f t="shared" si="498"/>
        <v/>
      </c>
      <c r="CJ155" s="8" t="str">
        <f t="shared" si="498"/>
        <v/>
      </c>
      <c r="CK155" s="8">
        <f t="shared" si="239"/>
        <v>0</v>
      </c>
      <c r="CL155" s="8">
        <f t="shared" si="240"/>
        <v>0</v>
      </c>
      <c r="CO155" s="8" t="str">
        <f>Hidden!$CC31</f>
        <v/>
      </c>
      <c r="CP155">
        <f t="shared" si="241"/>
        <v>0</v>
      </c>
      <c r="CQ155">
        <f t="shared" si="242"/>
        <v>0</v>
      </c>
      <c r="CR155">
        <f t="shared" si="243"/>
        <v>0</v>
      </c>
      <c r="CS155">
        <f t="shared" si="244"/>
        <v>0</v>
      </c>
      <c r="CT155">
        <f t="shared" si="245"/>
        <v>0</v>
      </c>
      <c r="CU155">
        <f t="shared" si="246"/>
        <v>0</v>
      </c>
      <c r="CV155">
        <f t="shared" si="247"/>
        <v>0</v>
      </c>
      <c r="CW155">
        <f t="shared" si="248"/>
        <v>0</v>
      </c>
      <c r="CX155">
        <f t="shared" si="249"/>
        <v>0</v>
      </c>
      <c r="CY155">
        <f t="shared" si="250"/>
        <v>0</v>
      </c>
      <c r="DT155" s="77"/>
      <c r="DU155" s="8" t="str">
        <f t="shared" si="169"/>
        <v>A</v>
      </c>
      <c r="DV155" s="8" t="str">
        <f t="shared" si="170"/>
        <v/>
      </c>
      <c r="DW155" s="8" t="str">
        <f t="shared" si="171"/>
        <v/>
      </c>
      <c r="DX155" s="8">
        <f t="shared" si="431"/>
        <v>0</v>
      </c>
      <c r="DY155" s="8">
        <f t="shared" si="431"/>
        <v>0</v>
      </c>
      <c r="EA155" s="8" t="str">
        <f t="shared" si="173"/>
        <v>A</v>
      </c>
      <c r="EB155" s="8" t="str">
        <f t="shared" si="174"/>
        <v/>
      </c>
      <c r="EC155" s="8" t="str">
        <f t="shared" si="175"/>
        <v/>
      </c>
      <c r="ED155">
        <f t="shared" si="432"/>
        <v>0</v>
      </c>
      <c r="EE155">
        <f t="shared" si="432"/>
        <v>0</v>
      </c>
      <c r="EG155" s="8" t="str">
        <f t="shared" si="177"/>
        <v>A</v>
      </c>
      <c r="EH155" s="8" t="str">
        <f t="shared" si="178"/>
        <v/>
      </c>
      <c r="EI155" s="8" t="str">
        <f t="shared" si="179"/>
        <v/>
      </c>
      <c r="EJ155" s="8">
        <f t="shared" si="433"/>
        <v>0</v>
      </c>
      <c r="EK155" s="8">
        <f t="shared" si="433"/>
        <v>0</v>
      </c>
      <c r="EM155" s="8" t="str">
        <f t="shared" si="181"/>
        <v>A</v>
      </c>
      <c r="EN155" s="8" t="str">
        <f t="shared" si="182"/>
        <v/>
      </c>
      <c r="EO155" s="8" t="str">
        <f t="shared" si="183"/>
        <v/>
      </c>
      <c r="EP155" s="8">
        <f t="shared" si="434"/>
        <v>0</v>
      </c>
      <c r="EQ155" s="8">
        <f t="shared" si="434"/>
        <v>0</v>
      </c>
      <c r="ES155" s="8" t="str">
        <f t="shared" si="185"/>
        <v>A</v>
      </c>
      <c r="ET155" s="8" t="str">
        <f t="shared" si="186"/>
        <v/>
      </c>
      <c r="EU155" s="8" t="str">
        <f t="shared" si="187"/>
        <v/>
      </c>
      <c r="EV155" s="8">
        <f t="shared" si="435"/>
        <v>0</v>
      </c>
      <c r="EW155" s="8">
        <f t="shared" si="435"/>
        <v>0</v>
      </c>
      <c r="EY155" s="8" t="str">
        <f>Hidden!$CG43</f>
        <v/>
      </c>
      <c r="EZ155">
        <f t="shared" si="189"/>
        <v>0</v>
      </c>
      <c r="FA155">
        <f t="shared" si="190"/>
        <v>0</v>
      </c>
      <c r="FB155">
        <f t="shared" si="191"/>
        <v>0</v>
      </c>
      <c r="FC155">
        <f t="shared" si="192"/>
        <v>0</v>
      </c>
      <c r="FD155">
        <f t="shared" si="193"/>
        <v>0</v>
      </c>
      <c r="FE155">
        <f t="shared" si="194"/>
        <v>0</v>
      </c>
      <c r="FF155">
        <f t="shared" si="195"/>
        <v>0</v>
      </c>
      <c r="FG155">
        <f t="shared" si="196"/>
        <v>0</v>
      </c>
      <c r="FH155">
        <f t="shared" si="197"/>
        <v>0</v>
      </c>
      <c r="FI155">
        <f t="shared" si="198"/>
        <v>0</v>
      </c>
    </row>
    <row r="156" spans="1:165" x14ac:dyDescent="0.2">
      <c r="A156" s="8" t="str">
        <f t="shared" ref="A156:C156" si="499">A49</f>
        <v>AAAAAAAAAA</v>
      </c>
      <c r="B156" s="8" t="str">
        <f t="shared" si="499"/>
        <v/>
      </c>
      <c r="C156" s="8" t="str">
        <f t="shared" si="499"/>
        <v/>
      </c>
      <c r="D156" s="8">
        <f t="shared" si="207"/>
        <v>0</v>
      </c>
      <c r="E156" s="8">
        <f t="shared" si="207"/>
        <v>0</v>
      </c>
      <c r="F156" s="8"/>
      <c r="G156" s="8" t="str">
        <f t="shared" ref="G156:I156" si="500">G49</f>
        <v>AAAAAAAAAA</v>
      </c>
      <c r="H156" s="8" t="str">
        <f t="shared" si="500"/>
        <v/>
      </c>
      <c r="I156" s="8" t="str">
        <f t="shared" si="500"/>
        <v/>
      </c>
      <c r="J156" s="8">
        <f t="shared" si="209"/>
        <v>0</v>
      </c>
      <c r="K156" s="8">
        <f t="shared" si="209"/>
        <v>0</v>
      </c>
      <c r="L156" s="8"/>
      <c r="M156" s="8" t="str">
        <f t="shared" ref="M156:O156" si="501">M49</f>
        <v>AAAAAAAAAA</v>
      </c>
      <c r="N156" s="8" t="str">
        <f t="shared" si="501"/>
        <v/>
      </c>
      <c r="O156" s="8" t="str">
        <f t="shared" si="501"/>
        <v/>
      </c>
      <c r="P156" s="8">
        <f t="shared" si="211"/>
        <v>0</v>
      </c>
      <c r="Q156" s="8">
        <f t="shared" si="211"/>
        <v>0</v>
      </c>
      <c r="R156" s="8"/>
      <c r="S156" s="8" t="str">
        <f t="shared" ref="S156:U156" si="502">S49</f>
        <v>AAAAAAAAAA</v>
      </c>
      <c r="T156" s="8" t="str">
        <f t="shared" si="502"/>
        <v/>
      </c>
      <c r="U156" s="8" t="str">
        <f t="shared" si="502"/>
        <v/>
      </c>
      <c r="V156">
        <f t="shared" si="213"/>
        <v>0</v>
      </c>
      <c r="W156">
        <f t="shared" si="213"/>
        <v>0</v>
      </c>
      <c r="Y156" s="8" t="str">
        <f t="shared" si="214"/>
        <v>AAAAAAAAAA</v>
      </c>
      <c r="Z156" s="8"/>
      <c r="AB156">
        <f t="shared" si="215"/>
        <v>0</v>
      </c>
      <c r="AC156">
        <f t="shared" si="215"/>
        <v>0</v>
      </c>
      <c r="AE156" s="8" t="str">
        <f>Hidden!$CC32</f>
        <v/>
      </c>
      <c r="AF156">
        <f t="shared" si="216"/>
        <v>0</v>
      </c>
      <c r="AG156">
        <f t="shared" si="217"/>
        <v>0</v>
      </c>
      <c r="AH156">
        <f t="shared" si="218"/>
        <v>0</v>
      </c>
      <c r="AI156">
        <f t="shared" si="219"/>
        <v>0</v>
      </c>
      <c r="AJ156">
        <f t="shared" si="220"/>
        <v>0</v>
      </c>
      <c r="AK156">
        <f t="shared" si="221"/>
        <v>0</v>
      </c>
      <c r="AL156">
        <f t="shared" si="222"/>
        <v>0</v>
      </c>
      <c r="AM156">
        <f t="shared" si="223"/>
        <v>0</v>
      </c>
      <c r="AN156">
        <f t="shared" si="224"/>
        <v>0</v>
      </c>
      <c r="AO156">
        <f t="shared" si="225"/>
        <v>0</v>
      </c>
      <c r="BJ156" s="8" t="str">
        <f t="shared" ref="BJ156:BL156" si="503">BJ49</f>
        <v>AAAAAAAAAA</v>
      </c>
      <c r="BK156" s="8" t="str">
        <f t="shared" si="503"/>
        <v/>
      </c>
      <c r="BL156" s="8" t="str">
        <f t="shared" si="503"/>
        <v/>
      </c>
      <c r="BM156" s="8">
        <f t="shared" si="227"/>
        <v>0</v>
      </c>
      <c r="BN156" s="8">
        <f t="shared" si="228"/>
        <v>0</v>
      </c>
      <c r="BO156" s="8"/>
      <c r="BP156" s="8" t="str">
        <f t="shared" ref="BP156:BR156" si="504">BP49</f>
        <v>AAAAAAAAAA</v>
      </c>
      <c r="BQ156" s="8" t="str">
        <f t="shared" si="504"/>
        <v/>
      </c>
      <c r="BR156" s="8" t="str">
        <f t="shared" si="504"/>
        <v/>
      </c>
      <c r="BS156" s="8">
        <f t="shared" si="230"/>
        <v>0</v>
      </c>
      <c r="BT156" s="8">
        <f t="shared" si="231"/>
        <v>0</v>
      </c>
      <c r="BU156" s="8"/>
      <c r="BV156" s="8" t="str">
        <f t="shared" ref="BV156:BX156" si="505">BV49</f>
        <v>AAAAAAAAAA</v>
      </c>
      <c r="BW156" s="8" t="str">
        <f t="shared" si="505"/>
        <v/>
      </c>
      <c r="BX156" s="8" t="str">
        <f t="shared" si="505"/>
        <v/>
      </c>
      <c r="BY156" s="8">
        <f t="shared" si="233"/>
        <v>0</v>
      </c>
      <c r="BZ156" s="8">
        <f t="shared" si="234"/>
        <v>0</v>
      </c>
      <c r="CA156" s="8"/>
      <c r="CB156" s="8" t="str">
        <f t="shared" ref="CB156:CD156" si="506">CB49</f>
        <v>AAAAAAAAAA</v>
      </c>
      <c r="CC156" s="8" t="str">
        <f t="shared" si="506"/>
        <v/>
      </c>
      <c r="CD156" s="8" t="str">
        <f t="shared" si="506"/>
        <v/>
      </c>
      <c r="CE156" s="8">
        <f t="shared" si="236"/>
        <v>0</v>
      </c>
      <c r="CF156" s="8">
        <f t="shared" si="237"/>
        <v>0</v>
      </c>
      <c r="CG156" s="8"/>
      <c r="CH156" s="8" t="str">
        <f t="shared" ref="CH156:CJ156" si="507">CH49</f>
        <v>AAAAAAAAAA</v>
      </c>
      <c r="CI156" s="8" t="str">
        <f t="shared" si="507"/>
        <v/>
      </c>
      <c r="CJ156" s="8" t="str">
        <f t="shared" si="507"/>
        <v/>
      </c>
      <c r="CK156" s="8">
        <f t="shared" si="239"/>
        <v>0</v>
      </c>
      <c r="CL156" s="8">
        <f t="shared" si="240"/>
        <v>0</v>
      </c>
      <c r="CO156" s="8" t="str">
        <f>Hidden!$CC32</f>
        <v/>
      </c>
      <c r="CP156">
        <f t="shared" si="241"/>
        <v>0</v>
      </c>
      <c r="CQ156">
        <f t="shared" si="242"/>
        <v>0</v>
      </c>
      <c r="CR156">
        <f t="shared" si="243"/>
        <v>0</v>
      </c>
      <c r="CS156">
        <f t="shared" si="244"/>
        <v>0</v>
      </c>
      <c r="CT156">
        <f t="shared" si="245"/>
        <v>0</v>
      </c>
      <c r="CU156">
        <f t="shared" si="246"/>
        <v>0</v>
      </c>
      <c r="CV156">
        <f t="shared" si="247"/>
        <v>0</v>
      </c>
      <c r="CW156">
        <f t="shared" si="248"/>
        <v>0</v>
      </c>
      <c r="CX156">
        <f t="shared" si="249"/>
        <v>0</v>
      </c>
      <c r="CY156">
        <f t="shared" si="250"/>
        <v>0</v>
      </c>
      <c r="DT156" s="77"/>
      <c r="DU156" s="8" t="str">
        <f t="shared" si="169"/>
        <v>AA</v>
      </c>
      <c r="DV156" s="8" t="str">
        <f t="shared" si="170"/>
        <v/>
      </c>
      <c r="DW156" s="8" t="str">
        <f t="shared" si="171"/>
        <v/>
      </c>
      <c r="DX156" s="8">
        <f t="shared" si="431"/>
        <v>0</v>
      </c>
      <c r="DY156" s="8">
        <f t="shared" si="431"/>
        <v>0</v>
      </c>
      <c r="EA156" s="8" t="str">
        <f t="shared" si="173"/>
        <v>AA</v>
      </c>
      <c r="EB156" s="8" t="str">
        <f t="shared" si="174"/>
        <v/>
      </c>
      <c r="EC156" s="8" t="str">
        <f t="shared" si="175"/>
        <v/>
      </c>
      <c r="ED156">
        <f t="shared" si="432"/>
        <v>0</v>
      </c>
      <c r="EE156">
        <f t="shared" si="432"/>
        <v>0</v>
      </c>
      <c r="EG156" s="8" t="str">
        <f t="shared" si="177"/>
        <v>AA</v>
      </c>
      <c r="EH156" s="8" t="str">
        <f t="shared" si="178"/>
        <v/>
      </c>
      <c r="EI156" s="8" t="str">
        <f t="shared" si="179"/>
        <v/>
      </c>
      <c r="EJ156" s="8">
        <f t="shared" si="433"/>
        <v>0</v>
      </c>
      <c r="EK156" s="8">
        <f t="shared" si="433"/>
        <v>0</v>
      </c>
      <c r="EM156" s="8" t="str">
        <f t="shared" si="181"/>
        <v>AA</v>
      </c>
      <c r="EN156" s="8" t="str">
        <f t="shared" si="182"/>
        <v/>
      </c>
      <c r="EO156" s="8" t="str">
        <f t="shared" si="183"/>
        <v/>
      </c>
      <c r="EP156" s="8">
        <f t="shared" si="434"/>
        <v>0</v>
      </c>
      <c r="EQ156" s="8">
        <f t="shared" si="434"/>
        <v>0</v>
      </c>
      <c r="ES156" s="8" t="str">
        <f t="shared" si="185"/>
        <v>AA</v>
      </c>
      <c r="ET156" s="8" t="str">
        <f t="shared" si="186"/>
        <v/>
      </c>
      <c r="EU156" s="8" t="str">
        <f t="shared" si="187"/>
        <v/>
      </c>
      <c r="EV156" s="8">
        <f t="shared" si="435"/>
        <v>0</v>
      </c>
      <c r="EW156" s="8">
        <f t="shared" si="435"/>
        <v>0</v>
      </c>
      <c r="EY156" s="8" t="str">
        <f>Hidden!$CG44</f>
        <v/>
      </c>
      <c r="EZ156">
        <f t="shared" si="189"/>
        <v>0</v>
      </c>
      <c r="FA156">
        <f t="shared" si="190"/>
        <v>0</v>
      </c>
      <c r="FB156">
        <f t="shared" si="191"/>
        <v>0</v>
      </c>
      <c r="FC156">
        <f t="shared" si="192"/>
        <v>0</v>
      </c>
      <c r="FD156">
        <f t="shared" si="193"/>
        <v>0</v>
      </c>
      <c r="FE156">
        <f t="shared" si="194"/>
        <v>0</v>
      </c>
      <c r="FF156">
        <f t="shared" si="195"/>
        <v>0</v>
      </c>
      <c r="FG156">
        <f t="shared" si="196"/>
        <v>0</v>
      </c>
      <c r="FH156">
        <f t="shared" si="197"/>
        <v>0</v>
      </c>
      <c r="FI156">
        <f t="shared" si="198"/>
        <v>0</v>
      </c>
    </row>
    <row r="157" spans="1:165" x14ac:dyDescent="0.2">
      <c r="A157" s="8" t="str">
        <f t="shared" ref="A157:C157" si="508">A50</f>
        <v>A</v>
      </c>
      <c r="B157" s="8" t="str">
        <f t="shared" si="508"/>
        <v/>
      </c>
      <c r="C157" s="8" t="str">
        <f t="shared" si="508"/>
        <v/>
      </c>
      <c r="D157" s="8">
        <f t="shared" si="207"/>
        <v>0</v>
      </c>
      <c r="E157" s="8">
        <f t="shared" si="207"/>
        <v>0</v>
      </c>
      <c r="F157" s="8"/>
      <c r="G157" s="8" t="str">
        <f t="shared" ref="G157:I157" si="509">G50</f>
        <v>A</v>
      </c>
      <c r="H157" s="8" t="str">
        <f t="shared" si="509"/>
        <v/>
      </c>
      <c r="I157" s="8" t="str">
        <f t="shared" si="509"/>
        <v/>
      </c>
      <c r="J157" s="8">
        <f t="shared" si="209"/>
        <v>0</v>
      </c>
      <c r="K157" s="8">
        <f t="shared" si="209"/>
        <v>0</v>
      </c>
      <c r="L157" s="8"/>
      <c r="M157" s="8" t="str">
        <f t="shared" ref="M157:O157" si="510">M50</f>
        <v>A</v>
      </c>
      <c r="N157" s="8" t="str">
        <f t="shared" si="510"/>
        <v/>
      </c>
      <c r="O157" s="8" t="str">
        <f t="shared" si="510"/>
        <v/>
      </c>
      <c r="P157" s="8">
        <f t="shared" si="211"/>
        <v>0</v>
      </c>
      <c r="Q157" s="8">
        <f t="shared" si="211"/>
        <v>0</v>
      </c>
      <c r="R157" s="8"/>
      <c r="S157" s="8" t="str">
        <f t="shared" ref="S157:U157" si="511">S50</f>
        <v>A</v>
      </c>
      <c r="T157" s="8" t="str">
        <f t="shared" si="511"/>
        <v/>
      </c>
      <c r="U157" s="8" t="str">
        <f t="shared" si="511"/>
        <v/>
      </c>
      <c r="V157">
        <f t="shared" si="213"/>
        <v>0</v>
      </c>
      <c r="W157">
        <f t="shared" si="213"/>
        <v>0</v>
      </c>
      <c r="Y157" s="8" t="str">
        <f t="shared" si="214"/>
        <v>A</v>
      </c>
      <c r="Z157" s="8"/>
      <c r="AB157">
        <f t="shared" si="215"/>
        <v>0</v>
      </c>
      <c r="AC157">
        <f t="shared" si="215"/>
        <v>0</v>
      </c>
      <c r="AE157" s="8" t="str">
        <f>Hidden!$CC33</f>
        <v/>
      </c>
      <c r="AF157">
        <f t="shared" si="216"/>
        <v>0</v>
      </c>
      <c r="AG157">
        <f t="shared" si="217"/>
        <v>0</v>
      </c>
      <c r="AH157">
        <f t="shared" si="218"/>
        <v>0</v>
      </c>
      <c r="AI157">
        <f t="shared" si="219"/>
        <v>0</v>
      </c>
      <c r="AJ157">
        <f t="shared" si="220"/>
        <v>0</v>
      </c>
      <c r="AK157">
        <f t="shared" si="221"/>
        <v>0</v>
      </c>
      <c r="AL157">
        <f t="shared" si="222"/>
        <v>0</v>
      </c>
      <c r="AM157">
        <f t="shared" si="223"/>
        <v>0</v>
      </c>
      <c r="AN157">
        <f t="shared" si="224"/>
        <v>0</v>
      </c>
      <c r="AO157">
        <f t="shared" si="225"/>
        <v>0</v>
      </c>
      <c r="BJ157" s="8" t="str">
        <f t="shared" ref="BJ157:BL157" si="512">BJ50</f>
        <v>A</v>
      </c>
      <c r="BK157" s="8" t="str">
        <f t="shared" si="512"/>
        <v/>
      </c>
      <c r="BL157" s="8" t="str">
        <f t="shared" si="512"/>
        <v/>
      </c>
      <c r="BM157" s="8">
        <f t="shared" si="227"/>
        <v>0</v>
      </c>
      <c r="BN157" s="8">
        <f t="shared" si="228"/>
        <v>0</v>
      </c>
      <c r="BO157" s="8"/>
      <c r="BP157" s="8" t="str">
        <f t="shared" ref="BP157:BR157" si="513">BP50</f>
        <v>A</v>
      </c>
      <c r="BQ157" s="8" t="str">
        <f t="shared" si="513"/>
        <v/>
      </c>
      <c r="BR157" s="8" t="str">
        <f t="shared" si="513"/>
        <v/>
      </c>
      <c r="BS157" s="8">
        <f t="shared" si="230"/>
        <v>0</v>
      </c>
      <c r="BT157" s="8">
        <f t="shared" si="231"/>
        <v>0</v>
      </c>
      <c r="BU157" s="8"/>
      <c r="BV157" s="8" t="str">
        <f t="shared" ref="BV157:BX157" si="514">BV50</f>
        <v>A</v>
      </c>
      <c r="BW157" s="8" t="str">
        <f t="shared" si="514"/>
        <v/>
      </c>
      <c r="BX157" s="8" t="str">
        <f t="shared" si="514"/>
        <v/>
      </c>
      <c r="BY157" s="8">
        <f t="shared" si="233"/>
        <v>0</v>
      </c>
      <c r="BZ157" s="8">
        <f t="shared" si="234"/>
        <v>0</v>
      </c>
      <c r="CA157" s="8"/>
      <c r="CB157" s="8" t="str">
        <f t="shared" ref="CB157:CD157" si="515">CB50</f>
        <v>A</v>
      </c>
      <c r="CC157" s="8" t="str">
        <f t="shared" si="515"/>
        <v/>
      </c>
      <c r="CD157" s="8" t="str">
        <f t="shared" si="515"/>
        <v/>
      </c>
      <c r="CE157" s="8">
        <f t="shared" si="236"/>
        <v>0</v>
      </c>
      <c r="CF157" s="8">
        <f t="shared" si="237"/>
        <v>0</v>
      </c>
      <c r="CG157" s="8"/>
      <c r="CH157" s="8" t="str">
        <f t="shared" ref="CH157:CJ157" si="516">CH50</f>
        <v>A</v>
      </c>
      <c r="CI157" s="8" t="str">
        <f t="shared" si="516"/>
        <v/>
      </c>
      <c r="CJ157" s="8" t="str">
        <f t="shared" si="516"/>
        <v/>
      </c>
      <c r="CK157" s="8">
        <f t="shared" si="239"/>
        <v>0</v>
      </c>
      <c r="CL157" s="8">
        <f t="shared" si="240"/>
        <v>0</v>
      </c>
      <c r="CO157" s="8" t="str">
        <f>Hidden!$CC33</f>
        <v/>
      </c>
      <c r="CP157">
        <f t="shared" si="241"/>
        <v>0</v>
      </c>
      <c r="CQ157">
        <f t="shared" si="242"/>
        <v>0</v>
      </c>
      <c r="CR157">
        <f t="shared" si="243"/>
        <v>0</v>
      </c>
      <c r="CS157">
        <f t="shared" si="244"/>
        <v>0</v>
      </c>
      <c r="CT157">
        <f t="shared" si="245"/>
        <v>0</v>
      </c>
      <c r="CU157">
        <f t="shared" si="246"/>
        <v>0</v>
      </c>
      <c r="CV157">
        <f t="shared" si="247"/>
        <v>0</v>
      </c>
      <c r="CW157">
        <f t="shared" si="248"/>
        <v>0</v>
      </c>
      <c r="CX157">
        <f t="shared" si="249"/>
        <v>0</v>
      </c>
      <c r="CY157">
        <f t="shared" si="250"/>
        <v>0</v>
      </c>
      <c r="DT157" s="77"/>
      <c r="DU157" s="8" t="str">
        <f t="shared" si="169"/>
        <v>AAA</v>
      </c>
      <c r="DV157" s="8" t="str">
        <f t="shared" si="170"/>
        <v/>
      </c>
      <c r="DW157" s="8" t="str">
        <f t="shared" si="171"/>
        <v/>
      </c>
      <c r="DX157" s="8">
        <f t="shared" si="431"/>
        <v>0</v>
      </c>
      <c r="DY157" s="8">
        <f t="shared" si="431"/>
        <v>0</v>
      </c>
      <c r="EA157" s="8" t="str">
        <f t="shared" si="173"/>
        <v>AAA</v>
      </c>
      <c r="EB157" s="8" t="str">
        <f t="shared" si="174"/>
        <v/>
      </c>
      <c r="EC157" s="8" t="str">
        <f t="shared" si="175"/>
        <v/>
      </c>
      <c r="ED157">
        <f t="shared" si="432"/>
        <v>0</v>
      </c>
      <c r="EE157">
        <f t="shared" si="432"/>
        <v>0</v>
      </c>
      <c r="EG157" s="8" t="str">
        <f t="shared" si="177"/>
        <v>AAA</v>
      </c>
      <c r="EH157" s="8" t="str">
        <f t="shared" si="178"/>
        <v/>
      </c>
      <c r="EI157" s="8" t="str">
        <f t="shared" si="179"/>
        <v/>
      </c>
      <c r="EJ157" s="8">
        <f t="shared" si="433"/>
        <v>0</v>
      </c>
      <c r="EK157" s="8">
        <f t="shared" si="433"/>
        <v>0</v>
      </c>
      <c r="EM157" s="8" t="str">
        <f t="shared" si="181"/>
        <v>AAA</v>
      </c>
      <c r="EN157" s="8" t="str">
        <f t="shared" si="182"/>
        <v/>
      </c>
      <c r="EO157" s="8" t="str">
        <f t="shared" si="183"/>
        <v/>
      </c>
      <c r="EP157" s="8">
        <f t="shared" si="434"/>
        <v>0</v>
      </c>
      <c r="EQ157" s="8">
        <f t="shared" si="434"/>
        <v>0</v>
      </c>
      <c r="ES157" s="8" t="str">
        <f t="shared" si="185"/>
        <v>AAA</v>
      </c>
      <c r="ET157" s="8" t="str">
        <f t="shared" si="186"/>
        <v/>
      </c>
      <c r="EU157" s="8" t="str">
        <f t="shared" si="187"/>
        <v/>
      </c>
      <c r="EV157" s="8">
        <f t="shared" si="435"/>
        <v>0</v>
      </c>
      <c r="EW157" s="8">
        <f t="shared" si="435"/>
        <v>0</v>
      </c>
      <c r="EY157" s="8" t="str">
        <f>Hidden!$CG45</f>
        <v/>
      </c>
      <c r="EZ157">
        <f t="shared" si="189"/>
        <v>0</v>
      </c>
      <c r="FA157">
        <f t="shared" si="190"/>
        <v>0</v>
      </c>
      <c r="FB157">
        <f t="shared" si="191"/>
        <v>0</v>
      </c>
      <c r="FC157">
        <f t="shared" si="192"/>
        <v>0</v>
      </c>
      <c r="FD157">
        <f t="shared" si="193"/>
        <v>0</v>
      </c>
      <c r="FE157">
        <f t="shared" si="194"/>
        <v>0</v>
      </c>
      <c r="FF157">
        <f t="shared" si="195"/>
        <v>0</v>
      </c>
      <c r="FG157">
        <f t="shared" si="196"/>
        <v>0</v>
      </c>
      <c r="FH157">
        <f t="shared" si="197"/>
        <v>0</v>
      </c>
      <c r="FI157">
        <f t="shared" si="198"/>
        <v>0</v>
      </c>
    </row>
    <row r="158" spans="1:165" x14ac:dyDescent="0.2">
      <c r="A158" s="8" t="str">
        <f t="shared" ref="A158:C158" si="517">A51</f>
        <v>AA</v>
      </c>
      <c r="B158" s="8" t="str">
        <f t="shared" si="517"/>
        <v/>
      </c>
      <c r="C158" s="8" t="str">
        <f t="shared" si="517"/>
        <v/>
      </c>
      <c r="D158" s="8">
        <f t="shared" si="207"/>
        <v>0</v>
      </c>
      <c r="E158" s="8">
        <f t="shared" si="207"/>
        <v>0</v>
      </c>
      <c r="F158" s="8"/>
      <c r="G158" s="8" t="str">
        <f t="shared" ref="G158:I158" si="518">G51</f>
        <v>AA</v>
      </c>
      <c r="H158" s="8" t="str">
        <f t="shared" si="518"/>
        <v/>
      </c>
      <c r="I158" s="8" t="str">
        <f t="shared" si="518"/>
        <v/>
      </c>
      <c r="J158" s="8">
        <f t="shared" si="209"/>
        <v>0</v>
      </c>
      <c r="K158" s="8">
        <f t="shared" si="209"/>
        <v>0</v>
      </c>
      <c r="L158" s="8"/>
      <c r="M158" s="8" t="str">
        <f t="shared" ref="M158:O158" si="519">M51</f>
        <v>AA</v>
      </c>
      <c r="N158" s="8" t="str">
        <f t="shared" si="519"/>
        <v/>
      </c>
      <c r="O158" s="8" t="str">
        <f t="shared" si="519"/>
        <v/>
      </c>
      <c r="P158" s="8">
        <f t="shared" si="211"/>
        <v>0</v>
      </c>
      <c r="Q158" s="8">
        <f t="shared" si="211"/>
        <v>0</v>
      </c>
      <c r="R158" s="8"/>
      <c r="S158" s="8" t="str">
        <f t="shared" ref="S158:U158" si="520">S51</f>
        <v>AA</v>
      </c>
      <c r="T158" s="8" t="str">
        <f t="shared" si="520"/>
        <v/>
      </c>
      <c r="U158" s="8" t="str">
        <f t="shared" si="520"/>
        <v/>
      </c>
      <c r="V158">
        <f t="shared" si="213"/>
        <v>0</v>
      </c>
      <c r="W158">
        <f t="shared" si="213"/>
        <v>0</v>
      </c>
      <c r="Y158" s="8" t="str">
        <f t="shared" si="214"/>
        <v>AA</v>
      </c>
      <c r="Z158" s="8"/>
      <c r="AB158">
        <f t="shared" si="215"/>
        <v>0</v>
      </c>
      <c r="AC158">
        <f t="shared" si="215"/>
        <v>0</v>
      </c>
      <c r="AE158" s="8" t="str">
        <f>Hidden!$CC34</f>
        <v/>
      </c>
      <c r="AF158">
        <f t="shared" si="216"/>
        <v>0</v>
      </c>
      <c r="AG158">
        <f t="shared" si="217"/>
        <v>0</v>
      </c>
      <c r="AH158">
        <f t="shared" si="218"/>
        <v>0</v>
      </c>
      <c r="AI158">
        <f t="shared" si="219"/>
        <v>0</v>
      </c>
      <c r="AJ158">
        <f t="shared" si="220"/>
        <v>0</v>
      </c>
      <c r="AK158">
        <f t="shared" si="221"/>
        <v>0</v>
      </c>
      <c r="AL158">
        <f t="shared" si="222"/>
        <v>0</v>
      </c>
      <c r="AM158">
        <f t="shared" si="223"/>
        <v>0</v>
      </c>
      <c r="AN158">
        <f t="shared" si="224"/>
        <v>0</v>
      </c>
      <c r="AO158">
        <f t="shared" si="225"/>
        <v>0</v>
      </c>
      <c r="BJ158" s="8" t="str">
        <f t="shared" ref="BJ158:BL158" si="521">BJ51</f>
        <v>AA</v>
      </c>
      <c r="BK158" s="8" t="str">
        <f t="shared" si="521"/>
        <v/>
      </c>
      <c r="BL158" s="8" t="str">
        <f t="shared" si="521"/>
        <v/>
      </c>
      <c r="BM158" s="8">
        <f t="shared" si="227"/>
        <v>0</v>
      </c>
      <c r="BN158" s="8">
        <f t="shared" si="228"/>
        <v>0</v>
      </c>
      <c r="BO158" s="8"/>
      <c r="BP158" s="8" t="str">
        <f t="shared" ref="BP158:BR158" si="522">BP51</f>
        <v>AA</v>
      </c>
      <c r="BQ158" s="8" t="str">
        <f t="shared" si="522"/>
        <v/>
      </c>
      <c r="BR158" s="8" t="str">
        <f t="shared" si="522"/>
        <v/>
      </c>
      <c r="BS158" s="8">
        <f t="shared" si="230"/>
        <v>0</v>
      </c>
      <c r="BT158" s="8">
        <f t="shared" si="231"/>
        <v>0</v>
      </c>
      <c r="BU158" s="8"/>
      <c r="BV158" s="8" t="str">
        <f t="shared" ref="BV158:BX158" si="523">BV51</f>
        <v>AA</v>
      </c>
      <c r="BW158" s="8" t="str">
        <f t="shared" si="523"/>
        <v/>
      </c>
      <c r="BX158" s="8" t="str">
        <f t="shared" si="523"/>
        <v/>
      </c>
      <c r="BY158" s="8">
        <f t="shared" si="233"/>
        <v>0</v>
      </c>
      <c r="BZ158" s="8">
        <f t="shared" si="234"/>
        <v>0</v>
      </c>
      <c r="CA158" s="8"/>
      <c r="CB158" s="8" t="str">
        <f t="shared" ref="CB158:CD158" si="524">CB51</f>
        <v>AA</v>
      </c>
      <c r="CC158" s="8" t="str">
        <f t="shared" si="524"/>
        <v/>
      </c>
      <c r="CD158" s="8" t="str">
        <f t="shared" si="524"/>
        <v/>
      </c>
      <c r="CE158" s="8">
        <f t="shared" si="236"/>
        <v>0</v>
      </c>
      <c r="CF158" s="8">
        <f t="shared" si="237"/>
        <v>0</v>
      </c>
      <c r="CG158" s="8"/>
      <c r="CH158" s="8" t="str">
        <f t="shared" ref="CH158:CJ158" si="525">CH51</f>
        <v>AA</v>
      </c>
      <c r="CI158" s="8" t="str">
        <f t="shared" si="525"/>
        <v/>
      </c>
      <c r="CJ158" s="8" t="str">
        <f t="shared" si="525"/>
        <v/>
      </c>
      <c r="CK158" s="8">
        <f t="shared" si="239"/>
        <v>0</v>
      </c>
      <c r="CL158" s="8">
        <f t="shared" si="240"/>
        <v>0</v>
      </c>
      <c r="CO158" s="8" t="str">
        <f>Hidden!$CC34</f>
        <v/>
      </c>
      <c r="CP158">
        <f t="shared" si="241"/>
        <v>0</v>
      </c>
      <c r="CQ158">
        <f t="shared" si="242"/>
        <v>0</v>
      </c>
      <c r="CR158">
        <f t="shared" si="243"/>
        <v>0</v>
      </c>
      <c r="CS158">
        <f t="shared" si="244"/>
        <v>0</v>
      </c>
      <c r="CT158">
        <f t="shared" si="245"/>
        <v>0</v>
      </c>
      <c r="CU158">
        <f t="shared" si="246"/>
        <v>0</v>
      </c>
      <c r="CV158">
        <f t="shared" si="247"/>
        <v>0</v>
      </c>
      <c r="CW158">
        <f t="shared" si="248"/>
        <v>0</v>
      </c>
      <c r="CX158">
        <f t="shared" si="249"/>
        <v>0</v>
      </c>
      <c r="CY158">
        <f t="shared" si="250"/>
        <v>0</v>
      </c>
      <c r="DT158" s="77"/>
      <c r="DU158" s="8" t="str">
        <f t="shared" si="169"/>
        <v>AAAA</v>
      </c>
      <c r="DV158" s="8" t="str">
        <f t="shared" si="170"/>
        <v/>
      </c>
      <c r="DW158" s="8" t="str">
        <f t="shared" si="171"/>
        <v/>
      </c>
      <c r="DX158" s="8">
        <f t="shared" si="431"/>
        <v>0</v>
      </c>
      <c r="DY158" s="8">
        <f t="shared" si="431"/>
        <v>0</v>
      </c>
      <c r="EA158" s="8" t="str">
        <f t="shared" si="173"/>
        <v>AAAA</v>
      </c>
      <c r="EB158" s="8" t="str">
        <f t="shared" si="174"/>
        <v/>
      </c>
      <c r="EC158" s="8" t="str">
        <f t="shared" si="175"/>
        <v/>
      </c>
      <c r="ED158">
        <f t="shared" si="432"/>
        <v>0</v>
      </c>
      <c r="EE158">
        <f t="shared" si="432"/>
        <v>0</v>
      </c>
      <c r="EG158" s="8" t="str">
        <f t="shared" si="177"/>
        <v>AAAA</v>
      </c>
      <c r="EH158" s="8" t="str">
        <f t="shared" si="178"/>
        <v/>
      </c>
      <c r="EI158" s="8" t="str">
        <f t="shared" si="179"/>
        <v/>
      </c>
      <c r="EJ158" s="8">
        <f t="shared" si="433"/>
        <v>0</v>
      </c>
      <c r="EK158" s="8">
        <f t="shared" si="433"/>
        <v>0</v>
      </c>
      <c r="EM158" s="8" t="str">
        <f t="shared" si="181"/>
        <v>AAAA</v>
      </c>
      <c r="EN158" s="8" t="str">
        <f t="shared" si="182"/>
        <v/>
      </c>
      <c r="EO158" s="8" t="str">
        <f t="shared" si="183"/>
        <v/>
      </c>
      <c r="EP158" s="8">
        <f t="shared" si="434"/>
        <v>0</v>
      </c>
      <c r="EQ158" s="8">
        <f t="shared" si="434"/>
        <v>0</v>
      </c>
      <c r="ES158" s="8" t="str">
        <f t="shared" si="185"/>
        <v>AAAA</v>
      </c>
      <c r="ET158" s="8" t="str">
        <f t="shared" si="186"/>
        <v/>
      </c>
      <c r="EU158" s="8" t="str">
        <f t="shared" si="187"/>
        <v/>
      </c>
      <c r="EV158" s="8">
        <f t="shared" si="435"/>
        <v>0</v>
      </c>
      <c r="EW158" s="8">
        <f t="shared" si="435"/>
        <v>0</v>
      </c>
      <c r="EY158" s="8" t="str">
        <f>Hidden!$CG46</f>
        <v/>
      </c>
      <c r="EZ158">
        <f t="shared" si="189"/>
        <v>0</v>
      </c>
      <c r="FA158">
        <f t="shared" si="190"/>
        <v>0</v>
      </c>
      <c r="FB158">
        <f t="shared" si="191"/>
        <v>0</v>
      </c>
      <c r="FC158">
        <f t="shared" si="192"/>
        <v>0</v>
      </c>
      <c r="FD158">
        <f t="shared" si="193"/>
        <v>0</v>
      </c>
      <c r="FE158">
        <f t="shared" si="194"/>
        <v>0</v>
      </c>
      <c r="FF158">
        <f t="shared" si="195"/>
        <v>0</v>
      </c>
      <c r="FG158">
        <f t="shared" si="196"/>
        <v>0</v>
      </c>
      <c r="FH158">
        <f t="shared" si="197"/>
        <v>0</v>
      </c>
      <c r="FI158">
        <f t="shared" si="198"/>
        <v>0</v>
      </c>
    </row>
    <row r="159" spans="1:165" x14ac:dyDescent="0.2">
      <c r="A159" s="8" t="str">
        <f t="shared" ref="A159:C159" si="526">A52</f>
        <v>AAA</v>
      </c>
      <c r="B159" s="8" t="str">
        <f t="shared" si="526"/>
        <v/>
      </c>
      <c r="C159" s="8" t="str">
        <f t="shared" si="526"/>
        <v/>
      </c>
      <c r="D159" s="8">
        <f t="shared" si="207"/>
        <v>0</v>
      </c>
      <c r="E159" s="8">
        <f t="shared" si="207"/>
        <v>0</v>
      </c>
      <c r="F159" s="8"/>
      <c r="G159" s="8" t="str">
        <f t="shared" ref="G159:I159" si="527">G52</f>
        <v>AAA</v>
      </c>
      <c r="H159" s="8" t="str">
        <f t="shared" si="527"/>
        <v/>
      </c>
      <c r="I159" s="8" t="str">
        <f t="shared" si="527"/>
        <v/>
      </c>
      <c r="J159" s="8">
        <f t="shared" si="209"/>
        <v>0</v>
      </c>
      <c r="K159" s="8">
        <f t="shared" si="209"/>
        <v>0</v>
      </c>
      <c r="L159" s="8"/>
      <c r="M159" s="8" t="str">
        <f t="shared" ref="M159:O159" si="528">M52</f>
        <v>AAA</v>
      </c>
      <c r="N159" s="8" t="str">
        <f t="shared" si="528"/>
        <v/>
      </c>
      <c r="O159" s="8" t="str">
        <f t="shared" si="528"/>
        <v/>
      </c>
      <c r="P159" s="8">
        <f t="shared" si="211"/>
        <v>0</v>
      </c>
      <c r="Q159" s="8">
        <f t="shared" si="211"/>
        <v>0</v>
      </c>
      <c r="R159" s="8"/>
      <c r="S159" s="8" t="str">
        <f t="shared" ref="S159:U159" si="529">S52</f>
        <v>AAA</v>
      </c>
      <c r="T159" s="8" t="str">
        <f t="shared" si="529"/>
        <v/>
      </c>
      <c r="U159" s="8" t="str">
        <f t="shared" si="529"/>
        <v/>
      </c>
      <c r="V159">
        <f t="shared" si="213"/>
        <v>0</v>
      </c>
      <c r="W159">
        <f t="shared" si="213"/>
        <v>0</v>
      </c>
      <c r="Y159" s="8" t="str">
        <f t="shared" si="214"/>
        <v>AAA</v>
      </c>
      <c r="Z159" s="8"/>
      <c r="AB159">
        <f t="shared" si="215"/>
        <v>0</v>
      </c>
      <c r="AC159">
        <f t="shared" si="215"/>
        <v>0</v>
      </c>
      <c r="AE159" s="8" t="str">
        <f>Hidden!$CC35</f>
        <v/>
      </c>
      <c r="AF159">
        <f t="shared" si="216"/>
        <v>0</v>
      </c>
      <c r="AG159">
        <f t="shared" si="217"/>
        <v>0</v>
      </c>
      <c r="AH159">
        <f t="shared" si="218"/>
        <v>0</v>
      </c>
      <c r="AI159">
        <f t="shared" si="219"/>
        <v>0</v>
      </c>
      <c r="AJ159">
        <f t="shared" si="220"/>
        <v>0</v>
      </c>
      <c r="AK159">
        <f t="shared" si="221"/>
        <v>0</v>
      </c>
      <c r="AL159">
        <f t="shared" si="222"/>
        <v>0</v>
      </c>
      <c r="AM159">
        <f t="shared" si="223"/>
        <v>0</v>
      </c>
      <c r="AN159">
        <f t="shared" si="224"/>
        <v>0</v>
      </c>
      <c r="AO159">
        <f t="shared" si="225"/>
        <v>0</v>
      </c>
      <c r="BJ159" s="8" t="str">
        <f t="shared" ref="BJ159:BL159" si="530">BJ52</f>
        <v>AAA</v>
      </c>
      <c r="BK159" s="8" t="str">
        <f t="shared" si="530"/>
        <v/>
      </c>
      <c r="BL159" s="8" t="str">
        <f t="shared" si="530"/>
        <v/>
      </c>
      <c r="BM159" s="8">
        <f t="shared" si="227"/>
        <v>0</v>
      </c>
      <c r="BN159" s="8">
        <f t="shared" si="228"/>
        <v>0</v>
      </c>
      <c r="BO159" s="8"/>
      <c r="BP159" s="8" t="str">
        <f t="shared" ref="BP159:BR159" si="531">BP52</f>
        <v>AAA</v>
      </c>
      <c r="BQ159" s="8" t="str">
        <f t="shared" si="531"/>
        <v/>
      </c>
      <c r="BR159" s="8" t="str">
        <f t="shared" si="531"/>
        <v/>
      </c>
      <c r="BS159" s="8">
        <f t="shared" si="230"/>
        <v>0</v>
      </c>
      <c r="BT159" s="8">
        <f t="shared" si="231"/>
        <v>0</v>
      </c>
      <c r="BU159" s="8"/>
      <c r="BV159" s="8" t="str">
        <f t="shared" ref="BV159:BX159" si="532">BV52</f>
        <v>AAA</v>
      </c>
      <c r="BW159" s="8" t="str">
        <f t="shared" si="532"/>
        <v/>
      </c>
      <c r="BX159" s="8" t="str">
        <f t="shared" si="532"/>
        <v/>
      </c>
      <c r="BY159" s="8">
        <f t="shared" si="233"/>
        <v>0</v>
      </c>
      <c r="BZ159" s="8">
        <f t="shared" si="234"/>
        <v>0</v>
      </c>
      <c r="CA159" s="8"/>
      <c r="CB159" s="8" t="str">
        <f t="shared" ref="CB159:CD159" si="533">CB52</f>
        <v>AAA</v>
      </c>
      <c r="CC159" s="8" t="str">
        <f t="shared" si="533"/>
        <v/>
      </c>
      <c r="CD159" s="8" t="str">
        <f t="shared" si="533"/>
        <v/>
      </c>
      <c r="CE159" s="8">
        <f t="shared" si="236"/>
        <v>0</v>
      </c>
      <c r="CF159" s="8">
        <f t="shared" si="237"/>
        <v>0</v>
      </c>
      <c r="CG159" s="8"/>
      <c r="CH159" s="8" t="str">
        <f t="shared" ref="CH159:CJ159" si="534">CH52</f>
        <v>AAA</v>
      </c>
      <c r="CI159" s="8" t="str">
        <f t="shared" si="534"/>
        <v/>
      </c>
      <c r="CJ159" s="8" t="str">
        <f t="shared" si="534"/>
        <v/>
      </c>
      <c r="CK159" s="8">
        <f t="shared" si="239"/>
        <v>0</v>
      </c>
      <c r="CL159" s="8">
        <f t="shared" si="240"/>
        <v>0</v>
      </c>
      <c r="CO159" s="8" t="str">
        <f>Hidden!$CC35</f>
        <v/>
      </c>
      <c r="CP159">
        <f t="shared" si="241"/>
        <v>0</v>
      </c>
      <c r="CQ159">
        <f t="shared" si="242"/>
        <v>0</v>
      </c>
      <c r="CR159">
        <f t="shared" si="243"/>
        <v>0</v>
      </c>
      <c r="CS159">
        <f t="shared" si="244"/>
        <v>0</v>
      </c>
      <c r="CT159">
        <f t="shared" si="245"/>
        <v>0</v>
      </c>
      <c r="CU159">
        <f t="shared" si="246"/>
        <v>0</v>
      </c>
      <c r="CV159">
        <f t="shared" si="247"/>
        <v>0</v>
      </c>
      <c r="CW159">
        <f t="shared" si="248"/>
        <v>0</v>
      </c>
      <c r="CX159">
        <f t="shared" si="249"/>
        <v>0</v>
      </c>
      <c r="CY159">
        <f t="shared" si="250"/>
        <v>0</v>
      </c>
      <c r="DT159" s="77"/>
      <c r="DU159" s="8" t="str">
        <f t="shared" si="169"/>
        <v>AAAAA</v>
      </c>
      <c r="DV159" s="8" t="str">
        <f t="shared" si="170"/>
        <v/>
      </c>
      <c r="DW159" s="8" t="str">
        <f t="shared" si="171"/>
        <v/>
      </c>
      <c r="DX159" s="8">
        <f t="shared" si="431"/>
        <v>0</v>
      </c>
      <c r="DY159" s="8">
        <f t="shared" si="431"/>
        <v>0</v>
      </c>
      <c r="EA159" s="8" t="str">
        <f t="shared" si="173"/>
        <v>AAAAA</v>
      </c>
      <c r="EB159" s="8" t="str">
        <f t="shared" si="174"/>
        <v/>
      </c>
      <c r="EC159" s="8" t="str">
        <f t="shared" si="175"/>
        <v/>
      </c>
      <c r="ED159">
        <f t="shared" si="432"/>
        <v>0</v>
      </c>
      <c r="EE159">
        <f t="shared" si="432"/>
        <v>0</v>
      </c>
      <c r="EG159" s="8" t="str">
        <f t="shared" si="177"/>
        <v>AAAAA</v>
      </c>
      <c r="EH159" s="8" t="str">
        <f t="shared" si="178"/>
        <v/>
      </c>
      <c r="EI159" s="8" t="str">
        <f t="shared" si="179"/>
        <v/>
      </c>
      <c r="EJ159" s="8">
        <f t="shared" si="433"/>
        <v>0</v>
      </c>
      <c r="EK159" s="8">
        <f t="shared" si="433"/>
        <v>0</v>
      </c>
      <c r="EM159" s="8" t="str">
        <f t="shared" si="181"/>
        <v>AAAAA</v>
      </c>
      <c r="EN159" s="8" t="str">
        <f t="shared" si="182"/>
        <v/>
      </c>
      <c r="EO159" s="8" t="str">
        <f t="shared" si="183"/>
        <v/>
      </c>
      <c r="EP159" s="8">
        <f t="shared" si="434"/>
        <v>0</v>
      </c>
      <c r="EQ159" s="8">
        <f t="shared" si="434"/>
        <v>0</v>
      </c>
      <c r="ES159" s="8" t="str">
        <f t="shared" si="185"/>
        <v>AAAAA</v>
      </c>
      <c r="ET159" s="8" t="str">
        <f t="shared" si="186"/>
        <v/>
      </c>
      <c r="EU159" s="8" t="str">
        <f t="shared" si="187"/>
        <v/>
      </c>
      <c r="EV159" s="8">
        <f t="shared" si="435"/>
        <v>0</v>
      </c>
      <c r="EW159" s="8">
        <f t="shared" si="435"/>
        <v>0</v>
      </c>
      <c r="EY159" s="8" t="str">
        <f>Hidden!$CG47</f>
        <v/>
      </c>
      <c r="EZ159">
        <f t="shared" si="189"/>
        <v>0</v>
      </c>
      <c r="FA159">
        <f t="shared" si="190"/>
        <v>0</v>
      </c>
      <c r="FB159">
        <f t="shared" si="191"/>
        <v>0</v>
      </c>
      <c r="FC159">
        <f t="shared" si="192"/>
        <v>0</v>
      </c>
      <c r="FD159">
        <f t="shared" si="193"/>
        <v>0</v>
      </c>
      <c r="FE159">
        <f t="shared" si="194"/>
        <v>0</v>
      </c>
      <c r="FF159">
        <f t="shared" si="195"/>
        <v>0</v>
      </c>
      <c r="FG159">
        <f t="shared" si="196"/>
        <v>0</v>
      </c>
      <c r="FH159">
        <f t="shared" si="197"/>
        <v>0</v>
      </c>
      <c r="FI159">
        <f t="shared" si="198"/>
        <v>0</v>
      </c>
    </row>
    <row r="160" spans="1:165" x14ac:dyDescent="0.2">
      <c r="A160" s="8" t="str">
        <f t="shared" ref="A160:C160" si="535">A53</f>
        <v>AAAA</v>
      </c>
      <c r="B160" s="8" t="str">
        <f t="shared" si="535"/>
        <v/>
      </c>
      <c r="C160" s="8" t="str">
        <f t="shared" si="535"/>
        <v/>
      </c>
      <c r="D160" s="8">
        <f t="shared" ref="D160:E191" si="536">IF($C160="",0,$C160*D$124)</f>
        <v>0</v>
      </c>
      <c r="E160" s="8">
        <f t="shared" si="536"/>
        <v>0</v>
      </c>
      <c r="F160" s="8"/>
      <c r="G160" s="8" t="str">
        <f t="shared" ref="G160:I160" si="537">G53</f>
        <v>AAAA</v>
      </c>
      <c r="H160" s="8" t="str">
        <f t="shared" si="537"/>
        <v/>
      </c>
      <c r="I160" s="8" t="str">
        <f t="shared" si="537"/>
        <v/>
      </c>
      <c r="J160" s="8">
        <f t="shared" ref="J160:K191" si="538">IF($I160="",0,$I160*J$124)</f>
        <v>0</v>
      </c>
      <c r="K160" s="8">
        <f t="shared" si="538"/>
        <v>0</v>
      </c>
      <c r="L160" s="8"/>
      <c r="M160" s="8" t="str">
        <f t="shared" ref="M160:O160" si="539">M53</f>
        <v>AAAA</v>
      </c>
      <c r="N160" s="8" t="str">
        <f t="shared" si="539"/>
        <v/>
      </c>
      <c r="O160" s="8" t="str">
        <f t="shared" si="539"/>
        <v/>
      </c>
      <c r="P160" s="8">
        <f t="shared" si="211"/>
        <v>0</v>
      </c>
      <c r="Q160" s="8">
        <f t="shared" si="211"/>
        <v>0</v>
      </c>
      <c r="R160" s="8"/>
      <c r="S160" s="8" t="str">
        <f t="shared" ref="S160:U160" si="540">S53</f>
        <v>AAAA</v>
      </c>
      <c r="T160" s="8" t="str">
        <f t="shared" si="540"/>
        <v/>
      </c>
      <c r="U160" s="8" t="str">
        <f t="shared" si="540"/>
        <v/>
      </c>
      <c r="V160">
        <f t="shared" ref="V160:W191" si="541">IF($U160="",0,$U160*V$124)</f>
        <v>0</v>
      </c>
      <c r="W160">
        <f t="shared" si="541"/>
        <v>0</v>
      </c>
      <c r="Y160" s="8" t="str">
        <f t="shared" si="214"/>
        <v>AAAA</v>
      </c>
      <c r="Z160" s="8"/>
      <c r="AB160">
        <f t="shared" ref="AB160:AC191" si="542">IF($AA160="",0,$AA160*AB$124)</f>
        <v>0</v>
      </c>
      <c r="AC160">
        <f t="shared" si="542"/>
        <v>0</v>
      </c>
      <c r="AE160" s="8" t="str">
        <f>Hidden!$CC36</f>
        <v/>
      </c>
      <c r="AF160">
        <f t="shared" si="216"/>
        <v>0</v>
      </c>
      <c r="AG160">
        <f t="shared" si="217"/>
        <v>0</v>
      </c>
      <c r="AH160">
        <f t="shared" si="218"/>
        <v>0</v>
      </c>
      <c r="AI160">
        <f t="shared" si="219"/>
        <v>0</v>
      </c>
      <c r="AJ160">
        <f t="shared" si="220"/>
        <v>0</v>
      </c>
      <c r="AK160">
        <f t="shared" si="221"/>
        <v>0</v>
      </c>
      <c r="AL160">
        <f t="shared" si="222"/>
        <v>0</v>
      </c>
      <c r="AM160">
        <f t="shared" si="223"/>
        <v>0</v>
      </c>
      <c r="AN160">
        <f t="shared" si="224"/>
        <v>0</v>
      </c>
      <c r="AO160">
        <f t="shared" si="225"/>
        <v>0</v>
      </c>
      <c r="BJ160" s="8" t="str">
        <f t="shared" ref="BJ160:BL160" si="543">BJ53</f>
        <v>AAAA</v>
      </c>
      <c r="BK160" s="8" t="str">
        <f t="shared" si="543"/>
        <v/>
      </c>
      <c r="BL160" s="8" t="str">
        <f t="shared" si="543"/>
        <v/>
      </c>
      <c r="BM160" s="8">
        <f t="shared" si="227"/>
        <v>0</v>
      </c>
      <c r="BN160" s="8">
        <f t="shared" si="228"/>
        <v>0</v>
      </c>
      <c r="BO160" s="8"/>
      <c r="BP160" s="8" t="str">
        <f t="shared" ref="BP160:BR160" si="544">BP53</f>
        <v>AAAA</v>
      </c>
      <c r="BQ160" s="8" t="str">
        <f t="shared" si="544"/>
        <v/>
      </c>
      <c r="BR160" s="8" t="str">
        <f t="shared" si="544"/>
        <v/>
      </c>
      <c r="BS160" s="8">
        <f t="shared" si="230"/>
        <v>0</v>
      </c>
      <c r="BT160" s="8">
        <f t="shared" si="231"/>
        <v>0</v>
      </c>
      <c r="BU160" s="8"/>
      <c r="BV160" s="8" t="str">
        <f t="shared" ref="BV160:BX160" si="545">BV53</f>
        <v>AAAA</v>
      </c>
      <c r="BW160" s="8" t="str">
        <f t="shared" si="545"/>
        <v/>
      </c>
      <c r="BX160" s="8" t="str">
        <f t="shared" si="545"/>
        <v/>
      </c>
      <c r="BY160" s="8">
        <f t="shared" si="233"/>
        <v>0</v>
      </c>
      <c r="BZ160" s="8">
        <f t="shared" si="234"/>
        <v>0</v>
      </c>
      <c r="CA160" s="8"/>
      <c r="CB160" s="8" t="str">
        <f t="shared" ref="CB160:CD160" si="546">CB53</f>
        <v>AAAA</v>
      </c>
      <c r="CC160" s="8" t="str">
        <f t="shared" si="546"/>
        <v/>
      </c>
      <c r="CD160" s="8" t="str">
        <f t="shared" si="546"/>
        <v/>
      </c>
      <c r="CE160" s="8">
        <f t="shared" si="236"/>
        <v>0</v>
      </c>
      <c r="CF160" s="8">
        <f t="shared" si="237"/>
        <v>0</v>
      </c>
      <c r="CG160" s="8"/>
      <c r="CH160" s="8" t="str">
        <f t="shared" ref="CH160:CJ160" si="547">CH53</f>
        <v>AAAA</v>
      </c>
      <c r="CI160" s="8" t="str">
        <f t="shared" si="547"/>
        <v/>
      </c>
      <c r="CJ160" s="8" t="str">
        <f t="shared" si="547"/>
        <v/>
      </c>
      <c r="CK160" s="8">
        <f t="shared" si="239"/>
        <v>0</v>
      </c>
      <c r="CL160" s="8">
        <f t="shared" si="240"/>
        <v>0</v>
      </c>
      <c r="CO160" s="8" t="str">
        <f>Hidden!$CC36</f>
        <v/>
      </c>
      <c r="CP160">
        <f t="shared" si="241"/>
        <v>0</v>
      </c>
      <c r="CQ160">
        <f t="shared" si="242"/>
        <v>0</v>
      </c>
      <c r="CR160">
        <f t="shared" si="243"/>
        <v>0</v>
      </c>
      <c r="CS160">
        <f t="shared" si="244"/>
        <v>0</v>
      </c>
      <c r="CT160">
        <f t="shared" si="245"/>
        <v>0</v>
      </c>
      <c r="CU160">
        <f t="shared" si="246"/>
        <v>0</v>
      </c>
      <c r="CV160">
        <f t="shared" si="247"/>
        <v>0</v>
      </c>
      <c r="CW160">
        <f t="shared" si="248"/>
        <v>0</v>
      </c>
      <c r="CX160">
        <f t="shared" si="249"/>
        <v>0</v>
      </c>
      <c r="CY160">
        <f t="shared" si="250"/>
        <v>0</v>
      </c>
      <c r="DT160" s="77"/>
      <c r="DU160" s="8" t="str">
        <f t="shared" si="169"/>
        <v>AAAAAA</v>
      </c>
      <c r="DV160" s="8" t="str">
        <f t="shared" si="170"/>
        <v/>
      </c>
      <c r="DW160" s="8" t="str">
        <f t="shared" si="171"/>
        <v/>
      </c>
      <c r="DX160" s="8">
        <f t="shared" si="431"/>
        <v>0</v>
      </c>
      <c r="DY160" s="8">
        <f t="shared" si="431"/>
        <v>0</v>
      </c>
      <c r="EA160" s="8" t="str">
        <f t="shared" si="173"/>
        <v>AAAAAA</v>
      </c>
      <c r="EB160" s="8" t="str">
        <f t="shared" si="174"/>
        <v/>
      </c>
      <c r="EC160" s="8" t="str">
        <f t="shared" si="175"/>
        <v/>
      </c>
      <c r="ED160">
        <f t="shared" si="432"/>
        <v>0</v>
      </c>
      <c r="EE160">
        <f t="shared" si="432"/>
        <v>0</v>
      </c>
      <c r="EG160" s="8" t="str">
        <f t="shared" si="177"/>
        <v>AAAAAA</v>
      </c>
      <c r="EH160" s="8" t="str">
        <f t="shared" si="178"/>
        <v/>
      </c>
      <c r="EI160" s="8" t="str">
        <f t="shared" si="179"/>
        <v/>
      </c>
      <c r="EJ160" s="8">
        <f t="shared" si="433"/>
        <v>0</v>
      </c>
      <c r="EK160" s="8">
        <f t="shared" si="433"/>
        <v>0</v>
      </c>
      <c r="EM160" s="8" t="str">
        <f t="shared" si="181"/>
        <v>AAAAAA</v>
      </c>
      <c r="EN160" s="8" t="str">
        <f t="shared" si="182"/>
        <v/>
      </c>
      <c r="EO160" s="8" t="str">
        <f t="shared" si="183"/>
        <v/>
      </c>
      <c r="EP160" s="8">
        <f t="shared" si="434"/>
        <v>0</v>
      </c>
      <c r="EQ160" s="8">
        <f t="shared" si="434"/>
        <v>0</v>
      </c>
      <c r="ES160" s="8" t="str">
        <f t="shared" si="185"/>
        <v>AAAAAA</v>
      </c>
      <c r="ET160" s="8" t="str">
        <f t="shared" si="186"/>
        <v/>
      </c>
      <c r="EU160" s="8" t="str">
        <f t="shared" si="187"/>
        <v/>
      </c>
      <c r="EV160" s="8">
        <f t="shared" si="435"/>
        <v>0</v>
      </c>
      <c r="EW160" s="8">
        <f t="shared" si="435"/>
        <v>0</v>
      </c>
      <c r="EY160" s="8" t="str">
        <f>Hidden!$CG48</f>
        <v/>
      </c>
      <c r="EZ160">
        <f t="shared" si="189"/>
        <v>0</v>
      </c>
      <c r="FA160">
        <f t="shared" si="190"/>
        <v>0</v>
      </c>
      <c r="FB160">
        <f t="shared" si="191"/>
        <v>0</v>
      </c>
      <c r="FC160">
        <f t="shared" si="192"/>
        <v>0</v>
      </c>
      <c r="FD160">
        <f t="shared" si="193"/>
        <v>0</v>
      </c>
      <c r="FE160">
        <f t="shared" si="194"/>
        <v>0</v>
      </c>
      <c r="FF160">
        <f t="shared" si="195"/>
        <v>0</v>
      </c>
      <c r="FG160">
        <f t="shared" si="196"/>
        <v>0</v>
      </c>
      <c r="FH160">
        <f t="shared" si="197"/>
        <v>0</v>
      </c>
      <c r="FI160">
        <f t="shared" si="198"/>
        <v>0</v>
      </c>
    </row>
    <row r="161" spans="1:165" x14ac:dyDescent="0.2">
      <c r="A161" s="8" t="str">
        <f t="shared" ref="A161:C161" si="548">A54</f>
        <v>AAAAA</v>
      </c>
      <c r="B161" s="8" t="str">
        <f t="shared" si="548"/>
        <v/>
      </c>
      <c r="C161" s="8" t="str">
        <f t="shared" si="548"/>
        <v/>
      </c>
      <c r="D161" s="8">
        <f t="shared" si="536"/>
        <v>0</v>
      </c>
      <c r="E161" s="8">
        <f t="shared" si="536"/>
        <v>0</v>
      </c>
      <c r="F161" s="8"/>
      <c r="G161" s="8" t="str">
        <f t="shared" ref="G161:I161" si="549">G54</f>
        <v>AAAAA</v>
      </c>
      <c r="H161" s="8" t="str">
        <f t="shared" si="549"/>
        <v/>
      </c>
      <c r="I161" s="8" t="str">
        <f t="shared" si="549"/>
        <v/>
      </c>
      <c r="J161" s="8">
        <f t="shared" si="538"/>
        <v>0</v>
      </c>
      <c r="K161" s="8">
        <f t="shared" si="538"/>
        <v>0</v>
      </c>
      <c r="L161" s="8"/>
      <c r="M161" s="8" t="str">
        <f t="shared" ref="M161:O161" si="550">M54</f>
        <v>AAAAA</v>
      </c>
      <c r="N161" s="8" t="str">
        <f t="shared" si="550"/>
        <v/>
      </c>
      <c r="O161" s="8" t="str">
        <f t="shared" si="550"/>
        <v/>
      </c>
      <c r="P161" s="8">
        <f t="shared" si="211"/>
        <v>0</v>
      </c>
      <c r="Q161" s="8">
        <f t="shared" si="211"/>
        <v>0</v>
      </c>
      <c r="R161" s="8"/>
      <c r="S161" s="8" t="str">
        <f t="shared" ref="S161:U161" si="551">S54</f>
        <v>AAAAA</v>
      </c>
      <c r="T161" s="8" t="str">
        <f t="shared" si="551"/>
        <v/>
      </c>
      <c r="U161" s="8" t="str">
        <f t="shared" si="551"/>
        <v/>
      </c>
      <c r="V161">
        <f t="shared" si="541"/>
        <v>0</v>
      </c>
      <c r="W161">
        <f t="shared" si="541"/>
        <v>0</v>
      </c>
      <c r="Y161" s="8" t="str">
        <f t="shared" si="214"/>
        <v>AAAAA</v>
      </c>
      <c r="Z161" s="8"/>
      <c r="AB161">
        <f t="shared" si="542"/>
        <v>0</v>
      </c>
      <c r="AC161">
        <f t="shared" si="542"/>
        <v>0</v>
      </c>
      <c r="AE161" s="8" t="str">
        <f>Hidden!$CC37</f>
        <v/>
      </c>
      <c r="AF161">
        <f t="shared" si="216"/>
        <v>0</v>
      </c>
      <c r="AG161">
        <f t="shared" si="217"/>
        <v>0</v>
      </c>
      <c r="AH161">
        <f t="shared" si="218"/>
        <v>0</v>
      </c>
      <c r="AI161">
        <f t="shared" si="219"/>
        <v>0</v>
      </c>
      <c r="AJ161">
        <f t="shared" si="220"/>
        <v>0</v>
      </c>
      <c r="AK161">
        <f t="shared" si="221"/>
        <v>0</v>
      </c>
      <c r="AL161">
        <f t="shared" si="222"/>
        <v>0</v>
      </c>
      <c r="AM161">
        <f t="shared" si="223"/>
        <v>0</v>
      </c>
      <c r="AN161">
        <f t="shared" si="224"/>
        <v>0</v>
      </c>
      <c r="AO161">
        <f t="shared" si="225"/>
        <v>0</v>
      </c>
      <c r="BJ161" s="8" t="str">
        <f t="shared" ref="BJ161:BL161" si="552">BJ54</f>
        <v>AAAAA</v>
      </c>
      <c r="BK161" s="8" t="str">
        <f t="shared" si="552"/>
        <v/>
      </c>
      <c r="BL161" s="8" t="str">
        <f t="shared" si="552"/>
        <v/>
      </c>
      <c r="BM161" s="8">
        <f t="shared" si="227"/>
        <v>0</v>
      </c>
      <c r="BN161" s="8">
        <f t="shared" si="228"/>
        <v>0</v>
      </c>
      <c r="BO161" s="8"/>
      <c r="BP161" s="8" t="str">
        <f t="shared" ref="BP161:BR161" si="553">BP54</f>
        <v>AAAAA</v>
      </c>
      <c r="BQ161" s="8" t="str">
        <f t="shared" si="553"/>
        <v/>
      </c>
      <c r="BR161" s="8" t="str">
        <f t="shared" si="553"/>
        <v/>
      </c>
      <c r="BS161" s="8">
        <f t="shared" si="230"/>
        <v>0</v>
      </c>
      <c r="BT161" s="8">
        <f t="shared" si="231"/>
        <v>0</v>
      </c>
      <c r="BU161" s="8"/>
      <c r="BV161" s="8" t="str">
        <f t="shared" ref="BV161:BX161" si="554">BV54</f>
        <v>AAAAA</v>
      </c>
      <c r="BW161" s="8" t="str">
        <f t="shared" si="554"/>
        <v/>
      </c>
      <c r="BX161" s="8" t="str">
        <f t="shared" si="554"/>
        <v/>
      </c>
      <c r="BY161" s="8">
        <f t="shared" si="233"/>
        <v>0</v>
      </c>
      <c r="BZ161" s="8">
        <f t="shared" si="234"/>
        <v>0</v>
      </c>
      <c r="CA161" s="8"/>
      <c r="CB161" s="8" t="str">
        <f t="shared" ref="CB161:CD161" si="555">CB54</f>
        <v>AAAAA</v>
      </c>
      <c r="CC161" s="8" t="str">
        <f t="shared" si="555"/>
        <v/>
      </c>
      <c r="CD161" s="8" t="str">
        <f t="shared" si="555"/>
        <v/>
      </c>
      <c r="CE161" s="8">
        <f t="shared" si="236"/>
        <v>0</v>
      </c>
      <c r="CF161" s="8">
        <f t="shared" si="237"/>
        <v>0</v>
      </c>
      <c r="CG161" s="8"/>
      <c r="CH161" s="8" t="str">
        <f t="shared" ref="CH161:CJ161" si="556">CH54</f>
        <v>AAAAA</v>
      </c>
      <c r="CI161" s="8" t="str">
        <f t="shared" si="556"/>
        <v/>
      </c>
      <c r="CJ161" s="8" t="str">
        <f t="shared" si="556"/>
        <v/>
      </c>
      <c r="CK161" s="8">
        <f t="shared" si="239"/>
        <v>0</v>
      </c>
      <c r="CL161" s="8">
        <f t="shared" si="240"/>
        <v>0</v>
      </c>
      <c r="CO161" s="8" t="str">
        <f>Hidden!$CC37</f>
        <v/>
      </c>
      <c r="CP161">
        <f t="shared" si="241"/>
        <v>0</v>
      </c>
      <c r="CQ161">
        <f t="shared" si="242"/>
        <v>0</v>
      </c>
      <c r="CR161">
        <f t="shared" si="243"/>
        <v>0</v>
      </c>
      <c r="CS161">
        <f t="shared" si="244"/>
        <v>0</v>
      </c>
      <c r="CT161">
        <f t="shared" si="245"/>
        <v>0</v>
      </c>
      <c r="CU161">
        <f t="shared" si="246"/>
        <v>0</v>
      </c>
      <c r="CV161">
        <f t="shared" si="247"/>
        <v>0</v>
      </c>
      <c r="CW161">
        <f t="shared" si="248"/>
        <v>0</v>
      </c>
      <c r="CX161">
        <f t="shared" si="249"/>
        <v>0</v>
      </c>
      <c r="CY161">
        <f t="shared" si="250"/>
        <v>0</v>
      </c>
      <c r="DT161" s="77"/>
      <c r="DU161" s="8" t="str">
        <f t="shared" si="169"/>
        <v>AAAAAAA</v>
      </c>
      <c r="DV161" s="8" t="str">
        <f t="shared" si="170"/>
        <v/>
      </c>
      <c r="DW161" s="8" t="str">
        <f t="shared" si="171"/>
        <v/>
      </c>
      <c r="DX161" s="8">
        <f t="shared" si="431"/>
        <v>0</v>
      </c>
      <c r="DY161" s="8">
        <f t="shared" si="431"/>
        <v>0</v>
      </c>
      <c r="EA161" s="8" t="str">
        <f t="shared" si="173"/>
        <v>AAAAAAA</v>
      </c>
      <c r="EB161" s="8" t="str">
        <f t="shared" si="174"/>
        <v/>
      </c>
      <c r="EC161" s="8" t="str">
        <f t="shared" si="175"/>
        <v/>
      </c>
      <c r="ED161">
        <f t="shared" si="432"/>
        <v>0</v>
      </c>
      <c r="EE161">
        <f t="shared" si="432"/>
        <v>0</v>
      </c>
      <c r="EG161" s="8" t="str">
        <f t="shared" si="177"/>
        <v>AAAAAAA</v>
      </c>
      <c r="EH161" s="8" t="str">
        <f t="shared" si="178"/>
        <v/>
      </c>
      <c r="EI161" s="8" t="str">
        <f t="shared" si="179"/>
        <v/>
      </c>
      <c r="EJ161" s="8">
        <f t="shared" si="433"/>
        <v>0</v>
      </c>
      <c r="EK161" s="8">
        <f t="shared" si="433"/>
        <v>0</v>
      </c>
      <c r="EM161" s="8" t="str">
        <f t="shared" si="181"/>
        <v>AAAAAAA</v>
      </c>
      <c r="EN161" s="8" t="str">
        <f t="shared" si="182"/>
        <v/>
      </c>
      <c r="EO161" s="8" t="str">
        <f t="shared" si="183"/>
        <v/>
      </c>
      <c r="EP161" s="8">
        <f t="shared" si="434"/>
        <v>0</v>
      </c>
      <c r="EQ161" s="8">
        <f t="shared" si="434"/>
        <v>0</v>
      </c>
      <c r="ES161" s="8" t="str">
        <f t="shared" si="185"/>
        <v>AAAAAAA</v>
      </c>
      <c r="ET161" s="8" t="str">
        <f t="shared" si="186"/>
        <v/>
      </c>
      <c r="EU161" s="8" t="str">
        <f t="shared" si="187"/>
        <v/>
      </c>
      <c r="EV161" s="8">
        <f t="shared" si="435"/>
        <v>0</v>
      </c>
      <c r="EW161" s="8">
        <f t="shared" si="435"/>
        <v>0</v>
      </c>
      <c r="EY161" s="8" t="str">
        <f>Hidden!$CG49</f>
        <v/>
      </c>
      <c r="EZ161">
        <f t="shared" si="189"/>
        <v>0</v>
      </c>
      <c r="FA161">
        <f t="shared" si="190"/>
        <v>0</v>
      </c>
      <c r="FB161">
        <f t="shared" si="191"/>
        <v>0</v>
      </c>
      <c r="FC161">
        <f t="shared" si="192"/>
        <v>0</v>
      </c>
      <c r="FD161">
        <f t="shared" si="193"/>
        <v>0</v>
      </c>
      <c r="FE161">
        <f t="shared" si="194"/>
        <v>0</v>
      </c>
      <c r="FF161">
        <f t="shared" si="195"/>
        <v>0</v>
      </c>
      <c r="FG161">
        <f t="shared" si="196"/>
        <v>0</v>
      </c>
      <c r="FH161">
        <f t="shared" si="197"/>
        <v>0</v>
      </c>
      <c r="FI161">
        <f t="shared" si="198"/>
        <v>0</v>
      </c>
    </row>
    <row r="162" spans="1:165" x14ac:dyDescent="0.2">
      <c r="A162" s="8" t="str">
        <f t="shared" ref="A162:C162" si="557">A55</f>
        <v>AAAAAA</v>
      </c>
      <c r="B162" s="8" t="str">
        <f t="shared" si="557"/>
        <v/>
      </c>
      <c r="C162" s="8" t="str">
        <f t="shared" si="557"/>
        <v/>
      </c>
      <c r="D162" s="8">
        <f t="shared" si="536"/>
        <v>0</v>
      </c>
      <c r="E162" s="8">
        <f t="shared" si="536"/>
        <v>0</v>
      </c>
      <c r="F162" s="8"/>
      <c r="G162" s="8" t="str">
        <f t="shared" ref="G162:I162" si="558">G55</f>
        <v>AAAAAA</v>
      </c>
      <c r="H162" s="8" t="str">
        <f t="shared" si="558"/>
        <v/>
      </c>
      <c r="I162" s="8" t="str">
        <f t="shared" si="558"/>
        <v/>
      </c>
      <c r="J162" s="8">
        <f t="shared" si="538"/>
        <v>0</v>
      </c>
      <c r="K162" s="8">
        <f t="shared" si="538"/>
        <v>0</v>
      </c>
      <c r="L162" s="8"/>
      <c r="M162" s="8" t="str">
        <f t="shared" ref="M162:O162" si="559">M55</f>
        <v>AAAAAA</v>
      </c>
      <c r="N162" s="8" t="str">
        <f t="shared" si="559"/>
        <v/>
      </c>
      <c r="O162" s="8" t="str">
        <f t="shared" si="559"/>
        <v/>
      </c>
      <c r="P162" s="8">
        <f t="shared" si="211"/>
        <v>0</v>
      </c>
      <c r="Q162" s="8">
        <f t="shared" si="211"/>
        <v>0</v>
      </c>
      <c r="R162" s="8"/>
      <c r="S162" s="8" t="str">
        <f t="shared" ref="S162:U162" si="560">S55</f>
        <v>AAAAAA</v>
      </c>
      <c r="T162" s="8" t="str">
        <f t="shared" si="560"/>
        <v/>
      </c>
      <c r="U162" s="8" t="str">
        <f t="shared" si="560"/>
        <v/>
      </c>
      <c r="V162">
        <f t="shared" si="541"/>
        <v>0</v>
      </c>
      <c r="W162">
        <f t="shared" si="541"/>
        <v>0</v>
      </c>
      <c r="Y162" s="8" t="str">
        <f t="shared" si="214"/>
        <v>AAAAAA</v>
      </c>
      <c r="Z162" s="8"/>
      <c r="AB162">
        <f t="shared" si="542"/>
        <v>0</v>
      </c>
      <c r="AC162">
        <f t="shared" si="542"/>
        <v>0</v>
      </c>
      <c r="AE162" s="8" t="str">
        <f>Hidden!$CC38</f>
        <v/>
      </c>
      <c r="AF162">
        <f t="shared" si="216"/>
        <v>0</v>
      </c>
      <c r="AG162">
        <f t="shared" si="217"/>
        <v>0</v>
      </c>
      <c r="AH162">
        <f t="shared" si="218"/>
        <v>0</v>
      </c>
      <c r="AI162">
        <f t="shared" si="219"/>
        <v>0</v>
      </c>
      <c r="AJ162">
        <f t="shared" si="220"/>
        <v>0</v>
      </c>
      <c r="AK162">
        <f t="shared" si="221"/>
        <v>0</v>
      </c>
      <c r="AL162">
        <f t="shared" si="222"/>
        <v>0</v>
      </c>
      <c r="AM162">
        <f t="shared" si="223"/>
        <v>0</v>
      </c>
      <c r="AN162">
        <f t="shared" si="224"/>
        <v>0</v>
      </c>
      <c r="AO162">
        <f t="shared" si="225"/>
        <v>0</v>
      </c>
      <c r="BJ162" s="8" t="str">
        <f t="shared" ref="BJ162:BL162" si="561">BJ55</f>
        <v>AAAAAA</v>
      </c>
      <c r="BK162" s="8" t="str">
        <f t="shared" si="561"/>
        <v/>
      </c>
      <c r="BL162" s="8" t="str">
        <f t="shared" si="561"/>
        <v/>
      </c>
      <c r="BM162" s="8">
        <f t="shared" si="227"/>
        <v>0</v>
      </c>
      <c r="BN162" s="8">
        <f t="shared" si="228"/>
        <v>0</v>
      </c>
      <c r="BO162" s="8"/>
      <c r="BP162" s="8" t="str">
        <f t="shared" ref="BP162:BR162" si="562">BP55</f>
        <v>AAAAAA</v>
      </c>
      <c r="BQ162" s="8" t="str">
        <f t="shared" si="562"/>
        <v/>
      </c>
      <c r="BR162" s="8" t="str">
        <f t="shared" si="562"/>
        <v/>
      </c>
      <c r="BS162" s="8">
        <f t="shared" si="230"/>
        <v>0</v>
      </c>
      <c r="BT162" s="8">
        <f t="shared" si="231"/>
        <v>0</v>
      </c>
      <c r="BU162" s="8"/>
      <c r="BV162" s="8" t="str">
        <f t="shared" ref="BV162:BX162" si="563">BV55</f>
        <v>AAAAAA</v>
      </c>
      <c r="BW162" s="8" t="str">
        <f t="shared" si="563"/>
        <v/>
      </c>
      <c r="BX162" s="8" t="str">
        <f t="shared" si="563"/>
        <v/>
      </c>
      <c r="BY162" s="8">
        <f t="shared" si="233"/>
        <v>0</v>
      </c>
      <c r="BZ162" s="8">
        <f t="shared" si="234"/>
        <v>0</v>
      </c>
      <c r="CA162" s="8"/>
      <c r="CB162" s="8" t="str">
        <f t="shared" ref="CB162:CD162" si="564">CB55</f>
        <v>AAAAAA</v>
      </c>
      <c r="CC162" s="8" t="str">
        <f t="shared" si="564"/>
        <v/>
      </c>
      <c r="CD162" s="8" t="str">
        <f t="shared" si="564"/>
        <v/>
      </c>
      <c r="CE162" s="8">
        <f t="shared" si="236"/>
        <v>0</v>
      </c>
      <c r="CF162" s="8">
        <f t="shared" si="237"/>
        <v>0</v>
      </c>
      <c r="CG162" s="8"/>
      <c r="CH162" s="8" t="str">
        <f t="shared" ref="CH162:CJ162" si="565">CH55</f>
        <v>AAAAAA</v>
      </c>
      <c r="CI162" s="8" t="str">
        <f t="shared" si="565"/>
        <v/>
      </c>
      <c r="CJ162" s="8" t="str">
        <f t="shared" si="565"/>
        <v/>
      </c>
      <c r="CK162" s="8">
        <f t="shared" si="239"/>
        <v>0</v>
      </c>
      <c r="CL162" s="8">
        <f t="shared" si="240"/>
        <v>0</v>
      </c>
      <c r="CO162" s="8" t="str">
        <f>Hidden!$CC38</f>
        <v/>
      </c>
      <c r="CP162">
        <f t="shared" si="241"/>
        <v>0</v>
      </c>
      <c r="CQ162">
        <f t="shared" si="242"/>
        <v>0</v>
      </c>
      <c r="CR162">
        <f t="shared" si="243"/>
        <v>0</v>
      </c>
      <c r="CS162">
        <f t="shared" si="244"/>
        <v>0</v>
      </c>
      <c r="CT162">
        <f t="shared" si="245"/>
        <v>0</v>
      </c>
      <c r="CU162">
        <f t="shared" si="246"/>
        <v>0</v>
      </c>
      <c r="CV162">
        <f t="shared" si="247"/>
        <v>0</v>
      </c>
      <c r="CW162">
        <f t="shared" si="248"/>
        <v>0</v>
      </c>
      <c r="CX162">
        <f t="shared" si="249"/>
        <v>0</v>
      </c>
      <c r="CY162">
        <f t="shared" si="250"/>
        <v>0</v>
      </c>
      <c r="DT162" s="77"/>
      <c r="DU162" s="8" t="str">
        <f t="shared" si="169"/>
        <v>AAAAAAAA</v>
      </c>
      <c r="DV162" s="8" t="str">
        <f t="shared" si="170"/>
        <v/>
      </c>
      <c r="DW162" s="8" t="str">
        <f t="shared" si="171"/>
        <v/>
      </c>
      <c r="DX162" s="8">
        <f t="shared" si="431"/>
        <v>0</v>
      </c>
      <c r="DY162" s="8">
        <f t="shared" si="431"/>
        <v>0</v>
      </c>
      <c r="EA162" s="8" t="str">
        <f t="shared" si="173"/>
        <v>AAAAAAAA</v>
      </c>
      <c r="EB162" s="8" t="str">
        <f t="shared" si="174"/>
        <v/>
      </c>
      <c r="EC162" s="8" t="str">
        <f t="shared" si="175"/>
        <v/>
      </c>
      <c r="ED162">
        <f t="shared" si="432"/>
        <v>0</v>
      </c>
      <c r="EE162">
        <f t="shared" si="432"/>
        <v>0</v>
      </c>
      <c r="EG162" s="8" t="str">
        <f t="shared" si="177"/>
        <v>AAAAAAAA</v>
      </c>
      <c r="EH162" s="8" t="str">
        <f t="shared" si="178"/>
        <v/>
      </c>
      <c r="EI162" s="8" t="str">
        <f t="shared" si="179"/>
        <v/>
      </c>
      <c r="EJ162" s="8">
        <f t="shared" si="433"/>
        <v>0</v>
      </c>
      <c r="EK162" s="8">
        <f t="shared" si="433"/>
        <v>0</v>
      </c>
      <c r="EM162" s="8" t="str">
        <f t="shared" si="181"/>
        <v>AAAAAAAA</v>
      </c>
      <c r="EN162" s="8" t="str">
        <f t="shared" si="182"/>
        <v/>
      </c>
      <c r="EO162" s="8" t="str">
        <f t="shared" si="183"/>
        <v/>
      </c>
      <c r="EP162" s="8">
        <f t="shared" si="434"/>
        <v>0</v>
      </c>
      <c r="EQ162" s="8">
        <f t="shared" si="434"/>
        <v>0</v>
      </c>
      <c r="ES162" s="8" t="str">
        <f t="shared" si="185"/>
        <v>AAAAAAAA</v>
      </c>
      <c r="ET162" s="8" t="str">
        <f t="shared" si="186"/>
        <v/>
      </c>
      <c r="EU162" s="8" t="str">
        <f t="shared" si="187"/>
        <v/>
      </c>
      <c r="EV162" s="8">
        <f t="shared" si="435"/>
        <v>0</v>
      </c>
      <c r="EW162" s="8">
        <f t="shared" si="435"/>
        <v>0</v>
      </c>
      <c r="EY162" s="8" t="str">
        <f>Hidden!$CG50</f>
        <v/>
      </c>
      <c r="EZ162">
        <f t="shared" si="189"/>
        <v>0</v>
      </c>
      <c r="FA162">
        <f t="shared" si="190"/>
        <v>0</v>
      </c>
      <c r="FB162">
        <f t="shared" si="191"/>
        <v>0</v>
      </c>
      <c r="FC162">
        <f t="shared" si="192"/>
        <v>0</v>
      </c>
      <c r="FD162">
        <f t="shared" si="193"/>
        <v>0</v>
      </c>
      <c r="FE162">
        <f t="shared" si="194"/>
        <v>0</v>
      </c>
      <c r="FF162">
        <f t="shared" si="195"/>
        <v>0</v>
      </c>
      <c r="FG162">
        <f t="shared" si="196"/>
        <v>0</v>
      </c>
      <c r="FH162">
        <f t="shared" si="197"/>
        <v>0</v>
      </c>
      <c r="FI162">
        <f t="shared" si="198"/>
        <v>0</v>
      </c>
    </row>
    <row r="163" spans="1:165" x14ac:dyDescent="0.2">
      <c r="A163" s="8" t="str">
        <f t="shared" ref="A163:C163" si="566">A56</f>
        <v>AAAAAAA</v>
      </c>
      <c r="B163" s="8" t="str">
        <f t="shared" si="566"/>
        <v/>
      </c>
      <c r="C163" s="8" t="str">
        <f t="shared" si="566"/>
        <v/>
      </c>
      <c r="D163" s="8">
        <f t="shared" si="536"/>
        <v>0</v>
      </c>
      <c r="E163" s="8">
        <f t="shared" si="536"/>
        <v>0</v>
      </c>
      <c r="F163" s="8"/>
      <c r="G163" s="8" t="str">
        <f t="shared" ref="G163:I163" si="567">G56</f>
        <v>AAAAAAA</v>
      </c>
      <c r="H163" s="8" t="str">
        <f t="shared" si="567"/>
        <v/>
      </c>
      <c r="I163" s="8" t="str">
        <f t="shared" si="567"/>
        <v/>
      </c>
      <c r="J163" s="8">
        <f t="shared" si="538"/>
        <v>0</v>
      </c>
      <c r="K163" s="8">
        <f t="shared" si="538"/>
        <v>0</v>
      </c>
      <c r="L163" s="8"/>
      <c r="M163" s="8" t="str">
        <f t="shared" ref="M163:O163" si="568">M56</f>
        <v>AAAAAAA</v>
      </c>
      <c r="N163" s="8" t="str">
        <f t="shared" si="568"/>
        <v/>
      </c>
      <c r="O163" s="8" t="str">
        <f t="shared" si="568"/>
        <v/>
      </c>
      <c r="P163" s="8">
        <f t="shared" si="211"/>
        <v>0</v>
      </c>
      <c r="Q163" s="8">
        <f t="shared" si="211"/>
        <v>0</v>
      </c>
      <c r="R163" s="8"/>
      <c r="S163" s="8" t="str">
        <f t="shared" ref="S163:U163" si="569">S56</f>
        <v>AAAAAAA</v>
      </c>
      <c r="T163" s="8" t="str">
        <f t="shared" si="569"/>
        <v/>
      </c>
      <c r="U163" s="8" t="str">
        <f t="shared" si="569"/>
        <v/>
      </c>
      <c r="V163">
        <f t="shared" si="541"/>
        <v>0</v>
      </c>
      <c r="W163">
        <f t="shared" si="541"/>
        <v>0</v>
      </c>
      <c r="Y163" s="8" t="str">
        <f t="shared" si="214"/>
        <v>AAAAAAA</v>
      </c>
      <c r="Z163" s="8"/>
      <c r="AB163">
        <f t="shared" si="542"/>
        <v>0</v>
      </c>
      <c r="AC163">
        <f t="shared" si="542"/>
        <v>0</v>
      </c>
      <c r="AE163" s="8" t="str">
        <f>Hidden!$CC39</f>
        <v/>
      </c>
      <c r="AF163">
        <f t="shared" si="216"/>
        <v>0</v>
      </c>
      <c r="AG163">
        <f t="shared" si="217"/>
        <v>0</v>
      </c>
      <c r="AH163">
        <f t="shared" si="218"/>
        <v>0</v>
      </c>
      <c r="AI163">
        <f t="shared" si="219"/>
        <v>0</v>
      </c>
      <c r="AJ163">
        <f t="shared" si="220"/>
        <v>0</v>
      </c>
      <c r="AK163">
        <f t="shared" si="221"/>
        <v>0</v>
      </c>
      <c r="AL163">
        <f t="shared" si="222"/>
        <v>0</v>
      </c>
      <c r="AM163">
        <f t="shared" si="223"/>
        <v>0</v>
      </c>
      <c r="AN163">
        <f t="shared" si="224"/>
        <v>0</v>
      </c>
      <c r="AO163">
        <f t="shared" si="225"/>
        <v>0</v>
      </c>
      <c r="BJ163" s="8" t="str">
        <f t="shared" ref="BJ163:BL163" si="570">BJ56</f>
        <v>AAAAAAA</v>
      </c>
      <c r="BK163" s="8" t="str">
        <f t="shared" si="570"/>
        <v/>
      </c>
      <c r="BL163" s="8" t="str">
        <f t="shared" si="570"/>
        <v/>
      </c>
      <c r="BM163" s="8">
        <f t="shared" si="227"/>
        <v>0</v>
      </c>
      <c r="BN163" s="8">
        <f t="shared" si="228"/>
        <v>0</v>
      </c>
      <c r="BO163" s="8"/>
      <c r="BP163" s="8" t="str">
        <f t="shared" ref="BP163:BR163" si="571">BP56</f>
        <v>AAAAAAA</v>
      </c>
      <c r="BQ163" s="8" t="str">
        <f t="shared" si="571"/>
        <v/>
      </c>
      <c r="BR163" s="8" t="str">
        <f t="shared" si="571"/>
        <v/>
      </c>
      <c r="BS163" s="8">
        <f t="shared" si="230"/>
        <v>0</v>
      </c>
      <c r="BT163" s="8">
        <f t="shared" si="231"/>
        <v>0</v>
      </c>
      <c r="BU163" s="8"/>
      <c r="BV163" s="8" t="str">
        <f t="shared" ref="BV163:BX163" si="572">BV56</f>
        <v>AAAAAAA</v>
      </c>
      <c r="BW163" s="8" t="str">
        <f t="shared" si="572"/>
        <v/>
      </c>
      <c r="BX163" s="8" t="str">
        <f t="shared" si="572"/>
        <v/>
      </c>
      <c r="BY163" s="8">
        <f t="shared" si="233"/>
        <v>0</v>
      </c>
      <c r="BZ163" s="8">
        <f t="shared" si="234"/>
        <v>0</v>
      </c>
      <c r="CA163" s="8"/>
      <c r="CB163" s="8" t="str">
        <f t="shared" ref="CB163:CD163" si="573">CB56</f>
        <v>AAAAAAA</v>
      </c>
      <c r="CC163" s="8" t="str">
        <f t="shared" si="573"/>
        <v/>
      </c>
      <c r="CD163" s="8" t="str">
        <f t="shared" si="573"/>
        <v/>
      </c>
      <c r="CE163" s="8">
        <f t="shared" si="236"/>
        <v>0</v>
      </c>
      <c r="CF163" s="8">
        <f t="shared" si="237"/>
        <v>0</v>
      </c>
      <c r="CG163" s="8"/>
      <c r="CH163" s="8" t="str">
        <f t="shared" ref="CH163:CJ163" si="574">CH56</f>
        <v>AAAAAAA</v>
      </c>
      <c r="CI163" s="8" t="str">
        <f t="shared" si="574"/>
        <v/>
      </c>
      <c r="CJ163" s="8" t="str">
        <f t="shared" si="574"/>
        <v/>
      </c>
      <c r="CK163" s="8">
        <f t="shared" si="239"/>
        <v>0</v>
      </c>
      <c r="CL163" s="8">
        <f t="shared" si="240"/>
        <v>0</v>
      </c>
      <c r="CO163" s="8" t="str">
        <f>Hidden!$CC39</f>
        <v/>
      </c>
      <c r="CP163">
        <f t="shared" si="241"/>
        <v>0</v>
      </c>
      <c r="CQ163">
        <f t="shared" si="242"/>
        <v>0</v>
      </c>
      <c r="CR163">
        <f t="shared" si="243"/>
        <v>0</v>
      </c>
      <c r="CS163">
        <f t="shared" si="244"/>
        <v>0</v>
      </c>
      <c r="CT163">
        <f t="shared" si="245"/>
        <v>0</v>
      </c>
      <c r="CU163">
        <f t="shared" si="246"/>
        <v>0</v>
      </c>
      <c r="CV163">
        <f t="shared" si="247"/>
        <v>0</v>
      </c>
      <c r="CW163">
        <f t="shared" si="248"/>
        <v>0</v>
      </c>
      <c r="CX163">
        <f t="shared" si="249"/>
        <v>0</v>
      </c>
      <c r="CY163">
        <f t="shared" si="250"/>
        <v>0</v>
      </c>
      <c r="DT163" s="77"/>
      <c r="DU163" s="8" t="str">
        <f t="shared" si="169"/>
        <v>AAAAAAAAA</v>
      </c>
      <c r="DV163" s="8" t="str">
        <f t="shared" si="170"/>
        <v/>
      </c>
      <c r="DW163" s="8" t="str">
        <f t="shared" si="171"/>
        <v/>
      </c>
      <c r="DX163" s="8">
        <f t="shared" si="431"/>
        <v>0</v>
      </c>
      <c r="DY163" s="8">
        <f t="shared" si="431"/>
        <v>0</v>
      </c>
      <c r="EA163" s="8" t="str">
        <f t="shared" si="173"/>
        <v>AAAAAAAAA</v>
      </c>
      <c r="EB163" s="8" t="str">
        <f t="shared" si="174"/>
        <v/>
      </c>
      <c r="EC163" s="8" t="str">
        <f t="shared" si="175"/>
        <v/>
      </c>
      <c r="ED163">
        <f t="shared" si="432"/>
        <v>0</v>
      </c>
      <c r="EE163">
        <f t="shared" si="432"/>
        <v>0</v>
      </c>
      <c r="EG163" s="8" t="str">
        <f t="shared" si="177"/>
        <v>AAAAAAAAA</v>
      </c>
      <c r="EH163" s="8" t="str">
        <f t="shared" si="178"/>
        <v/>
      </c>
      <c r="EI163" s="8" t="str">
        <f t="shared" si="179"/>
        <v/>
      </c>
      <c r="EJ163" s="8">
        <f t="shared" si="433"/>
        <v>0</v>
      </c>
      <c r="EK163" s="8">
        <f t="shared" si="433"/>
        <v>0</v>
      </c>
      <c r="EM163" s="8" t="str">
        <f t="shared" si="181"/>
        <v>AAAAAAAAA</v>
      </c>
      <c r="EN163" s="8" t="str">
        <f t="shared" si="182"/>
        <v/>
      </c>
      <c r="EO163" s="8" t="str">
        <f t="shared" si="183"/>
        <v/>
      </c>
      <c r="EP163" s="8">
        <f t="shared" si="434"/>
        <v>0</v>
      </c>
      <c r="EQ163" s="8">
        <f t="shared" si="434"/>
        <v>0</v>
      </c>
      <c r="ES163" s="8" t="str">
        <f t="shared" si="185"/>
        <v>AAAAAAAAA</v>
      </c>
      <c r="ET163" s="8" t="str">
        <f t="shared" si="186"/>
        <v/>
      </c>
      <c r="EU163" s="8" t="str">
        <f t="shared" si="187"/>
        <v/>
      </c>
      <c r="EV163" s="8">
        <f t="shared" si="435"/>
        <v>0</v>
      </c>
      <c r="EW163" s="8">
        <f t="shared" si="435"/>
        <v>0</v>
      </c>
      <c r="EY163" s="8" t="str">
        <f>Hidden!$CG51</f>
        <v/>
      </c>
      <c r="EZ163">
        <f t="shared" si="189"/>
        <v>0</v>
      </c>
      <c r="FA163">
        <f t="shared" si="190"/>
        <v>0</v>
      </c>
      <c r="FB163">
        <f t="shared" si="191"/>
        <v>0</v>
      </c>
      <c r="FC163">
        <f t="shared" si="192"/>
        <v>0</v>
      </c>
      <c r="FD163">
        <f t="shared" si="193"/>
        <v>0</v>
      </c>
      <c r="FE163">
        <f t="shared" si="194"/>
        <v>0</v>
      </c>
      <c r="FF163">
        <f t="shared" si="195"/>
        <v>0</v>
      </c>
      <c r="FG163">
        <f t="shared" si="196"/>
        <v>0</v>
      </c>
      <c r="FH163">
        <f t="shared" si="197"/>
        <v>0</v>
      </c>
      <c r="FI163">
        <f t="shared" si="198"/>
        <v>0</v>
      </c>
    </row>
    <row r="164" spans="1:165" x14ac:dyDescent="0.2">
      <c r="A164" s="8" t="str">
        <f t="shared" ref="A164:C164" si="575">A57</f>
        <v>AAAAAAAA</v>
      </c>
      <c r="B164" s="8" t="str">
        <f t="shared" si="575"/>
        <v/>
      </c>
      <c r="C164" s="8" t="str">
        <f t="shared" si="575"/>
        <v/>
      </c>
      <c r="D164" s="8">
        <f t="shared" si="536"/>
        <v>0</v>
      </c>
      <c r="E164" s="8">
        <f t="shared" si="536"/>
        <v>0</v>
      </c>
      <c r="F164" s="8"/>
      <c r="G164" s="8" t="str">
        <f t="shared" ref="G164:I164" si="576">G57</f>
        <v>AAAAAAAA</v>
      </c>
      <c r="H164" s="8" t="str">
        <f t="shared" si="576"/>
        <v/>
      </c>
      <c r="I164" s="8" t="str">
        <f t="shared" si="576"/>
        <v/>
      </c>
      <c r="J164" s="8">
        <f t="shared" si="538"/>
        <v>0</v>
      </c>
      <c r="K164" s="8">
        <f t="shared" si="538"/>
        <v>0</v>
      </c>
      <c r="L164" s="8"/>
      <c r="M164" s="8" t="str">
        <f t="shared" ref="M164:O164" si="577">M57</f>
        <v>AAAAAAAA</v>
      </c>
      <c r="N164" s="8" t="str">
        <f t="shared" si="577"/>
        <v/>
      </c>
      <c r="O164" s="8" t="str">
        <f t="shared" si="577"/>
        <v/>
      </c>
      <c r="P164" s="8">
        <f t="shared" si="211"/>
        <v>0</v>
      </c>
      <c r="Q164" s="8">
        <f t="shared" si="211"/>
        <v>0</v>
      </c>
      <c r="R164" s="8"/>
      <c r="S164" s="8" t="str">
        <f t="shared" ref="S164:U164" si="578">S57</f>
        <v>AAAAAAAA</v>
      </c>
      <c r="T164" s="8" t="str">
        <f t="shared" si="578"/>
        <v/>
      </c>
      <c r="U164" s="8" t="str">
        <f t="shared" si="578"/>
        <v/>
      </c>
      <c r="V164">
        <f t="shared" si="541"/>
        <v>0</v>
      </c>
      <c r="W164">
        <f t="shared" si="541"/>
        <v>0</v>
      </c>
      <c r="Y164" s="8" t="str">
        <f t="shared" si="214"/>
        <v>AAAAAAAA</v>
      </c>
      <c r="Z164" s="8"/>
      <c r="AB164">
        <f t="shared" si="542"/>
        <v>0</v>
      </c>
      <c r="AC164">
        <f t="shared" si="542"/>
        <v>0</v>
      </c>
      <c r="AE164" s="8" t="str">
        <f>Hidden!$CC40</f>
        <v/>
      </c>
      <c r="AF164">
        <f t="shared" si="216"/>
        <v>0</v>
      </c>
      <c r="AG164">
        <f t="shared" si="217"/>
        <v>0</v>
      </c>
      <c r="AH164">
        <f t="shared" si="218"/>
        <v>0</v>
      </c>
      <c r="AI164">
        <f t="shared" si="219"/>
        <v>0</v>
      </c>
      <c r="AJ164">
        <f t="shared" si="220"/>
        <v>0</v>
      </c>
      <c r="AK164">
        <f t="shared" si="221"/>
        <v>0</v>
      </c>
      <c r="AL164">
        <f t="shared" si="222"/>
        <v>0</v>
      </c>
      <c r="AM164">
        <f t="shared" si="223"/>
        <v>0</v>
      </c>
      <c r="AN164">
        <f t="shared" si="224"/>
        <v>0</v>
      </c>
      <c r="AO164">
        <f t="shared" si="225"/>
        <v>0</v>
      </c>
      <c r="BJ164" s="8" t="str">
        <f t="shared" ref="BJ164:BL164" si="579">BJ57</f>
        <v>AAAAAAAA</v>
      </c>
      <c r="BK164" s="8" t="str">
        <f t="shared" si="579"/>
        <v/>
      </c>
      <c r="BL164" s="8" t="str">
        <f t="shared" si="579"/>
        <v/>
      </c>
      <c r="BM164" s="8">
        <f t="shared" si="227"/>
        <v>0</v>
      </c>
      <c r="BN164" s="8">
        <f t="shared" si="228"/>
        <v>0</v>
      </c>
      <c r="BO164" s="8"/>
      <c r="BP164" s="8" t="str">
        <f t="shared" ref="BP164:BR164" si="580">BP57</f>
        <v>AAAAAAAA</v>
      </c>
      <c r="BQ164" s="8" t="str">
        <f t="shared" si="580"/>
        <v/>
      </c>
      <c r="BR164" s="8" t="str">
        <f t="shared" si="580"/>
        <v/>
      </c>
      <c r="BS164" s="8">
        <f t="shared" si="230"/>
        <v>0</v>
      </c>
      <c r="BT164" s="8">
        <f t="shared" si="231"/>
        <v>0</v>
      </c>
      <c r="BU164" s="8"/>
      <c r="BV164" s="8" t="str">
        <f t="shared" ref="BV164:BX164" si="581">BV57</f>
        <v>AAAAAAAA</v>
      </c>
      <c r="BW164" s="8" t="str">
        <f t="shared" si="581"/>
        <v/>
      </c>
      <c r="BX164" s="8" t="str">
        <f t="shared" si="581"/>
        <v/>
      </c>
      <c r="BY164" s="8">
        <f t="shared" si="233"/>
        <v>0</v>
      </c>
      <c r="BZ164" s="8">
        <f t="shared" si="234"/>
        <v>0</v>
      </c>
      <c r="CA164" s="8"/>
      <c r="CB164" s="8" t="str">
        <f t="shared" ref="CB164:CD164" si="582">CB57</f>
        <v>AAAAAAAA</v>
      </c>
      <c r="CC164" s="8" t="str">
        <f t="shared" si="582"/>
        <v/>
      </c>
      <c r="CD164" s="8" t="str">
        <f t="shared" si="582"/>
        <v/>
      </c>
      <c r="CE164" s="8">
        <f t="shared" si="236"/>
        <v>0</v>
      </c>
      <c r="CF164" s="8">
        <f t="shared" si="237"/>
        <v>0</v>
      </c>
      <c r="CG164" s="8"/>
      <c r="CH164" s="8" t="str">
        <f t="shared" ref="CH164:CJ164" si="583">CH57</f>
        <v>AAAAAAAA</v>
      </c>
      <c r="CI164" s="8" t="str">
        <f t="shared" si="583"/>
        <v/>
      </c>
      <c r="CJ164" s="8" t="str">
        <f t="shared" si="583"/>
        <v/>
      </c>
      <c r="CK164" s="8">
        <f t="shared" si="239"/>
        <v>0</v>
      </c>
      <c r="CL164" s="8">
        <f t="shared" si="240"/>
        <v>0</v>
      </c>
      <c r="CO164" s="8" t="str">
        <f>Hidden!$CC40</f>
        <v/>
      </c>
      <c r="CP164">
        <f t="shared" si="241"/>
        <v>0</v>
      </c>
      <c r="CQ164">
        <f t="shared" si="242"/>
        <v>0</v>
      </c>
      <c r="CR164">
        <f t="shared" si="243"/>
        <v>0</v>
      </c>
      <c r="CS164">
        <f t="shared" si="244"/>
        <v>0</v>
      </c>
      <c r="CT164">
        <f t="shared" si="245"/>
        <v>0</v>
      </c>
      <c r="CU164">
        <f t="shared" si="246"/>
        <v>0</v>
      </c>
      <c r="CV164">
        <f t="shared" si="247"/>
        <v>0</v>
      </c>
      <c r="CW164">
        <f t="shared" si="248"/>
        <v>0</v>
      </c>
      <c r="CX164">
        <f t="shared" si="249"/>
        <v>0</v>
      </c>
      <c r="CY164">
        <f t="shared" si="250"/>
        <v>0</v>
      </c>
      <c r="DT164" s="77"/>
      <c r="DU164" s="8" t="str">
        <f t="shared" si="169"/>
        <v>AAAAAAAAAA</v>
      </c>
      <c r="DV164" s="8" t="str">
        <f t="shared" si="170"/>
        <v/>
      </c>
      <c r="DW164" s="8" t="str">
        <f t="shared" si="171"/>
        <v/>
      </c>
      <c r="DX164" s="8">
        <f t="shared" si="431"/>
        <v>0</v>
      </c>
      <c r="DY164" s="8">
        <f t="shared" si="431"/>
        <v>0</v>
      </c>
      <c r="EA164" s="8" t="str">
        <f t="shared" si="173"/>
        <v>AAAAAAAAAA</v>
      </c>
      <c r="EB164" s="8" t="str">
        <f t="shared" si="174"/>
        <v/>
      </c>
      <c r="EC164" s="8" t="str">
        <f t="shared" si="175"/>
        <v/>
      </c>
      <c r="ED164">
        <f t="shared" si="432"/>
        <v>0</v>
      </c>
      <c r="EE164">
        <f t="shared" si="432"/>
        <v>0</v>
      </c>
      <c r="EG164" s="8" t="str">
        <f t="shared" si="177"/>
        <v>AAAAAAAAAA</v>
      </c>
      <c r="EH164" s="8" t="str">
        <f t="shared" si="178"/>
        <v/>
      </c>
      <c r="EI164" s="8" t="str">
        <f t="shared" si="179"/>
        <v/>
      </c>
      <c r="EJ164" s="8">
        <f t="shared" si="433"/>
        <v>0</v>
      </c>
      <c r="EK164" s="8">
        <f t="shared" si="433"/>
        <v>0</v>
      </c>
      <c r="EM164" s="8" t="str">
        <f t="shared" si="181"/>
        <v>AAAAAAAAAA</v>
      </c>
      <c r="EN164" s="8" t="str">
        <f t="shared" si="182"/>
        <v/>
      </c>
      <c r="EO164" s="8" t="str">
        <f t="shared" si="183"/>
        <v/>
      </c>
      <c r="EP164" s="8">
        <f t="shared" si="434"/>
        <v>0</v>
      </c>
      <c r="EQ164" s="8">
        <f t="shared" si="434"/>
        <v>0</v>
      </c>
      <c r="ES164" s="8" t="str">
        <f t="shared" si="185"/>
        <v>AAAAAAAAAA</v>
      </c>
      <c r="ET164" s="8" t="str">
        <f t="shared" si="186"/>
        <v/>
      </c>
      <c r="EU164" s="8" t="str">
        <f t="shared" si="187"/>
        <v/>
      </c>
      <c r="EV164" s="8">
        <f t="shared" si="435"/>
        <v>0</v>
      </c>
      <c r="EW164" s="8">
        <f t="shared" si="435"/>
        <v>0</v>
      </c>
      <c r="EY164" s="8" t="str">
        <f>Hidden!$CG52</f>
        <v/>
      </c>
      <c r="EZ164">
        <f t="shared" si="189"/>
        <v>0</v>
      </c>
      <c r="FA164">
        <f t="shared" si="190"/>
        <v>0</v>
      </c>
      <c r="FB164">
        <f t="shared" si="191"/>
        <v>0</v>
      </c>
      <c r="FC164">
        <f t="shared" si="192"/>
        <v>0</v>
      </c>
      <c r="FD164">
        <f t="shared" si="193"/>
        <v>0</v>
      </c>
      <c r="FE164">
        <f t="shared" si="194"/>
        <v>0</v>
      </c>
      <c r="FF164">
        <f t="shared" si="195"/>
        <v>0</v>
      </c>
      <c r="FG164">
        <f t="shared" si="196"/>
        <v>0</v>
      </c>
      <c r="FH164">
        <f t="shared" si="197"/>
        <v>0</v>
      </c>
      <c r="FI164">
        <f t="shared" si="198"/>
        <v>0</v>
      </c>
    </row>
    <row r="165" spans="1:165" x14ac:dyDescent="0.2">
      <c r="A165" s="8" t="str">
        <f t="shared" ref="A165:C165" si="584">A58</f>
        <v>AAAAAAAAA</v>
      </c>
      <c r="B165" s="8" t="str">
        <f t="shared" si="584"/>
        <v/>
      </c>
      <c r="C165" s="8" t="str">
        <f t="shared" si="584"/>
        <v/>
      </c>
      <c r="D165" s="8">
        <f t="shared" si="536"/>
        <v>0</v>
      </c>
      <c r="E165" s="8">
        <f t="shared" si="536"/>
        <v>0</v>
      </c>
      <c r="F165" s="8"/>
      <c r="G165" s="8" t="str">
        <f t="shared" ref="G165:I165" si="585">G58</f>
        <v>AAAAAAAAA</v>
      </c>
      <c r="H165" s="8" t="str">
        <f t="shared" si="585"/>
        <v/>
      </c>
      <c r="I165" s="8" t="str">
        <f t="shared" si="585"/>
        <v/>
      </c>
      <c r="J165" s="8">
        <f t="shared" si="538"/>
        <v>0</v>
      </c>
      <c r="K165" s="8">
        <f t="shared" si="538"/>
        <v>0</v>
      </c>
      <c r="L165" s="8"/>
      <c r="M165" s="8" t="str">
        <f t="shared" ref="M165:O165" si="586">M58</f>
        <v>AAAAAAAAA</v>
      </c>
      <c r="N165" s="8" t="str">
        <f t="shared" si="586"/>
        <v/>
      </c>
      <c r="O165" s="8" t="str">
        <f t="shared" si="586"/>
        <v/>
      </c>
      <c r="P165" s="8">
        <f>IF($O165="",0,$O165*P$124)</f>
        <v>0</v>
      </c>
      <c r="Q165" s="8">
        <f>IF($O165="",0,$O165*Q$124)</f>
        <v>0</v>
      </c>
      <c r="R165" s="8"/>
      <c r="S165" s="8" t="str">
        <f t="shared" ref="S165:U165" si="587">S58</f>
        <v>AAAAAAAAA</v>
      </c>
      <c r="T165" s="8" t="str">
        <f t="shared" si="587"/>
        <v/>
      </c>
      <c r="U165" s="8" t="str">
        <f t="shared" si="587"/>
        <v/>
      </c>
      <c r="V165">
        <f t="shared" si="541"/>
        <v>0</v>
      </c>
      <c r="W165">
        <f t="shared" si="541"/>
        <v>0</v>
      </c>
      <c r="Y165" s="8" t="str">
        <f t="shared" si="214"/>
        <v>AAAAAAAAA</v>
      </c>
      <c r="Z165" s="8"/>
      <c r="AB165">
        <f t="shared" si="542"/>
        <v>0</v>
      </c>
      <c r="AC165">
        <f t="shared" si="542"/>
        <v>0</v>
      </c>
      <c r="AE165" s="8" t="str">
        <f>Hidden!$CC41</f>
        <v/>
      </c>
      <c r="AF165">
        <f t="shared" si="216"/>
        <v>0</v>
      </c>
      <c r="AG165">
        <f t="shared" si="217"/>
        <v>0</v>
      </c>
      <c r="AH165">
        <f t="shared" si="218"/>
        <v>0</v>
      </c>
      <c r="AI165">
        <f t="shared" si="219"/>
        <v>0</v>
      </c>
      <c r="AJ165">
        <f t="shared" si="220"/>
        <v>0</v>
      </c>
      <c r="AK165">
        <f t="shared" si="221"/>
        <v>0</v>
      </c>
      <c r="AL165">
        <f t="shared" si="222"/>
        <v>0</v>
      </c>
      <c r="AM165">
        <f t="shared" si="223"/>
        <v>0</v>
      </c>
      <c r="AN165">
        <f t="shared" si="224"/>
        <v>0</v>
      </c>
      <c r="AO165">
        <f t="shared" si="225"/>
        <v>0</v>
      </c>
      <c r="BJ165" s="8" t="str">
        <f t="shared" ref="BJ165:BL165" si="588">BJ58</f>
        <v>AAAAAAAAA</v>
      </c>
      <c r="BK165" s="8" t="str">
        <f t="shared" si="588"/>
        <v/>
      </c>
      <c r="BL165" s="8" t="str">
        <f t="shared" si="588"/>
        <v/>
      </c>
      <c r="BM165" s="8">
        <f t="shared" si="227"/>
        <v>0</v>
      </c>
      <c r="BN165" s="8">
        <f t="shared" si="228"/>
        <v>0</v>
      </c>
      <c r="BO165" s="8"/>
      <c r="BP165" s="8" t="str">
        <f t="shared" ref="BP165:BR165" si="589">BP58</f>
        <v>AAAAAAAAA</v>
      </c>
      <c r="BQ165" s="8" t="str">
        <f t="shared" si="589"/>
        <v/>
      </c>
      <c r="BR165" s="8" t="str">
        <f t="shared" si="589"/>
        <v/>
      </c>
      <c r="BS165" s="8">
        <f t="shared" si="230"/>
        <v>0</v>
      </c>
      <c r="BT165" s="8">
        <f t="shared" si="231"/>
        <v>0</v>
      </c>
      <c r="BU165" s="8"/>
      <c r="BV165" s="8" t="str">
        <f t="shared" ref="BV165:BX165" si="590">BV58</f>
        <v>AAAAAAAAA</v>
      </c>
      <c r="BW165" s="8" t="str">
        <f t="shared" si="590"/>
        <v/>
      </c>
      <c r="BX165" s="8" t="str">
        <f t="shared" si="590"/>
        <v/>
      </c>
      <c r="BY165" s="8">
        <f t="shared" si="233"/>
        <v>0</v>
      </c>
      <c r="BZ165" s="8">
        <f t="shared" si="234"/>
        <v>0</v>
      </c>
      <c r="CA165" s="8"/>
      <c r="CB165" s="8" t="str">
        <f t="shared" ref="CB165:CD165" si="591">CB58</f>
        <v>AAAAAAAAA</v>
      </c>
      <c r="CC165" s="8" t="str">
        <f t="shared" si="591"/>
        <v/>
      </c>
      <c r="CD165" s="8" t="str">
        <f t="shared" si="591"/>
        <v/>
      </c>
      <c r="CE165" s="8">
        <f t="shared" si="236"/>
        <v>0</v>
      </c>
      <c r="CF165" s="8">
        <f t="shared" si="237"/>
        <v>0</v>
      </c>
      <c r="CG165" s="8"/>
      <c r="CH165" s="8" t="str">
        <f t="shared" ref="CH165:CJ165" si="592">CH58</f>
        <v>AAAAAAAAA</v>
      </c>
      <c r="CI165" s="8" t="str">
        <f t="shared" si="592"/>
        <v/>
      </c>
      <c r="CJ165" s="8" t="str">
        <f t="shared" si="592"/>
        <v/>
      </c>
      <c r="CK165" s="8">
        <f t="shared" si="239"/>
        <v>0</v>
      </c>
      <c r="CL165" s="8">
        <f t="shared" si="240"/>
        <v>0</v>
      </c>
      <c r="CO165" s="8" t="str">
        <f>Hidden!$CC41</f>
        <v/>
      </c>
      <c r="CP165">
        <f t="shared" si="241"/>
        <v>0</v>
      </c>
      <c r="CQ165">
        <f t="shared" si="242"/>
        <v>0</v>
      </c>
      <c r="CR165">
        <f t="shared" si="243"/>
        <v>0</v>
      </c>
      <c r="CS165">
        <f t="shared" si="244"/>
        <v>0</v>
      </c>
      <c r="CT165">
        <f t="shared" si="245"/>
        <v>0</v>
      </c>
      <c r="CU165">
        <f t="shared" si="246"/>
        <v>0</v>
      </c>
      <c r="CV165">
        <f t="shared" si="247"/>
        <v>0</v>
      </c>
      <c r="CW165">
        <f t="shared" si="248"/>
        <v>0</v>
      </c>
      <c r="CX165">
        <f t="shared" si="249"/>
        <v>0</v>
      </c>
      <c r="CY165">
        <f t="shared" si="250"/>
        <v>0</v>
      </c>
      <c r="DT165" s="77"/>
      <c r="DU165" s="8" t="str">
        <f t="shared" si="169"/>
        <v>A</v>
      </c>
      <c r="DV165" s="8" t="str">
        <f t="shared" si="170"/>
        <v/>
      </c>
      <c r="DW165" s="8" t="str">
        <f t="shared" si="171"/>
        <v/>
      </c>
      <c r="DX165" s="8">
        <f t="shared" si="431"/>
        <v>0</v>
      </c>
      <c r="DY165" s="8">
        <f t="shared" si="431"/>
        <v>0</v>
      </c>
      <c r="EA165" s="8" t="str">
        <f t="shared" si="173"/>
        <v>A</v>
      </c>
      <c r="EB165" s="8" t="str">
        <f t="shared" si="174"/>
        <v/>
      </c>
      <c r="EC165" s="8" t="str">
        <f t="shared" si="175"/>
        <v/>
      </c>
      <c r="ED165">
        <f t="shared" si="432"/>
        <v>0</v>
      </c>
      <c r="EE165">
        <f t="shared" si="432"/>
        <v>0</v>
      </c>
      <c r="EG165" s="8" t="str">
        <f t="shared" si="177"/>
        <v>A</v>
      </c>
      <c r="EH165" s="8" t="str">
        <f t="shared" si="178"/>
        <v/>
      </c>
      <c r="EI165" s="8" t="str">
        <f t="shared" si="179"/>
        <v/>
      </c>
      <c r="EJ165" s="8">
        <f t="shared" si="433"/>
        <v>0</v>
      </c>
      <c r="EK165" s="8">
        <f t="shared" si="433"/>
        <v>0</v>
      </c>
      <c r="EM165" s="8" t="str">
        <f t="shared" si="181"/>
        <v>A</v>
      </c>
      <c r="EN165" s="8" t="str">
        <f t="shared" si="182"/>
        <v/>
      </c>
      <c r="EO165" s="8" t="str">
        <f t="shared" si="183"/>
        <v/>
      </c>
      <c r="EP165" s="8">
        <f t="shared" si="434"/>
        <v>0</v>
      </c>
      <c r="EQ165" s="8">
        <f t="shared" si="434"/>
        <v>0</v>
      </c>
      <c r="ES165" s="8" t="str">
        <f t="shared" si="185"/>
        <v>A</v>
      </c>
      <c r="ET165" s="8" t="str">
        <f t="shared" si="186"/>
        <v/>
      </c>
      <c r="EU165" s="8" t="str">
        <f t="shared" si="187"/>
        <v/>
      </c>
      <c r="EV165" s="8">
        <f t="shared" si="435"/>
        <v>0</v>
      </c>
      <c r="EW165" s="8">
        <f t="shared" si="435"/>
        <v>0</v>
      </c>
      <c r="EY165" s="8" t="str">
        <f>Hidden!$CG53</f>
        <v/>
      </c>
      <c r="EZ165">
        <f t="shared" si="189"/>
        <v>0</v>
      </c>
      <c r="FA165">
        <f t="shared" si="190"/>
        <v>0</v>
      </c>
      <c r="FB165">
        <f t="shared" si="191"/>
        <v>0</v>
      </c>
      <c r="FC165">
        <f t="shared" si="192"/>
        <v>0</v>
      </c>
      <c r="FD165">
        <f t="shared" si="193"/>
        <v>0</v>
      </c>
      <c r="FE165">
        <f t="shared" si="194"/>
        <v>0</v>
      </c>
      <c r="FF165">
        <f t="shared" si="195"/>
        <v>0</v>
      </c>
      <c r="FG165">
        <f t="shared" si="196"/>
        <v>0</v>
      </c>
      <c r="FH165">
        <f t="shared" si="197"/>
        <v>0</v>
      </c>
      <c r="FI165">
        <f t="shared" si="198"/>
        <v>0</v>
      </c>
    </row>
    <row r="166" spans="1:165" x14ac:dyDescent="0.2">
      <c r="A166" s="8" t="str">
        <f t="shared" ref="A166:C166" si="593">A59</f>
        <v>AAAAAAAAAA</v>
      </c>
      <c r="B166" s="8" t="str">
        <f t="shared" si="593"/>
        <v/>
      </c>
      <c r="C166" s="8" t="str">
        <f t="shared" si="593"/>
        <v/>
      </c>
      <c r="D166" s="8">
        <f t="shared" si="536"/>
        <v>0</v>
      </c>
      <c r="E166" s="8">
        <f t="shared" si="536"/>
        <v>0</v>
      </c>
      <c r="F166" s="8"/>
      <c r="G166" s="8" t="str">
        <f t="shared" ref="G166:I166" si="594">G59</f>
        <v>AAAAAAAAAA</v>
      </c>
      <c r="H166" s="8" t="str">
        <f t="shared" si="594"/>
        <v/>
      </c>
      <c r="I166" s="8" t="str">
        <f t="shared" si="594"/>
        <v/>
      </c>
      <c r="J166" s="8">
        <f t="shared" si="538"/>
        <v>0</v>
      </c>
      <c r="K166" s="8">
        <f t="shared" si="538"/>
        <v>0</v>
      </c>
      <c r="L166" s="8"/>
      <c r="M166" s="8" t="str">
        <f t="shared" ref="M166:O166" si="595">M59</f>
        <v>AAAAAAAAAA</v>
      </c>
      <c r="N166" s="8" t="str">
        <f t="shared" si="595"/>
        <v/>
      </c>
      <c r="O166" s="8" t="str">
        <f t="shared" si="595"/>
        <v/>
      </c>
      <c r="P166" s="8">
        <f t="shared" si="211"/>
        <v>0</v>
      </c>
      <c r="Q166" s="8">
        <f t="shared" si="211"/>
        <v>0</v>
      </c>
      <c r="R166" s="8"/>
      <c r="S166" s="8" t="str">
        <f t="shared" ref="S166:U166" si="596">S59</f>
        <v>AAAAAAAAAA</v>
      </c>
      <c r="T166" s="8" t="str">
        <f t="shared" si="596"/>
        <v/>
      </c>
      <c r="U166" s="8" t="str">
        <f t="shared" si="596"/>
        <v/>
      </c>
      <c r="V166">
        <f t="shared" si="541"/>
        <v>0</v>
      </c>
      <c r="W166">
        <f t="shared" si="541"/>
        <v>0</v>
      </c>
      <c r="Y166" s="8" t="str">
        <f t="shared" si="214"/>
        <v>AAAAAAAAAA</v>
      </c>
      <c r="Z166" s="8"/>
      <c r="AB166">
        <f t="shared" si="542"/>
        <v>0</v>
      </c>
      <c r="AC166">
        <f t="shared" si="542"/>
        <v>0</v>
      </c>
      <c r="AE166" s="8" t="str">
        <f>Hidden!$CC42</f>
        <v/>
      </c>
      <c r="AF166">
        <f t="shared" si="216"/>
        <v>0</v>
      </c>
      <c r="AG166">
        <f t="shared" si="217"/>
        <v>0</v>
      </c>
      <c r="AH166">
        <f t="shared" si="218"/>
        <v>0</v>
      </c>
      <c r="AI166">
        <f t="shared" si="219"/>
        <v>0</v>
      </c>
      <c r="AJ166">
        <f t="shared" si="220"/>
        <v>0</v>
      </c>
      <c r="AK166">
        <f t="shared" si="221"/>
        <v>0</v>
      </c>
      <c r="AL166">
        <f t="shared" si="222"/>
        <v>0</v>
      </c>
      <c r="AM166">
        <f t="shared" si="223"/>
        <v>0</v>
      </c>
      <c r="AN166">
        <f t="shared" si="224"/>
        <v>0</v>
      </c>
      <c r="AO166">
        <f t="shared" si="225"/>
        <v>0</v>
      </c>
      <c r="BJ166" s="8" t="str">
        <f t="shared" ref="BJ166:BL166" si="597">BJ59</f>
        <v>AAAAAAAAAA</v>
      </c>
      <c r="BK166" s="8" t="str">
        <f t="shared" si="597"/>
        <v/>
      </c>
      <c r="BL166" s="8" t="str">
        <f t="shared" si="597"/>
        <v/>
      </c>
      <c r="BM166" s="8">
        <f t="shared" si="227"/>
        <v>0</v>
      </c>
      <c r="BN166" s="8">
        <f t="shared" si="228"/>
        <v>0</v>
      </c>
      <c r="BO166" s="8"/>
      <c r="BP166" s="8" t="str">
        <f t="shared" ref="BP166:BR166" si="598">BP59</f>
        <v>AAAAAAAAAA</v>
      </c>
      <c r="BQ166" s="8" t="str">
        <f t="shared" si="598"/>
        <v/>
      </c>
      <c r="BR166" s="8" t="str">
        <f t="shared" si="598"/>
        <v/>
      </c>
      <c r="BS166" s="8">
        <f t="shared" si="230"/>
        <v>0</v>
      </c>
      <c r="BT166" s="8">
        <f t="shared" si="231"/>
        <v>0</v>
      </c>
      <c r="BU166" s="8"/>
      <c r="BV166" s="8" t="str">
        <f t="shared" ref="BV166:BX166" si="599">BV59</f>
        <v>AAAAAAAAAA</v>
      </c>
      <c r="BW166" s="8" t="str">
        <f t="shared" si="599"/>
        <v/>
      </c>
      <c r="BX166" s="8" t="str">
        <f t="shared" si="599"/>
        <v/>
      </c>
      <c r="BY166" s="8">
        <f t="shared" si="233"/>
        <v>0</v>
      </c>
      <c r="BZ166" s="8">
        <f t="shared" si="234"/>
        <v>0</v>
      </c>
      <c r="CA166" s="8"/>
      <c r="CB166" s="8" t="str">
        <f t="shared" ref="CB166:CD166" si="600">CB59</f>
        <v>AAAAAAAAAA</v>
      </c>
      <c r="CC166" s="8" t="str">
        <f t="shared" si="600"/>
        <v/>
      </c>
      <c r="CD166" s="8" t="str">
        <f t="shared" si="600"/>
        <v/>
      </c>
      <c r="CE166" s="8">
        <f t="shared" si="236"/>
        <v>0</v>
      </c>
      <c r="CF166" s="8">
        <f t="shared" si="237"/>
        <v>0</v>
      </c>
      <c r="CG166" s="8"/>
      <c r="CH166" s="8" t="str">
        <f t="shared" ref="CH166:CJ166" si="601">CH59</f>
        <v>AAAAAAAAAA</v>
      </c>
      <c r="CI166" s="8" t="str">
        <f t="shared" si="601"/>
        <v/>
      </c>
      <c r="CJ166" s="8" t="str">
        <f t="shared" si="601"/>
        <v/>
      </c>
      <c r="CK166" s="8">
        <f t="shared" si="239"/>
        <v>0</v>
      </c>
      <c r="CL166" s="8">
        <f t="shared" si="240"/>
        <v>0</v>
      </c>
      <c r="CO166" s="8" t="str">
        <f>Hidden!$CC42</f>
        <v/>
      </c>
      <c r="CP166">
        <f t="shared" si="241"/>
        <v>0</v>
      </c>
      <c r="CQ166">
        <f t="shared" si="242"/>
        <v>0</v>
      </c>
      <c r="CR166">
        <f t="shared" si="243"/>
        <v>0</v>
      </c>
      <c r="CS166">
        <f t="shared" si="244"/>
        <v>0</v>
      </c>
      <c r="CT166">
        <f t="shared" si="245"/>
        <v>0</v>
      </c>
      <c r="CU166">
        <f t="shared" si="246"/>
        <v>0</v>
      </c>
      <c r="CV166">
        <f t="shared" si="247"/>
        <v>0</v>
      </c>
      <c r="CW166">
        <f t="shared" si="248"/>
        <v>0</v>
      </c>
      <c r="CX166">
        <f t="shared" si="249"/>
        <v>0</v>
      </c>
      <c r="CY166">
        <f t="shared" si="250"/>
        <v>0</v>
      </c>
      <c r="DT166" s="77"/>
      <c r="DU166" s="8" t="str">
        <f t="shared" si="169"/>
        <v>AA</v>
      </c>
      <c r="DV166" s="8" t="str">
        <f t="shared" si="170"/>
        <v/>
      </c>
      <c r="DW166" s="8" t="str">
        <f t="shared" si="171"/>
        <v/>
      </c>
      <c r="DX166" s="8">
        <f t="shared" si="431"/>
        <v>0</v>
      </c>
      <c r="DY166" s="8">
        <f t="shared" si="431"/>
        <v>0</v>
      </c>
      <c r="EA166" s="8" t="str">
        <f t="shared" si="173"/>
        <v>AA</v>
      </c>
      <c r="EB166" s="8" t="str">
        <f t="shared" si="174"/>
        <v/>
      </c>
      <c r="EC166" s="8" t="str">
        <f t="shared" si="175"/>
        <v/>
      </c>
      <c r="ED166">
        <f t="shared" si="432"/>
        <v>0</v>
      </c>
      <c r="EE166">
        <f t="shared" si="432"/>
        <v>0</v>
      </c>
      <c r="EG166" s="8" t="str">
        <f t="shared" si="177"/>
        <v>AA</v>
      </c>
      <c r="EH166" s="8" t="str">
        <f t="shared" si="178"/>
        <v/>
      </c>
      <c r="EI166" s="8" t="str">
        <f t="shared" si="179"/>
        <v/>
      </c>
      <c r="EJ166" s="8">
        <f t="shared" si="433"/>
        <v>0</v>
      </c>
      <c r="EK166" s="8">
        <f t="shared" si="433"/>
        <v>0</v>
      </c>
      <c r="EM166" s="8" t="str">
        <f t="shared" si="181"/>
        <v>AA</v>
      </c>
      <c r="EN166" s="8" t="str">
        <f t="shared" si="182"/>
        <v/>
      </c>
      <c r="EO166" s="8" t="str">
        <f t="shared" si="183"/>
        <v/>
      </c>
      <c r="EP166" s="8">
        <f t="shared" si="434"/>
        <v>0</v>
      </c>
      <c r="EQ166" s="8">
        <f t="shared" si="434"/>
        <v>0</v>
      </c>
      <c r="ES166" s="8" t="str">
        <f t="shared" si="185"/>
        <v>AA</v>
      </c>
      <c r="ET166" s="8" t="str">
        <f t="shared" si="186"/>
        <v/>
      </c>
      <c r="EU166" s="8" t="str">
        <f t="shared" si="187"/>
        <v/>
      </c>
      <c r="EV166" s="8">
        <f t="shared" si="435"/>
        <v>0</v>
      </c>
      <c r="EW166" s="8">
        <f t="shared" si="435"/>
        <v>0</v>
      </c>
      <c r="EY166" s="8" t="str">
        <f>Hidden!$CG54</f>
        <v/>
      </c>
      <c r="EZ166">
        <f t="shared" si="189"/>
        <v>0</v>
      </c>
      <c r="FA166">
        <f t="shared" si="190"/>
        <v>0</v>
      </c>
      <c r="FB166">
        <f t="shared" si="191"/>
        <v>0</v>
      </c>
      <c r="FC166">
        <f t="shared" si="192"/>
        <v>0</v>
      </c>
      <c r="FD166">
        <f t="shared" si="193"/>
        <v>0</v>
      </c>
      <c r="FE166">
        <f t="shared" si="194"/>
        <v>0</v>
      </c>
      <c r="FF166">
        <f t="shared" si="195"/>
        <v>0</v>
      </c>
      <c r="FG166">
        <f t="shared" si="196"/>
        <v>0</v>
      </c>
      <c r="FH166">
        <f t="shared" si="197"/>
        <v>0</v>
      </c>
      <c r="FI166">
        <f t="shared" si="198"/>
        <v>0</v>
      </c>
    </row>
    <row r="167" spans="1:165" x14ac:dyDescent="0.2">
      <c r="A167" s="8" t="str">
        <f t="shared" ref="A167:C167" si="602">A60</f>
        <v>A</v>
      </c>
      <c r="B167" s="8" t="str">
        <f t="shared" si="602"/>
        <v/>
      </c>
      <c r="C167" s="8" t="str">
        <f t="shared" si="602"/>
        <v/>
      </c>
      <c r="D167" s="8">
        <f t="shared" si="536"/>
        <v>0</v>
      </c>
      <c r="E167" s="8">
        <f t="shared" si="536"/>
        <v>0</v>
      </c>
      <c r="F167" s="8"/>
      <c r="G167" s="8" t="str">
        <f t="shared" ref="G167:I167" si="603">G60</f>
        <v>A</v>
      </c>
      <c r="H167" s="8" t="str">
        <f t="shared" si="603"/>
        <v/>
      </c>
      <c r="I167" s="8" t="str">
        <f t="shared" si="603"/>
        <v/>
      </c>
      <c r="J167" s="8">
        <f t="shared" si="538"/>
        <v>0</v>
      </c>
      <c r="K167" s="8">
        <f t="shared" si="538"/>
        <v>0</v>
      </c>
      <c r="L167" s="8"/>
      <c r="M167" s="8" t="str">
        <f t="shared" ref="M167:O167" si="604">M60</f>
        <v>A</v>
      </c>
      <c r="N167" s="8" t="str">
        <f t="shared" si="604"/>
        <v/>
      </c>
      <c r="O167" s="8" t="str">
        <f t="shared" si="604"/>
        <v/>
      </c>
      <c r="P167" s="8">
        <f t="shared" ref="P167:Q189" si="605">IF($O167="",0,$O167*P$124)</f>
        <v>0</v>
      </c>
      <c r="Q167" s="8">
        <f t="shared" si="605"/>
        <v>0</v>
      </c>
      <c r="R167" s="8"/>
      <c r="S167" s="8" t="str">
        <f t="shared" ref="S167:U167" si="606">S60</f>
        <v>A</v>
      </c>
      <c r="T167" s="8" t="str">
        <f t="shared" si="606"/>
        <v/>
      </c>
      <c r="U167" s="8" t="str">
        <f t="shared" si="606"/>
        <v/>
      </c>
      <c r="V167">
        <f t="shared" si="541"/>
        <v>0</v>
      </c>
      <c r="W167">
        <f t="shared" si="541"/>
        <v>0</v>
      </c>
      <c r="Y167" s="8" t="str">
        <f t="shared" si="214"/>
        <v>A</v>
      </c>
      <c r="Z167" s="8"/>
      <c r="AB167">
        <f t="shared" si="542"/>
        <v>0</v>
      </c>
      <c r="AC167">
        <f t="shared" si="542"/>
        <v>0</v>
      </c>
      <c r="AE167" s="8" t="str">
        <f>Hidden!$CC43</f>
        <v/>
      </c>
      <c r="AF167">
        <f t="shared" si="216"/>
        <v>0</v>
      </c>
      <c r="AG167">
        <f t="shared" si="217"/>
        <v>0</v>
      </c>
      <c r="AH167">
        <f t="shared" si="218"/>
        <v>0</v>
      </c>
      <c r="AI167">
        <f t="shared" si="219"/>
        <v>0</v>
      </c>
      <c r="AJ167">
        <f t="shared" si="220"/>
        <v>0</v>
      </c>
      <c r="AK167">
        <f t="shared" si="221"/>
        <v>0</v>
      </c>
      <c r="AL167">
        <f t="shared" si="222"/>
        <v>0</v>
      </c>
      <c r="AM167">
        <f t="shared" si="223"/>
        <v>0</v>
      </c>
      <c r="AN167">
        <f t="shared" si="224"/>
        <v>0</v>
      </c>
      <c r="AO167">
        <f t="shared" si="225"/>
        <v>0</v>
      </c>
      <c r="BJ167" s="8" t="str">
        <f t="shared" ref="BJ167:BL167" si="607">BJ60</f>
        <v>A</v>
      </c>
      <c r="BK167" s="8" t="str">
        <f t="shared" si="607"/>
        <v/>
      </c>
      <c r="BL167" s="8" t="str">
        <f t="shared" si="607"/>
        <v/>
      </c>
      <c r="BM167" s="8">
        <f t="shared" si="227"/>
        <v>0</v>
      </c>
      <c r="BN167" s="8">
        <f t="shared" si="228"/>
        <v>0</v>
      </c>
      <c r="BO167" s="8"/>
      <c r="BP167" s="8" t="str">
        <f t="shared" ref="BP167:BR167" si="608">BP60</f>
        <v>A</v>
      </c>
      <c r="BQ167" s="8" t="str">
        <f t="shared" si="608"/>
        <v/>
      </c>
      <c r="BR167" s="8" t="str">
        <f t="shared" si="608"/>
        <v/>
      </c>
      <c r="BS167" s="8">
        <f t="shared" si="230"/>
        <v>0</v>
      </c>
      <c r="BT167" s="8">
        <f t="shared" si="231"/>
        <v>0</v>
      </c>
      <c r="BU167" s="8"/>
      <c r="BV167" s="8" t="str">
        <f t="shared" ref="BV167:BX167" si="609">BV60</f>
        <v>A</v>
      </c>
      <c r="BW167" s="8" t="str">
        <f t="shared" si="609"/>
        <v/>
      </c>
      <c r="BX167" s="8" t="str">
        <f t="shared" si="609"/>
        <v/>
      </c>
      <c r="BY167" s="8">
        <f t="shared" si="233"/>
        <v>0</v>
      </c>
      <c r="BZ167" s="8">
        <f t="shared" si="234"/>
        <v>0</v>
      </c>
      <c r="CA167" s="8"/>
      <c r="CB167" s="8" t="str">
        <f t="shared" ref="CB167:CD167" si="610">CB60</f>
        <v>A</v>
      </c>
      <c r="CC167" s="8" t="str">
        <f t="shared" si="610"/>
        <v/>
      </c>
      <c r="CD167" s="8" t="str">
        <f t="shared" si="610"/>
        <v/>
      </c>
      <c r="CE167" s="8">
        <f t="shared" si="236"/>
        <v>0</v>
      </c>
      <c r="CF167" s="8">
        <f t="shared" si="237"/>
        <v>0</v>
      </c>
      <c r="CG167" s="8"/>
      <c r="CH167" s="8" t="str">
        <f t="shared" ref="CH167:CJ167" si="611">CH60</f>
        <v>A</v>
      </c>
      <c r="CI167" s="8" t="str">
        <f t="shared" si="611"/>
        <v/>
      </c>
      <c r="CJ167" s="8" t="str">
        <f t="shared" si="611"/>
        <v/>
      </c>
      <c r="CK167" s="8">
        <f t="shared" si="239"/>
        <v>0</v>
      </c>
      <c r="CL167" s="8">
        <f t="shared" si="240"/>
        <v>0</v>
      </c>
      <c r="CO167" s="8" t="str">
        <f>Hidden!$CC43</f>
        <v/>
      </c>
      <c r="CP167">
        <f t="shared" si="241"/>
        <v>0</v>
      </c>
      <c r="CQ167">
        <f t="shared" si="242"/>
        <v>0</v>
      </c>
      <c r="CR167">
        <f t="shared" si="243"/>
        <v>0</v>
      </c>
      <c r="CS167">
        <f t="shared" si="244"/>
        <v>0</v>
      </c>
      <c r="CT167">
        <f t="shared" si="245"/>
        <v>0</v>
      </c>
      <c r="CU167">
        <f t="shared" si="246"/>
        <v>0</v>
      </c>
      <c r="CV167">
        <f t="shared" si="247"/>
        <v>0</v>
      </c>
      <c r="CW167">
        <f t="shared" si="248"/>
        <v>0</v>
      </c>
      <c r="CX167">
        <f t="shared" si="249"/>
        <v>0</v>
      </c>
      <c r="CY167">
        <f t="shared" si="250"/>
        <v>0</v>
      </c>
      <c r="DT167" s="77"/>
      <c r="DU167" s="8" t="str">
        <f t="shared" si="169"/>
        <v>AAA</v>
      </c>
      <c r="DV167" s="8" t="str">
        <f t="shared" si="170"/>
        <v/>
      </c>
      <c r="DW167" s="8" t="str">
        <f t="shared" si="171"/>
        <v/>
      </c>
      <c r="DX167" s="8">
        <f t="shared" si="431"/>
        <v>0</v>
      </c>
      <c r="DY167" s="8">
        <f t="shared" si="431"/>
        <v>0</v>
      </c>
      <c r="EA167" s="8" t="str">
        <f t="shared" si="173"/>
        <v>AAA</v>
      </c>
      <c r="EB167" s="8" t="str">
        <f t="shared" si="174"/>
        <v/>
      </c>
      <c r="EC167" s="8" t="str">
        <f t="shared" si="175"/>
        <v/>
      </c>
      <c r="ED167">
        <f t="shared" si="432"/>
        <v>0</v>
      </c>
      <c r="EE167">
        <f t="shared" si="432"/>
        <v>0</v>
      </c>
      <c r="EG167" s="8" t="str">
        <f t="shared" si="177"/>
        <v>AAA</v>
      </c>
      <c r="EH167" s="8" t="str">
        <f t="shared" si="178"/>
        <v/>
      </c>
      <c r="EI167" s="8" t="str">
        <f t="shared" si="179"/>
        <v/>
      </c>
      <c r="EJ167" s="8">
        <f t="shared" si="433"/>
        <v>0</v>
      </c>
      <c r="EK167" s="8">
        <f t="shared" si="433"/>
        <v>0</v>
      </c>
      <c r="EM167" s="8" t="str">
        <f t="shared" si="181"/>
        <v>AAA</v>
      </c>
      <c r="EN167" s="8" t="str">
        <f t="shared" si="182"/>
        <v/>
      </c>
      <c r="EO167" s="8" t="str">
        <f t="shared" si="183"/>
        <v/>
      </c>
      <c r="EP167" s="8">
        <f t="shared" si="434"/>
        <v>0</v>
      </c>
      <c r="EQ167" s="8">
        <f t="shared" si="434"/>
        <v>0</v>
      </c>
      <c r="ES167" s="8" t="str">
        <f t="shared" si="185"/>
        <v>AAA</v>
      </c>
      <c r="ET167" s="8" t="str">
        <f t="shared" si="186"/>
        <v/>
      </c>
      <c r="EU167" s="8" t="str">
        <f t="shared" si="187"/>
        <v/>
      </c>
      <c r="EV167" s="8">
        <f t="shared" si="435"/>
        <v>0</v>
      </c>
      <c r="EW167" s="8">
        <f t="shared" si="435"/>
        <v>0</v>
      </c>
      <c r="EY167" s="8" t="str">
        <f>Hidden!$CG55</f>
        <v/>
      </c>
      <c r="EZ167">
        <f t="shared" si="189"/>
        <v>0</v>
      </c>
      <c r="FA167">
        <f t="shared" si="190"/>
        <v>0</v>
      </c>
      <c r="FB167">
        <f t="shared" si="191"/>
        <v>0</v>
      </c>
      <c r="FC167">
        <f t="shared" si="192"/>
        <v>0</v>
      </c>
      <c r="FD167">
        <f t="shared" si="193"/>
        <v>0</v>
      </c>
      <c r="FE167">
        <f t="shared" si="194"/>
        <v>0</v>
      </c>
      <c r="FF167">
        <f t="shared" si="195"/>
        <v>0</v>
      </c>
      <c r="FG167">
        <f t="shared" si="196"/>
        <v>0</v>
      </c>
      <c r="FH167">
        <f t="shared" si="197"/>
        <v>0</v>
      </c>
      <c r="FI167">
        <f t="shared" si="198"/>
        <v>0</v>
      </c>
    </row>
    <row r="168" spans="1:165" x14ac:dyDescent="0.2">
      <c r="A168" s="8" t="str">
        <f t="shared" ref="A168:C168" si="612">A61</f>
        <v>AA</v>
      </c>
      <c r="B168" s="8" t="str">
        <f t="shared" si="612"/>
        <v/>
      </c>
      <c r="C168" s="8" t="str">
        <f t="shared" si="612"/>
        <v/>
      </c>
      <c r="D168" s="8">
        <f t="shared" si="536"/>
        <v>0</v>
      </c>
      <c r="E168" s="8">
        <f t="shared" si="536"/>
        <v>0</v>
      </c>
      <c r="F168" s="8"/>
      <c r="G168" s="8" t="str">
        <f t="shared" ref="G168:I168" si="613">G61</f>
        <v>AA</v>
      </c>
      <c r="H168" s="8" t="str">
        <f t="shared" si="613"/>
        <v/>
      </c>
      <c r="I168" s="8" t="str">
        <f t="shared" si="613"/>
        <v/>
      </c>
      <c r="J168" s="8">
        <f t="shared" si="538"/>
        <v>0</v>
      </c>
      <c r="K168" s="8">
        <f t="shared" si="538"/>
        <v>0</v>
      </c>
      <c r="L168" s="8"/>
      <c r="M168" s="8" t="str">
        <f t="shared" ref="M168:O168" si="614">M61</f>
        <v>AA</v>
      </c>
      <c r="N168" s="8" t="str">
        <f t="shared" si="614"/>
        <v/>
      </c>
      <c r="O168" s="8" t="str">
        <f t="shared" si="614"/>
        <v/>
      </c>
      <c r="P168" s="8">
        <f t="shared" si="605"/>
        <v>0</v>
      </c>
      <c r="Q168" s="8">
        <f t="shared" si="605"/>
        <v>0</v>
      </c>
      <c r="R168" s="8"/>
      <c r="S168" s="8" t="str">
        <f t="shared" ref="S168:U168" si="615">S61</f>
        <v>AA</v>
      </c>
      <c r="T168" s="8" t="str">
        <f t="shared" si="615"/>
        <v/>
      </c>
      <c r="U168" s="8" t="str">
        <f t="shared" si="615"/>
        <v/>
      </c>
      <c r="V168">
        <f t="shared" si="541"/>
        <v>0</v>
      </c>
      <c r="W168">
        <f t="shared" si="541"/>
        <v>0</v>
      </c>
      <c r="Y168" s="8" t="str">
        <f t="shared" si="214"/>
        <v>AA</v>
      </c>
      <c r="Z168" s="8"/>
      <c r="AB168">
        <f t="shared" si="542"/>
        <v>0</v>
      </c>
      <c r="AC168">
        <f t="shared" si="542"/>
        <v>0</v>
      </c>
      <c r="AE168" s="8" t="str">
        <f>Hidden!$CC44</f>
        <v/>
      </c>
      <c r="AF168">
        <f t="shared" si="216"/>
        <v>0</v>
      </c>
      <c r="AG168">
        <f t="shared" si="217"/>
        <v>0</v>
      </c>
      <c r="AH168">
        <f t="shared" si="218"/>
        <v>0</v>
      </c>
      <c r="AI168">
        <f t="shared" si="219"/>
        <v>0</v>
      </c>
      <c r="AJ168">
        <f t="shared" si="220"/>
        <v>0</v>
      </c>
      <c r="AK168">
        <f t="shared" si="221"/>
        <v>0</v>
      </c>
      <c r="AL168">
        <f t="shared" si="222"/>
        <v>0</v>
      </c>
      <c r="AM168">
        <f t="shared" si="223"/>
        <v>0</v>
      </c>
      <c r="AN168">
        <f t="shared" si="224"/>
        <v>0</v>
      </c>
      <c r="AO168">
        <f t="shared" si="225"/>
        <v>0</v>
      </c>
      <c r="BJ168" s="8" t="str">
        <f t="shared" ref="BJ168:BL168" si="616">BJ61</f>
        <v>AA</v>
      </c>
      <c r="BK168" s="8" t="str">
        <f t="shared" si="616"/>
        <v/>
      </c>
      <c r="BL168" s="8" t="str">
        <f t="shared" si="616"/>
        <v/>
      </c>
      <c r="BM168" s="8">
        <f t="shared" si="227"/>
        <v>0</v>
      </c>
      <c r="BN168" s="8">
        <f t="shared" si="228"/>
        <v>0</v>
      </c>
      <c r="BO168" s="8"/>
      <c r="BP168" s="8" t="str">
        <f t="shared" ref="BP168:BR168" si="617">BP61</f>
        <v>AA</v>
      </c>
      <c r="BQ168" s="8" t="str">
        <f t="shared" si="617"/>
        <v/>
      </c>
      <c r="BR168" s="8" t="str">
        <f t="shared" si="617"/>
        <v/>
      </c>
      <c r="BS168" s="8">
        <f t="shared" si="230"/>
        <v>0</v>
      </c>
      <c r="BT168" s="8">
        <f t="shared" si="231"/>
        <v>0</v>
      </c>
      <c r="BU168" s="8"/>
      <c r="BV168" s="8" t="str">
        <f t="shared" ref="BV168:BX168" si="618">BV61</f>
        <v>AA</v>
      </c>
      <c r="BW168" s="8" t="str">
        <f t="shared" si="618"/>
        <v/>
      </c>
      <c r="BX168" s="8" t="str">
        <f t="shared" si="618"/>
        <v/>
      </c>
      <c r="BY168" s="8">
        <f t="shared" si="233"/>
        <v>0</v>
      </c>
      <c r="BZ168" s="8">
        <f t="shared" si="234"/>
        <v>0</v>
      </c>
      <c r="CA168" s="8"/>
      <c r="CB168" s="8" t="str">
        <f t="shared" ref="CB168:CD168" si="619">CB61</f>
        <v>AA</v>
      </c>
      <c r="CC168" s="8" t="str">
        <f t="shared" si="619"/>
        <v/>
      </c>
      <c r="CD168" s="8" t="str">
        <f t="shared" si="619"/>
        <v/>
      </c>
      <c r="CE168" s="8">
        <f t="shared" si="236"/>
        <v>0</v>
      </c>
      <c r="CF168" s="8">
        <f t="shared" si="237"/>
        <v>0</v>
      </c>
      <c r="CG168" s="8"/>
      <c r="CH168" s="8" t="str">
        <f t="shared" ref="CH168:CJ168" si="620">CH61</f>
        <v>AA</v>
      </c>
      <c r="CI168" s="8" t="str">
        <f t="shared" si="620"/>
        <v/>
      </c>
      <c r="CJ168" s="8" t="str">
        <f t="shared" si="620"/>
        <v/>
      </c>
      <c r="CK168" s="8">
        <f t="shared" si="239"/>
        <v>0</v>
      </c>
      <c r="CL168" s="8">
        <f t="shared" si="240"/>
        <v>0</v>
      </c>
      <c r="CO168" s="8" t="str">
        <f>Hidden!$CC44</f>
        <v/>
      </c>
      <c r="CP168">
        <f t="shared" si="241"/>
        <v>0</v>
      </c>
      <c r="CQ168">
        <f t="shared" si="242"/>
        <v>0</v>
      </c>
      <c r="CR168">
        <f t="shared" si="243"/>
        <v>0</v>
      </c>
      <c r="CS168">
        <f t="shared" si="244"/>
        <v>0</v>
      </c>
      <c r="CT168">
        <f t="shared" si="245"/>
        <v>0</v>
      </c>
      <c r="CU168">
        <f t="shared" si="246"/>
        <v>0</v>
      </c>
      <c r="CV168">
        <f t="shared" si="247"/>
        <v>0</v>
      </c>
      <c r="CW168">
        <f t="shared" si="248"/>
        <v>0</v>
      </c>
      <c r="CX168">
        <f t="shared" si="249"/>
        <v>0</v>
      </c>
      <c r="CY168">
        <f t="shared" si="250"/>
        <v>0</v>
      </c>
      <c r="DT168" s="77"/>
      <c r="DU168" s="8" t="str">
        <f t="shared" si="169"/>
        <v>AAAA</v>
      </c>
      <c r="DV168" s="8" t="str">
        <f t="shared" si="170"/>
        <v/>
      </c>
      <c r="DW168" s="8" t="str">
        <f t="shared" si="171"/>
        <v/>
      </c>
      <c r="DX168" s="8">
        <f t="shared" si="431"/>
        <v>0</v>
      </c>
      <c r="DY168" s="8">
        <f t="shared" si="431"/>
        <v>0</v>
      </c>
      <c r="EA168" s="8" t="str">
        <f t="shared" si="173"/>
        <v>AAAA</v>
      </c>
      <c r="EB168" s="8" t="str">
        <f t="shared" si="174"/>
        <v/>
      </c>
      <c r="EC168" s="8" t="str">
        <f t="shared" si="175"/>
        <v/>
      </c>
      <c r="ED168">
        <f t="shared" si="432"/>
        <v>0</v>
      </c>
      <c r="EE168">
        <f t="shared" si="432"/>
        <v>0</v>
      </c>
      <c r="EG168" s="8" t="str">
        <f t="shared" si="177"/>
        <v>AAAA</v>
      </c>
      <c r="EH168" s="8" t="str">
        <f t="shared" si="178"/>
        <v/>
      </c>
      <c r="EI168" s="8" t="str">
        <f t="shared" si="179"/>
        <v/>
      </c>
      <c r="EJ168" s="8">
        <f t="shared" si="433"/>
        <v>0</v>
      </c>
      <c r="EK168" s="8">
        <f t="shared" si="433"/>
        <v>0</v>
      </c>
      <c r="EM168" s="8" t="str">
        <f t="shared" si="181"/>
        <v>AAAA</v>
      </c>
      <c r="EN168" s="8" t="str">
        <f t="shared" si="182"/>
        <v/>
      </c>
      <c r="EO168" s="8" t="str">
        <f t="shared" si="183"/>
        <v/>
      </c>
      <c r="EP168" s="8">
        <f t="shared" si="434"/>
        <v>0</v>
      </c>
      <c r="EQ168" s="8">
        <f t="shared" si="434"/>
        <v>0</v>
      </c>
      <c r="ES168" s="8" t="str">
        <f t="shared" si="185"/>
        <v>AAAA</v>
      </c>
      <c r="ET168" s="8" t="str">
        <f t="shared" si="186"/>
        <v/>
      </c>
      <c r="EU168" s="8" t="str">
        <f t="shared" si="187"/>
        <v/>
      </c>
      <c r="EV168" s="8">
        <f t="shared" si="435"/>
        <v>0</v>
      </c>
      <c r="EW168" s="8">
        <f t="shared" si="435"/>
        <v>0</v>
      </c>
      <c r="EY168" s="8" t="str">
        <f>Hidden!$CG56</f>
        <v/>
      </c>
      <c r="EZ168">
        <f t="shared" si="189"/>
        <v>0</v>
      </c>
      <c r="FA168">
        <f t="shared" si="190"/>
        <v>0</v>
      </c>
      <c r="FB168">
        <f t="shared" si="191"/>
        <v>0</v>
      </c>
      <c r="FC168">
        <f t="shared" si="192"/>
        <v>0</v>
      </c>
      <c r="FD168">
        <f t="shared" si="193"/>
        <v>0</v>
      </c>
      <c r="FE168">
        <f t="shared" si="194"/>
        <v>0</v>
      </c>
      <c r="FF168">
        <f t="shared" si="195"/>
        <v>0</v>
      </c>
      <c r="FG168">
        <f t="shared" si="196"/>
        <v>0</v>
      </c>
      <c r="FH168">
        <f t="shared" si="197"/>
        <v>0</v>
      </c>
      <c r="FI168">
        <f t="shared" si="198"/>
        <v>0</v>
      </c>
    </row>
    <row r="169" spans="1:165" x14ac:dyDescent="0.2">
      <c r="A169" s="8" t="str">
        <f t="shared" ref="A169:C169" si="621">A62</f>
        <v>AAA</v>
      </c>
      <c r="B169" s="8" t="str">
        <f t="shared" si="621"/>
        <v/>
      </c>
      <c r="C169" s="8" t="str">
        <f t="shared" si="621"/>
        <v/>
      </c>
      <c r="D169" s="8">
        <f t="shared" si="536"/>
        <v>0</v>
      </c>
      <c r="E169" s="8">
        <f t="shared" si="536"/>
        <v>0</v>
      </c>
      <c r="F169" s="8"/>
      <c r="G169" s="8" t="str">
        <f t="shared" ref="G169:I169" si="622">G62</f>
        <v>AAA</v>
      </c>
      <c r="H169" s="8" t="str">
        <f t="shared" si="622"/>
        <v/>
      </c>
      <c r="I169" s="8" t="str">
        <f t="shared" si="622"/>
        <v/>
      </c>
      <c r="J169" s="8">
        <f t="shared" si="538"/>
        <v>0</v>
      </c>
      <c r="K169" s="8">
        <f t="shared" si="538"/>
        <v>0</v>
      </c>
      <c r="L169" s="8"/>
      <c r="M169" s="8" t="str">
        <f t="shared" ref="M169:O169" si="623">M62</f>
        <v>AAA</v>
      </c>
      <c r="N169" s="8" t="str">
        <f t="shared" si="623"/>
        <v/>
      </c>
      <c r="O169" s="8" t="str">
        <f t="shared" si="623"/>
        <v/>
      </c>
      <c r="P169" s="8">
        <f t="shared" si="605"/>
        <v>0</v>
      </c>
      <c r="Q169" s="8">
        <f t="shared" si="605"/>
        <v>0</v>
      </c>
      <c r="R169" s="8"/>
      <c r="S169" s="8" t="str">
        <f t="shared" ref="S169:U169" si="624">S62</f>
        <v>AAA</v>
      </c>
      <c r="T169" s="8" t="str">
        <f t="shared" si="624"/>
        <v/>
      </c>
      <c r="U169" s="8" t="str">
        <f t="shared" si="624"/>
        <v/>
      </c>
      <c r="V169">
        <f t="shared" si="541"/>
        <v>0</v>
      </c>
      <c r="W169">
        <f t="shared" si="541"/>
        <v>0</v>
      </c>
      <c r="Y169" s="8" t="str">
        <f t="shared" si="214"/>
        <v>AAA</v>
      </c>
      <c r="Z169" s="8"/>
      <c r="AB169">
        <f t="shared" si="542"/>
        <v>0</v>
      </c>
      <c r="AC169">
        <f t="shared" si="542"/>
        <v>0</v>
      </c>
      <c r="AE169" s="8" t="str">
        <f>Hidden!$CC45</f>
        <v/>
      </c>
      <c r="AF169">
        <f t="shared" si="216"/>
        <v>0</v>
      </c>
      <c r="AG169">
        <f t="shared" si="217"/>
        <v>0</v>
      </c>
      <c r="AH169">
        <f t="shared" si="218"/>
        <v>0</v>
      </c>
      <c r="AI169">
        <f t="shared" si="219"/>
        <v>0</v>
      </c>
      <c r="AJ169">
        <f t="shared" si="220"/>
        <v>0</v>
      </c>
      <c r="AK169">
        <f t="shared" si="221"/>
        <v>0</v>
      </c>
      <c r="AL169">
        <f t="shared" si="222"/>
        <v>0</v>
      </c>
      <c r="AM169">
        <f t="shared" si="223"/>
        <v>0</v>
      </c>
      <c r="AN169">
        <f t="shared" si="224"/>
        <v>0</v>
      </c>
      <c r="AO169">
        <f t="shared" si="225"/>
        <v>0</v>
      </c>
      <c r="BJ169" s="8" t="str">
        <f t="shared" ref="BJ169:BL169" si="625">BJ62</f>
        <v>AAA</v>
      </c>
      <c r="BK169" s="8" t="str">
        <f t="shared" si="625"/>
        <v/>
      </c>
      <c r="BL169" s="8" t="str">
        <f t="shared" si="625"/>
        <v/>
      </c>
      <c r="BM169" s="8">
        <f t="shared" si="227"/>
        <v>0</v>
      </c>
      <c r="BN169" s="8">
        <f t="shared" si="228"/>
        <v>0</v>
      </c>
      <c r="BO169" s="8"/>
      <c r="BP169" s="8" t="str">
        <f t="shared" ref="BP169:BR169" si="626">BP62</f>
        <v>AAA</v>
      </c>
      <c r="BQ169" s="8" t="str">
        <f t="shared" si="626"/>
        <v/>
      </c>
      <c r="BR169" s="8" t="str">
        <f t="shared" si="626"/>
        <v/>
      </c>
      <c r="BS169" s="8">
        <f t="shared" si="230"/>
        <v>0</v>
      </c>
      <c r="BT169" s="8">
        <f t="shared" si="231"/>
        <v>0</v>
      </c>
      <c r="BU169" s="8"/>
      <c r="BV169" s="8" t="str">
        <f t="shared" ref="BV169:BX169" si="627">BV62</f>
        <v>AAA</v>
      </c>
      <c r="BW169" s="8" t="str">
        <f t="shared" si="627"/>
        <v/>
      </c>
      <c r="BX169" s="8" t="str">
        <f t="shared" si="627"/>
        <v/>
      </c>
      <c r="BY169" s="8">
        <f t="shared" si="233"/>
        <v>0</v>
      </c>
      <c r="BZ169" s="8">
        <f t="shared" si="234"/>
        <v>0</v>
      </c>
      <c r="CA169" s="8"/>
      <c r="CB169" s="8" t="str">
        <f t="shared" ref="CB169:CD169" si="628">CB62</f>
        <v>AAA</v>
      </c>
      <c r="CC169" s="8" t="str">
        <f t="shared" si="628"/>
        <v/>
      </c>
      <c r="CD169" s="8" t="str">
        <f t="shared" si="628"/>
        <v/>
      </c>
      <c r="CE169" s="8">
        <f t="shared" si="236"/>
        <v>0</v>
      </c>
      <c r="CF169" s="8">
        <f t="shared" si="237"/>
        <v>0</v>
      </c>
      <c r="CG169" s="8"/>
      <c r="CH169" s="8" t="str">
        <f t="shared" ref="CH169:CJ169" si="629">CH62</f>
        <v>AAA</v>
      </c>
      <c r="CI169" s="8" t="str">
        <f t="shared" si="629"/>
        <v/>
      </c>
      <c r="CJ169" s="8" t="str">
        <f t="shared" si="629"/>
        <v/>
      </c>
      <c r="CK169" s="8">
        <f t="shared" si="239"/>
        <v>0</v>
      </c>
      <c r="CL169" s="8">
        <f t="shared" si="240"/>
        <v>0</v>
      </c>
      <c r="CO169" s="8" t="str">
        <f>Hidden!$CC45</f>
        <v/>
      </c>
      <c r="CP169">
        <f t="shared" si="241"/>
        <v>0</v>
      </c>
      <c r="CQ169">
        <f t="shared" si="242"/>
        <v>0</v>
      </c>
      <c r="CR169">
        <f t="shared" si="243"/>
        <v>0</v>
      </c>
      <c r="CS169">
        <f t="shared" si="244"/>
        <v>0</v>
      </c>
      <c r="CT169">
        <f t="shared" si="245"/>
        <v>0</v>
      </c>
      <c r="CU169">
        <f t="shared" si="246"/>
        <v>0</v>
      </c>
      <c r="CV169">
        <f t="shared" si="247"/>
        <v>0</v>
      </c>
      <c r="CW169">
        <f t="shared" si="248"/>
        <v>0</v>
      </c>
      <c r="CX169">
        <f t="shared" si="249"/>
        <v>0</v>
      </c>
      <c r="CY169">
        <f t="shared" si="250"/>
        <v>0</v>
      </c>
      <c r="DT169" s="77"/>
      <c r="DU169" s="8" t="str">
        <f t="shared" si="169"/>
        <v>AAAAA</v>
      </c>
      <c r="DV169" s="8" t="str">
        <f t="shared" si="170"/>
        <v/>
      </c>
      <c r="DW169" s="8" t="str">
        <f t="shared" si="171"/>
        <v/>
      </c>
      <c r="DX169" s="8">
        <f t="shared" si="431"/>
        <v>0</v>
      </c>
      <c r="DY169" s="8">
        <f t="shared" si="431"/>
        <v>0</v>
      </c>
      <c r="EA169" s="8" t="str">
        <f t="shared" si="173"/>
        <v>AAAAA</v>
      </c>
      <c r="EB169" s="8" t="str">
        <f t="shared" si="174"/>
        <v/>
      </c>
      <c r="EC169" s="8" t="str">
        <f t="shared" si="175"/>
        <v/>
      </c>
      <c r="ED169">
        <f t="shared" si="432"/>
        <v>0</v>
      </c>
      <c r="EE169">
        <f t="shared" si="432"/>
        <v>0</v>
      </c>
      <c r="EG169" s="8" t="str">
        <f t="shared" si="177"/>
        <v>AAAAA</v>
      </c>
      <c r="EH169" s="8" t="str">
        <f t="shared" si="178"/>
        <v/>
      </c>
      <c r="EI169" s="8" t="str">
        <f t="shared" si="179"/>
        <v/>
      </c>
      <c r="EJ169" s="8">
        <f t="shared" si="433"/>
        <v>0</v>
      </c>
      <c r="EK169" s="8">
        <f t="shared" si="433"/>
        <v>0</v>
      </c>
      <c r="EM169" s="8" t="str">
        <f t="shared" si="181"/>
        <v>AAAAA</v>
      </c>
      <c r="EN169" s="8" t="str">
        <f t="shared" si="182"/>
        <v/>
      </c>
      <c r="EO169" s="8" t="str">
        <f t="shared" si="183"/>
        <v/>
      </c>
      <c r="EP169" s="8">
        <f t="shared" si="434"/>
        <v>0</v>
      </c>
      <c r="EQ169" s="8">
        <f t="shared" si="434"/>
        <v>0</v>
      </c>
      <c r="ES169" s="8" t="str">
        <f t="shared" si="185"/>
        <v>AAAAA</v>
      </c>
      <c r="ET169" s="8" t="str">
        <f t="shared" si="186"/>
        <v/>
      </c>
      <c r="EU169" s="8" t="str">
        <f t="shared" si="187"/>
        <v/>
      </c>
      <c r="EV169" s="8">
        <f t="shared" si="435"/>
        <v>0</v>
      </c>
      <c r="EW169" s="8">
        <f t="shared" si="435"/>
        <v>0</v>
      </c>
      <c r="EY169" s="8" t="str">
        <f>Hidden!$CG57</f>
        <v/>
      </c>
      <c r="EZ169">
        <f t="shared" si="189"/>
        <v>0</v>
      </c>
      <c r="FA169">
        <f t="shared" si="190"/>
        <v>0</v>
      </c>
      <c r="FB169">
        <f t="shared" si="191"/>
        <v>0</v>
      </c>
      <c r="FC169">
        <f t="shared" si="192"/>
        <v>0</v>
      </c>
      <c r="FD169">
        <f t="shared" si="193"/>
        <v>0</v>
      </c>
      <c r="FE169">
        <f t="shared" si="194"/>
        <v>0</v>
      </c>
      <c r="FF169">
        <f t="shared" si="195"/>
        <v>0</v>
      </c>
      <c r="FG169">
        <f t="shared" si="196"/>
        <v>0</v>
      </c>
      <c r="FH169">
        <f t="shared" si="197"/>
        <v>0</v>
      </c>
      <c r="FI169">
        <f t="shared" si="198"/>
        <v>0</v>
      </c>
    </row>
    <row r="170" spans="1:165" x14ac:dyDescent="0.2">
      <c r="A170" s="8" t="str">
        <f t="shared" ref="A170:C170" si="630">A63</f>
        <v>AAAA</v>
      </c>
      <c r="B170" s="8" t="str">
        <f t="shared" si="630"/>
        <v/>
      </c>
      <c r="C170" s="8" t="str">
        <f t="shared" si="630"/>
        <v/>
      </c>
      <c r="D170" s="8">
        <f t="shared" si="536"/>
        <v>0</v>
      </c>
      <c r="E170" s="8">
        <f t="shared" si="536"/>
        <v>0</v>
      </c>
      <c r="F170" s="8"/>
      <c r="G170" s="8" t="str">
        <f t="shared" ref="G170:I170" si="631">G63</f>
        <v>AAAA</v>
      </c>
      <c r="H170" s="8" t="str">
        <f t="shared" si="631"/>
        <v/>
      </c>
      <c r="I170" s="8" t="str">
        <f t="shared" si="631"/>
        <v/>
      </c>
      <c r="J170" s="8">
        <f t="shared" si="538"/>
        <v>0</v>
      </c>
      <c r="K170" s="8">
        <f t="shared" si="538"/>
        <v>0</v>
      </c>
      <c r="L170" s="8"/>
      <c r="M170" s="8" t="str">
        <f t="shared" ref="M170:O170" si="632">M63</f>
        <v>AAAA</v>
      </c>
      <c r="N170" s="8" t="str">
        <f t="shared" si="632"/>
        <v/>
      </c>
      <c r="O170" s="8" t="str">
        <f t="shared" si="632"/>
        <v/>
      </c>
      <c r="P170" s="8">
        <f t="shared" si="605"/>
        <v>0</v>
      </c>
      <c r="Q170" s="8">
        <f t="shared" si="605"/>
        <v>0</v>
      </c>
      <c r="R170" s="8"/>
      <c r="S170" s="8" t="str">
        <f t="shared" ref="S170:U170" si="633">S63</f>
        <v>AAAA</v>
      </c>
      <c r="T170" s="8" t="str">
        <f t="shared" si="633"/>
        <v/>
      </c>
      <c r="U170" s="8" t="str">
        <f t="shared" si="633"/>
        <v/>
      </c>
      <c r="V170">
        <f t="shared" si="541"/>
        <v>0</v>
      </c>
      <c r="W170">
        <f t="shared" si="541"/>
        <v>0</v>
      </c>
      <c r="Y170" s="8" t="str">
        <f t="shared" si="214"/>
        <v>AAAA</v>
      </c>
      <c r="Z170" s="8"/>
      <c r="AB170">
        <f t="shared" si="542"/>
        <v>0</v>
      </c>
      <c r="AC170">
        <f t="shared" si="542"/>
        <v>0</v>
      </c>
      <c r="AE170" s="8" t="str">
        <f>Hidden!$CC46</f>
        <v/>
      </c>
      <c r="AF170">
        <f t="shared" si="216"/>
        <v>0</v>
      </c>
      <c r="AG170">
        <f t="shared" si="217"/>
        <v>0</v>
      </c>
      <c r="AH170">
        <f t="shared" si="218"/>
        <v>0</v>
      </c>
      <c r="AI170">
        <f t="shared" si="219"/>
        <v>0</v>
      </c>
      <c r="AJ170">
        <f t="shared" si="220"/>
        <v>0</v>
      </c>
      <c r="AK170">
        <f t="shared" si="221"/>
        <v>0</v>
      </c>
      <c r="AL170">
        <f t="shared" si="222"/>
        <v>0</v>
      </c>
      <c r="AM170">
        <f t="shared" si="223"/>
        <v>0</v>
      </c>
      <c r="AN170">
        <f t="shared" si="224"/>
        <v>0</v>
      </c>
      <c r="AO170">
        <f t="shared" si="225"/>
        <v>0</v>
      </c>
      <c r="BJ170" s="8" t="str">
        <f t="shared" ref="BJ170:BL170" si="634">BJ63</f>
        <v>AAAA</v>
      </c>
      <c r="BK170" s="8" t="str">
        <f t="shared" si="634"/>
        <v/>
      </c>
      <c r="BL170" s="8" t="str">
        <f t="shared" si="634"/>
        <v/>
      </c>
      <c r="BM170" s="8">
        <f t="shared" si="227"/>
        <v>0</v>
      </c>
      <c r="BN170" s="8">
        <f t="shared" si="228"/>
        <v>0</v>
      </c>
      <c r="BO170" s="8"/>
      <c r="BP170" s="8" t="str">
        <f t="shared" ref="BP170:BR170" si="635">BP63</f>
        <v>AAAA</v>
      </c>
      <c r="BQ170" s="8" t="str">
        <f t="shared" si="635"/>
        <v/>
      </c>
      <c r="BR170" s="8" t="str">
        <f t="shared" si="635"/>
        <v/>
      </c>
      <c r="BS170" s="8">
        <f t="shared" si="230"/>
        <v>0</v>
      </c>
      <c r="BT170" s="8">
        <f t="shared" si="231"/>
        <v>0</v>
      </c>
      <c r="BU170" s="8"/>
      <c r="BV170" s="8" t="str">
        <f t="shared" ref="BV170:BX170" si="636">BV63</f>
        <v>AAAA</v>
      </c>
      <c r="BW170" s="8" t="str">
        <f t="shared" si="636"/>
        <v/>
      </c>
      <c r="BX170" s="8" t="str">
        <f t="shared" si="636"/>
        <v/>
      </c>
      <c r="BY170" s="8">
        <f t="shared" si="233"/>
        <v>0</v>
      </c>
      <c r="BZ170" s="8">
        <f t="shared" si="234"/>
        <v>0</v>
      </c>
      <c r="CA170" s="8"/>
      <c r="CB170" s="8" t="str">
        <f t="shared" ref="CB170:CD170" si="637">CB63</f>
        <v>AAAA</v>
      </c>
      <c r="CC170" s="8" t="str">
        <f t="shared" si="637"/>
        <v/>
      </c>
      <c r="CD170" s="8" t="str">
        <f t="shared" si="637"/>
        <v/>
      </c>
      <c r="CE170" s="8">
        <f t="shared" si="236"/>
        <v>0</v>
      </c>
      <c r="CF170" s="8">
        <f t="shared" si="237"/>
        <v>0</v>
      </c>
      <c r="CG170" s="8"/>
      <c r="CH170" s="8" t="str">
        <f t="shared" ref="CH170:CJ170" si="638">CH63</f>
        <v>AAAA</v>
      </c>
      <c r="CI170" s="8" t="str">
        <f t="shared" si="638"/>
        <v/>
      </c>
      <c r="CJ170" s="8" t="str">
        <f t="shared" si="638"/>
        <v/>
      </c>
      <c r="CK170" s="8">
        <f t="shared" si="239"/>
        <v>0</v>
      </c>
      <c r="CL170" s="8">
        <f t="shared" si="240"/>
        <v>0</v>
      </c>
      <c r="CO170" s="8" t="str">
        <f>Hidden!$CC46</f>
        <v/>
      </c>
      <c r="CP170">
        <f t="shared" si="241"/>
        <v>0</v>
      </c>
      <c r="CQ170">
        <f t="shared" si="242"/>
        <v>0</v>
      </c>
      <c r="CR170">
        <f t="shared" si="243"/>
        <v>0</v>
      </c>
      <c r="CS170">
        <f t="shared" si="244"/>
        <v>0</v>
      </c>
      <c r="CT170">
        <f t="shared" si="245"/>
        <v>0</v>
      </c>
      <c r="CU170">
        <f t="shared" si="246"/>
        <v>0</v>
      </c>
      <c r="CV170">
        <f t="shared" si="247"/>
        <v>0</v>
      </c>
      <c r="CW170">
        <f t="shared" si="248"/>
        <v>0</v>
      </c>
      <c r="CX170">
        <f t="shared" si="249"/>
        <v>0</v>
      </c>
      <c r="CY170">
        <f t="shared" si="250"/>
        <v>0</v>
      </c>
      <c r="DT170" s="77"/>
      <c r="DU170" s="8" t="str">
        <f t="shared" si="169"/>
        <v>AAAAAA</v>
      </c>
      <c r="DV170" s="8" t="str">
        <f t="shared" si="170"/>
        <v/>
      </c>
      <c r="DW170" s="8" t="str">
        <f t="shared" si="171"/>
        <v/>
      </c>
      <c r="DX170" s="8">
        <f t="shared" si="431"/>
        <v>0</v>
      </c>
      <c r="DY170" s="8">
        <f t="shared" si="431"/>
        <v>0</v>
      </c>
      <c r="EA170" s="8" t="str">
        <f t="shared" si="173"/>
        <v>AAAAAA</v>
      </c>
      <c r="EB170" s="8" t="str">
        <f t="shared" si="174"/>
        <v/>
      </c>
      <c r="EC170" s="8" t="str">
        <f t="shared" si="175"/>
        <v/>
      </c>
      <c r="ED170">
        <f t="shared" si="432"/>
        <v>0</v>
      </c>
      <c r="EE170">
        <f t="shared" si="432"/>
        <v>0</v>
      </c>
      <c r="EG170" s="8" t="str">
        <f t="shared" si="177"/>
        <v>AAAAAA</v>
      </c>
      <c r="EH170" s="8" t="str">
        <f t="shared" si="178"/>
        <v/>
      </c>
      <c r="EI170" s="8" t="str">
        <f t="shared" si="179"/>
        <v/>
      </c>
      <c r="EJ170" s="8">
        <f t="shared" si="433"/>
        <v>0</v>
      </c>
      <c r="EK170" s="8">
        <f t="shared" si="433"/>
        <v>0</v>
      </c>
      <c r="EM170" s="8" t="str">
        <f t="shared" si="181"/>
        <v>AAAAAA</v>
      </c>
      <c r="EN170" s="8" t="str">
        <f t="shared" si="182"/>
        <v/>
      </c>
      <c r="EO170" s="8" t="str">
        <f t="shared" si="183"/>
        <v/>
      </c>
      <c r="EP170" s="8">
        <f t="shared" si="434"/>
        <v>0</v>
      </c>
      <c r="EQ170" s="8">
        <f t="shared" si="434"/>
        <v>0</v>
      </c>
      <c r="ES170" s="8" t="str">
        <f t="shared" si="185"/>
        <v>AAAAAA</v>
      </c>
      <c r="ET170" s="8" t="str">
        <f t="shared" si="186"/>
        <v/>
      </c>
      <c r="EU170" s="8" t="str">
        <f t="shared" si="187"/>
        <v/>
      </c>
      <c r="EV170" s="8">
        <f t="shared" si="435"/>
        <v>0</v>
      </c>
      <c r="EW170" s="8">
        <f t="shared" si="435"/>
        <v>0</v>
      </c>
      <c r="EY170" s="8" t="str">
        <f>Hidden!$CG58</f>
        <v/>
      </c>
      <c r="EZ170">
        <f t="shared" si="189"/>
        <v>0</v>
      </c>
      <c r="FA170">
        <f t="shared" si="190"/>
        <v>0</v>
      </c>
      <c r="FB170">
        <f t="shared" si="191"/>
        <v>0</v>
      </c>
      <c r="FC170">
        <f t="shared" si="192"/>
        <v>0</v>
      </c>
      <c r="FD170">
        <f t="shared" si="193"/>
        <v>0</v>
      </c>
      <c r="FE170">
        <f t="shared" si="194"/>
        <v>0</v>
      </c>
      <c r="FF170">
        <f t="shared" si="195"/>
        <v>0</v>
      </c>
      <c r="FG170">
        <f t="shared" si="196"/>
        <v>0</v>
      </c>
      <c r="FH170">
        <f t="shared" si="197"/>
        <v>0</v>
      </c>
      <c r="FI170">
        <f t="shared" si="198"/>
        <v>0</v>
      </c>
    </row>
    <row r="171" spans="1:165" x14ac:dyDescent="0.2">
      <c r="A171" s="8" t="str">
        <f t="shared" ref="A171:C171" si="639">A64</f>
        <v>AAAAA</v>
      </c>
      <c r="B171" s="8" t="str">
        <f t="shared" si="639"/>
        <v/>
      </c>
      <c r="C171" s="8" t="str">
        <f t="shared" si="639"/>
        <v/>
      </c>
      <c r="D171" s="8">
        <f t="shared" si="536"/>
        <v>0</v>
      </c>
      <c r="E171" s="8">
        <f t="shared" si="536"/>
        <v>0</v>
      </c>
      <c r="F171" s="8"/>
      <c r="G171" s="8" t="str">
        <f t="shared" ref="G171:I171" si="640">G64</f>
        <v>AAAAA</v>
      </c>
      <c r="H171" s="8" t="str">
        <f t="shared" si="640"/>
        <v/>
      </c>
      <c r="I171" s="8" t="str">
        <f t="shared" si="640"/>
        <v/>
      </c>
      <c r="J171" s="8">
        <f t="shared" si="538"/>
        <v>0</v>
      </c>
      <c r="K171" s="8">
        <f t="shared" si="538"/>
        <v>0</v>
      </c>
      <c r="L171" s="8"/>
      <c r="M171" s="8" t="str">
        <f t="shared" ref="M171:O171" si="641">M64</f>
        <v>AAAAA</v>
      </c>
      <c r="N171" s="8" t="str">
        <f t="shared" si="641"/>
        <v/>
      </c>
      <c r="O171" s="8" t="str">
        <f t="shared" si="641"/>
        <v/>
      </c>
      <c r="P171" s="8">
        <f t="shared" si="605"/>
        <v>0</v>
      </c>
      <c r="Q171" s="8">
        <f t="shared" si="605"/>
        <v>0</v>
      </c>
      <c r="R171" s="8"/>
      <c r="S171" s="8" t="str">
        <f t="shared" ref="S171:U171" si="642">S64</f>
        <v>AAAAA</v>
      </c>
      <c r="T171" s="8" t="str">
        <f t="shared" si="642"/>
        <v/>
      </c>
      <c r="U171" s="8" t="str">
        <f t="shared" si="642"/>
        <v/>
      </c>
      <c r="V171">
        <f t="shared" si="541"/>
        <v>0</v>
      </c>
      <c r="W171">
        <f t="shared" si="541"/>
        <v>0</v>
      </c>
      <c r="Y171" s="8" t="str">
        <f t="shared" si="214"/>
        <v>AAAAA</v>
      </c>
      <c r="Z171" s="8"/>
      <c r="AB171">
        <f t="shared" si="542"/>
        <v>0</v>
      </c>
      <c r="AC171">
        <f t="shared" si="542"/>
        <v>0</v>
      </c>
      <c r="AE171" s="8" t="str">
        <f>Hidden!$CC47</f>
        <v/>
      </c>
      <c r="AF171">
        <f t="shared" si="216"/>
        <v>0</v>
      </c>
      <c r="AG171">
        <f t="shared" si="217"/>
        <v>0</v>
      </c>
      <c r="AH171">
        <f t="shared" si="218"/>
        <v>0</v>
      </c>
      <c r="AI171">
        <f t="shared" si="219"/>
        <v>0</v>
      </c>
      <c r="AJ171">
        <f t="shared" si="220"/>
        <v>0</v>
      </c>
      <c r="AK171">
        <f t="shared" si="221"/>
        <v>0</v>
      </c>
      <c r="AL171">
        <f t="shared" si="222"/>
        <v>0</v>
      </c>
      <c r="AM171">
        <f t="shared" si="223"/>
        <v>0</v>
      </c>
      <c r="AN171">
        <f t="shared" si="224"/>
        <v>0</v>
      </c>
      <c r="AO171">
        <f t="shared" si="225"/>
        <v>0</v>
      </c>
      <c r="BJ171" s="8" t="str">
        <f t="shared" ref="BJ171:BL171" si="643">BJ64</f>
        <v>AAAAA</v>
      </c>
      <c r="BK171" s="8" t="str">
        <f t="shared" si="643"/>
        <v/>
      </c>
      <c r="BL171" s="8" t="str">
        <f t="shared" si="643"/>
        <v/>
      </c>
      <c r="BM171" s="8">
        <f t="shared" si="227"/>
        <v>0</v>
      </c>
      <c r="BN171" s="8">
        <f t="shared" si="228"/>
        <v>0</v>
      </c>
      <c r="BO171" s="8"/>
      <c r="BP171" s="8" t="str">
        <f t="shared" ref="BP171:BR171" si="644">BP64</f>
        <v>AAAAA</v>
      </c>
      <c r="BQ171" s="8" t="str">
        <f t="shared" si="644"/>
        <v/>
      </c>
      <c r="BR171" s="8" t="str">
        <f t="shared" si="644"/>
        <v/>
      </c>
      <c r="BS171" s="8">
        <f t="shared" si="230"/>
        <v>0</v>
      </c>
      <c r="BT171" s="8">
        <f t="shared" si="231"/>
        <v>0</v>
      </c>
      <c r="BU171" s="8"/>
      <c r="BV171" s="8" t="str">
        <f t="shared" ref="BV171:BX171" si="645">BV64</f>
        <v>AAAAA</v>
      </c>
      <c r="BW171" s="8" t="str">
        <f t="shared" si="645"/>
        <v/>
      </c>
      <c r="BX171" s="8" t="str">
        <f t="shared" si="645"/>
        <v/>
      </c>
      <c r="BY171" s="8">
        <f t="shared" si="233"/>
        <v>0</v>
      </c>
      <c r="BZ171" s="8">
        <f t="shared" si="234"/>
        <v>0</v>
      </c>
      <c r="CA171" s="8"/>
      <c r="CB171" s="8" t="str">
        <f t="shared" ref="CB171:CD171" si="646">CB64</f>
        <v>AAAAA</v>
      </c>
      <c r="CC171" s="8" t="str">
        <f t="shared" si="646"/>
        <v/>
      </c>
      <c r="CD171" s="8" t="str">
        <f t="shared" si="646"/>
        <v/>
      </c>
      <c r="CE171" s="8">
        <f t="shared" si="236"/>
        <v>0</v>
      </c>
      <c r="CF171" s="8">
        <f t="shared" si="237"/>
        <v>0</v>
      </c>
      <c r="CG171" s="8"/>
      <c r="CH171" s="8" t="str">
        <f t="shared" ref="CH171:CJ171" si="647">CH64</f>
        <v>AAAAA</v>
      </c>
      <c r="CI171" s="8" t="str">
        <f t="shared" si="647"/>
        <v/>
      </c>
      <c r="CJ171" s="8" t="str">
        <f t="shared" si="647"/>
        <v/>
      </c>
      <c r="CK171" s="8">
        <f t="shared" si="239"/>
        <v>0</v>
      </c>
      <c r="CL171" s="8">
        <f t="shared" si="240"/>
        <v>0</v>
      </c>
      <c r="CO171" s="8" t="str">
        <f>Hidden!$CC47</f>
        <v/>
      </c>
      <c r="CP171">
        <f t="shared" si="241"/>
        <v>0</v>
      </c>
      <c r="CQ171">
        <f t="shared" si="242"/>
        <v>0</v>
      </c>
      <c r="CR171">
        <f t="shared" si="243"/>
        <v>0</v>
      </c>
      <c r="CS171">
        <f t="shared" si="244"/>
        <v>0</v>
      </c>
      <c r="CT171">
        <f t="shared" si="245"/>
        <v>0</v>
      </c>
      <c r="CU171">
        <f t="shared" si="246"/>
        <v>0</v>
      </c>
      <c r="CV171">
        <f t="shared" si="247"/>
        <v>0</v>
      </c>
      <c r="CW171">
        <f t="shared" si="248"/>
        <v>0</v>
      </c>
      <c r="CX171">
        <f t="shared" si="249"/>
        <v>0</v>
      </c>
      <c r="CY171">
        <f t="shared" si="250"/>
        <v>0</v>
      </c>
      <c r="DT171" s="77"/>
      <c r="DU171" s="8" t="str">
        <f t="shared" si="169"/>
        <v>AAAAAAA</v>
      </c>
      <c r="DV171" s="8" t="str">
        <f t="shared" si="170"/>
        <v/>
      </c>
      <c r="DW171" s="8" t="str">
        <f t="shared" si="171"/>
        <v/>
      </c>
      <c r="DX171" s="8">
        <f t="shared" si="431"/>
        <v>0</v>
      </c>
      <c r="DY171" s="8">
        <f t="shared" si="431"/>
        <v>0</v>
      </c>
      <c r="EA171" s="8" t="str">
        <f t="shared" si="173"/>
        <v>AAAAAAA</v>
      </c>
      <c r="EB171" s="8" t="str">
        <f t="shared" si="174"/>
        <v/>
      </c>
      <c r="EC171" s="8" t="str">
        <f t="shared" si="175"/>
        <v/>
      </c>
      <c r="ED171">
        <f t="shared" si="432"/>
        <v>0</v>
      </c>
      <c r="EE171">
        <f t="shared" si="432"/>
        <v>0</v>
      </c>
      <c r="EG171" s="8" t="str">
        <f t="shared" si="177"/>
        <v>AAAAAAA</v>
      </c>
      <c r="EH171" s="8" t="str">
        <f t="shared" si="178"/>
        <v/>
      </c>
      <c r="EI171" s="8" t="str">
        <f t="shared" si="179"/>
        <v/>
      </c>
      <c r="EJ171" s="8">
        <f t="shared" si="433"/>
        <v>0</v>
      </c>
      <c r="EK171" s="8">
        <f t="shared" si="433"/>
        <v>0</v>
      </c>
      <c r="EM171" s="8" t="str">
        <f t="shared" si="181"/>
        <v>AAAAAAA</v>
      </c>
      <c r="EN171" s="8" t="str">
        <f t="shared" si="182"/>
        <v/>
      </c>
      <c r="EO171" s="8" t="str">
        <f t="shared" si="183"/>
        <v/>
      </c>
      <c r="EP171" s="8">
        <f t="shared" si="434"/>
        <v>0</v>
      </c>
      <c r="EQ171" s="8">
        <f t="shared" si="434"/>
        <v>0</v>
      </c>
      <c r="ES171" s="8" t="str">
        <f t="shared" si="185"/>
        <v>AAAAAAA</v>
      </c>
      <c r="ET171" s="8" t="str">
        <f t="shared" si="186"/>
        <v/>
      </c>
      <c r="EU171" s="8" t="str">
        <f t="shared" si="187"/>
        <v/>
      </c>
      <c r="EV171" s="8">
        <f t="shared" si="435"/>
        <v>0</v>
      </c>
      <c r="EW171" s="8">
        <f t="shared" si="435"/>
        <v>0</v>
      </c>
      <c r="EY171" s="8" t="str">
        <f>Hidden!$CG59</f>
        <v/>
      </c>
      <c r="EZ171">
        <f t="shared" si="189"/>
        <v>0</v>
      </c>
      <c r="FA171">
        <f t="shared" si="190"/>
        <v>0</v>
      </c>
      <c r="FB171">
        <f t="shared" si="191"/>
        <v>0</v>
      </c>
      <c r="FC171">
        <f t="shared" si="192"/>
        <v>0</v>
      </c>
      <c r="FD171">
        <f t="shared" si="193"/>
        <v>0</v>
      </c>
      <c r="FE171">
        <f t="shared" si="194"/>
        <v>0</v>
      </c>
      <c r="FF171">
        <f t="shared" si="195"/>
        <v>0</v>
      </c>
      <c r="FG171">
        <f t="shared" si="196"/>
        <v>0</v>
      </c>
      <c r="FH171">
        <f t="shared" si="197"/>
        <v>0</v>
      </c>
      <c r="FI171">
        <f t="shared" si="198"/>
        <v>0</v>
      </c>
    </row>
    <row r="172" spans="1:165" x14ac:dyDescent="0.2">
      <c r="A172" s="8" t="str">
        <f t="shared" ref="A172:C172" si="648">A65</f>
        <v>AAAAAA</v>
      </c>
      <c r="B172" s="8" t="str">
        <f t="shared" si="648"/>
        <v/>
      </c>
      <c r="C172" s="8" t="str">
        <f t="shared" si="648"/>
        <v/>
      </c>
      <c r="D172" s="8">
        <f t="shared" si="536"/>
        <v>0</v>
      </c>
      <c r="E172" s="8">
        <f t="shared" si="536"/>
        <v>0</v>
      </c>
      <c r="F172" s="8"/>
      <c r="G172" s="8" t="str">
        <f t="shared" ref="G172:I172" si="649">G65</f>
        <v>AAAAAA</v>
      </c>
      <c r="H172" s="8" t="str">
        <f t="shared" si="649"/>
        <v/>
      </c>
      <c r="I172" s="8" t="str">
        <f t="shared" si="649"/>
        <v/>
      </c>
      <c r="J172" s="8">
        <f t="shared" si="538"/>
        <v>0</v>
      </c>
      <c r="K172" s="8">
        <f t="shared" si="538"/>
        <v>0</v>
      </c>
      <c r="L172" s="8"/>
      <c r="M172" s="8" t="str">
        <f t="shared" ref="M172:O172" si="650">M65</f>
        <v>AAAAAA</v>
      </c>
      <c r="N172" s="8" t="str">
        <f t="shared" si="650"/>
        <v/>
      </c>
      <c r="O172" s="8" t="str">
        <f t="shared" si="650"/>
        <v/>
      </c>
      <c r="P172" s="8">
        <f t="shared" si="605"/>
        <v>0</v>
      </c>
      <c r="Q172" s="8">
        <f t="shared" si="605"/>
        <v>0</v>
      </c>
      <c r="R172" s="8"/>
      <c r="S172" s="8" t="str">
        <f t="shared" ref="S172:U172" si="651">S65</f>
        <v>AAAAAA</v>
      </c>
      <c r="T172" s="8" t="str">
        <f t="shared" si="651"/>
        <v/>
      </c>
      <c r="U172" s="8" t="str">
        <f t="shared" si="651"/>
        <v/>
      </c>
      <c r="V172">
        <f t="shared" si="541"/>
        <v>0</v>
      </c>
      <c r="W172">
        <f t="shared" si="541"/>
        <v>0</v>
      </c>
      <c r="Y172" s="8" t="str">
        <f t="shared" si="214"/>
        <v>AAAAAA</v>
      </c>
      <c r="Z172" s="8"/>
      <c r="AB172">
        <f t="shared" si="542"/>
        <v>0</v>
      </c>
      <c r="AC172">
        <f t="shared" si="542"/>
        <v>0</v>
      </c>
      <c r="AE172" s="8" t="str">
        <f>Hidden!$CC48</f>
        <v/>
      </c>
      <c r="AF172">
        <f t="shared" si="216"/>
        <v>0</v>
      </c>
      <c r="AG172">
        <f t="shared" si="217"/>
        <v>0</v>
      </c>
      <c r="AH172">
        <f t="shared" si="218"/>
        <v>0</v>
      </c>
      <c r="AI172">
        <f t="shared" si="219"/>
        <v>0</v>
      </c>
      <c r="AJ172">
        <f t="shared" si="220"/>
        <v>0</v>
      </c>
      <c r="AK172">
        <f t="shared" si="221"/>
        <v>0</v>
      </c>
      <c r="AL172">
        <f t="shared" si="222"/>
        <v>0</v>
      </c>
      <c r="AM172">
        <f t="shared" si="223"/>
        <v>0</v>
      </c>
      <c r="AN172">
        <f t="shared" si="224"/>
        <v>0</v>
      </c>
      <c r="AO172">
        <f t="shared" si="225"/>
        <v>0</v>
      </c>
      <c r="BJ172" s="8" t="str">
        <f t="shared" ref="BJ172:BL172" si="652">BJ65</f>
        <v>AAAAAA</v>
      </c>
      <c r="BK172" s="8" t="str">
        <f t="shared" si="652"/>
        <v/>
      </c>
      <c r="BL172" s="8" t="str">
        <f t="shared" si="652"/>
        <v/>
      </c>
      <c r="BM172" s="8">
        <f t="shared" si="227"/>
        <v>0</v>
      </c>
      <c r="BN172" s="8">
        <f t="shared" si="228"/>
        <v>0</v>
      </c>
      <c r="BO172" s="8"/>
      <c r="BP172" s="8" t="str">
        <f t="shared" ref="BP172:BR172" si="653">BP65</f>
        <v>AAAAAA</v>
      </c>
      <c r="BQ172" s="8" t="str">
        <f t="shared" si="653"/>
        <v/>
      </c>
      <c r="BR172" s="8" t="str">
        <f t="shared" si="653"/>
        <v/>
      </c>
      <c r="BS172" s="8">
        <f t="shared" si="230"/>
        <v>0</v>
      </c>
      <c r="BT172" s="8">
        <f t="shared" si="231"/>
        <v>0</v>
      </c>
      <c r="BU172" s="8"/>
      <c r="BV172" s="8" t="str">
        <f t="shared" ref="BV172:BX172" si="654">BV65</f>
        <v>AAAAAA</v>
      </c>
      <c r="BW172" s="8" t="str">
        <f t="shared" si="654"/>
        <v/>
      </c>
      <c r="BX172" s="8" t="str">
        <f t="shared" si="654"/>
        <v/>
      </c>
      <c r="BY172" s="8">
        <f t="shared" si="233"/>
        <v>0</v>
      </c>
      <c r="BZ172" s="8">
        <f t="shared" si="234"/>
        <v>0</v>
      </c>
      <c r="CA172" s="8"/>
      <c r="CB172" s="8" t="str">
        <f t="shared" ref="CB172:CD172" si="655">CB65</f>
        <v>AAAAAA</v>
      </c>
      <c r="CC172" s="8" t="str">
        <f t="shared" si="655"/>
        <v/>
      </c>
      <c r="CD172" s="8" t="str">
        <f t="shared" si="655"/>
        <v/>
      </c>
      <c r="CE172" s="8">
        <f t="shared" si="236"/>
        <v>0</v>
      </c>
      <c r="CF172" s="8">
        <f t="shared" si="237"/>
        <v>0</v>
      </c>
      <c r="CG172" s="8"/>
      <c r="CH172" s="8" t="str">
        <f t="shared" ref="CH172:CJ172" si="656">CH65</f>
        <v>AAAAAA</v>
      </c>
      <c r="CI172" s="8" t="str">
        <f t="shared" si="656"/>
        <v/>
      </c>
      <c r="CJ172" s="8" t="str">
        <f t="shared" si="656"/>
        <v/>
      </c>
      <c r="CK172" s="8">
        <f t="shared" si="239"/>
        <v>0</v>
      </c>
      <c r="CL172" s="8">
        <f t="shared" si="240"/>
        <v>0</v>
      </c>
      <c r="CO172" s="8" t="str">
        <f>Hidden!$CC48</f>
        <v/>
      </c>
      <c r="CP172">
        <f t="shared" si="241"/>
        <v>0</v>
      </c>
      <c r="CQ172">
        <f t="shared" si="242"/>
        <v>0</v>
      </c>
      <c r="CR172">
        <f t="shared" si="243"/>
        <v>0</v>
      </c>
      <c r="CS172">
        <f t="shared" si="244"/>
        <v>0</v>
      </c>
      <c r="CT172">
        <f t="shared" si="245"/>
        <v>0</v>
      </c>
      <c r="CU172">
        <f t="shared" si="246"/>
        <v>0</v>
      </c>
      <c r="CV172">
        <f t="shared" si="247"/>
        <v>0</v>
      </c>
      <c r="CW172">
        <f t="shared" si="248"/>
        <v>0</v>
      </c>
      <c r="CX172">
        <f t="shared" si="249"/>
        <v>0</v>
      </c>
      <c r="CY172">
        <f t="shared" si="250"/>
        <v>0</v>
      </c>
      <c r="DT172" s="77"/>
      <c r="DU172" s="8" t="str">
        <f t="shared" si="169"/>
        <v>AAAAAAAA</v>
      </c>
      <c r="DV172" s="8" t="str">
        <f t="shared" si="170"/>
        <v/>
      </c>
      <c r="DW172" s="8" t="str">
        <f t="shared" si="171"/>
        <v/>
      </c>
      <c r="DX172" s="8">
        <f t="shared" si="431"/>
        <v>0</v>
      </c>
      <c r="DY172" s="8">
        <f t="shared" si="431"/>
        <v>0</v>
      </c>
      <c r="EA172" s="8" t="str">
        <f t="shared" si="173"/>
        <v>AAAAAAAA</v>
      </c>
      <c r="EB172" s="8" t="str">
        <f t="shared" si="174"/>
        <v/>
      </c>
      <c r="EC172" s="8" t="str">
        <f t="shared" si="175"/>
        <v/>
      </c>
      <c r="ED172">
        <f t="shared" si="432"/>
        <v>0</v>
      </c>
      <c r="EE172">
        <f t="shared" si="432"/>
        <v>0</v>
      </c>
      <c r="EG172" s="8" t="str">
        <f t="shared" si="177"/>
        <v>AAAAAAAA</v>
      </c>
      <c r="EH172" s="8" t="str">
        <f t="shared" si="178"/>
        <v/>
      </c>
      <c r="EI172" s="8" t="str">
        <f t="shared" si="179"/>
        <v/>
      </c>
      <c r="EJ172" s="8">
        <f t="shared" si="433"/>
        <v>0</v>
      </c>
      <c r="EK172" s="8">
        <f t="shared" si="433"/>
        <v>0</v>
      </c>
      <c r="EM172" s="8" t="str">
        <f t="shared" si="181"/>
        <v>AAAAAAAA</v>
      </c>
      <c r="EN172" s="8" t="str">
        <f t="shared" si="182"/>
        <v/>
      </c>
      <c r="EO172" s="8" t="str">
        <f t="shared" si="183"/>
        <v/>
      </c>
      <c r="EP172" s="8">
        <f t="shared" si="434"/>
        <v>0</v>
      </c>
      <c r="EQ172" s="8">
        <f t="shared" si="434"/>
        <v>0</v>
      </c>
      <c r="ES172" s="8" t="str">
        <f t="shared" si="185"/>
        <v>AAAAAAAA</v>
      </c>
      <c r="ET172" s="8" t="str">
        <f t="shared" si="186"/>
        <v/>
      </c>
      <c r="EU172" s="8" t="str">
        <f t="shared" si="187"/>
        <v/>
      </c>
      <c r="EV172" s="8">
        <f t="shared" si="435"/>
        <v>0</v>
      </c>
      <c r="EW172" s="8">
        <f t="shared" si="435"/>
        <v>0</v>
      </c>
      <c r="EY172" s="8" t="str">
        <f>Hidden!$CG60</f>
        <v/>
      </c>
      <c r="EZ172">
        <f t="shared" si="189"/>
        <v>0</v>
      </c>
      <c r="FA172">
        <f t="shared" si="190"/>
        <v>0</v>
      </c>
      <c r="FB172">
        <f t="shared" si="191"/>
        <v>0</v>
      </c>
      <c r="FC172">
        <f t="shared" si="192"/>
        <v>0</v>
      </c>
      <c r="FD172">
        <f t="shared" si="193"/>
        <v>0</v>
      </c>
      <c r="FE172">
        <f t="shared" si="194"/>
        <v>0</v>
      </c>
      <c r="FF172">
        <f t="shared" si="195"/>
        <v>0</v>
      </c>
      <c r="FG172">
        <f t="shared" si="196"/>
        <v>0</v>
      </c>
      <c r="FH172">
        <f t="shared" si="197"/>
        <v>0</v>
      </c>
      <c r="FI172">
        <f t="shared" si="198"/>
        <v>0</v>
      </c>
    </row>
    <row r="173" spans="1:165" x14ac:dyDescent="0.2">
      <c r="A173" s="8" t="str">
        <f t="shared" ref="A173:C173" si="657">A66</f>
        <v>AAAAAAA</v>
      </c>
      <c r="B173" s="8" t="str">
        <f t="shared" si="657"/>
        <v/>
      </c>
      <c r="C173" s="8" t="str">
        <f t="shared" si="657"/>
        <v/>
      </c>
      <c r="D173" s="8">
        <f t="shared" si="536"/>
        <v>0</v>
      </c>
      <c r="E173" s="8">
        <f t="shared" si="536"/>
        <v>0</v>
      </c>
      <c r="F173" s="8"/>
      <c r="G173" s="8" t="str">
        <f t="shared" ref="G173:I173" si="658">G66</f>
        <v>AAAAAAA</v>
      </c>
      <c r="H173" s="8" t="str">
        <f t="shared" si="658"/>
        <v/>
      </c>
      <c r="I173" s="8" t="str">
        <f t="shared" si="658"/>
        <v/>
      </c>
      <c r="J173" s="8">
        <f t="shared" si="538"/>
        <v>0</v>
      </c>
      <c r="K173" s="8">
        <f t="shared" si="538"/>
        <v>0</v>
      </c>
      <c r="L173" s="8"/>
      <c r="M173" s="8" t="str">
        <f t="shared" ref="M173:O173" si="659">M66</f>
        <v>AAAAAAA</v>
      </c>
      <c r="N173" s="8" t="str">
        <f t="shared" si="659"/>
        <v/>
      </c>
      <c r="O173" s="8" t="str">
        <f t="shared" si="659"/>
        <v/>
      </c>
      <c r="P173" s="8">
        <f t="shared" si="605"/>
        <v>0</v>
      </c>
      <c r="Q173" s="8">
        <f t="shared" si="605"/>
        <v>0</v>
      </c>
      <c r="R173" s="8"/>
      <c r="S173" s="8" t="str">
        <f t="shared" ref="S173:U173" si="660">S66</f>
        <v>AAAAAAA</v>
      </c>
      <c r="T173" s="8" t="str">
        <f t="shared" si="660"/>
        <v/>
      </c>
      <c r="U173" s="8" t="str">
        <f t="shared" si="660"/>
        <v/>
      </c>
      <c r="V173">
        <f t="shared" si="541"/>
        <v>0</v>
      </c>
      <c r="W173">
        <f t="shared" si="541"/>
        <v>0</v>
      </c>
      <c r="Y173" s="8" t="str">
        <f t="shared" si="214"/>
        <v>AAAAAAA</v>
      </c>
      <c r="Z173" s="8"/>
      <c r="AB173">
        <f t="shared" si="542"/>
        <v>0</v>
      </c>
      <c r="AC173">
        <f t="shared" si="542"/>
        <v>0</v>
      </c>
      <c r="AE173" s="8" t="str">
        <f>Hidden!$CC49</f>
        <v/>
      </c>
      <c r="AF173">
        <f t="shared" si="216"/>
        <v>0</v>
      </c>
      <c r="AG173">
        <f t="shared" si="217"/>
        <v>0</v>
      </c>
      <c r="AH173">
        <f t="shared" si="218"/>
        <v>0</v>
      </c>
      <c r="AI173">
        <f t="shared" si="219"/>
        <v>0</v>
      </c>
      <c r="AJ173">
        <f t="shared" si="220"/>
        <v>0</v>
      </c>
      <c r="AK173">
        <f t="shared" si="221"/>
        <v>0</v>
      </c>
      <c r="AL173">
        <f t="shared" si="222"/>
        <v>0</v>
      </c>
      <c r="AM173">
        <f t="shared" si="223"/>
        <v>0</v>
      </c>
      <c r="AN173">
        <f t="shared" si="224"/>
        <v>0</v>
      </c>
      <c r="AO173">
        <f t="shared" si="225"/>
        <v>0</v>
      </c>
      <c r="BJ173" s="8" t="str">
        <f t="shared" ref="BJ173:BL173" si="661">BJ66</f>
        <v>AAAAAAA</v>
      </c>
      <c r="BK173" s="8" t="str">
        <f t="shared" si="661"/>
        <v/>
      </c>
      <c r="BL173" s="8" t="str">
        <f t="shared" si="661"/>
        <v/>
      </c>
      <c r="BM173" s="8">
        <f t="shared" si="227"/>
        <v>0</v>
      </c>
      <c r="BN173" s="8">
        <f t="shared" si="228"/>
        <v>0</v>
      </c>
      <c r="BO173" s="8"/>
      <c r="BP173" s="8" t="str">
        <f t="shared" ref="BP173:BR173" si="662">BP66</f>
        <v>AAAAAAA</v>
      </c>
      <c r="BQ173" s="8" t="str">
        <f t="shared" si="662"/>
        <v/>
      </c>
      <c r="BR173" s="8" t="str">
        <f t="shared" si="662"/>
        <v/>
      </c>
      <c r="BS173" s="8">
        <f t="shared" si="230"/>
        <v>0</v>
      </c>
      <c r="BT173" s="8">
        <f t="shared" si="231"/>
        <v>0</v>
      </c>
      <c r="BU173" s="8"/>
      <c r="BV173" s="8" t="str">
        <f t="shared" ref="BV173:BX173" si="663">BV66</f>
        <v>AAAAAAA</v>
      </c>
      <c r="BW173" s="8" t="str">
        <f t="shared" si="663"/>
        <v/>
      </c>
      <c r="BX173" s="8" t="str">
        <f t="shared" si="663"/>
        <v/>
      </c>
      <c r="BY173" s="8">
        <f t="shared" si="233"/>
        <v>0</v>
      </c>
      <c r="BZ173" s="8">
        <f t="shared" si="234"/>
        <v>0</v>
      </c>
      <c r="CA173" s="8"/>
      <c r="CB173" s="8" t="str">
        <f t="shared" ref="CB173:CD173" si="664">CB66</f>
        <v>AAAAAAA</v>
      </c>
      <c r="CC173" s="8" t="str">
        <f t="shared" si="664"/>
        <v/>
      </c>
      <c r="CD173" s="8" t="str">
        <f t="shared" si="664"/>
        <v/>
      </c>
      <c r="CE173" s="8">
        <f t="shared" si="236"/>
        <v>0</v>
      </c>
      <c r="CF173" s="8">
        <f t="shared" si="237"/>
        <v>0</v>
      </c>
      <c r="CG173" s="8"/>
      <c r="CH173" s="8" t="str">
        <f t="shared" ref="CH173:CJ173" si="665">CH66</f>
        <v>AAAAAAA</v>
      </c>
      <c r="CI173" s="8" t="str">
        <f t="shared" si="665"/>
        <v/>
      </c>
      <c r="CJ173" s="8" t="str">
        <f t="shared" si="665"/>
        <v/>
      </c>
      <c r="CK173" s="8">
        <f t="shared" si="239"/>
        <v>0</v>
      </c>
      <c r="CL173" s="8">
        <f t="shared" si="240"/>
        <v>0</v>
      </c>
      <c r="CO173" s="8" t="str">
        <f>Hidden!$CC49</f>
        <v/>
      </c>
      <c r="CP173">
        <f t="shared" si="241"/>
        <v>0</v>
      </c>
      <c r="CQ173">
        <f t="shared" si="242"/>
        <v>0</v>
      </c>
      <c r="CR173">
        <f t="shared" si="243"/>
        <v>0</v>
      </c>
      <c r="CS173">
        <f t="shared" si="244"/>
        <v>0</v>
      </c>
      <c r="CT173">
        <f t="shared" si="245"/>
        <v>0</v>
      </c>
      <c r="CU173">
        <f t="shared" si="246"/>
        <v>0</v>
      </c>
      <c r="CV173">
        <f t="shared" si="247"/>
        <v>0</v>
      </c>
      <c r="CW173">
        <f t="shared" si="248"/>
        <v>0</v>
      </c>
      <c r="CX173">
        <f t="shared" si="249"/>
        <v>0</v>
      </c>
      <c r="CY173">
        <f t="shared" si="250"/>
        <v>0</v>
      </c>
      <c r="DT173" s="77"/>
      <c r="DU173" s="8" t="str">
        <f t="shared" si="169"/>
        <v>AAAAAAAAA</v>
      </c>
      <c r="DV173" s="8" t="str">
        <f t="shared" si="170"/>
        <v/>
      </c>
      <c r="DW173" s="8" t="str">
        <f t="shared" si="171"/>
        <v/>
      </c>
      <c r="DX173" s="8">
        <f t="shared" si="431"/>
        <v>0</v>
      </c>
      <c r="DY173" s="8">
        <f t="shared" si="431"/>
        <v>0</v>
      </c>
      <c r="EA173" s="8" t="str">
        <f t="shared" si="173"/>
        <v>AAAAAAAAA</v>
      </c>
      <c r="EB173" s="8" t="str">
        <f t="shared" si="174"/>
        <v/>
      </c>
      <c r="EC173" s="8" t="str">
        <f t="shared" si="175"/>
        <v/>
      </c>
      <c r="ED173">
        <f t="shared" si="432"/>
        <v>0</v>
      </c>
      <c r="EE173">
        <f t="shared" si="432"/>
        <v>0</v>
      </c>
      <c r="EG173" s="8" t="str">
        <f t="shared" si="177"/>
        <v>AAAAAAAAA</v>
      </c>
      <c r="EH173" s="8" t="str">
        <f t="shared" si="178"/>
        <v/>
      </c>
      <c r="EI173" s="8" t="str">
        <f t="shared" si="179"/>
        <v/>
      </c>
      <c r="EJ173" s="8">
        <f t="shared" si="433"/>
        <v>0</v>
      </c>
      <c r="EK173" s="8">
        <f t="shared" si="433"/>
        <v>0</v>
      </c>
      <c r="EM173" s="8" t="str">
        <f t="shared" si="181"/>
        <v>AAAAAAAAA</v>
      </c>
      <c r="EN173" s="8" t="str">
        <f t="shared" si="182"/>
        <v/>
      </c>
      <c r="EO173" s="8" t="str">
        <f t="shared" si="183"/>
        <v/>
      </c>
      <c r="EP173" s="8">
        <f t="shared" si="434"/>
        <v>0</v>
      </c>
      <c r="EQ173" s="8">
        <f t="shared" si="434"/>
        <v>0</v>
      </c>
      <c r="ES173" s="8" t="str">
        <f t="shared" si="185"/>
        <v>AAAAAAAAA</v>
      </c>
      <c r="ET173" s="8" t="str">
        <f t="shared" si="186"/>
        <v/>
      </c>
      <c r="EU173" s="8" t="str">
        <f t="shared" si="187"/>
        <v/>
      </c>
      <c r="EV173" s="8">
        <f t="shared" si="435"/>
        <v>0</v>
      </c>
      <c r="EW173" s="8">
        <f t="shared" si="435"/>
        <v>0</v>
      </c>
      <c r="EY173" s="8" t="str">
        <f>Hidden!$CG61</f>
        <v/>
      </c>
      <c r="EZ173">
        <f t="shared" si="189"/>
        <v>0</v>
      </c>
      <c r="FA173">
        <f t="shared" si="190"/>
        <v>0</v>
      </c>
      <c r="FB173">
        <f t="shared" si="191"/>
        <v>0</v>
      </c>
      <c r="FC173">
        <f t="shared" si="192"/>
        <v>0</v>
      </c>
      <c r="FD173">
        <f t="shared" si="193"/>
        <v>0</v>
      </c>
      <c r="FE173">
        <f t="shared" si="194"/>
        <v>0</v>
      </c>
      <c r="FF173">
        <f t="shared" si="195"/>
        <v>0</v>
      </c>
      <c r="FG173">
        <f t="shared" si="196"/>
        <v>0</v>
      </c>
      <c r="FH173">
        <f t="shared" si="197"/>
        <v>0</v>
      </c>
      <c r="FI173">
        <f t="shared" si="198"/>
        <v>0</v>
      </c>
    </row>
    <row r="174" spans="1:165" x14ac:dyDescent="0.2">
      <c r="A174" s="8" t="str">
        <f t="shared" ref="A174:C174" si="666">A67</f>
        <v>AAAAAAAA</v>
      </c>
      <c r="B174" s="8" t="str">
        <f t="shared" si="666"/>
        <v/>
      </c>
      <c r="C174" s="8" t="str">
        <f t="shared" si="666"/>
        <v/>
      </c>
      <c r="D174" s="8">
        <f t="shared" si="536"/>
        <v>0</v>
      </c>
      <c r="E174" s="8">
        <f t="shared" si="536"/>
        <v>0</v>
      </c>
      <c r="F174" s="8"/>
      <c r="G174" s="8" t="str">
        <f t="shared" ref="G174:I174" si="667">G67</f>
        <v>AAAAAAAA</v>
      </c>
      <c r="H174" s="8" t="str">
        <f t="shared" si="667"/>
        <v/>
      </c>
      <c r="I174" s="8" t="str">
        <f t="shared" si="667"/>
        <v/>
      </c>
      <c r="J174" s="8">
        <f t="shared" si="538"/>
        <v>0</v>
      </c>
      <c r="K174" s="8">
        <f t="shared" si="538"/>
        <v>0</v>
      </c>
      <c r="L174" s="8"/>
      <c r="M174" s="8" t="str">
        <f t="shared" ref="M174:O174" si="668">M67</f>
        <v>AAAAAAAA</v>
      </c>
      <c r="N174" s="8" t="str">
        <f t="shared" si="668"/>
        <v/>
      </c>
      <c r="O174" s="8" t="str">
        <f t="shared" si="668"/>
        <v/>
      </c>
      <c r="P174" s="8">
        <f t="shared" si="605"/>
        <v>0</v>
      </c>
      <c r="Q174" s="8">
        <f t="shared" si="605"/>
        <v>0</v>
      </c>
      <c r="R174" s="8"/>
      <c r="S174" s="8" t="str">
        <f t="shared" ref="S174:U174" si="669">S67</f>
        <v>AAAAAAAA</v>
      </c>
      <c r="T174" s="8" t="str">
        <f t="shared" si="669"/>
        <v/>
      </c>
      <c r="U174" s="8" t="str">
        <f t="shared" si="669"/>
        <v/>
      </c>
      <c r="V174">
        <f t="shared" si="541"/>
        <v>0</v>
      </c>
      <c r="W174">
        <f t="shared" si="541"/>
        <v>0</v>
      </c>
      <c r="Y174" s="8" t="str">
        <f t="shared" si="214"/>
        <v>AAAAAAAA</v>
      </c>
      <c r="Z174" s="8"/>
      <c r="AB174">
        <f t="shared" si="542"/>
        <v>0</v>
      </c>
      <c r="AC174">
        <f t="shared" si="542"/>
        <v>0</v>
      </c>
      <c r="AE174" s="8" t="str">
        <f>Hidden!$CC50</f>
        <v/>
      </c>
      <c r="AF174">
        <f t="shared" si="216"/>
        <v>0</v>
      </c>
      <c r="AG174">
        <f t="shared" si="217"/>
        <v>0</v>
      </c>
      <c r="AH174">
        <f t="shared" si="218"/>
        <v>0</v>
      </c>
      <c r="AI174">
        <f t="shared" si="219"/>
        <v>0</v>
      </c>
      <c r="AJ174">
        <f t="shared" si="220"/>
        <v>0</v>
      </c>
      <c r="AK174">
        <f t="shared" si="221"/>
        <v>0</v>
      </c>
      <c r="AL174">
        <f t="shared" si="222"/>
        <v>0</v>
      </c>
      <c r="AM174">
        <f t="shared" si="223"/>
        <v>0</v>
      </c>
      <c r="AN174">
        <f t="shared" si="224"/>
        <v>0</v>
      </c>
      <c r="AO174">
        <f t="shared" si="225"/>
        <v>0</v>
      </c>
      <c r="BJ174" s="8" t="str">
        <f t="shared" ref="BJ174:BL174" si="670">BJ67</f>
        <v>AAAAAAAA</v>
      </c>
      <c r="BK174" s="8" t="str">
        <f t="shared" si="670"/>
        <v/>
      </c>
      <c r="BL174" s="8" t="str">
        <f t="shared" si="670"/>
        <v/>
      </c>
      <c r="BM174" s="8">
        <f t="shared" si="227"/>
        <v>0</v>
      </c>
      <c r="BN174" s="8">
        <f t="shared" si="228"/>
        <v>0</v>
      </c>
      <c r="BO174" s="8"/>
      <c r="BP174" s="8" t="str">
        <f t="shared" ref="BP174:BR174" si="671">BP67</f>
        <v>AAAAAAAA</v>
      </c>
      <c r="BQ174" s="8" t="str">
        <f t="shared" si="671"/>
        <v/>
      </c>
      <c r="BR174" s="8" t="str">
        <f t="shared" si="671"/>
        <v/>
      </c>
      <c r="BS174" s="8">
        <f t="shared" si="230"/>
        <v>0</v>
      </c>
      <c r="BT174" s="8">
        <f t="shared" si="231"/>
        <v>0</v>
      </c>
      <c r="BU174" s="8"/>
      <c r="BV174" s="8" t="str">
        <f t="shared" ref="BV174:BX174" si="672">BV67</f>
        <v>AAAAAAAA</v>
      </c>
      <c r="BW174" s="8" t="str">
        <f t="shared" si="672"/>
        <v/>
      </c>
      <c r="BX174" s="8" t="str">
        <f t="shared" si="672"/>
        <v/>
      </c>
      <c r="BY174" s="8">
        <f t="shared" si="233"/>
        <v>0</v>
      </c>
      <c r="BZ174" s="8">
        <f t="shared" si="234"/>
        <v>0</v>
      </c>
      <c r="CA174" s="8"/>
      <c r="CB174" s="8" t="str">
        <f t="shared" ref="CB174:CD174" si="673">CB67</f>
        <v>AAAAAAAA</v>
      </c>
      <c r="CC174" s="8" t="str">
        <f t="shared" si="673"/>
        <v/>
      </c>
      <c r="CD174" s="8" t="str">
        <f t="shared" si="673"/>
        <v/>
      </c>
      <c r="CE174" s="8">
        <f t="shared" si="236"/>
        <v>0</v>
      </c>
      <c r="CF174" s="8">
        <f t="shared" si="237"/>
        <v>0</v>
      </c>
      <c r="CG174" s="8"/>
      <c r="CH174" s="8" t="str">
        <f t="shared" ref="CH174:CJ174" si="674">CH67</f>
        <v>AAAAAAAA</v>
      </c>
      <c r="CI174" s="8" t="str">
        <f t="shared" si="674"/>
        <v/>
      </c>
      <c r="CJ174" s="8" t="str">
        <f t="shared" si="674"/>
        <v/>
      </c>
      <c r="CK174" s="8">
        <f t="shared" si="239"/>
        <v>0</v>
      </c>
      <c r="CL174" s="8">
        <f t="shared" si="240"/>
        <v>0</v>
      </c>
      <c r="CO174" s="8" t="str">
        <f>Hidden!$CC50</f>
        <v/>
      </c>
      <c r="CP174">
        <f t="shared" si="241"/>
        <v>0</v>
      </c>
      <c r="CQ174">
        <f t="shared" si="242"/>
        <v>0</v>
      </c>
      <c r="CR174">
        <f t="shared" si="243"/>
        <v>0</v>
      </c>
      <c r="CS174">
        <f t="shared" si="244"/>
        <v>0</v>
      </c>
      <c r="CT174">
        <f t="shared" si="245"/>
        <v>0</v>
      </c>
      <c r="CU174">
        <f t="shared" si="246"/>
        <v>0</v>
      </c>
      <c r="CV174">
        <f t="shared" si="247"/>
        <v>0</v>
      </c>
      <c r="CW174">
        <f t="shared" si="248"/>
        <v>0</v>
      </c>
      <c r="CX174">
        <f t="shared" si="249"/>
        <v>0</v>
      </c>
      <c r="CY174">
        <f t="shared" si="250"/>
        <v>0</v>
      </c>
      <c r="DT174" s="77"/>
      <c r="DU174" s="8" t="str">
        <f t="shared" si="169"/>
        <v>AAAAAAAAAA</v>
      </c>
      <c r="DV174" s="8" t="str">
        <f t="shared" si="170"/>
        <v/>
      </c>
      <c r="DW174" s="8" t="str">
        <f t="shared" si="171"/>
        <v/>
      </c>
      <c r="DX174" s="8">
        <f t="shared" si="431"/>
        <v>0</v>
      </c>
      <c r="DY174" s="8">
        <f t="shared" si="431"/>
        <v>0</v>
      </c>
      <c r="EA174" s="8" t="str">
        <f t="shared" si="173"/>
        <v>AAAAAAAAAA</v>
      </c>
      <c r="EB174" s="8" t="str">
        <f t="shared" si="174"/>
        <v/>
      </c>
      <c r="EC174" s="8" t="str">
        <f t="shared" si="175"/>
        <v/>
      </c>
      <c r="ED174">
        <f t="shared" si="432"/>
        <v>0</v>
      </c>
      <c r="EE174">
        <f t="shared" si="432"/>
        <v>0</v>
      </c>
      <c r="EG174" s="8" t="str">
        <f t="shared" si="177"/>
        <v>AAAAAAAAAA</v>
      </c>
      <c r="EH174" s="8" t="str">
        <f t="shared" si="178"/>
        <v/>
      </c>
      <c r="EI174" s="8" t="str">
        <f t="shared" si="179"/>
        <v/>
      </c>
      <c r="EJ174" s="8">
        <f t="shared" si="433"/>
        <v>0</v>
      </c>
      <c r="EK174" s="8">
        <f t="shared" si="433"/>
        <v>0</v>
      </c>
      <c r="EM174" s="8" t="str">
        <f t="shared" si="181"/>
        <v>AAAAAAAAAA</v>
      </c>
      <c r="EN174" s="8" t="str">
        <f t="shared" si="182"/>
        <v/>
      </c>
      <c r="EO174" s="8" t="str">
        <f t="shared" si="183"/>
        <v/>
      </c>
      <c r="EP174" s="8">
        <f t="shared" si="434"/>
        <v>0</v>
      </c>
      <c r="EQ174" s="8">
        <f t="shared" si="434"/>
        <v>0</v>
      </c>
      <c r="ES174" s="8" t="str">
        <f t="shared" si="185"/>
        <v>AAAAAAAAAA</v>
      </c>
      <c r="ET174" s="8" t="str">
        <f t="shared" si="186"/>
        <v/>
      </c>
      <c r="EU174" s="8" t="str">
        <f t="shared" si="187"/>
        <v/>
      </c>
      <c r="EV174" s="8">
        <f t="shared" si="435"/>
        <v>0</v>
      </c>
      <c r="EW174" s="8">
        <f t="shared" si="435"/>
        <v>0</v>
      </c>
      <c r="EY174" s="8" t="str">
        <f>Hidden!$CG62</f>
        <v/>
      </c>
      <c r="EZ174">
        <f t="shared" si="189"/>
        <v>0</v>
      </c>
      <c r="FA174">
        <f t="shared" si="190"/>
        <v>0</v>
      </c>
      <c r="FB174">
        <f t="shared" si="191"/>
        <v>0</v>
      </c>
      <c r="FC174">
        <f t="shared" si="192"/>
        <v>0</v>
      </c>
      <c r="FD174">
        <f t="shared" si="193"/>
        <v>0</v>
      </c>
      <c r="FE174">
        <f t="shared" si="194"/>
        <v>0</v>
      </c>
      <c r="FF174">
        <f t="shared" si="195"/>
        <v>0</v>
      </c>
      <c r="FG174">
        <f t="shared" si="196"/>
        <v>0</v>
      </c>
      <c r="FH174">
        <f t="shared" si="197"/>
        <v>0</v>
      </c>
      <c r="FI174">
        <f t="shared" si="198"/>
        <v>0</v>
      </c>
    </row>
    <row r="175" spans="1:165" x14ac:dyDescent="0.2">
      <c r="A175" s="8" t="str">
        <f t="shared" ref="A175:C175" si="675">A68</f>
        <v>AAAAAAAAA</v>
      </c>
      <c r="B175" s="8" t="str">
        <f t="shared" si="675"/>
        <v/>
      </c>
      <c r="C175" s="8" t="str">
        <f t="shared" si="675"/>
        <v/>
      </c>
      <c r="D175" s="8">
        <f t="shared" si="536"/>
        <v>0</v>
      </c>
      <c r="E175" s="8">
        <f t="shared" si="536"/>
        <v>0</v>
      </c>
      <c r="F175" s="8"/>
      <c r="G175" s="8" t="str">
        <f t="shared" ref="G175:I175" si="676">G68</f>
        <v>AAAAAAAAA</v>
      </c>
      <c r="H175" s="8" t="str">
        <f t="shared" si="676"/>
        <v/>
      </c>
      <c r="I175" s="8" t="str">
        <f t="shared" si="676"/>
        <v/>
      </c>
      <c r="J175" s="8">
        <f t="shared" si="538"/>
        <v>0</v>
      </c>
      <c r="K175" s="8">
        <f t="shared" si="538"/>
        <v>0</v>
      </c>
      <c r="L175" s="8"/>
      <c r="M175" s="8" t="str">
        <f t="shared" ref="M175:O175" si="677">M68</f>
        <v>AAAAAAAAA</v>
      </c>
      <c r="N175" s="8" t="str">
        <f t="shared" si="677"/>
        <v/>
      </c>
      <c r="O175" s="8" t="str">
        <f t="shared" si="677"/>
        <v/>
      </c>
      <c r="P175" s="8">
        <f t="shared" si="605"/>
        <v>0</v>
      </c>
      <c r="Q175" s="8">
        <f t="shared" si="605"/>
        <v>0</v>
      </c>
      <c r="R175" s="8"/>
      <c r="S175" s="8" t="str">
        <f t="shared" ref="S175:U175" si="678">S68</f>
        <v>AAAAAAAAA</v>
      </c>
      <c r="T175" s="8" t="str">
        <f t="shared" si="678"/>
        <v/>
      </c>
      <c r="U175" s="8" t="str">
        <f t="shared" si="678"/>
        <v/>
      </c>
      <c r="V175">
        <f t="shared" si="541"/>
        <v>0</v>
      </c>
      <c r="W175">
        <f t="shared" si="541"/>
        <v>0</v>
      </c>
      <c r="Y175" s="8" t="str">
        <f t="shared" si="214"/>
        <v>AAAAAAAAA</v>
      </c>
      <c r="Z175" s="8"/>
      <c r="AB175">
        <f t="shared" si="542"/>
        <v>0</v>
      </c>
      <c r="AC175">
        <f t="shared" si="542"/>
        <v>0</v>
      </c>
      <c r="AE175" s="8" t="str">
        <f>Hidden!$CC51</f>
        <v/>
      </c>
      <c r="AF175">
        <f t="shared" si="216"/>
        <v>0</v>
      </c>
      <c r="AG175">
        <f t="shared" si="217"/>
        <v>0</v>
      </c>
      <c r="AH175">
        <f t="shared" si="218"/>
        <v>0</v>
      </c>
      <c r="AI175">
        <f t="shared" si="219"/>
        <v>0</v>
      </c>
      <c r="AJ175">
        <f t="shared" si="220"/>
        <v>0</v>
      </c>
      <c r="AK175">
        <f t="shared" si="221"/>
        <v>0</v>
      </c>
      <c r="AL175">
        <f t="shared" si="222"/>
        <v>0</v>
      </c>
      <c r="AM175">
        <f t="shared" si="223"/>
        <v>0</v>
      </c>
      <c r="AN175">
        <f t="shared" si="224"/>
        <v>0</v>
      </c>
      <c r="AO175">
        <f t="shared" si="225"/>
        <v>0</v>
      </c>
      <c r="BJ175" s="8" t="str">
        <f t="shared" ref="BJ175:BL175" si="679">BJ68</f>
        <v>AAAAAAAAA</v>
      </c>
      <c r="BK175" s="8" t="str">
        <f t="shared" si="679"/>
        <v/>
      </c>
      <c r="BL175" s="8" t="str">
        <f t="shared" si="679"/>
        <v/>
      </c>
      <c r="BM175" s="8">
        <f t="shared" si="227"/>
        <v>0</v>
      </c>
      <c r="BN175" s="8">
        <f t="shared" si="228"/>
        <v>0</v>
      </c>
      <c r="BO175" s="8"/>
      <c r="BP175" s="8" t="str">
        <f t="shared" ref="BP175:BR175" si="680">BP68</f>
        <v>AAAAAAAAA</v>
      </c>
      <c r="BQ175" s="8" t="str">
        <f t="shared" si="680"/>
        <v/>
      </c>
      <c r="BR175" s="8" t="str">
        <f t="shared" si="680"/>
        <v/>
      </c>
      <c r="BS175" s="8">
        <f t="shared" si="230"/>
        <v>0</v>
      </c>
      <c r="BT175" s="8">
        <f t="shared" si="231"/>
        <v>0</v>
      </c>
      <c r="BU175" s="8"/>
      <c r="BV175" s="8" t="str">
        <f t="shared" ref="BV175:BX175" si="681">BV68</f>
        <v>AAAAAAAAA</v>
      </c>
      <c r="BW175" s="8" t="str">
        <f t="shared" si="681"/>
        <v/>
      </c>
      <c r="BX175" s="8" t="str">
        <f t="shared" si="681"/>
        <v/>
      </c>
      <c r="BY175" s="8">
        <f t="shared" si="233"/>
        <v>0</v>
      </c>
      <c r="BZ175" s="8">
        <f t="shared" si="234"/>
        <v>0</v>
      </c>
      <c r="CA175" s="8"/>
      <c r="CB175" s="8" t="str">
        <f t="shared" ref="CB175:CD175" si="682">CB68</f>
        <v>AAAAAAAAA</v>
      </c>
      <c r="CC175" s="8" t="str">
        <f t="shared" si="682"/>
        <v/>
      </c>
      <c r="CD175" s="8" t="str">
        <f t="shared" si="682"/>
        <v/>
      </c>
      <c r="CE175" s="8">
        <f t="shared" si="236"/>
        <v>0</v>
      </c>
      <c r="CF175" s="8">
        <f t="shared" si="237"/>
        <v>0</v>
      </c>
      <c r="CG175" s="8"/>
      <c r="CH175" s="8" t="str">
        <f t="shared" ref="CH175:CJ175" si="683">CH68</f>
        <v>AAAAAAAAA</v>
      </c>
      <c r="CI175" s="8" t="str">
        <f t="shared" si="683"/>
        <v/>
      </c>
      <c r="CJ175" s="8" t="str">
        <f t="shared" si="683"/>
        <v/>
      </c>
      <c r="CK175" s="8">
        <f t="shared" si="239"/>
        <v>0</v>
      </c>
      <c r="CL175" s="8">
        <f t="shared" si="240"/>
        <v>0</v>
      </c>
      <c r="CO175" s="8" t="str">
        <f>Hidden!$CC51</f>
        <v/>
      </c>
      <c r="CP175">
        <f t="shared" si="241"/>
        <v>0</v>
      </c>
      <c r="CQ175">
        <f t="shared" si="242"/>
        <v>0</v>
      </c>
      <c r="CR175">
        <f t="shared" si="243"/>
        <v>0</v>
      </c>
      <c r="CS175">
        <f t="shared" si="244"/>
        <v>0</v>
      </c>
      <c r="CT175">
        <f t="shared" si="245"/>
        <v>0</v>
      </c>
      <c r="CU175">
        <f t="shared" si="246"/>
        <v>0</v>
      </c>
      <c r="CV175">
        <f t="shared" si="247"/>
        <v>0</v>
      </c>
      <c r="CW175">
        <f t="shared" si="248"/>
        <v>0</v>
      </c>
      <c r="CX175">
        <f t="shared" si="249"/>
        <v>0</v>
      </c>
      <c r="CY175">
        <f t="shared" si="250"/>
        <v>0</v>
      </c>
      <c r="DT175" s="77"/>
      <c r="DU175" s="8" t="str">
        <f t="shared" si="169"/>
        <v>A</v>
      </c>
      <c r="DV175" s="8" t="str">
        <f t="shared" si="170"/>
        <v/>
      </c>
      <c r="DW175" s="8" t="str">
        <f t="shared" si="171"/>
        <v/>
      </c>
      <c r="DX175" s="8">
        <f t="shared" si="431"/>
        <v>0</v>
      </c>
      <c r="DY175" s="8">
        <f t="shared" si="431"/>
        <v>0</v>
      </c>
      <c r="EA175" s="8" t="str">
        <f t="shared" si="173"/>
        <v>A</v>
      </c>
      <c r="EB175" s="8" t="str">
        <f t="shared" si="174"/>
        <v/>
      </c>
      <c r="EC175" s="8" t="str">
        <f t="shared" si="175"/>
        <v/>
      </c>
      <c r="ED175">
        <f t="shared" si="432"/>
        <v>0</v>
      </c>
      <c r="EE175">
        <f t="shared" si="432"/>
        <v>0</v>
      </c>
      <c r="EG175" s="8" t="str">
        <f t="shared" si="177"/>
        <v>A</v>
      </c>
      <c r="EH175" s="8" t="str">
        <f t="shared" si="178"/>
        <v/>
      </c>
      <c r="EI175" s="8" t="str">
        <f t="shared" si="179"/>
        <v/>
      </c>
      <c r="EJ175" s="8">
        <f t="shared" si="433"/>
        <v>0</v>
      </c>
      <c r="EK175" s="8">
        <f t="shared" si="433"/>
        <v>0</v>
      </c>
      <c r="EM175" s="8" t="str">
        <f t="shared" si="181"/>
        <v>A</v>
      </c>
      <c r="EN175" s="8" t="str">
        <f t="shared" si="182"/>
        <v/>
      </c>
      <c r="EO175" s="8" t="str">
        <f t="shared" si="183"/>
        <v/>
      </c>
      <c r="EP175" s="8">
        <f t="shared" si="434"/>
        <v>0</v>
      </c>
      <c r="EQ175" s="8">
        <f t="shared" si="434"/>
        <v>0</v>
      </c>
      <c r="ES175" s="8" t="str">
        <f t="shared" si="185"/>
        <v>A</v>
      </c>
      <c r="ET175" s="8" t="str">
        <f t="shared" si="186"/>
        <v/>
      </c>
      <c r="EU175" s="8" t="str">
        <f t="shared" si="187"/>
        <v/>
      </c>
      <c r="EV175" s="8">
        <f t="shared" si="435"/>
        <v>0</v>
      </c>
      <c r="EW175" s="8">
        <f t="shared" si="435"/>
        <v>0</v>
      </c>
      <c r="EY175" s="8" t="str">
        <f>Hidden!$CG63</f>
        <v/>
      </c>
      <c r="EZ175">
        <f t="shared" si="189"/>
        <v>0</v>
      </c>
      <c r="FA175">
        <f t="shared" si="190"/>
        <v>0</v>
      </c>
      <c r="FB175">
        <f t="shared" si="191"/>
        <v>0</v>
      </c>
      <c r="FC175">
        <f t="shared" si="192"/>
        <v>0</v>
      </c>
      <c r="FD175">
        <f t="shared" si="193"/>
        <v>0</v>
      </c>
      <c r="FE175">
        <f t="shared" si="194"/>
        <v>0</v>
      </c>
      <c r="FF175">
        <f t="shared" si="195"/>
        <v>0</v>
      </c>
      <c r="FG175">
        <f t="shared" si="196"/>
        <v>0</v>
      </c>
      <c r="FH175">
        <f t="shared" si="197"/>
        <v>0</v>
      </c>
      <c r="FI175">
        <f t="shared" si="198"/>
        <v>0</v>
      </c>
    </row>
    <row r="176" spans="1:165" x14ac:dyDescent="0.2">
      <c r="A176" s="8" t="str">
        <f t="shared" ref="A176:C176" si="684">A69</f>
        <v>AAAAAAAAAA</v>
      </c>
      <c r="B176" s="8" t="str">
        <f t="shared" si="684"/>
        <v/>
      </c>
      <c r="C176" s="8" t="str">
        <f t="shared" si="684"/>
        <v/>
      </c>
      <c r="D176" s="8">
        <f t="shared" si="536"/>
        <v>0</v>
      </c>
      <c r="E176" s="8">
        <f t="shared" si="536"/>
        <v>0</v>
      </c>
      <c r="F176" s="8"/>
      <c r="G176" s="8" t="str">
        <f t="shared" ref="G176:I176" si="685">G69</f>
        <v>AAAAAAAAAA</v>
      </c>
      <c r="H176" s="8" t="str">
        <f t="shared" si="685"/>
        <v/>
      </c>
      <c r="I176" s="8" t="str">
        <f t="shared" si="685"/>
        <v/>
      </c>
      <c r="J176" s="8">
        <f t="shared" si="538"/>
        <v>0</v>
      </c>
      <c r="K176" s="8">
        <f t="shared" si="538"/>
        <v>0</v>
      </c>
      <c r="L176" s="8"/>
      <c r="M176" s="8" t="str">
        <f t="shared" ref="M176:O176" si="686">M69</f>
        <v>AAAAAAAAAA</v>
      </c>
      <c r="N176" s="8" t="str">
        <f t="shared" si="686"/>
        <v/>
      </c>
      <c r="O176" s="8" t="str">
        <f t="shared" si="686"/>
        <v/>
      </c>
      <c r="P176" s="8">
        <f t="shared" si="605"/>
        <v>0</v>
      </c>
      <c r="Q176" s="8">
        <f t="shared" si="605"/>
        <v>0</v>
      </c>
      <c r="R176" s="8"/>
      <c r="S176" s="8" t="str">
        <f t="shared" ref="S176:U176" si="687">S69</f>
        <v>AAAAAAAAAA</v>
      </c>
      <c r="T176" s="8" t="str">
        <f t="shared" si="687"/>
        <v/>
      </c>
      <c r="U176" s="8" t="str">
        <f t="shared" si="687"/>
        <v/>
      </c>
      <c r="V176">
        <f t="shared" si="541"/>
        <v>0</v>
      </c>
      <c r="W176">
        <f t="shared" si="541"/>
        <v>0</v>
      </c>
      <c r="Y176" s="8" t="str">
        <f t="shared" si="214"/>
        <v>AAAAAAAAAA</v>
      </c>
      <c r="Z176" s="8"/>
      <c r="AB176">
        <f t="shared" si="542"/>
        <v>0</v>
      </c>
      <c r="AC176">
        <f t="shared" si="542"/>
        <v>0</v>
      </c>
      <c r="AE176" s="8" t="str">
        <f>Hidden!$CC52</f>
        <v/>
      </c>
      <c r="AF176">
        <f t="shared" si="216"/>
        <v>0</v>
      </c>
      <c r="AG176">
        <f t="shared" si="217"/>
        <v>0</v>
      </c>
      <c r="AH176">
        <f t="shared" si="218"/>
        <v>0</v>
      </c>
      <c r="AI176">
        <f t="shared" si="219"/>
        <v>0</v>
      </c>
      <c r="AJ176">
        <f t="shared" si="220"/>
        <v>0</v>
      </c>
      <c r="AK176">
        <f t="shared" si="221"/>
        <v>0</v>
      </c>
      <c r="AL176">
        <f t="shared" si="222"/>
        <v>0</v>
      </c>
      <c r="AM176">
        <f t="shared" si="223"/>
        <v>0</v>
      </c>
      <c r="AN176">
        <f t="shared" si="224"/>
        <v>0</v>
      </c>
      <c r="AO176">
        <f t="shared" si="225"/>
        <v>0</v>
      </c>
      <c r="BJ176" s="8" t="str">
        <f t="shared" ref="BJ176:BL176" si="688">BJ69</f>
        <v>AAAAAAAAAA</v>
      </c>
      <c r="BK176" s="8" t="str">
        <f t="shared" si="688"/>
        <v/>
      </c>
      <c r="BL176" s="8" t="str">
        <f t="shared" si="688"/>
        <v/>
      </c>
      <c r="BM176" s="8">
        <f t="shared" si="227"/>
        <v>0</v>
      </c>
      <c r="BN176" s="8">
        <f t="shared" si="228"/>
        <v>0</v>
      </c>
      <c r="BO176" s="8"/>
      <c r="BP176" s="8" t="str">
        <f t="shared" ref="BP176:BR176" si="689">BP69</f>
        <v>AAAAAAAAAA</v>
      </c>
      <c r="BQ176" s="8" t="str">
        <f t="shared" si="689"/>
        <v/>
      </c>
      <c r="BR176" s="8" t="str">
        <f t="shared" si="689"/>
        <v/>
      </c>
      <c r="BS176" s="8">
        <f t="shared" si="230"/>
        <v>0</v>
      </c>
      <c r="BT176" s="8">
        <f t="shared" si="231"/>
        <v>0</v>
      </c>
      <c r="BU176" s="8"/>
      <c r="BV176" s="8" t="str">
        <f t="shared" ref="BV176:BX176" si="690">BV69</f>
        <v>AAAAAAAAAA</v>
      </c>
      <c r="BW176" s="8" t="str">
        <f t="shared" si="690"/>
        <v/>
      </c>
      <c r="BX176" s="8" t="str">
        <f t="shared" si="690"/>
        <v/>
      </c>
      <c r="BY176" s="8">
        <f t="shared" si="233"/>
        <v>0</v>
      </c>
      <c r="BZ176" s="8">
        <f t="shared" si="234"/>
        <v>0</v>
      </c>
      <c r="CA176" s="8"/>
      <c r="CB176" s="8" t="str">
        <f t="shared" ref="CB176:CD176" si="691">CB69</f>
        <v>AAAAAAAAAA</v>
      </c>
      <c r="CC176" s="8" t="str">
        <f t="shared" si="691"/>
        <v/>
      </c>
      <c r="CD176" s="8" t="str">
        <f t="shared" si="691"/>
        <v/>
      </c>
      <c r="CE176" s="8">
        <f t="shared" si="236"/>
        <v>0</v>
      </c>
      <c r="CF176" s="8">
        <f t="shared" si="237"/>
        <v>0</v>
      </c>
      <c r="CG176" s="8"/>
      <c r="CH176" s="8" t="str">
        <f t="shared" ref="CH176:CJ176" si="692">CH69</f>
        <v>AAAAAAAAAA</v>
      </c>
      <c r="CI176" s="8" t="str">
        <f t="shared" si="692"/>
        <v/>
      </c>
      <c r="CJ176" s="8" t="str">
        <f t="shared" si="692"/>
        <v/>
      </c>
      <c r="CK176" s="8">
        <f t="shared" si="239"/>
        <v>0</v>
      </c>
      <c r="CL176" s="8">
        <f t="shared" si="240"/>
        <v>0</v>
      </c>
      <c r="CO176" s="8" t="str">
        <f>Hidden!$CC52</f>
        <v/>
      </c>
      <c r="CP176">
        <f t="shared" si="241"/>
        <v>0</v>
      </c>
      <c r="CQ176">
        <f t="shared" si="242"/>
        <v>0</v>
      </c>
      <c r="CR176">
        <f t="shared" si="243"/>
        <v>0</v>
      </c>
      <c r="CS176">
        <f t="shared" si="244"/>
        <v>0</v>
      </c>
      <c r="CT176">
        <f t="shared" si="245"/>
        <v>0</v>
      </c>
      <c r="CU176">
        <f t="shared" si="246"/>
        <v>0</v>
      </c>
      <c r="CV176">
        <f t="shared" si="247"/>
        <v>0</v>
      </c>
      <c r="CW176">
        <f t="shared" si="248"/>
        <v>0</v>
      </c>
      <c r="CX176">
        <f t="shared" si="249"/>
        <v>0</v>
      </c>
      <c r="CY176">
        <f t="shared" si="250"/>
        <v>0</v>
      </c>
      <c r="DT176" s="77"/>
      <c r="DU176" s="8" t="str">
        <f t="shared" si="169"/>
        <v>AA</v>
      </c>
      <c r="DV176" s="8" t="str">
        <f t="shared" si="170"/>
        <v/>
      </c>
      <c r="DW176" s="8" t="str">
        <f t="shared" si="171"/>
        <v/>
      </c>
      <c r="DX176" s="8">
        <f t="shared" si="431"/>
        <v>0</v>
      </c>
      <c r="DY176" s="8">
        <f t="shared" si="431"/>
        <v>0</v>
      </c>
      <c r="EA176" s="8" t="str">
        <f t="shared" si="173"/>
        <v>AA</v>
      </c>
      <c r="EB176" s="8" t="str">
        <f t="shared" si="174"/>
        <v/>
      </c>
      <c r="EC176" s="8" t="str">
        <f t="shared" si="175"/>
        <v/>
      </c>
      <c r="ED176">
        <f t="shared" si="432"/>
        <v>0</v>
      </c>
      <c r="EE176">
        <f t="shared" si="432"/>
        <v>0</v>
      </c>
      <c r="EG176" s="8" t="str">
        <f t="shared" si="177"/>
        <v>AA</v>
      </c>
      <c r="EH176" s="8" t="str">
        <f t="shared" si="178"/>
        <v/>
      </c>
      <c r="EI176" s="8" t="str">
        <f t="shared" si="179"/>
        <v/>
      </c>
      <c r="EJ176" s="8">
        <f t="shared" si="433"/>
        <v>0</v>
      </c>
      <c r="EK176" s="8">
        <f t="shared" si="433"/>
        <v>0</v>
      </c>
      <c r="EM176" s="8" t="str">
        <f t="shared" si="181"/>
        <v>AA</v>
      </c>
      <c r="EN176" s="8" t="str">
        <f t="shared" si="182"/>
        <v/>
      </c>
      <c r="EO176" s="8" t="str">
        <f t="shared" si="183"/>
        <v/>
      </c>
      <c r="EP176" s="8">
        <f t="shared" si="434"/>
        <v>0</v>
      </c>
      <c r="EQ176" s="8">
        <f t="shared" si="434"/>
        <v>0</v>
      </c>
      <c r="ES176" s="8" t="str">
        <f t="shared" si="185"/>
        <v>AA</v>
      </c>
      <c r="ET176" s="8" t="str">
        <f t="shared" si="186"/>
        <v/>
      </c>
      <c r="EU176" s="8" t="str">
        <f t="shared" si="187"/>
        <v/>
      </c>
      <c r="EV176" s="8">
        <f t="shared" si="435"/>
        <v>0</v>
      </c>
      <c r="EW176" s="8">
        <f t="shared" si="435"/>
        <v>0</v>
      </c>
      <c r="EY176" s="8" t="str">
        <f>Hidden!$CG64</f>
        <v/>
      </c>
      <c r="EZ176">
        <f t="shared" si="189"/>
        <v>0</v>
      </c>
      <c r="FA176">
        <f t="shared" si="190"/>
        <v>0</v>
      </c>
      <c r="FB176">
        <f t="shared" si="191"/>
        <v>0</v>
      </c>
      <c r="FC176">
        <f t="shared" si="192"/>
        <v>0</v>
      </c>
      <c r="FD176">
        <f t="shared" si="193"/>
        <v>0</v>
      </c>
      <c r="FE176">
        <f t="shared" si="194"/>
        <v>0</v>
      </c>
      <c r="FF176">
        <f t="shared" si="195"/>
        <v>0</v>
      </c>
      <c r="FG176">
        <f t="shared" si="196"/>
        <v>0</v>
      </c>
      <c r="FH176">
        <f t="shared" si="197"/>
        <v>0</v>
      </c>
      <c r="FI176">
        <f t="shared" si="198"/>
        <v>0</v>
      </c>
    </row>
    <row r="177" spans="1:165" x14ac:dyDescent="0.2">
      <c r="A177" s="8" t="str">
        <f t="shared" ref="A177:C177" si="693">A70</f>
        <v>A</v>
      </c>
      <c r="B177" s="8" t="str">
        <f t="shared" si="693"/>
        <v/>
      </c>
      <c r="C177" s="8" t="str">
        <f t="shared" si="693"/>
        <v/>
      </c>
      <c r="D177" s="8">
        <f t="shared" si="536"/>
        <v>0</v>
      </c>
      <c r="E177" s="8">
        <f t="shared" si="536"/>
        <v>0</v>
      </c>
      <c r="F177" s="8"/>
      <c r="G177" s="8" t="str">
        <f t="shared" ref="G177:I177" si="694">G70</f>
        <v>A</v>
      </c>
      <c r="H177" s="8" t="str">
        <f t="shared" si="694"/>
        <v/>
      </c>
      <c r="I177" s="8" t="str">
        <f t="shared" si="694"/>
        <v/>
      </c>
      <c r="J177" s="8">
        <f t="shared" si="538"/>
        <v>0</v>
      </c>
      <c r="K177" s="8">
        <f t="shared" si="538"/>
        <v>0</v>
      </c>
      <c r="L177" s="8"/>
      <c r="M177" s="8" t="str">
        <f t="shared" ref="M177:O177" si="695">M70</f>
        <v>A</v>
      </c>
      <c r="N177" s="8" t="str">
        <f t="shared" si="695"/>
        <v/>
      </c>
      <c r="O177" s="8" t="str">
        <f t="shared" si="695"/>
        <v/>
      </c>
      <c r="P177" s="8">
        <f t="shared" si="605"/>
        <v>0</v>
      </c>
      <c r="Q177" s="8">
        <f t="shared" si="605"/>
        <v>0</v>
      </c>
      <c r="R177" s="8"/>
      <c r="S177" s="8" t="str">
        <f t="shared" ref="S177:U177" si="696">S70</f>
        <v>A</v>
      </c>
      <c r="T177" s="8" t="str">
        <f t="shared" si="696"/>
        <v/>
      </c>
      <c r="U177" s="8" t="str">
        <f t="shared" si="696"/>
        <v/>
      </c>
      <c r="V177">
        <f t="shared" si="541"/>
        <v>0</v>
      </c>
      <c r="W177">
        <f t="shared" si="541"/>
        <v>0</v>
      </c>
      <c r="Y177" s="8" t="str">
        <f t="shared" si="214"/>
        <v>A</v>
      </c>
      <c r="Z177" s="8"/>
      <c r="AB177">
        <f t="shared" si="542"/>
        <v>0</v>
      </c>
      <c r="AC177">
        <f t="shared" si="542"/>
        <v>0</v>
      </c>
      <c r="AE177" s="8" t="str">
        <f>Hidden!$CC53</f>
        <v/>
      </c>
      <c r="AF177">
        <f t="shared" si="216"/>
        <v>0</v>
      </c>
      <c r="AG177">
        <f t="shared" si="217"/>
        <v>0</v>
      </c>
      <c r="AH177">
        <f t="shared" si="218"/>
        <v>0</v>
      </c>
      <c r="AI177">
        <f t="shared" si="219"/>
        <v>0</v>
      </c>
      <c r="AJ177">
        <f t="shared" si="220"/>
        <v>0</v>
      </c>
      <c r="AK177">
        <f t="shared" si="221"/>
        <v>0</v>
      </c>
      <c r="AL177">
        <f t="shared" si="222"/>
        <v>0</v>
      </c>
      <c r="AM177">
        <f t="shared" si="223"/>
        <v>0</v>
      </c>
      <c r="AN177">
        <f t="shared" si="224"/>
        <v>0</v>
      </c>
      <c r="AO177">
        <f t="shared" si="225"/>
        <v>0</v>
      </c>
      <c r="BJ177" s="8" t="str">
        <f t="shared" ref="BJ177:BL177" si="697">BJ70</f>
        <v>A</v>
      </c>
      <c r="BK177" s="8" t="str">
        <f t="shared" si="697"/>
        <v/>
      </c>
      <c r="BL177" s="8" t="str">
        <f t="shared" si="697"/>
        <v/>
      </c>
      <c r="BM177" s="8">
        <f t="shared" si="227"/>
        <v>0</v>
      </c>
      <c r="BN177" s="8">
        <f t="shared" si="228"/>
        <v>0</v>
      </c>
      <c r="BO177" s="8"/>
      <c r="BP177" s="8" t="str">
        <f t="shared" ref="BP177:BR177" si="698">BP70</f>
        <v>A</v>
      </c>
      <c r="BQ177" s="8" t="str">
        <f t="shared" si="698"/>
        <v/>
      </c>
      <c r="BR177" s="8" t="str">
        <f t="shared" si="698"/>
        <v/>
      </c>
      <c r="BS177" s="8">
        <f t="shared" si="230"/>
        <v>0</v>
      </c>
      <c r="BT177" s="8">
        <f t="shared" si="231"/>
        <v>0</v>
      </c>
      <c r="BU177" s="8"/>
      <c r="BV177" s="8" t="str">
        <f t="shared" ref="BV177:BX177" si="699">BV70</f>
        <v>A</v>
      </c>
      <c r="BW177" s="8" t="str">
        <f t="shared" si="699"/>
        <v/>
      </c>
      <c r="BX177" s="8" t="str">
        <f t="shared" si="699"/>
        <v/>
      </c>
      <c r="BY177" s="8">
        <f t="shared" si="233"/>
        <v>0</v>
      </c>
      <c r="BZ177" s="8">
        <f t="shared" si="234"/>
        <v>0</v>
      </c>
      <c r="CA177" s="8"/>
      <c r="CB177" s="8" t="str">
        <f t="shared" ref="CB177:CD177" si="700">CB70</f>
        <v>A</v>
      </c>
      <c r="CC177" s="8" t="str">
        <f t="shared" si="700"/>
        <v/>
      </c>
      <c r="CD177" s="8" t="str">
        <f t="shared" si="700"/>
        <v/>
      </c>
      <c r="CE177" s="8">
        <f t="shared" si="236"/>
        <v>0</v>
      </c>
      <c r="CF177" s="8">
        <f t="shared" si="237"/>
        <v>0</v>
      </c>
      <c r="CG177" s="8"/>
      <c r="CH177" s="8" t="str">
        <f t="shared" ref="CH177:CJ177" si="701">CH70</f>
        <v>A</v>
      </c>
      <c r="CI177" s="8" t="str">
        <f t="shared" si="701"/>
        <v/>
      </c>
      <c r="CJ177" s="8" t="str">
        <f t="shared" si="701"/>
        <v/>
      </c>
      <c r="CK177" s="8">
        <f t="shared" si="239"/>
        <v>0</v>
      </c>
      <c r="CL177" s="8">
        <f t="shared" si="240"/>
        <v>0</v>
      </c>
      <c r="CO177" s="8" t="str">
        <f>Hidden!$CC53</f>
        <v/>
      </c>
      <c r="CP177">
        <f t="shared" si="241"/>
        <v>0</v>
      </c>
      <c r="CQ177">
        <f t="shared" si="242"/>
        <v>0</v>
      </c>
      <c r="CR177">
        <f t="shared" si="243"/>
        <v>0</v>
      </c>
      <c r="CS177">
        <f t="shared" si="244"/>
        <v>0</v>
      </c>
      <c r="CT177">
        <f t="shared" si="245"/>
        <v>0</v>
      </c>
      <c r="CU177">
        <f t="shared" si="246"/>
        <v>0</v>
      </c>
      <c r="CV177">
        <f t="shared" si="247"/>
        <v>0</v>
      </c>
      <c r="CW177">
        <f t="shared" si="248"/>
        <v>0</v>
      </c>
      <c r="CX177">
        <f t="shared" si="249"/>
        <v>0</v>
      </c>
      <c r="CY177">
        <f t="shared" si="250"/>
        <v>0</v>
      </c>
      <c r="DT177" s="77"/>
      <c r="DU177" s="8" t="str">
        <f t="shared" si="169"/>
        <v>AAA</v>
      </c>
      <c r="DV177" s="8" t="str">
        <f t="shared" si="170"/>
        <v/>
      </c>
      <c r="DW177" s="8" t="str">
        <f t="shared" si="171"/>
        <v/>
      </c>
      <c r="DX177" s="8">
        <f t="shared" si="431"/>
        <v>0</v>
      </c>
      <c r="DY177" s="8">
        <f t="shared" si="431"/>
        <v>0</v>
      </c>
      <c r="EA177" s="8" t="str">
        <f t="shared" si="173"/>
        <v>AAA</v>
      </c>
      <c r="EB177" s="8" t="str">
        <f t="shared" si="174"/>
        <v/>
      </c>
      <c r="EC177" s="8" t="str">
        <f t="shared" si="175"/>
        <v/>
      </c>
      <c r="ED177">
        <f t="shared" si="432"/>
        <v>0</v>
      </c>
      <c r="EE177">
        <f t="shared" si="432"/>
        <v>0</v>
      </c>
      <c r="EG177" s="8" t="str">
        <f t="shared" si="177"/>
        <v>AAA</v>
      </c>
      <c r="EH177" s="8" t="str">
        <f t="shared" si="178"/>
        <v/>
      </c>
      <c r="EI177" s="8" t="str">
        <f t="shared" si="179"/>
        <v/>
      </c>
      <c r="EJ177" s="8">
        <f t="shared" si="433"/>
        <v>0</v>
      </c>
      <c r="EK177" s="8">
        <f t="shared" si="433"/>
        <v>0</v>
      </c>
      <c r="EM177" s="8" t="str">
        <f t="shared" si="181"/>
        <v>AAA</v>
      </c>
      <c r="EN177" s="8" t="str">
        <f t="shared" si="182"/>
        <v/>
      </c>
      <c r="EO177" s="8" t="str">
        <f t="shared" si="183"/>
        <v/>
      </c>
      <c r="EP177" s="8">
        <f t="shared" si="434"/>
        <v>0</v>
      </c>
      <c r="EQ177" s="8">
        <f t="shared" si="434"/>
        <v>0</v>
      </c>
      <c r="ES177" s="8" t="str">
        <f t="shared" si="185"/>
        <v>AAA</v>
      </c>
      <c r="ET177" s="8" t="str">
        <f t="shared" si="186"/>
        <v/>
      </c>
      <c r="EU177" s="8" t="str">
        <f t="shared" si="187"/>
        <v/>
      </c>
      <c r="EV177" s="8">
        <f t="shared" si="435"/>
        <v>0</v>
      </c>
      <c r="EW177" s="8">
        <f t="shared" si="435"/>
        <v>0</v>
      </c>
      <c r="EY177" s="8" t="str">
        <f>Hidden!$CG65</f>
        <v/>
      </c>
      <c r="EZ177">
        <f t="shared" si="189"/>
        <v>0</v>
      </c>
      <c r="FA177">
        <f t="shared" si="190"/>
        <v>0</v>
      </c>
      <c r="FB177">
        <f t="shared" si="191"/>
        <v>0</v>
      </c>
      <c r="FC177">
        <f t="shared" si="192"/>
        <v>0</v>
      </c>
      <c r="FD177">
        <f t="shared" si="193"/>
        <v>0</v>
      </c>
      <c r="FE177">
        <f t="shared" si="194"/>
        <v>0</v>
      </c>
      <c r="FF177">
        <f t="shared" si="195"/>
        <v>0</v>
      </c>
      <c r="FG177">
        <f t="shared" si="196"/>
        <v>0</v>
      </c>
      <c r="FH177">
        <f t="shared" si="197"/>
        <v>0</v>
      </c>
      <c r="FI177">
        <f t="shared" si="198"/>
        <v>0</v>
      </c>
    </row>
    <row r="178" spans="1:165" x14ac:dyDescent="0.2">
      <c r="A178" s="8" t="str">
        <f t="shared" ref="A178:C178" si="702">A71</f>
        <v>AA</v>
      </c>
      <c r="B178" s="8" t="str">
        <f t="shared" si="702"/>
        <v/>
      </c>
      <c r="C178" s="8" t="str">
        <f t="shared" si="702"/>
        <v/>
      </c>
      <c r="D178" s="8">
        <f t="shared" si="536"/>
        <v>0</v>
      </c>
      <c r="E178" s="8">
        <f t="shared" si="536"/>
        <v>0</v>
      </c>
      <c r="F178" s="8"/>
      <c r="G178" s="8" t="str">
        <f t="shared" ref="G178:I178" si="703">G71</f>
        <v>AA</v>
      </c>
      <c r="H178" s="8" t="str">
        <f t="shared" si="703"/>
        <v/>
      </c>
      <c r="I178" s="8" t="str">
        <f t="shared" si="703"/>
        <v/>
      </c>
      <c r="J178" s="8">
        <f t="shared" si="538"/>
        <v>0</v>
      </c>
      <c r="K178" s="8">
        <f t="shared" si="538"/>
        <v>0</v>
      </c>
      <c r="L178" s="8"/>
      <c r="M178" s="8" t="str">
        <f t="shared" ref="M178:O178" si="704">M71</f>
        <v>AA</v>
      </c>
      <c r="N178" s="8" t="str">
        <f t="shared" si="704"/>
        <v/>
      </c>
      <c r="O178" s="8" t="str">
        <f t="shared" si="704"/>
        <v/>
      </c>
      <c r="P178" s="8">
        <f t="shared" si="605"/>
        <v>0</v>
      </c>
      <c r="Q178" s="8">
        <f t="shared" si="605"/>
        <v>0</v>
      </c>
      <c r="R178" s="8"/>
      <c r="S178" s="8" t="str">
        <f t="shared" ref="S178:U178" si="705">S71</f>
        <v>AA</v>
      </c>
      <c r="T178" s="8" t="str">
        <f t="shared" si="705"/>
        <v/>
      </c>
      <c r="U178" s="8" t="str">
        <f t="shared" si="705"/>
        <v/>
      </c>
      <c r="V178">
        <f t="shared" si="541"/>
        <v>0</v>
      </c>
      <c r="W178">
        <f t="shared" si="541"/>
        <v>0</v>
      </c>
      <c r="Y178" s="8" t="str">
        <f t="shared" si="214"/>
        <v>AA</v>
      </c>
      <c r="Z178" s="8"/>
      <c r="AB178">
        <f t="shared" si="542"/>
        <v>0</v>
      </c>
      <c r="AC178">
        <f t="shared" si="542"/>
        <v>0</v>
      </c>
      <c r="AE178" s="8" t="str">
        <f>Hidden!$CC54</f>
        <v/>
      </c>
      <c r="AF178">
        <f t="shared" si="216"/>
        <v>0</v>
      </c>
      <c r="AG178">
        <f t="shared" si="217"/>
        <v>0</v>
      </c>
      <c r="AH178">
        <f t="shared" si="218"/>
        <v>0</v>
      </c>
      <c r="AI178">
        <f t="shared" si="219"/>
        <v>0</v>
      </c>
      <c r="AJ178">
        <f t="shared" si="220"/>
        <v>0</v>
      </c>
      <c r="AK178">
        <f t="shared" si="221"/>
        <v>0</v>
      </c>
      <c r="AL178">
        <f t="shared" si="222"/>
        <v>0</v>
      </c>
      <c r="AM178">
        <f t="shared" si="223"/>
        <v>0</v>
      </c>
      <c r="AN178">
        <f t="shared" si="224"/>
        <v>0</v>
      </c>
      <c r="AO178">
        <f t="shared" si="225"/>
        <v>0</v>
      </c>
      <c r="BJ178" s="8" t="str">
        <f t="shared" ref="BJ178:BL178" si="706">BJ71</f>
        <v>AA</v>
      </c>
      <c r="BK178" s="8" t="str">
        <f t="shared" si="706"/>
        <v/>
      </c>
      <c r="BL178" s="8" t="str">
        <f t="shared" si="706"/>
        <v/>
      </c>
      <c r="BM178" s="8">
        <f t="shared" si="227"/>
        <v>0</v>
      </c>
      <c r="BN178" s="8">
        <f t="shared" si="228"/>
        <v>0</v>
      </c>
      <c r="BO178" s="8"/>
      <c r="BP178" s="8" t="str">
        <f t="shared" ref="BP178:BR178" si="707">BP71</f>
        <v>AA</v>
      </c>
      <c r="BQ178" s="8" t="str">
        <f t="shared" si="707"/>
        <v/>
      </c>
      <c r="BR178" s="8" t="str">
        <f t="shared" si="707"/>
        <v/>
      </c>
      <c r="BS178" s="8">
        <f t="shared" si="230"/>
        <v>0</v>
      </c>
      <c r="BT178" s="8">
        <f t="shared" si="231"/>
        <v>0</v>
      </c>
      <c r="BU178" s="8"/>
      <c r="BV178" s="8" t="str">
        <f t="shared" ref="BV178:BX178" si="708">BV71</f>
        <v>AA</v>
      </c>
      <c r="BW178" s="8" t="str">
        <f t="shared" si="708"/>
        <v/>
      </c>
      <c r="BX178" s="8" t="str">
        <f t="shared" si="708"/>
        <v/>
      </c>
      <c r="BY178" s="8">
        <f t="shared" si="233"/>
        <v>0</v>
      </c>
      <c r="BZ178" s="8">
        <f t="shared" si="234"/>
        <v>0</v>
      </c>
      <c r="CA178" s="8"/>
      <c r="CB178" s="8" t="str">
        <f t="shared" ref="CB178:CD178" si="709">CB71</f>
        <v>AA</v>
      </c>
      <c r="CC178" s="8" t="str">
        <f t="shared" si="709"/>
        <v/>
      </c>
      <c r="CD178" s="8" t="str">
        <f t="shared" si="709"/>
        <v/>
      </c>
      <c r="CE178" s="8">
        <f t="shared" si="236"/>
        <v>0</v>
      </c>
      <c r="CF178" s="8">
        <f t="shared" si="237"/>
        <v>0</v>
      </c>
      <c r="CG178" s="8"/>
      <c r="CH178" s="8" t="str">
        <f t="shared" ref="CH178:CJ178" si="710">CH71</f>
        <v>AA</v>
      </c>
      <c r="CI178" s="8" t="str">
        <f t="shared" si="710"/>
        <v/>
      </c>
      <c r="CJ178" s="8" t="str">
        <f t="shared" si="710"/>
        <v/>
      </c>
      <c r="CK178" s="8">
        <f t="shared" si="239"/>
        <v>0</v>
      </c>
      <c r="CL178" s="8">
        <f t="shared" si="240"/>
        <v>0</v>
      </c>
      <c r="CO178" s="8" t="str">
        <f>Hidden!$CC54</f>
        <v/>
      </c>
      <c r="CP178">
        <f t="shared" si="241"/>
        <v>0</v>
      </c>
      <c r="CQ178">
        <f t="shared" si="242"/>
        <v>0</v>
      </c>
      <c r="CR178">
        <f t="shared" si="243"/>
        <v>0</v>
      </c>
      <c r="CS178">
        <f t="shared" si="244"/>
        <v>0</v>
      </c>
      <c r="CT178">
        <f t="shared" si="245"/>
        <v>0</v>
      </c>
      <c r="CU178">
        <f t="shared" si="246"/>
        <v>0</v>
      </c>
      <c r="CV178">
        <f t="shared" si="247"/>
        <v>0</v>
      </c>
      <c r="CW178">
        <f t="shared" si="248"/>
        <v>0</v>
      </c>
      <c r="CX178">
        <f t="shared" si="249"/>
        <v>0</v>
      </c>
      <c r="CY178">
        <f t="shared" si="250"/>
        <v>0</v>
      </c>
      <c r="DT178" s="77"/>
      <c r="DU178" s="8" t="str">
        <f t="shared" si="169"/>
        <v>AAAA</v>
      </c>
      <c r="DV178" s="8" t="str">
        <f t="shared" si="170"/>
        <v/>
      </c>
      <c r="DW178" s="8" t="str">
        <f t="shared" si="171"/>
        <v/>
      </c>
      <c r="DX178" s="8">
        <f t="shared" si="431"/>
        <v>0</v>
      </c>
      <c r="DY178" s="8">
        <f t="shared" si="431"/>
        <v>0</v>
      </c>
      <c r="EA178" s="8" t="str">
        <f t="shared" si="173"/>
        <v>AAAA</v>
      </c>
      <c r="EB178" s="8" t="str">
        <f t="shared" si="174"/>
        <v/>
      </c>
      <c r="EC178" s="8" t="str">
        <f t="shared" si="175"/>
        <v/>
      </c>
      <c r="ED178">
        <f t="shared" si="432"/>
        <v>0</v>
      </c>
      <c r="EE178">
        <f t="shared" si="432"/>
        <v>0</v>
      </c>
      <c r="EG178" s="8" t="str">
        <f t="shared" si="177"/>
        <v>AAAA</v>
      </c>
      <c r="EH178" s="8" t="str">
        <f t="shared" si="178"/>
        <v/>
      </c>
      <c r="EI178" s="8" t="str">
        <f t="shared" si="179"/>
        <v/>
      </c>
      <c r="EJ178" s="8">
        <f t="shared" si="433"/>
        <v>0</v>
      </c>
      <c r="EK178" s="8">
        <f t="shared" si="433"/>
        <v>0</v>
      </c>
      <c r="EM178" s="8" t="str">
        <f t="shared" si="181"/>
        <v>AAAA</v>
      </c>
      <c r="EN178" s="8" t="str">
        <f t="shared" si="182"/>
        <v/>
      </c>
      <c r="EO178" s="8" t="str">
        <f t="shared" si="183"/>
        <v/>
      </c>
      <c r="EP178" s="8">
        <f t="shared" si="434"/>
        <v>0</v>
      </c>
      <c r="EQ178" s="8">
        <f t="shared" si="434"/>
        <v>0</v>
      </c>
      <c r="ES178" s="8" t="str">
        <f t="shared" si="185"/>
        <v>AAAA</v>
      </c>
      <c r="ET178" s="8" t="str">
        <f t="shared" si="186"/>
        <v/>
      </c>
      <c r="EU178" s="8" t="str">
        <f t="shared" si="187"/>
        <v/>
      </c>
      <c r="EV178" s="8">
        <f t="shared" si="435"/>
        <v>0</v>
      </c>
      <c r="EW178" s="8">
        <f t="shared" si="435"/>
        <v>0</v>
      </c>
      <c r="EY178" s="8" t="str">
        <f>Hidden!$CG66</f>
        <v/>
      </c>
      <c r="EZ178">
        <f t="shared" si="189"/>
        <v>0</v>
      </c>
      <c r="FA178">
        <f t="shared" si="190"/>
        <v>0</v>
      </c>
      <c r="FB178">
        <f t="shared" si="191"/>
        <v>0</v>
      </c>
      <c r="FC178">
        <f t="shared" si="192"/>
        <v>0</v>
      </c>
      <c r="FD178">
        <f t="shared" si="193"/>
        <v>0</v>
      </c>
      <c r="FE178">
        <f t="shared" si="194"/>
        <v>0</v>
      </c>
      <c r="FF178">
        <f t="shared" si="195"/>
        <v>0</v>
      </c>
      <c r="FG178">
        <f t="shared" si="196"/>
        <v>0</v>
      </c>
      <c r="FH178">
        <f t="shared" si="197"/>
        <v>0</v>
      </c>
      <c r="FI178">
        <f t="shared" si="198"/>
        <v>0</v>
      </c>
    </row>
    <row r="179" spans="1:165" x14ac:dyDescent="0.2">
      <c r="A179" s="8" t="str">
        <f t="shared" ref="A179:C179" si="711">A72</f>
        <v>AAA</v>
      </c>
      <c r="B179" s="8" t="str">
        <f t="shared" si="711"/>
        <v/>
      </c>
      <c r="C179" s="8" t="str">
        <f t="shared" si="711"/>
        <v/>
      </c>
      <c r="D179" s="8">
        <f t="shared" si="536"/>
        <v>0</v>
      </c>
      <c r="E179" s="8">
        <f t="shared" si="536"/>
        <v>0</v>
      </c>
      <c r="F179" s="8"/>
      <c r="G179" s="8" t="str">
        <f t="shared" ref="G179:I179" si="712">G72</f>
        <v>AAA</v>
      </c>
      <c r="H179" s="8" t="str">
        <f t="shared" si="712"/>
        <v/>
      </c>
      <c r="I179" s="8" t="str">
        <f t="shared" si="712"/>
        <v/>
      </c>
      <c r="J179" s="8">
        <f t="shared" si="538"/>
        <v>0</v>
      </c>
      <c r="K179" s="8">
        <f t="shared" si="538"/>
        <v>0</v>
      </c>
      <c r="L179" s="8"/>
      <c r="M179" s="8" t="str">
        <f t="shared" ref="M179:O179" si="713">M72</f>
        <v>AAA</v>
      </c>
      <c r="N179" s="8" t="str">
        <f t="shared" si="713"/>
        <v/>
      </c>
      <c r="O179" s="8" t="str">
        <f t="shared" si="713"/>
        <v/>
      </c>
      <c r="P179" s="8">
        <f t="shared" si="605"/>
        <v>0</v>
      </c>
      <c r="Q179" s="8">
        <f t="shared" si="605"/>
        <v>0</v>
      </c>
      <c r="R179" s="8"/>
      <c r="S179" s="8" t="str">
        <f t="shared" ref="S179:U179" si="714">S72</f>
        <v>AAA</v>
      </c>
      <c r="T179" s="8" t="str">
        <f t="shared" si="714"/>
        <v/>
      </c>
      <c r="U179" s="8" t="str">
        <f t="shared" si="714"/>
        <v/>
      </c>
      <c r="V179">
        <f t="shared" si="541"/>
        <v>0</v>
      </c>
      <c r="W179">
        <f t="shared" si="541"/>
        <v>0</v>
      </c>
      <c r="Y179" s="8" t="str">
        <f t="shared" si="214"/>
        <v>AAA</v>
      </c>
      <c r="Z179" s="8"/>
      <c r="AB179">
        <f t="shared" si="542"/>
        <v>0</v>
      </c>
      <c r="AC179">
        <f t="shared" si="542"/>
        <v>0</v>
      </c>
      <c r="AE179" s="8" t="str">
        <f>Hidden!$CC55</f>
        <v/>
      </c>
      <c r="AF179">
        <f t="shared" si="216"/>
        <v>0</v>
      </c>
      <c r="AG179">
        <f t="shared" si="217"/>
        <v>0</v>
      </c>
      <c r="AH179">
        <f t="shared" si="218"/>
        <v>0</v>
      </c>
      <c r="AI179">
        <f t="shared" si="219"/>
        <v>0</v>
      </c>
      <c r="AJ179">
        <f t="shared" si="220"/>
        <v>0</v>
      </c>
      <c r="AK179">
        <f t="shared" si="221"/>
        <v>0</v>
      </c>
      <c r="AL179">
        <f t="shared" si="222"/>
        <v>0</v>
      </c>
      <c r="AM179">
        <f t="shared" si="223"/>
        <v>0</v>
      </c>
      <c r="AN179">
        <f t="shared" si="224"/>
        <v>0</v>
      </c>
      <c r="AO179">
        <f t="shared" si="225"/>
        <v>0</v>
      </c>
      <c r="BJ179" s="8" t="str">
        <f t="shared" ref="BJ179:BL179" si="715">BJ72</f>
        <v>AAA</v>
      </c>
      <c r="BK179" s="8" t="str">
        <f t="shared" si="715"/>
        <v/>
      </c>
      <c r="BL179" s="8" t="str">
        <f t="shared" si="715"/>
        <v/>
      </c>
      <c r="BM179" s="8">
        <f t="shared" si="227"/>
        <v>0</v>
      </c>
      <c r="BN179" s="8">
        <f t="shared" si="228"/>
        <v>0</v>
      </c>
      <c r="BO179" s="8"/>
      <c r="BP179" s="8" t="str">
        <f t="shared" ref="BP179:BR179" si="716">BP72</f>
        <v>AAA</v>
      </c>
      <c r="BQ179" s="8" t="str">
        <f t="shared" si="716"/>
        <v/>
      </c>
      <c r="BR179" s="8" t="str">
        <f t="shared" si="716"/>
        <v/>
      </c>
      <c r="BS179" s="8">
        <f t="shared" si="230"/>
        <v>0</v>
      </c>
      <c r="BT179" s="8">
        <f t="shared" si="231"/>
        <v>0</v>
      </c>
      <c r="BU179" s="8"/>
      <c r="BV179" s="8" t="str">
        <f t="shared" ref="BV179:BX179" si="717">BV72</f>
        <v>AAA</v>
      </c>
      <c r="BW179" s="8" t="str">
        <f t="shared" si="717"/>
        <v/>
      </c>
      <c r="BX179" s="8" t="str">
        <f t="shared" si="717"/>
        <v/>
      </c>
      <c r="BY179" s="8">
        <f t="shared" si="233"/>
        <v>0</v>
      </c>
      <c r="BZ179" s="8">
        <f t="shared" si="234"/>
        <v>0</v>
      </c>
      <c r="CA179" s="8"/>
      <c r="CB179" s="8" t="str">
        <f t="shared" ref="CB179:CD179" si="718">CB72</f>
        <v>AAA</v>
      </c>
      <c r="CC179" s="8" t="str">
        <f t="shared" si="718"/>
        <v/>
      </c>
      <c r="CD179" s="8" t="str">
        <f t="shared" si="718"/>
        <v/>
      </c>
      <c r="CE179" s="8">
        <f t="shared" si="236"/>
        <v>0</v>
      </c>
      <c r="CF179" s="8">
        <f t="shared" si="237"/>
        <v>0</v>
      </c>
      <c r="CG179" s="8"/>
      <c r="CH179" s="8" t="str">
        <f t="shared" ref="CH179:CJ179" si="719">CH72</f>
        <v>AAA</v>
      </c>
      <c r="CI179" s="8" t="str">
        <f t="shared" si="719"/>
        <v/>
      </c>
      <c r="CJ179" s="8" t="str">
        <f t="shared" si="719"/>
        <v/>
      </c>
      <c r="CK179" s="8">
        <f t="shared" si="239"/>
        <v>0</v>
      </c>
      <c r="CL179" s="8">
        <f t="shared" si="240"/>
        <v>0</v>
      </c>
      <c r="CO179" s="8" t="str">
        <f>Hidden!$CC55</f>
        <v/>
      </c>
      <c r="CP179">
        <f t="shared" si="241"/>
        <v>0</v>
      </c>
      <c r="CQ179">
        <f t="shared" si="242"/>
        <v>0</v>
      </c>
      <c r="CR179">
        <f t="shared" si="243"/>
        <v>0</v>
      </c>
      <c r="CS179">
        <f t="shared" si="244"/>
        <v>0</v>
      </c>
      <c r="CT179">
        <f t="shared" si="245"/>
        <v>0</v>
      </c>
      <c r="CU179">
        <f t="shared" si="246"/>
        <v>0</v>
      </c>
      <c r="CV179">
        <f t="shared" si="247"/>
        <v>0</v>
      </c>
      <c r="CW179">
        <f t="shared" si="248"/>
        <v>0</v>
      </c>
      <c r="CX179">
        <f t="shared" si="249"/>
        <v>0</v>
      </c>
      <c r="CY179">
        <f t="shared" si="250"/>
        <v>0</v>
      </c>
      <c r="DT179" s="77"/>
      <c r="DU179" s="8" t="str">
        <f t="shared" si="169"/>
        <v>AAAAA</v>
      </c>
      <c r="DV179" s="8" t="str">
        <f t="shared" si="170"/>
        <v/>
      </c>
      <c r="DW179" s="8" t="str">
        <f t="shared" si="171"/>
        <v/>
      </c>
      <c r="DX179" s="8">
        <f t="shared" si="431"/>
        <v>0</v>
      </c>
      <c r="DY179" s="8">
        <f t="shared" si="431"/>
        <v>0</v>
      </c>
      <c r="EA179" s="8" t="str">
        <f t="shared" si="173"/>
        <v>AAAAA</v>
      </c>
      <c r="EB179" s="8" t="str">
        <f t="shared" si="174"/>
        <v/>
      </c>
      <c r="EC179" s="8" t="str">
        <f t="shared" si="175"/>
        <v/>
      </c>
      <c r="ED179">
        <f t="shared" si="432"/>
        <v>0</v>
      </c>
      <c r="EE179">
        <f t="shared" si="432"/>
        <v>0</v>
      </c>
      <c r="EG179" s="8" t="str">
        <f t="shared" si="177"/>
        <v>AAAAA</v>
      </c>
      <c r="EH179" s="8" t="str">
        <f t="shared" si="178"/>
        <v/>
      </c>
      <c r="EI179" s="8" t="str">
        <f t="shared" si="179"/>
        <v/>
      </c>
      <c r="EJ179" s="8">
        <f t="shared" si="433"/>
        <v>0</v>
      </c>
      <c r="EK179" s="8">
        <f t="shared" si="433"/>
        <v>0</v>
      </c>
      <c r="EM179" s="8" t="str">
        <f t="shared" si="181"/>
        <v>AAAAA</v>
      </c>
      <c r="EN179" s="8" t="str">
        <f t="shared" si="182"/>
        <v/>
      </c>
      <c r="EO179" s="8" t="str">
        <f t="shared" si="183"/>
        <v/>
      </c>
      <c r="EP179" s="8">
        <f t="shared" si="434"/>
        <v>0</v>
      </c>
      <c r="EQ179" s="8">
        <f t="shared" si="434"/>
        <v>0</v>
      </c>
      <c r="ES179" s="8" t="str">
        <f t="shared" si="185"/>
        <v>AAAAA</v>
      </c>
      <c r="ET179" s="8" t="str">
        <f t="shared" si="186"/>
        <v/>
      </c>
      <c r="EU179" s="8" t="str">
        <f t="shared" si="187"/>
        <v/>
      </c>
      <c r="EV179" s="8">
        <f t="shared" si="435"/>
        <v>0</v>
      </c>
      <c r="EW179" s="8">
        <f t="shared" si="435"/>
        <v>0</v>
      </c>
      <c r="EY179" s="8" t="str">
        <f>Hidden!$CG67</f>
        <v/>
      </c>
      <c r="EZ179">
        <f t="shared" si="189"/>
        <v>0</v>
      </c>
      <c r="FA179">
        <f t="shared" si="190"/>
        <v>0</v>
      </c>
      <c r="FB179">
        <f t="shared" si="191"/>
        <v>0</v>
      </c>
      <c r="FC179">
        <f t="shared" si="192"/>
        <v>0</v>
      </c>
      <c r="FD179">
        <f t="shared" si="193"/>
        <v>0</v>
      </c>
      <c r="FE179">
        <f t="shared" si="194"/>
        <v>0</v>
      </c>
      <c r="FF179">
        <f t="shared" si="195"/>
        <v>0</v>
      </c>
      <c r="FG179">
        <f t="shared" si="196"/>
        <v>0</v>
      </c>
      <c r="FH179">
        <f t="shared" si="197"/>
        <v>0</v>
      </c>
      <c r="FI179">
        <f t="shared" si="198"/>
        <v>0</v>
      </c>
    </row>
    <row r="180" spans="1:165" x14ac:dyDescent="0.2">
      <c r="A180" s="8" t="str">
        <f t="shared" ref="A180:C180" si="720">A73</f>
        <v>AAAA</v>
      </c>
      <c r="B180" s="8" t="str">
        <f t="shared" si="720"/>
        <v/>
      </c>
      <c r="C180" s="8" t="str">
        <f t="shared" si="720"/>
        <v/>
      </c>
      <c r="D180" s="8">
        <f t="shared" si="536"/>
        <v>0</v>
      </c>
      <c r="E180" s="8">
        <f t="shared" si="536"/>
        <v>0</v>
      </c>
      <c r="F180" s="8"/>
      <c r="G180" s="8" t="str">
        <f t="shared" ref="G180:I180" si="721">G73</f>
        <v>AAAA</v>
      </c>
      <c r="H180" s="8" t="str">
        <f t="shared" si="721"/>
        <v/>
      </c>
      <c r="I180" s="8" t="str">
        <f t="shared" si="721"/>
        <v/>
      </c>
      <c r="J180" s="8">
        <f t="shared" si="538"/>
        <v>0</v>
      </c>
      <c r="K180" s="8">
        <f t="shared" si="538"/>
        <v>0</v>
      </c>
      <c r="L180" s="8"/>
      <c r="M180" s="8" t="str">
        <f t="shared" ref="M180:O180" si="722">M73</f>
        <v>AAAA</v>
      </c>
      <c r="N180" s="8" t="str">
        <f t="shared" si="722"/>
        <v/>
      </c>
      <c r="O180" s="8" t="str">
        <f t="shared" si="722"/>
        <v/>
      </c>
      <c r="P180" s="8">
        <f t="shared" si="605"/>
        <v>0</v>
      </c>
      <c r="Q180" s="8">
        <f t="shared" si="605"/>
        <v>0</v>
      </c>
      <c r="R180" s="8"/>
      <c r="S180" s="8" t="str">
        <f t="shared" ref="S180:U180" si="723">S73</f>
        <v>AAAA</v>
      </c>
      <c r="T180" s="8" t="str">
        <f t="shared" si="723"/>
        <v/>
      </c>
      <c r="U180" s="8" t="str">
        <f t="shared" si="723"/>
        <v/>
      </c>
      <c r="V180">
        <f t="shared" si="541"/>
        <v>0</v>
      </c>
      <c r="W180">
        <f t="shared" si="541"/>
        <v>0</v>
      </c>
      <c r="Y180" s="8" t="str">
        <f t="shared" si="214"/>
        <v>AAAA</v>
      </c>
      <c r="Z180" s="8"/>
      <c r="AB180">
        <f t="shared" si="542"/>
        <v>0</v>
      </c>
      <c r="AC180">
        <f t="shared" si="542"/>
        <v>0</v>
      </c>
      <c r="AE180" s="8" t="str">
        <f>Hidden!$CC56</f>
        <v/>
      </c>
      <c r="AF180">
        <f t="shared" si="216"/>
        <v>0</v>
      </c>
      <c r="AG180">
        <f t="shared" si="217"/>
        <v>0</v>
      </c>
      <c r="AH180">
        <f t="shared" si="218"/>
        <v>0</v>
      </c>
      <c r="AI180">
        <f t="shared" si="219"/>
        <v>0</v>
      </c>
      <c r="AJ180">
        <f t="shared" si="220"/>
        <v>0</v>
      </c>
      <c r="AK180">
        <f t="shared" si="221"/>
        <v>0</v>
      </c>
      <c r="AL180">
        <f t="shared" si="222"/>
        <v>0</v>
      </c>
      <c r="AM180">
        <f t="shared" si="223"/>
        <v>0</v>
      </c>
      <c r="AN180">
        <f t="shared" si="224"/>
        <v>0</v>
      </c>
      <c r="AO180">
        <f t="shared" si="225"/>
        <v>0</v>
      </c>
      <c r="BJ180" s="8" t="str">
        <f t="shared" ref="BJ180:BL180" si="724">BJ73</f>
        <v>AAAA</v>
      </c>
      <c r="BK180" s="8" t="str">
        <f t="shared" si="724"/>
        <v/>
      </c>
      <c r="BL180" s="8" t="str">
        <f t="shared" si="724"/>
        <v/>
      </c>
      <c r="BM180" s="8">
        <f t="shared" si="227"/>
        <v>0</v>
      </c>
      <c r="BN180" s="8">
        <f t="shared" si="228"/>
        <v>0</v>
      </c>
      <c r="BO180" s="8"/>
      <c r="BP180" s="8" t="str">
        <f t="shared" ref="BP180:BR180" si="725">BP73</f>
        <v>AAAA</v>
      </c>
      <c r="BQ180" s="8" t="str">
        <f t="shared" si="725"/>
        <v/>
      </c>
      <c r="BR180" s="8" t="str">
        <f t="shared" si="725"/>
        <v/>
      </c>
      <c r="BS180" s="8">
        <f t="shared" si="230"/>
        <v>0</v>
      </c>
      <c r="BT180" s="8">
        <f t="shared" si="231"/>
        <v>0</v>
      </c>
      <c r="BU180" s="8"/>
      <c r="BV180" s="8" t="str">
        <f t="shared" ref="BV180:BX180" si="726">BV73</f>
        <v>AAAA</v>
      </c>
      <c r="BW180" s="8" t="str">
        <f t="shared" si="726"/>
        <v/>
      </c>
      <c r="BX180" s="8" t="str">
        <f t="shared" si="726"/>
        <v/>
      </c>
      <c r="BY180" s="8">
        <f t="shared" si="233"/>
        <v>0</v>
      </c>
      <c r="BZ180" s="8">
        <f t="shared" si="234"/>
        <v>0</v>
      </c>
      <c r="CA180" s="8"/>
      <c r="CB180" s="8" t="str">
        <f t="shared" ref="CB180:CD180" si="727">CB73</f>
        <v>AAAA</v>
      </c>
      <c r="CC180" s="8" t="str">
        <f t="shared" si="727"/>
        <v/>
      </c>
      <c r="CD180" s="8" t="str">
        <f t="shared" si="727"/>
        <v/>
      </c>
      <c r="CE180" s="8">
        <f t="shared" si="236"/>
        <v>0</v>
      </c>
      <c r="CF180" s="8">
        <f t="shared" si="237"/>
        <v>0</v>
      </c>
      <c r="CG180" s="8"/>
      <c r="CH180" s="8" t="str">
        <f t="shared" ref="CH180:CJ180" si="728">CH73</f>
        <v>AAAA</v>
      </c>
      <c r="CI180" s="8" t="str">
        <f t="shared" si="728"/>
        <v/>
      </c>
      <c r="CJ180" s="8" t="str">
        <f t="shared" si="728"/>
        <v/>
      </c>
      <c r="CK180" s="8">
        <f t="shared" si="239"/>
        <v>0</v>
      </c>
      <c r="CL180" s="8">
        <f t="shared" si="240"/>
        <v>0</v>
      </c>
      <c r="CO180" s="8" t="str">
        <f>Hidden!$CC56</f>
        <v/>
      </c>
      <c r="CP180">
        <f t="shared" si="241"/>
        <v>0</v>
      </c>
      <c r="CQ180">
        <f t="shared" si="242"/>
        <v>0</v>
      </c>
      <c r="CR180">
        <f t="shared" si="243"/>
        <v>0</v>
      </c>
      <c r="CS180">
        <f t="shared" si="244"/>
        <v>0</v>
      </c>
      <c r="CT180">
        <f t="shared" si="245"/>
        <v>0</v>
      </c>
      <c r="CU180">
        <f t="shared" si="246"/>
        <v>0</v>
      </c>
      <c r="CV180">
        <f t="shared" si="247"/>
        <v>0</v>
      </c>
      <c r="CW180">
        <f t="shared" si="248"/>
        <v>0</v>
      </c>
      <c r="CX180">
        <f t="shared" si="249"/>
        <v>0</v>
      </c>
      <c r="CY180">
        <f t="shared" si="250"/>
        <v>0</v>
      </c>
      <c r="DT180" s="77"/>
      <c r="DU180" s="8" t="str">
        <f t="shared" ref="DU180:DU214" si="729">A85</f>
        <v>AAAAAA</v>
      </c>
      <c r="DV180" s="8" t="str">
        <f t="shared" ref="DV180:DV214" si="730">B85</f>
        <v/>
      </c>
      <c r="DW180" s="8" t="str">
        <f t="shared" ref="DW180:DW214" si="731">C85</f>
        <v/>
      </c>
      <c r="DX180" s="8">
        <f t="shared" ref="DX180:DY214" si="732">IF($DW180="",0,$DW180*DX$112)</f>
        <v>0</v>
      </c>
      <c r="DY180" s="8">
        <f t="shared" si="732"/>
        <v>0</v>
      </c>
      <c r="EA180" s="8" t="str">
        <f t="shared" ref="EA180:EA214" si="733">G85</f>
        <v>AAAAAA</v>
      </c>
      <c r="EB180" s="8" t="str">
        <f t="shared" ref="EB180:EB214" si="734">H85</f>
        <v/>
      </c>
      <c r="EC180" s="8" t="str">
        <f t="shared" ref="EC180:EC214" si="735">I85</f>
        <v/>
      </c>
      <c r="ED180">
        <f t="shared" ref="ED180:EE214" si="736">IF($EC180="",0,$EC180*ED$112)</f>
        <v>0</v>
      </c>
      <c r="EE180">
        <f t="shared" si="736"/>
        <v>0</v>
      </c>
      <c r="EG180" s="8" t="str">
        <f t="shared" ref="EG180:EG214" si="737">M85</f>
        <v>AAAAAA</v>
      </c>
      <c r="EH180" s="8" t="str">
        <f t="shared" ref="EH180:EH214" si="738">N85</f>
        <v/>
      </c>
      <c r="EI180" s="8" t="str">
        <f t="shared" ref="EI180:EI214" si="739">O85</f>
        <v/>
      </c>
      <c r="EJ180" s="8">
        <f t="shared" ref="EJ180:EK214" si="740">IF($EI180="",0,$EI180*EJ$112)</f>
        <v>0</v>
      </c>
      <c r="EK180" s="8">
        <f t="shared" si="740"/>
        <v>0</v>
      </c>
      <c r="EM180" s="8" t="str">
        <f t="shared" ref="EM180:EM214" si="741">S85</f>
        <v>AAAAAA</v>
      </c>
      <c r="EN180" s="8" t="str">
        <f t="shared" ref="EN180:EN214" si="742">T85</f>
        <v/>
      </c>
      <c r="EO180" s="8" t="str">
        <f t="shared" ref="EO180:EO214" si="743">U85</f>
        <v/>
      </c>
      <c r="EP180" s="8">
        <f t="shared" ref="EP180:EQ214" si="744">IF($EO180="",0,$EO180*EP$112)</f>
        <v>0</v>
      </c>
      <c r="EQ180" s="8">
        <f t="shared" si="744"/>
        <v>0</v>
      </c>
      <c r="ES180" s="8" t="str">
        <f t="shared" ref="ES180:ES214" si="745">Y85</f>
        <v>AAAAAA</v>
      </c>
      <c r="ET180" s="8" t="str">
        <f t="shared" ref="ET180:ET214" si="746">Z85</f>
        <v/>
      </c>
      <c r="EU180" s="8" t="str">
        <f t="shared" ref="EU180:EU214" si="747">AA85</f>
        <v/>
      </c>
      <c r="EV180" s="8">
        <f t="shared" ref="EV180:EW214" si="748">IF($EU180="",0,$EU180*EV$112)</f>
        <v>0</v>
      </c>
      <c r="EW180" s="8">
        <f t="shared" si="748"/>
        <v>0</v>
      </c>
      <c r="EY180" s="8" t="str">
        <f>Hidden!$CG68</f>
        <v/>
      </c>
      <c r="EZ180">
        <f t="shared" ref="EZ180:EZ214" si="749">IF(EZ$112,_xlfn.MAXIFS($DX$115:$DX$214,$DV$115:$DV$214,$EY180),0)</f>
        <v>0</v>
      </c>
      <c r="FA180">
        <f t="shared" ref="FA180:FA214" si="750">IF(FA$112,_xlfn.MAXIFS($ED$115:$ED$214,$EB$115:$EB$214,$EY180),0)</f>
        <v>0</v>
      </c>
      <c r="FB180">
        <f t="shared" ref="FB180:FB214" si="751">IF(FB$112,_xlfn.MAXIFS($EJ$115:$EJ$214,$EH$115:$EH$214,$EY180),0)</f>
        <v>0</v>
      </c>
      <c r="FC180">
        <f t="shared" ref="FC180:FC214" si="752">IF(FC$112,_xlfn.MAXIFS($EP$115:$EP$214,$EN$115:$EN$214,$EY180),0)</f>
        <v>0</v>
      </c>
      <c r="FD180">
        <f t="shared" ref="FD180:FD214" si="753">IF(FD$112,_xlfn.MAXIFS($EV$115:$EV$214,$ET$115:$ET$214,$EY180),0)</f>
        <v>0</v>
      </c>
      <c r="FE180">
        <f t="shared" ref="FE180:FE214" si="754">IF(FE$112,SUMIF($DV$115:$DV$214,$EY180,$DY$115:$DY$214),0)</f>
        <v>0</v>
      </c>
      <c r="FF180">
        <f t="shared" ref="FF180:FF214" si="755">IF(FF$112,SUMIF($EB$115:$EB$214,$EY180,$EE$115:$EE$214),0)</f>
        <v>0</v>
      </c>
      <c r="FG180">
        <f t="shared" ref="FG180:FG214" si="756">IF(FG$112,SUMIF($EH$115:$EH$214,$EY180,$EK$115:$EK$214),0)</f>
        <v>0</v>
      </c>
      <c r="FH180">
        <f t="shared" ref="FH180:FH214" si="757">IF(FH$112,SUMIF($EN$115:$EN$214,$EY180,$EQ$115:$EQ$214),0)</f>
        <v>0</v>
      </c>
      <c r="FI180">
        <f t="shared" ref="FI180:FI214" si="758">IF(FI$112,SUMIF($ET$115:$ET$214,$EY180,$EW$115:$EW$214),0)</f>
        <v>0</v>
      </c>
    </row>
    <row r="181" spans="1:165" x14ac:dyDescent="0.2">
      <c r="A181" s="8" t="str">
        <f t="shared" ref="A181:C181" si="759">A74</f>
        <v>AAAAA</v>
      </c>
      <c r="B181" s="8" t="str">
        <f t="shared" si="759"/>
        <v/>
      </c>
      <c r="C181" s="8" t="str">
        <f t="shared" si="759"/>
        <v/>
      </c>
      <c r="D181" s="8">
        <f t="shared" si="536"/>
        <v>0</v>
      </c>
      <c r="E181" s="8">
        <f t="shared" si="536"/>
        <v>0</v>
      </c>
      <c r="F181" s="8"/>
      <c r="G181" s="8" t="str">
        <f t="shared" ref="G181:I181" si="760">G74</f>
        <v>AAAAA</v>
      </c>
      <c r="H181" s="8" t="str">
        <f t="shared" si="760"/>
        <v/>
      </c>
      <c r="I181" s="8" t="str">
        <f t="shared" si="760"/>
        <v/>
      </c>
      <c r="J181" s="8">
        <f t="shared" si="538"/>
        <v>0</v>
      </c>
      <c r="K181" s="8">
        <f t="shared" si="538"/>
        <v>0</v>
      </c>
      <c r="L181" s="8"/>
      <c r="M181" s="8" t="str">
        <f t="shared" ref="M181:O181" si="761">M74</f>
        <v>AAAAA</v>
      </c>
      <c r="N181" s="8" t="str">
        <f t="shared" si="761"/>
        <v/>
      </c>
      <c r="O181" s="8" t="str">
        <f t="shared" si="761"/>
        <v/>
      </c>
      <c r="P181" s="8">
        <f t="shared" si="605"/>
        <v>0</v>
      </c>
      <c r="Q181" s="8">
        <f t="shared" si="605"/>
        <v>0</v>
      </c>
      <c r="R181" s="8"/>
      <c r="S181" s="8" t="str">
        <f t="shared" ref="S181:U181" si="762">S74</f>
        <v>AAAAA</v>
      </c>
      <c r="T181" s="8" t="str">
        <f t="shared" si="762"/>
        <v/>
      </c>
      <c r="U181" s="8" t="str">
        <f t="shared" si="762"/>
        <v/>
      </c>
      <c r="V181">
        <f t="shared" si="541"/>
        <v>0</v>
      </c>
      <c r="W181">
        <f t="shared" si="541"/>
        <v>0</v>
      </c>
      <c r="Y181" s="8" t="str">
        <f t="shared" si="214"/>
        <v>AAAAA</v>
      </c>
      <c r="Z181" s="8"/>
      <c r="AB181">
        <f t="shared" si="542"/>
        <v>0</v>
      </c>
      <c r="AC181">
        <f t="shared" si="542"/>
        <v>0</v>
      </c>
      <c r="AE181" s="8" t="str">
        <f>Hidden!$CC57</f>
        <v/>
      </c>
      <c r="AF181">
        <f t="shared" si="216"/>
        <v>0</v>
      </c>
      <c r="AG181">
        <f t="shared" si="217"/>
        <v>0</v>
      </c>
      <c r="AH181">
        <f t="shared" si="218"/>
        <v>0</v>
      </c>
      <c r="AI181">
        <f t="shared" si="219"/>
        <v>0</v>
      </c>
      <c r="AJ181">
        <f t="shared" si="220"/>
        <v>0</v>
      </c>
      <c r="AK181">
        <f t="shared" si="221"/>
        <v>0</v>
      </c>
      <c r="AL181">
        <f t="shared" si="222"/>
        <v>0</v>
      </c>
      <c r="AM181">
        <f t="shared" si="223"/>
        <v>0</v>
      </c>
      <c r="AN181">
        <f t="shared" si="224"/>
        <v>0</v>
      </c>
      <c r="AO181">
        <f t="shared" si="225"/>
        <v>0</v>
      </c>
      <c r="BJ181" s="8" t="str">
        <f t="shared" ref="BJ181:BL181" si="763">BJ74</f>
        <v>AAAAA</v>
      </c>
      <c r="BK181" s="8" t="str">
        <f t="shared" si="763"/>
        <v/>
      </c>
      <c r="BL181" s="8" t="str">
        <f t="shared" si="763"/>
        <v/>
      </c>
      <c r="BM181" s="8">
        <f t="shared" si="227"/>
        <v>0</v>
      </c>
      <c r="BN181" s="8">
        <f t="shared" si="228"/>
        <v>0</v>
      </c>
      <c r="BO181" s="8"/>
      <c r="BP181" s="8" t="str">
        <f t="shared" ref="BP181:BR181" si="764">BP74</f>
        <v>AAAAA</v>
      </c>
      <c r="BQ181" s="8" t="str">
        <f t="shared" si="764"/>
        <v/>
      </c>
      <c r="BR181" s="8" t="str">
        <f t="shared" si="764"/>
        <v/>
      </c>
      <c r="BS181" s="8">
        <f t="shared" si="230"/>
        <v>0</v>
      </c>
      <c r="BT181" s="8">
        <f t="shared" si="231"/>
        <v>0</v>
      </c>
      <c r="BU181" s="8"/>
      <c r="BV181" s="8" t="str">
        <f t="shared" ref="BV181:BX181" si="765">BV74</f>
        <v>AAAAA</v>
      </c>
      <c r="BW181" s="8" t="str">
        <f t="shared" si="765"/>
        <v/>
      </c>
      <c r="BX181" s="8" t="str">
        <f t="shared" si="765"/>
        <v/>
      </c>
      <c r="BY181" s="8">
        <f t="shared" si="233"/>
        <v>0</v>
      </c>
      <c r="BZ181" s="8">
        <f t="shared" si="234"/>
        <v>0</v>
      </c>
      <c r="CA181" s="8"/>
      <c r="CB181" s="8" t="str">
        <f t="shared" ref="CB181:CD181" si="766">CB74</f>
        <v>AAAAA</v>
      </c>
      <c r="CC181" s="8" t="str">
        <f t="shared" si="766"/>
        <v/>
      </c>
      <c r="CD181" s="8" t="str">
        <f t="shared" si="766"/>
        <v/>
      </c>
      <c r="CE181" s="8">
        <f t="shared" si="236"/>
        <v>0</v>
      </c>
      <c r="CF181" s="8">
        <f t="shared" si="237"/>
        <v>0</v>
      </c>
      <c r="CG181" s="8"/>
      <c r="CH181" s="8" t="str">
        <f t="shared" ref="CH181:CJ181" si="767">CH74</f>
        <v>AAAAA</v>
      </c>
      <c r="CI181" s="8" t="str">
        <f t="shared" si="767"/>
        <v/>
      </c>
      <c r="CJ181" s="8" t="str">
        <f t="shared" si="767"/>
        <v/>
      </c>
      <c r="CK181" s="8">
        <f t="shared" si="239"/>
        <v>0</v>
      </c>
      <c r="CL181" s="8">
        <f t="shared" si="240"/>
        <v>0</v>
      </c>
      <c r="CO181" s="8" t="str">
        <f>Hidden!$CC57</f>
        <v/>
      </c>
      <c r="CP181">
        <f t="shared" si="241"/>
        <v>0</v>
      </c>
      <c r="CQ181">
        <f t="shared" si="242"/>
        <v>0</v>
      </c>
      <c r="CR181">
        <f t="shared" si="243"/>
        <v>0</v>
      </c>
      <c r="CS181">
        <f t="shared" si="244"/>
        <v>0</v>
      </c>
      <c r="CT181">
        <f t="shared" si="245"/>
        <v>0</v>
      </c>
      <c r="CU181">
        <f t="shared" si="246"/>
        <v>0</v>
      </c>
      <c r="CV181">
        <f t="shared" si="247"/>
        <v>0</v>
      </c>
      <c r="CW181">
        <f t="shared" si="248"/>
        <v>0</v>
      </c>
      <c r="CX181">
        <f t="shared" si="249"/>
        <v>0</v>
      </c>
      <c r="CY181">
        <f t="shared" si="250"/>
        <v>0</v>
      </c>
      <c r="DT181" s="77"/>
      <c r="DU181" s="8" t="str">
        <f t="shared" si="729"/>
        <v>AAAAAAA</v>
      </c>
      <c r="DV181" s="8" t="str">
        <f t="shared" si="730"/>
        <v/>
      </c>
      <c r="DW181" s="8" t="str">
        <f t="shared" si="731"/>
        <v/>
      </c>
      <c r="DX181" s="8">
        <f t="shared" si="732"/>
        <v>0</v>
      </c>
      <c r="DY181" s="8">
        <f t="shared" si="732"/>
        <v>0</v>
      </c>
      <c r="EA181" s="8" t="str">
        <f t="shared" si="733"/>
        <v>AAAAAAA</v>
      </c>
      <c r="EB181" s="8" t="str">
        <f t="shared" si="734"/>
        <v/>
      </c>
      <c r="EC181" s="8" t="str">
        <f t="shared" si="735"/>
        <v/>
      </c>
      <c r="ED181">
        <f t="shared" si="736"/>
        <v>0</v>
      </c>
      <c r="EE181">
        <f t="shared" si="736"/>
        <v>0</v>
      </c>
      <c r="EG181" s="8" t="str">
        <f t="shared" si="737"/>
        <v>AAAAAAA</v>
      </c>
      <c r="EH181" s="8" t="str">
        <f t="shared" si="738"/>
        <v/>
      </c>
      <c r="EI181" s="8" t="str">
        <f t="shared" si="739"/>
        <v/>
      </c>
      <c r="EJ181" s="8">
        <f t="shared" si="740"/>
        <v>0</v>
      </c>
      <c r="EK181" s="8">
        <f t="shared" si="740"/>
        <v>0</v>
      </c>
      <c r="EM181" s="8" t="str">
        <f t="shared" si="741"/>
        <v>AAAAAAA</v>
      </c>
      <c r="EN181" s="8" t="str">
        <f t="shared" si="742"/>
        <v/>
      </c>
      <c r="EO181" s="8" t="str">
        <f t="shared" si="743"/>
        <v/>
      </c>
      <c r="EP181" s="8">
        <f t="shared" si="744"/>
        <v>0</v>
      </c>
      <c r="EQ181" s="8">
        <f t="shared" si="744"/>
        <v>0</v>
      </c>
      <c r="ES181" s="8" t="str">
        <f t="shared" si="745"/>
        <v>AAAAAAA</v>
      </c>
      <c r="ET181" s="8" t="str">
        <f t="shared" si="746"/>
        <v/>
      </c>
      <c r="EU181" s="8" t="str">
        <f t="shared" si="747"/>
        <v/>
      </c>
      <c r="EV181" s="8">
        <f t="shared" si="748"/>
        <v>0</v>
      </c>
      <c r="EW181" s="8">
        <f t="shared" si="748"/>
        <v>0</v>
      </c>
      <c r="EY181" s="8" t="str">
        <f>Hidden!$CG69</f>
        <v/>
      </c>
      <c r="EZ181">
        <f t="shared" si="749"/>
        <v>0</v>
      </c>
      <c r="FA181">
        <f t="shared" si="750"/>
        <v>0</v>
      </c>
      <c r="FB181">
        <f t="shared" si="751"/>
        <v>0</v>
      </c>
      <c r="FC181">
        <f t="shared" si="752"/>
        <v>0</v>
      </c>
      <c r="FD181">
        <f t="shared" si="753"/>
        <v>0</v>
      </c>
      <c r="FE181">
        <f t="shared" si="754"/>
        <v>0</v>
      </c>
      <c r="FF181">
        <f t="shared" si="755"/>
        <v>0</v>
      </c>
      <c r="FG181">
        <f t="shared" si="756"/>
        <v>0</v>
      </c>
      <c r="FH181">
        <f t="shared" si="757"/>
        <v>0</v>
      </c>
      <c r="FI181">
        <f t="shared" si="758"/>
        <v>0</v>
      </c>
    </row>
    <row r="182" spans="1:165" x14ac:dyDescent="0.2">
      <c r="A182" s="8" t="str">
        <f t="shared" ref="A182:C182" si="768">A75</f>
        <v>AAAAAA</v>
      </c>
      <c r="B182" s="8" t="str">
        <f t="shared" si="768"/>
        <v/>
      </c>
      <c r="C182" s="8" t="str">
        <f t="shared" si="768"/>
        <v/>
      </c>
      <c r="D182" s="8">
        <f t="shared" si="536"/>
        <v>0</v>
      </c>
      <c r="E182" s="8">
        <f t="shared" si="536"/>
        <v>0</v>
      </c>
      <c r="F182" s="8"/>
      <c r="G182" s="8" t="str">
        <f t="shared" ref="G182:I182" si="769">G75</f>
        <v>AAAAAA</v>
      </c>
      <c r="H182" s="8" t="str">
        <f t="shared" si="769"/>
        <v/>
      </c>
      <c r="I182" s="8" t="str">
        <f t="shared" si="769"/>
        <v/>
      </c>
      <c r="J182" s="8">
        <f t="shared" si="538"/>
        <v>0</v>
      </c>
      <c r="K182" s="8">
        <f t="shared" si="538"/>
        <v>0</v>
      </c>
      <c r="L182" s="8"/>
      <c r="M182" s="8" t="str">
        <f t="shared" ref="M182:O182" si="770">M75</f>
        <v>AAAAAA</v>
      </c>
      <c r="N182" s="8" t="str">
        <f t="shared" si="770"/>
        <v/>
      </c>
      <c r="O182" s="8" t="str">
        <f t="shared" si="770"/>
        <v/>
      </c>
      <c r="P182" s="8">
        <f t="shared" si="605"/>
        <v>0</v>
      </c>
      <c r="Q182" s="8">
        <f t="shared" si="605"/>
        <v>0</v>
      </c>
      <c r="R182" s="8"/>
      <c r="S182" s="8" t="str">
        <f t="shared" ref="S182:U182" si="771">S75</f>
        <v>AAAAAA</v>
      </c>
      <c r="T182" s="8" t="str">
        <f t="shared" si="771"/>
        <v/>
      </c>
      <c r="U182" s="8" t="str">
        <f t="shared" si="771"/>
        <v/>
      </c>
      <c r="V182">
        <f t="shared" si="541"/>
        <v>0</v>
      </c>
      <c r="W182">
        <f t="shared" si="541"/>
        <v>0</v>
      </c>
      <c r="Y182" s="8" t="str">
        <f t="shared" si="214"/>
        <v>AAAAAA</v>
      </c>
      <c r="Z182" s="8"/>
      <c r="AB182">
        <f t="shared" si="542"/>
        <v>0</v>
      </c>
      <c r="AC182">
        <f t="shared" si="542"/>
        <v>0</v>
      </c>
      <c r="AE182" s="8" t="str">
        <f>Hidden!$CC58</f>
        <v/>
      </c>
      <c r="AF182">
        <f t="shared" si="216"/>
        <v>0</v>
      </c>
      <c r="AG182">
        <f t="shared" si="217"/>
        <v>0</v>
      </c>
      <c r="AH182">
        <f t="shared" si="218"/>
        <v>0</v>
      </c>
      <c r="AI182">
        <f t="shared" si="219"/>
        <v>0</v>
      </c>
      <c r="AJ182">
        <f t="shared" si="220"/>
        <v>0</v>
      </c>
      <c r="AK182">
        <f t="shared" si="221"/>
        <v>0</v>
      </c>
      <c r="AL182">
        <f t="shared" si="222"/>
        <v>0</v>
      </c>
      <c r="AM182">
        <f t="shared" si="223"/>
        <v>0</v>
      </c>
      <c r="AN182">
        <f t="shared" si="224"/>
        <v>0</v>
      </c>
      <c r="AO182">
        <f t="shared" si="225"/>
        <v>0</v>
      </c>
      <c r="BJ182" s="8" t="str">
        <f t="shared" ref="BJ182:BL182" si="772">BJ75</f>
        <v>AAAAAA</v>
      </c>
      <c r="BK182" s="8" t="str">
        <f t="shared" si="772"/>
        <v/>
      </c>
      <c r="BL182" s="8" t="str">
        <f t="shared" si="772"/>
        <v/>
      </c>
      <c r="BM182" s="8">
        <f t="shared" si="227"/>
        <v>0</v>
      </c>
      <c r="BN182" s="8">
        <f t="shared" si="228"/>
        <v>0</v>
      </c>
      <c r="BO182" s="8"/>
      <c r="BP182" s="8" t="str">
        <f t="shared" ref="BP182:BR182" si="773">BP75</f>
        <v>AAAAAA</v>
      </c>
      <c r="BQ182" s="8" t="str">
        <f t="shared" si="773"/>
        <v/>
      </c>
      <c r="BR182" s="8" t="str">
        <f t="shared" si="773"/>
        <v/>
      </c>
      <c r="BS182" s="8">
        <f t="shared" si="230"/>
        <v>0</v>
      </c>
      <c r="BT182" s="8">
        <f t="shared" si="231"/>
        <v>0</v>
      </c>
      <c r="BU182" s="8"/>
      <c r="BV182" s="8" t="str">
        <f t="shared" ref="BV182:BX182" si="774">BV75</f>
        <v>AAAAAA</v>
      </c>
      <c r="BW182" s="8" t="str">
        <f t="shared" si="774"/>
        <v/>
      </c>
      <c r="BX182" s="8" t="str">
        <f t="shared" si="774"/>
        <v/>
      </c>
      <c r="BY182" s="8">
        <f t="shared" si="233"/>
        <v>0</v>
      </c>
      <c r="BZ182" s="8">
        <f t="shared" si="234"/>
        <v>0</v>
      </c>
      <c r="CA182" s="8"/>
      <c r="CB182" s="8" t="str">
        <f t="shared" ref="CB182:CD182" si="775">CB75</f>
        <v>AAAAAA</v>
      </c>
      <c r="CC182" s="8" t="str">
        <f t="shared" si="775"/>
        <v/>
      </c>
      <c r="CD182" s="8" t="str">
        <f t="shared" si="775"/>
        <v/>
      </c>
      <c r="CE182" s="8">
        <f t="shared" si="236"/>
        <v>0</v>
      </c>
      <c r="CF182" s="8">
        <f t="shared" si="237"/>
        <v>0</v>
      </c>
      <c r="CG182" s="8"/>
      <c r="CH182" s="8" t="str">
        <f t="shared" ref="CH182:CJ182" si="776">CH75</f>
        <v>AAAAAA</v>
      </c>
      <c r="CI182" s="8" t="str">
        <f t="shared" si="776"/>
        <v/>
      </c>
      <c r="CJ182" s="8" t="str">
        <f t="shared" si="776"/>
        <v/>
      </c>
      <c r="CK182" s="8">
        <f t="shared" si="239"/>
        <v>0</v>
      </c>
      <c r="CL182" s="8">
        <f t="shared" si="240"/>
        <v>0</v>
      </c>
      <c r="CO182" s="8" t="str">
        <f>Hidden!$CC58</f>
        <v/>
      </c>
      <c r="CP182">
        <f t="shared" si="241"/>
        <v>0</v>
      </c>
      <c r="CQ182">
        <f t="shared" si="242"/>
        <v>0</v>
      </c>
      <c r="CR182">
        <f t="shared" si="243"/>
        <v>0</v>
      </c>
      <c r="CS182">
        <f t="shared" si="244"/>
        <v>0</v>
      </c>
      <c r="CT182">
        <f t="shared" si="245"/>
        <v>0</v>
      </c>
      <c r="CU182">
        <f t="shared" si="246"/>
        <v>0</v>
      </c>
      <c r="CV182">
        <f t="shared" si="247"/>
        <v>0</v>
      </c>
      <c r="CW182">
        <f t="shared" si="248"/>
        <v>0</v>
      </c>
      <c r="CX182">
        <f t="shared" si="249"/>
        <v>0</v>
      </c>
      <c r="CY182">
        <f t="shared" si="250"/>
        <v>0</v>
      </c>
      <c r="DT182" s="77"/>
      <c r="DU182" s="8" t="str">
        <f t="shared" si="729"/>
        <v>AAAAAAAA</v>
      </c>
      <c r="DV182" s="8" t="str">
        <f t="shared" si="730"/>
        <v/>
      </c>
      <c r="DW182" s="8" t="str">
        <f t="shared" si="731"/>
        <v/>
      </c>
      <c r="DX182" s="8">
        <f t="shared" si="732"/>
        <v>0</v>
      </c>
      <c r="DY182" s="8">
        <f t="shared" si="732"/>
        <v>0</v>
      </c>
      <c r="EA182" s="8" t="str">
        <f t="shared" si="733"/>
        <v>AAAAAAAA</v>
      </c>
      <c r="EB182" s="8" t="str">
        <f t="shared" si="734"/>
        <v/>
      </c>
      <c r="EC182" s="8" t="str">
        <f t="shared" si="735"/>
        <v/>
      </c>
      <c r="ED182">
        <f t="shared" si="736"/>
        <v>0</v>
      </c>
      <c r="EE182">
        <f t="shared" si="736"/>
        <v>0</v>
      </c>
      <c r="EG182" s="8" t="str">
        <f t="shared" si="737"/>
        <v>AAAAAAAA</v>
      </c>
      <c r="EH182" s="8" t="str">
        <f t="shared" si="738"/>
        <v/>
      </c>
      <c r="EI182" s="8" t="str">
        <f t="shared" si="739"/>
        <v/>
      </c>
      <c r="EJ182" s="8">
        <f t="shared" si="740"/>
        <v>0</v>
      </c>
      <c r="EK182" s="8">
        <f t="shared" si="740"/>
        <v>0</v>
      </c>
      <c r="EM182" s="8" t="str">
        <f t="shared" si="741"/>
        <v>AAAAAAAA</v>
      </c>
      <c r="EN182" s="8" t="str">
        <f t="shared" si="742"/>
        <v/>
      </c>
      <c r="EO182" s="8" t="str">
        <f t="shared" si="743"/>
        <v/>
      </c>
      <c r="EP182" s="8">
        <f t="shared" si="744"/>
        <v>0</v>
      </c>
      <c r="EQ182" s="8">
        <f t="shared" si="744"/>
        <v>0</v>
      </c>
      <c r="ES182" s="8" t="str">
        <f t="shared" si="745"/>
        <v>AAAAAAAA</v>
      </c>
      <c r="ET182" s="8" t="str">
        <f t="shared" si="746"/>
        <v/>
      </c>
      <c r="EU182" s="8" t="str">
        <f t="shared" si="747"/>
        <v/>
      </c>
      <c r="EV182" s="8">
        <f t="shared" si="748"/>
        <v>0</v>
      </c>
      <c r="EW182" s="8">
        <f t="shared" si="748"/>
        <v>0</v>
      </c>
      <c r="EY182" s="8" t="str">
        <f>Hidden!$CG70</f>
        <v/>
      </c>
      <c r="EZ182">
        <f t="shared" si="749"/>
        <v>0</v>
      </c>
      <c r="FA182">
        <f t="shared" si="750"/>
        <v>0</v>
      </c>
      <c r="FB182">
        <f t="shared" si="751"/>
        <v>0</v>
      </c>
      <c r="FC182">
        <f t="shared" si="752"/>
        <v>0</v>
      </c>
      <c r="FD182">
        <f t="shared" si="753"/>
        <v>0</v>
      </c>
      <c r="FE182">
        <f t="shared" si="754"/>
        <v>0</v>
      </c>
      <c r="FF182">
        <f t="shared" si="755"/>
        <v>0</v>
      </c>
      <c r="FG182">
        <f t="shared" si="756"/>
        <v>0</v>
      </c>
      <c r="FH182">
        <f t="shared" si="757"/>
        <v>0</v>
      </c>
      <c r="FI182">
        <f t="shared" si="758"/>
        <v>0</v>
      </c>
    </row>
    <row r="183" spans="1:165" x14ac:dyDescent="0.2">
      <c r="A183" s="8" t="str">
        <f t="shared" ref="A183:C183" si="777">A76</f>
        <v>AAAAAAA</v>
      </c>
      <c r="B183" s="8" t="str">
        <f t="shared" si="777"/>
        <v/>
      </c>
      <c r="C183" s="8" t="str">
        <f t="shared" si="777"/>
        <v/>
      </c>
      <c r="D183" s="8">
        <f t="shared" si="536"/>
        <v>0</v>
      </c>
      <c r="E183" s="8">
        <f t="shared" si="536"/>
        <v>0</v>
      </c>
      <c r="F183" s="8"/>
      <c r="G183" s="8" t="str">
        <f t="shared" ref="G183:I183" si="778">G76</f>
        <v>AAAAAAA</v>
      </c>
      <c r="H183" s="8" t="str">
        <f t="shared" si="778"/>
        <v/>
      </c>
      <c r="I183" s="8" t="str">
        <f t="shared" si="778"/>
        <v/>
      </c>
      <c r="J183" s="8">
        <f t="shared" si="538"/>
        <v>0</v>
      </c>
      <c r="K183" s="8">
        <f t="shared" si="538"/>
        <v>0</v>
      </c>
      <c r="L183" s="8"/>
      <c r="M183" s="8" t="str">
        <f t="shared" ref="M183:O183" si="779">M76</f>
        <v>AAAAAAA</v>
      </c>
      <c r="N183" s="8" t="str">
        <f t="shared" si="779"/>
        <v/>
      </c>
      <c r="O183" s="8" t="str">
        <f t="shared" si="779"/>
        <v/>
      </c>
      <c r="P183" s="8">
        <f t="shared" si="605"/>
        <v>0</v>
      </c>
      <c r="Q183" s="8">
        <f t="shared" si="605"/>
        <v>0</v>
      </c>
      <c r="R183" s="8"/>
      <c r="S183" s="8" t="str">
        <f t="shared" ref="S183:U183" si="780">S76</f>
        <v>AAAAAAA</v>
      </c>
      <c r="T183" s="8" t="str">
        <f t="shared" si="780"/>
        <v/>
      </c>
      <c r="U183" s="8" t="str">
        <f t="shared" si="780"/>
        <v/>
      </c>
      <c r="V183">
        <f t="shared" si="541"/>
        <v>0</v>
      </c>
      <c r="W183">
        <f t="shared" si="541"/>
        <v>0</v>
      </c>
      <c r="Y183" s="8" t="str">
        <f t="shared" si="214"/>
        <v>AAAAAAA</v>
      </c>
      <c r="Z183" s="8"/>
      <c r="AB183">
        <f t="shared" si="542"/>
        <v>0</v>
      </c>
      <c r="AC183">
        <f t="shared" si="542"/>
        <v>0</v>
      </c>
      <c r="AE183" s="8" t="str">
        <f>Hidden!$CC59</f>
        <v/>
      </c>
      <c r="AF183">
        <f t="shared" si="216"/>
        <v>0</v>
      </c>
      <c r="AG183">
        <f t="shared" si="217"/>
        <v>0</v>
      </c>
      <c r="AH183">
        <f t="shared" si="218"/>
        <v>0</v>
      </c>
      <c r="AI183">
        <f t="shared" si="219"/>
        <v>0</v>
      </c>
      <c r="AJ183">
        <f t="shared" si="220"/>
        <v>0</v>
      </c>
      <c r="AK183">
        <f t="shared" si="221"/>
        <v>0</v>
      </c>
      <c r="AL183">
        <f t="shared" si="222"/>
        <v>0</v>
      </c>
      <c r="AM183">
        <f t="shared" si="223"/>
        <v>0</v>
      </c>
      <c r="AN183">
        <f t="shared" si="224"/>
        <v>0</v>
      </c>
      <c r="AO183">
        <f t="shared" si="225"/>
        <v>0</v>
      </c>
      <c r="BJ183" s="8" t="str">
        <f t="shared" ref="BJ183:BL183" si="781">BJ76</f>
        <v>AAAAAAA</v>
      </c>
      <c r="BK183" s="8" t="str">
        <f t="shared" si="781"/>
        <v/>
      </c>
      <c r="BL183" s="8" t="str">
        <f t="shared" si="781"/>
        <v/>
      </c>
      <c r="BM183" s="8">
        <f t="shared" si="227"/>
        <v>0</v>
      </c>
      <c r="BN183" s="8">
        <f t="shared" si="228"/>
        <v>0</v>
      </c>
      <c r="BO183" s="8"/>
      <c r="BP183" s="8" t="str">
        <f t="shared" ref="BP183:BR183" si="782">BP76</f>
        <v>AAAAAAA</v>
      </c>
      <c r="BQ183" s="8" t="str">
        <f t="shared" si="782"/>
        <v/>
      </c>
      <c r="BR183" s="8" t="str">
        <f t="shared" si="782"/>
        <v/>
      </c>
      <c r="BS183" s="8">
        <f t="shared" si="230"/>
        <v>0</v>
      </c>
      <c r="BT183" s="8">
        <f t="shared" si="231"/>
        <v>0</v>
      </c>
      <c r="BU183" s="8"/>
      <c r="BV183" s="8" t="str">
        <f t="shared" ref="BV183:BX183" si="783">BV76</f>
        <v>AAAAAAA</v>
      </c>
      <c r="BW183" s="8" t="str">
        <f t="shared" si="783"/>
        <v/>
      </c>
      <c r="BX183" s="8" t="str">
        <f t="shared" si="783"/>
        <v/>
      </c>
      <c r="BY183" s="8">
        <f t="shared" si="233"/>
        <v>0</v>
      </c>
      <c r="BZ183" s="8">
        <f t="shared" si="234"/>
        <v>0</v>
      </c>
      <c r="CA183" s="8"/>
      <c r="CB183" s="8" t="str">
        <f t="shared" ref="CB183:CD183" si="784">CB76</f>
        <v>AAAAAAA</v>
      </c>
      <c r="CC183" s="8" t="str">
        <f t="shared" si="784"/>
        <v/>
      </c>
      <c r="CD183" s="8" t="str">
        <f t="shared" si="784"/>
        <v/>
      </c>
      <c r="CE183" s="8">
        <f t="shared" si="236"/>
        <v>0</v>
      </c>
      <c r="CF183" s="8">
        <f t="shared" si="237"/>
        <v>0</v>
      </c>
      <c r="CG183" s="8"/>
      <c r="CH183" s="8" t="str">
        <f t="shared" ref="CH183:CJ183" si="785">CH76</f>
        <v>AAAAAAA</v>
      </c>
      <c r="CI183" s="8" t="str">
        <f t="shared" si="785"/>
        <v/>
      </c>
      <c r="CJ183" s="8" t="str">
        <f t="shared" si="785"/>
        <v/>
      </c>
      <c r="CK183" s="8">
        <f t="shared" si="239"/>
        <v>0</v>
      </c>
      <c r="CL183" s="8">
        <f t="shared" si="240"/>
        <v>0</v>
      </c>
      <c r="CO183" s="8" t="str">
        <f>Hidden!$CC59</f>
        <v/>
      </c>
      <c r="CP183">
        <f t="shared" si="241"/>
        <v>0</v>
      </c>
      <c r="CQ183">
        <f t="shared" si="242"/>
        <v>0</v>
      </c>
      <c r="CR183">
        <f t="shared" si="243"/>
        <v>0</v>
      </c>
      <c r="CS183">
        <f t="shared" si="244"/>
        <v>0</v>
      </c>
      <c r="CT183">
        <f t="shared" si="245"/>
        <v>0</v>
      </c>
      <c r="CU183">
        <f t="shared" si="246"/>
        <v>0</v>
      </c>
      <c r="CV183">
        <f t="shared" si="247"/>
        <v>0</v>
      </c>
      <c r="CW183">
        <f t="shared" si="248"/>
        <v>0</v>
      </c>
      <c r="CX183">
        <f t="shared" si="249"/>
        <v>0</v>
      </c>
      <c r="CY183">
        <f t="shared" si="250"/>
        <v>0</v>
      </c>
      <c r="DT183" s="77"/>
      <c r="DU183" s="8" t="str">
        <f t="shared" si="729"/>
        <v>AAAAAAAAA</v>
      </c>
      <c r="DV183" s="8" t="str">
        <f t="shared" si="730"/>
        <v/>
      </c>
      <c r="DW183" s="8" t="str">
        <f t="shared" si="731"/>
        <v/>
      </c>
      <c r="DX183" s="8">
        <f t="shared" si="732"/>
        <v>0</v>
      </c>
      <c r="DY183" s="8">
        <f t="shared" si="732"/>
        <v>0</v>
      </c>
      <c r="EA183" s="8" t="str">
        <f t="shared" si="733"/>
        <v>AAAAAAAAA</v>
      </c>
      <c r="EB183" s="8" t="str">
        <f t="shared" si="734"/>
        <v/>
      </c>
      <c r="EC183" s="8" t="str">
        <f t="shared" si="735"/>
        <v/>
      </c>
      <c r="ED183">
        <f t="shared" si="736"/>
        <v>0</v>
      </c>
      <c r="EE183">
        <f t="shared" si="736"/>
        <v>0</v>
      </c>
      <c r="EG183" s="8" t="str">
        <f t="shared" si="737"/>
        <v>AAAAAAAAA</v>
      </c>
      <c r="EH183" s="8" t="str">
        <f t="shared" si="738"/>
        <v/>
      </c>
      <c r="EI183" s="8" t="str">
        <f t="shared" si="739"/>
        <v/>
      </c>
      <c r="EJ183" s="8">
        <f t="shared" si="740"/>
        <v>0</v>
      </c>
      <c r="EK183" s="8">
        <f t="shared" si="740"/>
        <v>0</v>
      </c>
      <c r="EM183" s="8" t="str">
        <f t="shared" si="741"/>
        <v>AAAAAAAAA</v>
      </c>
      <c r="EN183" s="8" t="str">
        <f t="shared" si="742"/>
        <v/>
      </c>
      <c r="EO183" s="8" t="str">
        <f t="shared" si="743"/>
        <v/>
      </c>
      <c r="EP183" s="8">
        <f t="shared" si="744"/>
        <v>0</v>
      </c>
      <c r="EQ183" s="8">
        <f t="shared" si="744"/>
        <v>0</v>
      </c>
      <c r="ES183" s="8" t="str">
        <f t="shared" si="745"/>
        <v>AAAAAAAAA</v>
      </c>
      <c r="ET183" s="8" t="str">
        <f t="shared" si="746"/>
        <v/>
      </c>
      <c r="EU183" s="8" t="str">
        <f t="shared" si="747"/>
        <v/>
      </c>
      <c r="EV183" s="8">
        <f t="shared" si="748"/>
        <v>0</v>
      </c>
      <c r="EW183" s="8">
        <f t="shared" si="748"/>
        <v>0</v>
      </c>
      <c r="EY183" s="8" t="str">
        <f>Hidden!$CG71</f>
        <v/>
      </c>
      <c r="EZ183">
        <f t="shared" si="749"/>
        <v>0</v>
      </c>
      <c r="FA183">
        <f t="shared" si="750"/>
        <v>0</v>
      </c>
      <c r="FB183">
        <f t="shared" si="751"/>
        <v>0</v>
      </c>
      <c r="FC183">
        <f t="shared" si="752"/>
        <v>0</v>
      </c>
      <c r="FD183">
        <f t="shared" si="753"/>
        <v>0</v>
      </c>
      <c r="FE183">
        <f t="shared" si="754"/>
        <v>0</v>
      </c>
      <c r="FF183">
        <f t="shared" si="755"/>
        <v>0</v>
      </c>
      <c r="FG183">
        <f t="shared" si="756"/>
        <v>0</v>
      </c>
      <c r="FH183">
        <f t="shared" si="757"/>
        <v>0</v>
      </c>
      <c r="FI183">
        <f t="shared" si="758"/>
        <v>0</v>
      </c>
    </row>
    <row r="184" spans="1:165" x14ac:dyDescent="0.2">
      <c r="A184" s="8" t="str">
        <f t="shared" ref="A184:C184" si="786">A77</f>
        <v>AAAAAAAA</v>
      </c>
      <c r="B184" s="8" t="str">
        <f t="shared" si="786"/>
        <v/>
      </c>
      <c r="C184" s="8" t="str">
        <f t="shared" si="786"/>
        <v/>
      </c>
      <c r="D184" s="8">
        <f t="shared" si="536"/>
        <v>0</v>
      </c>
      <c r="E184" s="8">
        <f t="shared" si="536"/>
        <v>0</v>
      </c>
      <c r="F184" s="8"/>
      <c r="G184" s="8" t="str">
        <f t="shared" ref="G184:I184" si="787">G77</f>
        <v>AAAAAAAA</v>
      </c>
      <c r="H184" s="8" t="str">
        <f t="shared" si="787"/>
        <v/>
      </c>
      <c r="I184" s="8" t="str">
        <f t="shared" si="787"/>
        <v/>
      </c>
      <c r="J184" s="8">
        <f t="shared" si="538"/>
        <v>0</v>
      </c>
      <c r="K184" s="8">
        <f t="shared" si="538"/>
        <v>0</v>
      </c>
      <c r="L184" s="8"/>
      <c r="M184" s="8" t="str">
        <f t="shared" ref="M184:O184" si="788">M77</f>
        <v>AAAAAAAA</v>
      </c>
      <c r="N184" s="8" t="str">
        <f t="shared" si="788"/>
        <v/>
      </c>
      <c r="O184" s="8" t="str">
        <f t="shared" si="788"/>
        <v/>
      </c>
      <c r="P184" s="8">
        <f t="shared" si="605"/>
        <v>0</v>
      </c>
      <c r="Q184" s="8">
        <f t="shared" si="605"/>
        <v>0</v>
      </c>
      <c r="R184" s="8"/>
      <c r="S184" s="8" t="str">
        <f t="shared" ref="S184:U184" si="789">S77</f>
        <v>AAAAAAAA</v>
      </c>
      <c r="T184" s="8" t="str">
        <f t="shared" si="789"/>
        <v/>
      </c>
      <c r="U184" s="8" t="str">
        <f t="shared" si="789"/>
        <v/>
      </c>
      <c r="V184">
        <f t="shared" si="541"/>
        <v>0</v>
      </c>
      <c r="W184">
        <f t="shared" si="541"/>
        <v>0</v>
      </c>
      <c r="Y184" s="8" t="str">
        <f t="shared" si="214"/>
        <v>AAAAAAAA</v>
      </c>
      <c r="Z184" s="8"/>
      <c r="AB184">
        <f t="shared" si="542"/>
        <v>0</v>
      </c>
      <c r="AC184">
        <f t="shared" si="542"/>
        <v>0</v>
      </c>
      <c r="AE184" s="8" t="str">
        <f>Hidden!$CC60</f>
        <v/>
      </c>
      <c r="AF184">
        <f t="shared" si="216"/>
        <v>0</v>
      </c>
      <c r="AG184">
        <f t="shared" si="217"/>
        <v>0</v>
      </c>
      <c r="AH184">
        <f t="shared" si="218"/>
        <v>0</v>
      </c>
      <c r="AI184">
        <f t="shared" si="219"/>
        <v>0</v>
      </c>
      <c r="AJ184">
        <f t="shared" si="220"/>
        <v>0</v>
      </c>
      <c r="AK184">
        <f t="shared" si="221"/>
        <v>0</v>
      </c>
      <c r="AL184">
        <f t="shared" si="222"/>
        <v>0</v>
      </c>
      <c r="AM184">
        <f t="shared" si="223"/>
        <v>0</v>
      </c>
      <c r="AN184">
        <f t="shared" si="224"/>
        <v>0</v>
      </c>
      <c r="AO184">
        <f t="shared" si="225"/>
        <v>0</v>
      </c>
      <c r="BJ184" s="8" t="str">
        <f t="shared" ref="BJ184:BL184" si="790">BJ77</f>
        <v>AAAAAAAA</v>
      </c>
      <c r="BK184" s="8" t="str">
        <f t="shared" si="790"/>
        <v/>
      </c>
      <c r="BL184" s="8" t="str">
        <f t="shared" si="790"/>
        <v/>
      </c>
      <c r="BM184" s="8">
        <f t="shared" si="227"/>
        <v>0</v>
      </c>
      <c r="BN184" s="8">
        <f t="shared" si="228"/>
        <v>0</v>
      </c>
      <c r="BO184" s="8"/>
      <c r="BP184" s="8" t="str">
        <f t="shared" ref="BP184:BR184" si="791">BP77</f>
        <v>AAAAAAAA</v>
      </c>
      <c r="BQ184" s="8" t="str">
        <f t="shared" si="791"/>
        <v/>
      </c>
      <c r="BR184" s="8" t="str">
        <f t="shared" si="791"/>
        <v/>
      </c>
      <c r="BS184" s="8">
        <f t="shared" si="230"/>
        <v>0</v>
      </c>
      <c r="BT184" s="8">
        <f t="shared" si="231"/>
        <v>0</v>
      </c>
      <c r="BU184" s="8"/>
      <c r="BV184" s="8" t="str">
        <f t="shared" ref="BV184:BX184" si="792">BV77</f>
        <v>AAAAAAAA</v>
      </c>
      <c r="BW184" s="8" t="str">
        <f t="shared" si="792"/>
        <v/>
      </c>
      <c r="BX184" s="8" t="str">
        <f t="shared" si="792"/>
        <v/>
      </c>
      <c r="BY184" s="8">
        <f t="shared" si="233"/>
        <v>0</v>
      </c>
      <c r="BZ184" s="8">
        <f t="shared" si="234"/>
        <v>0</v>
      </c>
      <c r="CA184" s="8"/>
      <c r="CB184" s="8" t="str">
        <f t="shared" ref="CB184:CD184" si="793">CB77</f>
        <v>AAAAAAAA</v>
      </c>
      <c r="CC184" s="8" t="str">
        <f t="shared" si="793"/>
        <v/>
      </c>
      <c r="CD184" s="8" t="str">
        <f t="shared" si="793"/>
        <v/>
      </c>
      <c r="CE184" s="8">
        <f t="shared" si="236"/>
        <v>0</v>
      </c>
      <c r="CF184" s="8">
        <f t="shared" si="237"/>
        <v>0</v>
      </c>
      <c r="CG184" s="8"/>
      <c r="CH184" s="8" t="str">
        <f t="shared" ref="CH184:CJ184" si="794">CH77</f>
        <v>AAAAAAAA</v>
      </c>
      <c r="CI184" s="8" t="str">
        <f t="shared" si="794"/>
        <v/>
      </c>
      <c r="CJ184" s="8" t="str">
        <f t="shared" si="794"/>
        <v/>
      </c>
      <c r="CK184" s="8">
        <f t="shared" si="239"/>
        <v>0</v>
      </c>
      <c r="CL184" s="8">
        <f t="shared" si="240"/>
        <v>0</v>
      </c>
      <c r="CO184" s="8" t="str">
        <f>Hidden!$CC60</f>
        <v/>
      </c>
      <c r="CP184">
        <f t="shared" si="241"/>
        <v>0</v>
      </c>
      <c r="CQ184">
        <f t="shared" si="242"/>
        <v>0</v>
      </c>
      <c r="CR184">
        <f t="shared" si="243"/>
        <v>0</v>
      </c>
      <c r="CS184">
        <f t="shared" si="244"/>
        <v>0</v>
      </c>
      <c r="CT184">
        <f t="shared" si="245"/>
        <v>0</v>
      </c>
      <c r="CU184">
        <f t="shared" si="246"/>
        <v>0</v>
      </c>
      <c r="CV184">
        <f t="shared" si="247"/>
        <v>0</v>
      </c>
      <c r="CW184">
        <f t="shared" si="248"/>
        <v>0</v>
      </c>
      <c r="CX184">
        <f t="shared" si="249"/>
        <v>0</v>
      </c>
      <c r="CY184">
        <f t="shared" si="250"/>
        <v>0</v>
      </c>
      <c r="DT184" s="77"/>
      <c r="DU184" s="8" t="str">
        <f t="shared" si="729"/>
        <v>AAAAAAAAAA</v>
      </c>
      <c r="DV184" s="8" t="str">
        <f t="shared" si="730"/>
        <v/>
      </c>
      <c r="DW184" s="8" t="str">
        <f t="shared" si="731"/>
        <v/>
      </c>
      <c r="DX184" s="8">
        <f t="shared" si="732"/>
        <v>0</v>
      </c>
      <c r="DY184" s="8">
        <f t="shared" si="732"/>
        <v>0</v>
      </c>
      <c r="EA184" s="8" t="str">
        <f t="shared" si="733"/>
        <v>AAAAAAAAAA</v>
      </c>
      <c r="EB184" s="8" t="str">
        <f t="shared" si="734"/>
        <v/>
      </c>
      <c r="EC184" s="8" t="str">
        <f t="shared" si="735"/>
        <v/>
      </c>
      <c r="ED184">
        <f t="shared" si="736"/>
        <v>0</v>
      </c>
      <c r="EE184">
        <f t="shared" si="736"/>
        <v>0</v>
      </c>
      <c r="EG184" s="8" t="str">
        <f t="shared" si="737"/>
        <v>AAAAAAAAAA</v>
      </c>
      <c r="EH184" s="8" t="str">
        <f t="shared" si="738"/>
        <v/>
      </c>
      <c r="EI184" s="8" t="str">
        <f t="shared" si="739"/>
        <v/>
      </c>
      <c r="EJ184" s="8">
        <f t="shared" si="740"/>
        <v>0</v>
      </c>
      <c r="EK184" s="8">
        <f t="shared" si="740"/>
        <v>0</v>
      </c>
      <c r="EM184" s="8" t="str">
        <f t="shared" si="741"/>
        <v>AAAAAAAAAA</v>
      </c>
      <c r="EN184" s="8" t="str">
        <f t="shared" si="742"/>
        <v/>
      </c>
      <c r="EO184" s="8" t="str">
        <f t="shared" si="743"/>
        <v/>
      </c>
      <c r="EP184" s="8">
        <f t="shared" si="744"/>
        <v>0</v>
      </c>
      <c r="EQ184" s="8">
        <f t="shared" si="744"/>
        <v>0</v>
      </c>
      <c r="ES184" s="8" t="str">
        <f t="shared" si="745"/>
        <v>AAAAAAAAAA</v>
      </c>
      <c r="ET184" s="8" t="str">
        <f t="shared" si="746"/>
        <v/>
      </c>
      <c r="EU184" s="8" t="str">
        <f t="shared" si="747"/>
        <v/>
      </c>
      <c r="EV184" s="8">
        <f t="shared" si="748"/>
        <v>0</v>
      </c>
      <c r="EW184" s="8">
        <f t="shared" si="748"/>
        <v>0</v>
      </c>
      <c r="EY184" s="8" t="str">
        <f>Hidden!$CG72</f>
        <v/>
      </c>
      <c r="EZ184">
        <f t="shared" si="749"/>
        <v>0</v>
      </c>
      <c r="FA184">
        <f t="shared" si="750"/>
        <v>0</v>
      </c>
      <c r="FB184">
        <f t="shared" si="751"/>
        <v>0</v>
      </c>
      <c r="FC184">
        <f t="shared" si="752"/>
        <v>0</v>
      </c>
      <c r="FD184">
        <f t="shared" si="753"/>
        <v>0</v>
      </c>
      <c r="FE184">
        <f t="shared" si="754"/>
        <v>0</v>
      </c>
      <c r="FF184">
        <f t="shared" si="755"/>
        <v>0</v>
      </c>
      <c r="FG184">
        <f t="shared" si="756"/>
        <v>0</v>
      </c>
      <c r="FH184">
        <f t="shared" si="757"/>
        <v>0</v>
      </c>
      <c r="FI184">
        <f t="shared" si="758"/>
        <v>0</v>
      </c>
    </row>
    <row r="185" spans="1:165" x14ac:dyDescent="0.2">
      <c r="A185" s="8" t="str">
        <f t="shared" ref="A185:C185" si="795">A78</f>
        <v>AAAAAAAAA</v>
      </c>
      <c r="B185" s="8" t="str">
        <f t="shared" si="795"/>
        <v/>
      </c>
      <c r="C185" s="8" t="str">
        <f t="shared" si="795"/>
        <v/>
      </c>
      <c r="D185" s="8">
        <f t="shared" si="536"/>
        <v>0</v>
      </c>
      <c r="E185" s="8">
        <f t="shared" si="536"/>
        <v>0</v>
      </c>
      <c r="F185" s="8"/>
      <c r="G185" s="8" t="str">
        <f t="shared" ref="G185:I185" si="796">G78</f>
        <v>AAAAAAAAA</v>
      </c>
      <c r="H185" s="8" t="str">
        <f t="shared" si="796"/>
        <v/>
      </c>
      <c r="I185" s="8" t="str">
        <f t="shared" si="796"/>
        <v/>
      </c>
      <c r="J185" s="8">
        <f t="shared" si="538"/>
        <v>0</v>
      </c>
      <c r="K185" s="8">
        <f t="shared" si="538"/>
        <v>0</v>
      </c>
      <c r="L185" s="8"/>
      <c r="M185" s="8" t="str">
        <f t="shared" ref="M185:O185" si="797">M78</f>
        <v>AAAAAAAAA</v>
      </c>
      <c r="N185" s="8" t="str">
        <f t="shared" si="797"/>
        <v/>
      </c>
      <c r="O185" s="8" t="str">
        <f t="shared" si="797"/>
        <v/>
      </c>
      <c r="P185" s="8">
        <f t="shared" si="605"/>
        <v>0</v>
      </c>
      <c r="Q185" s="8">
        <f t="shared" si="605"/>
        <v>0</v>
      </c>
      <c r="R185" s="8"/>
      <c r="S185" s="8" t="str">
        <f t="shared" ref="S185:U185" si="798">S78</f>
        <v>AAAAAAAAA</v>
      </c>
      <c r="T185" s="8" t="str">
        <f t="shared" si="798"/>
        <v/>
      </c>
      <c r="U185" s="8" t="str">
        <f t="shared" si="798"/>
        <v/>
      </c>
      <c r="V185">
        <f t="shared" si="541"/>
        <v>0</v>
      </c>
      <c r="W185">
        <f t="shared" si="541"/>
        <v>0</v>
      </c>
      <c r="Y185" s="8" t="str">
        <f t="shared" si="214"/>
        <v>AAAAAAAAA</v>
      </c>
      <c r="Z185" s="8"/>
      <c r="AB185">
        <f t="shared" si="542"/>
        <v>0</v>
      </c>
      <c r="AC185">
        <f t="shared" si="542"/>
        <v>0</v>
      </c>
      <c r="AE185" s="8" t="str">
        <f>Hidden!$CC61</f>
        <v/>
      </c>
      <c r="AF185">
        <f t="shared" si="216"/>
        <v>0</v>
      </c>
      <c r="AG185">
        <f t="shared" si="217"/>
        <v>0</v>
      </c>
      <c r="AH185">
        <f t="shared" si="218"/>
        <v>0</v>
      </c>
      <c r="AI185">
        <f t="shared" si="219"/>
        <v>0</v>
      </c>
      <c r="AJ185">
        <f t="shared" si="220"/>
        <v>0</v>
      </c>
      <c r="AK185">
        <f t="shared" si="221"/>
        <v>0</v>
      </c>
      <c r="AL185">
        <f t="shared" si="222"/>
        <v>0</v>
      </c>
      <c r="AM185">
        <f t="shared" si="223"/>
        <v>0</v>
      </c>
      <c r="AN185">
        <f t="shared" si="224"/>
        <v>0</v>
      </c>
      <c r="AO185">
        <f t="shared" si="225"/>
        <v>0</v>
      </c>
      <c r="BJ185" s="8" t="str">
        <f t="shared" ref="BJ185:BL185" si="799">BJ78</f>
        <v>AAAAAAAAA</v>
      </c>
      <c r="BK185" s="8" t="str">
        <f t="shared" si="799"/>
        <v/>
      </c>
      <c r="BL185" s="8" t="str">
        <f t="shared" si="799"/>
        <v/>
      </c>
      <c r="BM185" s="8">
        <f t="shared" si="227"/>
        <v>0</v>
      </c>
      <c r="BN185" s="8">
        <f t="shared" si="228"/>
        <v>0</v>
      </c>
      <c r="BO185" s="8"/>
      <c r="BP185" s="8" t="str">
        <f t="shared" ref="BP185:BR185" si="800">BP78</f>
        <v>AAAAAAAAA</v>
      </c>
      <c r="BQ185" s="8" t="str">
        <f t="shared" si="800"/>
        <v/>
      </c>
      <c r="BR185" s="8" t="str">
        <f t="shared" si="800"/>
        <v/>
      </c>
      <c r="BS185" s="8">
        <f t="shared" si="230"/>
        <v>0</v>
      </c>
      <c r="BT185" s="8">
        <f t="shared" si="231"/>
        <v>0</v>
      </c>
      <c r="BU185" s="8"/>
      <c r="BV185" s="8" t="str">
        <f t="shared" ref="BV185:BX185" si="801">BV78</f>
        <v>AAAAAAAAA</v>
      </c>
      <c r="BW185" s="8" t="str">
        <f t="shared" si="801"/>
        <v/>
      </c>
      <c r="BX185" s="8" t="str">
        <f t="shared" si="801"/>
        <v/>
      </c>
      <c r="BY185" s="8">
        <f t="shared" si="233"/>
        <v>0</v>
      </c>
      <c r="BZ185" s="8">
        <f t="shared" si="234"/>
        <v>0</v>
      </c>
      <c r="CA185" s="8"/>
      <c r="CB185" s="8" t="str">
        <f t="shared" ref="CB185:CD185" si="802">CB78</f>
        <v>AAAAAAAAA</v>
      </c>
      <c r="CC185" s="8" t="str">
        <f t="shared" si="802"/>
        <v/>
      </c>
      <c r="CD185" s="8" t="str">
        <f t="shared" si="802"/>
        <v/>
      </c>
      <c r="CE185" s="8">
        <f t="shared" si="236"/>
        <v>0</v>
      </c>
      <c r="CF185" s="8">
        <f t="shared" si="237"/>
        <v>0</v>
      </c>
      <c r="CG185" s="8"/>
      <c r="CH185" s="8" t="str">
        <f t="shared" ref="CH185:CJ185" si="803">CH78</f>
        <v>AAAAAAAAA</v>
      </c>
      <c r="CI185" s="8" t="str">
        <f t="shared" si="803"/>
        <v/>
      </c>
      <c r="CJ185" s="8" t="str">
        <f t="shared" si="803"/>
        <v/>
      </c>
      <c r="CK185" s="8">
        <f t="shared" si="239"/>
        <v>0</v>
      </c>
      <c r="CL185" s="8">
        <f t="shared" si="240"/>
        <v>0</v>
      </c>
      <c r="CO185" s="8" t="str">
        <f>Hidden!$CC61</f>
        <v/>
      </c>
      <c r="CP185">
        <f t="shared" si="241"/>
        <v>0</v>
      </c>
      <c r="CQ185">
        <f t="shared" si="242"/>
        <v>0</v>
      </c>
      <c r="CR185">
        <f t="shared" si="243"/>
        <v>0</v>
      </c>
      <c r="CS185">
        <f t="shared" si="244"/>
        <v>0</v>
      </c>
      <c r="CT185">
        <f t="shared" si="245"/>
        <v>0</v>
      </c>
      <c r="CU185">
        <f t="shared" si="246"/>
        <v>0</v>
      </c>
      <c r="CV185">
        <f t="shared" si="247"/>
        <v>0</v>
      </c>
      <c r="CW185">
        <f t="shared" si="248"/>
        <v>0</v>
      </c>
      <c r="CX185">
        <f t="shared" si="249"/>
        <v>0</v>
      </c>
      <c r="CY185">
        <f t="shared" si="250"/>
        <v>0</v>
      </c>
      <c r="DT185" s="77"/>
      <c r="DU185" s="8" t="str">
        <f t="shared" si="729"/>
        <v>A</v>
      </c>
      <c r="DV185" s="8" t="str">
        <f t="shared" si="730"/>
        <v/>
      </c>
      <c r="DW185" s="8" t="str">
        <f t="shared" si="731"/>
        <v/>
      </c>
      <c r="DX185" s="8">
        <f t="shared" si="732"/>
        <v>0</v>
      </c>
      <c r="DY185" s="8">
        <f t="shared" si="732"/>
        <v>0</v>
      </c>
      <c r="EA185" s="8" t="str">
        <f t="shared" si="733"/>
        <v>A</v>
      </c>
      <c r="EB185" s="8" t="str">
        <f t="shared" si="734"/>
        <v/>
      </c>
      <c r="EC185" s="8" t="str">
        <f t="shared" si="735"/>
        <v/>
      </c>
      <c r="ED185">
        <f t="shared" si="736"/>
        <v>0</v>
      </c>
      <c r="EE185">
        <f t="shared" si="736"/>
        <v>0</v>
      </c>
      <c r="EG185" s="8" t="str">
        <f t="shared" si="737"/>
        <v>A</v>
      </c>
      <c r="EH185" s="8" t="str">
        <f t="shared" si="738"/>
        <v/>
      </c>
      <c r="EI185" s="8" t="str">
        <f t="shared" si="739"/>
        <v/>
      </c>
      <c r="EJ185" s="8">
        <f t="shared" si="740"/>
        <v>0</v>
      </c>
      <c r="EK185" s="8">
        <f t="shared" si="740"/>
        <v>0</v>
      </c>
      <c r="EM185" s="8" t="str">
        <f t="shared" si="741"/>
        <v>A</v>
      </c>
      <c r="EN185" s="8" t="str">
        <f t="shared" si="742"/>
        <v/>
      </c>
      <c r="EO185" s="8" t="str">
        <f t="shared" si="743"/>
        <v/>
      </c>
      <c r="EP185" s="8">
        <f t="shared" si="744"/>
        <v>0</v>
      </c>
      <c r="EQ185" s="8">
        <f t="shared" si="744"/>
        <v>0</v>
      </c>
      <c r="ES185" s="8" t="str">
        <f t="shared" si="745"/>
        <v>A</v>
      </c>
      <c r="ET185" s="8" t="str">
        <f t="shared" si="746"/>
        <v/>
      </c>
      <c r="EU185" s="8" t="str">
        <f t="shared" si="747"/>
        <v/>
      </c>
      <c r="EV185" s="8">
        <f t="shared" si="748"/>
        <v>0</v>
      </c>
      <c r="EW185" s="8">
        <f t="shared" si="748"/>
        <v>0</v>
      </c>
      <c r="EY185" s="8" t="str">
        <f>Hidden!$CG73</f>
        <v/>
      </c>
      <c r="EZ185">
        <f t="shared" si="749"/>
        <v>0</v>
      </c>
      <c r="FA185">
        <f t="shared" si="750"/>
        <v>0</v>
      </c>
      <c r="FB185">
        <f t="shared" si="751"/>
        <v>0</v>
      </c>
      <c r="FC185">
        <f t="shared" si="752"/>
        <v>0</v>
      </c>
      <c r="FD185">
        <f t="shared" si="753"/>
        <v>0</v>
      </c>
      <c r="FE185">
        <f t="shared" si="754"/>
        <v>0</v>
      </c>
      <c r="FF185">
        <f t="shared" si="755"/>
        <v>0</v>
      </c>
      <c r="FG185">
        <f t="shared" si="756"/>
        <v>0</v>
      </c>
      <c r="FH185">
        <f t="shared" si="757"/>
        <v>0</v>
      </c>
      <c r="FI185">
        <f t="shared" si="758"/>
        <v>0</v>
      </c>
    </row>
    <row r="186" spans="1:165" x14ac:dyDescent="0.2">
      <c r="A186" s="8" t="str">
        <f t="shared" ref="A186:C186" si="804">A79</f>
        <v>AAAAAAAAAA</v>
      </c>
      <c r="B186" s="8" t="str">
        <f t="shared" si="804"/>
        <v/>
      </c>
      <c r="C186" s="8" t="str">
        <f t="shared" si="804"/>
        <v/>
      </c>
      <c r="D186" s="8">
        <f t="shared" si="536"/>
        <v>0</v>
      </c>
      <c r="E186" s="8">
        <f t="shared" si="536"/>
        <v>0</v>
      </c>
      <c r="F186" s="8"/>
      <c r="G186" s="8" t="str">
        <f t="shared" ref="G186:I186" si="805">G79</f>
        <v>AAAAAAAAAA</v>
      </c>
      <c r="H186" s="8" t="str">
        <f t="shared" si="805"/>
        <v/>
      </c>
      <c r="I186" s="8" t="str">
        <f t="shared" si="805"/>
        <v/>
      </c>
      <c r="J186" s="8">
        <f t="shared" si="538"/>
        <v>0</v>
      </c>
      <c r="K186" s="8">
        <f t="shared" si="538"/>
        <v>0</v>
      </c>
      <c r="L186" s="8"/>
      <c r="M186" s="8" t="str">
        <f t="shared" ref="M186:O186" si="806">M79</f>
        <v>AAAAAAAAAA</v>
      </c>
      <c r="N186" s="8" t="str">
        <f t="shared" si="806"/>
        <v/>
      </c>
      <c r="O186" s="8" t="str">
        <f t="shared" si="806"/>
        <v/>
      </c>
      <c r="P186" s="8">
        <f t="shared" si="605"/>
        <v>0</v>
      </c>
      <c r="Q186" s="8">
        <f t="shared" si="605"/>
        <v>0</v>
      </c>
      <c r="R186" s="8"/>
      <c r="S186" s="8" t="str">
        <f t="shared" ref="S186:U186" si="807">S79</f>
        <v>AAAAAAAAAA</v>
      </c>
      <c r="T186" s="8" t="str">
        <f t="shared" si="807"/>
        <v/>
      </c>
      <c r="U186" s="8" t="str">
        <f t="shared" si="807"/>
        <v/>
      </c>
      <c r="V186">
        <f t="shared" si="541"/>
        <v>0</v>
      </c>
      <c r="W186">
        <f t="shared" si="541"/>
        <v>0</v>
      </c>
      <c r="Y186" s="8" t="str">
        <f t="shared" si="214"/>
        <v>AAAAAAAAAA</v>
      </c>
      <c r="Z186" s="8"/>
      <c r="AB186">
        <f t="shared" si="542"/>
        <v>0</v>
      </c>
      <c r="AC186">
        <f t="shared" si="542"/>
        <v>0</v>
      </c>
      <c r="AE186" s="8" t="str">
        <f>Hidden!$CC62</f>
        <v/>
      </c>
      <c r="AF186">
        <f t="shared" si="216"/>
        <v>0</v>
      </c>
      <c r="AG186">
        <f t="shared" si="217"/>
        <v>0</v>
      </c>
      <c r="AH186">
        <f t="shared" si="218"/>
        <v>0</v>
      </c>
      <c r="AI186">
        <f t="shared" si="219"/>
        <v>0</v>
      </c>
      <c r="AJ186">
        <f t="shared" si="220"/>
        <v>0</v>
      </c>
      <c r="AK186">
        <f t="shared" si="221"/>
        <v>0</v>
      </c>
      <c r="AL186">
        <f t="shared" si="222"/>
        <v>0</v>
      </c>
      <c r="AM186">
        <f t="shared" si="223"/>
        <v>0</v>
      </c>
      <c r="AN186">
        <f t="shared" si="224"/>
        <v>0</v>
      </c>
      <c r="AO186">
        <f t="shared" si="225"/>
        <v>0</v>
      </c>
      <c r="BJ186" s="8" t="str">
        <f t="shared" ref="BJ186:BL186" si="808">BJ79</f>
        <v>AAAAAAAAAA</v>
      </c>
      <c r="BK186" s="8" t="str">
        <f t="shared" si="808"/>
        <v/>
      </c>
      <c r="BL186" s="8" t="str">
        <f t="shared" si="808"/>
        <v/>
      </c>
      <c r="BM186" s="8">
        <f t="shared" si="227"/>
        <v>0</v>
      </c>
      <c r="BN186" s="8">
        <f t="shared" si="228"/>
        <v>0</v>
      </c>
      <c r="BO186" s="8"/>
      <c r="BP186" s="8" t="str">
        <f t="shared" ref="BP186:BR186" si="809">BP79</f>
        <v>AAAAAAAAAA</v>
      </c>
      <c r="BQ186" s="8" t="str">
        <f t="shared" si="809"/>
        <v/>
      </c>
      <c r="BR186" s="8" t="str">
        <f t="shared" si="809"/>
        <v/>
      </c>
      <c r="BS186" s="8">
        <f t="shared" si="230"/>
        <v>0</v>
      </c>
      <c r="BT186" s="8">
        <f t="shared" si="231"/>
        <v>0</v>
      </c>
      <c r="BU186" s="8"/>
      <c r="BV186" s="8" t="str">
        <f t="shared" ref="BV186:BX186" si="810">BV79</f>
        <v>AAAAAAAAAA</v>
      </c>
      <c r="BW186" s="8" t="str">
        <f t="shared" si="810"/>
        <v/>
      </c>
      <c r="BX186" s="8" t="str">
        <f t="shared" si="810"/>
        <v/>
      </c>
      <c r="BY186" s="8">
        <f t="shared" si="233"/>
        <v>0</v>
      </c>
      <c r="BZ186" s="8">
        <f t="shared" si="234"/>
        <v>0</v>
      </c>
      <c r="CA186" s="8"/>
      <c r="CB186" s="8" t="str">
        <f t="shared" ref="CB186:CD186" si="811">CB79</f>
        <v>AAAAAAAAAA</v>
      </c>
      <c r="CC186" s="8" t="str">
        <f t="shared" si="811"/>
        <v/>
      </c>
      <c r="CD186" s="8" t="str">
        <f t="shared" si="811"/>
        <v/>
      </c>
      <c r="CE186" s="8">
        <f t="shared" si="236"/>
        <v>0</v>
      </c>
      <c r="CF186" s="8">
        <f t="shared" si="237"/>
        <v>0</v>
      </c>
      <c r="CG186" s="8"/>
      <c r="CH186" s="8" t="str">
        <f t="shared" ref="CH186:CJ186" si="812">CH79</f>
        <v>AAAAAAAAAA</v>
      </c>
      <c r="CI186" s="8" t="str">
        <f t="shared" si="812"/>
        <v/>
      </c>
      <c r="CJ186" s="8" t="str">
        <f t="shared" si="812"/>
        <v/>
      </c>
      <c r="CK186" s="8">
        <f t="shared" si="239"/>
        <v>0</v>
      </c>
      <c r="CL186" s="8">
        <f t="shared" si="240"/>
        <v>0</v>
      </c>
      <c r="CO186" s="8" t="str">
        <f>Hidden!$CC62</f>
        <v/>
      </c>
      <c r="CP186">
        <f t="shared" si="241"/>
        <v>0</v>
      </c>
      <c r="CQ186">
        <f t="shared" si="242"/>
        <v>0</v>
      </c>
      <c r="CR186">
        <f t="shared" si="243"/>
        <v>0</v>
      </c>
      <c r="CS186">
        <f t="shared" si="244"/>
        <v>0</v>
      </c>
      <c r="CT186">
        <f t="shared" si="245"/>
        <v>0</v>
      </c>
      <c r="CU186">
        <f t="shared" si="246"/>
        <v>0</v>
      </c>
      <c r="CV186">
        <f t="shared" si="247"/>
        <v>0</v>
      </c>
      <c r="CW186">
        <f t="shared" si="248"/>
        <v>0</v>
      </c>
      <c r="CX186">
        <f t="shared" si="249"/>
        <v>0</v>
      </c>
      <c r="CY186">
        <f t="shared" si="250"/>
        <v>0</v>
      </c>
      <c r="DT186" s="77"/>
      <c r="DU186" s="8" t="str">
        <f t="shared" si="729"/>
        <v>AA</v>
      </c>
      <c r="DV186" s="8" t="str">
        <f t="shared" si="730"/>
        <v/>
      </c>
      <c r="DW186" s="8" t="str">
        <f t="shared" si="731"/>
        <v/>
      </c>
      <c r="DX186" s="8">
        <f t="shared" si="732"/>
        <v>0</v>
      </c>
      <c r="DY186" s="8">
        <f t="shared" si="732"/>
        <v>0</v>
      </c>
      <c r="EA186" s="8" t="str">
        <f t="shared" si="733"/>
        <v>AA</v>
      </c>
      <c r="EB186" s="8" t="str">
        <f t="shared" si="734"/>
        <v/>
      </c>
      <c r="EC186" s="8" t="str">
        <f t="shared" si="735"/>
        <v/>
      </c>
      <c r="ED186">
        <f t="shared" si="736"/>
        <v>0</v>
      </c>
      <c r="EE186">
        <f t="shared" si="736"/>
        <v>0</v>
      </c>
      <c r="EG186" s="8" t="str">
        <f t="shared" si="737"/>
        <v>AA</v>
      </c>
      <c r="EH186" s="8" t="str">
        <f t="shared" si="738"/>
        <v/>
      </c>
      <c r="EI186" s="8" t="str">
        <f t="shared" si="739"/>
        <v/>
      </c>
      <c r="EJ186" s="8">
        <f t="shared" si="740"/>
        <v>0</v>
      </c>
      <c r="EK186" s="8">
        <f t="shared" si="740"/>
        <v>0</v>
      </c>
      <c r="EM186" s="8" t="str">
        <f t="shared" si="741"/>
        <v>AA</v>
      </c>
      <c r="EN186" s="8" t="str">
        <f t="shared" si="742"/>
        <v/>
      </c>
      <c r="EO186" s="8" t="str">
        <f t="shared" si="743"/>
        <v/>
      </c>
      <c r="EP186" s="8">
        <f t="shared" si="744"/>
        <v>0</v>
      </c>
      <c r="EQ186" s="8">
        <f t="shared" si="744"/>
        <v>0</v>
      </c>
      <c r="ES186" s="8" t="str">
        <f t="shared" si="745"/>
        <v>AA</v>
      </c>
      <c r="ET186" s="8" t="str">
        <f t="shared" si="746"/>
        <v/>
      </c>
      <c r="EU186" s="8" t="str">
        <f t="shared" si="747"/>
        <v/>
      </c>
      <c r="EV186" s="8">
        <f t="shared" si="748"/>
        <v>0</v>
      </c>
      <c r="EW186" s="8">
        <f t="shared" si="748"/>
        <v>0</v>
      </c>
      <c r="EY186" s="8" t="str">
        <f>Hidden!$CG74</f>
        <v/>
      </c>
      <c r="EZ186">
        <f t="shared" si="749"/>
        <v>0</v>
      </c>
      <c r="FA186">
        <f t="shared" si="750"/>
        <v>0</v>
      </c>
      <c r="FB186">
        <f t="shared" si="751"/>
        <v>0</v>
      </c>
      <c r="FC186">
        <f t="shared" si="752"/>
        <v>0</v>
      </c>
      <c r="FD186">
        <f t="shared" si="753"/>
        <v>0</v>
      </c>
      <c r="FE186">
        <f t="shared" si="754"/>
        <v>0</v>
      </c>
      <c r="FF186">
        <f t="shared" si="755"/>
        <v>0</v>
      </c>
      <c r="FG186">
        <f t="shared" si="756"/>
        <v>0</v>
      </c>
      <c r="FH186">
        <f t="shared" si="757"/>
        <v>0</v>
      </c>
      <c r="FI186">
        <f t="shared" si="758"/>
        <v>0</v>
      </c>
    </row>
    <row r="187" spans="1:165" x14ac:dyDescent="0.2">
      <c r="A187" s="8" t="str">
        <f t="shared" ref="A187:C187" si="813">A80</f>
        <v>A</v>
      </c>
      <c r="B187" s="8" t="str">
        <f t="shared" si="813"/>
        <v/>
      </c>
      <c r="C187" s="8" t="str">
        <f t="shared" si="813"/>
        <v/>
      </c>
      <c r="D187" s="8">
        <f t="shared" si="536"/>
        <v>0</v>
      </c>
      <c r="E187" s="8">
        <f t="shared" si="536"/>
        <v>0</v>
      </c>
      <c r="F187" s="8"/>
      <c r="G187" s="8" t="str">
        <f t="shared" ref="G187:I187" si="814">G80</f>
        <v>A</v>
      </c>
      <c r="H187" s="8" t="str">
        <f t="shared" si="814"/>
        <v/>
      </c>
      <c r="I187" s="8" t="str">
        <f t="shared" si="814"/>
        <v/>
      </c>
      <c r="J187" s="8">
        <f t="shared" si="538"/>
        <v>0</v>
      </c>
      <c r="K187" s="8">
        <f t="shared" si="538"/>
        <v>0</v>
      </c>
      <c r="L187" s="8"/>
      <c r="M187" s="8" t="str">
        <f t="shared" ref="M187:O187" si="815">M80</f>
        <v>A</v>
      </c>
      <c r="N187" s="8" t="str">
        <f t="shared" si="815"/>
        <v/>
      </c>
      <c r="O187" s="8" t="str">
        <f t="shared" si="815"/>
        <v/>
      </c>
      <c r="P187" s="8">
        <f t="shared" si="605"/>
        <v>0</v>
      </c>
      <c r="Q187" s="8">
        <f t="shared" si="605"/>
        <v>0</v>
      </c>
      <c r="R187" s="8"/>
      <c r="S187" s="8" t="str">
        <f t="shared" ref="S187:U187" si="816">S80</f>
        <v>A</v>
      </c>
      <c r="T187" s="8" t="str">
        <f t="shared" si="816"/>
        <v/>
      </c>
      <c r="U187" s="8" t="str">
        <f t="shared" si="816"/>
        <v/>
      </c>
      <c r="V187">
        <f t="shared" si="541"/>
        <v>0</v>
      </c>
      <c r="W187">
        <f t="shared" si="541"/>
        <v>0</v>
      </c>
      <c r="Y187" s="8" t="str">
        <f t="shared" si="214"/>
        <v>A</v>
      </c>
      <c r="Z187" s="8"/>
      <c r="AB187">
        <f t="shared" si="542"/>
        <v>0</v>
      </c>
      <c r="AC187">
        <f t="shared" si="542"/>
        <v>0</v>
      </c>
      <c r="AE187" s="8" t="str">
        <f>Hidden!$CC63</f>
        <v/>
      </c>
      <c r="AF187">
        <f t="shared" si="216"/>
        <v>0</v>
      </c>
      <c r="AG187">
        <f t="shared" si="217"/>
        <v>0</v>
      </c>
      <c r="AH187">
        <f t="shared" si="218"/>
        <v>0</v>
      </c>
      <c r="AI187">
        <f t="shared" si="219"/>
        <v>0</v>
      </c>
      <c r="AJ187">
        <f t="shared" si="220"/>
        <v>0</v>
      </c>
      <c r="AK187">
        <f t="shared" si="221"/>
        <v>0</v>
      </c>
      <c r="AL187">
        <f t="shared" si="222"/>
        <v>0</v>
      </c>
      <c r="AM187">
        <f t="shared" si="223"/>
        <v>0</v>
      </c>
      <c r="AN187">
        <f t="shared" si="224"/>
        <v>0</v>
      </c>
      <c r="AO187">
        <f t="shared" si="225"/>
        <v>0</v>
      </c>
      <c r="BJ187" s="8" t="str">
        <f t="shared" ref="BJ187:BL187" si="817">BJ80</f>
        <v>A</v>
      </c>
      <c r="BK187" s="8" t="str">
        <f t="shared" si="817"/>
        <v/>
      </c>
      <c r="BL187" s="8" t="str">
        <f t="shared" si="817"/>
        <v/>
      </c>
      <c r="BM187" s="8">
        <f t="shared" si="227"/>
        <v>0</v>
      </c>
      <c r="BN187" s="8">
        <f t="shared" si="228"/>
        <v>0</v>
      </c>
      <c r="BO187" s="8"/>
      <c r="BP187" s="8" t="str">
        <f t="shared" ref="BP187:BR187" si="818">BP80</f>
        <v>A</v>
      </c>
      <c r="BQ187" s="8" t="str">
        <f t="shared" si="818"/>
        <v/>
      </c>
      <c r="BR187" s="8" t="str">
        <f t="shared" si="818"/>
        <v/>
      </c>
      <c r="BS187" s="8">
        <f t="shared" si="230"/>
        <v>0</v>
      </c>
      <c r="BT187" s="8">
        <f t="shared" si="231"/>
        <v>0</v>
      </c>
      <c r="BU187" s="8"/>
      <c r="BV187" s="8" t="str">
        <f t="shared" ref="BV187:BX187" si="819">BV80</f>
        <v>A</v>
      </c>
      <c r="BW187" s="8" t="str">
        <f t="shared" si="819"/>
        <v/>
      </c>
      <c r="BX187" s="8" t="str">
        <f t="shared" si="819"/>
        <v/>
      </c>
      <c r="BY187" s="8">
        <f t="shared" si="233"/>
        <v>0</v>
      </c>
      <c r="BZ187" s="8">
        <f t="shared" si="234"/>
        <v>0</v>
      </c>
      <c r="CA187" s="8"/>
      <c r="CB187" s="8" t="str">
        <f t="shared" ref="CB187:CD187" si="820">CB80</f>
        <v>A</v>
      </c>
      <c r="CC187" s="8" t="str">
        <f t="shared" si="820"/>
        <v/>
      </c>
      <c r="CD187" s="8" t="str">
        <f t="shared" si="820"/>
        <v/>
      </c>
      <c r="CE187" s="8">
        <f t="shared" si="236"/>
        <v>0</v>
      </c>
      <c r="CF187" s="8">
        <f t="shared" si="237"/>
        <v>0</v>
      </c>
      <c r="CG187" s="8"/>
      <c r="CH187" s="8" t="str">
        <f t="shared" ref="CH187:CJ187" si="821">CH80</f>
        <v>A</v>
      </c>
      <c r="CI187" s="8" t="str">
        <f t="shared" si="821"/>
        <v/>
      </c>
      <c r="CJ187" s="8" t="str">
        <f t="shared" si="821"/>
        <v/>
      </c>
      <c r="CK187" s="8">
        <f t="shared" si="239"/>
        <v>0</v>
      </c>
      <c r="CL187" s="8">
        <f t="shared" si="240"/>
        <v>0</v>
      </c>
      <c r="CO187" s="8" t="str">
        <f>Hidden!$CC63</f>
        <v/>
      </c>
      <c r="CP187">
        <f t="shared" si="241"/>
        <v>0</v>
      </c>
      <c r="CQ187">
        <f t="shared" si="242"/>
        <v>0</v>
      </c>
      <c r="CR187">
        <f t="shared" si="243"/>
        <v>0</v>
      </c>
      <c r="CS187">
        <f t="shared" si="244"/>
        <v>0</v>
      </c>
      <c r="CT187">
        <f t="shared" si="245"/>
        <v>0</v>
      </c>
      <c r="CU187">
        <f t="shared" si="246"/>
        <v>0</v>
      </c>
      <c r="CV187">
        <f t="shared" si="247"/>
        <v>0</v>
      </c>
      <c r="CW187">
        <f t="shared" si="248"/>
        <v>0</v>
      </c>
      <c r="CX187">
        <f t="shared" si="249"/>
        <v>0</v>
      </c>
      <c r="CY187">
        <f t="shared" si="250"/>
        <v>0</v>
      </c>
      <c r="DT187" s="77"/>
      <c r="DU187" s="8" t="str">
        <f t="shared" si="729"/>
        <v>AAA</v>
      </c>
      <c r="DV187" s="8" t="str">
        <f t="shared" si="730"/>
        <v/>
      </c>
      <c r="DW187" s="8" t="str">
        <f t="shared" si="731"/>
        <v/>
      </c>
      <c r="DX187" s="8">
        <f t="shared" si="732"/>
        <v>0</v>
      </c>
      <c r="DY187" s="8">
        <f t="shared" si="732"/>
        <v>0</v>
      </c>
      <c r="EA187" s="8" t="str">
        <f t="shared" si="733"/>
        <v>AAA</v>
      </c>
      <c r="EB187" s="8" t="str">
        <f t="shared" si="734"/>
        <v/>
      </c>
      <c r="EC187" s="8" t="str">
        <f t="shared" si="735"/>
        <v/>
      </c>
      <c r="ED187">
        <f t="shared" si="736"/>
        <v>0</v>
      </c>
      <c r="EE187">
        <f t="shared" si="736"/>
        <v>0</v>
      </c>
      <c r="EG187" s="8" t="str">
        <f t="shared" si="737"/>
        <v>AAA</v>
      </c>
      <c r="EH187" s="8" t="str">
        <f t="shared" si="738"/>
        <v/>
      </c>
      <c r="EI187" s="8" t="str">
        <f t="shared" si="739"/>
        <v/>
      </c>
      <c r="EJ187" s="8">
        <f t="shared" si="740"/>
        <v>0</v>
      </c>
      <c r="EK187" s="8">
        <f t="shared" si="740"/>
        <v>0</v>
      </c>
      <c r="EM187" s="8" t="str">
        <f t="shared" si="741"/>
        <v>AAA</v>
      </c>
      <c r="EN187" s="8" t="str">
        <f t="shared" si="742"/>
        <v/>
      </c>
      <c r="EO187" s="8" t="str">
        <f t="shared" si="743"/>
        <v/>
      </c>
      <c r="EP187" s="8">
        <f t="shared" si="744"/>
        <v>0</v>
      </c>
      <c r="EQ187" s="8">
        <f t="shared" si="744"/>
        <v>0</v>
      </c>
      <c r="ES187" s="8" t="str">
        <f t="shared" si="745"/>
        <v>AAA</v>
      </c>
      <c r="ET187" s="8" t="str">
        <f t="shared" si="746"/>
        <v/>
      </c>
      <c r="EU187" s="8" t="str">
        <f t="shared" si="747"/>
        <v/>
      </c>
      <c r="EV187" s="8">
        <f t="shared" si="748"/>
        <v>0</v>
      </c>
      <c r="EW187" s="8">
        <f t="shared" si="748"/>
        <v>0</v>
      </c>
      <c r="EY187" s="8" t="str">
        <f>Hidden!$CG75</f>
        <v/>
      </c>
      <c r="EZ187">
        <f t="shared" si="749"/>
        <v>0</v>
      </c>
      <c r="FA187">
        <f t="shared" si="750"/>
        <v>0</v>
      </c>
      <c r="FB187">
        <f t="shared" si="751"/>
        <v>0</v>
      </c>
      <c r="FC187">
        <f t="shared" si="752"/>
        <v>0</v>
      </c>
      <c r="FD187">
        <f t="shared" si="753"/>
        <v>0</v>
      </c>
      <c r="FE187">
        <f t="shared" si="754"/>
        <v>0</v>
      </c>
      <c r="FF187">
        <f t="shared" si="755"/>
        <v>0</v>
      </c>
      <c r="FG187">
        <f t="shared" si="756"/>
        <v>0</v>
      </c>
      <c r="FH187">
        <f t="shared" si="757"/>
        <v>0</v>
      </c>
      <c r="FI187">
        <f t="shared" si="758"/>
        <v>0</v>
      </c>
    </row>
    <row r="188" spans="1:165" x14ac:dyDescent="0.2">
      <c r="A188" s="8" t="str">
        <f t="shared" ref="A188:C188" si="822">A81</f>
        <v>AA</v>
      </c>
      <c r="B188" s="8" t="str">
        <f t="shared" si="822"/>
        <v/>
      </c>
      <c r="C188" s="8" t="str">
        <f t="shared" si="822"/>
        <v/>
      </c>
      <c r="D188" s="8">
        <f t="shared" si="536"/>
        <v>0</v>
      </c>
      <c r="E188" s="8">
        <f t="shared" si="536"/>
        <v>0</v>
      </c>
      <c r="F188" s="8"/>
      <c r="G188" s="8" t="str">
        <f t="shared" ref="G188:I188" si="823">G81</f>
        <v>AA</v>
      </c>
      <c r="H188" s="8" t="str">
        <f t="shared" si="823"/>
        <v/>
      </c>
      <c r="I188" s="8" t="str">
        <f t="shared" si="823"/>
        <v/>
      </c>
      <c r="J188" s="8">
        <f t="shared" si="538"/>
        <v>0</v>
      </c>
      <c r="K188" s="8">
        <f t="shared" si="538"/>
        <v>0</v>
      </c>
      <c r="L188" s="8"/>
      <c r="M188" s="8" t="str">
        <f t="shared" ref="M188:O188" si="824">M81</f>
        <v>AA</v>
      </c>
      <c r="N188" s="8" t="str">
        <f t="shared" si="824"/>
        <v/>
      </c>
      <c r="O188" s="8" t="str">
        <f t="shared" si="824"/>
        <v/>
      </c>
      <c r="P188" s="8">
        <f t="shared" si="605"/>
        <v>0</v>
      </c>
      <c r="Q188" s="8">
        <f t="shared" si="605"/>
        <v>0</v>
      </c>
      <c r="R188" s="8"/>
      <c r="S188" s="8" t="str">
        <f t="shared" ref="S188:U188" si="825">S81</f>
        <v>AA</v>
      </c>
      <c r="T188" s="8" t="str">
        <f t="shared" si="825"/>
        <v/>
      </c>
      <c r="U188" s="8" t="str">
        <f t="shared" si="825"/>
        <v/>
      </c>
      <c r="V188">
        <f t="shared" si="541"/>
        <v>0</v>
      </c>
      <c r="W188">
        <f t="shared" si="541"/>
        <v>0</v>
      </c>
      <c r="Y188" s="8" t="str">
        <f t="shared" si="214"/>
        <v>AA</v>
      </c>
      <c r="Z188" s="8"/>
      <c r="AB188">
        <f t="shared" si="542"/>
        <v>0</v>
      </c>
      <c r="AC188">
        <f t="shared" si="542"/>
        <v>0</v>
      </c>
      <c r="AE188" s="8" t="str">
        <f>Hidden!$CC64</f>
        <v/>
      </c>
      <c r="AF188">
        <f t="shared" si="216"/>
        <v>0</v>
      </c>
      <c r="AG188">
        <f t="shared" si="217"/>
        <v>0</v>
      </c>
      <c r="AH188">
        <f t="shared" si="218"/>
        <v>0</v>
      </c>
      <c r="AI188">
        <f t="shared" si="219"/>
        <v>0</v>
      </c>
      <c r="AJ188">
        <f t="shared" si="220"/>
        <v>0</v>
      </c>
      <c r="AK188">
        <f t="shared" si="221"/>
        <v>0</v>
      </c>
      <c r="AL188">
        <f t="shared" si="222"/>
        <v>0</v>
      </c>
      <c r="AM188">
        <f t="shared" si="223"/>
        <v>0</v>
      </c>
      <c r="AN188">
        <f t="shared" si="224"/>
        <v>0</v>
      </c>
      <c r="AO188">
        <f t="shared" si="225"/>
        <v>0</v>
      </c>
      <c r="BJ188" s="8" t="str">
        <f t="shared" ref="BJ188:BL188" si="826">BJ81</f>
        <v>AA</v>
      </c>
      <c r="BK188" s="8" t="str">
        <f t="shared" si="826"/>
        <v/>
      </c>
      <c r="BL188" s="8" t="str">
        <f t="shared" si="826"/>
        <v/>
      </c>
      <c r="BM188" s="8">
        <f t="shared" si="227"/>
        <v>0</v>
      </c>
      <c r="BN188" s="8">
        <f t="shared" si="228"/>
        <v>0</v>
      </c>
      <c r="BO188" s="8"/>
      <c r="BP188" s="8" t="str">
        <f t="shared" ref="BP188:BR188" si="827">BP81</f>
        <v>AA</v>
      </c>
      <c r="BQ188" s="8" t="str">
        <f t="shared" si="827"/>
        <v/>
      </c>
      <c r="BR188" s="8" t="str">
        <f t="shared" si="827"/>
        <v/>
      </c>
      <c r="BS188" s="8">
        <f t="shared" si="230"/>
        <v>0</v>
      </c>
      <c r="BT188" s="8">
        <f t="shared" si="231"/>
        <v>0</v>
      </c>
      <c r="BU188" s="8"/>
      <c r="BV188" s="8" t="str">
        <f t="shared" ref="BV188:BX188" si="828">BV81</f>
        <v>AA</v>
      </c>
      <c r="BW188" s="8" t="str">
        <f t="shared" si="828"/>
        <v/>
      </c>
      <c r="BX188" s="8" t="str">
        <f t="shared" si="828"/>
        <v/>
      </c>
      <c r="BY188" s="8">
        <f t="shared" si="233"/>
        <v>0</v>
      </c>
      <c r="BZ188" s="8">
        <f t="shared" si="234"/>
        <v>0</v>
      </c>
      <c r="CA188" s="8"/>
      <c r="CB188" s="8" t="str">
        <f t="shared" ref="CB188:CD188" si="829">CB81</f>
        <v>AA</v>
      </c>
      <c r="CC188" s="8" t="str">
        <f t="shared" si="829"/>
        <v/>
      </c>
      <c r="CD188" s="8" t="str">
        <f t="shared" si="829"/>
        <v/>
      </c>
      <c r="CE188" s="8">
        <f t="shared" si="236"/>
        <v>0</v>
      </c>
      <c r="CF188" s="8">
        <f t="shared" si="237"/>
        <v>0</v>
      </c>
      <c r="CG188" s="8"/>
      <c r="CH188" s="8" t="str">
        <f t="shared" ref="CH188:CJ188" si="830">CH81</f>
        <v>AA</v>
      </c>
      <c r="CI188" s="8" t="str">
        <f t="shared" si="830"/>
        <v/>
      </c>
      <c r="CJ188" s="8" t="str">
        <f t="shared" si="830"/>
        <v/>
      </c>
      <c r="CK188" s="8">
        <f t="shared" si="239"/>
        <v>0</v>
      </c>
      <c r="CL188" s="8">
        <f t="shared" si="240"/>
        <v>0</v>
      </c>
      <c r="CO188" s="8" t="str">
        <f>Hidden!$CC64</f>
        <v/>
      </c>
      <c r="CP188">
        <f t="shared" si="241"/>
        <v>0</v>
      </c>
      <c r="CQ188">
        <f t="shared" si="242"/>
        <v>0</v>
      </c>
      <c r="CR188">
        <f t="shared" si="243"/>
        <v>0</v>
      </c>
      <c r="CS188">
        <f t="shared" si="244"/>
        <v>0</v>
      </c>
      <c r="CT188">
        <f t="shared" si="245"/>
        <v>0</v>
      </c>
      <c r="CU188">
        <f t="shared" si="246"/>
        <v>0</v>
      </c>
      <c r="CV188">
        <f t="shared" si="247"/>
        <v>0</v>
      </c>
      <c r="CW188">
        <f t="shared" si="248"/>
        <v>0</v>
      </c>
      <c r="CX188">
        <f t="shared" si="249"/>
        <v>0</v>
      </c>
      <c r="CY188">
        <f t="shared" si="250"/>
        <v>0</v>
      </c>
      <c r="DT188" s="77"/>
      <c r="DU188" s="8" t="str">
        <f t="shared" si="729"/>
        <v>AAAA</v>
      </c>
      <c r="DV188" s="8" t="str">
        <f t="shared" si="730"/>
        <v/>
      </c>
      <c r="DW188" s="8" t="str">
        <f t="shared" si="731"/>
        <v/>
      </c>
      <c r="DX188" s="8">
        <f t="shared" si="732"/>
        <v>0</v>
      </c>
      <c r="DY188" s="8">
        <f t="shared" si="732"/>
        <v>0</v>
      </c>
      <c r="EA188" s="8" t="str">
        <f t="shared" si="733"/>
        <v>AAAA</v>
      </c>
      <c r="EB188" s="8" t="str">
        <f t="shared" si="734"/>
        <v/>
      </c>
      <c r="EC188" s="8" t="str">
        <f t="shared" si="735"/>
        <v/>
      </c>
      <c r="ED188">
        <f t="shared" si="736"/>
        <v>0</v>
      </c>
      <c r="EE188">
        <f t="shared" si="736"/>
        <v>0</v>
      </c>
      <c r="EG188" s="8" t="str">
        <f t="shared" si="737"/>
        <v>AAAA</v>
      </c>
      <c r="EH188" s="8" t="str">
        <f t="shared" si="738"/>
        <v/>
      </c>
      <c r="EI188" s="8" t="str">
        <f t="shared" si="739"/>
        <v/>
      </c>
      <c r="EJ188" s="8">
        <f t="shared" si="740"/>
        <v>0</v>
      </c>
      <c r="EK188" s="8">
        <f t="shared" si="740"/>
        <v>0</v>
      </c>
      <c r="EM188" s="8" t="str">
        <f t="shared" si="741"/>
        <v>AAAA</v>
      </c>
      <c r="EN188" s="8" t="str">
        <f t="shared" si="742"/>
        <v/>
      </c>
      <c r="EO188" s="8" t="str">
        <f t="shared" si="743"/>
        <v/>
      </c>
      <c r="EP188" s="8">
        <f t="shared" si="744"/>
        <v>0</v>
      </c>
      <c r="EQ188" s="8">
        <f t="shared" si="744"/>
        <v>0</v>
      </c>
      <c r="ES188" s="8" t="str">
        <f t="shared" si="745"/>
        <v>AAAA</v>
      </c>
      <c r="ET188" s="8" t="str">
        <f t="shared" si="746"/>
        <v/>
      </c>
      <c r="EU188" s="8" t="str">
        <f t="shared" si="747"/>
        <v/>
      </c>
      <c r="EV188" s="8">
        <f t="shared" si="748"/>
        <v>0</v>
      </c>
      <c r="EW188" s="8">
        <f t="shared" si="748"/>
        <v>0</v>
      </c>
      <c r="EY188" s="8" t="str">
        <f>Hidden!$CG76</f>
        <v/>
      </c>
      <c r="EZ188">
        <f t="shared" si="749"/>
        <v>0</v>
      </c>
      <c r="FA188">
        <f t="shared" si="750"/>
        <v>0</v>
      </c>
      <c r="FB188">
        <f t="shared" si="751"/>
        <v>0</v>
      </c>
      <c r="FC188">
        <f t="shared" si="752"/>
        <v>0</v>
      </c>
      <c r="FD188">
        <f t="shared" si="753"/>
        <v>0</v>
      </c>
      <c r="FE188">
        <f t="shared" si="754"/>
        <v>0</v>
      </c>
      <c r="FF188">
        <f t="shared" si="755"/>
        <v>0</v>
      </c>
      <c r="FG188">
        <f t="shared" si="756"/>
        <v>0</v>
      </c>
      <c r="FH188">
        <f t="shared" si="757"/>
        <v>0</v>
      </c>
      <c r="FI188">
        <f t="shared" si="758"/>
        <v>0</v>
      </c>
    </row>
    <row r="189" spans="1:165" x14ac:dyDescent="0.2">
      <c r="A189" s="8" t="str">
        <f t="shared" ref="A189:C189" si="831">A82</f>
        <v>AAA</v>
      </c>
      <c r="B189" s="8" t="str">
        <f t="shared" si="831"/>
        <v/>
      </c>
      <c r="C189" s="8" t="str">
        <f t="shared" si="831"/>
        <v/>
      </c>
      <c r="D189" s="8">
        <f t="shared" si="536"/>
        <v>0</v>
      </c>
      <c r="E189" s="8">
        <f t="shared" si="536"/>
        <v>0</v>
      </c>
      <c r="F189" s="8"/>
      <c r="G189" s="8" t="str">
        <f t="shared" ref="G189:I189" si="832">G82</f>
        <v>AAA</v>
      </c>
      <c r="H189" s="8" t="str">
        <f t="shared" si="832"/>
        <v/>
      </c>
      <c r="I189" s="8" t="str">
        <f t="shared" si="832"/>
        <v/>
      </c>
      <c r="J189" s="8">
        <f t="shared" si="538"/>
        <v>0</v>
      </c>
      <c r="K189" s="8">
        <f t="shared" si="538"/>
        <v>0</v>
      </c>
      <c r="L189" s="8"/>
      <c r="M189" s="8" t="str">
        <f t="shared" ref="M189:O189" si="833">M82</f>
        <v>AAA</v>
      </c>
      <c r="N189" s="8" t="str">
        <f t="shared" si="833"/>
        <v/>
      </c>
      <c r="O189" s="8" t="str">
        <f t="shared" si="833"/>
        <v/>
      </c>
      <c r="P189" s="8">
        <f t="shared" si="605"/>
        <v>0</v>
      </c>
      <c r="Q189" s="8">
        <f t="shared" si="605"/>
        <v>0</v>
      </c>
      <c r="R189" s="8"/>
      <c r="S189" s="8" t="str">
        <f t="shared" ref="S189:U189" si="834">S82</f>
        <v>AAA</v>
      </c>
      <c r="T189" s="8" t="str">
        <f t="shared" si="834"/>
        <v/>
      </c>
      <c r="U189" s="8" t="str">
        <f t="shared" si="834"/>
        <v/>
      </c>
      <c r="V189">
        <f t="shared" si="541"/>
        <v>0</v>
      </c>
      <c r="W189">
        <f t="shared" si="541"/>
        <v>0</v>
      </c>
      <c r="Y189" s="8" t="str">
        <f t="shared" si="214"/>
        <v>AAA</v>
      </c>
      <c r="Z189" s="8"/>
      <c r="AB189">
        <f t="shared" si="542"/>
        <v>0</v>
      </c>
      <c r="AC189">
        <f t="shared" si="542"/>
        <v>0</v>
      </c>
      <c r="AE189" s="8" t="str">
        <f>Hidden!$CC65</f>
        <v/>
      </c>
      <c r="AF189">
        <f t="shared" si="216"/>
        <v>0</v>
      </c>
      <c r="AG189">
        <f t="shared" si="217"/>
        <v>0</v>
      </c>
      <c r="AH189">
        <f t="shared" si="218"/>
        <v>0</v>
      </c>
      <c r="AI189">
        <f t="shared" si="219"/>
        <v>0</v>
      </c>
      <c r="AJ189">
        <f t="shared" si="220"/>
        <v>0</v>
      </c>
      <c r="AK189">
        <f t="shared" si="221"/>
        <v>0</v>
      </c>
      <c r="AL189">
        <f t="shared" si="222"/>
        <v>0</v>
      </c>
      <c r="AM189">
        <f t="shared" si="223"/>
        <v>0</v>
      </c>
      <c r="AN189">
        <f t="shared" si="224"/>
        <v>0</v>
      </c>
      <c r="AO189">
        <f t="shared" si="225"/>
        <v>0</v>
      </c>
      <c r="BJ189" s="8" t="str">
        <f t="shared" ref="BJ189:BL189" si="835">BJ82</f>
        <v>AAA</v>
      </c>
      <c r="BK189" s="8" t="str">
        <f t="shared" si="835"/>
        <v/>
      </c>
      <c r="BL189" s="8" t="str">
        <f t="shared" si="835"/>
        <v/>
      </c>
      <c r="BM189" s="8">
        <f t="shared" si="227"/>
        <v>0</v>
      </c>
      <c r="BN189" s="8">
        <f t="shared" si="228"/>
        <v>0</v>
      </c>
      <c r="BO189" s="8"/>
      <c r="BP189" s="8" t="str">
        <f t="shared" ref="BP189:BR189" si="836">BP82</f>
        <v>AAA</v>
      </c>
      <c r="BQ189" s="8" t="str">
        <f t="shared" si="836"/>
        <v/>
      </c>
      <c r="BR189" s="8" t="str">
        <f t="shared" si="836"/>
        <v/>
      </c>
      <c r="BS189" s="8">
        <f t="shared" si="230"/>
        <v>0</v>
      </c>
      <c r="BT189" s="8">
        <f t="shared" si="231"/>
        <v>0</v>
      </c>
      <c r="BU189" s="8"/>
      <c r="BV189" s="8" t="str">
        <f t="shared" ref="BV189:BX189" si="837">BV82</f>
        <v>AAA</v>
      </c>
      <c r="BW189" s="8" t="str">
        <f t="shared" si="837"/>
        <v/>
      </c>
      <c r="BX189" s="8" t="str">
        <f t="shared" si="837"/>
        <v/>
      </c>
      <c r="BY189" s="8">
        <f t="shared" si="233"/>
        <v>0</v>
      </c>
      <c r="BZ189" s="8">
        <f t="shared" si="234"/>
        <v>0</v>
      </c>
      <c r="CA189" s="8"/>
      <c r="CB189" s="8" t="str">
        <f t="shared" ref="CB189:CD189" si="838">CB82</f>
        <v>AAA</v>
      </c>
      <c r="CC189" s="8" t="str">
        <f t="shared" si="838"/>
        <v/>
      </c>
      <c r="CD189" s="8" t="str">
        <f t="shared" si="838"/>
        <v/>
      </c>
      <c r="CE189" s="8">
        <f t="shared" si="236"/>
        <v>0</v>
      </c>
      <c r="CF189" s="8">
        <f t="shared" si="237"/>
        <v>0</v>
      </c>
      <c r="CG189" s="8"/>
      <c r="CH189" s="8" t="str">
        <f t="shared" ref="CH189:CJ189" si="839">CH82</f>
        <v>AAA</v>
      </c>
      <c r="CI189" s="8" t="str">
        <f t="shared" si="839"/>
        <v/>
      </c>
      <c r="CJ189" s="8" t="str">
        <f t="shared" si="839"/>
        <v/>
      </c>
      <c r="CK189" s="8">
        <f t="shared" si="239"/>
        <v>0</v>
      </c>
      <c r="CL189" s="8">
        <f t="shared" si="240"/>
        <v>0</v>
      </c>
      <c r="CO189" s="8" t="str">
        <f>Hidden!$CC65</f>
        <v/>
      </c>
      <c r="CP189">
        <f t="shared" si="241"/>
        <v>0</v>
      </c>
      <c r="CQ189">
        <f t="shared" si="242"/>
        <v>0</v>
      </c>
      <c r="CR189">
        <f t="shared" si="243"/>
        <v>0</v>
      </c>
      <c r="CS189">
        <f t="shared" si="244"/>
        <v>0</v>
      </c>
      <c r="CT189">
        <f t="shared" si="245"/>
        <v>0</v>
      </c>
      <c r="CU189">
        <f t="shared" si="246"/>
        <v>0</v>
      </c>
      <c r="CV189">
        <f t="shared" si="247"/>
        <v>0</v>
      </c>
      <c r="CW189">
        <f t="shared" si="248"/>
        <v>0</v>
      </c>
      <c r="CX189">
        <f t="shared" si="249"/>
        <v>0</v>
      </c>
      <c r="CY189">
        <f t="shared" si="250"/>
        <v>0</v>
      </c>
      <c r="DT189" s="77"/>
      <c r="DU189" s="8" t="str">
        <f t="shared" si="729"/>
        <v>AAAAA</v>
      </c>
      <c r="DV189" s="8" t="str">
        <f t="shared" si="730"/>
        <v/>
      </c>
      <c r="DW189" s="8" t="str">
        <f t="shared" si="731"/>
        <v/>
      </c>
      <c r="DX189" s="8">
        <f t="shared" si="732"/>
        <v>0</v>
      </c>
      <c r="DY189" s="8">
        <f t="shared" si="732"/>
        <v>0</v>
      </c>
      <c r="EA189" s="8" t="str">
        <f t="shared" si="733"/>
        <v>AAAAA</v>
      </c>
      <c r="EB189" s="8" t="str">
        <f t="shared" si="734"/>
        <v/>
      </c>
      <c r="EC189" s="8" t="str">
        <f t="shared" si="735"/>
        <v/>
      </c>
      <c r="ED189">
        <f t="shared" si="736"/>
        <v>0</v>
      </c>
      <c r="EE189">
        <f t="shared" si="736"/>
        <v>0</v>
      </c>
      <c r="EG189" s="8" t="str">
        <f t="shared" si="737"/>
        <v>AAAAA</v>
      </c>
      <c r="EH189" s="8" t="str">
        <f t="shared" si="738"/>
        <v/>
      </c>
      <c r="EI189" s="8" t="str">
        <f t="shared" si="739"/>
        <v/>
      </c>
      <c r="EJ189" s="8">
        <f t="shared" si="740"/>
        <v>0</v>
      </c>
      <c r="EK189" s="8">
        <f t="shared" si="740"/>
        <v>0</v>
      </c>
      <c r="EM189" s="8" t="str">
        <f t="shared" si="741"/>
        <v>AAAAA</v>
      </c>
      <c r="EN189" s="8" t="str">
        <f t="shared" si="742"/>
        <v/>
      </c>
      <c r="EO189" s="8" t="str">
        <f t="shared" si="743"/>
        <v/>
      </c>
      <c r="EP189" s="8">
        <f t="shared" si="744"/>
        <v>0</v>
      </c>
      <c r="EQ189" s="8">
        <f t="shared" si="744"/>
        <v>0</v>
      </c>
      <c r="ES189" s="8" t="str">
        <f t="shared" si="745"/>
        <v>AAAAA</v>
      </c>
      <c r="ET189" s="8" t="str">
        <f t="shared" si="746"/>
        <v/>
      </c>
      <c r="EU189" s="8" t="str">
        <f t="shared" si="747"/>
        <v/>
      </c>
      <c r="EV189" s="8">
        <f t="shared" si="748"/>
        <v>0</v>
      </c>
      <c r="EW189" s="8">
        <f t="shared" si="748"/>
        <v>0</v>
      </c>
      <c r="EY189" s="8" t="str">
        <f>Hidden!$CG77</f>
        <v/>
      </c>
      <c r="EZ189">
        <f t="shared" si="749"/>
        <v>0</v>
      </c>
      <c r="FA189">
        <f t="shared" si="750"/>
        <v>0</v>
      </c>
      <c r="FB189">
        <f t="shared" si="751"/>
        <v>0</v>
      </c>
      <c r="FC189">
        <f t="shared" si="752"/>
        <v>0</v>
      </c>
      <c r="FD189">
        <f t="shared" si="753"/>
        <v>0</v>
      </c>
      <c r="FE189">
        <f t="shared" si="754"/>
        <v>0</v>
      </c>
      <c r="FF189">
        <f t="shared" si="755"/>
        <v>0</v>
      </c>
      <c r="FG189">
        <f t="shared" si="756"/>
        <v>0</v>
      </c>
      <c r="FH189">
        <f t="shared" si="757"/>
        <v>0</v>
      </c>
      <c r="FI189">
        <f t="shared" si="758"/>
        <v>0</v>
      </c>
    </row>
    <row r="190" spans="1:165" x14ac:dyDescent="0.2">
      <c r="A190" s="8" t="str">
        <f t="shared" ref="A190:C190" si="840">A83</f>
        <v>AAAA</v>
      </c>
      <c r="B190" s="8" t="str">
        <f t="shared" si="840"/>
        <v/>
      </c>
      <c r="C190" s="8" t="str">
        <f t="shared" si="840"/>
        <v/>
      </c>
      <c r="D190" s="8">
        <f t="shared" si="536"/>
        <v>0</v>
      </c>
      <c r="E190" s="8">
        <f t="shared" si="536"/>
        <v>0</v>
      </c>
      <c r="F190" s="8"/>
      <c r="G190" s="8" t="str">
        <f t="shared" ref="G190:I190" si="841">G83</f>
        <v>AAAA</v>
      </c>
      <c r="H190" s="8" t="str">
        <f t="shared" si="841"/>
        <v/>
      </c>
      <c r="I190" s="8" t="str">
        <f t="shared" si="841"/>
        <v/>
      </c>
      <c r="J190" s="8">
        <f t="shared" si="538"/>
        <v>0</v>
      </c>
      <c r="K190" s="8">
        <f t="shared" si="538"/>
        <v>0</v>
      </c>
      <c r="L190" s="8"/>
      <c r="M190" s="8" t="str">
        <f t="shared" ref="M190:O190" si="842">M83</f>
        <v>AAAA</v>
      </c>
      <c r="N190" s="8" t="str">
        <f t="shared" si="842"/>
        <v/>
      </c>
      <c r="O190" s="8" t="str">
        <f t="shared" si="842"/>
        <v/>
      </c>
      <c r="P190" s="8">
        <f>IF($O190="",0,$O190*P$124)</f>
        <v>0</v>
      </c>
      <c r="Q190" s="8">
        <f>IF($O190="",0,$O190*Q$124)</f>
        <v>0</v>
      </c>
      <c r="R190" s="8"/>
      <c r="S190" s="8" t="str">
        <f t="shared" ref="S190:U190" si="843">S83</f>
        <v>AAAA</v>
      </c>
      <c r="T190" s="8" t="str">
        <f t="shared" si="843"/>
        <v/>
      </c>
      <c r="U190" s="8" t="str">
        <f t="shared" si="843"/>
        <v/>
      </c>
      <c r="V190">
        <f t="shared" si="541"/>
        <v>0</v>
      </c>
      <c r="W190">
        <f t="shared" si="541"/>
        <v>0</v>
      </c>
      <c r="Y190" s="8" t="str">
        <f t="shared" si="214"/>
        <v>AAAA</v>
      </c>
      <c r="Z190" s="8"/>
      <c r="AB190">
        <f t="shared" si="542"/>
        <v>0</v>
      </c>
      <c r="AC190">
        <f t="shared" si="542"/>
        <v>0</v>
      </c>
      <c r="AE190" s="8" t="str">
        <f>Hidden!$CC66</f>
        <v/>
      </c>
      <c r="AF190">
        <f t="shared" si="216"/>
        <v>0</v>
      </c>
      <c r="AG190">
        <f t="shared" si="217"/>
        <v>0</v>
      </c>
      <c r="AH190">
        <f t="shared" si="218"/>
        <v>0</v>
      </c>
      <c r="AI190">
        <f t="shared" si="219"/>
        <v>0</v>
      </c>
      <c r="AJ190">
        <f t="shared" si="220"/>
        <v>0</v>
      </c>
      <c r="AK190">
        <f t="shared" si="221"/>
        <v>0</v>
      </c>
      <c r="AL190">
        <f t="shared" si="222"/>
        <v>0</v>
      </c>
      <c r="AM190">
        <f t="shared" si="223"/>
        <v>0</v>
      </c>
      <c r="AN190">
        <f t="shared" si="224"/>
        <v>0</v>
      </c>
      <c r="AO190">
        <f t="shared" si="225"/>
        <v>0</v>
      </c>
      <c r="BJ190" s="8" t="str">
        <f t="shared" ref="BJ190:BL190" si="844">BJ83</f>
        <v>AAAA</v>
      </c>
      <c r="BK190" s="8" t="str">
        <f t="shared" si="844"/>
        <v/>
      </c>
      <c r="BL190" s="8" t="str">
        <f t="shared" si="844"/>
        <v/>
      </c>
      <c r="BM190" s="8">
        <f t="shared" si="227"/>
        <v>0</v>
      </c>
      <c r="BN190" s="8">
        <f t="shared" si="228"/>
        <v>0</v>
      </c>
      <c r="BO190" s="8"/>
      <c r="BP190" s="8" t="str">
        <f t="shared" ref="BP190:BR190" si="845">BP83</f>
        <v>AAAA</v>
      </c>
      <c r="BQ190" s="8" t="str">
        <f t="shared" si="845"/>
        <v/>
      </c>
      <c r="BR190" s="8" t="str">
        <f t="shared" si="845"/>
        <v/>
      </c>
      <c r="BS190" s="8">
        <f t="shared" si="230"/>
        <v>0</v>
      </c>
      <c r="BT190" s="8">
        <f t="shared" si="231"/>
        <v>0</v>
      </c>
      <c r="BU190" s="8"/>
      <c r="BV190" s="8" t="str">
        <f t="shared" ref="BV190:BX190" si="846">BV83</f>
        <v>AAAA</v>
      </c>
      <c r="BW190" s="8" t="str">
        <f t="shared" si="846"/>
        <v/>
      </c>
      <c r="BX190" s="8" t="str">
        <f t="shared" si="846"/>
        <v/>
      </c>
      <c r="BY190" s="8">
        <f t="shared" si="233"/>
        <v>0</v>
      </c>
      <c r="BZ190" s="8">
        <f t="shared" si="234"/>
        <v>0</v>
      </c>
      <c r="CA190" s="8"/>
      <c r="CB190" s="8" t="str">
        <f t="shared" ref="CB190:CD190" si="847">CB83</f>
        <v>AAAA</v>
      </c>
      <c r="CC190" s="8" t="str">
        <f t="shared" si="847"/>
        <v/>
      </c>
      <c r="CD190" s="8" t="str">
        <f t="shared" si="847"/>
        <v/>
      </c>
      <c r="CE190" s="8">
        <f t="shared" si="236"/>
        <v>0</v>
      </c>
      <c r="CF190" s="8">
        <f t="shared" si="237"/>
        <v>0</v>
      </c>
      <c r="CG190" s="8"/>
      <c r="CH190" s="8" t="str">
        <f t="shared" ref="CH190:CJ190" si="848">CH83</f>
        <v>AAAA</v>
      </c>
      <c r="CI190" s="8" t="str">
        <f t="shared" si="848"/>
        <v/>
      </c>
      <c r="CJ190" s="8" t="str">
        <f t="shared" si="848"/>
        <v/>
      </c>
      <c r="CK190" s="8">
        <f t="shared" si="239"/>
        <v>0</v>
      </c>
      <c r="CL190" s="8">
        <f t="shared" si="240"/>
        <v>0</v>
      </c>
      <c r="CO190" s="8" t="str">
        <f>Hidden!$CC66</f>
        <v/>
      </c>
      <c r="CP190">
        <f t="shared" si="241"/>
        <v>0</v>
      </c>
      <c r="CQ190">
        <f t="shared" si="242"/>
        <v>0</v>
      </c>
      <c r="CR190">
        <f t="shared" si="243"/>
        <v>0</v>
      </c>
      <c r="CS190">
        <f t="shared" si="244"/>
        <v>0</v>
      </c>
      <c r="CT190">
        <f t="shared" si="245"/>
        <v>0</v>
      </c>
      <c r="CU190">
        <f t="shared" si="246"/>
        <v>0</v>
      </c>
      <c r="CV190">
        <f t="shared" si="247"/>
        <v>0</v>
      </c>
      <c r="CW190">
        <f t="shared" si="248"/>
        <v>0</v>
      </c>
      <c r="CX190">
        <f t="shared" si="249"/>
        <v>0</v>
      </c>
      <c r="CY190">
        <f t="shared" si="250"/>
        <v>0</v>
      </c>
      <c r="DT190" s="77"/>
      <c r="DU190" s="8" t="str">
        <f t="shared" si="729"/>
        <v>AAAAAA</v>
      </c>
      <c r="DV190" s="8" t="str">
        <f t="shared" si="730"/>
        <v/>
      </c>
      <c r="DW190" s="8" t="str">
        <f t="shared" si="731"/>
        <v/>
      </c>
      <c r="DX190" s="8">
        <f t="shared" si="732"/>
        <v>0</v>
      </c>
      <c r="DY190" s="8">
        <f t="shared" si="732"/>
        <v>0</v>
      </c>
      <c r="EA190" s="8" t="str">
        <f t="shared" si="733"/>
        <v>AAAAAA</v>
      </c>
      <c r="EB190" s="8" t="str">
        <f t="shared" si="734"/>
        <v/>
      </c>
      <c r="EC190" s="8" t="str">
        <f t="shared" si="735"/>
        <v/>
      </c>
      <c r="ED190">
        <f t="shared" si="736"/>
        <v>0</v>
      </c>
      <c r="EE190">
        <f t="shared" si="736"/>
        <v>0</v>
      </c>
      <c r="EG190" s="8" t="str">
        <f t="shared" si="737"/>
        <v>AAAAAA</v>
      </c>
      <c r="EH190" s="8" t="str">
        <f t="shared" si="738"/>
        <v/>
      </c>
      <c r="EI190" s="8" t="str">
        <f t="shared" si="739"/>
        <v/>
      </c>
      <c r="EJ190" s="8">
        <f t="shared" si="740"/>
        <v>0</v>
      </c>
      <c r="EK190" s="8">
        <f t="shared" si="740"/>
        <v>0</v>
      </c>
      <c r="EM190" s="8" t="str">
        <f t="shared" si="741"/>
        <v>AAAAAA</v>
      </c>
      <c r="EN190" s="8" t="str">
        <f t="shared" si="742"/>
        <v/>
      </c>
      <c r="EO190" s="8" t="str">
        <f t="shared" si="743"/>
        <v/>
      </c>
      <c r="EP190" s="8">
        <f t="shared" si="744"/>
        <v>0</v>
      </c>
      <c r="EQ190" s="8">
        <f t="shared" si="744"/>
        <v>0</v>
      </c>
      <c r="ES190" s="8" t="str">
        <f t="shared" si="745"/>
        <v>AAAAAA</v>
      </c>
      <c r="ET190" s="8" t="str">
        <f t="shared" si="746"/>
        <v/>
      </c>
      <c r="EU190" s="8" t="str">
        <f t="shared" si="747"/>
        <v/>
      </c>
      <c r="EV190" s="8">
        <f t="shared" si="748"/>
        <v>0</v>
      </c>
      <c r="EW190" s="8">
        <f t="shared" si="748"/>
        <v>0</v>
      </c>
      <c r="EY190" s="8" t="str">
        <f>Hidden!$CG78</f>
        <v/>
      </c>
      <c r="EZ190">
        <f t="shared" si="749"/>
        <v>0</v>
      </c>
      <c r="FA190">
        <f t="shared" si="750"/>
        <v>0</v>
      </c>
      <c r="FB190">
        <f t="shared" si="751"/>
        <v>0</v>
      </c>
      <c r="FC190">
        <f t="shared" si="752"/>
        <v>0</v>
      </c>
      <c r="FD190">
        <f t="shared" si="753"/>
        <v>0</v>
      </c>
      <c r="FE190">
        <f t="shared" si="754"/>
        <v>0</v>
      </c>
      <c r="FF190">
        <f t="shared" si="755"/>
        <v>0</v>
      </c>
      <c r="FG190">
        <f t="shared" si="756"/>
        <v>0</v>
      </c>
      <c r="FH190">
        <f t="shared" si="757"/>
        <v>0</v>
      </c>
      <c r="FI190">
        <f t="shared" si="758"/>
        <v>0</v>
      </c>
    </row>
    <row r="191" spans="1:165" x14ac:dyDescent="0.2">
      <c r="A191" s="8" t="str">
        <f t="shared" ref="A191:C191" si="849">A84</f>
        <v>AAAAA</v>
      </c>
      <c r="B191" s="8" t="str">
        <f t="shared" si="849"/>
        <v/>
      </c>
      <c r="C191" s="8" t="str">
        <f t="shared" si="849"/>
        <v/>
      </c>
      <c r="D191" s="8">
        <f t="shared" si="536"/>
        <v>0</v>
      </c>
      <c r="E191" s="8">
        <f t="shared" si="536"/>
        <v>0</v>
      </c>
      <c r="F191" s="8"/>
      <c r="G191" s="8" t="str">
        <f t="shared" ref="G191:I191" si="850">G84</f>
        <v>AAAAA</v>
      </c>
      <c r="H191" s="8" t="str">
        <f t="shared" si="850"/>
        <v/>
      </c>
      <c r="I191" s="8" t="str">
        <f t="shared" si="850"/>
        <v/>
      </c>
      <c r="J191" s="8">
        <f t="shared" si="538"/>
        <v>0</v>
      </c>
      <c r="K191" s="8">
        <f t="shared" si="538"/>
        <v>0</v>
      </c>
      <c r="L191" s="8"/>
      <c r="M191" s="8" t="str">
        <f t="shared" ref="M191:O191" si="851">M84</f>
        <v>AAAAA</v>
      </c>
      <c r="N191" s="8" t="str">
        <f t="shared" si="851"/>
        <v/>
      </c>
      <c r="O191" s="8" t="str">
        <f t="shared" si="851"/>
        <v/>
      </c>
      <c r="P191" s="8">
        <f t="shared" ref="P191:Q226" si="852">IF($O191="",0,$O191*P$124)</f>
        <v>0</v>
      </c>
      <c r="Q191" s="8">
        <f t="shared" si="852"/>
        <v>0</v>
      </c>
      <c r="R191" s="8"/>
      <c r="S191" s="8" t="str">
        <f t="shared" ref="S191:U191" si="853">S84</f>
        <v>AAAAA</v>
      </c>
      <c r="T191" s="8" t="str">
        <f t="shared" si="853"/>
        <v/>
      </c>
      <c r="U191" s="8" t="str">
        <f t="shared" si="853"/>
        <v/>
      </c>
      <c r="V191">
        <f t="shared" si="541"/>
        <v>0</v>
      </c>
      <c r="W191">
        <f t="shared" si="541"/>
        <v>0</v>
      </c>
      <c r="Y191" s="8" t="str">
        <f t="shared" si="214"/>
        <v>AAAAA</v>
      </c>
      <c r="Z191" s="8"/>
      <c r="AB191">
        <f t="shared" si="542"/>
        <v>0</v>
      </c>
      <c r="AC191">
        <f t="shared" si="542"/>
        <v>0</v>
      </c>
      <c r="AE191" s="8" t="str">
        <f>Hidden!$CC67</f>
        <v/>
      </c>
      <c r="AF191">
        <f t="shared" si="216"/>
        <v>0</v>
      </c>
      <c r="AG191">
        <f t="shared" si="217"/>
        <v>0</v>
      </c>
      <c r="AH191">
        <f t="shared" si="218"/>
        <v>0</v>
      </c>
      <c r="AI191">
        <f t="shared" si="219"/>
        <v>0</v>
      </c>
      <c r="AJ191">
        <f t="shared" si="220"/>
        <v>0</v>
      </c>
      <c r="AK191">
        <f t="shared" si="221"/>
        <v>0</v>
      </c>
      <c r="AL191">
        <f t="shared" si="222"/>
        <v>0</v>
      </c>
      <c r="AM191">
        <f t="shared" si="223"/>
        <v>0</v>
      </c>
      <c r="AN191">
        <f t="shared" si="224"/>
        <v>0</v>
      </c>
      <c r="AO191">
        <f t="shared" si="225"/>
        <v>0</v>
      </c>
      <c r="BJ191" s="8" t="str">
        <f t="shared" ref="BJ191:BL191" si="854">BJ84</f>
        <v>AAAAA</v>
      </c>
      <c r="BK191" s="8" t="str">
        <f t="shared" si="854"/>
        <v/>
      </c>
      <c r="BL191" s="8" t="str">
        <f t="shared" si="854"/>
        <v/>
      </c>
      <c r="BM191" s="8">
        <f t="shared" si="227"/>
        <v>0</v>
      </c>
      <c r="BN191" s="8">
        <f t="shared" si="228"/>
        <v>0</v>
      </c>
      <c r="BO191" s="8"/>
      <c r="BP191" s="8" t="str">
        <f t="shared" ref="BP191:BR191" si="855">BP84</f>
        <v>AAAAA</v>
      </c>
      <c r="BQ191" s="8" t="str">
        <f t="shared" si="855"/>
        <v/>
      </c>
      <c r="BR191" s="8" t="str">
        <f t="shared" si="855"/>
        <v/>
      </c>
      <c r="BS191" s="8">
        <f t="shared" si="230"/>
        <v>0</v>
      </c>
      <c r="BT191" s="8">
        <f t="shared" si="231"/>
        <v>0</v>
      </c>
      <c r="BU191" s="8"/>
      <c r="BV191" s="8" t="str">
        <f t="shared" ref="BV191:BX191" si="856">BV84</f>
        <v>AAAAA</v>
      </c>
      <c r="BW191" s="8" t="str">
        <f t="shared" si="856"/>
        <v/>
      </c>
      <c r="BX191" s="8" t="str">
        <f t="shared" si="856"/>
        <v/>
      </c>
      <c r="BY191" s="8">
        <f t="shared" si="233"/>
        <v>0</v>
      </c>
      <c r="BZ191" s="8">
        <f t="shared" si="234"/>
        <v>0</v>
      </c>
      <c r="CA191" s="8"/>
      <c r="CB191" s="8" t="str">
        <f t="shared" ref="CB191:CD191" si="857">CB84</f>
        <v>AAAAA</v>
      </c>
      <c r="CC191" s="8" t="str">
        <f t="shared" si="857"/>
        <v/>
      </c>
      <c r="CD191" s="8" t="str">
        <f t="shared" si="857"/>
        <v/>
      </c>
      <c r="CE191" s="8">
        <f t="shared" si="236"/>
        <v>0</v>
      </c>
      <c r="CF191" s="8">
        <f t="shared" si="237"/>
        <v>0</v>
      </c>
      <c r="CG191" s="8"/>
      <c r="CH191" s="8" t="str">
        <f t="shared" ref="CH191:CJ191" si="858">CH84</f>
        <v>AAAAA</v>
      </c>
      <c r="CI191" s="8" t="str">
        <f t="shared" si="858"/>
        <v/>
      </c>
      <c r="CJ191" s="8" t="str">
        <f t="shared" si="858"/>
        <v/>
      </c>
      <c r="CK191" s="8">
        <f t="shared" si="239"/>
        <v>0</v>
      </c>
      <c r="CL191" s="8">
        <f t="shared" si="240"/>
        <v>0</v>
      </c>
      <c r="CO191" s="8" t="str">
        <f>Hidden!$CC67</f>
        <v/>
      </c>
      <c r="CP191">
        <f t="shared" si="241"/>
        <v>0</v>
      </c>
      <c r="CQ191">
        <f t="shared" si="242"/>
        <v>0</v>
      </c>
      <c r="CR191">
        <f t="shared" si="243"/>
        <v>0</v>
      </c>
      <c r="CS191">
        <f t="shared" si="244"/>
        <v>0</v>
      </c>
      <c r="CT191">
        <f t="shared" si="245"/>
        <v>0</v>
      </c>
      <c r="CU191">
        <f t="shared" si="246"/>
        <v>0</v>
      </c>
      <c r="CV191">
        <f t="shared" si="247"/>
        <v>0</v>
      </c>
      <c r="CW191">
        <f t="shared" si="248"/>
        <v>0</v>
      </c>
      <c r="CX191">
        <f t="shared" si="249"/>
        <v>0</v>
      </c>
      <c r="CY191">
        <f t="shared" si="250"/>
        <v>0</v>
      </c>
      <c r="DT191" s="77"/>
      <c r="DU191" s="8" t="str">
        <f t="shared" si="729"/>
        <v>AAAAAAA</v>
      </c>
      <c r="DV191" s="8" t="str">
        <f t="shared" si="730"/>
        <v/>
      </c>
      <c r="DW191" s="8" t="str">
        <f t="shared" si="731"/>
        <v/>
      </c>
      <c r="DX191" s="8">
        <f t="shared" si="732"/>
        <v>0</v>
      </c>
      <c r="DY191" s="8">
        <f t="shared" si="732"/>
        <v>0</v>
      </c>
      <c r="EA191" s="8" t="str">
        <f t="shared" si="733"/>
        <v>AAAAAAA</v>
      </c>
      <c r="EB191" s="8" t="str">
        <f t="shared" si="734"/>
        <v/>
      </c>
      <c r="EC191" s="8" t="str">
        <f t="shared" si="735"/>
        <v/>
      </c>
      <c r="ED191">
        <f t="shared" si="736"/>
        <v>0</v>
      </c>
      <c r="EE191">
        <f t="shared" si="736"/>
        <v>0</v>
      </c>
      <c r="EG191" s="8" t="str">
        <f t="shared" si="737"/>
        <v>AAAAAAA</v>
      </c>
      <c r="EH191" s="8" t="str">
        <f t="shared" si="738"/>
        <v/>
      </c>
      <c r="EI191" s="8" t="str">
        <f t="shared" si="739"/>
        <v/>
      </c>
      <c r="EJ191" s="8">
        <f t="shared" si="740"/>
        <v>0</v>
      </c>
      <c r="EK191" s="8">
        <f t="shared" si="740"/>
        <v>0</v>
      </c>
      <c r="EM191" s="8" t="str">
        <f t="shared" si="741"/>
        <v>AAAAAAA</v>
      </c>
      <c r="EN191" s="8" t="str">
        <f t="shared" si="742"/>
        <v/>
      </c>
      <c r="EO191" s="8" t="str">
        <f t="shared" si="743"/>
        <v/>
      </c>
      <c r="EP191" s="8">
        <f t="shared" si="744"/>
        <v>0</v>
      </c>
      <c r="EQ191" s="8">
        <f t="shared" si="744"/>
        <v>0</v>
      </c>
      <c r="ES191" s="8" t="str">
        <f t="shared" si="745"/>
        <v>AAAAAAA</v>
      </c>
      <c r="ET191" s="8" t="str">
        <f t="shared" si="746"/>
        <v/>
      </c>
      <c r="EU191" s="8" t="str">
        <f t="shared" si="747"/>
        <v/>
      </c>
      <c r="EV191" s="8">
        <f t="shared" si="748"/>
        <v>0</v>
      </c>
      <c r="EW191" s="8">
        <f t="shared" si="748"/>
        <v>0</v>
      </c>
      <c r="EY191" s="8" t="str">
        <f>Hidden!$CG79</f>
        <v/>
      </c>
      <c r="EZ191">
        <f t="shared" si="749"/>
        <v>0</v>
      </c>
      <c r="FA191">
        <f t="shared" si="750"/>
        <v>0</v>
      </c>
      <c r="FB191">
        <f t="shared" si="751"/>
        <v>0</v>
      </c>
      <c r="FC191">
        <f t="shared" si="752"/>
        <v>0</v>
      </c>
      <c r="FD191">
        <f t="shared" si="753"/>
        <v>0</v>
      </c>
      <c r="FE191">
        <f t="shared" si="754"/>
        <v>0</v>
      </c>
      <c r="FF191">
        <f t="shared" si="755"/>
        <v>0</v>
      </c>
      <c r="FG191">
        <f t="shared" si="756"/>
        <v>0</v>
      </c>
      <c r="FH191">
        <f t="shared" si="757"/>
        <v>0</v>
      </c>
      <c r="FI191">
        <f t="shared" si="758"/>
        <v>0</v>
      </c>
    </row>
    <row r="192" spans="1:165" x14ac:dyDescent="0.2">
      <c r="A192" s="8" t="str">
        <f t="shared" ref="A192:C192" si="859">A85</f>
        <v>AAAAAA</v>
      </c>
      <c r="B192" s="8" t="str">
        <f t="shared" si="859"/>
        <v/>
      </c>
      <c r="C192" s="8" t="str">
        <f t="shared" si="859"/>
        <v/>
      </c>
      <c r="D192" s="8">
        <f t="shared" ref="D192:E226" si="860">IF($C192="",0,$C192*D$124)</f>
        <v>0</v>
      </c>
      <c r="E192" s="8">
        <f t="shared" si="860"/>
        <v>0</v>
      </c>
      <c r="F192" s="8"/>
      <c r="G192" s="8" t="str">
        <f t="shared" ref="G192:I192" si="861">G85</f>
        <v>AAAAAA</v>
      </c>
      <c r="H192" s="8" t="str">
        <f t="shared" si="861"/>
        <v/>
      </c>
      <c r="I192" s="8" t="str">
        <f t="shared" si="861"/>
        <v/>
      </c>
      <c r="J192" s="8">
        <f t="shared" ref="J192:K226" si="862">IF($I192="",0,$I192*J$124)</f>
        <v>0</v>
      </c>
      <c r="K192" s="8">
        <f t="shared" si="862"/>
        <v>0</v>
      </c>
      <c r="L192" s="8"/>
      <c r="M192" s="8" t="str">
        <f t="shared" ref="M192:O192" si="863">M85</f>
        <v>AAAAAA</v>
      </c>
      <c r="N192" s="8" t="str">
        <f t="shared" si="863"/>
        <v/>
      </c>
      <c r="O192" s="8" t="str">
        <f t="shared" si="863"/>
        <v/>
      </c>
      <c r="P192" s="8">
        <f t="shared" si="852"/>
        <v>0</v>
      </c>
      <c r="Q192" s="8">
        <f t="shared" si="852"/>
        <v>0</v>
      </c>
      <c r="R192" s="8"/>
      <c r="S192" s="8" t="str">
        <f t="shared" ref="S192:U192" si="864">S85</f>
        <v>AAAAAA</v>
      </c>
      <c r="T192" s="8" t="str">
        <f t="shared" si="864"/>
        <v/>
      </c>
      <c r="U192" s="8" t="str">
        <f t="shared" si="864"/>
        <v/>
      </c>
      <c r="V192">
        <f t="shared" ref="V192:W226" si="865">IF($U192="",0,$U192*V$124)</f>
        <v>0</v>
      </c>
      <c r="W192">
        <f t="shared" si="865"/>
        <v>0</v>
      </c>
      <c r="Y192" s="8" t="str">
        <f t="shared" ref="Y192:Y226" si="866">Y85</f>
        <v>AAAAAA</v>
      </c>
      <c r="Z192" s="8"/>
      <c r="AB192">
        <f t="shared" ref="AB192:AC226" si="867">IF($AA192="",0,$AA192*AB$124)</f>
        <v>0</v>
      </c>
      <c r="AC192">
        <f t="shared" si="867"/>
        <v>0</v>
      </c>
      <c r="AE192" s="8" t="str">
        <f>Hidden!$CC68</f>
        <v/>
      </c>
      <c r="AF192">
        <f t="shared" ref="AF192:AF226" si="868">IF($AF$124,_xlfn.MAXIFS($D$127:$D$226,$B$127:$B$226,$AE192),0)</f>
        <v>0</v>
      </c>
      <c r="AG192">
        <f t="shared" ref="AG192:AG226" si="869">IF($AG$124,_xlfn.MAXIFS($J$127:$J$226,$H$127:$H$226,$AE192),0)</f>
        <v>0</v>
      </c>
      <c r="AH192">
        <f t="shared" ref="AH192:AH226" si="870">IF($AH$124,_xlfn.MAXIFS($P$127:$P$226,$N$127:$N$226,$AE192),0)</f>
        <v>0</v>
      </c>
      <c r="AI192">
        <f t="shared" ref="AI192:AI226" si="871">IF($AI$124,_xlfn.MAXIFS($V$127:$V$226,$T$127:$T$226,$AE192),0)</f>
        <v>0</v>
      </c>
      <c r="AJ192">
        <f t="shared" ref="AJ192:AJ226" si="872">IF($AJ$124,_xlfn.MAXIFS($AB$127:$AB$226,$Z$127:$Z$226,$AE192),0)</f>
        <v>0</v>
      </c>
      <c r="AK192">
        <f t="shared" ref="AK192:AK226" si="873">IF(AK$124,_xlfn.MAXIFS($E$127:$E$226,$B$127:$B$226,$AE192),0)</f>
        <v>0</v>
      </c>
      <c r="AL192">
        <f t="shared" ref="AL192:AL226" si="874">IF(AL$124,_xlfn.MAXIFS($K$127:$K$226,$H$127:$H$226,$AE192),0)</f>
        <v>0</v>
      </c>
      <c r="AM192">
        <f t="shared" ref="AM192:AM226" si="875">IF(AM$124,_xlfn.MAXIFS($Q$127:$Q$226,$N$127:$N$226,$AE192),0)</f>
        <v>0</v>
      </c>
      <c r="AN192">
        <f t="shared" ref="AN192:AN226" si="876">IF(AN$124,_xlfn.MAXIFS($W$127:$W$226,$T$127:$T$226,$AE192),0)</f>
        <v>0</v>
      </c>
      <c r="AO192">
        <f t="shared" ref="AO192:AO226" si="877">IF(AO$124,_xlfn.MAXIFS($AC$127:$AC$226,$Z$127:$Z$226,$AE192),0)</f>
        <v>0</v>
      </c>
      <c r="BJ192" s="8" t="str">
        <f t="shared" ref="BJ192:BL192" si="878">BJ85</f>
        <v>AAAAAA</v>
      </c>
      <c r="BK192" s="8" t="str">
        <f t="shared" si="878"/>
        <v/>
      </c>
      <c r="BL192" s="8" t="str">
        <f t="shared" si="878"/>
        <v/>
      </c>
      <c r="BM192" s="8">
        <f t="shared" ref="BM192:BM226" si="879">IF($BL192="",0,$BL192*BK$124)</f>
        <v>0</v>
      </c>
      <c r="BN192" s="8">
        <f t="shared" ref="BN192:BN226" si="880">IF($BL192="",0,$BL192*BL$124)</f>
        <v>0</v>
      </c>
      <c r="BO192" s="8"/>
      <c r="BP192" s="8" t="str">
        <f t="shared" ref="BP192:BR192" si="881">BP85</f>
        <v>AAAAAA</v>
      </c>
      <c r="BQ192" s="8" t="str">
        <f t="shared" si="881"/>
        <v/>
      </c>
      <c r="BR192" s="8" t="str">
        <f t="shared" si="881"/>
        <v/>
      </c>
      <c r="BS192" s="8">
        <f t="shared" ref="BS192:BS226" si="882">IF($BR192="",0,$BR192*BQ$124)</f>
        <v>0</v>
      </c>
      <c r="BT192" s="8">
        <f t="shared" ref="BT192:BT226" si="883">IF($BR192="",0,$BR192*BR$124)</f>
        <v>0</v>
      </c>
      <c r="BU192" s="8"/>
      <c r="BV192" s="8" t="str">
        <f t="shared" ref="BV192:BX192" si="884">BV85</f>
        <v>AAAAAA</v>
      </c>
      <c r="BW192" s="8" t="str">
        <f t="shared" si="884"/>
        <v/>
      </c>
      <c r="BX192" s="8" t="str">
        <f t="shared" si="884"/>
        <v/>
      </c>
      <c r="BY192" s="8">
        <f t="shared" ref="BY192:BY226" si="885">IF($BX192="",0,$BX192*BW$124)</f>
        <v>0</v>
      </c>
      <c r="BZ192" s="8">
        <f t="shared" ref="BZ192:BZ226" si="886">IF($BX192="",0,$BX192*BX$124)</f>
        <v>0</v>
      </c>
      <c r="CA192" s="8"/>
      <c r="CB192" s="8" t="str">
        <f t="shared" ref="CB192:CD192" si="887">CB85</f>
        <v>AAAAAA</v>
      </c>
      <c r="CC192" s="8" t="str">
        <f t="shared" si="887"/>
        <v/>
      </c>
      <c r="CD192" s="8" t="str">
        <f t="shared" si="887"/>
        <v/>
      </c>
      <c r="CE192" s="8">
        <f t="shared" ref="CE192:CE226" si="888">IF($CD192="",0,$CD192*CC$124)</f>
        <v>0</v>
      </c>
      <c r="CF192" s="8">
        <f t="shared" ref="CF192:CF226" si="889">IF($CD192="",0,$CD192*CD$124)</f>
        <v>0</v>
      </c>
      <c r="CG192" s="8"/>
      <c r="CH192" s="8" t="str">
        <f t="shared" ref="CH192:CJ192" si="890">CH85</f>
        <v>AAAAAA</v>
      </c>
      <c r="CI192" s="8" t="str">
        <f t="shared" si="890"/>
        <v/>
      </c>
      <c r="CJ192" s="8" t="str">
        <f t="shared" si="890"/>
        <v/>
      </c>
      <c r="CK192" s="8">
        <f t="shared" ref="CK192:CK226" si="891">IF($CJ192="",0,$CJ192*CI$124)</f>
        <v>0</v>
      </c>
      <c r="CL192" s="8">
        <f t="shared" ref="CL192:CL226" si="892">IF($CJ192="",0,$CJ192*CJ$124)</f>
        <v>0</v>
      </c>
      <c r="CO192" s="8" t="str">
        <f>Hidden!$CC68</f>
        <v/>
      </c>
      <c r="CP192">
        <f t="shared" ref="CP192:CP226" si="893">IF(CP$124,_xlfn.MAXIFS($BM$127:$BM$226,$BK$127:$BK$226,$CO192),0)</f>
        <v>0</v>
      </c>
      <c r="CQ192">
        <f t="shared" ref="CQ192:CQ226" si="894">IF(CQ$124,_xlfn.MAXIFS($BS$127:$BS$226,$BQ$127:$BQ$226,$CO192),0)</f>
        <v>0</v>
      </c>
      <c r="CR192">
        <f t="shared" ref="CR192:CR226" si="895">IF(CR$124,_xlfn.MAXIFS($BY$127:$BY$226,$BW$127:$BW$226,$CO192),0)</f>
        <v>0</v>
      </c>
      <c r="CS192">
        <f t="shared" ref="CS192:CS226" si="896">IF(CS$124,_xlfn.MAXIFS($CE$127:$CE$226,$CC$127:$CC$226,$CO192),0)</f>
        <v>0</v>
      </c>
      <c r="CT192">
        <f t="shared" ref="CT192:CT226" si="897">IF(CT$124,_xlfn.MAXIFS($CK$127:$CK$226,$CI$127:$CI$226,$CO192),0)</f>
        <v>0</v>
      </c>
      <c r="CU192">
        <f t="shared" ref="CU192:CU226" si="898">IF(CU$124,SUMIF($BK$127:$BK$226,$CO192,$BN$127:$BN$226),0)</f>
        <v>0</v>
      </c>
      <c r="CV192">
        <f t="shared" ref="CV192:CV226" si="899">IF(CV$124,SUMIF($BQ$127:$BQ$226,$CO192,$BT$127:$BT$226),0)</f>
        <v>0</v>
      </c>
      <c r="CW192">
        <f t="shared" ref="CW192:CW226" si="900">IF(CW$124,SUMIF($BW$127:$BW$226,$CO192,$BZ$127:$BZ$226),0)</f>
        <v>0</v>
      </c>
      <c r="CX192">
        <f t="shared" ref="CX192:CX226" si="901">IF(CX$124,SUMIF($CC$127:$CC$226,$CO192,$CF$127:$CF$226),0)</f>
        <v>0</v>
      </c>
      <c r="CY192">
        <f t="shared" ref="CY192:CY226" si="902">IF(CY$124,SUMIF($CI$127:$CI$226,$CO192,$CL$127:$CL$226),0)</f>
        <v>0</v>
      </c>
      <c r="DT192" s="77"/>
      <c r="DU192" s="8" t="str">
        <f t="shared" si="729"/>
        <v>AAAAAAAA</v>
      </c>
      <c r="DV192" s="8" t="str">
        <f t="shared" si="730"/>
        <v/>
      </c>
      <c r="DW192" s="8" t="str">
        <f t="shared" si="731"/>
        <v/>
      </c>
      <c r="DX192" s="8">
        <f t="shared" si="732"/>
        <v>0</v>
      </c>
      <c r="DY192" s="8">
        <f t="shared" si="732"/>
        <v>0</v>
      </c>
      <c r="EA192" s="8" t="str">
        <f t="shared" si="733"/>
        <v>AAAAAAAA</v>
      </c>
      <c r="EB192" s="8" t="str">
        <f t="shared" si="734"/>
        <v/>
      </c>
      <c r="EC192" s="8" t="str">
        <f t="shared" si="735"/>
        <v/>
      </c>
      <c r="ED192">
        <f t="shared" si="736"/>
        <v>0</v>
      </c>
      <c r="EE192">
        <f t="shared" si="736"/>
        <v>0</v>
      </c>
      <c r="EG192" s="8" t="str">
        <f t="shared" si="737"/>
        <v>AAAAAAAA</v>
      </c>
      <c r="EH192" s="8" t="str">
        <f t="shared" si="738"/>
        <v/>
      </c>
      <c r="EI192" s="8" t="str">
        <f t="shared" si="739"/>
        <v/>
      </c>
      <c r="EJ192" s="8">
        <f t="shared" si="740"/>
        <v>0</v>
      </c>
      <c r="EK192" s="8">
        <f t="shared" si="740"/>
        <v>0</v>
      </c>
      <c r="EM192" s="8" t="str">
        <f t="shared" si="741"/>
        <v>AAAAAAAA</v>
      </c>
      <c r="EN192" s="8" t="str">
        <f t="shared" si="742"/>
        <v/>
      </c>
      <c r="EO192" s="8" t="str">
        <f t="shared" si="743"/>
        <v/>
      </c>
      <c r="EP192" s="8">
        <f t="shared" si="744"/>
        <v>0</v>
      </c>
      <c r="EQ192" s="8">
        <f t="shared" si="744"/>
        <v>0</v>
      </c>
      <c r="ES192" s="8" t="str">
        <f t="shared" si="745"/>
        <v>AAAAAAAA</v>
      </c>
      <c r="ET192" s="8" t="str">
        <f t="shared" si="746"/>
        <v/>
      </c>
      <c r="EU192" s="8" t="str">
        <f t="shared" si="747"/>
        <v/>
      </c>
      <c r="EV192" s="8">
        <f t="shared" si="748"/>
        <v>0</v>
      </c>
      <c r="EW192" s="8">
        <f t="shared" si="748"/>
        <v>0</v>
      </c>
      <c r="EY192" s="8" t="str">
        <f>Hidden!$CG80</f>
        <v/>
      </c>
      <c r="EZ192">
        <f t="shared" si="749"/>
        <v>0</v>
      </c>
      <c r="FA192">
        <f t="shared" si="750"/>
        <v>0</v>
      </c>
      <c r="FB192">
        <f t="shared" si="751"/>
        <v>0</v>
      </c>
      <c r="FC192">
        <f t="shared" si="752"/>
        <v>0</v>
      </c>
      <c r="FD192">
        <f t="shared" si="753"/>
        <v>0</v>
      </c>
      <c r="FE192">
        <f t="shared" si="754"/>
        <v>0</v>
      </c>
      <c r="FF192">
        <f t="shared" si="755"/>
        <v>0</v>
      </c>
      <c r="FG192">
        <f t="shared" si="756"/>
        <v>0</v>
      </c>
      <c r="FH192">
        <f t="shared" si="757"/>
        <v>0</v>
      </c>
      <c r="FI192">
        <f t="shared" si="758"/>
        <v>0</v>
      </c>
    </row>
    <row r="193" spans="1:165" x14ac:dyDescent="0.2">
      <c r="A193" s="8" t="str">
        <f t="shared" ref="A193:C193" si="903">A86</f>
        <v>AAAAAAA</v>
      </c>
      <c r="B193" s="8" t="str">
        <f t="shared" si="903"/>
        <v/>
      </c>
      <c r="C193" s="8" t="str">
        <f t="shared" si="903"/>
        <v/>
      </c>
      <c r="D193" s="8">
        <f t="shared" si="860"/>
        <v>0</v>
      </c>
      <c r="E193" s="8">
        <f t="shared" si="860"/>
        <v>0</v>
      </c>
      <c r="F193" s="8"/>
      <c r="G193" s="8" t="str">
        <f t="shared" ref="G193:I193" si="904">G86</f>
        <v>AAAAAAA</v>
      </c>
      <c r="H193" s="8" t="str">
        <f t="shared" si="904"/>
        <v/>
      </c>
      <c r="I193" s="8" t="str">
        <f t="shared" si="904"/>
        <v/>
      </c>
      <c r="J193" s="8">
        <f t="shared" si="862"/>
        <v>0</v>
      </c>
      <c r="K193" s="8">
        <f t="shared" si="862"/>
        <v>0</v>
      </c>
      <c r="L193" s="8"/>
      <c r="M193" s="8" t="str">
        <f t="shared" ref="M193:O193" si="905">M86</f>
        <v>AAAAAAA</v>
      </c>
      <c r="N193" s="8" t="str">
        <f t="shared" si="905"/>
        <v/>
      </c>
      <c r="O193" s="8" t="str">
        <f t="shared" si="905"/>
        <v/>
      </c>
      <c r="P193" s="8">
        <f t="shared" si="852"/>
        <v>0</v>
      </c>
      <c r="Q193" s="8">
        <f t="shared" si="852"/>
        <v>0</v>
      </c>
      <c r="R193" s="8"/>
      <c r="S193" s="8" t="str">
        <f t="shared" ref="S193:U193" si="906">S86</f>
        <v>AAAAAAA</v>
      </c>
      <c r="T193" s="8" t="str">
        <f t="shared" si="906"/>
        <v/>
      </c>
      <c r="U193" s="8" t="str">
        <f t="shared" si="906"/>
        <v/>
      </c>
      <c r="V193">
        <f t="shared" si="865"/>
        <v>0</v>
      </c>
      <c r="W193">
        <f t="shared" si="865"/>
        <v>0</v>
      </c>
      <c r="Y193" s="8" t="str">
        <f t="shared" si="866"/>
        <v>AAAAAAA</v>
      </c>
      <c r="Z193" s="8"/>
      <c r="AB193">
        <f t="shared" si="867"/>
        <v>0</v>
      </c>
      <c r="AC193">
        <f t="shared" si="867"/>
        <v>0</v>
      </c>
      <c r="AE193" s="8" t="str">
        <f>Hidden!$CC69</f>
        <v/>
      </c>
      <c r="AF193">
        <f t="shared" si="868"/>
        <v>0</v>
      </c>
      <c r="AG193">
        <f t="shared" si="869"/>
        <v>0</v>
      </c>
      <c r="AH193">
        <f t="shared" si="870"/>
        <v>0</v>
      </c>
      <c r="AI193">
        <f t="shared" si="871"/>
        <v>0</v>
      </c>
      <c r="AJ193">
        <f t="shared" si="872"/>
        <v>0</v>
      </c>
      <c r="AK193">
        <f t="shared" si="873"/>
        <v>0</v>
      </c>
      <c r="AL193">
        <f t="shared" si="874"/>
        <v>0</v>
      </c>
      <c r="AM193">
        <f t="shared" si="875"/>
        <v>0</v>
      </c>
      <c r="AN193">
        <f t="shared" si="876"/>
        <v>0</v>
      </c>
      <c r="AO193">
        <f t="shared" si="877"/>
        <v>0</v>
      </c>
      <c r="BJ193" s="8" t="str">
        <f t="shared" ref="BJ193:BL193" si="907">BJ86</f>
        <v>AAAAAAA</v>
      </c>
      <c r="BK193" s="8" t="str">
        <f t="shared" si="907"/>
        <v/>
      </c>
      <c r="BL193" s="8" t="str">
        <f t="shared" si="907"/>
        <v/>
      </c>
      <c r="BM193" s="8">
        <f t="shared" si="879"/>
        <v>0</v>
      </c>
      <c r="BN193" s="8">
        <f t="shared" si="880"/>
        <v>0</v>
      </c>
      <c r="BO193" s="8"/>
      <c r="BP193" s="8" t="str">
        <f t="shared" ref="BP193:BR193" si="908">BP86</f>
        <v>AAAAAAA</v>
      </c>
      <c r="BQ193" s="8" t="str">
        <f t="shared" si="908"/>
        <v/>
      </c>
      <c r="BR193" s="8" t="str">
        <f t="shared" si="908"/>
        <v/>
      </c>
      <c r="BS193" s="8">
        <f t="shared" si="882"/>
        <v>0</v>
      </c>
      <c r="BT193" s="8">
        <f t="shared" si="883"/>
        <v>0</v>
      </c>
      <c r="BU193" s="8"/>
      <c r="BV193" s="8" t="str">
        <f t="shared" ref="BV193:BX193" si="909">BV86</f>
        <v>AAAAAAA</v>
      </c>
      <c r="BW193" s="8" t="str">
        <f t="shared" si="909"/>
        <v/>
      </c>
      <c r="BX193" s="8" t="str">
        <f t="shared" si="909"/>
        <v/>
      </c>
      <c r="BY193" s="8">
        <f t="shared" si="885"/>
        <v>0</v>
      </c>
      <c r="BZ193" s="8">
        <f t="shared" si="886"/>
        <v>0</v>
      </c>
      <c r="CA193" s="8"/>
      <c r="CB193" s="8" t="str">
        <f t="shared" ref="CB193:CD193" si="910">CB86</f>
        <v>AAAAAAA</v>
      </c>
      <c r="CC193" s="8" t="str">
        <f t="shared" si="910"/>
        <v/>
      </c>
      <c r="CD193" s="8" t="str">
        <f t="shared" si="910"/>
        <v/>
      </c>
      <c r="CE193" s="8">
        <f t="shared" si="888"/>
        <v>0</v>
      </c>
      <c r="CF193" s="8">
        <f t="shared" si="889"/>
        <v>0</v>
      </c>
      <c r="CG193" s="8"/>
      <c r="CH193" s="8" t="str">
        <f t="shared" ref="CH193:CJ193" si="911">CH86</f>
        <v>AAAAAAA</v>
      </c>
      <c r="CI193" s="8" t="str">
        <f t="shared" si="911"/>
        <v/>
      </c>
      <c r="CJ193" s="8" t="str">
        <f t="shared" si="911"/>
        <v/>
      </c>
      <c r="CK193" s="8">
        <f t="shared" si="891"/>
        <v>0</v>
      </c>
      <c r="CL193" s="8">
        <f t="shared" si="892"/>
        <v>0</v>
      </c>
      <c r="CO193" s="8" t="str">
        <f>Hidden!$CC69</f>
        <v/>
      </c>
      <c r="CP193">
        <f t="shared" si="893"/>
        <v>0</v>
      </c>
      <c r="CQ193">
        <f t="shared" si="894"/>
        <v>0</v>
      </c>
      <c r="CR193">
        <f t="shared" si="895"/>
        <v>0</v>
      </c>
      <c r="CS193">
        <f t="shared" si="896"/>
        <v>0</v>
      </c>
      <c r="CT193">
        <f t="shared" si="897"/>
        <v>0</v>
      </c>
      <c r="CU193">
        <f t="shared" si="898"/>
        <v>0</v>
      </c>
      <c r="CV193">
        <f t="shared" si="899"/>
        <v>0</v>
      </c>
      <c r="CW193">
        <f t="shared" si="900"/>
        <v>0</v>
      </c>
      <c r="CX193">
        <f t="shared" si="901"/>
        <v>0</v>
      </c>
      <c r="CY193">
        <f t="shared" si="902"/>
        <v>0</v>
      </c>
      <c r="DT193" s="77"/>
      <c r="DU193" s="8" t="str">
        <f t="shared" si="729"/>
        <v>AAAAAAAAA</v>
      </c>
      <c r="DV193" s="8" t="str">
        <f t="shared" si="730"/>
        <v/>
      </c>
      <c r="DW193" s="8" t="str">
        <f t="shared" si="731"/>
        <v/>
      </c>
      <c r="DX193" s="8">
        <f t="shared" si="732"/>
        <v>0</v>
      </c>
      <c r="DY193" s="8">
        <f t="shared" si="732"/>
        <v>0</v>
      </c>
      <c r="EA193" s="8" t="str">
        <f t="shared" si="733"/>
        <v>AAAAAAAAA</v>
      </c>
      <c r="EB193" s="8" t="str">
        <f t="shared" si="734"/>
        <v/>
      </c>
      <c r="EC193" s="8" t="str">
        <f t="shared" si="735"/>
        <v/>
      </c>
      <c r="ED193">
        <f t="shared" si="736"/>
        <v>0</v>
      </c>
      <c r="EE193">
        <f t="shared" si="736"/>
        <v>0</v>
      </c>
      <c r="EG193" s="8" t="str">
        <f t="shared" si="737"/>
        <v>AAAAAAAAA</v>
      </c>
      <c r="EH193" s="8" t="str">
        <f t="shared" si="738"/>
        <v/>
      </c>
      <c r="EI193" s="8" t="str">
        <f t="shared" si="739"/>
        <v/>
      </c>
      <c r="EJ193" s="8">
        <f t="shared" si="740"/>
        <v>0</v>
      </c>
      <c r="EK193" s="8">
        <f t="shared" si="740"/>
        <v>0</v>
      </c>
      <c r="EM193" s="8" t="str">
        <f t="shared" si="741"/>
        <v>AAAAAAAAA</v>
      </c>
      <c r="EN193" s="8" t="str">
        <f t="shared" si="742"/>
        <v/>
      </c>
      <c r="EO193" s="8" t="str">
        <f t="shared" si="743"/>
        <v/>
      </c>
      <c r="EP193" s="8">
        <f t="shared" si="744"/>
        <v>0</v>
      </c>
      <c r="EQ193" s="8">
        <f t="shared" si="744"/>
        <v>0</v>
      </c>
      <c r="ES193" s="8" t="str">
        <f t="shared" si="745"/>
        <v>AAAAAAAAA</v>
      </c>
      <c r="ET193" s="8" t="str">
        <f t="shared" si="746"/>
        <v/>
      </c>
      <c r="EU193" s="8" t="str">
        <f t="shared" si="747"/>
        <v/>
      </c>
      <c r="EV193" s="8">
        <f t="shared" si="748"/>
        <v>0</v>
      </c>
      <c r="EW193" s="8">
        <f t="shared" si="748"/>
        <v>0</v>
      </c>
      <c r="EY193" s="8" t="str">
        <f>Hidden!$CG81</f>
        <v/>
      </c>
      <c r="EZ193">
        <f t="shared" si="749"/>
        <v>0</v>
      </c>
      <c r="FA193">
        <f t="shared" si="750"/>
        <v>0</v>
      </c>
      <c r="FB193">
        <f t="shared" si="751"/>
        <v>0</v>
      </c>
      <c r="FC193">
        <f t="shared" si="752"/>
        <v>0</v>
      </c>
      <c r="FD193">
        <f t="shared" si="753"/>
        <v>0</v>
      </c>
      <c r="FE193">
        <f t="shared" si="754"/>
        <v>0</v>
      </c>
      <c r="FF193">
        <f t="shared" si="755"/>
        <v>0</v>
      </c>
      <c r="FG193">
        <f t="shared" si="756"/>
        <v>0</v>
      </c>
      <c r="FH193">
        <f t="shared" si="757"/>
        <v>0</v>
      </c>
      <c r="FI193">
        <f t="shared" si="758"/>
        <v>0</v>
      </c>
    </row>
    <row r="194" spans="1:165" x14ac:dyDescent="0.2">
      <c r="A194" s="8" t="str">
        <f t="shared" ref="A194:C194" si="912">A87</f>
        <v>AAAAAAAA</v>
      </c>
      <c r="B194" s="8" t="str">
        <f t="shared" si="912"/>
        <v/>
      </c>
      <c r="C194" s="8" t="str">
        <f t="shared" si="912"/>
        <v/>
      </c>
      <c r="D194" s="8">
        <f t="shared" si="860"/>
        <v>0</v>
      </c>
      <c r="E194" s="8">
        <f t="shared" si="860"/>
        <v>0</v>
      </c>
      <c r="F194" s="8"/>
      <c r="G194" s="8" t="str">
        <f t="shared" ref="G194:I194" si="913">G87</f>
        <v>AAAAAAAA</v>
      </c>
      <c r="H194" s="8" t="str">
        <f t="shared" si="913"/>
        <v/>
      </c>
      <c r="I194" s="8" t="str">
        <f t="shared" si="913"/>
        <v/>
      </c>
      <c r="J194" s="8">
        <f t="shared" si="862"/>
        <v>0</v>
      </c>
      <c r="K194" s="8">
        <f t="shared" si="862"/>
        <v>0</v>
      </c>
      <c r="L194" s="8"/>
      <c r="M194" s="8" t="str">
        <f t="shared" ref="M194:O194" si="914">M87</f>
        <v>AAAAAAAA</v>
      </c>
      <c r="N194" s="8" t="str">
        <f t="shared" si="914"/>
        <v/>
      </c>
      <c r="O194" s="8" t="str">
        <f t="shared" si="914"/>
        <v/>
      </c>
      <c r="P194" s="8">
        <f t="shared" si="852"/>
        <v>0</v>
      </c>
      <c r="Q194" s="8">
        <f t="shared" si="852"/>
        <v>0</v>
      </c>
      <c r="R194" s="8"/>
      <c r="S194" s="8" t="str">
        <f t="shared" ref="S194:U194" si="915">S87</f>
        <v>AAAAAAAA</v>
      </c>
      <c r="T194" s="8" t="str">
        <f t="shared" si="915"/>
        <v/>
      </c>
      <c r="U194" s="8" t="str">
        <f t="shared" si="915"/>
        <v/>
      </c>
      <c r="V194">
        <f t="shared" si="865"/>
        <v>0</v>
      </c>
      <c r="W194">
        <f t="shared" si="865"/>
        <v>0</v>
      </c>
      <c r="Y194" s="8" t="str">
        <f t="shared" si="866"/>
        <v>AAAAAAAA</v>
      </c>
      <c r="Z194" s="8"/>
      <c r="AB194">
        <f t="shared" si="867"/>
        <v>0</v>
      </c>
      <c r="AC194">
        <f t="shared" si="867"/>
        <v>0</v>
      </c>
      <c r="AE194" s="8" t="str">
        <f>Hidden!$CC70</f>
        <v/>
      </c>
      <c r="AF194">
        <f t="shared" si="868"/>
        <v>0</v>
      </c>
      <c r="AG194">
        <f t="shared" si="869"/>
        <v>0</v>
      </c>
      <c r="AH194">
        <f t="shared" si="870"/>
        <v>0</v>
      </c>
      <c r="AI194">
        <f t="shared" si="871"/>
        <v>0</v>
      </c>
      <c r="AJ194">
        <f t="shared" si="872"/>
        <v>0</v>
      </c>
      <c r="AK194">
        <f t="shared" si="873"/>
        <v>0</v>
      </c>
      <c r="AL194">
        <f t="shared" si="874"/>
        <v>0</v>
      </c>
      <c r="AM194">
        <f t="shared" si="875"/>
        <v>0</v>
      </c>
      <c r="AN194">
        <f t="shared" si="876"/>
        <v>0</v>
      </c>
      <c r="AO194">
        <f t="shared" si="877"/>
        <v>0</v>
      </c>
      <c r="BJ194" s="8" t="str">
        <f t="shared" ref="BJ194:BL194" si="916">BJ87</f>
        <v>AAAAAAAA</v>
      </c>
      <c r="BK194" s="8" t="str">
        <f t="shared" si="916"/>
        <v/>
      </c>
      <c r="BL194" s="8" t="str">
        <f t="shared" si="916"/>
        <v/>
      </c>
      <c r="BM194" s="8">
        <f t="shared" si="879"/>
        <v>0</v>
      </c>
      <c r="BN194" s="8">
        <f t="shared" si="880"/>
        <v>0</v>
      </c>
      <c r="BO194" s="8"/>
      <c r="BP194" s="8" t="str">
        <f t="shared" ref="BP194:BR194" si="917">BP87</f>
        <v>AAAAAAAA</v>
      </c>
      <c r="BQ194" s="8" t="str">
        <f t="shared" si="917"/>
        <v/>
      </c>
      <c r="BR194" s="8" t="str">
        <f t="shared" si="917"/>
        <v/>
      </c>
      <c r="BS194" s="8">
        <f t="shared" si="882"/>
        <v>0</v>
      </c>
      <c r="BT194" s="8">
        <f t="shared" si="883"/>
        <v>0</v>
      </c>
      <c r="BU194" s="8"/>
      <c r="BV194" s="8" t="str">
        <f t="shared" ref="BV194:BX194" si="918">BV87</f>
        <v>AAAAAAAA</v>
      </c>
      <c r="BW194" s="8" t="str">
        <f t="shared" si="918"/>
        <v/>
      </c>
      <c r="BX194" s="8" t="str">
        <f t="shared" si="918"/>
        <v/>
      </c>
      <c r="BY194" s="8">
        <f t="shared" si="885"/>
        <v>0</v>
      </c>
      <c r="BZ194" s="8">
        <f t="shared" si="886"/>
        <v>0</v>
      </c>
      <c r="CA194" s="8"/>
      <c r="CB194" s="8" t="str">
        <f t="shared" ref="CB194:CD194" si="919">CB87</f>
        <v>AAAAAAAA</v>
      </c>
      <c r="CC194" s="8" t="str">
        <f t="shared" si="919"/>
        <v/>
      </c>
      <c r="CD194" s="8" t="str">
        <f t="shared" si="919"/>
        <v/>
      </c>
      <c r="CE194" s="8">
        <f t="shared" si="888"/>
        <v>0</v>
      </c>
      <c r="CF194" s="8">
        <f t="shared" si="889"/>
        <v>0</v>
      </c>
      <c r="CG194" s="8"/>
      <c r="CH194" s="8" t="str">
        <f t="shared" ref="CH194:CJ194" si="920">CH87</f>
        <v>AAAAAAAA</v>
      </c>
      <c r="CI194" s="8" t="str">
        <f t="shared" si="920"/>
        <v/>
      </c>
      <c r="CJ194" s="8" t="str">
        <f t="shared" si="920"/>
        <v/>
      </c>
      <c r="CK194" s="8">
        <f t="shared" si="891"/>
        <v>0</v>
      </c>
      <c r="CL194" s="8">
        <f t="shared" si="892"/>
        <v>0</v>
      </c>
      <c r="CO194" s="8" t="str">
        <f>Hidden!$CC70</f>
        <v/>
      </c>
      <c r="CP194">
        <f t="shared" si="893"/>
        <v>0</v>
      </c>
      <c r="CQ194">
        <f t="shared" si="894"/>
        <v>0</v>
      </c>
      <c r="CR194">
        <f t="shared" si="895"/>
        <v>0</v>
      </c>
      <c r="CS194">
        <f t="shared" si="896"/>
        <v>0</v>
      </c>
      <c r="CT194">
        <f t="shared" si="897"/>
        <v>0</v>
      </c>
      <c r="CU194">
        <f t="shared" si="898"/>
        <v>0</v>
      </c>
      <c r="CV194">
        <f t="shared" si="899"/>
        <v>0</v>
      </c>
      <c r="CW194">
        <f t="shared" si="900"/>
        <v>0</v>
      </c>
      <c r="CX194">
        <f t="shared" si="901"/>
        <v>0</v>
      </c>
      <c r="CY194">
        <f t="shared" si="902"/>
        <v>0</v>
      </c>
      <c r="DT194" s="77"/>
      <c r="DU194" s="8" t="str">
        <f t="shared" si="729"/>
        <v>AAAAAAAAAA</v>
      </c>
      <c r="DV194" s="8" t="str">
        <f t="shared" si="730"/>
        <v/>
      </c>
      <c r="DW194" s="8" t="str">
        <f t="shared" si="731"/>
        <v/>
      </c>
      <c r="DX194" s="8">
        <f t="shared" si="732"/>
        <v>0</v>
      </c>
      <c r="DY194" s="8">
        <f t="shared" si="732"/>
        <v>0</v>
      </c>
      <c r="EA194" s="8" t="str">
        <f t="shared" si="733"/>
        <v>AAAAAAAAAA</v>
      </c>
      <c r="EB194" s="8" t="str">
        <f t="shared" si="734"/>
        <v/>
      </c>
      <c r="EC194" s="8" t="str">
        <f t="shared" si="735"/>
        <v/>
      </c>
      <c r="ED194">
        <f t="shared" si="736"/>
        <v>0</v>
      </c>
      <c r="EE194">
        <f t="shared" si="736"/>
        <v>0</v>
      </c>
      <c r="EG194" s="8" t="str">
        <f t="shared" si="737"/>
        <v>AAAAAAAAAA</v>
      </c>
      <c r="EH194" s="8" t="str">
        <f t="shared" si="738"/>
        <v/>
      </c>
      <c r="EI194" s="8" t="str">
        <f t="shared" si="739"/>
        <v/>
      </c>
      <c r="EJ194" s="8">
        <f t="shared" si="740"/>
        <v>0</v>
      </c>
      <c r="EK194" s="8">
        <f t="shared" si="740"/>
        <v>0</v>
      </c>
      <c r="EM194" s="8" t="str">
        <f t="shared" si="741"/>
        <v>AAAAAAAAAA</v>
      </c>
      <c r="EN194" s="8" t="str">
        <f t="shared" si="742"/>
        <v/>
      </c>
      <c r="EO194" s="8" t="str">
        <f t="shared" si="743"/>
        <v/>
      </c>
      <c r="EP194" s="8">
        <f t="shared" si="744"/>
        <v>0</v>
      </c>
      <c r="EQ194" s="8">
        <f t="shared" si="744"/>
        <v>0</v>
      </c>
      <c r="ES194" s="8" t="str">
        <f t="shared" si="745"/>
        <v>AAAAAAAAAA</v>
      </c>
      <c r="ET194" s="8" t="str">
        <f t="shared" si="746"/>
        <v/>
      </c>
      <c r="EU194" s="8" t="str">
        <f t="shared" si="747"/>
        <v/>
      </c>
      <c r="EV194" s="8">
        <f t="shared" si="748"/>
        <v>0</v>
      </c>
      <c r="EW194" s="8">
        <f t="shared" si="748"/>
        <v>0</v>
      </c>
      <c r="EY194" s="8" t="str">
        <f>Hidden!$CG82</f>
        <v/>
      </c>
      <c r="EZ194">
        <f t="shared" si="749"/>
        <v>0</v>
      </c>
      <c r="FA194">
        <f t="shared" si="750"/>
        <v>0</v>
      </c>
      <c r="FB194">
        <f t="shared" si="751"/>
        <v>0</v>
      </c>
      <c r="FC194">
        <f t="shared" si="752"/>
        <v>0</v>
      </c>
      <c r="FD194">
        <f t="shared" si="753"/>
        <v>0</v>
      </c>
      <c r="FE194">
        <f t="shared" si="754"/>
        <v>0</v>
      </c>
      <c r="FF194">
        <f t="shared" si="755"/>
        <v>0</v>
      </c>
      <c r="FG194">
        <f t="shared" si="756"/>
        <v>0</v>
      </c>
      <c r="FH194">
        <f t="shared" si="757"/>
        <v>0</v>
      </c>
      <c r="FI194">
        <f t="shared" si="758"/>
        <v>0</v>
      </c>
    </row>
    <row r="195" spans="1:165" x14ac:dyDescent="0.2">
      <c r="A195" s="8" t="str">
        <f t="shared" ref="A195:C195" si="921">A88</f>
        <v>AAAAAAAAA</v>
      </c>
      <c r="B195" s="8" t="str">
        <f t="shared" si="921"/>
        <v/>
      </c>
      <c r="C195" s="8" t="str">
        <f t="shared" si="921"/>
        <v/>
      </c>
      <c r="D195" s="8">
        <f t="shared" si="860"/>
        <v>0</v>
      </c>
      <c r="E195" s="8">
        <f t="shared" si="860"/>
        <v>0</v>
      </c>
      <c r="F195" s="8"/>
      <c r="G195" s="8" t="str">
        <f t="shared" ref="G195:I195" si="922">G88</f>
        <v>AAAAAAAAA</v>
      </c>
      <c r="H195" s="8" t="str">
        <f t="shared" si="922"/>
        <v/>
      </c>
      <c r="I195" s="8" t="str">
        <f t="shared" si="922"/>
        <v/>
      </c>
      <c r="J195" s="8">
        <f t="shared" si="862"/>
        <v>0</v>
      </c>
      <c r="K195" s="8">
        <f t="shared" si="862"/>
        <v>0</v>
      </c>
      <c r="L195" s="8"/>
      <c r="M195" s="8" t="str">
        <f t="shared" ref="M195:O195" si="923">M88</f>
        <v>AAAAAAAAA</v>
      </c>
      <c r="N195" s="8" t="str">
        <f t="shared" si="923"/>
        <v/>
      </c>
      <c r="O195" s="8" t="str">
        <f t="shared" si="923"/>
        <v/>
      </c>
      <c r="P195" s="8">
        <f t="shared" si="852"/>
        <v>0</v>
      </c>
      <c r="Q195" s="8">
        <f t="shared" si="852"/>
        <v>0</v>
      </c>
      <c r="R195" s="8"/>
      <c r="S195" s="8" t="str">
        <f t="shared" ref="S195:U195" si="924">S88</f>
        <v>AAAAAAAAA</v>
      </c>
      <c r="T195" s="8" t="str">
        <f t="shared" si="924"/>
        <v/>
      </c>
      <c r="U195" s="8" t="str">
        <f t="shared" si="924"/>
        <v/>
      </c>
      <c r="V195">
        <f t="shared" si="865"/>
        <v>0</v>
      </c>
      <c r="W195">
        <f t="shared" si="865"/>
        <v>0</v>
      </c>
      <c r="Y195" s="8" t="str">
        <f t="shared" si="866"/>
        <v>AAAAAAAAA</v>
      </c>
      <c r="Z195" s="8"/>
      <c r="AB195">
        <f t="shared" si="867"/>
        <v>0</v>
      </c>
      <c r="AC195">
        <f t="shared" si="867"/>
        <v>0</v>
      </c>
      <c r="AE195" s="8" t="str">
        <f>Hidden!$CC71</f>
        <v/>
      </c>
      <c r="AF195">
        <f t="shared" si="868"/>
        <v>0</v>
      </c>
      <c r="AG195">
        <f t="shared" si="869"/>
        <v>0</v>
      </c>
      <c r="AH195">
        <f t="shared" si="870"/>
        <v>0</v>
      </c>
      <c r="AI195">
        <f t="shared" si="871"/>
        <v>0</v>
      </c>
      <c r="AJ195">
        <f t="shared" si="872"/>
        <v>0</v>
      </c>
      <c r="AK195">
        <f t="shared" si="873"/>
        <v>0</v>
      </c>
      <c r="AL195">
        <f t="shared" si="874"/>
        <v>0</v>
      </c>
      <c r="AM195">
        <f t="shared" si="875"/>
        <v>0</v>
      </c>
      <c r="AN195">
        <f t="shared" si="876"/>
        <v>0</v>
      </c>
      <c r="AO195">
        <f t="shared" si="877"/>
        <v>0</v>
      </c>
      <c r="BJ195" s="8" t="str">
        <f t="shared" ref="BJ195:BL195" si="925">BJ88</f>
        <v>AAAAAAAAA</v>
      </c>
      <c r="BK195" s="8" t="str">
        <f t="shared" si="925"/>
        <v/>
      </c>
      <c r="BL195" s="8" t="str">
        <f t="shared" si="925"/>
        <v/>
      </c>
      <c r="BM195" s="8">
        <f t="shared" si="879"/>
        <v>0</v>
      </c>
      <c r="BN195" s="8">
        <f t="shared" si="880"/>
        <v>0</v>
      </c>
      <c r="BO195" s="8"/>
      <c r="BP195" s="8" t="str">
        <f t="shared" ref="BP195:BR195" si="926">BP88</f>
        <v>AAAAAAAAA</v>
      </c>
      <c r="BQ195" s="8" t="str">
        <f t="shared" si="926"/>
        <v/>
      </c>
      <c r="BR195" s="8" t="str">
        <f t="shared" si="926"/>
        <v/>
      </c>
      <c r="BS195" s="8">
        <f t="shared" si="882"/>
        <v>0</v>
      </c>
      <c r="BT195" s="8">
        <f t="shared" si="883"/>
        <v>0</v>
      </c>
      <c r="BU195" s="8"/>
      <c r="BV195" s="8" t="str">
        <f t="shared" ref="BV195:BX195" si="927">BV88</f>
        <v>AAAAAAAAA</v>
      </c>
      <c r="BW195" s="8" t="str">
        <f t="shared" si="927"/>
        <v/>
      </c>
      <c r="BX195" s="8" t="str">
        <f t="shared" si="927"/>
        <v/>
      </c>
      <c r="BY195" s="8">
        <f t="shared" si="885"/>
        <v>0</v>
      </c>
      <c r="BZ195" s="8">
        <f t="shared" si="886"/>
        <v>0</v>
      </c>
      <c r="CA195" s="8"/>
      <c r="CB195" s="8" t="str">
        <f t="shared" ref="CB195:CD195" si="928">CB88</f>
        <v>AAAAAAAAA</v>
      </c>
      <c r="CC195" s="8" t="str">
        <f t="shared" si="928"/>
        <v/>
      </c>
      <c r="CD195" s="8" t="str">
        <f t="shared" si="928"/>
        <v/>
      </c>
      <c r="CE195" s="8">
        <f t="shared" si="888"/>
        <v>0</v>
      </c>
      <c r="CF195" s="8">
        <f t="shared" si="889"/>
        <v>0</v>
      </c>
      <c r="CG195" s="8"/>
      <c r="CH195" s="8" t="str">
        <f t="shared" ref="CH195:CJ195" si="929">CH88</f>
        <v>AAAAAAAAA</v>
      </c>
      <c r="CI195" s="8" t="str">
        <f t="shared" si="929"/>
        <v/>
      </c>
      <c r="CJ195" s="8" t="str">
        <f t="shared" si="929"/>
        <v/>
      </c>
      <c r="CK195" s="8">
        <f t="shared" si="891"/>
        <v>0</v>
      </c>
      <c r="CL195" s="8">
        <f t="shared" si="892"/>
        <v>0</v>
      </c>
      <c r="CO195" s="8" t="str">
        <f>Hidden!$CC71</f>
        <v/>
      </c>
      <c r="CP195">
        <f t="shared" si="893"/>
        <v>0</v>
      </c>
      <c r="CQ195">
        <f t="shared" si="894"/>
        <v>0</v>
      </c>
      <c r="CR195">
        <f t="shared" si="895"/>
        <v>0</v>
      </c>
      <c r="CS195">
        <f t="shared" si="896"/>
        <v>0</v>
      </c>
      <c r="CT195">
        <f t="shared" si="897"/>
        <v>0</v>
      </c>
      <c r="CU195">
        <f t="shared" si="898"/>
        <v>0</v>
      </c>
      <c r="CV195">
        <f t="shared" si="899"/>
        <v>0</v>
      </c>
      <c r="CW195">
        <f t="shared" si="900"/>
        <v>0</v>
      </c>
      <c r="CX195">
        <f t="shared" si="901"/>
        <v>0</v>
      </c>
      <c r="CY195">
        <f t="shared" si="902"/>
        <v>0</v>
      </c>
      <c r="DT195" s="77"/>
      <c r="DU195" s="8" t="str">
        <f t="shared" si="729"/>
        <v>A</v>
      </c>
      <c r="DV195" s="8" t="str">
        <f t="shared" si="730"/>
        <v/>
      </c>
      <c r="DW195" s="8" t="str">
        <f t="shared" si="731"/>
        <v/>
      </c>
      <c r="DX195" s="8">
        <f t="shared" si="732"/>
        <v>0</v>
      </c>
      <c r="DY195" s="8">
        <f t="shared" si="732"/>
        <v>0</v>
      </c>
      <c r="EA195" s="8" t="str">
        <f t="shared" si="733"/>
        <v>A</v>
      </c>
      <c r="EB195" s="8" t="str">
        <f t="shared" si="734"/>
        <v/>
      </c>
      <c r="EC195" s="8" t="str">
        <f t="shared" si="735"/>
        <v/>
      </c>
      <c r="ED195">
        <f t="shared" si="736"/>
        <v>0</v>
      </c>
      <c r="EE195">
        <f t="shared" si="736"/>
        <v>0</v>
      </c>
      <c r="EG195" s="8" t="str">
        <f t="shared" si="737"/>
        <v>A</v>
      </c>
      <c r="EH195" s="8" t="str">
        <f t="shared" si="738"/>
        <v/>
      </c>
      <c r="EI195" s="8" t="str">
        <f t="shared" si="739"/>
        <v/>
      </c>
      <c r="EJ195" s="8">
        <f t="shared" si="740"/>
        <v>0</v>
      </c>
      <c r="EK195" s="8">
        <f t="shared" si="740"/>
        <v>0</v>
      </c>
      <c r="EM195" s="8" t="str">
        <f t="shared" si="741"/>
        <v>A</v>
      </c>
      <c r="EN195" s="8" t="str">
        <f t="shared" si="742"/>
        <v/>
      </c>
      <c r="EO195" s="8" t="str">
        <f t="shared" si="743"/>
        <v/>
      </c>
      <c r="EP195" s="8">
        <f t="shared" si="744"/>
        <v>0</v>
      </c>
      <c r="EQ195" s="8">
        <f t="shared" si="744"/>
        <v>0</v>
      </c>
      <c r="ES195" s="8" t="str">
        <f t="shared" si="745"/>
        <v>A</v>
      </c>
      <c r="ET195" s="8" t="str">
        <f t="shared" si="746"/>
        <v/>
      </c>
      <c r="EU195" s="8" t="str">
        <f t="shared" si="747"/>
        <v/>
      </c>
      <c r="EV195" s="8">
        <f t="shared" si="748"/>
        <v>0</v>
      </c>
      <c r="EW195" s="8">
        <f t="shared" si="748"/>
        <v>0</v>
      </c>
      <c r="EY195" s="8" t="str">
        <f>Hidden!$CG83</f>
        <v/>
      </c>
      <c r="EZ195">
        <f t="shared" si="749"/>
        <v>0</v>
      </c>
      <c r="FA195">
        <f t="shared" si="750"/>
        <v>0</v>
      </c>
      <c r="FB195">
        <f t="shared" si="751"/>
        <v>0</v>
      </c>
      <c r="FC195">
        <f t="shared" si="752"/>
        <v>0</v>
      </c>
      <c r="FD195">
        <f t="shared" si="753"/>
        <v>0</v>
      </c>
      <c r="FE195">
        <f t="shared" si="754"/>
        <v>0</v>
      </c>
      <c r="FF195">
        <f t="shared" si="755"/>
        <v>0</v>
      </c>
      <c r="FG195">
        <f t="shared" si="756"/>
        <v>0</v>
      </c>
      <c r="FH195">
        <f t="shared" si="757"/>
        <v>0</v>
      </c>
      <c r="FI195">
        <f t="shared" si="758"/>
        <v>0</v>
      </c>
    </row>
    <row r="196" spans="1:165" x14ac:dyDescent="0.2">
      <c r="A196" s="8" t="str">
        <f t="shared" ref="A196:C196" si="930">A89</f>
        <v>AAAAAAAAAA</v>
      </c>
      <c r="B196" s="8" t="str">
        <f t="shared" si="930"/>
        <v/>
      </c>
      <c r="C196" s="8" t="str">
        <f t="shared" si="930"/>
        <v/>
      </c>
      <c r="D196" s="8">
        <f t="shared" si="860"/>
        <v>0</v>
      </c>
      <c r="E196" s="8">
        <f t="shared" si="860"/>
        <v>0</v>
      </c>
      <c r="F196" s="8"/>
      <c r="G196" s="8" t="str">
        <f t="shared" ref="G196:I196" si="931">G89</f>
        <v>AAAAAAAAAA</v>
      </c>
      <c r="H196" s="8" t="str">
        <f t="shared" si="931"/>
        <v/>
      </c>
      <c r="I196" s="8" t="str">
        <f t="shared" si="931"/>
        <v/>
      </c>
      <c r="J196" s="8">
        <f t="shared" si="862"/>
        <v>0</v>
      </c>
      <c r="K196" s="8">
        <f t="shared" si="862"/>
        <v>0</v>
      </c>
      <c r="L196" s="8"/>
      <c r="M196" s="8" t="str">
        <f t="shared" ref="M196:O196" si="932">M89</f>
        <v>AAAAAAAAAA</v>
      </c>
      <c r="N196" s="8" t="str">
        <f t="shared" si="932"/>
        <v/>
      </c>
      <c r="O196" s="8" t="str">
        <f t="shared" si="932"/>
        <v/>
      </c>
      <c r="P196" s="8">
        <f t="shared" si="852"/>
        <v>0</v>
      </c>
      <c r="Q196" s="8">
        <f t="shared" si="852"/>
        <v>0</v>
      </c>
      <c r="R196" s="8"/>
      <c r="S196" s="8" t="str">
        <f t="shared" ref="S196:U196" si="933">S89</f>
        <v>AAAAAAAAAA</v>
      </c>
      <c r="T196" s="8" t="str">
        <f t="shared" si="933"/>
        <v/>
      </c>
      <c r="U196" s="8" t="str">
        <f t="shared" si="933"/>
        <v/>
      </c>
      <c r="V196">
        <f t="shared" si="865"/>
        <v>0</v>
      </c>
      <c r="W196">
        <f t="shared" si="865"/>
        <v>0</v>
      </c>
      <c r="Y196" s="8" t="str">
        <f t="shared" si="866"/>
        <v>AAAAAAAAAA</v>
      </c>
      <c r="Z196" s="8"/>
      <c r="AB196">
        <f t="shared" si="867"/>
        <v>0</v>
      </c>
      <c r="AC196">
        <f t="shared" si="867"/>
        <v>0</v>
      </c>
      <c r="AE196" s="8" t="str">
        <f>Hidden!$CC72</f>
        <v/>
      </c>
      <c r="AF196">
        <f t="shared" si="868"/>
        <v>0</v>
      </c>
      <c r="AG196">
        <f t="shared" si="869"/>
        <v>0</v>
      </c>
      <c r="AH196">
        <f t="shared" si="870"/>
        <v>0</v>
      </c>
      <c r="AI196">
        <f t="shared" si="871"/>
        <v>0</v>
      </c>
      <c r="AJ196">
        <f t="shared" si="872"/>
        <v>0</v>
      </c>
      <c r="AK196">
        <f t="shared" si="873"/>
        <v>0</v>
      </c>
      <c r="AL196">
        <f t="shared" si="874"/>
        <v>0</v>
      </c>
      <c r="AM196">
        <f t="shared" si="875"/>
        <v>0</v>
      </c>
      <c r="AN196">
        <f t="shared" si="876"/>
        <v>0</v>
      </c>
      <c r="AO196">
        <f t="shared" si="877"/>
        <v>0</v>
      </c>
      <c r="BJ196" s="8" t="str">
        <f t="shared" ref="BJ196:BL196" si="934">BJ89</f>
        <v>AAAAAAAAAA</v>
      </c>
      <c r="BK196" s="8" t="str">
        <f t="shared" si="934"/>
        <v/>
      </c>
      <c r="BL196" s="8" t="str">
        <f t="shared" si="934"/>
        <v/>
      </c>
      <c r="BM196" s="8">
        <f t="shared" si="879"/>
        <v>0</v>
      </c>
      <c r="BN196" s="8">
        <f t="shared" si="880"/>
        <v>0</v>
      </c>
      <c r="BO196" s="8"/>
      <c r="BP196" s="8" t="str">
        <f t="shared" ref="BP196:BR196" si="935">BP89</f>
        <v>AAAAAAAAAA</v>
      </c>
      <c r="BQ196" s="8" t="str">
        <f t="shared" si="935"/>
        <v/>
      </c>
      <c r="BR196" s="8" t="str">
        <f t="shared" si="935"/>
        <v/>
      </c>
      <c r="BS196" s="8">
        <f t="shared" si="882"/>
        <v>0</v>
      </c>
      <c r="BT196" s="8">
        <f t="shared" si="883"/>
        <v>0</v>
      </c>
      <c r="BU196" s="8"/>
      <c r="BV196" s="8" t="str">
        <f t="shared" ref="BV196:BX196" si="936">BV89</f>
        <v>AAAAAAAAAA</v>
      </c>
      <c r="BW196" s="8" t="str">
        <f t="shared" si="936"/>
        <v/>
      </c>
      <c r="BX196" s="8" t="str">
        <f t="shared" si="936"/>
        <v/>
      </c>
      <c r="BY196" s="8">
        <f t="shared" si="885"/>
        <v>0</v>
      </c>
      <c r="BZ196" s="8">
        <f t="shared" si="886"/>
        <v>0</v>
      </c>
      <c r="CA196" s="8"/>
      <c r="CB196" s="8" t="str">
        <f t="shared" ref="CB196:CD196" si="937">CB89</f>
        <v>AAAAAAAAAA</v>
      </c>
      <c r="CC196" s="8" t="str">
        <f t="shared" si="937"/>
        <v/>
      </c>
      <c r="CD196" s="8" t="str">
        <f t="shared" si="937"/>
        <v/>
      </c>
      <c r="CE196" s="8">
        <f t="shared" si="888"/>
        <v>0</v>
      </c>
      <c r="CF196" s="8">
        <f t="shared" si="889"/>
        <v>0</v>
      </c>
      <c r="CG196" s="8"/>
      <c r="CH196" s="8" t="str">
        <f t="shared" ref="CH196:CJ196" si="938">CH89</f>
        <v>AAAAAAAAAA</v>
      </c>
      <c r="CI196" s="8" t="str">
        <f t="shared" si="938"/>
        <v/>
      </c>
      <c r="CJ196" s="8" t="str">
        <f t="shared" si="938"/>
        <v/>
      </c>
      <c r="CK196" s="8">
        <f t="shared" si="891"/>
        <v>0</v>
      </c>
      <c r="CL196" s="8">
        <f t="shared" si="892"/>
        <v>0</v>
      </c>
      <c r="CO196" s="8" t="str">
        <f>Hidden!$CC72</f>
        <v/>
      </c>
      <c r="CP196">
        <f t="shared" si="893"/>
        <v>0</v>
      </c>
      <c r="CQ196">
        <f t="shared" si="894"/>
        <v>0</v>
      </c>
      <c r="CR196">
        <f t="shared" si="895"/>
        <v>0</v>
      </c>
      <c r="CS196">
        <f t="shared" si="896"/>
        <v>0</v>
      </c>
      <c r="CT196">
        <f t="shared" si="897"/>
        <v>0</v>
      </c>
      <c r="CU196">
        <f t="shared" si="898"/>
        <v>0</v>
      </c>
      <c r="CV196">
        <f t="shared" si="899"/>
        <v>0</v>
      </c>
      <c r="CW196">
        <f t="shared" si="900"/>
        <v>0</v>
      </c>
      <c r="CX196">
        <f t="shared" si="901"/>
        <v>0</v>
      </c>
      <c r="CY196">
        <f t="shared" si="902"/>
        <v>0</v>
      </c>
      <c r="DT196" s="77"/>
      <c r="DU196" s="8" t="str">
        <f t="shared" si="729"/>
        <v>AA</v>
      </c>
      <c r="DV196" s="8" t="str">
        <f t="shared" si="730"/>
        <v/>
      </c>
      <c r="DW196" s="8" t="str">
        <f t="shared" si="731"/>
        <v/>
      </c>
      <c r="DX196" s="8">
        <f t="shared" si="732"/>
        <v>0</v>
      </c>
      <c r="DY196" s="8">
        <f t="shared" si="732"/>
        <v>0</v>
      </c>
      <c r="EA196" s="8" t="str">
        <f t="shared" si="733"/>
        <v>AA</v>
      </c>
      <c r="EB196" s="8" t="str">
        <f t="shared" si="734"/>
        <v/>
      </c>
      <c r="EC196" s="8" t="str">
        <f t="shared" si="735"/>
        <v/>
      </c>
      <c r="ED196">
        <f t="shared" si="736"/>
        <v>0</v>
      </c>
      <c r="EE196">
        <f t="shared" si="736"/>
        <v>0</v>
      </c>
      <c r="EG196" s="8" t="str">
        <f t="shared" si="737"/>
        <v>AA</v>
      </c>
      <c r="EH196" s="8" t="str">
        <f t="shared" si="738"/>
        <v/>
      </c>
      <c r="EI196" s="8" t="str">
        <f t="shared" si="739"/>
        <v/>
      </c>
      <c r="EJ196" s="8">
        <f t="shared" si="740"/>
        <v>0</v>
      </c>
      <c r="EK196" s="8">
        <f t="shared" si="740"/>
        <v>0</v>
      </c>
      <c r="EM196" s="8" t="str">
        <f t="shared" si="741"/>
        <v>AA</v>
      </c>
      <c r="EN196" s="8" t="str">
        <f t="shared" si="742"/>
        <v/>
      </c>
      <c r="EO196" s="8" t="str">
        <f t="shared" si="743"/>
        <v/>
      </c>
      <c r="EP196" s="8">
        <f t="shared" si="744"/>
        <v>0</v>
      </c>
      <c r="EQ196" s="8">
        <f t="shared" si="744"/>
        <v>0</v>
      </c>
      <c r="ES196" s="8" t="str">
        <f t="shared" si="745"/>
        <v>AA</v>
      </c>
      <c r="ET196" s="8" t="str">
        <f t="shared" si="746"/>
        <v/>
      </c>
      <c r="EU196" s="8" t="str">
        <f t="shared" si="747"/>
        <v/>
      </c>
      <c r="EV196" s="8">
        <f t="shared" si="748"/>
        <v>0</v>
      </c>
      <c r="EW196" s="8">
        <f t="shared" si="748"/>
        <v>0</v>
      </c>
      <c r="EY196" s="8" t="str">
        <f>Hidden!$CG84</f>
        <v/>
      </c>
      <c r="EZ196">
        <f t="shared" si="749"/>
        <v>0</v>
      </c>
      <c r="FA196">
        <f t="shared" si="750"/>
        <v>0</v>
      </c>
      <c r="FB196">
        <f t="shared" si="751"/>
        <v>0</v>
      </c>
      <c r="FC196">
        <f t="shared" si="752"/>
        <v>0</v>
      </c>
      <c r="FD196">
        <f t="shared" si="753"/>
        <v>0</v>
      </c>
      <c r="FE196">
        <f t="shared" si="754"/>
        <v>0</v>
      </c>
      <c r="FF196">
        <f t="shared" si="755"/>
        <v>0</v>
      </c>
      <c r="FG196">
        <f t="shared" si="756"/>
        <v>0</v>
      </c>
      <c r="FH196">
        <f t="shared" si="757"/>
        <v>0</v>
      </c>
      <c r="FI196">
        <f t="shared" si="758"/>
        <v>0</v>
      </c>
    </row>
    <row r="197" spans="1:165" x14ac:dyDescent="0.2">
      <c r="A197" s="8" t="str">
        <f t="shared" ref="A197:C197" si="939">A90</f>
        <v>A</v>
      </c>
      <c r="B197" s="8" t="str">
        <f t="shared" si="939"/>
        <v/>
      </c>
      <c r="C197" s="8" t="str">
        <f t="shared" si="939"/>
        <v/>
      </c>
      <c r="D197" s="8">
        <f t="shared" si="860"/>
        <v>0</v>
      </c>
      <c r="E197" s="8">
        <f t="shared" si="860"/>
        <v>0</v>
      </c>
      <c r="F197" s="8"/>
      <c r="G197" s="8" t="str">
        <f t="shared" ref="G197:I197" si="940">G90</f>
        <v>A</v>
      </c>
      <c r="H197" s="8" t="str">
        <f t="shared" si="940"/>
        <v/>
      </c>
      <c r="I197" s="8" t="str">
        <f t="shared" si="940"/>
        <v/>
      </c>
      <c r="J197" s="8">
        <f t="shared" si="862"/>
        <v>0</v>
      </c>
      <c r="K197" s="8">
        <f t="shared" si="862"/>
        <v>0</v>
      </c>
      <c r="L197" s="8"/>
      <c r="M197" s="8" t="str">
        <f t="shared" ref="M197:O197" si="941">M90</f>
        <v>A</v>
      </c>
      <c r="N197" s="8" t="str">
        <f t="shared" si="941"/>
        <v/>
      </c>
      <c r="O197" s="8" t="str">
        <f t="shared" si="941"/>
        <v/>
      </c>
      <c r="P197" s="8">
        <f t="shared" si="852"/>
        <v>0</v>
      </c>
      <c r="Q197" s="8">
        <f t="shared" si="852"/>
        <v>0</v>
      </c>
      <c r="R197" s="8"/>
      <c r="S197" s="8" t="str">
        <f t="shared" ref="S197:U197" si="942">S90</f>
        <v>A</v>
      </c>
      <c r="T197" s="8" t="str">
        <f t="shared" si="942"/>
        <v/>
      </c>
      <c r="U197" s="8" t="str">
        <f t="shared" si="942"/>
        <v/>
      </c>
      <c r="V197">
        <f t="shared" si="865"/>
        <v>0</v>
      </c>
      <c r="W197">
        <f t="shared" si="865"/>
        <v>0</v>
      </c>
      <c r="Y197" s="8" t="str">
        <f t="shared" si="866"/>
        <v>A</v>
      </c>
      <c r="Z197" s="8"/>
      <c r="AB197">
        <f t="shared" si="867"/>
        <v>0</v>
      </c>
      <c r="AC197">
        <f t="shared" si="867"/>
        <v>0</v>
      </c>
      <c r="AE197" s="8" t="str">
        <f>Hidden!$CC73</f>
        <v/>
      </c>
      <c r="AF197">
        <f t="shared" si="868"/>
        <v>0</v>
      </c>
      <c r="AG197">
        <f t="shared" si="869"/>
        <v>0</v>
      </c>
      <c r="AH197">
        <f t="shared" si="870"/>
        <v>0</v>
      </c>
      <c r="AI197">
        <f t="shared" si="871"/>
        <v>0</v>
      </c>
      <c r="AJ197">
        <f t="shared" si="872"/>
        <v>0</v>
      </c>
      <c r="AK197">
        <f t="shared" si="873"/>
        <v>0</v>
      </c>
      <c r="AL197">
        <f t="shared" si="874"/>
        <v>0</v>
      </c>
      <c r="AM197">
        <f t="shared" si="875"/>
        <v>0</v>
      </c>
      <c r="AN197">
        <f t="shared" si="876"/>
        <v>0</v>
      </c>
      <c r="AO197">
        <f t="shared" si="877"/>
        <v>0</v>
      </c>
      <c r="BJ197" s="8" t="str">
        <f t="shared" ref="BJ197:BL197" si="943">BJ90</f>
        <v>A</v>
      </c>
      <c r="BK197" s="8" t="str">
        <f t="shared" si="943"/>
        <v/>
      </c>
      <c r="BL197" s="8" t="str">
        <f t="shared" si="943"/>
        <v/>
      </c>
      <c r="BM197" s="8">
        <f t="shared" si="879"/>
        <v>0</v>
      </c>
      <c r="BN197" s="8">
        <f t="shared" si="880"/>
        <v>0</v>
      </c>
      <c r="BO197" s="8"/>
      <c r="BP197" s="8" t="str">
        <f t="shared" ref="BP197:BR197" si="944">BP90</f>
        <v>A</v>
      </c>
      <c r="BQ197" s="8" t="str">
        <f t="shared" si="944"/>
        <v/>
      </c>
      <c r="BR197" s="8" t="str">
        <f t="shared" si="944"/>
        <v/>
      </c>
      <c r="BS197" s="8">
        <f t="shared" si="882"/>
        <v>0</v>
      </c>
      <c r="BT197" s="8">
        <f t="shared" si="883"/>
        <v>0</v>
      </c>
      <c r="BU197" s="8"/>
      <c r="BV197" s="8" t="str">
        <f t="shared" ref="BV197:BX197" si="945">BV90</f>
        <v>A</v>
      </c>
      <c r="BW197" s="8" t="str">
        <f t="shared" si="945"/>
        <v/>
      </c>
      <c r="BX197" s="8" t="str">
        <f t="shared" si="945"/>
        <v/>
      </c>
      <c r="BY197" s="8">
        <f t="shared" si="885"/>
        <v>0</v>
      </c>
      <c r="BZ197" s="8">
        <f t="shared" si="886"/>
        <v>0</v>
      </c>
      <c r="CA197" s="8"/>
      <c r="CB197" s="8" t="str">
        <f t="shared" ref="CB197:CD197" si="946">CB90</f>
        <v>A</v>
      </c>
      <c r="CC197" s="8" t="str">
        <f t="shared" si="946"/>
        <v/>
      </c>
      <c r="CD197" s="8" t="str">
        <f t="shared" si="946"/>
        <v/>
      </c>
      <c r="CE197" s="8">
        <f t="shared" si="888"/>
        <v>0</v>
      </c>
      <c r="CF197" s="8">
        <f t="shared" si="889"/>
        <v>0</v>
      </c>
      <c r="CG197" s="8"/>
      <c r="CH197" s="8" t="str">
        <f t="shared" ref="CH197:CJ197" si="947">CH90</f>
        <v>A</v>
      </c>
      <c r="CI197" s="8" t="str">
        <f t="shared" si="947"/>
        <v/>
      </c>
      <c r="CJ197" s="8" t="str">
        <f t="shared" si="947"/>
        <v/>
      </c>
      <c r="CK197" s="8">
        <f t="shared" si="891"/>
        <v>0</v>
      </c>
      <c r="CL197" s="8">
        <f t="shared" si="892"/>
        <v>0</v>
      </c>
      <c r="CO197" s="8" t="str">
        <f>Hidden!$CC73</f>
        <v/>
      </c>
      <c r="CP197">
        <f t="shared" si="893"/>
        <v>0</v>
      </c>
      <c r="CQ197">
        <f t="shared" si="894"/>
        <v>0</v>
      </c>
      <c r="CR197">
        <f t="shared" si="895"/>
        <v>0</v>
      </c>
      <c r="CS197">
        <f t="shared" si="896"/>
        <v>0</v>
      </c>
      <c r="CT197">
        <f t="shared" si="897"/>
        <v>0</v>
      </c>
      <c r="CU197">
        <f t="shared" si="898"/>
        <v>0</v>
      </c>
      <c r="CV197">
        <f t="shared" si="899"/>
        <v>0</v>
      </c>
      <c r="CW197">
        <f t="shared" si="900"/>
        <v>0</v>
      </c>
      <c r="CX197">
        <f t="shared" si="901"/>
        <v>0</v>
      </c>
      <c r="CY197">
        <f t="shared" si="902"/>
        <v>0</v>
      </c>
      <c r="DT197" s="77"/>
      <c r="DU197" s="8" t="str">
        <f t="shared" si="729"/>
        <v>AAA</v>
      </c>
      <c r="DV197" s="8" t="str">
        <f t="shared" si="730"/>
        <v/>
      </c>
      <c r="DW197" s="8" t="str">
        <f t="shared" si="731"/>
        <v/>
      </c>
      <c r="DX197" s="8">
        <f t="shared" si="732"/>
        <v>0</v>
      </c>
      <c r="DY197" s="8">
        <f t="shared" si="732"/>
        <v>0</v>
      </c>
      <c r="EA197" s="8" t="str">
        <f t="shared" si="733"/>
        <v>AAA</v>
      </c>
      <c r="EB197" s="8" t="str">
        <f t="shared" si="734"/>
        <v/>
      </c>
      <c r="EC197" s="8" t="str">
        <f t="shared" si="735"/>
        <v/>
      </c>
      <c r="ED197">
        <f t="shared" si="736"/>
        <v>0</v>
      </c>
      <c r="EE197">
        <f t="shared" si="736"/>
        <v>0</v>
      </c>
      <c r="EG197" s="8" t="str">
        <f t="shared" si="737"/>
        <v>AAA</v>
      </c>
      <c r="EH197" s="8" t="str">
        <f t="shared" si="738"/>
        <v/>
      </c>
      <c r="EI197" s="8" t="str">
        <f t="shared" si="739"/>
        <v/>
      </c>
      <c r="EJ197" s="8">
        <f t="shared" si="740"/>
        <v>0</v>
      </c>
      <c r="EK197" s="8">
        <f t="shared" si="740"/>
        <v>0</v>
      </c>
      <c r="EM197" s="8" t="str">
        <f t="shared" si="741"/>
        <v>AAA</v>
      </c>
      <c r="EN197" s="8" t="str">
        <f t="shared" si="742"/>
        <v/>
      </c>
      <c r="EO197" s="8" t="str">
        <f t="shared" si="743"/>
        <v/>
      </c>
      <c r="EP197" s="8">
        <f t="shared" si="744"/>
        <v>0</v>
      </c>
      <c r="EQ197" s="8">
        <f t="shared" si="744"/>
        <v>0</v>
      </c>
      <c r="ES197" s="8" t="str">
        <f t="shared" si="745"/>
        <v>AAA</v>
      </c>
      <c r="ET197" s="8" t="str">
        <f t="shared" si="746"/>
        <v/>
      </c>
      <c r="EU197" s="8" t="str">
        <f t="shared" si="747"/>
        <v/>
      </c>
      <c r="EV197" s="8">
        <f t="shared" si="748"/>
        <v>0</v>
      </c>
      <c r="EW197" s="8">
        <f t="shared" si="748"/>
        <v>0</v>
      </c>
      <c r="EY197" s="8" t="str">
        <f>Hidden!$CG85</f>
        <v/>
      </c>
      <c r="EZ197">
        <f t="shared" si="749"/>
        <v>0</v>
      </c>
      <c r="FA197">
        <f t="shared" si="750"/>
        <v>0</v>
      </c>
      <c r="FB197">
        <f t="shared" si="751"/>
        <v>0</v>
      </c>
      <c r="FC197">
        <f t="shared" si="752"/>
        <v>0</v>
      </c>
      <c r="FD197">
        <f t="shared" si="753"/>
        <v>0</v>
      </c>
      <c r="FE197">
        <f t="shared" si="754"/>
        <v>0</v>
      </c>
      <c r="FF197">
        <f t="shared" si="755"/>
        <v>0</v>
      </c>
      <c r="FG197">
        <f t="shared" si="756"/>
        <v>0</v>
      </c>
      <c r="FH197">
        <f t="shared" si="757"/>
        <v>0</v>
      </c>
      <c r="FI197">
        <f t="shared" si="758"/>
        <v>0</v>
      </c>
    </row>
    <row r="198" spans="1:165" x14ac:dyDescent="0.2">
      <c r="A198" s="8" t="str">
        <f t="shared" ref="A198:C198" si="948">A91</f>
        <v>AA</v>
      </c>
      <c r="B198" s="8" t="str">
        <f t="shared" si="948"/>
        <v/>
      </c>
      <c r="C198" s="8" t="str">
        <f t="shared" si="948"/>
        <v/>
      </c>
      <c r="D198" s="8">
        <f t="shared" si="860"/>
        <v>0</v>
      </c>
      <c r="E198" s="8">
        <f t="shared" si="860"/>
        <v>0</v>
      </c>
      <c r="F198" s="8"/>
      <c r="G198" s="8" t="str">
        <f t="shared" ref="G198:I198" si="949">G91</f>
        <v>AA</v>
      </c>
      <c r="H198" s="8" t="str">
        <f t="shared" si="949"/>
        <v/>
      </c>
      <c r="I198" s="8" t="str">
        <f t="shared" si="949"/>
        <v/>
      </c>
      <c r="J198" s="8">
        <f t="shared" si="862"/>
        <v>0</v>
      </c>
      <c r="K198" s="8">
        <f t="shared" si="862"/>
        <v>0</v>
      </c>
      <c r="L198" s="8"/>
      <c r="M198" s="8" t="str">
        <f t="shared" ref="M198:O198" si="950">M91</f>
        <v>AA</v>
      </c>
      <c r="N198" s="8" t="str">
        <f t="shared" si="950"/>
        <v/>
      </c>
      <c r="O198" s="8" t="str">
        <f t="shared" si="950"/>
        <v/>
      </c>
      <c r="P198" s="8">
        <f t="shared" si="852"/>
        <v>0</v>
      </c>
      <c r="Q198" s="8">
        <f t="shared" si="852"/>
        <v>0</v>
      </c>
      <c r="R198" s="8"/>
      <c r="S198" s="8" t="str">
        <f t="shared" ref="S198:U198" si="951">S91</f>
        <v>AA</v>
      </c>
      <c r="T198" s="8" t="str">
        <f t="shared" si="951"/>
        <v/>
      </c>
      <c r="U198" s="8" t="str">
        <f t="shared" si="951"/>
        <v/>
      </c>
      <c r="V198">
        <f t="shared" si="865"/>
        <v>0</v>
      </c>
      <c r="W198">
        <f t="shared" si="865"/>
        <v>0</v>
      </c>
      <c r="Y198" s="8" t="str">
        <f t="shared" si="866"/>
        <v>AA</v>
      </c>
      <c r="Z198" s="8"/>
      <c r="AB198">
        <f t="shared" si="867"/>
        <v>0</v>
      </c>
      <c r="AC198">
        <f t="shared" si="867"/>
        <v>0</v>
      </c>
      <c r="AE198" s="8" t="str">
        <f>Hidden!$CC74</f>
        <v/>
      </c>
      <c r="AF198">
        <f t="shared" si="868"/>
        <v>0</v>
      </c>
      <c r="AG198">
        <f t="shared" si="869"/>
        <v>0</v>
      </c>
      <c r="AH198">
        <f t="shared" si="870"/>
        <v>0</v>
      </c>
      <c r="AI198">
        <f t="shared" si="871"/>
        <v>0</v>
      </c>
      <c r="AJ198">
        <f t="shared" si="872"/>
        <v>0</v>
      </c>
      <c r="AK198">
        <f t="shared" si="873"/>
        <v>0</v>
      </c>
      <c r="AL198">
        <f t="shared" si="874"/>
        <v>0</v>
      </c>
      <c r="AM198">
        <f t="shared" si="875"/>
        <v>0</v>
      </c>
      <c r="AN198">
        <f t="shared" si="876"/>
        <v>0</v>
      </c>
      <c r="AO198">
        <f t="shared" si="877"/>
        <v>0</v>
      </c>
      <c r="BJ198" s="8" t="str">
        <f t="shared" ref="BJ198:BL198" si="952">BJ91</f>
        <v>AA</v>
      </c>
      <c r="BK198" s="8" t="str">
        <f t="shared" si="952"/>
        <v/>
      </c>
      <c r="BL198" s="8" t="str">
        <f t="shared" si="952"/>
        <v/>
      </c>
      <c r="BM198" s="8">
        <f t="shared" si="879"/>
        <v>0</v>
      </c>
      <c r="BN198" s="8">
        <f t="shared" si="880"/>
        <v>0</v>
      </c>
      <c r="BO198" s="8"/>
      <c r="BP198" s="8" t="str">
        <f t="shared" ref="BP198:BR198" si="953">BP91</f>
        <v>AA</v>
      </c>
      <c r="BQ198" s="8" t="str">
        <f t="shared" si="953"/>
        <v/>
      </c>
      <c r="BR198" s="8" t="str">
        <f t="shared" si="953"/>
        <v/>
      </c>
      <c r="BS198" s="8">
        <f t="shared" si="882"/>
        <v>0</v>
      </c>
      <c r="BT198" s="8">
        <f t="shared" si="883"/>
        <v>0</v>
      </c>
      <c r="BU198" s="8"/>
      <c r="BV198" s="8" t="str">
        <f t="shared" ref="BV198:BX198" si="954">BV91</f>
        <v>AA</v>
      </c>
      <c r="BW198" s="8" t="str">
        <f t="shared" si="954"/>
        <v/>
      </c>
      <c r="BX198" s="8" t="str">
        <f t="shared" si="954"/>
        <v/>
      </c>
      <c r="BY198" s="8">
        <f t="shared" si="885"/>
        <v>0</v>
      </c>
      <c r="BZ198" s="8">
        <f t="shared" si="886"/>
        <v>0</v>
      </c>
      <c r="CA198" s="8"/>
      <c r="CB198" s="8" t="str">
        <f t="shared" ref="CB198:CD198" si="955">CB91</f>
        <v>AA</v>
      </c>
      <c r="CC198" s="8" t="str">
        <f t="shared" si="955"/>
        <v/>
      </c>
      <c r="CD198" s="8" t="str">
        <f t="shared" si="955"/>
        <v/>
      </c>
      <c r="CE198" s="8">
        <f t="shared" si="888"/>
        <v>0</v>
      </c>
      <c r="CF198" s="8">
        <f t="shared" si="889"/>
        <v>0</v>
      </c>
      <c r="CG198" s="8"/>
      <c r="CH198" s="8" t="str">
        <f t="shared" ref="CH198:CJ198" si="956">CH91</f>
        <v>AA</v>
      </c>
      <c r="CI198" s="8" t="str">
        <f t="shared" si="956"/>
        <v/>
      </c>
      <c r="CJ198" s="8" t="str">
        <f t="shared" si="956"/>
        <v/>
      </c>
      <c r="CK198" s="8">
        <f t="shared" si="891"/>
        <v>0</v>
      </c>
      <c r="CL198" s="8">
        <f t="shared" si="892"/>
        <v>0</v>
      </c>
      <c r="CO198" s="8" t="str">
        <f>Hidden!$CC74</f>
        <v/>
      </c>
      <c r="CP198">
        <f t="shared" si="893"/>
        <v>0</v>
      </c>
      <c r="CQ198">
        <f t="shared" si="894"/>
        <v>0</v>
      </c>
      <c r="CR198">
        <f t="shared" si="895"/>
        <v>0</v>
      </c>
      <c r="CS198">
        <f t="shared" si="896"/>
        <v>0</v>
      </c>
      <c r="CT198">
        <f t="shared" si="897"/>
        <v>0</v>
      </c>
      <c r="CU198">
        <f t="shared" si="898"/>
        <v>0</v>
      </c>
      <c r="CV198">
        <f t="shared" si="899"/>
        <v>0</v>
      </c>
      <c r="CW198">
        <f t="shared" si="900"/>
        <v>0</v>
      </c>
      <c r="CX198">
        <f t="shared" si="901"/>
        <v>0</v>
      </c>
      <c r="CY198">
        <f t="shared" si="902"/>
        <v>0</v>
      </c>
      <c r="DT198" s="77"/>
      <c r="DU198" s="8" t="str">
        <f t="shared" si="729"/>
        <v>AAAA</v>
      </c>
      <c r="DV198" s="8" t="str">
        <f t="shared" si="730"/>
        <v/>
      </c>
      <c r="DW198" s="8" t="str">
        <f t="shared" si="731"/>
        <v/>
      </c>
      <c r="DX198" s="8">
        <f t="shared" si="732"/>
        <v>0</v>
      </c>
      <c r="DY198" s="8">
        <f t="shared" si="732"/>
        <v>0</v>
      </c>
      <c r="EA198" s="8" t="str">
        <f t="shared" si="733"/>
        <v>AAAA</v>
      </c>
      <c r="EB198" s="8" t="str">
        <f t="shared" si="734"/>
        <v/>
      </c>
      <c r="EC198" s="8" t="str">
        <f t="shared" si="735"/>
        <v/>
      </c>
      <c r="ED198">
        <f t="shared" si="736"/>
        <v>0</v>
      </c>
      <c r="EE198">
        <f t="shared" si="736"/>
        <v>0</v>
      </c>
      <c r="EG198" s="8" t="str">
        <f t="shared" si="737"/>
        <v>AAAA</v>
      </c>
      <c r="EH198" s="8" t="str">
        <f t="shared" si="738"/>
        <v/>
      </c>
      <c r="EI198" s="8" t="str">
        <f t="shared" si="739"/>
        <v/>
      </c>
      <c r="EJ198" s="8">
        <f t="shared" si="740"/>
        <v>0</v>
      </c>
      <c r="EK198" s="8">
        <f t="shared" si="740"/>
        <v>0</v>
      </c>
      <c r="EM198" s="8" t="str">
        <f t="shared" si="741"/>
        <v>AAAA</v>
      </c>
      <c r="EN198" s="8" t="str">
        <f t="shared" si="742"/>
        <v/>
      </c>
      <c r="EO198" s="8" t="str">
        <f t="shared" si="743"/>
        <v/>
      </c>
      <c r="EP198" s="8">
        <f t="shared" si="744"/>
        <v>0</v>
      </c>
      <c r="EQ198" s="8">
        <f t="shared" si="744"/>
        <v>0</v>
      </c>
      <c r="ES198" s="8" t="str">
        <f t="shared" si="745"/>
        <v>AAAA</v>
      </c>
      <c r="ET198" s="8" t="str">
        <f t="shared" si="746"/>
        <v/>
      </c>
      <c r="EU198" s="8" t="str">
        <f t="shared" si="747"/>
        <v/>
      </c>
      <c r="EV198" s="8">
        <f t="shared" si="748"/>
        <v>0</v>
      </c>
      <c r="EW198" s="8">
        <f t="shared" si="748"/>
        <v>0</v>
      </c>
      <c r="EY198" s="8" t="str">
        <f>Hidden!$CG86</f>
        <v/>
      </c>
      <c r="EZ198">
        <f t="shared" si="749"/>
        <v>0</v>
      </c>
      <c r="FA198">
        <f t="shared" si="750"/>
        <v>0</v>
      </c>
      <c r="FB198">
        <f t="shared" si="751"/>
        <v>0</v>
      </c>
      <c r="FC198">
        <f t="shared" si="752"/>
        <v>0</v>
      </c>
      <c r="FD198">
        <f t="shared" si="753"/>
        <v>0</v>
      </c>
      <c r="FE198">
        <f t="shared" si="754"/>
        <v>0</v>
      </c>
      <c r="FF198">
        <f t="shared" si="755"/>
        <v>0</v>
      </c>
      <c r="FG198">
        <f t="shared" si="756"/>
        <v>0</v>
      </c>
      <c r="FH198">
        <f t="shared" si="757"/>
        <v>0</v>
      </c>
      <c r="FI198">
        <f t="shared" si="758"/>
        <v>0</v>
      </c>
    </row>
    <row r="199" spans="1:165" x14ac:dyDescent="0.2">
      <c r="A199" s="8" t="str">
        <f t="shared" ref="A199:C199" si="957">A92</f>
        <v>AAA</v>
      </c>
      <c r="B199" s="8" t="str">
        <f t="shared" si="957"/>
        <v/>
      </c>
      <c r="C199" s="8" t="str">
        <f t="shared" si="957"/>
        <v/>
      </c>
      <c r="D199" s="8">
        <f t="shared" si="860"/>
        <v>0</v>
      </c>
      <c r="E199" s="8">
        <f t="shared" si="860"/>
        <v>0</v>
      </c>
      <c r="F199" s="8"/>
      <c r="G199" s="8" t="str">
        <f t="shared" ref="G199:I199" si="958">G92</f>
        <v>AAA</v>
      </c>
      <c r="H199" s="8" t="str">
        <f t="shared" si="958"/>
        <v/>
      </c>
      <c r="I199" s="8" t="str">
        <f t="shared" si="958"/>
        <v/>
      </c>
      <c r="J199" s="8">
        <f t="shared" si="862"/>
        <v>0</v>
      </c>
      <c r="K199" s="8">
        <f t="shared" si="862"/>
        <v>0</v>
      </c>
      <c r="L199" s="8"/>
      <c r="M199" s="8" t="str">
        <f t="shared" ref="M199:O199" si="959">M92</f>
        <v>AAA</v>
      </c>
      <c r="N199" s="8" t="str">
        <f t="shared" si="959"/>
        <v/>
      </c>
      <c r="O199" s="8" t="str">
        <f t="shared" si="959"/>
        <v/>
      </c>
      <c r="P199" s="8">
        <f t="shared" si="852"/>
        <v>0</v>
      </c>
      <c r="Q199" s="8">
        <f t="shared" si="852"/>
        <v>0</v>
      </c>
      <c r="R199" s="8"/>
      <c r="S199" s="8" t="str">
        <f t="shared" ref="S199:U199" si="960">S92</f>
        <v>AAA</v>
      </c>
      <c r="T199" s="8" t="str">
        <f t="shared" si="960"/>
        <v/>
      </c>
      <c r="U199" s="8" t="str">
        <f t="shared" si="960"/>
        <v/>
      </c>
      <c r="V199">
        <f t="shared" si="865"/>
        <v>0</v>
      </c>
      <c r="W199">
        <f t="shared" si="865"/>
        <v>0</v>
      </c>
      <c r="Y199" s="8" t="str">
        <f t="shared" si="866"/>
        <v>AAA</v>
      </c>
      <c r="Z199" s="8"/>
      <c r="AB199">
        <f t="shared" si="867"/>
        <v>0</v>
      </c>
      <c r="AC199">
        <f t="shared" si="867"/>
        <v>0</v>
      </c>
      <c r="AE199" s="8" t="str">
        <f>Hidden!$CC75</f>
        <v/>
      </c>
      <c r="AF199">
        <f t="shared" si="868"/>
        <v>0</v>
      </c>
      <c r="AG199">
        <f t="shared" si="869"/>
        <v>0</v>
      </c>
      <c r="AH199">
        <f t="shared" si="870"/>
        <v>0</v>
      </c>
      <c r="AI199">
        <f t="shared" si="871"/>
        <v>0</v>
      </c>
      <c r="AJ199">
        <f t="shared" si="872"/>
        <v>0</v>
      </c>
      <c r="AK199">
        <f t="shared" si="873"/>
        <v>0</v>
      </c>
      <c r="AL199">
        <f t="shared" si="874"/>
        <v>0</v>
      </c>
      <c r="AM199">
        <f t="shared" si="875"/>
        <v>0</v>
      </c>
      <c r="AN199">
        <f t="shared" si="876"/>
        <v>0</v>
      </c>
      <c r="AO199">
        <f t="shared" si="877"/>
        <v>0</v>
      </c>
      <c r="BJ199" s="8" t="str">
        <f t="shared" ref="BJ199:BL199" si="961">BJ92</f>
        <v>AAA</v>
      </c>
      <c r="BK199" s="8" t="str">
        <f t="shared" si="961"/>
        <v/>
      </c>
      <c r="BL199" s="8" t="str">
        <f t="shared" si="961"/>
        <v/>
      </c>
      <c r="BM199" s="8">
        <f t="shared" si="879"/>
        <v>0</v>
      </c>
      <c r="BN199" s="8">
        <f t="shared" si="880"/>
        <v>0</v>
      </c>
      <c r="BO199" s="8"/>
      <c r="BP199" s="8" t="str">
        <f t="shared" ref="BP199:BR199" si="962">BP92</f>
        <v>AAA</v>
      </c>
      <c r="BQ199" s="8" t="str">
        <f t="shared" si="962"/>
        <v/>
      </c>
      <c r="BR199" s="8" t="str">
        <f t="shared" si="962"/>
        <v/>
      </c>
      <c r="BS199" s="8">
        <f t="shared" si="882"/>
        <v>0</v>
      </c>
      <c r="BT199" s="8">
        <f t="shared" si="883"/>
        <v>0</v>
      </c>
      <c r="BU199" s="8"/>
      <c r="BV199" s="8" t="str">
        <f t="shared" ref="BV199:BX199" si="963">BV92</f>
        <v>AAA</v>
      </c>
      <c r="BW199" s="8" t="str">
        <f t="shared" si="963"/>
        <v/>
      </c>
      <c r="BX199" s="8" t="str">
        <f t="shared" si="963"/>
        <v/>
      </c>
      <c r="BY199" s="8">
        <f t="shared" si="885"/>
        <v>0</v>
      </c>
      <c r="BZ199" s="8">
        <f t="shared" si="886"/>
        <v>0</v>
      </c>
      <c r="CA199" s="8"/>
      <c r="CB199" s="8" t="str">
        <f t="shared" ref="CB199:CD199" si="964">CB92</f>
        <v>AAA</v>
      </c>
      <c r="CC199" s="8" t="str">
        <f t="shared" si="964"/>
        <v/>
      </c>
      <c r="CD199" s="8" t="str">
        <f t="shared" si="964"/>
        <v/>
      </c>
      <c r="CE199" s="8">
        <f t="shared" si="888"/>
        <v>0</v>
      </c>
      <c r="CF199" s="8">
        <f t="shared" si="889"/>
        <v>0</v>
      </c>
      <c r="CG199" s="8"/>
      <c r="CH199" s="8" t="str">
        <f t="shared" ref="CH199:CJ199" si="965">CH92</f>
        <v>AAA</v>
      </c>
      <c r="CI199" s="8" t="str">
        <f t="shared" si="965"/>
        <v/>
      </c>
      <c r="CJ199" s="8" t="str">
        <f t="shared" si="965"/>
        <v/>
      </c>
      <c r="CK199" s="8">
        <f t="shared" si="891"/>
        <v>0</v>
      </c>
      <c r="CL199" s="8">
        <f t="shared" si="892"/>
        <v>0</v>
      </c>
      <c r="CO199" s="8" t="str">
        <f>Hidden!$CC75</f>
        <v/>
      </c>
      <c r="CP199">
        <f t="shared" si="893"/>
        <v>0</v>
      </c>
      <c r="CQ199">
        <f t="shared" si="894"/>
        <v>0</v>
      </c>
      <c r="CR199">
        <f t="shared" si="895"/>
        <v>0</v>
      </c>
      <c r="CS199">
        <f t="shared" si="896"/>
        <v>0</v>
      </c>
      <c r="CT199">
        <f t="shared" si="897"/>
        <v>0</v>
      </c>
      <c r="CU199">
        <f t="shared" si="898"/>
        <v>0</v>
      </c>
      <c r="CV199">
        <f t="shared" si="899"/>
        <v>0</v>
      </c>
      <c r="CW199">
        <f t="shared" si="900"/>
        <v>0</v>
      </c>
      <c r="CX199">
        <f t="shared" si="901"/>
        <v>0</v>
      </c>
      <c r="CY199">
        <f t="shared" si="902"/>
        <v>0</v>
      </c>
      <c r="DT199" s="77"/>
      <c r="DU199" s="8" t="str">
        <f t="shared" si="729"/>
        <v>AAAAA</v>
      </c>
      <c r="DV199" s="8" t="str">
        <f t="shared" si="730"/>
        <v/>
      </c>
      <c r="DW199" s="8" t="str">
        <f t="shared" si="731"/>
        <v/>
      </c>
      <c r="DX199" s="8">
        <f t="shared" si="732"/>
        <v>0</v>
      </c>
      <c r="DY199" s="8">
        <f t="shared" si="732"/>
        <v>0</v>
      </c>
      <c r="EA199" s="8" t="str">
        <f t="shared" si="733"/>
        <v>AAAAA</v>
      </c>
      <c r="EB199" s="8" t="str">
        <f t="shared" si="734"/>
        <v/>
      </c>
      <c r="EC199" s="8" t="str">
        <f t="shared" si="735"/>
        <v/>
      </c>
      <c r="ED199">
        <f t="shared" si="736"/>
        <v>0</v>
      </c>
      <c r="EE199">
        <f t="shared" si="736"/>
        <v>0</v>
      </c>
      <c r="EG199" s="8" t="str">
        <f t="shared" si="737"/>
        <v>AAAAA</v>
      </c>
      <c r="EH199" s="8" t="str">
        <f t="shared" si="738"/>
        <v/>
      </c>
      <c r="EI199" s="8" t="str">
        <f t="shared" si="739"/>
        <v/>
      </c>
      <c r="EJ199" s="8">
        <f t="shared" si="740"/>
        <v>0</v>
      </c>
      <c r="EK199" s="8">
        <f t="shared" si="740"/>
        <v>0</v>
      </c>
      <c r="EM199" s="8" t="str">
        <f t="shared" si="741"/>
        <v>AAAAA</v>
      </c>
      <c r="EN199" s="8" t="str">
        <f t="shared" si="742"/>
        <v/>
      </c>
      <c r="EO199" s="8" t="str">
        <f t="shared" si="743"/>
        <v/>
      </c>
      <c r="EP199" s="8">
        <f t="shared" si="744"/>
        <v>0</v>
      </c>
      <c r="EQ199" s="8">
        <f t="shared" si="744"/>
        <v>0</v>
      </c>
      <c r="ES199" s="8" t="str">
        <f t="shared" si="745"/>
        <v>AAAAA</v>
      </c>
      <c r="ET199" s="8" t="str">
        <f t="shared" si="746"/>
        <v/>
      </c>
      <c r="EU199" s="8" t="str">
        <f t="shared" si="747"/>
        <v/>
      </c>
      <c r="EV199" s="8">
        <f t="shared" si="748"/>
        <v>0</v>
      </c>
      <c r="EW199" s="8">
        <f t="shared" si="748"/>
        <v>0</v>
      </c>
      <c r="EY199" s="8" t="str">
        <f>Hidden!$CG87</f>
        <v/>
      </c>
      <c r="EZ199">
        <f t="shared" si="749"/>
        <v>0</v>
      </c>
      <c r="FA199">
        <f t="shared" si="750"/>
        <v>0</v>
      </c>
      <c r="FB199">
        <f t="shared" si="751"/>
        <v>0</v>
      </c>
      <c r="FC199">
        <f t="shared" si="752"/>
        <v>0</v>
      </c>
      <c r="FD199">
        <f t="shared" si="753"/>
        <v>0</v>
      </c>
      <c r="FE199">
        <f t="shared" si="754"/>
        <v>0</v>
      </c>
      <c r="FF199">
        <f t="shared" si="755"/>
        <v>0</v>
      </c>
      <c r="FG199">
        <f t="shared" si="756"/>
        <v>0</v>
      </c>
      <c r="FH199">
        <f t="shared" si="757"/>
        <v>0</v>
      </c>
      <c r="FI199">
        <f t="shared" si="758"/>
        <v>0</v>
      </c>
    </row>
    <row r="200" spans="1:165" x14ac:dyDescent="0.2">
      <c r="A200" s="8" t="str">
        <f t="shared" ref="A200:C200" si="966">A93</f>
        <v>AAAA</v>
      </c>
      <c r="B200" s="8" t="str">
        <f t="shared" si="966"/>
        <v/>
      </c>
      <c r="C200" s="8" t="str">
        <f t="shared" si="966"/>
        <v/>
      </c>
      <c r="D200" s="8">
        <f t="shared" si="860"/>
        <v>0</v>
      </c>
      <c r="E200" s="8">
        <f t="shared" si="860"/>
        <v>0</v>
      </c>
      <c r="F200" s="8"/>
      <c r="G200" s="8" t="str">
        <f t="shared" ref="G200:I200" si="967">G93</f>
        <v>AAAA</v>
      </c>
      <c r="H200" s="8" t="str">
        <f t="shared" si="967"/>
        <v/>
      </c>
      <c r="I200" s="8" t="str">
        <f t="shared" si="967"/>
        <v/>
      </c>
      <c r="J200" s="8">
        <f t="shared" si="862"/>
        <v>0</v>
      </c>
      <c r="K200" s="8">
        <f t="shared" si="862"/>
        <v>0</v>
      </c>
      <c r="L200" s="8"/>
      <c r="M200" s="8" t="str">
        <f t="shared" ref="M200:O200" si="968">M93</f>
        <v>AAAA</v>
      </c>
      <c r="N200" s="8" t="str">
        <f t="shared" si="968"/>
        <v/>
      </c>
      <c r="O200" s="8" t="str">
        <f t="shared" si="968"/>
        <v/>
      </c>
      <c r="P200" s="8">
        <f t="shared" si="852"/>
        <v>0</v>
      </c>
      <c r="Q200" s="8">
        <f t="shared" si="852"/>
        <v>0</v>
      </c>
      <c r="R200" s="8"/>
      <c r="S200" s="8" t="str">
        <f t="shared" ref="S200:U200" si="969">S93</f>
        <v>AAAA</v>
      </c>
      <c r="T200" s="8" t="str">
        <f t="shared" si="969"/>
        <v/>
      </c>
      <c r="U200" s="8" t="str">
        <f t="shared" si="969"/>
        <v/>
      </c>
      <c r="V200">
        <f t="shared" si="865"/>
        <v>0</v>
      </c>
      <c r="W200">
        <f t="shared" si="865"/>
        <v>0</v>
      </c>
      <c r="Y200" s="8" t="str">
        <f t="shared" si="866"/>
        <v>AAAA</v>
      </c>
      <c r="Z200" s="8"/>
      <c r="AB200">
        <f t="shared" si="867"/>
        <v>0</v>
      </c>
      <c r="AC200">
        <f t="shared" si="867"/>
        <v>0</v>
      </c>
      <c r="AE200" s="8" t="str">
        <f>Hidden!$CC76</f>
        <v/>
      </c>
      <c r="AF200">
        <f t="shared" si="868"/>
        <v>0</v>
      </c>
      <c r="AG200">
        <f t="shared" si="869"/>
        <v>0</v>
      </c>
      <c r="AH200">
        <f t="shared" si="870"/>
        <v>0</v>
      </c>
      <c r="AI200">
        <f t="shared" si="871"/>
        <v>0</v>
      </c>
      <c r="AJ200">
        <f t="shared" si="872"/>
        <v>0</v>
      </c>
      <c r="AK200">
        <f t="shared" si="873"/>
        <v>0</v>
      </c>
      <c r="AL200">
        <f t="shared" si="874"/>
        <v>0</v>
      </c>
      <c r="AM200">
        <f t="shared" si="875"/>
        <v>0</v>
      </c>
      <c r="AN200">
        <f t="shared" si="876"/>
        <v>0</v>
      </c>
      <c r="AO200">
        <f t="shared" si="877"/>
        <v>0</v>
      </c>
      <c r="BJ200" s="8" t="str">
        <f t="shared" ref="BJ200:BL200" si="970">BJ93</f>
        <v>AAAA</v>
      </c>
      <c r="BK200" s="8" t="str">
        <f t="shared" si="970"/>
        <v/>
      </c>
      <c r="BL200" s="8" t="str">
        <f t="shared" si="970"/>
        <v/>
      </c>
      <c r="BM200" s="8">
        <f t="shared" si="879"/>
        <v>0</v>
      </c>
      <c r="BN200" s="8">
        <f t="shared" si="880"/>
        <v>0</v>
      </c>
      <c r="BO200" s="8"/>
      <c r="BP200" s="8" t="str">
        <f t="shared" ref="BP200:BR200" si="971">BP93</f>
        <v>AAAA</v>
      </c>
      <c r="BQ200" s="8" t="str">
        <f t="shared" si="971"/>
        <v/>
      </c>
      <c r="BR200" s="8" t="str">
        <f t="shared" si="971"/>
        <v/>
      </c>
      <c r="BS200" s="8">
        <f t="shared" si="882"/>
        <v>0</v>
      </c>
      <c r="BT200" s="8">
        <f t="shared" si="883"/>
        <v>0</v>
      </c>
      <c r="BU200" s="8"/>
      <c r="BV200" s="8" t="str">
        <f t="shared" ref="BV200:BX200" si="972">BV93</f>
        <v>AAAA</v>
      </c>
      <c r="BW200" s="8" t="str">
        <f t="shared" si="972"/>
        <v/>
      </c>
      <c r="BX200" s="8" t="str">
        <f t="shared" si="972"/>
        <v/>
      </c>
      <c r="BY200" s="8">
        <f t="shared" si="885"/>
        <v>0</v>
      </c>
      <c r="BZ200" s="8">
        <f t="shared" si="886"/>
        <v>0</v>
      </c>
      <c r="CA200" s="8"/>
      <c r="CB200" s="8" t="str">
        <f t="shared" ref="CB200:CD200" si="973">CB93</f>
        <v>AAAA</v>
      </c>
      <c r="CC200" s="8" t="str">
        <f t="shared" si="973"/>
        <v/>
      </c>
      <c r="CD200" s="8" t="str">
        <f t="shared" si="973"/>
        <v/>
      </c>
      <c r="CE200" s="8">
        <f t="shared" si="888"/>
        <v>0</v>
      </c>
      <c r="CF200" s="8">
        <f t="shared" si="889"/>
        <v>0</v>
      </c>
      <c r="CG200" s="8"/>
      <c r="CH200" s="8" t="str">
        <f t="shared" ref="CH200:CJ200" si="974">CH93</f>
        <v>AAAA</v>
      </c>
      <c r="CI200" s="8" t="str">
        <f t="shared" si="974"/>
        <v/>
      </c>
      <c r="CJ200" s="8" t="str">
        <f t="shared" si="974"/>
        <v/>
      </c>
      <c r="CK200" s="8">
        <f t="shared" si="891"/>
        <v>0</v>
      </c>
      <c r="CL200" s="8">
        <f t="shared" si="892"/>
        <v>0</v>
      </c>
      <c r="CO200" s="8" t="str">
        <f>Hidden!$CC76</f>
        <v/>
      </c>
      <c r="CP200">
        <f t="shared" si="893"/>
        <v>0</v>
      </c>
      <c r="CQ200">
        <f t="shared" si="894"/>
        <v>0</v>
      </c>
      <c r="CR200">
        <f t="shared" si="895"/>
        <v>0</v>
      </c>
      <c r="CS200">
        <f t="shared" si="896"/>
        <v>0</v>
      </c>
      <c r="CT200">
        <f t="shared" si="897"/>
        <v>0</v>
      </c>
      <c r="CU200">
        <f t="shared" si="898"/>
        <v>0</v>
      </c>
      <c r="CV200">
        <f t="shared" si="899"/>
        <v>0</v>
      </c>
      <c r="CW200">
        <f t="shared" si="900"/>
        <v>0</v>
      </c>
      <c r="CX200">
        <f t="shared" si="901"/>
        <v>0</v>
      </c>
      <c r="CY200">
        <f t="shared" si="902"/>
        <v>0</v>
      </c>
      <c r="DT200" s="77"/>
      <c r="DU200" s="8" t="str">
        <f t="shared" si="729"/>
        <v>AAAAAA</v>
      </c>
      <c r="DV200" s="8" t="str">
        <f t="shared" si="730"/>
        <v/>
      </c>
      <c r="DW200" s="8" t="str">
        <f t="shared" si="731"/>
        <v/>
      </c>
      <c r="DX200" s="8">
        <f t="shared" si="732"/>
        <v>0</v>
      </c>
      <c r="DY200" s="8">
        <f t="shared" si="732"/>
        <v>0</v>
      </c>
      <c r="EA200" s="8" t="str">
        <f t="shared" si="733"/>
        <v>AAAAAA</v>
      </c>
      <c r="EB200" s="8" t="str">
        <f t="shared" si="734"/>
        <v/>
      </c>
      <c r="EC200" s="8" t="str">
        <f t="shared" si="735"/>
        <v/>
      </c>
      <c r="ED200">
        <f t="shared" si="736"/>
        <v>0</v>
      </c>
      <c r="EE200">
        <f t="shared" si="736"/>
        <v>0</v>
      </c>
      <c r="EG200" s="8" t="str">
        <f t="shared" si="737"/>
        <v>AAAAAA</v>
      </c>
      <c r="EH200" s="8" t="str">
        <f t="shared" si="738"/>
        <v/>
      </c>
      <c r="EI200" s="8" t="str">
        <f t="shared" si="739"/>
        <v/>
      </c>
      <c r="EJ200" s="8">
        <f t="shared" si="740"/>
        <v>0</v>
      </c>
      <c r="EK200" s="8">
        <f t="shared" si="740"/>
        <v>0</v>
      </c>
      <c r="EM200" s="8" t="str">
        <f t="shared" si="741"/>
        <v>AAAAAA</v>
      </c>
      <c r="EN200" s="8" t="str">
        <f t="shared" si="742"/>
        <v/>
      </c>
      <c r="EO200" s="8" t="str">
        <f t="shared" si="743"/>
        <v/>
      </c>
      <c r="EP200" s="8">
        <f t="shared" si="744"/>
        <v>0</v>
      </c>
      <c r="EQ200" s="8">
        <f t="shared" si="744"/>
        <v>0</v>
      </c>
      <c r="ES200" s="8" t="str">
        <f t="shared" si="745"/>
        <v>AAAAAA</v>
      </c>
      <c r="ET200" s="8" t="str">
        <f t="shared" si="746"/>
        <v/>
      </c>
      <c r="EU200" s="8" t="str">
        <f t="shared" si="747"/>
        <v/>
      </c>
      <c r="EV200" s="8">
        <f t="shared" si="748"/>
        <v>0</v>
      </c>
      <c r="EW200" s="8">
        <f t="shared" si="748"/>
        <v>0</v>
      </c>
      <c r="EY200" s="8" t="str">
        <f>Hidden!$CG88</f>
        <v/>
      </c>
      <c r="EZ200">
        <f t="shared" si="749"/>
        <v>0</v>
      </c>
      <c r="FA200">
        <f t="shared" si="750"/>
        <v>0</v>
      </c>
      <c r="FB200">
        <f t="shared" si="751"/>
        <v>0</v>
      </c>
      <c r="FC200">
        <f t="shared" si="752"/>
        <v>0</v>
      </c>
      <c r="FD200">
        <f t="shared" si="753"/>
        <v>0</v>
      </c>
      <c r="FE200">
        <f t="shared" si="754"/>
        <v>0</v>
      </c>
      <c r="FF200">
        <f t="shared" si="755"/>
        <v>0</v>
      </c>
      <c r="FG200">
        <f t="shared" si="756"/>
        <v>0</v>
      </c>
      <c r="FH200">
        <f t="shared" si="757"/>
        <v>0</v>
      </c>
      <c r="FI200">
        <f t="shared" si="758"/>
        <v>0</v>
      </c>
    </row>
    <row r="201" spans="1:165" x14ac:dyDescent="0.2">
      <c r="A201" s="8" t="str">
        <f t="shared" ref="A201:C201" si="975">A94</f>
        <v>AAAAA</v>
      </c>
      <c r="B201" s="8" t="str">
        <f t="shared" si="975"/>
        <v/>
      </c>
      <c r="C201" s="8" t="str">
        <f t="shared" si="975"/>
        <v/>
      </c>
      <c r="D201" s="8">
        <f t="shared" si="860"/>
        <v>0</v>
      </c>
      <c r="E201" s="8">
        <f t="shared" si="860"/>
        <v>0</v>
      </c>
      <c r="F201" s="8"/>
      <c r="G201" s="8" t="str">
        <f t="shared" ref="G201:I201" si="976">G94</f>
        <v>AAAAA</v>
      </c>
      <c r="H201" s="8" t="str">
        <f t="shared" si="976"/>
        <v/>
      </c>
      <c r="I201" s="8" t="str">
        <f t="shared" si="976"/>
        <v/>
      </c>
      <c r="J201" s="8">
        <f t="shared" si="862"/>
        <v>0</v>
      </c>
      <c r="K201" s="8">
        <f t="shared" si="862"/>
        <v>0</v>
      </c>
      <c r="L201" s="8"/>
      <c r="M201" s="8" t="str">
        <f t="shared" ref="M201:O201" si="977">M94</f>
        <v>AAAAA</v>
      </c>
      <c r="N201" s="8" t="str">
        <f t="shared" si="977"/>
        <v/>
      </c>
      <c r="O201" s="8" t="str">
        <f t="shared" si="977"/>
        <v/>
      </c>
      <c r="P201" s="8">
        <f t="shared" si="852"/>
        <v>0</v>
      </c>
      <c r="Q201" s="8">
        <f t="shared" si="852"/>
        <v>0</v>
      </c>
      <c r="R201" s="8"/>
      <c r="S201" s="8" t="str">
        <f t="shared" ref="S201:U201" si="978">S94</f>
        <v>AAAAA</v>
      </c>
      <c r="T201" s="8" t="str">
        <f t="shared" si="978"/>
        <v/>
      </c>
      <c r="U201" s="8" t="str">
        <f t="shared" si="978"/>
        <v/>
      </c>
      <c r="V201">
        <f t="shared" si="865"/>
        <v>0</v>
      </c>
      <c r="W201">
        <f t="shared" si="865"/>
        <v>0</v>
      </c>
      <c r="Y201" s="8" t="str">
        <f t="shared" si="866"/>
        <v>AAAAA</v>
      </c>
      <c r="Z201" s="8"/>
      <c r="AB201">
        <f t="shared" si="867"/>
        <v>0</v>
      </c>
      <c r="AC201">
        <f t="shared" si="867"/>
        <v>0</v>
      </c>
      <c r="AE201" s="8" t="str">
        <f>Hidden!$CC77</f>
        <v/>
      </c>
      <c r="AF201">
        <f t="shared" si="868"/>
        <v>0</v>
      </c>
      <c r="AG201">
        <f t="shared" si="869"/>
        <v>0</v>
      </c>
      <c r="AH201">
        <f t="shared" si="870"/>
        <v>0</v>
      </c>
      <c r="AI201">
        <f t="shared" si="871"/>
        <v>0</v>
      </c>
      <c r="AJ201">
        <f t="shared" si="872"/>
        <v>0</v>
      </c>
      <c r="AK201">
        <f t="shared" si="873"/>
        <v>0</v>
      </c>
      <c r="AL201">
        <f t="shared" si="874"/>
        <v>0</v>
      </c>
      <c r="AM201">
        <f t="shared" si="875"/>
        <v>0</v>
      </c>
      <c r="AN201">
        <f t="shared" si="876"/>
        <v>0</v>
      </c>
      <c r="AO201">
        <f t="shared" si="877"/>
        <v>0</v>
      </c>
      <c r="BJ201" s="8" t="str">
        <f t="shared" ref="BJ201:BL201" si="979">BJ94</f>
        <v>AAAAA</v>
      </c>
      <c r="BK201" s="8" t="str">
        <f t="shared" si="979"/>
        <v/>
      </c>
      <c r="BL201" s="8" t="str">
        <f t="shared" si="979"/>
        <v/>
      </c>
      <c r="BM201" s="8">
        <f t="shared" si="879"/>
        <v>0</v>
      </c>
      <c r="BN201" s="8">
        <f t="shared" si="880"/>
        <v>0</v>
      </c>
      <c r="BO201" s="8"/>
      <c r="BP201" s="8" t="str">
        <f t="shared" ref="BP201:BR201" si="980">BP94</f>
        <v>AAAAA</v>
      </c>
      <c r="BQ201" s="8" t="str">
        <f t="shared" si="980"/>
        <v/>
      </c>
      <c r="BR201" s="8" t="str">
        <f t="shared" si="980"/>
        <v/>
      </c>
      <c r="BS201" s="8">
        <f t="shared" si="882"/>
        <v>0</v>
      </c>
      <c r="BT201" s="8">
        <f t="shared" si="883"/>
        <v>0</v>
      </c>
      <c r="BU201" s="8"/>
      <c r="BV201" s="8" t="str">
        <f t="shared" ref="BV201:BX201" si="981">BV94</f>
        <v>AAAAA</v>
      </c>
      <c r="BW201" s="8" t="str">
        <f t="shared" si="981"/>
        <v/>
      </c>
      <c r="BX201" s="8" t="str">
        <f t="shared" si="981"/>
        <v/>
      </c>
      <c r="BY201" s="8">
        <f t="shared" si="885"/>
        <v>0</v>
      </c>
      <c r="BZ201" s="8">
        <f t="shared" si="886"/>
        <v>0</v>
      </c>
      <c r="CA201" s="8"/>
      <c r="CB201" s="8" t="str">
        <f t="shared" ref="CB201:CD201" si="982">CB94</f>
        <v>AAAAA</v>
      </c>
      <c r="CC201" s="8" t="str">
        <f t="shared" si="982"/>
        <v/>
      </c>
      <c r="CD201" s="8" t="str">
        <f t="shared" si="982"/>
        <v/>
      </c>
      <c r="CE201" s="8">
        <f t="shared" si="888"/>
        <v>0</v>
      </c>
      <c r="CF201" s="8">
        <f t="shared" si="889"/>
        <v>0</v>
      </c>
      <c r="CG201" s="8"/>
      <c r="CH201" s="8" t="str">
        <f t="shared" ref="CH201:CJ201" si="983">CH94</f>
        <v>AAAAA</v>
      </c>
      <c r="CI201" s="8" t="str">
        <f t="shared" si="983"/>
        <v/>
      </c>
      <c r="CJ201" s="8" t="str">
        <f t="shared" si="983"/>
        <v/>
      </c>
      <c r="CK201" s="8">
        <f t="shared" si="891"/>
        <v>0</v>
      </c>
      <c r="CL201" s="8">
        <f t="shared" si="892"/>
        <v>0</v>
      </c>
      <c r="CO201" s="8" t="str">
        <f>Hidden!$CC77</f>
        <v/>
      </c>
      <c r="CP201">
        <f t="shared" si="893"/>
        <v>0</v>
      </c>
      <c r="CQ201">
        <f t="shared" si="894"/>
        <v>0</v>
      </c>
      <c r="CR201">
        <f t="shared" si="895"/>
        <v>0</v>
      </c>
      <c r="CS201">
        <f t="shared" si="896"/>
        <v>0</v>
      </c>
      <c r="CT201">
        <f t="shared" si="897"/>
        <v>0</v>
      </c>
      <c r="CU201">
        <f t="shared" si="898"/>
        <v>0</v>
      </c>
      <c r="CV201">
        <f t="shared" si="899"/>
        <v>0</v>
      </c>
      <c r="CW201">
        <f t="shared" si="900"/>
        <v>0</v>
      </c>
      <c r="CX201">
        <f t="shared" si="901"/>
        <v>0</v>
      </c>
      <c r="CY201">
        <f t="shared" si="902"/>
        <v>0</v>
      </c>
      <c r="DT201" s="77"/>
      <c r="DU201" s="8" t="str">
        <f t="shared" si="729"/>
        <v>AAAAAAA</v>
      </c>
      <c r="DV201" s="8" t="str">
        <f t="shared" si="730"/>
        <v/>
      </c>
      <c r="DW201" s="8" t="str">
        <f t="shared" si="731"/>
        <v/>
      </c>
      <c r="DX201" s="8">
        <f t="shared" si="732"/>
        <v>0</v>
      </c>
      <c r="DY201" s="8">
        <f t="shared" si="732"/>
        <v>0</v>
      </c>
      <c r="EA201" s="8" t="str">
        <f t="shared" si="733"/>
        <v>AAAAAAA</v>
      </c>
      <c r="EB201" s="8" t="str">
        <f t="shared" si="734"/>
        <v/>
      </c>
      <c r="EC201" s="8" t="str">
        <f t="shared" si="735"/>
        <v/>
      </c>
      <c r="ED201">
        <f t="shared" si="736"/>
        <v>0</v>
      </c>
      <c r="EE201">
        <f t="shared" si="736"/>
        <v>0</v>
      </c>
      <c r="EG201" s="8" t="str">
        <f t="shared" si="737"/>
        <v>AAAAAAA</v>
      </c>
      <c r="EH201" s="8" t="str">
        <f t="shared" si="738"/>
        <v/>
      </c>
      <c r="EI201" s="8" t="str">
        <f t="shared" si="739"/>
        <v/>
      </c>
      <c r="EJ201" s="8">
        <f t="shared" si="740"/>
        <v>0</v>
      </c>
      <c r="EK201" s="8">
        <f t="shared" si="740"/>
        <v>0</v>
      </c>
      <c r="EM201" s="8" t="str">
        <f t="shared" si="741"/>
        <v>AAAAAAA</v>
      </c>
      <c r="EN201" s="8" t="str">
        <f t="shared" si="742"/>
        <v/>
      </c>
      <c r="EO201" s="8" t="str">
        <f t="shared" si="743"/>
        <v/>
      </c>
      <c r="EP201" s="8">
        <f t="shared" si="744"/>
        <v>0</v>
      </c>
      <c r="EQ201" s="8">
        <f t="shared" si="744"/>
        <v>0</v>
      </c>
      <c r="ES201" s="8" t="str">
        <f t="shared" si="745"/>
        <v>AAAAAAA</v>
      </c>
      <c r="ET201" s="8" t="str">
        <f t="shared" si="746"/>
        <v/>
      </c>
      <c r="EU201" s="8" t="str">
        <f t="shared" si="747"/>
        <v/>
      </c>
      <c r="EV201" s="8">
        <f t="shared" si="748"/>
        <v>0</v>
      </c>
      <c r="EW201" s="8">
        <f t="shared" si="748"/>
        <v>0</v>
      </c>
      <c r="EY201" s="8" t="str">
        <f>Hidden!$CG89</f>
        <v/>
      </c>
      <c r="EZ201">
        <f t="shared" si="749"/>
        <v>0</v>
      </c>
      <c r="FA201">
        <f t="shared" si="750"/>
        <v>0</v>
      </c>
      <c r="FB201">
        <f t="shared" si="751"/>
        <v>0</v>
      </c>
      <c r="FC201">
        <f t="shared" si="752"/>
        <v>0</v>
      </c>
      <c r="FD201">
        <f t="shared" si="753"/>
        <v>0</v>
      </c>
      <c r="FE201">
        <f t="shared" si="754"/>
        <v>0</v>
      </c>
      <c r="FF201">
        <f t="shared" si="755"/>
        <v>0</v>
      </c>
      <c r="FG201">
        <f t="shared" si="756"/>
        <v>0</v>
      </c>
      <c r="FH201">
        <f t="shared" si="757"/>
        <v>0</v>
      </c>
      <c r="FI201">
        <f t="shared" si="758"/>
        <v>0</v>
      </c>
    </row>
    <row r="202" spans="1:165" x14ac:dyDescent="0.2">
      <c r="A202" s="8" t="str">
        <f t="shared" ref="A202:C202" si="984">A95</f>
        <v>AAAAAA</v>
      </c>
      <c r="B202" s="8" t="str">
        <f t="shared" si="984"/>
        <v/>
      </c>
      <c r="C202" s="8" t="str">
        <f t="shared" si="984"/>
        <v/>
      </c>
      <c r="D202" s="8">
        <f t="shared" si="860"/>
        <v>0</v>
      </c>
      <c r="E202" s="8">
        <f t="shared" si="860"/>
        <v>0</v>
      </c>
      <c r="F202" s="8"/>
      <c r="G202" s="8" t="str">
        <f t="shared" ref="G202:I202" si="985">G95</f>
        <v>AAAAAA</v>
      </c>
      <c r="H202" s="8" t="str">
        <f t="shared" si="985"/>
        <v/>
      </c>
      <c r="I202" s="8" t="str">
        <f t="shared" si="985"/>
        <v/>
      </c>
      <c r="J202" s="8">
        <f t="shared" si="862"/>
        <v>0</v>
      </c>
      <c r="K202" s="8">
        <f t="shared" si="862"/>
        <v>0</v>
      </c>
      <c r="L202" s="8"/>
      <c r="M202" s="8" t="str">
        <f t="shared" ref="M202:O202" si="986">M95</f>
        <v>AAAAAA</v>
      </c>
      <c r="N202" s="8" t="str">
        <f t="shared" si="986"/>
        <v/>
      </c>
      <c r="O202" s="8" t="str">
        <f t="shared" si="986"/>
        <v/>
      </c>
      <c r="P202" s="8">
        <f t="shared" si="852"/>
        <v>0</v>
      </c>
      <c r="Q202" s="8">
        <f t="shared" si="852"/>
        <v>0</v>
      </c>
      <c r="R202" s="8"/>
      <c r="S202" s="8" t="str">
        <f t="shared" ref="S202:U202" si="987">S95</f>
        <v>AAAAAA</v>
      </c>
      <c r="T202" s="8" t="str">
        <f t="shared" si="987"/>
        <v/>
      </c>
      <c r="U202" s="8" t="str">
        <f t="shared" si="987"/>
        <v/>
      </c>
      <c r="V202">
        <f t="shared" si="865"/>
        <v>0</v>
      </c>
      <c r="W202">
        <f t="shared" si="865"/>
        <v>0</v>
      </c>
      <c r="Y202" s="8" t="str">
        <f t="shared" si="866"/>
        <v>AAAAAA</v>
      </c>
      <c r="Z202" s="8"/>
      <c r="AB202">
        <f t="shared" si="867"/>
        <v>0</v>
      </c>
      <c r="AC202">
        <f t="shared" si="867"/>
        <v>0</v>
      </c>
      <c r="AE202" s="8" t="str">
        <f>Hidden!$CC78</f>
        <v/>
      </c>
      <c r="AF202">
        <f t="shared" si="868"/>
        <v>0</v>
      </c>
      <c r="AG202">
        <f t="shared" si="869"/>
        <v>0</v>
      </c>
      <c r="AH202">
        <f t="shared" si="870"/>
        <v>0</v>
      </c>
      <c r="AI202">
        <f t="shared" si="871"/>
        <v>0</v>
      </c>
      <c r="AJ202">
        <f t="shared" si="872"/>
        <v>0</v>
      </c>
      <c r="AK202">
        <f t="shared" si="873"/>
        <v>0</v>
      </c>
      <c r="AL202">
        <f t="shared" si="874"/>
        <v>0</v>
      </c>
      <c r="AM202">
        <f t="shared" si="875"/>
        <v>0</v>
      </c>
      <c r="AN202">
        <f t="shared" si="876"/>
        <v>0</v>
      </c>
      <c r="AO202">
        <f t="shared" si="877"/>
        <v>0</v>
      </c>
      <c r="BJ202" s="8" t="str">
        <f t="shared" ref="BJ202:BL202" si="988">BJ95</f>
        <v>AAAAAA</v>
      </c>
      <c r="BK202" s="8" t="str">
        <f t="shared" si="988"/>
        <v/>
      </c>
      <c r="BL202" s="8" t="str">
        <f t="shared" si="988"/>
        <v/>
      </c>
      <c r="BM202" s="8">
        <f t="shared" si="879"/>
        <v>0</v>
      </c>
      <c r="BN202" s="8">
        <f t="shared" si="880"/>
        <v>0</v>
      </c>
      <c r="BO202" s="8"/>
      <c r="BP202" s="8" t="str">
        <f t="shared" ref="BP202:BR202" si="989">BP95</f>
        <v>AAAAAA</v>
      </c>
      <c r="BQ202" s="8" t="str">
        <f t="shared" si="989"/>
        <v/>
      </c>
      <c r="BR202" s="8" t="str">
        <f t="shared" si="989"/>
        <v/>
      </c>
      <c r="BS202" s="8">
        <f t="shared" si="882"/>
        <v>0</v>
      </c>
      <c r="BT202" s="8">
        <f t="shared" si="883"/>
        <v>0</v>
      </c>
      <c r="BU202" s="8"/>
      <c r="BV202" s="8" t="str">
        <f t="shared" ref="BV202:BX202" si="990">BV95</f>
        <v>AAAAAA</v>
      </c>
      <c r="BW202" s="8" t="str">
        <f t="shared" si="990"/>
        <v/>
      </c>
      <c r="BX202" s="8" t="str">
        <f t="shared" si="990"/>
        <v/>
      </c>
      <c r="BY202" s="8">
        <f t="shared" si="885"/>
        <v>0</v>
      </c>
      <c r="BZ202" s="8">
        <f t="shared" si="886"/>
        <v>0</v>
      </c>
      <c r="CA202" s="8"/>
      <c r="CB202" s="8" t="str">
        <f t="shared" ref="CB202:CD202" si="991">CB95</f>
        <v>AAAAAA</v>
      </c>
      <c r="CC202" s="8" t="str">
        <f t="shared" si="991"/>
        <v/>
      </c>
      <c r="CD202" s="8" t="str">
        <f t="shared" si="991"/>
        <v/>
      </c>
      <c r="CE202" s="8">
        <f t="shared" si="888"/>
        <v>0</v>
      </c>
      <c r="CF202" s="8">
        <f t="shared" si="889"/>
        <v>0</v>
      </c>
      <c r="CG202" s="8"/>
      <c r="CH202" s="8" t="str">
        <f t="shared" ref="CH202:CJ202" si="992">CH95</f>
        <v>AAAAAA</v>
      </c>
      <c r="CI202" s="8" t="str">
        <f t="shared" si="992"/>
        <v/>
      </c>
      <c r="CJ202" s="8" t="str">
        <f t="shared" si="992"/>
        <v/>
      </c>
      <c r="CK202" s="8">
        <f t="shared" si="891"/>
        <v>0</v>
      </c>
      <c r="CL202" s="8">
        <f t="shared" si="892"/>
        <v>0</v>
      </c>
      <c r="CO202" s="8" t="str">
        <f>Hidden!$CC78</f>
        <v/>
      </c>
      <c r="CP202">
        <f t="shared" si="893"/>
        <v>0</v>
      </c>
      <c r="CQ202">
        <f t="shared" si="894"/>
        <v>0</v>
      </c>
      <c r="CR202">
        <f t="shared" si="895"/>
        <v>0</v>
      </c>
      <c r="CS202">
        <f t="shared" si="896"/>
        <v>0</v>
      </c>
      <c r="CT202">
        <f t="shared" si="897"/>
        <v>0</v>
      </c>
      <c r="CU202">
        <f t="shared" si="898"/>
        <v>0</v>
      </c>
      <c r="CV202">
        <f t="shared" si="899"/>
        <v>0</v>
      </c>
      <c r="CW202">
        <f t="shared" si="900"/>
        <v>0</v>
      </c>
      <c r="CX202">
        <f t="shared" si="901"/>
        <v>0</v>
      </c>
      <c r="CY202">
        <f t="shared" si="902"/>
        <v>0</v>
      </c>
      <c r="DT202" s="77"/>
      <c r="DU202" s="8" t="str">
        <f t="shared" si="729"/>
        <v>AAAAAAAA</v>
      </c>
      <c r="DV202" s="8" t="str">
        <f t="shared" si="730"/>
        <v/>
      </c>
      <c r="DW202" s="8" t="str">
        <f t="shared" si="731"/>
        <v/>
      </c>
      <c r="DX202" s="8">
        <f t="shared" si="732"/>
        <v>0</v>
      </c>
      <c r="DY202" s="8">
        <f t="shared" si="732"/>
        <v>0</v>
      </c>
      <c r="EA202" s="8" t="str">
        <f t="shared" si="733"/>
        <v>AAAAAAAA</v>
      </c>
      <c r="EB202" s="8" t="str">
        <f t="shared" si="734"/>
        <v/>
      </c>
      <c r="EC202" s="8" t="str">
        <f t="shared" si="735"/>
        <v/>
      </c>
      <c r="ED202">
        <f t="shared" si="736"/>
        <v>0</v>
      </c>
      <c r="EE202">
        <f t="shared" si="736"/>
        <v>0</v>
      </c>
      <c r="EG202" s="8" t="str">
        <f t="shared" si="737"/>
        <v>AAAAAAAA</v>
      </c>
      <c r="EH202" s="8" t="str">
        <f t="shared" si="738"/>
        <v/>
      </c>
      <c r="EI202" s="8" t="str">
        <f t="shared" si="739"/>
        <v/>
      </c>
      <c r="EJ202" s="8">
        <f t="shared" si="740"/>
        <v>0</v>
      </c>
      <c r="EK202" s="8">
        <f t="shared" si="740"/>
        <v>0</v>
      </c>
      <c r="EM202" s="8" t="str">
        <f t="shared" si="741"/>
        <v>AAAAAAAA</v>
      </c>
      <c r="EN202" s="8" t="str">
        <f t="shared" si="742"/>
        <v/>
      </c>
      <c r="EO202" s="8" t="str">
        <f t="shared" si="743"/>
        <v/>
      </c>
      <c r="EP202" s="8">
        <f t="shared" si="744"/>
        <v>0</v>
      </c>
      <c r="EQ202" s="8">
        <f t="shared" si="744"/>
        <v>0</v>
      </c>
      <c r="ES202" s="8" t="str">
        <f t="shared" si="745"/>
        <v>AAAAAAAA</v>
      </c>
      <c r="ET202" s="8" t="str">
        <f t="shared" si="746"/>
        <v/>
      </c>
      <c r="EU202" s="8" t="str">
        <f t="shared" si="747"/>
        <v/>
      </c>
      <c r="EV202" s="8">
        <f t="shared" si="748"/>
        <v>0</v>
      </c>
      <c r="EW202" s="8">
        <f t="shared" si="748"/>
        <v>0</v>
      </c>
      <c r="EY202" s="8" t="str">
        <f>Hidden!$CG90</f>
        <v/>
      </c>
      <c r="EZ202">
        <f t="shared" si="749"/>
        <v>0</v>
      </c>
      <c r="FA202">
        <f t="shared" si="750"/>
        <v>0</v>
      </c>
      <c r="FB202">
        <f t="shared" si="751"/>
        <v>0</v>
      </c>
      <c r="FC202">
        <f t="shared" si="752"/>
        <v>0</v>
      </c>
      <c r="FD202">
        <f t="shared" si="753"/>
        <v>0</v>
      </c>
      <c r="FE202">
        <f t="shared" si="754"/>
        <v>0</v>
      </c>
      <c r="FF202">
        <f t="shared" si="755"/>
        <v>0</v>
      </c>
      <c r="FG202">
        <f t="shared" si="756"/>
        <v>0</v>
      </c>
      <c r="FH202">
        <f t="shared" si="757"/>
        <v>0</v>
      </c>
      <c r="FI202">
        <f t="shared" si="758"/>
        <v>0</v>
      </c>
    </row>
    <row r="203" spans="1:165" x14ac:dyDescent="0.2">
      <c r="A203" s="8" t="str">
        <f t="shared" ref="A203:C203" si="993">A96</f>
        <v>AAAAAAA</v>
      </c>
      <c r="B203" s="8" t="str">
        <f t="shared" si="993"/>
        <v/>
      </c>
      <c r="C203" s="8" t="str">
        <f t="shared" si="993"/>
        <v/>
      </c>
      <c r="D203" s="8">
        <f t="shared" si="860"/>
        <v>0</v>
      </c>
      <c r="E203" s="8">
        <f t="shared" si="860"/>
        <v>0</v>
      </c>
      <c r="F203" s="8"/>
      <c r="G203" s="8" t="str">
        <f t="shared" ref="G203:I203" si="994">G96</f>
        <v>AAAAAAA</v>
      </c>
      <c r="H203" s="8" t="str">
        <f t="shared" si="994"/>
        <v/>
      </c>
      <c r="I203" s="8" t="str">
        <f t="shared" si="994"/>
        <v/>
      </c>
      <c r="J203" s="8">
        <f t="shared" si="862"/>
        <v>0</v>
      </c>
      <c r="K203" s="8">
        <f t="shared" si="862"/>
        <v>0</v>
      </c>
      <c r="L203" s="8"/>
      <c r="M203" s="8" t="str">
        <f t="shared" ref="M203:O203" si="995">M96</f>
        <v>AAAAAAA</v>
      </c>
      <c r="N203" s="8" t="str">
        <f t="shared" si="995"/>
        <v/>
      </c>
      <c r="O203" s="8" t="str">
        <f t="shared" si="995"/>
        <v/>
      </c>
      <c r="P203" s="8">
        <f t="shared" si="852"/>
        <v>0</v>
      </c>
      <c r="Q203" s="8">
        <f t="shared" si="852"/>
        <v>0</v>
      </c>
      <c r="R203" s="8"/>
      <c r="S203" s="8" t="str">
        <f t="shared" ref="S203:U203" si="996">S96</f>
        <v>AAAAAAA</v>
      </c>
      <c r="T203" s="8" t="str">
        <f t="shared" si="996"/>
        <v/>
      </c>
      <c r="U203" s="8" t="str">
        <f t="shared" si="996"/>
        <v/>
      </c>
      <c r="V203">
        <f t="shared" si="865"/>
        <v>0</v>
      </c>
      <c r="W203">
        <f t="shared" si="865"/>
        <v>0</v>
      </c>
      <c r="Y203" s="8" t="str">
        <f t="shared" si="866"/>
        <v>AAAAAAA</v>
      </c>
      <c r="Z203" s="8"/>
      <c r="AB203">
        <f t="shared" si="867"/>
        <v>0</v>
      </c>
      <c r="AC203">
        <f t="shared" si="867"/>
        <v>0</v>
      </c>
      <c r="AE203" s="8" t="str">
        <f>Hidden!$CC79</f>
        <v/>
      </c>
      <c r="AF203">
        <f t="shared" si="868"/>
        <v>0</v>
      </c>
      <c r="AG203">
        <f t="shared" si="869"/>
        <v>0</v>
      </c>
      <c r="AH203">
        <f t="shared" si="870"/>
        <v>0</v>
      </c>
      <c r="AI203">
        <f t="shared" si="871"/>
        <v>0</v>
      </c>
      <c r="AJ203">
        <f t="shared" si="872"/>
        <v>0</v>
      </c>
      <c r="AK203">
        <f t="shared" si="873"/>
        <v>0</v>
      </c>
      <c r="AL203">
        <f t="shared" si="874"/>
        <v>0</v>
      </c>
      <c r="AM203">
        <f t="shared" si="875"/>
        <v>0</v>
      </c>
      <c r="AN203">
        <f t="shared" si="876"/>
        <v>0</v>
      </c>
      <c r="AO203">
        <f t="shared" si="877"/>
        <v>0</v>
      </c>
      <c r="BJ203" s="8" t="str">
        <f t="shared" ref="BJ203:BL203" si="997">BJ96</f>
        <v>AAAAAAA</v>
      </c>
      <c r="BK203" s="8" t="str">
        <f t="shared" si="997"/>
        <v/>
      </c>
      <c r="BL203" s="8" t="str">
        <f t="shared" si="997"/>
        <v/>
      </c>
      <c r="BM203" s="8">
        <f t="shared" si="879"/>
        <v>0</v>
      </c>
      <c r="BN203" s="8">
        <f t="shared" si="880"/>
        <v>0</v>
      </c>
      <c r="BO203" s="8"/>
      <c r="BP203" s="8" t="str">
        <f t="shared" ref="BP203:BR203" si="998">BP96</f>
        <v>AAAAAAA</v>
      </c>
      <c r="BQ203" s="8" t="str">
        <f t="shared" si="998"/>
        <v/>
      </c>
      <c r="BR203" s="8" t="str">
        <f t="shared" si="998"/>
        <v/>
      </c>
      <c r="BS203" s="8">
        <f t="shared" si="882"/>
        <v>0</v>
      </c>
      <c r="BT203" s="8">
        <f t="shared" si="883"/>
        <v>0</v>
      </c>
      <c r="BU203" s="8"/>
      <c r="BV203" s="8" t="str">
        <f t="shared" ref="BV203:BX203" si="999">BV96</f>
        <v>AAAAAAA</v>
      </c>
      <c r="BW203" s="8" t="str">
        <f t="shared" si="999"/>
        <v/>
      </c>
      <c r="BX203" s="8" t="str">
        <f t="shared" si="999"/>
        <v/>
      </c>
      <c r="BY203" s="8">
        <f t="shared" si="885"/>
        <v>0</v>
      </c>
      <c r="BZ203" s="8">
        <f t="shared" si="886"/>
        <v>0</v>
      </c>
      <c r="CA203" s="8"/>
      <c r="CB203" s="8" t="str">
        <f t="shared" ref="CB203:CD203" si="1000">CB96</f>
        <v>AAAAAAA</v>
      </c>
      <c r="CC203" s="8" t="str">
        <f t="shared" si="1000"/>
        <v/>
      </c>
      <c r="CD203" s="8" t="str">
        <f t="shared" si="1000"/>
        <v/>
      </c>
      <c r="CE203" s="8">
        <f t="shared" si="888"/>
        <v>0</v>
      </c>
      <c r="CF203" s="8">
        <f t="shared" si="889"/>
        <v>0</v>
      </c>
      <c r="CG203" s="8"/>
      <c r="CH203" s="8" t="str">
        <f t="shared" ref="CH203:CJ203" si="1001">CH96</f>
        <v>AAAAAAA</v>
      </c>
      <c r="CI203" s="8" t="str">
        <f t="shared" si="1001"/>
        <v/>
      </c>
      <c r="CJ203" s="8" t="str">
        <f t="shared" si="1001"/>
        <v/>
      </c>
      <c r="CK203" s="8">
        <f t="shared" si="891"/>
        <v>0</v>
      </c>
      <c r="CL203" s="8">
        <f t="shared" si="892"/>
        <v>0</v>
      </c>
      <c r="CO203" s="8" t="str">
        <f>Hidden!$CC79</f>
        <v/>
      </c>
      <c r="CP203">
        <f t="shared" si="893"/>
        <v>0</v>
      </c>
      <c r="CQ203">
        <f t="shared" si="894"/>
        <v>0</v>
      </c>
      <c r="CR203">
        <f t="shared" si="895"/>
        <v>0</v>
      </c>
      <c r="CS203">
        <f t="shared" si="896"/>
        <v>0</v>
      </c>
      <c r="CT203">
        <f t="shared" si="897"/>
        <v>0</v>
      </c>
      <c r="CU203">
        <f t="shared" si="898"/>
        <v>0</v>
      </c>
      <c r="CV203">
        <f t="shared" si="899"/>
        <v>0</v>
      </c>
      <c r="CW203">
        <f t="shared" si="900"/>
        <v>0</v>
      </c>
      <c r="CX203">
        <f t="shared" si="901"/>
        <v>0</v>
      </c>
      <c r="CY203">
        <f t="shared" si="902"/>
        <v>0</v>
      </c>
      <c r="DT203" s="77"/>
      <c r="DU203" s="8" t="str">
        <f t="shared" si="729"/>
        <v>AAAAAAAAA</v>
      </c>
      <c r="DV203" s="8" t="str">
        <f t="shared" si="730"/>
        <v/>
      </c>
      <c r="DW203" s="8" t="str">
        <f t="shared" si="731"/>
        <v/>
      </c>
      <c r="DX203" s="8">
        <f t="shared" si="732"/>
        <v>0</v>
      </c>
      <c r="DY203" s="8">
        <f t="shared" si="732"/>
        <v>0</v>
      </c>
      <c r="EA203" s="8" t="str">
        <f t="shared" si="733"/>
        <v>AAAAAAAAA</v>
      </c>
      <c r="EB203" s="8" t="str">
        <f t="shared" si="734"/>
        <v/>
      </c>
      <c r="EC203" s="8" t="str">
        <f t="shared" si="735"/>
        <v/>
      </c>
      <c r="ED203">
        <f t="shared" si="736"/>
        <v>0</v>
      </c>
      <c r="EE203">
        <f t="shared" si="736"/>
        <v>0</v>
      </c>
      <c r="EG203" s="8" t="str">
        <f t="shared" si="737"/>
        <v>AAAAAAAAA</v>
      </c>
      <c r="EH203" s="8" t="str">
        <f t="shared" si="738"/>
        <v/>
      </c>
      <c r="EI203" s="8" t="str">
        <f t="shared" si="739"/>
        <v/>
      </c>
      <c r="EJ203" s="8">
        <f t="shared" si="740"/>
        <v>0</v>
      </c>
      <c r="EK203" s="8">
        <f t="shared" si="740"/>
        <v>0</v>
      </c>
      <c r="EM203" s="8" t="str">
        <f t="shared" si="741"/>
        <v>AAAAAAAAA</v>
      </c>
      <c r="EN203" s="8" t="str">
        <f t="shared" si="742"/>
        <v/>
      </c>
      <c r="EO203" s="8" t="str">
        <f t="shared" si="743"/>
        <v/>
      </c>
      <c r="EP203" s="8">
        <f t="shared" si="744"/>
        <v>0</v>
      </c>
      <c r="EQ203" s="8">
        <f t="shared" si="744"/>
        <v>0</v>
      </c>
      <c r="ES203" s="8" t="str">
        <f t="shared" si="745"/>
        <v>AAAAAAAAA</v>
      </c>
      <c r="ET203" s="8" t="str">
        <f t="shared" si="746"/>
        <v/>
      </c>
      <c r="EU203" s="8" t="str">
        <f t="shared" si="747"/>
        <v/>
      </c>
      <c r="EV203" s="8">
        <f t="shared" si="748"/>
        <v>0</v>
      </c>
      <c r="EW203" s="8">
        <f t="shared" si="748"/>
        <v>0</v>
      </c>
      <c r="EY203" s="8" t="str">
        <f>Hidden!$CG91</f>
        <v/>
      </c>
      <c r="EZ203">
        <f t="shared" si="749"/>
        <v>0</v>
      </c>
      <c r="FA203">
        <f t="shared" si="750"/>
        <v>0</v>
      </c>
      <c r="FB203">
        <f t="shared" si="751"/>
        <v>0</v>
      </c>
      <c r="FC203">
        <f t="shared" si="752"/>
        <v>0</v>
      </c>
      <c r="FD203">
        <f t="shared" si="753"/>
        <v>0</v>
      </c>
      <c r="FE203">
        <f t="shared" si="754"/>
        <v>0</v>
      </c>
      <c r="FF203">
        <f t="shared" si="755"/>
        <v>0</v>
      </c>
      <c r="FG203">
        <f t="shared" si="756"/>
        <v>0</v>
      </c>
      <c r="FH203">
        <f t="shared" si="757"/>
        <v>0</v>
      </c>
      <c r="FI203">
        <f t="shared" si="758"/>
        <v>0</v>
      </c>
    </row>
    <row r="204" spans="1:165" x14ac:dyDescent="0.2">
      <c r="A204" s="8" t="str">
        <f t="shared" ref="A204:C204" si="1002">A97</f>
        <v>AAAAAAAA</v>
      </c>
      <c r="B204" s="8" t="str">
        <f t="shared" si="1002"/>
        <v/>
      </c>
      <c r="C204" s="8" t="str">
        <f t="shared" si="1002"/>
        <v/>
      </c>
      <c r="D204" s="8">
        <f t="shared" si="860"/>
        <v>0</v>
      </c>
      <c r="E204" s="8">
        <f t="shared" si="860"/>
        <v>0</v>
      </c>
      <c r="F204" s="8"/>
      <c r="G204" s="8" t="str">
        <f t="shared" ref="G204:I204" si="1003">G97</f>
        <v>AAAAAAAA</v>
      </c>
      <c r="H204" s="8" t="str">
        <f t="shared" si="1003"/>
        <v/>
      </c>
      <c r="I204" s="8" t="str">
        <f t="shared" si="1003"/>
        <v/>
      </c>
      <c r="J204" s="8">
        <f t="shared" si="862"/>
        <v>0</v>
      </c>
      <c r="K204" s="8">
        <f t="shared" si="862"/>
        <v>0</v>
      </c>
      <c r="L204" s="8"/>
      <c r="M204" s="8" t="str">
        <f t="shared" ref="M204:O204" si="1004">M97</f>
        <v>AAAAAAAA</v>
      </c>
      <c r="N204" s="8" t="str">
        <f t="shared" si="1004"/>
        <v/>
      </c>
      <c r="O204" s="8" t="str">
        <f t="shared" si="1004"/>
        <v/>
      </c>
      <c r="P204" s="8">
        <f t="shared" si="852"/>
        <v>0</v>
      </c>
      <c r="Q204" s="8">
        <f t="shared" si="852"/>
        <v>0</v>
      </c>
      <c r="R204" s="8"/>
      <c r="S204" s="8" t="str">
        <f t="shared" ref="S204:U204" si="1005">S97</f>
        <v>AAAAAAAA</v>
      </c>
      <c r="T204" s="8" t="str">
        <f t="shared" si="1005"/>
        <v/>
      </c>
      <c r="U204" s="8" t="str">
        <f t="shared" si="1005"/>
        <v/>
      </c>
      <c r="V204">
        <f t="shared" si="865"/>
        <v>0</v>
      </c>
      <c r="W204">
        <f t="shared" si="865"/>
        <v>0</v>
      </c>
      <c r="Y204" s="8" t="str">
        <f t="shared" si="866"/>
        <v>AAAAAAAA</v>
      </c>
      <c r="Z204" s="8"/>
      <c r="AB204">
        <f t="shared" si="867"/>
        <v>0</v>
      </c>
      <c r="AC204">
        <f t="shared" si="867"/>
        <v>0</v>
      </c>
      <c r="AE204" s="8" t="str">
        <f>Hidden!$CC80</f>
        <v/>
      </c>
      <c r="AF204">
        <f t="shared" si="868"/>
        <v>0</v>
      </c>
      <c r="AG204">
        <f t="shared" si="869"/>
        <v>0</v>
      </c>
      <c r="AH204">
        <f t="shared" si="870"/>
        <v>0</v>
      </c>
      <c r="AI204">
        <f t="shared" si="871"/>
        <v>0</v>
      </c>
      <c r="AJ204">
        <f t="shared" si="872"/>
        <v>0</v>
      </c>
      <c r="AK204">
        <f t="shared" si="873"/>
        <v>0</v>
      </c>
      <c r="AL204">
        <f t="shared" si="874"/>
        <v>0</v>
      </c>
      <c r="AM204">
        <f t="shared" si="875"/>
        <v>0</v>
      </c>
      <c r="AN204">
        <f t="shared" si="876"/>
        <v>0</v>
      </c>
      <c r="AO204">
        <f t="shared" si="877"/>
        <v>0</v>
      </c>
      <c r="BJ204" s="8" t="str">
        <f t="shared" ref="BJ204:BL204" si="1006">BJ97</f>
        <v>AAAAAAAA</v>
      </c>
      <c r="BK204" s="8" t="str">
        <f t="shared" si="1006"/>
        <v/>
      </c>
      <c r="BL204" s="8" t="str">
        <f t="shared" si="1006"/>
        <v/>
      </c>
      <c r="BM204" s="8">
        <f t="shared" si="879"/>
        <v>0</v>
      </c>
      <c r="BN204" s="8">
        <f t="shared" si="880"/>
        <v>0</v>
      </c>
      <c r="BO204" s="8"/>
      <c r="BP204" s="8" t="str">
        <f t="shared" ref="BP204:BR204" si="1007">BP97</f>
        <v>AAAAAAAA</v>
      </c>
      <c r="BQ204" s="8" t="str">
        <f t="shared" si="1007"/>
        <v/>
      </c>
      <c r="BR204" s="8" t="str">
        <f t="shared" si="1007"/>
        <v/>
      </c>
      <c r="BS204" s="8">
        <f t="shared" si="882"/>
        <v>0</v>
      </c>
      <c r="BT204" s="8">
        <f t="shared" si="883"/>
        <v>0</v>
      </c>
      <c r="BU204" s="8"/>
      <c r="BV204" s="8" t="str">
        <f t="shared" ref="BV204:BX204" si="1008">BV97</f>
        <v>AAAAAAAA</v>
      </c>
      <c r="BW204" s="8" t="str">
        <f t="shared" si="1008"/>
        <v/>
      </c>
      <c r="BX204" s="8" t="str">
        <f t="shared" si="1008"/>
        <v/>
      </c>
      <c r="BY204" s="8">
        <f t="shared" si="885"/>
        <v>0</v>
      </c>
      <c r="BZ204" s="8">
        <f t="shared" si="886"/>
        <v>0</v>
      </c>
      <c r="CA204" s="8"/>
      <c r="CB204" s="8" t="str">
        <f t="shared" ref="CB204:CD204" si="1009">CB97</f>
        <v>AAAAAAAA</v>
      </c>
      <c r="CC204" s="8" t="str">
        <f t="shared" si="1009"/>
        <v/>
      </c>
      <c r="CD204" s="8" t="str">
        <f t="shared" si="1009"/>
        <v/>
      </c>
      <c r="CE204" s="8">
        <f t="shared" si="888"/>
        <v>0</v>
      </c>
      <c r="CF204" s="8">
        <f t="shared" si="889"/>
        <v>0</v>
      </c>
      <c r="CG204" s="8"/>
      <c r="CH204" s="8" t="str">
        <f t="shared" ref="CH204:CJ204" si="1010">CH97</f>
        <v>AAAAAAAA</v>
      </c>
      <c r="CI204" s="8" t="str">
        <f t="shared" si="1010"/>
        <v/>
      </c>
      <c r="CJ204" s="8" t="str">
        <f t="shared" si="1010"/>
        <v/>
      </c>
      <c r="CK204" s="8">
        <f t="shared" si="891"/>
        <v>0</v>
      </c>
      <c r="CL204" s="8">
        <f t="shared" si="892"/>
        <v>0</v>
      </c>
      <c r="CO204" s="8" t="str">
        <f>Hidden!$CC80</f>
        <v/>
      </c>
      <c r="CP204">
        <f t="shared" si="893"/>
        <v>0</v>
      </c>
      <c r="CQ204">
        <f t="shared" si="894"/>
        <v>0</v>
      </c>
      <c r="CR204">
        <f t="shared" si="895"/>
        <v>0</v>
      </c>
      <c r="CS204">
        <f t="shared" si="896"/>
        <v>0</v>
      </c>
      <c r="CT204">
        <f t="shared" si="897"/>
        <v>0</v>
      </c>
      <c r="CU204">
        <f t="shared" si="898"/>
        <v>0</v>
      </c>
      <c r="CV204">
        <f t="shared" si="899"/>
        <v>0</v>
      </c>
      <c r="CW204">
        <f t="shared" si="900"/>
        <v>0</v>
      </c>
      <c r="CX204">
        <f t="shared" si="901"/>
        <v>0</v>
      </c>
      <c r="CY204">
        <f t="shared" si="902"/>
        <v>0</v>
      </c>
      <c r="DT204" s="77"/>
      <c r="DU204" s="8" t="str">
        <f t="shared" si="729"/>
        <v>AAAAAAAAAA</v>
      </c>
      <c r="DV204" s="8" t="str">
        <f t="shared" si="730"/>
        <v/>
      </c>
      <c r="DW204" s="8" t="str">
        <f t="shared" si="731"/>
        <v/>
      </c>
      <c r="DX204" s="8">
        <f t="shared" si="732"/>
        <v>0</v>
      </c>
      <c r="DY204" s="8">
        <f t="shared" si="732"/>
        <v>0</v>
      </c>
      <c r="EA204" s="8" t="str">
        <f t="shared" si="733"/>
        <v>AAAAAAAAAA</v>
      </c>
      <c r="EB204" s="8" t="str">
        <f t="shared" si="734"/>
        <v/>
      </c>
      <c r="EC204" s="8" t="str">
        <f t="shared" si="735"/>
        <v/>
      </c>
      <c r="ED204">
        <f t="shared" si="736"/>
        <v>0</v>
      </c>
      <c r="EE204">
        <f t="shared" si="736"/>
        <v>0</v>
      </c>
      <c r="EG204" s="8" t="str">
        <f t="shared" si="737"/>
        <v>AAAAAAAAAA</v>
      </c>
      <c r="EH204" s="8" t="str">
        <f t="shared" si="738"/>
        <v/>
      </c>
      <c r="EI204" s="8" t="str">
        <f t="shared" si="739"/>
        <v/>
      </c>
      <c r="EJ204" s="8">
        <f t="shared" si="740"/>
        <v>0</v>
      </c>
      <c r="EK204" s="8">
        <f t="shared" si="740"/>
        <v>0</v>
      </c>
      <c r="EM204" s="8" t="str">
        <f t="shared" si="741"/>
        <v>AAAAAAAAAA</v>
      </c>
      <c r="EN204" s="8" t="str">
        <f t="shared" si="742"/>
        <v/>
      </c>
      <c r="EO204" s="8" t="str">
        <f t="shared" si="743"/>
        <v/>
      </c>
      <c r="EP204" s="8">
        <f t="shared" si="744"/>
        <v>0</v>
      </c>
      <c r="EQ204" s="8">
        <f t="shared" si="744"/>
        <v>0</v>
      </c>
      <c r="ES204" s="8" t="str">
        <f t="shared" si="745"/>
        <v>AAAAAAAAAA</v>
      </c>
      <c r="ET204" s="8" t="str">
        <f t="shared" si="746"/>
        <v/>
      </c>
      <c r="EU204" s="8" t="str">
        <f t="shared" si="747"/>
        <v/>
      </c>
      <c r="EV204" s="8">
        <f t="shared" si="748"/>
        <v>0</v>
      </c>
      <c r="EW204" s="8">
        <f t="shared" si="748"/>
        <v>0</v>
      </c>
      <c r="EY204" s="8" t="str">
        <f>Hidden!$CG92</f>
        <v/>
      </c>
      <c r="EZ204">
        <f t="shared" si="749"/>
        <v>0</v>
      </c>
      <c r="FA204">
        <f t="shared" si="750"/>
        <v>0</v>
      </c>
      <c r="FB204">
        <f t="shared" si="751"/>
        <v>0</v>
      </c>
      <c r="FC204">
        <f t="shared" si="752"/>
        <v>0</v>
      </c>
      <c r="FD204">
        <f t="shared" si="753"/>
        <v>0</v>
      </c>
      <c r="FE204">
        <f t="shared" si="754"/>
        <v>0</v>
      </c>
      <c r="FF204">
        <f t="shared" si="755"/>
        <v>0</v>
      </c>
      <c r="FG204">
        <f t="shared" si="756"/>
        <v>0</v>
      </c>
      <c r="FH204">
        <f t="shared" si="757"/>
        <v>0</v>
      </c>
      <c r="FI204">
        <f t="shared" si="758"/>
        <v>0</v>
      </c>
    </row>
    <row r="205" spans="1:165" x14ac:dyDescent="0.2">
      <c r="A205" s="8" t="str">
        <f t="shared" ref="A205:C205" si="1011">A98</f>
        <v>AAAAAAAAA</v>
      </c>
      <c r="B205" s="8" t="str">
        <f t="shared" si="1011"/>
        <v/>
      </c>
      <c r="C205" s="8" t="str">
        <f t="shared" si="1011"/>
        <v/>
      </c>
      <c r="D205" s="8">
        <f t="shared" si="860"/>
        <v>0</v>
      </c>
      <c r="E205" s="8">
        <f t="shared" si="860"/>
        <v>0</v>
      </c>
      <c r="F205" s="8"/>
      <c r="G205" s="8" t="str">
        <f t="shared" ref="G205:I205" si="1012">G98</f>
        <v>AAAAAAAAA</v>
      </c>
      <c r="H205" s="8" t="str">
        <f t="shared" si="1012"/>
        <v/>
      </c>
      <c r="I205" s="8" t="str">
        <f t="shared" si="1012"/>
        <v/>
      </c>
      <c r="J205" s="8">
        <f t="shared" si="862"/>
        <v>0</v>
      </c>
      <c r="K205" s="8">
        <f t="shared" si="862"/>
        <v>0</v>
      </c>
      <c r="L205" s="8"/>
      <c r="M205" s="8" t="str">
        <f t="shared" ref="M205:O205" si="1013">M98</f>
        <v>AAAAAAAAA</v>
      </c>
      <c r="N205" s="8" t="str">
        <f t="shared" si="1013"/>
        <v/>
      </c>
      <c r="O205" s="8" t="str">
        <f t="shared" si="1013"/>
        <v/>
      </c>
      <c r="P205" s="8">
        <f t="shared" si="852"/>
        <v>0</v>
      </c>
      <c r="Q205" s="8">
        <f t="shared" si="852"/>
        <v>0</v>
      </c>
      <c r="R205" s="8"/>
      <c r="S205" s="8" t="str">
        <f t="shared" ref="S205:U205" si="1014">S98</f>
        <v>AAAAAAAAA</v>
      </c>
      <c r="T205" s="8" t="str">
        <f t="shared" si="1014"/>
        <v/>
      </c>
      <c r="U205" s="8" t="str">
        <f t="shared" si="1014"/>
        <v/>
      </c>
      <c r="V205">
        <f t="shared" si="865"/>
        <v>0</v>
      </c>
      <c r="W205">
        <f t="shared" si="865"/>
        <v>0</v>
      </c>
      <c r="Y205" s="8" t="str">
        <f t="shared" si="866"/>
        <v>AAAAAAAAA</v>
      </c>
      <c r="Z205" s="8"/>
      <c r="AB205">
        <f t="shared" si="867"/>
        <v>0</v>
      </c>
      <c r="AC205">
        <f t="shared" si="867"/>
        <v>0</v>
      </c>
      <c r="AE205" s="8" t="str">
        <f>Hidden!$CC81</f>
        <v/>
      </c>
      <c r="AF205">
        <f t="shared" si="868"/>
        <v>0</v>
      </c>
      <c r="AG205">
        <f t="shared" si="869"/>
        <v>0</v>
      </c>
      <c r="AH205">
        <f t="shared" si="870"/>
        <v>0</v>
      </c>
      <c r="AI205">
        <f t="shared" si="871"/>
        <v>0</v>
      </c>
      <c r="AJ205">
        <f t="shared" si="872"/>
        <v>0</v>
      </c>
      <c r="AK205">
        <f t="shared" si="873"/>
        <v>0</v>
      </c>
      <c r="AL205">
        <f t="shared" si="874"/>
        <v>0</v>
      </c>
      <c r="AM205">
        <f t="shared" si="875"/>
        <v>0</v>
      </c>
      <c r="AN205">
        <f t="shared" si="876"/>
        <v>0</v>
      </c>
      <c r="AO205">
        <f t="shared" si="877"/>
        <v>0</v>
      </c>
      <c r="BJ205" s="8" t="str">
        <f t="shared" ref="BJ205:BL205" si="1015">BJ98</f>
        <v>AAAAAAAAA</v>
      </c>
      <c r="BK205" s="8" t="str">
        <f t="shared" si="1015"/>
        <v/>
      </c>
      <c r="BL205" s="8" t="str">
        <f t="shared" si="1015"/>
        <v/>
      </c>
      <c r="BM205" s="8">
        <f t="shared" si="879"/>
        <v>0</v>
      </c>
      <c r="BN205" s="8">
        <f t="shared" si="880"/>
        <v>0</v>
      </c>
      <c r="BO205" s="8"/>
      <c r="BP205" s="8" t="str">
        <f t="shared" ref="BP205:BR205" si="1016">BP98</f>
        <v>AAAAAAAAA</v>
      </c>
      <c r="BQ205" s="8" t="str">
        <f t="shared" si="1016"/>
        <v/>
      </c>
      <c r="BR205" s="8" t="str">
        <f t="shared" si="1016"/>
        <v/>
      </c>
      <c r="BS205" s="8">
        <f t="shared" si="882"/>
        <v>0</v>
      </c>
      <c r="BT205" s="8">
        <f t="shared" si="883"/>
        <v>0</v>
      </c>
      <c r="BU205" s="8"/>
      <c r="BV205" s="8" t="str">
        <f t="shared" ref="BV205:BX205" si="1017">BV98</f>
        <v>AAAAAAAAA</v>
      </c>
      <c r="BW205" s="8" t="str">
        <f t="shared" si="1017"/>
        <v/>
      </c>
      <c r="BX205" s="8" t="str">
        <f t="shared" si="1017"/>
        <v/>
      </c>
      <c r="BY205" s="8">
        <f t="shared" si="885"/>
        <v>0</v>
      </c>
      <c r="BZ205" s="8">
        <f t="shared" si="886"/>
        <v>0</v>
      </c>
      <c r="CA205" s="8"/>
      <c r="CB205" s="8" t="str">
        <f t="shared" ref="CB205:CD205" si="1018">CB98</f>
        <v>AAAAAAAAA</v>
      </c>
      <c r="CC205" s="8" t="str">
        <f t="shared" si="1018"/>
        <v/>
      </c>
      <c r="CD205" s="8" t="str">
        <f t="shared" si="1018"/>
        <v/>
      </c>
      <c r="CE205" s="8">
        <f t="shared" si="888"/>
        <v>0</v>
      </c>
      <c r="CF205" s="8">
        <f t="shared" si="889"/>
        <v>0</v>
      </c>
      <c r="CG205" s="8"/>
      <c r="CH205" s="8" t="str">
        <f t="shared" ref="CH205:CJ205" si="1019">CH98</f>
        <v>AAAAAAAAA</v>
      </c>
      <c r="CI205" s="8" t="str">
        <f t="shared" si="1019"/>
        <v/>
      </c>
      <c r="CJ205" s="8" t="str">
        <f t="shared" si="1019"/>
        <v/>
      </c>
      <c r="CK205" s="8">
        <f t="shared" si="891"/>
        <v>0</v>
      </c>
      <c r="CL205" s="8">
        <f t="shared" si="892"/>
        <v>0</v>
      </c>
      <c r="CO205" s="8" t="str">
        <f>Hidden!$CC81</f>
        <v/>
      </c>
      <c r="CP205">
        <f t="shared" si="893"/>
        <v>0</v>
      </c>
      <c r="CQ205">
        <f t="shared" si="894"/>
        <v>0</v>
      </c>
      <c r="CR205">
        <f t="shared" si="895"/>
        <v>0</v>
      </c>
      <c r="CS205">
        <f t="shared" si="896"/>
        <v>0</v>
      </c>
      <c r="CT205">
        <f t="shared" si="897"/>
        <v>0</v>
      </c>
      <c r="CU205">
        <f t="shared" si="898"/>
        <v>0</v>
      </c>
      <c r="CV205">
        <f t="shared" si="899"/>
        <v>0</v>
      </c>
      <c r="CW205">
        <f t="shared" si="900"/>
        <v>0</v>
      </c>
      <c r="CX205">
        <f t="shared" si="901"/>
        <v>0</v>
      </c>
      <c r="CY205">
        <f t="shared" si="902"/>
        <v>0</v>
      </c>
      <c r="DT205" s="77"/>
      <c r="DU205" s="8" t="str">
        <f t="shared" si="729"/>
        <v>A</v>
      </c>
      <c r="DV205" s="8" t="str">
        <f t="shared" si="730"/>
        <v/>
      </c>
      <c r="DW205" s="8" t="str">
        <f t="shared" si="731"/>
        <v/>
      </c>
      <c r="DX205" s="8">
        <f t="shared" si="732"/>
        <v>0</v>
      </c>
      <c r="DY205" s="8">
        <f t="shared" si="732"/>
        <v>0</v>
      </c>
      <c r="EA205" s="8" t="str">
        <f t="shared" si="733"/>
        <v>A</v>
      </c>
      <c r="EB205" s="8" t="str">
        <f t="shared" si="734"/>
        <v/>
      </c>
      <c r="EC205" s="8" t="str">
        <f t="shared" si="735"/>
        <v/>
      </c>
      <c r="ED205">
        <f t="shared" si="736"/>
        <v>0</v>
      </c>
      <c r="EE205">
        <f t="shared" si="736"/>
        <v>0</v>
      </c>
      <c r="EG205" s="8" t="str">
        <f t="shared" si="737"/>
        <v>A</v>
      </c>
      <c r="EH205" s="8" t="str">
        <f t="shared" si="738"/>
        <v/>
      </c>
      <c r="EI205" s="8" t="str">
        <f t="shared" si="739"/>
        <v/>
      </c>
      <c r="EJ205" s="8">
        <f t="shared" si="740"/>
        <v>0</v>
      </c>
      <c r="EK205" s="8">
        <f t="shared" si="740"/>
        <v>0</v>
      </c>
      <c r="EM205" s="8" t="str">
        <f t="shared" si="741"/>
        <v>A</v>
      </c>
      <c r="EN205" s="8" t="str">
        <f t="shared" si="742"/>
        <v/>
      </c>
      <c r="EO205" s="8" t="str">
        <f t="shared" si="743"/>
        <v/>
      </c>
      <c r="EP205" s="8">
        <f t="shared" si="744"/>
        <v>0</v>
      </c>
      <c r="EQ205" s="8">
        <f t="shared" si="744"/>
        <v>0</v>
      </c>
      <c r="ES205" s="8" t="str">
        <f t="shared" si="745"/>
        <v>A</v>
      </c>
      <c r="ET205" s="8" t="str">
        <f t="shared" si="746"/>
        <v/>
      </c>
      <c r="EU205" s="8" t="str">
        <f t="shared" si="747"/>
        <v/>
      </c>
      <c r="EV205" s="8">
        <f t="shared" si="748"/>
        <v>0</v>
      </c>
      <c r="EW205" s="8">
        <f t="shared" si="748"/>
        <v>0</v>
      </c>
      <c r="EY205" s="8" t="str">
        <f>Hidden!$CG93</f>
        <v/>
      </c>
      <c r="EZ205">
        <f t="shared" si="749"/>
        <v>0</v>
      </c>
      <c r="FA205">
        <f t="shared" si="750"/>
        <v>0</v>
      </c>
      <c r="FB205">
        <f t="shared" si="751"/>
        <v>0</v>
      </c>
      <c r="FC205">
        <f t="shared" si="752"/>
        <v>0</v>
      </c>
      <c r="FD205">
        <f t="shared" si="753"/>
        <v>0</v>
      </c>
      <c r="FE205">
        <f t="shared" si="754"/>
        <v>0</v>
      </c>
      <c r="FF205">
        <f t="shared" si="755"/>
        <v>0</v>
      </c>
      <c r="FG205">
        <f t="shared" si="756"/>
        <v>0</v>
      </c>
      <c r="FH205">
        <f t="shared" si="757"/>
        <v>0</v>
      </c>
      <c r="FI205">
        <f t="shared" si="758"/>
        <v>0</v>
      </c>
    </row>
    <row r="206" spans="1:165" x14ac:dyDescent="0.2">
      <c r="A206" s="8" t="str">
        <f t="shared" ref="A206:C206" si="1020">A99</f>
        <v>AAAAAAAAAA</v>
      </c>
      <c r="B206" s="8" t="str">
        <f t="shared" si="1020"/>
        <v/>
      </c>
      <c r="C206" s="8" t="str">
        <f t="shared" si="1020"/>
        <v/>
      </c>
      <c r="D206" s="8">
        <f t="shared" si="860"/>
        <v>0</v>
      </c>
      <c r="E206" s="8">
        <f t="shared" si="860"/>
        <v>0</v>
      </c>
      <c r="F206" s="8"/>
      <c r="G206" s="8" t="str">
        <f t="shared" ref="G206:I206" si="1021">G99</f>
        <v>AAAAAAAAAA</v>
      </c>
      <c r="H206" s="8" t="str">
        <f t="shared" si="1021"/>
        <v/>
      </c>
      <c r="I206" s="8" t="str">
        <f t="shared" si="1021"/>
        <v/>
      </c>
      <c r="J206" s="8">
        <f t="shared" si="862"/>
        <v>0</v>
      </c>
      <c r="K206" s="8">
        <f t="shared" si="862"/>
        <v>0</v>
      </c>
      <c r="L206" s="8"/>
      <c r="M206" s="8" t="str">
        <f t="shared" ref="M206:O206" si="1022">M99</f>
        <v>AAAAAAAAAA</v>
      </c>
      <c r="N206" s="8" t="str">
        <f t="shared" si="1022"/>
        <v/>
      </c>
      <c r="O206" s="8" t="str">
        <f t="shared" si="1022"/>
        <v/>
      </c>
      <c r="P206" s="8">
        <f t="shared" si="852"/>
        <v>0</v>
      </c>
      <c r="Q206" s="8">
        <f t="shared" si="852"/>
        <v>0</v>
      </c>
      <c r="R206" s="8"/>
      <c r="S206" s="8" t="str">
        <f t="shared" ref="S206:U206" si="1023">S99</f>
        <v>AAAAAAAAAA</v>
      </c>
      <c r="T206" s="8" t="str">
        <f t="shared" si="1023"/>
        <v/>
      </c>
      <c r="U206" s="8" t="str">
        <f t="shared" si="1023"/>
        <v/>
      </c>
      <c r="V206">
        <f t="shared" si="865"/>
        <v>0</v>
      </c>
      <c r="W206">
        <f t="shared" si="865"/>
        <v>0</v>
      </c>
      <c r="Y206" s="8" t="str">
        <f t="shared" si="866"/>
        <v>AAAAAAAAAA</v>
      </c>
      <c r="Z206" s="8"/>
      <c r="AB206">
        <f t="shared" si="867"/>
        <v>0</v>
      </c>
      <c r="AC206">
        <f t="shared" si="867"/>
        <v>0</v>
      </c>
      <c r="AE206" s="8" t="str">
        <f>Hidden!$CC82</f>
        <v/>
      </c>
      <c r="AF206">
        <f t="shared" si="868"/>
        <v>0</v>
      </c>
      <c r="AG206">
        <f t="shared" si="869"/>
        <v>0</v>
      </c>
      <c r="AH206">
        <f t="shared" si="870"/>
        <v>0</v>
      </c>
      <c r="AI206">
        <f t="shared" si="871"/>
        <v>0</v>
      </c>
      <c r="AJ206">
        <f t="shared" si="872"/>
        <v>0</v>
      </c>
      <c r="AK206">
        <f t="shared" si="873"/>
        <v>0</v>
      </c>
      <c r="AL206">
        <f t="shared" si="874"/>
        <v>0</v>
      </c>
      <c r="AM206">
        <f t="shared" si="875"/>
        <v>0</v>
      </c>
      <c r="AN206">
        <f t="shared" si="876"/>
        <v>0</v>
      </c>
      <c r="AO206">
        <f t="shared" si="877"/>
        <v>0</v>
      </c>
      <c r="BJ206" s="8" t="str">
        <f t="shared" ref="BJ206:BL206" si="1024">BJ99</f>
        <v>AAAAAAAAAA</v>
      </c>
      <c r="BK206" s="8" t="str">
        <f t="shared" si="1024"/>
        <v/>
      </c>
      <c r="BL206" s="8" t="str">
        <f t="shared" si="1024"/>
        <v/>
      </c>
      <c r="BM206" s="8">
        <f t="shared" si="879"/>
        <v>0</v>
      </c>
      <c r="BN206" s="8">
        <f t="shared" si="880"/>
        <v>0</v>
      </c>
      <c r="BO206" s="8"/>
      <c r="BP206" s="8" t="str">
        <f t="shared" ref="BP206:BR206" si="1025">BP99</f>
        <v>AAAAAAAAAA</v>
      </c>
      <c r="BQ206" s="8" t="str">
        <f t="shared" si="1025"/>
        <v/>
      </c>
      <c r="BR206" s="8" t="str">
        <f t="shared" si="1025"/>
        <v/>
      </c>
      <c r="BS206" s="8">
        <f t="shared" si="882"/>
        <v>0</v>
      </c>
      <c r="BT206" s="8">
        <f t="shared" si="883"/>
        <v>0</v>
      </c>
      <c r="BU206" s="8"/>
      <c r="BV206" s="8" t="str">
        <f t="shared" ref="BV206:BX206" si="1026">BV99</f>
        <v>AAAAAAAAAA</v>
      </c>
      <c r="BW206" s="8" t="str">
        <f t="shared" si="1026"/>
        <v/>
      </c>
      <c r="BX206" s="8" t="str">
        <f t="shared" si="1026"/>
        <v/>
      </c>
      <c r="BY206" s="8">
        <f t="shared" si="885"/>
        <v>0</v>
      </c>
      <c r="BZ206" s="8">
        <f t="shared" si="886"/>
        <v>0</v>
      </c>
      <c r="CA206" s="8"/>
      <c r="CB206" s="8" t="str">
        <f t="shared" ref="CB206:CD206" si="1027">CB99</f>
        <v>AAAAAAAAAA</v>
      </c>
      <c r="CC206" s="8" t="str">
        <f t="shared" si="1027"/>
        <v/>
      </c>
      <c r="CD206" s="8" t="str">
        <f t="shared" si="1027"/>
        <v/>
      </c>
      <c r="CE206" s="8">
        <f t="shared" si="888"/>
        <v>0</v>
      </c>
      <c r="CF206" s="8">
        <f t="shared" si="889"/>
        <v>0</v>
      </c>
      <c r="CG206" s="8"/>
      <c r="CH206" s="8" t="str">
        <f t="shared" ref="CH206:CJ206" si="1028">CH99</f>
        <v>AAAAAAAAAA</v>
      </c>
      <c r="CI206" s="8" t="str">
        <f t="shared" si="1028"/>
        <v/>
      </c>
      <c r="CJ206" s="8" t="str">
        <f t="shared" si="1028"/>
        <v/>
      </c>
      <c r="CK206" s="8">
        <f t="shared" si="891"/>
        <v>0</v>
      </c>
      <c r="CL206" s="8">
        <f t="shared" si="892"/>
        <v>0</v>
      </c>
      <c r="CO206" s="8" t="str">
        <f>Hidden!$CC82</f>
        <v/>
      </c>
      <c r="CP206">
        <f t="shared" si="893"/>
        <v>0</v>
      </c>
      <c r="CQ206">
        <f t="shared" si="894"/>
        <v>0</v>
      </c>
      <c r="CR206">
        <f t="shared" si="895"/>
        <v>0</v>
      </c>
      <c r="CS206">
        <f t="shared" si="896"/>
        <v>0</v>
      </c>
      <c r="CT206">
        <f t="shared" si="897"/>
        <v>0</v>
      </c>
      <c r="CU206">
        <f t="shared" si="898"/>
        <v>0</v>
      </c>
      <c r="CV206">
        <f t="shared" si="899"/>
        <v>0</v>
      </c>
      <c r="CW206">
        <f t="shared" si="900"/>
        <v>0</v>
      </c>
      <c r="CX206">
        <f t="shared" si="901"/>
        <v>0</v>
      </c>
      <c r="CY206">
        <f t="shared" si="902"/>
        <v>0</v>
      </c>
      <c r="DT206" s="77"/>
      <c r="DU206" s="8" t="str">
        <f t="shared" si="729"/>
        <v>AA</v>
      </c>
      <c r="DV206" s="8" t="str">
        <f t="shared" si="730"/>
        <v/>
      </c>
      <c r="DW206" s="8" t="str">
        <f t="shared" si="731"/>
        <v/>
      </c>
      <c r="DX206" s="8">
        <f t="shared" si="732"/>
        <v>0</v>
      </c>
      <c r="DY206" s="8">
        <f t="shared" si="732"/>
        <v>0</v>
      </c>
      <c r="EA206" s="8" t="str">
        <f t="shared" si="733"/>
        <v>AA</v>
      </c>
      <c r="EB206" s="8" t="str">
        <f t="shared" si="734"/>
        <v/>
      </c>
      <c r="EC206" s="8" t="str">
        <f t="shared" si="735"/>
        <v/>
      </c>
      <c r="ED206">
        <f t="shared" si="736"/>
        <v>0</v>
      </c>
      <c r="EE206">
        <f t="shared" si="736"/>
        <v>0</v>
      </c>
      <c r="EG206" s="8" t="str">
        <f t="shared" si="737"/>
        <v>AA</v>
      </c>
      <c r="EH206" s="8" t="str">
        <f t="shared" si="738"/>
        <v/>
      </c>
      <c r="EI206" s="8" t="str">
        <f t="shared" si="739"/>
        <v/>
      </c>
      <c r="EJ206" s="8">
        <f t="shared" si="740"/>
        <v>0</v>
      </c>
      <c r="EK206" s="8">
        <f t="shared" si="740"/>
        <v>0</v>
      </c>
      <c r="EM206" s="8" t="str">
        <f t="shared" si="741"/>
        <v>AA</v>
      </c>
      <c r="EN206" s="8" t="str">
        <f t="shared" si="742"/>
        <v/>
      </c>
      <c r="EO206" s="8" t="str">
        <f t="shared" si="743"/>
        <v/>
      </c>
      <c r="EP206" s="8">
        <f t="shared" si="744"/>
        <v>0</v>
      </c>
      <c r="EQ206" s="8">
        <f t="shared" si="744"/>
        <v>0</v>
      </c>
      <c r="ES206" s="8" t="str">
        <f t="shared" si="745"/>
        <v>AA</v>
      </c>
      <c r="ET206" s="8" t="str">
        <f t="shared" si="746"/>
        <v/>
      </c>
      <c r="EU206" s="8" t="str">
        <f t="shared" si="747"/>
        <v/>
      </c>
      <c r="EV206" s="8">
        <f t="shared" si="748"/>
        <v>0</v>
      </c>
      <c r="EW206" s="8">
        <f t="shared" si="748"/>
        <v>0</v>
      </c>
      <c r="EY206" s="8" t="str">
        <f>Hidden!$CG94</f>
        <v/>
      </c>
      <c r="EZ206">
        <f t="shared" si="749"/>
        <v>0</v>
      </c>
      <c r="FA206">
        <f t="shared" si="750"/>
        <v>0</v>
      </c>
      <c r="FB206">
        <f t="shared" si="751"/>
        <v>0</v>
      </c>
      <c r="FC206">
        <f t="shared" si="752"/>
        <v>0</v>
      </c>
      <c r="FD206">
        <f t="shared" si="753"/>
        <v>0</v>
      </c>
      <c r="FE206">
        <f t="shared" si="754"/>
        <v>0</v>
      </c>
      <c r="FF206">
        <f t="shared" si="755"/>
        <v>0</v>
      </c>
      <c r="FG206">
        <f t="shared" si="756"/>
        <v>0</v>
      </c>
      <c r="FH206">
        <f t="shared" si="757"/>
        <v>0</v>
      </c>
      <c r="FI206">
        <f t="shared" si="758"/>
        <v>0</v>
      </c>
    </row>
    <row r="207" spans="1:165" x14ac:dyDescent="0.2">
      <c r="A207" s="8" t="str">
        <f t="shared" ref="A207:C207" si="1029">A100</f>
        <v>A</v>
      </c>
      <c r="B207" s="8" t="str">
        <f t="shared" si="1029"/>
        <v/>
      </c>
      <c r="C207" s="8" t="str">
        <f t="shared" si="1029"/>
        <v/>
      </c>
      <c r="D207" s="8">
        <f t="shared" si="860"/>
        <v>0</v>
      </c>
      <c r="E207" s="8">
        <f t="shared" si="860"/>
        <v>0</v>
      </c>
      <c r="F207" s="8"/>
      <c r="G207" s="8" t="str">
        <f t="shared" ref="G207:I207" si="1030">G100</f>
        <v>A</v>
      </c>
      <c r="H207" s="8" t="str">
        <f t="shared" si="1030"/>
        <v/>
      </c>
      <c r="I207" s="8" t="str">
        <f t="shared" si="1030"/>
        <v/>
      </c>
      <c r="J207" s="8">
        <f t="shared" si="862"/>
        <v>0</v>
      </c>
      <c r="K207" s="8">
        <f t="shared" si="862"/>
        <v>0</v>
      </c>
      <c r="L207" s="8"/>
      <c r="M207" s="8" t="str">
        <f t="shared" ref="M207:O207" si="1031">M100</f>
        <v>A</v>
      </c>
      <c r="N207" s="8" t="str">
        <f t="shared" si="1031"/>
        <v/>
      </c>
      <c r="O207" s="8" t="str">
        <f t="shared" si="1031"/>
        <v/>
      </c>
      <c r="P207" s="8">
        <f t="shared" si="852"/>
        <v>0</v>
      </c>
      <c r="Q207" s="8">
        <f t="shared" si="852"/>
        <v>0</v>
      </c>
      <c r="R207" s="8"/>
      <c r="S207" s="8" t="str">
        <f t="shared" ref="S207:U207" si="1032">S100</f>
        <v>A</v>
      </c>
      <c r="T207" s="8" t="str">
        <f t="shared" si="1032"/>
        <v/>
      </c>
      <c r="U207" s="8" t="str">
        <f t="shared" si="1032"/>
        <v/>
      </c>
      <c r="V207">
        <f t="shared" si="865"/>
        <v>0</v>
      </c>
      <c r="W207">
        <f t="shared" si="865"/>
        <v>0</v>
      </c>
      <c r="Y207" s="8" t="str">
        <f t="shared" si="866"/>
        <v>A</v>
      </c>
      <c r="Z207" s="8"/>
      <c r="AB207">
        <f t="shared" si="867"/>
        <v>0</v>
      </c>
      <c r="AC207">
        <f t="shared" si="867"/>
        <v>0</v>
      </c>
      <c r="AE207" s="8" t="str">
        <f>Hidden!$CC83</f>
        <v/>
      </c>
      <c r="AF207">
        <f t="shared" si="868"/>
        <v>0</v>
      </c>
      <c r="AG207">
        <f t="shared" si="869"/>
        <v>0</v>
      </c>
      <c r="AH207">
        <f t="shared" si="870"/>
        <v>0</v>
      </c>
      <c r="AI207">
        <f t="shared" si="871"/>
        <v>0</v>
      </c>
      <c r="AJ207">
        <f t="shared" si="872"/>
        <v>0</v>
      </c>
      <c r="AK207">
        <f t="shared" si="873"/>
        <v>0</v>
      </c>
      <c r="AL207">
        <f t="shared" si="874"/>
        <v>0</v>
      </c>
      <c r="AM207">
        <f t="shared" si="875"/>
        <v>0</v>
      </c>
      <c r="AN207">
        <f t="shared" si="876"/>
        <v>0</v>
      </c>
      <c r="AO207">
        <f t="shared" si="877"/>
        <v>0</v>
      </c>
      <c r="BJ207" s="8" t="str">
        <f t="shared" ref="BJ207:BL207" si="1033">BJ100</f>
        <v>A</v>
      </c>
      <c r="BK207" s="8" t="str">
        <f t="shared" si="1033"/>
        <v/>
      </c>
      <c r="BL207" s="8" t="str">
        <f t="shared" si="1033"/>
        <v/>
      </c>
      <c r="BM207" s="8">
        <f t="shared" si="879"/>
        <v>0</v>
      </c>
      <c r="BN207" s="8">
        <f t="shared" si="880"/>
        <v>0</v>
      </c>
      <c r="BO207" s="8"/>
      <c r="BP207" s="8" t="str">
        <f t="shared" ref="BP207:BR207" si="1034">BP100</f>
        <v>A</v>
      </c>
      <c r="BQ207" s="8" t="str">
        <f t="shared" si="1034"/>
        <v/>
      </c>
      <c r="BR207" s="8" t="str">
        <f t="shared" si="1034"/>
        <v/>
      </c>
      <c r="BS207" s="8">
        <f t="shared" si="882"/>
        <v>0</v>
      </c>
      <c r="BT207" s="8">
        <f t="shared" si="883"/>
        <v>0</v>
      </c>
      <c r="BU207" s="8"/>
      <c r="BV207" s="8" t="str">
        <f t="shared" ref="BV207:BX207" si="1035">BV100</f>
        <v>A</v>
      </c>
      <c r="BW207" s="8" t="str">
        <f t="shared" si="1035"/>
        <v/>
      </c>
      <c r="BX207" s="8" t="str">
        <f t="shared" si="1035"/>
        <v/>
      </c>
      <c r="BY207" s="8">
        <f t="shared" si="885"/>
        <v>0</v>
      </c>
      <c r="BZ207" s="8">
        <f t="shared" si="886"/>
        <v>0</v>
      </c>
      <c r="CA207" s="8"/>
      <c r="CB207" s="8" t="str">
        <f t="shared" ref="CB207:CD207" si="1036">CB100</f>
        <v>A</v>
      </c>
      <c r="CC207" s="8" t="str">
        <f t="shared" si="1036"/>
        <v/>
      </c>
      <c r="CD207" s="8" t="str">
        <f t="shared" si="1036"/>
        <v/>
      </c>
      <c r="CE207" s="8">
        <f t="shared" si="888"/>
        <v>0</v>
      </c>
      <c r="CF207" s="8">
        <f t="shared" si="889"/>
        <v>0</v>
      </c>
      <c r="CG207" s="8"/>
      <c r="CH207" s="8" t="str">
        <f t="shared" ref="CH207:CJ207" si="1037">CH100</f>
        <v>A</v>
      </c>
      <c r="CI207" s="8" t="str">
        <f t="shared" si="1037"/>
        <v/>
      </c>
      <c r="CJ207" s="8" t="str">
        <f t="shared" si="1037"/>
        <v/>
      </c>
      <c r="CK207" s="8">
        <f t="shared" si="891"/>
        <v>0</v>
      </c>
      <c r="CL207" s="8">
        <f t="shared" si="892"/>
        <v>0</v>
      </c>
      <c r="CO207" s="8" t="str">
        <f>Hidden!$CC83</f>
        <v/>
      </c>
      <c r="CP207">
        <f t="shared" si="893"/>
        <v>0</v>
      </c>
      <c r="CQ207">
        <f t="shared" si="894"/>
        <v>0</v>
      </c>
      <c r="CR207">
        <f t="shared" si="895"/>
        <v>0</v>
      </c>
      <c r="CS207">
        <f t="shared" si="896"/>
        <v>0</v>
      </c>
      <c r="CT207">
        <f t="shared" si="897"/>
        <v>0</v>
      </c>
      <c r="CU207">
        <f t="shared" si="898"/>
        <v>0</v>
      </c>
      <c r="CV207">
        <f t="shared" si="899"/>
        <v>0</v>
      </c>
      <c r="CW207">
        <f t="shared" si="900"/>
        <v>0</v>
      </c>
      <c r="CX207">
        <f t="shared" si="901"/>
        <v>0</v>
      </c>
      <c r="CY207">
        <f t="shared" si="902"/>
        <v>0</v>
      </c>
      <c r="DT207" s="77"/>
      <c r="DU207" s="8" t="str">
        <f t="shared" si="729"/>
        <v>AAA</v>
      </c>
      <c r="DV207" s="8" t="str">
        <f t="shared" si="730"/>
        <v/>
      </c>
      <c r="DW207" s="8" t="str">
        <f t="shared" si="731"/>
        <v/>
      </c>
      <c r="DX207" s="8">
        <f t="shared" si="732"/>
        <v>0</v>
      </c>
      <c r="DY207" s="8">
        <f t="shared" si="732"/>
        <v>0</v>
      </c>
      <c r="EA207" s="8" t="str">
        <f t="shared" si="733"/>
        <v>AAA</v>
      </c>
      <c r="EB207" s="8" t="str">
        <f t="shared" si="734"/>
        <v/>
      </c>
      <c r="EC207" s="8" t="str">
        <f t="shared" si="735"/>
        <v/>
      </c>
      <c r="ED207">
        <f t="shared" si="736"/>
        <v>0</v>
      </c>
      <c r="EE207">
        <f t="shared" si="736"/>
        <v>0</v>
      </c>
      <c r="EG207" s="8" t="str">
        <f t="shared" si="737"/>
        <v>AAA</v>
      </c>
      <c r="EH207" s="8" t="str">
        <f t="shared" si="738"/>
        <v/>
      </c>
      <c r="EI207" s="8" t="str">
        <f t="shared" si="739"/>
        <v/>
      </c>
      <c r="EJ207" s="8">
        <f t="shared" si="740"/>
        <v>0</v>
      </c>
      <c r="EK207" s="8">
        <f t="shared" si="740"/>
        <v>0</v>
      </c>
      <c r="EM207" s="8" t="str">
        <f t="shared" si="741"/>
        <v>AAA</v>
      </c>
      <c r="EN207" s="8" t="str">
        <f t="shared" si="742"/>
        <v/>
      </c>
      <c r="EO207" s="8" t="str">
        <f t="shared" si="743"/>
        <v/>
      </c>
      <c r="EP207" s="8">
        <f t="shared" si="744"/>
        <v>0</v>
      </c>
      <c r="EQ207" s="8">
        <f t="shared" si="744"/>
        <v>0</v>
      </c>
      <c r="ES207" s="8" t="str">
        <f t="shared" si="745"/>
        <v>AAA</v>
      </c>
      <c r="ET207" s="8" t="str">
        <f t="shared" si="746"/>
        <v/>
      </c>
      <c r="EU207" s="8" t="str">
        <f t="shared" si="747"/>
        <v/>
      </c>
      <c r="EV207" s="8">
        <f t="shared" si="748"/>
        <v>0</v>
      </c>
      <c r="EW207" s="8">
        <f t="shared" si="748"/>
        <v>0</v>
      </c>
      <c r="EY207" s="8" t="str">
        <f>Hidden!$CG95</f>
        <v/>
      </c>
      <c r="EZ207">
        <f t="shared" si="749"/>
        <v>0</v>
      </c>
      <c r="FA207">
        <f t="shared" si="750"/>
        <v>0</v>
      </c>
      <c r="FB207">
        <f t="shared" si="751"/>
        <v>0</v>
      </c>
      <c r="FC207">
        <f t="shared" si="752"/>
        <v>0</v>
      </c>
      <c r="FD207">
        <f t="shared" si="753"/>
        <v>0</v>
      </c>
      <c r="FE207">
        <f t="shared" si="754"/>
        <v>0</v>
      </c>
      <c r="FF207">
        <f t="shared" si="755"/>
        <v>0</v>
      </c>
      <c r="FG207">
        <f t="shared" si="756"/>
        <v>0</v>
      </c>
      <c r="FH207">
        <f t="shared" si="757"/>
        <v>0</v>
      </c>
      <c r="FI207">
        <f t="shared" si="758"/>
        <v>0</v>
      </c>
    </row>
    <row r="208" spans="1:165" x14ac:dyDescent="0.2">
      <c r="A208" s="8" t="str">
        <f t="shared" ref="A208:C208" si="1038">A101</f>
        <v>AA</v>
      </c>
      <c r="B208" s="8" t="str">
        <f t="shared" si="1038"/>
        <v/>
      </c>
      <c r="C208" s="8" t="str">
        <f t="shared" si="1038"/>
        <v/>
      </c>
      <c r="D208" s="8">
        <f t="shared" si="860"/>
        <v>0</v>
      </c>
      <c r="E208" s="8">
        <f t="shared" si="860"/>
        <v>0</v>
      </c>
      <c r="F208" s="8"/>
      <c r="G208" s="8" t="str">
        <f t="shared" ref="G208:I208" si="1039">G101</f>
        <v>AA</v>
      </c>
      <c r="H208" s="8" t="str">
        <f t="shared" si="1039"/>
        <v/>
      </c>
      <c r="I208" s="8" t="str">
        <f t="shared" si="1039"/>
        <v/>
      </c>
      <c r="J208" s="8">
        <f t="shared" si="862"/>
        <v>0</v>
      </c>
      <c r="K208" s="8">
        <f t="shared" si="862"/>
        <v>0</v>
      </c>
      <c r="L208" s="8"/>
      <c r="M208" s="8" t="str">
        <f t="shared" ref="M208:O208" si="1040">M101</f>
        <v>AA</v>
      </c>
      <c r="N208" s="8" t="str">
        <f t="shared" si="1040"/>
        <v/>
      </c>
      <c r="O208" s="8" t="str">
        <f t="shared" si="1040"/>
        <v/>
      </c>
      <c r="P208" s="8">
        <f t="shared" si="852"/>
        <v>0</v>
      </c>
      <c r="Q208" s="8">
        <f t="shared" si="852"/>
        <v>0</v>
      </c>
      <c r="R208" s="8"/>
      <c r="S208" s="8" t="str">
        <f t="shared" ref="S208:U208" si="1041">S101</f>
        <v>AA</v>
      </c>
      <c r="T208" s="8" t="str">
        <f t="shared" si="1041"/>
        <v/>
      </c>
      <c r="U208" s="8" t="str">
        <f t="shared" si="1041"/>
        <v/>
      </c>
      <c r="V208">
        <f t="shared" si="865"/>
        <v>0</v>
      </c>
      <c r="W208">
        <f t="shared" si="865"/>
        <v>0</v>
      </c>
      <c r="Y208" s="8" t="str">
        <f t="shared" si="866"/>
        <v>AA</v>
      </c>
      <c r="Z208" s="8"/>
      <c r="AB208">
        <f t="shared" si="867"/>
        <v>0</v>
      </c>
      <c r="AC208">
        <f t="shared" si="867"/>
        <v>0</v>
      </c>
      <c r="AE208" s="8" t="str">
        <f>Hidden!$CC84</f>
        <v/>
      </c>
      <c r="AF208">
        <f t="shared" si="868"/>
        <v>0</v>
      </c>
      <c r="AG208">
        <f t="shared" si="869"/>
        <v>0</v>
      </c>
      <c r="AH208">
        <f t="shared" si="870"/>
        <v>0</v>
      </c>
      <c r="AI208">
        <f t="shared" si="871"/>
        <v>0</v>
      </c>
      <c r="AJ208">
        <f t="shared" si="872"/>
        <v>0</v>
      </c>
      <c r="AK208">
        <f t="shared" si="873"/>
        <v>0</v>
      </c>
      <c r="AL208">
        <f t="shared" si="874"/>
        <v>0</v>
      </c>
      <c r="AM208">
        <f t="shared" si="875"/>
        <v>0</v>
      </c>
      <c r="AN208">
        <f t="shared" si="876"/>
        <v>0</v>
      </c>
      <c r="AO208">
        <f t="shared" si="877"/>
        <v>0</v>
      </c>
      <c r="BJ208" s="8" t="str">
        <f t="shared" ref="BJ208:BL208" si="1042">BJ101</f>
        <v>AA</v>
      </c>
      <c r="BK208" s="8" t="str">
        <f t="shared" si="1042"/>
        <v/>
      </c>
      <c r="BL208" s="8" t="str">
        <f t="shared" si="1042"/>
        <v/>
      </c>
      <c r="BM208" s="8">
        <f t="shared" si="879"/>
        <v>0</v>
      </c>
      <c r="BN208" s="8">
        <f t="shared" si="880"/>
        <v>0</v>
      </c>
      <c r="BO208" s="8"/>
      <c r="BP208" s="8" t="str">
        <f t="shared" ref="BP208:BR208" si="1043">BP101</f>
        <v>AA</v>
      </c>
      <c r="BQ208" s="8" t="str">
        <f t="shared" si="1043"/>
        <v/>
      </c>
      <c r="BR208" s="8" t="str">
        <f t="shared" si="1043"/>
        <v/>
      </c>
      <c r="BS208" s="8">
        <f t="shared" si="882"/>
        <v>0</v>
      </c>
      <c r="BT208" s="8">
        <f t="shared" si="883"/>
        <v>0</v>
      </c>
      <c r="BU208" s="8"/>
      <c r="BV208" s="8" t="str">
        <f t="shared" ref="BV208:BX208" si="1044">BV101</f>
        <v>AA</v>
      </c>
      <c r="BW208" s="8" t="str">
        <f t="shared" si="1044"/>
        <v/>
      </c>
      <c r="BX208" s="8" t="str">
        <f t="shared" si="1044"/>
        <v/>
      </c>
      <c r="BY208" s="8">
        <f t="shared" si="885"/>
        <v>0</v>
      </c>
      <c r="BZ208" s="8">
        <f t="shared" si="886"/>
        <v>0</v>
      </c>
      <c r="CA208" s="8"/>
      <c r="CB208" s="8" t="str">
        <f t="shared" ref="CB208:CD208" si="1045">CB101</f>
        <v>AA</v>
      </c>
      <c r="CC208" s="8" t="str">
        <f t="shared" si="1045"/>
        <v/>
      </c>
      <c r="CD208" s="8" t="str">
        <f t="shared" si="1045"/>
        <v/>
      </c>
      <c r="CE208" s="8">
        <f t="shared" si="888"/>
        <v>0</v>
      </c>
      <c r="CF208" s="8">
        <f t="shared" si="889"/>
        <v>0</v>
      </c>
      <c r="CG208" s="8"/>
      <c r="CH208" s="8" t="str">
        <f t="shared" ref="CH208:CJ208" si="1046">CH101</f>
        <v>AA</v>
      </c>
      <c r="CI208" s="8" t="str">
        <f t="shared" si="1046"/>
        <v/>
      </c>
      <c r="CJ208" s="8" t="str">
        <f t="shared" si="1046"/>
        <v/>
      </c>
      <c r="CK208" s="8">
        <f t="shared" si="891"/>
        <v>0</v>
      </c>
      <c r="CL208" s="8">
        <f t="shared" si="892"/>
        <v>0</v>
      </c>
      <c r="CO208" s="8" t="str">
        <f>Hidden!$CC84</f>
        <v/>
      </c>
      <c r="CP208">
        <f t="shared" si="893"/>
        <v>0</v>
      </c>
      <c r="CQ208">
        <f t="shared" si="894"/>
        <v>0</v>
      </c>
      <c r="CR208">
        <f t="shared" si="895"/>
        <v>0</v>
      </c>
      <c r="CS208">
        <f t="shared" si="896"/>
        <v>0</v>
      </c>
      <c r="CT208">
        <f t="shared" si="897"/>
        <v>0</v>
      </c>
      <c r="CU208">
        <f t="shared" si="898"/>
        <v>0</v>
      </c>
      <c r="CV208">
        <f t="shared" si="899"/>
        <v>0</v>
      </c>
      <c r="CW208">
        <f t="shared" si="900"/>
        <v>0</v>
      </c>
      <c r="CX208">
        <f t="shared" si="901"/>
        <v>0</v>
      </c>
      <c r="CY208">
        <f t="shared" si="902"/>
        <v>0</v>
      </c>
      <c r="DT208" s="77"/>
      <c r="DU208" s="8" t="str">
        <f t="shared" si="729"/>
        <v>AAAA</v>
      </c>
      <c r="DV208" s="8" t="str">
        <f t="shared" si="730"/>
        <v/>
      </c>
      <c r="DW208" s="8" t="str">
        <f t="shared" si="731"/>
        <v/>
      </c>
      <c r="DX208" s="8">
        <f t="shared" si="732"/>
        <v>0</v>
      </c>
      <c r="DY208" s="8">
        <f t="shared" si="732"/>
        <v>0</v>
      </c>
      <c r="EA208" s="8" t="str">
        <f t="shared" si="733"/>
        <v>AAAA</v>
      </c>
      <c r="EB208" s="8" t="str">
        <f t="shared" si="734"/>
        <v/>
      </c>
      <c r="EC208" s="8" t="str">
        <f t="shared" si="735"/>
        <v/>
      </c>
      <c r="ED208">
        <f t="shared" si="736"/>
        <v>0</v>
      </c>
      <c r="EE208">
        <f t="shared" si="736"/>
        <v>0</v>
      </c>
      <c r="EG208" s="8" t="str">
        <f t="shared" si="737"/>
        <v>AAAA</v>
      </c>
      <c r="EH208" s="8" t="str">
        <f t="shared" si="738"/>
        <v/>
      </c>
      <c r="EI208" s="8" t="str">
        <f t="shared" si="739"/>
        <v/>
      </c>
      <c r="EJ208" s="8">
        <f t="shared" si="740"/>
        <v>0</v>
      </c>
      <c r="EK208" s="8">
        <f t="shared" si="740"/>
        <v>0</v>
      </c>
      <c r="EM208" s="8" t="str">
        <f t="shared" si="741"/>
        <v>AAAA</v>
      </c>
      <c r="EN208" s="8" t="str">
        <f t="shared" si="742"/>
        <v/>
      </c>
      <c r="EO208" s="8" t="str">
        <f t="shared" si="743"/>
        <v/>
      </c>
      <c r="EP208" s="8">
        <f t="shared" si="744"/>
        <v>0</v>
      </c>
      <c r="EQ208" s="8">
        <f t="shared" si="744"/>
        <v>0</v>
      </c>
      <c r="ES208" s="8" t="str">
        <f t="shared" si="745"/>
        <v>AAAA</v>
      </c>
      <c r="ET208" s="8" t="str">
        <f t="shared" si="746"/>
        <v/>
      </c>
      <c r="EU208" s="8" t="str">
        <f t="shared" si="747"/>
        <v/>
      </c>
      <c r="EV208" s="8">
        <f t="shared" si="748"/>
        <v>0</v>
      </c>
      <c r="EW208" s="8">
        <f t="shared" si="748"/>
        <v>0</v>
      </c>
      <c r="EY208" s="8" t="str">
        <f>Hidden!$CG96</f>
        <v/>
      </c>
      <c r="EZ208">
        <f t="shared" si="749"/>
        <v>0</v>
      </c>
      <c r="FA208">
        <f t="shared" si="750"/>
        <v>0</v>
      </c>
      <c r="FB208">
        <f t="shared" si="751"/>
        <v>0</v>
      </c>
      <c r="FC208">
        <f t="shared" si="752"/>
        <v>0</v>
      </c>
      <c r="FD208">
        <f t="shared" si="753"/>
        <v>0</v>
      </c>
      <c r="FE208">
        <f t="shared" si="754"/>
        <v>0</v>
      </c>
      <c r="FF208">
        <f t="shared" si="755"/>
        <v>0</v>
      </c>
      <c r="FG208">
        <f t="shared" si="756"/>
        <v>0</v>
      </c>
      <c r="FH208">
        <f t="shared" si="757"/>
        <v>0</v>
      </c>
      <c r="FI208">
        <f t="shared" si="758"/>
        <v>0</v>
      </c>
    </row>
    <row r="209" spans="1:185" x14ac:dyDescent="0.2">
      <c r="A209" s="8" t="str">
        <f t="shared" ref="A209:C209" si="1047">A102</f>
        <v>AAA</v>
      </c>
      <c r="B209" s="8" t="str">
        <f t="shared" si="1047"/>
        <v/>
      </c>
      <c r="C209" s="8" t="str">
        <f t="shared" si="1047"/>
        <v/>
      </c>
      <c r="D209" s="8">
        <f t="shared" si="860"/>
        <v>0</v>
      </c>
      <c r="E209" s="8">
        <f t="shared" si="860"/>
        <v>0</v>
      </c>
      <c r="F209" s="8"/>
      <c r="G209" s="8" t="str">
        <f t="shared" ref="G209:I209" si="1048">G102</f>
        <v>AAA</v>
      </c>
      <c r="H209" s="8" t="str">
        <f t="shared" si="1048"/>
        <v/>
      </c>
      <c r="I209" s="8" t="str">
        <f t="shared" si="1048"/>
        <v/>
      </c>
      <c r="J209" s="8">
        <f t="shared" si="862"/>
        <v>0</v>
      </c>
      <c r="K209" s="8">
        <f t="shared" si="862"/>
        <v>0</v>
      </c>
      <c r="L209" s="8"/>
      <c r="M209" s="8" t="str">
        <f t="shared" ref="M209:O209" si="1049">M102</f>
        <v>AAA</v>
      </c>
      <c r="N209" s="8" t="str">
        <f t="shared" si="1049"/>
        <v/>
      </c>
      <c r="O209" s="8" t="str">
        <f t="shared" si="1049"/>
        <v/>
      </c>
      <c r="P209" s="8">
        <f t="shared" si="852"/>
        <v>0</v>
      </c>
      <c r="Q209" s="8">
        <f t="shared" si="852"/>
        <v>0</v>
      </c>
      <c r="R209" s="8"/>
      <c r="S209" s="8" t="str">
        <f t="shared" ref="S209:U209" si="1050">S102</f>
        <v>AAA</v>
      </c>
      <c r="T209" s="8" t="str">
        <f t="shared" si="1050"/>
        <v/>
      </c>
      <c r="U209" s="8" t="str">
        <f t="shared" si="1050"/>
        <v/>
      </c>
      <c r="V209">
        <f t="shared" si="865"/>
        <v>0</v>
      </c>
      <c r="W209">
        <f t="shared" si="865"/>
        <v>0</v>
      </c>
      <c r="Y209" s="8" t="str">
        <f t="shared" si="866"/>
        <v>AAA</v>
      </c>
      <c r="Z209" s="8"/>
      <c r="AB209">
        <f t="shared" si="867"/>
        <v>0</v>
      </c>
      <c r="AC209">
        <f t="shared" si="867"/>
        <v>0</v>
      </c>
      <c r="AE209" s="8" t="str">
        <f>Hidden!$CC85</f>
        <v/>
      </c>
      <c r="AF209">
        <f t="shared" si="868"/>
        <v>0</v>
      </c>
      <c r="AG209">
        <f t="shared" si="869"/>
        <v>0</v>
      </c>
      <c r="AH209">
        <f t="shared" si="870"/>
        <v>0</v>
      </c>
      <c r="AI209">
        <f t="shared" si="871"/>
        <v>0</v>
      </c>
      <c r="AJ209">
        <f t="shared" si="872"/>
        <v>0</v>
      </c>
      <c r="AK209">
        <f t="shared" si="873"/>
        <v>0</v>
      </c>
      <c r="AL209">
        <f t="shared" si="874"/>
        <v>0</v>
      </c>
      <c r="AM209">
        <f t="shared" si="875"/>
        <v>0</v>
      </c>
      <c r="AN209">
        <f t="shared" si="876"/>
        <v>0</v>
      </c>
      <c r="AO209">
        <f t="shared" si="877"/>
        <v>0</v>
      </c>
      <c r="BJ209" s="8" t="str">
        <f t="shared" ref="BJ209:BL209" si="1051">BJ102</f>
        <v>AAA</v>
      </c>
      <c r="BK209" s="8" t="str">
        <f t="shared" si="1051"/>
        <v/>
      </c>
      <c r="BL209" s="8" t="str">
        <f t="shared" si="1051"/>
        <v/>
      </c>
      <c r="BM209" s="8">
        <f t="shared" si="879"/>
        <v>0</v>
      </c>
      <c r="BN209" s="8">
        <f t="shared" si="880"/>
        <v>0</v>
      </c>
      <c r="BO209" s="8"/>
      <c r="BP209" s="8" t="str">
        <f t="shared" ref="BP209:BR209" si="1052">BP102</f>
        <v>AAA</v>
      </c>
      <c r="BQ209" s="8" t="str">
        <f t="shared" si="1052"/>
        <v/>
      </c>
      <c r="BR209" s="8" t="str">
        <f t="shared" si="1052"/>
        <v/>
      </c>
      <c r="BS209" s="8">
        <f t="shared" si="882"/>
        <v>0</v>
      </c>
      <c r="BT209" s="8">
        <f t="shared" si="883"/>
        <v>0</v>
      </c>
      <c r="BU209" s="8"/>
      <c r="BV209" s="8" t="str">
        <f t="shared" ref="BV209:BX209" si="1053">BV102</f>
        <v>AAA</v>
      </c>
      <c r="BW209" s="8" t="str">
        <f t="shared" si="1053"/>
        <v/>
      </c>
      <c r="BX209" s="8" t="str">
        <f t="shared" si="1053"/>
        <v/>
      </c>
      <c r="BY209" s="8">
        <f t="shared" si="885"/>
        <v>0</v>
      </c>
      <c r="BZ209" s="8">
        <f t="shared" si="886"/>
        <v>0</v>
      </c>
      <c r="CA209" s="8"/>
      <c r="CB209" s="8" t="str">
        <f t="shared" ref="CB209:CD209" si="1054">CB102</f>
        <v>AAA</v>
      </c>
      <c r="CC209" s="8" t="str">
        <f t="shared" si="1054"/>
        <v/>
      </c>
      <c r="CD209" s="8" t="str">
        <f t="shared" si="1054"/>
        <v/>
      </c>
      <c r="CE209" s="8">
        <f t="shared" si="888"/>
        <v>0</v>
      </c>
      <c r="CF209" s="8">
        <f t="shared" si="889"/>
        <v>0</v>
      </c>
      <c r="CG209" s="8"/>
      <c r="CH209" s="8" t="str">
        <f t="shared" ref="CH209:CJ209" si="1055">CH102</f>
        <v>AAA</v>
      </c>
      <c r="CI209" s="8" t="str">
        <f t="shared" si="1055"/>
        <v/>
      </c>
      <c r="CJ209" s="8" t="str">
        <f t="shared" si="1055"/>
        <v/>
      </c>
      <c r="CK209" s="8">
        <f t="shared" si="891"/>
        <v>0</v>
      </c>
      <c r="CL209" s="8">
        <f t="shared" si="892"/>
        <v>0</v>
      </c>
      <c r="CO209" s="8" t="str">
        <f>Hidden!$CC85</f>
        <v/>
      </c>
      <c r="CP209">
        <f t="shared" si="893"/>
        <v>0</v>
      </c>
      <c r="CQ209">
        <f t="shared" si="894"/>
        <v>0</v>
      </c>
      <c r="CR209">
        <f t="shared" si="895"/>
        <v>0</v>
      </c>
      <c r="CS209">
        <f t="shared" si="896"/>
        <v>0</v>
      </c>
      <c r="CT209">
        <f t="shared" si="897"/>
        <v>0</v>
      </c>
      <c r="CU209">
        <f t="shared" si="898"/>
        <v>0</v>
      </c>
      <c r="CV209">
        <f t="shared" si="899"/>
        <v>0</v>
      </c>
      <c r="CW209">
        <f t="shared" si="900"/>
        <v>0</v>
      </c>
      <c r="CX209">
        <f t="shared" si="901"/>
        <v>0</v>
      </c>
      <c r="CY209">
        <f t="shared" si="902"/>
        <v>0</v>
      </c>
      <c r="DT209" s="77"/>
      <c r="DU209" s="8" t="str">
        <f t="shared" si="729"/>
        <v>AAAAA</v>
      </c>
      <c r="DV209" s="8" t="str">
        <f t="shared" si="730"/>
        <v/>
      </c>
      <c r="DW209" s="8" t="str">
        <f t="shared" si="731"/>
        <v/>
      </c>
      <c r="DX209" s="8">
        <f t="shared" si="732"/>
        <v>0</v>
      </c>
      <c r="DY209" s="8">
        <f t="shared" si="732"/>
        <v>0</v>
      </c>
      <c r="EA209" s="8" t="str">
        <f t="shared" si="733"/>
        <v>AAAAA</v>
      </c>
      <c r="EB209" s="8" t="str">
        <f t="shared" si="734"/>
        <v/>
      </c>
      <c r="EC209" s="8" t="str">
        <f t="shared" si="735"/>
        <v/>
      </c>
      <c r="ED209">
        <f t="shared" si="736"/>
        <v>0</v>
      </c>
      <c r="EE209">
        <f t="shared" si="736"/>
        <v>0</v>
      </c>
      <c r="EG209" s="8" t="str">
        <f t="shared" si="737"/>
        <v>AAAAA</v>
      </c>
      <c r="EH209" s="8" t="str">
        <f t="shared" si="738"/>
        <v/>
      </c>
      <c r="EI209" s="8" t="str">
        <f t="shared" si="739"/>
        <v/>
      </c>
      <c r="EJ209" s="8">
        <f t="shared" si="740"/>
        <v>0</v>
      </c>
      <c r="EK209" s="8">
        <f t="shared" si="740"/>
        <v>0</v>
      </c>
      <c r="EM209" s="8" t="str">
        <f t="shared" si="741"/>
        <v>AAAAA</v>
      </c>
      <c r="EN209" s="8" t="str">
        <f t="shared" si="742"/>
        <v/>
      </c>
      <c r="EO209" s="8" t="str">
        <f t="shared" si="743"/>
        <v/>
      </c>
      <c r="EP209" s="8">
        <f t="shared" si="744"/>
        <v>0</v>
      </c>
      <c r="EQ209" s="8">
        <f t="shared" si="744"/>
        <v>0</v>
      </c>
      <c r="ES209" s="8" t="str">
        <f t="shared" si="745"/>
        <v>AAAAA</v>
      </c>
      <c r="ET209" s="8" t="str">
        <f t="shared" si="746"/>
        <v/>
      </c>
      <c r="EU209" s="8" t="str">
        <f t="shared" si="747"/>
        <v/>
      </c>
      <c r="EV209" s="8">
        <f t="shared" si="748"/>
        <v>0</v>
      </c>
      <c r="EW209" s="8">
        <f t="shared" si="748"/>
        <v>0</v>
      </c>
      <c r="EY209" s="8" t="str">
        <f>Hidden!$CG97</f>
        <v/>
      </c>
      <c r="EZ209">
        <f t="shared" si="749"/>
        <v>0</v>
      </c>
      <c r="FA209">
        <f t="shared" si="750"/>
        <v>0</v>
      </c>
      <c r="FB209">
        <f t="shared" si="751"/>
        <v>0</v>
      </c>
      <c r="FC209">
        <f t="shared" si="752"/>
        <v>0</v>
      </c>
      <c r="FD209">
        <f t="shared" si="753"/>
        <v>0</v>
      </c>
      <c r="FE209">
        <f t="shared" si="754"/>
        <v>0</v>
      </c>
      <c r="FF209">
        <f t="shared" si="755"/>
        <v>0</v>
      </c>
      <c r="FG209">
        <f t="shared" si="756"/>
        <v>0</v>
      </c>
      <c r="FH209">
        <f t="shared" si="757"/>
        <v>0</v>
      </c>
      <c r="FI209">
        <f t="shared" si="758"/>
        <v>0</v>
      </c>
    </row>
    <row r="210" spans="1:185" x14ac:dyDescent="0.2">
      <c r="A210" s="8" t="str">
        <f t="shared" ref="A210:C210" si="1056">A103</f>
        <v>AAAA</v>
      </c>
      <c r="B210" s="8" t="str">
        <f t="shared" si="1056"/>
        <v/>
      </c>
      <c r="C210" s="8" t="str">
        <f t="shared" si="1056"/>
        <v/>
      </c>
      <c r="D210" s="8">
        <f t="shared" si="860"/>
        <v>0</v>
      </c>
      <c r="E210" s="8">
        <f t="shared" si="860"/>
        <v>0</v>
      </c>
      <c r="F210" s="8"/>
      <c r="G210" s="8" t="str">
        <f t="shared" ref="G210:I210" si="1057">G103</f>
        <v>AAAA</v>
      </c>
      <c r="H210" s="8" t="str">
        <f t="shared" si="1057"/>
        <v/>
      </c>
      <c r="I210" s="8" t="str">
        <f t="shared" si="1057"/>
        <v/>
      </c>
      <c r="J210" s="8">
        <f t="shared" si="862"/>
        <v>0</v>
      </c>
      <c r="K210" s="8">
        <f t="shared" si="862"/>
        <v>0</v>
      </c>
      <c r="L210" s="8"/>
      <c r="M210" s="8" t="str">
        <f t="shared" ref="M210:O210" si="1058">M103</f>
        <v>AAAA</v>
      </c>
      <c r="N210" s="8" t="str">
        <f t="shared" si="1058"/>
        <v/>
      </c>
      <c r="O210" s="8" t="str">
        <f t="shared" si="1058"/>
        <v/>
      </c>
      <c r="P210" s="8">
        <f t="shared" si="852"/>
        <v>0</v>
      </c>
      <c r="Q210" s="8">
        <f t="shared" si="852"/>
        <v>0</v>
      </c>
      <c r="R210" s="8"/>
      <c r="S210" s="8" t="str">
        <f t="shared" ref="S210:U210" si="1059">S103</f>
        <v>AAAA</v>
      </c>
      <c r="T210" s="8" t="str">
        <f t="shared" si="1059"/>
        <v/>
      </c>
      <c r="U210" s="8" t="str">
        <f t="shared" si="1059"/>
        <v/>
      </c>
      <c r="V210">
        <f t="shared" si="865"/>
        <v>0</v>
      </c>
      <c r="W210">
        <f t="shared" si="865"/>
        <v>0</v>
      </c>
      <c r="Y210" s="8" t="str">
        <f t="shared" si="866"/>
        <v>AAAA</v>
      </c>
      <c r="Z210" s="8"/>
      <c r="AB210">
        <f t="shared" si="867"/>
        <v>0</v>
      </c>
      <c r="AC210">
        <f t="shared" si="867"/>
        <v>0</v>
      </c>
      <c r="AE210" s="8" t="str">
        <f>Hidden!$CC86</f>
        <v/>
      </c>
      <c r="AF210">
        <f t="shared" si="868"/>
        <v>0</v>
      </c>
      <c r="AG210">
        <f t="shared" si="869"/>
        <v>0</v>
      </c>
      <c r="AH210">
        <f t="shared" si="870"/>
        <v>0</v>
      </c>
      <c r="AI210">
        <f t="shared" si="871"/>
        <v>0</v>
      </c>
      <c r="AJ210">
        <f t="shared" si="872"/>
        <v>0</v>
      </c>
      <c r="AK210">
        <f t="shared" si="873"/>
        <v>0</v>
      </c>
      <c r="AL210">
        <f t="shared" si="874"/>
        <v>0</v>
      </c>
      <c r="AM210">
        <f t="shared" si="875"/>
        <v>0</v>
      </c>
      <c r="AN210">
        <f t="shared" si="876"/>
        <v>0</v>
      </c>
      <c r="AO210">
        <f t="shared" si="877"/>
        <v>0</v>
      </c>
      <c r="BJ210" s="8" t="str">
        <f t="shared" ref="BJ210:BL210" si="1060">BJ103</f>
        <v>AAAA</v>
      </c>
      <c r="BK210" s="8" t="str">
        <f t="shared" si="1060"/>
        <v/>
      </c>
      <c r="BL210" s="8" t="str">
        <f t="shared" si="1060"/>
        <v/>
      </c>
      <c r="BM210" s="8">
        <f t="shared" si="879"/>
        <v>0</v>
      </c>
      <c r="BN210" s="8">
        <f t="shared" si="880"/>
        <v>0</v>
      </c>
      <c r="BO210" s="8"/>
      <c r="BP210" s="8" t="str">
        <f t="shared" ref="BP210:BR210" si="1061">BP103</f>
        <v>AAAA</v>
      </c>
      <c r="BQ210" s="8" t="str">
        <f t="shared" si="1061"/>
        <v/>
      </c>
      <c r="BR210" s="8" t="str">
        <f t="shared" si="1061"/>
        <v/>
      </c>
      <c r="BS210" s="8">
        <f t="shared" si="882"/>
        <v>0</v>
      </c>
      <c r="BT210" s="8">
        <f t="shared" si="883"/>
        <v>0</v>
      </c>
      <c r="BU210" s="8"/>
      <c r="BV210" s="8" t="str">
        <f t="shared" ref="BV210:BX210" si="1062">BV103</f>
        <v>AAAA</v>
      </c>
      <c r="BW210" s="8" t="str">
        <f t="shared" si="1062"/>
        <v/>
      </c>
      <c r="BX210" s="8" t="str">
        <f t="shared" si="1062"/>
        <v/>
      </c>
      <c r="BY210" s="8">
        <f t="shared" si="885"/>
        <v>0</v>
      </c>
      <c r="BZ210" s="8">
        <f t="shared" si="886"/>
        <v>0</v>
      </c>
      <c r="CA210" s="8"/>
      <c r="CB210" s="8" t="str">
        <f t="shared" ref="CB210:CD210" si="1063">CB103</f>
        <v>AAAA</v>
      </c>
      <c r="CC210" s="8" t="str">
        <f t="shared" si="1063"/>
        <v/>
      </c>
      <c r="CD210" s="8" t="str">
        <f t="shared" si="1063"/>
        <v/>
      </c>
      <c r="CE210" s="8">
        <f t="shared" si="888"/>
        <v>0</v>
      </c>
      <c r="CF210" s="8">
        <f t="shared" si="889"/>
        <v>0</v>
      </c>
      <c r="CG210" s="8"/>
      <c r="CH210" s="8" t="str">
        <f t="shared" ref="CH210:CJ210" si="1064">CH103</f>
        <v>AAAA</v>
      </c>
      <c r="CI210" s="8" t="str">
        <f t="shared" si="1064"/>
        <v/>
      </c>
      <c r="CJ210" s="8" t="str">
        <f t="shared" si="1064"/>
        <v/>
      </c>
      <c r="CK210" s="8">
        <f t="shared" si="891"/>
        <v>0</v>
      </c>
      <c r="CL210" s="8">
        <f t="shared" si="892"/>
        <v>0</v>
      </c>
      <c r="CO210" s="8" t="str">
        <f>Hidden!$CC86</f>
        <v/>
      </c>
      <c r="CP210">
        <f t="shared" si="893"/>
        <v>0</v>
      </c>
      <c r="CQ210">
        <f t="shared" si="894"/>
        <v>0</v>
      </c>
      <c r="CR210">
        <f t="shared" si="895"/>
        <v>0</v>
      </c>
      <c r="CS210">
        <f t="shared" si="896"/>
        <v>0</v>
      </c>
      <c r="CT210">
        <f t="shared" si="897"/>
        <v>0</v>
      </c>
      <c r="CU210">
        <f t="shared" si="898"/>
        <v>0</v>
      </c>
      <c r="CV210">
        <f t="shared" si="899"/>
        <v>0</v>
      </c>
      <c r="CW210">
        <f t="shared" si="900"/>
        <v>0</v>
      </c>
      <c r="CX210">
        <f t="shared" si="901"/>
        <v>0</v>
      </c>
      <c r="CY210">
        <f t="shared" si="902"/>
        <v>0</v>
      </c>
      <c r="DT210" s="77"/>
      <c r="DU210" s="8" t="str">
        <f t="shared" si="729"/>
        <v>AAAAAA</v>
      </c>
      <c r="DV210" s="8" t="str">
        <f t="shared" si="730"/>
        <v/>
      </c>
      <c r="DW210" s="8" t="str">
        <f t="shared" si="731"/>
        <v/>
      </c>
      <c r="DX210" s="8">
        <f t="shared" si="732"/>
        <v>0</v>
      </c>
      <c r="DY210" s="8">
        <f t="shared" si="732"/>
        <v>0</v>
      </c>
      <c r="EA210" s="8" t="str">
        <f t="shared" si="733"/>
        <v>AAAAAA</v>
      </c>
      <c r="EB210" s="8" t="str">
        <f t="shared" si="734"/>
        <v/>
      </c>
      <c r="EC210" s="8" t="str">
        <f t="shared" si="735"/>
        <v/>
      </c>
      <c r="ED210">
        <f t="shared" si="736"/>
        <v>0</v>
      </c>
      <c r="EE210">
        <f t="shared" si="736"/>
        <v>0</v>
      </c>
      <c r="EG210" s="8" t="str">
        <f t="shared" si="737"/>
        <v>AAAAAA</v>
      </c>
      <c r="EH210" s="8" t="str">
        <f t="shared" si="738"/>
        <v/>
      </c>
      <c r="EI210" s="8" t="str">
        <f t="shared" si="739"/>
        <v/>
      </c>
      <c r="EJ210" s="8">
        <f t="shared" si="740"/>
        <v>0</v>
      </c>
      <c r="EK210" s="8">
        <f t="shared" si="740"/>
        <v>0</v>
      </c>
      <c r="EM210" s="8" t="str">
        <f t="shared" si="741"/>
        <v>AAAAAA</v>
      </c>
      <c r="EN210" s="8" t="str">
        <f t="shared" si="742"/>
        <v/>
      </c>
      <c r="EO210" s="8" t="str">
        <f t="shared" si="743"/>
        <v/>
      </c>
      <c r="EP210" s="8">
        <f t="shared" si="744"/>
        <v>0</v>
      </c>
      <c r="EQ210" s="8">
        <f t="shared" si="744"/>
        <v>0</v>
      </c>
      <c r="ES210" s="8" t="str">
        <f t="shared" si="745"/>
        <v>AAAAAA</v>
      </c>
      <c r="ET210" s="8" t="str">
        <f t="shared" si="746"/>
        <v/>
      </c>
      <c r="EU210" s="8" t="str">
        <f t="shared" si="747"/>
        <v/>
      </c>
      <c r="EV210" s="8">
        <f t="shared" si="748"/>
        <v>0</v>
      </c>
      <c r="EW210" s="8">
        <f t="shared" si="748"/>
        <v>0</v>
      </c>
      <c r="EY210" s="8" t="str">
        <f>Hidden!$CG98</f>
        <v/>
      </c>
      <c r="EZ210">
        <f t="shared" si="749"/>
        <v>0</v>
      </c>
      <c r="FA210">
        <f t="shared" si="750"/>
        <v>0</v>
      </c>
      <c r="FB210">
        <f t="shared" si="751"/>
        <v>0</v>
      </c>
      <c r="FC210">
        <f t="shared" si="752"/>
        <v>0</v>
      </c>
      <c r="FD210">
        <f t="shared" si="753"/>
        <v>0</v>
      </c>
      <c r="FE210">
        <f t="shared" si="754"/>
        <v>0</v>
      </c>
      <c r="FF210">
        <f t="shared" si="755"/>
        <v>0</v>
      </c>
      <c r="FG210">
        <f t="shared" si="756"/>
        <v>0</v>
      </c>
      <c r="FH210">
        <f t="shared" si="757"/>
        <v>0</v>
      </c>
      <c r="FI210">
        <f t="shared" si="758"/>
        <v>0</v>
      </c>
    </row>
    <row r="211" spans="1:185" x14ac:dyDescent="0.2">
      <c r="A211" s="8" t="str">
        <f t="shared" ref="A211:C211" si="1065">A104</f>
        <v>AAAAA</v>
      </c>
      <c r="B211" s="8" t="str">
        <f t="shared" si="1065"/>
        <v/>
      </c>
      <c r="C211" s="8" t="str">
        <f t="shared" si="1065"/>
        <v/>
      </c>
      <c r="D211" s="8">
        <f t="shared" si="860"/>
        <v>0</v>
      </c>
      <c r="E211" s="8">
        <f t="shared" si="860"/>
        <v>0</v>
      </c>
      <c r="F211" s="8"/>
      <c r="G211" s="8" t="str">
        <f t="shared" ref="G211:I211" si="1066">G104</f>
        <v>AAAAA</v>
      </c>
      <c r="H211" s="8" t="str">
        <f t="shared" si="1066"/>
        <v/>
      </c>
      <c r="I211" s="8" t="str">
        <f t="shared" si="1066"/>
        <v/>
      </c>
      <c r="J211" s="8">
        <f t="shared" si="862"/>
        <v>0</v>
      </c>
      <c r="K211" s="8">
        <f t="shared" si="862"/>
        <v>0</v>
      </c>
      <c r="L211" s="8"/>
      <c r="M211" s="8" t="str">
        <f t="shared" ref="M211:O211" si="1067">M104</f>
        <v>AAAAA</v>
      </c>
      <c r="N211" s="8" t="str">
        <f t="shared" si="1067"/>
        <v/>
      </c>
      <c r="O211" s="8" t="str">
        <f t="shared" si="1067"/>
        <v/>
      </c>
      <c r="P211" s="8">
        <f t="shared" si="852"/>
        <v>0</v>
      </c>
      <c r="Q211" s="8">
        <f t="shared" si="852"/>
        <v>0</v>
      </c>
      <c r="R211" s="8"/>
      <c r="S211" s="8" t="str">
        <f t="shared" ref="S211:U211" si="1068">S104</f>
        <v>AAAAA</v>
      </c>
      <c r="T211" s="8" t="str">
        <f t="shared" si="1068"/>
        <v/>
      </c>
      <c r="U211" s="8" t="str">
        <f t="shared" si="1068"/>
        <v/>
      </c>
      <c r="V211">
        <f t="shared" si="865"/>
        <v>0</v>
      </c>
      <c r="W211">
        <f t="shared" si="865"/>
        <v>0</v>
      </c>
      <c r="Y211" s="8" t="str">
        <f t="shared" si="866"/>
        <v>AAAAA</v>
      </c>
      <c r="Z211" s="8"/>
      <c r="AB211">
        <f t="shared" si="867"/>
        <v>0</v>
      </c>
      <c r="AC211">
        <f t="shared" si="867"/>
        <v>0</v>
      </c>
      <c r="AE211" s="8" t="str">
        <f>Hidden!$CC87</f>
        <v/>
      </c>
      <c r="AF211">
        <f t="shared" si="868"/>
        <v>0</v>
      </c>
      <c r="AG211">
        <f t="shared" si="869"/>
        <v>0</v>
      </c>
      <c r="AH211">
        <f t="shared" si="870"/>
        <v>0</v>
      </c>
      <c r="AI211">
        <f t="shared" si="871"/>
        <v>0</v>
      </c>
      <c r="AJ211">
        <f t="shared" si="872"/>
        <v>0</v>
      </c>
      <c r="AK211">
        <f t="shared" si="873"/>
        <v>0</v>
      </c>
      <c r="AL211">
        <f t="shared" si="874"/>
        <v>0</v>
      </c>
      <c r="AM211">
        <f t="shared" si="875"/>
        <v>0</v>
      </c>
      <c r="AN211">
        <f t="shared" si="876"/>
        <v>0</v>
      </c>
      <c r="AO211">
        <f t="shared" si="877"/>
        <v>0</v>
      </c>
      <c r="BJ211" s="8" t="str">
        <f t="shared" ref="BJ211:BL211" si="1069">BJ104</f>
        <v>AAAAA</v>
      </c>
      <c r="BK211" s="8" t="str">
        <f t="shared" si="1069"/>
        <v/>
      </c>
      <c r="BL211" s="8" t="str">
        <f t="shared" si="1069"/>
        <v/>
      </c>
      <c r="BM211" s="8">
        <f t="shared" si="879"/>
        <v>0</v>
      </c>
      <c r="BN211" s="8">
        <f t="shared" si="880"/>
        <v>0</v>
      </c>
      <c r="BO211" s="8"/>
      <c r="BP211" s="8" t="str">
        <f t="shared" ref="BP211:BR211" si="1070">BP104</f>
        <v>AAAAA</v>
      </c>
      <c r="BQ211" s="8" t="str">
        <f t="shared" si="1070"/>
        <v/>
      </c>
      <c r="BR211" s="8" t="str">
        <f t="shared" si="1070"/>
        <v/>
      </c>
      <c r="BS211" s="8">
        <f t="shared" si="882"/>
        <v>0</v>
      </c>
      <c r="BT211" s="8">
        <f t="shared" si="883"/>
        <v>0</v>
      </c>
      <c r="BU211" s="8"/>
      <c r="BV211" s="8" t="str">
        <f t="shared" ref="BV211:BX211" si="1071">BV104</f>
        <v>AAAAA</v>
      </c>
      <c r="BW211" s="8" t="str">
        <f t="shared" si="1071"/>
        <v/>
      </c>
      <c r="BX211" s="8" t="str">
        <f t="shared" si="1071"/>
        <v/>
      </c>
      <c r="BY211" s="8">
        <f t="shared" si="885"/>
        <v>0</v>
      </c>
      <c r="BZ211" s="8">
        <f t="shared" si="886"/>
        <v>0</v>
      </c>
      <c r="CA211" s="8"/>
      <c r="CB211" s="8" t="str">
        <f t="shared" ref="CB211:CD211" si="1072">CB104</f>
        <v>AAAAA</v>
      </c>
      <c r="CC211" s="8" t="str">
        <f t="shared" si="1072"/>
        <v/>
      </c>
      <c r="CD211" s="8" t="str">
        <f t="shared" si="1072"/>
        <v/>
      </c>
      <c r="CE211" s="8">
        <f t="shared" si="888"/>
        <v>0</v>
      </c>
      <c r="CF211" s="8">
        <f t="shared" si="889"/>
        <v>0</v>
      </c>
      <c r="CG211" s="8"/>
      <c r="CH211" s="8" t="str">
        <f t="shared" ref="CH211:CJ211" si="1073">CH104</f>
        <v>AAAAA</v>
      </c>
      <c r="CI211" s="8" t="str">
        <f t="shared" si="1073"/>
        <v/>
      </c>
      <c r="CJ211" s="8" t="str">
        <f t="shared" si="1073"/>
        <v/>
      </c>
      <c r="CK211" s="8">
        <f t="shared" si="891"/>
        <v>0</v>
      </c>
      <c r="CL211" s="8">
        <f t="shared" si="892"/>
        <v>0</v>
      </c>
      <c r="CO211" s="8" t="str">
        <f>Hidden!$CC87</f>
        <v/>
      </c>
      <c r="CP211">
        <f t="shared" si="893"/>
        <v>0</v>
      </c>
      <c r="CQ211">
        <f t="shared" si="894"/>
        <v>0</v>
      </c>
      <c r="CR211">
        <f t="shared" si="895"/>
        <v>0</v>
      </c>
      <c r="CS211">
        <f t="shared" si="896"/>
        <v>0</v>
      </c>
      <c r="CT211">
        <f t="shared" si="897"/>
        <v>0</v>
      </c>
      <c r="CU211">
        <f t="shared" si="898"/>
        <v>0</v>
      </c>
      <c r="CV211">
        <f t="shared" si="899"/>
        <v>0</v>
      </c>
      <c r="CW211">
        <f t="shared" si="900"/>
        <v>0</v>
      </c>
      <c r="CX211">
        <f t="shared" si="901"/>
        <v>0</v>
      </c>
      <c r="CY211">
        <f t="shared" si="902"/>
        <v>0</v>
      </c>
      <c r="DT211" s="77"/>
      <c r="DU211" s="8" t="str">
        <f t="shared" si="729"/>
        <v>AAAAAAA</v>
      </c>
      <c r="DV211" s="8" t="str">
        <f t="shared" si="730"/>
        <v/>
      </c>
      <c r="DW211" s="8" t="str">
        <f t="shared" si="731"/>
        <v/>
      </c>
      <c r="DX211" s="8">
        <f t="shared" si="732"/>
        <v>0</v>
      </c>
      <c r="DY211" s="8">
        <f t="shared" si="732"/>
        <v>0</v>
      </c>
      <c r="EA211" s="8" t="str">
        <f t="shared" si="733"/>
        <v>AAAAAAA</v>
      </c>
      <c r="EB211" s="8" t="str">
        <f t="shared" si="734"/>
        <v/>
      </c>
      <c r="EC211" s="8" t="str">
        <f t="shared" si="735"/>
        <v/>
      </c>
      <c r="ED211">
        <f t="shared" si="736"/>
        <v>0</v>
      </c>
      <c r="EE211">
        <f t="shared" si="736"/>
        <v>0</v>
      </c>
      <c r="EG211" s="8" t="str">
        <f t="shared" si="737"/>
        <v>AAAAAAA</v>
      </c>
      <c r="EH211" s="8" t="str">
        <f t="shared" si="738"/>
        <v/>
      </c>
      <c r="EI211" s="8" t="str">
        <f t="shared" si="739"/>
        <v/>
      </c>
      <c r="EJ211" s="8">
        <f t="shared" si="740"/>
        <v>0</v>
      </c>
      <c r="EK211" s="8">
        <f t="shared" si="740"/>
        <v>0</v>
      </c>
      <c r="EM211" s="8" t="str">
        <f t="shared" si="741"/>
        <v>AAAAAAA</v>
      </c>
      <c r="EN211" s="8" t="str">
        <f t="shared" si="742"/>
        <v/>
      </c>
      <c r="EO211" s="8" t="str">
        <f t="shared" si="743"/>
        <v/>
      </c>
      <c r="EP211" s="8">
        <f t="shared" si="744"/>
        <v>0</v>
      </c>
      <c r="EQ211" s="8">
        <f t="shared" si="744"/>
        <v>0</v>
      </c>
      <c r="ES211" s="8" t="str">
        <f t="shared" si="745"/>
        <v>AAAAAAA</v>
      </c>
      <c r="ET211" s="8" t="str">
        <f t="shared" si="746"/>
        <v/>
      </c>
      <c r="EU211" s="8" t="str">
        <f t="shared" si="747"/>
        <v/>
      </c>
      <c r="EV211" s="8">
        <f t="shared" si="748"/>
        <v>0</v>
      </c>
      <c r="EW211" s="8">
        <f t="shared" si="748"/>
        <v>0</v>
      </c>
      <c r="EY211" s="8" t="str">
        <f>Hidden!$CG99</f>
        <v/>
      </c>
      <c r="EZ211">
        <f t="shared" si="749"/>
        <v>0</v>
      </c>
      <c r="FA211">
        <f t="shared" si="750"/>
        <v>0</v>
      </c>
      <c r="FB211">
        <f t="shared" si="751"/>
        <v>0</v>
      </c>
      <c r="FC211">
        <f t="shared" si="752"/>
        <v>0</v>
      </c>
      <c r="FD211">
        <f t="shared" si="753"/>
        <v>0</v>
      </c>
      <c r="FE211">
        <f t="shared" si="754"/>
        <v>0</v>
      </c>
      <c r="FF211">
        <f t="shared" si="755"/>
        <v>0</v>
      </c>
      <c r="FG211">
        <f t="shared" si="756"/>
        <v>0</v>
      </c>
      <c r="FH211">
        <f t="shared" si="757"/>
        <v>0</v>
      </c>
      <c r="FI211">
        <f t="shared" si="758"/>
        <v>0</v>
      </c>
    </row>
    <row r="212" spans="1:185" x14ac:dyDescent="0.2">
      <c r="A212" s="8" t="str">
        <f t="shared" ref="A212:C212" si="1074">A105</f>
        <v>AAAAAA</v>
      </c>
      <c r="B212" s="8" t="str">
        <f t="shared" si="1074"/>
        <v/>
      </c>
      <c r="C212" s="8" t="str">
        <f t="shared" si="1074"/>
        <v/>
      </c>
      <c r="D212" s="8">
        <f t="shared" si="860"/>
        <v>0</v>
      </c>
      <c r="E212" s="8">
        <f t="shared" si="860"/>
        <v>0</v>
      </c>
      <c r="F212" s="8"/>
      <c r="G212" s="8" t="str">
        <f t="shared" ref="G212:I212" si="1075">G105</f>
        <v>AAAAAA</v>
      </c>
      <c r="H212" s="8" t="str">
        <f t="shared" si="1075"/>
        <v/>
      </c>
      <c r="I212" s="8" t="str">
        <f t="shared" si="1075"/>
        <v/>
      </c>
      <c r="J212" s="8">
        <f t="shared" si="862"/>
        <v>0</v>
      </c>
      <c r="K212" s="8">
        <f t="shared" si="862"/>
        <v>0</v>
      </c>
      <c r="L212" s="8"/>
      <c r="M212" s="8" t="str">
        <f t="shared" ref="M212:O212" si="1076">M105</f>
        <v>AAAAAA</v>
      </c>
      <c r="N212" s="8" t="str">
        <f t="shared" si="1076"/>
        <v/>
      </c>
      <c r="O212" s="8" t="str">
        <f t="shared" si="1076"/>
        <v/>
      </c>
      <c r="P212" s="8">
        <f t="shared" si="852"/>
        <v>0</v>
      </c>
      <c r="Q212" s="8">
        <f t="shared" si="852"/>
        <v>0</v>
      </c>
      <c r="R212" s="8"/>
      <c r="S212" s="8" t="str">
        <f t="shared" ref="S212:U212" si="1077">S105</f>
        <v>AAAAAA</v>
      </c>
      <c r="T212" s="8" t="str">
        <f t="shared" si="1077"/>
        <v/>
      </c>
      <c r="U212" s="8" t="str">
        <f t="shared" si="1077"/>
        <v/>
      </c>
      <c r="V212">
        <f t="shared" si="865"/>
        <v>0</v>
      </c>
      <c r="W212">
        <f t="shared" si="865"/>
        <v>0</v>
      </c>
      <c r="Y212" s="8" t="str">
        <f t="shared" si="866"/>
        <v>AAAAAA</v>
      </c>
      <c r="Z212" s="8"/>
      <c r="AB212">
        <f t="shared" si="867"/>
        <v>0</v>
      </c>
      <c r="AC212">
        <f t="shared" si="867"/>
        <v>0</v>
      </c>
      <c r="AE212" s="8" t="str">
        <f>Hidden!$CC88</f>
        <v/>
      </c>
      <c r="AF212">
        <f t="shared" si="868"/>
        <v>0</v>
      </c>
      <c r="AG212">
        <f t="shared" si="869"/>
        <v>0</v>
      </c>
      <c r="AH212">
        <f t="shared" si="870"/>
        <v>0</v>
      </c>
      <c r="AI212">
        <f t="shared" si="871"/>
        <v>0</v>
      </c>
      <c r="AJ212">
        <f t="shared" si="872"/>
        <v>0</v>
      </c>
      <c r="AK212">
        <f t="shared" si="873"/>
        <v>0</v>
      </c>
      <c r="AL212">
        <f t="shared" si="874"/>
        <v>0</v>
      </c>
      <c r="AM212">
        <f t="shared" si="875"/>
        <v>0</v>
      </c>
      <c r="AN212">
        <f t="shared" si="876"/>
        <v>0</v>
      </c>
      <c r="AO212">
        <f t="shared" si="877"/>
        <v>0</v>
      </c>
      <c r="BJ212" s="8" t="str">
        <f t="shared" ref="BJ212:BL212" si="1078">BJ105</f>
        <v>AAAAAA</v>
      </c>
      <c r="BK212" s="8" t="str">
        <f t="shared" si="1078"/>
        <v/>
      </c>
      <c r="BL212" s="8" t="str">
        <f t="shared" si="1078"/>
        <v/>
      </c>
      <c r="BM212" s="8">
        <f t="shared" si="879"/>
        <v>0</v>
      </c>
      <c r="BN212" s="8">
        <f t="shared" si="880"/>
        <v>0</v>
      </c>
      <c r="BO212" s="8"/>
      <c r="BP212" s="8" t="str">
        <f t="shared" ref="BP212:BR212" si="1079">BP105</f>
        <v>AAAAAA</v>
      </c>
      <c r="BQ212" s="8" t="str">
        <f t="shared" si="1079"/>
        <v/>
      </c>
      <c r="BR212" s="8" t="str">
        <f t="shared" si="1079"/>
        <v/>
      </c>
      <c r="BS212" s="8">
        <f t="shared" si="882"/>
        <v>0</v>
      </c>
      <c r="BT212" s="8">
        <f t="shared" si="883"/>
        <v>0</v>
      </c>
      <c r="BU212" s="8"/>
      <c r="BV212" s="8" t="str">
        <f t="shared" ref="BV212:BX212" si="1080">BV105</f>
        <v>AAAAAA</v>
      </c>
      <c r="BW212" s="8" t="str">
        <f t="shared" si="1080"/>
        <v/>
      </c>
      <c r="BX212" s="8" t="str">
        <f t="shared" si="1080"/>
        <v/>
      </c>
      <c r="BY212" s="8">
        <f t="shared" si="885"/>
        <v>0</v>
      </c>
      <c r="BZ212" s="8">
        <f t="shared" si="886"/>
        <v>0</v>
      </c>
      <c r="CA212" s="8"/>
      <c r="CB212" s="8" t="str">
        <f t="shared" ref="CB212:CD212" si="1081">CB105</f>
        <v>AAAAAA</v>
      </c>
      <c r="CC212" s="8" t="str">
        <f t="shared" si="1081"/>
        <v/>
      </c>
      <c r="CD212" s="8" t="str">
        <f t="shared" si="1081"/>
        <v/>
      </c>
      <c r="CE212" s="8">
        <f t="shared" si="888"/>
        <v>0</v>
      </c>
      <c r="CF212" s="8">
        <f t="shared" si="889"/>
        <v>0</v>
      </c>
      <c r="CG212" s="8"/>
      <c r="CH212" s="8" t="str">
        <f t="shared" ref="CH212:CJ212" si="1082">CH105</f>
        <v>AAAAAA</v>
      </c>
      <c r="CI212" s="8" t="str">
        <f t="shared" si="1082"/>
        <v/>
      </c>
      <c r="CJ212" s="8" t="str">
        <f t="shared" si="1082"/>
        <v/>
      </c>
      <c r="CK212" s="8">
        <f t="shared" si="891"/>
        <v>0</v>
      </c>
      <c r="CL212" s="8">
        <f t="shared" si="892"/>
        <v>0</v>
      </c>
      <c r="CO212" s="8" t="str">
        <f>Hidden!$CC88</f>
        <v/>
      </c>
      <c r="CP212">
        <f t="shared" si="893"/>
        <v>0</v>
      </c>
      <c r="CQ212">
        <f t="shared" si="894"/>
        <v>0</v>
      </c>
      <c r="CR212">
        <f t="shared" si="895"/>
        <v>0</v>
      </c>
      <c r="CS212">
        <f t="shared" si="896"/>
        <v>0</v>
      </c>
      <c r="CT212">
        <f t="shared" si="897"/>
        <v>0</v>
      </c>
      <c r="CU212">
        <f t="shared" si="898"/>
        <v>0</v>
      </c>
      <c r="CV212">
        <f t="shared" si="899"/>
        <v>0</v>
      </c>
      <c r="CW212">
        <f t="shared" si="900"/>
        <v>0</v>
      </c>
      <c r="CX212">
        <f t="shared" si="901"/>
        <v>0</v>
      </c>
      <c r="CY212">
        <f t="shared" si="902"/>
        <v>0</v>
      </c>
      <c r="DT212" s="77"/>
      <c r="DU212" s="8" t="str">
        <f t="shared" si="729"/>
        <v>AAAAAAAA</v>
      </c>
      <c r="DV212" s="8" t="str">
        <f t="shared" si="730"/>
        <v/>
      </c>
      <c r="DW212" s="8" t="str">
        <f t="shared" si="731"/>
        <v/>
      </c>
      <c r="DX212" s="8">
        <f t="shared" si="732"/>
        <v>0</v>
      </c>
      <c r="DY212" s="8">
        <f t="shared" si="732"/>
        <v>0</v>
      </c>
      <c r="EA212" s="8" t="str">
        <f t="shared" si="733"/>
        <v>AAAAAAAA</v>
      </c>
      <c r="EB212" s="8" t="str">
        <f t="shared" si="734"/>
        <v/>
      </c>
      <c r="EC212" s="8" t="str">
        <f t="shared" si="735"/>
        <v/>
      </c>
      <c r="ED212">
        <f t="shared" si="736"/>
        <v>0</v>
      </c>
      <c r="EE212">
        <f t="shared" si="736"/>
        <v>0</v>
      </c>
      <c r="EG212" s="8" t="str">
        <f t="shared" si="737"/>
        <v>AAAAAAAA</v>
      </c>
      <c r="EH212" s="8" t="str">
        <f t="shared" si="738"/>
        <v/>
      </c>
      <c r="EI212" s="8" t="str">
        <f t="shared" si="739"/>
        <v/>
      </c>
      <c r="EJ212" s="8">
        <f t="shared" si="740"/>
        <v>0</v>
      </c>
      <c r="EK212" s="8">
        <f t="shared" si="740"/>
        <v>0</v>
      </c>
      <c r="EM212" s="8" t="str">
        <f t="shared" si="741"/>
        <v>AAAAAAAA</v>
      </c>
      <c r="EN212" s="8" t="str">
        <f t="shared" si="742"/>
        <v/>
      </c>
      <c r="EO212" s="8" t="str">
        <f t="shared" si="743"/>
        <v/>
      </c>
      <c r="EP212" s="8">
        <f t="shared" si="744"/>
        <v>0</v>
      </c>
      <c r="EQ212" s="8">
        <f t="shared" si="744"/>
        <v>0</v>
      </c>
      <c r="ES212" s="8" t="str">
        <f t="shared" si="745"/>
        <v>AAAAAAAA</v>
      </c>
      <c r="ET212" s="8" t="str">
        <f t="shared" si="746"/>
        <v/>
      </c>
      <c r="EU212" s="8" t="str">
        <f t="shared" si="747"/>
        <v/>
      </c>
      <c r="EV212" s="8">
        <f t="shared" si="748"/>
        <v>0</v>
      </c>
      <c r="EW212" s="8">
        <f t="shared" si="748"/>
        <v>0</v>
      </c>
      <c r="EY212" s="8" t="str">
        <f>Hidden!$CG100</f>
        <v/>
      </c>
      <c r="EZ212">
        <f t="shared" si="749"/>
        <v>0</v>
      </c>
      <c r="FA212">
        <f t="shared" si="750"/>
        <v>0</v>
      </c>
      <c r="FB212">
        <f t="shared" si="751"/>
        <v>0</v>
      </c>
      <c r="FC212">
        <f t="shared" si="752"/>
        <v>0</v>
      </c>
      <c r="FD212">
        <f t="shared" si="753"/>
        <v>0</v>
      </c>
      <c r="FE212">
        <f t="shared" si="754"/>
        <v>0</v>
      </c>
      <c r="FF212">
        <f t="shared" si="755"/>
        <v>0</v>
      </c>
      <c r="FG212">
        <f t="shared" si="756"/>
        <v>0</v>
      </c>
      <c r="FH212">
        <f t="shared" si="757"/>
        <v>0</v>
      </c>
      <c r="FI212">
        <f t="shared" si="758"/>
        <v>0</v>
      </c>
    </row>
    <row r="213" spans="1:185" x14ac:dyDescent="0.2">
      <c r="A213" s="8" t="str">
        <f t="shared" ref="A213:C213" si="1083">A106</f>
        <v>AAAAAAA</v>
      </c>
      <c r="B213" s="8" t="str">
        <f t="shared" si="1083"/>
        <v/>
      </c>
      <c r="C213" s="8" t="str">
        <f t="shared" si="1083"/>
        <v/>
      </c>
      <c r="D213" s="8">
        <f t="shared" si="860"/>
        <v>0</v>
      </c>
      <c r="E213" s="8">
        <f t="shared" si="860"/>
        <v>0</v>
      </c>
      <c r="F213" s="8"/>
      <c r="G213" s="8" t="str">
        <f t="shared" ref="G213:I213" si="1084">G106</f>
        <v>AAAAAAA</v>
      </c>
      <c r="H213" s="8" t="str">
        <f t="shared" si="1084"/>
        <v/>
      </c>
      <c r="I213" s="8" t="str">
        <f t="shared" si="1084"/>
        <v/>
      </c>
      <c r="J213" s="8">
        <f t="shared" si="862"/>
        <v>0</v>
      </c>
      <c r="K213" s="8">
        <f t="shared" si="862"/>
        <v>0</v>
      </c>
      <c r="L213" s="8"/>
      <c r="M213" s="8" t="str">
        <f t="shared" ref="M213:O213" si="1085">M106</f>
        <v>AAAAAAA</v>
      </c>
      <c r="N213" s="8" t="str">
        <f t="shared" si="1085"/>
        <v/>
      </c>
      <c r="O213" s="8" t="str">
        <f t="shared" si="1085"/>
        <v/>
      </c>
      <c r="P213" s="8">
        <f t="shared" si="852"/>
        <v>0</v>
      </c>
      <c r="Q213" s="8">
        <f t="shared" si="852"/>
        <v>0</v>
      </c>
      <c r="R213" s="8"/>
      <c r="S213" s="8" t="str">
        <f t="shared" ref="S213:U213" si="1086">S106</f>
        <v>AAAAAAA</v>
      </c>
      <c r="T213" s="8" t="str">
        <f t="shared" si="1086"/>
        <v/>
      </c>
      <c r="U213" s="8" t="str">
        <f t="shared" si="1086"/>
        <v/>
      </c>
      <c r="V213">
        <f t="shared" si="865"/>
        <v>0</v>
      </c>
      <c r="W213">
        <f t="shared" si="865"/>
        <v>0</v>
      </c>
      <c r="Y213" s="8" t="str">
        <f t="shared" si="866"/>
        <v>AAAAAAA</v>
      </c>
      <c r="Z213" s="8"/>
      <c r="AB213">
        <f t="shared" si="867"/>
        <v>0</v>
      </c>
      <c r="AC213">
        <f t="shared" si="867"/>
        <v>0</v>
      </c>
      <c r="AE213" s="8" t="str">
        <f>Hidden!$CC89</f>
        <v/>
      </c>
      <c r="AF213">
        <f t="shared" si="868"/>
        <v>0</v>
      </c>
      <c r="AG213">
        <f t="shared" si="869"/>
        <v>0</v>
      </c>
      <c r="AH213">
        <f t="shared" si="870"/>
        <v>0</v>
      </c>
      <c r="AI213">
        <f t="shared" si="871"/>
        <v>0</v>
      </c>
      <c r="AJ213">
        <f t="shared" si="872"/>
        <v>0</v>
      </c>
      <c r="AK213">
        <f t="shared" si="873"/>
        <v>0</v>
      </c>
      <c r="AL213">
        <f t="shared" si="874"/>
        <v>0</v>
      </c>
      <c r="AM213">
        <f t="shared" si="875"/>
        <v>0</v>
      </c>
      <c r="AN213">
        <f t="shared" si="876"/>
        <v>0</v>
      </c>
      <c r="AO213">
        <f t="shared" si="877"/>
        <v>0</v>
      </c>
      <c r="BJ213" s="8" t="str">
        <f t="shared" ref="BJ213:BL213" si="1087">BJ106</f>
        <v>AAAAAAA</v>
      </c>
      <c r="BK213" s="8" t="str">
        <f t="shared" si="1087"/>
        <v/>
      </c>
      <c r="BL213" s="8" t="str">
        <f t="shared" si="1087"/>
        <v/>
      </c>
      <c r="BM213" s="8">
        <f t="shared" si="879"/>
        <v>0</v>
      </c>
      <c r="BN213" s="8">
        <f t="shared" si="880"/>
        <v>0</v>
      </c>
      <c r="BO213" s="8"/>
      <c r="BP213" s="8" t="str">
        <f t="shared" ref="BP213:BR213" si="1088">BP106</f>
        <v>AAAAAAA</v>
      </c>
      <c r="BQ213" s="8" t="str">
        <f t="shared" si="1088"/>
        <v/>
      </c>
      <c r="BR213" s="8" t="str">
        <f t="shared" si="1088"/>
        <v/>
      </c>
      <c r="BS213" s="8">
        <f t="shared" si="882"/>
        <v>0</v>
      </c>
      <c r="BT213" s="8">
        <f t="shared" si="883"/>
        <v>0</v>
      </c>
      <c r="BU213" s="8"/>
      <c r="BV213" s="8" t="str">
        <f t="shared" ref="BV213:BX213" si="1089">BV106</f>
        <v>AAAAAAA</v>
      </c>
      <c r="BW213" s="8" t="str">
        <f t="shared" si="1089"/>
        <v/>
      </c>
      <c r="BX213" s="8" t="str">
        <f t="shared" si="1089"/>
        <v/>
      </c>
      <c r="BY213" s="8">
        <f t="shared" si="885"/>
        <v>0</v>
      </c>
      <c r="BZ213" s="8">
        <f t="shared" si="886"/>
        <v>0</v>
      </c>
      <c r="CA213" s="8"/>
      <c r="CB213" s="8" t="str">
        <f t="shared" ref="CB213:CD213" si="1090">CB106</f>
        <v>AAAAAAA</v>
      </c>
      <c r="CC213" s="8" t="str">
        <f t="shared" si="1090"/>
        <v/>
      </c>
      <c r="CD213" s="8" t="str">
        <f t="shared" si="1090"/>
        <v/>
      </c>
      <c r="CE213" s="8">
        <f t="shared" si="888"/>
        <v>0</v>
      </c>
      <c r="CF213" s="8">
        <f t="shared" si="889"/>
        <v>0</v>
      </c>
      <c r="CG213" s="8"/>
      <c r="CH213" s="8" t="str">
        <f t="shared" ref="CH213:CJ213" si="1091">CH106</f>
        <v>AAAAAAA</v>
      </c>
      <c r="CI213" s="8" t="str">
        <f t="shared" si="1091"/>
        <v/>
      </c>
      <c r="CJ213" s="8" t="str">
        <f t="shared" si="1091"/>
        <v/>
      </c>
      <c r="CK213" s="8">
        <f t="shared" si="891"/>
        <v>0</v>
      </c>
      <c r="CL213" s="8">
        <f t="shared" si="892"/>
        <v>0</v>
      </c>
      <c r="CO213" s="8" t="str">
        <f>Hidden!$CC89</f>
        <v/>
      </c>
      <c r="CP213">
        <f t="shared" si="893"/>
        <v>0</v>
      </c>
      <c r="CQ213">
        <f t="shared" si="894"/>
        <v>0</v>
      </c>
      <c r="CR213">
        <f t="shared" si="895"/>
        <v>0</v>
      </c>
      <c r="CS213">
        <f t="shared" si="896"/>
        <v>0</v>
      </c>
      <c r="CT213">
        <f t="shared" si="897"/>
        <v>0</v>
      </c>
      <c r="CU213">
        <f t="shared" si="898"/>
        <v>0</v>
      </c>
      <c r="CV213">
        <f t="shared" si="899"/>
        <v>0</v>
      </c>
      <c r="CW213">
        <f t="shared" si="900"/>
        <v>0</v>
      </c>
      <c r="CX213">
        <f t="shared" si="901"/>
        <v>0</v>
      </c>
      <c r="CY213">
        <f t="shared" si="902"/>
        <v>0</v>
      </c>
      <c r="DT213" s="77"/>
      <c r="DU213" s="8" t="str">
        <f t="shared" si="729"/>
        <v>AAAAAAAAA</v>
      </c>
      <c r="DV213" s="8" t="str">
        <f t="shared" si="730"/>
        <v/>
      </c>
      <c r="DW213" s="8" t="str">
        <f t="shared" si="731"/>
        <v/>
      </c>
      <c r="DX213" s="8">
        <f t="shared" si="732"/>
        <v>0</v>
      </c>
      <c r="DY213" s="8">
        <f t="shared" si="732"/>
        <v>0</v>
      </c>
      <c r="EA213" s="8" t="str">
        <f t="shared" si="733"/>
        <v>AAAAAAAAA</v>
      </c>
      <c r="EB213" s="8" t="str">
        <f t="shared" si="734"/>
        <v/>
      </c>
      <c r="EC213" s="8" t="str">
        <f t="shared" si="735"/>
        <v/>
      </c>
      <c r="ED213">
        <f t="shared" si="736"/>
        <v>0</v>
      </c>
      <c r="EE213">
        <f t="shared" si="736"/>
        <v>0</v>
      </c>
      <c r="EG213" s="8" t="str">
        <f t="shared" si="737"/>
        <v>AAAAAAAAA</v>
      </c>
      <c r="EH213" s="8" t="str">
        <f t="shared" si="738"/>
        <v/>
      </c>
      <c r="EI213" s="8" t="str">
        <f t="shared" si="739"/>
        <v/>
      </c>
      <c r="EJ213" s="8">
        <f t="shared" si="740"/>
        <v>0</v>
      </c>
      <c r="EK213" s="8">
        <f t="shared" si="740"/>
        <v>0</v>
      </c>
      <c r="EM213" s="8" t="str">
        <f t="shared" si="741"/>
        <v>AAAAAAAAA</v>
      </c>
      <c r="EN213" s="8" t="str">
        <f t="shared" si="742"/>
        <v/>
      </c>
      <c r="EO213" s="8" t="str">
        <f t="shared" si="743"/>
        <v/>
      </c>
      <c r="EP213" s="8">
        <f t="shared" si="744"/>
        <v>0</v>
      </c>
      <c r="EQ213" s="8">
        <f t="shared" si="744"/>
        <v>0</v>
      </c>
      <c r="ES213" s="8" t="str">
        <f t="shared" si="745"/>
        <v>AAAAAAAAA</v>
      </c>
      <c r="ET213" s="8" t="str">
        <f t="shared" si="746"/>
        <v/>
      </c>
      <c r="EU213" s="8" t="str">
        <f t="shared" si="747"/>
        <v/>
      </c>
      <c r="EV213" s="8">
        <f t="shared" si="748"/>
        <v>0</v>
      </c>
      <c r="EW213" s="8">
        <f t="shared" si="748"/>
        <v>0</v>
      </c>
      <c r="EY213" s="8" t="str">
        <f>Hidden!$CG101</f>
        <v/>
      </c>
      <c r="EZ213">
        <f t="shared" si="749"/>
        <v>0</v>
      </c>
      <c r="FA213">
        <f t="shared" si="750"/>
        <v>0</v>
      </c>
      <c r="FB213">
        <f t="shared" si="751"/>
        <v>0</v>
      </c>
      <c r="FC213">
        <f t="shared" si="752"/>
        <v>0</v>
      </c>
      <c r="FD213">
        <f t="shared" si="753"/>
        <v>0</v>
      </c>
      <c r="FE213">
        <f t="shared" si="754"/>
        <v>0</v>
      </c>
      <c r="FF213">
        <f t="shared" si="755"/>
        <v>0</v>
      </c>
      <c r="FG213">
        <f t="shared" si="756"/>
        <v>0</v>
      </c>
      <c r="FH213">
        <f t="shared" si="757"/>
        <v>0</v>
      </c>
      <c r="FI213">
        <f t="shared" si="758"/>
        <v>0</v>
      </c>
    </row>
    <row r="214" spans="1:185" ht="15" thickBot="1" x14ac:dyDescent="0.25">
      <c r="A214" s="8" t="str">
        <f t="shared" ref="A214:C214" si="1092">A107</f>
        <v>AAAAAAAA</v>
      </c>
      <c r="B214" s="8" t="str">
        <f t="shared" si="1092"/>
        <v/>
      </c>
      <c r="C214" s="8" t="str">
        <f t="shared" si="1092"/>
        <v/>
      </c>
      <c r="D214" s="8">
        <f t="shared" si="860"/>
        <v>0</v>
      </c>
      <c r="E214" s="8">
        <f t="shared" si="860"/>
        <v>0</v>
      </c>
      <c r="F214" s="8"/>
      <c r="G214" s="8" t="str">
        <f t="shared" ref="G214:I214" si="1093">G107</f>
        <v>AAAAAAAA</v>
      </c>
      <c r="H214" s="8" t="str">
        <f t="shared" si="1093"/>
        <v/>
      </c>
      <c r="I214" s="8" t="str">
        <f t="shared" si="1093"/>
        <v/>
      </c>
      <c r="J214" s="8">
        <f t="shared" si="862"/>
        <v>0</v>
      </c>
      <c r="K214" s="8">
        <f t="shared" si="862"/>
        <v>0</v>
      </c>
      <c r="L214" s="8"/>
      <c r="M214" s="8" t="str">
        <f t="shared" ref="M214:O214" si="1094">M107</f>
        <v>AAAAAAAA</v>
      </c>
      <c r="N214" s="8" t="str">
        <f t="shared" si="1094"/>
        <v/>
      </c>
      <c r="O214" s="8" t="str">
        <f t="shared" si="1094"/>
        <v/>
      </c>
      <c r="P214" s="8">
        <f t="shared" si="852"/>
        <v>0</v>
      </c>
      <c r="Q214" s="8">
        <f t="shared" si="852"/>
        <v>0</v>
      </c>
      <c r="R214" s="8"/>
      <c r="S214" s="8" t="str">
        <f t="shared" ref="S214:U214" si="1095">S107</f>
        <v>AAAAAAAA</v>
      </c>
      <c r="T214" s="8" t="str">
        <f t="shared" si="1095"/>
        <v/>
      </c>
      <c r="U214" s="8" t="str">
        <f t="shared" si="1095"/>
        <v/>
      </c>
      <c r="V214">
        <f t="shared" si="865"/>
        <v>0</v>
      </c>
      <c r="W214">
        <f t="shared" si="865"/>
        <v>0</v>
      </c>
      <c r="Y214" s="8" t="str">
        <f t="shared" si="866"/>
        <v>AAAAAAAA</v>
      </c>
      <c r="Z214" s="8"/>
      <c r="AB214">
        <f t="shared" si="867"/>
        <v>0</v>
      </c>
      <c r="AC214">
        <f t="shared" si="867"/>
        <v>0</v>
      </c>
      <c r="AE214" s="8" t="str">
        <f>Hidden!$CC90</f>
        <v/>
      </c>
      <c r="AF214">
        <f t="shared" si="868"/>
        <v>0</v>
      </c>
      <c r="AG214">
        <f t="shared" si="869"/>
        <v>0</v>
      </c>
      <c r="AH214">
        <f t="shared" si="870"/>
        <v>0</v>
      </c>
      <c r="AI214">
        <f t="shared" si="871"/>
        <v>0</v>
      </c>
      <c r="AJ214">
        <f t="shared" si="872"/>
        <v>0</v>
      </c>
      <c r="AK214">
        <f t="shared" si="873"/>
        <v>0</v>
      </c>
      <c r="AL214">
        <f t="shared" si="874"/>
        <v>0</v>
      </c>
      <c r="AM214">
        <f t="shared" si="875"/>
        <v>0</v>
      </c>
      <c r="AN214">
        <f t="shared" si="876"/>
        <v>0</v>
      </c>
      <c r="AO214">
        <f t="shared" si="877"/>
        <v>0</v>
      </c>
      <c r="BJ214" s="8" t="str">
        <f t="shared" ref="BJ214:BL214" si="1096">BJ107</f>
        <v>AAAAAAAA</v>
      </c>
      <c r="BK214" s="8" t="str">
        <f t="shared" si="1096"/>
        <v/>
      </c>
      <c r="BL214" s="8" t="str">
        <f t="shared" si="1096"/>
        <v/>
      </c>
      <c r="BM214" s="8">
        <f t="shared" si="879"/>
        <v>0</v>
      </c>
      <c r="BN214" s="8">
        <f t="shared" si="880"/>
        <v>0</v>
      </c>
      <c r="BO214" s="8"/>
      <c r="BP214" s="8" t="str">
        <f t="shared" ref="BP214:BR214" si="1097">BP107</f>
        <v>AAAAAAAA</v>
      </c>
      <c r="BQ214" s="8" t="str">
        <f t="shared" si="1097"/>
        <v/>
      </c>
      <c r="BR214" s="8" t="str">
        <f t="shared" si="1097"/>
        <v/>
      </c>
      <c r="BS214" s="8">
        <f t="shared" si="882"/>
        <v>0</v>
      </c>
      <c r="BT214" s="8">
        <f t="shared" si="883"/>
        <v>0</v>
      </c>
      <c r="BU214" s="8"/>
      <c r="BV214" s="8" t="str">
        <f t="shared" ref="BV214:BX214" si="1098">BV107</f>
        <v>AAAAAAAA</v>
      </c>
      <c r="BW214" s="8" t="str">
        <f t="shared" si="1098"/>
        <v/>
      </c>
      <c r="BX214" s="8" t="str">
        <f t="shared" si="1098"/>
        <v/>
      </c>
      <c r="BY214" s="8">
        <f t="shared" si="885"/>
        <v>0</v>
      </c>
      <c r="BZ214" s="8">
        <f t="shared" si="886"/>
        <v>0</v>
      </c>
      <c r="CA214" s="8"/>
      <c r="CB214" s="8" t="str">
        <f t="shared" ref="CB214:CD214" si="1099">CB107</f>
        <v>AAAAAAAA</v>
      </c>
      <c r="CC214" s="8" t="str">
        <f t="shared" si="1099"/>
        <v/>
      </c>
      <c r="CD214" s="8" t="str">
        <f t="shared" si="1099"/>
        <v/>
      </c>
      <c r="CE214" s="8">
        <f t="shared" si="888"/>
        <v>0</v>
      </c>
      <c r="CF214" s="8">
        <f t="shared" si="889"/>
        <v>0</v>
      </c>
      <c r="CG214" s="8"/>
      <c r="CH214" s="8" t="str">
        <f t="shared" ref="CH214:CJ214" si="1100">CH107</f>
        <v>AAAAAAAA</v>
      </c>
      <c r="CI214" s="8" t="str">
        <f t="shared" si="1100"/>
        <v/>
      </c>
      <c r="CJ214" s="8" t="str">
        <f t="shared" si="1100"/>
        <v/>
      </c>
      <c r="CK214" s="8">
        <f t="shared" si="891"/>
        <v>0</v>
      </c>
      <c r="CL214" s="8">
        <f t="shared" si="892"/>
        <v>0</v>
      </c>
      <c r="CO214" s="8" t="str">
        <f>Hidden!$CC90</f>
        <v/>
      </c>
      <c r="CP214">
        <f t="shared" si="893"/>
        <v>0</v>
      </c>
      <c r="CQ214">
        <f t="shared" si="894"/>
        <v>0</v>
      </c>
      <c r="CR214">
        <f t="shared" si="895"/>
        <v>0</v>
      </c>
      <c r="CS214">
        <f t="shared" si="896"/>
        <v>0</v>
      </c>
      <c r="CT214">
        <f t="shared" si="897"/>
        <v>0</v>
      </c>
      <c r="CU214">
        <f t="shared" si="898"/>
        <v>0</v>
      </c>
      <c r="CV214">
        <f t="shared" si="899"/>
        <v>0</v>
      </c>
      <c r="CW214">
        <f t="shared" si="900"/>
        <v>0</v>
      </c>
      <c r="CX214">
        <f t="shared" si="901"/>
        <v>0</v>
      </c>
      <c r="CY214">
        <f t="shared" si="902"/>
        <v>0</v>
      </c>
      <c r="DT214" s="77"/>
      <c r="DU214" s="8" t="str">
        <f t="shared" si="729"/>
        <v>AAAAAAAAAA</v>
      </c>
      <c r="DV214" s="8" t="str">
        <f t="shared" si="730"/>
        <v/>
      </c>
      <c r="DW214" s="8" t="str">
        <f t="shared" si="731"/>
        <v/>
      </c>
      <c r="DX214" s="8">
        <f t="shared" si="732"/>
        <v>0</v>
      </c>
      <c r="DY214" s="8">
        <f t="shared" si="732"/>
        <v>0</v>
      </c>
      <c r="EA214" s="8" t="str">
        <f t="shared" si="733"/>
        <v>AAAAAAAAAA</v>
      </c>
      <c r="EB214" s="8" t="str">
        <f t="shared" si="734"/>
        <v/>
      </c>
      <c r="EC214" s="8" t="str">
        <f t="shared" si="735"/>
        <v/>
      </c>
      <c r="ED214">
        <f t="shared" si="736"/>
        <v>0</v>
      </c>
      <c r="EE214">
        <f t="shared" si="736"/>
        <v>0</v>
      </c>
      <c r="EG214" s="8" t="str">
        <f t="shared" si="737"/>
        <v>AAAAAAAAAA</v>
      </c>
      <c r="EH214" s="8" t="str">
        <f t="shared" si="738"/>
        <v/>
      </c>
      <c r="EI214" s="8" t="str">
        <f t="shared" si="739"/>
        <v/>
      </c>
      <c r="EJ214" s="8">
        <f t="shared" si="740"/>
        <v>0</v>
      </c>
      <c r="EK214" s="8">
        <f t="shared" si="740"/>
        <v>0</v>
      </c>
      <c r="EM214" s="8" t="str">
        <f t="shared" si="741"/>
        <v>AAAAAAAAAA</v>
      </c>
      <c r="EN214" s="8" t="str">
        <f t="shared" si="742"/>
        <v/>
      </c>
      <c r="EO214" s="8" t="str">
        <f t="shared" si="743"/>
        <v/>
      </c>
      <c r="EP214" s="8">
        <f t="shared" si="744"/>
        <v>0</v>
      </c>
      <c r="EQ214" s="8">
        <f t="shared" si="744"/>
        <v>0</v>
      </c>
      <c r="ES214" s="8" t="str">
        <f t="shared" si="745"/>
        <v>AAAAAAAAAA</v>
      </c>
      <c r="ET214" s="8" t="str">
        <f t="shared" si="746"/>
        <v/>
      </c>
      <c r="EU214" s="8" t="str">
        <f t="shared" si="747"/>
        <v/>
      </c>
      <c r="EV214" s="8">
        <f t="shared" si="748"/>
        <v>0</v>
      </c>
      <c r="EW214" s="8">
        <f t="shared" si="748"/>
        <v>0</v>
      </c>
      <c r="EY214" s="8" t="str">
        <f>Hidden!$CG102</f>
        <v/>
      </c>
      <c r="EZ214">
        <f t="shared" si="749"/>
        <v>0</v>
      </c>
      <c r="FA214">
        <f t="shared" si="750"/>
        <v>0</v>
      </c>
      <c r="FB214">
        <f t="shared" si="751"/>
        <v>0</v>
      </c>
      <c r="FC214">
        <f t="shared" si="752"/>
        <v>0</v>
      </c>
      <c r="FD214">
        <f t="shared" si="753"/>
        <v>0</v>
      </c>
      <c r="FE214">
        <f t="shared" si="754"/>
        <v>0</v>
      </c>
      <c r="FF214">
        <f t="shared" si="755"/>
        <v>0</v>
      </c>
      <c r="FG214">
        <f t="shared" si="756"/>
        <v>0</v>
      </c>
      <c r="FH214">
        <f t="shared" si="757"/>
        <v>0</v>
      </c>
      <c r="FI214">
        <f t="shared" si="758"/>
        <v>0</v>
      </c>
    </row>
    <row r="215" spans="1:185" ht="15.75" thickBot="1" x14ac:dyDescent="0.25">
      <c r="A215" s="8" t="str">
        <f t="shared" ref="A215:C215" si="1101">A108</f>
        <v>AAAAAAAAA</v>
      </c>
      <c r="B215" s="8" t="str">
        <f t="shared" si="1101"/>
        <v/>
      </c>
      <c r="C215" s="8" t="str">
        <f t="shared" si="1101"/>
        <v/>
      </c>
      <c r="D215" s="8">
        <f t="shared" si="860"/>
        <v>0</v>
      </c>
      <c r="E215" s="8">
        <f t="shared" si="860"/>
        <v>0</v>
      </c>
      <c r="F215" s="8"/>
      <c r="G215" s="8" t="str">
        <f t="shared" ref="G215:I215" si="1102">G108</f>
        <v>AAAAAAAAA</v>
      </c>
      <c r="H215" s="8" t="str">
        <f t="shared" si="1102"/>
        <v/>
      </c>
      <c r="I215" s="8" t="str">
        <f t="shared" si="1102"/>
        <v/>
      </c>
      <c r="J215" s="8">
        <f t="shared" si="862"/>
        <v>0</v>
      </c>
      <c r="K215" s="8">
        <f t="shared" si="862"/>
        <v>0</v>
      </c>
      <c r="L215" s="8"/>
      <c r="M215" s="8" t="str">
        <f t="shared" ref="M215:O215" si="1103">M108</f>
        <v>AAAAAAAAA</v>
      </c>
      <c r="N215" s="8" t="str">
        <f t="shared" si="1103"/>
        <v/>
      </c>
      <c r="O215" s="8" t="str">
        <f t="shared" si="1103"/>
        <v/>
      </c>
      <c r="P215" s="8">
        <f t="shared" si="852"/>
        <v>0</v>
      </c>
      <c r="Q215" s="8">
        <f t="shared" si="852"/>
        <v>0</v>
      </c>
      <c r="R215" s="8"/>
      <c r="S215" s="8" t="str">
        <f t="shared" ref="S215:U215" si="1104">S108</f>
        <v>AAAAAAAAA</v>
      </c>
      <c r="T215" s="8" t="str">
        <f t="shared" si="1104"/>
        <v/>
      </c>
      <c r="U215" s="8" t="str">
        <f t="shared" si="1104"/>
        <v/>
      </c>
      <c r="V215">
        <f t="shared" si="865"/>
        <v>0</v>
      </c>
      <c r="W215">
        <f t="shared" si="865"/>
        <v>0</v>
      </c>
      <c r="Y215" s="8" t="str">
        <f t="shared" si="866"/>
        <v>AAAAAAAAA</v>
      </c>
      <c r="Z215" s="8"/>
      <c r="AB215">
        <f t="shared" si="867"/>
        <v>0</v>
      </c>
      <c r="AC215">
        <f t="shared" si="867"/>
        <v>0</v>
      </c>
      <c r="AE215" s="8" t="str">
        <f>Hidden!$CC91</f>
        <v/>
      </c>
      <c r="AF215">
        <f t="shared" si="868"/>
        <v>0</v>
      </c>
      <c r="AG215">
        <f t="shared" si="869"/>
        <v>0</v>
      </c>
      <c r="AH215">
        <f t="shared" si="870"/>
        <v>0</v>
      </c>
      <c r="AI215">
        <f t="shared" si="871"/>
        <v>0</v>
      </c>
      <c r="AJ215">
        <f t="shared" si="872"/>
        <v>0</v>
      </c>
      <c r="AK215">
        <f t="shared" si="873"/>
        <v>0</v>
      </c>
      <c r="AL215">
        <f t="shared" si="874"/>
        <v>0</v>
      </c>
      <c r="AM215">
        <f t="shared" si="875"/>
        <v>0</v>
      </c>
      <c r="AN215">
        <f t="shared" si="876"/>
        <v>0</v>
      </c>
      <c r="AO215">
        <f t="shared" si="877"/>
        <v>0</v>
      </c>
      <c r="BJ215" s="8" t="str">
        <f t="shared" ref="BJ215:BL215" si="1105">BJ108</f>
        <v>AAAAAAAAA</v>
      </c>
      <c r="BK215" s="8" t="str">
        <f t="shared" si="1105"/>
        <v/>
      </c>
      <c r="BL215" s="8" t="str">
        <f t="shared" si="1105"/>
        <v/>
      </c>
      <c r="BM215" s="8">
        <f t="shared" si="879"/>
        <v>0</v>
      </c>
      <c r="BN215" s="8">
        <f t="shared" si="880"/>
        <v>0</v>
      </c>
      <c r="BO215" s="8"/>
      <c r="BP215" s="8" t="str">
        <f t="shared" ref="BP215:BR215" si="1106">BP108</f>
        <v>AAAAAAAAA</v>
      </c>
      <c r="BQ215" s="8" t="str">
        <f t="shared" si="1106"/>
        <v/>
      </c>
      <c r="BR215" s="8" t="str">
        <f t="shared" si="1106"/>
        <v/>
      </c>
      <c r="BS215" s="8">
        <f t="shared" si="882"/>
        <v>0</v>
      </c>
      <c r="BT215" s="8">
        <f t="shared" si="883"/>
        <v>0</v>
      </c>
      <c r="BU215" s="8"/>
      <c r="BV215" s="8" t="str">
        <f t="shared" ref="BV215:BX215" si="1107">BV108</f>
        <v>AAAAAAAAA</v>
      </c>
      <c r="BW215" s="8" t="str">
        <f t="shared" si="1107"/>
        <v/>
      </c>
      <c r="BX215" s="8" t="str">
        <f t="shared" si="1107"/>
        <v/>
      </c>
      <c r="BY215" s="8">
        <f t="shared" si="885"/>
        <v>0</v>
      </c>
      <c r="BZ215" s="8">
        <f t="shared" si="886"/>
        <v>0</v>
      </c>
      <c r="CA215" s="8"/>
      <c r="CB215" s="8" t="str">
        <f t="shared" ref="CB215:CD215" si="1108">CB108</f>
        <v>AAAAAAAAA</v>
      </c>
      <c r="CC215" s="8" t="str">
        <f t="shared" si="1108"/>
        <v/>
      </c>
      <c r="CD215" s="8" t="str">
        <f t="shared" si="1108"/>
        <v/>
      </c>
      <c r="CE215" s="8">
        <f t="shared" si="888"/>
        <v>0</v>
      </c>
      <c r="CF215" s="8">
        <f t="shared" si="889"/>
        <v>0</v>
      </c>
      <c r="CG215" s="8"/>
      <c r="CH215" s="8" t="str">
        <f t="shared" ref="CH215:CJ215" si="1109">CH108</f>
        <v>AAAAAAAAA</v>
      </c>
      <c r="CI215" s="8" t="str">
        <f t="shared" si="1109"/>
        <v/>
      </c>
      <c r="CJ215" s="8" t="str">
        <f t="shared" si="1109"/>
        <v/>
      </c>
      <c r="CK215" s="8">
        <f t="shared" si="891"/>
        <v>0</v>
      </c>
      <c r="CL215" s="8">
        <f t="shared" si="892"/>
        <v>0</v>
      </c>
      <c r="CO215" s="8" t="str">
        <f>Hidden!$CC91</f>
        <v/>
      </c>
      <c r="CP215">
        <f t="shared" si="893"/>
        <v>0</v>
      </c>
      <c r="CQ215">
        <f t="shared" si="894"/>
        <v>0</v>
      </c>
      <c r="CR215">
        <f t="shared" si="895"/>
        <v>0</v>
      </c>
      <c r="CS215">
        <f t="shared" si="896"/>
        <v>0</v>
      </c>
      <c r="CT215">
        <f t="shared" si="897"/>
        <v>0</v>
      </c>
      <c r="CU215">
        <f t="shared" si="898"/>
        <v>0</v>
      </c>
      <c r="CV215">
        <f t="shared" si="899"/>
        <v>0</v>
      </c>
      <c r="CW215">
        <f t="shared" si="900"/>
        <v>0</v>
      </c>
      <c r="CX215">
        <f t="shared" si="901"/>
        <v>0</v>
      </c>
      <c r="CY215">
        <f t="shared" si="902"/>
        <v>0</v>
      </c>
      <c r="DT215" s="77"/>
      <c r="DU215" s="479" t="s">
        <v>9991</v>
      </c>
      <c r="DV215" s="479"/>
      <c r="DW215" s="479"/>
      <c r="DX215" s="479"/>
      <c r="DY215" s="479"/>
      <c r="DZ215" s="479"/>
      <c r="EA215" s="479"/>
      <c r="EB215" s="479"/>
      <c r="EC215" s="479"/>
      <c r="ED215" s="479"/>
      <c r="EE215" s="479"/>
      <c r="EF215" s="479"/>
      <c r="EG215" s="479"/>
      <c r="EH215" s="479"/>
      <c r="EI215" s="479"/>
      <c r="EJ215" s="479"/>
      <c r="EK215" s="479"/>
      <c r="EL215" s="479"/>
      <c r="EM215" s="479"/>
      <c r="EN215" s="479"/>
      <c r="EO215" s="479"/>
      <c r="EP215" s="479"/>
      <c r="EQ215" s="479"/>
      <c r="ER215" s="479"/>
      <c r="ES215" s="479"/>
      <c r="ET215" s="479"/>
      <c r="EU215" s="479"/>
      <c r="EV215" s="479"/>
      <c r="EW215" s="479"/>
      <c r="EX215" s="479"/>
      <c r="EY215" s="479"/>
      <c r="EZ215" s="479"/>
      <c r="FA215" s="479"/>
      <c r="FB215" s="479"/>
      <c r="FC215" s="479"/>
      <c r="FD215" s="479"/>
      <c r="FE215" s="479"/>
      <c r="FF215" s="479"/>
      <c r="FG215" s="479"/>
      <c r="FH215" s="479"/>
      <c r="FI215" s="479"/>
    </row>
    <row r="216" spans="1:185" ht="42.75" x14ac:dyDescent="0.2">
      <c r="A216" s="8" t="str">
        <f t="shared" ref="A216:C216" si="1110">A109</f>
        <v>AAAAAAAAAA</v>
      </c>
      <c r="B216" s="8" t="str">
        <f t="shared" si="1110"/>
        <v/>
      </c>
      <c r="C216" s="8" t="str">
        <f t="shared" si="1110"/>
        <v/>
      </c>
      <c r="D216" s="8">
        <f t="shared" si="860"/>
        <v>0</v>
      </c>
      <c r="E216" s="8">
        <f t="shared" si="860"/>
        <v>0</v>
      </c>
      <c r="F216" s="8"/>
      <c r="G216" s="8" t="str">
        <f t="shared" ref="G216:I216" si="1111">G109</f>
        <v>AAAAAAAAAA</v>
      </c>
      <c r="H216" s="8" t="str">
        <f t="shared" si="1111"/>
        <v/>
      </c>
      <c r="I216" s="8" t="str">
        <f t="shared" si="1111"/>
        <v/>
      </c>
      <c r="J216" s="8">
        <f t="shared" si="862"/>
        <v>0</v>
      </c>
      <c r="K216" s="8">
        <f t="shared" si="862"/>
        <v>0</v>
      </c>
      <c r="L216" s="8"/>
      <c r="M216" s="8" t="str">
        <f t="shared" ref="M216:O216" si="1112">M109</f>
        <v>AAAAAAAAAA</v>
      </c>
      <c r="N216" s="8" t="str">
        <f t="shared" si="1112"/>
        <v/>
      </c>
      <c r="O216" s="8" t="str">
        <f t="shared" si="1112"/>
        <v/>
      </c>
      <c r="P216" s="8">
        <f t="shared" si="852"/>
        <v>0</v>
      </c>
      <c r="Q216" s="8">
        <f t="shared" si="852"/>
        <v>0</v>
      </c>
      <c r="R216" s="8"/>
      <c r="S216" s="8" t="str">
        <f t="shared" ref="S216:U216" si="1113">S109</f>
        <v>AAAAAAAAAA</v>
      </c>
      <c r="T216" s="8" t="str">
        <f t="shared" si="1113"/>
        <v/>
      </c>
      <c r="U216" s="8" t="str">
        <f t="shared" si="1113"/>
        <v/>
      </c>
      <c r="V216">
        <f t="shared" si="865"/>
        <v>0</v>
      </c>
      <c r="W216">
        <f t="shared" si="865"/>
        <v>0</v>
      </c>
      <c r="Y216" s="8" t="str">
        <f t="shared" si="866"/>
        <v>AAAAAAAAAA</v>
      </c>
      <c r="Z216" s="8"/>
      <c r="AB216">
        <f t="shared" si="867"/>
        <v>0</v>
      </c>
      <c r="AC216">
        <f t="shared" si="867"/>
        <v>0</v>
      </c>
      <c r="AE216" s="8" t="str">
        <f>Hidden!$CC92</f>
        <v/>
      </c>
      <c r="AF216">
        <f t="shared" si="868"/>
        <v>0</v>
      </c>
      <c r="AG216">
        <f t="shared" si="869"/>
        <v>0</v>
      </c>
      <c r="AH216">
        <f t="shared" si="870"/>
        <v>0</v>
      </c>
      <c r="AI216">
        <f t="shared" si="871"/>
        <v>0</v>
      </c>
      <c r="AJ216">
        <f t="shared" si="872"/>
        <v>0</v>
      </c>
      <c r="AK216">
        <f t="shared" si="873"/>
        <v>0</v>
      </c>
      <c r="AL216">
        <f t="shared" si="874"/>
        <v>0</v>
      </c>
      <c r="AM216">
        <f t="shared" si="875"/>
        <v>0</v>
      </c>
      <c r="AN216">
        <f t="shared" si="876"/>
        <v>0</v>
      </c>
      <c r="AO216">
        <f t="shared" si="877"/>
        <v>0</v>
      </c>
      <c r="BJ216" s="8" t="str">
        <f t="shared" ref="BJ216:BL216" si="1114">BJ109</f>
        <v>AAAAAAAAAA</v>
      </c>
      <c r="BK216" s="8" t="str">
        <f t="shared" si="1114"/>
        <v/>
      </c>
      <c r="BL216" s="8" t="str">
        <f t="shared" si="1114"/>
        <v/>
      </c>
      <c r="BM216" s="8">
        <f t="shared" si="879"/>
        <v>0</v>
      </c>
      <c r="BN216" s="8">
        <f t="shared" si="880"/>
        <v>0</v>
      </c>
      <c r="BO216" s="8"/>
      <c r="BP216" s="8" t="str">
        <f t="shared" ref="BP216:BR216" si="1115">BP109</f>
        <v>AAAAAAAAAA</v>
      </c>
      <c r="BQ216" s="8" t="str">
        <f t="shared" si="1115"/>
        <v/>
      </c>
      <c r="BR216" s="8" t="str">
        <f t="shared" si="1115"/>
        <v/>
      </c>
      <c r="BS216" s="8">
        <f t="shared" si="882"/>
        <v>0</v>
      </c>
      <c r="BT216" s="8">
        <f t="shared" si="883"/>
        <v>0</v>
      </c>
      <c r="BU216" s="8"/>
      <c r="BV216" s="8" t="str">
        <f t="shared" ref="BV216:BX216" si="1116">BV109</f>
        <v>AAAAAAAAAA</v>
      </c>
      <c r="BW216" s="8" t="str">
        <f t="shared" si="1116"/>
        <v/>
      </c>
      <c r="BX216" s="8" t="str">
        <f t="shared" si="1116"/>
        <v/>
      </c>
      <c r="BY216" s="8">
        <f t="shared" si="885"/>
        <v>0</v>
      </c>
      <c r="BZ216" s="8">
        <f t="shared" si="886"/>
        <v>0</v>
      </c>
      <c r="CA216" s="8"/>
      <c r="CB216" s="8" t="str">
        <f t="shared" ref="CB216:CD216" si="1117">CB109</f>
        <v>AAAAAAAAAA</v>
      </c>
      <c r="CC216" s="8" t="str">
        <f t="shared" si="1117"/>
        <v/>
      </c>
      <c r="CD216" s="8" t="str">
        <f t="shared" si="1117"/>
        <v/>
      </c>
      <c r="CE216" s="8">
        <f t="shared" si="888"/>
        <v>0</v>
      </c>
      <c r="CF216" s="8">
        <f t="shared" si="889"/>
        <v>0</v>
      </c>
      <c r="CG216" s="8"/>
      <c r="CH216" s="8" t="str">
        <f t="shared" ref="CH216:CJ216" si="1118">CH109</f>
        <v>AAAAAAAAAA</v>
      </c>
      <c r="CI216" s="8" t="str">
        <f t="shared" si="1118"/>
        <v/>
      </c>
      <c r="CJ216" s="8" t="str">
        <f t="shared" si="1118"/>
        <v/>
      </c>
      <c r="CK216" s="8">
        <f t="shared" si="891"/>
        <v>0</v>
      </c>
      <c r="CL216" s="8">
        <f t="shared" si="892"/>
        <v>0</v>
      </c>
      <c r="CO216" s="8" t="str">
        <f>Hidden!$CC92</f>
        <v/>
      </c>
      <c r="CP216">
        <f t="shared" si="893"/>
        <v>0</v>
      </c>
      <c r="CQ216">
        <f t="shared" si="894"/>
        <v>0</v>
      </c>
      <c r="CR216">
        <f t="shared" si="895"/>
        <v>0</v>
      </c>
      <c r="CS216">
        <f t="shared" si="896"/>
        <v>0</v>
      </c>
      <c r="CT216">
        <f t="shared" si="897"/>
        <v>0</v>
      </c>
      <c r="CU216">
        <f t="shared" si="898"/>
        <v>0</v>
      </c>
      <c r="CV216">
        <f t="shared" si="899"/>
        <v>0</v>
      </c>
      <c r="CW216">
        <f t="shared" si="900"/>
        <v>0</v>
      </c>
      <c r="CX216">
        <f t="shared" si="901"/>
        <v>0</v>
      </c>
      <c r="CY216">
        <f t="shared" si="902"/>
        <v>0</v>
      </c>
      <c r="DT216" s="77"/>
      <c r="DU216" s="8"/>
      <c r="DV216" t="s">
        <v>9749</v>
      </c>
      <c r="EF216" t="s">
        <v>9750</v>
      </c>
      <c r="EP216" t="s">
        <v>9751</v>
      </c>
      <c r="EZ216" t="s">
        <v>9752</v>
      </c>
      <c r="FJ216" t="s">
        <v>9280</v>
      </c>
      <c r="FT216" t="s">
        <v>9753</v>
      </c>
    </row>
    <row r="217" spans="1:185" x14ac:dyDescent="0.2">
      <c r="A217" s="8" t="str">
        <f t="shared" ref="A217:C217" si="1119">A110</f>
        <v>A</v>
      </c>
      <c r="B217" s="8" t="str">
        <f t="shared" si="1119"/>
        <v/>
      </c>
      <c r="C217" s="8" t="str">
        <f t="shared" si="1119"/>
        <v/>
      </c>
      <c r="D217" s="8">
        <f t="shared" si="860"/>
        <v>0</v>
      </c>
      <c r="E217" s="8">
        <f t="shared" si="860"/>
        <v>0</v>
      </c>
      <c r="F217" s="8"/>
      <c r="G217" s="8" t="str">
        <f t="shared" ref="G217:I217" si="1120">G110</f>
        <v>A</v>
      </c>
      <c r="H217" s="8" t="str">
        <f t="shared" si="1120"/>
        <v/>
      </c>
      <c r="I217" s="8" t="str">
        <f t="shared" si="1120"/>
        <v/>
      </c>
      <c r="J217" s="8">
        <f t="shared" si="862"/>
        <v>0</v>
      </c>
      <c r="K217" s="8">
        <f t="shared" si="862"/>
        <v>0</v>
      </c>
      <c r="L217" s="8"/>
      <c r="M217" s="8" t="str">
        <f t="shared" ref="M217:O217" si="1121">M110</f>
        <v>A</v>
      </c>
      <c r="N217" s="8" t="str">
        <f t="shared" si="1121"/>
        <v/>
      </c>
      <c r="O217" s="8" t="str">
        <f t="shared" si="1121"/>
        <v/>
      </c>
      <c r="P217" s="8">
        <f t="shared" si="852"/>
        <v>0</v>
      </c>
      <c r="Q217" s="8">
        <f t="shared" si="852"/>
        <v>0</v>
      </c>
      <c r="R217" s="8"/>
      <c r="S217" s="8" t="str">
        <f t="shared" ref="S217:U217" si="1122">S110</f>
        <v>A</v>
      </c>
      <c r="T217" s="8" t="str">
        <f t="shared" si="1122"/>
        <v/>
      </c>
      <c r="U217" s="8" t="str">
        <f t="shared" si="1122"/>
        <v/>
      </c>
      <c r="V217">
        <f t="shared" si="865"/>
        <v>0</v>
      </c>
      <c r="W217">
        <f t="shared" si="865"/>
        <v>0</v>
      </c>
      <c r="Y217" s="8" t="str">
        <f t="shared" si="866"/>
        <v>A</v>
      </c>
      <c r="Z217" s="8"/>
      <c r="AB217">
        <f t="shared" si="867"/>
        <v>0</v>
      </c>
      <c r="AC217">
        <f t="shared" si="867"/>
        <v>0</v>
      </c>
      <c r="AE217" s="8" t="str">
        <f>Hidden!$CC93</f>
        <v/>
      </c>
      <c r="AF217">
        <f t="shared" si="868"/>
        <v>0</v>
      </c>
      <c r="AG217">
        <f t="shared" si="869"/>
        <v>0</v>
      </c>
      <c r="AH217">
        <f t="shared" si="870"/>
        <v>0</v>
      </c>
      <c r="AI217">
        <f t="shared" si="871"/>
        <v>0</v>
      </c>
      <c r="AJ217">
        <f t="shared" si="872"/>
        <v>0</v>
      </c>
      <c r="AK217">
        <f t="shared" si="873"/>
        <v>0</v>
      </c>
      <c r="AL217">
        <f t="shared" si="874"/>
        <v>0</v>
      </c>
      <c r="AM217">
        <f t="shared" si="875"/>
        <v>0</v>
      </c>
      <c r="AN217">
        <f t="shared" si="876"/>
        <v>0</v>
      </c>
      <c r="AO217">
        <f t="shared" si="877"/>
        <v>0</v>
      </c>
      <c r="BJ217" s="8" t="str">
        <f t="shared" ref="BJ217:BL217" si="1123">BJ110</f>
        <v>A</v>
      </c>
      <c r="BK217" s="8" t="str">
        <f t="shared" si="1123"/>
        <v/>
      </c>
      <c r="BL217" s="8" t="str">
        <f t="shared" si="1123"/>
        <v/>
      </c>
      <c r="BM217" s="8">
        <f t="shared" si="879"/>
        <v>0</v>
      </c>
      <c r="BN217" s="8">
        <f t="shared" si="880"/>
        <v>0</v>
      </c>
      <c r="BO217" s="8"/>
      <c r="BP217" s="8" t="str">
        <f t="shared" ref="BP217:BR217" si="1124">BP110</f>
        <v>A</v>
      </c>
      <c r="BQ217" s="8" t="str">
        <f t="shared" si="1124"/>
        <v/>
      </c>
      <c r="BR217" s="8" t="str">
        <f t="shared" si="1124"/>
        <v/>
      </c>
      <c r="BS217" s="8">
        <f t="shared" si="882"/>
        <v>0</v>
      </c>
      <c r="BT217" s="8">
        <f t="shared" si="883"/>
        <v>0</v>
      </c>
      <c r="BU217" s="8"/>
      <c r="BV217" s="8" t="str">
        <f t="shared" ref="BV217:BX217" si="1125">BV110</f>
        <v>A</v>
      </c>
      <c r="BW217" s="8" t="str">
        <f t="shared" si="1125"/>
        <v/>
      </c>
      <c r="BX217" s="8" t="str">
        <f t="shared" si="1125"/>
        <v/>
      </c>
      <c r="BY217" s="8">
        <f t="shared" si="885"/>
        <v>0</v>
      </c>
      <c r="BZ217" s="8">
        <f t="shared" si="886"/>
        <v>0</v>
      </c>
      <c r="CA217" s="8"/>
      <c r="CB217" s="8" t="str">
        <f t="shared" ref="CB217:CD217" si="1126">CB110</f>
        <v>A</v>
      </c>
      <c r="CC217" s="8" t="str">
        <f t="shared" si="1126"/>
        <v/>
      </c>
      <c r="CD217" s="8" t="str">
        <f t="shared" si="1126"/>
        <v/>
      </c>
      <c r="CE217" s="8">
        <f t="shared" si="888"/>
        <v>0</v>
      </c>
      <c r="CF217" s="8">
        <f t="shared" si="889"/>
        <v>0</v>
      </c>
      <c r="CG217" s="8"/>
      <c r="CH217" s="8" t="str">
        <f t="shared" ref="CH217:CJ217" si="1127">CH110</f>
        <v>A</v>
      </c>
      <c r="CI217" s="8" t="str">
        <f t="shared" si="1127"/>
        <v/>
      </c>
      <c r="CJ217" s="8" t="str">
        <f t="shared" si="1127"/>
        <v/>
      </c>
      <c r="CK217" s="8">
        <f t="shared" si="891"/>
        <v>0</v>
      </c>
      <c r="CL217" s="8">
        <f t="shared" si="892"/>
        <v>0</v>
      </c>
      <c r="CO217" s="8" t="str">
        <f>Hidden!$CC93</f>
        <v/>
      </c>
      <c r="CP217">
        <f t="shared" si="893"/>
        <v>0</v>
      </c>
      <c r="CQ217">
        <f t="shared" si="894"/>
        <v>0</v>
      </c>
      <c r="CR217">
        <f t="shared" si="895"/>
        <v>0</v>
      </c>
      <c r="CS217">
        <f t="shared" si="896"/>
        <v>0</v>
      </c>
      <c r="CT217">
        <f t="shared" si="897"/>
        <v>0</v>
      </c>
      <c r="CU217">
        <f t="shared" si="898"/>
        <v>0</v>
      </c>
      <c r="CV217">
        <f t="shared" si="899"/>
        <v>0</v>
      </c>
      <c r="CW217">
        <f t="shared" si="900"/>
        <v>0</v>
      </c>
      <c r="CX217">
        <f t="shared" si="901"/>
        <v>0</v>
      </c>
      <c r="CY217">
        <f t="shared" si="902"/>
        <v>0</v>
      </c>
      <c r="DT217" s="77"/>
      <c r="DU217" s="8"/>
      <c r="DV217" t="s">
        <v>165</v>
      </c>
      <c r="DW217" t="s">
        <v>323</v>
      </c>
      <c r="DX217" t="s">
        <v>324</v>
      </c>
      <c r="DY217" t="s">
        <v>325</v>
      </c>
      <c r="DZ217" t="s">
        <v>326</v>
      </c>
      <c r="EA217" t="s">
        <v>165</v>
      </c>
      <c r="EB217" t="s">
        <v>323</v>
      </c>
      <c r="EC217" t="s">
        <v>324</v>
      </c>
      <c r="ED217" t="s">
        <v>325</v>
      </c>
      <c r="EE217" t="s">
        <v>326</v>
      </c>
      <c r="EF217" t="s">
        <v>165</v>
      </c>
      <c r="EG217" t="s">
        <v>323</v>
      </c>
      <c r="EH217" t="s">
        <v>324</v>
      </c>
      <c r="EI217" t="s">
        <v>325</v>
      </c>
      <c r="EJ217" t="s">
        <v>326</v>
      </c>
      <c r="EK217" t="s">
        <v>165</v>
      </c>
      <c r="EL217" t="s">
        <v>323</v>
      </c>
      <c r="EM217" t="s">
        <v>324</v>
      </c>
      <c r="EN217" t="s">
        <v>325</v>
      </c>
      <c r="EO217" t="s">
        <v>326</v>
      </c>
      <c r="EP217" t="s">
        <v>165</v>
      </c>
      <c r="EQ217" t="s">
        <v>323</v>
      </c>
      <c r="ER217" t="s">
        <v>324</v>
      </c>
      <c r="ES217" t="s">
        <v>325</v>
      </c>
      <c r="ET217" t="s">
        <v>326</v>
      </c>
      <c r="EU217" t="s">
        <v>165</v>
      </c>
      <c r="EV217" t="s">
        <v>323</v>
      </c>
      <c r="EW217" t="s">
        <v>324</v>
      </c>
      <c r="EX217" t="s">
        <v>325</v>
      </c>
      <c r="EY217" t="s">
        <v>326</v>
      </c>
      <c r="EZ217" t="s">
        <v>165</v>
      </c>
      <c r="FA217" t="s">
        <v>323</v>
      </c>
      <c r="FB217" t="s">
        <v>324</v>
      </c>
      <c r="FC217" t="s">
        <v>325</v>
      </c>
      <c r="FD217" t="s">
        <v>326</v>
      </c>
      <c r="FE217" t="s">
        <v>165</v>
      </c>
      <c r="FF217" t="s">
        <v>323</v>
      </c>
      <c r="FG217" t="s">
        <v>324</v>
      </c>
      <c r="FH217" t="s">
        <v>325</v>
      </c>
      <c r="FI217" t="s">
        <v>326</v>
      </c>
      <c r="FJ217" t="s">
        <v>165</v>
      </c>
      <c r="FK217" t="s">
        <v>323</v>
      </c>
      <c r="FL217" t="s">
        <v>324</v>
      </c>
      <c r="FM217" t="s">
        <v>325</v>
      </c>
      <c r="FN217" t="s">
        <v>326</v>
      </c>
      <c r="FO217" t="s">
        <v>165</v>
      </c>
      <c r="FP217" t="s">
        <v>323</v>
      </c>
      <c r="FQ217" t="s">
        <v>324</v>
      </c>
      <c r="FR217" t="s">
        <v>325</v>
      </c>
      <c r="FS217" t="s">
        <v>326</v>
      </c>
      <c r="FT217" t="s">
        <v>165</v>
      </c>
      <c r="FU217" t="s">
        <v>323</v>
      </c>
      <c r="FV217" t="s">
        <v>324</v>
      </c>
      <c r="FW217" t="s">
        <v>325</v>
      </c>
      <c r="FX217" t="s">
        <v>326</v>
      </c>
      <c r="FY217" t="s">
        <v>165</v>
      </c>
      <c r="FZ217" t="s">
        <v>323</v>
      </c>
      <c r="GA217" t="s">
        <v>324</v>
      </c>
      <c r="GB217" t="s">
        <v>325</v>
      </c>
      <c r="GC217" t="s">
        <v>326</v>
      </c>
    </row>
    <row r="218" spans="1:185" x14ac:dyDescent="0.2">
      <c r="A218" s="8" t="str">
        <f t="shared" ref="A218:C218" si="1128">A111</f>
        <v>AA</v>
      </c>
      <c r="B218" s="8" t="str">
        <f t="shared" si="1128"/>
        <v/>
      </c>
      <c r="C218" s="8" t="str">
        <f t="shared" si="1128"/>
        <v/>
      </c>
      <c r="D218" s="8">
        <f t="shared" si="860"/>
        <v>0</v>
      </c>
      <c r="E218" s="8">
        <f t="shared" si="860"/>
        <v>0</v>
      </c>
      <c r="F218" s="8"/>
      <c r="G218" s="8" t="str">
        <f t="shared" ref="G218:I218" si="1129">G111</f>
        <v>AA</v>
      </c>
      <c r="H218" s="8" t="str">
        <f t="shared" si="1129"/>
        <v/>
      </c>
      <c r="I218" s="8" t="str">
        <f t="shared" si="1129"/>
        <v/>
      </c>
      <c r="J218" s="8">
        <f t="shared" si="862"/>
        <v>0</v>
      </c>
      <c r="K218" s="8">
        <f t="shared" si="862"/>
        <v>0</v>
      </c>
      <c r="L218" s="8"/>
      <c r="M218" s="8" t="str">
        <f t="shared" ref="M218:O218" si="1130">M111</f>
        <v>AA</v>
      </c>
      <c r="N218" s="8" t="str">
        <f t="shared" si="1130"/>
        <v/>
      </c>
      <c r="O218" s="8" t="str">
        <f t="shared" si="1130"/>
        <v/>
      </c>
      <c r="P218" s="8">
        <f t="shared" si="852"/>
        <v>0</v>
      </c>
      <c r="Q218" s="8">
        <f t="shared" si="852"/>
        <v>0</v>
      </c>
      <c r="R218" s="8"/>
      <c r="S218" s="8" t="str">
        <f t="shared" ref="S218:U218" si="1131">S111</f>
        <v>AA</v>
      </c>
      <c r="T218" s="8" t="str">
        <f t="shared" si="1131"/>
        <v/>
      </c>
      <c r="U218" s="8" t="str">
        <f t="shared" si="1131"/>
        <v/>
      </c>
      <c r="V218">
        <f t="shared" si="865"/>
        <v>0</v>
      </c>
      <c r="W218">
        <f t="shared" si="865"/>
        <v>0</v>
      </c>
      <c r="Y218" s="8" t="str">
        <f t="shared" si="866"/>
        <v>AA</v>
      </c>
      <c r="Z218" s="8"/>
      <c r="AB218">
        <f t="shared" si="867"/>
        <v>0</v>
      </c>
      <c r="AC218">
        <f t="shared" si="867"/>
        <v>0</v>
      </c>
      <c r="AE218" s="8" t="str">
        <f>Hidden!$CC94</f>
        <v/>
      </c>
      <c r="AF218">
        <f t="shared" si="868"/>
        <v>0</v>
      </c>
      <c r="AG218">
        <f t="shared" si="869"/>
        <v>0</v>
      </c>
      <c r="AH218">
        <f t="shared" si="870"/>
        <v>0</v>
      </c>
      <c r="AI218">
        <f t="shared" si="871"/>
        <v>0</v>
      </c>
      <c r="AJ218">
        <f t="shared" si="872"/>
        <v>0</v>
      </c>
      <c r="AK218">
        <f t="shared" si="873"/>
        <v>0</v>
      </c>
      <c r="AL218">
        <f t="shared" si="874"/>
        <v>0</v>
      </c>
      <c r="AM218">
        <f t="shared" si="875"/>
        <v>0</v>
      </c>
      <c r="AN218">
        <f t="shared" si="876"/>
        <v>0</v>
      </c>
      <c r="AO218">
        <f t="shared" si="877"/>
        <v>0</v>
      </c>
      <c r="BJ218" s="8" t="str">
        <f t="shared" ref="BJ218:BL218" si="1132">BJ111</f>
        <v>AA</v>
      </c>
      <c r="BK218" s="8" t="str">
        <f t="shared" si="1132"/>
        <v/>
      </c>
      <c r="BL218" s="8" t="str">
        <f t="shared" si="1132"/>
        <v/>
      </c>
      <c r="BM218" s="8">
        <f t="shared" si="879"/>
        <v>0</v>
      </c>
      <c r="BN218" s="8">
        <f t="shared" si="880"/>
        <v>0</v>
      </c>
      <c r="BO218" s="8"/>
      <c r="BP218" s="8" t="str">
        <f t="shared" ref="BP218:BR218" si="1133">BP111</f>
        <v>AA</v>
      </c>
      <c r="BQ218" s="8" t="str">
        <f t="shared" si="1133"/>
        <v/>
      </c>
      <c r="BR218" s="8" t="str">
        <f t="shared" si="1133"/>
        <v/>
      </c>
      <c r="BS218" s="8">
        <f t="shared" si="882"/>
        <v>0</v>
      </c>
      <c r="BT218" s="8">
        <f t="shared" si="883"/>
        <v>0</v>
      </c>
      <c r="BU218" s="8"/>
      <c r="BV218" s="8" t="str">
        <f t="shared" ref="BV218:BX218" si="1134">BV111</f>
        <v>AA</v>
      </c>
      <c r="BW218" s="8" t="str">
        <f t="shared" si="1134"/>
        <v/>
      </c>
      <c r="BX218" s="8" t="str">
        <f t="shared" si="1134"/>
        <v/>
      </c>
      <c r="BY218" s="8">
        <f t="shared" si="885"/>
        <v>0</v>
      </c>
      <c r="BZ218" s="8">
        <f t="shared" si="886"/>
        <v>0</v>
      </c>
      <c r="CA218" s="8"/>
      <c r="CB218" s="8" t="str">
        <f t="shared" ref="CB218:CD218" si="1135">CB111</f>
        <v>AA</v>
      </c>
      <c r="CC218" s="8" t="str">
        <f t="shared" si="1135"/>
        <v/>
      </c>
      <c r="CD218" s="8" t="str">
        <f t="shared" si="1135"/>
        <v/>
      </c>
      <c r="CE218" s="8">
        <f t="shared" si="888"/>
        <v>0</v>
      </c>
      <c r="CF218" s="8">
        <f t="shared" si="889"/>
        <v>0</v>
      </c>
      <c r="CG218" s="8"/>
      <c r="CH218" s="8" t="str">
        <f t="shared" ref="CH218:CJ218" si="1136">CH111</f>
        <v>AA</v>
      </c>
      <c r="CI218" s="8" t="str">
        <f t="shared" si="1136"/>
        <v/>
      </c>
      <c r="CJ218" s="8" t="str">
        <f t="shared" si="1136"/>
        <v/>
      </c>
      <c r="CK218" s="8">
        <f t="shared" si="891"/>
        <v>0</v>
      </c>
      <c r="CL218" s="8">
        <f t="shared" si="892"/>
        <v>0</v>
      </c>
      <c r="CO218" s="8" t="str">
        <f>Hidden!$CC94</f>
        <v/>
      </c>
      <c r="CP218">
        <f t="shared" si="893"/>
        <v>0</v>
      </c>
      <c r="CQ218">
        <f t="shared" si="894"/>
        <v>0</v>
      </c>
      <c r="CR218">
        <f t="shared" si="895"/>
        <v>0</v>
      </c>
      <c r="CS218">
        <f t="shared" si="896"/>
        <v>0</v>
      </c>
      <c r="CT218">
        <f t="shared" si="897"/>
        <v>0</v>
      </c>
      <c r="CU218">
        <f t="shared" si="898"/>
        <v>0</v>
      </c>
      <c r="CV218">
        <f t="shared" si="899"/>
        <v>0</v>
      </c>
      <c r="CW218">
        <f t="shared" si="900"/>
        <v>0</v>
      </c>
      <c r="CX218">
        <f t="shared" si="901"/>
        <v>0</v>
      </c>
      <c r="CY218">
        <f t="shared" si="902"/>
        <v>0</v>
      </c>
      <c r="DT218" s="77"/>
      <c r="DU218" s="8" t="s">
        <v>9754</v>
      </c>
      <c r="DV218" t="b">
        <f>IF(TankMSS!$C107="permanent flare",TRUE,FALSE)</f>
        <v>0</v>
      </c>
      <c r="DW218" t="b">
        <f>IF(TankMSS!$C108="permanent flare",TRUE,FALSE)</f>
        <v>0</v>
      </c>
      <c r="DX218" t="b">
        <f>IF(TankMSS!$C109="permanent flare",TRUE,FALSE)</f>
        <v>0</v>
      </c>
      <c r="DY218" t="b">
        <f>IF(TankMSS!$C110="permanent flare",TRUE,FALSE)</f>
        <v>0</v>
      </c>
      <c r="DZ218" t="b">
        <f>IF(TankMSS!$C111="permanent flare",TRUE,FALSE)</f>
        <v>0</v>
      </c>
      <c r="EA218" t="b">
        <f>DV$218</f>
        <v>0</v>
      </c>
      <c r="EB218" t="b">
        <f t="shared" ref="EB218:EE218" si="1137">DW$218</f>
        <v>0</v>
      </c>
      <c r="EC218" t="b">
        <f t="shared" si="1137"/>
        <v>0</v>
      </c>
      <c r="ED218" t="b">
        <f t="shared" si="1137"/>
        <v>0</v>
      </c>
      <c r="EE218" t="b">
        <f t="shared" si="1137"/>
        <v>0</v>
      </c>
      <c r="EF218" t="b">
        <f>IF(TankMSS!$C107="permanent vcu",TRUE,FALSE)</f>
        <v>0</v>
      </c>
      <c r="EG218" t="b">
        <f>IF(TankMSS!$C108="permanent vcu",TRUE,FALSE)</f>
        <v>0</v>
      </c>
      <c r="EH218" t="b">
        <f>IF(TankMSS!$C109="permanent vcu",TRUE,FALSE)</f>
        <v>0</v>
      </c>
      <c r="EI218" t="b">
        <f>IF(TankMSS!$C110="permanent vcu",TRUE,FALSE)</f>
        <v>0</v>
      </c>
      <c r="EJ218" t="b">
        <f>IF(TankMSS!$C111="permanent vcu",TRUE,FALSE)</f>
        <v>0</v>
      </c>
      <c r="EK218" t="b">
        <f>EF$218</f>
        <v>0</v>
      </c>
      <c r="EL218" t="b">
        <f t="shared" ref="EL218:EO218" si="1138">EG$218</f>
        <v>0</v>
      </c>
      <c r="EM218" t="b">
        <f t="shared" si="1138"/>
        <v>0</v>
      </c>
      <c r="EN218" t="b">
        <f t="shared" si="1138"/>
        <v>0</v>
      </c>
      <c r="EO218" t="b">
        <f t="shared" si="1138"/>
        <v>0</v>
      </c>
      <c r="EP218" t="b">
        <f>IF(TankMSS!$C107="permanent vapor ozidizer",TRUE,FALSE)</f>
        <v>0</v>
      </c>
      <c r="EQ218" t="b">
        <f>IF(TankMSS!$C108="permanent vapor ozidizer",TRUE,FALSE)</f>
        <v>0</v>
      </c>
      <c r="ER218" t="b">
        <f>IF(TankMSS!$C109="permanent vapor ozidizer",TRUE,FALSE)</f>
        <v>0</v>
      </c>
      <c r="ES218" t="b">
        <f>IF(TankMSS!$C110="permanent vapor ozidizer",TRUE,FALSE)</f>
        <v>0</v>
      </c>
      <c r="ET218" t="b">
        <f>IF(TankMSS!$C111="permanent vapor ozidizer",TRUE,FALSE)</f>
        <v>0</v>
      </c>
      <c r="EU218" t="b">
        <f>EP$218</f>
        <v>0</v>
      </c>
      <c r="EV218" t="b">
        <f t="shared" ref="EV218" si="1139">EQ$218</f>
        <v>0</v>
      </c>
      <c r="EW218" t="b">
        <f>ER$218</f>
        <v>0</v>
      </c>
      <c r="EX218" t="b">
        <f>ES$218</f>
        <v>0</v>
      </c>
      <c r="EY218" t="b">
        <f>ET$218</f>
        <v>0</v>
      </c>
      <c r="EZ218" t="b">
        <f>IF(TankMSS!$C107="temporary flare",TRUE, FALSE)</f>
        <v>0</v>
      </c>
      <c r="FA218" t="b">
        <f>IF(TankMSS!$C108="temporary flare",TRUE, FALSE)</f>
        <v>0</v>
      </c>
      <c r="FB218" t="b">
        <f>IF(TankMSS!$C109="temporary flare",TRUE, FALSE)</f>
        <v>0</v>
      </c>
      <c r="FC218" t="b">
        <f>IF(TankMSS!$C110="temporary flare",TRUE, FALSE)</f>
        <v>0</v>
      </c>
      <c r="FD218" t="b">
        <f>IF(TankMSS!$C111="temporary flare",TRUE, FALSE)</f>
        <v>0</v>
      </c>
      <c r="FE218" t="b">
        <f>EZ$218</f>
        <v>0</v>
      </c>
      <c r="FF218" t="b">
        <f t="shared" ref="FF218:FI218" si="1140">FA$218</f>
        <v>0</v>
      </c>
      <c r="FG218" t="b">
        <f t="shared" si="1140"/>
        <v>0</v>
      </c>
      <c r="FH218" t="b">
        <f t="shared" si="1140"/>
        <v>0</v>
      </c>
      <c r="FI218" t="b">
        <f t="shared" si="1140"/>
        <v>0</v>
      </c>
      <c r="FJ218" t="b">
        <f>IF(TankMSS!$C107="temporary vcu",TRUE,FALSE)</f>
        <v>0</v>
      </c>
      <c r="FK218" t="b">
        <f>IF(TankMSS!$C108="temporary vcu",TRUE,FALSE)</f>
        <v>0</v>
      </c>
      <c r="FL218" t="b">
        <f>IF(TankMSS!$C109="temporary vcu",TRUE,FALSE)</f>
        <v>0</v>
      </c>
      <c r="FM218" t="b">
        <f>IF(TankMSS!$C110="temporary vcu",TRUE,FALSE)</f>
        <v>0</v>
      </c>
      <c r="FN218" t="b">
        <f>IF(TankMSS!$C111="temporary vcu",TRUE,FALSE)</f>
        <v>0</v>
      </c>
      <c r="FO218" t="b">
        <f>FJ$218</f>
        <v>0</v>
      </c>
      <c r="FP218" t="b">
        <f t="shared" ref="FP218:FS218" si="1141">FK$218</f>
        <v>0</v>
      </c>
      <c r="FQ218" t="b">
        <f t="shared" si="1141"/>
        <v>0</v>
      </c>
      <c r="FR218" t="b">
        <f t="shared" si="1141"/>
        <v>0</v>
      </c>
      <c r="FS218" t="b">
        <f t="shared" si="1141"/>
        <v>0</v>
      </c>
      <c r="FT218" t="b">
        <f>IF(TankMSS!$C107="temporary thermal oxidizer",TRUE,FALSE)</f>
        <v>0</v>
      </c>
      <c r="FU218" t="b">
        <f>IF(TankMSS!$C108="temporary thermal oxidizer",TRUE,FALSE)</f>
        <v>0</v>
      </c>
      <c r="FV218" t="b">
        <f>IF(TankMSS!$C109="temporary thermal oxidizer",TRUE,FALSE)</f>
        <v>0</v>
      </c>
      <c r="FW218" t="b">
        <f>IF(TankMSS!$C110="temporary thermal oxidizer",TRUE,FALSE)</f>
        <v>0</v>
      </c>
      <c r="FX218" t="b">
        <f>IF(TankMSS!$C111="temporary thermal oxidizer",TRUE,FALSE)</f>
        <v>0</v>
      </c>
      <c r="FY218" t="b">
        <f>FT$218</f>
        <v>0</v>
      </c>
      <c r="FZ218" t="b">
        <f t="shared" ref="FZ218:GC218" si="1142">FU$218</f>
        <v>0</v>
      </c>
      <c r="GA218" t="b">
        <f t="shared" si="1142"/>
        <v>0</v>
      </c>
      <c r="GB218" t="b">
        <f t="shared" si="1142"/>
        <v>0</v>
      </c>
      <c r="GC218" t="b">
        <f t="shared" si="1142"/>
        <v>0</v>
      </c>
    </row>
    <row r="219" spans="1:185" x14ac:dyDescent="0.2">
      <c r="A219" s="8" t="str">
        <f t="shared" ref="A219:C219" si="1143">A112</f>
        <v>AAA</v>
      </c>
      <c r="B219" s="8" t="str">
        <f t="shared" si="1143"/>
        <v/>
      </c>
      <c r="C219" s="8" t="str">
        <f t="shared" si="1143"/>
        <v/>
      </c>
      <c r="D219" s="8">
        <f t="shared" si="860"/>
        <v>0</v>
      </c>
      <c r="E219" s="8">
        <f t="shared" si="860"/>
        <v>0</v>
      </c>
      <c r="F219" s="8"/>
      <c r="G219" s="8" t="str">
        <f t="shared" ref="G219:I219" si="1144">G112</f>
        <v>AAA</v>
      </c>
      <c r="H219" s="8" t="str">
        <f t="shared" si="1144"/>
        <v/>
      </c>
      <c r="I219" s="8" t="str">
        <f t="shared" si="1144"/>
        <v/>
      </c>
      <c r="J219" s="8">
        <f t="shared" si="862"/>
        <v>0</v>
      </c>
      <c r="K219" s="8">
        <f t="shared" si="862"/>
        <v>0</v>
      </c>
      <c r="L219" s="8"/>
      <c r="M219" s="8" t="str">
        <f t="shared" ref="M219:O219" si="1145">M112</f>
        <v>AAA</v>
      </c>
      <c r="N219" s="8" t="str">
        <f t="shared" si="1145"/>
        <v/>
      </c>
      <c r="O219" s="8" t="str">
        <f t="shared" si="1145"/>
        <v/>
      </c>
      <c r="P219" s="8">
        <f t="shared" si="852"/>
        <v>0</v>
      </c>
      <c r="Q219" s="8">
        <f t="shared" si="852"/>
        <v>0</v>
      </c>
      <c r="R219" s="8"/>
      <c r="S219" s="8" t="str">
        <f t="shared" ref="S219:U219" si="1146">S112</f>
        <v>AAA</v>
      </c>
      <c r="T219" s="8" t="str">
        <f t="shared" si="1146"/>
        <v/>
      </c>
      <c r="U219" s="8" t="str">
        <f t="shared" si="1146"/>
        <v/>
      </c>
      <c r="V219">
        <f t="shared" si="865"/>
        <v>0</v>
      </c>
      <c r="W219">
        <f t="shared" si="865"/>
        <v>0</v>
      </c>
      <c r="Y219" s="8" t="str">
        <f t="shared" si="866"/>
        <v>AAA</v>
      </c>
      <c r="Z219" s="8"/>
      <c r="AB219">
        <f t="shared" si="867"/>
        <v>0</v>
      </c>
      <c r="AC219">
        <f t="shared" si="867"/>
        <v>0</v>
      </c>
      <c r="AE219" s="8" t="str">
        <f>Hidden!$CC95</f>
        <v/>
      </c>
      <c r="AF219">
        <f t="shared" si="868"/>
        <v>0</v>
      </c>
      <c r="AG219">
        <f t="shared" si="869"/>
        <v>0</v>
      </c>
      <c r="AH219">
        <f t="shared" si="870"/>
        <v>0</v>
      </c>
      <c r="AI219">
        <f t="shared" si="871"/>
        <v>0</v>
      </c>
      <c r="AJ219">
        <f t="shared" si="872"/>
        <v>0</v>
      </c>
      <c r="AK219">
        <f t="shared" si="873"/>
        <v>0</v>
      </c>
      <c r="AL219">
        <f t="shared" si="874"/>
        <v>0</v>
      </c>
      <c r="AM219">
        <f t="shared" si="875"/>
        <v>0</v>
      </c>
      <c r="AN219">
        <f t="shared" si="876"/>
        <v>0</v>
      </c>
      <c r="AO219">
        <f t="shared" si="877"/>
        <v>0</v>
      </c>
      <c r="BJ219" s="8" t="str">
        <f t="shared" ref="BJ219:BL219" si="1147">BJ112</f>
        <v>AAA</v>
      </c>
      <c r="BK219" s="8" t="str">
        <f t="shared" si="1147"/>
        <v/>
      </c>
      <c r="BL219" s="8" t="str">
        <f t="shared" si="1147"/>
        <v/>
      </c>
      <c r="BM219" s="8">
        <f t="shared" si="879"/>
        <v>0</v>
      </c>
      <c r="BN219" s="8">
        <f t="shared" si="880"/>
        <v>0</v>
      </c>
      <c r="BO219" s="8"/>
      <c r="BP219" s="8" t="str">
        <f t="shared" ref="BP219:BR219" si="1148">BP112</f>
        <v>AAA</v>
      </c>
      <c r="BQ219" s="8" t="str">
        <f t="shared" si="1148"/>
        <v/>
      </c>
      <c r="BR219" s="8" t="str">
        <f t="shared" si="1148"/>
        <v/>
      </c>
      <c r="BS219" s="8">
        <f t="shared" si="882"/>
        <v>0</v>
      </c>
      <c r="BT219" s="8">
        <f t="shared" si="883"/>
        <v>0</v>
      </c>
      <c r="BU219" s="8"/>
      <c r="BV219" s="8" t="str">
        <f t="shared" ref="BV219:BX219" si="1149">BV112</f>
        <v>AAA</v>
      </c>
      <c r="BW219" s="8" t="str">
        <f t="shared" si="1149"/>
        <v/>
      </c>
      <c r="BX219" s="8" t="str">
        <f t="shared" si="1149"/>
        <v/>
      </c>
      <c r="BY219" s="8">
        <f t="shared" si="885"/>
        <v>0</v>
      </c>
      <c r="BZ219" s="8">
        <f t="shared" si="886"/>
        <v>0</v>
      </c>
      <c r="CA219" s="8"/>
      <c r="CB219" s="8" t="str">
        <f t="shared" ref="CB219:CD219" si="1150">CB112</f>
        <v>AAA</v>
      </c>
      <c r="CC219" s="8" t="str">
        <f t="shared" si="1150"/>
        <v/>
      </c>
      <c r="CD219" s="8" t="str">
        <f t="shared" si="1150"/>
        <v/>
      </c>
      <c r="CE219" s="8">
        <f t="shared" si="888"/>
        <v>0</v>
      </c>
      <c r="CF219" s="8">
        <f t="shared" si="889"/>
        <v>0</v>
      </c>
      <c r="CG219" s="8"/>
      <c r="CH219" s="8" t="str">
        <f t="shared" ref="CH219:CJ219" si="1151">CH112</f>
        <v>AAA</v>
      </c>
      <c r="CI219" s="8" t="str">
        <f t="shared" si="1151"/>
        <v/>
      </c>
      <c r="CJ219" s="8" t="str">
        <f t="shared" si="1151"/>
        <v/>
      </c>
      <c r="CK219" s="8">
        <f t="shared" si="891"/>
        <v>0</v>
      </c>
      <c r="CL219" s="8">
        <f t="shared" si="892"/>
        <v>0</v>
      </c>
      <c r="CO219" s="8" t="str">
        <f>Hidden!$CC95</f>
        <v/>
      </c>
      <c r="CP219">
        <f t="shared" si="893"/>
        <v>0</v>
      </c>
      <c r="CQ219">
        <f t="shared" si="894"/>
        <v>0</v>
      </c>
      <c r="CR219">
        <f t="shared" si="895"/>
        <v>0</v>
      </c>
      <c r="CS219">
        <f t="shared" si="896"/>
        <v>0</v>
      </c>
      <c r="CT219">
        <f t="shared" si="897"/>
        <v>0</v>
      </c>
      <c r="CU219">
        <f t="shared" si="898"/>
        <v>0</v>
      </c>
      <c r="CV219">
        <f t="shared" si="899"/>
        <v>0</v>
      </c>
      <c r="CW219">
        <f t="shared" si="900"/>
        <v>0</v>
      </c>
      <c r="CX219">
        <f t="shared" si="901"/>
        <v>0</v>
      </c>
      <c r="CY219">
        <f t="shared" si="902"/>
        <v>0</v>
      </c>
      <c r="DT219" s="77"/>
      <c r="DU219" s="8"/>
      <c r="DV219" t="s">
        <v>8741</v>
      </c>
      <c r="DW219" t="s">
        <v>8741</v>
      </c>
      <c r="DX219" t="s">
        <v>8741</v>
      </c>
      <c r="DY219" t="s">
        <v>8741</v>
      </c>
      <c r="DZ219" t="s">
        <v>8741</v>
      </c>
      <c r="EA219" t="s">
        <v>8742</v>
      </c>
      <c r="EB219" t="s">
        <v>8742</v>
      </c>
      <c r="EC219" t="s">
        <v>8742</v>
      </c>
      <c r="ED219" t="s">
        <v>8742</v>
      </c>
      <c r="EE219" t="s">
        <v>8742</v>
      </c>
      <c r="EF219" t="s">
        <v>8741</v>
      </c>
      <c r="EG219" t="s">
        <v>8741</v>
      </c>
      <c r="EH219" t="s">
        <v>8741</v>
      </c>
      <c r="EI219" t="s">
        <v>8741</v>
      </c>
      <c r="EJ219" t="s">
        <v>8741</v>
      </c>
      <c r="EK219" t="s">
        <v>8742</v>
      </c>
      <c r="EL219" t="s">
        <v>8742</v>
      </c>
      <c r="EM219" t="s">
        <v>8742</v>
      </c>
      <c r="EN219" t="s">
        <v>8742</v>
      </c>
      <c r="EO219" t="s">
        <v>8742</v>
      </c>
      <c r="EP219" t="s">
        <v>8741</v>
      </c>
      <c r="EQ219" t="s">
        <v>8741</v>
      </c>
      <c r="ER219" t="s">
        <v>8741</v>
      </c>
      <c r="ES219" t="s">
        <v>8741</v>
      </c>
      <c r="ET219" t="s">
        <v>8741</v>
      </c>
      <c r="EU219" t="s">
        <v>8742</v>
      </c>
      <c r="EV219" t="s">
        <v>8742</v>
      </c>
      <c r="EW219" t="s">
        <v>8742</v>
      </c>
      <c r="EX219" t="s">
        <v>8742</v>
      </c>
      <c r="EY219" t="s">
        <v>8742</v>
      </c>
      <c r="EZ219" t="s">
        <v>8741</v>
      </c>
      <c r="FA219" t="s">
        <v>8741</v>
      </c>
      <c r="FB219" t="s">
        <v>8741</v>
      </c>
      <c r="FC219" t="s">
        <v>8741</v>
      </c>
      <c r="FD219" t="s">
        <v>8741</v>
      </c>
      <c r="FE219" t="s">
        <v>8742</v>
      </c>
      <c r="FF219" t="s">
        <v>8742</v>
      </c>
      <c r="FG219" t="s">
        <v>8742</v>
      </c>
      <c r="FH219" t="s">
        <v>8742</v>
      </c>
      <c r="FI219" t="s">
        <v>8742</v>
      </c>
      <c r="FJ219" t="s">
        <v>8741</v>
      </c>
      <c r="FK219" t="s">
        <v>8741</v>
      </c>
      <c r="FL219" t="s">
        <v>8741</v>
      </c>
      <c r="FM219" t="s">
        <v>8741</v>
      </c>
      <c r="FN219" t="s">
        <v>8741</v>
      </c>
      <c r="FO219" t="s">
        <v>8742</v>
      </c>
      <c r="FP219" t="s">
        <v>8742</v>
      </c>
      <c r="FQ219" t="s">
        <v>8742</v>
      </c>
      <c r="FR219" t="s">
        <v>8742</v>
      </c>
      <c r="FS219" t="s">
        <v>8742</v>
      </c>
      <c r="FT219" t="s">
        <v>8741</v>
      </c>
      <c r="FU219" t="s">
        <v>8741</v>
      </c>
      <c r="FV219" t="s">
        <v>8741</v>
      </c>
      <c r="FW219" t="s">
        <v>8741</v>
      </c>
      <c r="FX219" t="s">
        <v>8741</v>
      </c>
      <c r="FY219" t="s">
        <v>8742</v>
      </c>
      <c r="FZ219" t="s">
        <v>8742</v>
      </c>
      <c r="GA219" t="s">
        <v>8742</v>
      </c>
      <c r="GB219" t="s">
        <v>8742</v>
      </c>
      <c r="GC219" t="s">
        <v>8742</v>
      </c>
    </row>
    <row r="220" spans="1:185" x14ac:dyDescent="0.2">
      <c r="A220" s="8" t="str">
        <f t="shared" ref="A220:C220" si="1152">A113</f>
        <v>AAAA</v>
      </c>
      <c r="B220" s="8" t="str">
        <f t="shared" si="1152"/>
        <v/>
      </c>
      <c r="C220" s="8" t="str">
        <f t="shared" si="1152"/>
        <v/>
      </c>
      <c r="D220" s="8">
        <f t="shared" si="860"/>
        <v>0</v>
      </c>
      <c r="E220" s="8">
        <f t="shared" si="860"/>
        <v>0</v>
      </c>
      <c r="F220" s="8"/>
      <c r="G220" s="8" t="str">
        <f t="shared" ref="G220:I220" si="1153">G113</f>
        <v>AAAA</v>
      </c>
      <c r="H220" s="8" t="str">
        <f t="shared" si="1153"/>
        <v/>
      </c>
      <c r="I220" s="8" t="str">
        <f t="shared" si="1153"/>
        <v/>
      </c>
      <c r="J220" s="8">
        <f t="shared" si="862"/>
        <v>0</v>
      </c>
      <c r="K220" s="8">
        <f t="shared" si="862"/>
        <v>0</v>
      </c>
      <c r="L220" s="8"/>
      <c r="M220" s="8" t="str">
        <f t="shared" ref="M220:O220" si="1154">M113</f>
        <v>AAAA</v>
      </c>
      <c r="N220" s="8" t="str">
        <f t="shared" si="1154"/>
        <v/>
      </c>
      <c r="O220" s="8" t="str">
        <f t="shared" si="1154"/>
        <v/>
      </c>
      <c r="P220" s="8">
        <f t="shared" si="852"/>
        <v>0</v>
      </c>
      <c r="Q220" s="8">
        <f t="shared" si="852"/>
        <v>0</v>
      </c>
      <c r="R220" s="8"/>
      <c r="S220" s="8" t="str">
        <f t="shared" ref="S220:U220" si="1155">S113</f>
        <v>AAAA</v>
      </c>
      <c r="T220" s="8" t="str">
        <f t="shared" si="1155"/>
        <v/>
      </c>
      <c r="U220" s="8" t="str">
        <f t="shared" si="1155"/>
        <v/>
      </c>
      <c r="V220">
        <f t="shared" si="865"/>
        <v>0</v>
      </c>
      <c r="W220">
        <f t="shared" si="865"/>
        <v>0</v>
      </c>
      <c r="Y220" s="8" t="str">
        <f t="shared" si="866"/>
        <v>AAAA</v>
      </c>
      <c r="Z220" s="8"/>
      <c r="AB220">
        <f t="shared" si="867"/>
        <v>0</v>
      </c>
      <c r="AC220">
        <f t="shared" si="867"/>
        <v>0</v>
      </c>
      <c r="AE220" s="8" t="str">
        <f>Hidden!$CC96</f>
        <v/>
      </c>
      <c r="AF220">
        <f t="shared" si="868"/>
        <v>0</v>
      </c>
      <c r="AG220">
        <f t="shared" si="869"/>
        <v>0</v>
      </c>
      <c r="AH220">
        <f t="shared" si="870"/>
        <v>0</v>
      </c>
      <c r="AI220">
        <f t="shared" si="871"/>
        <v>0</v>
      </c>
      <c r="AJ220">
        <f t="shared" si="872"/>
        <v>0</v>
      </c>
      <c r="AK220">
        <f t="shared" si="873"/>
        <v>0</v>
      </c>
      <c r="AL220">
        <f t="shared" si="874"/>
        <v>0</v>
      </c>
      <c r="AM220">
        <f t="shared" si="875"/>
        <v>0</v>
      </c>
      <c r="AN220">
        <f t="shared" si="876"/>
        <v>0</v>
      </c>
      <c r="AO220">
        <f t="shared" si="877"/>
        <v>0</v>
      </c>
      <c r="BJ220" s="8" t="str">
        <f t="shared" ref="BJ220:BL220" si="1156">BJ113</f>
        <v>AAAA</v>
      </c>
      <c r="BK220" s="8" t="str">
        <f t="shared" si="1156"/>
        <v/>
      </c>
      <c r="BL220" s="8" t="str">
        <f t="shared" si="1156"/>
        <v/>
      </c>
      <c r="BM220" s="8">
        <f t="shared" si="879"/>
        <v>0</v>
      </c>
      <c r="BN220" s="8">
        <f t="shared" si="880"/>
        <v>0</v>
      </c>
      <c r="BO220" s="8"/>
      <c r="BP220" s="8" t="str">
        <f t="shared" ref="BP220:BR220" si="1157">BP113</f>
        <v>AAAA</v>
      </c>
      <c r="BQ220" s="8" t="str">
        <f t="shared" si="1157"/>
        <v/>
      </c>
      <c r="BR220" s="8" t="str">
        <f t="shared" si="1157"/>
        <v/>
      </c>
      <c r="BS220" s="8">
        <f t="shared" si="882"/>
        <v>0</v>
      </c>
      <c r="BT220" s="8">
        <f t="shared" si="883"/>
        <v>0</v>
      </c>
      <c r="BU220" s="8"/>
      <c r="BV220" s="8" t="str">
        <f t="shared" ref="BV220:BX220" si="1158">BV113</f>
        <v>AAAA</v>
      </c>
      <c r="BW220" s="8" t="str">
        <f t="shared" si="1158"/>
        <v/>
      </c>
      <c r="BX220" s="8" t="str">
        <f t="shared" si="1158"/>
        <v/>
      </c>
      <c r="BY220" s="8">
        <f t="shared" si="885"/>
        <v>0</v>
      </c>
      <c r="BZ220" s="8">
        <f t="shared" si="886"/>
        <v>0</v>
      </c>
      <c r="CA220" s="8"/>
      <c r="CB220" s="8" t="str">
        <f t="shared" ref="CB220:CD220" si="1159">CB113</f>
        <v>AAAA</v>
      </c>
      <c r="CC220" s="8" t="str">
        <f t="shared" si="1159"/>
        <v/>
      </c>
      <c r="CD220" s="8" t="str">
        <f t="shared" si="1159"/>
        <v/>
      </c>
      <c r="CE220" s="8">
        <f t="shared" si="888"/>
        <v>0</v>
      </c>
      <c r="CF220" s="8">
        <f t="shared" si="889"/>
        <v>0</v>
      </c>
      <c r="CG220" s="8"/>
      <c r="CH220" s="8" t="str">
        <f t="shared" ref="CH220:CJ220" si="1160">CH113</f>
        <v>AAAA</v>
      </c>
      <c r="CI220" s="8" t="str">
        <f t="shared" si="1160"/>
        <v/>
      </c>
      <c r="CJ220" s="8" t="str">
        <f t="shared" si="1160"/>
        <v/>
      </c>
      <c r="CK220" s="8">
        <f t="shared" si="891"/>
        <v>0</v>
      </c>
      <c r="CL220" s="8">
        <f t="shared" si="892"/>
        <v>0</v>
      </c>
      <c r="CO220" s="8" t="str">
        <f>Hidden!$CC96</f>
        <v/>
      </c>
      <c r="CP220">
        <f t="shared" si="893"/>
        <v>0</v>
      </c>
      <c r="CQ220">
        <f t="shared" si="894"/>
        <v>0</v>
      </c>
      <c r="CR220">
        <f t="shared" si="895"/>
        <v>0</v>
      </c>
      <c r="CS220">
        <f t="shared" si="896"/>
        <v>0</v>
      </c>
      <c r="CT220">
        <f t="shared" si="897"/>
        <v>0</v>
      </c>
      <c r="CU220">
        <f t="shared" si="898"/>
        <v>0</v>
      </c>
      <c r="CV220">
        <f t="shared" si="899"/>
        <v>0</v>
      </c>
      <c r="CW220">
        <f t="shared" si="900"/>
        <v>0</v>
      </c>
      <c r="CX220">
        <f t="shared" si="901"/>
        <v>0</v>
      </c>
      <c r="CY220">
        <f t="shared" si="902"/>
        <v>0</v>
      </c>
      <c r="DT220" s="77"/>
      <c r="DU220" s="8" t="str">
        <f>Hidden!$CG3</f>
        <v/>
      </c>
      <c r="DV220">
        <f>IF(DV$218,EZ115,0)</f>
        <v>0</v>
      </c>
      <c r="DW220">
        <f t="shared" ref="DW220:EE220" si="1161">IF(DW$218,FA115,0)</f>
        <v>0</v>
      </c>
      <c r="DX220">
        <f t="shared" si="1161"/>
        <v>0</v>
      </c>
      <c r="DY220">
        <f t="shared" si="1161"/>
        <v>0</v>
      </c>
      <c r="DZ220">
        <f t="shared" si="1161"/>
        <v>0</v>
      </c>
      <c r="EA220">
        <f t="shared" si="1161"/>
        <v>0</v>
      </c>
      <c r="EB220">
        <f t="shared" si="1161"/>
        <v>0</v>
      </c>
      <c r="EC220">
        <f t="shared" si="1161"/>
        <v>0</v>
      </c>
      <c r="ED220">
        <f t="shared" si="1161"/>
        <v>0</v>
      </c>
      <c r="EE220">
        <f t="shared" si="1161"/>
        <v>0</v>
      </c>
      <c r="EF220">
        <f>IF(EF$218,EZ115,0)</f>
        <v>0</v>
      </c>
      <c r="EG220">
        <f t="shared" ref="EG220:EO220" si="1162">IF(EG$218,FA115,0)</f>
        <v>0</v>
      </c>
      <c r="EH220">
        <f t="shared" si="1162"/>
        <v>0</v>
      </c>
      <c r="EI220">
        <f t="shared" si="1162"/>
        <v>0</v>
      </c>
      <c r="EJ220">
        <f t="shared" si="1162"/>
        <v>0</v>
      </c>
      <c r="EK220">
        <f t="shared" si="1162"/>
        <v>0</v>
      </c>
      <c r="EL220">
        <f t="shared" si="1162"/>
        <v>0</v>
      </c>
      <c r="EM220">
        <f t="shared" si="1162"/>
        <v>0</v>
      </c>
      <c r="EN220">
        <f t="shared" si="1162"/>
        <v>0</v>
      </c>
      <c r="EO220">
        <f t="shared" si="1162"/>
        <v>0</v>
      </c>
      <c r="EP220">
        <f>IF(EP$218,EZ115,0)</f>
        <v>0</v>
      </c>
      <c r="EQ220">
        <f t="shared" ref="EQ220:EY220" si="1163">IF(EQ$218,FA115,0)</f>
        <v>0</v>
      </c>
      <c r="ER220">
        <f t="shared" si="1163"/>
        <v>0</v>
      </c>
      <c r="ES220">
        <f>IF(ES$218,FC115,0)</f>
        <v>0</v>
      </c>
      <c r="ET220">
        <f>IF(ET$218,FD115,0)</f>
        <v>0</v>
      </c>
      <c r="EU220">
        <f t="shared" si="1163"/>
        <v>0</v>
      </c>
      <c r="EV220">
        <f t="shared" si="1163"/>
        <v>0</v>
      </c>
      <c r="EW220">
        <f>IF(EW$218,FG115,0)</f>
        <v>0</v>
      </c>
      <c r="EX220">
        <f t="shared" si="1163"/>
        <v>0</v>
      </c>
      <c r="EY220">
        <f t="shared" si="1163"/>
        <v>0</v>
      </c>
      <c r="EZ220">
        <f>IF(EZ$218,EZ115,0)</f>
        <v>0</v>
      </c>
      <c r="FA220">
        <f t="shared" ref="FA220:FI220" si="1164">IF(FA$218,FA115,0)</f>
        <v>0</v>
      </c>
      <c r="FB220">
        <f t="shared" si="1164"/>
        <v>0</v>
      </c>
      <c r="FC220">
        <f>IF(FC$218,FC115,0)</f>
        <v>0</v>
      </c>
      <c r="FD220">
        <f t="shared" si="1164"/>
        <v>0</v>
      </c>
      <c r="FE220">
        <f t="shared" si="1164"/>
        <v>0</v>
      </c>
      <c r="FF220">
        <f t="shared" si="1164"/>
        <v>0</v>
      </c>
      <c r="FG220">
        <f t="shared" si="1164"/>
        <v>0</v>
      </c>
      <c r="FH220">
        <f t="shared" si="1164"/>
        <v>0</v>
      </c>
      <c r="FI220">
        <f t="shared" si="1164"/>
        <v>0</v>
      </c>
      <c r="FJ220">
        <f>IF(FJ$218,EZ115,0)</f>
        <v>0</v>
      </c>
      <c r="FK220">
        <f t="shared" ref="FK220:FS220" si="1165">IF(FK$218,FA115,0)</f>
        <v>0</v>
      </c>
      <c r="FL220">
        <f t="shared" si="1165"/>
        <v>0</v>
      </c>
      <c r="FM220">
        <f>IF(FM$218,FC115,0)</f>
        <v>0</v>
      </c>
      <c r="FN220">
        <f t="shared" si="1165"/>
        <v>0</v>
      </c>
      <c r="FO220">
        <f t="shared" si="1165"/>
        <v>0</v>
      </c>
      <c r="FP220">
        <f t="shared" si="1165"/>
        <v>0</v>
      </c>
      <c r="FQ220">
        <f t="shared" si="1165"/>
        <v>0</v>
      </c>
      <c r="FR220">
        <f t="shared" si="1165"/>
        <v>0</v>
      </c>
      <c r="FS220">
        <f t="shared" si="1165"/>
        <v>0</v>
      </c>
      <c r="FT220">
        <f>IF(FT$218,EZ115,0)</f>
        <v>0</v>
      </c>
      <c r="FU220">
        <f t="shared" ref="FU220:GC220" si="1166">IF(FU$218,FA115,0)</f>
        <v>0</v>
      </c>
      <c r="FV220">
        <f t="shared" si="1166"/>
        <v>0</v>
      </c>
      <c r="FW220">
        <f t="shared" si="1166"/>
        <v>0</v>
      </c>
      <c r="FX220">
        <f t="shared" si="1166"/>
        <v>0</v>
      </c>
      <c r="FY220">
        <f>IF(FY$218,FE115,0)</f>
        <v>0</v>
      </c>
      <c r="FZ220">
        <f t="shared" si="1166"/>
        <v>0</v>
      </c>
      <c r="GA220">
        <f t="shared" si="1166"/>
        <v>0</v>
      </c>
      <c r="GB220">
        <f t="shared" si="1166"/>
        <v>0</v>
      </c>
      <c r="GC220">
        <f t="shared" si="1166"/>
        <v>0</v>
      </c>
    </row>
    <row r="221" spans="1:185" x14ac:dyDescent="0.2">
      <c r="A221" s="8" t="str">
        <f t="shared" ref="A221:C221" si="1167">A114</f>
        <v>AAAAA</v>
      </c>
      <c r="B221" s="8" t="str">
        <f t="shared" si="1167"/>
        <v/>
      </c>
      <c r="C221" s="8" t="str">
        <f t="shared" si="1167"/>
        <v/>
      </c>
      <c r="D221" s="8">
        <f t="shared" si="860"/>
        <v>0</v>
      </c>
      <c r="E221" s="8">
        <f t="shared" si="860"/>
        <v>0</v>
      </c>
      <c r="F221" s="8"/>
      <c r="G221" s="8" t="str">
        <f t="shared" ref="G221:I221" si="1168">G114</f>
        <v>AAAAA</v>
      </c>
      <c r="H221" s="8" t="str">
        <f t="shared" si="1168"/>
        <v/>
      </c>
      <c r="I221" s="8" t="str">
        <f t="shared" si="1168"/>
        <v/>
      </c>
      <c r="J221" s="8">
        <f t="shared" si="862"/>
        <v>0</v>
      </c>
      <c r="K221" s="8">
        <f t="shared" si="862"/>
        <v>0</v>
      </c>
      <c r="L221" s="8"/>
      <c r="M221" s="8" t="str">
        <f t="shared" ref="M221:O221" si="1169">M114</f>
        <v>AAAAA</v>
      </c>
      <c r="N221" s="8" t="str">
        <f t="shared" si="1169"/>
        <v/>
      </c>
      <c r="O221" s="8" t="str">
        <f t="shared" si="1169"/>
        <v/>
      </c>
      <c r="P221" s="8">
        <f t="shared" si="852"/>
        <v>0</v>
      </c>
      <c r="Q221" s="8">
        <f t="shared" si="852"/>
        <v>0</v>
      </c>
      <c r="R221" s="8"/>
      <c r="S221" s="8" t="str">
        <f t="shared" ref="S221:U221" si="1170">S114</f>
        <v>AAAAA</v>
      </c>
      <c r="T221" s="8" t="str">
        <f t="shared" si="1170"/>
        <v/>
      </c>
      <c r="U221" s="8" t="str">
        <f t="shared" si="1170"/>
        <v/>
      </c>
      <c r="V221">
        <f t="shared" si="865"/>
        <v>0</v>
      </c>
      <c r="W221">
        <f t="shared" si="865"/>
        <v>0</v>
      </c>
      <c r="Y221" s="8" t="str">
        <f t="shared" si="866"/>
        <v>AAAAA</v>
      </c>
      <c r="Z221" s="8"/>
      <c r="AB221">
        <f t="shared" si="867"/>
        <v>0</v>
      </c>
      <c r="AC221">
        <f t="shared" si="867"/>
        <v>0</v>
      </c>
      <c r="AE221" s="8" t="str">
        <f>Hidden!$CC97</f>
        <v/>
      </c>
      <c r="AF221">
        <f t="shared" si="868"/>
        <v>0</v>
      </c>
      <c r="AG221">
        <f t="shared" si="869"/>
        <v>0</v>
      </c>
      <c r="AH221">
        <f t="shared" si="870"/>
        <v>0</v>
      </c>
      <c r="AI221">
        <f t="shared" si="871"/>
        <v>0</v>
      </c>
      <c r="AJ221">
        <f t="shared" si="872"/>
        <v>0</v>
      </c>
      <c r="AK221">
        <f t="shared" si="873"/>
        <v>0</v>
      </c>
      <c r="AL221">
        <f t="shared" si="874"/>
        <v>0</v>
      </c>
      <c r="AM221">
        <f t="shared" si="875"/>
        <v>0</v>
      </c>
      <c r="AN221">
        <f t="shared" si="876"/>
        <v>0</v>
      </c>
      <c r="AO221">
        <f t="shared" si="877"/>
        <v>0</v>
      </c>
      <c r="BJ221" s="8" t="str">
        <f t="shared" ref="BJ221:BL221" si="1171">BJ114</f>
        <v>AAAAA</v>
      </c>
      <c r="BK221" s="8" t="str">
        <f t="shared" si="1171"/>
        <v/>
      </c>
      <c r="BL221" s="8" t="str">
        <f t="shared" si="1171"/>
        <v/>
      </c>
      <c r="BM221" s="8">
        <f t="shared" si="879"/>
        <v>0</v>
      </c>
      <c r="BN221" s="8">
        <f t="shared" si="880"/>
        <v>0</v>
      </c>
      <c r="BO221" s="8"/>
      <c r="BP221" s="8" t="str">
        <f t="shared" ref="BP221:BR221" si="1172">BP114</f>
        <v>AAAAA</v>
      </c>
      <c r="BQ221" s="8" t="str">
        <f t="shared" si="1172"/>
        <v/>
      </c>
      <c r="BR221" s="8" t="str">
        <f t="shared" si="1172"/>
        <v/>
      </c>
      <c r="BS221" s="8">
        <f t="shared" si="882"/>
        <v>0</v>
      </c>
      <c r="BT221" s="8">
        <f t="shared" si="883"/>
        <v>0</v>
      </c>
      <c r="BU221" s="8"/>
      <c r="BV221" s="8" t="str">
        <f t="shared" ref="BV221:BX221" si="1173">BV114</f>
        <v>AAAAA</v>
      </c>
      <c r="BW221" s="8" t="str">
        <f t="shared" si="1173"/>
        <v/>
      </c>
      <c r="BX221" s="8" t="str">
        <f t="shared" si="1173"/>
        <v/>
      </c>
      <c r="BY221" s="8">
        <f t="shared" si="885"/>
        <v>0</v>
      </c>
      <c r="BZ221" s="8">
        <f t="shared" si="886"/>
        <v>0</v>
      </c>
      <c r="CA221" s="8"/>
      <c r="CB221" s="8" t="str">
        <f t="shared" ref="CB221:CD221" si="1174">CB114</f>
        <v>AAAAA</v>
      </c>
      <c r="CC221" s="8" t="str">
        <f t="shared" si="1174"/>
        <v/>
      </c>
      <c r="CD221" s="8" t="str">
        <f t="shared" si="1174"/>
        <v/>
      </c>
      <c r="CE221" s="8">
        <f t="shared" si="888"/>
        <v>0</v>
      </c>
      <c r="CF221" s="8">
        <f t="shared" si="889"/>
        <v>0</v>
      </c>
      <c r="CG221" s="8"/>
      <c r="CH221" s="8" t="str">
        <f t="shared" ref="CH221:CJ221" si="1175">CH114</f>
        <v>AAAAA</v>
      </c>
      <c r="CI221" s="8" t="str">
        <f t="shared" si="1175"/>
        <v/>
      </c>
      <c r="CJ221" s="8" t="str">
        <f t="shared" si="1175"/>
        <v/>
      </c>
      <c r="CK221" s="8">
        <f t="shared" si="891"/>
        <v>0</v>
      </c>
      <c r="CL221" s="8">
        <f t="shared" si="892"/>
        <v>0</v>
      </c>
      <c r="CO221" s="8" t="str">
        <f>Hidden!$CC97</f>
        <v/>
      </c>
      <c r="CP221">
        <f t="shared" si="893"/>
        <v>0</v>
      </c>
      <c r="CQ221">
        <f t="shared" si="894"/>
        <v>0</v>
      </c>
      <c r="CR221">
        <f t="shared" si="895"/>
        <v>0</v>
      </c>
      <c r="CS221">
        <f t="shared" si="896"/>
        <v>0</v>
      </c>
      <c r="CT221">
        <f t="shared" si="897"/>
        <v>0</v>
      </c>
      <c r="CU221">
        <f t="shared" si="898"/>
        <v>0</v>
      </c>
      <c r="CV221">
        <f t="shared" si="899"/>
        <v>0</v>
      </c>
      <c r="CW221">
        <f t="shared" si="900"/>
        <v>0</v>
      </c>
      <c r="CX221">
        <f t="shared" si="901"/>
        <v>0</v>
      </c>
      <c r="CY221">
        <f t="shared" si="902"/>
        <v>0</v>
      </c>
      <c r="DT221" s="77"/>
      <c r="DU221" s="8" t="str">
        <f>Hidden!$CG4</f>
        <v/>
      </c>
      <c r="DV221">
        <f t="shared" ref="DV221:DV284" si="1176">IF(DV$218,EZ116,0)</f>
        <v>0</v>
      </c>
      <c r="DW221">
        <f t="shared" ref="DW221:DW284" si="1177">IF(DW$218,FA116,0)</f>
        <v>0</v>
      </c>
      <c r="DX221">
        <f t="shared" ref="DX221:DX284" si="1178">IF(DX$218,FB116,0)</f>
        <v>0</v>
      </c>
      <c r="DY221">
        <f t="shared" ref="DY221:DY284" si="1179">IF(DY$218,FC116,0)</f>
        <v>0</v>
      </c>
      <c r="DZ221">
        <f t="shared" ref="DZ221:DZ284" si="1180">IF(DZ$218,FD116,0)</f>
        <v>0</v>
      </c>
      <c r="EA221">
        <f t="shared" ref="EA221:EA284" si="1181">IF(EA$218,FE116,0)</f>
        <v>0</v>
      </c>
      <c r="EB221">
        <f t="shared" ref="EB221:EB284" si="1182">IF(EB$218,FF116,0)</f>
        <v>0</v>
      </c>
      <c r="EC221">
        <f t="shared" ref="EC221:EC284" si="1183">IF(EC$218,FG116,0)</f>
        <v>0</v>
      </c>
      <c r="ED221">
        <f t="shared" ref="ED221:ED284" si="1184">IF(ED$218,FH116,0)</f>
        <v>0</v>
      </c>
      <c r="EE221">
        <f t="shared" ref="EE221:EE284" si="1185">IF(EE$218,FI116,0)</f>
        <v>0</v>
      </c>
      <c r="EF221">
        <f t="shared" ref="EF221:EF284" si="1186">IF(EF$218,EZ116,0)</f>
        <v>0</v>
      </c>
      <c r="EG221">
        <f t="shared" ref="EG221:EG284" si="1187">IF(EG$218,FA116,0)</f>
        <v>0</v>
      </c>
      <c r="EH221">
        <f t="shared" ref="EH221:EH284" si="1188">IF(EH$218,FB116,0)</f>
        <v>0</v>
      </c>
      <c r="EI221">
        <f t="shared" ref="EI221:EI284" si="1189">IF(EI$218,FC116,0)</f>
        <v>0</v>
      </c>
      <c r="EJ221">
        <f t="shared" ref="EJ221:EJ284" si="1190">IF(EJ$218,FD116,0)</f>
        <v>0</v>
      </c>
      <c r="EK221">
        <f t="shared" ref="EK221:EK284" si="1191">IF(EK$218,FE116,0)</f>
        <v>0</v>
      </c>
      <c r="EL221">
        <f t="shared" ref="EL221:EL284" si="1192">IF(EL$218,FF116,0)</f>
        <v>0</v>
      </c>
      <c r="EM221">
        <f t="shared" ref="EM221:EM284" si="1193">IF(EM$218,FG116,0)</f>
        <v>0</v>
      </c>
      <c r="EN221">
        <f t="shared" ref="EN221:EN284" si="1194">IF(EN$218,FH116,0)</f>
        <v>0</v>
      </c>
      <c r="EO221">
        <f t="shared" ref="EO221:EO284" si="1195">IF(EO$218,FI116,0)</f>
        <v>0</v>
      </c>
      <c r="EP221">
        <f t="shared" ref="EP221:EP284" si="1196">IF(EP$218,EZ116,0)</f>
        <v>0</v>
      </c>
      <c r="EQ221">
        <f t="shared" ref="EQ221:EQ284" si="1197">IF(EQ$218,FA116,0)</f>
        <v>0</v>
      </c>
      <c r="ER221">
        <f t="shared" ref="ER221:ET236" si="1198">IF(ER$218,FB116,0)</f>
        <v>0</v>
      </c>
      <c r="ES221">
        <f t="shared" si="1198"/>
        <v>0</v>
      </c>
      <c r="ET221">
        <f t="shared" si="1198"/>
        <v>0</v>
      </c>
      <c r="EU221">
        <f t="shared" ref="EU221:EU284" si="1199">IF(EU$218,FE116,0)</f>
        <v>0</v>
      </c>
      <c r="EV221">
        <f t="shared" ref="EV221:EW236" si="1200">IF(EV$218,FF116,0)</f>
        <v>0</v>
      </c>
      <c r="EW221">
        <f t="shared" si="1200"/>
        <v>0</v>
      </c>
      <c r="EX221">
        <f t="shared" ref="EX221:EX284" si="1201">IF(EX$218,FH116,0)</f>
        <v>0</v>
      </c>
      <c r="EY221">
        <f t="shared" ref="EY221:EY284" si="1202">IF(EY$218,FI116,0)</f>
        <v>0</v>
      </c>
      <c r="EZ221">
        <f t="shared" ref="EZ221:FI221" si="1203">IF(EZ$218,EZ116,0)</f>
        <v>0</v>
      </c>
      <c r="FA221">
        <f t="shared" si="1203"/>
        <v>0</v>
      </c>
      <c r="FB221">
        <f t="shared" si="1203"/>
        <v>0</v>
      </c>
      <c r="FC221">
        <f t="shared" si="1203"/>
        <v>0</v>
      </c>
      <c r="FD221">
        <f t="shared" si="1203"/>
        <v>0</v>
      </c>
      <c r="FE221">
        <f t="shared" si="1203"/>
        <v>0</v>
      </c>
      <c r="FF221">
        <f t="shared" si="1203"/>
        <v>0</v>
      </c>
      <c r="FG221">
        <f t="shared" si="1203"/>
        <v>0</v>
      </c>
      <c r="FH221">
        <f t="shared" si="1203"/>
        <v>0</v>
      </c>
      <c r="FI221">
        <f t="shared" si="1203"/>
        <v>0</v>
      </c>
      <c r="FJ221">
        <f t="shared" ref="FJ221:FJ284" si="1204">IF(FJ$218,EZ116,0)</f>
        <v>0</v>
      </c>
      <c r="FK221">
        <f t="shared" ref="FK221:FK284" si="1205">IF(FK$218,FA116,0)</f>
        <v>0</v>
      </c>
      <c r="FL221">
        <f t="shared" ref="FL221:FM236" si="1206">IF(FL$218,FB116,0)</f>
        <v>0</v>
      </c>
      <c r="FM221">
        <f t="shared" si="1206"/>
        <v>0</v>
      </c>
      <c r="FN221">
        <f t="shared" ref="FN221:FN284" si="1207">IF(FN$218,FD116,0)</f>
        <v>0</v>
      </c>
      <c r="FO221">
        <f t="shared" ref="FO221:FO284" si="1208">IF(FO$218,FE116,0)</f>
        <v>0</v>
      </c>
      <c r="FP221">
        <f t="shared" ref="FP221:FP284" si="1209">IF(FP$218,FF116,0)</f>
        <v>0</v>
      </c>
      <c r="FQ221">
        <f t="shared" ref="FQ221:FQ284" si="1210">IF(FQ$218,FG116,0)</f>
        <v>0</v>
      </c>
      <c r="FR221">
        <f t="shared" ref="FR221:FR284" si="1211">IF(FR$218,FH116,0)</f>
        <v>0</v>
      </c>
      <c r="FS221">
        <f t="shared" ref="FS221:FS284" si="1212">IF(FS$218,FI116,0)</f>
        <v>0</v>
      </c>
      <c r="FT221">
        <f t="shared" ref="FT221:FT284" si="1213">IF(FT$218,EZ116,0)</f>
        <v>0</v>
      </c>
      <c r="FU221">
        <f t="shared" ref="FU221:FU284" si="1214">IF(FU$218,FA116,0)</f>
        <v>0</v>
      </c>
      <c r="FV221">
        <f t="shared" ref="FV221:FV284" si="1215">IF(FV$218,FB116,0)</f>
        <v>0</v>
      </c>
      <c r="FW221">
        <f t="shared" ref="FW221:FW284" si="1216">IF(FW$218,FC116,0)</f>
        <v>0</v>
      </c>
      <c r="FX221">
        <f t="shared" ref="FX221:FY236" si="1217">IF(FX$218,FD116,0)</f>
        <v>0</v>
      </c>
      <c r="FY221">
        <f t="shared" si="1217"/>
        <v>0</v>
      </c>
      <c r="FZ221">
        <f t="shared" ref="FZ221:FZ284" si="1218">IF(FZ$218,FF116,0)</f>
        <v>0</v>
      </c>
      <c r="GA221">
        <f t="shared" ref="GA221:GA284" si="1219">IF(GA$218,FG116,0)</f>
        <v>0</v>
      </c>
      <c r="GB221">
        <f t="shared" ref="GB221:GB284" si="1220">IF(GB$218,FH116,0)</f>
        <v>0</v>
      </c>
      <c r="GC221">
        <f t="shared" ref="GC221:GC284" si="1221">IF(GC$218,FI116,0)</f>
        <v>0</v>
      </c>
    </row>
    <row r="222" spans="1:185" x14ac:dyDescent="0.2">
      <c r="A222" s="8" t="str">
        <f t="shared" ref="A222:C222" si="1222">A115</f>
        <v>AAAAAA</v>
      </c>
      <c r="B222" s="8" t="str">
        <f t="shared" si="1222"/>
        <v/>
      </c>
      <c r="C222" s="8" t="str">
        <f t="shared" si="1222"/>
        <v/>
      </c>
      <c r="D222" s="8">
        <f t="shared" si="860"/>
        <v>0</v>
      </c>
      <c r="E222" s="8">
        <f t="shared" si="860"/>
        <v>0</v>
      </c>
      <c r="F222" s="8"/>
      <c r="G222" s="8" t="str">
        <f t="shared" ref="G222:I222" si="1223">G115</f>
        <v>AAAAAA</v>
      </c>
      <c r="H222" s="8" t="str">
        <f t="shared" si="1223"/>
        <v/>
      </c>
      <c r="I222" s="8" t="str">
        <f t="shared" si="1223"/>
        <v/>
      </c>
      <c r="J222" s="8">
        <f t="shared" si="862"/>
        <v>0</v>
      </c>
      <c r="K222" s="8">
        <f t="shared" si="862"/>
        <v>0</v>
      </c>
      <c r="L222" s="8"/>
      <c r="M222" s="8" t="str">
        <f t="shared" ref="M222:O222" si="1224">M115</f>
        <v>AAAAAA</v>
      </c>
      <c r="N222" s="8" t="str">
        <f t="shared" si="1224"/>
        <v/>
      </c>
      <c r="O222" s="8" t="str">
        <f t="shared" si="1224"/>
        <v/>
      </c>
      <c r="P222" s="8">
        <f t="shared" si="852"/>
        <v>0</v>
      </c>
      <c r="Q222" s="8">
        <f t="shared" si="852"/>
        <v>0</v>
      </c>
      <c r="R222" s="8"/>
      <c r="S222" s="8" t="str">
        <f t="shared" ref="S222:U222" si="1225">S115</f>
        <v>AAAAAA</v>
      </c>
      <c r="T222" s="8" t="str">
        <f t="shared" si="1225"/>
        <v/>
      </c>
      <c r="U222" s="8" t="str">
        <f t="shared" si="1225"/>
        <v/>
      </c>
      <c r="V222">
        <f t="shared" si="865"/>
        <v>0</v>
      </c>
      <c r="W222">
        <f t="shared" si="865"/>
        <v>0</v>
      </c>
      <c r="Y222" s="8" t="str">
        <f t="shared" si="866"/>
        <v>AAAAAA</v>
      </c>
      <c r="Z222" s="8"/>
      <c r="AB222">
        <f t="shared" si="867"/>
        <v>0</v>
      </c>
      <c r="AC222">
        <f t="shared" si="867"/>
        <v>0</v>
      </c>
      <c r="AE222" s="8" t="str">
        <f>Hidden!$CC98</f>
        <v/>
      </c>
      <c r="AF222">
        <f t="shared" si="868"/>
        <v>0</v>
      </c>
      <c r="AG222">
        <f t="shared" si="869"/>
        <v>0</v>
      </c>
      <c r="AH222">
        <f t="shared" si="870"/>
        <v>0</v>
      </c>
      <c r="AI222">
        <f t="shared" si="871"/>
        <v>0</v>
      </c>
      <c r="AJ222">
        <f t="shared" si="872"/>
        <v>0</v>
      </c>
      <c r="AK222">
        <f t="shared" si="873"/>
        <v>0</v>
      </c>
      <c r="AL222">
        <f t="shared" si="874"/>
        <v>0</v>
      </c>
      <c r="AM222">
        <f t="shared" si="875"/>
        <v>0</v>
      </c>
      <c r="AN222">
        <f t="shared" si="876"/>
        <v>0</v>
      </c>
      <c r="AO222">
        <f t="shared" si="877"/>
        <v>0</v>
      </c>
      <c r="BJ222" s="8" t="str">
        <f t="shared" ref="BJ222:BL222" si="1226">BJ115</f>
        <v>AAAAAA</v>
      </c>
      <c r="BK222" s="8" t="str">
        <f t="shared" si="1226"/>
        <v/>
      </c>
      <c r="BL222" s="8" t="str">
        <f t="shared" si="1226"/>
        <v/>
      </c>
      <c r="BM222" s="8">
        <f t="shared" si="879"/>
        <v>0</v>
      </c>
      <c r="BN222" s="8">
        <f t="shared" si="880"/>
        <v>0</v>
      </c>
      <c r="BO222" s="8"/>
      <c r="BP222" s="8" t="str">
        <f t="shared" ref="BP222:BR222" si="1227">BP115</f>
        <v>AAAAAA</v>
      </c>
      <c r="BQ222" s="8" t="str">
        <f t="shared" si="1227"/>
        <v/>
      </c>
      <c r="BR222" s="8" t="str">
        <f t="shared" si="1227"/>
        <v/>
      </c>
      <c r="BS222" s="8">
        <f t="shared" si="882"/>
        <v>0</v>
      </c>
      <c r="BT222" s="8">
        <f t="shared" si="883"/>
        <v>0</v>
      </c>
      <c r="BU222" s="8"/>
      <c r="BV222" s="8" t="str">
        <f t="shared" ref="BV222:BX222" si="1228">BV115</f>
        <v>AAAAAA</v>
      </c>
      <c r="BW222" s="8" t="str">
        <f t="shared" si="1228"/>
        <v/>
      </c>
      <c r="BX222" s="8" t="str">
        <f t="shared" si="1228"/>
        <v/>
      </c>
      <c r="BY222" s="8">
        <f t="shared" si="885"/>
        <v>0</v>
      </c>
      <c r="BZ222" s="8">
        <f t="shared" si="886"/>
        <v>0</v>
      </c>
      <c r="CA222" s="8"/>
      <c r="CB222" s="8" t="str">
        <f t="shared" ref="CB222:CD222" si="1229">CB115</f>
        <v>AAAAAA</v>
      </c>
      <c r="CC222" s="8" t="str">
        <f t="shared" si="1229"/>
        <v/>
      </c>
      <c r="CD222" s="8" t="str">
        <f t="shared" si="1229"/>
        <v/>
      </c>
      <c r="CE222" s="8">
        <f t="shared" si="888"/>
        <v>0</v>
      </c>
      <c r="CF222" s="8">
        <f t="shared" si="889"/>
        <v>0</v>
      </c>
      <c r="CG222" s="8"/>
      <c r="CH222" s="8" t="str">
        <f t="shared" ref="CH222:CJ222" si="1230">CH115</f>
        <v>AAAAAA</v>
      </c>
      <c r="CI222" s="8" t="str">
        <f t="shared" si="1230"/>
        <v/>
      </c>
      <c r="CJ222" s="8" t="str">
        <f t="shared" si="1230"/>
        <v/>
      </c>
      <c r="CK222" s="8">
        <f t="shared" si="891"/>
        <v>0</v>
      </c>
      <c r="CL222" s="8">
        <f t="shared" si="892"/>
        <v>0</v>
      </c>
      <c r="CO222" s="8" t="str">
        <f>Hidden!$CC98</f>
        <v/>
      </c>
      <c r="CP222">
        <f t="shared" si="893"/>
        <v>0</v>
      </c>
      <c r="CQ222">
        <f t="shared" si="894"/>
        <v>0</v>
      </c>
      <c r="CR222">
        <f t="shared" si="895"/>
        <v>0</v>
      </c>
      <c r="CS222">
        <f t="shared" si="896"/>
        <v>0</v>
      </c>
      <c r="CT222">
        <f t="shared" si="897"/>
        <v>0</v>
      </c>
      <c r="CU222">
        <f t="shared" si="898"/>
        <v>0</v>
      </c>
      <c r="CV222">
        <f t="shared" si="899"/>
        <v>0</v>
      </c>
      <c r="CW222">
        <f t="shared" si="900"/>
        <v>0</v>
      </c>
      <c r="CX222">
        <f t="shared" si="901"/>
        <v>0</v>
      </c>
      <c r="CY222">
        <f t="shared" si="902"/>
        <v>0</v>
      </c>
      <c r="DT222" s="77"/>
      <c r="DU222" s="8" t="str">
        <f>Hidden!$CG5</f>
        <v/>
      </c>
      <c r="DV222">
        <f t="shared" si="1176"/>
        <v>0</v>
      </c>
      <c r="DW222">
        <f t="shared" si="1177"/>
        <v>0</v>
      </c>
      <c r="DX222">
        <f t="shared" si="1178"/>
        <v>0</v>
      </c>
      <c r="DY222">
        <f t="shared" si="1179"/>
        <v>0</v>
      </c>
      <c r="DZ222">
        <f t="shared" si="1180"/>
        <v>0</v>
      </c>
      <c r="EA222">
        <f t="shared" si="1181"/>
        <v>0</v>
      </c>
      <c r="EB222">
        <f t="shared" si="1182"/>
        <v>0</v>
      </c>
      <c r="EC222">
        <f t="shared" si="1183"/>
        <v>0</v>
      </c>
      <c r="ED222">
        <f t="shared" si="1184"/>
        <v>0</v>
      </c>
      <c r="EE222">
        <f t="shared" si="1185"/>
        <v>0</v>
      </c>
      <c r="EF222">
        <f t="shared" si="1186"/>
        <v>0</v>
      </c>
      <c r="EG222">
        <f t="shared" si="1187"/>
        <v>0</v>
      </c>
      <c r="EH222">
        <f t="shared" si="1188"/>
        <v>0</v>
      </c>
      <c r="EI222">
        <f t="shared" si="1189"/>
        <v>0</v>
      </c>
      <c r="EJ222">
        <f t="shared" si="1190"/>
        <v>0</v>
      </c>
      <c r="EK222">
        <f t="shared" si="1191"/>
        <v>0</v>
      </c>
      <c r="EL222">
        <f t="shared" si="1192"/>
        <v>0</v>
      </c>
      <c r="EM222">
        <f t="shared" si="1193"/>
        <v>0</v>
      </c>
      <c r="EN222">
        <f t="shared" si="1194"/>
        <v>0</v>
      </c>
      <c r="EO222">
        <f t="shared" si="1195"/>
        <v>0</v>
      </c>
      <c r="EP222">
        <f t="shared" si="1196"/>
        <v>0</v>
      </c>
      <c r="EQ222">
        <f t="shared" si="1197"/>
        <v>0</v>
      </c>
      <c r="ER222">
        <f t="shared" si="1198"/>
        <v>0</v>
      </c>
      <c r="ES222">
        <f t="shared" ref="ES222:ET222" si="1231">IF(ES$218,FC117,0)</f>
        <v>0</v>
      </c>
      <c r="ET222">
        <f t="shared" si="1231"/>
        <v>0</v>
      </c>
      <c r="EU222">
        <f t="shared" si="1199"/>
        <v>0</v>
      </c>
      <c r="EV222">
        <f t="shared" si="1200"/>
        <v>0</v>
      </c>
      <c r="EW222">
        <f t="shared" ref="EW222:EW285" si="1232">IF(EW$218,FG117,0)</f>
        <v>0</v>
      </c>
      <c r="EX222">
        <f t="shared" si="1201"/>
        <v>0</v>
      </c>
      <c r="EY222">
        <f t="shared" si="1202"/>
        <v>0</v>
      </c>
      <c r="EZ222">
        <f t="shared" ref="EZ222:FI222" si="1233">IF(EZ$218,EZ117,0)</f>
        <v>0</v>
      </c>
      <c r="FA222">
        <f t="shared" si="1233"/>
        <v>0</v>
      </c>
      <c r="FB222">
        <f t="shared" si="1233"/>
        <v>0</v>
      </c>
      <c r="FC222">
        <f t="shared" si="1233"/>
        <v>0</v>
      </c>
      <c r="FD222">
        <f t="shared" si="1233"/>
        <v>0</v>
      </c>
      <c r="FE222">
        <f t="shared" si="1233"/>
        <v>0</v>
      </c>
      <c r="FF222">
        <f t="shared" si="1233"/>
        <v>0</v>
      </c>
      <c r="FG222">
        <f t="shared" si="1233"/>
        <v>0</v>
      </c>
      <c r="FH222">
        <f t="shared" si="1233"/>
        <v>0</v>
      </c>
      <c r="FI222">
        <f t="shared" si="1233"/>
        <v>0</v>
      </c>
      <c r="FJ222">
        <f t="shared" si="1204"/>
        <v>0</v>
      </c>
      <c r="FK222">
        <f t="shared" si="1205"/>
        <v>0</v>
      </c>
      <c r="FL222">
        <f t="shared" si="1206"/>
        <v>0</v>
      </c>
      <c r="FM222">
        <f t="shared" ref="FM222:FM285" si="1234">IF(FM$218,FC117,0)</f>
        <v>0</v>
      </c>
      <c r="FN222">
        <f t="shared" si="1207"/>
        <v>0</v>
      </c>
      <c r="FO222">
        <f t="shared" si="1208"/>
        <v>0</v>
      </c>
      <c r="FP222">
        <f t="shared" si="1209"/>
        <v>0</v>
      </c>
      <c r="FQ222">
        <f t="shared" si="1210"/>
        <v>0</v>
      </c>
      <c r="FR222">
        <f t="shared" si="1211"/>
        <v>0</v>
      </c>
      <c r="FS222">
        <f t="shared" si="1212"/>
        <v>0</v>
      </c>
      <c r="FT222">
        <f t="shared" si="1213"/>
        <v>0</v>
      </c>
      <c r="FU222">
        <f t="shared" si="1214"/>
        <v>0</v>
      </c>
      <c r="FV222">
        <f t="shared" si="1215"/>
        <v>0</v>
      </c>
      <c r="FW222">
        <f t="shared" si="1216"/>
        <v>0</v>
      </c>
      <c r="FX222">
        <f t="shared" si="1217"/>
        <v>0</v>
      </c>
      <c r="FY222">
        <f t="shared" ref="FY222:FY285" si="1235">IF(FY$218,FE117,0)</f>
        <v>0</v>
      </c>
      <c r="FZ222">
        <f t="shared" si="1218"/>
        <v>0</v>
      </c>
      <c r="GA222">
        <f t="shared" si="1219"/>
        <v>0</v>
      </c>
      <c r="GB222">
        <f t="shared" si="1220"/>
        <v>0</v>
      </c>
      <c r="GC222">
        <f t="shared" si="1221"/>
        <v>0</v>
      </c>
    </row>
    <row r="223" spans="1:185" x14ac:dyDescent="0.2">
      <c r="A223" s="8" t="str">
        <f t="shared" ref="A223:C223" si="1236">A116</f>
        <v>AAAAAAA</v>
      </c>
      <c r="B223" s="8" t="str">
        <f t="shared" si="1236"/>
        <v/>
      </c>
      <c r="C223" s="8" t="str">
        <f t="shared" si="1236"/>
        <v/>
      </c>
      <c r="D223" s="8">
        <f t="shared" si="860"/>
        <v>0</v>
      </c>
      <c r="E223" s="8">
        <f t="shared" si="860"/>
        <v>0</v>
      </c>
      <c r="F223" s="8"/>
      <c r="G223" s="8" t="str">
        <f t="shared" ref="G223:I223" si="1237">G116</f>
        <v>AAAAAAA</v>
      </c>
      <c r="H223" s="8" t="str">
        <f t="shared" si="1237"/>
        <v/>
      </c>
      <c r="I223" s="8" t="str">
        <f t="shared" si="1237"/>
        <v/>
      </c>
      <c r="J223" s="8">
        <f t="shared" si="862"/>
        <v>0</v>
      </c>
      <c r="K223" s="8">
        <f t="shared" si="862"/>
        <v>0</v>
      </c>
      <c r="L223" s="8"/>
      <c r="M223" s="8" t="str">
        <f t="shared" ref="M223:O223" si="1238">M116</f>
        <v>AAAAAAA</v>
      </c>
      <c r="N223" s="8" t="str">
        <f t="shared" si="1238"/>
        <v/>
      </c>
      <c r="O223" s="8" t="str">
        <f t="shared" si="1238"/>
        <v/>
      </c>
      <c r="P223" s="8">
        <f t="shared" si="852"/>
        <v>0</v>
      </c>
      <c r="Q223" s="8">
        <f t="shared" si="852"/>
        <v>0</v>
      </c>
      <c r="R223" s="8"/>
      <c r="S223" s="8" t="str">
        <f t="shared" ref="S223:U223" si="1239">S116</f>
        <v>AAAAAAA</v>
      </c>
      <c r="T223" s="8" t="str">
        <f t="shared" si="1239"/>
        <v/>
      </c>
      <c r="U223" s="8" t="str">
        <f t="shared" si="1239"/>
        <v/>
      </c>
      <c r="V223">
        <f t="shared" si="865"/>
        <v>0</v>
      </c>
      <c r="W223">
        <f t="shared" si="865"/>
        <v>0</v>
      </c>
      <c r="Y223" s="8" t="str">
        <f t="shared" si="866"/>
        <v>AAAAAAA</v>
      </c>
      <c r="Z223" s="8"/>
      <c r="AB223">
        <f t="shared" si="867"/>
        <v>0</v>
      </c>
      <c r="AC223">
        <f t="shared" si="867"/>
        <v>0</v>
      </c>
      <c r="AE223" s="8" t="str">
        <f>Hidden!$CC99</f>
        <v/>
      </c>
      <c r="AF223">
        <f t="shared" si="868"/>
        <v>0</v>
      </c>
      <c r="AG223">
        <f t="shared" si="869"/>
        <v>0</v>
      </c>
      <c r="AH223">
        <f t="shared" si="870"/>
        <v>0</v>
      </c>
      <c r="AI223">
        <f t="shared" si="871"/>
        <v>0</v>
      </c>
      <c r="AJ223">
        <f t="shared" si="872"/>
        <v>0</v>
      </c>
      <c r="AK223">
        <f t="shared" si="873"/>
        <v>0</v>
      </c>
      <c r="AL223">
        <f t="shared" si="874"/>
        <v>0</v>
      </c>
      <c r="AM223">
        <f t="shared" si="875"/>
        <v>0</v>
      </c>
      <c r="AN223">
        <f t="shared" si="876"/>
        <v>0</v>
      </c>
      <c r="AO223">
        <f t="shared" si="877"/>
        <v>0</v>
      </c>
      <c r="BJ223" s="8" t="str">
        <f t="shared" ref="BJ223:BL223" si="1240">BJ116</f>
        <v>AAAAAAA</v>
      </c>
      <c r="BK223" s="8" t="str">
        <f t="shared" si="1240"/>
        <v/>
      </c>
      <c r="BL223" s="8" t="str">
        <f t="shared" si="1240"/>
        <v/>
      </c>
      <c r="BM223" s="8">
        <f t="shared" si="879"/>
        <v>0</v>
      </c>
      <c r="BN223" s="8">
        <f t="shared" si="880"/>
        <v>0</v>
      </c>
      <c r="BO223" s="8"/>
      <c r="BP223" s="8" t="str">
        <f t="shared" ref="BP223:BR223" si="1241">BP116</f>
        <v>AAAAAAA</v>
      </c>
      <c r="BQ223" s="8" t="str">
        <f t="shared" si="1241"/>
        <v/>
      </c>
      <c r="BR223" s="8" t="str">
        <f t="shared" si="1241"/>
        <v/>
      </c>
      <c r="BS223" s="8">
        <f t="shared" si="882"/>
        <v>0</v>
      </c>
      <c r="BT223" s="8">
        <f t="shared" si="883"/>
        <v>0</v>
      </c>
      <c r="BU223" s="8"/>
      <c r="BV223" s="8" t="str">
        <f t="shared" ref="BV223:BX223" si="1242">BV116</f>
        <v>AAAAAAA</v>
      </c>
      <c r="BW223" s="8" t="str">
        <f t="shared" si="1242"/>
        <v/>
      </c>
      <c r="BX223" s="8" t="str">
        <f t="shared" si="1242"/>
        <v/>
      </c>
      <c r="BY223" s="8">
        <f t="shared" si="885"/>
        <v>0</v>
      </c>
      <c r="BZ223" s="8">
        <f t="shared" si="886"/>
        <v>0</v>
      </c>
      <c r="CA223" s="8"/>
      <c r="CB223" s="8" t="str">
        <f t="shared" ref="CB223:CD223" si="1243">CB116</f>
        <v>AAAAAAA</v>
      </c>
      <c r="CC223" s="8" t="str">
        <f t="shared" si="1243"/>
        <v/>
      </c>
      <c r="CD223" s="8" t="str">
        <f t="shared" si="1243"/>
        <v/>
      </c>
      <c r="CE223" s="8">
        <f t="shared" si="888"/>
        <v>0</v>
      </c>
      <c r="CF223" s="8">
        <f t="shared" si="889"/>
        <v>0</v>
      </c>
      <c r="CG223" s="8"/>
      <c r="CH223" s="8" t="str">
        <f t="shared" ref="CH223:CJ223" si="1244">CH116</f>
        <v>AAAAAAA</v>
      </c>
      <c r="CI223" s="8" t="str">
        <f t="shared" si="1244"/>
        <v/>
      </c>
      <c r="CJ223" s="8" t="str">
        <f t="shared" si="1244"/>
        <v/>
      </c>
      <c r="CK223" s="8">
        <f t="shared" si="891"/>
        <v>0</v>
      </c>
      <c r="CL223" s="8">
        <f t="shared" si="892"/>
        <v>0</v>
      </c>
      <c r="CO223" s="8" t="str">
        <f>Hidden!$CC99</f>
        <v/>
      </c>
      <c r="CP223">
        <f t="shared" si="893"/>
        <v>0</v>
      </c>
      <c r="CQ223">
        <f t="shared" si="894"/>
        <v>0</v>
      </c>
      <c r="CR223">
        <f t="shared" si="895"/>
        <v>0</v>
      </c>
      <c r="CS223">
        <f t="shared" si="896"/>
        <v>0</v>
      </c>
      <c r="CT223">
        <f t="shared" si="897"/>
        <v>0</v>
      </c>
      <c r="CU223">
        <f t="shared" si="898"/>
        <v>0</v>
      </c>
      <c r="CV223">
        <f t="shared" si="899"/>
        <v>0</v>
      </c>
      <c r="CW223">
        <f t="shared" si="900"/>
        <v>0</v>
      </c>
      <c r="CX223">
        <f t="shared" si="901"/>
        <v>0</v>
      </c>
      <c r="CY223">
        <f t="shared" si="902"/>
        <v>0</v>
      </c>
      <c r="DT223" s="77"/>
      <c r="DU223" s="8" t="str">
        <f>Hidden!$CG6</f>
        <v/>
      </c>
      <c r="DV223">
        <f t="shared" si="1176"/>
        <v>0</v>
      </c>
      <c r="DW223">
        <f t="shared" si="1177"/>
        <v>0</v>
      </c>
      <c r="DX223">
        <f t="shared" si="1178"/>
        <v>0</v>
      </c>
      <c r="DY223">
        <f t="shared" si="1179"/>
        <v>0</v>
      </c>
      <c r="DZ223">
        <f t="shared" si="1180"/>
        <v>0</v>
      </c>
      <c r="EA223">
        <f t="shared" si="1181"/>
        <v>0</v>
      </c>
      <c r="EB223">
        <f t="shared" si="1182"/>
        <v>0</v>
      </c>
      <c r="EC223">
        <f t="shared" si="1183"/>
        <v>0</v>
      </c>
      <c r="ED223">
        <f t="shared" si="1184"/>
        <v>0</v>
      </c>
      <c r="EE223">
        <f t="shared" si="1185"/>
        <v>0</v>
      </c>
      <c r="EF223">
        <f t="shared" si="1186"/>
        <v>0</v>
      </c>
      <c r="EG223">
        <f t="shared" si="1187"/>
        <v>0</v>
      </c>
      <c r="EH223">
        <f t="shared" si="1188"/>
        <v>0</v>
      </c>
      <c r="EI223">
        <f t="shared" si="1189"/>
        <v>0</v>
      </c>
      <c r="EJ223">
        <f t="shared" si="1190"/>
        <v>0</v>
      </c>
      <c r="EK223">
        <f t="shared" si="1191"/>
        <v>0</v>
      </c>
      <c r="EL223">
        <f t="shared" si="1192"/>
        <v>0</v>
      </c>
      <c r="EM223">
        <f t="shared" si="1193"/>
        <v>0</v>
      </c>
      <c r="EN223">
        <f t="shared" si="1194"/>
        <v>0</v>
      </c>
      <c r="EO223">
        <f t="shared" si="1195"/>
        <v>0</v>
      </c>
      <c r="EP223">
        <f t="shared" si="1196"/>
        <v>0</v>
      </c>
      <c r="EQ223">
        <f t="shared" si="1197"/>
        <v>0</v>
      </c>
      <c r="ER223">
        <f t="shared" si="1198"/>
        <v>0</v>
      </c>
      <c r="ES223">
        <f t="shared" ref="ES223:ET223" si="1245">IF(ES$218,FC118,0)</f>
        <v>0</v>
      </c>
      <c r="ET223">
        <f t="shared" si="1245"/>
        <v>0</v>
      </c>
      <c r="EU223">
        <f t="shared" si="1199"/>
        <v>0</v>
      </c>
      <c r="EV223">
        <f t="shared" si="1200"/>
        <v>0</v>
      </c>
      <c r="EW223">
        <f t="shared" si="1232"/>
        <v>0</v>
      </c>
      <c r="EX223">
        <f t="shared" si="1201"/>
        <v>0</v>
      </c>
      <c r="EY223">
        <f t="shared" si="1202"/>
        <v>0</v>
      </c>
      <c r="EZ223">
        <f t="shared" ref="EZ223:FI223" si="1246">IF(EZ$218,EZ118,0)</f>
        <v>0</v>
      </c>
      <c r="FA223">
        <f t="shared" si="1246"/>
        <v>0</v>
      </c>
      <c r="FB223">
        <f t="shared" si="1246"/>
        <v>0</v>
      </c>
      <c r="FC223">
        <f t="shared" si="1246"/>
        <v>0</v>
      </c>
      <c r="FD223">
        <f t="shared" si="1246"/>
        <v>0</v>
      </c>
      <c r="FE223">
        <f t="shared" si="1246"/>
        <v>0</v>
      </c>
      <c r="FF223">
        <f t="shared" si="1246"/>
        <v>0</v>
      </c>
      <c r="FG223">
        <f t="shared" si="1246"/>
        <v>0</v>
      </c>
      <c r="FH223">
        <f t="shared" si="1246"/>
        <v>0</v>
      </c>
      <c r="FI223">
        <f t="shared" si="1246"/>
        <v>0</v>
      </c>
      <c r="FJ223">
        <f t="shared" si="1204"/>
        <v>0</v>
      </c>
      <c r="FK223">
        <f t="shared" si="1205"/>
        <v>0</v>
      </c>
      <c r="FL223">
        <f t="shared" si="1206"/>
        <v>0</v>
      </c>
      <c r="FM223">
        <f t="shared" si="1234"/>
        <v>0</v>
      </c>
      <c r="FN223">
        <f t="shared" si="1207"/>
        <v>0</v>
      </c>
      <c r="FO223">
        <f t="shared" si="1208"/>
        <v>0</v>
      </c>
      <c r="FP223">
        <f t="shared" si="1209"/>
        <v>0</v>
      </c>
      <c r="FQ223">
        <f t="shared" si="1210"/>
        <v>0</v>
      </c>
      <c r="FR223">
        <f t="shared" si="1211"/>
        <v>0</v>
      </c>
      <c r="FS223">
        <f t="shared" si="1212"/>
        <v>0</v>
      </c>
      <c r="FT223">
        <f t="shared" si="1213"/>
        <v>0</v>
      </c>
      <c r="FU223">
        <f t="shared" si="1214"/>
        <v>0</v>
      </c>
      <c r="FV223">
        <f t="shared" si="1215"/>
        <v>0</v>
      </c>
      <c r="FW223">
        <f t="shared" si="1216"/>
        <v>0</v>
      </c>
      <c r="FX223">
        <f t="shared" si="1217"/>
        <v>0</v>
      </c>
      <c r="FY223">
        <f t="shared" si="1235"/>
        <v>0</v>
      </c>
      <c r="FZ223">
        <f t="shared" si="1218"/>
        <v>0</v>
      </c>
      <c r="GA223">
        <f t="shared" si="1219"/>
        <v>0</v>
      </c>
      <c r="GB223">
        <f t="shared" si="1220"/>
        <v>0</v>
      </c>
      <c r="GC223">
        <f t="shared" si="1221"/>
        <v>0</v>
      </c>
    </row>
    <row r="224" spans="1:185" x14ac:dyDescent="0.2">
      <c r="A224" s="8" t="str">
        <f t="shared" ref="A224:C224" si="1247">A117</f>
        <v>AAAAAAAA</v>
      </c>
      <c r="B224" s="8" t="str">
        <f t="shared" si="1247"/>
        <v/>
      </c>
      <c r="C224" s="8" t="str">
        <f t="shared" si="1247"/>
        <v/>
      </c>
      <c r="D224" s="8">
        <f t="shared" si="860"/>
        <v>0</v>
      </c>
      <c r="E224" s="8">
        <f t="shared" si="860"/>
        <v>0</v>
      </c>
      <c r="F224" s="8"/>
      <c r="G224" s="8" t="str">
        <f t="shared" ref="G224:I224" si="1248">G117</f>
        <v>AAAAAAAA</v>
      </c>
      <c r="H224" s="8" t="str">
        <f t="shared" si="1248"/>
        <v/>
      </c>
      <c r="I224" s="8" t="str">
        <f t="shared" si="1248"/>
        <v/>
      </c>
      <c r="J224" s="8">
        <f t="shared" si="862"/>
        <v>0</v>
      </c>
      <c r="K224" s="8">
        <f t="shared" si="862"/>
        <v>0</v>
      </c>
      <c r="L224" s="8"/>
      <c r="M224" s="8" t="str">
        <f t="shared" ref="M224:O224" si="1249">M117</f>
        <v>AAAAAAAA</v>
      </c>
      <c r="N224" s="8" t="str">
        <f t="shared" si="1249"/>
        <v/>
      </c>
      <c r="O224" s="8" t="str">
        <f t="shared" si="1249"/>
        <v/>
      </c>
      <c r="P224" s="8">
        <f t="shared" si="852"/>
        <v>0</v>
      </c>
      <c r="Q224" s="8">
        <f t="shared" si="852"/>
        <v>0</v>
      </c>
      <c r="R224" s="8"/>
      <c r="S224" s="8" t="str">
        <f t="shared" ref="S224:U224" si="1250">S117</f>
        <v>AAAAAAAA</v>
      </c>
      <c r="T224" s="8" t="str">
        <f t="shared" si="1250"/>
        <v/>
      </c>
      <c r="U224" s="8" t="str">
        <f t="shared" si="1250"/>
        <v/>
      </c>
      <c r="V224">
        <f t="shared" si="865"/>
        <v>0</v>
      </c>
      <c r="W224">
        <f t="shared" si="865"/>
        <v>0</v>
      </c>
      <c r="Y224" s="8" t="str">
        <f t="shared" si="866"/>
        <v>AAAAAAAA</v>
      </c>
      <c r="Z224" s="8"/>
      <c r="AB224">
        <f t="shared" si="867"/>
        <v>0</v>
      </c>
      <c r="AC224">
        <f t="shared" si="867"/>
        <v>0</v>
      </c>
      <c r="AE224" s="8" t="str">
        <f>Hidden!$CC100</f>
        <v/>
      </c>
      <c r="AF224">
        <f t="shared" si="868"/>
        <v>0</v>
      </c>
      <c r="AG224">
        <f t="shared" si="869"/>
        <v>0</v>
      </c>
      <c r="AH224">
        <f t="shared" si="870"/>
        <v>0</v>
      </c>
      <c r="AI224">
        <f t="shared" si="871"/>
        <v>0</v>
      </c>
      <c r="AJ224">
        <f t="shared" si="872"/>
        <v>0</v>
      </c>
      <c r="AK224">
        <f t="shared" si="873"/>
        <v>0</v>
      </c>
      <c r="AL224">
        <f t="shared" si="874"/>
        <v>0</v>
      </c>
      <c r="AM224">
        <f t="shared" si="875"/>
        <v>0</v>
      </c>
      <c r="AN224">
        <f t="shared" si="876"/>
        <v>0</v>
      </c>
      <c r="AO224">
        <f t="shared" si="877"/>
        <v>0</v>
      </c>
      <c r="BJ224" s="8" t="str">
        <f t="shared" ref="BJ224:BL224" si="1251">BJ117</f>
        <v>AAAAAAAA</v>
      </c>
      <c r="BK224" s="8" t="str">
        <f t="shared" si="1251"/>
        <v/>
      </c>
      <c r="BL224" s="8" t="str">
        <f t="shared" si="1251"/>
        <v/>
      </c>
      <c r="BM224" s="8">
        <f t="shared" si="879"/>
        <v>0</v>
      </c>
      <c r="BN224" s="8">
        <f t="shared" si="880"/>
        <v>0</v>
      </c>
      <c r="BO224" s="8"/>
      <c r="BP224" s="8" t="str">
        <f t="shared" ref="BP224:BR224" si="1252">BP117</f>
        <v>AAAAAAAA</v>
      </c>
      <c r="BQ224" s="8" t="str">
        <f t="shared" si="1252"/>
        <v/>
      </c>
      <c r="BR224" s="8" t="str">
        <f t="shared" si="1252"/>
        <v/>
      </c>
      <c r="BS224" s="8">
        <f t="shared" si="882"/>
        <v>0</v>
      </c>
      <c r="BT224" s="8">
        <f t="shared" si="883"/>
        <v>0</v>
      </c>
      <c r="BU224" s="8"/>
      <c r="BV224" s="8" t="str">
        <f t="shared" ref="BV224:BX224" si="1253">BV117</f>
        <v>AAAAAAAA</v>
      </c>
      <c r="BW224" s="8" t="str">
        <f t="shared" si="1253"/>
        <v/>
      </c>
      <c r="BX224" s="8" t="str">
        <f t="shared" si="1253"/>
        <v/>
      </c>
      <c r="BY224" s="8">
        <f t="shared" si="885"/>
        <v>0</v>
      </c>
      <c r="BZ224" s="8">
        <f t="shared" si="886"/>
        <v>0</v>
      </c>
      <c r="CA224" s="8"/>
      <c r="CB224" s="8" t="str">
        <f t="shared" ref="CB224:CD224" si="1254">CB117</f>
        <v>AAAAAAAA</v>
      </c>
      <c r="CC224" s="8" t="str">
        <f t="shared" si="1254"/>
        <v/>
      </c>
      <c r="CD224" s="8" t="str">
        <f t="shared" si="1254"/>
        <v/>
      </c>
      <c r="CE224" s="8">
        <f t="shared" si="888"/>
        <v>0</v>
      </c>
      <c r="CF224" s="8">
        <f t="shared" si="889"/>
        <v>0</v>
      </c>
      <c r="CG224" s="8"/>
      <c r="CH224" s="8" t="str">
        <f t="shared" ref="CH224:CJ224" si="1255">CH117</f>
        <v>AAAAAAAA</v>
      </c>
      <c r="CI224" s="8" t="str">
        <f t="shared" si="1255"/>
        <v/>
      </c>
      <c r="CJ224" s="8" t="str">
        <f t="shared" si="1255"/>
        <v/>
      </c>
      <c r="CK224" s="8">
        <f t="shared" si="891"/>
        <v>0</v>
      </c>
      <c r="CL224" s="8">
        <f t="shared" si="892"/>
        <v>0</v>
      </c>
      <c r="CO224" s="8" t="str">
        <f>Hidden!$CC100</f>
        <v/>
      </c>
      <c r="CP224">
        <f t="shared" si="893"/>
        <v>0</v>
      </c>
      <c r="CQ224">
        <f t="shared" si="894"/>
        <v>0</v>
      </c>
      <c r="CR224">
        <f t="shared" si="895"/>
        <v>0</v>
      </c>
      <c r="CS224">
        <f t="shared" si="896"/>
        <v>0</v>
      </c>
      <c r="CT224">
        <f t="shared" si="897"/>
        <v>0</v>
      </c>
      <c r="CU224">
        <f t="shared" si="898"/>
        <v>0</v>
      </c>
      <c r="CV224">
        <f t="shared" si="899"/>
        <v>0</v>
      </c>
      <c r="CW224">
        <f t="shared" si="900"/>
        <v>0</v>
      </c>
      <c r="CX224">
        <f t="shared" si="901"/>
        <v>0</v>
      </c>
      <c r="CY224">
        <f t="shared" si="902"/>
        <v>0</v>
      </c>
      <c r="DT224" s="77"/>
      <c r="DU224" s="8" t="str">
        <f>Hidden!$CG7</f>
        <v/>
      </c>
      <c r="DV224">
        <f t="shared" si="1176"/>
        <v>0</v>
      </c>
      <c r="DW224">
        <f t="shared" si="1177"/>
        <v>0</v>
      </c>
      <c r="DX224">
        <f t="shared" si="1178"/>
        <v>0</v>
      </c>
      <c r="DY224">
        <f t="shared" si="1179"/>
        <v>0</v>
      </c>
      <c r="DZ224">
        <f t="shared" si="1180"/>
        <v>0</v>
      </c>
      <c r="EA224">
        <f t="shared" si="1181"/>
        <v>0</v>
      </c>
      <c r="EB224">
        <f t="shared" si="1182"/>
        <v>0</v>
      </c>
      <c r="EC224">
        <f t="shared" si="1183"/>
        <v>0</v>
      </c>
      <c r="ED224">
        <f t="shared" si="1184"/>
        <v>0</v>
      </c>
      <c r="EE224">
        <f t="shared" si="1185"/>
        <v>0</v>
      </c>
      <c r="EF224">
        <f t="shared" si="1186"/>
        <v>0</v>
      </c>
      <c r="EG224">
        <f t="shared" si="1187"/>
        <v>0</v>
      </c>
      <c r="EH224">
        <f t="shared" si="1188"/>
        <v>0</v>
      </c>
      <c r="EI224">
        <f t="shared" si="1189"/>
        <v>0</v>
      </c>
      <c r="EJ224">
        <f t="shared" si="1190"/>
        <v>0</v>
      </c>
      <c r="EK224">
        <f t="shared" si="1191"/>
        <v>0</v>
      </c>
      <c r="EL224">
        <f t="shared" si="1192"/>
        <v>0</v>
      </c>
      <c r="EM224">
        <f t="shared" si="1193"/>
        <v>0</v>
      </c>
      <c r="EN224">
        <f t="shared" si="1194"/>
        <v>0</v>
      </c>
      <c r="EO224">
        <f t="shared" si="1195"/>
        <v>0</v>
      </c>
      <c r="EP224">
        <f t="shared" si="1196"/>
        <v>0</v>
      </c>
      <c r="EQ224">
        <f t="shared" si="1197"/>
        <v>0</v>
      </c>
      <c r="ER224">
        <f t="shared" si="1198"/>
        <v>0</v>
      </c>
      <c r="ES224">
        <f t="shared" ref="ES224:ET224" si="1256">IF(ES$218,FC119,0)</f>
        <v>0</v>
      </c>
      <c r="ET224">
        <f t="shared" si="1256"/>
        <v>0</v>
      </c>
      <c r="EU224">
        <f t="shared" si="1199"/>
        <v>0</v>
      </c>
      <c r="EV224">
        <f t="shared" si="1200"/>
        <v>0</v>
      </c>
      <c r="EW224">
        <f t="shared" si="1232"/>
        <v>0</v>
      </c>
      <c r="EX224">
        <f t="shared" si="1201"/>
        <v>0</v>
      </c>
      <c r="EY224">
        <f t="shared" si="1202"/>
        <v>0</v>
      </c>
      <c r="EZ224">
        <f t="shared" ref="EZ224:FI224" si="1257">IF(EZ$218,EZ119,0)</f>
        <v>0</v>
      </c>
      <c r="FA224">
        <f t="shared" si="1257"/>
        <v>0</v>
      </c>
      <c r="FB224">
        <f t="shared" si="1257"/>
        <v>0</v>
      </c>
      <c r="FC224">
        <f t="shared" si="1257"/>
        <v>0</v>
      </c>
      <c r="FD224">
        <f t="shared" si="1257"/>
        <v>0</v>
      </c>
      <c r="FE224">
        <f t="shared" si="1257"/>
        <v>0</v>
      </c>
      <c r="FF224">
        <f t="shared" si="1257"/>
        <v>0</v>
      </c>
      <c r="FG224">
        <f t="shared" si="1257"/>
        <v>0</v>
      </c>
      <c r="FH224">
        <f t="shared" si="1257"/>
        <v>0</v>
      </c>
      <c r="FI224">
        <f t="shared" si="1257"/>
        <v>0</v>
      </c>
      <c r="FJ224">
        <f t="shared" si="1204"/>
        <v>0</v>
      </c>
      <c r="FK224">
        <f t="shared" si="1205"/>
        <v>0</v>
      </c>
      <c r="FL224">
        <f t="shared" si="1206"/>
        <v>0</v>
      </c>
      <c r="FM224">
        <f t="shared" si="1234"/>
        <v>0</v>
      </c>
      <c r="FN224">
        <f t="shared" si="1207"/>
        <v>0</v>
      </c>
      <c r="FO224">
        <f t="shared" si="1208"/>
        <v>0</v>
      </c>
      <c r="FP224">
        <f t="shared" si="1209"/>
        <v>0</v>
      </c>
      <c r="FQ224">
        <f t="shared" si="1210"/>
        <v>0</v>
      </c>
      <c r="FR224">
        <f t="shared" si="1211"/>
        <v>0</v>
      </c>
      <c r="FS224">
        <f t="shared" si="1212"/>
        <v>0</v>
      </c>
      <c r="FT224">
        <f t="shared" si="1213"/>
        <v>0</v>
      </c>
      <c r="FU224">
        <f t="shared" si="1214"/>
        <v>0</v>
      </c>
      <c r="FV224">
        <f t="shared" si="1215"/>
        <v>0</v>
      </c>
      <c r="FW224">
        <f t="shared" si="1216"/>
        <v>0</v>
      </c>
      <c r="FX224">
        <f t="shared" si="1217"/>
        <v>0</v>
      </c>
      <c r="FY224">
        <f t="shared" si="1235"/>
        <v>0</v>
      </c>
      <c r="FZ224">
        <f t="shared" si="1218"/>
        <v>0</v>
      </c>
      <c r="GA224">
        <f t="shared" si="1219"/>
        <v>0</v>
      </c>
      <c r="GB224">
        <f t="shared" si="1220"/>
        <v>0</v>
      </c>
      <c r="GC224">
        <f t="shared" si="1221"/>
        <v>0</v>
      </c>
    </row>
    <row r="225" spans="1:185" x14ac:dyDescent="0.2">
      <c r="A225" s="8" t="str">
        <f t="shared" ref="A225:C225" si="1258">A118</f>
        <v>AAAAAAAAA</v>
      </c>
      <c r="B225" s="8" t="str">
        <f t="shared" si="1258"/>
        <v/>
      </c>
      <c r="C225" s="8" t="str">
        <f t="shared" si="1258"/>
        <v/>
      </c>
      <c r="D225" s="8">
        <f t="shared" si="860"/>
        <v>0</v>
      </c>
      <c r="E225" s="8">
        <f t="shared" si="860"/>
        <v>0</v>
      </c>
      <c r="F225" s="8"/>
      <c r="G225" s="8" t="str">
        <f t="shared" ref="G225:I225" si="1259">G118</f>
        <v>AAAAAAAAA</v>
      </c>
      <c r="H225" s="8" t="str">
        <f t="shared" si="1259"/>
        <v/>
      </c>
      <c r="I225" s="8" t="str">
        <f t="shared" si="1259"/>
        <v/>
      </c>
      <c r="J225" s="8">
        <f t="shared" si="862"/>
        <v>0</v>
      </c>
      <c r="K225" s="8">
        <f t="shared" si="862"/>
        <v>0</v>
      </c>
      <c r="L225" s="8"/>
      <c r="M225" s="8" t="str">
        <f t="shared" ref="M225:O225" si="1260">M118</f>
        <v>AAAAAAAAA</v>
      </c>
      <c r="N225" s="8" t="str">
        <f t="shared" si="1260"/>
        <v/>
      </c>
      <c r="O225" s="8" t="str">
        <f t="shared" si="1260"/>
        <v/>
      </c>
      <c r="P225" s="8">
        <f t="shared" si="852"/>
        <v>0</v>
      </c>
      <c r="Q225" s="8">
        <f t="shared" si="852"/>
        <v>0</v>
      </c>
      <c r="R225" s="8"/>
      <c r="S225" s="8" t="str">
        <f t="shared" ref="S225:U225" si="1261">S118</f>
        <v>AAAAAAAAA</v>
      </c>
      <c r="T225" s="8" t="str">
        <f t="shared" si="1261"/>
        <v/>
      </c>
      <c r="U225" s="8" t="str">
        <f t="shared" si="1261"/>
        <v/>
      </c>
      <c r="V225">
        <f t="shared" si="865"/>
        <v>0</v>
      </c>
      <c r="W225">
        <f t="shared" si="865"/>
        <v>0</v>
      </c>
      <c r="Y225" s="8" t="str">
        <f t="shared" si="866"/>
        <v>AAAAAAAAA</v>
      </c>
      <c r="Z225" s="8"/>
      <c r="AB225">
        <f t="shared" si="867"/>
        <v>0</v>
      </c>
      <c r="AC225">
        <f t="shared" si="867"/>
        <v>0</v>
      </c>
      <c r="AE225" s="8" t="str">
        <f>Hidden!$CC101</f>
        <v/>
      </c>
      <c r="AF225">
        <f t="shared" si="868"/>
        <v>0</v>
      </c>
      <c r="AG225">
        <f t="shared" si="869"/>
        <v>0</v>
      </c>
      <c r="AH225">
        <f t="shared" si="870"/>
        <v>0</v>
      </c>
      <c r="AI225">
        <f t="shared" si="871"/>
        <v>0</v>
      </c>
      <c r="AJ225">
        <f t="shared" si="872"/>
        <v>0</v>
      </c>
      <c r="AK225">
        <f t="shared" si="873"/>
        <v>0</v>
      </c>
      <c r="AL225">
        <f t="shared" si="874"/>
        <v>0</v>
      </c>
      <c r="AM225">
        <f t="shared" si="875"/>
        <v>0</v>
      </c>
      <c r="AN225">
        <f t="shared" si="876"/>
        <v>0</v>
      </c>
      <c r="AO225">
        <f t="shared" si="877"/>
        <v>0</v>
      </c>
      <c r="BJ225" s="8" t="str">
        <f t="shared" ref="BJ225:BL225" si="1262">BJ118</f>
        <v>AAAAAAAAA</v>
      </c>
      <c r="BK225" s="8" t="str">
        <f t="shared" si="1262"/>
        <v/>
      </c>
      <c r="BL225" s="8" t="str">
        <f t="shared" si="1262"/>
        <v/>
      </c>
      <c r="BM225" s="8">
        <f t="shared" si="879"/>
        <v>0</v>
      </c>
      <c r="BN225" s="8">
        <f t="shared" si="880"/>
        <v>0</v>
      </c>
      <c r="BO225" s="8"/>
      <c r="BP225" s="8" t="str">
        <f t="shared" ref="BP225:BR225" si="1263">BP118</f>
        <v>AAAAAAAAA</v>
      </c>
      <c r="BQ225" s="8" t="str">
        <f t="shared" si="1263"/>
        <v/>
      </c>
      <c r="BR225" s="8" t="str">
        <f t="shared" si="1263"/>
        <v/>
      </c>
      <c r="BS225" s="8">
        <f t="shared" si="882"/>
        <v>0</v>
      </c>
      <c r="BT225" s="8">
        <f t="shared" si="883"/>
        <v>0</v>
      </c>
      <c r="BU225" s="8"/>
      <c r="BV225" s="8" t="str">
        <f t="shared" ref="BV225:BX225" si="1264">BV118</f>
        <v>AAAAAAAAA</v>
      </c>
      <c r="BW225" s="8" t="str">
        <f t="shared" si="1264"/>
        <v/>
      </c>
      <c r="BX225" s="8" t="str">
        <f t="shared" si="1264"/>
        <v/>
      </c>
      <c r="BY225" s="8">
        <f t="shared" si="885"/>
        <v>0</v>
      </c>
      <c r="BZ225" s="8">
        <f t="shared" si="886"/>
        <v>0</v>
      </c>
      <c r="CA225" s="8"/>
      <c r="CB225" s="8" t="str">
        <f t="shared" ref="CB225:CD225" si="1265">CB118</f>
        <v>AAAAAAAAA</v>
      </c>
      <c r="CC225" s="8" t="str">
        <f t="shared" si="1265"/>
        <v/>
      </c>
      <c r="CD225" s="8" t="str">
        <f t="shared" si="1265"/>
        <v/>
      </c>
      <c r="CE225" s="8">
        <f t="shared" si="888"/>
        <v>0</v>
      </c>
      <c r="CF225" s="8">
        <f t="shared" si="889"/>
        <v>0</v>
      </c>
      <c r="CG225" s="8"/>
      <c r="CH225" s="8" t="str">
        <f t="shared" ref="CH225:CJ225" si="1266">CH118</f>
        <v>AAAAAAAAA</v>
      </c>
      <c r="CI225" s="8" t="str">
        <f t="shared" si="1266"/>
        <v/>
      </c>
      <c r="CJ225" s="8" t="str">
        <f t="shared" si="1266"/>
        <v/>
      </c>
      <c r="CK225" s="8">
        <f t="shared" si="891"/>
        <v>0</v>
      </c>
      <c r="CL225" s="8">
        <f t="shared" si="892"/>
        <v>0</v>
      </c>
      <c r="CO225" s="8" t="str">
        <f>Hidden!$CC101</f>
        <v/>
      </c>
      <c r="CP225">
        <f t="shared" si="893"/>
        <v>0</v>
      </c>
      <c r="CQ225">
        <f t="shared" si="894"/>
        <v>0</v>
      </c>
      <c r="CR225">
        <f t="shared" si="895"/>
        <v>0</v>
      </c>
      <c r="CS225">
        <f t="shared" si="896"/>
        <v>0</v>
      </c>
      <c r="CT225">
        <f t="shared" si="897"/>
        <v>0</v>
      </c>
      <c r="CU225">
        <f t="shared" si="898"/>
        <v>0</v>
      </c>
      <c r="CV225">
        <f t="shared" si="899"/>
        <v>0</v>
      </c>
      <c r="CW225">
        <f t="shared" si="900"/>
        <v>0</v>
      </c>
      <c r="CX225">
        <f t="shared" si="901"/>
        <v>0</v>
      </c>
      <c r="CY225">
        <f t="shared" si="902"/>
        <v>0</v>
      </c>
      <c r="DT225" s="77"/>
      <c r="DU225" s="8" t="str">
        <f>Hidden!$CG8</f>
        <v/>
      </c>
      <c r="DV225">
        <f t="shared" si="1176"/>
        <v>0</v>
      </c>
      <c r="DW225">
        <f t="shared" si="1177"/>
        <v>0</v>
      </c>
      <c r="DX225">
        <f t="shared" si="1178"/>
        <v>0</v>
      </c>
      <c r="DY225">
        <f t="shared" si="1179"/>
        <v>0</v>
      </c>
      <c r="DZ225">
        <f t="shared" si="1180"/>
        <v>0</v>
      </c>
      <c r="EA225">
        <f t="shared" si="1181"/>
        <v>0</v>
      </c>
      <c r="EB225">
        <f t="shared" si="1182"/>
        <v>0</v>
      </c>
      <c r="EC225">
        <f t="shared" si="1183"/>
        <v>0</v>
      </c>
      <c r="ED225">
        <f t="shared" si="1184"/>
        <v>0</v>
      </c>
      <c r="EE225">
        <f t="shared" si="1185"/>
        <v>0</v>
      </c>
      <c r="EF225">
        <f t="shared" si="1186"/>
        <v>0</v>
      </c>
      <c r="EG225">
        <f t="shared" si="1187"/>
        <v>0</v>
      </c>
      <c r="EH225">
        <f t="shared" si="1188"/>
        <v>0</v>
      </c>
      <c r="EI225">
        <f t="shared" si="1189"/>
        <v>0</v>
      </c>
      <c r="EJ225">
        <f t="shared" si="1190"/>
        <v>0</v>
      </c>
      <c r="EK225">
        <f t="shared" si="1191"/>
        <v>0</v>
      </c>
      <c r="EL225">
        <f t="shared" si="1192"/>
        <v>0</v>
      </c>
      <c r="EM225">
        <f t="shared" si="1193"/>
        <v>0</v>
      </c>
      <c r="EN225">
        <f t="shared" si="1194"/>
        <v>0</v>
      </c>
      <c r="EO225">
        <f t="shared" si="1195"/>
        <v>0</v>
      </c>
      <c r="EP225">
        <f t="shared" si="1196"/>
        <v>0</v>
      </c>
      <c r="EQ225">
        <f t="shared" si="1197"/>
        <v>0</v>
      </c>
      <c r="ER225">
        <f t="shared" si="1198"/>
        <v>0</v>
      </c>
      <c r="ES225">
        <f t="shared" ref="ES225:ET225" si="1267">IF(ES$218,FC120,0)</f>
        <v>0</v>
      </c>
      <c r="ET225">
        <f t="shared" si="1267"/>
        <v>0</v>
      </c>
      <c r="EU225">
        <f t="shared" si="1199"/>
        <v>0</v>
      </c>
      <c r="EV225">
        <f t="shared" si="1200"/>
        <v>0</v>
      </c>
      <c r="EW225">
        <f t="shared" si="1232"/>
        <v>0</v>
      </c>
      <c r="EX225">
        <f t="shared" si="1201"/>
        <v>0</v>
      </c>
      <c r="EY225">
        <f t="shared" si="1202"/>
        <v>0</v>
      </c>
      <c r="EZ225">
        <f t="shared" ref="EZ225:FI225" si="1268">IF(EZ$218,EZ120,0)</f>
        <v>0</v>
      </c>
      <c r="FA225">
        <f t="shared" si="1268"/>
        <v>0</v>
      </c>
      <c r="FB225">
        <f t="shared" si="1268"/>
        <v>0</v>
      </c>
      <c r="FC225">
        <f t="shared" si="1268"/>
        <v>0</v>
      </c>
      <c r="FD225">
        <f t="shared" si="1268"/>
        <v>0</v>
      </c>
      <c r="FE225">
        <f t="shared" si="1268"/>
        <v>0</v>
      </c>
      <c r="FF225">
        <f t="shared" si="1268"/>
        <v>0</v>
      </c>
      <c r="FG225">
        <f t="shared" si="1268"/>
        <v>0</v>
      </c>
      <c r="FH225">
        <f t="shared" si="1268"/>
        <v>0</v>
      </c>
      <c r="FI225">
        <f t="shared" si="1268"/>
        <v>0</v>
      </c>
      <c r="FJ225">
        <f t="shared" si="1204"/>
        <v>0</v>
      </c>
      <c r="FK225">
        <f t="shared" si="1205"/>
        <v>0</v>
      </c>
      <c r="FL225">
        <f t="shared" si="1206"/>
        <v>0</v>
      </c>
      <c r="FM225">
        <f t="shared" si="1234"/>
        <v>0</v>
      </c>
      <c r="FN225">
        <f t="shared" si="1207"/>
        <v>0</v>
      </c>
      <c r="FO225">
        <f t="shared" si="1208"/>
        <v>0</v>
      </c>
      <c r="FP225">
        <f t="shared" si="1209"/>
        <v>0</v>
      </c>
      <c r="FQ225">
        <f t="shared" si="1210"/>
        <v>0</v>
      </c>
      <c r="FR225">
        <f t="shared" si="1211"/>
        <v>0</v>
      </c>
      <c r="FS225">
        <f t="shared" si="1212"/>
        <v>0</v>
      </c>
      <c r="FT225">
        <f t="shared" si="1213"/>
        <v>0</v>
      </c>
      <c r="FU225">
        <f t="shared" si="1214"/>
        <v>0</v>
      </c>
      <c r="FV225">
        <f t="shared" si="1215"/>
        <v>0</v>
      </c>
      <c r="FW225">
        <f t="shared" si="1216"/>
        <v>0</v>
      </c>
      <c r="FX225">
        <f t="shared" si="1217"/>
        <v>0</v>
      </c>
      <c r="FY225">
        <f t="shared" si="1235"/>
        <v>0</v>
      </c>
      <c r="FZ225">
        <f t="shared" si="1218"/>
        <v>0</v>
      </c>
      <c r="GA225">
        <f t="shared" si="1219"/>
        <v>0</v>
      </c>
      <c r="GB225">
        <f t="shared" si="1220"/>
        <v>0</v>
      </c>
      <c r="GC225">
        <f t="shared" si="1221"/>
        <v>0</v>
      </c>
    </row>
    <row r="226" spans="1:185" ht="15" thickBot="1" x14ac:dyDescent="0.25">
      <c r="A226" s="8" t="str">
        <f t="shared" ref="A226:C226" si="1269">A119</f>
        <v>AAAAAAAAAA</v>
      </c>
      <c r="B226" s="8" t="str">
        <f t="shared" si="1269"/>
        <v/>
      </c>
      <c r="C226" s="8" t="str">
        <f t="shared" si="1269"/>
        <v/>
      </c>
      <c r="D226" s="8">
        <f t="shared" si="860"/>
        <v>0</v>
      </c>
      <c r="E226" s="8">
        <f t="shared" si="860"/>
        <v>0</v>
      </c>
      <c r="F226" s="8"/>
      <c r="G226" s="8" t="str">
        <f t="shared" ref="G226:I226" si="1270">G119</f>
        <v>AAAAAAAAAA</v>
      </c>
      <c r="H226" s="8" t="str">
        <f t="shared" si="1270"/>
        <v/>
      </c>
      <c r="I226" s="8" t="str">
        <f t="shared" si="1270"/>
        <v/>
      </c>
      <c r="J226" s="8">
        <f t="shared" si="862"/>
        <v>0</v>
      </c>
      <c r="K226" s="8">
        <f t="shared" si="862"/>
        <v>0</v>
      </c>
      <c r="L226" s="8"/>
      <c r="M226" s="8" t="str">
        <f t="shared" ref="M226:O226" si="1271">M119</f>
        <v>AAAAAAAAAA</v>
      </c>
      <c r="N226" s="8" t="str">
        <f t="shared" si="1271"/>
        <v/>
      </c>
      <c r="O226" s="8" t="str">
        <f t="shared" si="1271"/>
        <v/>
      </c>
      <c r="P226" s="8">
        <f t="shared" si="852"/>
        <v>0</v>
      </c>
      <c r="Q226" s="8">
        <f t="shared" si="852"/>
        <v>0</v>
      </c>
      <c r="R226" s="8"/>
      <c r="S226" s="8" t="str">
        <f t="shared" ref="S226:U226" si="1272">S119</f>
        <v>AAAAAAAAAA</v>
      </c>
      <c r="T226" s="8" t="str">
        <f t="shared" si="1272"/>
        <v/>
      </c>
      <c r="U226" s="8" t="str">
        <f t="shared" si="1272"/>
        <v/>
      </c>
      <c r="V226">
        <f t="shared" si="865"/>
        <v>0</v>
      </c>
      <c r="W226">
        <f t="shared" si="865"/>
        <v>0</v>
      </c>
      <c r="Y226" s="8" t="str">
        <f t="shared" si="866"/>
        <v>AAAAAAAAAA</v>
      </c>
      <c r="Z226" s="8"/>
      <c r="AB226">
        <f t="shared" si="867"/>
        <v>0</v>
      </c>
      <c r="AC226">
        <f t="shared" si="867"/>
        <v>0</v>
      </c>
      <c r="AE226" s="8" t="str">
        <f>Hidden!$CC102</f>
        <v/>
      </c>
      <c r="AF226">
        <f t="shared" si="868"/>
        <v>0</v>
      </c>
      <c r="AG226">
        <f t="shared" si="869"/>
        <v>0</v>
      </c>
      <c r="AH226">
        <f t="shared" si="870"/>
        <v>0</v>
      </c>
      <c r="AI226">
        <f t="shared" si="871"/>
        <v>0</v>
      </c>
      <c r="AJ226">
        <f t="shared" si="872"/>
        <v>0</v>
      </c>
      <c r="AK226">
        <f t="shared" si="873"/>
        <v>0</v>
      </c>
      <c r="AL226">
        <f t="shared" si="874"/>
        <v>0</v>
      </c>
      <c r="AM226">
        <f t="shared" si="875"/>
        <v>0</v>
      </c>
      <c r="AN226">
        <f t="shared" si="876"/>
        <v>0</v>
      </c>
      <c r="AO226">
        <f t="shared" si="877"/>
        <v>0</v>
      </c>
      <c r="BJ226" s="8" t="str">
        <f t="shared" ref="BJ226:BL226" si="1273">BJ119</f>
        <v>AAAAAAAAAA</v>
      </c>
      <c r="BK226" s="8" t="str">
        <f t="shared" si="1273"/>
        <v/>
      </c>
      <c r="BL226" s="8" t="str">
        <f t="shared" si="1273"/>
        <v/>
      </c>
      <c r="BM226" s="8">
        <f t="shared" si="879"/>
        <v>0</v>
      </c>
      <c r="BN226" s="8">
        <f t="shared" si="880"/>
        <v>0</v>
      </c>
      <c r="BO226" s="8"/>
      <c r="BP226" s="8" t="str">
        <f t="shared" ref="BP226:BR226" si="1274">BP119</f>
        <v>AAAAAAAAAA</v>
      </c>
      <c r="BQ226" s="8" t="str">
        <f t="shared" si="1274"/>
        <v/>
      </c>
      <c r="BR226" s="8" t="str">
        <f t="shared" si="1274"/>
        <v/>
      </c>
      <c r="BS226" s="8">
        <f t="shared" si="882"/>
        <v>0</v>
      </c>
      <c r="BT226" s="8">
        <f t="shared" si="883"/>
        <v>0</v>
      </c>
      <c r="BU226" s="8"/>
      <c r="BV226" s="8" t="str">
        <f t="shared" ref="BV226:BX226" si="1275">BV119</f>
        <v>AAAAAAAAAA</v>
      </c>
      <c r="BW226" s="8" t="str">
        <f t="shared" si="1275"/>
        <v/>
      </c>
      <c r="BX226" s="8" t="str">
        <f t="shared" si="1275"/>
        <v/>
      </c>
      <c r="BY226" s="8">
        <f t="shared" si="885"/>
        <v>0</v>
      </c>
      <c r="BZ226" s="8">
        <f t="shared" si="886"/>
        <v>0</v>
      </c>
      <c r="CA226" s="8"/>
      <c r="CB226" s="8" t="str">
        <f t="shared" ref="CB226:CD226" si="1276">CB119</f>
        <v>AAAAAAAAAA</v>
      </c>
      <c r="CC226" s="8" t="str">
        <f t="shared" si="1276"/>
        <v/>
      </c>
      <c r="CD226" s="8" t="str">
        <f t="shared" si="1276"/>
        <v/>
      </c>
      <c r="CE226" s="8">
        <f t="shared" si="888"/>
        <v>0</v>
      </c>
      <c r="CF226" s="8">
        <f t="shared" si="889"/>
        <v>0</v>
      </c>
      <c r="CG226" s="8"/>
      <c r="CH226" s="8" t="str">
        <f t="shared" ref="CH226:CJ226" si="1277">CH119</f>
        <v>AAAAAAAAAA</v>
      </c>
      <c r="CI226" s="8" t="str">
        <f t="shared" si="1277"/>
        <v/>
      </c>
      <c r="CJ226" s="8" t="str">
        <f t="shared" si="1277"/>
        <v/>
      </c>
      <c r="CK226" s="8">
        <f t="shared" si="891"/>
        <v>0</v>
      </c>
      <c r="CL226" s="8">
        <f t="shared" si="892"/>
        <v>0</v>
      </c>
      <c r="CO226" s="8" t="str">
        <f>Hidden!$CC102</f>
        <v/>
      </c>
      <c r="CP226">
        <f t="shared" si="893"/>
        <v>0</v>
      </c>
      <c r="CQ226">
        <f t="shared" si="894"/>
        <v>0</v>
      </c>
      <c r="CR226">
        <f t="shared" si="895"/>
        <v>0</v>
      </c>
      <c r="CS226">
        <f t="shared" si="896"/>
        <v>0</v>
      </c>
      <c r="CT226">
        <f t="shared" si="897"/>
        <v>0</v>
      </c>
      <c r="CU226">
        <f t="shared" si="898"/>
        <v>0</v>
      </c>
      <c r="CV226">
        <f t="shared" si="899"/>
        <v>0</v>
      </c>
      <c r="CW226">
        <f t="shared" si="900"/>
        <v>0</v>
      </c>
      <c r="CX226">
        <f t="shared" si="901"/>
        <v>0</v>
      </c>
      <c r="CY226">
        <f t="shared" si="902"/>
        <v>0</v>
      </c>
      <c r="DT226" s="77"/>
      <c r="DU226" s="8" t="str">
        <f>Hidden!$CG9</f>
        <v/>
      </c>
      <c r="DV226">
        <f t="shared" si="1176"/>
        <v>0</v>
      </c>
      <c r="DW226">
        <f t="shared" si="1177"/>
        <v>0</v>
      </c>
      <c r="DX226">
        <f t="shared" si="1178"/>
        <v>0</v>
      </c>
      <c r="DY226">
        <f t="shared" si="1179"/>
        <v>0</v>
      </c>
      <c r="DZ226">
        <f t="shared" si="1180"/>
        <v>0</v>
      </c>
      <c r="EA226">
        <f t="shared" si="1181"/>
        <v>0</v>
      </c>
      <c r="EB226">
        <f t="shared" si="1182"/>
        <v>0</v>
      </c>
      <c r="EC226">
        <f t="shared" si="1183"/>
        <v>0</v>
      </c>
      <c r="ED226">
        <f t="shared" si="1184"/>
        <v>0</v>
      </c>
      <c r="EE226">
        <f t="shared" si="1185"/>
        <v>0</v>
      </c>
      <c r="EF226">
        <f t="shared" si="1186"/>
        <v>0</v>
      </c>
      <c r="EG226">
        <f t="shared" si="1187"/>
        <v>0</v>
      </c>
      <c r="EH226">
        <f t="shared" si="1188"/>
        <v>0</v>
      </c>
      <c r="EI226">
        <f t="shared" si="1189"/>
        <v>0</v>
      </c>
      <c r="EJ226">
        <f t="shared" si="1190"/>
        <v>0</v>
      </c>
      <c r="EK226">
        <f t="shared" si="1191"/>
        <v>0</v>
      </c>
      <c r="EL226">
        <f t="shared" si="1192"/>
        <v>0</v>
      </c>
      <c r="EM226">
        <f t="shared" si="1193"/>
        <v>0</v>
      </c>
      <c r="EN226">
        <f t="shared" si="1194"/>
        <v>0</v>
      </c>
      <c r="EO226">
        <f t="shared" si="1195"/>
        <v>0</v>
      </c>
      <c r="EP226">
        <f t="shared" si="1196"/>
        <v>0</v>
      </c>
      <c r="EQ226">
        <f t="shared" si="1197"/>
        <v>0</v>
      </c>
      <c r="ER226">
        <f t="shared" si="1198"/>
        <v>0</v>
      </c>
      <c r="ES226">
        <f t="shared" ref="ES226:ET226" si="1278">IF(ES$218,FC121,0)</f>
        <v>0</v>
      </c>
      <c r="ET226">
        <f t="shared" si="1278"/>
        <v>0</v>
      </c>
      <c r="EU226">
        <f t="shared" si="1199"/>
        <v>0</v>
      </c>
      <c r="EV226">
        <f t="shared" si="1200"/>
        <v>0</v>
      </c>
      <c r="EW226">
        <f t="shared" si="1232"/>
        <v>0</v>
      </c>
      <c r="EX226">
        <f t="shared" si="1201"/>
        <v>0</v>
      </c>
      <c r="EY226">
        <f t="shared" si="1202"/>
        <v>0</v>
      </c>
      <c r="EZ226">
        <f t="shared" ref="EZ226:FI226" si="1279">IF(EZ$218,EZ121,0)</f>
        <v>0</v>
      </c>
      <c r="FA226">
        <f t="shared" si="1279"/>
        <v>0</v>
      </c>
      <c r="FB226">
        <f t="shared" si="1279"/>
        <v>0</v>
      </c>
      <c r="FC226">
        <f t="shared" si="1279"/>
        <v>0</v>
      </c>
      <c r="FD226">
        <f t="shared" si="1279"/>
        <v>0</v>
      </c>
      <c r="FE226">
        <f t="shared" si="1279"/>
        <v>0</v>
      </c>
      <c r="FF226">
        <f t="shared" si="1279"/>
        <v>0</v>
      </c>
      <c r="FG226">
        <f t="shared" si="1279"/>
        <v>0</v>
      </c>
      <c r="FH226">
        <f t="shared" si="1279"/>
        <v>0</v>
      </c>
      <c r="FI226">
        <f t="shared" si="1279"/>
        <v>0</v>
      </c>
      <c r="FJ226">
        <f t="shared" si="1204"/>
        <v>0</v>
      </c>
      <c r="FK226">
        <f t="shared" si="1205"/>
        <v>0</v>
      </c>
      <c r="FL226">
        <f t="shared" si="1206"/>
        <v>0</v>
      </c>
      <c r="FM226">
        <f t="shared" si="1234"/>
        <v>0</v>
      </c>
      <c r="FN226">
        <f t="shared" si="1207"/>
        <v>0</v>
      </c>
      <c r="FO226">
        <f t="shared" si="1208"/>
        <v>0</v>
      </c>
      <c r="FP226">
        <f t="shared" si="1209"/>
        <v>0</v>
      </c>
      <c r="FQ226">
        <f t="shared" si="1210"/>
        <v>0</v>
      </c>
      <c r="FR226">
        <f t="shared" si="1211"/>
        <v>0</v>
      </c>
      <c r="FS226">
        <f t="shared" si="1212"/>
        <v>0</v>
      </c>
      <c r="FT226">
        <f t="shared" si="1213"/>
        <v>0</v>
      </c>
      <c r="FU226">
        <f t="shared" si="1214"/>
        <v>0</v>
      </c>
      <c r="FV226">
        <f t="shared" si="1215"/>
        <v>0</v>
      </c>
      <c r="FW226">
        <f t="shared" si="1216"/>
        <v>0</v>
      </c>
      <c r="FX226">
        <f t="shared" si="1217"/>
        <v>0</v>
      </c>
      <c r="FY226">
        <f t="shared" si="1235"/>
        <v>0</v>
      </c>
      <c r="FZ226">
        <f t="shared" si="1218"/>
        <v>0</v>
      </c>
      <c r="GA226">
        <f t="shared" si="1219"/>
        <v>0</v>
      </c>
      <c r="GB226">
        <f t="shared" si="1220"/>
        <v>0</v>
      </c>
      <c r="GC226">
        <f t="shared" si="1221"/>
        <v>0</v>
      </c>
    </row>
    <row r="227" spans="1:185" ht="15.75" thickBot="1" x14ac:dyDescent="0.25">
      <c r="A227" s="479" t="s">
        <v>9755</v>
      </c>
      <c r="B227" s="479"/>
      <c r="C227" s="479"/>
      <c r="D227" s="479"/>
      <c r="E227" s="479"/>
      <c r="F227" s="479"/>
      <c r="G227" s="479"/>
      <c r="H227" s="479"/>
      <c r="I227" s="479"/>
      <c r="J227" s="479"/>
      <c r="K227" s="479"/>
      <c r="L227" s="479"/>
      <c r="M227" s="479"/>
      <c r="N227" s="479"/>
      <c r="O227" s="479"/>
      <c r="P227" s="479"/>
      <c r="Q227" s="479"/>
      <c r="R227" s="479"/>
      <c r="S227" s="479"/>
      <c r="T227" s="479"/>
      <c r="U227" s="479"/>
      <c r="V227" s="479"/>
      <c r="W227" s="479"/>
      <c r="X227" s="479"/>
      <c r="Y227" s="479"/>
      <c r="Z227" s="479"/>
      <c r="AA227" s="479"/>
      <c r="AB227" s="479"/>
      <c r="AC227" s="479"/>
      <c r="AD227" s="479"/>
      <c r="AE227" s="479"/>
      <c r="AF227" s="479"/>
      <c r="AG227" s="479"/>
      <c r="AH227" s="479"/>
      <c r="AI227" s="479"/>
      <c r="AJ227" s="479"/>
      <c r="AK227" s="479"/>
      <c r="AL227" s="479"/>
      <c r="AM227" s="479"/>
      <c r="AN227" s="479"/>
      <c r="AO227" s="479"/>
      <c r="AP227" s="479"/>
      <c r="AQ227" s="479"/>
      <c r="AR227" s="479"/>
      <c r="AS227" s="479"/>
      <c r="AT227" s="479"/>
      <c r="AU227" s="479"/>
      <c r="AV227" s="479"/>
      <c r="AW227" s="479"/>
      <c r="AX227" s="479"/>
      <c r="AY227" s="479"/>
      <c r="AZ227" s="479"/>
      <c r="BA227" s="479"/>
      <c r="BB227" s="479"/>
      <c r="BC227" s="479"/>
      <c r="BD227" s="479"/>
      <c r="BE227" s="479"/>
      <c r="BF227" s="479"/>
      <c r="BG227" s="479"/>
      <c r="BH227" s="479"/>
      <c r="BI227" s="479"/>
      <c r="BJ227" s="479" t="s">
        <v>9973</v>
      </c>
      <c r="BK227" s="479"/>
      <c r="BL227" s="479"/>
      <c r="BM227" s="479"/>
      <c r="BN227" s="479"/>
      <c r="BO227" s="479"/>
      <c r="BP227" s="479"/>
      <c r="BQ227" s="479"/>
      <c r="BR227" s="479"/>
      <c r="BS227" s="479"/>
      <c r="BT227" s="479"/>
      <c r="BU227" s="479"/>
      <c r="BV227" s="479"/>
      <c r="BW227" s="479"/>
      <c r="BX227" s="479"/>
      <c r="BY227" s="479"/>
      <c r="BZ227" s="479"/>
      <c r="CA227" s="479"/>
      <c r="CB227" s="479"/>
      <c r="CC227" s="479"/>
      <c r="CD227" s="479"/>
      <c r="CE227" s="479"/>
      <c r="CF227" s="479"/>
      <c r="CG227" s="479"/>
      <c r="CH227" s="479"/>
      <c r="CI227" s="479"/>
      <c r="CJ227" s="479"/>
      <c r="CK227" s="479"/>
      <c r="CL227" s="479"/>
      <c r="CM227" s="479"/>
      <c r="CN227" s="479"/>
      <c r="CO227" s="479"/>
      <c r="CP227" s="479"/>
      <c r="CQ227" s="479"/>
      <c r="CR227" s="479"/>
      <c r="CS227" s="479"/>
      <c r="CT227" s="479"/>
      <c r="CU227" s="479"/>
      <c r="CV227" s="479"/>
      <c r="CW227" s="479"/>
      <c r="CX227" s="479"/>
      <c r="CY227" s="479"/>
      <c r="DT227" s="77"/>
      <c r="DU227" s="8" t="str">
        <f>Hidden!$CG10</f>
        <v/>
      </c>
      <c r="DV227">
        <f t="shared" si="1176"/>
        <v>0</v>
      </c>
      <c r="DW227">
        <f t="shared" si="1177"/>
        <v>0</v>
      </c>
      <c r="DX227">
        <f t="shared" si="1178"/>
        <v>0</v>
      </c>
      <c r="DY227">
        <f t="shared" si="1179"/>
        <v>0</v>
      </c>
      <c r="DZ227">
        <f t="shared" si="1180"/>
        <v>0</v>
      </c>
      <c r="EA227">
        <f t="shared" si="1181"/>
        <v>0</v>
      </c>
      <c r="EB227">
        <f t="shared" si="1182"/>
        <v>0</v>
      </c>
      <c r="EC227">
        <f t="shared" si="1183"/>
        <v>0</v>
      </c>
      <c r="ED227">
        <f t="shared" si="1184"/>
        <v>0</v>
      </c>
      <c r="EE227">
        <f t="shared" si="1185"/>
        <v>0</v>
      </c>
      <c r="EF227">
        <f t="shared" si="1186"/>
        <v>0</v>
      </c>
      <c r="EG227">
        <f t="shared" si="1187"/>
        <v>0</v>
      </c>
      <c r="EH227">
        <f t="shared" si="1188"/>
        <v>0</v>
      </c>
      <c r="EI227">
        <f t="shared" si="1189"/>
        <v>0</v>
      </c>
      <c r="EJ227">
        <f t="shared" si="1190"/>
        <v>0</v>
      </c>
      <c r="EK227">
        <f t="shared" si="1191"/>
        <v>0</v>
      </c>
      <c r="EL227">
        <f t="shared" si="1192"/>
        <v>0</v>
      </c>
      <c r="EM227">
        <f t="shared" si="1193"/>
        <v>0</v>
      </c>
      <c r="EN227">
        <f t="shared" si="1194"/>
        <v>0</v>
      </c>
      <c r="EO227">
        <f t="shared" si="1195"/>
        <v>0</v>
      </c>
      <c r="EP227">
        <f t="shared" si="1196"/>
        <v>0</v>
      </c>
      <c r="EQ227">
        <f t="shared" si="1197"/>
        <v>0</v>
      </c>
      <c r="ER227">
        <f t="shared" si="1198"/>
        <v>0</v>
      </c>
      <c r="ES227">
        <f t="shared" ref="ES227:ET227" si="1280">IF(ES$218,FC122,0)</f>
        <v>0</v>
      </c>
      <c r="ET227">
        <f t="shared" si="1280"/>
        <v>0</v>
      </c>
      <c r="EU227">
        <f t="shared" si="1199"/>
        <v>0</v>
      </c>
      <c r="EV227">
        <f t="shared" si="1200"/>
        <v>0</v>
      </c>
      <c r="EW227">
        <f t="shared" si="1232"/>
        <v>0</v>
      </c>
      <c r="EX227">
        <f t="shared" si="1201"/>
        <v>0</v>
      </c>
      <c r="EY227">
        <f t="shared" si="1202"/>
        <v>0</v>
      </c>
      <c r="EZ227">
        <f t="shared" ref="EZ227:FI227" si="1281">IF(EZ$218,EZ122,0)</f>
        <v>0</v>
      </c>
      <c r="FA227">
        <f t="shared" si="1281"/>
        <v>0</v>
      </c>
      <c r="FB227">
        <f t="shared" si="1281"/>
        <v>0</v>
      </c>
      <c r="FC227">
        <f t="shared" si="1281"/>
        <v>0</v>
      </c>
      <c r="FD227">
        <f t="shared" si="1281"/>
        <v>0</v>
      </c>
      <c r="FE227">
        <f t="shared" si="1281"/>
        <v>0</v>
      </c>
      <c r="FF227">
        <f t="shared" si="1281"/>
        <v>0</v>
      </c>
      <c r="FG227">
        <f t="shared" si="1281"/>
        <v>0</v>
      </c>
      <c r="FH227">
        <f t="shared" si="1281"/>
        <v>0</v>
      </c>
      <c r="FI227">
        <f t="shared" si="1281"/>
        <v>0</v>
      </c>
      <c r="FJ227">
        <f t="shared" si="1204"/>
        <v>0</v>
      </c>
      <c r="FK227">
        <f t="shared" si="1205"/>
        <v>0</v>
      </c>
      <c r="FL227">
        <f t="shared" si="1206"/>
        <v>0</v>
      </c>
      <c r="FM227">
        <f t="shared" si="1234"/>
        <v>0</v>
      </c>
      <c r="FN227">
        <f t="shared" si="1207"/>
        <v>0</v>
      </c>
      <c r="FO227">
        <f t="shared" si="1208"/>
        <v>0</v>
      </c>
      <c r="FP227">
        <f t="shared" si="1209"/>
        <v>0</v>
      </c>
      <c r="FQ227">
        <f t="shared" si="1210"/>
        <v>0</v>
      </c>
      <c r="FR227">
        <f t="shared" si="1211"/>
        <v>0</v>
      </c>
      <c r="FS227">
        <f t="shared" si="1212"/>
        <v>0</v>
      </c>
      <c r="FT227">
        <f t="shared" si="1213"/>
        <v>0</v>
      </c>
      <c r="FU227">
        <f t="shared" si="1214"/>
        <v>0</v>
      </c>
      <c r="FV227">
        <f t="shared" si="1215"/>
        <v>0</v>
      </c>
      <c r="FW227">
        <f t="shared" si="1216"/>
        <v>0</v>
      </c>
      <c r="FX227">
        <f t="shared" si="1217"/>
        <v>0</v>
      </c>
      <c r="FY227">
        <f t="shared" si="1235"/>
        <v>0</v>
      </c>
      <c r="FZ227">
        <f t="shared" si="1218"/>
        <v>0</v>
      </c>
      <c r="GA227">
        <f t="shared" si="1219"/>
        <v>0</v>
      </c>
      <c r="GB227">
        <f t="shared" si="1220"/>
        <v>0</v>
      </c>
      <c r="GC227">
        <f t="shared" si="1221"/>
        <v>0</v>
      </c>
    </row>
    <row r="228" spans="1:185" ht="42.75" x14ac:dyDescent="0.2">
      <c r="A228" s="8"/>
      <c r="B228" t="s">
        <v>9749</v>
      </c>
      <c r="L228" t="s">
        <v>9750</v>
      </c>
      <c r="S228" s="8"/>
      <c r="T228" s="8"/>
      <c r="U228" s="8"/>
      <c r="V228" t="s">
        <v>9751</v>
      </c>
      <c r="AF228" t="s">
        <v>9752</v>
      </c>
      <c r="AP228" t="s">
        <v>9280</v>
      </c>
      <c r="AZ228" t="s">
        <v>9753</v>
      </c>
      <c r="BK228" t="s">
        <v>9749</v>
      </c>
      <c r="BU228" t="s">
        <v>9750</v>
      </c>
      <c r="CE228" t="s">
        <v>9751</v>
      </c>
      <c r="CO228" t="s">
        <v>9752</v>
      </c>
      <c r="CY228" t="s">
        <v>9280</v>
      </c>
      <c r="DI228" t="s">
        <v>9753</v>
      </c>
      <c r="DT228" s="77"/>
      <c r="DU228" s="8" t="str">
        <f>Hidden!$CG11</f>
        <v/>
      </c>
      <c r="DV228">
        <f t="shared" si="1176"/>
        <v>0</v>
      </c>
      <c r="DW228">
        <f t="shared" si="1177"/>
        <v>0</v>
      </c>
      <c r="DX228">
        <f t="shared" si="1178"/>
        <v>0</v>
      </c>
      <c r="DY228">
        <f t="shared" si="1179"/>
        <v>0</v>
      </c>
      <c r="DZ228">
        <f t="shared" si="1180"/>
        <v>0</v>
      </c>
      <c r="EA228">
        <f t="shared" si="1181"/>
        <v>0</v>
      </c>
      <c r="EB228">
        <f t="shared" si="1182"/>
        <v>0</v>
      </c>
      <c r="EC228">
        <f t="shared" si="1183"/>
        <v>0</v>
      </c>
      <c r="ED228">
        <f t="shared" si="1184"/>
        <v>0</v>
      </c>
      <c r="EE228">
        <f t="shared" si="1185"/>
        <v>0</v>
      </c>
      <c r="EF228">
        <f t="shared" si="1186"/>
        <v>0</v>
      </c>
      <c r="EG228">
        <f t="shared" si="1187"/>
        <v>0</v>
      </c>
      <c r="EH228">
        <f t="shared" si="1188"/>
        <v>0</v>
      </c>
      <c r="EI228">
        <f t="shared" si="1189"/>
        <v>0</v>
      </c>
      <c r="EJ228">
        <f t="shared" si="1190"/>
        <v>0</v>
      </c>
      <c r="EK228">
        <f t="shared" si="1191"/>
        <v>0</v>
      </c>
      <c r="EL228">
        <f t="shared" si="1192"/>
        <v>0</v>
      </c>
      <c r="EM228">
        <f t="shared" si="1193"/>
        <v>0</v>
      </c>
      <c r="EN228">
        <f t="shared" si="1194"/>
        <v>0</v>
      </c>
      <c r="EO228">
        <f t="shared" si="1195"/>
        <v>0</v>
      </c>
      <c r="EP228">
        <f t="shared" si="1196"/>
        <v>0</v>
      </c>
      <c r="EQ228">
        <f t="shared" si="1197"/>
        <v>0</v>
      </c>
      <c r="ER228">
        <f t="shared" si="1198"/>
        <v>0</v>
      </c>
      <c r="ES228">
        <f t="shared" ref="ES228:ET228" si="1282">IF(ES$218,FC123,0)</f>
        <v>0</v>
      </c>
      <c r="ET228">
        <f t="shared" si="1282"/>
        <v>0</v>
      </c>
      <c r="EU228">
        <f t="shared" si="1199"/>
        <v>0</v>
      </c>
      <c r="EV228">
        <f t="shared" si="1200"/>
        <v>0</v>
      </c>
      <c r="EW228">
        <f t="shared" si="1232"/>
        <v>0</v>
      </c>
      <c r="EX228">
        <f t="shared" si="1201"/>
        <v>0</v>
      </c>
      <c r="EY228">
        <f t="shared" si="1202"/>
        <v>0</v>
      </c>
      <c r="EZ228">
        <f t="shared" ref="EZ228:FI228" si="1283">IF(EZ$218,EZ123,0)</f>
        <v>0</v>
      </c>
      <c r="FA228">
        <f t="shared" si="1283"/>
        <v>0</v>
      </c>
      <c r="FB228">
        <f t="shared" si="1283"/>
        <v>0</v>
      </c>
      <c r="FC228">
        <f t="shared" si="1283"/>
        <v>0</v>
      </c>
      <c r="FD228">
        <f t="shared" si="1283"/>
        <v>0</v>
      </c>
      <c r="FE228">
        <f t="shared" si="1283"/>
        <v>0</v>
      </c>
      <c r="FF228">
        <f t="shared" si="1283"/>
        <v>0</v>
      </c>
      <c r="FG228">
        <f t="shared" si="1283"/>
        <v>0</v>
      </c>
      <c r="FH228">
        <f t="shared" si="1283"/>
        <v>0</v>
      </c>
      <c r="FI228">
        <f t="shared" si="1283"/>
        <v>0</v>
      </c>
      <c r="FJ228">
        <f t="shared" si="1204"/>
        <v>0</v>
      </c>
      <c r="FK228">
        <f t="shared" si="1205"/>
        <v>0</v>
      </c>
      <c r="FL228">
        <f t="shared" si="1206"/>
        <v>0</v>
      </c>
      <c r="FM228">
        <f t="shared" si="1234"/>
        <v>0</v>
      </c>
      <c r="FN228">
        <f t="shared" si="1207"/>
        <v>0</v>
      </c>
      <c r="FO228">
        <f t="shared" si="1208"/>
        <v>0</v>
      </c>
      <c r="FP228">
        <f t="shared" si="1209"/>
        <v>0</v>
      </c>
      <c r="FQ228">
        <f t="shared" si="1210"/>
        <v>0</v>
      </c>
      <c r="FR228">
        <f t="shared" si="1211"/>
        <v>0</v>
      </c>
      <c r="FS228">
        <f t="shared" si="1212"/>
        <v>0</v>
      </c>
      <c r="FT228">
        <f t="shared" si="1213"/>
        <v>0</v>
      </c>
      <c r="FU228">
        <f t="shared" si="1214"/>
        <v>0</v>
      </c>
      <c r="FV228">
        <f t="shared" si="1215"/>
        <v>0</v>
      </c>
      <c r="FW228">
        <f t="shared" si="1216"/>
        <v>0</v>
      </c>
      <c r="FX228">
        <f t="shared" si="1217"/>
        <v>0</v>
      </c>
      <c r="FY228">
        <f t="shared" si="1235"/>
        <v>0</v>
      </c>
      <c r="FZ228">
        <f t="shared" si="1218"/>
        <v>0</v>
      </c>
      <c r="GA228">
        <f t="shared" si="1219"/>
        <v>0</v>
      </c>
      <c r="GB228">
        <f t="shared" si="1220"/>
        <v>0</v>
      </c>
      <c r="GC228">
        <f t="shared" si="1221"/>
        <v>0</v>
      </c>
    </row>
    <row r="229" spans="1:185" x14ac:dyDescent="0.2">
      <c r="A229" s="8"/>
      <c r="B229" t="s">
        <v>165</v>
      </c>
      <c r="C229" t="s">
        <v>323</v>
      </c>
      <c r="D229" t="s">
        <v>324</v>
      </c>
      <c r="E229" t="s">
        <v>325</v>
      </c>
      <c r="F229" t="s">
        <v>326</v>
      </c>
      <c r="G229" t="s">
        <v>165</v>
      </c>
      <c r="H229" t="s">
        <v>323</v>
      </c>
      <c r="I229" t="s">
        <v>324</v>
      </c>
      <c r="J229" t="s">
        <v>325</v>
      </c>
      <c r="K229" t="s">
        <v>326</v>
      </c>
      <c r="L229" t="s">
        <v>165</v>
      </c>
      <c r="M229" t="s">
        <v>323</v>
      </c>
      <c r="N229" t="s">
        <v>324</v>
      </c>
      <c r="O229" t="s">
        <v>325</v>
      </c>
      <c r="P229" t="s">
        <v>326</v>
      </c>
      <c r="Q229" t="s">
        <v>165</v>
      </c>
      <c r="R229" t="s">
        <v>323</v>
      </c>
      <c r="S229" t="s">
        <v>324</v>
      </c>
      <c r="T229" t="s">
        <v>325</v>
      </c>
      <c r="U229" t="s">
        <v>326</v>
      </c>
      <c r="V229" t="s">
        <v>165</v>
      </c>
      <c r="W229" t="s">
        <v>323</v>
      </c>
      <c r="X229" t="s">
        <v>324</v>
      </c>
      <c r="Y229" t="s">
        <v>325</v>
      </c>
      <c r="Z229" t="s">
        <v>326</v>
      </c>
      <c r="AA229" t="s">
        <v>165</v>
      </c>
      <c r="AB229" t="s">
        <v>323</v>
      </c>
      <c r="AC229" t="s">
        <v>324</v>
      </c>
      <c r="AD229" t="s">
        <v>325</v>
      </c>
      <c r="AE229" t="s">
        <v>326</v>
      </c>
      <c r="AF229" t="s">
        <v>165</v>
      </c>
      <c r="AG229" t="s">
        <v>323</v>
      </c>
      <c r="AH229" t="s">
        <v>324</v>
      </c>
      <c r="AI229" t="s">
        <v>325</v>
      </c>
      <c r="AJ229" t="s">
        <v>326</v>
      </c>
      <c r="AK229" t="s">
        <v>165</v>
      </c>
      <c r="AL229" t="s">
        <v>323</v>
      </c>
      <c r="AM229" t="s">
        <v>324</v>
      </c>
      <c r="AN229" t="s">
        <v>325</v>
      </c>
      <c r="AO229" t="s">
        <v>326</v>
      </c>
      <c r="AP229" t="s">
        <v>165</v>
      </c>
      <c r="AQ229" t="s">
        <v>323</v>
      </c>
      <c r="AR229" t="s">
        <v>324</v>
      </c>
      <c r="AS229" t="s">
        <v>325</v>
      </c>
      <c r="AT229" t="s">
        <v>326</v>
      </c>
      <c r="AU229" t="s">
        <v>165</v>
      </c>
      <c r="AV229" t="s">
        <v>323</v>
      </c>
      <c r="AW229" t="s">
        <v>324</v>
      </c>
      <c r="AX229" t="s">
        <v>325</v>
      </c>
      <c r="AY229" t="s">
        <v>326</v>
      </c>
      <c r="AZ229" t="s">
        <v>165</v>
      </c>
      <c r="BA229" t="s">
        <v>323</v>
      </c>
      <c r="BB229" t="s">
        <v>324</v>
      </c>
      <c r="BC229" t="s">
        <v>325</v>
      </c>
      <c r="BD229" t="s">
        <v>326</v>
      </c>
      <c r="BE229" t="s">
        <v>165</v>
      </c>
      <c r="BF229" t="s">
        <v>323</v>
      </c>
      <c r="BG229" t="s">
        <v>324</v>
      </c>
      <c r="BH229" t="s">
        <v>325</v>
      </c>
      <c r="BI229" t="s">
        <v>326</v>
      </c>
      <c r="BK229" t="s">
        <v>165</v>
      </c>
      <c r="BL229" t="s">
        <v>323</v>
      </c>
      <c r="BM229" t="s">
        <v>324</v>
      </c>
      <c r="BN229" t="s">
        <v>325</v>
      </c>
      <c r="BO229" t="s">
        <v>326</v>
      </c>
      <c r="BP229" t="s">
        <v>165</v>
      </c>
      <c r="BQ229" t="s">
        <v>323</v>
      </c>
      <c r="BR229" t="s">
        <v>324</v>
      </c>
      <c r="BS229" t="s">
        <v>325</v>
      </c>
      <c r="BT229" t="s">
        <v>326</v>
      </c>
      <c r="BU229" t="s">
        <v>165</v>
      </c>
      <c r="BV229" t="s">
        <v>323</v>
      </c>
      <c r="BW229" t="s">
        <v>324</v>
      </c>
      <c r="BX229" t="s">
        <v>325</v>
      </c>
      <c r="BY229" t="s">
        <v>326</v>
      </c>
      <c r="BZ229" t="s">
        <v>165</v>
      </c>
      <c r="CA229" t="s">
        <v>323</v>
      </c>
      <c r="CB229" t="s">
        <v>324</v>
      </c>
      <c r="CC229" t="s">
        <v>325</v>
      </c>
      <c r="CD229" t="s">
        <v>326</v>
      </c>
      <c r="CE229" t="s">
        <v>165</v>
      </c>
      <c r="CF229" t="s">
        <v>323</v>
      </c>
      <c r="CG229" t="s">
        <v>324</v>
      </c>
      <c r="CH229" t="s">
        <v>325</v>
      </c>
      <c r="CI229" t="s">
        <v>326</v>
      </c>
      <c r="CJ229" t="s">
        <v>165</v>
      </c>
      <c r="CK229" t="s">
        <v>323</v>
      </c>
      <c r="CL229" t="s">
        <v>324</v>
      </c>
      <c r="CM229" t="s">
        <v>325</v>
      </c>
      <c r="CN229" t="s">
        <v>326</v>
      </c>
      <c r="CO229" t="s">
        <v>165</v>
      </c>
      <c r="CP229" t="s">
        <v>323</v>
      </c>
      <c r="CQ229" t="s">
        <v>324</v>
      </c>
      <c r="CR229" t="s">
        <v>325</v>
      </c>
      <c r="CS229" t="s">
        <v>326</v>
      </c>
      <c r="CT229" t="s">
        <v>165</v>
      </c>
      <c r="CU229" t="s">
        <v>323</v>
      </c>
      <c r="CV229" t="s">
        <v>324</v>
      </c>
      <c r="CW229" t="s">
        <v>325</v>
      </c>
      <c r="CX229" t="s">
        <v>326</v>
      </c>
      <c r="CY229" t="s">
        <v>165</v>
      </c>
      <c r="CZ229" t="s">
        <v>323</v>
      </c>
      <c r="DA229" t="s">
        <v>324</v>
      </c>
      <c r="DB229" t="s">
        <v>325</v>
      </c>
      <c r="DC229" t="s">
        <v>326</v>
      </c>
      <c r="DD229" t="s">
        <v>165</v>
      </c>
      <c r="DE229" t="s">
        <v>323</v>
      </c>
      <c r="DF229" t="s">
        <v>324</v>
      </c>
      <c r="DG229" t="s">
        <v>325</v>
      </c>
      <c r="DH229" t="s">
        <v>326</v>
      </c>
      <c r="DI229" t="s">
        <v>165</v>
      </c>
      <c r="DJ229" t="s">
        <v>323</v>
      </c>
      <c r="DK229" t="s">
        <v>324</v>
      </c>
      <c r="DL229" t="s">
        <v>325</v>
      </c>
      <c r="DM229" t="s">
        <v>326</v>
      </c>
      <c r="DN229" t="s">
        <v>165</v>
      </c>
      <c r="DO229" t="s">
        <v>323</v>
      </c>
      <c r="DP229" t="s">
        <v>324</v>
      </c>
      <c r="DQ229" t="s">
        <v>325</v>
      </c>
      <c r="DR229" t="s">
        <v>326</v>
      </c>
      <c r="DT229" s="77"/>
      <c r="DU229" s="8" t="str">
        <f>Hidden!$CG12</f>
        <v/>
      </c>
      <c r="DV229">
        <f t="shared" si="1176"/>
        <v>0</v>
      </c>
      <c r="DW229">
        <f t="shared" si="1177"/>
        <v>0</v>
      </c>
      <c r="DX229">
        <f t="shared" si="1178"/>
        <v>0</v>
      </c>
      <c r="DY229">
        <f t="shared" si="1179"/>
        <v>0</v>
      </c>
      <c r="DZ229">
        <f t="shared" si="1180"/>
        <v>0</v>
      </c>
      <c r="EA229">
        <f t="shared" si="1181"/>
        <v>0</v>
      </c>
      <c r="EB229">
        <f t="shared" si="1182"/>
        <v>0</v>
      </c>
      <c r="EC229">
        <f t="shared" si="1183"/>
        <v>0</v>
      </c>
      <c r="ED229">
        <f t="shared" si="1184"/>
        <v>0</v>
      </c>
      <c r="EE229">
        <f t="shared" si="1185"/>
        <v>0</v>
      </c>
      <c r="EF229">
        <f t="shared" si="1186"/>
        <v>0</v>
      </c>
      <c r="EG229">
        <f t="shared" si="1187"/>
        <v>0</v>
      </c>
      <c r="EH229">
        <f t="shared" si="1188"/>
        <v>0</v>
      </c>
      <c r="EI229">
        <f t="shared" si="1189"/>
        <v>0</v>
      </c>
      <c r="EJ229">
        <f t="shared" si="1190"/>
        <v>0</v>
      </c>
      <c r="EK229">
        <f t="shared" si="1191"/>
        <v>0</v>
      </c>
      <c r="EL229">
        <f t="shared" si="1192"/>
        <v>0</v>
      </c>
      <c r="EM229">
        <f t="shared" si="1193"/>
        <v>0</v>
      </c>
      <c r="EN229">
        <f t="shared" si="1194"/>
        <v>0</v>
      </c>
      <c r="EO229">
        <f t="shared" si="1195"/>
        <v>0</v>
      </c>
      <c r="EP229">
        <f t="shared" si="1196"/>
        <v>0</v>
      </c>
      <c r="EQ229">
        <f t="shared" si="1197"/>
        <v>0</v>
      </c>
      <c r="ER229">
        <f t="shared" si="1198"/>
        <v>0</v>
      </c>
      <c r="ES229">
        <f t="shared" ref="ES229:ET229" si="1284">IF(ES$218,FC124,0)</f>
        <v>0</v>
      </c>
      <c r="ET229">
        <f t="shared" si="1284"/>
        <v>0</v>
      </c>
      <c r="EU229">
        <f t="shared" si="1199"/>
        <v>0</v>
      </c>
      <c r="EV229">
        <f t="shared" si="1200"/>
        <v>0</v>
      </c>
      <c r="EW229">
        <f t="shared" si="1232"/>
        <v>0</v>
      </c>
      <c r="EX229">
        <f t="shared" si="1201"/>
        <v>0</v>
      </c>
      <c r="EY229">
        <f t="shared" si="1202"/>
        <v>0</v>
      </c>
      <c r="EZ229">
        <f t="shared" ref="EZ229:FI229" si="1285">IF(EZ$218,EZ124,0)</f>
        <v>0</v>
      </c>
      <c r="FA229">
        <f t="shared" si="1285"/>
        <v>0</v>
      </c>
      <c r="FB229">
        <f t="shared" si="1285"/>
        <v>0</v>
      </c>
      <c r="FC229">
        <f t="shared" si="1285"/>
        <v>0</v>
      </c>
      <c r="FD229">
        <f t="shared" si="1285"/>
        <v>0</v>
      </c>
      <c r="FE229">
        <f t="shared" si="1285"/>
        <v>0</v>
      </c>
      <c r="FF229">
        <f t="shared" si="1285"/>
        <v>0</v>
      </c>
      <c r="FG229">
        <f t="shared" si="1285"/>
        <v>0</v>
      </c>
      <c r="FH229">
        <f t="shared" si="1285"/>
        <v>0</v>
      </c>
      <c r="FI229">
        <f t="shared" si="1285"/>
        <v>0</v>
      </c>
      <c r="FJ229">
        <f t="shared" si="1204"/>
        <v>0</v>
      </c>
      <c r="FK229">
        <f t="shared" si="1205"/>
        <v>0</v>
      </c>
      <c r="FL229">
        <f t="shared" si="1206"/>
        <v>0</v>
      </c>
      <c r="FM229">
        <f t="shared" si="1234"/>
        <v>0</v>
      </c>
      <c r="FN229">
        <f t="shared" si="1207"/>
        <v>0</v>
      </c>
      <c r="FO229">
        <f t="shared" si="1208"/>
        <v>0</v>
      </c>
      <c r="FP229">
        <f t="shared" si="1209"/>
        <v>0</v>
      </c>
      <c r="FQ229">
        <f t="shared" si="1210"/>
        <v>0</v>
      </c>
      <c r="FR229">
        <f t="shared" si="1211"/>
        <v>0</v>
      </c>
      <c r="FS229">
        <f t="shared" si="1212"/>
        <v>0</v>
      </c>
      <c r="FT229">
        <f t="shared" si="1213"/>
        <v>0</v>
      </c>
      <c r="FU229">
        <f t="shared" si="1214"/>
        <v>0</v>
      </c>
      <c r="FV229">
        <f t="shared" si="1215"/>
        <v>0</v>
      </c>
      <c r="FW229">
        <f t="shared" si="1216"/>
        <v>0</v>
      </c>
      <c r="FX229">
        <f t="shared" si="1217"/>
        <v>0</v>
      </c>
      <c r="FY229">
        <f t="shared" si="1235"/>
        <v>0</v>
      </c>
      <c r="FZ229">
        <f t="shared" si="1218"/>
        <v>0</v>
      </c>
      <c r="GA229">
        <f t="shared" si="1219"/>
        <v>0</v>
      </c>
      <c r="GB229">
        <f t="shared" si="1220"/>
        <v>0</v>
      </c>
      <c r="GC229">
        <f t="shared" si="1221"/>
        <v>0</v>
      </c>
    </row>
    <row r="230" spans="1:185" ht="28.5" x14ac:dyDescent="0.2">
      <c r="A230" t="s">
        <v>9754</v>
      </c>
      <c r="B230" t="b">
        <f>IF(ConvenienceLand!$D$14="permanent flare",TRUE,FALSE)</f>
        <v>0</v>
      </c>
      <c r="C230" t="b">
        <f>IF(ConvenienceLand!$D$31="permanent flare",TRUE,FALSE)</f>
        <v>0</v>
      </c>
      <c r="D230" t="b">
        <f>IF(ConvenienceLand!$D$48="permanent flare",TRUE,FALSE)</f>
        <v>0</v>
      </c>
      <c r="E230" t="b">
        <f>IF(ConvenienceLand!$D$65="permanent flare",TRUE,FALSE)</f>
        <v>0</v>
      </c>
      <c r="F230" t="b">
        <f>IF(ConvenienceLand!$D$82="permanent flare",TRUE,FALSE)</f>
        <v>0</v>
      </c>
      <c r="G230" t="b">
        <f>B230</f>
        <v>0</v>
      </c>
      <c r="H230" t="b">
        <f t="shared" ref="H230:K230" si="1286">C230</f>
        <v>0</v>
      </c>
      <c r="I230" t="b">
        <f t="shared" si="1286"/>
        <v>0</v>
      </c>
      <c r="J230" t="b">
        <f t="shared" si="1286"/>
        <v>0</v>
      </c>
      <c r="K230" t="b">
        <f t="shared" si="1286"/>
        <v>0</v>
      </c>
      <c r="L230" t="b">
        <f>IF(ConvenienceLand!$D$14="permanent vcu",TRUE,FALSE)</f>
        <v>0</v>
      </c>
      <c r="M230" t="b">
        <f>IF(ConvenienceLand!$D$31="permanent vcu",TRUE,FALSE)</f>
        <v>0</v>
      </c>
      <c r="N230" t="b">
        <f>IF(ConvenienceLand!$D$48="permanent vcu",TRUE,FALSE)</f>
        <v>0</v>
      </c>
      <c r="O230" t="b">
        <f>IF(ConvenienceLand!$D$65="permanent vcu",TRUE,FALSE)</f>
        <v>0</v>
      </c>
      <c r="P230" t="b">
        <f>IF(ConvenienceLand!$D$82="permanent vcu",TRUE,FALSE)</f>
        <v>0</v>
      </c>
      <c r="Q230" t="b">
        <f>L230</f>
        <v>0</v>
      </c>
      <c r="R230" t="b">
        <f>M230</f>
        <v>0</v>
      </c>
      <c r="S230" t="b">
        <f>N230</f>
        <v>0</v>
      </c>
      <c r="T230" t="b">
        <f>O230</f>
        <v>0</v>
      </c>
      <c r="U230" t="b">
        <f>P230</f>
        <v>0</v>
      </c>
      <c r="V230" t="b">
        <f>IF(ConvenienceLand!$D$14="permanent vapor oxidizer",TRUE,FALSE)</f>
        <v>0</v>
      </c>
      <c r="W230" t="b">
        <f>IF(ConvenienceLand!$D$31="permanent vapor oxidizer",TRUE,FALSE)</f>
        <v>0</v>
      </c>
      <c r="X230" t="b">
        <f>IF(ConvenienceLand!$D$48="permanent vapor oxidizer",TRUE,FALSE)</f>
        <v>0</v>
      </c>
      <c r="Y230" t="b">
        <f>IF(ConvenienceLand!$D$65="permanent vapor oxidizer",TRUE,FALSE)</f>
        <v>0</v>
      </c>
      <c r="Z230" t="b">
        <f>IF(ConvenienceLand!$D$82="permanent vapor oxidizer",TRUE,FALSE)</f>
        <v>0</v>
      </c>
      <c r="AA230" t="b">
        <f>V230</f>
        <v>0</v>
      </c>
      <c r="AB230" t="b">
        <f>W230</f>
        <v>0</v>
      </c>
      <c r="AC230" t="b">
        <f>X230</f>
        <v>0</v>
      </c>
      <c r="AD230" t="b">
        <f>Y230</f>
        <v>0</v>
      </c>
      <c r="AE230" t="b">
        <f>Z230</f>
        <v>0</v>
      </c>
      <c r="AF230" t="b">
        <f>IF(ConvenienceLand!$D$14="temporary flare",TRUE,FALSE)</f>
        <v>0</v>
      </c>
      <c r="AG230" t="b">
        <f>IF(ConvenienceLand!$D$31="temporary flare",TRUE,FALSE)</f>
        <v>0</v>
      </c>
      <c r="AH230" t="b">
        <f>IF(ConvenienceLand!$D$48="temporary flare",TRUE,FALSE)</f>
        <v>0</v>
      </c>
      <c r="AI230" t="b">
        <f>IF(ConvenienceLand!$D$65="temporary flare",TRUE,FALSE)</f>
        <v>0</v>
      </c>
      <c r="AJ230" t="b">
        <f>IF(ConvenienceLand!$D$82="temporary flare",TRUE,FALSE)</f>
        <v>0</v>
      </c>
      <c r="AK230" t="b">
        <f>AF230</f>
        <v>0</v>
      </c>
      <c r="AL230" t="b">
        <f>AG230</f>
        <v>0</v>
      </c>
      <c r="AM230" t="b">
        <f>AH230</f>
        <v>0</v>
      </c>
      <c r="AN230" t="b">
        <f>AI230</f>
        <v>0</v>
      </c>
      <c r="AO230" t="b">
        <f>AJ230</f>
        <v>0</v>
      </c>
      <c r="AP230" t="b">
        <f>IF(ConvenienceLand!$D$14="temporary vcu",TRUE,FALSE)</f>
        <v>0</v>
      </c>
      <c r="AQ230" t="b">
        <f>IF(ConvenienceLand!$D$31="temporary vcu",TRUE,FALSE)</f>
        <v>0</v>
      </c>
      <c r="AR230" t="b">
        <f>IF(ConvenienceLand!$D$48="temporary vcu",TRUE,FALSE)</f>
        <v>0</v>
      </c>
      <c r="AS230" t="b">
        <f>IF(ConvenienceLand!$D$65="temporary vcu",TRUE,FALSE)</f>
        <v>0</v>
      </c>
      <c r="AT230" t="b">
        <f>IF(ConvenienceLand!$D$82="temporary vcu",TRUE,FALSE)</f>
        <v>0</v>
      </c>
      <c r="AU230" t="b">
        <f>AP230</f>
        <v>0</v>
      </c>
      <c r="AV230" t="b">
        <f>AQ230</f>
        <v>0</v>
      </c>
      <c r="AW230" t="b">
        <f>AR230</f>
        <v>0</v>
      </c>
      <c r="AX230" t="b">
        <f>AS230</f>
        <v>0</v>
      </c>
      <c r="AY230" t="b">
        <f>AT230</f>
        <v>0</v>
      </c>
      <c r="AZ230" t="b">
        <f>IF(ConvenienceLand!$D$14="temporary thermal oxidizer",TRUE,FALSE)</f>
        <v>0</v>
      </c>
      <c r="BA230" t="b">
        <f>IF(ConvenienceLand!$D$31="temporary thermal oxidizer",TRUE,FALSE)</f>
        <v>0</v>
      </c>
      <c r="BB230" t="b">
        <f>IF(ConvenienceLand!$D$48="temporary thermal oxidizer",TRUE,FALSE)</f>
        <v>0</v>
      </c>
      <c r="BC230" t="b">
        <f>IF(ConvenienceLand!$D$65="temporary thermal oxidizer",TRUE,FALSE)</f>
        <v>0</v>
      </c>
      <c r="BD230" t="b">
        <f>IF(ConvenienceLand!$D$82="temporary thermal oxidizer",TRUE,FALSE)</f>
        <v>0</v>
      </c>
      <c r="BE230" t="b">
        <f>AZ230</f>
        <v>0</v>
      </c>
      <c r="BF230" t="b">
        <f>BA230</f>
        <v>0</v>
      </c>
      <c r="BG230" t="b">
        <f>BB230</f>
        <v>0</v>
      </c>
      <c r="BH230" t="b">
        <f>BC230</f>
        <v>0</v>
      </c>
      <c r="BI230" t="b">
        <f>BD230</f>
        <v>0</v>
      </c>
      <c r="BJ230" t="s">
        <v>9754</v>
      </c>
      <c r="BK230" t="b">
        <f>IF(TankMSS!$C$14="permanent flare",TRUE,FALSE)</f>
        <v>0</v>
      </c>
      <c r="BL230" t="b">
        <f>IF(TankMSS!$C$15="permanent flare",TRUE,FALSE)</f>
        <v>0</v>
      </c>
      <c r="BM230" t="b">
        <f>IF(TankMSS!$C$16="permanent flare",TRUE,FALSE)</f>
        <v>0</v>
      </c>
      <c r="BN230" t="b">
        <f>IF(TankMSS!$C$17="permanent flare",TRUE,FALSE)</f>
        <v>0</v>
      </c>
      <c r="BO230" t="b">
        <f>IF(TankMSS!$C$18="permanent flare",TRUE,FALSE)</f>
        <v>0</v>
      </c>
      <c r="BP230" t="b">
        <f>BK$230</f>
        <v>0</v>
      </c>
      <c r="BQ230" t="b">
        <f t="shared" ref="BQ230:BT230" si="1287">BL$230</f>
        <v>0</v>
      </c>
      <c r="BR230" t="b">
        <f t="shared" si="1287"/>
        <v>0</v>
      </c>
      <c r="BS230" t="b">
        <f t="shared" si="1287"/>
        <v>0</v>
      </c>
      <c r="BT230" t="b">
        <f t="shared" si="1287"/>
        <v>0</v>
      </c>
      <c r="BU230" t="b">
        <f>IF(TankMSS!$C$14="permanent vcu",TRUE,FALSE)</f>
        <v>0</v>
      </c>
      <c r="BV230" t="b">
        <f>IF(TankMSS!$C$15="permanent vcu",TRUE,FALSE)</f>
        <v>0</v>
      </c>
      <c r="BW230" t="b">
        <f>IF(TankMSS!$C$16="permanent vcu",TRUE,FALSE)</f>
        <v>0</v>
      </c>
      <c r="BX230" t="b">
        <f>IF(TankMSS!$C$17="permanent vcu",TRUE,FALSE)</f>
        <v>0</v>
      </c>
      <c r="BY230" t="b">
        <f>IF(TankMSS!$C$18="permanent vcu",TRUE,FALSE)</f>
        <v>0</v>
      </c>
      <c r="BZ230" t="b">
        <f>BU$230</f>
        <v>0</v>
      </c>
      <c r="CA230" t="b">
        <f t="shared" ref="CA230:CD230" si="1288">BV$230</f>
        <v>0</v>
      </c>
      <c r="CB230" t="b">
        <f t="shared" si="1288"/>
        <v>0</v>
      </c>
      <c r="CC230" t="b">
        <f t="shared" si="1288"/>
        <v>0</v>
      </c>
      <c r="CD230" t="b">
        <f t="shared" si="1288"/>
        <v>0</v>
      </c>
      <c r="CE230" t="b">
        <f>IF(TankMSS!$C$14="permanent vapor oxidizer",TRUE,FALSE)</f>
        <v>0</v>
      </c>
      <c r="CF230" t="b">
        <f>IF(TankMSS!$C$15="permanent vapor oxidizer",TRUE,FALSE)</f>
        <v>0</v>
      </c>
      <c r="CG230" t="b">
        <f>IF(TankMSS!$C$16="permanent vapor oxidizer",TRUE,FALSE)</f>
        <v>0</v>
      </c>
      <c r="CH230" t="b">
        <f>IF(TankMSS!$C$17="permanent vapor oxidizer",TRUE,FALSE)</f>
        <v>0</v>
      </c>
      <c r="CI230" t="b">
        <f>IF(TankMSS!$C$18="permanent vapor oxidizer",TRUE,FALSE)</f>
        <v>0</v>
      </c>
      <c r="CJ230" t="b">
        <f>CE$230</f>
        <v>0</v>
      </c>
      <c r="CK230" t="b">
        <f t="shared" ref="CK230:CM230" si="1289">CF$230</f>
        <v>0</v>
      </c>
      <c r="CL230" t="b">
        <f t="shared" si="1289"/>
        <v>0</v>
      </c>
      <c r="CM230" t="b">
        <f t="shared" si="1289"/>
        <v>0</v>
      </c>
      <c r="CN230" t="b">
        <f>CI$230</f>
        <v>0</v>
      </c>
      <c r="CO230" t="b">
        <f>IF(TankMSS!$C$14="temporary flare",TRUE,FALSE)</f>
        <v>0</v>
      </c>
      <c r="CP230" t="b">
        <f>IF(TankMSS!$C$15="temporary flare",TRUE,FALSE)</f>
        <v>0</v>
      </c>
      <c r="CQ230" t="b">
        <f>IF(TankMSS!$C$16="temporary flare",TRUE,FALSE)</f>
        <v>0</v>
      </c>
      <c r="CR230" t="b">
        <f>IF(TankMSS!$C$17="temporary flare",TRUE,FALSE)</f>
        <v>0</v>
      </c>
      <c r="CS230" t="b">
        <f>IF(TankMSS!$C$18="temporary flare",TRUE,FALSE)</f>
        <v>0</v>
      </c>
      <c r="CT230" t="b">
        <f>CO$230</f>
        <v>0</v>
      </c>
      <c r="CU230" t="b">
        <f t="shared" ref="CU230:CX230" si="1290">CP$230</f>
        <v>0</v>
      </c>
      <c r="CV230" t="b">
        <f t="shared" si="1290"/>
        <v>0</v>
      </c>
      <c r="CW230" t="b">
        <f t="shared" si="1290"/>
        <v>0</v>
      </c>
      <c r="CX230" t="b">
        <f t="shared" si="1290"/>
        <v>0</v>
      </c>
      <c r="CY230" t="b">
        <f>IF(TankMSS!$C$14="temporary vcu",TRUE,FALSE)</f>
        <v>0</v>
      </c>
      <c r="CZ230" t="b">
        <f>IF(TankMSS!$C$15="temporary vcu",TRUE,FALSE)</f>
        <v>0</v>
      </c>
      <c r="DA230" t="b">
        <f>IF(TankMSS!$C$16="temporary vcu",TRUE,FALSE)</f>
        <v>0</v>
      </c>
      <c r="DB230" t="b">
        <f>IF(TankMSS!$C$17="temporary vcu",TRUE,FALSE)</f>
        <v>0</v>
      </c>
      <c r="DC230" t="b">
        <f>IF(TankMSS!$C$18="temporary vcu",TRUE,FALSE)</f>
        <v>0</v>
      </c>
      <c r="DD230" t="b">
        <f>CY$230</f>
        <v>0</v>
      </c>
      <c r="DE230" t="b">
        <f t="shared" ref="DE230:DH230" si="1291">CZ$230</f>
        <v>0</v>
      </c>
      <c r="DF230" t="b">
        <f t="shared" si="1291"/>
        <v>0</v>
      </c>
      <c r="DG230" t="b">
        <f t="shared" si="1291"/>
        <v>0</v>
      </c>
      <c r="DH230" t="b">
        <f t="shared" si="1291"/>
        <v>0</v>
      </c>
      <c r="DI230" t="b">
        <f>IF(TankMSS!$C$14="temporary thermal oxidizer",TRUE,FALSE)</f>
        <v>0</v>
      </c>
      <c r="DJ230" t="b">
        <f>IF(TankMSS!$C$15="temporary thermal oxidizer",TRUE,FALSE)</f>
        <v>0</v>
      </c>
      <c r="DK230" t="b">
        <f>IF(TankMSS!$C$16="temporary thermal oxidizer",TRUE,FALSE)</f>
        <v>0</v>
      </c>
      <c r="DL230" t="b">
        <f>IF(TankMSS!$C$17="temporary thermal oxidizer",TRUE,FALSE)</f>
        <v>0</v>
      </c>
      <c r="DM230" t="b">
        <f>IF(TankMSS!$C$18="temporary thermal oxidizer",TRUE,FALSE)</f>
        <v>0</v>
      </c>
      <c r="DN230" t="b">
        <f>DI$230</f>
        <v>0</v>
      </c>
      <c r="DO230" t="b">
        <f t="shared" ref="DO230:DR230" si="1292">DJ$230</f>
        <v>0</v>
      </c>
      <c r="DP230" t="b">
        <f>DK$230</f>
        <v>0</v>
      </c>
      <c r="DQ230" t="b">
        <f t="shared" si="1292"/>
        <v>0</v>
      </c>
      <c r="DR230" t="b">
        <f t="shared" si="1292"/>
        <v>0</v>
      </c>
      <c r="DT230" s="77"/>
      <c r="DU230" s="8" t="str">
        <f>Hidden!$CG13</f>
        <v/>
      </c>
      <c r="DV230">
        <f t="shared" si="1176"/>
        <v>0</v>
      </c>
      <c r="DW230">
        <f t="shared" si="1177"/>
        <v>0</v>
      </c>
      <c r="DX230">
        <f t="shared" si="1178"/>
        <v>0</v>
      </c>
      <c r="DY230">
        <f t="shared" si="1179"/>
        <v>0</v>
      </c>
      <c r="DZ230">
        <f t="shared" si="1180"/>
        <v>0</v>
      </c>
      <c r="EA230">
        <f t="shared" si="1181"/>
        <v>0</v>
      </c>
      <c r="EB230">
        <f t="shared" si="1182"/>
        <v>0</v>
      </c>
      <c r="EC230">
        <f t="shared" si="1183"/>
        <v>0</v>
      </c>
      <c r="ED230">
        <f t="shared" si="1184"/>
        <v>0</v>
      </c>
      <c r="EE230">
        <f t="shared" si="1185"/>
        <v>0</v>
      </c>
      <c r="EF230">
        <f t="shared" si="1186"/>
        <v>0</v>
      </c>
      <c r="EG230">
        <f t="shared" si="1187"/>
        <v>0</v>
      </c>
      <c r="EH230">
        <f t="shared" si="1188"/>
        <v>0</v>
      </c>
      <c r="EI230">
        <f t="shared" si="1189"/>
        <v>0</v>
      </c>
      <c r="EJ230">
        <f t="shared" si="1190"/>
        <v>0</v>
      </c>
      <c r="EK230">
        <f t="shared" si="1191"/>
        <v>0</v>
      </c>
      <c r="EL230">
        <f t="shared" si="1192"/>
        <v>0</v>
      </c>
      <c r="EM230">
        <f t="shared" si="1193"/>
        <v>0</v>
      </c>
      <c r="EN230">
        <f t="shared" si="1194"/>
        <v>0</v>
      </c>
      <c r="EO230">
        <f t="shared" si="1195"/>
        <v>0</v>
      </c>
      <c r="EP230">
        <f t="shared" si="1196"/>
        <v>0</v>
      </c>
      <c r="EQ230">
        <f t="shared" si="1197"/>
        <v>0</v>
      </c>
      <c r="ER230">
        <f t="shared" si="1198"/>
        <v>0</v>
      </c>
      <c r="ES230">
        <f t="shared" ref="ES230:ET230" si="1293">IF(ES$218,FC125,0)</f>
        <v>0</v>
      </c>
      <c r="ET230">
        <f t="shared" si="1293"/>
        <v>0</v>
      </c>
      <c r="EU230">
        <f t="shared" si="1199"/>
        <v>0</v>
      </c>
      <c r="EV230">
        <f t="shared" si="1200"/>
        <v>0</v>
      </c>
      <c r="EW230">
        <f t="shared" si="1232"/>
        <v>0</v>
      </c>
      <c r="EX230">
        <f t="shared" si="1201"/>
        <v>0</v>
      </c>
      <c r="EY230">
        <f t="shared" si="1202"/>
        <v>0</v>
      </c>
      <c r="EZ230">
        <f t="shared" ref="EZ230:FI230" si="1294">IF(EZ$218,EZ125,0)</f>
        <v>0</v>
      </c>
      <c r="FA230">
        <f t="shared" si="1294"/>
        <v>0</v>
      </c>
      <c r="FB230">
        <f t="shared" si="1294"/>
        <v>0</v>
      </c>
      <c r="FC230">
        <f t="shared" si="1294"/>
        <v>0</v>
      </c>
      <c r="FD230">
        <f t="shared" si="1294"/>
        <v>0</v>
      </c>
      <c r="FE230">
        <f t="shared" si="1294"/>
        <v>0</v>
      </c>
      <c r="FF230">
        <f t="shared" si="1294"/>
        <v>0</v>
      </c>
      <c r="FG230">
        <f t="shared" si="1294"/>
        <v>0</v>
      </c>
      <c r="FH230">
        <f t="shared" si="1294"/>
        <v>0</v>
      </c>
      <c r="FI230">
        <f t="shared" si="1294"/>
        <v>0</v>
      </c>
      <c r="FJ230">
        <f t="shared" si="1204"/>
        <v>0</v>
      </c>
      <c r="FK230">
        <f t="shared" si="1205"/>
        <v>0</v>
      </c>
      <c r="FL230">
        <f t="shared" si="1206"/>
        <v>0</v>
      </c>
      <c r="FM230">
        <f t="shared" si="1234"/>
        <v>0</v>
      </c>
      <c r="FN230">
        <f t="shared" si="1207"/>
        <v>0</v>
      </c>
      <c r="FO230">
        <f t="shared" si="1208"/>
        <v>0</v>
      </c>
      <c r="FP230">
        <f t="shared" si="1209"/>
        <v>0</v>
      </c>
      <c r="FQ230">
        <f t="shared" si="1210"/>
        <v>0</v>
      </c>
      <c r="FR230">
        <f t="shared" si="1211"/>
        <v>0</v>
      </c>
      <c r="FS230">
        <f t="shared" si="1212"/>
        <v>0</v>
      </c>
      <c r="FT230">
        <f t="shared" si="1213"/>
        <v>0</v>
      </c>
      <c r="FU230">
        <f t="shared" si="1214"/>
        <v>0</v>
      </c>
      <c r="FV230">
        <f t="shared" si="1215"/>
        <v>0</v>
      </c>
      <c r="FW230">
        <f t="shared" si="1216"/>
        <v>0</v>
      </c>
      <c r="FX230">
        <f t="shared" si="1217"/>
        <v>0</v>
      </c>
      <c r="FY230">
        <f t="shared" si="1235"/>
        <v>0</v>
      </c>
      <c r="FZ230">
        <f t="shared" si="1218"/>
        <v>0</v>
      </c>
      <c r="GA230">
        <f t="shared" si="1219"/>
        <v>0</v>
      </c>
      <c r="GB230">
        <f t="shared" si="1220"/>
        <v>0</v>
      </c>
      <c r="GC230">
        <f t="shared" si="1221"/>
        <v>0</v>
      </c>
    </row>
    <row r="231" spans="1:185" x14ac:dyDescent="0.2">
      <c r="A231" s="8"/>
      <c r="B231" t="s">
        <v>8741</v>
      </c>
      <c r="C231" t="s">
        <v>8741</v>
      </c>
      <c r="D231" t="s">
        <v>8741</v>
      </c>
      <c r="E231" t="s">
        <v>8741</v>
      </c>
      <c r="F231" t="s">
        <v>8741</v>
      </c>
      <c r="G231" t="s">
        <v>8742</v>
      </c>
      <c r="H231" t="s">
        <v>8742</v>
      </c>
      <c r="I231" t="s">
        <v>8742</v>
      </c>
      <c r="J231" t="s">
        <v>8742</v>
      </c>
      <c r="K231" t="s">
        <v>8742</v>
      </c>
      <c r="L231" t="s">
        <v>8741</v>
      </c>
      <c r="M231" t="s">
        <v>8741</v>
      </c>
      <c r="N231" t="s">
        <v>8741</v>
      </c>
      <c r="O231" t="s">
        <v>8741</v>
      </c>
      <c r="P231" t="s">
        <v>8741</v>
      </c>
      <c r="Q231" t="s">
        <v>8742</v>
      </c>
      <c r="R231" t="s">
        <v>8742</v>
      </c>
      <c r="S231" t="s">
        <v>8742</v>
      </c>
      <c r="T231" t="s">
        <v>8742</v>
      </c>
      <c r="U231" t="s">
        <v>8742</v>
      </c>
      <c r="V231" t="s">
        <v>8741</v>
      </c>
      <c r="W231" t="s">
        <v>8741</v>
      </c>
      <c r="X231" t="s">
        <v>8741</v>
      </c>
      <c r="Y231" t="s">
        <v>8741</v>
      </c>
      <c r="Z231" t="s">
        <v>8741</v>
      </c>
      <c r="AA231" t="s">
        <v>8742</v>
      </c>
      <c r="AB231" t="s">
        <v>8742</v>
      </c>
      <c r="AC231" t="s">
        <v>8742</v>
      </c>
      <c r="AD231" t="s">
        <v>8742</v>
      </c>
      <c r="AE231" t="s">
        <v>8742</v>
      </c>
      <c r="AF231" t="s">
        <v>8741</v>
      </c>
      <c r="AG231" t="s">
        <v>8741</v>
      </c>
      <c r="AH231" t="s">
        <v>8741</v>
      </c>
      <c r="AI231" t="s">
        <v>8741</v>
      </c>
      <c r="AJ231" t="s">
        <v>8741</v>
      </c>
      <c r="AK231" t="s">
        <v>8742</v>
      </c>
      <c r="AL231" t="s">
        <v>8742</v>
      </c>
      <c r="AM231" t="s">
        <v>8742</v>
      </c>
      <c r="AN231" t="s">
        <v>8742</v>
      </c>
      <c r="AO231" t="s">
        <v>8742</v>
      </c>
      <c r="AP231" t="s">
        <v>8741</v>
      </c>
      <c r="AQ231" t="s">
        <v>8741</v>
      </c>
      <c r="AR231" t="s">
        <v>8741</v>
      </c>
      <c r="AS231" t="s">
        <v>8741</v>
      </c>
      <c r="AT231" t="s">
        <v>8741</v>
      </c>
      <c r="AU231" t="s">
        <v>8742</v>
      </c>
      <c r="AV231" t="s">
        <v>8742</v>
      </c>
      <c r="AW231" t="s">
        <v>8742</v>
      </c>
      <c r="AX231" t="s">
        <v>8742</v>
      </c>
      <c r="AY231" t="s">
        <v>8742</v>
      </c>
      <c r="AZ231" t="s">
        <v>8741</v>
      </c>
      <c r="BA231" t="s">
        <v>8741</v>
      </c>
      <c r="BB231" t="s">
        <v>8741</v>
      </c>
      <c r="BC231" t="s">
        <v>8741</v>
      </c>
      <c r="BD231" t="s">
        <v>8741</v>
      </c>
      <c r="BE231" t="s">
        <v>8742</v>
      </c>
      <c r="BF231" t="s">
        <v>8742</v>
      </c>
      <c r="BG231" t="s">
        <v>8742</v>
      </c>
      <c r="BH231" t="s">
        <v>8742</v>
      </c>
      <c r="BI231" t="s">
        <v>8742</v>
      </c>
      <c r="BK231" t="s">
        <v>8741</v>
      </c>
      <c r="BL231" t="s">
        <v>8741</v>
      </c>
      <c r="BM231" t="s">
        <v>8741</v>
      </c>
      <c r="BN231" t="s">
        <v>8741</v>
      </c>
      <c r="BO231" t="s">
        <v>8741</v>
      </c>
      <c r="BP231" t="s">
        <v>8742</v>
      </c>
      <c r="BQ231" t="s">
        <v>8742</v>
      </c>
      <c r="BR231" t="s">
        <v>8742</v>
      </c>
      <c r="BS231" t="s">
        <v>8742</v>
      </c>
      <c r="BT231" t="s">
        <v>8742</v>
      </c>
      <c r="BU231" t="s">
        <v>8741</v>
      </c>
      <c r="BV231" t="s">
        <v>8741</v>
      </c>
      <c r="BW231" t="s">
        <v>8741</v>
      </c>
      <c r="BX231" t="s">
        <v>8741</v>
      </c>
      <c r="BY231" t="s">
        <v>8741</v>
      </c>
      <c r="BZ231" t="s">
        <v>8742</v>
      </c>
      <c r="CA231" t="s">
        <v>8742</v>
      </c>
      <c r="CB231" t="s">
        <v>8742</v>
      </c>
      <c r="CC231" t="s">
        <v>8742</v>
      </c>
      <c r="CD231" t="s">
        <v>8742</v>
      </c>
      <c r="CE231" t="s">
        <v>8741</v>
      </c>
      <c r="CF231" t="s">
        <v>8741</v>
      </c>
      <c r="CG231" t="s">
        <v>8741</v>
      </c>
      <c r="CH231" t="s">
        <v>8741</v>
      </c>
      <c r="CI231" t="s">
        <v>8741</v>
      </c>
      <c r="CJ231" t="s">
        <v>8742</v>
      </c>
      <c r="CK231" t="s">
        <v>8742</v>
      </c>
      <c r="CL231" t="s">
        <v>8742</v>
      </c>
      <c r="CM231" t="s">
        <v>8742</v>
      </c>
      <c r="CN231" t="s">
        <v>8742</v>
      </c>
      <c r="CO231" t="s">
        <v>8741</v>
      </c>
      <c r="CP231" t="s">
        <v>8741</v>
      </c>
      <c r="CQ231" t="s">
        <v>8741</v>
      </c>
      <c r="CR231" t="s">
        <v>8741</v>
      </c>
      <c r="CS231" t="s">
        <v>8741</v>
      </c>
      <c r="CT231" t="s">
        <v>8742</v>
      </c>
      <c r="CU231" t="s">
        <v>8742</v>
      </c>
      <c r="CV231" t="s">
        <v>8742</v>
      </c>
      <c r="CW231" t="s">
        <v>8742</v>
      </c>
      <c r="CX231" t="s">
        <v>8742</v>
      </c>
      <c r="CY231" t="s">
        <v>8741</v>
      </c>
      <c r="CZ231" t="s">
        <v>8741</v>
      </c>
      <c r="DA231" t="s">
        <v>8741</v>
      </c>
      <c r="DB231" t="s">
        <v>8741</v>
      </c>
      <c r="DC231" t="s">
        <v>8741</v>
      </c>
      <c r="DD231" t="s">
        <v>8742</v>
      </c>
      <c r="DE231" t="s">
        <v>8742</v>
      </c>
      <c r="DF231" t="s">
        <v>8742</v>
      </c>
      <c r="DG231" t="s">
        <v>8742</v>
      </c>
      <c r="DH231" t="s">
        <v>8742</v>
      </c>
      <c r="DI231" t="s">
        <v>8741</v>
      </c>
      <c r="DJ231" t="s">
        <v>8741</v>
      </c>
      <c r="DK231" t="s">
        <v>8741</v>
      </c>
      <c r="DL231" t="s">
        <v>8741</v>
      </c>
      <c r="DM231" t="s">
        <v>8741</v>
      </c>
      <c r="DN231" t="s">
        <v>8742</v>
      </c>
      <c r="DO231" t="s">
        <v>8742</v>
      </c>
      <c r="DP231" t="s">
        <v>8742</v>
      </c>
      <c r="DQ231" t="s">
        <v>8742</v>
      </c>
      <c r="DR231" t="s">
        <v>8742</v>
      </c>
      <c r="DT231" s="77"/>
      <c r="DU231" s="8" t="str">
        <f>Hidden!$CG14</f>
        <v/>
      </c>
      <c r="DV231">
        <f t="shared" si="1176"/>
        <v>0</v>
      </c>
      <c r="DW231">
        <f t="shared" si="1177"/>
        <v>0</v>
      </c>
      <c r="DX231">
        <f t="shared" si="1178"/>
        <v>0</v>
      </c>
      <c r="DY231">
        <f t="shared" si="1179"/>
        <v>0</v>
      </c>
      <c r="DZ231">
        <f t="shared" si="1180"/>
        <v>0</v>
      </c>
      <c r="EA231">
        <f t="shared" si="1181"/>
        <v>0</v>
      </c>
      <c r="EB231">
        <f t="shared" si="1182"/>
        <v>0</v>
      </c>
      <c r="EC231">
        <f t="shared" si="1183"/>
        <v>0</v>
      </c>
      <c r="ED231">
        <f t="shared" si="1184"/>
        <v>0</v>
      </c>
      <c r="EE231">
        <f t="shared" si="1185"/>
        <v>0</v>
      </c>
      <c r="EF231">
        <f t="shared" si="1186"/>
        <v>0</v>
      </c>
      <c r="EG231">
        <f t="shared" si="1187"/>
        <v>0</v>
      </c>
      <c r="EH231">
        <f t="shared" si="1188"/>
        <v>0</v>
      </c>
      <c r="EI231">
        <f t="shared" si="1189"/>
        <v>0</v>
      </c>
      <c r="EJ231">
        <f t="shared" si="1190"/>
        <v>0</v>
      </c>
      <c r="EK231">
        <f t="shared" si="1191"/>
        <v>0</v>
      </c>
      <c r="EL231">
        <f t="shared" si="1192"/>
        <v>0</v>
      </c>
      <c r="EM231">
        <f t="shared" si="1193"/>
        <v>0</v>
      </c>
      <c r="EN231">
        <f t="shared" si="1194"/>
        <v>0</v>
      </c>
      <c r="EO231">
        <f t="shared" si="1195"/>
        <v>0</v>
      </c>
      <c r="EP231">
        <f t="shared" si="1196"/>
        <v>0</v>
      </c>
      <c r="EQ231">
        <f t="shared" si="1197"/>
        <v>0</v>
      </c>
      <c r="ER231">
        <f t="shared" si="1198"/>
        <v>0</v>
      </c>
      <c r="ES231">
        <f t="shared" ref="ES231:ET231" si="1295">IF(ES$218,FC126,0)</f>
        <v>0</v>
      </c>
      <c r="ET231">
        <f t="shared" si="1295"/>
        <v>0</v>
      </c>
      <c r="EU231">
        <f t="shared" si="1199"/>
        <v>0</v>
      </c>
      <c r="EV231">
        <f t="shared" si="1200"/>
        <v>0</v>
      </c>
      <c r="EW231">
        <f t="shared" si="1232"/>
        <v>0</v>
      </c>
      <c r="EX231">
        <f t="shared" si="1201"/>
        <v>0</v>
      </c>
      <c r="EY231">
        <f t="shared" si="1202"/>
        <v>0</v>
      </c>
      <c r="EZ231">
        <f t="shared" ref="EZ231:FI231" si="1296">IF(EZ$218,EZ126,0)</f>
        <v>0</v>
      </c>
      <c r="FA231">
        <f t="shared" si="1296"/>
        <v>0</v>
      </c>
      <c r="FB231">
        <f t="shared" si="1296"/>
        <v>0</v>
      </c>
      <c r="FC231">
        <f t="shared" si="1296"/>
        <v>0</v>
      </c>
      <c r="FD231">
        <f t="shared" si="1296"/>
        <v>0</v>
      </c>
      <c r="FE231">
        <f t="shared" si="1296"/>
        <v>0</v>
      </c>
      <c r="FF231">
        <f t="shared" si="1296"/>
        <v>0</v>
      </c>
      <c r="FG231">
        <f t="shared" si="1296"/>
        <v>0</v>
      </c>
      <c r="FH231">
        <f t="shared" si="1296"/>
        <v>0</v>
      </c>
      <c r="FI231">
        <f t="shared" si="1296"/>
        <v>0</v>
      </c>
      <c r="FJ231">
        <f t="shared" si="1204"/>
        <v>0</v>
      </c>
      <c r="FK231">
        <f t="shared" si="1205"/>
        <v>0</v>
      </c>
      <c r="FL231">
        <f t="shared" si="1206"/>
        <v>0</v>
      </c>
      <c r="FM231">
        <f t="shared" si="1234"/>
        <v>0</v>
      </c>
      <c r="FN231">
        <f t="shared" si="1207"/>
        <v>0</v>
      </c>
      <c r="FO231">
        <f t="shared" si="1208"/>
        <v>0</v>
      </c>
      <c r="FP231">
        <f t="shared" si="1209"/>
        <v>0</v>
      </c>
      <c r="FQ231">
        <f t="shared" si="1210"/>
        <v>0</v>
      </c>
      <c r="FR231">
        <f t="shared" si="1211"/>
        <v>0</v>
      </c>
      <c r="FS231">
        <f t="shared" si="1212"/>
        <v>0</v>
      </c>
      <c r="FT231">
        <f t="shared" si="1213"/>
        <v>0</v>
      </c>
      <c r="FU231">
        <f t="shared" si="1214"/>
        <v>0</v>
      </c>
      <c r="FV231">
        <f t="shared" si="1215"/>
        <v>0</v>
      </c>
      <c r="FW231">
        <f t="shared" si="1216"/>
        <v>0</v>
      </c>
      <c r="FX231">
        <f t="shared" si="1217"/>
        <v>0</v>
      </c>
      <c r="FY231">
        <f t="shared" si="1235"/>
        <v>0</v>
      </c>
      <c r="FZ231">
        <f t="shared" si="1218"/>
        <v>0</v>
      </c>
      <c r="GA231">
        <f t="shared" si="1219"/>
        <v>0</v>
      </c>
      <c r="GB231">
        <f t="shared" si="1220"/>
        <v>0</v>
      </c>
      <c r="GC231">
        <f t="shared" si="1221"/>
        <v>0</v>
      </c>
    </row>
    <row r="232" spans="1:185" x14ac:dyDescent="0.2">
      <c r="A232" s="8" t="str">
        <f>$AE20</f>
        <v/>
      </c>
      <c r="B232" s="8">
        <f>IF(B$230,AF127,0)</f>
        <v>0</v>
      </c>
      <c r="C232" s="8">
        <f t="shared" ref="C232:E232" si="1297">IF(C$230,AG127,0)</f>
        <v>0</v>
      </c>
      <c r="D232" s="8">
        <f t="shared" si="1297"/>
        <v>0</v>
      </c>
      <c r="E232" s="8">
        <f t="shared" si="1297"/>
        <v>0</v>
      </c>
      <c r="F232" s="8">
        <f>IF(F$230,AJ127,0)</f>
        <v>0</v>
      </c>
      <c r="G232" s="8">
        <f t="shared" ref="G232:J232" si="1298">IF(G$230,AK127,0)</f>
        <v>0</v>
      </c>
      <c r="H232" s="8">
        <f t="shared" si="1298"/>
        <v>0</v>
      </c>
      <c r="I232" s="8">
        <f t="shared" si="1298"/>
        <v>0</v>
      </c>
      <c r="J232" s="8">
        <f t="shared" si="1298"/>
        <v>0</v>
      </c>
      <c r="K232" s="8">
        <f>IF(K$230,AO127,0)</f>
        <v>0</v>
      </c>
      <c r="L232">
        <f>IF(L$230,AF127,0)</f>
        <v>0</v>
      </c>
      <c r="M232">
        <f t="shared" ref="M232:U232" si="1299">IF(M$230,AG127,0)</f>
        <v>0</v>
      </c>
      <c r="N232">
        <f t="shared" si="1299"/>
        <v>0</v>
      </c>
      <c r="O232">
        <f t="shared" si="1299"/>
        <v>0</v>
      </c>
      <c r="P232">
        <f t="shared" si="1299"/>
        <v>0</v>
      </c>
      <c r="Q232">
        <f t="shared" si="1299"/>
        <v>0</v>
      </c>
      <c r="R232">
        <f t="shared" si="1299"/>
        <v>0</v>
      </c>
      <c r="S232">
        <f t="shared" si="1299"/>
        <v>0</v>
      </c>
      <c r="T232">
        <f t="shared" si="1299"/>
        <v>0</v>
      </c>
      <c r="U232">
        <f t="shared" si="1299"/>
        <v>0</v>
      </c>
      <c r="V232">
        <f>IF(V$230,LandEmiss!AF127,0)</f>
        <v>0</v>
      </c>
      <c r="W232">
        <f>IF(W$230,LandEmiss!AG127,0)</f>
        <v>0</v>
      </c>
      <c r="X232">
        <f>IF(X$230,LandEmiss!AH127,0)</f>
        <v>0</v>
      </c>
      <c r="Y232">
        <f>IF(Y$230,LandEmiss!AI127,0)</f>
        <v>0</v>
      </c>
      <c r="Z232">
        <f>IF(Z$230,LandEmiss!AJ127,0)</f>
        <v>0</v>
      </c>
      <c r="AA232">
        <f>IF(AA$230,LandEmiss!AK127,0)</f>
        <v>0</v>
      </c>
      <c r="AB232">
        <f>IF(AB$230,LandEmiss!AL127,0)</f>
        <v>0</v>
      </c>
      <c r="AC232">
        <f>IF(AC$230,LandEmiss!AM127,0)</f>
        <v>0</v>
      </c>
      <c r="AD232">
        <f>IF(AD$230,LandEmiss!AN127,0)</f>
        <v>0</v>
      </c>
      <c r="AE232">
        <f>IF(AE$230,LandEmiss!AO127,0)</f>
        <v>0</v>
      </c>
      <c r="AF232">
        <f>IF(AF$230,AF127,0)</f>
        <v>0</v>
      </c>
      <c r="AG232">
        <f t="shared" ref="AG232:AO232" si="1300">IF(AG$230,AG127,0)</f>
        <v>0</v>
      </c>
      <c r="AH232">
        <f t="shared" si="1300"/>
        <v>0</v>
      </c>
      <c r="AI232">
        <f t="shared" si="1300"/>
        <v>0</v>
      </c>
      <c r="AJ232">
        <f t="shared" si="1300"/>
        <v>0</v>
      </c>
      <c r="AK232">
        <f t="shared" si="1300"/>
        <v>0</v>
      </c>
      <c r="AL232">
        <f t="shared" si="1300"/>
        <v>0</v>
      </c>
      <c r="AM232">
        <f t="shared" si="1300"/>
        <v>0</v>
      </c>
      <c r="AN232">
        <f t="shared" si="1300"/>
        <v>0</v>
      </c>
      <c r="AO232">
        <f t="shared" si="1300"/>
        <v>0</v>
      </c>
      <c r="AP232">
        <f>IF(AP$230,AF127,0)</f>
        <v>0</v>
      </c>
      <c r="AQ232">
        <f t="shared" ref="AQ232:AY232" si="1301">IF(AQ$230,AG127,0)</f>
        <v>0</v>
      </c>
      <c r="AR232">
        <f t="shared" si="1301"/>
        <v>0</v>
      </c>
      <c r="AS232">
        <f t="shared" si="1301"/>
        <v>0</v>
      </c>
      <c r="AT232">
        <f t="shared" si="1301"/>
        <v>0</v>
      </c>
      <c r="AU232">
        <f t="shared" si="1301"/>
        <v>0</v>
      </c>
      <c r="AV232">
        <f t="shared" si="1301"/>
        <v>0</v>
      </c>
      <c r="AW232">
        <f t="shared" si="1301"/>
        <v>0</v>
      </c>
      <c r="AX232">
        <f t="shared" si="1301"/>
        <v>0</v>
      </c>
      <c r="AY232">
        <f t="shared" si="1301"/>
        <v>0</v>
      </c>
      <c r="AZ232">
        <f>IF(AZ$230,AF127,0)</f>
        <v>0</v>
      </c>
      <c r="BA232">
        <f t="shared" ref="BA232:BH232" si="1302">IF(BA$230,AG127,0)</f>
        <v>0</v>
      </c>
      <c r="BB232">
        <f t="shared" si="1302"/>
        <v>0</v>
      </c>
      <c r="BC232">
        <f t="shared" si="1302"/>
        <v>0</v>
      </c>
      <c r="BD232">
        <f t="shared" si="1302"/>
        <v>0</v>
      </c>
      <c r="BE232">
        <f t="shared" si="1302"/>
        <v>0</v>
      </c>
      <c r="BF232">
        <f t="shared" si="1302"/>
        <v>0</v>
      </c>
      <c r="BG232">
        <f t="shared" si="1302"/>
        <v>0</v>
      </c>
      <c r="BH232">
        <f t="shared" si="1302"/>
        <v>0</v>
      </c>
      <c r="BI232">
        <f>IF(BI$230,AO127,0)</f>
        <v>0</v>
      </c>
      <c r="BJ232" s="8" t="str">
        <f>Hidden!$CC3</f>
        <v/>
      </c>
      <c r="BK232">
        <f t="shared" ref="BK232:BT232" si="1303">IF(BK$230,CP127,0)</f>
        <v>0</v>
      </c>
      <c r="BL232">
        <f t="shared" si="1303"/>
        <v>0</v>
      </c>
      <c r="BM232">
        <f t="shared" si="1303"/>
        <v>0</v>
      </c>
      <c r="BN232">
        <f t="shared" si="1303"/>
        <v>0</v>
      </c>
      <c r="BO232">
        <f t="shared" si="1303"/>
        <v>0</v>
      </c>
      <c r="BP232">
        <f t="shared" si="1303"/>
        <v>0</v>
      </c>
      <c r="BQ232">
        <f t="shared" si="1303"/>
        <v>0</v>
      </c>
      <c r="BR232">
        <f t="shared" si="1303"/>
        <v>0</v>
      </c>
      <c r="BS232">
        <f t="shared" si="1303"/>
        <v>0</v>
      </c>
      <c r="BT232">
        <f t="shared" si="1303"/>
        <v>0</v>
      </c>
      <c r="BU232">
        <f t="shared" ref="BU232:CD232" si="1304">IF(BU$230,CP127,0)</f>
        <v>0</v>
      </c>
      <c r="BV232">
        <f t="shared" si="1304"/>
        <v>0</v>
      </c>
      <c r="BW232">
        <f t="shared" si="1304"/>
        <v>0</v>
      </c>
      <c r="BX232">
        <f t="shared" si="1304"/>
        <v>0</v>
      </c>
      <c r="BY232">
        <f t="shared" si="1304"/>
        <v>0</v>
      </c>
      <c r="BZ232">
        <f t="shared" si="1304"/>
        <v>0</v>
      </c>
      <c r="CA232">
        <f t="shared" si="1304"/>
        <v>0</v>
      </c>
      <c r="CB232">
        <f t="shared" si="1304"/>
        <v>0</v>
      </c>
      <c r="CC232">
        <f t="shared" si="1304"/>
        <v>0</v>
      </c>
      <c r="CD232">
        <f t="shared" si="1304"/>
        <v>0</v>
      </c>
      <c r="CE232">
        <f>IF(CE$230,CP127,0)</f>
        <v>0</v>
      </c>
      <c r="CF232">
        <f t="shared" ref="CF232:CN232" si="1305">IF(CF$230,CQ127,0)</f>
        <v>0</v>
      </c>
      <c r="CG232">
        <f t="shared" si="1305"/>
        <v>0</v>
      </c>
      <c r="CH232">
        <f t="shared" si="1305"/>
        <v>0</v>
      </c>
      <c r="CI232">
        <f t="shared" si="1305"/>
        <v>0</v>
      </c>
      <c r="CJ232">
        <f t="shared" si="1305"/>
        <v>0</v>
      </c>
      <c r="CK232">
        <f>IF(CK$230,CV127,0)</f>
        <v>0</v>
      </c>
      <c r="CL232">
        <f t="shared" si="1305"/>
        <v>0</v>
      </c>
      <c r="CM232">
        <f t="shared" si="1305"/>
        <v>0</v>
      </c>
      <c r="CN232">
        <f t="shared" si="1305"/>
        <v>0</v>
      </c>
      <c r="CO232">
        <f>IF(CO$230,CP127,0)</f>
        <v>0</v>
      </c>
      <c r="CP232">
        <f t="shared" ref="CP232:CX232" si="1306">IF(CP$230,CQ127,0)</f>
        <v>0</v>
      </c>
      <c r="CQ232">
        <f t="shared" si="1306"/>
        <v>0</v>
      </c>
      <c r="CR232">
        <f t="shared" si="1306"/>
        <v>0</v>
      </c>
      <c r="CS232">
        <f t="shared" si="1306"/>
        <v>0</v>
      </c>
      <c r="CT232">
        <f t="shared" si="1306"/>
        <v>0</v>
      </c>
      <c r="CU232">
        <f t="shared" si="1306"/>
        <v>0</v>
      </c>
      <c r="CV232">
        <f t="shared" si="1306"/>
        <v>0</v>
      </c>
      <c r="CW232">
        <f t="shared" si="1306"/>
        <v>0</v>
      </c>
      <c r="CX232">
        <f t="shared" si="1306"/>
        <v>0</v>
      </c>
      <c r="CY232">
        <f>IF(CY$230,CP127,0)</f>
        <v>0</v>
      </c>
      <c r="CZ232">
        <f t="shared" ref="CZ232:DH232" si="1307">IF(CZ$230,CQ127,0)</f>
        <v>0</v>
      </c>
      <c r="DA232">
        <f t="shared" si="1307"/>
        <v>0</v>
      </c>
      <c r="DB232">
        <f t="shared" si="1307"/>
        <v>0</v>
      </c>
      <c r="DC232">
        <f t="shared" si="1307"/>
        <v>0</v>
      </c>
      <c r="DD232">
        <f t="shared" si="1307"/>
        <v>0</v>
      </c>
      <c r="DE232">
        <f t="shared" si="1307"/>
        <v>0</v>
      </c>
      <c r="DF232">
        <f t="shared" si="1307"/>
        <v>0</v>
      </c>
      <c r="DG232">
        <f t="shared" si="1307"/>
        <v>0</v>
      </c>
      <c r="DH232">
        <f t="shared" si="1307"/>
        <v>0</v>
      </c>
      <c r="DI232">
        <f>IF(DI$230,CP127,0)</f>
        <v>0</v>
      </c>
      <c r="DJ232">
        <f t="shared" ref="DJ232:DR232" si="1308">IF(DJ$230,CQ127,0)</f>
        <v>0</v>
      </c>
      <c r="DK232">
        <f t="shared" si="1308"/>
        <v>0</v>
      </c>
      <c r="DL232">
        <f t="shared" si="1308"/>
        <v>0</v>
      </c>
      <c r="DM232">
        <f t="shared" si="1308"/>
        <v>0</v>
      </c>
      <c r="DN232">
        <f t="shared" si="1308"/>
        <v>0</v>
      </c>
      <c r="DO232">
        <f t="shared" si="1308"/>
        <v>0</v>
      </c>
      <c r="DP232">
        <f t="shared" si="1308"/>
        <v>0</v>
      </c>
      <c r="DQ232">
        <f t="shared" si="1308"/>
        <v>0</v>
      </c>
      <c r="DR232">
        <f t="shared" si="1308"/>
        <v>0</v>
      </c>
      <c r="DT232" s="77"/>
      <c r="DU232" s="8" t="str">
        <f>Hidden!$CG15</f>
        <v/>
      </c>
      <c r="DV232">
        <f t="shared" si="1176"/>
        <v>0</v>
      </c>
      <c r="DW232">
        <f t="shared" si="1177"/>
        <v>0</v>
      </c>
      <c r="DX232">
        <f t="shared" si="1178"/>
        <v>0</v>
      </c>
      <c r="DY232">
        <f t="shared" si="1179"/>
        <v>0</v>
      </c>
      <c r="DZ232">
        <f t="shared" si="1180"/>
        <v>0</v>
      </c>
      <c r="EA232">
        <f t="shared" si="1181"/>
        <v>0</v>
      </c>
      <c r="EB232">
        <f t="shared" si="1182"/>
        <v>0</v>
      </c>
      <c r="EC232">
        <f t="shared" si="1183"/>
        <v>0</v>
      </c>
      <c r="ED232">
        <f t="shared" si="1184"/>
        <v>0</v>
      </c>
      <c r="EE232">
        <f t="shared" si="1185"/>
        <v>0</v>
      </c>
      <c r="EF232">
        <f t="shared" si="1186"/>
        <v>0</v>
      </c>
      <c r="EG232">
        <f t="shared" si="1187"/>
        <v>0</v>
      </c>
      <c r="EH232">
        <f t="shared" si="1188"/>
        <v>0</v>
      </c>
      <c r="EI232">
        <f t="shared" si="1189"/>
        <v>0</v>
      </c>
      <c r="EJ232">
        <f t="shared" si="1190"/>
        <v>0</v>
      </c>
      <c r="EK232">
        <f t="shared" si="1191"/>
        <v>0</v>
      </c>
      <c r="EL232">
        <f t="shared" si="1192"/>
        <v>0</v>
      </c>
      <c r="EM232">
        <f t="shared" si="1193"/>
        <v>0</v>
      </c>
      <c r="EN232">
        <f t="shared" si="1194"/>
        <v>0</v>
      </c>
      <c r="EO232">
        <f t="shared" si="1195"/>
        <v>0</v>
      </c>
      <c r="EP232">
        <f t="shared" si="1196"/>
        <v>0</v>
      </c>
      <c r="EQ232">
        <f t="shared" si="1197"/>
        <v>0</v>
      </c>
      <c r="ER232">
        <f t="shared" si="1198"/>
        <v>0</v>
      </c>
      <c r="ES232">
        <f t="shared" ref="ES232:ET232" si="1309">IF(ES$218,FC127,0)</f>
        <v>0</v>
      </c>
      <c r="ET232">
        <f t="shared" si="1309"/>
        <v>0</v>
      </c>
      <c r="EU232">
        <f t="shared" si="1199"/>
        <v>0</v>
      </c>
      <c r="EV232">
        <f t="shared" si="1200"/>
        <v>0</v>
      </c>
      <c r="EW232">
        <f t="shared" si="1232"/>
        <v>0</v>
      </c>
      <c r="EX232">
        <f t="shared" si="1201"/>
        <v>0</v>
      </c>
      <c r="EY232">
        <f t="shared" si="1202"/>
        <v>0</v>
      </c>
      <c r="EZ232">
        <f t="shared" ref="EZ232:FI232" si="1310">IF(EZ$218,EZ127,0)</f>
        <v>0</v>
      </c>
      <c r="FA232">
        <f t="shared" si="1310"/>
        <v>0</v>
      </c>
      <c r="FB232">
        <f t="shared" si="1310"/>
        <v>0</v>
      </c>
      <c r="FC232">
        <f t="shared" si="1310"/>
        <v>0</v>
      </c>
      <c r="FD232">
        <f t="shared" si="1310"/>
        <v>0</v>
      </c>
      <c r="FE232">
        <f t="shared" si="1310"/>
        <v>0</v>
      </c>
      <c r="FF232">
        <f t="shared" si="1310"/>
        <v>0</v>
      </c>
      <c r="FG232">
        <f t="shared" si="1310"/>
        <v>0</v>
      </c>
      <c r="FH232">
        <f t="shared" si="1310"/>
        <v>0</v>
      </c>
      <c r="FI232">
        <f t="shared" si="1310"/>
        <v>0</v>
      </c>
      <c r="FJ232">
        <f t="shared" si="1204"/>
        <v>0</v>
      </c>
      <c r="FK232">
        <f t="shared" si="1205"/>
        <v>0</v>
      </c>
      <c r="FL232">
        <f t="shared" si="1206"/>
        <v>0</v>
      </c>
      <c r="FM232">
        <f t="shared" si="1234"/>
        <v>0</v>
      </c>
      <c r="FN232">
        <f t="shared" si="1207"/>
        <v>0</v>
      </c>
      <c r="FO232">
        <f t="shared" si="1208"/>
        <v>0</v>
      </c>
      <c r="FP232">
        <f t="shared" si="1209"/>
        <v>0</v>
      </c>
      <c r="FQ232">
        <f t="shared" si="1210"/>
        <v>0</v>
      </c>
      <c r="FR232">
        <f t="shared" si="1211"/>
        <v>0</v>
      </c>
      <c r="FS232">
        <f t="shared" si="1212"/>
        <v>0</v>
      </c>
      <c r="FT232">
        <f t="shared" si="1213"/>
        <v>0</v>
      </c>
      <c r="FU232">
        <f t="shared" si="1214"/>
        <v>0</v>
      </c>
      <c r="FV232">
        <f t="shared" si="1215"/>
        <v>0</v>
      </c>
      <c r="FW232">
        <f t="shared" si="1216"/>
        <v>0</v>
      </c>
      <c r="FX232">
        <f t="shared" si="1217"/>
        <v>0</v>
      </c>
      <c r="FY232">
        <f t="shared" si="1235"/>
        <v>0</v>
      </c>
      <c r="FZ232">
        <f t="shared" si="1218"/>
        <v>0</v>
      </c>
      <c r="GA232">
        <f t="shared" si="1219"/>
        <v>0</v>
      </c>
      <c r="GB232">
        <f t="shared" si="1220"/>
        <v>0</v>
      </c>
      <c r="GC232">
        <f t="shared" si="1221"/>
        <v>0</v>
      </c>
    </row>
    <row r="233" spans="1:185" x14ac:dyDescent="0.2">
      <c r="A233" s="8" t="str">
        <f t="shared" ref="A233:A296" si="1311">$AE21</f>
        <v/>
      </c>
      <c r="B233" s="8">
        <f t="shared" ref="B233:B296" si="1312">IF(B$230,AF128,0)</f>
        <v>0</v>
      </c>
      <c r="C233" s="8">
        <f t="shared" ref="C233:C296" si="1313">IF(C$230,AG128,0)</f>
        <v>0</v>
      </c>
      <c r="D233" s="8">
        <f t="shared" ref="D233:D296" si="1314">IF(D$230,AH128,0)</f>
        <v>0</v>
      </c>
      <c r="E233" s="8">
        <f t="shared" ref="E233:F248" si="1315">IF(E$230,AI128,0)</f>
        <v>0</v>
      </c>
      <c r="F233" s="8">
        <f t="shared" si="1315"/>
        <v>0</v>
      </c>
      <c r="G233" s="8">
        <f t="shared" ref="G233:G239" si="1316">IF(G$230,AK128,0)</f>
        <v>0</v>
      </c>
      <c r="H233" s="8">
        <f t="shared" ref="H233:H239" si="1317">IF(H$230,AL128,0)</f>
        <v>0</v>
      </c>
      <c r="I233" s="8">
        <f t="shared" ref="I233:I239" si="1318">IF(I$230,AM128,0)</f>
        <v>0</v>
      </c>
      <c r="J233" s="8">
        <f t="shared" ref="J233:K239" si="1319">IF(J$230,AN128,0)</f>
        <v>0</v>
      </c>
      <c r="K233" s="8">
        <f t="shared" si="1319"/>
        <v>0</v>
      </c>
      <c r="L233">
        <f t="shared" ref="L233:L296" si="1320">IF(L$230,AF128,0)</f>
        <v>0</v>
      </c>
      <c r="M233">
        <f t="shared" ref="M233:M296" si="1321">IF(M$230,AG128,0)</f>
        <v>0</v>
      </c>
      <c r="N233">
        <f t="shared" ref="N233:N296" si="1322">IF(N$230,AH128,0)</f>
        <v>0</v>
      </c>
      <c r="O233">
        <f t="shared" ref="O233:O296" si="1323">IF(O$230,AI128,0)</f>
        <v>0</v>
      </c>
      <c r="P233">
        <f t="shared" ref="P233:P296" si="1324">IF(P$230,AJ128,0)</f>
        <v>0</v>
      </c>
      <c r="Q233">
        <f t="shared" ref="Q233:Q296" si="1325">IF(Q$230,AK128,0)</f>
        <v>0</v>
      </c>
      <c r="R233">
        <f t="shared" ref="R233:R296" si="1326">IF(R$230,AL128,0)</f>
        <v>0</v>
      </c>
      <c r="S233" s="8">
        <f t="shared" ref="S233:S296" si="1327">IF(S$230,AM128,0)</f>
        <v>0</v>
      </c>
      <c r="T233" s="8">
        <f t="shared" ref="T233:T296" si="1328">IF(T$230,AN128,0)</f>
        <v>0</v>
      </c>
      <c r="U233" s="8">
        <f t="shared" ref="U233:U296" si="1329">IF(U$230,AO128,0)</f>
        <v>0</v>
      </c>
      <c r="V233">
        <f>IF(V$230,LandEmiss!AF128,0)</f>
        <v>0</v>
      </c>
      <c r="W233">
        <f>IF(W$230,LandEmiss!AG128,0)</f>
        <v>0</v>
      </c>
      <c r="X233">
        <f>IF(X$230,LandEmiss!AH128,0)</f>
        <v>0</v>
      </c>
      <c r="Y233">
        <f>IF(Y$230,LandEmiss!AI128,0)</f>
        <v>0</v>
      </c>
      <c r="Z233">
        <f>IF(Z$230,LandEmiss!AJ128,0)</f>
        <v>0</v>
      </c>
      <c r="AA233">
        <f>IF(AA$230,LandEmiss!AK128,0)</f>
        <v>0</v>
      </c>
      <c r="AB233">
        <f>IF(AB$230,LandEmiss!AL128,0)</f>
        <v>0</v>
      </c>
      <c r="AC233">
        <f>IF(AC$230,LandEmiss!AM128,0)</f>
        <v>0</v>
      </c>
      <c r="AD233">
        <f>IF(AD$230,LandEmiss!AN128,0)</f>
        <v>0</v>
      </c>
      <c r="AE233">
        <f>IF(AE$230,LandEmiss!AO128,0)</f>
        <v>0</v>
      </c>
      <c r="AF233">
        <f t="shared" ref="AF233:AO233" si="1330">IF(AF$230,AF128,0)</f>
        <v>0</v>
      </c>
      <c r="AG233">
        <f t="shared" si="1330"/>
        <v>0</v>
      </c>
      <c r="AH233">
        <f t="shared" si="1330"/>
        <v>0</v>
      </c>
      <c r="AI233">
        <f t="shared" si="1330"/>
        <v>0</v>
      </c>
      <c r="AJ233">
        <f t="shared" si="1330"/>
        <v>0</v>
      </c>
      <c r="AK233">
        <f t="shared" si="1330"/>
        <v>0</v>
      </c>
      <c r="AL233">
        <f t="shared" si="1330"/>
        <v>0</v>
      </c>
      <c r="AM233">
        <f t="shared" si="1330"/>
        <v>0</v>
      </c>
      <c r="AN233">
        <f t="shared" si="1330"/>
        <v>0</v>
      </c>
      <c r="AO233">
        <f t="shared" si="1330"/>
        <v>0</v>
      </c>
      <c r="AP233">
        <f t="shared" ref="AP233:AP296" si="1331">IF(AP$230,AF128,0)</f>
        <v>0</v>
      </c>
      <c r="AQ233">
        <f t="shared" ref="AQ233:AQ296" si="1332">IF(AQ$230,AG128,0)</f>
        <v>0</v>
      </c>
      <c r="AR233">
        <f t="shared" ref="AR233:AR296" si="1333">IF(AR$230,AH128,0)</f>
        <v>0</v>
      </c>
      <c r="AS233">
        <f t="shared" ref="AS233:AS296" si="1334">IF(AS$230,AI128,0)</f>
        <v>0</v>
      </c>
      <c r="AT233">
        <f t="shared" ref="AT233:AT296" si="1335">IF(AT$230,AJ128,0)</f>
        <v>0</v>
      </c>
      <c r="AU233">
        <f t="shared" ref="AU233:AU296" si="1336">IF(AU$230,AK128,0)</f>
        <v>0</v>
      </c>
      <c r="AV233">
        <f t="shared" ref="AV233:AV296" si="1337">IF(AV$230,AL128,0)</f>
        <v>0</v>
      </c>
      <c r="AW233">
        <f t="shared" ref="AW233:AW296" si="1338">IF(AW$230,AM128,0)</f>
        <v>0</v>
      </c>
      <c r="AX233">
        <f t="shared" ref="AX233:AX296" si="1339">IF(AX$230,AN128,0)</f>
        <v>0</v>
      </c>
      <c r="AY233">
        <f t="shared" ref="AY233:AY296" si="1340">IF(AY$230,AO128,0)</f>
        <v>0</v>
      </c>
      <c r="AZ233">
        <f t="shared" ref="AZ233:AZ296" si="1341">IF(AZ$230,AF128,0)</f>
        <v>0</v>
      </c>
      <c r="BA233">
        <f t="shared" ref="BA233:BA296" si="1342">IF(BA$230,AG128,0)</f>
        <v>0</v>
      </c>
      <c r="BB233">
        <f t="shared" ref="BB233:BB296" si="1343">IF(BB$230,AH128,0)</f>
        <v>0</v>
      </c>
      <c r="BC233">
        <f t="shared" ref="BC233:BC296" si="1344">IF(BC$230,AI128,0)</f>
        <v>0</v>
      </c>
      <c r="BD233">
        <f t="shared" ref="BD233:BD296" si="1345">IF(BD$230,AJ128,0)</f>
        <v>0</v>
      </c>
      <c r="BE233">
        <f t="shared" ref="BE233:BE296" si="1346">IF(BE$230,AK128,0)</f>
        <v>0</v>
      </c>
      <c r="BF233">
        <f t="shared" ref="BF233:BF296" si="1347">IF(BF$230,AL128,0)</f>
        <v>0</v>
      </c>
      <c r="BG233">
        <f t="shared" ref="BG233:BG296" si="1348">IF(BG$230,AM128,0)</f>
        <v>0</v>
      </c>
      <c r="BH233">
        <f t="shared" ref="BH233:BI248" si="1349">IF(BH$230,AN128,0)</f>
        <v>0</v>
      </c>
      <c r="BI233">
        <f t="shared" si="1349"/>
        <v>0</v>
      </c>
      <c r="BJ233" s="8" t="str">
        <f>Hidden!$CC4</f>
        <v/>
      </c>
      <c r="BK233">
        <f t="shared" ref="BK233:BT233" si="1350">IF(BK$230,CP128,0)</f>
        <v>0</v>
      </c>
      <c r="BL233">
        <f t="shared" si="1350"/>
        <v>0</v>
      </c>
      <c r="BM233">
        <f t="shared" si="1350"/>
        <v>0</v>
      </c>
      <c r="BN233">
        <f t="shared" si="1350"/>
        <v>0</v>
      </c>
      <c r="BO233">
        <f t="shared" si="1350"/>
        <v>0</v>
      </c>
      <c r="BP233">
        <f t="shared" si="1350"/>
        <v>0</v>
      </c>
      <c r="BQ233">
        <f t="shared" si="1350"/>
        <v>0</v>
      </c>
      <c r="BR233">
        <f t="shared" si="1350"/>
        <v>0</v>
      </c>
      <c r="BS233">
        <f t="shared" si="1350"/>
        <v>0</v>
      </c>
      <c r="BT233">
        <f t="shared" si="1350"/>
        <v>0</v>
      </c>
      <c r="BU233">
        <f t="shared" ref="BU233:CD233" si="1351">IF(BU$230,CP128,0)</f>
        <v>0</v>
      </c>
      <c r="BV233">
        <f t="shared" si="1351"/>
        <v>0</v>
      </c>
      <c r="BW233">
        <f t="shared" si="1351"/>
        <v>0</v>
      </c>
      <c r="BX233">
        <f t="shared" si="1351"/>
        <v>0</v>
      </c>
      <c r="BY233">
        <f t="shared" si="1351"/>
        <v>0</v>
      </c>
      <c r="BZ233">
        <f t="shared" si="1351"/>
        <v>0</v>
      </c>
      <c r="CA233">
        <f t="shared" si="1351"/>
        <v>0</v>
      </c>
      <c r="CB233">
        <f t="shared" si="1351"/>
        <v>0</v>
      </c>
      <c r="CC233">
        <f t="shared" si="1351"/>
        <v>0</v>
      </c>
      <c r="CD233">
        <f t="shared" si="1351"/>
        <v>0</v>
      </c>
      <c r="CE233">
        <f t="shared" ref="CE233:CE296" si="1352">IF(CE$230,CP128,0)</f>
        <v>0</v>
      </c>
      <c r="CF233">
        <f t="shared" ref="CF233:CF296" si="1353">IF(CF$230,CQ128,0)</f>
        <v>0</v>
      </c>
      <c r="CG233">
        <f t="shared" ref="CG233:CG296" si="1354">IF(CG$230,CR128,0)</f>
        <v>0</v>
      </c>
      <c r="CH233">
        <f t="shared" ref="CH233:CH296" si="1355">IF(CH$230,CS128,0)</f>
        <v>0</v>
      </c>
      <c r="CI233">
        <f t="shared" ref="CI233:CI296" si="1356">IF(CI$230,CT128,0)</f>
        <v>0</v>
      </c>
      <c r="CJ233">
        <f t="shared" ref="CJ233:CK248" si="1357">IF(CJ$230,CU128,0)</f>
        <v>0</v>
      </c>
      <c r="CK233">
        <f t="shared" si="1357"/>
        <v>0</v>
      </c>
      <c r="CL233">
        <f t="shared" ref="CL233:CL296" si="1358">IF(CL$230,CW128,0)</f>
        <v>0</v>
      </c>
      <c r="CM233">
        <f t="shared" ref="CM233:CM296" si="1359">IF(CM$230,CX128,0)</f>
        <v>0</v>
      </c>
      <c r="CN233">
        <f t="shared" ref="CN233:CN296" si="1360">IF(CN$230,CY128,0)</f>
        <v>0</v>
      </c>
      <c r="CO233">
        <f t="shared" ref="CO233:CX233" si="1361">IF(CO$230,CP128,0)</f>
        <v>0</v>
      </c>
      <c r="CP233">
        <f t="shared" si="1361"/>
        <v>0</v>
      </c>
      <c r="CQ233">
        <f t="shared" si="1361"/>
        <v>0</v>
      </c>
      <c r="CR233">
        <f t="shared" si="1361"/>
        <v>0</v>
      </c>
      <c r="CS233">
        <f t="shared" si="1361"/>
        <v>0</v>
      </c>
      <c r="CT233">
        <f t="shared" si="1361"/>
        <v>0</v>
      </c>
      <c r="CU233">
        <f t="shared" si="1361"/>
        <v>0</v>
      </c>
      <c r="CV233">
        <f t="shared" si="1361"/>
        <v>0</v>
      </c>
      <c r="CW233">
        <f t="shared" si="1361"/>
        <v>0</v>
      </c>
      <c r="CX233">
        <f t="shared" si="1361"/>
        <v>0</v>
      </c>
      <c r="CY233">
        <f t="shared" ref="CY233:CY296" si="1362">IF(CY$230,CP128,0)</f>
        <v>0</v>
      </c>
      <c r="CZ233">
        <f t="shared" ref="CZ233:CZ296" si="1363">IF(CZ$230,CQ128,0)</f>
        <v>0</v>
      </c>
      <c r="DA233">
        <f t="shared" ref="DA233:DA296" si="1364">IF(DA$230,CR128,0)</f>
        <v>0</v>
      </c>
      <c r="DB233">
        <f t="shared" ref="DB233:DB296" si="1365">IF(DB$230,CS128,0)</f>
        <v>0</v>
      </c>
      <c r="DC233">
        <f t="shared" ref="DC233:DC296" si="1366">IF(DC$230,CT128,0)</f>
        <v>0</v>
      </c>
      <c r="DD233">
        <f t="shared" ref="DD233:DD296" si="1367">IF(DD$230,CU128,0)</f>
        <v>0</v>
      </c>
      <c r="DE233">
        <f t="shared" ref="DE233:DE296" si="1368">IF(DE$230,CV128,0)</f>
        <v>0</v>
      </c>
      <c r="DF233">
        <f t="shared" ref="DF233:DF296" si="1369">IF(DF$230,CW128,0)</f>
        <v>0</v>
      </c>
      <c r="DG233">
        <f t="shared" ref="DG233:DG296" si="1370">IF(DG$230,CX128,0)</f>
        <v>0</v>
      </c>
      <c r="DH233">
        <f t="shared" ref="DH233:DH296" si="1371">IF(DH$230,CY128,0)</f>
        <v>0</v>
      </c>
      <c r="DI233">
        <f t="shared" ref="DI233:DI296" si="1372">IF(DI$230,CP128,0)</f>
        <v>0</v>
      </c>
      <c r="DJ233">
        <f t="shared" ref="DJ233:DJ296" si="1373">IF(DJ$230,CQ128,0)</f>
        <v>0</v>
      </c>
      <c r="DK233">
        <f t="shared" ref="DK233:DK296" si="1374">IF(DK$230,CR128,0)</f>
        <v>0</v>
      </c>
      <c r="DL233">
        <f t="shared" ref="DL233:DL296" si="1375">IF(DL$230,CS128,0)</f>
        <v>0</v>
      </c>
      <c r="DM233">
        <f t="shared" ref="DM233:DM296" si="1376">IF(DM$230,CT128,0)</f>
        <v>0</v>
      </c>
      <c r="DN233">
        <f t="shared" ref="DN233:DN296" si="1377">IF(DN$230,CU128,0)</f>
        <v>0</v>
      </c>
      <c r="DO233">
        <f t="shared" ref="DO233:DO296" si="1378">IF(DO$230,CV128,0)</f>
        <v>0</v>
      </c>
      <c r="DP233">
        <f t="shared" ref="DP233:DP296" si="1379">IF(DP$230,CW128,0)</f>
        <v>0</v>
      </c>
      <c r="DQ233">
        <f t="shared" ref="DQ233:DQ296" si="1380">IF(DQ$230,CX128,0)</f>
        <v>0</v>
      </c>
      <c r="DR233">
        <f t="shared" ref="DR233:DR296" si="1381">IF(DR$230,CY128,0)</f>
        <v>0</v>
      </c>
      <c r="DT233" s="77"/>
      <c r="DU233" s="8" t="str">
        <f>Hidden!$CG16</f>
        <v/>
      </c>
      <c r="DV233">
        <f t="shared" si="1176"/>
        <v>0</v>
      </c>
      <c r="DW233">
        <f t="shared" si="1177"/>
        <v>0</v>
      </c>
      <c r="DX233">
        <f t="shared" si="1178"/>
        <v>0</v>
      </c>
      <c r="DY233">
        <f t="shared" si="1179"/>
        <v>0</v>
      </c>
      <c r="DZ233">
        <f t="shared" si="1180"/>
        <v>0</v>
      </c>
      <c r="EA233">
        <f t="shared" si="1181"/>
        <v>0</v>
      </c>
      <c r="EB233">
        <f t="shared" si="1182"/>
        <v>0</v>
      </c>
      <c r="EC233">
        <f t="shared" si="1183"/>
        <v>0</v>
      </c>
      <c r="ED233">
        <f t="shared" si="1184"/>
        <v>0</v>
      </c>
      <c r="EE233">
        <f t="shared" si="1185"/>
        <v>0</v>
      </c>
      <c r="EF233">
        <f t="shared" si="1186"/>
        <v>0</v>
      </c>
      <c r="EG233">
        <f t="shared" si="1187"/>
        <v>0</v>
      </c>
      <c r="EH233">
        <f t="shared" si="1188"/>
        <v>0</v>
      </c>
      <c r="EI233">
        <f t="shared" si="1189"/>
        <v>0</v>
      </c>
      <c r="EJ233">
        <f t="shared" si="1190"/>
        <v>0</v>
      </c>
      <c r="EK233">
        <f t="shared" si="1191"/>
        <v>0</v>
      </c>
      <c r="EL233">
        <f t="shared" si="1192"/>
        <v>0</v>
      </c>
      <c r="EM233">
        <f t="shared" si="1193"/>
        <v>0</v>
      </c>
      <c r="EN233">
        <f t="shared" si="1194"/>
        <v>0</v>
      </c>
      <c r="EO233">
        <f t="shared" si="1195"/>
        <v>0</v>
      </c>
      <c r="EP233">
        <f t="shared" si="1196"/>
        <v>0</v>
      </c>
      <c r="EQ233">
        <f t="shared" si="1197"/>
        <v>0</v>
      </c>
      <c r="ER233">
        <f t="shared" si="1198"/>
        <v>0</v>
      </c>
      <c r="ES233">
        <f t="shared" ref="ES233:ET233" si="1382">IF(ES$218,FC128,0)</f>
        <v>0</v>
      </c>
      <c r="ET233">
        <f t="shared" si="1382"/>
        <v>0</v>
      </c>
      <c r="EU233">
        <f t="shared" si="1199"/>
        <v>0</v>
      </c>
      <c r="EV233">
        <f t="shared" si="1200"/>
        <v>0</v>
      </c>
      <c r="EW233">
        <f t="shared" si="1232"/>
        <v>0</v>
      </c>
      <c r="EX233">
        <f t="shared" si="1201"/>
        <v>0</v>
      </c>
      <c r="EY233">
        <f t="shared" si="1202"/>
        <v>0</v>
      </c>
      <c r="EZ233">
        <f t="shared" ref="EZ233:FI233" si="1383">IF(EZ$218,EZ128,0)</f>
        <v>0</v>
      </c>
      <c r="FA233">
        <f t="shared" si="1383"/>
        <v>0</v>
      </c>
      <c r="FB233">
        <f t="shared" si="1383"/>
        <v>0</v>
      </c>
      <c r="FC233">
        <f t="shared" si="1383"/>
        <v>0</v>
      </c>
      <c r="FD233">
        <f t="shared" si="1383"/>
        <v>0</v>
      </c>
      <c r="FE233">
        <f t="shared" si="1383"/>
        <v>0</v>
      </c>
      <c r="FF233">
        <f t="shared" si="1383"/>
        <v>0</v>
      </c>
      <c r="FG233">
        <f t="shared" si="1383"/>
        <v>0</v>
      </c>
      <c r="FH233">
        <f t="shared" si="1383"/>
        <v>0</v>
      </c>
      <c r="FI233">
        <f t="shared" si="1383"/>
        <v>0</v>
      </c>
      <c r="FJ233">
        <f t="shared" si="1204"/>
        <v>0</v>
      </c>
      <c r="FK233">
        <f t="shared" si="1205"/>
        <v>0</v>
      </c>
      <c r="FL233">
        <f t="shared" si="1206"/>
        <v>0</v>
      </c>
      <c r="FM233">
        <f t="shared" si="1234"/>
        <v>0</v>
      </c>
      <c r="FN233">
        <f t="shared" si="1207"/>
        <v>0</v>
      </c>
      <c r="FO233">
        <f t="shared" si="1208"/>
        <v>0</v>
      </c>
      <c r="FP233">
        <f t="shared" si="1209"/>
        <v>0</v>
      </c>
      <c r="FQ233">
        <f t="shared" si="1210"/>
        <v>0</v>
      </c>
      <c r="FR233">
        <f t="shared" si="1211"/>
        <v>0</v>
      </c>
      <c r="FS233">
        <f t="shared" si="1212"/>
        <v>0</v>
      </c>
      <c r="FT233">
        <f t="shared" si="1213"/>
        <v>0</v>
      </c>
      <c r="FU233">
        <f t="shared" si="1214"/>
        <v>0</v>
      </c>
      <c r="FV233">
        <f t="shared" si="1215"/>
        <v>0</v>
      </c>
      <c r="FW233">
        <f t="shared" si="1216"/>
        <v>0</v>
      </c>
      <c r="FX233">
        <f t="shared" si="1217"/>
        <v>0</v>
      </c>
      <c r="FY233">
        <f t="shared" si="1235"/>
        <v>0</v>
      </c>
      <c r="FZ233">
        <f t="shared" si="1218"/>
        <v>0</v>
      </c>
      <c r="GA233">
        <f t="shared" si="1219"/>
        <v>0</v>
      </c>
      <c r="GB233">
        <f t="shared" si="1220"/>
        <v>0</v>
      </c>
      <c r="GC233">
        <f t="shared" si="1221"/>
        <v>0</v>
      </c>
    </row>
    <row r="234" spans="1:185" x14ac:dyDescent="0.2">
      <c r="A234" s="8" t="str">
        <f t="shared" si="1311"/>
        <v/>
      </c>
      <c r="B234" s="8">
        <f t="shared" si="1312"/>
        <v>0</v>
      </c>
      <c r="C234" s="8">
        <f t="shared" si="1313"/>
        <v>0</v>
      </c>
      <c r="D234" s="8">
        <f t="shared" si="1314"/>
        <v>0</v>
      </c>
      <c r="E234" s="8">
        <f t="shared" si="1315"/>
        <v>0</v>
      </c>
      <c r="F234" s="8">
        <f t="shared" ref="F234:F297" si="1384">IF(F$230,AJ129,0)</f>
        <v>0</v>
      </c>
      <c r="G234" s="8">
        <f t="shared" si="1316"/>
        <v>0</v>
      </c>
      <c r="H234" s="8">
        <f t="shared" si="1317"/>
        <v>0</v>
      </c>
      <c r="I234" s="8">
        <f t="shared" si="1318"/>
        <v>0</v>
      </c>
      <c r="J234" s="8">
        <f t="shared" si="1319"/>
        <v>0</v>
      </c>
      <c r="K234" s="8">
        <f t="shared" ref="K234:K239" si="1385">IF(K$230,AO129,0)</f>
        <v>0</v>
      </c>
      <c r="L234">
        <f t="shared" si="1320"/>
        <v>0</v>
      </c>
      <c r="M234">
        <f t="shared" si="1321"/>
        <v>0</v>
      </c>
      <c r="N234">
        <f t="shared" si="1322"/>
        <v>0</v>
      </c>
      <c r="O234">
        <f t="shared" si="1323"/>
        <v>0</v>
      </c>
      <c r="P234">
        <f t="shared" si="1324"/>
        <v>0</v>
      </c>
      <c r="Q234">
        <f t="shared" si="1325"/>
        <v>0</v>
      </c>
      <c r="R234">
        <f t="shared" si="1326"/>
        <v>0</v>
      </c>
      <c r="S234" s="8">
        <f t="shared" si="1327"/>
        <v>0</v>
      </c>
      <c r="T234" s="8">
        <f t="shared" si="1328"/>
        <v>0</v>
      </c>
      <c r="U234" s="8">
        <f t="shared" si="1329"/>
        <v>0</v>
      </c>
      <c r="V234">
        <f>IF(V$230,LandEmiss!AF129,0)</f>
        <v>0</v>
      </c>
      <c r="W234">
        <f>IF(W$230,LandEmiss!AG129,0)</f>
        <v>0</v>
      </c>
      <c r="X234">
        <f>IF(X$230,LandEmiss!AH129,0)</f>
        <v>0</v>
      </c>
      <c r="Y234">
        <f>IF(Y$230,LandEmiss!AI129,0)</f>
        <v>0</v>
      </c>
      <c r="Z234">
        <f>IF(Z$230,LandEmiss!AJ129,0)</f>
        <v>0</v>
      </c>
      <c r="AA234">
        <f>IF(AA$230,LandEmiss!AK129,0)</f>
        <v>0</v>
      </c>
      <c r="AB234">
        <f>IF(AB$230,LandEmiss!AL129,0)</f>
        <v>0</v>
      </c>
      <c r="AC234">
        <f>IF(AC$230,LandEmiss!AM129,0)</f>
        <v>0</v>
      </c>
      <c r="AD234">
        <f>IF(AD$230,LandEmiss!AN129,0)</f>
        <v>0</v>
      </c>
      <c r="AE234">
        <f>IF(AE$230,LandEmiss!AO129,0)</f>
        <v>0</v>
      </c>
      <c r="AF234">
        <f t="shared" ref="AF234:AO234" si="1386">IF(AF$230,AF129,0)</f>
        <v>0</v>
      </c>
      <c r="AG234">
        <f t="shared" si="1386"/>
        <v>0</v>
      </c>
      <c r="AH234">
        <f t="shared" si="1386"/>
        <v>0</v>
      </c>
      <c r="AI234">
        <f t="shared" si="1386"/>
        <v>0</v>
      </c>
      <c r="AJ234">
        <f t="shared" si="1386"/>
        <v>0</v>
      </c>
      <c r="AK234">
        <f t="shared" si="1386"/>
        <v>0</v>
      </c>
      <c r="AL234">
        <f t="shared" si="1386"/>
        <v>0</v>
      </c>
      <c r="AM234">
        <f t="shared" si="1386"/>
        <v>0</v>
      </c>
      <c r="AN234">
        <f t="shared" si="1386"/>
        <v>0</v>
      </c>
      <c r="AO234">
        <f t="shared" si="1386"/>
        <v>0</v>
      </c>
      <c r="AP234">
        <f t="shared" si="1331"/>
        <v>0</v>
      </c>
      <c r="AQ234">
        <f t="shared" si="1332"/>
        <v>0</v>
      </c>
      <c r="AR234">
        <f t="shared" si="1333"/>
        <v>0</v>
      </c>
      <c r="AS234">
        <f t="shared" si="1334"/>
        <v>0</v>
      </c>
      <c r="AT234">
        <f t="shared" si="1335"/>
        <v>0</v>
      </c>
      <c r="AU234">
        <f t="shared" si="1336"/>
        <v>0</v>
      </c>
      <c r="AV234">
        <f t="shared" si="1337"/>
        <v>0</v>
      </c>
      <c r="AW234">
        <f t="shared" si="1338"/>
        <v>0</v>
      </c>
      <c r="AX234">
        <f t="shared" si="1339"/>
        <v>0</v>
      </c>
      <c r="AY234">
        <f t="shared" si="1340"/>
        <v>0</v>
      </c>
      <c r="AZ234">
        <f t="shared" si="1341"/>
        <v>0</v>
      </c>
      <c r="BA234">
        <f t="shared" si="1342"/>
        <v>0</v>
      </c>
      <c r="BB234">
        <f t="shared" si="1343"/>
        <v>0</v>
      </c>
      <c r="BC234">
        <f t="shared" si="1344"/>
        <v>0</v>
      </c>
      <c r="BD234">
        <f t="shared" si="1345"/>
        <v>0</v>
      </c>
      <c r="BE234">
        <f t="shared" si="1346"/>
        <v>0</v>
      </c>
      <c r="BF234">
        <f t="shared" si="1347"/>
        <v>0</v>
      </c>
      <c r="BG234">
        <f t="shared" si="1348"/>
        <v>0</v>
      </c>
      <c r="BH234">
        <f t="shared" si="1349"/>
        <v>0</v>
      </c>
      <c r="BI234">
        <f t="shared" ref="BI234:BI297" si="1387">IF(BI$230,AO129,0)</f>
        <v>0</v>
      </c>
      <c r="BJ234" s="8" t="str">
        <f>Hidden!$CC5</f>
        <v/>
      </c>
      <c r="BK234">
        <f t="shared" ref="BK234:BT234" si="1388">IF(BK$230,CP129,0)</f>
        <v>0</v>
      </c>
      <c r="BL234">
        <f t="shared" si="1388"/>
        <v>0</v>
      </c>
      <c r="BM234">
        <f t="shared" si="1388"/>
        <v>0</v>
      </c>
      <c r="BN234">
        <f t="shared" si="1388"/>
        <v>0</v>
      </c>
      <c r="BO234">
        <f t="shared" si="1388"/>
        <v>0</v>
      </c>
      <c r="BP234">
        <f t="shared" si="1388"/>
        <v>0</v>
      </c>
      <c r="BQ234">
        <f t="shared" si="1388"/>
        <v>0</v>
      </c>
      <c r="BR234">
        <f t="shared" si="1388"/>
        <v>0</v>
      </c>
      <c r="BS234">
        <f t="shared" si="1388"/>
        <v>0</v>
      </c>
      <c r="BT234">
        <f t="shared" si="1388"/>
        <v>0</v>
      </c>
      <c r="BU234">
        <f t="shared" ref="BU234:CD234" si="1389">IF(BU$230,CP129,0)</f>
        <v>0</v>
      </c>
      <c r="BV234">
        <f t="shared" si="1389"/>
        <v>0</v>
      </c>
      <c r="BW234">
        <f t="shared" si="1389"/>
        <v>0</v>
      </c>
      <c r="BX234">
        <f t="shared" si="1389"/>
        <v>0</v>
      </c>
      <c r="BY234">
        <f t="shared" si="1389"/>
        <v>0</v>
      </c>
      <c r="BZ234">
        <f t="shared" si="1389"/>
        <v>0</v>
      </c>
      <c r="CA234">
        <f t="shared" si="1389"/>
        <v>0</v>
      </c>
      <c r="CB234">
        <f t="shared" si="1389"/>
        <v>0</v>
      </c>
      <c r="CC234">
        <f t="shared" si="1389"/>
        <v>0</v>
      </c>
      <c r="CD234">
        <f t="shared" si="1389"/>
        <v>0</v>
      </c>
      <c r="CE234">
        <f t="shared" si="1352"/>
        <v>0</v>
      </c>
      <c r="CF234">
        <f t="shared" si="1353"/>
        <v>0</v>
      </c>
      <c r="CG234">
        <f t="shared" si="1354"/>
        <v>0</v>
      </c>
      <c r="CH234">
        <f t="shared" si="1355"/>
        <v>0</v>
      </c>
      <c r="CI234">
        <f t="shared" si="1356"/>
        <v>0</v>
      </c>
      <c r="CJ234">
        <f t="shared" si="1357"/>
        <v>0</v>
      </c>
      <c r="CK234">
        <f t="shared" ref="CK234:CK297" si="1390">IF(CK$230,CV129,0)</f>
        <v>0</v>
      </c>
      <c r="CL234">
        <f t="shared" si="1358"/>
        <v>0</v>
      </c>
      <c r="CM234">
        <f t="shared" si="1359"/>
        <v>0</v>
      </c>
      <c r="CN234">
        <f t="shared" si="1360"/>
        <v>0</v>
      </c>
      <c r="CO234">
        <f t="shared" ref="CO234:CX234" si="1391">IF(CO$230,CP129,0)</f>
        <v>0</v>
      </c>
      <c r="CP234">
        <f t="shared" si="1391"/>
        <v>0</v>
      </c>
      <c r="CQ234">
        <f t="shared" si="1391"/>
        <v>0</v>
      </c>
      <c r="CR234">
        <f t="shared" si="1391"/>
        <v>0</v>
      </c>
      <c r="CS234">
        <f t="shared" si="1391"/>
        <v>0</v>
      </c>
      <c r="CT234">
        <f t="shared" si="1391"/>
        <v>0</v>
      </c>
      <c r="CU234">
        <f t="shared" si="1391"/>
        <v>0</v>
      </c>
      <c r="CV234">
        <f t="shared" si="1391"/>
        <v>0</v>
      </c>
      <c r="CW234">
        <f t="shared" si="1391"/>
        <v>0</v>
      </c>
      <c r="CX234">
        <f t="shared" si="1391"/>
        <v>0</v>
      </c>
      <c r="CY234">
        <f t="shared" si="1362"/>
        <v>0</v>
      </c>
      <c r="CZ234">
        <f t="shared" si="1363"/>
        <v>0</v>
      </c>
      <c r="DA234">
        <f t="shared" si="1364"/>
        <v>0</v>
      </c>
      <c r="DB234">
        <f t="shared" si="1365"/>
        <v>0</v>
      </c>
      <c r="DC234">
        <f t="shared" si="1366"/>
        <v>0</v>
      </c>
      <c r="DD234">
        <f t="shared" si="1367"/>
        <v>0</v>
      </c>
      <c r="DE234">
        <f t="shared" si="1368"/>
        <v>0</v>
      </c>
      <c r="DF234">
        <f t="shared" si="1369"/>
        <v>0</v>
      </c>
      <c r="DG234">
        <f t="shared" si="1370"/>
        <v>0</v>
      </c>
      <c r="DH234">
        <f t="shared" si="1371"/>
        <v>0</v>
      </c>
      <c r="DI234">
        <f t="shared" si="1372"/>
        <v>0</v>
      </c>
      <c r="DJ234">
        <f t="shared" si="1373"/>
        <v>0</v>
      </c>
      <c r="DK234">
        <f t="shared" si="1374"/>
        <v>0</v>
      </c>
      <c r="DL234">
        <f t="shared" si="1375"/>
        <v>0</v>
      </c>
      <c r="DM234">
        <f t="shared" si="1376"/>
        <v>0</v>
      </c>
      <c r="DN234">
        <f t="shared" si="1377"/>
        <v>0</v>
      </c>
      <c r="DO234">
        <f t="shared" si="1378"/>
        <v>0</v>
      </c>
      <c r="DP234">
        <f t="shared" si="1379"/>
        <v>0</v>
      </c>
      <c r="DQ234">
        <f t="shared" si="1380"/>
        <v>0</v>
      </c>
      <c r="DR234">
        <f t="shared" si="1381"/>
        <v>0</v>
      </c>
      <c r="DT234" s="77"/>
      <c r="DU234" s="8" t="str">
        <f>Hidden!$CG17</f>
        <v/>
      </c>
      <c r="DV234">
        <f t="shared" si="1176"/>
        <v>0</v>
      </c>
      <c r="DW234">
        <f t="shared" si="1177"/>
        <v>0</v>
      </c>
      <c r="DX234">
        <f t="shared" si="1178"/>
        <v>0</v>
      </c>
      <c r="DY234">
        <f t="shared" si="1179"/>
        <v>0</v>
      </c>
      <c r="DZ234">
        <f t="shared" si="1180"/>
        <v>0</v>
      </c>
      <c r="EA234">
        <f t="shared" si="1181"/>
        <v>0</v>
      </c>
      <c r="EB234">
        <f t="shared" si="1182"/>
        <v>0</v>
      </c>
      <c r="EC234">
        <f t="shared" si="1183"/>
        <v>0</v>
      </c>
      <c r="ED234">
        <f t="shared" si="1184"/>
        <v>0</v>
      </c>
      <c r="EE234">
        <f t="shared" si="1185"/>
        <v>0</v>
      </c>
      <c r="EF234">
        <f t="shared" si="1186"/>
        <v>0</v>
      </c>
      <c r="EG234">
        <f t="shared" si="1187"/>
        <v>0</v>
      </c>
      <c r="EH234">
        <f t="shared" si="1188"/>
        <v>0</v>
      </c>
      <c r="EI234">
        <f t="shared" si="1189"/>
        <v>0</v>
      </c>
      <c r="EJ234">
        <f t="shared" si="1190"/>
        <v>0</v>
      </c>
      <c r="EK234">
        <f t="shared" si="1191"/>
        <v>0</v>
      </c>
      <c r="EL234">
        <f t="shared" si="1192"/>
        <v>0</v>
      </c>
      <c r="EM234">
        <f t="shared" si="1193"/>
        <v>0</v>
      </c>
      <c r="EN234">
        <f t="shared" si="1194"/>
        <v>0</v>
      </c>
      <c r="EO234">
        <f t="shared" si="1195"/>
        <v>0</v>
      </c>
      <c r="EP234">
        <f t="shared" si="1196"/>
        <v>0</v>
      </c>
      <c r="EQ234">
        <f t="shared" si="1197"/>
        <v>0</v>
      </c>
      <c r="ER234">
        <f t="shared" si="1198"/>
        <v>0</v>
      </c>
      <c r="ES234">
        <f t="shared" ref="ES234:ET234" si="1392">IF(ES$218,FC129,0)</f>
        <v>0</v>
      </c>
      <c r="ET234">
        <f t="shared" si="1392"/>
        <v>0</v>
      </c>
      <c r="EU234">
        <f t="shared" si="1199"/>
        <v>0</v>
      </c>
      <c r="EV234">
        <f t="shared" si="1200"/>
        <v>0</v>
      </c>
      <c r="EW234">
        <f t="shared" si="1232"/>
        <v>0</v>
      </c>
      <c r="EX234">
        <f t="shared" si="1201"/>
        <v>0</v>
      </c>
      <c r="EY234">
        <f t="shared" si="1202"/>
        <v>0</v>
      </c>
      <c r="EZ234">
        <f t="shared" ref="EZ234:FI234" si="1393">IF(EZ$218,EZ129,0)</f>
        <v>0</v>
      </c>
      <c r="FA234">
        <f t="shared" si="1393"/>
        <v>0</v>
      </c>
      <c r="FB234">
        <f t="shared" si="1393"/>
        <v>0</v>
      </c>
      <c r="FC234">
        <f t="shared" si="1393"/>
        <v>0</v>
      </c>
      <c r="FD234">
        <f t="shared" si="1393"/>
        <v>0</v>
      </c>
      <c r="FE234">
        <f t="shared" si="1393"/>
        <v>0</v>
      </c>
      <c r="FF234">
        <f t="shared" si="1393"/>
        <v>0</v>
      </c>
      <c r="FG234">
        <f t="shared" si="1393"/>
        <v>0</v>
      </c>
      <c r="FH234">
        <f t="shared" si="1393"/>
        <v>0</v>
      </c>
      <c r="FI234">
        <f t="shared" si="1393"/>
        <v>0</v>
      </c>
      <c r="FJ234">
        <f t="shared" si="1204"/>
        <v>0</v>
      </c>
      <c r="FK234">
        <f t="shared" si="1205"/>
        <v>0</v>
      </c>
      <c r="FL234">
        <f t="shared" si="1206"/>
        <v>0</v>
      </c>
      <c r="FM234">
        <f t="shared" si="1234"/>
        <v>0</v>
      </c>
      <c r="FN234">
        <f t="shared" si="1207"/>
        <v>0</v>
      </c>
      <c r="FO234">
        <f t="shared" si="1208"/>
        <v>0</v>
      </c>
      <c r="FP234">
        <f t="shared" si="1209"/>
        <v>0</v>
      </c>
      <c r="FQ234">
        <f t="shared" si="1210"/>
        <v>0</v>
      </c>
      <c r="FR234">
        <f t="shared" si="1211"/>
        <v>0</v>
      </c>
      <c r="FS234">
        <f t="shared" si="1212"/>
        <v>0</v>
      </c>
      <c r="FT234">
        <f t="shared" si="1213"/>
        <v>0</v>
      </c>
      <c r="FU234">
        <f t="shared" si="1214"/>
        <v>0</v>
      </c>
      <c r="FV234">
        <f t="shared" si="1215"/>
        <v>0</v>
      </c>
      <c r="FW234">
        <f t="shared" si="1216"/>
        <v>0</v>
      </c>
      <c r="FX234">
        <f t="shared" si="1217"/>
        <v>0</v>
      </c>
      <c r="FY234">
        <f t="shared" si="1235"/>
        <v>0</v>
      </c>
      <c r="FZ234">
        <f t="shared" si="1218"/>
        <v>0</v>
      </c>
      <c r="GA234">
        <f t="shared" si="1219"/>
        <v>0</v>
      </c>
      <c r="GB234">
        <f t="shared" si="1220"/>
        <v>0</v>
      </c>
      <c r="GC234">
        <f t="shared" si="1221"/>
        <v>0</v>
      </c>
    </row>
    <row r="235" spans="1:185" x14ac:dyDescent="0.2">
      <c r="A235" s="8" t="str">
        <f t="shared" si="1311"/>
        <v/>
      </c>
      <c r="B235" s="8">
        <f t="shared" si="1312"/>
        <v>0</v>
      </c>
      <c r="C235" s="8">
        <f t="shared" si="1313"/>
        <v>0</v>
      </c>
      <c r="D235" s="8">
        <f t="shared" si="1314"/>
        <v>0</v>
      </c>
      <c r="E235" s="8">
        <f t="shared" si="1315"/>
        <v>0</v>
      </c>
      <c r="F235" s="8">
        <f t="shared" si="1384"/>
        <v>0</v>
      </c>
      <c r="G235" s="8">
        <f t="shared" si="1316"/>
        <v>0</v>
      </c>
      <c r="H235" s="8">
        <f t="shared" si="1317"/>
        <v>0</v>
      </c>
      <c r="I235" s="8">
        <f t="shared" si="1318"/>
        <v>0</v>
      </c>
      <c r="J235" s="8">
        <f t="shared" si="1319"/>
        <v>0</v>
      </c>
      <c r="K235" s="8">
        <f t="shared" si="1385"/>
        <v>0</v>
      </c>
      <c r="L235">
        <f t="shared" si="1320"/>
        <v>0</v>
      </c>
      <c r="M235">
        <f t="shared" si="1321"/>
        <v>0</v>
      </c>
      <c r="N235">
        <f t="shared" si="1322"/>
        <v>0</v>
      </c>
      <c r="O235">
        <f t="shared" si="1323"/>
        <v>0</v>
      </c>
      <c r="P235">
        <f t="shared" si="1324"/>
        <v>0</v>
      </c>
      <c r="Q235">
        <f t="shared" si="1325"/>
        <v>0</v>
      </c>
      <c r="R235">
        <f t="shared" si="1326"/>
        <v>0</v>
      </c>
      <c r="S235" s="8">
        <f t="shared" si="1327"/>
        <v>0</v>
      </c>
      <c r="T235" s="8">
        <f t="shared" si="1328"/>
        <v>0</v>
      </c>
      <c r="U235" s="8">
        <f t="shared" si="1329"/>
        <v>0</v>
      </c>
      <c r="V235">
        <f>IF(V$230,LandEmiss!AF130,0)</f>
        <v>0</v>
      </c>
      <c r="W235">
        <f>IF(W$230,LandEmiss!AG130,0)</f>
        <v>0</v>
      </c>
      <c r="X235">
        <f>IF(X$230,LandEmiss!AH130,0)</f>
        <v>0</v>
      </c>
      <c r="Y235">
        <f>IF(Y$230,LandEmiss!AI130,0)</f>
        <v>0</v>
      </c>
      <c r="Z235">
        <f>IF(Z$230,LandEmiss!AJ130,0)</f>
        <v>0</v>
      </c>
      <c r="AA235">
        <f>IF(AA$230,LandEmiss!AK130,0)</f>
        <v>0</v>
      </c>
      <c r="AB235">
        <f>IF(AB$230,LandEmiss!AL130,0)</f>
        <v>0</v>
      </c>
      <c r="AC235">
        <f>IF(AC$230,LandEmiss!AM130,0)</f>
        <v>0</v>
      </c>
      <c r="AD235">
        <f>IF(AD$230,LandEmiss!AN130,0)</f>
        <v>0</v>
      </c>
      <c r="AE235">
        <f>IF(AE$230,LandEmiss!AO130,0)</f>
        <v>0</v>
      </c>
      <c r="AF235">
        <f t="shared" ref="AF235:AO235" si="1394">IF(AF$230,AF130,0)</f>
        <v>0</v>
      </c>
      <c r="AG235">
        <f t="shared" si="1394"/>
        <v>0</v>
      </c>
      <c r="AH235">
        <f t="shared" si="1394"/>
        <v>0</v>
      </c>
      <c r="AI235">
        <f t="shared" si="1394"/>
        <v>0</v>
      </c>
      <c r="AJ235">
        <f t="shared" si="1394"/>
        <v>0</v>
      </c>
      <c r="AK235">
        <f t="shared" si="1394"/>
        <v>0</v>
      </c>
      <c r="AL235">
        <f t="shared" si="1394"/>
        <v>0</v>
      </c>
      <c r="AM235">
        <f t="shared" si="1394"/>
        <v>0</v>
      </c>
      <c r="AN235">
        <f t="shared" si="1394"/>
        <v>0</v>
      </c>
      <c r="AO235">
        <f t="shared" si="1394"/>
        <v>0</v>
      </c>
      <c r="AP235">
        <f t="shared" si="1331"/>
        <v>0</v>
      </c>
      <c r="AQ235">
        <f t="shared" si="1332"/>
        <v>0</v>
      </c>
      <c r="AR235">
        <f t="shared" si="1333"/>
        <v>0</v>
      </c>
      <c r="AS235">
        <f t="shared" si="1334"/>
        <v>0</v>
      </c>
      <c r="AT235">
        <f t="shared" si="1335"/>
        <v>0</v>
      </c>
      <c r="AU235">
        <f t="shared" si="1336"/>
        <v>0</v>
      </c>
      <c r="AV235">
        <f t="shared" si="1337"/>
        <v>0</v>
      </c>
      <c r="AW235">
        <f t="shared" si="1338"/>
        <v>0</v>
      </c>
      <c r="AX235">
        <f t="shared" si="1339"/>
        <v>0</v>
      </c>
      <c r="AY235">
        <f t="shared" si="1340"/>
        <v>0</v>
      </c>
      <c r="AZ235">
        <f t="shared" si="1341"/>
        <v>0</v>
      </c>
      <c r="BA235">
        <f t="shared" si="1342"/>
        <v>0</v>
      </c>
      <c r="BB235">
        <f t="shared" si="1343"/>
        <v>0</v>
      </c>
      <c r="BC235">
        <f t="shared" si="1344"/>
        <v>0</v>
      </c>
      <c r="BD235">
        <f t="shared" si="1345"/>
        <v>0</v>
      </c>
      <c r="BE235">
        <f t="shared" si="1346"/>
        <v>0</v>
      </c>
      <c r="BF235">
        <f t="shared" si="1347"/>
        <v>0</v>
      </c>
      <c r="BG235">
        <f t="shared" si="1348"/>
        <v>0</v>
      </c>
      <c r="BH235">
        <f t="shared" si="1349"/>
        <v>0</v>
      </c>
      <c r="BI235">
        <f t="shared" si="1387"/>
        <v>0</v>
      </c>
      <c r="BJ235" s="8" t="str">
        <f>Hidden!$CC6</f>
        <v/>
      </c>
      <c r="BK235">
        <f t="shared" ref="BK235:BT235" si="1395">IF(BK$230,CP130,0)</f>
        <v>0</v>
      </c>
      <c r="BL235">
        <f t="shared" si="1395"/>
        <v>0</v>
      </c>
      <c r="BM235">
        <f t="shared" si="1395"/>
        <v>0</v>
      </c>
      <c r="BN235">
        <f t="shared" si="1395"/>
        <v>0</v>
      </c>
      <c r="BO235">
        <f t="shared" si="1395"/>
        <v>0</v>
      </c>
      <c r="BP235">
        <f t="shared" si="1395"/>
        <v>0</v>
      </c>
      <c r="BQ235">
        <f t="shared" si="1395"/>
        <v>0</v>
      </c>
      <c r="BR235">
        <f t="shared" si="1395"/>
        <v>0</v>
      </c>
      <c r="BS235">
        <f t="shared" si="1395"/>
        <v>0</v>
      </c>
      <c r="BT235">
        <f t="shared" si="1395"/>
        <v>0</v>
      </c>
      <c r="BU235">
        <f t="shared" ref="BU235:CD235" si="1396">IF(BU$230,CP130,0)</f>
        <v>0</v>
      </c>
      <c r="BV235">
        <f t="shared" si="1396"/>
        <v>0</v>
      </c>
      <c r="BW235">
        <f t="shared" si="1396"/>
        <v>0</v>
      </c>
      <c r="BX235">
        <f t="shared" si="1396"/>
        <v>0</v>
      </c>
      <c r="BY235">
        <f t="shared" si="1396"/>
        <v>0</v>
      </c>
      <c r="BZ235">
        <f t="shared" si="1396"/>
        <v>0</v>
      </c>
      <c r="CA235">
        <f t="shared" si="1396"/>
        <v>0</v>
      </c>
      <c r="CB235">
        <f t="shared" si="1396"/>
        <v>0</v>
      </c>
      <c r="CC235">
        <f t="shared" si="1396"/>
        <v>0</v>
      </c>
      <c r="CD235">
        <f t="shared" si="1396"/>
        <v>0</v>
      </c>
      <c r="CE235">
        <f t="shared" si="1352"/>
        <v>0</v>
      </c>
      <c r="CF235">
        <f t="shared" si="1353"/>
        <v>0</v>
      </c>
      <c r="CG235">
        <f t="shared" si="1354"/>
        <v>0</v>
      </c>
      <c r="CH235">
        <f t="shared" si="1355"/>
        <v>0</v>
      </c>
      <c r="CI235">
        <f t="shared" si="1356"/>
        <v>0</v>
      </c>
      <c r="CJ235">
        <f t="shared" si="1357"/>
        <v>0</v>
      </c>
      <c r="CK235">
        <f t="shared" si="1390"/>
        <v>0</v>
      </c>
      <c r="CL235">
        <f t="shared" si="1358"/>
        <v>0</v>
      </c>
      <c r="CM235">
        <f t="shared" si="1359"/>
        <v>0</v>
      </c>
      <c r="CN235">
        <f t="shared" si="1360"/>
        <v>0</v>
      </c>
      <c r="CO235">
        <f t="shared" ref="CO235:CX235" si="1397">IF(CO$230,CP130,0)</f>
        <v>0</v>
      </c>
      <c r="CP235">
        <f t="shared" si="1397"/>
        <v>0</v>
      </c>
      <c r="CQ235">
        <f t="shared" si="1397"/>
        <v>0</v>
      </c>
      <c r="CR235">
        <f t="shared" si="1397"/>
        <v>0</v>
      </c>
      <c r="CS235">
        <f t="shared" si="1397"/>
        <v>0</v>
      </c>
      <c r="CT235">
        <f t="shared" si="1397"/>
        <v>0</v>
      </c>
      <c r="CU235">
        <f t="shared" si="1397"/>
        <v>0</v>
      </c>
      <c r="CV235">
        <f t="shared" si="1397"/>
        <v>0</v>
      </c>
      <c r="CW235">
        <f t="shared" si="1397"/>
        <v>0</v>
      </c>
      <c r="CX235">
        <f t="shared" si="1397"/>
        <v>0</v>
      </c>
      <c r="CY235">
        <f t="shared" si="1362"/>
        <v>0</v>
      </c>
      <c r="CZ235">
        <f t="shared" si="1363"/>
        <v>0</v>
      </c>
      <c r="DA235">
        <f t="shared" si="1364"/>
        <v>0</v>
      </c>
      <c r="DB235">
        <f t="shared" si="1365"/>
        <v>0</v>
      </c>
      <c r="DC235">
        <f t="shared" si="1366"/>
        <v>0</v>
      </c>
      <c r="DD235">
        <f t="shared" si="1367"/>
        <v>0</v>
      </c>
      <c r="DE235">
        <f t="shared" si="1368"/>
        <v>0</v>
      </c>
      <c r="DF235">
        <f t="shared" si="1369"/>
        <v>0</v>
      </c>
      <c r="DG235">
        <f t="shared" si="1370"/>
        <v>0</v>
      </c>
      <c r="DH235">
        <f t="shared" si="1371"/>
        <v>0</v>
      </c>
      <c r="DI235">
        <f t="shared" si="1372"/>
        <v>0</v>
      </c>
      <c r="DJ235">
        <f t="shared" si="1373"/>
        <v>0</v>
      </c>
      <c r="DK235">
        <f t="shared" si="1374"/>
        <v>0</v>
      </c>
      <c r="DL235">
        <f t="shared" si="1375"/>
        <v>0</v>
      </c>
      <c r="DM235">
        <f t="shared" si="1376"/>
        <v>0</v>
      </c>
      <c r="DN235">
        <f t="shared" si="1377"/>
        <v>0</v>
      </c>
      <c r="DO235">
        <f t="shared" si="1378"/>
        <v>0</v>
      </c>
      <c r="DP235">
        <f t="shared" si="1379"/>
        <v>0</v>
      </c>
      <c r="DQ235">
        <f t="shared" si="1380"/>
        <v>0</v>
      </c>
      <c r="DR235">
        <f t="shared" si="1381"/>
        <v>0</v>
      </c>
      <c r="DT235" s="77"/>
      <c r="DU235" s="8" t="str">
        <f>Hidden!$CG18</f>
        <v/>
      </c>
      <c r="DV235">
        <f t="shared" si="1176"/>
        <v>0</v>
      </c>
      <c r="DW235">
        <f t="shared" si="1177"/>
        <v>0</v>
      </c>
      <c r="DX235">
        <f t="shared" si="1178"/>
        <v>0</v>
      </c>
      <c r="DY235">
        <f t="shared" si="1179"/>
        <v>0</v>
      </c>
      <c r="DZ235">
        <f t="shared" si="1180"/>
        <v>0</v>
      </c>
      <c r="EA235">
        <f t="shared" si="1181"/>
        <v>0</v>
      </c>
      <c r="EB235">
        <f t="shared" si="1182"/>
        <v>0</v>
      </c>
      <c r="EC235">
        <f t="shared" si="1183"/>
        <v>0</v>
      </c>
      <c r="ED235">
        <f t="shared" si="1184"/>
        <v>0</v>
      </c>
      <c r="EE235">
        <f t="shared" si="1185"/>
        <v>0</v>
      </c>
      <c r="EF235">
        <f t="shared" si="1186"/>
        <v>0</v>
      </c>
      <c r="EG235">
        <f t="shared" si="1187"/>
        <v>0</v>
      </c>
      <c r="EH235">
        <f t="shared" si="1188"/>
        <v>0</v>
      </c>
      <c r="EI235">
        <f t="shared" si="1189"/>
        <v>0</v>
      </c>
      <c r="EJ235">
        <f t="shared" si="1190"/>
        <v>0</v>
      </c>
      <c r="EK235">
        <f t="shared" si="1191"/>
        <v>0</v>
      </c>
      <c r="EL235">
        <f t="shared" si="1192"/>
        <v>0</v>
      </c>
      <c r="EM235">
        <f t="shared" si="1193"/>
        <v>0</v>
      </c>
      <c r="EN235">
        <f t="shared" si="1194"/>
        <v>0</v>
      </c>
      <c r="EO235">
        <f t="shared" si="1195"/>
        <v>0</v>
      </c>
      <c r="EP235">
        <f t="shared" si="1196"/>
        <v>0</v>
      </c>
      <c r="EQ235">
        <f t="shared" si="1197"/>
        <v>0</v>
      </c>
      <c r="ER235">
        <f t="shared" si="1198"/>
        <v>0</v>
      </c>
      <c r="ES235">
        <f t="shared" ref="ES235:ET235" si="1398">IF(ES$218,FC130,0)</f>
        <v>0</v>
      </c>
      <c r="ET235">
        <f t="shared" si="1398"/>
        <v>0</v>
      </c>
      <c r="EU235">
        <f t="shared" si="1199"/>
        <v>0</v>
      </c>
      <c r="EV235">
        <f t="shared" si="1200"/>
        <v>0</v>
      </c>
      <c r="EW235">
        <f t="shared" si="1232"/>
        <v>0</v>
      </c>
      <c r="EX235">
        <f t="shared" si="1201"/>
        <v>0</v>
      </c>
      <c r="EY235">
        <f t="shared" si="1202"/>
        <v>0</v>
      </c>
      <c r="EZ235">
        <f t="shared" ref="EZ235:FI235" si="1399">IF(EZ$218,EZ130,0)</f>
        <v>0</v>
      </c>
      <c r="FA235">
        <f t="shared" si="1399"/>
        <v>0</v>
      </c>
      <c r="FB235">
        <f t="shared" si="1399"/>
        <v>0</v>
      </c>
      <c r="FC235">
        <f t="shared" si="1399"/>
        <v>0</v>
      </c>
      <c r="FD235">
        <f t="shared" si="1399"/>
        <v>0</v>
      </c>
      <c r="FE235">
        <f t="shared" si="1399"/>
        <v>0</v>
      </c>
      <c r="FF235">
        <f t="shared" si="1399"/>
        <v>0</v>
      </c>
      <c r="FG235">
        <f t="shared" si="1399"/>
        <v>0</v>
      </c>
      <c r="FH235">
        <f t="shared" si="1399"/>
        <v>0</v>
      </c>
      <c r="FI235">
        <f t="shared" si="1399"/>
        <v>0</v>
      </c>
      <c r="FJ235">
        <f t="shared" si="1204"/>
        <v>0</v>
      </c>
      <c r="FK235">
        <f t="shared" si="1205"/>
        <v>0</v>
      </c>
      <c r="FL235">
        <f t="shared" si="1206"/>
        <v>0</v>
      </c>
      <c r="FM235">
        <f t="shared" si="1234"/>
        <v>0</v>
      </c>
      <c r="FN235">
        <f t="shared" si="1207"/>
        <v>0</v>
      </c>
      <c r="FO235">
        <f t="shared" si="1208"/>
        <v>0</v>
      </c>
      <c r="FP235">
        <f t="shared" si="1209"/>
        <v>0</v>
      </c>
      <c r="FQ235">
        <f t="shared" si="1210"/>
        <v>0</v>
      </c>
      <c r="FR235">
        <f t="shared" si="1211"/>
        <v>0</v>
      </c>
      <c r="FS235">
        <f t="shared" si="1212"/>
        <v>0</v>
      </c>
      <c r="FT235">
        <f t="shared" si="1213"/>
        <v>0</v>
      </c>
      <c r="FU235">
        <f t="shared" si="1214"/>
        <v>0</v>
      </c>
      <c r="FV235">
        <f t="shared" si="1215"/>
        <v>0</v>
      </c>
      <c r="FW235">
        <f t="shared" si="1216"/>
        <v>0</v>
      </c>
      <c r="FX235">
        <f t="shared" si="1217"/>
        <v>0</v>
      </c>
      <c r="FY235">
        <f t="shared" si="1235"/>
        <v>0</v>
      </c>
      <c r="FZ235">
        <f t="shared" si="1218"/>
        <v>0</v>
      </c>
      <c r="GA235">
        <f t="shared" si="1219"/>
        <v>0</v>
      </c>
      <c r="GB235">
        <f t="shared" si="1220"/>
        <v>0</v>
      </c>
      <c r="GC235">
        <f t="shared" si="1221"/>
        <v>0</v>
      </c>
    </row>
    <row r="236" spans="1:185" x14ac:dyDescent="0.2">
      <c r="A236" s="8" t="str">
        <f t="shared" si="1311"/>
        <v/>
      </c>
      <c r="B236" s="8">
        <f t="shared" si="1312"/>
        <v>0</v>
      </c>
      <c r="C236" s="8">
        <f t="shared" si="1313"/>
        <v>0</v>
      </c>
      <c r="D236" s="8">
        <f t="shared" si="1314"/>
        <v>0</v>
      </c>
      <c r="E236" s="8">
        <f t="shared" si="1315"/>
        <v>0</v>
      </c>
      <c r="F236" s="8">
        <f t="shared" si="1384"/>
        <v>0</v>
      </c>
      <c r="G236" s="8">
        <f t="shared" si="1316"/>
        <v>0</v>
      </c>
      <c r="H236" s="8">
        <f t="shared" si="1317"/>
        <v>0</v>
      </c>
      <c r="I236" s="8">
        <f t="shared" si="1318"/>
        <v>0</v>
      </c>
      <c r="J236" s="8">
        <f t="shared" si="1319"/>
        <v>0</v>
      </c>
      <c r="K236" s="8">
        <f t="shared" si="1385"/>
        <v>0</v>
      </c>
      <c r="L236">
        <f t="shared" si="1320"/>
        <v>0</v>
      </c>
      <c r="M236">
        <f t="shared" si="1321"/>
        <v>0</v>
      </c>
      <c r="N236">
        <f t="shared" si="1322"/>
        <v>0</v>
      </c>
      <c r="O236">
        <f t="shared" si="1323"/>
        <v>0</v>
      </c>
      <c r="P236">
        <f t="shared" si="1324"/>
        <v>0</v>
      </c>
      <c r="Q236">
        <f t="shared" si="1325"/>
        <v>0</v>
      </c>
      <c r="R236">
        <f t="shared" si="1326"/>
        <v>0</v>
      </c>
      <c r="S236" s="8">
        <f t="shared" si="1327"/>
        <v>0</v>
      </c>
      <c r="T236" s="8">
        <f t="shared" si="1328"/>
        <v>0</v>
      </c>
      <c r="U236" s="8">
        <f t="shared" si="1329"/>
        <v>0</v>
      </c>
      <c r="V236">
        <f>IF(V$230,LandEmiss!AF131,0)</f>
        <v>0</v>
      </c>
      <c r="W236">
        <f>IF(W$230,LandEmiss!AG131,0)</f>
        <v>0</v>
      </c>
      <c r="X236">
        <f>IF(X$230,LandEmiss!AH131,0)</f>
        <v>0</v>
      </c>
      <c r="Y236">
        <f>IF(Y$230,LandEmiss!AI131,0)</f>
        <v>0</v>
      </c>
      <c r="Z236">
        <f>IF(Z$230,LandEmiss!AJ131,0)</f>
        <v>0</v>
      </c>
      <c r="AA236">
        <f>IF(AA$230,LandEmiss!AK131,0)</f>
        <v>0</v>
      </c>
      <c r="AB236">
        <f>IF(AB$230,LandEmiss!AL131,0)</f>
        <v>0</v>
      </c>
      <c r="AC236">
        <f>IF(AC$230,LandEmiss!AM131,0)</f>
        <v>0</v>
      </c>
      <c r="AD236">
        <f>IF(AD$230,LandEmiss!AN131,0)</f>
        <v>0</v>
      </c>
      <c r="AE236">
        <f>IF(AE$230,LandEmiss!AO131,0)</f>
        <v>0</v>
      </c>
      <c r="AF236">
        <f t="shared" ref="AF236:AO236" si="1400">IF(AF$230,AF131,0)</f>
        <v>0</v>
      </c>
      <c r="AG236">
        <f t="shared" si="1400"/>
        <v>0</v>
      </c>
      <c r="AH236">
        <f t="shared" si="1400"/>
        <v>0</v>
      </c>
      <c r="AI236">
        <f t="shared" si="1400"/>
        <v>0</v>
      </c>
      <c r="AJ236">
        <f t="shared" si="1400"/>
        <v>0</v>
      </c>
      <c r="AK236">
        <f t="shared" si="1400"/>
        <v>0</v>
      </c>
      <c r="AL236">
        <f t="shared" si="1400"/>
        <v>0</v>
      </c>
      <c r="AM236">
        <f t="shared" si="1400"/>
        <v>0</v>
      </c>
      <c r="AN236">
        <f t="shared" si="1400"/>
        <v>0</v>
      </c>
      <c r="AO236">
        <f t="shared" si="1400"/>
        <v>0</v>
      </c>
      <c r="AP236">
        <f t="shared" si="1331"/>
        <v>0</v>
      </c>
      <c r="AQ236">
        <f t="shared" si="1332"/>
        <v>0</v>
      </c>
      <c r="AR236">
        <f t="shared" si="1333"/>
        <v>0</v>
      </c>
      <c r="AS236">
        <f t="shared" si="1334"/>
        <v>0</v>
      </c>
      <c r="AT236">
        <f t="shared" si="1335"/>
        <v>0</v>
      </c>
      <c r="AU236">
        <f t="shared" si="1336"/>
        <v>0</v>
      </c>
      <c r="AV236">
        <f t="shared" si="1337"/>
        <v>0</v>
      </c>
      <c r="AW236">
        <f t="shared" si="1338"/>
        <v>0</v>
      </c>
      <c r="AX236">
        <f t="shared" si="1339"/>
        <v>0</v>
      </c>
      <c r="AY236">
        <f t="shared" si="1340"/>
        <v>0</v>
      </c>
      <c r="AZ236">
        <f t="shared" si="1341"/>
        <v>0</v>
      </c>
      <c r="BA236">
        <f t="shared" si="1342"/>
        <v>0</v>
      </c>
      <c r="BB236">
        <f t="shared" si="1343"/>
        <v>0</v>
      </c>
      <c r="BC236">
        <f t="shared" si="1344"/>
        <v>0</v>
      </c>
      <c r="BD236">
        <f t="shared" si="1345"/>
        <v>0</v>
      </c>
      <c r="BE236">
        <f t="shared" si="1346"/>
        <v>0</v>
      </c>
      <c r="BF236">
        <f t="shared" si="1347"/>
        <v>0</v>
      </c>
      <c r="BG236">
        <f t="shared" si="1348"/>
        <v>0</v>
      </c>
      <c r="BH236">
        <f t="shared" si="1349"/>
        <v>0</v>
      </c>
      <c r="BI236">
        <f t="shared" si="1387"/>
        <v>0</v>
      </c>
      <c r="BJ236" s="8" t="str">
        <f>Hidden!$CC7</f>
        <v/>
      </c>
      <c r="BK236">
        <f t="shared" ref="BK236:BT236" si="1401">IF(BK$230,CP131,0)</f>
        <v>0</v>
      </c>
      <c r="BL236">
        <f t="shared" si="1401"/>
        <v>0</v>
      </c>
      <c r="BM236">
        <f t="shared" si="1401"/>
        <v>0</v>
      </c>
      <c r="BN236">
        <f t="shared" si="1401"/>
        <v>0</v>
      </c>
      <c r="BO236">
        <f t="shared" si="1401"/>
        <v>0</v>
      </c>
      <c r="BP236">
        <f t="shared" si="1401"/>
        <v>0</v>
      </c>
      <c r="BQ236">
        <f t="shared" si="1401"/>
        <v>0</v>
      </c>
      <c r="BR236">
        <f t="shared" si="1401"/>
        <v>0</v>
      </c>
      <c r="BS236">
        <f t="shared" si="1401"/>
        <v>0</v>
      </c>
      <c r="BT236">
        <f t="shared" si="1401"/>
        <v>0</v>
      </c>
      <c r="BU236">
        <f t="shared" ref="BU236:CD236" si="1402">IF(BU$230,CP131,0)</f>
        <v>0</v>
      </c>
      <c r="BV236">
        <f t="shared" si="1402"/>
        <v>0</v>
      </c>
      <c r="BW236">
        <f t="shared" si="1402"/>
        <v>0</v>
      </c>
      <c r="BX236">
        <f t="shared" si="1402"/>
        <v>0</v>
      </c>
      <c r="BY236">
        <f t="shared" si="1402"/>
        <v>0</v>
      </c>
      <c r="BZ236">
        <f t="shared" si="1402"/>
        <v>0</v>
      </c>
      <c r="CA236">
        <f t="shared" si="1402"/>
        <v>0</v>
      </c>
      <c r="CB236">
        <f t="shared" si="1402"/>
        <v>0</v>
      </c>
      <c r="CC236">
        <f t="shared" si="1402"/>
        <v>0</v>
      </c>
      <c r="CD236">
        <f t="shared" si="1402"/>
        <v>0</v>
      </c>
      <c r="CE236">
        <f t="shared" si="1352"/>
        <v>0</v>
      </c>
      <c r="CF236">
        <f t="shared" si="1353"/>
        <v>0</v>
      </c>
      <c r="CG236">
        <f t="shared" si="1354"/>
        <v>0</v>
      </c>
      <c r="CH236">
        <f t="shared" si="1355"/>
        <v>0</v>
      </c>
      <c r="CI236">
        <f t="shared" si="1356"/>
        <v>0</v>
      </c>
      <c r="CJ236">
        <f t="shared" si="1357"/>
        <v>0</v>
      </c>
      <c r="CK236">
        <f t="shared" si="1390"/>
        <v>0</v>
      </c>
      <c r="CL236">
        <f t="shared" si="1358"/>
        <v>0</v>
      </c>
      <c r="CM236">
        <f t="shared" si="1359"/>
        <v>0</v>
      </c>
      <c r="CN236">
        <f t="shared" si="1360"/>
        <v>0</v>
      </c>
      <c r="CO236">
        <f t="shared" ref="CO236:CX236" si="1403">IF(CO$230,CP131,0)</f>
        <v>0</v>
      </c>
      <c r="CP236">
        <f t="shared" si="1403"/>
        <v>0</v>
      </c>
      <c r="CQ236">
        <f t="shared" si="1403"/>
        <v>0</v>
      </c>
      <c r="CR236">
        <f t="shared" si="1403"/>
        <v>0</v>
      </c>
      <c r="CS236">
        <f t="shared" si="1403"/>
        <v>0</v>
      </c>
      <c r="CT236">
        <f t="shared" si="1403"/>
        <v>0</v>
      </c>
      <c r="CU236">
        <f t="shared" si="1403"/>
        <v>0</v>
      </c>
      <c r="CV236">
        <f t="shared" si="1403"/>
        <v>0</v>
      </c>
      <c r="CW236">
        <f t="shared" si="1403"/>
        <v>0</v>
      </c>
      <c r="CX236">
        <f t="shared" si="1403"/>
        <v>0</v>
      </c>
      <c r="CY236">
        <f t="shared" si="1362"/>
        <v>0</v>
      </c>
      <c r="CZ236">
        <f t="shared" si="1363"/>
        <v>0</v>
      </c>
      <c r="DA236">
        <f t="shared" si="1364"/>
        <v>0</v>
      </c>
      <c r="DB236">
        <f t="shared" si="1365"/>
        <v>0</v>
      </c>
      <c r="DC236">
        <f t="shared" si="1366"/>
        <v>0</v>
      </c>
      <c r="DD236">
        <f t="shared" si="1367"/>
        <v>0</v>
      </c>
      <c r="DE236">
        <f t="shared" si="1368"/>
        <v>0</v>
      </c>
      <c r="DF236">
        <f t="shared" si="1369"/>
        <v>0</v>
      </c>
      <c r="DG236">
        <f t="shared" si="1370"/>
        <v>0</v>
      </c>
      <c r="DH236">
        <f t="shared" si="1371"/>
        <v>0</v>
      </c>
      <c r="DI236">
        <f t="shared" si="1372"/>
        <v>0</v>
      </c>
      <c r="DJ236">
        <f t="shared" si="1373"/>
        <v>0</v>
      </c>
      <c r="DK236">
        <f t="shared" si="1374"/>
        <v>0</v>
      </c>
      <c r="DL236">
        <f t="shared" si="1375"/>
        <v>0</v>
      </c>
      <c r="DM236">
        <f t="shared" si="1376"/>
        <v>0</v>
      </c>
      <c r="DN236">
        <f t="shared" si="1377"/>
        <v>0</v>
      </c>
      <c r="DO236">
        <f t="shared" si="1378"/>
        <v>0</v>
      </c>
      <c r="DP236">
        <f t="shared" si="1379"/>
        <v>0</v>
      </c>
      <c r="DQ236">
        <f t="shared" si="1380"/>
        <v>0</v>
      </c>
      <c r="DR236">
        <f t="shared" si="1381"/>
        <v>0</v>
      </c>
      <c r="DT236" s="77"/>
      <c r="DU236" s="8" t="str">
        <f>Hidden!$CG19</f>
        <v/>
      </c>
      <c r="DV236">
        <f t="shared" si="1176"/>
        <v>0</v>
      </c>
      <c r="DW236">
        <f t="shared" si="1177"/>
        <v>0</v>
      </c>
      <c r="DX236">
        <f t="shared" si="1178"/>
        <v>0</v>
      </c>
      <c r="DY236">
        <f t="shared" si="1179"/>
        <v>0</v>
      </c>
      <c r="DZ236">
        <f t="shared" si="1180"/>
        <v>0</v>
      </c>
      <c r="EA236">
        <f t="shared" si="1181"/>
        <v>0</v>
      </c>
      <c r="EB236">
        <f t="shared" si="1182"/>
        <v>0</v>
      </c>
      <c r="EC236">
        <f t="shared" si="1183"/>
        <v>0</v>
      </c>
      <c r="ED236">
        <f t="shared" si="1184"/>
        <v>0</v>
      </c>
      <c r="EE236">
        <f t="shared" si="1185"/>
        <v>0</v>
      </c>
      <c r="EF236">
        <f t="shared" si="1186"/>
        <v>0</v>
      </c>
      <c r="EG236">
        <f t="shared" si="1187"/>
        <v>0</v>
      </c>
      <c r="EH236">
        <f t="shared" si="1188"/>
        <v>0</v>
      </c>
      <c r="EI236">
        <f t="shared" si="1189"/>
        <v>0</v>
      </c>
      <c r="EJ236">
        <f t="shared" si="1190"/>
        <v>0</v>
      </c>
      <c r="EK236">
        <f t="shared" si="1191"/>
        <v>0</v>
      </c>
      <c r="EL236">
        <f t="shared" si="1192"/>
        <v>0</v>
      </c>
      <c r="EM236">
        <f t="shared" si="1193"/>
        <v>0</v>
      </c>
      <c r="EN236">
        <f t="shared" si="1194"/>
        <v>0</v>
      </c>
      <c r="EO236">
        <f t="shared" si="1195"/>
        <v>0</v>
      </c>
      <c r="EP236">
        <f t="shared" si="1196"/>
        <v>0</v>
      </c>
      <c r="EQ236">
        <f t="shared" si="1197"/>
        <v>0</v>
      </c>
      <c r="ER236">
        <f t="shared" si="1198"/>
        <v>0</v>
      </c>
      <c r="ES236">
        <f t="shared" ref="ES236:ET236" si="1404">IF(ES$218,FC131,0)</f>
        <v>0</v>
      </c>
      <c r="ET236">
        <f t="shared" si="1404"/>
        <v>0</v>
      </c>
      <c r="EU236">
        <f t="shared" si="1199"/>
        <v>0</v>
      </c>
      <c r="EV236">
        <f t="shared" si="1200"/>
        <v>0</v>
      </c>
      <c r="EW236">
        <f t="shared" si="1232"/>
        <v>0</v>
      </c>
      <c r="EX236">
        <f t="shared" si="1201"/>
        <v>0</v>
      </c>
      <c r="EY236">
        <f t="shared" si="1202"/>
        <v>0</v>
      </c>
      <c r="EZ236">
        <f t="shared" ref="EZ236:FI236" si="1405">IF(EZ$218,EZ131,0)</f>
        <v>0</v>
      </c>
      <c r="FA236">
        <f t="shared" si="1405"/>
        <v>0</v>
      </c>
      <c r="FB236">
        <f t="shared" si="1405"/>
        <v>0</v>
      </c>
      <c r="FC236">
        <f t="shared" si="1405"/>
        <v>0</v>
      </c>
      <c r="FD236">
        <f t="shared" si="1405"/>
        <v>0</v>
      </c>
      <c r="FE236">
        <f t="shared" si="1405"/>
        <v>0</v>
      </c>
      <c r="FF236">
        <f t="shared" si="1405"/>
        <v>0</v>
      </c>
      <c r="FG236">
        <f t="shared" si="1405"/>
        <v>0</v>
      </c>
      <c r="FH236">
        <f t="shared" si="1405"/>
        <v>0</v>
      </c>
      <c r="FI236">
        <f t="shared" si="1405"/>
        <v>0</v>
      </c>
      <c r="FJ236">
        <f t="shared" si="1204"/>
        <v>0</v>
      </c>
      <c r="FK236">
        <f t="shared" si="1205"/>
        <v>0</v>
      </c>
      <c r="FL236">
        <f t="shared" si="1206"/>
        <v>0</v>
      </c>
      <c r="FM236">
        <f t="shared" si="1234"/>
        <v>0</v>
      </c>
      <c r="FN236">
        <f t="shared" si="1207"/>
        <v>0</v>
      </c>
      <c r="FO236">
        <f t="shared" si="1208"/>
        <v>0</v>
      </c>
      <c r="FP236">
        <f t="shared" si="1209"/>
        <v>0</v>
      </c>
      <c r="FQ236">
        <f t="shared" si="1210"/>
        <v>0</v>
      </c>
      <c r="FR236">
        <f t="shared" si="1211"/>
        <v>0</v>
      </c>
      <c r="FS236">
        <f t="shared" si="1212"/>
        <v>0</v>
      </c>
      <c r="FT236">
        <f t="shared" si="1213"/>
        <v>0</v>
      </c>
      <c r="FU236">
        <f t="shared" si="1214"/>
        <v>0</v>
      </c>
      <c r="FV236">
        <f t="shared" si="1215"/>
        <v>0</v>
      </c>
      <c r="FW236">
        <f t="shared" si="1216"/>
        <v>0</v>
      </c>
      <c r="FX236">
        <f t="shared" si="1217"/>
        <v>0</v>
      </c>
      <c r="FY236">
        <f t="shared" si="1235"/>
        <v>0</v>
      </c>
      <c r="FZ236">
        <f t="shared" si="1218"/>
        <v>0</v>
      </c>
      <c r="GA236">
        <f t="shared" si="1219"/>
        <v>0</v>
      </c>
      <c r="GB236">
        <f t="shared" si="1220"/>
        <v>0</v>
      </c>
      <c r="GC236">
        <f t="shared" si="1221"/>
        <v>0</v>
      </c>
    </row>
    <row r="237" spans="1:185" x14ac:dyDescent="0.2">
      <c r="A237" s="8" t="str">
        <f t="shared" si="1311"/>
        <v/>
      </c>
      <c r="B237" s="8">
        <f t="shared" si="1312"/>
        <v>0</v>
      </c>
      <c r="C237" s="8">
        <f t="shared" si="1313"/>
        <v>0</v>
      </c>
      <c r="D237" s="8">
        <f t="shared" si="1314"/>
        <v>0</v>
      </c>
      <c r="E237" s="8">
        <f t="shared" si="1315"/>
        <v>0</v>
      </c>
      <c r="F237" s="8">
        <f t="shared" si="1384"/>
        <v>0</v>
      </c>
      <c r="G237" s="8">
        <f t="shared" si="1316"/>
        <v>0</v>
      </c>
      <c r="H237" s="8">
        <f t="shared" si="1317"/>
        <v>0</v>
      </c>
      <c r="I237" s="8">
        <f t="shared" si="1318"/>
        <v>0</v>
      </c>
      <c r="J237" s="8">
        <f t="shared" si="1319"/>
        <v>0</v>
      </c>
      <c r="K237" s="8">
        <f t="shared" si="1385"/>
        <v>0</v>
      </c>
      <c r="L237">
        <f t="shared" si="1320"/>
        <v>0</v>
      </c>
      <c r="M237">
        <f t="shared" si="1321"/>
        <v>0</v>
      </c>
      <c r="N237">
        <f t="shared" si="1322"/>
        <v>0</v>
      </c>
      <c r="O237">
        <f t="shared" si="1323"/>
        <v>0</v>
      </c>
      <c r="P237">
        <f t="shared" si="1324"/>
        <v>0</v>
      </c>
      <c r="Q237">
        <f t="shared" si="1325"/>
        <v>0</v>
      </c>
      <c r="R237">
        <f t="shared" si="1326"/>
        <v>0</v>
      </c>
      <c r="S237" s="8">
        <f t="shared" si="1327"/>
        <v>0</v>
      </c>
      <c r="T237" s="8">
        <f t="shared" si="1328"/>
        <v>0</v>
      </c>
      <c r="U237" s="8">
        <f t="shared" si="1329"/>
        <v>0</v>
      </c>
      <c r="V237">
        <f>IF(V$230,LandEmiss!AF132,0)</f>
        <v>0</v>
      </c>
      <c r="W237">
        <f>IF(W$230,LandEmiss!AG132,0)</f>
        <v>0</v>
      </c>
      <c r="X237">
        <f>IF(X$230,LandEmiss!AH132,0)</f>
        <v>0</v>
      </c>
      <c r="Y237">
        <f>IF(Y$230,LandEmiss!AI132,0)</f>
        <v>0</v>
      </c>
      <c r="Z237">
        <f>IF(Z$230,LandEmiss!AJ132,0)</f>
        <v>0</v>
      </c>
      <c r="AA237">
        <f>IF(AA$230,LandEmiss!AK132,0)</f>
        <v>0</v>
      </c>
      <c r="AB237">
        <f>IF(AB$230,LandEmiss!AL132,0)</f>
        <v>0</v>
      </c>
      <c r="AC237">
        <f>IF(AC$230,LandEmiss!AM132,0)</f>
        <v>0</v>
      </c>
      <c r="AD237">
        <f>IF(AD$230,LandEmiss!AN132,0)</f>
        <v>0</v>
      </c>
      <c r="AE237">
        <f>IF(AE$230,LandEmiss!AO132,0)</f>
        <v>0</v>
      </c>
      <c r="AF237">
        <f t="shared" ref="AF237:AO237" si="1406">IF(AF$230,AF132,0)</f>
        <v>0</v>
      </c>
      <c r="AG237">
        <f t="shared" si="1406"/>
        <v>0</v>
      </c>
      <c r="AH237">
        <f t="shared" si="1406"/>
        <v>0</v>
      </c>
      <c r="AI237">
        <f t="shared" si="1406"/>
        <v>0</v>
      </c>
      <c r="AJ237">
        <f t="shared" si="1406"/>
        <v>0</v>
      </c>
      <c r="AK237">
        <f t="shared" si="1406"/>
        <v>0</v>
      </c>
      <c r="AL237">
        <f t="shared" si="1406"/>
        <v>0</v>
      </c>
      <c r="AM237">
        <f t="shared" si="1406"/>
        <v>0</v>
      </c>
      <c r="AN237">
        <f t="shared" si="1406"/>
        <v>0</v>
      </c>
      <c r="AO237">
        <f t="shared" si="1406"/>
        <v>0</v>
      </c>
      <c r="AP237">
        <f t="shared" si="1331"/>
        <v>0</v>
      </c>
      <c r="AQ237">
        <f t="shared" si="1332"/>
        <v>0</v>
      </c>
      <c r="AR237">
        <f t="shared" si="1333"/>
        <v>0</v>
      </c>
      <c r="AS237">
        <f t="shared" si="1334"/>
        <v>0</v>
      </c>
      <c r="AT237">
        <f t="shared" si="1335"/>
        <v>0</v>
      </c>
      <c r="AU237">
        <f t="shared" si="1336"/>
        <v>0</v>
      </c>
      <c r="AV237">
        <f t="shared" si="1337"/>
        <v>0</v>
      </c>
      <c r="AW237">
        <f t="shared" si="1338"/>
        <v>0</v>
      </c>
      <c r="AX237">
        <f t="shared" si="1339"/>
        <v>0</v>
      </c>
      <c r="AY237">
        <f t="shared" si="1340"/>
        <v>0</v>
      </c>
      <c r="AZ237">
        <f t="shared" si="1341"/>
        <v>0</v>
      </c>
      <c r="BA237">
        <f t="shared" si="1342"/>
        <v>0</v>
      </c>
      <c r="BB237">
        <f t="shared" si="1343"/>
        <v>0</v>
      </c>
      <c r="BC237">
        <f t="shared" si="1344"/>
        <v>0</v>
      </c>
      <c r="BD237">
        <f t="shared" si="1345"/>
        <v>0</v>
      </c>
      <c r="BE237">
        <f t="shared" si="1346"/>
        <v>0</v>
      </c>
      <c r="BF237">
        <f t="shared" si="1347"/>
        <v>0</v>
      </c>
      <c r="BG237">
        <f t="shared" si="1348"/>
        <v>0</v>
      </c>
      <c r="BH237">
        <f t="shared" si="1349"/>
        <v>0</v>
      </c>
      <c r="BI237">
        <f t="shared" si="1387"/>
        <v>0</v>
      </c>
      <c r="BJ237" s="8" t="str">
        <f>Hidden!$CC8</f>
        <v/>
      </c>
      <c r="BK237">
        <f t="shared" ref="BK237:BT237" si="1407">IF(BK$230,CP132,0)</f>
        <v>0</v>
      </c>
      <c r="BL237">
        <f t="shared" si="1407"/>
        <v>0</v>
      </c>
      <c r="BM237">
        <f t="shared" si="1407"/>
        <v>0</v>
      </c>
      <c r="BN237">
        <f t="shared" si="1407"/>
        <v>0</v>
      </c>
      <c r="BO237">
        <f t="shared" si="1407"/>
        <v>0</v>
      </c>
      <c r="BP237">
        <f t="shared" si="1407"/>
        <v>0</v>
      </c>
      <c r="BQ237">
        <f t="shared" si="1407"/>
        <v>0</v>
      </c>
      <c r="BR237">
        <f t="shared" si="1407"/>
        <v>0</v>
      </c>
      <c r="BS237">
        <f t="shared" si="1407"/>
        <v>0</v>
      </c>
      <c r="BT237">
        <f t="shared" si="1407"/>
        <v>0</v>
      </c>
      <c r="BU237">
        <f t="shared" ref="BU237:CD237" si="1408">IF(BU$230,CP132,0)</f>
        <v>0</v>
      </c>
      <c r="BV237">
        <f t="shared" si="1408"/>
        <v>0</v>
      </c>
      <c r="BW237">
        <f t="shared" si="1408"/>
        <v>0</v>
      </c>
      <c r="BX237">
        <f t="shared" si="1408"/>
        <v>0</v>
      </c>
      <c r="BY237">
        <f t="shared" si="1408"/>
        <v>0</v>
      </c>
      <c r="BZ237">
        <f t="shared" si="1408"/>
        <v>0</v>
      </c>
      <c r="CA237">
        <f t="shared" si="1408"/>
        <v>0</v>
      </c>
      <c r="CB237">
        <f t="shared" si="1408"/>
        <v>0</v>
      </c>
      <c r="CC237">
        <f t="shared" si="1408"/>
        <v>0</v>
      </c>
      <c r="CD237">
        <f t="shared" si="1408"/>
        <v>0</v>
      </c>
      <c r="CE237">
        <f t="shared" si="1352"/>
        <v>0</v>
      </c>
      <c r="CF237">
        <f t="shared" si="1353"/>
        <v>0</v>
      </c>
      <c r="CG237">
        <f t="shared" si="1354"/>
        <v>0</v>
      </c>
      <c r="CH237">
        <f t="shared" si="1355"/>
        <v>0</v>
      </c>
      <c r="CI237">
        <f t="shared" si="1356"/>
        <v>0</v>
      </c>
      <c r="CJ237">
        <f t="shared" si="1357"/>
        <v>0</v>
      </c>
      <c r="CK237">
        <f t="shared" si="1390"/>
        <v>0</v>
      </c>
      <c r="CL237">
        <f t="shared" si="1358"/>
        <v>0</v>
      </c>
      <c r="CM237">
        <f t="shared" si="1359"/>
        <v>0</v>
      </c>
      <c r="CN237">
        <f t="shared" si="1360"/>
        <v>0</v>
      </c>
      <c r="CO237">
        <f t="shared" ref="CO237:CX237" si="1409">IF(CO$230,CP132,0)</f>
        <v>0</v>
      </c>
      <c r="CP237">
        <f t="shared" si="1409"/>
        <v>0</v>
      </c>
      <c r="CQ237">
        <f t="shared" si="1409"/>
        <v>0</v>
      </c>
      <c r="CR237">
        <f t="shared" si="1409"/>
        <v>0</v>
      </c>
      <c r="CS237">
        <f t="shared" si="1409"/>
        <v>0</v>
      </c>
      <c r="CT237">
        <f t="shared" si="1409"/>
        <v>0</v>
      </c>
      <c r="CU237">
        <f t="shared" si="1409"/>
        <v>0</v>
      </c>
      <c r="CV237">
        <f t="shared" si="1409"/>
        <v>0</v>
      </c>
      <c r="CW237">
        <f t="shared" si="1409"/>
        <v>0</v>
      </c>
      <c r="CX237">
        <f t="shared" si="1409"/>
        <v>0</v>
      </c>
      <c r="CY237">
        <f t="shared" si="1362"/>
        <v>0</v>
      </c>
      <c r="CZ237">
        <f t="shared" si="1363"/>
        <v>0</v>
      </c>
      <c r="DA237">
        <f t="shared" si="1364"/>
        <v>0</v>
      </c>
      <c r="DB237">
        <f t="shared" si="1365"/>
        <v>0</v>
      </c>
      <c r="DC237">
        <f t="shared" si="1366"/>
        <v>0</v>
      </c>
      <c r="DD237">
        <f t="shared" si="1367"/>
        <v>0</v>
      </c>
      <c r="DE237">
        <f t="shared" si="1368"/>
        <v>0</v>
      </c>
      <c r="DF237">
        <f t="shared" si="1369"/>
        <v>0</v>
      </c>
      <c r="DG237">
        <f t="shared" si="1370"/>
        <v>0</v>
      </c>
      <c r="DH237">
        <f t="shared" si="1371"/>
        <v>0</v>
      </c>
      <c r="DI237">
        <f t="shared" si="1372"/>
        <v>0</v>
      </c>
      <c r="DJ237">
        <f t="shared" si="1373"/>
        <v>0</v>
      </c>
      <c r="DK237">
        <f t="shared" si="1374"/>
        <v>0</v>
      </c>
      <c r="DL237">
        <f t="shared" si="1375"/>
        <v>0</v>
      </c>
      <c r="DM237">
        <f t="shared" si="1376"/>
        <v>0</v>
      </c>
      <c r="DN237">
        <f t="shared" si="1377"/>
        <v>0</v>
      </c>
      <c r="DO237">
        <f t="shared" si="1378"/>
        <v>0</v>
      </c>
      <c r="DP237">
        <f t="shared" si="1379"/>
        <v>0</v>
      </c>
      <c r="DQ237">
        <f t="shared" si="1380"/>
        <v>0</v>
      </c>
      <c r="DR237">
        <f t="shared" si="1381"/>
        <v>0</v>
      </c>
      <c r="DT237" s="77"/>
      <c r="DU237" s="8" t="str">
        <f>Hidden!$CG20</f>
        <v/>
      </c>
      <c r="DV237">
        <f t="shared" si="1176"/>
        <v>0</v>
      </c>
      <c r="DW237">
        <f t="shared" si="1177"/>
        <v>0</v>
      </c>
      <c r="DX237">
        <f t="shared" si="1178"/>
        <v>0</v>
      </c>
      <c r="DY237">
        <f t="shared" si="1179"/>
        <v>0</v>
      </c>
      <c r="DZ237">
        <f t="shared" si="1180"/>
        <v>0</v>
      </c>
      <c r="EA237">
        <f t="shared" si="1181"/>
        <v>0</v>
      </c>
      <c r="EB237">
        <f t="shared" si="1182"/>
        <v>0</v>
      </c>
      <c r="EC237">
        <f t="shared" si="1183"/>
        <v>0</v>
      </c>
      <c r="ED237">
        <f t="shared" si="1184"/>
        <v>0</v>
      </c>
      <c r="EE237">
        <f t="shared" si="1185"/>
        <v>0</v>
      </c>
      <c r="EF237">
        <f t="shared" si="1186"/>
        <v>0</v>
      </c>
      <c r="EG237">
        <f t="shared" si="1187"/>
        <v>0</v>
      </c>
      <c r="EH237">
        <f t="shared" si="1188"/>
        <v>0</v>
      </c>
      <c r="EI237">
        <f t="shared" si="1189"/>
        <v>0</v>
      </c>
      <c r="EJ237">
        <f t="shared" si="1190"/>
        <v>0</v>
      </c>
      <c r="EK237">
        <f t="shared" si="1191"/>
        <v>0</v>
      </c>
      <c r="EL237">
        <f t="shared" si="1192"/>
        <v>0</v>
      </c>
      <c r="EM237">
        <f t="shared" si="1193"/>
        <v>0</v>
      </c>
      <c r="EN237">
        <f t="shared" si="1194"/>
        <v>0</v>
      </c>
      <c r="EO237">
        <f t="shared" si="1195"/>
        <v>0</v>
      </c>
      <c r="EP237">
        <f t="shared" si="1196"/>
        <v>0</v>
      </c>
      <c r="EQ237">
        <f t="shared" si="1197"/>
        <v>0</v>
      </c>
      <c r="ER237">
        <f t="shared" ref="ER237:ET252" si="1410">IF(ER$218,FB132,0)</f>
        <v>0</v>
      </c>
      <c r="ES237">
        <f t="shared" si="1410"/>
        <v>0</v>
      </c>
      <c r="ET237">
        <f t="shared" si="1410"/>
        <v>0</v>
      </c>
      <c r="EU237">
        <f t="shared" si="1199"/>
        <v>0</v>
      </c>
      <c r="EV237">
        <f t="shared" ref="EV237:EV300" si="1411">IF(EV$218,FF132,0)</f>
        <v>0</v>
      </c>
      <c r="EW237">
        <f t="shared" si="1232"/>
        <v>0</v>
      </c>
      <c r="EX237">
        <f t="shared" si="1201"/>
        <v>0</v>
      </c>
      <c r="EY237">
        <f t="shared" si="1202"/>
        <v>0</v>
      </c>
      <c r="EZ237">
        <f t="shared" ref="EZ237:FI237" si="1412">IF(EZ$218,EZ132,0)</f>
        <v>0</v>
      </c>
      <c r="FA237">
        <f t="shared" si="1412"/>
        <v>0</v>
      </c>
      <c r="FB237">
        <f t="shared" si="1412"/>
        <v>0</v>
      </c>
      <c r="FC237">
        <f t="shared" si="1412"/>
        <v>0</v>
      </c>
      <c r="FD237">
        <f t="shared" si="1412"/>
        <v>0</v>
      </c>
      <c r="FE237">
        <f t="shared" si="1412"/>
        <v>0</v>
      </c>
      <c r="FF237">
        <f t="shared" si="1412"/>
        <v>0</v>
      </c>
      <c r="FG237">
        <f t="shared" si="1412"/>
        <v>0</v>
      </c>
      <c r="FH237">
        <f t="shared" si="1412"/>
        <v>0</v>
      </c>
      <c r="FI237">
        <f t="shared" si="1412"/>
        <v>0</v>
      </c>
      <c r="FJ237">
        <f t="shared" si="1204"/>
        <v>0</v>
      </c>
      <c r="FK237">
        <f t="shared" si="1205"/>
        <v>0</v>
      </c>
      <c r="FL237">
        <f t="shared" ref="FL237:FL300" si="1413">IF(FL$218,FB132,0)</f>
        <v>0</v>
      </c>
      <c r="FM237">
        <f t="shared" si="1234"/>
        <v>0</v>
      </c>
      <c r="FN237">
        <f t="shared" si="1207"/>
        <v>0</v>
      </c>
      <c r="FO237">
        <f t="shared" si="1208"/>
        <v>0</v>
      </c>
      <c r="FP237">
        <f t="shared" si="1209"/>
        <v>0</v>
      </c>
      <c r="FQ237">
        <f t="shared" si="1210"/>
        <v>0</v>
      </c>
      <c r="FR237">
        <f t="shared" si="1211"/>
        <v>0</v>
      </c>
      <c r="FS237">
        <f t="shared" si="1212"/>
        <v>0</v>
      </c>
      <c r="FT237">
        <f t="shared" si="1213"/>
        <v>0</v>
      </c>
      <c r="FU237">
        <f t="shared" si="1214"/>
        <v>0</v>
      </c>
      <c r="FV237">
        <f t="shared" si="1215"/>
        <v>0</v>
      </c>
      <c r="FW237">
        <f t="shared" si="1216"/>
        <v>0</v>
      </c>
      <c r="FX237">
        <f t="shared" ref="FX237:FX300" si="1414">IF(FX$218,FD132,0)</f>
        <v>0</v>
      </c>
      <c r="FY237">
        <f t="shared" si="1235"/>
        <v>0</v>
      </c>
      <c r="FZ237">
        <f t="shared" si="1218"/>
        <v>0</v>
      </c>
      <c r="GA237">
        <f t="shared" si="1219"/>
        <v>0</v>
      </c>
      <c r="GB237">
        <f t="shared" si="1220"/>
        <v>0</v>
      </c>
      <c r="GC237">
        <f t="shared" si="1221"/>
        <v>0</v>
      </c>
    </row>
    <row r="238" spans="1:185" x14ac:dyDescent="0.2">
      <c r="A238" s="8" t="str">
        <f t="shared" si="1311"/>
        <v/>
      </c>
      <c r="B238" s="8">
        <f t="shared" si="1312"/>
        <v>0</v>
      </c>
      <c r="C238" s="8">
        <f t="shared" si="1313"/>
        <v>0</v>
      </c>
      <c r="D238" s="8">
        <f t="shared" si="1314"/>
        <v>0</v>
      </c>
      <c r="E238" s="8">
        <f t="shared" si="1315"/>
        <v>0</v>
      </c>
      <c r="F238" s="8">
        <f t="shared" si="1384"/>
        <v>0</v>
      </c>
      <c r="G238" s="8">
        <f t="shared" si="1316"/>
        <v>0</v>
      </c>
      <c r="H238" s="8">
        <f t="shared" si="1317"/>
        <v>0</v>
      </c>
      <c r="I238" s="8">
        <f t="shared" si="1318"/>
        <v>0</v>
      </c>
      <c r="J238" s="8">
        <f t="shared" si="1319"/>
        <v>0</v>
      </c>
      <c r="K238" s="8">
        <f t="shared" si="1385"/>
        <v>0</v>
      </c>
      <c r="L238">
        <f t="shared" si="1320"/>
        <v>0</v>
      </c>
      <c r="M238">
        <f t="shared" si="1321"/>
        <v>0</v>
      </c>
      <c r="N238">
        <f t="shared" si="1322"/>
        <v>0</v>
      </c>
      <c r="O238">
        <f t="shared" si="1323"/>
        <v>0</v>
      </c>
      <c r="P238">
        <f t="shared" si="1324"/>
        <v>0</v>
      </c>
      <c r="Q238">
        <f t="shared" si="1325"/>
        <v>0</v>
      </c>
      <c r="R238">
        <f t="shared" si="1326"/>
        <v>0</v>
      </c>
      <c r="S238" s="8">
        <f t="shared" si="1327"/>
        <v>0</v>
      </c>
      <c r="T238" s="8">
        <f t="shared" si="1328"/>
        <v>0</v>
      </c>
      <c r="U238" s="8">
        <f t="shared" si="1329"/>
        <v>0</v>
      </c>
      <c r="V238">
        <f>IF(V$230,LandEmiss!AF133,0)</f>
        <v>0</v>
      </c>
      <c r="W238">
        <f>IF(W$230,LandEmiss!AG133,0)</f>
        <v>0</v>
      </c>
      <c r="X238">
        <f>IF(X$230,LandEmiss!AH133,0)</f>
        <v>0</v>
      </c>
      <c r="Y238">
        <f>IF(Y$230,LandEmiss!AI133,0)</f>
        <v>0</v>
      </c>
      <c r="Z238">
        <f>IF(Z$230,LandEmiss!AJ133,0)</f>
        <v>0</v>
      </c>
      <c r="AA238">
        <f>IF(AA$230,LandEmiss!AK133,0)</f>
        <v>0</v>
      </c>
      <c r="AB238">
        <f>IF(AB$230,LandEmiss!AL133,0)</f>
        <v>0</v>
      </c>
      <c r="AC238">
        <f>IF(AC$230,LandEmiss!AM133,0)</f>
        <v>0</v>
      </c>
      <c r="AD238">
        <f>IF(AD$230,LandEmiss!AN133,0)</f>
        <v>0</v>
      </c>
      <c r="AE238">
        <f>IF(AE$230,LandEmiss!AO133,0)</f>
        <v>0</v>
      </c>
      <c r="AF238">
        <f t="shared" ref="AF238:AO238" si="1415">IF(AF$230,AF133,0)</f>
        <v>0</v>
      </c>
      <c r="AG238">
        <f t="shared" si="1415"/>
        <v>0</v>
      </c>
      <c r="AH238">
        <f t="shared" si="1415"/>
        <v>0</v>
      </c>
      <c r="AI238">
        <f t="shared" si="1415"/>
        <v>0</v>
      </c>
      <c r="AJ238">
        <f t="shared" si="1415"/>
        <v>0</v>
      </c>
      <c r="AK238">
        <f t="shared" si="1415"/>
        <v>0</v>
      </c>
      <c r="AL238">
        <f t="shared" si="1415"/>
        <v>0</v>
      </c>
      <c r="AM238">
        <f t="shared" si="1415"/>
        <v>0</v>
      </c>
      <c r="AN238">
        <f t="shared" si="1415"/>
        <v>0</v>
      </c>
      <c r="AO238">
        <f t="shared" si="1415"/>
        <v>0</v>
      </c>
      <c r="AP238">
        <f t="shared" si="1331"/>
        <v>0</v>
      </c>
      <c r="AQ238">
        <f t="shared" si="1332"/>
        <v>0</v>
      </c>
      <c r="AR238">
        <f t="shared" si="1333"/>
        <v>0</v>
      </c>
      <c r="AS238">
        <f t="shared" si="1334"/>
        <v>0</v>
      </c>
      <c r="AT238">
        <f t="shared" si="1335"/>
        <v>0</v>
      </c>
      <c r="AU238">
        <f t="shared" si="1336"/>
        <v>0</v>
      </c>
      <c r="AV238">
        <f t="shared" si="1337"/>
        <v>0</v>
      </c>
      <c r="AW238">
        <f t="shared" si="1338"/>
        <v>0</v>
      </c>
      <c r="AX238">
        <f t="shared" si="1339"/>
        <v>0</v>
      </c>
      <c r="AY238">
        <f t="shared" si="1340"/>
        <v>0</v>
      </c>
      <c r="AZ238">
        <f t="shared" si="1341"/>
        <v>0</v>
      </c>
      <c r="BA238">
        <f t="shared" si="1342"/>
        <v>0</v>
      </c>
      <c r="BB238">
        <f t="shared" si="1343"/>
        <v>0</v>
      </c>
      <c r="BC238">
        <f t="shared" si="1344"/>
        <v>0</v>
      </c>
      <c r="BD238">
        <f t="shared" si="1345"/>
        <v>0</v>
      </c>
      <c r="BE238">
        <f t="shared" si="1346"/>
        <v>0</v>
      </c>
      <c r="BF238">
        <f t="shared" si="1347"/>
        <v>0</v>
      </c>
      <c r="BG238">
        <f t="shared" si="1348"/>
        <v>0</v>
      </c>
      <c r="BH238">
        <f t="shared" si="1349"/>
        <v>0</v>
      </c>
      <c r="BI238">
        <f t="shared" si="1387"/>
        <v>0</v>
      </c>
      <c r="BJ238" s="8" t="str">
        <f>Hidden!$CC9</f>
        <v/>
      </c>
      <c r="BK238">
        <f t="shared" ref="BK238:BT238" si="1416">IF(BK$230,CP133,0)</f>
        <v>0</v>
      </c>
      <c r="BL238">
        <f t="shared" si="1416"/>
        <v>0</v>
      </c>
      <c r="BM238">
        <f t="shared" si="1416"/>
        <v>0</v>
      </c>
      <c r="BN238">
        <f t="shared" si="1416"/>
        <v>0</v>
      </c>
      <c r="BO238">
        <f t="shared" si="1416"/>
        <v>0</v>
      </c>
      <c r="BP238">
        <f t="shared" si="1416"/>
        <v>0</v>
      </c>
      <c r="BQ238">
        <f t="shared" si="1416"/>
        <v>0</v>
      </c>
      <c r="BR238">
        <f t="shared" si="1416"/>
        <v>0</v>
      </c>
      <c r="BS238">
        <f t="shared" si="1416"/>
        <v>0</v>
      </c>
      <c r="BT238">
        <f t="shared" si="1416"/>
        <v>0</v>
      </c>
      <c r="BU238">
        <f t="shared" ref="BU238:CD238" si="1417">IF(BU$230,CP133,0)</f>
        <v>0</v>
      </c>
      <c r="BV238">
        <f t="shared" si="1417"/>
        <v>0</v>
      </c>
      <c r="BW238">
        <f t="shared" si="1417"/>
        <v>0</v>
      </c>
      <c r="BX238">
        <f t="shared" si="1417"/>
        <v>0</v>
      </c>
      <c r="BY238">
        <f t="shared" si="1417"/>
        <v>0</v>
      </c>
      <c r="BZ238">
        <f t="shared" si="1417"/>
        <v>0</v>
      </c>
      <c r="CA238">
        <f t="shared" si="1417"/>
        <v>0</v>
      </c>
      <c r="CB238">
        <f t="shared" si="1417"/>
        <v>0</v>
      </c>
      <c r="CC238">
        <f t="shared" si="1417"/>
        <v>0</v>
      </c>
      <c r="CD238">
        <f t="shared" si="1417"/>
        <v>0</v>
      </c>
      <c r="CE238">
        <f t="shared" si="1352"/>
        <v>0</v>
      </c>
      <c r="CF238">
        <f t="shared" si="1353"/>
        <v>0</v>
      </c>
      <c r="CG238">
        <f t="shared" si="1354"/>
        <v>0</v>
      </c>
      <c r="CH238">
        <f t="shared" si="1355"/>
        <v>0</v>
      </c>
      <c r="CI238">
        <f t="shared" si="1356"/>
        <v>0</v>
      </c>
      <c r="CJ238">
        <f t="shared" si="1357"/>
        <v>0</v>
      </c>
      <c r="CK238">
        <f t="shared" si="1390"/>
        <v>0</v>
      </c>
      <c r="CL238">
        <f t="shared" si="1358"/>
        <v>0</v>
      </c>
      <c r="CM238">
        <f t="shared" si="1359"/>
        <v>0</v>
      </c>
      <c r="CN238">
        <f t="shared" si="1360"/>
        <v>0</v>
      </c>
      <c r="CO238">
        <f t="shared" ref="CO238:CX238" si="1418">IF(CO$230,CP133,0)</f>
        <v>0</v>
      </c>
      <c r="CP238">
        <f t="shared" si="1418"/>
        <v>0</v>
      </c>
      <c r="CQ238">
        <f t="shared" si="1418"/>
        <v>0</v>
      </c>
      <c r="CR238">
        <f t="shared" si="1418"/>
        <v>0</v>
      </c>
      <c r="CS238">
        <f t="shared" si="1418"/>
        <v>0</v>
      </c>
      <c r="CT238">
        <f t="shared" si="1418"/>
        <v>0</v>
      </c>
      <c r="CU238">
        <f t="shared" si="1418"/>
        <v>0</v>
      </c>
      <c r="CV238">
        <f t="shared" si="1418"/>
        <v>0</v>
      </c>
      <c r="CW238">
        <f t="shared" si="1418"/>
        <v>0</v>
      </c>
      <c r="CX238">
        <f t="shared" si="1418"/>
        <v>0</v>
      </c>
      <c r="CY238">
        <f t="shared" si="1362"/>
        <v>0</v>
      </c>
      <c r="CZ238">
        <f t="shared" si="1363"/>
        <v>0</v>
      </c>
      <c r="DA238">
        <f t="shared" si="1364"/>
        <v>0</v>
      </c>
      <c r="DB238">
        <f t="shared" si="1365"/>
        <v>0</v>
      </c>
      <c r="DC238">
        <f t="shared" si="1366"/>
        <v>0</v>
      </c>
      <c r="DD238">
        <f t="shared" si="1367"/>
        <v>0</v>
      </c>
      <c r="DE238">
        <f t="shared" si="1368"/>
        <v>0</v>
      </c>
      <c r="DF238">
        <f t="shared" si="1369"/>
        <v>0</v>
      </c>
      <c r="DG238">
        <f t="shared" si="1370"/>
        <v>0</v>
      </c>
      <c r="DH238">
        <f t="shared" si="1371"/>
        <v>0</v>
      </c>
      <c r="DI238">
        <f t="shared" si="1372"/>
        <v>0</v>
      </c>
      <c r="DJ238">
        <f t="shared" si="1373"/>
        <v>0</v>
      </c>
      <c r="DK238">
        <f t="shared" si="1374"/>
        <v>0</v>
      </c>
      <c r="DL238">
        <f t="shared" si="1375"/>
        <v>0</v>
      </c>
      <c r="DM238">
        <f t="shared" si="1376"/>
        <v>0</v>
      </c>
      <c r="DN238">
        <f t="shared" si="1377"/>
        <v>0</v>
      </c>
      <c r="DO238">
        <f t="shared" si="1378"/>
        <v>0</v>
      </c>
      <c r="DP238">
        <f t="shared" si="1379"/>
        <v>0</v>
      </c>
      <c r="DQ238">
        <f t="shared" si="1380"/>
        <v>0</v>
      </c>
      <c r="DR238">
        <f t="shared" si="1381"/>
        <v>0</v>
      </c>
      <c r="DT238" s="77"/>
      <c r="DU238" s="8" t="str">
        <f>Hidden!$CG21</f>
        <v/>
      </c>
      <c r="DV238">
        <f t="shared" si="1176"/>
        <v>0</v>
      </c>
      <c r="DW238">
        <f t="shared" si="1177"/>
        <v>0</v>
      </c>
      <c r="DX238">
        <f t="shared" si="1178"/>
        <v>0</v>
      </c>
      <c r="DY238">
        <f t="shared" si="1179"/>
        <v>0</v>
      </c>
      <c r="DZ238">
        <f t="shared" si="1180"/>
        <v>0</v>
      </c>
      <c r="EA238">
        <f t="shared" si="1181"/>
        <v>0</v>
      </c>
      <c r="EB238">
        <f t="shared" si="1182"/>
        <v>0</v>
      </c>
      <c r="EC238">
        <f t="shared" si="1183"/>
        <v>0</v>
      </c>
      <c r="ED238">
        <f t="shared" si="1184"/>
        <v>0</v>
      </c>
      <c r="EE238">
        <f t="shared" si="1185"/>
        <v>0</v>
      </c>
      <c r="EF238">
        <f t="shared" si="1186"/>
        <v>0</v>
      </c>
      <c r="EG238">
        <f t="shared" si="1187"/>
        <v>0</v>
      </c>
      <c r="EH238">
        <f t="shared" si="1188"/>
        <v>0</v>
      </c>
      <c r="EI238">
        <f t="shared" si="1189"/>
        <v>0</v>
      </c>
      <c r="EJ238">
        <f t="shared" si="1190"/>
        <v>0</v>
      </c>
      <c r="EK238">
        <f t="shared" si="1191"/>
        <v>0</v>
      </c>
      <c r="EL238">
        <f t="shared" si="1192"/>
        <v>0</v>
      </c>
      <c r="EM238">
        <f t="shared" si="1193"/>
        <v>0</v>
      </c>
      <c r="EN238">
        <f t="shared" si="1194"/>
        <v>0</v>
      </c>
      <c r="EO238">
        <f t="shared" si="1195"/>
        <v>0</v>
      </c>
      <c r="EP238">
        <f t="shared" si="1196"/>
        <v>0</v>
      </c>
      <c r="EQ238">
        <f t="shared" si="1197"/>
        <v>0</v>
      </c>
      <c r="ER238">
        <f t="shared" si="1410"/>
        <v>0</v>
      </c>
      <c r="ES238">
        <f t="shared" ref="ES238:ET238" si="1419">IF(ES$218,FC133,0)</f>
        <v>0</v>
      </c>
      <c r="ET238">
        <f t="shared" si="1419"/>
        <v>0</v>
      </c>
      <c r="EU238">
        <f t="shared" si="1199"/>
        <v>0</v>
      </c>
      <c r="EV238">
        <f t="shared" si="1411"/>
        <v>0</v>
      </c>
      <c r="EW238">
        <f t="shared" si="1232"/>
        <v>0</v>
      </c>
      <c r="EX238">
        <f t="shared" si="1201"/>
        <v>0</v>
      </c>
      <c r="EY238">
        <f t="shared" si="1202"/>
        <v>0</v>
      </c>
      <c r="EZ238">
        <f t="shared" ref="EZ238:FI238" si="1420">IF(EZ$218,EZ133,0)</f>
        <v>0</v>
      </c>
      <c r="FA238">
        <f t="shared" si="1420"/>
        <v>0</v>
      </c>
      <c r="FB238">
        <f t="shared" si="1420"/>
        <v>0</v>
      </c>
      <c r="FC238">
        <f t="shared" si="1420"/>
        <v>0</v>
      </c>
      <c r="FD238">
        <f t="shared" si="1420"/>
        <v>0</v>
      </c>
      <c r="FE238">
        <f t="shared" si="1420"/>
        <v>0</v>
      </c>
      <c r="FF238">
        <f t="shared" si="1420"/>
        <v>0</v>
      </c>
      <c r="FG238">
        <f t="shared" si="1420"/>
        <v>0</v>
      </c>
      <c r="FH238">
        <f t="shared" si="1420"/>
        <v>0</v>
      </c>
      <c r="FI238">
        <f t="shared" si="1420"/>
        <v>0</v>
      </c>
      <c r="FJ238">
        <f t="shared" si="1204"/>
        <v>0</v>
      </c>
      <c r="FK238">
        <f t="shared" si="1205"/>
        <v>0</v>
      </c>
      <c r="FL238">
        <f t="shared" si="1413"/>
        <v>0</v>
      </c>
      <c r="FM238">
        <f t="shared" si="1234"/>
        <v>0</v>
      </c>
      <c r="FN238">
        <f t="shared" si="1207"/>
        <v>0</v>
      </c>
      <c r="FO238">
        <f t="shared" si="1208"/>
        <v>0</v>
      </c>
      <c r="FP238">
        <f t="shared" si="1209"/>
        <v>0</v>
      </c>
      <c r="FQ238">
        <f t="shared" si="1210"/>
        <v>0</v>
      </c>
      <c r="FR238">
        <f t="shared" si="1211"/>
        <v>0</v>
      </c>
      <c r="FS238">
        <f t="shared" si="1212"/>
        <v>0</v>
      </c>
      <c r="FT238">
        <f t="shared" si="1213"/>
        <v>0</v>
      </c>
      <c r="FU238">
        <f t="shared" si="1214"/>
        <v>0</v>
      </c>
      <c r="FV238">
        <f t="shared" si="1215"/>
        <v>0</v>
      </c>
      <c r="FW238">
        <f t="shared" si="1216"/>
        <v>0</v>
      </c>
      <c r="FX238">
        <f t="shared" si="1414"/>
        <v>0</v>
      </c>
      <c r="FY238">
        <f t="shared" si="1235"/>
        <v>0</v>
      </c>
      <c r="FZ238">
        <f t="shared" si="1218"/>
        <v>0</v>
      </c>
      <c r="GA238">
        <f t="shared" si="1219"/>
        <v>0</v>
      </c>
      <c r="GB238">
        <f t="shared" si="1220"/>
        <v>0</v>
      </c>
      <c r="GC238">
        <f t="shared" si="1221"/>
        <v>0</v>
      </c>
    </row>
    <row r="239" spans="1:185" x14ac:dyDescent="0.2">
      <c r="A239" s="8" t="str">
        <f t="shared" si="1311"/>
        <v/>
      </c>
      <c r="B239" s="8">
        <f t="shared" si="1312"/>
        <v>0</v>
      </c>
      <c r="C239" s="8">
        <f t="shared" si="1313"/>
        <v>0</v>
      </c>
      <c r="D239" s="8">
        <f t="shared" si="1314"/>
        <v>0</v>
      </c>
      <c r="E239" s="8">
        <f t="shared" si="1315"/>
        <v>0</v>
      </c>
      <c r="F239" s="8">
        <f t="shared" si="1384"/>
        <v>0</v>
      </c>
      <c r="G239" s="8">
        <f t="shared" si="1316"/>
        <v>0</v>
      </c>
      <c r="H239" s="8">
        <f t="shared" si="1317"/>
        <v>0</v>
      </c>
      <c r="I239" s="8">
        <f t="shared" si="1318"/>
        <v>0</v>
      </c>
      <c r="J239" s="8">
        <f t="shared" si="1319"/>
        <v>0</v>
      </c>
      <c r="K239" s="8">
        <f t="shared" si="1385"/>
        <v>0</v>
      </c>
      <c r="L239">
        <f t="shared" si="1320"/>
        <v>0</v>
      </c>
      <c r="M239">
        <f t="shared" si="1321"/>
        <v>0</v>
      </c>
      <c r="N239">
        <f t="shared" si="1322"/>
        <v>0</v>
      </c>
      <c r="O239">
        <f t="shared" si="1323"/>
        <v>0</v>
      </c>
      <c r="P239">
        <f t="shared" si="1324"/>
        <v>0</v>
      </c>
      <c r="Q239">
        <f t="shared" si="1325"/>
        <v>0</v>
      </c>
      <c r="R239">
        <f t="shared" si="1326"/>
        <v>0</v>
      </c>
      <c r="S239" s="8">
        <f t="shared" si="1327"/>
        <v>0</v>
      </c>
      <c r="T239" s="8">
        <f t="shared" si="1328"/>
        <v>0</v>
      </c>
      <c r="U239" s="8">
        <f t="shared" si="1329"/>
        <v>0</v>
      </c>
      <c r="V239">
        <f>IF(V$230,LandEmiss!AF134,0)</f>
        <v>0</v>
      </c>
      <c r="W239">
        <f>IF(W$230,LandEmiss!AG134,0)</f>
        <v>0</v>
      </c>
      <c r="X239">
        <f>IF(X$230,LandEmiss!AH134,0)</f>
        <v>0</v>
      </c>
      <c r="Y239">
        <f>IF(Y$230,LandEmiss!AI134,0)</f>
        <v>0</v>
      </c>
      <c r="Z239">
        <f>IF(Z$230,LandEmiss!AJ134,0)</f>
        <v>0</v>
      </c>
      <c r="AA239">
        <f>IF(AA$230,LandEmiss!AK134,0)</f>
        <v>0</v>
      </c>
      <c r="AB239">
        <f>IF(AB$230,LandEmiss!AL134,0)</f>
        <v>0</v>
      </c>
      <c r="AC239">
        <f>IF(AC$230,LandEmiss!AM134,0)</f>
        <v>0</v>
      </c>
      <c r="AD239">
        <f>IF(AD$230,LandEmiss!AN134,0)</f>
        <v>0</v>
      </c>
      <c r="AE239">
        <f>IF(AE$230,LandEmiss!AO134,0)</f>
        <v>0</v>
      </c>
      <c r="AF239">
        <f t="shared" ref="AF239:AO239" si="1421">IF(AF$230,AF134,0)</f>
        <v>0</v>
      </c>
      <c r="AG239">
        <f t="shared" si="1421"/>
        <v>0</v>
      </c>
      <c r="AH239">
        <f t="shared" si="1421"/>
        <v>0</v>
      </c>
      <c r="AI239">
        <f t="shared" si="1421"/>
        <v>0</v>
      </c>
      <c r="AJ239">
        <f t="shared" si="1421"/>
        <v>0</v>
      </c>
      <c r="AK239">
        <f t="shared" si="1421"/>
        <v>0</v>
      </c>
      <c r="AL239">
        <f t="shared" si="1421"/>
        <v>0</v>
      </c>
      <c r="AM239">
        <f t="shared" si="1421"/>
        <v>0</v>
      </c>
      <c r="AN239">
        <f t="shared" si="1421"/>
        <v>0</v>
      </c>
      <c r="AO239">
        <f t="shared" si="1421"/>
        <v>0</v>
      </c>
      <c r="AP239">
        <f t="shared" si="1331"/>
        <v>0</v>
      </c>
      <c r="AQ239">
        <f t="shared" si="1332"/>
        <v>0</v>
      </c>
      <c r="AR239">
        <f t="shared" si="1333"/>
        <v>0</v>
      </c>
      <c r="AS239">
        <f t="shared" si="1334"/>
        <v>0</v>
      </c>
      <c r="AT239">
        <f t="shared" si="1335"/>
        <v>0</v>
      </c>
      <c r="AU239">
        <f t="shared" si="1336"/>
        <v>0</v>
      </c>
      <c r="AV239">
        <f t="shared" si="1337"/>
        <v>0</v>
      </c>
      <c r="AW239">
        <f t="shared" si="1338"/>
        <v>0</v>
      </c>
      <c r="AX239">
        <f t="shared" si="1339"/>
        <v>0</v>
      </c>
      <c r="AY239">
        <f t="shared" si="1340"/>
        <v>0</v>
      </c>
      <c r="AZ239">
        <f t="shared" si="1341"/>
        <v>0</v>
      </c>
      <c r="BA239">
        <f t="shared" si="1342"/>
        <v>0</v>
      </c>
      <c r="BB239">
        <f t="shared" si="1343"/>
        <v>0</v>
      </c>
      <c r="BC239">
        <f t="shared" si="1344"/>
        <v>0</v>
      </c>
      <c r="BD239">
        <f t="shared" si="1345"/>
        <v>0</v>
      </c>
      <c r="BE239">
        <f t="shared" si="1346"/>
        <v>0</v>
      </c>
      <c r="BF239">
        <f t="shared" si="1347"/>
        <v>0</v>
      </c>
      <c r="BG239">
        <f t="shared" si="1348"/>
        <v>0</v>
      </c>
      <c r="BH239">
        <f t="shared" si="1349"/>
        <v>0</v>
      </c>
      <c r="BI239">
        <f t="shared" si="1387"/>
        <v>0</v>
      </c>
      <c r="BJ239" s="8" t="str">
        <f>Hidden!$CC10</f>
        <v/>
      </c>
      <c r="BK239">
        <f t="shared" ref="BK239:BT239" si="1422">IF(BK$230,CP134,0)</f>
        <v>0</v>
      </c>
      <c r="BL239">
        <f t="shared" si="1422"/>
        <v>0</v>
      </c>
      <c r="BM239">
        <f t="shared" si="1422"/>
        <v>0</v>
      </c>
      <c r="BN239">
        <f t="shared" si="1422"/>
        <v>0</v>
      </c>
      <c r="BO239">
        <f t="shared" si="1422"/>
        <v>0</v>
      </c>
      <c r="BP239">
        <f t="shared" si="1422"/>
        <v>0</v>
      </c>
      <c r="BQ239">
        <f t="shared" si="1422"/>
        <v>0</v>
      </c>
      <c r="BR239">
        <f t="shared" si="1422"/>
        <v>0</v>
      </c>
      <c r="BS239">
        <f t="shared" si="1422"/>
        <v>0</v>
      </c>
      <c r="BT239">
        <f t="shared" si="1422"/>
        <v>0</v>
      </c>
      <c r="BU239">
        <f t="shared" ref="BU239:CD239" si="1423">IF(BU$230,CP134,0)</f>
        <v>0</v>
      </c>
      <c r="BV239">
        <f t="shared" si="1423"/>
        <v>0</v>
      </c>
      <c r="BW239">
        <f t="shared" si="1423"/>
        <v>0</v>
      </c>
      <c r="BX239">
        <f t="shared" si="1423"/>
        <v>0</v>
      </c>
      <c r="BY239">
        <f t="shared" si="1423"/>
        <v>0</v>
      </c>
      <c r="BZ239">
        <f t="shared" si="1423"/>
        <v>0</v>
      </c>
      <c r="CA239">
        <f t="shared" si="1423"/>
        <v>0</v>
      </c>
      <c r="CB239">
        <f t="shared" si="1423"/>
        <v>0</v>
      </c>
      <c r="CC239">
        <f t="shared" si="1423"/>
        <v>0</v>
      </c>
      <c r="CD239">
        <f t="shared" si="1423"/>
        <v>0</v>
      </c>
      <c r="CE239">
        <f t="shared" si="1352"/>
        <v>0</v>
      </c>
      <c r="CF239">
        <f t="shared" si="1353"/>
        <v>0</v>
      </c>
      <c r="CG239">
        <f t="shared" si="1354"/>
        <v>0</v>
      </c>
      <c r="CH239">
        <f t="shared" si="1355"/>
        <v>0</v>
      </c>
      <c r="CI239">
        <f t="shared" si="1356"/>
        <v>0</v>
      </c>
      <c r="CJ239">
        <f t="shared" si="1357"/>
        <v>0</v>
      </c>
      <c r="CK239">
        <f t="shared" si="1390"/>
        <v>0</v>
      </c>
      <c r="CL239">
        <f t="shared" si="1358"/>
        <v>0</v>
      </c>
      <c r="CM239">
        <f t="shared" si="1359"/>
        <v>0</v>
      </c>
      <c r="CN239">
        <f t="shared" si="1360"/>
        <v>0</v>
      </c>
      <c r="CO239">
        <f t="shared" ref="CO239:CX239" si="1424">IF(CO$230,CP134,0)</f>
        <v>0</v>
      </c>
      <c r="CP239">
        <f t="shared" si="1424"/>
        <v>0</v>
      </c>
      <c r="CQ239">
        <f t="shared" si="1424"/>
        <v>0</v>
      </c>
      <c r="CR239">
        <f t="shared" si="1424"/>
        <v>0</v>
      </c>
      <c r="CS239">
        <f t="shared" si="1424"/>
        <v>0</v>
      </c>
      <c r="CT239">
        <f t="shared" si="1424"/>
        <v>0</v>
      </c>
      <c r="CU239">
        <f t="shared" si="1424"/>
        <v>0</v>
      </c>
      <c r="CV239">
        <f t="shared" si="1424"/>
        <v>0</v>
      </c>
      <c r="CW239">
        <f t="shared" si="1424"/>
        <v>0</v>
      </c>
      <c r="CX239">
        <f t="shared" si="1424"/>
        <v>0</v>
      </c>
      <c r="CY239">
        <f t="shared" si="1362"/>
        <v>0</v>
      </c>
      <c r="CZ239">
        <f t="shared" si="1363"/>
        <v>0</v>
      </c>
      <c r="DA239">
        <f t="shared" si="1364"/>
        <v>0</v>
      </c>
      <c r="DB239">
        <f t="shared" si="1365"/>
        <v>0</v>
      </c>
      <c r="DC239">
        <f t="shared" si="1366"/>
        <v>0</v>
      </c>
      <c r="DD239">
        <f t="shared" si="1367"/>
        <v>0</v>
      </c>
      <c r="DE239">
        <f t="shared" si="1368"/>
        <v>0</v>
      </c>
      <c r="DF239">
        <f t="shared" si="1369"/>
        <v>0</v>
      </c>
      <c r="DG239">
        <f t="shared" si="1370"/>
        <v>0</v>
      </c>
      <c r="DH239">
        <f t="shared" si="1371"/>
        <v>0</v>
      </c>
      <c r="DI239">
        <f t="shared" si="1372"/>
        <v>0</v>
      </c>
      <c r="DJ239">
        <f t="shared" si="1373"/>
        <v>0</v>
      </c>
      <c r="DK239">
        <f t="shared" si="1374"/>
        <v>0</v>
      </c>
      <c r="DL239">
        <f t="shared" si="1375"/>
        <v>0</v>
      </c>
      <c r="DM239">
        <f t="shared" si="1376"/>
        <v>0</v>
      </c>
      <c r="DN239">
        <f t="shared" si="1377"/>
        <v>0</v>
      </c>
      <c r="DO239">
        <f t="shared" si="1378"/>
        <v>0</v>
      </c>
      <c r="DP239">
        <f t="shared" si="1379"/>
        <v>0</v>
      </c>
      <c r="DQ239">
        <f t="shared" si="1380"/>
        <v>0</v>
      </c>
      <c r="DR239">
        <f t="shared" si="1381"/>
        <v>0</v>
      </c>
      <c r="DT239" s="77"/>
      <c r="DU239" s="8" t="str">
        <f>Hidden!$CG22</f>
        <v/>
      </c>
      <c r="DV239">
        <f t="shared" si="1176"/>
        <v>0</v>
      </c>
      <c r="DW239">
        <f t="shared" si="1177"/>
        <v>0</v>
      </c>
      <c r="DX239">
        <f t="shared" si="1178"/>
        <v>0</v>
      </c>
      <c r="DY239">
        <f t="shared" si="1179"/>
        <v>0</v>
      </c>
      <c r="DZ239">
        <f t="shared" si="1180"/>
        <v>0</v>
      </c>
      <c r="EA239">
        <f t="shared" si="1181"/>
        <v>0</v>
      </c>
      <c r="EB239">
        <f t="shared" si="1182"/>
        <v>0</v>
      </c>
      <c r="EC239">
        <f t="shared" si="1183"/>
        <v>0</v>
      </c>
      <c r="ED239">
        <f t="shared" si="1184"/>
        <v>0</v>
      </c>
      <c r="EE239">
        <f t="shared" si="1185"/>
        <v>0</v>
      </c>
      <c r="EF239">
        <f t="shared" si="1186"/>
        <v>0</v>
      </c>
      <c r="EG239">
        <f t="shared" si="1187"/>
        <v>0</v>
      </c>
      <c r="EH239">
        <f t="shared" si="1188"/>
        <v>0</v>
      </c>
      <c r="EI239">
        <f t="shared" si="1189"/>
        <v>0</v>
      </c>
      <c r="EJ239">
        <f t="shared" si="1190"/>
        <v>0</v>
      </c>
      <c r="EK239">
        <f t="shared" si="1191"/>
        <v>0</v>
      </c>
      <c r="EL239">
        <f t="shared" si="1192"/>
        <v>0</v>
      </c>
      <c r="EM239">
        <f t="shared" si="1193"/>
        <v>0</v>
      </c>
      <c r="EN239">
        <f t="shared" si="1194"/>
        <v>0</v>
      </c>
      <c r="EO239">
        <f t="shared" si="1195"/>
        <v>0</v>
      </c>
      <c r="EP239">
        <f t="shared" si="1196"/>
        <v>0</v>
      </c>
      <c r="EQ239">
        <f t="shared" si="1197"/>
        <v>0</v>
      </c>
      <c r="ER239">
        <f t="shared" si="1410"/>
        <v>0</v>
      </c>
      <c r="ES239">
        <f t="shared" ref="ES239:ET239" si="1425">IF(ES$218,FC134,0)</f>
        <v>0</v>
      </c>
      <c r="ET239">
        <f t="shared" si="1425"/>
        <v>0</v>
      </c>
      <c r="EU239">
        <f t="shared" si="1199"/>
        <v>0</v>
      </c>
      <c r="EV239">
        <f t="shared" si="1411"/>
        <v>0</v>
      </c>
      <c r="EW239">
        <f t="shared" si="1232"/>
        <v>0</v>
      </c>
      <c r="EX239">
        <f t="shared" si="1201"/>
        <v>0</v>
      </c>
      <c r="EY239">
        <f t="shared" si="1202"/>
        <v>0</v>
      </c>
      <c r="EZ239">
        <f t="shared" ref="EZ239:FI239" si="1426">IF(EZ$218,EZ134,0)</f>
        <v>0</v>
      </c>
      <c r="FA239">
        <f t="shared" si="1426"/>
        <v>0</v>
      </c>
      <c r="FB239">
        <f t="shared" si="1426"/>
        <v>0</v>
      </c>
      <c r="FC239">
        <f t="shared" si="1426"/>
        <v>0</v>
      </c>
      <c r="FD239">
        <f t="shared" si="1426"/>
        <v>0</v>
      </c>
      <c r="FE239">
        <f t="shared" si="1426"/>
        <v>0</v>
      </c>
      <c r="FF239">
        <f t="shared" si="1426"/>
        <v>0</v>
      </c>
      <c r="FG239">
        <f t="shared" si="1426"/>
        <v>0</v>
      </c>
      <c r="FH239">
        <f t="shared" si="1426"/>
        <v>0</v>
      </c>
      <c r="FI239">
        <f t="shared" si="1426"/>
        <v>0</v>
      </c>
      <c r="FJ239">
        <f t="shared" si="1204"/>
        <v>0</v>
      </c>
      <c r="FK239">
        <f t="shared" si="1205"/>
        <v>0</v>
      </c>
      <c r="FL239">
        <f t="shared" si="1413"/>
        <v>0</v>
      </c>
      <c r="FM239">
        <f t="shared" si="1234"/>
        <v>0</v>
      </c>
      <c r="FN239">
        <f t="shared" si="1207"/>
        <v>0</v>
      </c>
      <c r="FO239">
        <f t="shared" si="1208"/>
        <v>0</v>
      </c>
      <c r="FP239">
        <f t="shared" si="1209"/>
        <v>0</v>
      </c>
      <c r="FQ239">
        <f t="shared" si="1210"/>
        <v>0</v>
      </c>
      <c r="FR239">
        <f t="shared" si="1211"/>
        <v>0</v>
      </c>
      <c r="FS239">
        <f t="shared" si="1212"/>
        <v>0</v>
      </c>
      <c r="FT239">
        <f t="shared" si="1213"/>
        <v>0</v>
      </c>
      <c r="FU239">
        <f t="shared" si="1214"/>
        <v>0</v>
      </c>
      <c r="FV239">
        <f t="shared" si="1215"/>
        <v>0</v>
      </c>
      <c r="FW239">
        <f t="shared" si="1216"/>
        <v>0</v>
      </c>
      <c r="FX239">
        <f t="shared" si="1414"/>
        <v>0</v>
      </c>
      <c r="FY239">
        <f t="shared" si="1235"/>
        <v>0</v>
      </c>
      <c r="FZ239">
        <f t="shared" si="1218"/>
        <v>0</v>
      </c>
      <c r="GA239">
        <f t="shared" si="1219"/>
        <v>0</v>
      </c>
      <c r="GB239">
        <f t="shared" si="1220"/>
        <v>0</v>
      </c>
      <c r="GC239">
        <f t="shared" si="1221"/>
        <v>0</v>
      </c>
    </row>
    <row r="240" spans="1:185" x14ac:dyDescent="0.2">
      <c r="A240" s="8" t="str">
        <f t="shared" si="1311"/>
        <v/>
      </c>
      <c r="B240" s="8">
        <f t="shared" si="1312"/>
        <v>0</v>
      </c>
      <c r="C240" s="8">
        <f t="shared" si="1313"/>
        <v>0</v>
      </c>
      <c r="D240" s="8">
        <f t="shared" si="1314"/>
        <v>0</v>
      </c>
      <c r="E240" s="8">
        <f t="shared" si="1315"/>
        <v>0</v>
      </c>
      <c r="F240" s="8">
        <f t="shared" si="1384"/>
        <v>0</v>
      </c>
      <c r="G240" s="8">
        <f t="shared" ref="G240:G303" si="1427">IF(G$230,AK135,0)</f>
        <v>0</v>
      </c>
      <c r="H240" s="8">
        <f t="shared" ref="H240:H303" si="1428">IF(H$230,AL135,0)</f>
        <v>0</v>
      </c>
      <c r="I240" s="8">
        <f t="shared" ref="I240:I303" si="1429">IF(I$230,AM135,0)</f>
        <v>0</v>
      </c>
      <c r="J240" s="8">
        <f t="shared" ref="J240:J303" si="1430">IF(J$230,AN135,0)</f>
        <v>0</v>
      </c>
      <c r="K240" s="8">
        <f t="shared" ref="K240:K303" si="1431">IF(K$230,AO135,0)</f>
        <v>0</v>
      </c>
      <c r="L240">
        <f t="shared" si="1320"/>
        <v>0</v>
      </c>
      <c r="M240">
        <f t="shared" si="1321"/>
        <v>0</v>
      </c>
      <c r="N240">
        <f t="shared" si="1322"/>
        <v>0</v>
      </c>
      <c r="O240">
        <f t="shared" si="1323"/>
        <v>0</v>
      </c>
      <c r="P240">
        <f t="shared" si="1324"/>
        <v>0</v>
      </c>
      <c r="Q240">
        <f t="shared" si="1325"/>
        <v>0</v>
      </c>
      <c r="R240">
        <f t="shared" si="1326"/>
        <v>0</v>
      </c>
      <c r="S240" s="8">
        <f t="shared" si="1327"/>
        <v>0</v>
      </c>
      <c r="T240" s="8">
        <f t="shared" si="1328"/>
        <v>0</v>
      </c>
      <c r="U240" s="8">
        <f t="shared" si="1329"/>
        <v>0</v>
      </c>
      <c r="V240">
        <f>IF(V$230,LandEmiss!AF135,0)</f>
        <v>0</v>
      </c>
      <c r="W240">
        <f>IF(W$230,LandEmiss!AG135,0)</f>
        <v>0</v>
      </c>
      <c r="X240">
        <f>IF(X$230,LandEmiss!AH135,0)</f>
        <v>0</v>
      </c>
      <c r="Y240">
        <f>IF(Y$230,LandEmiss!AI135,0)</f>
        <v>0</v>
      </c>
      <c r="Z240">
        <f>IF(Z$230,LandEmiss!AJ135,0)</f>
        <v>0</v>
      </c>
      <c r="AA240">
        <f>IF(AA$230,LandEmiss!AK135,0)</f>
        <v>0</v>
      </c>
      <c r="AB240">
        <f>IF(AB$230,LandEmiss!AL135,0)</f>
        <v>0</v>
      </c>
      <c r="AC240">
        <f>IF(AC$230,LandEmiss!AM135,0)</f>
        <v>0</v>
      </c>
      <c r="AD240">
        <f>IF(AD$230,LandEmiss!AN135,0)</f>
        <v>0</v>
      </c>
      <c r="AE240">
        <f>IF(AE$230,LandEmiss!AO135,0)</f>
        <v>0</v>
      </c>
      <c r="AF240">
        <f t="shared" ref="AF240:AO240" si="1432">IF(AF$230,AF135,0)</f>
        <v>0</v>
      </c>
      <c r="AG240">
        <f t="shared" si="1432"/>
        <v>0</v>
      </c>
      <c r="AH240">
        <f t="shared" si="1432"/>
        <v>0</v>
      </c>
      <c r="AI240">
        <f t="shared" si="1432"/>
        <v>0</v>
      </c>
      <c r="AJ240">
        <f t="shared" si="1432"/>
        <v>0</v>
      </c>
      <c r="AK240">
        <f t="shared" si="1432"/>
        <v>0</v>
      </c>
      <c r="AL240">
        <f t="shared" si="1432"/>
        <v>0</v>
      </c>
      <c r="AM240">
        <f t="shared" si="1432"/>
        <v>0</v>
      </c>
      <c r="AN240">
        <f t="shared" si="1432"/>
        <v>0</v>
      </c>
      <c r="AO240">
        <f t="shared" si="1432"/>
        <v>0</v>
      </c>
      <c r="AP240">
        <f t="shared" si="1331"/>
        <v>0</v>
      </c>
      <c r="AQ240">
        <f t="shared" si="1332"/>
        <v>0</v>
      </c>
      <c r="AR240">
        <f t="shared" si="1333"/>
        <v>0</v>
      </c>
      <c r="AS240">
        <f t="shared" si="1334"/>
        <v>0</v>
      </c>
      <c r="AT240">
        <f t="shared" si="1335"/>
        <v>0</v>
      </c>
      <c r="AU240">
        <f t="shared" si="1336"/>
        <v>0</v>
      </c>
      <c r="AV240">
        <f t="shared" si="1337"/>
        <v>0</v>
      </c>
      <c r="AW240">
        <f t="shared" si="1338"/>
        <v>0</v>
      </c>
      <c r="AX240">
        <f t="shared" si="1339"/>
        <v>0</v>
      </c>
      <c r="AY240">
        <f t="shared" si="1340"/>
        <v>0</v>
      </c>
      <c r="AZ240">
        <f t="shared" si="1341"/>
        <v>0</v>
      </c>
      <c r="BA240">
        <f t="shared" si="1342"/>
        <v>0</v>
      </c>
      <c r="BB240">
        <f t="shared" si="1343"/>
        <v>0</v>
      </c>
      <c r="BC240">
        <f t="shared" si="1344"/>
        <v>0</v>
      </c>
      <c r="BD240">
        <f t="shared" si="1345"/>
        <v>0</v>
      </c>
      <c r="BE240">
        <f t="shared" si="1346"/>
        <v>0</v>
      </c>
      <c r="BF240">
        <f t="shared" si="1347"/>
        <v>0</v>
      </c>
      <c r="BG240">
        <f t="shared" si="1348"/>
        <v>0</v>
      </c>
      <c r="BH240">
        <f t="shared" si="1349"/>
        <v>0</v>
      </c>
      <c r="BI240">
        <f t="shared" si="1387"/>
        <v>0</v>
      </c>
      <c r="BJ240" s="8" t="str">
        <f>Hidden!$CC11</f>
        <v/>
      </c>
      <c r="BK240">
        <f t="shared" ref="BK240:BT240" si="1433">IF(BK$230,CP135,0)</f>
        <v>0</v>
      </c>
      <c r="BL240">
        <f t="shared" si="1433"/>
        <v>0</v>
      </c>
      <c r="BM240">
        <f t="shared" si="1433"/>
        <v>0</v>
      </c>
      <c r="BN240">
        <f t="shared" si="1433"/>
        <v>0</v>
      </c>
      <c r="BO240">
        <f t="shared" si="1433"/>
        <v>0</v>
      </c>
      <c r="BP240">
        <f t="shared" si="1433"/>
        <v>0</v>
      </c>
      <c r="BQ240">
        <f t="shared" si="1433"/>
        <v>0</v>
      </c>
      <c r="BR240">
        <f t="shared" si="1433"/>
        <v>0</v>
      </c>
      <c r="BS240">
        <f t="shared" si="1433"/>
        <v>0</v>
      </c>
      <c r="BT240">
        <f t="shared" si="1433"/>
        <v>0</v>
      </c>
      <c r="BU240">
        <f t="shared" ref="BU240:CD240" si="1434">IF(BU$230,CP135,0)</f>
        <v>0</v>
      </c>
      <c r="BV240">
        <f t="shared" si="1434"/>
        <v>0</v>
      </c>
      <c r="BW240">
        <f t="shared" si="1434"/>
        <v>0</v>
      </c>
      <c r="BX240">
        <f t="shared" si="1434"/>
        <v>0</v>
      </c>
      <c r="BY240">
        <f t="shared" si="1434"/>
        <v>0</v>
      </c>
      <c r="BZ240">
        <f t="shared" si="1434"/>
        <v>0</v>
      </c>
      <c r="CA240">
        <f t="shared" si="1434"/>
        <v>0</v>
      </c>
      <c r="CB240">
        <f t="shared" si="1434"/>
        <v>0</v>
      </c>
      <c r="CC240">
        <f t="shared" si="1434"/>
        <v>0</v>
      </c>
      <c r="CD240">
        <f t="shared" si="1434"/>
        <v>0</v>
      </c>
      <c r="CE240">
        <f t="shared" si="1352"/>
        <v>0</v>
      </c>
      <c r="CF240">
        <f t="shared" si="1353"/>
        <v>0</v>
      </c>
      <c r="CG240">
        <f t="shared" si="1354"/>
        <v>0</v>
      </c>
      <c r="CH240">
        <f t="shared" si="1355"/>
        <v>0</v>
      </c>
      <c r="CI240">
        <f t="shared" si="1356"/>
        <v>0</v>
      </c>
      <c r="CJ240">
        <f t="shared" si="1357"/>
        <v>0</v>
      </c>
      <c r="CK240">
        <f t="shared" si="1390"/>
        <v>0</v>
      </c>
      <c r="CL240">
        <f t="shared" si="1358"/>
        <v>0</v>
      </c>
      <c r="CM240">
        <f t="shared" si="1359"/>
        <v>0</v>
      </c>
      <c r="CN240">
        <f t="shared" si="1360"/>
        <v>0</v>
      </c>
      <c r="CO240">
        <f t="shared" ref="CO240:CX240" si="1435">IF(CO$230,CP135,0)</f>
        <v>0</v>
      </c>
      <c r="CP240">
        <f t="shared" si="1435"/>
        <v>0</v>
      </c>
      <c r="CQ240">
        <f t="shared" si="1435"/>
        <v>0</v>
      </c>
      <c r="CR240">
        <f t="shared" si="1435"/>
        <v>0</v>
      </c>
      <c r="CS240">
        <f t="shared" si="1435"/>
        <v>0</v>
      </c>
      <c r="CT240">
        <f t="shared" si="1435"/>
        <v>0</v>
      </c>
      <c r="CU240">
        <f t="shared" si="1435"/>
        <v>0</v>
      </c>
      <c r="CV240">
        <f t="shared" si="1435"/>
        <v>0</v>
      </c>
      <c r="CW240">
        <f t="shared" si="1435"/>
        <v>0</v>
      </c>
      <c r="CX240">
        <f t="shared" si="1435"/>
        <v>0</v>
      </c>
      <c r="CY240">
        <f t="shared" si="1362"/>
        <v>0</v>
      </c>
      <c r="CZ240">
        <f t="shared" si="1363"/>
        <v>0</v>
      </c>
      <c r="DA240">
        <f t="shared" si="1364"/>
        <v>0</v>
      </c>
      <c r="DB240">
        <f t="shared" si="1365"/>
        <v>0</v>
      </c>
      <c r="DC240">
        <f t="shared" si="1366"/>
        <v>0</v>
      </c>
      <c r="DD240">
        <f t="shared" si="1367"/>
        <v>0</v>
      </c>
      <c r="DE240">
        <f t="shared" si="1368"/>
        <v>0</v>
      </c>
      <c r="DF240">
        <f t="shared" si="1369"/>
        <v>0</v>
      </c>
      <c r="DG240">
        <f t="shared" si="1370"/>
        <v>0</v>
      </c>
      <c r="DH240">
        <f t="shared" si="1371"/>
        <v>0</v>
      </c>
      <c r="DI240">
        <f t="shared" si="1372"/>
        <v>0</v>
      </c>
      <c r="DJ240">
        <f t="shared" si="1373"/>
        <v>0</v>
      </c>
      <c r="DK240">
        <f t="shared" si="1374"/>
        <v>0</v>
      </c>
      <c r="DL240">
        <f t="shared" si="1375"/>
        <v>0</v>
      </c>
      <c r="DM240">
        <f t="shared" si="1376"/>
        <v>0</v>
      </c>
      <c r="DN240">
        <f t="shared" si="1377"/>
        <v>0</v>
      </c>
      <c r="DO240">
        <f t="shared" si="1378"/>
        <v>0</v>
      </c>
      <c r="DP240">
        <f t="shared" si="1379"/>
        <v>0</v>
      </c>
      <c r="DQ240">
        <f t="shared" si="1380"/>
        <v>0</v>
      </c>
      <c r="DR240">
        <f t="shared" si="1381"/>
        <v>0</v>
      </c>
      <c r="DT240" s="77"/>
      <c r="DU240" s="8" t="str">
        <f>Hidden!$CG23</f>
        <v/>
      </c>
      <c r="DV240">
        <f t="shared" si="1176"/>
        <v>0</v>
      </c>
      <c r="DW240">
        <f t="shared" si="1177"/>
        <v>0</v>
      </c>
      <c r="DX240">
        <f t="shared" si="1178"/>
        <v>0</v>
      </c>
      <c r="DY240">
        <f t="shared" si="1179"/>
        <v>0</v>
      </c>
      <c r="DZ240">
        <f t="shared" si="1180"/>
        <v>0</v>
      </c>
      <c r="EA240">
        <f t="shared" si="1181"/>
        <v>0</v>
      </c>
      <c r="EB240">
        <f t="shared" si="1182"/>
        <v>0</v>
      </c>
      <c r="EC240">
        <f t="shared" si="1183"/>
        <v>0</v>
      </c>
      <c r="ED240">
        <f t="shared" si="1184"/>
        <v>0</v>
      </c>
      <c r="EE240">
        <f t="shared" si="1185"/>
        <v>0</v>
      </c>
      <c r="EF240">
        <f t="shared" si="1186"/>
        <v>0</v>
      </c>
      <c r="EG240">
        <f t="shared" si="1187"/>
        <v>0</v>
      </c>
      <c r="EH240">
        <f t="shared" si="1188"/>
        <v>0</v>
      </c>
      <c r="EI240">
        <f t="shared" si="1189"/>
        <v>0</v>
      </c>
      <c r="EJ240">
        <f t="shared" si="1190"/>
        <v>0</v>
      </c>
      <c r="EK240">
        <f t="shared" si="1191"/>
        <v>0</v>
      </c>
      <c r="EL240">
        <f t="shared" si="1192"/>
        <v>0</v>
      </c>
      <c r="EM240">
        <f t="shared" si="1193"/>
        <v>0</v>
      </c>
      <c r="EN240">
        <f t="shared" si="1194"/>
        <v>0</v>
      </c>
      <c r="EO240">
        <f t="shared" si="1195"/>
        <v>0</v>
      </c>
      <c r="EP240">
        <f t="shared" si="1196"/>
        <v>0</v>
      </c>
      <c r="EQ240">
        <f t="shared" si="1197"/>
        <v>0</v>
      </c>
      <c r="ER240">
        <f t="shared" si="1410"/>
        <v>0</v>
      </c>
      <c r="ES240">
        <f t="shared" ref="ES240:ET240" si="1436">IF(ES$218,FC135,0)</f>
        <v>0</v>
      </c>
      <c r="ET240">
        <f t="shared" si="1436"/>
        <v>0</v>
      </c>
      <c r="EU240">
        <f t="shared" si="1199"/>
        <v>0</v>
      </c>
      <c r="EV240">
        <f t="shared" si="1411"/>
        <v>0</v>
      </c>
      <c r="EW240">
        <f t="shared" si="1232"/>
        <v>0</v>
      </c>
      <c r="EX240">
        <f t="shared" si="1201"/>
        <v>0</v>
      </c>
      <c r="EY240">
        <f t="shared" si="1202"/>
        <v>0</v>
      </c>
      <c r="EZ240">
        <f t="shared" ref="EZ240:FI240" si="1437">IF(EZ$218,EZ135,0)</f>
        <v>0</v>
      </c>
      <c r="FA240">
        <f t="shared" si="1437"/>
        <v>0</v>
      </c>
      <c r="FB240">
        <f t="shared" si="1437"/>
        <v>0</v>
      </c>
      <c r="FC240">
        <f t="shared" si="1437"/>
        <v>0</v>
      </c>
      <c r="FD240">
        <f t="shared" si="1437"/>
        <v>0</v>
      </c>
      <c r="FE240">
        <f t="shared" si="1437"/>
        <v>0</v>
      </c>
      <c r="FF240">
        <f t="shared" si="1437"/>
        <v>0</v>
      </c>
      <c r="FG240">
        <f t="shared" si="1437"/>
        <v>0</v>
      </c>
      <c r="FH240">
        <f t="shared" si="1437"/>
        <v>0</v>
      </c>
      <c r="FI240">
        <f t="shared" si="1437"/>
        <v>0</v>
      </c>
      <c r="FJ240">
        <f t="shared" si="1204"/>
        <v>0</v>
      </c>
      <c r="FK240">
        <f t="shared" si="1205"/>
        <v>0</v>
      </c>
      <c r="FL240">
        <f t="shared" si="1413"/>
        <v>0</v>
      </c>
      <c r="FM240">
        <f t="shared" si="1234"/>
        <v>0</v>
      </c>
      <c r="FN240">
        <f t="shared" si="1207"/>
        <v>0</v>
      </c>
      <c r="FO240">
        <f t="shared" si="1208"/>
        <v>0</v>
      </c>
      <c r="FP240">
        <f t="shared" si="1209"/>
        <v>0</v>
      </c>
      <c r="FQ240">
        <f t="shared" si="1210"/>
        <v>0</v>
      </c>
      <c r="FR240">
        <f t="shared" si="1211"/>
        <v>0</v>
      </c>
      <c r="FS240">
        <f t="shared" si="1212"/>
        <v>0</v>
      </c>
      <c r="FT240">
        <f t="shared" si="1213"/>
        <v>0</v>
      </c>
      <c r="FU240">
        <f t="shared" si="1214"/>
        <v>0</v>
      </c>
      <c r="FV240">
        <f t="shared" si="1215"/>
        <v>0</v>
      </c>
      <c r="FW240">
        <f t="shared" si="1216"/>
        <v>0</v>
      </c>
      <c r="FX240">
        <f t="shared" si="1414"/>
        <v>0</v>
      </c>
      <c r="FY240">
        <f t="shared" si="1235"/>
        <v>0</v>
      </c>
      <c r="FZ240">
        <f t="shared" si="1218"/>
        <v>0</v>
      </c>
      <c r="GA240">
        <f t="shared" si="1219"/>
        <v>0</v>
      </c>
      <c r="GB240">
        <f t="shared" si="1220"/>
        <v>0</v>
      </c>
      <c r="GC240">
        <f t="shared" si="1221"/>
        <v>0</v>
      </c>
    </row>
    <row r="241" spans="1:185" x14ac:dyDescent="0.2">
      <c r="A241" s="8" t="str">
        <f t="shared" si="1311"/>
        <v/>
      </c>
      <c r="B241" s="8">
        <f t="shared" si="1312"/>
        <v>0</v>
      </c>
      <c r="C241" s="8">
        <f t="shared" si="1313"/>
        <v>0</v>
      </c>
      <c r="D241" s="8">
        <f t="shared" si="1314"/>
        <v>0</v>
      </c>
      <c r="E241" s="8">
        <f t="shared" si="1315"/>
        <v>0</v>
      </c>
      <c r="F241" s="8">
        <f t="shared" si="1384"/>
        <v>0</v>
      </c>
      <c r="G241" s="8">
        <f t="shared" si="1427"/>
        <v>0</v>
      </c>
      <c r="H241" s="8">
        <f t="shared" si="1428"/>
        <v>0</v>
      </c>
      <c r="I241" s="8">
        <f t="shared" si="1429"/>
        <v>0</v>
      </c>
      <c r="J241" s="8">
        <f t="shared" si="1430"/>
        <v>0</v>
      </c>
      <c r="K241" s="8">
        <f t="shared" si="1431"/>
        <v>0</v>
      </c>
      <c r="L241">
        <f t="shared" si="1320"/>
        <v>0</v>
      </c>
      <c r="M241">
        <f t="shared" si="1321"/>
        <v>0</v>
      </c>
      <c r="N241">
        <f t="shared" si="1322"/>
        <v>0</v>
      </c>
      <c r="O241">
        <f t="shared" si="1323"/>
        <v>0</v>
      </c>
      <c r="P241">
        <f t="shared" si="1324"/>
        <v>0</v>
      </c>
      <c r="Q241">
        <f t="shared" si="1325"/>
        <v>0</v>
      </c>
      <c r="R241">
        <f t="shared" si="1326"/>
        <v>0</v>
      </c>
      <c r="S241" s="8">
        <f t="shared" si="1327"/>
        <v>0</v>
      </c>
      <c r="T241" s="8">
        <f t="shared" si="1328"/>
        <v>0</v>
      </c>
      <c r="U241" s="8">
        <f t="shared" si="1329"/>
        <v>0</v>
      </c>
      <c r="V241">
        <f>IF(V$230,LandEmiss!AF136,0)</f>
        <v>0</v>
      </c>
      <c r="W241">
        <f>IF(W$230,LandEmiss!AG136,0)</f>
        <v>0</v>
      </c>
      <c r="X241">
        <f>IF(X$230,LandEmiss!AH136,0)</f>
        <v>0</v>
      </c>
      <c r="Y241">
        <f>IF(Y$230,LandEmiss!AI136,0)</f>
        <v>0</v>
      </c>
      <c r="Z241">
        <f>IF(Z$230,LandEmiss!AJ136,0)</f>
        <v>0</v>
      </c>
      <c r="AA241">
        <f>IF(AA$230,LandEmiss!AK136,0)</f>
        <v>0</v>
      </c>
      <c r="AB241">
        <f>IF(AB$230,LandEmiss!AL136,0)</f>
        <v>0</v>
      </c>
      <c r="AC241">
        <f>IF(AC$230,LandEmiss!AM136,0)</f>
        <v>0</v>
      </c>
      <c r="AD241">
        <f>IF(AD$230,LandEmiss!AN136,0)</f>
        <v>0</v>
      </c>
      <c r="AE241">
        <f>IF(AE$230,LandEmiss!AO136,0)</f>
        <v>0</v>
      </c>
      <c r="AF241">
        <f t="shared" ref="AF241:AO241" si="1438">IF(AF$230,AF136,0)</f>
        <v>0</v>
      </c>
      <c r="AG241">
        <f t="shared" si="1438"/>
        <v>0</v>
      </c>
      <c r="AH241">
        <f t="shared" si="1438"/>
        <v>0</v>
      </c>
      <c r="AI241">
        <f t="shared" si="1438"/>
        <v>0</v>
      </c>
      <c r="AJ241">
        <f t="shared" si="1438"/>
        <v>0</v>
      </c>
      <c r="AK241">
        <f t="shared" si="1438"/>
        <v>0</v>
      </c>
      <c r="AL241">
        <f t="shared" si="1438"/>
        <v>0</v>
      </c>
      <c r="AM241">
        <f t="shared" si="1438"/>
        <v>0</v>
      </c>
      <c r="AN241">
        <f t="shared" si="1438"/>
        <v>0</v>
      </c>
      <c r="AO241">
        <f t="shared" si="1438"/>
        <v>0</v>
      </c>
      <c r="AP241">
        <f t="shared" si="1331"/>
        <v>0</v>
      </c>
      <c r="AQ241">
        <f t="shared" si="1332"/>
        <v>0</v>
      </c>
      <c r="AR241">
        <f t="shared" si="1333"/>
        <v>0</v>
      </c>
      <c r="AS241">
        <f t="shared" si="1334"/>
        <v>0</v>
      </c>
      <c r="AT241">
        <f t="shared" si="1335"/>
        <v>0</v>
      </c>
      <c r="AU241">
        <f t="shared" si="1336"/>
        <v>0</v>
      </c>
      <c r="AV241">
        <f t="shared" si="1337"/>
        <v>0</v>
      </c>
      <c r="AW241">
        <f t="shared" si="1338"/>
        <v>0</v>
      </c>
      <c r="AX241">
        <f t="shared" si="1339"/>
        <v>0</v>
      </c>
      <c r="AY241">
        <f t="shared" si="1340"/>
        <v>0</v>
      </c>
      <c r="AZ241">
        <f t="shared" si="1341"/>
        <v>0</v>
      </c>
      <c r="BA241">
        <f t="shared" si="1342"/>
        <v>0</v>
      </c>
      <c r="BB241">
        <f t="shared" si="1343"/>
        <v>0</v>
      </c>
      <c r="BC241">
        <f t="shared" si="1344"/>
        <v>0</v>
      </c>
      <c r="BD241">
        <f t="shared" si="1345"/>
        <v>0</v>
      </c>
      <c r="BE241">
        <f t="shared" si="1346"/>
        <v>0</v>
      </c>
      <c r="BF241">
        <f t="shared" si="1347"/>
        <v>0</v>
      </c>
      <c r="BG241">
        <f t="shared" si="1348"/>
        <v>0</v>
      </c>
      <c r="BH241">
        <f t="shared" si="1349"/>
        <v>0</v>
      </c>
      <c r="BI241">
        <f t="shared" si="1387"/>
        <v>0</v>
      </c>
      <c r="BJ241" s="8" t="str">
        <f>Hidden!$CC12</f>
        <v/>
      </c>
      <c r="BK241">
        <f t="shared" ref="BK241:BT241" si="1439">IF(BK$230,CP136,0)</f>
        <v>0</v>
      </c>
      <c r="BL241">
        <f t="shared" si="1439"/>
        <v>0</v>
      </c>
      <c r="BM241">
        <f t="shared" si="1439"/>
        <v>0</v>
      </c>
      <c r="BN241">
        <f t="shared" si="1439"/>
        <v>0</v>
      </c>
      <c r="BO241">
        <f t="shared" si="1439"/>
        <v>0</v>
      </c>
      <c r="BP241">
        <f t="shared" si="1439"/>
        <v>0</v>
      </c>
      <c r="BQ241">
        <f t="shared" si="1439"/>
        <v>0</v>
      </c>
      <c r="BR241">
        <f t="shared" si="1439"/>
        <v>0</v>
      </c>
      <c r="BS241">
        <f t="shared" si="1439"/>
        <v>0</v>
      </c>
      <c r="BT241">
        <f t="shared" si="1439"/>
        <v>0</v>
      </c>
      <c r="BU241">
        <f t="shared" ref="BU241:CD241" si="1440">IF(BU$230,CP136,0)</f>
        <v>0</v>
      </c>
      <c r="BV241">
        <f t="shared" si="1440"/>
        <v>0</v>
      </c>
      <c r="BW241">
        <f t="shared" si="1440"/>
        <v>0</v>
      </c>
      <c r="BX241">
        <f t="shared" si="1440"/>
        <v>0</v>
      </c>
      <c r="BY241">
        <f t="shared" si="1440"/>
        <v>0</v>
      </c>
      <c r="BZ241">
        <f t="shared" si="1440"/>
        <v>0</v>
      </c>
      <c r="CA241">
        <f t="shared" si="1440"/>
        <v>0</v>
      </c>
      <c r="CB241">
        <f t="shared" si="1440"/>
        <v>0</v>
      </c>
      <c r="CC241">
        <f t="shared" si="1440"/>
        <v>0</v>
      </c>
      <c r="CD241">
        <f t="shared" si="1440"/>
        <v>0</v>
      </c>
      <c r="CE241">
        <f t="shared" si="1352"/>
        <v>0</v>
      </c>
      <c r="CF241">
        <f t="shared" si="1353"/>
        <v>0</v>
      </c>
      <c r="CG241">
        <f t="shared" si="1354"/>
        <v>0</v>
      </c>
      <c r="CH241">
        <f t="shared" si="1355"/>
        <v>0</v>
      </c>
      <c r="CI241">
        <f t="shared" si="1356"/>
        <v>0</v>
      </c>
      <c r="CJ241">
        <f t="shared" si="1357"/>
        <v>0</v>
      </c>
      <c r="CK241">
        <f t="shared" si="1390"/>
        <v>0</v>
      </c>
      <c r="CL241">
        <f t="shared" si="1358"/>
        <v>0</v>
      </c>
      <c r="CM241">
        <f t="shared" si="1359"/>
        <v>0</v>
      </c>
      <c r="CN241">
        <f t="shared" si="1360"/>
        <v>0</v>
      </c>
      <c r="CO241">
        <f t="shared" ref="CO241:CX241" si="1441">IF(CO$230,CP136,0)</f>
        <v>0</v>
      </c>
      <c r="CP241">
        <f t="shared" si="1441"/>
        <v>0</v>
      </c>
      <c r="CQ241">
        <f t="shared" si="1441"/>
        <v>0</v>
      </c>
      <c r="CR241">
        <f t="shared" si="1441"/>
        <v>0</v>
      </c>
      <c r="CS241">
        <f t="shared" si="1441"/>
        <v>0</v>
      </c>
      <c r="CT241">
        <f t="shared" si="1441"/>
        <v>0</v>
      </c>
      <c r="CU241">
        <f t="shared" si="1441"/>
        <v>0</v>
      </c>
      <c r="CV241">
        <f t="shared" si="1441"/>
        <v>0</v>
      </c>
      <c r="CW241">
        <f t="shared" si="1441"/>
        <v>0</v>
      </c>
      <c r="CX241">
        <f t="shared" si="1441"/>
        <v>0</v>
      </c>
      <c r="CY241">
        <f t="shared" si="1362"/>
        <v>0</v>
      </c>
      <c r="CZ241">
        <f t="shared" si="1363"/>
        <v>0</v>
      </c>
      <c r="DA241">
        <f t="shared" si="1364"/>
        <v>0</v>
      </c>
      <c r="DB241">
        <f t="shared" si="1365"/>
        <v>0</v>
      </c>
      <c r="DC241">
        <f t="shared" si="1366"/>
        <v>0</v>
      </c>
      <c r="DD241">
        <f t="shared" si="1367"/>
        <v>0</v>
      </c>
      <c r="DE241">
        <f t="shared" si="1368"/>
        <v>0</v>
      </c>
      <c r="DF241">
        <f t="shared" si="1369"/>
        <v>0</v>
      </c>
      <c r="DG241">
        <f t="shared" si="1370"/>
        <v>0</v>
      </c>
      <c r="DH241">
        <f t="shared" si="1371"/>
        <v>0</v>
      </c>
      <c r="DI241">
        <f t="shared" si="1372"/>
        <v>0</v>
      </c>
      <c r="DJ241">
        <f t="shared" si="1373"/>
        <v>0</v>
      </c>
      <c r="DK241">
        <f t="shared" si="1374"/>
        <v>0</v>
      </c>
      <c r="DL241">
        <f t="shared" si="1375"/>
        <v>0</v>
      </c>
      <c r="DM241">
        <f t="shared" si="1376"/>
        <v>0</v>
      </c>
      <c r="DN241">
        <f t="shared" si="1377"/>
        <v>0</v>
      </c>
      <c r="DO241">
        <f t="shared" si="1378"/>
        <v>0</v>
      </c>
      <c r="DP241">
        <f t="shared" si="1379"/>
        <v>0</v>
      </c>
      <c r="DQ241">
        <f t="shared" si="1380"/>
        <v>0</v>
      </c>
      <c r="DR241">
        <f t="shared" si="1381"/>
        <v>0</v>
      </c>
      <c r="DT241" s="77"/>
      <c r="DU241" s="8" t="str">
        <f>Hidden!$CG24</f>
        <v/>
      </c>
      <c r="DV241">
        <f t="shared" si="1176"/>
        <v>0</v>
      </c>
      <c r="DW241">
        <f t="shared" si="1177"/>
        <v>0</v>
      </c>
      <c r="DX241">
        <f t="shared" si="1178"/>
        <v>0</v>
      </c>
      <c r="DY241">
        <f t="shared" si="1179"/>
        <v>0</v>
      </c>
      <c r="DZ241">
        <f t="shared" si="1180"/>
        <v>0</v>
      </c>
      <c r="EA241">
        <f t="shared" si="1181"/>
        <v>0</v>
      </c>
      <c r="EB241">
        <f t="shared" si="1182"/>
        <v>0</v>
      </c>
      <c r="EC241">
        <f t="shared" si="1183"/>
        <v>0</v>
      </c>
      <c r="ED241">
        <f t="shared" si="1184"/>
        <v>0</v>
      </c>
      <c r="EE241">
        <f t="shared" si="1185"/>
        <v>0</v>
      </c>
      <c r="EF241">
        <f t="shared" si="1186"/>
        <v>0</v>
      </c>
      <c r="EG241">
        <f t="shared" si="1187"/>
        <v>0</v>
      </c>
      <c r="EH241">
        <f t="shared" si="1188"/>
        <v>0</v>
      </c>
      <c r="EI241">
        <f t="shared" si="1189"/>
        <v>0</v>
      </c>
      <c r="EJ241">
        <f t="shared" si="1190"/>
        <v>0</v>
      </c>
      <c r="EK241">
        <f t="shared" si="1191"/>
        <v>0</v>
      </c>
      <c r="EL241">
        <f t="shared" si="1192"/>
        <v>0</v>
      </c>
      <c r="EM241">
        <f t="shared" si="1193"/>
        <v>0</v>
      </c>
      <c r="EN241">
        <f t="shared" si="1194"/>
        <v>0</v>
      </c>
      <c r="EO241">
        <f t="shared" si="1195"/>
        <v>0</v>
      </c>
      <c r="EP241">
        <f t="shared" si="1196"/>
        <v>0</v>
      </c>
      <c r="EQ241">
        <f t="shared" si="1197"/>
        <v>0</v>
      </c>
      <c r="ER241">
        <f t="shared" si="1410"/>
        <v>0</v>
      </c>
      <c r="ES241">
        <f t="shared" ref="ES241:ET241" si="1442">IF(ES$218,FC136,0)</f>
        <v>0</v>
      </c>
      <c r="ET241">
        <f t="shared" si="1442"/>
        <v>0</v>
      </c>
      <c r="EU241">
        <f t="shared" si="1199"/>
        <v>0</v>
      </c>
      <c r="EV241">
        <f t="shared" si="1411"/>
        <v>0</v>
      </c>
      <c r="EW241">
        <f t="shared" si="1232"/>
        <v>0</v>
      </c>
      <c r="EX241">
        <f t="shared" si="1201"/>
        <v>0</v>
      </c>
      <c r="EY241">
        <f t="shared" si="1202"/>
        <v>0</v>
      </c>
      <c r="EZ241">
        <f t="shared" ref="EZ241:FI241" si="1443">IF(EZ$218,EZ136,0)</f>
        <v>0</v>
      </c>
      <c r="FA241">
        <f t="shared" si="1443"/>
        <v>0</v>
      </c>
      <c r="FB241">
        <f t="shared" si="1443"/>
        <v>0</v>
      </c>
      <c r="FC241">
        <f t="shared" si="1443"/>
        <v>0</v>
      </c>
      <c r="FD241">
        <f t="shared" si="1443"/>
        <v>0</v>
      </c>
      <c r="FE241">
        <f t="shared" si="1443"/>
        <v>0</v>
      </c>
      <c r="FF241">
        <f t="shared" si="1443"/>
        <v>0</v>
      </c>
      <c r="FG241">
        <f t="shared" si="1443"/>
        <v>0</v>
      </c>
      <c r="FH241">
        <f t="shared" si="1443"/>
        <v>0</v>
      </c>
      <c r="FI241">
        <f t="shared" si="1443"/>
        <v>0</v>
      </c>
      <c r="FJ241">
        <f t="shared" si="1204"/>
        <v>0</v>
      </c>
      <c r="FK241">
        <f t="shared" si="1205"/>
        <v>0</v>
      </c>
      <c r="FL241">
        <f t="shared" si="1413"/>
        <v>0</v>
      </c>
      <c r="FM241">
        <f t="shared" si="1234"/>
        <v>0</v>
      </c>
      <c r="FN241">
        <f t="shared" si="1207"/>
        <v>0</v>
      </c>
      <c r="FO241">
        <f t="shared" si="1208"/>
        <v>0</v>
      </c>
      <c r="FP241">
        <f t="shared" si="1209"/>
        <v>0</v>
      </c>
      <c r="FQ241">
        <f t="shared" si="1210"/>
        <v>0</v>
      </c>
      <c r="FR241">
        <f t="shared" si="1211"/>
        <v>0</v>
      </c>
      <c r="FS241">
        <f t="shared" si="1212"/>
        <v>0</v>
      </c>
      <c r="FT241">
        <f t="shared" si="1213"/>
        <v>0</v>
      </c>
      <c r="FU241">
        <f t="shared" si="1214"/>
        <v>0</v>
      </c>
      <c r="FV241">
        <f t="shared" si="1215"/>
        <v>0</v>
      </c>
      <c r="FW241">
        <f t="shared" si="1216"/>
        <v>0</v>
      </c>
      <c r="FX241">
        <f t="shared" si="1414"/>
        <v>0</v>
      </c>
      <c r="FY241">
        <f t="shared" si="1235"/>
        <v>0</v>
      </c>
      <c r="FZ241">
        <f t="shared" si="1218"/>
        <v>0</v>
      </c>
      <c r="GA241">
        <f t="shared" si="1219"/>
        <v>0</v>
      </c>
      <c r="GB241">
        <f t="shared" si="1220"/>
        <v>0</v>
      </c>
      <c r="GC241">
        <f t="shared" si="1221"/>
        <v>0</v>
      </c>
    </row>
    <row r="242" spans="1:185" x14ac:dyDescent="0.2">
      <c r="A242" s="8" t="str">
        <f t="shared" si="1311"/>
        <v/>
      </c>
      <c r="B242" s="8">
        <f t="shared" si="1312"/>
        <v>0</v>
      </c>
      <c r="C242" s="8">
        <f t="shared" si="1313"/>
        <v>0</v>
      </c>
      <c r="D242" s="8">
        <f t="shared" si="1314"/>
        <v>0</v>
      </c>
      <c r="E242" s="8">
        <f t="shared" si="1315"/>
        <v>0</v>
      </c>
      <c r="F242" s="8">
        <f t="shared" si="1384"/>
        <v>0</v>
      </c>
      <c r="G242" s="8">
        <f t="shared" si="1427"/>
        <v>0</v>
      </c>
      <c r="H242" s="8">
        <f t="shared" si="1428"/>
        <v>0</v>
      </c>
      <c r="I242" s="8">
        <f t="shared" si="1429"/>
        <v>0</v>
      </c>
      <c r="J242" s="8">
        <f t="shared" si="1430"/>
        <v>0</v>
      </c>
      <c r="K242" s="8">
        <f t="shared" si="1431"/>
        <v>0</v>
      </c>
      <c r="L242">
        <f t="shared" si="1320"/>
        <v>0</v>
      </c>
      <c r="M242">
        <f t="shared" si="1321"/>
        <v>0</v>
      </c>
      <c r="N242">
        <f t="shared" si="1322"/>
        <v>0</v>
      </c>
      <c r="O242">
        <f t="shared" si="1323"/>
        <v>0</v>
      </c>
      <c r="P242">
        <f t="shared" si="1324"/>
        <v>0</v>
      </c>
      <c r="Q242">
        <f t="shared" si="1325"/>
        <v>0</v>
      </c>
      <c r="R242">
        <f t="shared" si="1326"/>
        <v>0</v>
      </c>
      <c r="S242" s="8">
        <f t="shared" si="1327"/>
        <v>0</v>
      </c>
      <c r="T242" s="8">
        <f t="shared" si="1328"/>
        <v>0</v>
      </c>
      <c r="U242" s="8">
        <f t="shared" si="1329"/>
        <v>0</v>
      </c>
      <c r="V242">
        <f>IF(V$230,LandEmiss!AF137,0)</f>
        <v>0</v>
      </c>
      <c r="W242">
        <f>IF(W$230,LandEmiss!AG137,0)</f>
        <v>0</v>
      </c>
      <c r="X242">
        <f>IF(X$230,LandEmiss!AH137,0)</f>
        <v>0</v>
      </c>
      <c r="Y242">
        <f>IF(Y$230,LandEmiss!AI137,0)</f>
        <v>0</v>
      </c>
      <c r="Z242">
        <f>IF(Z$230,LandEmiss!AJ137,0)</f>
        <v>0</v>
      </c>
      <c r="AA242">
        <f>IF(AA$230,LandEmiss!AK137,0)</f>
        <v>0</v>
      </c>
      <c r="AB242">
        <f>IF(AB$230,LandEmiss!AL137,0)</f>
        <v>0</v>
      </c>
      <c r="AC242">
        <f>IF(AC$230,LandEmiss!AM137,0)</f>
        <v>0</v>
      </c>
      <c r="AD242">
        <f>IF(AD$230,LandEmiss!AN137,0)</f>
        <v>0</v>
      </c>
      <c r="AE242">
        <f>IF(AE$230,LandEmiss!AO137,0)</f>
        <v>0</v>
      </c>
      <c r="AF242">
        <f t="shared" ref="AF242:AO242" si="1444">IF(AF$230,AF137,0)</f>
        <v>0</v>
      </c>
      <c r="AG242">
        <f t="shared" si="1444"/>
        <v>0</v>
      </c>
      <c r="AH242">
        <f t="shared" si="1444"/>
        <v>0</v>
      </c>
      <c r="AI242">
        <f t="shared" si="1444"/>
        <v>0</v>
      </c>
      <c r="AJ242">
        <f t="shared" si="1444"/>
        <v>0</v>
      </c>
      <c r="AK242">
        <f t="shared" si="1444"/>
        <v>0</v>
      </c>
      <c r="AL242">
        <f t="shared" si="1444"/>
        <v>0</v>
      </c>
      <c r="AM242">
        <f t="shared" si="1444"/>
        <v>0</v>
      </c>
      <c r="AN242">
        <f t="shared" si="1444"/>
        <v>0</v>
      </c>
      <c r="AO242">
        <f t="shared" si="1444"/>
        <v>0</v>
      </c>
      <c r="AP242">
        <f t="shared" si="1331"/>
        <v>0</v>
      </c>
      <c r="AQ242">
        <f t="shared" si="1332"/>
        <v>0</v>
      </c>
      <c r="AR242">
        <f t="shared" si="1333"/>
        <v>0</v>
      </c>
      <c r="AS242">
        <f t="shared" si="1334"/>
        <v>0</v>
      </c>
      <c r="AT242">
        <f t="shared" si="1335"/>
        <v>0</v>
      </c>
      <c r="AU242">
        <f t="shared" si="1336"/>
        <v>0</v>
      </c>
      <c r="AV242">
        <f t="shared" si="1337"/>
        <v>0</v>
      </c>
      <c r="AW242">
        <f t="shared" si="1338"/>
        <v>0</v>
      </c>
      <c r="AX242">
        <f t="shared" si="1339"/>
        <v>0</v>
      </c>
      <c r="AY242">
        <f t="shared" si="1340"/>
        <v>0</v>
      </c>
      <c r="AZ242">
        <f t="shared" si="1341"/>
        <v>0</v>
      </c>
      <c r="BA242">
        <f t="shared" si="1342"/>
        <v>0</v>
      </c>
      <c r="BB242">
        <f t="shared" si="1343"/>
        <v>0</v>
      </c>
      <c r="BC242">
        <f t="shared" si="1344"/>
        <v>0</v>
      </c>
      <c r="BD242">
        <f t="shared" si="1345"/>
        <v>0</v>
      </c>
      <c r="BE242">
        <f t="shared" si="1346"/>
        <v>0</v>
      </c>
      <c r="BF242">
        <f t="shared" si="1347"/>
        <v>0</v>
      </c>
      <c r="BG242">
        <f t="shared" si="1348"/>
        <v>0</v>
      </c>
      <c r="BH242">
        <f t="shared" si="1349"/>
        <v>0</v>
      </c>
      <c r="BI242">
        <f t="shared" si="1387"/>
        <v>0</v>
      </c>
      <c r="BJ242" s="8" t="str">
        <f>Hidden!$CC13</f>
        <v/>
      </c>
      <c r="BK242">
        <f t="shared" ref="BK242:BT242" si="1445">IF(BK$230,CP137,0)</f>
        <v>0</v>
      </c>
      <c r="BL242">
        <f t="shared" si="1445"/>
        <v>0</v>
      </c>
      <c r="BM242">
        <f t="shared" si="1445"/>
        <v>0</v>
      </c>
      <c r="BN242">
        <f t="shared" si="1445"/>
        <v>0</v>
      </c>
      <c r="BO242">
        <f t="shared" si="1445"/>
        <v>0</v>
      </c>
      <c r="BP242">
        <f t="shared" si="1445"/>
        <v>0</v>
      </c>
      <c r="BQ242">
        <f t="shared" si="1445"/>
        <v>0</v>
      </c>
      <c r="BR242">
        <f t="shared" si="1445"/>
        <v>0</v>
      </c>
      <c r="BS242">
        <f t="shared" si="1445"/>
        <v>0</v>
      </c>
      <c r="BT242">
        <f t="shared" si="1445"/>
        <v>0</v>
      </c>
      <c r="BU242">
        <f t="shared" ref="BU242:CD242" si="1446">IF(BU$230,CP137,0)</f>
        <v>0</v>
      </c>
      <c r="BV242">
        <f t="shared" si="1446"/>
        <v>0</v>
      </c>
      <c r="BW242">
        <f t="shared" si="1446"/>
        <v>0</v>
      </c>
      <c r="BX242">
        <f t="shared" si="1446"/>
        <v>0</v>
      </c>
      <c r="BY242">
        <f t="shared" si="1446"/>
        <v>0</v>
      </c>
      <c r="BZ242">
        <f t="shared" si="1446"/>
        <v>0</v>
      </c>
      <c r="CA242">
        <f t="shared" si="1446"/>
        <v>0</v>
      </c>
      <c r="CB242">
        <f t="shared" si="1446"/>
        <v>0</v>
      </c>
      <c r="CC242">
        <f t="shared" si="1446"/>
        <v>0</v>
      </c>
      <c r="CD242">
        <f t="shared" si="1446"/>
        <v>0</v>
      </c>
      <c r="CE242">
        <f t="shared" si="1352"/>
        <v>0</v>
      </c>
      <c r="CF242">
        <f t="shared" si="1353"/>
        <v>0</v>
      </c>
      <c r="CG242">
        <f t="shared" si="1354"/>
        <v>0</v>
      </c>
      <c r="CH242">
        <f t="shared" si="1355"/>
        <v>0</v>
      </c>
      <c r="CI242">
        <f t="shared" si="1356"/>
        <v>0</v>
      </c>
      <c r="CJ242">
        <f t="shared" si="1357"/>
        <v>0</v>
      </c>
      <c r="CK242">
        <f t="shared" si="1390"/>
        <v>0</v>
      </c>
      <c r="CL242">
        <f t="shared" si="1358"/>
        <v>0</v>
      </c>
      <c r="CM242">
        <f t="shared" si="1359"/>
        <v>0</v>
      </c>
      <c r="CN242">
        <f t="shared" si="1360"/>
        <v>0</v>
      </c>
      <c r="CO242">
        <f t="shared" ref="CO242:CX242" si="1447">IF(CO$230,CP137,0)</f>
        <v>0</v>
      </c>
      <c r="CP242">
        <f t="shared" si="1447"/>
        <v>0</v>
      </c>
      <c r="CQ242">
        <f t="shared" si="1447"/>
        <v>0</v>
      </c>
      <c r="CR242">
        <f t="shared" si="1447"/>
        <v>0</v>
      </c>
      <c r="CS242">
        <f t="shared" si="1447"/>
        <v>0</v>
      </c>
      <c r="CT242">
        <f t="shared" si="1447"/>
        <v>0</v>
      </c>
      <c r="CU242">
        <f t="shared" si="1447"/>
        <v>0</v>
      </c>
      <c r="CV242">
        <f t="shared" si="1447"/>
        <v>0</v>
      </c>
      <c r="CW242">
        <f t="shared" si="1447"/>
        <v>0</v>
      </c>
      <c r="CX242">
        <f t="shared" si="1447"/>
        <v>0</v>
      </c>
      <c r="CY242">
        <f t="shared" si="1362"/>
        <v>0</v>
      </c>
      <c r="CZ242">
        <f t="shared" si="1363"/>
        <v>0</v>
      </c>
      <c r="DA242">
        <f t="shared" si="1364"/>
        <v>0</v>
      </c>
      <c r="DB242">
        <f t="shared" si="1365"/>
        <v>0</v>
      </c>
      <c r="DC242">
        <f t="shared" si="1366"/>
        <v>0</v>
      </c>
      <c r="DD242">
        <f t="shared" si="1367"/>
        <v>0</v>
      </c>
      <c r="DE242">
        <f t="shared" si="1368"/>
        <v>0</v>
      </c>
      <c r="DF242">
        <f t="shared" si="1369"/>
        <v>0</v>
      </c>
      <c r="DG242">
        <f t="shared" si="1370"/>
        <v>0</v>
      </c>
      <c r="DH242">
        <f t="shared" si="1371"/>
        <v>0</v>
      </c>
      <c r="DI242">
        <f t="shared" si="1372"/>
        <v>0</v>
      </c>
      <c r="DJ242">
        <f t="shared" si="1373"/>
        <v>0</v>
      </c>
      <c r="DK242">
        <f t="shared" si="1374"/>
        <v>0</v>
      </c>
      <c r="DL242">
        <f t="shared" si="1375"/>
        <v>0</v>
      </c>
      <c r="DM242">
        <f t="shared" si="1376"/>
        <v>0</v>
      </c>
      <c r="DN242">
        <f t="shared" si="1377"/>
        <v>0</v>
      </c>
      <c r="DO242">
        <f t="shared" si="1378"/>
        <v>0</v>
      </c>
      <c r="DP242">
        <f t="shared" si="1379"/>
        <v>0</v>
      </c>
      <c r="DQ242">
        <f t="shared" si="1380"/>
        <v>0</v>
      </c>
      <c r="DR242">
        <f t="shared" si="1381"/>
        <v>0</v>
      </c>
      <c r="DT242" s="77"/>
      <c r="DU242" s="8" t="str">
        <f>Hidden!$CG25</f>
        <v/>
      </c>
      <c r="DV242">
        <f t="shared" si="1176"/>
        <v>0</v>
      </c>
      <c r="DW242">
        <f t="shared" si="1177"/>
        <v>0</v>
      </c>
      <c r="DX242">
        <f t="shared" si="1178"/>
        <v>0</v>
      </c>
      <c r="DY242">
        <f t="shared" si="1179"/>
        <v>0</v>
      </c>
      <c r="DZ242">
        <f t="shared" si="1180"/>
        <v>0</v>
      </c>
      <c r="EA242">
        <f t="shared" si="1181"/>
        <v>0</v>
      </c>
      <c r="EB242">
        <f t="shared" si="1182"/>
        <v>0</v>
      </c>
      <c r="EC242">
        <f t="shared" si="1183"/>
        <v>0</v>
      </c>
      <c r="ED242">
        <f t="shared" si="1184"/>
        <v>0</v>
      </c>
      <c r="EE242">
        <f t="shared" si="1185"/>
        <v>0</v>
      </c>
      <c r="EF242">
        <f t="shared" si="1186"/>
        <v>0</v>
      </c>
      <c r="EG242">
        <f t="shared" si="1187"/>
        <v>0</v>
      </c>
      <c r="EH242">
        <f t="shared" si="1188"/>
        <v>0</v>
      </c>
      <c r="EI242">
        <f t="shared" si="1189"/>
        <v>0</v>
      </c>
      <c r="EJ242">
        <f t="shared" si="1190"/>
        <v>0</v>
      </c>
      <c r="EK242">
        <f t="shared" si="1191"/>
        <v>0</v>
      </c>
      <c r="EL242">
        <f t="shared" si="1192"/>
        <v>0</v>
      </c>
      <c r="EM242">
        <f t="shared" si="1193"/>
        <v>0</v>
      </c>
      <c r="EN242">
        <f t="shared" si="1194"/>
        <v>0</v>
      </c>
      <c r="EO242">
        <f t="shared" si="1195"/>
        <v>0</v>
      </c>
      <c r="EP242">
        <f t="shared" si="1196"/>
        <v>0</v>
      </c>
      <c r="EQ242">
        <f t="shared" si="1197"/>
        <v>0</v>
      </c>
      <c r="ER242">
        <f t="shared" si="1410"/>
        <v>0</v>
      </c>
      <c r="ES242">
        <f t="shared" ref="ES242:ET242" si="1448">IF(ES$218,FC137,0)</f>
        <v>0</v>
      </c>
      <c r="ET242">
        <f t="shared" si="1448"/>
        <v>0</v>
      </c>
      <c r="EU242">
        <f t="shared" si="1199"/>
        <v>0</v>
      </c>
      <c r="EV242">
        <f t="shared" si="1411"/>
        <v>0</v>
      </c>
      <c r="EW242">
        <f t="shared" si="1232"/>
        <v>0</v>
      </c>
      <c r="EX242">
        <f t="shared" si="1201"/>
        <v>0</v>
      </c>
      <c r="EY242">
        <f t="shared" si="1202"/>
        <v>0</v>
      </c>
      <c r="EZ242">
        <f t="shared" ref="EZ242:FI242" si="1449">IF(EZ$218,EZ137,0)</f>
        <v>0</v>
      </c>
      <c r="FA242">
        <f t="shared" si="1449"/>
        <v>0</v>
      </c>
      <c r="FB242">
        <f t="shared" si="1449"/>
        <v>0</v>
      </c>
      <c r="FC242">
        <f t="shared" si="1449"/>
        <v>0</v>
      </c>
      <c r="FD242">
        <f t="shared" si="1449"/>
        <v>0</v>
      </c>
      <c r="FE242">
        <f t="shared" si="1449"/>
        <v>0</v>
      </c>
      <c r="FF242">
        <f t="shared" si="1449"/>
        <v>0</v>
      </c>
      <c r="FG242">
        <f t="shared" si="1449"/>
        <v>0</v>
      </c>
      <c r="FH242">
        <f t="shared" si="1449"/>
        <v>0</v>
      </c>
      <c r="FI242">
        <f t="shared" si="1449"/>
        <v>0</v>
      </c>
      <c r="FJ242">
        <f t="shared" si="1204"/>
        <v>0</v>
      </c>
      <c r="FK242">
        <f t="shared" si="1205"/>
        <v>0</v>
      </c>
      <c r="FL242">
        <f t="shared" si="1413"/>
        <v>0</v>
      </c>
      <c r="FM242">
        <f t="shared" si="1234"/>
        <v>0</v>
      </c>
      <c r="FN242">
        <f t="shared" si="1207"/>
        <v>0</v>
      </c>
      <c r="FO242">
        <f t="shared" si="1208"/>
        <v>0</v>
      </c>
      <c r="FP242">
        <f t="shared" si="1209"/>
        <v>0</v>
      </c>
      <c r="FQ242">
        <f t="shared" si="1210"/>
        <v>0</v>
      </c>
      <c r="FR242">
        <f t="shared" si="1211"/>
        <v>0</v>
      </c>
      <c r="FS242">
        <f t="shared" si="1212"/>
        <v>0</v>
      </c>
      <c r="FT242">
        <f t="shared" si="1213"/>
        <v>0</v>
      </c>
      <c r="FU242">
        <f t="shared" si="1214"/>
        <v>0</v>
      </c>
      <c r="FV242">
        <f t="shared" si="1215"/>
        <v>0</v>
      </c>
      <c r="FW242">
        <f t="shared" si="1216"/>
        <v>0</v>
      </c>
      <c r="FX242">
        <f t="shared" si="1414"/>
        <v>0</v>
      </c>
      <c r="FY242">
        <f t="shared" si="1235"/>
        <v>0</v>
      </c>
      <c r="FZ242">
        <f t="shared" si="1218"/>
        <v>0</v>
      </c>
      <c r="GA242">
        <f t="shared" si="1219"/>
        <v>0</v>
      </c>
      <c r="GB242">
        <f t="shared" si="1220"/>
        <v>0</v>
      </c>
      <c r="GC242">
        <f t="shared" si="1221"/>
        <v>0</v>
      </c>
    </row>
    <row r="243" spans="1:185" x14ac:dyDescent="0.2">
      <c r="A243" s="8" t="str">
        <f t="shared" si="1311"/>
        <v/>
      </c>
      <c r="B243" s="8">
        <f t="shared" si="1312"/>
        <v>0</v>
      </c>
      <c r="C243" s="8">
        <f t="shared" si="1313"/>
        <v>0</v>
      </c>
      <c r="D243" s="8">
        <f t="shared" si="1314"/>
        <v>0</v>
      </c>
      <c r="E243" s="8">
        <f t="shared" si="1315"/>
        <v>0</v>
      </c>
      <c r="F243" s="8">
        <f t="shared" si="1384"/>
        <v>0</v>
      </c>
      <c r="G243" s="8">
        <f t="shared" si="1427"/>
        <v>0</v>
      </c>
      <c r="H243" s="8">
        <f t="shared" si="1428"/>
        <v>0</v>
      </c>
      <c r="I243" s="8">
        <f t="shared" si="1429"/>
        <v>0</v>
      </c>
      <c r="J243" s="8">
        <f t="shared" si="1430"/>
        <v>0</v>
      </c>
      <c r="K243" s="8">
        <f t="shared" si="1431"/>
        <v>0</v>
      </c>
      <c r="L243">
        <f t="shared" si="1320"/>
        <v>0</v>
      </c>
      <c r="M243">
        <f t="shared" si="1321"/>
        <v>0</v>
      </c>
      <c r="N243">
        <f t="shared" si="1322"/>
        <v>0</v>
      </c>
      <c r="O243">
        <f t="shared" si="1323"/>
        <v>0</v>
      </c>
      <c r="P243">
        <f t="shared" si="1324"/>
        <v>0</v>
      </c>
      <c r="Q243">
        <f t="shared" si="1325"/>
        <v>0</v>
      </c>
      <c r="R243">
        <f t="shared" si="1326"/>
        <v>0</v>
      </c>
      <c r="S243" s="8">
        <f t="shared" si="1327"/>
        <v>0</v>
      </c>
      <c r="T243" s="8">
        <f t="shared" si="1328"/>
        <v>0</v>
      </c>
      <c r="U243" s="8">
        <f t="shared" si="1329"/>
        <v>0</v>
      </c>
      <c r="V243">
        <f>IF(V$230,LandEmiss!AF138,0)</f>
        <v>0</v>
      </c>
      <c r="W243">
        <f>IF(W$230,LandEmiss!AG138,0)</f>
        <v>0</v>
      </c>
      <c r="X243">
        <f>IF(X$230,LandEmiss!AH138,0)</f>
        <v>0</v>
      </c>
      <c r="Y243">
        <f>IF(Y$230,LandEmiss!AI138,0)</f>
        <v>0</v>
      </c>
      <c r="Z243">
        <f>IF(Z$230,LandEmiss!AJ138,0)</f>
        <v>0</v>
      </c>
      <c r="AA243">
        <f>IF(AA$230,LandEmiss!AK138,0)</f>
        <v>0</v>
      </c>
      <c r="AB243">
        <f>IF(AB$230,LandEmiss!AL138,0)</f>
        <v>0</v>
      </c>
      <c r="AC243">
        <f>IF(AC$230,LandEmiss!AM138,0)</f>
        <v>0</v>
      </c>
      <c r="AD243">
        <f>IF(AD$230,LandEmiss!AN138,0)</f>
        <v>0</v>
      </c>
      <c r="AE243">
        <f>IF(AE$230,LandEmiss!AO138,0)</f>
        <v>0</v>
      </c>
      <c r="AF243">
        <f t="shared" ref="AF243:AO243" si="1450">IF(AF$230,AF138,0)</f>
        <v>0</v>
      </c>
      <c r="AG243">
        <f t="shared" si="1450"/>
        <v>0</v>
      </c>
      <c r="AH243">
        <f t="shared" si="1450"/>
        <v>0</v>
      </c>
      <c r="AI243">
        <f t="shared" si="1450"/>
        <v>0</v>
      </c>
      <c r="AJ243">
        <f t="shared" si="1450"/>
        <v>0</v>
      </c>
      <c r="AK243">
        <f t="shared" si="1450"/>
        <v>0</v>
      </c>
      <c r="AL243">
        <f t="shared" si="1450"/>
        <v>0</v>
      </c>
      <c r="AM243">
        <f t="shared" si="1450"/>
        <v>0</v>
      </c>
      <c r="AN243">
        <f t="shared" si="1450"/>
        <v>0</v>
      </c>
      <c r="AO243">
        <f t="shared" si="1450"/>
        <v>0</v>
      </c>
      <c r="AP243">
        <f t="shared" si="1331"/>
        <v>0</v>
      </c>
      <c r="AQ243">
        <f t="shared" si="1332"/>
        <v>0</v>
      </c>
      <c r="AR243">
        <f t="shared" si="1333"/>
        <v>0</v>
      </c>
      <c r="AS243">
        <f t="shared" si="1334"/>
        <v>0</v>
      </c>
      <c r="AT243">
        <f t="shared" si="1335"/>
        <v>0</v>
      </c>
      <c r="AU243">
        <f t="shared" si="1336"/>
        <v>0</v>
      </c>
      <c r="AV243">
        <f t="shared" si="1337"/>
        <v>0</v>
      </c>
      <c r="AW243">
        <f t="shared" si="1338"/>
        <v>0</v>
      </c>
      <c r="AX243">
        <f t="shared" si="1339"/>
        <v>0</v>
      </c>
      <c r="AY243">
        <f t="shared" si="1340"/>
        <v>0</v>
      </c>
      <c r="AZ243">
        <f t="shared" si="1341"/>
        <v>0</v>
      </c>
      <c r="BA243">
        <f t="shared" si="1342"/>
        <v>0</v>
      </c>
      <c r="BB243">
        <f t="shared" si="1343"/>
        <v>0</v>
      </c>
      <c r="BC243">
        <f t="shared" si="1344"/>
        <v>0</v>
      </c>
      <c r="BD243">
        <f t="shared" si="1345"/>
        <v>0</v>
      </c>
      <c r="BE243">
        <f t="shared" si="1346"/>
        <v>0</v>
      </c>
      <c r="BF243">
        <f t="shared" si="1347"/>
        <v>0</v>
      </c>
      <c r="BG243">
        <f t="shared" si="1348"/>
        <v>0</v>
      </c>
      <c r="BH243">
        <f t="shared" si="1349"/>
        <v>0</v>
      </c>
      <c r="BI243">
        <f t="shared" si="1387"/>
        <v>0</v>
      </c>
      <c r="BJ243" s="8" t="str">
        <f>Hidden!$CC14</f>
        <v/>
      </c>
      <c r="BK243">
        <f t="shared" ref="BK243:BT243" si="1451">IF(BK$230,CP138,0)</f>
        <v>0</v>
      </c>
      <c r="BL243">
        <f t="shared" si="1451"/>
        <v>0</v>
      </c>
      <c r="BM243">
        <f t="shared" si="1451"/>
        <v>0</v>
      </c>
      <c r="BN243">
        <f t="shared" si="1451"/>
        <v>0</v>
      </c>
      <c r="BO243">
        <f t="shared" si="1451"/>
        <v>0</v>
      </c>
      <c r="BP243">
        <f t="shared" si="1451"/>
        <v>0</v>
      </c>
      <c r="BQ243">
        <f t="shared" si="1451"/>
        <v>0</v>
      </c>
      <c r="BR243">
        <f t="shared" si="1451"/>
        <v>0</v>
      </c>
      <c r="BS243">
        <f t="shared" si="1451"/>
        <v>0</v>
      </c>
      <c r="BT243">
        <f t="shared" si="1451"/>
        <v>0</v>
      </c>
      <c r="BU243">
        <f t="shared" ref="BU243:CD243" si="1452">IF(BU$230,CP138,0)</f>
        <v>0</v>
      </c>
      <c r="BV243">
        <f t="shared" si="1452"/>
        <v>0</v>
      </c>
      <c r="BW243">
        <f t="shared" si="1452"/>
        <v>0</v>
      </c>
      <c r="BX243">
        <f t="shared" si="1452"/>
        <v>0</v>
      </c>
      <c r="BY243">
        <f t="shared" si="1452"/>
        <v>0</v>
      </c>
      <c r="BZ243">
        <f t="shared" si="1452"/>
        <v>0</v>
      </c>
      <c r="CA243">
        <f t="shared" si="1452"/>
        <v>0</v>
      </c>
      <c r="CB243">
        <f t="shared" si="1452"/>
        <v>0</v>
      </c>
      <c r="CC243">
        <f t="shared" si="1452"/>
        <v>0</v>
      </c>
      <c r="CD243">
        <f t="shared" si="1452"/>
        <v>0</v>
      </c>
      <c r="CE243">
        <f t="shared" si="1352"/>
        <v>0</v>
      </c>
      <c r="CF243">
        <f t="shared" si="1353"/>
        <v>0</v>
      </c>
      <c r="CG243">
        <f t="shared" si="1354"/>
        <v>0</v>
      </c>
      <c r="CH243">
        <f t="shared" si="1355"/>
        <v>0</v>
      </c>
      <c r="CI243">
        <f t="shared" si="1356"/>
        <v>0</v>
      </c>
      <c r="CJ243">
        <f t="shared" si="1357"/>
        <v>0</v>
      </c>
      <c r="CK243">
        <f t="shared" si="1390"/>
        <v>0</v>
      </c>
      <c r="CL243">
        <f t="shared" si="1358"/>
        <v>0</v>
      </c>
      <c r="CM243">
        <f t="shared" si="1359"/>
        <v>0</v>
      </c>
      <c r="CN243">
        <f t="shared" si="1360"/>
        <v>0</v>
      </c>
      <c r="CO243">
        <f t="shared" ref="CO243:CX243" si="1453">IF(CO$230,CP138,0)</f>
        <v>0</v>
      </c>
      <c r="CP243">
        <f t="shared" si="1453"/>
        <v>0</v>
      </c>
      <c r="CQ243">
        <f t="shared" si="1453"/>
        <v>0</v>
      </c>
      <c r="CR243">
        <f t="shared" si="1453"/>
        <v>0</v>
      </c>
      <c r="CS243">
        <f t="shared" si="1453"/>
        <v>0</v>
      </c>
      <c r="CT243">
        <f t="shared" si="1453"/>
        <v>0</v>
      </c>
      <c r="CU243">
        <f t="shared" si="1453"/>
        <v>0</v>
      </c>
      <c r="CV243">
        <f t="shared" si="1453"/>
        <v>0</v>
      </c>
      <c r="CW243">
        <f t="shared" si="1453"/>
        <v>0</v>
      </c>
      <c r="CX243">
        <f t="shared" si="1453"/>
        <v>0</v>
      </c>
      <c r="CY243">
        <f t="shared" si="1362"/>
        <v>0</v>
      </c>
      <c r="CZ243">
        <f t="shared" si="1363"/>
        <v>0</v>
      </c>
      <c r="DA243">
        <f t="shared" si="1364"/>
        <v>0</v>
      </c>
      <c r="DB243">
        <f t="shared" si="1365"/>
        <v>0</v>
      </c>
      <c r="DC243">
        <f t="shared" si="1366"/>
        <v>0</v>
      </c>
      <c r="DD243">
        <f t="shared" si="1367"/>
        <v>0</v>
      </c>
      <c r="DE243">
        <f t="shared" si="1368"/>
        <v>0</v>
      </c>
      <c r="DF243">
        <f t="shared" si="1369"/>
        <v>0</v>
      </c>
      <c r="DG243">
        <f t="shared" si="1370"/>
        <v>0</v>
      </c>
      <c r="DH243">
        <f t="shared" si="1371"/>
        <v>0</v>
      </c>
      <c r="DI243">
        <f t="shared" si="1372"/>
        <v>0</v>
      </c>
      <c r="DJ243">
        <f t="shared" si="1373"/>
        <v>0</v>
      </c>
      <c r="DK243">
        <f t="shared" si="1374"/>
        <v>0</v>
      </c>
      <c r="DL243">
        <f t="shared" si="1375"/>
        <v>0</v>
      </c>
      <c r="DM243">
        <f t="shared" si="1376"/>
        <v>0</v>
      </c>
      <c r="DN243">
        <f t="shared" si="1377"/>
        <v>0</v>
      </c>
      <c r="DO243">
        <f t="shared" si="1378"/>
        <v>0</v>
      </c>
      <c r="DP243">
        <f t="shared" si="1379"/>
        <v>0</v>
      </c>
      <c r="DQ243">
        <f t="shared" si="1380"/>
        <v>0</v>
      </c>
      <c r="DR243">
        <f t="shared" si="1381"/>
        <v>0</v>
      </c>
      <c r="DT243" s="77"/>
      <c r="DU243" s="8" t="str">
        <f>Hidden!$CG26</f>
        <v/>
      </c>
      <c r="DV243">
        <f t="shared" si="1176"/>
        <v>0</v>
      </c>
      <c r="DW243">
        <f t="shared" si="1177"/>
        <v>0</v>
      </c>
      <c r="DX243">
        <f t="shared" si="1178"/>
        <v>0</v>
      </c>
      <c r="DY243">
        <f t="shared" si="1179"/>
        <v>0</v>
      </c>
      <c r="DZ243">
        <f t="shared" si="1180"/>
        <v>0</v>
      </c>
      <c r="EA243">
        <f t="shared" si="1181"/>
        <v>0</v>
      </c>
      <c r="EB243">
        <f t="shared" si="1182"/>
        <v>0</v>
      </c>
      <c r="EC243">
        <f t="shared" si="1183"/>
        <v>0</v>
      </c>
      <c r="ED243">
        <f t="shared" si="1184"/>
        <v>0</v>
      </c>
      <c r="EE243">
        <f t="shared" si="1185"/>
        <v>0</v>
      </c>
      <c r="EF243">
        <f t="shared" si="1186"/>
        <v>0</v>
      </c>
      <c r="EG243">
        <f t="shared" si="1187"/>
        <v>0</v>
      </c>
      <c r="EH243">
        <f t="shared" si="1188"/>
        <v>0</v>
      </c>
      <c r="EI243">
        <f t="shared" si="1189"/>
        <v>0</v>
      </c>
      <c r="EJ243">
        <f t="shared" si="1190"/>
        <v>0</v>
      </c>
      <c r="EK243">
        <f t="shared" si="1191"/>
        <v>0</v>
      </c>
      <c r="EL243">
        <f t="shared" si="1192"/>
        <v>0</v>
      </c>
      <c r="EM243">
        <f t="shared" si="1193"/>
        <v>0</v>
      </c>
      <c r="EN243">
        <f t="shared" si="1194"/>
        <v>0</v>
      </c>
      <c r="EO243">
        <f t="shared" si="1195"/>
        <v>0</v>
      </c>
      <c r="EP243">
        <f t="shared" si="1196"/>
        <v>0</v>
      </c>
      <c r="EQ243">
        <f t="shared" si="1197"/>
        <v>0</v>
      </c>
      <c r="ER243">
        <f t="shared" si="1410"/>
        <v>0</v>
      </c>
      <c r="ES243">
        <f t="shared" ref="ES243:ET243" si="1454">IF(ES$218,FC138,0)</f>
        <v>0</v>
      </c>
      <c r="ET243">
        <f t="shared" si="1454"/>
        <v>0</v>
      </c>
      <c r="EU243">
        <f t="shared" si="1199"/>
        <v>0</v>
      </c>
      <c r="EV243">
        <f t="shared" si="1411"/>
        <v>0</v>
      </c>
      <c r="EW243">
        <f t="shared" si="1232"/>
        <v>0</v>
      </c>
      <c r="EX243">
        <f t="shared" si="1201"/>
        <v>0</v>
      </c>
      <c r="EY243">
        <f t="shared" si="1202"/>
        <v>0</v>
      </c>
      <c r="EZ243">
        <f t="shared" ref="EZ243:FI243" si="1455">IF(EZ$218,EZ138,0)</f>
        <v>0</v>
      </c>
      <c r="FA243">
        <f t="shared" si="1455"/>
        <v>0</v>
      </c>
      <c r="FB243">
        <f t="shared" si="1455"/>
        <v>0</v>
      </c>
      <c r="FC243">
        <f t="shared" si="1455"/>
        <v>0</v>
      </c>
      <c r="FD243">
        <f t="shared" si="1455"/>
        <v>0</v>
      </c>
      <c r="FE243">
        <f t="shared" si="1455"/>
        <v>0</v>
      </c>
      <c r="FF243">
        <f t="shared" si="1455"/>
        <v>0</v>
      </c>
      <c r="FG243">
        <f t="shared" si="1455"/>
        <v>0</v>
      </c>
      <c r="FH243">
        <f t="shared" si="1455"/>
        <v>0</v>
      </c>
      <c r="FI243">
        <f t="shared" si="1455"/>
        <v>0</v>
      </c>
      <c r="FJ243">
        <f t="shared" si="1204"/>
        <v>0</v>
      </c>
      <c r="FK243">
        <f t="shared" si="1205"/>
        <v>0</v>
      </c>
      <c r="FL243">
        <f t="shared" si="1413"/>
        <v>0</v>
      </c>
      <c r="FM243">
        <f t="shared" si="1234"/>
        <v>0</v>
      </c>
      <c r="FN243">
        <f t="shared" si="1207"/>
        <v>0</v>
      </c>
      <c r="FO243">
        <f t="shared" si="1208"/>
        <v>0</v>
      </c>
      <c r="FP243">
        <f t="shared" si="1209"/>
        <v>0</v>
      </c>
      <c r="FQ243">
        <f t="shared" si="1210"/>
        <v>0</v>
      </c>
      <c r="FR243">
        <f t="shared" si="1211"/>
        <v>0</v>
      </c>
      <c r="FS243">
        <f t="shared" si="1212"/>
        <v>0</v>
      </c>
      <c r="FT243">
        <f t="shared" si="1213"/>
        <v>0</v>
      </c>
      <c r="FU243">
        <f t="shared" si="1214"/>
        <v>0</v>
      </c>
      <c r="FV243">
        <f t="shared" si="1215"/>
        <v>0</v>
      </c>
      <c r="FW243">
        <f t="shared" si="1216"/>
        <v>0</v>
      </c>
      <c r="FX243">
        <f t="shared" si="1414"/>
        <v>0</v>
      </c>
      <c r="FY243">
        <f t="shared" si="1235"/>
        <v>0</v>
      </c>
      <c r="FZ243">
        <f t="shared" si="1218"/>
        <v>0</v>
      </c>
      <c r="GA243">
        <f t="shared" si="1219"/>
        <v>0</v>
      </c>
      <c r="GB243">
        <f t="shared" si="1220"/>
        <v>0</v>
      </c>
      <c r="GC243">
        <f t="shared" si="1221"/>
        <v>0</v>
      </c>
    </row>
    <row r="244" spans="1:185" x14ac:dyDescent="0.2">
      <c r="A244" s="8" t="str">
        <f t="shared" si="1311"/>
        <v/>
      </c>
      <c r="B244" s="8">
        <f t="shared" si="1312"/>
        <v>0</v>
      </c>
      <c r="C244" s="8">
        <f t="shared" si="1313"/>
        <v>0</v>
      </c>
      <c r="D244" s="8">
        <f t="shared" si="1314"/>
        <v>0</v>
      </c>
      <c r="E244" s="8">
        <f t="shared" si="1315"/>
        <v>0</v>
      </c>
      <c r="F244" s="8">
        <f t="shared" si="1384"/>
        <v>0</v>
      </c>
      <c r="G244" s="8">
        <f t="shared" si="1427"/>
        <v>0</v>
      </c>
      <c r="H244" s="8">
        <f t="shared" si="1428"/>
        <v>0</v>
      </c>
      <c r="I244" s="8">
        <f t="shared" si="1429"/>
        <v>0</v>
      </c>
      <c r="J244" s="8">
        <f t="shared" si="1430"/>
        <v>0</v>
      </c>
      <c r="K244" s="8">
        <f t="shared" si="1431"/>
        <v>0</v>
      </c>
      <c r="L244">
        <f t="shared" si="1320"/>
        <v>0</v>
      </c>
      <c r="M244">
        <f t="shared" si="1321"/>
        <v>0</v>
      </c>
      <c r="N244">
        <f t="shared" si="1322"/>
        <v>0</v>
      </c>
      <c r="O244">
        <f t="shared" si="1323"/>
        <v>0</v>
      </c>
      <c r="P244">
        <f t="shared" si="1324"/>
        <v>0</v>
      </c>
      <c r="Q244">
        <f t="shared" si="1325"/>
        <v>0</v>
      </c>
      <c r="R244">
        <f t="shared" si="1326"/>
        <v>0</v>
      </c>
      <c r="S244" s="8">
        <f t="shared" si="1327"/>
        <v>0</v>
      </c>
      <c r="T244" s="8">
        <f t="shared" si="1328"/>
        <v>0</v>
      </c>
      <c r="U244" s="8">
        <f t="shared" si="1329"/>
        <v>0</v>
      </c>
      <c r="V244">
        <f>IF(V$230,LandEmiss!AF139,0)</f>
        <v>0</v>
      </c>
      <c r="W244">
        <f>IF(W$230,LandEmiss!AG139,0)</f>
        <v>0</v>
      </c>
      <c r="X244">
        <f>IF(X$230,LandEmiss!AH139,0)</f>
        <v>0</v>
      </c>
      <c r="Y244">
        <f>IF(Y$230,LandEmiss!AI139,0)</f>
        <v>0</v>
      </c>
      <c r="Z244">
        <f>IF(Z$230,LandEmiss!AJ139,0)</f>
        <v>0</v>
      </c>
      <c r="AA244">
        <f>IF(AA$230,LandEmiss!AK139,0)</f>
        <v>0</v>
      </c>
      <c r="AB244">
        <f>IF(AB$230,LandEmiss!AL139,0)</f>
        <v>0</v>
      </c>
      <c r="AC244">
        <f>IF(AC$230,LandEmiss!AM139,0)</f>
        <v>0</v>
      </c>
      <c r="AD244">
        <f>IF(AD$230,LandEmiss!AN139,0)</f>
        <v>0</v>
      </c>
      <c r="AE244">
        <f>IF(AE$230,LandEmiss!AO139,0)</f>
        <v>0</v>
      </c>
      <c r="AF244">
        <f t="shared" ref="AF244:AO244" si="1456">IF(AF$230,AF139,0)</f>
        <v>0</v>
      </c>
      <c r="AG244">
        <f t="shared" si="1456"/>
        <v>0</v>
      </c>
      <c r="AH244">
        <f t="shared" si="1456"/>
        <v>0</v>
      </c>
      <c r="AI244">
        <f t="shared" si="1456"/>
        <v>0</v>
      </c>
      <c r="AJ244">
        <f t="shared" si="1456"/>
        <v>0</v>
      </c>
      <c r="AK244">
        <f t="shared" si="1456"/>
        <v>0</v>
      </c>
      <c r="AL244">
        <f t="shared" si="1456"/>
        <v>0</v>
      </c>
      <c r="AM244">
        <f t="shared" si="1456"/>
        <v>0</v>
      </c>
      <c r="AN244">
        <f t="shared" si="1456"/>
        <v>0</v>
      </c>
      <c r="AO244">
        <f t="shared" si="1456"/>
        <v>0</v>
      </c>
      <c r="AP244">
        <f t="shared" si="1331"/>
        <v>0</v>
      </c>
      <c r="AQ244">
        <f t="shared" si="1332"/>
        <v>0</v>
      </c>
      <c r="AR244">
        <f t="shared" si="1333"/>
        <v>0</v>
      </c>
      <c r="AS244">
        <f t="shared" si="1334"/>
        <v>0</v>
      </c>
      <c r="AT244">
        <f t="shared" si="1335"/>
        <v>0</v>
      </c>
      <c r="AU244">
        <f t="shared" si="1336"/>
        <v>0</v>
      </c>
      <c r="AV244">
        <f t="shared" si="1337"/>
        <v>0</v>
      </c>
      <c r="AW244">
        <f t="shared" si="1338"/>
        <v>0</v>
      </c>
      <c r="AX244">
        <f t="shared" si="1339"/>
        <v>0</v>
      </c>
      <c r="AY244">
        <f t="shared" si="1340"/>
        <v>0</v>
      </c>
      <c r="AZ244">
        <f t="shared" si="1341"/>
        <v>0</v>
      </c>
      <c r="BA244">
        <f t="shared" si="1342"/>
        <v>0</v>
      </c>
      <c r="BB244">
        <f t="shared" si="1343"/>
        <v>0</v>
      </c>
      <c r="BC244">
        <f t="shared" si="1344"/>
        <v>0</v>
      </c>
      <c r="BD244">
        <f t="shared" si="1345"/>
        <v>0</v>
      </c>
      <c r="BE244">
        <f t="shared" si="1346"/>
        <v>0</v>
      </c>
      <c r="BF244">
        <f t="shared" si="1347"/>
        <v>0</v>
      </c>
      <c r="BG244">
        <f t="shared" si="1348"/>
        <v>0</v>
      </c>
      <c r="BH244">
        <f t="shared" si="1349"/>
        <v>0</v>
      </c>
      <c r="BI244">
        <f t="shared" si="1387"/>
        <v>0</v>
      </c>
      <c r="BJ244" s="8" t="str">
        <f>Hidden!$CC15</f>
        <v/>
      </c>
      <c r="BK244">
        <f t="shared" ref="BK244:BT244" si="1457">IF(BK$230,CP139,0)</f>
        <v>0</v>
      </c>
      <c r="BL244">
        <f t="shared" si="1457"/>
        <v>0</v>
      </c>
      <c r="BM244">
        <f t="shared" si="1457"/>
        <v>0</v>
      </c>
      <c r="BN244">
        <f t="shared" si="1457"/>
        <v>0</v>
      </c>
      <c r="BO244">
        <f t="shared" si="1457"/>
        <v>0</v>
      </c>
      <c r="BP244">
        <f t="shared" si="1457"/>
        <v>0</v>
      </c>
      <c r="BQ244">
        <f t="shared" si="1457"/>
        <v>0</v>
      </c>
      <c r="BR244">
        <f t="shared" si="1457"/>
        <v>0</v>
      </c>
      <c r="BS244">
        <f t="shared" si="1457"/>
        <v>0</v>
      </c>
      <c r="BT244">
        <f t="shared" si="1457"/>
        <v>0</v>
      </c>
      <c r="BU244">
        <f t="shared" ref="BU244:CD244" si="1458">IF(BU$230,CP139,0)</f>
        <v>0</v>
      </c>
      <c r="BV244">
        <f t="shared" si="1458"/>
        <v>0</v>
      </c>
      <c r="BW244">
        <f t="shared" si="1458"/>
        <v>0</v>
      </c>
      <c r="BX244">
        <f t="shared" si="1458"/>
        <v>0</v>
      </c>
      <c r="BY244">
        <f t="shared" si="1458"/>
        <v>0</v>
      </c>
      <c r="BZ244">
        <f t="shared" si="1458"/>
        <v>0</v>
      </c>
      <c r="CA244">
        <f t="shared" si="1458"/>
        <v>0</v>
      </c>
      <c r="CB244">
        <f t="shared" si="1458"/>
        <v>0</v>
      </c>
      <c r="CC244">
        <f t="shared" si="1458"/>
        <v>0</v>
      </c>
      <c r="CD244">
        <f t="shared" si="1458"/>
        <v>0</v>
      </c>
      <c r="CE244">
        <f t="shared" si="1352"/>
        <v>0</v>
      </c>
      <c r="CF244">
        <f t="shared" si="1353"/>
        <v>0</v>
      </c>
      <c r="CG244">
        <f t="shared" si="1354"/>
        <v>0</v>
      </c>
      <c r="CH244">
        <f t="shared" si="1355"/>
        <v>0</v>
      </c>
      <c r="CI244">
        <f t="shared" si="1356"/>
        <v>0</v>
      </c>
      <c r="CJ244">
        <f t="shared" si="1357"/>
        <v>0</v>
      </c>
      <c r="CK244">
        <f t="shared" si="1390"/>
        <v>0</v>
      </c>
      <c r="CL244">
        <f t="shared" si="1358"/>
        <v>0</v>
      </c>
      <c r="CM244">
        <f t="shared" si="1359"/>
        <v>0</v>
      </c>
      <c r="CN244">
        <f t="shared" si="1360"/>
        <v>0</v>
      </c>
      <c r="CO244">
        <f t="shared" ref="CO244:CX244" si="1459">IF(CO$230,CP139,0)</f>
        <v>0</v>
      </c>
      <c r="CP244">
        <f t="shared" si="1459"/>
        <v>0</v>
      </c>
      <c r="CQ244">
        <f t="shared" si="1459"/>
        <v>0</v>
      </c>
      <c r="CR244">
        <f t="shared" si="1459"/>
        <v>0</v>
      </c>
      <c r="CS244">
        <f t="shared" si="1459"/>
        <v>0</v>
      </c>
      <c r="CT244">
        <f t="shared" si="1459"/>
        <v>0</v>
      </c>
      <c r="CU244">
        <f t="shared" si="1459"/>
        <v>0</v>
      </c>
      <c r="CV244">
        <f t="shared" si="1459"/>
        <v>0</v>
      </c>
      <c r="CW244">
        <f t="shared" si="1459"/>
        <v>0</v>
      </c>
      <c r="CX244">
        <f t="shared" si="1459"/>
        <v>0</v>
      </c>
      <c r="CY244">
        <f t="shared" si="1362"/>
        <v>0</v>
      </c>
      <c r="CZ244">
        <f t="shared" si="1363"/>
        <v>0</v>
      </c>
      <c r="DA244">
        <f t="shared" si="1364"/>
        <v>0</v>
      </c>
      <c r="DB244">
        <f t="shared" si="1365"/>
        <v>0</v>
      </c>
      <c r="DC244">
        <f t="shared" si="1366"/>
        <v>0</v>
      </c>
      <c r="DD244">
        <f t="shared" si="1367"/>
        <v>0</v>
      </c>
      <c r="DE244">
        <f t="shared" si="1368"/>
        <v>0</v>
      </c>
      <c r="DF244">
        <f t="shared" si="1369"/>
        <v>0</v>
      </c>
      <c r="DG244">
        <f t="shared" si="1370"/>
        <v>0</v>
      </c>
      <c r="DH244">
        <f t="shared" si="1371"/>
        <v>0</v>
      </c>
      <c r="DI244">
        <f t="shared" si="1372"/>
        <v>0</v>
      </c>
      <c r="DJ244">
        <f t="shared" si="1373"/>
        <v>0</v>
      </c>
      <c r="DK244">
        <f t="shared" si="1374"/>
        <v>0</v>
      </c>
      <c r="DL244">
        <f t="shared" si="1375"/>
        <v>0</v>
      </c>
      <c r="DM244">
        <f t="shared" si="1376"/>
        <v>0</v>
      </c>
      <c r="DN244">
        <f t="shared" si="1377"/>
        <v>0</v>
      </c>
      <c r="DO244">
        <f t="shared" si="1378"/>
        <v>0</v>
      </c>
      <c r="DP244">
        <f t="shared" si="1379"/>
        <v>0</v>
      </c>
      <c r="DQ244">
        <f t="shared" si="1380"/>
        <v>0</v>
      </c>
      <c r="DR244">
        <f t="shared" si="1381"/>
        <v>0</v>
      </c>
      <c r="DT244" s="77"/>
      <c r="DU244" s="8" t="str">
        <f>Hidden!$CG27</f>
        <v/>
      </c>
      <c r="DV244">
        <f t="shared" si="1176"/>
        <v>0</v>
      </c>
      <c r="DW244">
        <f t="shared" si="1177"/>
        <v>0</v>
      </c>
      <c r="DX244">
        <f t="shared" si="1178"/>
        <v>0</v>
      </c>
      <c r="DY244">
        <f t="shared" si="1179"/>
        <v>0</v>
      </c>
      <c r="DZ244">
        <f t="shared" si="1180"/>
        <v>0</v>
      </c>
      <c r="EA244">
        <f t="shared" si="1181"/>
        <v>0</v>
      </c>
      <c r="EB244">
        <f t="shared" si="1182"/>
        <v>0</v>
      </c>
      <c r="EC244">
        <f t="shared" si="1183"/>
        <v>0</v>
      </c>
      <c r="ED244">
        <f t="shared" si="1184"/>
        <v>0</v>
      </c>
      <c r="EE244">
        <f t="shared" si="1185"/>
        <v>0</v>
      </c>
      <c r="EF244">
        <f t="shared" si="1186"/>
        <v>0</v>
      </c>
      <c r="EG244">
        <f t="shared" si="1187"/>
        <v>0</v>
      </c>
      <c r="EH244">
        <f t="shared" si="1188"/>
        <v>0</v>
      </c>
      <c r="EI244">
        <f t="shared" si="1189"/>
        <v>0</v>
      </c>
      <c r="EJ244">
        <f t="shared" si="1190"/>
        <v>0</v>
      </c>
      <c r="EK244">
        <f t="shared" si="1191"/>
        <v>0</v>
      </c>
      <c r="EL244">
        <f t="shared" si="1192"/>
        <v>0</v>
      </c>
      <c r="EM244">
        <f t="shared" si="1193"/>
        <v>0</v>
      </c>
      <c r="EN244">
        <f t="shared" si="1194"/>
        <v>0</v>
      </c>
      <c r="EO244">
        <f t="shared" si="1195"/>
        <v>0</v>
      </c>
      <c r="EP244">
        <f t="shared" si="1196"/>
        <v>0</v>
      </c>
      <c r="EQ244">
        <f t="shared" si="1197"/>
        <v>0</v>
      </c>
      <c r="ER244">
        <f t="shared" si="1410"/>
        <v>0</v>
      </c>
      <c r="ES244">
        <f t="shared" ref="ES244:ET244" si="1460">IF(ES$218,FC139,0)</f>
        <v>0</v>
      </c>
      <c r="ET244">
        <f t="shared" si="1460"/>
        <v>0</v>
      </c>
      <c r="EU244">
        <f t="shared" si="1199"/>
        <v>0</v>
      </c>
      <c r="EV244">
        <f t="shared" si="1411"/>
        <v>0</v>
      </c>
      <c r="EW244">
        <f t="shared" si="1232"/>
        <v>0</v>
      </c>
      <c r="EX244">
        <f t="shared" si="1201"/>
        <v>0</v>
      </c>
      <c r="EY244">
        <f t="shared" si="1202"/>
        <v>0</v>
      </c>
      <c r="EZ244">
        <f t="shared" ref="EZ244:FI244" si="1461">IF(EZ$218,EZ139,0)</f>
        <v>0</v>
      </c>
      <c r="FA244">
        <f t="shared" si="1461"/>
        <v>0</v>
      </c>
      <c r="FB244">
        <f t="shared" si="1461"/>
        <v>0</v>
      </c>
      <c r="FC244">
        <f t="shared" si="1461"/>
        <v>0</v>
      </c>
      <c r="FD244">
        <f t="shared" si="1461"/>
        <v>0</v>
      </c>
      <c r="FE244">
        <f t="shared" si="1461"/>
        <v>0</v>
      </c>
      <c r="FF244">
        <f t="shared" si="1461"/>
        <v>0</v>
      </c>
      <c r="FG244">
        <f t="shared" si="1461"/>
        <v>0</v>
      </c>
      <c r="FH244">
        <f t="shared" si="1461"/>
        <v>0</v>
      </c>
      <c r="FI244">
        <f t="shared" si="1461"/>
        <v>0</v>
      </c>
      <c r="FJ244">
        <f t="shared" si="1204"/>
        <v>0</v>
      </c>
      <c r="FK244">
        <f t="shared" si="1205"/>
        <v>0</v>
      </c>
      <c r="FL244">
        <f t="shared" si="1413"/>
        <v>0</v>
      </c>
      <c r="FM244">
        <f t="shared" si="1234"/>
        <v>0</v>
      </c>
      <c r="FN244">
        <f t="shared" si="1207"/>
        <v>0</v>
      </c>
      <c r="FO244">
        <f t="shared" si="1208"/>
        <v>0</v>
      </c>
      <c r="FP244">
        <f t="shared" si="1209"/>
        <v>0</v>
      </c>
      <c r="FQ244">
        <f t="shared" si="1210"/>
        <v>0</v>
      </c>
      <c r="FR244">
        <f t="shared" si="1211"/>
        <v>0</v>
      </c>
      <c r="FS244">
        <f t="shared" si="1212"/>
        <v>0</v>
      </c>
      <c r="FT244">
        <f t="shared" si="1213"/>
        <v>0</v>
      </c>
      <c r="FU244">
        <f t="shared" si="1214"/>
        <v>0</v>
      </c>
      <c r="FV244">
        <f t="shared" si="1215"/>
        <v>0</v>
      </c>
      <c r="FW244">
        <f t="shared" si="1216"/>
        <v>0</v>
      </c>
      <c r="FX244">
        <f t="shared" si="1414"/>
        <v>0</v>
      </c>
      <c r="FY244">
        <f t="shared" si="1235"/>
        <v>0</v>
      </c>
      <c r="FZ244">
        <f t="shared" si="1218"/>
        <v>0</v>
      </c>
      <c r="GA244">
        <f t="shared" si="1219"/>
        <v>0</v>
      </c>
      <c r="GB244">
        <f t="shared" si="1220"/>
        <v>0</v>
      </c>
      <c r="GC244">
        <f t="shared" si="1221"/>
        <v>0</v>
      </c>
    </row>
    <row r="245" spans="1:185" x14ac:dyDescent="0.2">
      <c r="A245" s="8" t="str">
        <f t="shared" si="1311"/>
        <v/>
      </c>
      <c r="B245" s="8">
        <f t="shared" si="1312"/>
        <v>0</v>
      </c>
      <c r="C245" s="8">
        <f t="shared" si="1313"/>
        <v>0</v>
      </c>
      <c r="D245" s="8">
        <f t="shared" si="1314"/>
        <v>0</v>
      </c>
      <c r="E245" s="8">
        <f t="shared" si="1315"/>
        <v>0</v>
      </c>
      <c r="F245" s="8">
        <f t="shared" si="1384"/>
        <v>0</v>
      </c>
      <c r="G245" s="8">
        <f t="shared" si="1427"/>
        <v>0</v>
      </c>
      <c r="H245" s="8">
        <f t="shared" si="1428"/>
        <v>0</v>
      </c>
      <c r="I245" s="8">
        <f t="shared" si="1429"/>
        <v>0</v>
      </c>
      <c r="J245" s="8">
        <f t="shared" si="1430"/>
        <v>0</v>
      </c>
      <c r="K245" s="8">
        <f t="shared" si="1431"/>
        <v>0</v>
      </c>
      <c r="L245">
        <f t="shared" si="1320"/>
        <v>0</v>
      </c>
      <c r="M245">
        <f t="shared" si="1321"/>
        <v>0</v>
      </c>
      <c r="N245">
        <f t="shared" si="1322"/>
        <v>0</v>
      </c>
      <c r="O245">
        <f t="shared" si="1323"/>
        <v>0</v>
      </c>
      <c r="P245">
        <f t="shared" si="1324"/>
        <v>0</v>
      </c>
      <c r="Q245">
        <f t="shared" si="1325"/>
        <v>0</v>
      </c>
      <c r="R245">
        <f t="shared" si="1326"/>
        <v>0</v>
      </c>
      <c r="S245" s="8">
        <f t="shared" si="1327"/>
        <v>0</v>
      </c>
      <c r="T245" s="8">
        <f t="shared" si="1328"/>
        <v>0</v>
      </c>
      <c r="U245" s="8">
        <f t="shared" si="1329"/>
        <v>0</v>
      </c>
      <c r="V245">
        <f>IF(V$230,LandEmiss!AF140,0)</f>
        <v>0</v>
      </c>
      <c r="W245">
        <f>IF(W$230,LandEmiss!AG140,0)</f>
        <v>0</v>
      </c>
      <c r="X245">
        <f>IF(X$230,LandEmiss!AH140,0)</f>
        <v>0</v>
      </c>
      <c r="Y245">
        <f>IF(Y$230,LandEmiss!AI140,0)</f>
        <v>0</v>
      </c>
      <c r="Z245">
        <f>IF(Z$230,LandEmiss!AJ140,0)</f>
        <v>0</v>
      </c>
      <c r="AA245">
        <f>IF(AA$230,LandEmiss!AK140,0)</f>
        <v>0</v>
      </c>
      <c r="AB245">
        <f>IF(AB$230,LandEmiss!AL140,0)</f>
        <v>0</v>
      </c>
      <c r="AC245">
        <f>IF(AC$230,LandEmiss!AM140,0)</f>
        <v>0</v>
      </c>
      <c r="AD245">
        <f>IF(AD$230,LandEmiss!AN140,0)</f>
        <v>0</v>
      </c>
      <c r="AE245">
        <f>IF(AE$230,LandEmiss!AO140,0)</f>
        <v>0</v>
      </c>
      <c r="AF245">
        <f t="shared" ref="AF245:AO245" si="1462">IF(AF$230,AF140,0)</f>
        <v>0</v>
      </c>
      <c r="AG245">
        <f t="shared" si="1462"/>
        <v>0</v>
      </c>
      <c r="AH245">
        <f t="shared" si="1462"/>
        <v>0</v>
      </c>
      <c r="AI245">
        <f t="shared" si="1462"/>
        <v>0</v>
      </c>
      <c r="AJ245">
        <f t="shared" si="1462"/>
        <v>0</v>
      </c>
      <c r="AK245">
        <f t="shared" si="1462"/>
        <v>0</v>
      </c>
      <c r="AL245">
        <f t="shared" si="1462"/>
        <v>0</v>
      </c>
      <c r="AM245">
        <f t="shared" si="1462"/>
        <v>0</v>
      </c>
      <c r="AN245">
        <f t="shared" si="1462"/>
        <v>0</v>
      </c>
      <c r="AO245">
        <f t="shared" si="1462"/>
        <v>0</v>
      </c>
      <c r="AP245">
        <f t="shared" si="1331"/>
        <v>0</v>
      </c>
      <c r="AQ245">
        <f t="shared" si="1332"/>
        <v>0</v>
      </c>
      <c r="AR245">
        <f t="shared" si="1333"/>
        <v>0</v>
      </c>
      <c r="AS245">
        <f t="shared" si="1334"/>
        <v>0</v>
      </c>
      <c r="AT245">
        <f t="shared" si="1335"/>
        <v>0</v>
      </c>
      <c r="AU245">
        <f t="shared" si="1336"/>
        <v>0</v>
      </c>
      <c r="AV245">
        <f t="shared" si="1337"/>
        <v>0</v>
      </c>
      <c r="AW245">
        <f t="shared" si="1338"/>
        <v>0</v>
      </c>
      <c r="AX245">
        <f t="shared" si="1339"/>
        <v>0</v>
      </c>
      <c r="AY245">
        <f t="shared" si="1340"/>
        <v>0</v>
      </c>
      <c r="AZ245">
        <f t="shared" si="1341"/>
        <v>0</v>
      </c>
      <c r="BA245">
        <f t="shared" si="1342"/>
        <v>0</v>
      </c>
      <c r="BB245">
        <f t="shared" si="1343"/>
        <v>0</v>
      </c>
      <c r="BC245">
        <f t="shared" si="1344"/>
        <v>0</v>
      </c>
      <c r="BD245">
        <f t="shared" si="1345"/>
        <v>0</v>
      </c>
      <c r="BE245">
        <f t="shared" si="1346"/>
        <v>0</v>
      </c>
      <c r="BF245">
        <f t="shared" si="1347"/>
        <v>0</v>
      </c>
      <c r="BG245">
        <f t="shared" si="1348"/>
        <v>0</v>
      </c>
      <c r="BH245">
        <f t="shared" si="1349"/>
        <v>0</v>
      </c>
      <c r="BI245">
        <f t="shared" si="1387"/>
        <v>0</v>
      </c>
      <c r="BJ245" s="8" t="str">
        <f>Hidden!$CC16</f>
        <v/>
      </c>
      <c r="BK245">
        <f t="shared" ref="BK245:BT245" si="1463">IF(BK$230,CP140,0)</f>
        <v>0</v>
      </c>
      <c r="BL245">
        <f t="shared" si="1463"/>
        <v>0</v>
      </c>
      <c r="BM245">
        <f t="shared" si="1463"/>
        <v>0</v>
      </c>
      <c r="BN245">
        <f t="shared" si="1463"/>
        <v>0</v>
      </c>
      <c r="BO245">
        <f t="shared" si="1463"/>
        <v>0</v>
      </c>
      <c r="BP245">
        <f t="shared" si="1463"/>
        <v>0</v>
      </c>
      <c r="BQ245">
        <f t="shared" si="1463"/>
        <v>0</v>
      </c>
      <c r="BR245">
        <f t="shared" si="1463"/>
        <v>0</v>
      </c>
      <c r="BS245">
        <f t="shared" si="1463"/>
        <v>0</v>
      </c>
      <c r="BT245">
        <f t="shared" si="1463"/>
        <v>0</v>
      </c>
      <c r="BU245">
        <f t="shared" ref="BU245:CD245" si="1464">IF(BU$230,CP140,0)</f>
        <v>0</v>
      </c>
      <c r="BV245">
        <f t="shared" si="1464"/>
        <v>0</v>
      </c>
      <c r="BW245">
        <f t="shared" si="1464"/>
        <v>0</v>
      </c>
      <c r="BX245">
        <f t="shared" si="1464"/>
        <v>0</v>
      </c>
      <c r="BY245">
        <f t="shared" si="1464"/>
        <v>0</v>
      </c>
      <c r="BZ245">
        <f t="shared" si="1464"/>
        <v>0</v>
      </c>
      <c r="CA245">
        <f t="shared" si="1464"/>
        <v>0</v>
      </c>
      <c r="CB245">
        <f t="shared" si="1464"/>
        <v>0</v>
      </c>
      <c r="CC245">
        <f t="shared" si="1464"/>
        <v>0</v>
      </c>
      <c r="CD245">
        <f t="shared" si="1464"/>
        <v>0</v>
      </c>
      <c r="CE245">
        <f t="shared" si="1352"/>
        <v>0</v>
      </c>
      <c r="CF245">
        <f t="shared" si="1353"/>
        <v>0</v>
      </c>
      <c r="CG245">
        <f t="shared" si="1354"/>
        <v>0</v>
      </c>
      <c r="CH245">
        <f t="shared" si="1355"/>
        <v>0</v>
      </c>
      <c r="CI245">
        <f t="shared" si="1356"/>
        <v>0</v>
      </c>
      <c r="CJ245">
        <f t="shared" si="1357"/>
        <v>0</v>
      </c>
      <c r="CK245">
        <f t="shared" si="1390"/>
        <v>0</v>
      </c>
      <c r="CL245">
        <f t="shared" si="1358"/>
        <v>0</v>
      </c>
      <c r="CM245">
        <f t="shared" si="1359"/>
        <v>0</v>
      </c>
      <c r="CN245">
        <f t="shared" si="1360"/>
        <v>0</v>
      </c>
      <c r="CO245">
        <f t="shared" ref="CO245:CX245" si="1465">IF(CO$230,CP140,0)</f>
        <v>0</v>
      </c>
      <c r="CP245">
        <f t="shared" si="1465"/>
        <v>0</v>
      </c>
      <c r="CQ245">
        <f t="shared" si="1465"/>
        <v>0</v>
      </c>
      <c r="CR245">
        <f t="shared" si="1465"/>
        <v>0</v>
      </c>
      <c r="CS245">
        <f t="shared" si="1465"/>
        <v>0</v>
      </c>
      <c r="CT245">
        <f t="shared" si="1465"/>
        <v>0</v>
      </c>
      <c r="CU245">
        <f t="shared" si="1465"/>
        <v>0</v>
      </c>
      <c r="CV245">
        <f t="shared" si="1465"/>
        <v>0</v>
      </c>
      <c r="CW245">
        <f t="shared" si="1465"/>
        <v>0</v>
      </c>
      <c r="CX245">
        <f t="shared" si="1465"/>
        <v>0</v>
      </c>
      <c r="CY245">
        <f t="shared" si="1362"/>
        <v>0</v>
      </c>
      <c r="CZ245">
        <f t="shared" si="1363"/>
        <v>0</v>
      </c>
      <c r="DA245">
        <f t="shared" si="1364"/>
        <v>0</v>
      </c>
      <c r="DB245">
        <f t="shared" si="1365"/>
        <v>0</v>
      </c>
      <c r="DC245">
        <f t="shared" si="1366"/>
        <v>0</v>
      </c>
      <c r="DD245">
        <f t="shared" si="1367"/>
        <v>0</v>
      </c>
      <c r="DE245">
        <f t="shared" si="1368"/>
        <v>0</v>
      </c>
      <c r="DF245">
        <f t="shared" si="1369"/>
        <v>0</v>
      </c>
      <c r="DG245">
        <f t="shared" si="1370"/>
        <v>0</v>
      </c>
      <c r="DH245">
        <f t="shared" si="1371"/>
        <v>0</v>
      </c>
      <c r="DI245">
        <f t="shared" si="1372"/>
        <v>0</v>
      </c>
      <c r="DJ245">
        <f t="shared" si="1373"/>
        <v>0</v>
      </c>
      <c r="DK245">
        <f t="shared" si="1374"/>
        <v>0</v>
      </c>
      <c r="DL245">
        <f t="shared" si="1375"/>
        <v>0</v>
      </c>
      <c r="DM245">
        <f t="shared" si="1376"/>
        <v>0</v>
      </c>
      <c r="DN245">
        <f t="shared" si="1377"/>
        <v>0</v>
      </c>
      <c r="DO245">
        <f t="shared" si="1378"/>
        <v>0</v>
      </c>
      <c r="DP245">
        <f t="shared" si="1379"/>
        <v>0</v>
      </c>
      <c r="DQ245">
        <f t="shared" si="1380"/>
        <v>0</v>
      </c>
      <c r="DR245">
        <f t="shared" si="1381"/>
        <v>0</v>
      </c>
      <c r="DT245" s="77"/>
      <c r="DU245" s="8" t="str">
        <f>Hidden!$CG28</f>
        <v/>
      </c>
      <c r="DV245">
        <f t="shared" si="1176"/>
        <v>0</v>
      </c>
      <c r="DW245">
        <f t="shared" si="1177"/>
        <v>0</v>
      </c>
      <c r="DX245">
        <f t="shared" si="1178"/>
        <v>0</v>
      </c>
      <c r="DY245">
        <f t="shared" si="1179"/>
        <v>0</v>
      </c>
      <c r="DZ245">
        <f t="shared" si="1180"/>
        <v>0</v>
      </c>
      <c r="EA245">
        <f t="shared" si="1181"/>
        <v>0</v>
      </c>
      <c r="EB245">
        <f t="shared" si="1182"/>
        <v>0</v>
      </c>
      <c r="EC245">
        <f t="shared" si="1183"/>
        <v>0</v>
      </c>
      <c r="ED245">
        <f t="shared" si="1184"/>
        <v>0</v>
      </c>
      <c r="EE245">
        <f t="shared" si="1185"/>
        <v>0</v>
      </c>
      <c r="EF245">
        <f t="shared" si="1186"/>
        <v>0</v>
      </c>
      <c r="EG245">
        <f t="shared" si="1187"/>
        <v>0</v>
      </c>
      <c r="EH245">
        <f t="shared" si="1188"/>
        <v>0</v>
      </c>
      <c r="EI245">
        <f t="shared" si="1189"/>
        <v>0</v>
      </c>
      <c r="EJ245">
        <f t="shared" si="1190"/>
        <v>0</v>
      </c>
      <c r="EK245">
        <f t="shared" si="1191"/>
        <v>0</v>
      </c>
      <c r="EL245">
        <f t="shared" si="1192"/>
        <v>0</v>
      </c>
      <c r="EM245">
        <f t="shared" si="1193"/>
        <v>0</v>
      </c>
      <c r="EN245">
        <f t="shared" si="1194"/>
        <v>0</v>
      </c>
      <c r="EO245">
        <f t="shared" si="1195"/>
        <v>0</v>
      </c>
      <c r="EP245">
        <f t="shared" si="1196"/>
        <v>0</v>
      </c>
      <c r="EQ245">
        <f t="shared" si="1197"/>
        <v>0</v>
      </c>
      <c r="ER245">
        <f t="shared" si="1410"/>
        <v>0</v>
      </c>
      <c r="ES245">
        <f t="shared" ref="ES245:ET245" si="1466">IF(ES$218,FC140,0)</f>
        <v>0</v>
      </c>
      <c r="ET245">
        <f t="shared" si="1466"/>
        <v>0</v>
      </c>
      <c r="EU245">
        <f t="shared" si="1199"/>
        <v>0</v>
      </c>
      <c r="EV245">
        <f t="shared" si="1411"/>
        <v>0</v>
      </c>
      <c r="EW245">
        <f t="shared" si="1232"/>
        <v>0</v>
      </c>
      <c r="EX245">
        <f t="shared" si="1201"/>
        <v>0</v>
      </c>
      <c r="EY245">
        <f t="shared" si="1202"/>
        <v>0</v>
      </c>
      <c r="EZ245">
        <f t="shared" ref="EZ245:FI245" si="1467">IF(EZ$218,EZ140,0)</f>
        <v>0</v>
      </c>
      <c r="FA245">
        <f t="shared" si="1467"/>
        <v>0</v>
      </c>
      <c r="FB245">
        <f t="shared" si="1467"/>
        <v>0</v>
      </c>
      <c r="FC245">
        <f t="shared" si="1467"/>
        <v>0</v>
      </c>
      <c r="FD245">
        <f t="shared" si="1467"/>
        <v>0</v>
      </c>
      <c r="FE245">
        <f t="shared" si="1467"/>
        <v>0</v>
      </c>
      <c r="FF245">
        <f t="shared" si="1467"/>
        <v>0</v>
      </c>
      <c r="FG245">
        <f t="shared" si="1467"/>
        <v>0</v>
      </c>
      <c r="FH245">
        <f t="shared" si="1467"/>
        <v>0</v>
      </c>
      <c r="FI245">
        <f t="shared" si="1467"/>
        <v>0</v>
      </c>
      <c r="FJ245">
        <f t="shared" si="1204"/>
        <v>0</v>
      </c>
      <c r="FK245">
        <f t="shared" si="1205"/>
        <v>0</v>
      </c>
      <c r="FL245">
        <f t="shared" si="1413"/>
        <v>0</v>
      </c>
      <c r="FM245">
        <f t="shared" si="1234"/>
        <v>0</v>
      </c>
      <c r="FN245">
        <f t="shared" si="1207"/>
        <v>0</v>
      </c>
      <c r="FO245">
        <f t="shared" si="1208"/>
        <v>0</v>
      </c>
      <c r="FP245">
        <f t="shared" si="1209"/>
        <v>0</v>
      </c>
      <c r="FQ245">
        <f t="shared" si="1210"/>
        <v>0</v>
      </c>
      <c r="FR245">
        <f t="shared" si="1211"/>
        <v>0</v>
      </c>
      <c r="FS245">
        <f t="shared" si="1212"/>
        <v>0</v>
      </c>
      <c r="FT245">
        <f t="shared" si="1213"/>
        <v>0</v>
      </c>
      <c r="FU245">
        <f t="shared" si="1214"/>
        <v>0</v>
      </c>
      <c r="FV245">
        <f t="shared" si="1215"/>
        <v>0</v>
      </c>
      <c r="FW245">
        <f t="shared" si="1216"/>
        <v>0</v>
      </c>
      <c r="FX245">
        <f t="shared" si="1414"/>
        <v>0</v>
      </c>
      <c r="FY245">
        <f t="shared" si="1235"/>
        <v>0</v>
      </c>
      <c r="FZ245">
        <f t="shared" si="1218"/>
        <v>0</v>
      </c>
      <c r="GA245">
        <f t="shared" si="1219"/>
        <v>0</v>
      </c>
      <c r="GB245">
        <f t="shared" si="1220"/>
        <v>0</v>
      </c>
      <c r="GC245">
        <f t="shared" si="1221"/>
        <v>0</v>
      </c>
    </row>
    <row r="246" spans="1:185" x14ac:dyDescent="0.2">
      <c r="A246" s="8" t="str">
        <f t="shared" si="1311"/>
        <v/>
      </c>
      <c r="B246" s="8">
        <f t="shared" si="1312"/>
        <v>0</v>
      </c>
      <c r="C246" s="8">
        <f t="shared" si="1313"/>
        <v>0</v>
      </c>
      <c r="D246" s="8">
        <f t="shared" si="1314"/>
        <v>0</v>
      </c>
      <c r="E246" s="8">
        <f t="shared" si="1315"/>
        <v>0</v>
      </c>
      <c r="F246" s="8">
        <f t="shared" si="1384"/>
        <v>0</v>
      </c>
      <c r="G246" s="8">
        <f t="shared" si="1427"/>
        <v>0</v>
      </c>
      <c r="H246" s="8">
        <f t="shared" si="1428"/>
        <v>0</v>
      </c>
      <c r="I246" s="8">
        <f t="shared" si="1429"/>
        <v>0</v>
      </c>
      <c r="J246" s="8">
        <f t="shared" si="1430"/>
        <v>0</v>
      </c>
      <c r="K246" s="8">
        <f t="shared" si="1431"/>
        <v>0</v>
      </c>
      <c r="L246">
        <f t="shared" si="1320"/>
        <v>0</v>
      </c>
      <c r="M246">
        <f t="shared" si="1321"/>
        <v>0</v>
      </c>
      <c r="N246">
        <f t="shared" si="1322"/>
        <v>0</v>
      </c>
      <c r="O246">
        <f t="shared" si="1323"/>
        <v>0</v>
      </c>
      <c r="P246">
        <f t="shared" si="1324"/>
        <v>0</v>
      </c>
      <c r="Q246">
        <f t="shared" si="1325"/>
        <v>0</v>
      </c>
      <c r="R246">
        <f t="shared" si="1326"/>
        <v>0</v>
      </c>
      <c r="S246" s="8">
        <f t="shared" si="1327"/>
        <v>0</v>
      </c>
      <c r="T246" s="8">
        <f t="shared" si="1328"/>
        <v>0</v>
      </c>
      <c r="U246" s="8">
        <f t="shared" si="1329"/>
        <v>0</v>
      </c>
      <c r="V246">
        <f>IF(V$230,LandEmiss!AF141,0)</f>
        <v>0</v>
      </c>
      <c r="W246">
        <f>IF(W$230,LandEmiss!AG141,0)</f>
        <v>0</v>
      </c>
      <c r="X246">
        <f>IF(X$230,LandEmiss!AH141,0)</f>
        <v>0</v>
      </c>
      <c r="Y246">
        <f>IF(Y$230,LandEmiss!AI141,0)</f>
        <v>0</v>
      </c>
      <c r="Z246">
        <f>IF(Z$230,LandEmiss!AJ141,0)</f>
        <v>0</v>
      </c>
      <c r="AA246">
        <f>IF(AA$230,LandEmiss!AK141,0)</f>
        <v>0</v>
      </c>
      <c r="AB246">
        <f>IF(AB$230,LandEmiss!AL141,0)</f>
        <v>0</v>
      </c>
      <c r="AC246">
        <f>IF(AC$230,LandEmiss!AM141,0)</f>
        <v>0</v>
      </c>
      <c r="AD246">
        <f>IF(AD$230,LandEmiss!AN141,0)</f>
        <v>0</v>
      </c>
      <c r="AE246">
        <f>IF(AE$230,LandEmiss!AO141,0)</f>
        <v>0</v>
      </c>
      <c r="AF246">
        <f t="shared" ref="AF246:AO246" si="1468">IF(AF$230,AF141,0)</f>
        <v>0</v>
      </c>
      <c r="AG246">
        <f t="shared" si="1468"/>
        <v>0</v>
      </c>
      <c r="AH246">
        <f t="shared" si="1468"/>
        <v>0</v>
      </c>
      <c r="AI246">
        <f t="shared" si="1468"/>
        <v>0</v>
      </c>
      <c r="AJ246">
        <f t="shared" si="1468"/>
        <v>0</v>
      </c>
      <c r="AK246">
        <f t="shared" si="1468"/>
        <v>0</v>
      </c>
      <c r="AL246">
        <f t="shared" si="1468"/>
        <v>0</v>
      </c>
      <c r="AM246">
        <f t="shared" si="1468"/>
        <v>0</v>
      </c>
      <c r="AN246">
        <f t="shared" si="1468"/>
        <v>0</v>
      </c>
      <c r="AO246">
        <f t="shared" si="1468"/>
        <v>0</v>
      </c>
      <c r="AP246">
        <f t="shared" si="1331"/>
        <v>0</v>
      </c>
      <c r="AQ246">
        <f t="shared" si="1332"/>
        <v>0</v>
      </c>
      <c r="AR246">
        <f t="shared" si="1333"/>
        <v>0</v>
      </c>
      <c r="AS246">
        <f t="shared" si="1334"/>
        <v>0</v>
      </c>
      <c r="AT246">
        <f t="shared" si="1335"/>
        <v>0</v>
      </c>
      <c r="AU246">
        <f t="shared" si="1336"/>
        <v>0</v>
      </c>
      <c r="AV246">
        <f t="shared" si="1337"/>
        <v>0</v>
      </c>
      <c r="AW246">
        <f t="shared" si="1338"/>
        <v>0</v>
      </c>
      <c r="AX246">
        <f t="shared" si="1339"/>
        <v>0</v>
      </c>
      <c r="AY246">
        <f t="shared" si="1340"/>
        <v>0</v>
      </c>
      <c r="AZ246">
        <f t="shared" si="1341"/>
        <v>0</v>
      </c>
      <c r="BA246">
        <f t="shared" si="1342"/>
        <v>0</v>
      </c>
      <c r="BB246">
        <f t="shared" si="1343"/>
        <v>0</v>
      </c>
      <c r="BC246">
        <f t="shared" si="1344"/>
        <v>0</v>
      </c>
      <c r="BD246">
        <f t="shared" si="1345"/>
        <v>0</v>
      </c>
      <c r="BE246">
        <f t="shared" si="1346"/>
        <v>0</v>
      </c>
      <c r="BF246">
        <f t="shared" si="1347"/>
        <v>0</v>
      </c>
      <c r="BG246">
        <f t="shared" si="1348"/>
        <v>0</v>
      </c>
      <c r="BH246">
        <f t="shared" si="1349"/>
        <v>0</v>
      </c>
      <c r="BI246">
        <f t="shared" si="1387"/>
        <v>0</v>
      </c>
      <c r="BJ246" s="8" t="str">
        <f>Hidden!$CC17</f>
        <v/>
      </c>
      <c r="BK246">
        <f t="shared" ref="BK246:BT246" si="1469">IF(BK$230,CP141,0)</f>
        <v>0</v>
      </c>
      <c r="BL246">
        <f t="shared" si="1469"/>
        <v>0</v>
      </c>
      <c r="BM246">
        <f t="shared" si="1469"/>
        <v>0</v>
      </c>
      <c r="BN246">
        <f t="shared" si="1469"/>
        <v>0</v>
      </c>
      <c r="BO246">
        <f t="shared" si="1469"/>
        <v>0</v>
      </c>
      <c r="BP246">
        <f t="shared" si="1469"/>
        <v>0</v>
      </c>
      <c r="BQ246">
        <f t="shared" si="1469"/>
        <v>0</v>
      </c>
      <c r="BR246">
        <f t="shared" si="1469"/>
        <v>0</v>
      </c>
      <c r="BS246">
        <f t="shared" si="1469"/>
        <v>0</v>
      </c>
      <c r="BT246">
        <f t="shared" si="1469"/>
        <v>0</v>
      </c>
      <c r="BU246">
        <f t="shared" ref="BU246:CD246" si="1470">IF(BU$230,CP141,0)</f>
        <v>0</v>
      </c>
      <c r="BV246">
        <f t="shared" si="1470"/>
        <v>0</v>
      </c>
      <c r="BW246">
        <f t="shared" si="1470"/>
        <v>0</v>
      </c>
      <c r="BX246">
        <f t="shared" si="1470"/>
        <v>0</v>
      </c>
      <c r="BY246">
        <f t="shared" si="1470"/>
        <v>0</v>
      </c>
      <c r="BZ246">
        <f t="shared" si="1470"/>
        <v>0</v>
      </c>
      <c r="CA246">
        <f t="shared" si="1470"/>
        <v>0</v>
      </c>
      <c r="CB246">
        <f t="shared" si="1470"/>
        <v>0</v>
      </c>
      <c r="CC246">
        <f t="shared" si="1470"/>
        <v>0</v>
      </c>
      <c r="CD246">
        <f t="shared" si="1470"/>
        <v>0</v>
      </c>
      <c r="CE246">
        <f t="shared" si="1352"/>
        <v>0</v>
      </c>
      <c r="CF246">
        <f t="shared" si="1353"/>
        <v>0</v>
      </c>
      <c r="CG246">
        <f t="shared" si="1354"/>
        <v>0</v>
      </c>
      <c r="CH246">
        <f t="shared" si="1355"/>
        <v>0</v>
      </c>
      <c r="CI246">
        <f t="shared" si="1356"/>
        <v>0</v>
      </c>
      <c r="CJ246">
        <f t="shared" si="1357"/>
        <v>0</v>
      </c>
      <c r="CK246">
        <f t="shared" si="1390"/>
        <v>0</v>
      </c>
      <c r="CL246">
        <f t="shared" si="1358"/>
        <v>0</v>
      </c>
      <c r="CM246">
        <f t="shared" si="1359"/>
        <v>0</v>
      </c>
      <c r="CN246">
        <f t="shared" si="1360"/>
        <v>0</v>
      </c>
      <c r="CO246">
        <f t="shared" ref="CO246:CX246" si="1471">IF(CO$230,CP141,0)</f>
        <v>0</v>
      </c>
      <c r="CP246">
        <f t="shared" si="1471"/>
        <v>0</v>
      </c>
      <c r="CQ246">
        <f t="shared" si="1471"/>
        <v>0</v>
      </c>
      <c r="CR246">
        <f t="shared" si="1471"/>
        <v>0</v>
      </c>
      <c r="CS246">
        <f t="shared" si="1471"/>
        <v>0</v>
      </c>
      <c r="CT246">
        <f t="shared" si="1471"/>
        <v>0</v>
      </c>
      <c r="CU246">
        <f t="shared" si="1471"/>
        <v>0</v>
      </c>
      <c r="CV246">
        <f t="shared" si="1471"/>
        <v>0</v>
      </c>
      <c r="CW246">
        <f t="shared" si="1471"/>
        <v>0</v>
      </c>
      <c r="CX246">
        <f t="shared" si="1471"/>
        <v>0</v>
      </c>
      <c r="CY246">
        <f t="shared" si="1362"/>
        <v>0</v>
      </c>
      <c r="CZ246">
        <f t="shared" si="1363"/>
        <v>0</v>
      </c>
      <c r="DA246">
        <f t="shared" si="1364"/>
        <v>0</v>
      </c>
      <c r="DB246">
        <f t="shared" si="1365"/>
        <v>0</v>
      </c>
      <c r="DC246">
        <f t="shared" si="1366"/>
        <v>0</v>
      </c>
      <c r="DD246">
        <f t="shared" si="1367"/>
        <v>0</v>
      </c>
      <c r="DE246">
        <f t="shared" si="1368"/>
        <v>0</v>
      </c>
      <c r="DF246">
        <f t="shared" si="1369"/>
        <v>0</v>
      </c>
      <c r="DG246">
        <f t="shared" si="1370"/>
        <v>0</v>
      </c>
      <c r="DH246">
        <f t="shared" si="1371"/>
        <v>0</v>
      </c>
      <c r="DI246">
        <f t="shared" si="1372"/>
        <v>0</v>
      </c>
      <c r="DJ246">
        <f t="shared" si="1373"/>
        <v>0</v>
      </c>
      <c r="DK246">
        <f t="shared" si="1374"/>
        <v>0</v>
      </c>
      <c r="DL246">
        <f t="shared" si="1375"/>
        <v>0</v>
      </c>
      <c r="DM246">
        <f t="shared" si="1376"/>
        <v>0</v>
      </c>
      <c r="DN246">
        <f t="shared" si="1377"/>
        <v>0</v>
      </c>
      <c r="DO246">
        <f t="shared" si="1378"/>
        <v>0</v>
      </c>
      <c r="DP246">
        <f t="shared" si="1379"/>
        <v>0</v>
      </c>
      <c r="DQ246">
        <f t="shared" si="1380"/>
        <v>0</v>
      </c>
      <c r="DR246">
        <f t="shared" si="1381"/>
        <v>0</v>
      </c>
      <c r="DT246" s="77"/>
      <c r="DU246" s="8" t="str">
        <f>Hidden!$CG29</f>
        <v/>
      </c>
      <c r="DV246">
        <f t="shared" si="1176"/>
        <v>0</v>
      </c>
      <c r="DW246">
        <f t="shared" si="1177"/>
        <v>0</v>
      </c>
      <c r="DX246">
        <f t="shared" si="1178"/>
        <v>0</v>
      </c>
      <c r="DY246">
        <f t="shared" si="1179"/>
        <v>0</v>
      </c>
      <c r="DZ246">
        <f t="shared" si="1180"/>
        <v>0</v>
      </c>
      <c r="EA246">
        <f t="shared" si="1181"/>
        <v>0</v>
      </c>
      <c r="EB246">
        <f t="shared" si="1182"/>
        <v>0</v>
      </c>
      <c r="EC246">
        <f t="shared" si="1183"/>
        <v>0</v>
      </c>
      <c r="ED246">
        <f t="shared" si="1184"/>
        <v>0</v>
      </c>
      <c r="EE246">
        <f t="shared" si="1185"/>
        <v>0</v>
      </c>
      <c r="EF246">
        <f t="shared" si="1186"/>
        <v>0</v>
      </c>
      <c r="EG246">
        <f t="shared" si="1187"/>
        <v>0</v>
      </c>
      <c r="EH246">
        <f t="shared" si="1188"/>
        <v>0</v>
      </c>
      <c r="EI246">
        <f t="shared" si="1189"/>
        <v>0</v>
      </c>
      <c r="EJ246">
        <f t="shared" si="1190"/>
        <v>0</v>
      </c>
      <c r="EK246">
        <f t="shared" si="1191"/>
        <v>0</v>
      </c>
      <c r="EL246">
        <f t="shared" si="1192"/>
        <v>0</v>
      </c>
      <c r="EM246">
        <f t="shared" si="1193"/>
        <v>0</v>
      </c>
      <c r="EN246">
        <f t="shared" si="1194"/>
        <v>0</v>
      </c>
      <c r="EO246">
        <f t="shared" si="1195"/>
        <v>0</v>
      </c>
      <c r="EP246">
        <f t="shared" si="1196"/>
        <v>0</v>
      </c>
      <c r="EQ246">
        <f t="shared" si="1197"/>
        <v>0</v>
      </c>
      <c r="ER246">
        <f t="shared" si="1410"/>
        <v>0</v>
      </c>
      <c r="ES246">
        <f t="shared" ref="ES246:ET246" si="1472">IF(ES$218,FC141,0)</f>
        <v>0</v>
      </c>
      <c r="ET246">
        <f t="shared" si="1472"/>
        <v>0</v>
      </c>
      <c r="EU246">
        <f t="shared" si="1199"/>
        <v>0</v>
      </c>
      <c r="EV246">
        <f t="shared" si="1411"/>
        <v>0</v>
      </c>
      <c r="EW246">
        <f t="shared" si="1232"/>
        <v>0</v>
      </c>
      <c r="EX246">
        <f t="shared" si="1201"/>
        <v>0</v>
      </c>
      <c r="EY246">
        <f t="shared" si="1202"/>
        <v>0</v>
      </c>
      <c r="EZ246">
        <f t="shared" ref="EZ246:FI246" si="1473">IF(EZ$218,EZ141,0)</f>
        <v>0</v>
      </c>
      <c r="FA246">
        <f t="shared" si="1473"/>
        <v>0</v>
      </c>
      <c r="FB246">
        <f t="shared" si="1473"/>
        <v>0</v>
      </c>
      <c r="FC246">
        <f t="shared" si="1473"/>
        <v>0</v>
      </c>
      <c r="FD246">
        <f t="shared" si="1473"/>
        <v>0</v>
      </c>
      <c r="FE246">
        <f t="shared" si="1473"/>
        <v>0</v>
      </c>
      <c r="FF246">
        <f t="shared" si="1473"/>
        <v>0</v>
      </c>
      <c r="FG246">
        <f t="shared" si="1473"/>
        <v>0</v>
      </c>
      <c r="FH246">
        <f t="shared" si="1473"/>
        <v>0</v>
      </c>
      <c r="FI246">
        <f t="shared" si="1473"/>
        <v>0</v>
      </c>
      <c r="FJ246">
        <f t="shared" si="1204"/>
        <v>0</v>
      </c>
      <c r="FK246">
        <f t="shared" si="1205"/>
        <v>0</v>
      </c>
      <c r="FL246">
        <f t="shared" si="1413"/>
        <v>0</v>
      </c>
      <c r="FM246">
        <f t="shared" si="1234"/>
        <v>0</v>
      </c>
      <c r="FN246">
        <f t="shared" si="1207"/>
        <v>0</v>
      </c>
      <c r="FO246">
        <f t="shared" si="1208"/>
        <v>0</v>
      </c>
      <c r="FP246">
        <f t="shared" si="1209"/>
        <v>0</v>
      </c>
      <c r="FQ246">
        <f t="shared" si="1210"/>
        <v>0</v>
      </c>
      <c r="FR246">
        <f t="shared" si="1211"/>
        <v>0</v>
      </c>
      <c r="FS246">
        <f t="shared" si="1212"/>
        <v>0</v>
      </c>
      <c r="FT246">
        <f t="shared" si="1213"/>
        <v>0</v>
      </c>
      <c r="FU246">
        <f t="shared" si="1214"/>
        <v>0</v>
      </c>
      <c r="FV246">
        <f t="shared" si="1215"/>
        <v>0</v>
      </c>
      <c r="FW246">
        <f t="shared" si="1216"/>
        <v>0</v>
      </c>
      <c r="FX246">
        <f t="shared" si="1414"/>
        <v>0</v>
      </c>
      <c r="FY246">
        <f t="shared" si="1235"/>
        <v>0</v>
      </c>
      <c r="FZ246">
        <f t="shared" si="1218"/>
        <v>0</v>
      </c>
      <c r="GA246">
        <f t="shared" si="1219"/>
        <v>0</v>
      </c>
      <c r="GB246">
        <f t="shared" si="1220"/>
        <v>0</v>
      </c>
      <c r="GC246">
        <f t="shared" si="1221"/>
        <v>0</v>
      </c>
    </row>
    <row r="247" spans="1:185" x14ac:dyDescent="0.2">
      <c r="A247" s="8" t="str">
        <f t="shared" si="1311"/>
        <v/>
      </c>
      <c r="B247" s="8">
        <f t="shared" si="1312"/>
        <v>0</v>
      </c>
      <c r="C247" s="8">
        <f t="shared" si="1313"/>
        <v>0</v>
      </c>
      <c r="D247" s="8">
        <f t="shared" si="1314"/>
        <v>0</v>
      </c>
      <c r="E247" s="8">
        <f t="shared" si="1315"/>
        <v>0</v>
      </c>
      <c r="F247" s="8">
        <f t="shared" si="1384"/>
        <v>0</v>
      </c>
      <c r="G247" s="8">
        <f t="shared" si="1427"/>
        <v>0</v>
      </c>
      <c r="H247" s="8">
        <f t="shared" si="1428"/>
        <v>0</v>
      </c>
      <c r="I247" s="8">
        <f t="shared" si="1429"/>
        <v>0</v>
      </c>
      <c r="J247" s="8">
        <f t="shared" si="1430"/>
        <v>0</v>
      </c>
      <c r="K247" s="8">
        <f t="shared" si="1431"/>
        <v>0</v>
      </c>
      <c r="L247">
        <f t="shared" si="1320"/>
        <v>0</v>
      </c>
      <c r="M247">
        <f t="shared" si="1321"/>
        <v>0</v>
      </c>
      <c r="N247">
        <f t="shared" si="1322"/>
        <v>0</v>
      </c>
      <c r="O247">
        <f t="shared" si="1323"/>
        <v>0</v>
      </c>
      <c r="P247">
        <f t="shared" si="1324"/>
        <v>0</v>
      </c>
      <c r="Q247">
        <f t="shared" si="1325"/>
        <v>0</v>
      </c>
      <c r="R247">
        <f t="shared" si="1326"/>
        <v>0</v>
      </c>
      <c r="S247" s="8">
        <f t="shared" si="1327"/>
        <v>0</v>
      </c>
      <c r="T247" s="8">
        <f t="shared" si="1328"/>
        <v>0</v>
      </c>
      <c r="U247" s="8">
        <f t="shared" si="1329"/>
        <v>0</v>
      </c>
      <c r="V247">
        <f>IF(V$230,LandEmiss!AF142,0)</f>
        <v>0</v>
      </c>
      <c r="W247">
        <f>IF(W$230,LandEmiss!AG142,0)</f>
        <v>0</v>
      </c>
      <c r="X247">
        <f>IF(X$230,LandEmiss!AH142,0)</f>
        <v>0</v>
      </c>
      <c r="Y247">
        <f>IF(Y$230,LandEmiss!AI142,0)</f>
        <v>0</v>
      </c>
      <c r="Z247">
        <f>IF(Z$230,LandEmiss!AJ142,0)</f>
        <v>0</v>
      </c>
      <c r="AA247">
        <f>IF(AA$230,LandEmiss!AK142,0)</f>
        <v>0</v>
      </c>
      <c r="AB247">
        <f>IF(AB$230,LandEmiss!AL142,0)</f>
        <v>0</v>
      </c>
      <c r="AC247">
        <f>IF(AC$230,LandEmiss!AM142,0)</f>
        <v>0</v>
      </c>
      <c r="AD247">
        <f>IF(AD$230,LandEmiss!AN142,0)</f>
        <v>0</v>
      </c>
      <c r="AE247">
        <f>IF(AE$230,LandEmiss!AO142,0)</f>
        <v>0</v>
      </c>
      <c r="AF247">
        <f t="shared" ref="AF247:AO247" si="1474">IF(AF$230,AF142,0)</f>
        <v>0</v>
      </c>
      <c r="AG247">
        <f t="shared" si="1474"/>
        <v>0</v>
      </c>
      <c r="AH247">
        <f t="shared" si="1474"/>
        <v>0</v>
      </c>
      <c r="AI247">
        <f t="shared" si="1474"/>
        <v>0</v>
      </c>
      <c r="AJ247">
        <f t="shared" si="1474"/>
        <v>0</v>
      </c>
      <c r="AK247">
        <f t="shared" si="1474"/>
        <v>0</v>
      </c>
      <c r="AL247">
        <f t="shared" si="1474"/>
        <v>0</v>
      </c>
      <c r="AM247">
        <f t="shared" si="1474"/>
        <v>0</v>
      </c>
      <c r="AN247">
        <f t="shared" si="1474"/>
        <v>0</v>
      </c>
      <c r="AO247">
        <f t="shared" si="1474"/>
        <v>0</v>
      </c>
      <c r="AP247">
        <f t="shared" si="1331"/>
        <v>0</v>
      </c>
      <c r="AQ247">
        <f t="shared" si="1332"/>
        <v>0</v>
      </c>
      <c r="AR247">
        <f t="shared" si="1333"/>
        <v>0</v>
      </c>
      <c r="AS247">
        <f t="shared" si="1334"/>
        <v>0</v>
      </c>
      <c r="AT247">
        <f t="shared" si="1335"/>
        <v>0</v>
      </c>
      <c r="AU247">
        <f t="shared" si="1336"/>
        <v>0</v>
      </c>
      <c r="AV247">
        <f t="shared" si="1337"/>
        <v>0</v>
      </c>
      <c r="AW247">
        <f t="shared" si="1338"/>
        <v>0</v>
      </c>
      <c r="AX247">
        <f t="shared" si="1339"/>
        <v>0</v>
      </c>
      <c r="AY247">
        <f t="shared" si="1340"/>
        <v>0</v>
      </c>
      <c r="AZ247">
        <f t="shared" si="1341"/>
        <v>0</v>
      </c>
      <c r="BA247">
        <f t="shared" si="1342"/>
        <v>0</v>
      </c>
      <c r="BB247">
        <f t="shared" si="1343"/>
        <v>0</v>
      </c>
      <c r="BC247">
        <f t="shared" si="1344"/>
        <v>0</v>
      </c>
      <c r="BD247">
        <f t="shared" si="1345"/>
        <v>0</v>
      </c>
      <c r="BE247">
        <f t="shared" si="1346"/>
        <v>0</v>
      </c>
      <c r="BF247">
        <f t="shared" si="1347"/>
        <v>0</v>
      </c>
      <c r="BG247">
        <f t="shared" si="1348"/>
        <v>0</v>
      </c>
      <c r="BH247">
        <f t="shared" si="1349"/>
        <v>0</v>
      </c>
      <c r="BI247">
        <f t="shared" si="1387"/>
        <v>0</v>
      </c>
      <c r="BJ247" s="8" t="str">
        <f>Hidden!$CC18</f>
        <v/>
      </c>
      <c r="BK247">
        <f t="shared" ref="BK247:BT247" si="1475">IF(BK$230,CP142,0)</f>
        <v>0</v>
      </c>
      <c r="BL247">
        <f t="shared" si="1475"/>
        <v>0</v>
      </c>
      <c r="BM247">
        <f t="shared" si="1475"/>
        <v>0</v>
      </c>
      <c r="BN247">
        <f t="shared" si="1475"/>
        <v>0</v>
      </c>
      <c r="BO247">
        <f t="shared" si="1475"/>
        <v>0</v>
      </c>
      <c r="BP247">
        <f t="shared" si="1475"/>
        <v>0</v>
      </c>
      <c r="BQ247">
        <f t="shared" si="1475"/>
        <v>0</v>
      </c>
      <c r="BR247">
        <f t="shared" si="1475"/>
        <v>0</v>
      </c>
      <c r="BS247">
        <f t="shared" si="1475"/>
        <v>0</v>
      </c>
      <c r="BT247">
        <f t="shared" si="1475"/>
        <v>0</v>
      </c>
      <c r="BU247">
        <f t="shared" ref="BU247:CD247" si="1476">IF(BU$230,CP142,0)</f>
        <v>0</v>
      </c>
      <c r="BV247">
        <f t="shared" si="1476"/>
        <v>0</v>
      </c>
      <c r="BW247">
        <f t="shared" si="1476"/>
        <v>0</v>
      </c>
      <c r="BX247">
        <f t="shared" si="1476"/>
        <v>0</v>
      </c>
      <c r="BY247">
        <f t="shared" si="1476"/>
        <v>0</v>
      </c>
      <c r="BZ247">
        <f t="shared" si="1476"/>
        <v>0</v>
      </c>
      <c r="CA247">
        <f t="shared" si="1476"/>
        <v>0</v>
      </c>
      <c r="CB247">
        <f t="shared" si="1476"/>
        <v>0</v>
      </c>
      <c r="CC247">
        <f t="shared" si="1476"/>
        <v>0</v>
      </c>
      <c r="CD247">
        <f t="shared" si="1476"/>
        <v>0</v>
      </c>
      <c r="CE247">
        <f t="shared" si="1352"/>
        <v>0</v>
      </c>
      <c r="CF247">
        <f t="shared" si="1353"/>
        <v>0</v>
      </c>
      <c r="CG247">
        <f t="shared" si="1354"/>
        <v>0</v>
      </c>
      <c r="CH247">
        <f t="shared" si="1355"/>
        <v>0</v>
      </c>
      <c r="CI247">
        <f t="shared" si="1356"/>
        <v>0</v>
      </c>
      <c r="CJ247">
        <f t="shared" si="1357"/>
        <v>0</v>
      </c>
      <c r="CK247">
        <f t="shared" si="1390"/>
        <v>0</v>
      </c>
      <c r="CL247">
        <f t="shared" si="1358"/>
        <v>0</v>
      </c>
      <c r="CM247">
        <f t="shared" si="1359"/>
        <v>0</v>
      </c>
      <c r="CN247">
        <f t="shared" si="1360"/>
        <v>0</v>
      </c>
      <c r="CO247">
        <f t="shared" ref="CO247:CX247" si="1477">IF(CO$230,CP142,0)</f>
        <v>0</v>
      </c>
      <c r="CP247">
        <f t="shared" si="1477"/>
        <v>0</v>
      </c>
      <c r="CQ247">
        <f t="shared" si="1477"/>
        <v>0</v>
      </c>
      <c r="CR247">
        <f t="shared" si="1477"/>
        <v>0</v>
      </c>
      <c r="CS247">
        <f t="shared" si="1477"/>
        <v>0</v>
      </c>
      <c r="CT247">
        <f t="shared" si="1477"/>
        <v>0</v>
      </c>
      <c r="CU247">
        <f t="shared" si="1477"/>
        <v>0</v>
      </c>
      <c r="CV247">
        <f t="shared" si="1477"/>
        <v>0</v>
      </c>
      <c r="CW247">
        <f t="shared" si="1477"/>
        <v>0</v>
      </c>
      <c r="CX247">
        <f t="shared" si="1477"/>
        <v>0</v>
      </c>
      <c r="CY247">
        <f t="shared" si="1362"/>
        <v>0</v>
      </c>
      <c r="CZ247">
        <f t="shared" si="1363"/>
        <v>0</v>
      </c>
      <c r="DA247">
        <f t="shared" si="1364"/>
        <v>0</v>
      </c>
      <c r="DB247">
        <f t="shared" si="1365"/>
        <v>0</v>
      </c>
      <c r="DC247">
        <f t="shared" si="1366"/>
        <v>0</v>
      </c>
      <c r="DD247">
        <f t="shared" si="1367"/>
        <v>0</v>
      </c>
      <c r="DE247">
        <f t="shared" si="1368"/>
        <v>0</v>
      </c>
      <c r="DF247">
        <f t="shared" si="1369"/>
        <v>0</v>
      </c>
      <c r="DG247">
        <f t="shared" si="1370"/>
        <v>0</v>
      </c>
      <c r="DH247">
        <f t="shared" si="1371"/>
        <v>0</v>
      </c>
      <c r="DI247">
        <f t="shared" si="1372"/>
        <v>0</v>
      </c>
      <c r="DJ247">
        <f t="shared" si="1373"/>
        <v>0</v>
      </c>
      <c r="DK247">
        <f t="shared" si="1374"/>
        <v>0</v>
      </c>
      <c r="DL247">
        <f t="shared" si="1375"/>
        <v>0</v>
      </c>
      <c r="DM247">
        <f t="shared" si="1376"/>
        <v>0</v>
      </c>
      <c r="DN247">
        <f t="shared" si="1377"/>
        <v>0</v>
      </c>
      <c r="DO247">
        <f t="shared" si="1378"/>
        <v>0</v>
      </c>
      <c r="DP247">
        <f t="shared" si="1379"/>
        <v>0</v>
      </c>
      <c r="DQ247">
        <f t="shared" si="1380"/>
        <v>0</v>
      </c>
      <c r="DR247">
        <f t="shared" si="1381"/>
        <v>0</v>
      </c>
      <c r="DT247" s="77"/>
      <c r="DU247" s="8" t="str">
        <f>Hidden!$CG30</f>
        <v/>
      </c>
      <c r="DV247">
        <f t="shared" si="1176"/>
        <v>0</v>
      </c>
      <c r="DW247">
        <f t="shared" si="1177"/>
        <v>0</v>
      </c>
      <c r="DX247">
        <f t="shared" si="1178"/>
        <v>0</v>
      </c>
      <c r="DY247">
        <f t="shared" si="1179"/>
        <v>0</v>
      </c>
      <c r="DZ247">
        <f t="shared" si="1180"/>
        <v>0</v>
      </c>
      <c r="EA247">
        <f t="shared" si="1181"/>
        <v>0</v>
      </c>
      <c r="EB247">
        <f t="shared" si="1182"/>
        <v>0</v>
      </c>
      <c r="EC247">
        <f t="shared" si="1183"/>
        <v>0</v>
      </c>
      <c r="ED247">
        <f t="shared" si="1184"/>
        <v>0</v>
      </c>
      <c r="EE247">
        <f t="shared" si="1185"/>
        <v>0</v>
      </c>
      <c r="EF247">
        <f t="shared" si="1186"/>
        <v>0</v>
      </c>
      <c r="EG247">
        <f t="shared" si="1187"/>
        <v>0</v>
      </c>
      <c r="EH247">
        <f t="shared" si="1188"/>
        <v>0</v>
      </c>
      <c r="EI247">
        <f t="shared" si="1189"/>
        <v>0</v>
      </c>
      <c r="EJ247">
        <f t="shared" si="1190"/>
        <v>0</v>
      </c>
      <c r="EK247">
        <f t="shared" si="1191"/>
        <v>0</v>
      </c>
      <c r="EL247">
        <f t="shared" si="1192"/>
        <v>0</v>
      </c>
      <c r="EM247">
        <f t="shared" si="1193"/>
        <v>0</v>
      </c>
      <c r="EN247">
        <f t="shared" si="1194"/>
        <v>0</v>
      </c>
      <c r="EO247">
        <f t="shared" si="1195"/>
        <v>0</v>
      </c>
      <c r="EP247">
        <f t="shared" si="1196"/>
        <v>0</v>
      </c>
      <c r="EQ247">
        <f t="shared" si="1197"/>
        <v>0</v>
      </c>
      <c r="ER247">
        <f t="shared" si="1410"/>
        <v>0</v>
      </c>
      <c r="ES247">
        <f t="shared" ref="ES247:ET247" si="1478">IF(ES$218,FC142,0)</f>
        <v>0</v>
      </c>
      <c r="ET247">
        <f t="shared" si="1478"/>
        <v>0</v>
      </c>
      <c r="EU247">
        <f t="shared" si="1199"/>
        <v>0</v>
      </c>
      <c r="EV247">
        <f t="shared" si="1411"/>
        <v>0</v>
      </c>
      <c r="EW247">
        <f t="shared" si="1232"/>
        <v>0</v>
      </c>
      <c r="EX247">
        <f t="shared" si="1201"/>
        <v>0</v>
      </c>
      <c r="EY247">
        <f t="shared" si="1202"/>
        <v>0</v>
      </c>
      <c r="EZ247">
        <f t="shared" ref="EZ247:FI247" si="1479">IF(EZ$218,EZ142,0)</f>
        <v>0</v>
      </c>
      <c r="FA247">
        <f t="shared" si="1479"/>
        <v>0</v>
      </c>
      <c r="FB247">
        <f t="shared" si="1479"/>
        <v>0</v>
      </c>
      <c r="FC247">
        <f t="shared" si="1479"/>
        <v>0</v>
      </c>
      <c r="FD247">
        <f t="shared" si="1479"/>
        <v>0</v>
      </c>
      <c r="FE247">
        <f t="shared" si="1479"/>
        <v>0</v>
      </c>
      <c r="FF247">
        <f t="shared" si="1479"/>
        <v>0</v>
      </c>
      <c r="FG247">
        <f t="shared" si="1479"/>
        <v>0</v>
      </c>
      <c r="FH247">
        <f t="shared" si="1479"/>
        <v>0</v>
      </c>
      <c r="FI247">
        <f t="shared" si="1479"/>
        <v>0</v>
      </c>
      <c r="FJ247">
        <f t="shared" si="1204"/>
        <v>0</v>
      </c>
      <c r="FK247">
        <f t="shared" si="1205"/>
        <v>0</v>
      </c>
      <c r="FL247">
        <f t="shared" si="1413"/>
        <v>0</v>
      </c>
      <c r="FM247">
        <f t="shared" si="1234"/>
        <v>0</v>
      </c>
      <c r="FN247">
        <f t="shared" si="1207"/>
        <v>0</v>
      </c>
      <c r="FO247">
        <f t="shared" si="1208"/>
        <v>0</v>
      </c>
      <c r="FP247">
        <f t="shared" si="1209"/>
        <v>0</v>
      </c>
      <c r="FQ247">
        <f t="shared" si="1210"/>
        <v>0</v>
      </c>
      <c r="FR247">
        <f t="shared" si="1211"/>
        <v>0</v>
      </c>
      <c r="FS247">
        <f t="shared" si="1212"/>
        <v>0</v>
      </c>
      <c r="FT247">
        <f t="shared" si="1213"/>
        <v>0</v>
      </c>
      <c r="FU247">
        <f t="shared" si="1214"/>
        <v>0</v>
      </c>
      <c r="FV247">
        <f t="shared" si="1215"/>
        <v>0</v>
      </c>
      <c r="FW247">
        <f t="shared" si="1216"/>
        <v>0</v>
      </c>
      <c r="FX247">
        <f t="shared" si="1414"/>
        <v>0</v>
      </c>
      <c r="FY247">
        <f t="shared" si="1235"/>
        <v>0</v>
      </c>
      <c r="FZ247">
        <f t="shared" si="1218"/>
        <v>0</v>
      </c>
      <c r="GA247">
        <f t="shared" si="1219"/>
        <v>0</v>
      </c>
      <c r="GB247">
        <f t="shared" si="1220"/>
        <v>0</v>
      </c>
      <c r="GC247">
        <f t="shared" si="1221"/>
        <v>0</v>
      </c>
    </row>
    <row r="248" spans="1:185" x14ac:dyDescent="0.2">
      <c r="A248" s="8" t="str">
        <f t="shared" si="1311"/>
        <v/>
      </c>
      <c r="B248" s="8">
        <f t="shared" si="1312"/>
        <v>0</v>
      </c>
      <c r="C248" s="8">
        <f t="shared" si="1313"/>
        <v>0</v>
      </c>
      <c r="D248" s="8">
        <f t="shared" si="1314"/>
        <v>0</v>
      </c>
      <c r="E248" s="8">
        <f t="shared" si="1315"/>
        <v>0</v>
      </c>
      <c r="F248" s="8">
        <f t="shared" si="1384"/>
        <v>0</v>
      </c>
      <c r="G248" s="8">
        <f t="shared" si="1427"/>
        <v>0</v>
      </c>
      <c r="H248" s="8">
        <f t="shared" si="1428"/>
        <v>0</v>
      </c>
      <c r="I248" s="8">
        <f t="shared" si="1429"/>
        <v>0</v>
      </c>
      <c r="J248" s="8">
        <f t="shared" si="1430"/>
        <v>0</v>
      </c>
      <c r="K248" s="8">
        <f t="shared" si="1431"/>
        <v>0</v>
      </c>
      <c r="L248">
        <f t="shared" si="1320"/>
        <v>0</v>
      </c>
      <c r="M248">
        <f t="shared" si="1321"/>
        <v>0</v>
      </c>
      <c r="N248">
        <f t="shared" si="1322"/>
        <v>0</v>
      </c>
      <c r="O248">
        <f t="shared" si="1323"/>
        <v>0</v>
      </c>
      <c r="P248">
        <f t="shared" si="1324"/>
        <v>0</v>
      </c>
      <c r="Q248">
        <f t="shared" si="1325"/>
        <v>0</v>
      </c>
      <c r="R248">
        <f t="shared" si="1326"/>
        <v>0</v>
      </c>
      <c r="S248" s="8">
        <f t="shared" si="1327"/>
        <v>0</v>
      </c>
      <c r="T248" s="8">
        <f t="shared" si="1328"/>
        <v>0</v>
      </c>
      <c r="U248" s="8">
        <f t="shared" si="1329"/>
        <v>0</v>
      </c>
      <c r="V248">
        <f>IF(V$230,LandEmiss!AF143,0)</f>
        <v>0</v>
      </c>
      <c r="W248">
        <f>IF(W$230,LandEmiss!AG143,0)</f>
        <v>0</v>
      </c>
      <c r="X248">
        <f>IF(X$230,LandEmiss!AH143,0)</f>
        <v>0</v>
      </c>
      <c r="Y248">
        <f>IF(Y$230,LandEmiss!AI143,0)</f>
        <v>0</v>
      </c>
      <c r="Z248">
        <f>IF(Z$230,LandEmiss!AJ143,0)</f>
        <v>0</v>
      </c>
      <c r="AA248">
        <f>IF(AA$230,LandEmiss!AK143,0)</f>
        <v>0</v>
      </c>
      <c r="AB248">
        <f>IF(AB$230,LandEmiss!AL143,0)</f>
        <v>0</v>
      </c>
      <c r="AC248">
        <f>IF(AC$230,LandEmiss!AM143,0)</f>
        <v>0</v>
      </c>
      <c r="AD248">
        <f>IF(AD$230,LandEmiss!AN143,0)</f>
        <v>0</v>
      </c>
      <c r="AE248">
        <f>IF(AE$230,LandEmiss!AO143,0)</f>
        <v>0</v>
      </c>
      <c r="AF248">
        <f t="shared" ref="AF248:AO248" si="1480">IF(AF$230,AF143,0)</f>
        <v>0</v>
      </c>
      <c r="AG248">
        <f t="shared" si="1480"/>
        <v>0</v>
      </c>
      <c r="AH248">
        <f t="shared" si="1480"/>
        <v>0</v>
      </c>
      <c r="AI248">
        <f t="shared" si="1480"/>
        <v>0</v>
      </c>
      <c r="AJ248">
        <f t="shared" si="1480"/>
        <v>0</v>
      </c>
      <c r="AK248">
        <f t="shared" si="1480"/>
        <v>0</v>
      </c>
      <c r="AL248">
        <f t="shared" si="1480"/>
        <v>0</v>
      </c>
      <c r="AM248">
        <f t="shared" si="1480"/>
        <v>0</v>
      </c>
      <c r="AN248">
        <f t="shared" si="1480"/>
        <v>0</v>
      </c>
      <c r="AO248">
        <f t="shared" si="1480"/>
        <v>0</v>
      </c>
      <c r="AP248">
        <f t="shared" si="1331"/>
        <v>0</v>
      </c>
      <c r="AQ248">
        <f t="shared" si="1332"/>
        <v>0</v>
      </c>
      <c r="AR248">
        <f t="shared" si="1333"/>
        <v>0</v>
      </c>
      <c r="AS248">
        <f t="shared" si="1334"/>
        <v>0</v>
      </c>
      <c r="AT248">
        <f t="shared" si="1335"/>
        <v>0</v>
      </c>
      <c r="AU248">
        <f t="shared" si="1336"/>
        <v>0</v>
      </c>
      <c r="AV248">
        <f t="shared" si="1337"/>
        <v>0</v>
      </c>
      <c r="AW248">
        <f t="shared" si="1338"/>
        <v>0</v>
      </c>
      <c r="AX248">
        <f t="shared" si="1339"/>
        <v>0</v>
      </c>
      <c r="AY248">
        <f t="shared" si="1340"/>
        <v>0</v>
      </c>
      <c r="AZ248">
        <f t="shared" si="1341"/>
        <v>0</v>
      </c>
      <c r="BA248">
        <f t="shared" si="1342"/>
        <v>0</v>
      </c>
      <c r="BB248">
        <f t="shared" si="1343"/>
        <v>0</v>
      </c>
      <c r="BC248">
        <f t="shared" si="1344"/>
        <v>0</v>
      </c>
      <c r="BD248">
        <f t="shared" si="1345"/>
        <v>0</v>
      </c>
      <c r="BE248">
        <f t="shared" si="1346"/>
        <v>0</v>
      </c>
      <c r="BF248">
        <f t="shared" si="1347"/>
        <v>0</v>
      </c>
      <c r="BG248">
        <f t="shared" si="1348"/>
        <v>0</v>
      </c>
      <c r="BH248">
        <f t="shared" si="1349"/>
        <v>0</v>
      </c>
      <c r="BI248">
        <f t="shared" si="1387"/>
        <v>0</v>
      </c>
      <c r="BJ248" s="8" t="str">
        <f>Hidden!$CC19</f>
        <v/>
      </c>
      <c r="BK248">
        <f t="shared" ref="BK248:BT248" si="1481">IF(BK$230,CP143,0)</f>
        <v>0</v>
      </c>
      <c r="BL248">
        <f t="shared" si="1481"/>
        <v>0</v>
      </c>
      <c r="BM248">
        <f t="shared" si="1481"/>
        <v>0</v>
      </c>
      <c r="BN248">
        <f t="shared" si="1481"/>
        <v>0</v>
      </c>
      <c r="BO248">
        <f t="shared" si="1481"/>
        <v>0</v>
      </c>
      <c r="BP248">
        <f t="shared" si="1481"/>
        <v>0</v>
      </c>
      <c r="BQ248">
        <f t="shared" si="1481"/>
        <v>0</v>
      </c>
      <c r="BR248">
        <f t="shared" si="1481"/>
        <v>0</v>
      </c>
      <c r="BS248">
        <f t="shared" si="1481"/>
        <v>0</v>
      </c>
      <c r="BT248">
        <f t="shared" si="1481"/>
        <v>0</v>
      </c>
      <c r="BU248">
        <f t="shared" ref="BU248:CD248" si="1482">IF(BU$230,CP143,0)</f>
        <v>0</v>
      </c>
      <c r="BV248">
        <f t="shared" si="1482"/>
        <v>0</v>
      </c>
      <c r="BW248">
        <f t="shared" si="1482"/>
        <v>0</v>
      </c>
      <c r="BX248">
        <f t="shared" si="1482"/>
        <v>0</v>
      </c>
      <c r="BY248">
        <f t="shared" si="1482"/>
        <v>0</v>
      </c>
      <c r="BZ248">
        <f t="shared" si="1482"/>
        <v>0</v>
      </c>
      <c r="CA248">
        <f t="shared" si="1482"/>
        <v>0</v>
      </c>
      <c r="CB248">
        <f t="shared" si="1482"/>
        <v>0</v>
      </c>
      <c r="CC248">
        <f t="shared" si="1482"/>
        <v>0</v>
      </c>
      <c r="CD248">
        <f t="shared" si="1482"/>
        <v>0</v>
      </c>
      <c r="CE248">
        <f t="shared" si="1352"/>
        <v>0</v>
      </c>
      <c r="CF248">
        <f t="shared" si="1353"/>
        <v>0</v>
      </c>
      <c r="CG248">
        <f t="shared" si="1354"/>
        <v>0</v>
      </c>
      <c r="CH248">
        <f t="shared" si="1355"/>
        <v>0</v>
      </c>
      <c r="CI248">
        <f t="shared" si="1356"/>
        <v>0</v>
      </c>
      <c r="CJ248">
        <f t="shared" si="1357"/>
        <v>0</v>
      </c>
      <c r="CK248">
        <f t="shared" si="1390"/>
        <v>0</v>
      </c>
      <c r="CL248">
        <f t="shared" si="1358"/>
        <v>0</v>
      </c>
      <c r="CM248">
        <f t="shared" si="1359"/>
        <v>0</v>
      </c>
      <c r="CN248">
        <f t="shared" si="1360"/>
        <v>0</v>
      </c>
      <c r="CO248">
        <f t="shared" ref="CO248:CX248" si="1483">IF(CO$230,CP143,0)</f>
        <v>0</v>
      </c>
      <c r="CP248">
        <f t="shared" si="1483"/>
        <v>0</v>
      </c>
      <c r="CQ248">
        <f t="shared" si="1483"/>
        <v>0</v>
      </c>
      <c r="CR248">
        <f t="shared" si="1483"/>
        <v>0</v>
      </c>
      <c r="CS248">
        <f t="shared" si="1483"/>
        <v>0</v>
      </c>
      <c r="CT248">
        <f t="shared" si="1483"/>
        <v>0</v>
      </c>
      <c r="CU248">
        <f t="shared" si="1483"/>
        <v>0</v>
      </c>
      <c r="CV248">
        <f t="shared" si="1483"/>
        <v>0</v>
      </c>
      <c r="CW248">
        <f t="shared" si="1483"/>
        <v>0</v>
      </c>
      <c r="CX248">
        <f t="shared" si="1483"/>
        <v>0</v>
      </c>
      <c r="CY248">
        <f t="shared" si="1362"/>
        <v>0</v>
      </c>
      <c r="CZ248">
        <f t="shared" si="1363"/>
        <v>0</v>
      </c>
      <c r="DA248">
        <f t="shared" si="1364"/>
        <v>0</v>
      </c>
      <c r="DB248">
        <f t="shared" si="1365"/>
        <v>0</v>
      </c>
      <c r="DC248">
        <f t="shared" si="1366"/>
        <v>0</v>
      </c>
      <c r="DD248">
        <f t="shared" si="1367"/>
        <v>0</v>
      </c>
      <c r="DE248">
        <f t="shared" si="1368"/>
        <v>0</v>
      </c>
      <c r="DF248">
        <f t="shared" si="1369"/>
        <v>0</v>
      </c>
      <c r="DG248">
        <f t="shared" si="1370"/>
        <v>0</v>
      </c>
      <c r="DH248">
        <f t="shared" si="1371"/>
        <v>0</v>
      </c>
      <c r="DI248">
        <f t="shared" si="1372"/>
        <v>0</v>
      </c>
      <c r="DJ248">
        <f t="shared" si="1373"/>
        <v>0</v>
      </c>
      <c r="DK248">
        <f t="shared" si="1374"/>
        <v>0</v>
      </c>
      <c r="DL248">
        <f t="shared" si="1375"/>
        <v>0</v>
      </c>
      <c r="DM248">
        <f t="shared" si="1376"/>
        <v>0</v>
      </c>
      <c r="DN248">
        <f t="shared" si="1377"/>
        <v>0</v>
      </c>
      <c r="DO248">
        <f t="shared" si="1378"/>
        <v>0</v>
      </c>
      <c r="DP248">
        <f t="shared" si="1379"/>
        <v>0</v>
      </c>
      <c r="DQ248">
        <f t="shared" si="1380"/>
        <v>0</v>
      </c>
      <c r="DR248">
        <f t="shared" si="1381"/>
        <v>0</v>
      </c>
      <c r="DT248" s="77"/>
      <c r="DU248" s="8" t="str">
        <f>Hidden!$CG31</f>
        <v/>
      </c>
      <c r="DV248">
        <f t="shared" si="1176"/>
        <v>0</v>
      </c>
      <c r="DW248">
        <f t="shared" si="1177"/>
        <v>0</v>
      </c>
      <c r="DX248">
        <f t="shared" si="1178"/>
        <v>0</v>
      </c>
      <c r="DY248">
        <f t="shared" si="1179"/>
        <v>0</v>
      </c>
      <c r="DZ248">
        <f t="shared" si="1180"/>
        <v>0</v>
      </c>
      <c r="EA248">
        <f t="shared" si="1181"/>
        <v>0</v>
      </c>
      <c r="EB248">
        <f t="shared" si="1182"/>
        <v>0</v>
      </c>
      <c r="EC248">
        <f t="shared" si="1183"/>
        <v>0</v>
      </c>
      <c r="ED248">
        <f t="shared" si="1184"/>
        <v>0</v>
      </c>
      <c r="EE248">
        <f t="shared" si="1185"/>
        <v>0</v>
      </c>
      <c r="EF248">
        <f t="shared" si="1186"/>
        <v>0</v>
      </c>
      <c r="EG248">
        <f t="shared" si="1187"/>
        <v>0</v>
      </c>
      <c r="EH248">
        <f t="shared" si="1188"/>
        <v>0</v>
      </c>
      <c r="EI248">
        <f t="shared" si="1189"/>
        <v>0</v>
      </c>
      <c r="EJ248">
        <f t="shared" si="1190"/>
        <v>0</v>
      </c>
      <c r="EK248">
        <f t="shared" si="1191"/>
        <v>0</v>
      </c>
      <c r="EL248">
        <f t="shared" si="1192"/>
        <v>0</v>
      </c>
      <c r="EM248">
        <f t="shared" si="1193"/>
        <v>0</v>
      </c>
      <c r="EN248">
        <f t="shared" si="1194"/>
        <v>0</v>
      </c>
      <c r="EO248">
        <f t="shared" si="1195"/>
        <v>0</v>
      </c>
      <c r="EP248">
        <f t="shared" si="1196"/>
        <v>0</v>
      </c>
      <c r="EQ248">
        <f t="shared" si="1197"/>
        <v>0</v>
      </c>
      <c r="ER248">
        <f t="shared" si="1410"/>
        <v>0</v>
      </c>
      <c r="ES248">
        <f t="shared" ref="ES248:ET248" si="1484">IF(ES$218,FC143,0)</f>
        <v>0</v>
      </c>
      <c r="ET248">
        <f t="shared" si="1484"/>
        <v>0</v>
      </c>
      <c r="EU248">
        <f t="shared" si="1199"/>
        <v>0</v>
      </c>
      <c r="EV248">
        <f t="shared" si="1411"/>
        <v>0</v>
      </c>
      <c r="EW248">
        <f t="shared" si="1232"/>
        <v>0</v>
      </c>
      <c r="EX248">
        <f t="shared" si="1201"/>
        <v>0</v>
      </c>
      <c r="EY248">
        <f t="shared" si="1202"/>
        <v>0</v>
      </c>
      <c r="EZ248">
        <f t="shared" ref="EZ248:FI248" si="1485">IF(EZ$218,EZ143,0)</f>
        <v>0</v>
      </c>
      <c r="FA248">
        <f t="shared" si="1485"/>
        <v>0</v>
      </c>
      <c r="FB248">
        <f t="shared" si="1485"/>
        <v>0</v>
      </c>
      <c r="FC248">
        <f t="shared" si="1485"/>
        <v>0</v>
      </c>
      <c r="FD248">
        <f t="shared" si="1485"/>
        <v>0</v>
      </c>
      <c r="FE248">
        <f t="shared" si="1485"/>
        <v>0</v>
      </c>
      <c r="FF248">
        <f t="shared" si="1485"/>
        <v>0</v>
      </c>
      <c r="FG248">
        <f t="shared" si="1485"/>
        <v>0</v>
      </c>
      <c r="FH248">
        <f t="shared" si="1485"/>
        <v>0</v>
      </c>
      <c r="FI248">
        <f t="shared" si="1485"/>
        <v>0</v>
      </c>
      <c r="FJ248">
        <f t="shared" si="1204"/>
        <v>0</v>
      </c>
      <c r="FK248">
        <f t="shared" si="1205"/>
        <v>0</v>
      </c>
      <c r="FL248">
        <f t="shared" si="1413"/>
        <v>0</v>
      </c>
      <c r="FM248">
        <f t="shared" si="1234"/>
        <v>0</v>
      </c>
      <c r="FN248">
        <f t="shared" si="1207"/>
        <v>0</v>
      </c>
      <c r="FO248">
        <f t="shared" si="1208"/>
        <v>0</v>
      </c>
      <c r="FP248">
        <f t="shared" si="1209"/>
        <v>0</v>
      </c>
      <c r="FQ248">
        <f t="shared" si="1210"/>
        <v>0</v>
      </c>
      <c r="FR248">
        <f t="shared" si="1211"/>
        <v>0</v>
      </c>
      <c r="FS248">
        <f t="shared" si="1212"/>
        <v>0</v>
      </c>
      <c r="FT248">
        <f t="shared" si="1213"/>
        <v>0</v>
      </c>
      <c r="FU248">
        <f t="shared" si="1214"/>
        <v>0</v>
      </c>
      <c r="FV248">
        <f t="shared" si="1215"/>
        <v>0</v>
      </c>
      <c r="FW248">
        <f t="shared" si="1216"/>
        <v>0</v>
      </c>
      <c r="FX248">
        <f t="shared" si="1414"/>
        <v>0</v>
      </c>
      <c r="FY248">
        <f t="shared" si="1235"/>
        <v>0</v>
      </c>
      <c r="FZ248">
        <f t="shared" si="1218"/>
        <v>0</v>
      </c>
      <c r="GA248">
        <f t="shared" si="1219"/>
        <v>0</v>
      </c>
      <c r="GB248">
        <f t="shared" si="1220"/>
        <v>0</v>
      </c>
      <c r="GC248">
        <f t="shared" si="1221"/>
        <v>0</v>
      </c>
    </row>
    <row r="249" spans="1:185" x14ac:dyDescent="0.2">
      <c r="A249" s="8" t="str">
        <f t="shared" si="1311"/>
        <v/>
      </c>
      <c r="B249" s="8">
        <f t="shared" si="1312"/>
        <v>0</v>
      </c>
      <c r="C249" s="8">
        <f t="shared" si="1313"/>
        <v>0</v>
      </c>
      <c r="D249" s="8">
        <f t="shared" si="1314"/>
        <v>0</v>
      </c>
      <c r="E249" s="8">
        <f t="shared" ref="E249:E312" si="1486">IF(E$230,AI144,0)</f>
        <v>0</v>
      </c>
      <c r="F249" s="8">
        <f t="shared" si="1384"/>
        <v>0</v>
      </c>
      <c r="G249" s="8">
        <f t="shared" si="1427"/>
        <v>0</v>
      </c>
      <c r="H249" s="8">
        <f t="shared" si="1428"/>
        <v>0</v>
      </c>
      <c r="I249" s="8">
        <f t="shared" si="1429"/>
        <v>0</v>
      </c>
      <c r="J249" s="8">
        <f t="shared" si="1430"/>
        <v>0</v>
      </c>
      <c r="K249" s="8">
        <f t="shared" si="1431"/>
        <v>0</v>
      </c>
      <c r="L249">
        <f t="shared" si="1320"/>
        <v>0</v>
      </c>
      <c r="M249">
        <f t="shared" si="1321"/>
        <v>0</v>
      </c>
      <c r="N249">
        <f t="shared" si="1322"/>
        <v>0</v>
      </c>
      <c r="O249">
        <f t="shared" si="1323"/>
        <v>0</v>
      </c>
      <c r="P249">
        <f t="shared" si="1324"/>
        <v>0</v>
      </c>
      <c r="Q249">
        <f t="shared" si="1325"/>
        <v>0</v>
      </c>
      <c r="R249">
        <f t="shared" si="1326"/>
        <v>0</v>
      </c>
      <c r="S249" s="8">
        <f t="shared" si="1327"/>
        <v>0</v>
      </c>
      <c r="T249" s="8">
        <f t="shared" si="1328"/>
        <v>0</v>
      </c>
      <c r="U249" s="8">
        <f t="shared" si="1329"/>
        <v>0</v>
      </c>
      <c r="V249">
        <f>IF(V$230,LandEmiss!AF144,0)</f>
        <v>0</v>
      </c>
      <c r="W249">
        <f>IF(W$230,LandEmiss!AG144,0)</f>
        <v>0</v>
      </c>
      <c r="X249">
        <f>IF(X$230,LandEmiss!AH144,0)</f>
        <v>0</v>
      </c>
      <c r="Y249">
        <f>IF(Y$230,LandEmiss!AI144,0)</f>
        <v>0</v>
      </c>
      <c r="Z249">
        <f>IF(Z$230,LandEmiss!AJ144,0)</f>
        <v>0</v>
      </c>
      <c r="AA249">
        <f>IF(AA$230,LandEmiss!AK144,0)</f>
        <v>0</v>
      </c>
      <c r="AB249">
        <f>IF(AB$230,LandEmiss!AL144,0)</f>
        <v>0</v>
      </c>
      <c r="AC249">
        <f>IF(AC$230,LandEmiss!AM144,0)</f>
        <v>0</v>
      </c>
      <c r="AD249">
        <f>IF(AD$230,LandEmiss!AN144,0)</f>
        <v>0</v>
      </c>
      <c r="AE249">
        <f>IF(AE$230,LandEmiss!AO144,0)</f>
        <v>0</v>
      </c>
      <c r="AF249">
        <f t="shared" ref="AF249:AO249" si="1487">IF(AF$230,AF144,0)</f>
        <v>0</v>
      </c>
      <c r="AG249">
        <f t="shared" si="1487"/>
        <v>0</v>
      </c>
      <c r="AH249">
        <f t="shared" si="1487"/>
        <v>0</v>
      </c>
      <c r="AI249">
        <f t="shared" si="1487"/>
        <v>0</v>
      </c>
      <c r="AJ249">
        <f t="shared" si="1487"/>
        <v>0</v>
      </c>
      <c r="AK249">
        <f t="shared" si="1487"/>
        <v>0</v>
      </c>
      <c r="AL249">
        <f t="shared" si="1487"/>
        <v>0</v>
      </c>
      <c r="AM249">
        <f t="shared" si="1487"/>
        <v>0</v>
      </c>
      <c r="AN249">
        <f t="shared" si="1487"/>
        <v>0</v>
      </c>
      <c r="AO249">
        <f t="shared" si="1487"/>
        <v>0</v>
      </c>
      <c r="AP249">
        <f t="shared" si="1331"/>
        <v>0</v>
      </c>
      <c r="AQ249">
        <f t="shared" si="1332"/>
        <v>0</v>
      </c>
      <c r="AR249">
        <f t="shared" si="1333"/>
        <v>0</v>
      </c>
      <c r="AS249">
        <f t="shared" si="1334"/>
        <v>0</v>
      </c>
      <c r="AT249">
        <f t="shared" si="1335"/>
        <v>0</v>
      </c>
      <c r="AU249">
        <f t="shared" si="1336"/>
        <v>0</v>
      </c>
      <c r="AV249">
        <f t="shared" si="1337"/>
        <v>0</v>
      </c>
      <c r="AW249">
        <f t="shared" si="1338"/>
        <v>0</v>
      </c>
      <c r="AX249">
        <f t="shared" si="1339"/>
        <v>0</v>
      </c>
      <c r="AY249">
        <f t="shared" si="1340"/>
        <v>0</v>
      </c>
      <c r="AZ249">
        <f t="shared" si="1341"/>
        <v>0</v>
      </c>
      <c r="BA249">
        <f t="shared" si="1342"/>
        <v>0</v>
      </c>
      <c r="BB249">
        <f t="shared" si="1343"/>
        <v>0</v>
      </c>
      <c r="BC249">
        <f t="shared" si="1344"/>
        <v>0</v>
      </c>
      <c r="BD249">
        <f t="shared" si="1345"/>
        <v>0</v>
      </c>
      <c r="BE249">
        <f t="shared" si="1346"/>
        <v>0</v>
      </c>
      <c r="BF249">
        <f t="shared" si="1347"/>
        <v>0</v>
      </c>
      <c r="BG249">
        <f t="shared" si="1348"/>
        <v>0</v>
      </c>
      <c r="BH249">
        <f t="shared" ref="BH249:BH312" si="1488">IF(BH$230,AN144,0)</f>
        <v>0</v>
      </c>
      <c r="BI249">
        <f t="shared" si="1387"/>
        <v>0</v>
      </c>
      <c r="BJ249" s="8" t="str">
        <f>Hidden!$CC20</f>
        <v/>
      </c>
      <c r="BK249">
        <f t="shared" ref="BK249:BT249" si="1489">IF(BK$230,CP144,0)</f>
        <v>0</v>
      </c>
      <c r="BL249">
        <f t="shared" si="1489"/>
        <v>0</v>
      </c>
      <c r="BM249">
        <f t="shared" si="1489"/>
        <v>0</v>
      </c>
      <c r="BN249">
        <f t="shared" si="1489"/>
        <v>0</v>
      </c>
      <c r="BO249">
        <f t="shared" si="1489"/>
        <v>0</v>
      </c>
      <c r="BP249">
        <f t="shared" si="1489"/>
        <v>0</v>
      </c>
      <c r="BQ249">
        <f t="shared" si="1489"/>
        <v>0</v>
      </c>
      <c r="BR249">
        <f t="shared" si="1489"/>
        <v>0</v>
      </c>
      <c r="BS249">
        <f t="shared" si="1489"/>
        <v>0</v>
      </c>
      <c r="BT249">
        <f t="shared" si="1489"/>
        <v>0</v>
      </c>
      <c r="BU249">
        <f t="shared" ref="BU249:CD249" si="1490">IF(BU$230,CP144,0)</f>
        <v>0</v>
      </c>
      <c r="BV249">
        <f t="shared" si="1490"/>
        <v>0</v>
      </c>
      <c r="BW249">
        <f t="shared" si="1490"/>
        <v>0</v>
      </c>
      <c r="BX249">
        <f t="shared" si="1490"/>
        <v>0</v>
      </c>
      <c r="BY249">
        <f t="shared" si="1490"/>
        <v>0</v>
      </c>
      <c r="BZ249">
        <f t="shared" si="1490"/>
        <v>0</v>
      </c>
      <c r="CA249">
        <f t="shared" si="1490"/>
        <v>0</v>
      </c>
      <c r="CB249">
        <f t="shared" si="1490"/>
        <v>0</v>
      </c>
      <c r="CC249">
        <f t="shared" si="1490"/>
        <v>0</v>
      </c>
      <c r="CD249">
        <f t="shared" si="1490"/>
        <v>0</v>
      </c>
      <c r="CE249">
        <f t="shared" si="1352"/>
        <v>0</v>
      </c>
      <c r="CF249">
        <f t="shared" si="1353"/>
        <v>0</v>
      </c>
      <c r="CG249">
        <f t="shared" si="1354"/>
        <v>0</v>
      </c>
      <c r="CH249">
        <f t="shared" si="1355"/>
        <v>0</v>
      </c>
      <c r="CI249">
        <f t="shared" si="1356"/>
        <v>0</v>
      </c>
      <c r="CJ249">
        <f t="shared" ref="CJ249:CJ312" si="1491">IF(CJ$230,CU144,0)</f>
        <v>0</v>
      </c>
      <c r="CK249">
        <f t="shared" si="1390"/>
        <v>0</v>
      </c>
      <c r="CL249">
        <f t="shared" si="1358"/>
        <v>0</v>
      </c>
      <c r="CM249">
        <f t="shared" si="1359"/>
        <v>0</v>
      </c>
      <c r="CN249">
        <f t="shared" si="1360"/>
        <v>0</v>
      </c>
      <c r="CO249">
        <f t="shared" ref="CO249:CX249" si="1492">IF(CO$230,CP144,0)</f>
        <v>0</v>
      </c>
      <c r="CP249">
        <f t="shared" si="1492"/>
        <v>0</v>
      </c>
      <c r="CQ249">
        <f t="shared" si="1492"/>
        <v>0</v>
      </c>
      <c r="CR249">
        <f t="shared" si="1492"/>
        <v>0</v>
      </c>
      <c r="CS249">
        <f t="shared" si="1492"/>
        <v>0</v>
      </c>
      <c r="CT249">
        <f t="shared" si="1492"/>
        <v>0</v>
      </c>
      <c r="CU249">
        <f t="shared" si="1492"/>
        <v>0</v>
      </c>
      <c r="CV249">
        <f t="shared" si="1492"/>
        <v>0</v>
      </c>
      <c r="CW249">
        <f t="shared" si="1492"/>
        <v>0</v>
      </c>
      <c r="CX249">
        <f t="shared" si="1492"/>
        <v>0</v>
      </c>
      <c r="CY249">
        <f t="shared" si="1362"/>
        <v>0</v>
      </c>
      <c r="CZ249">
        <f t="shared" si="1363"/>
        <v>0</v>
      </c>
      <c r="DA249">
        <f t="shared" si="1364"/>
        <v>0</v>
      </c>
      <c r="DB249">
        <f t="shared" si="1365"/>
        <v>0</v>
      </c>
      <c r="DC249">
        <f t="shared" si="1366"/>
        <v>0</v>
      </c>
      <c r="DD249">
        <f t="shared" si="1367"/>
        <v>0</v>
      </c>
      <c r="DE249">
        <f t="shared" si="1368"/>
        <v>0</v>
      </c>
      <c r="DF249">
        <f t="shared" si="1369"/>
        <v>0</v>
      </c>
      <c r="DG249">
        <f t="shared" si="1370"/>
        <v>0</v>
      </c>
      <c r="DH249">
        <f t="shared" si="1371"/>
        <v>0</v>
      </c>
      <c r="DI249">
        <f t="shared" si="1372"/>
        <v>0</v>
      </c>
      <c r="DJ249">
        <f t="shared" si="1373"/>
        <v>0</v>
      </c>
      <c r="DK249">
        <f t="shared" si="1374"/>
        <v>0</v>
      </c>
      <c r="DL249">
        <f t="shared" si="1375"/>
        <v>0</v>
      </c>
      <c r="DM249">
        <f t="shared" si="1376"/>
        <v>0</v>
      </c>
      <c r="DN249">
        <f t="shared" si="1377"/>
        <v>0</v>
      </c>
      <c r="DO249">
        <f t="shared" si="1378"/>
        <v>0</v>
      </c>
      <c r="DP249">
        <f t="shared" si="1379"/>
        <v>0</v>
      </c>
      <c r="DQ249">
        <f t="shared" si="1380"/>
        <v>0</v>
      </c>
      <c r="DR249">
        <f t="shared" si="1381"/>
        <v>0</v>
      </c>
      <c r="DT249" s="77"/>
      <c r="DU249" s="8" t="str">
        <f>Hidden!$CG32</f>
        <v/>
      </c>
      <c r="DV249">
        <f t="shared" si="1176"/>
        <v>0</v>
      </c>
      <c r="DW249">
        <f t="shared" si="1177"/>
        <v>0</v>
      </c>
      <c r="DX249">
        <f t="shared" si="1178"/>
        <v>0</v>
      </c>
      <c r="DY249">
        <f t="shared" si="1179"/>
        <v>0</v>
      </c>
      <c r="DZ249">
        <f t="shared" si="1180"/>
        <v>0</v>
      </c>
      <c r="EA249">
        <f t="shared" si="1181"/>
        <v>0</v>
      </c>
      <c r="EB249">
        <f t="shared" si="1182"/>
        <v>0</v>
      </c>
      <c r="EC249">
        <f t="shared" si="1183"/>
        <v>0</v>
      </c>
      <c r="ED249">
        <f t="shared" si="1184"/>
        <v>0</v>
      </c>
      <c r="EE249">
        <f t="shared" si="1185"/>
        <v>0</v>
      </c>
      <c r="EF249">
        <f t="shared" si="1186"/>
        <v>0</v>
      </c>
      <c r="EG249">
        <f t="shared" si="1187"/>
        <v>0</v>
      </c>
      <c r="EH249">
        <f t="shared" si="1188"/>
        <v>0</v>
      </c>
      <c r="EI249">
        <f t="shared" si="1189"/>
        <v>0</v>
      </c>
      <c r="EJ249">
        <f t="shared" si="1190"/>
        <v>0</v>
      </c>
      <c r="EK249">
        <f t="shared" si="1191"/>
        <v>0</v>
      </c>
      <c r="EL249">
        <f t="shared" si="1192"/>
        <v>0</v>
      </c>
      <c r="EM249">
        <f t="shared" si="1193"/>
        <v>0</v>
      </c>
      <c r="EN249">
        <f t="shared" si="1194"/>
        <v>0</v>
      </c>
      <c r="EO249">
        <f t="shared" si="1195"/>
        <v>0</v>
      </c>
      <c r="EP249">
        <f t="shared" si="1196"/>
        <v>0</v>
      </c>
      <c r="EQ249">
        <f t="shared" si="1197"/>
        <v>0</v>
      </c>
      <c r="ER249">
        <f t="shared" si="1410"/>
        <v>0</v>
      </c>
      <c r="ES249">
        <f t="shared" ref="ES249:ET249" si="1493">IF(ES$218,FC144,0)</f>
        <v>0</v>
      </c>
      <c r="ET249">
        <f t="shared" si="1493"/>
        <v>0</v>
      </c>
      <c r="EU249">
        <f t="shared" si="1199"/>
        <v>0</v>
      </c>
      <c r="EV249">
        <f t="shared" si="1411"/>
        <v>0</v>
      </c>
      <c r="EW249">
        <f t="shared" si="1232"/>
        <v>0</v>
      </c>
      <c r="EX249">
        <f t="shared" si="1201"/>
        <v>0</v>
      </c>
      <c r="EY249">
        <f t="shared" si="1202"/>
        <v>0</v>
      </c>
      <c r="EZ249">
        <f t="shared" ref="EZ249:FI249" si="1494">IF(EZ$218,EZ144,0)</f>
        <v>0</v>
      </c>
      <c r="FA249">
        <f t="shared" si="1494"/>
        <v>0</v>
      </c>
      <c r="FB249">
        <f t="shared" si="1494"/>
        <v>0</v>
      </c>
      <c r="FC249">
        <f t="shared" si="1494"/>
        <v>0</v>
      </c>
      <c r="FD249">
        <f t="shared" si="1494"/>
        <v>0</v>
      </c>
      <c r="FE249">
        <f t="shared" si="1494"/>
        <v>0</v>
      </c>
      <c r="FF249">
        <f t="shared" si="1494"/>
        <v>0</v>
      </c>
      <c r="FG249">
        <f t="shared" si="1494"/>
        <v>0</v>
      </c>
      <c r="FH249">
        <f t="shared" si="1494"/>
        <v>0</v>
      </c>
      <c r="FI249">
        <f t="shared" si="1494"/>
        <v>0</v>
      </c>
      <c r="FJ249">
        <f t="shared" si="1204"/>
        <v>0</v>
      </c>
      <c r="FK249">
        <f t="shared" si="1205"/>
        <v>0</v>
      </c>
      <c r="FL249">
        <f t="shared" si="1413"/>
        <v>0</v>
      </c>
      <c r="FM249">
        <f t="shared" si="1234"/>
        <v>0</v>
      </c>
      <c r="FN249">
        <f t="shared" si="1207"/>
        <v>0</v>
      </c>
      <c r="FO249">
        <f t="shared" si="1208"/>
        <v>0</v>
      </c>
      <c r="FP249">
        <f t="shared" si="1209"/>
        <v>0</v>
      </c>
      <c r="FQ249">
        <f t="shared" si="1210"/>
        <v>0</v>
      </c>
      <c r="FR249">
        <f t="shared" si="1211"/>
        <v>0</v>
      </c>
      <c r="FS249">
        <f t="shared" si="1212"/>
        <v>0</v>
      </c>
      <c r="FT249">
        <f t="shared" si="1213"/>
        <v>0</v>
      </c>
      <c r="FU249">
        <f t="shared" si="1214"/>
        <v>0</v>
      </c>
      <c r="FV249">
        <f t="shared" si="1215"/>
        <v>0</v>
      </c>
      <c r="FW249">
        <f t="shared" si="1216"/>
        <v>0</v>
      </c>
      <c r="FX249">
        <f t="shared" si="1414"/>
        <v>0</v>
      </c>
      <c r="FY249">
        <f t="shared" si="1235"/>
        <v>0</v>
      </c>
      <c r="FZ249">
        <f t="shared" si="1218"/>
        <v>0</v>
      </c>
      <c r="GA249">
        <f t="shared" si="1219"/>
        <v>0</v>
      </c>
      <c r="GB249">
        <f t="shared" si="1220"/>
        <v>0</v>
      </c>
      <c r="GC249">
        <f t="shared" si="1221"/>
        <v>0</v>
      </c>
    </row>
    <row r="250" spans="1:185" x14ac:dyDescent="0.2">
      <c r="A250" s="8" t="str">
        <f t="shared" si="1311"/>
        <v/>
      </c>
      <c r="B250" s="8">
        <f t="shared" si="1312"/>
        <v>0</v>
      </c>
      <c r="C250" s="8">
        <f t="shared" si="1313"/>
        <v>0</v>
      </c>
      <c r="D250" s="8">
        <f t="shared" si="1314"/>
        <v>0</v>
      </c>
      <c r="E250" s="8">
        <f t="shared" si="1486"/>
        <v>0</v>
      </c>
      <c r="F250" s="8">
        <f t="shared" si="1384"/>
        <v>0</v>
      </c>
      <c r="G250" s="8">
        <f t="shared" si="1427"/>
        <v>0</v>
      </c>
      <c r="H250" s="8">
        <f t="shared" si="1428"/>
        <v>0</v>
      </c>
      <c r="I250" s="8">
        <f t="shared" si="1429"/>
        <v>0</v>
      </c>
      <c r="J250" s="8">
        <f t="shared" si="1430"/>
        <v>0</v>
      </c>
      <c r="K250" s="8">
        <f t="shared" si="1431"/>
        <v>0</v>
      </c>
      <c r="L250">
        <f t="shared" si="1320"/>
        <v>0</v>
      </c>
      <c r="M250">
        <f t="shared" si="1321"/>
        <v>0</v>
      </c>
      <c r="N250">
        <f t="shared" si="1322"/>
        <v>0</v>
      </c>
      <c r="O250">
        <f t="shared" si="1323"/>
        <v>0</v>
      </c>
      <c r="P250">
        <f t="shared" si="1324"/>
        <v>0</v>
      </c>
      <c r="Q250">
        <f t="shared" si="1325"/>
        <v>0</v>
      </c>
      <c r="R250">
        <f t="shared" si="1326"/>
        <v>0</v>
      </c>
      <c r="S250" s="8">
        <f t="shared" si="1327"/>
        <v>0</v>
      </c>
      <c r="T250" s="8">
        <f t="shared" si="1328"/>
        <v>0</v>
      </c>
      <c r="U250" s="8">
        <f t="shared" si="1329"/>
        <v>0</v>
      </c>
      <c r="V250">
        <f>IF(V$230,LandEmiss!AF145,0)</f>
        <v>0</v>
      </c>
      <c r="W250">
        <f>IF(W$230,LandEmiss!AG145,0)</f>
        <v>0</v>
      </c>
      <c r="X250">
        <f>IF(X$230,LandEmiss!AH145,0)</f>
        <v>0</v>
      </c>
      <c r="Y250">
        <f>IF(Y$230,LandEmiss!AI145,0)</f>
        <v>0</v>
      </c>
      <c r="Z250">
        <f>IF(Z$230,LandEmiss!AJ145,0)</f>
        <v>0</v>
      </c>
      <c r="AA250">
        <f>IF(AA$230,LandEmiss!AK145,0)</f>
        <v>0</v>
      </c>
      <c r="AB250">
        <f>IF(AB$230,LandEmiss!AL145,0)</f>
        <v>0</v>
      </c>
      <c r="AC250">
        <f>IF(AC$230,LandEmiss!AM145,0)</f>
        <v>0</v>
      </c>
      <c r="AD250">
        <f>IF(AD$230,LandEmiss!AN145,0)</f>
        <v>0</v>
      </c>
      <c r="AE250">
        <f>IF(AE$230,LandEmiss!AO145,0)</f>
        <v>0</v>
      </c>
      <c r="AF250">
        <f t="shared" ref="AF250:AO250" si="1495">IF(AF$230,AF145,0)</f>
        <v>0</v>
      </c>
      <c r="AG250">
        <f t="shared" si="1495"/>
        <v>0</v>
      </c>
      <c r="AH250">
        <f t="shared" si="1495"/>
        <v>0</v>
      </c>
      <c r="AI250">
        <f t="shared" si="1495"/>
        <v>0</v>
      </c>
      <c r="AJ250">
        <f t="shared" si="1495"/>
        <v>0</v>
      </c>
      <c r="AK250">
        <f t="shared" si="1495"/>
        <v>0</v>
      </c>
      <c r="AL250">
        <f t="shared" si="1495"/>
        <v>0</v>
      </c>
      <c r="AM250">
        <f t="shared" si="1495"/>
        <v>0</v>
      </c>
      <c r="AN250">
        <f t="shared" si="1495"/>
        <v>0</v>
      </c>
      <c r="AO250">
        <f t="shared" si="1495"/>
        <v>0</v>
      </c>
      <c r="AP250">
        <f t="shared" si="1331"/>
        <v>0</v>
      </c>
      <c r="AQ250">
        <f t="shared" si="1332"/>
        <v>0</v>
      </c>
      <c r="AR250">
        <f t="shared" si="1333"/>
        <v>0</v>
      </c>
      <c r="AS250">
        <f t="shared" si="1334"/>
        <v>0</v>
      </c>
      <c r="AT250">
        <f t="shared" si="1335"/>
        <v>0</v>
      </c>
      <c r="AU250">
        <f t="shared" si="1336"/>
        <v>0</v>
      </c>
      <c r="AV250">
        <f t="shared" si="1337"/>
        <v>0</v>
      </c>
      <c r="AW250">
        <f t="shared" si="1338"/>
        <v>0</v>
      </c>
      <c r="AX250">
        <f t="shared" si="1339"/>
        <v>0</v>
      </c>
      <c r="AY250">
        <f t="shared" si="1340"/>
        <v>0</v>
      </c>
      <c r="AZ250">
        <f t="shared" si="1341"/>
        <v>0</v>
      </c>
      <c r="BA250">
        <f t="shared" si="1342"/>
        <v>0</v>
      </c>
      <c r="BB250">
        <f t="shared" si="1343"/>
        <v>0</v>
      </c>
      <c r="BC250">
        <f t="shared" si="1344"/>
        <v>0</v>
      </c>
      <c r="BD250">
        <f t="shared" si="1345"/>
        <v>0</v>
      </c>
      <c r="BE250">
        <f t="shared" si="1346"/>
        <v>0</v>
      </c>
      <c r="BF250">
        <f t="shared" si="1347"/>
        <v>0</v>
      </c>
      <c r="BG250">
        <f t="shared" si="1348"/>
        <v>0</v>
      </c>
      <c r="BH250">
        <f t="shared" si="1488"/>
        <v>0</v>
      </c>
      <c r="BI250">
        <f t="shared" si="1387"/>
        <v>0</v>
      </c>
      <c r="BJ250" s="8" t="str">
        <f>Hidden!$CC21</f>
        <v/>
      </c>
      <c r="BK250">
        <f t="shared" ref="BK250:BT250" si="1496">IF(BK$230,CP145,0)</f>
        <v>0</v>
      </c>
      <c r="BL250">
        <f t="shared" si="1496"/>
        <v>0</v>
      </c>
      <c r="BM250">
        <f t="shared" si="1496"/>
        <v>0</v>
      </c>
      <c r="BN250">
        <f t="shared" si="1496"/>
        <v>0</v>
      </c>
      <c r="BO250">
        <f t="shared" si="1496"/>
        <v>0</v>
      </c>
      <c r="BP250">
        <f t="shared" si="1496"/>
        <v>0</v>
      </c>
      <c r="BQ250">
        <f t="shared" si="1496"/>
        <v>0</v>
      </c>
      <c r="BR250">
        <f t="shared" si="1496"/>
        <v>0</v>
      </c>
      <c r="BS250">
        <f t="shared" si="1496"/>
        <v>0</v>
      </c>
      <c r="BT250">
        <f t="shared" si="1496"/>
        <v>0</v>
      </c>
      <c r="BU250">
        <f t="shared" ref="BU250:CD250" si="1497">IF(BU$230,CP145,0)</f>
        <v>0</v>
      </c>
      <c r="BV250">
        <f t="shared" si="1497"/>
        <v>0</v>
      </c>
      <c r="BW250">
        <f t="shared" si="1497"/>
        <v>0</v>
      </c>
      <c r="BX250">
        <f t="shared" si="1497"/>
        <v>0</v>
      </c>
      <c r="BY250">
        <f t="shared" si="1497"/>
        <v>0</v>
      </c>
      <c r="BZ250">
        <f t="shared" si="1497"/>
        <v>0</v>
      </c>
      <c r="CA250">
        <f t="shared" si="1497"/>
        <v>0</v>
      </c>
      <c r="CB250">
        <f t="shared" si="1497"/>
        <v>0</v>
      </c>
      <c r="CC250">
        <f t="shared" si="1497"/>
        <v>0</v>
      </c>
      <c r="CD250">
        <f t="shared" si="1497"/>
        <v>0</v>
      </c>
      <c r="CE250">
        <f t="shared" si="1352"/>
        <v>0</v>
      </c>
      <c r="CF250">
        <f t="shared" si="1353"/>
        <v>0</v>
      </c>
      <c r="CG250">
        <f t="shared" si="1354"/>
        <v>0</v>
      </c>
      <c r="CH250">
        <f t="shared" si="1355"/>
        <v>0</v>
      </c>
      <c r="CI250">
        <f t="shared" si="1356"/>
        <v>0</v>
      </c>
      <c r="CJ250">
        <f t="shared" si="1491"/>
        <v>0</v>
      </c>
      <c r="CK250">
        <f t="shared" si="1390"/>
        <v>0</v>
      </c>
      <c r="CL250">
        <f t="shared" si="1358"/>
        <v>0</v>
      </c>
      <c r="CM250">
        <f t="shared" si="1359"/>
        <v>0</v>
      </c>
      <c r="CN250">
        <f t="shared" si="1360"/>
        <v>0</v>
      </c>
      <c r="CO250">
        <f t="shared" ref="CO250:CX250" si="1498">IF(CO$230,CP145,0)</f>
        <v>0</v>
      </c>
      <c r="CP250">
        <f t="shared" si="1498"/>
        <v>0</v>
      </c>
      <c r="CQ250">
        <f t="shared" si="1498"/>
        <v>0</v>
      </c>
      <c r="CR250">
        <f t="shared" si="1498"/>
        <v>0</v>
      </c>
      <c r="CS250">
        <f t="shared" si="1498"/>
        <v>0</v>
      </c>
      <c r="CT250">
        <f t="shared" si="1498"/>
        <v>0</v>
      </c>
      <c r="CU250">
        <f t="shared" si="1498"/>
        <v>0</v>
      </c>
      <c r="CV250">
        <f t="shared" si="1498"/>
        <v>0</v>
      </c>
      <c r="CW250">
        <f t="shared" si="1498"/>
        <v>0</v>
      </c>
      <c r="CX250">
        <f t="shared" si="1498"/>
        <v>0</v>
      </c>
      <c r="CY250">
        <f t="shared" si="1362"/>
        <v>0</v>
      </c>
      <c r="CZ250">
        <f t="shared" si="1363"/>
        <v>0</v>
      </c>
      <c r="DA250">
        <f t="shared" si="1364"/>
        <v>0</v>
      </c>
      <c r="DB250">
        <f t="shared" si="1365"/>
        <v>0</v>
      </c>
      <c r="DC250">
        <f t="shared" si="1366"/>
        <v>0</v>
      </c>
      <c r="DD250">
        <f t="shared" si="1367"/>
        <v>0</v>
      </c>
      <c r="DE250">
        <f t="shared" si="1368"/>
        <v>0</v>
      </c>
      <c r="DF250">
        <f t="shared" si="1369"/>
        <v>0</v>
      </c>
      <c r="DG250">
        <f t="shared" si="1370"/>
        <v>0</v>
      </c>
      <c r="DH250">
        <f t="shared" si="1371"/>
        <v>0</v>
      </c>
      <c r="DI250">
        <f t="shared" si="1372"/>
        <v>0</v>
      </c>
      <c r="DJ250">
        <f t="shared" si="1373"/>
        <v>0</v>
      </c>
      <c r="DK250">
        <f t="shared" si="1374"/>
        <v>0</v>
      </c>
      <c r="DL250">
        <f t="shared" si="1375"/>
        <v>0</v>
      </c>
      <c r="DM250">
        <f t="shared" si="1376"/>
        <v>0</v>
      </c>
      <c r="DN250">
        <f t="shared" si="1377"/>
        <v>0</v>
      </c>
      <c r="DO250">
        <f t="shared" si="1378"/>
        <v>0</v>
      </c>
      <c r="DP250">
        <f t="shared" si="1379"/>
        <v>0</v>
      </c>
      <c r="DQ250">
        <f t="shared" si="1380"/>
        <v>0</v>
      </c>
      <c r="DR250">
        <f t="shared" si="1381"/>
        <v>0</v>
      </c>
      <c r="DT250" s="77"/>
      <c r="DU250" s="8" t="str">
        <f>Hidden!$CG33</f>
        <v/>
      </c>
      <c r="DV250">
        <f t="shared" si="1176"/>
        <v>0</v>
      </c>
      <c r="DW250">
        <f t="shared" si="1177"/>
        <v>0</v>
      </c>
      <c r="DX250">
        <f t="shared" si="1178"/>
        <v>0</v>
      </c>
      <c r="DY250">
        <f t="shared" si="1179"/>
        <v>0</v>
      </c>
      <c r="DZ250">
        <f t="shared" si="1180"/>
        <v>0</v>
      </c>
      <c r="EA250">
        <f t="shared" si="1181"/>
        <v>0</v>
      </c>
      <c r="EB250">
        <f t="shared" si="1182"/>
        <v>0</v>
      </c>
      <c r="EC250">
        <f t="shared" si="1183"/>
        <v>0</v>
      </c>
      <c r="ED250">
        <f t="shared" si="1184"/>
        <v>0</v>
      </c>
      <c r="EE250">
        <f t="shared" si="1185"/>
        <v>0</v>
      </c>
      <c r="EF250">
        <f t="shared" si="1186"/>
        <v>0</v>
      </c>
      <c r="EG250">
        <f t="shared" si="1187"/>
        <v>0</v>
      </c>
      <c r="EH250">
        <f t="shared" si="1188"/>
        <v>0</v>
      </c>
      <c r="EI250">
        <f t="shared" si="1189"/>
        <v>0</v>
      </c>
      <c r="EJ250">
        <f t="shared" si="1190"/>
        <v>0</v>
      </c>
      <c r="EK250">
        <f t="shared" si="1191"/>
        <v>0</v>
      </c>
      <c r="EL250">
        <f t="shared" si="1192"/>
        <v>0</v>
      </c>
      <c r="EM250">
        <f t="shared" si="1193"/>
        <v>0</v>
      </c>
      <c r="EN250">
        <f t="shared" si="1194"/>
        <v>0</v>
      </c>
      <c r="EO250">
        <f t="shared" si="1195"/>
        <v>0</v>
      </c>
      <c r="EP250">
        <f t="shared" si="1196"/>
        <v>0</v>
      </c>
      <c r="EQ250">
        <f t="shared" si="1197"/>
        <v>0</v>
      </c>
      <c r="ER250">
        <f t="shared" si="1410"/>
        <v>0</v>
      </c>
      <c r="ES250">
        <f t="shared" ref="ES250:ET250" si="1499">IF(ES$218,FC145,0)</f>
        <v>0</v>
      </c>
      <c r="ET250">
        <f t="shared" si="1499"/>
        <v>0</v>
      </c>
      <c r="EU250">
        <f t="shared" si="1199"/>
        <v>0</v>
      </c>
      <c r="EV250">
        <f t="shared" si="1411"/>
        <v>0</v>
      </c>
      <c r="EW250">
        <f t="shared" si="1232"/>
        <v>0</v>
      </c>
      <c r="EX250">
        <f t="shared" si="1201"/>
        <v>0</v>
      </c>
      <c r="EY250">
        <f t="shared" si="1202"/>
        <v>0</v>
      </c>
      <c r="EZ250">
        <f t="shared" ref="EZ250:FI250" si="1500">IF(EZ$218,EZ145,0)</f>
        <v>0</v>
      </c>
      <c r="FA250">
        <f t="shared" si="1500"/>
        <v>0</v>
      </c>
      <c r="FB250">
        <f t="shared" si="1500"/>
        <v>0</v>
      </c>
      <c r="FC250">
        <f t="shared" si="1500"/>
        <v>0</v>
      </c>
      <c r="FD250">
        <f t="shared" si="1500"/>
        <v>0</v>
      </c>
      <c r="FE250">
        <f t="shared" si="1500"/>
        <v>0</v>
      </c>
      <c r="FF250">
        <f t="shared" si="1500"/>
        <v>0</v>
      </c>
      <c r="FG250">
        <f t="shared" si="1500"/>
        <v>0</v>
      </c>
      <c r="FH250">
        <f t="shared" si="1500"/>
        <v>0</v>
      </c>
      <c r="FI250">
        <f t="shared" si="1500"/>
        <v>0</v>
      </c>
      <c r="FJ250">
        <f t="shared" si="1204"/>
        <v>0</v>
      </c>
      <c r="FK250">
        <f t="shared" si="1205"/>
        <v>0</v>
      </c>
      <c r="FL250">
        <f t="shared" si="1413"/>
        <v>0</v>
      </c>
      <c r="FM250">
        <f t="shared" si="1234"/>
        <v>0</v>
      </c>
      <c r="FN250">
        <f t="shared" si="1207"/>
        <v>0</v>
      </c>
      <c r="FO250">
        <f t="shared" si="1208"/>
        <v>0</v>
      </c>
      <c r="FP250">
        <f t="shared" si="1209"/>
        <v>0</v>
      </c>
      <c r="FQ250">
        <f t="shared" si="1210"/>
        <v>0</v>
      </c>
      <c r="FR250">
        <f t="shared" si="1211"/>
        <v>0</v>
      </c>
      <c r="FS250">
        <f t="shared" si="1212"/>
        <v>0</v>
      </c>
      <c r="FT250">
        <f t="shared" si="1213"/>
        <v>0</v>
      </c>
      <c r="FU250">
        <f t="shared" si="1214"/>
        <v>0</v>
      </c>
      <c r="FV250">
        <f t="shared" si="1215"/>
        <v>0</v>
      </c>
      <c r="FW250">
        <f t="shared" si="1216"/>
        <v>0</v>
      </c>
      <c r="FX250">
        <f t="shared" si="1414"/>
        <v>0</v>
      </c>
      <c r="FY250">
        <f t="shared" si="1235"/>
        <v>0</v>
      </c>
      <c r="FZ250">
        <f t="shared" si="1218"/>
        <v>0</v>
      </c>
      <c r="GA250">
        <f t="shared" si="1219"/>
        <v>0</v>
      </c>
      <c r="GB250">
        <f t="shared" si="1220"/>
        <v>0</v>
      </c>
      <c r="GC250">
        <f t="shared" si="1221"/>
        <v>0</v>
      </c>
    </row>
    <row r="251" spans="1:185" x14ac:dyDescent="0.2">
      <c r="A251" s="8" t="str">
        <f t="shared" si="1311"/>
        <v/>
      </c>
      <c r="B251" s="8">
        <f t="shared" si="1312"/>
        <v>0</v>
      </c>
      <c r="C251" s="8">
        <f t="shared" si="1313"/>
        <v>0</v>
      </c>
      <c r="D251" s="8">
        <f t="shared" si="1314"/>
        <v>0</v>
      </c>
      <c r="E251" s="8">
        <f t="shared" si="1486"/>
        <v>0</v>
      </c>
      <c r="F251" s="8">
        <f t="shared" si="1384"/>
        <v>0</v>
      </c>
      <c r="G251" s="8">
        <f t="shared" si="1427"/>
        <v>0</v>
      </c>
      <c r="H251" s="8">
        <f t="shared" si="1428"/>
        <v>0</v>
      </c>
      <c r="I251" s="8">
        <f t="shared" si="1429"/>
        <v>0</v>
      </c>
      <c r="J251" s="8">
        <f t="shared" si="1430"/>
        <v>0</v>
      </c>
      <c r="K251" s="8">
        <f t="shared" si="1431"/>
        <v>0</v>
      </c>
      <c r="L251">
        <f t="shared" si="1320"/>
        <v>0</v>
      </c>
      <c r="M251">
        <f t="shared" si="1321"/>
        <v>0</v>
      </c>
      <c r="N251">
        <f t="shared" si="1322"/>
        <v>0</v>
      </c>
      <c r="O251">
        <f t="shared" si="1323"/>
        <v>0</v>
      </c>
      <c r="P251">
        <f t="shared" si="1324"/>
        <v>0</v>
      </c>
      <c r="Q251">
        <f t="shared" si="1325"/>
        <v>0</v>
      </c>
      <c r="R251">
        <f t="shared" si="1326"/>
        <v>0</v>
      </c>
      <c r="S251" s="8">
        <f t="shared" si="1327"/>
        <v>0</v>
      </c>
      <c r="T251" s="8">
        <f t="shared" si="1328"/>
        <v>0</v>
      </c>
      <c r="U251" s="8">
        <f t="shared" si="1329"/>
        <v>0</v>
      </c>
      <c r="V251">
        <f>IF(V$230,LandEmiss!AF146,0)</f>
        <v>0</v>
      </c>
      <c r="W251">
        <f>IF(W$230,LandEmiss!AG146,0)</f>
        <v>0</v>
      </c>
      <c r="X251">
        <f>IF(X$230,LandEmiss!AH146,0)</f>
        <v>0</v>
      </c>
      <c r="Y251">
        <f>IF(Y$230,LandEmiss!AI146,0)</f>
        <v>0</v>
      </c>
      <c r="Z251">
        <f>IF(Z$230,LandEmiss!AJ146,0)</f>
        <v>0</v>
      </c>
      <c r="AA251">
        <f>IF(AA$230,LandEmiss!AK146,0)</f>
        <v>0</v>
      </c>
      <c r="AB251">
        <f>IF(AB$230,LandEmiss!AL146,0)</f>
        <v>0</v>
      </c>
      <c r="AC251">
        <f>IF(AC$230,LandEmiss!AM146,0)</f>
        <v>0</v>
      </c>
      <c r="AD251">
        <f>IF(AD$230,LandEmiss!AN146,0)</f>
        <v>0</v>
      </c>
      <c r="AE251">
        <f>IF(AE$230,LandEmiss!AO146,0)</f>
        <v>0</v>
      </c>
      <c r="AF251">
        <f t="shared" ref="AF251:AO251" si="1501">IF(AF$230,AF146,0)</f>
        <v>0</v>
      </c>
      <c r="AG251">
        <f t="shared" si="1501"/>
        <v>0</v>
      </c>
      <c r="AH251">
        <f t="shared" si="1501"/>
        <v>0</v>
      </c>
      <c r="AI251">
        <f t="shared" si="1501"/>
        <v>0</v>
      </c>
      <c r="AJ251">
        <f t="shared" si="1501"/>
        <v>0</v>
      </c>
      <c r="AK251">
        <f t="shared" si="1501"/>
        <v>0</v>
      </c>
      <c r="AL251">
        <f t="shared" si="1501"/>
        <v>0</v>
      </c>
      <c r="AM251">
        <f t="shared" si="1501"/>
        <v>0</v>
      </c>
      <c r="AN251">
        <f t="shared" si="1501"/>
        <v>0</v>
      </c>
      <c r="AO251">
        <f t="shared" si="1501"/>
        <v>0</v>
      </c>
      <c r="AP251">
        <f t="shared" si="1331"/>
        <v>0</v>
      </c>
      <c r="AQ251">
        <f t="shared" si="1332"/>
        <v>0</v>
      </c>
      <c r="AR251">
        <f t="shared" si="1333"/>
        <v>0</v>
      </c>
      <c r="AS251">
        <f t="shared" si="1334"/>
        <v>0</v>
      </c>
      <c r="AT251">
        <f t="shared" si="1335"/>
        <v>0</v>
      </c>
      <c r="AU251">
        <f t="shared" si="1336"/>
        <v>0</v>
      </c>
      <c r="AV251">
        <f t="shared" si="1337"/>
        <v>0</v>
      </c>
      <c r="AW251">
        <f t="shared" si="1338"/>
        <v>0</v>
      </c>
      <c r="AX251">
        <f t="shared" si="1339"/>
        <v>0</v>
      </c>
      <c r="AY251">
        <f t="shared" si="1340"/>
        <v>0</v>
      </c>
      <c r="AZ251">
        <f t="shared" si="1341"/>
        <v>0</v>
      </c>
      <c r="BA251">
        <f t="shared" si="1342"/>
        <v>0</v>
      </c>
      <c r="BB251">
        <f t="shared" si="1343"/>
        <v>0</v>
      </c>
      <c r="BC251">
        <f t="shared" si="1344"/>
        <v>0</v>
      </c>
      <c r="BD251">
        <f t="shared" si="1345"/>
        <v>0</v>
      </c>
      <c r="BE251">
        <f t="shared" si="1346"/>
        <v>0</v>
      </c>
      <c r="BF251">
        <f t="shared" si="1347"/>
        <v>0</v>
      </c>
      <c r="BG251">
        <f t="shared" si="1348"/>
        <v>0</v>
      </c>
      <c r="BH251">
        <f t="shared" si="1488"/>
        <v>0</v>
      </c>
      <c r="BI251">
        <f t="shared" si="1387"/>
        <v>0</v>
      </c>
      <c r="BJ251" s="8" t="str">
        <f>Hidden!$CC22</f>
        <v/>
      </c>
      <c r="BK251">
        <f t="shared" ref="BK251:BT251" si="1502">IF(BK$230,CP146,0)</f>
        <v>0</v>
      </c>
      <c r="BL251">
        <f t="shared" si="1502"/>
        <v>0</v>
      </c>
      <c r="BM251">
        <f t="shared" si="1502"/>
        <v>0</v>
      </c>
      <c r="BN251">
        <f t="shared" si="1502"/>
        <v>0</v>
      </c>
      <c r="BO251">
        <f t="shared" si="1502"/>
        <v>0</v>
      </c>
      <c r="BP251">
        <f t="shared" si="1502"/>
        <v>0</v>
      </c>
      <c r="BQ251">
        <f t="shared" si="1502"/>
        <v>0</v>
      </c>
      <c r="BR251">
        <f t="shared" si="1502"/>
        <v>0</v>
      </c>
      <c r="BS251">
        <f t="shared" si="1502"/>
        <v>0</v>
      </c>
      <c r="BT251">
        <f t="shared" si="1502"/>
        <v>0</v>
      </c>
      <c r="BU251">
        <f t="shared" ref="BU251:CD251" si="1503">IF(BU$230,CP146,0)</f>
        <v>0</v>
      </c>
      <c r="BV251">
        <f t="shared" si="1503"/>
        <v>0</v>
      </c>
      <c r="BW251">
        <f t="shared" si="1503"/>
        <v>0</v>
      </c>
      <c r="BX251">
        <f t="shared" si="1503"/>
        <v>0</v>
      </c>
      <c r="BY251">
        <f t="shared" si="1503"/>
        <v>0</v>
      </c>
      <c r="BZ251">
        <f t="shared" si="1503"/>
        <v>0</v>
      </c>
      <c r="CA251">
        <f t="shared" si="1503"/>
        <v>0</v>
      </c>
      <c r="CB251">
        <f t="shared" si="1503"/>
        <v>0</v>
      </c>
      <c r="CC251">
        <f t="shared" si="1503"/>
        <v>0</v>
      </c>
      <c r="CD251">
        <f t="shared" si="1503"/>
        <v>0</v>
      </c>
      <c r="CE251">
        <f t="shared" si="1352"/>
        <v>0</v>
      </c>
      <c r="CF251">
        <f t="shared" si="1353"/>
        <v>0</v>
      </c>
      <c r="CG251">
        <f t="shared" si="1354"/>
        <v>0</v>
      </c>
      <c r="CH251">
        <f t="shared" si="1355"/>
        <v>0</v>
      </c>
      <c r="CI251">
        <f t="shared" si="1356"/>
        <v>0</v>
      </c>
      <c r="CJ251">
        <f t="shared" si="1491"/>
        <v>0</v>
      </c>
      <c r="CK251">
        <f t="shared" si="1390"/>
        <v>0</v>
      </c>
      <c r="CL251">
        <f t="shared" si="1358"/>
        <v>0</v>
      </c>
      <c r="CM251">
        <f t="shared" si="1359"/>
        <v>0</v>
      </c>
      <c r="CN251">
        <f t="shared" si="1360"/>
        <v>0</v>
      </c>
      <c r="CO251">
        <f t="shared" ref="CO251:CX251" si="1504">IF(CO$230,CP146,0)</f>
        <v>0</v>
      </c>
      <c r="CP251">
        <f t="shared" si="1504"/>
        <v>0</v>
      </c>
      <c r="CQ251">
        <f t="shared" si="1504"/>
        <v>0</v>
      </c>
      <c r="CR251">
        <f t="shared" si="1504"/>
        <v>0</v>
      </c>
      <c r="CS251">
        <f t="shared" si="1504"/>
        <v>0</v>
      </c>
      <c r="CT251">
        <f t="shared" si="1504"/>
        <v>0</v>
      </c>
      <c r="CU251">
        <f t="shared" si="1504"/>
        <v>0</v>
      </c>
      <c r="CV251">
        <f t="shared" si="1504"/>
        <v>0</v>
      </c>
      <c r="CW251">
        <f t="shared" si="1504"/>
        <v>0</v>
      </c>
      <c r="CX251">
        <f t="shared" si="1504"/>
        <v>0</v>
      </c>
      <c r="CY251">
        <f t="shared" si="1362"/>
        <v>0</v>
      </c>
      <c r="CZ251">
        <f t="shared" si="1363"/>
        <v>0</v>
      </c>
      <c r="DA251">
        <f t="shared" si="1364"/>
        <v>0</v>
      </c>
      <c r="DB251">
        <f t="shared" si="1365"/>
        <v>0</v>
      </c>
      <c r="DC251">
        <f t="shared" si="1366"/>
        <v>0</v>
      </c>
      <c r="DD251">
        <f t="shared" si="1367"/>
        <v>0</v>
      </c>
      <c r="DE251">
        <f t="shared" si="1368"/>
        <v>0</v>
      </c>
      <c r="DF251">
        <f t="shared" si="1369"/>
        <v>0</v>
      </c>
      <c r="DG251">
        <f t="shared" si="1370"/>
        <v>0</v>
      </c>
      <c r="DH251">
        <f t="shared" si="1371"/>
        <v>0</v>
      </c>
      <c r="DI251">
        <f t="shared" si="1372"/>
        <v>0</v>
      </c>
      <c r="DJ251">
        <f t="shared" si="1373"/>
        <v>0</v>
      </c>
      <c r="DK251">
        <f t="shared" si="1374"/>
        <v>0</v>
      </c>
      <c r="DL251">
        <f t="shared" si="1375"/>
        <v>0</v>
      </c>
      <c r="DM251">
        <f t="shared" si="1376"/>
        <v>0</v>
      </c>
      <c r="DN251">
        <f t="shared" si="1377"/>
        <v>0</v>
      </c>
      <c r="DO251">
        <f t="shared" si="1378"/>
        <v>0</v>
      </c>
      <c r="DP251">
        <f t="shared" si="1379"/>
        <v>0</v>
      </c>
      <c r="DQ251">
        <f t="shared" si="1380"/>
        <v>0</v>
      </c>
      <c r="DR251">
        <f t="shared" si="1381"/>
        <v>0</v>
      </c>
      <c r="DT251" s="77"/>
      <c r="DU251" s="8" t="str">
        <f>Hidden!$CG34</f>
        <v/>
      </c>
      <c r="DV251">
        <f t="shared" si="1176"/>
        <v>0</v>
      </c>
      <c r="DW251">
        <f t="shared" si="1177"/>
        <v>0</v>
      </c>
      <c r="DX251">
        <f t="shared" si="1178"/>
        <v>0</v>
      </c>
      <c r="DY251">
        <f t="shared" si="1179"/>
        <v>0</v>
      </c>
      <c r="DZ251">
        <f t="shared" si="1180"/>
        <v>0</v>
      </c>
      <c r="EA251">
        <f t="shared" si="1181"/>
        <v>0</v>
      </c>
      <c r="EB251">
        <f t="shared" si="1182"/>
        <v>0</v>
      </c>
      <c r="EC251">
        <f t="shared" si="1183"/>
        <v>0</v>
      </c>
      <c r="ED251">
        <f t="shared" si="1184"/>
        <v>0</v>
      </c>
      <c r="EE251">
        <f t="shared" si="1185"/>
        <v>0</v>
      </c>
      <c r="EF251">
        <f t="shared" si="1186"/>
        <v>0</v>
      </c>
      <c r="EG251">
        <f t="shared" si="1187"/>
        <v>0</v>
      </c>
      <c r="EH251">
        <f t="shared" si="1188"/>
        <v>0</v>
      </c>
      <c r="EI251">
        <f t="shared" si="1189"/>
        <v>0</v>
      </c>
      <c r="EJ251">
        <f t="shared" si="1190"/>
        <v>0</v>
      </c>
      <c r="EK251">
        <f t="shared" si="1191"/>
        <v>0</v>
      </c>
      <c r="EL251">
        <f t="shared" si="1192"/>
        <v>0</v>
      </c>
      <c r="EM251">
        <f t="shared" si="1193"/>
        <v>0</v>
      </c>
      <c r="EN251">
        <f t="shared" si="1194"/>
        <v>0</v>
      </c>
      <c r="EO251">
        <f t="shared" si="1195"/>
        <v>0</v>
      </c>
      <c r="EP251">
        <f t="shared" si="1196"/>
        <v>0</v>
      </c>
      <c r="EQ251">
        <f t="shared" si="1197"/>
        <v>0</v>
      </c>
      <c r="ER251">
        <f t="shared" si="1410"/>
        <v>0</v>
      </c>
      <c r="ES251">
        <f t="shared" ref="ES251:ET251" si="1505">IF(ES$218,FC146,0)</f>
        <v>0</v>
      </c>
      <c r="ET251">
        <f t="shared" si="1505"/>
        <v>0</v>
      </c>
      <c r="EU251">
        <f t="shared" si="1199"/>
        <v>0</v>
      </c>
      <c r="EV251">
        <f t="shared" si="1411"/>
        <v>0</v>
      </c>
      <c r="EW251">
        <f t="shared" si="1232"/>
        <v>0</v>
      </c>
      <c r="EX251">
        <f t="shared" si="1201"/>
        <v>0</v>
      </c>
      <c r="EY251">
        <f t="shared" si="1202"/>
        <v>0</v>
      </c>
      <c r="EZ251">
        <f t="shared" ref="EZ251:FI251" si="1506">IF(EZ$218,EZ146,0)</f>
        <v>0</v>
      </c>
      <c r="FA251">
        <f t="shared" si="1506"/>
        <v>0</v>
      </c>
      <c r="FB251">
        <f t="shared" si="1506"/>
        <v>0</v>
      </c>
      <c r="FC251">
        <f t="shared" si="1506"/>
        <v>0</v>
      </c>
      <c r="FD251">
        <f t="shared" si="1506"/>
        <v>0</v>
      </c>
      <c r="FE251">
        <f t="shared" si="1506"/>
        <v>0</v>
      </c>
      <c r="FF251">
        <f t="shared" si="1506"/>
        <v>0</v>
      </c>
      <c r="FG251">
        <f t="shared" si="1506"/>
        <v>0</v>
      </c>
      <c r="FH251">
        <f t="shared" si="1506"/>
        <v>0</v>
      </c>
      <c r="FI251">
        <f t="shared" si="1506"/>
        <v>0</v>
      </c>
      <c r="FJ251">
        <f t="shared" si="1204"/>
        <v>0</v>
      </c>
      <c r="FK251">
        <f t="shared" si="1205"/>
        <v>0</v>
      </c>
      <c r="FL251">
        <f t="shared" si="1413"/>
        <v>0</v>
      </c>
      <c r="FM251">
        <f t="shared" si="1234"/>
        <v>0</v>
      </c>
      <c r="FN251">
        <f t="shared" si="1207"/>
        <v>0</v>
      </c>
      <c r="FO251">
        <f t="shared" si="1208"/>
        <v>0</v>
      </c>
      <c r="FP251">
        <f t="shared" si="1209"/>
        <v>0</v>
      </c>
      <c r="FQ251">
        <f t="shared" si="1210"/>
        <v>0</v>
      </c>
      <c r="FR251">
        <f t="shared" si="1211"/>
        <v>0</v>
      </c>
      <c r="FS251">
        <f t="shared" si="1212"/>
        <v>0</v>
      </c>
      <c r="FT251">
        <f t="shared" si="1213"/>
        <v>0</v>
      </c>
      <c r="FU251">
        <f t="shared" si="1214"/>
        <v>0</v>
      </c>
      <c r="FV251">
        <f t="shared" si="1215"/>
        <v>0</v>
      </c>
      <c r="FW251">
        <f t="shared" si="1216"/>
        <v>0</v>
      </c>
      <c r="FX251">
        <f t="shared" si="1414"/>
        <v>0</v>
      </c>
      <c r="FY251">
        <f t="shared" si="1235"/>
        <v>0</v>
      </c>
      <c r="FZ251">
        <f t="shared" si="1218"/>
        <v>0</v>
      </c>
      <c r="GA251">
        <f t="shared" si="1219"/>
        <v>0</v>
      </c>
      <c r="GB251">
        <f t="shared" si="1220"/>
        <v>0</v>
      </c>
      <c r="GC251">
        <f t="shared" si="1221"/>
        <v>0</v>
      </c>
    </row>
    <row r="252" spans="1:185" x14ac:dyDescent="0.2">
      <c r="A252" s="8" t="str">
        <f t="shared" si="1311"/>
        <v/>
      </c>
      <c r="B252" s="8">
        <f t="shared" si="1312"/>
        <v>0</v>
      </c>
      <c r="C252" s="8">
        <f t="shared" si="1313"/>
        <v>0</v>
      </c>
      <c r="D252" s="8">
        <f t="shared" si="1314"/>
        <v>0</v>
      </c>
      <c r="E252" s="8">
        <f t="shared" si="1486"/>
        <v>0</v>
      </c>
      <c r="F252" s="8">
        <f t="shared" si="1384"/>
        <v>0</v>
      </c>
      <c r="G252" s="8">
        <f t="shared" si="1427"/>
        <v>0</v>
      </c>
      <c r="H252" s="8">
        <f t="shared" si="1428"/>
        <v>0</v>
      </c>
      <c r="I252" s="8">
        <f t="shared" si="1429"/>
        <v>0</v>
      </c>
      <c r="J252" s="8">
        <f t="shared" si="1430"/>
        <v>0</v>
      </c>
      <c r="K252" s="8">
        <f t="shared" si="1431"/>
        <v>0</v>
      </c>
      <c r="L252">
        <f t="shared" si="1320"/>
        <v>0</v>
      </c>
      <c r="M252">
        <f t="shared" si="1321"/>
        <v>0</v>
      </c>
      <c r="N252">
        <f t="shared" si="1322"/>
        <v>0</v>
      </c>
      <c r="O252">
        <f t="shared" si="1323"/>
        <v>0</v>
      </c>
      <c r="P252">
        <f t="shared" si="1324"/>
        <v>0</v>
      </c>
      <c r="Q252">
        <f t="shared" si="1325"/>
        <v>0</v>
      </c>
      <c r="R252">
        <f t="shared" si="1326"/>
        <v>0</v>
      </c>
      <c r="S252" s="8">
        <f t="shared" si="1327"/>
        <v>0</v>
      </c>
      <c r="T252" s="8">
        <f t="shared" si="1328"/>
        <v>0</v>
      </c>
      <c r="U252" s="8">
        <f t="shared" si="1329"/>
        <v>0</v>
      </c>
      <c r="V252">
        <f>IF(V$230,LandEmiss!AF147,0)</f>
        <v>0</v>
      </c>
      <c r="W252">
        <f>IF(W$230,LandEmiss!AG147,0)</f>
        <v>0</v>
      </c>
      <c r="X252">
        <f>IF(X$230,LandEmiss!AH147,0)</f>
        <v>0</v>
      </c>
      <c r="Y252">
        <f>IF(Y$230,LandEmiss!AI147,0)</f>
        <v>0</v>
      </c>
      <c r="Z252">
        <f>IF(Z$230,LandEmiss!AJ147,0)</f>
        <v>0</v>
      </c>
      <c r="AA252">
        <f>IF(AA$230,LandEmiss!AK147,0)</f>
        <v>0</v>
      </c>
      <c r="AB252">
        <f>IF(AB$230,LandEmiss!AL147,0)</f>
        <v>0</v>
      </c>
      <c r="AC252">
        <f>IF(AC$230,LandEmiss!AM147,0)</f>
        <v>0</v>
      </c>
      <c r="AD252">
        <f>IF(AD$230,LandEmiss!AN147,0)</f>
        <v>0</v>
      </c>
      <c r="AE252">
        <f>IF(AE$230,LandEmiss!AO147,0)</f>
        <v>0</v>
      </c>
      <c r="AF252">
        <f t="shared" ref="AF252:AO252" si="1507">IF(AF$230,AF147,0)</f>
        <v>0</v>
      </c>
      <c r="AG252">
        <f t="shared" si="1507"/>
        <v>0</v>
      </c>
      <c r="AH252">
        <f t="shared" si="1507"/>
        <v>0</v>
      </c>
      <c r="AI252">
        <f t="shared" si="1507"/>
        <v>0</v>
      </c>
      <c r="AJ252">
        <f t="shared" si="1507"/>
        <v>0</v>
      </c>
      <c r="AK252">
        <f t="shared" si="1507"/>
        <v>0</v>
      </c>
      <c r="AL252">
        <f t="shared" si="1507"/>
        <v>0</v>
      </c>
      <c r="AM252">
        <f t="shared" si="1507"/>
        <v>0</v>
      </c>
      <c r="AN252">
        <f t="shared" si="1507"/>
        <v>0</v>
      </c>
      <c r="AO252">
        <f t="shared" si="1507"/>
        <v>0</v>
      </c>
      <c r="AP252">
        <f t="shared" si="1331"/>
        <v>0</v>
      </c>
      <c r="AQ252">
        <f t="shared" si="1332"/>
        <v>0</v>
      </c>
      <c r="AR252">
        <f t="shared" si="1333"/>
        <v>0</v>
      </c>
      <c r="AS252">
        <f t="shared" si="1334"/>
        <v>0</v>
      </c>
      <c r="AT252">
        <f t="shared" si="1335"/>
        <v>0</v>
      </c>
      <c r="AU252">
        <f t="shared" si="1336"/>
        <v>0</v>
      </c>
      <c r="AV252">
        <f t="shared" si="1337"/>
        <v>0</v>
      </c>
      <c r="AW252">
        <f t="shared" si="1338"/>
        <v>0</v>
      </c>
      <c r="AX252">
        <f t="shared" si="1339"/>
        <v>0</v>
      </c>
      <c r="AY252">
        <f t="shared" si="1340"/>
        <v>0</v>
      </c>
      <c r="AZ252">
        <f t="shared" si="1341"/>
        <v>0</v>
      </c>
      <c r="BA252">
        <f t="shared" si="1342"/>
        <v>0</v>
      </c>
      <c r="BB252">
        <f t="shared" si="1343"/>
        <v>0</v>
      </c>
      <c r="BC252">
        <f t="shared" si="1344"/>
        <v>0</v>
      </c>
      <c r="BD252">
        <f t="shared" si="1345"/>
        <v>0</v>
      </c>
      <c r="BE252">
        <f t="shared" si="1346"/>
        <v>0</v>
      </c>
      <c r="BF252">
        <f t="shared" si="1347"/>
        <v>0</v>
      </c>
      <c r="BG252">
        <f t="shared" si="1348"/>
        <v>0</v>
      </c>
      <c r="BH252">
        <f t="shared" si="1488"/>
        <v>0</v>
      </c>
      <c r="BI252">
        <f t="shared" si="1387"/>
        <v>0</v>
      </c>
      <c r="BJ252" s="8" t="str">
        <f>Hidden!$CC23</f>
        <v/>
      </c>
      <c r="BK252">
        <f t="shared" ref="BK252:BT252" si="1508">IF(BK$230,CP147,0)</f>
        <v>0</v>
      </c>
      <c r="BL252">
        <f t="shared" si="1508"/>
        <v>0</v>
      </c>
      <c r="BM252">
        <f t="shared" si="1508"/>
        <v>0</v>
      </c>
      <c r="BN252">
        <f t="shared" si="1508"/>
        <v>0</v>
      </c>
      <c r="BO252">
        <f t="shared" si="1508"/>
        <v>0</v>
      </c>
      <c r="BP252">
        <f t="shared" si="1508"/>
        <v>0</v>
      </c>
      <c r="BQ252">
        <f t="shared" si="1508"/>
        <v>0</v>
      </c>
      <c r="BR252">
        <f t="shared" si="1508"/>
        <v>0</v>
      </c>
      <c r="BS252">
        <f t="shared" si="1508"/>
        <v>0</v>
      </c>
      <c r="BT252">
        <f t="shared" si="1508"/>
        <v>0</v>
      </c>
      <c r="BU252">
        <f t="shared" ref="BU252:CD252" si="1509">IF(BU$230,CP147,0)</f>
        <v>0</v>
      </c>
      <c r="BV252">
        <f t="shared" si="1509"/>
        <v>0</v>
      </c>
      <c r="BW252">
        <f t="shared" si="1509"/>
        <v>0</v>
      </c>
      <c r="BX252">
        <f t="shared" si="1509"/>
        <v>0</v>
      </c>
      <c r="BY252">
        <f t="shared" si="1509"/>
        <v>0</v>
      </c>
      <c r="BZ252">
        <f t="shared" si="1509"/>
        <v>0</v>
      </c>
      <c r="CA252">
        <f t="shared" si="1509"/>
        <v>0</v>
      </c>
      <c r="CB252">
        <f t="shared" si="1509"/>
        <v>0</v>
      </c>
      <c r="CC252">
        <f t="shared" si="1509"/>
        <v>0</v>
      </c>
      <c r="CD252">
        <f t="shared" si="1509"/>
        <v>0</v>
      </c>
      <c r="CE252">
        <f t="shared" si="1352"/>
        <v>0</v>
      </c>
      <c r="CF252">
        <f t="shared" si="1353"/>
        <v>0</v>
      </c>
      <c r="CG252">
        <f t="shared" si="1354"/>
        <v>0</v>
      </c>
      <c r="CH252">
        <f t="shared" si="1355"/>
        <v>0</v>
      </c>
      <c r="CI252">
        <f t="shared" si="1356"/>
        <v>0</v>
      </c>
      <c r="CJ252">
        <f t="shared" si="1491"/>
        <v>0</v>
      </c>
      <c r="CK252">
        <f t="shared" si="1390"/>
        <v>0</v>
      </c>
      <c r="CL252">
        <f t="shared" si="1358"/>
        <v>0</v>
      </c>
      <c r="CM252">
        <f t="shared" si="1359"/>
        <v>0</v>
      </c>
      <c r="CN252">
        <f t="shared" si="1360"/>
        <v>0</v>
      </c>
      <c r="CO252">
        <f t="shared" ref="CO252:CX252" si="1510">IF(CO$230,CP147,0)</f>
        <v>0</v>
      </c>
      <c r="CP252">
        <f t="shared" si="1510"/>
        <v>0</v>
      </c>
      <c r="CQ252">
        <f t="shared" si="1510"/>
        <v>0</v>
      </c>
      <c r="CR252">
        <f t="shared" si="1510"/>
        <v>0</v>
      </c>
      <c r="CS252">
        <f t="shared" si="1510"/>
        <v>0</v>
      </c>
      <c r="CT252">
        <f t="shared" si="1510"/>
        <v>0</v>
      </c>
      <c r="CU252">
        <f t="shared" si="1510"/>
        <v>0</v>
      </c>
      <c r="CV252">
        <f t="shared" si="1510"/>
        <v>0</v>
      </c>
      <c r="CW252">
        <f t="shared" si="1510"/>
        <v>0</v>
      </c>
      <c r="CX252">
        <f t="shared" si="1510"/>
        <v>0</v>
      </c>
      <c r="CY252">
        <f t="shared" si="1362"/>
        <v>0</v>
      </c>
      <c r="CZ252">
        <f t="shared" si="1363"/>
        <v>0</v>
      </c>
      <c r="DA252">
        <f t="shared" si="1364"/>
        <v>0</v>
      </c>
      <c r="DB252">
        <f t="shared" si="1365"/>
        <v>0</v>
      </c>
      <c r="DC252">
        <f t="shared" si="1366"/>
        <v>0</v>
      </c>
      <c r="DD252">
        <f t="shared" si="1367"/>
        <v>0</v>
      </c>
      <c r="DE252">
        <f t="shared" si="1368"/>
        <v>0</v>
      </c>
      <c r="DF252">
        <f t="shared" si="1369"/>
        <v>0</v>
      </c>
      <c r="DG252">
        <f t="shared" si="1370"/>
        <v>0</v>
      </c>
      <c r="DH252">
        <f t="shared" si="1371"/>
        <v>0</v>
      </c>
      <c r="DI252">
        <f t="shared" si="1372"/>
        <v>0</v>
      </c>
      <c r="DJ252">
        <f t="shared" si="1373"/>
        <v>0</v>
      </c>
      <c r="DK252">
        <f t="shared" si="1374"/>
        <v>0</v>
      </c>
      <c r="DL252">
        <f t="shared" si="1375"/>
        <v>0</v>
      </c>
      <c r="DM252">
        <f t="shared" si="1376"/>
        <v>0</v>
      </c>
      <c r="DN252">
        <f t="shared" si="1377"/>
        <v>0</v>
      </c>
      <c r="DO252">
        <f t="shared" si="1378"/>
        <v>0</v>
      </c>
      <c r="DP252">
        <f t="shared" si="1379"/>
        <v>0</v>
      </c>
      <c r="DQ252">
        <f t="shared" si="1380"/>
        <v>0</v>
      </c>
      <c r="DR252">
        <f t="shared" si="1381"/>
        <v>0</v>
      </c>
      <c r="DT252" s="77"/>
      <c r="DU252" s="8" t="str">
        <f>Hidden!$CG35</f>
        <v/>
      </c>
      <c r="DV252">
        <f t="shared" si="1176"/>
        <v>0</v>
      </c>
      <c r="DW252">
        <f t="shared" si="1177"/>
        <v>0</v>
      </c>
      <c r="DX252">
        <f t="shared" si="1178"/>
        <v>0</v>
      </c>
      <c r="DY252">
        <f t="shared" si="1179"/>
        <v>0</v>
      </c>
      <c r="DZ252">
        <f t="shared" si="1180"/>
        <v>0</v>
      </c>
      <c r="EA252">
        <f t="shared" si="1181"/>
        <v>0</v>
      </c>
      <c r="EB252">
        <f t="shared" si="1182"/>
        <v>0</v>
      </c>
      <c r="EC252">
        <f t="shared" si="1183"/>
        <v>0</v>
      </c>
      <c r="ED252">
        <f t="shared" si="1184"/>
        <v>0</v>
      </c>
      <c r="EE252">
        <f t="shared" si="1185"/>
        <v>0</v>
      </c>
      <c r="EF252">
        <f t="shared" si="1186"/>
        <v>0</v>
      </c>
      <c r="EG252">
        <f t="shared" si="1187"/>
        <v>0</v>
      </c>
      <c r="EH252">
        <f t="shared" si="1188"/>
        <v>0</v>
      </c>
      <c r="EI252">
        <f t="shared" si="1189"/>
        <v>0</v>
      </c>
      <c r="EJ252">
        <f t="shared" si="1190"/>
        <v>0</v>
      </c>
      <c r="EK252">
        <f t="shared" si="1191"/>
        <v>0</v>
      </c>
      <c r="EL252">
        <f t="shared" si="1192"/>
        <v>0</v>
      </c>
      <c r="EM252">
        <f t="shared" si="1193"/>
        <v>0</v>
      </c>
      <c r="EN252">
        <f t="shared" si="1194"/>
        <v>0</v>
      </c>
      <c r="EO252">
        <f t="shared" si="1195"/>
        <v>0</v>
      </c>
      <c r="EP252">
        <f t="shared" si="1196"/>
        <v>0</v>
      </c>
      <c r="EQ252">
        <f t="shared" si="1197"/>
        <v>0</v>
      </c>
      <c r="ER252">
        <f t="shared" si="1410"/>
        <v>0</v>
      </c>
      <c r="ES252">
        <f t="shared" ref="ES252:ET252" si="1511">IF(ES$218,FC147,0)</f>
        <v>0</v>
      </c>
      <c r="ET252">
        <f t="shared" si="1511"/>
        <v>0</v>
      </c>
      <c r="EU252">
        <f t="shared" si="1199"/>
        <v>0</v>
      </c>
      <c r="EV252">
        <f t="shared" si="1411"/>
        <v>0</v>
      </c>
      <c r="EW252">
        <f t="shared" si="1232"/>
        <v>0</v>
      </c>
      <c r="EX252">
        <f t="shared" si="1201"/>
        <v>0</v>
      </c>
      <c r="EY252">
        <f t="shared" si="1202"/>
        <v>0</v>
      </c>
      <c r="EZ252">
        <f t="shared" ref="EZ252:FI252" si="1512">IF(EZ$218,EZ147,0)</f>
        <v>0</v>
      </c>
      <c r="FA252">
        <f t="shared" si="1512"/>
        <v>0</v>
      </c>
      <c r="FB252">
        <f t="shared" si="1512"/>
        <v>0</v>
      </c>
      <c r="FC252">
        <f t="shared" si="1512"/>
        <v>0</v>
      </c>
      <c r="FD252">
        <f t="shared" si="1512"/>
        <v>0</v>
      </c>
      <c r="FE252">
        <f t="shared" si="1512"/>
        <v>0</v>
      </c>
      <c r="FF252">
        <f t="shared" si="1512"/>
        <v>0</v>
      </c>
      <c r="FG252">
        <f t="shared" si="1512"/>
        <v>0</v>
      </c>
      <c r="FH252">
        <f t="shared" si="1512"/>
        <v>0</v>
      </c>
      <c r="FI252">
        <f t="shared" si="1512"/>
        <v>0</v>
      </c>
      <c r="FJ252">
        <f t="shared" si="1204"/>
        <v>0</v>
      </c>
      <c r="FK252">
        <f t="shared" si="1205"/>
        <v>0</v>
      </c>
      <c r="FL252">
        <f t="shared" si="1413"/>
        <v>0</v>
      </c>
      <c r="FM252">
        <f t="shared" si="1234"/>
        <v>0</v>
      </c>
      <c r="FN252">
        <f t="shared" si="1207"/>
        <v>0</v>
      </c>
      <c r="FO252">
        <f t="shared" si="1208"/>
        <v>0</v>
      </c>
      <c r="FP252">
        <f t="shared" si="1209"/>
        <v>0</v>
      </c>
      <c r="FQ252">
        <f t="shared" si="1210"/>
        <v>0</v>
      </c>
      <c r="FR252">
        <f t="shared" si="1211"/>
        <v>0</v>
      </c>
      <c r="FS252">
        <f t="shared" si="1212"/>
        <v>0</v>
      </c>
      <c r="FT252">
        <f t="shared" si="1213"/>
        <v>0</v>
      </c>
      <c r="FU252">
        <f t="shared" si="1214"/>
        <v>0</v>
      </c>
      <c r="FV252">
        <f t="shared" si="1215"/>
        <v>0</v>
      </c>
      <c r="FW252">
        <f t="shared" si="1216"/>
        <v>0</v>
      </c>
      <c r="FX252">
        <f t="shared" si="1414"/>
        <v>0</v>
      </c>
      <c r="FY252">
        <f t="shared" si="1235"/>
        <v>0</v>
      </c>
      <c r="FZ252">
        <f t="shared" si="1218"/>
        <v>0</v>
      </c>
      <c r="GA252">
        <f t="shared" si="1219"/>
        <v>0</v>
      </c>
      <c r="GB252">
        <f t="shared" si="1220"/>
        <v>0</v>
      </c>
      <c r="GC252">
        <f t="shared" si="1221"/>
        <v>0</v>
      </c>
    </row>
    <row r="253" spans="1:185" x14ac:dyDescent="0.2">
      <c r="A253" s="8" t="str">
        <f t="shared" si="1311"/>
        <v/>
      </c>
      <c r="B253" s="8">
        <f t="shared" si="1312"/>
        <v>0</v>
      </c>
      <c r="C253" s="8">
        <f t="shared" si="1313"/>
        <v>0</v>
      </c>
      <c r="D253" s="8">
        <f t="shared" si="1314"/>
        <v>0</v>
      </c>
      <c r="E253" s="8">
        <f t="shared" si="1486"/>
        <v>0</v>
      </c>
      <c r="F253" s="8">
        <f t="shared" si="1384"/>
        <v>0</v>
      </c>
      <c r="G253" s="8">
        <f t="shared" si="1427"/>
        <v>0</v>
      </c>
      <c r="H253" s="8">
        <f t="shared" si="1428"/>
        <v>0</v>
      </c>
      <c r="I253" s="8">
        <f t="shared" si="1429"/>
        <v>0</v>
      </c>
      <c r="J253" s="8">
        <f t="shared" si="1430"/>
        <v>0</v>
      </c>
      <c r="K253" s="8">
        <f t="shared" si="1431"/>
        <v>0</v>
      </c>
      <c r="L253">
        <f t="shared" si="1320"/>
        <v>0</v>
      </c>
      <c r="M253">
        <f t="shared" si="1321"/>
        <v>0</v>
      </c>
      <c r="N253">
        <f t="shared" si="1322"/>
        <v>0</v>
      </c>
      <c r="O253">
        <f t="shared" si="1323"/>
        <v>0</v>
      </c>
      <c r="P253">
        <f t="shared" si="1324"/>
        <v>0</v>
      </c>
      <c r="Q253">
        <f t="shared" si="1325"/>
        <v>0</v>
      </c>
      <c r="R253">
        <f t="shared" si="1326"/>
        <v>0</v>
      </c>
      <c r="S253" s="8">
        <f t="shared" si="1327"/>
        <v>0</v>
      </c>
      <c r="T253" s="8">
        <f t="shared" si="1328"/>
        <v>0</v>
      </c>
      <c r="U253" s="8">
        <f t="shared" si="1329"/>
        <v>0</v>
      </c>
      <c r="V253">
        <f>IF(V$230,LandEmiss!AF148,0)</f>
        <v>0</v>
      </c>
      <c r="W253">
        <f>IF(W$230,LandEmiss!AG148,0)</f>
        <v>0</v>
      </c>
      <c r="X253">
        <f>IF(X$230,LandEmiss!AH148,0)</f>
        <v>0</v>
      </c>
      <c r="Y253">
        <f>IF(Y$230,LandEmiss!AI148,0)</f>
        <v>0</v>
      </c>
      <c r="Z253">
        <f>IF(Z$230,LandEmiss!AJ148,0)</f>
        <v>0</v>
      </c>
      <c r="AA253">
        <f>IF(AA$230,LandEmiss!AK148,0)</f>
        <v>0</v>
      </c>
      <c r="AB253">
        <f>IF(AB$230,LandEmiss!AL148,0)</f>
        <v>0</v>
      </c>
      <c r="AC253">
        <f>IF(AC$230,LandEmiss!AM148,0)</f>
        <v>0</v>
      </c>
      <c r="AD253">
        <f>IF(AD$230,LandEmiss!AN148,0)</f>
        <v>0</v>
      </c>
      <c r="AE253">
        <f>IF(AE$230,LandEmiss!AO148,0)</f>
        <v>0</v>
      </c>
      <c r="AF253">
        <f t="shared" ref="AF253:AO253" si="1513">IF(AF$230,AF148,0)</f>
        <v>0</v>
      </c>
      <c r="AG253">
        <f t="shared" si="1513"/>
        <v>0</v>
      </c>
      <c r="AH253">
        <f t="shared" si="1513"/>
        <v>0</v>
      </c>
      <c r="AI253">
        <f t="shared" si="1513"/>
        <v>0</v>
      </c>
      <c r="AJ253">
        <f t="shared" si="1513"/>
        <v>0</v>
      </c>
      <c r="AK253">
        <f t="shared" si="1513"/>
        <v>0</v>
      </c>
      <c r="AL253">
        <f t="shared" si="1513"/>
        <v>0</v>
      </c>
      <c r="AM253">
        <f t="shared" si="1513"/>
        <v>0</v>
      </c>
      <c r="AN253">
        <f t="shared" si="1513"/>
        <v>0</v>
      </c>
      <c r="AO253">
        <f t="shared" si="1513"/>
        <v>0</v>
      </c>
      <c r="AP253">
        <f t="shared" si="1331"/>
        <v>0</v>
      </c>
      <c r="AQ253">
        <f t="shared" si="1332"/>
        <v>0</v>
      </c>
      <c r="AR253">
        <f t="shared" si="1333"/>
        <v>0</v>
      </c>
      <c r="AS253">
        <f t="shared" si="1334"/>
        <v>0</v>
      </c>
      <c r="AT253">
        <f t="shared" si="1335"/>
        <v>0</v>
      </c>
      <c r="AU253">
        <f t="shared" si="1336"/>
        <v>0</v>
      </c>
      <c r="AV253">
        <f t="shared" si="1337"/>
        <v>0</v>
      </c>
      <c r="AW253">
        <f t="shared" si="1338"/>
        <v>0</v>
      </c>
      <c r="AX253">
        <f t="shared" si="1339"/>
        <v>0</v>
      </c>
      <c r="AY253">
        <f t="shared" si="1340"/>
        <v>0</v>
      </c>
      <c r="AZ253">
        <f t="shared" si="1341"/>
        <v>0</v>
      </c>
      <c r="BA253">
        <f t="shared" si="1342"/>
        <v>0</v>
      </c>
      <c r="BB253">
        <f t="shared" si="1343"/>
        <v>0</v>
      </c>
      <c r="BC253">
        <f t="shared" si="1344"/>
        <v>0</v>
      </c>
      <c r="BD253">
        <f t="shared" si="1345"/>
        <v>0</v>
      </c>
      <c r="BE253">
        <f t="shared" si="1346"/>
        <v>0</v>
      </c>
      <c r="BF253">
        <f t="shared" si="1347"/>
        <v>0</v>
      </c>
      <c r="BG253">
        <f t="shared" si="1348"/>
        <v>0</v>
      </c>
      <c r="BH253">
        <f t="shared" si="1488"/>
        <v>0</v>
      </c>
      <c r="BI253">
        <f t="shared" si="1387"/>
        <v>0</v>
      </c>
      <c r="BJ253" s="8" t="str">
        <f>Hidden!$CC24</f>
        <v/>
      </c>
      <c r="BK253">
        <f t="shared" ref="BK253:BT253" si="1514">IF(BK$230,CP148,0)</f>
        <v>0</v>
      </c>
      <c r="BL253">
        <f t="shared" si="1514"/>
        <v>0</v>
      </c>
      <c r="BM253">
        <f t="shared" si="1514"/>
        <v>0</v>
      </c>
      <c r="BN253">
        <f t="shared" si="1514"/>
        <v>0</v>
      </c>
      <c r="BO253">
        <f t="shared" si="1514"/>
        <v>0</v>
      </c>
      <c r="BP253">
        <f t="shared" si="1514"/>
        <v>0</v>
      </c>
      <c r="BQ253">
        <f t="shared" si="1514"/>
        <v>0</v>
      </c>
      <c r="BR253">
        <f t="shared" si="1514"/>
        <v>0</v>
      </c>
      <c r="BS253">
        <f t="shared" si="1514"/>
        <v>0</v>
      </c>
      <c r="BT253">
        <f t="shared" si="1514"/>
        <v>0</v>
      </c>
      <c r="BU253">
        <f t="shared" ref="BU253:CD253" si="1515">IF(BU$230,CP148,0)</f>
        <v>0</v>
      </c>
      <c r="BV253">
        <f t="shared" si="1515"/>
        <v>0</v>
      </c>
      <c r="BW253">
        <f t="shared" si="1515"/>
        <v>0</v>
      </c>
      <c r="BX253">
        <f t="shared" si="1515"/>
        <v>0</v>
      </c>
      <c r="BY253">
        <f t="shared" si="1515"/>
        <v>0</v>
      </c>
      <c r="BZ253">
        <f t="shared" si="1515"/>
        <v>0</v>
      </c>
      <c r="CA253">
        <f t="shared" si="1515"/>
        <v>0</v>
      </c>
      <c r="CB253">
        <f t="shared" si="1515"/>
        <v>0</v>
      </c>
      <c r="CC253">
        <f t="shared" si="1515"/>
        <v>0</v>
      </c>
      <c r="CD253">
        <f t="shared" si="1515"/>
        <v>0</v>
      </c>
      <c r="CE253">
        <f t="shared" si="1352"/>
        <v>0</v>
      </c>
      <c r="CF253">
        <f t="shared" si="1353"/>
        <v>0</v>
      </c>
      <c r="CG253">
        <f t="shared" si="1354"/>
        <v>0</v>
      </c>
      <c r="CH253">
        <f t="shared" si="1355"/>
        <v>0</v>
      </c>
      <c r="CI253">
        <f t="shared" si="1356"/>
        <v>0</v>
      </c>
      <c r="CJ253">
        <f t="shared" si="1491"/>
        <v>0</v>
      </c>
      <c r="CK253">
        <f t="shared" si="1390"/>
        <v>0</v>
      </c>
      <c r="CL253">
        <f t="shared" si="1358"/>
        <v>0</v>
      </c>
      <c r="CM253">
        <f t="shared" si="1359"/>
        <v>0</v>
      </c>
      <c r="CN253">
        <f t="shared" si="1360"/>
        <v>0</v>
      </c>
      <c r="CO253">
        <f t="shared" ref="CO253:CX253" si="1516">IF(CO$230,CP148,0)</f>
        <v>0</v>
      </c>
      <c r="CP253">
        <f t="shared" si="1516"/>
        <v>0</v>
      </c>
      <c r="CQ253">
        <f t="shared" si="1516"/>
        <v>0</v>
      </c>
      <c r="CR253">
        <f t="shared" si="1516"/>
        <v>0</v>
      </c>
      <c r="CS253">
        <f t="shared" si="1516"/>
        <v>0</v>
      </c>
      <c r="CT253">
        <f t="shared" si="1516"/>
        <v>0</v>
      </c>
      <c r="CU253">
        <f t="shared" si="1516"/>
        <v>0</v>
      </c>
      <c r="CV253">
        <f t="shared" si="1516"/>
        <v>0</v>
      </c>
      <c r="CW253">
        <f t="shared" si="1516"/>
        <v>0</v>
      </c>
      <c r="CX253">
        <f t="shared" si="1516"/>
        <v>0</v>
      </c>
      <c r="CY253">
        <f t="shared" si="1362"/>
        <v>0</v>
      </c>
      <c r="CZ253">
        <f t="shared" si="1363"/>
        <v>0</v>
      </c>
      <c r="DA253">
        <f t="shared" si="1364"/>
        <v>0</v>
      </c>
      <c r="DB253">
        <f t="shared" si="1365"/>
        <v>0</v>
      </c>
      <c r="DC253">
        <f t="shared" si="1366"/>
        <v>0</v>
      </c>
      <c r="DD253">
        <f t="shared" si="1367"/>
        <v>0</v>
      </c>
      <c r="DE253">
        <f t="shared" si="1368"/>
        <v>0</v>
      </c>
      <c r="DF253">
        <f t="shared" si="1369"/>
        <v>0</v>
      </c>
      <c r="DG253">
        <f t="shared" si="1370"/>
        <v>0</v>
      </c>
      <c r="DH253">
        <f t="shared" si="1371"/>
        <v>0</v>
      </c>
      <c r="DI253">
        <f t="shared" si="1372"/>
        <v>0</v>
      </c>
      <c r="DJ253">
        <f t="shared" si="1373"/>
        <v>0</v>
      </c>
      <c r="DK253">
        <f t="shared" si="1374"/>
        <v>0</v>
      </c>
      <c r="DL253">
        <f t="shared" si="1375"/>
        <v>0</v>
      </c>
      <c r="DM253">
        <f t="shared" si="1376"/>
        <v>0</v>
      </c>
      <c r="DN253">
        <f t="shared" si="1377"/>
        <v>0</v>
      </c>
      <c r="DO253">
        <f t="shared" si="1378"/>
        <v>0</v>
      </c>
      <c r="DP253">
        <f t="shared" si="1379"/>
        <v>0</v>
      </c>
      <c r="DQ253">
        <f t="shared" si="1380"/>
        <v>0</v>
      </c>
      <c r="DR253">
        <f t="shared" si="1381"/>
        <v>0</v>
      </c>
      <c r="DT253" s="77"/>
      <c r="DU253" s="8" t="str">
        <f>Hidden!$CG36</f>
        <v/>
      </c>
      <c r="DV253">
        <f t="shared" si="1176"/>
        <v>0</v>
      </c>
      <c r="DW253">
        <f t="shared" si="1177"/>
        <v>0</v>
      </c>
      <c r="DX253">
        <f t="shared" si="1178"/>
        <v>0</v>
      </c>
      <c r="DY253">
        <f t="shared" si="1179"/>
        <v>0</v>
      </c>
      <c r="DZ253">
        <f t="shared" si="1180"/>
        <v>0</v>
      </c>
      <c r="EA253">
        <f t="shared" si="1181"/>
        <v>0</v>
      </c>
      <c r="EB253">
        <f t="shared" si="1182"/>
        <v>0</v>
      </c>
      <c r="EC253">
        <f t="shared" si="1183"/>
        <v>0</v>
      </c>
      <c r="ED253">
        <f t="shared" si="1184"/>
        <v>0</v>
      </c>
      <c r="EE253">
        <f t="shared" si="1185"/>
        <v>0</v>
      </c>
      <c r="EF253">
        <f t="shared" si="1186"/>
        <v>0</v>
      </c>
      <c r="EG253">
        <f t="shared" si="1187"/>
        <v>0</v>
      </c>
      <c r="EH253">
        <f t="shared" si="1188"/>
        <v>0</v>
      </c>
      <c r="EI253">
        <f t="shared" si="1189"/>
        <v>0</v>
      </c>
      <c r="EJ253">
        <f t="shared" si="1190"/>
        <v>0</v>
      </c>
      <c r="EK253">
        <f t="shared" si="1191"/>
        <v>0</v>
      </c>
      <c r="EL253">
        <f t="shared" si="1192"/>
        <v>0</v>
      </c>
      <c r="EM253">
        <f t="shared" si="1193"/>
        <v>0</v>
      </c>
      <c r="EN253">
        <f t="shared" si="1194"/>
        <v>0</v>
      </c>
      <c r="EO253">
        <f t="shared" si="1195"/>
        <v>0</v>
      </c>
      <c r="EP253">
        <f t="shared" si="1196"/>
        <v>0</v>
      </c>
      <c r="EQ253">
        <f t="shared" si="1197"/>
        <v>0</v>
      </c>
      <c r="ER253">
        <f t="shared" ref="ER253:ET268" si="1517">IF(ER$218,FB148,0)</f>
        <v>0</v>
      </c>
      <c r="ES253">
        <f t="shared" si="1517"/>
        <v>0</v>
      </c>
      <c r="ET253">
        <f t="shared" si="1517"/>
        <v>0</v>
      </c>
      <c r="EU253">
        <f t="shared" si="1199"/>
        <v>0</v>
      </c>
      <c r="EV253">
        <f t="shared" si="1411"/>
        <v>0</v>
      </c>
      <c r="EW253">
        <f t="shared" si="1232"/>
        <v>0</v>
      </c>
      <c r="EX253">
        <f t="shared" si="1201"/>
        <v>0</v>
      </c>
      <c r="EY253">
        <f t="shared" si="1202"/>
        <v>0</v>
      </c>
      <c r="EZ253">
        <f t="shared" ref="EZ253:FI253" si="1518">IF(EZ$218,EZ148,0)</f>
        <v>0</v>
      </c>
      <c r="FA253">
        <f t="shared" si="1518"/>
        <v>0</v>
      </c>
      <c r="FB253">
        <f t="shared" si="1518"/>
        <v>0</v>
      </c>
      <c r="FC253">
        <f t="shared" si="1518"/>
        <v>0</v>
      </c>
      <c r="FD253">
        <f t="shared" si="1518"/>
        <v>0</v>
      </c>
      <c r="FE253">
        <f t="shared" si="1518"/>
        <v>0</v>
      </c>
      <c r="FF253">
        <f t="shared" si="1518"/>
        <v>0</v>
      </c>
      <c r="FG253">
        <f t="shared" si="1518"/>
        <v>0</v>
      </c>
      <c r="FH253">
        <f t="shared" si="1518"/>
        <v>0</v>
      </c>
      <c r="FI253">
        <f t="shared" si="1518"/>
        <v>0</v>
      </c>
      <c r="FJ253">
        <f t="shared" si="1204"/>
        <v>0</v>
      </c>
      <c r="FK253">
        <f t="shared" si="1205"/>
        <v>0</v>
      </c>
      <c r="FL253">
        <f t="shared" si="1413"/>
        <v>0</v>
      </c>
      <c r="FM253">
        <f t="shared" si="1234"/>
        <v>0</v>
      </c>
      <c r="FN253">
        <f t="shared" si="1207"/>
        <v>0</v>
      </c>
      <c r="FO253">
        <f t="shared" si="1208"/>
        <v>0</v>
      </c>
      <c r="FP253">
        <f t="shared" si="1209"/>
        <v>0</v>
      </c>
      <c r="FQ253">
        <f t="shared" si="1210"/>
        <v>0</v>
      </c>
      <c r="FR253">
        <f t="shared" si="1211"/>
        <v>0</v>
      </c>
      <c r="FS253">
        <f t="shared" si="1212"/>
        <v>0</v>
      </c>
      <c r="FT253">
        <f t="shared" si="1213"/>
        <v>0</v>
      </c>
      <c r="FU253">
        <f t="shared" si="1214"/>
        <v>0</v>
      </c>
      <c r="FV253">
        <f t="shared" si="1215"/>
        <v>0</v>
      </c>
      <c r="FW253">
        <f t="shared" si="1216"/>
        <v>0</v>
      </c>
      <c r="FX253">
        <f t="shared" si="1414"/>
        <v>0</v>
      </c>
      <c r="FY253">
        <f t="shared" si="1235"/>
        <v>0</v>
      </c>
      <c r="FZ253">
        <f t="shared" si="1218"/>
        <v>0</v>
      </c>
      <c r="GA253">
        <f t="shared" si="1219"/>
        <v>0</v>
      </c>
      <c r="GB253">
        <f t="shared" si="1220"/>
        <v>0</v>
      </c>
      <c r="GC253">
        <f t="shared" si="1221"/>
        <v>0</v>
      </c>
    </row>
    <row r="254" spans="1:185" x14ac:dyDescent="0.2">
      <c r="A254" s="8" t="str">
        <f t="shared" si="1311"/>
        <v/>
      </c>
      <c r="B254" s="8">
        <f t="shared" si="1312"/>
        <v>0</v>
      </c>
      <c r="C254" s="8">
        <f t="shared" si="1313"/>
        <v>0</v>
      </c>
      <c r="D254" s="8">
        <f t="shared" si="1314"/>
        <v>0</v>
      </c>
      <c r="E254" s="8">
        <f t="shared" si="1486"/>
        <v>0</v>
      </c>
      <c r="F254" s="8">
        <f t="shared" si="1384"/>
        <v>0</v>
      </c>
      <c r="G254" s="8">
        <f t="shared" si="1427"/>
        <v>0</v>
      </c>
      <c r="H254" s="8">
        <f t="shared" si="1428"/>
        <v>0</v>
      </c>
      <c r="I254" s="8">
        <f t="shared" si="1429"/>
        <v>0</v>
      </c>
      <c r="J254" s="8">
        <f t="shared" si="1430"/>
        <v>0</v>
      </c>
      <c r="K254" s="8">
        <f t="shared" si="1431"/>
        <v>0</v>
      </c>
      <c r="L254">
        <f t="shared" si="1320"/>
        <v>0</v>
      </c>
      <c r="M254">
        <f t="shared" si="1321"/>
        <v>0</v>
      </c>
      <c r="N254">
        <f t="shared" si="1322"/>
        <v>0</v>
      </c>
      <c r="O254">
        <f t="shared" si="1323"/>
        <v>0</v>
      </c>
      <c r="P254">
        <f t="shared" si="1324"/>
        <v>0</v>
      </c>
      <c r="Q254">
        <f t="shared" si="1325"/>
        <v>0</v>
      </c>
      <c r="R254">
        <f t="shared" si="1326"/>
        <v>0</v>
      </c>
      <c r="S254" s="8">
        <f t="shared" si="1327"/>
        <v>0</v>
      </c>
      <c r="T254" s="8">
        <f t="shared" si="1328"/>
        <v>0</v>
      </c>
      <c r="U254" s="8">
        <f t="shared" si="1329"/>
        <v>0</v>
      </c>
      <c r="V254">
        <f>IF(V$230,LandEmiss!AF149,0)</f>
        <v>0</v>
      </c>
      <c r="W254">
        <f>IF(W$230,LandEmiss!AG149,0)</f>
        <v>0</v>
      </c>
      <c r="X254">
        <f>IF(X$230,LandEmiss!AH149,0)</f>
        <v>0</v>
      </c>
      <c r="Y254">
        <f>IF(Y$230,LandEmiss!AI149,0)</f>
        <v>0</v>
      </c>
      <c r="Z254">
        <f>IF(Z$230,LandEmiss!AJ149,0)</f>
        <v>0</v>
      </c>
      <c r="AA254">
        <f>IF(AA$230,LandEmiss!AK149,0)</f>
        <v>0</v>
      </c>
      <c r="AB254">
        <f>IF(AB$230,LandEmiss!AL149,0)</f>
        <v>0</v>
      </c>
      <c r="AC254">
        <f>IF(AC$230,LandEmiss!AM149,0)</f>
        <v>0</v>
      </c>
      <c r="AD254">
        <f>IF(AD$230,LandEmiss!AN149,0)</f>
        <v>0</v>
      </c>
      <c r="AE254">
        <f>IF(AE$230,LandEmiss!AO149,0)</f>
        <v>0</v>
      </c>
      <c r="AF254">
        <f t="shared" ref="AF254:AO254" si="1519">IF(AF$230,AF149,0)</f>
        <v>0</v>
      </c>
      <c r="AG254">
        <f t="shared" si="1519"/>
        <v>0</v>
      </c>
      <c r="AH254">
        <f t="shared" si="1519"/>
        <v>0</v>
      </c>
      <c r="AI254">
        <f t="shared" si="1519"/>
        <v>0</v>
      </c>
      <c r="AJ254">
        <f t="shared" si="1519"/>
        <v>0</v>
      </c>
      <c r="AK254">
        <f t="shared" si="1519"/>
        <v>0</v>
      </c>
      <c r="AL254">
        <f t="shared" si="1519"/>
        <v>0</v>
      </c>
      <c r="AM254">
        <f t="shared" si="1519"/>
        <v>0</v>
      </c>
      <c r="AN254">
        <f t="shared" si="1519"/>
        <v>0</v>
      </c>
      <c r="AO254">
        <f t="shared" si="1519"/>
        <v>0</v>
      </c>
      <c r="AP254">
        <f t="shared" si="1331"/>
        <v>0</v>
      </c>
      <c r="AQ254">
        <f t="shared" si="1332"/>
        <v>0</v>
      </c>
      <c r="AR254">
        <f t="shared" si="1333"/>
        <v>0</v>
      </c>
      <c r="AS254">
        <f t="shared" si="1334"/>
        <v>0</v>
      </c>
      <c r="AT254">
        <f t="shared" si="1335"/>
        <v>0</v>
      </c>
      <c r="AU254">
        <f t="shared" si="1336"/>
        <v>0</v>
      </c>
      <c r="AV254">
        <f t="shared" si="1337"/>
        <v>0</v>
      </c>
      <c r="AW254">
        <f t="shared" si="1338"/>
        <v>0</v>
      </c>
      <c r="AX254">
        <f t="shared" si="1339"/>
        <v>0</v>
      </c>
      <c r="AY254">
        <f t="shared" si="1340"/>
        <v>0</v>
      </c>
      <c r="AZ254">
        <f t="shared" si="1341"/>
        <v>0</v>
      </c>
      <c r="BA254">
        <f t="shared" si="1342"/>
        <v>0</v>
      </c>
      <c r="BB254">
        <f t="shared" si="1343"/>
        <v>0</v>
      </c>
      <c r="BC254">
        <f t="shared" si="1344"/>
        <v>0</v>
      </c>
      <c r="BD254">
        <f t="shared" si="1345"/>
        <v>0</v>
      </c>
      <c r="BE254">
        <f t="shared" si="1346"/>
        <v>0</v>
      </c>
      <c r="BF254">
        <f t="shared" si="1347"/>
        <v>0</v>
      </c>
      <c r="BG254">
        <f t="shared" si="1348"/>
        <v>0</v>
      </c>
      <c r="BH254">
        <f t="shared" si="1488"/>
        <v>0</v>
      </c>
      <c r="BI254">
        <f t="shared" si="1387"/>
        <v>0</v>
      </c>
      <c r="BJ254" s="8" t="str">
        <f>Hidden!$CC25</f>
        <v/>
      </c>
      <c r="BK254">
        <f t="shared" ref="BK254:BT254" si="1520">IF(BK$230,CP149,0)</f>
        <v>0</v>
      </c>
      <c r="BL254">
        <f t="shared" si="1520"/>
        <v>0</v>
      </c>
      <c r="BM254">
        <f t="shared" si="1520"/>
        <v>0</v>
      </c>
      <c r="BN254">
        <f t="shared" si="1520"/>
        <v>0</v>
      </c>
      <c r="BO254">
        <f t="shared" si="1520"/>
        <v>0</v>
      </c>
      <c r="BP254">
        <f t="shared" si="1520"/>
        <v>0</v>
      </c>
      <c r="BQ254">
        <f t="shared" si="1520"/>
        <v>0</v>
      </c>
      <c r="BR254">
        <f t="shared" si="1520"/>
        <v>0</v>
      </c>
      <c r="BS254">
        <f t="shared" si="1520"/>
        <v>0</v>
      </c>
      <c r="BT254">
        <f t="shared" si="1520"/>
        <v>0</v>
      </c>
      <c r="BU254">
        <f t="shared" ref="BU254:CD254" si="1521">IF(BU$230,CP149,0)</f>
        <v>0</v>
      </c>
      <c r="BV254">
        <f t="shared" si="1521"/>
        <v>0</v>
      </c>
      <c r="BW254">
        <f t="shared" si="1521"/>
        <v>0</v>
      </c>
      <c r="BX254">
        <f t="shared" si="1521"/>
        <v>0</v>
      </c>
      <c r="BY254">
        <f t="shared" si="1521"/>
        <v>0</v>
      </c>
      <c r="BZ254">
        <f t="shared" si="1521"/>
        <v>0</v>
      </c>
      <c r="CA254">
        <f t="shared" si="1521"/>
        <v>0</v>
      </c>
      <c r="CB254">
        <f t="shared" si="1521"/>
        <v>0</v>
      </c>
      <c r="CC254">
        <f t="shared" si="1521"/>
        <v>0</v>
      </c>
      <c r="CD254">
        <f t="shared" si="1521"/>
        <v>0</v>
      </c>
      <c r="CE254">
        <f t="shared" si="1352"/>
        <v>0</v>
      </c>
      <c r="CF254">
        <f t="shared" si="1353"/>
        <v>0</v>
      </c>
      <c r="CG254">
        <f t="shared" si="1354"/>
        <v>0</v>
      </c>
      <c r="CH254">
        <f t="shared" si="1355"/>
        <v>0</v>
      </c>
      <c r="CI254">
        <f t="shared" si="1356"/>
        <v>0</v>
      </c>
      <c r="CJ254">
        <f t="shared" si="1491"/>
        <v>0</v>
      </c>
      <c r="CK254">
        <f t="shared" si="1390"/>
        <v>0</v>
      </c>
      <c r="CL254">
        <f t="shared" si="1358"/>
        <v>0</v>
      </c>
      <c r="CM254">
        <f t="shared" si="1359"/>
        <v>0</v>
      </c>
      <c r="CN254">
        <f t="shared" si="1360"/>
        <v>0</v>
      </c>
      <c r="CO254">
        <f t="shared" ref="CO254:CX254" si="1522">IF(CO$230,CP149,0)</f>
        <v>0</v>
      </c>
      <c r="CP254">
        <f t="shared" si="1522"/>
        <v>0</v>
      </c>
      <c r="CQ254">
        <f t="shared" si="1522"/>
        <v>0</v>
      </c>
      <c r="CR254">
        <f t="shared" si="1522"/>
        <v>0</v>
      </c>
      <c r="CS254">
        <f t="shared" si="1522"/>
        <v>0</v>
      </c>
      <c r="CT254">
        <f t="shared" si="1522"/>
        <v>0</v>
      </c>
      <c r="CU254">
        <f t="shared" si="1522"/>
        <v>0</v>
      </c>
      <c r="CV254">
        <f t="shared" si="1522"/>
        <v>0</v>
      </c>
      <c r="CW254">
        <f t="shared" si="1522"/>
        <v>0</v>
      </c>
      <c r="CX254">
        <f t="shared" si="1522"/>
        <v>0</v>
      </c>
      <c r="CY254">
        <f t="shared" si="1362"/>
        <v>0</v>
      </c>
      <c r="CZ254">
        <f t="shared" si="1363"/>
        <v>0</v>
      </c>
      <c r="DA254">
        <f t="shared" si="1364"/>
        <v>0</v>
      </c>
      <c r="DB254">
        <f t="shared" si="1365"/>
        <v>0</v>
      </c>
      <c r="DC254">
        <f t="shared" si="1366"/>
        <v>0</v>
      </c>
      <c r="DD254">
        <f t="shared" si="1367"/>
        <v>0</v>
      </c>
      <c r="DE254">
        <f t="shared" si="1368"/>
        <v>0</v>
      </c>
      <c r="DF254">
        <f t="shared" si="1369"/>
        <v>0</v>
      </c>
      <c r="DG254">
        <f t="shared" si="1370"/>
        <v>0</v>
      </c>
      <c r="DH254">
        <f t="shared" si="1371"/>
        <v>0</v>
      </c>
      <c r="DI254">
        <f t="shared" si="1372"/>
        <v>0</v>
      </c>
      <c r="DJ254">
        <f t="shared" si="1373"/>
        <v>0</v>
      </c>
      <c r="DK254">
        <f t="shared" si="1374"/>
        <v>0</v>
      </c>
      <c r="DL254">
        <f t="shared" si="1375"/>
        <v>0</v>
      </c>
      <c r="DM254">
        <f t="shared" si="1376"/>
        <v>0</v>
      </c>
      <c r="DN254">
        <f t="shared" si="1377"/>
        <v>0</v>
      </c>
      <c r="DO254">
        <f t="shared" si="1378"/>
        <v>0</v>
      </c>
      <c r="DP254">
        <f t="shared" si="1379"/>
        <v>0</v>
      </c>
      <c r="DQ254">
        <f t="shared" si="1380"/>
        <v>0</v>
      </c>
      <c r="DR254">
        <f t="shared" si="1381"/>
        <v>0</v>
      </c>
      <c r="DT254" s="77"/>
      <c r="DU254" s="8" t="str">
        <f>Hidden!$CG37</f>
        <v/>
      </c>
      <c r="DV254">
        <f t="shared" si="1176"/>
        <v>0</v>
      </c>
      <c r="DW254">
        <f t="shared" si="1177"/>
        <v>0</v>
      </c>
      <c r="DX254">
        <f t="shared" si="1178"/>
        <v>0</v>
      </c>
      <c r="DY254">
        <f t="shared" si="1179"/>
        <v>0</v>
      </c>
      <c r="DZ254">
        <f t="shared" si="1180"/>
        <v>0</v>
      </c>
      <c r="EA254">
        <f t="shared" si="1181"/>
        <v>0</v>
      </c>
      <c r="EB254">
        <f t="shared" si="1182"/>
        <v>0</v>
      </c>
      <c r="EC254">
        <f t="shared" si="1183"/>
        <v>0</v>
      </c>
      <c r="ED254">
        <f t="shared" si="1184"/>
        <v>0</v>
      </c>
      <c r="EE254">
        <f t="shared" si="1185"/>
        <v>0</v>
      </c>
      <c r="EF254">
        <f t="shared" si="1186"/>
        <v>0</v>
      </c>
      <c r="EG254">
        <f t="shared" si="1187"/>
        <v>0</v>
      </c>
      <c r="EH254">
        <f t="shared" si="1188"/>
        <v>0</v>
      </c>
      <c r="EI254">
        <f t="shared" si="1189"/>
        <v>0</v>
      </c>
      <c r="EJ254">
        <f t="shared" si="1190"/>
        <v>0</v>
      </c>
      <c r="EK254">
        <f t="shared" si="1191"/>
        <v>0</v>
      </c>
      <c r="EL254">
        <f t="shared" si="1192"/>
        <v>0</v>
      </c>
      <c r="EM254">
        <f t="shared" si="1193"/>
        <v>0</v>
      </c>
      <c r="EN254">
        <f t="shared" si="1194"/>
        <v>0</v>
      </c>
      <c r="EO254">
        <f t="shared" si="1195"/>
        <v>0</v>
      </c>
      <c r="EP254">
        <f t="shared" si="1196"/>
        <v>0</v>
      </c>
      <c r="EQ254">
        <f t="shared" si="1197"/>
        <v>0</v>
      </c>
      <c r="ER254">
        <f t="shared" si="1517"/>
        <v>0</v>
      </c>
      <c r="ES254">
        <f t="shared" ref="ES254:ET254" si="1523">IF(ES$218,FC149,0)</f>
        <v>0</v>
      </c>
      <c r="ET254">
        <f t="shared" si="1523"/>
        <v>0</v>
      </c>
      <c r="EU254">
        <f t="shared" si="1199"/>
        <v>0</v>
      </c>
      <c r="EV254">
        <f t="shared" si="1411"/>
        <v>0</v>
      </c>
      <c r="EW254">
        <f t="shared" si="1232"/>
        <v>0</v>
      </c>
      <c r="EX254">
        <f t="shared" si="1201"/>
        <v>0</v>
      </c>
      <c r="EY254">
        <f t="shared" si="1202"/>
        <v>0</v>
      </c>
      <c r="EZ254">
        <f t="shared" ref="EZ254:FI254" si="1524">IF(EZ$218,EZ149,0)</f>
        <v>0</v>
      </c>
      <c r="FA254">
        <f t="shared" si="1524"/>
        <v>0</v>
      </c>
      <c r="FB254">
        <f t="shared" si="1524"/>
        <v>0</v>
      </c>
      <c r="FC254">
        <f t="shared" si="1524"/>
        <v>0</v>
      </c>
      <c r="FD254">
        <f t="shared" si="1524"/>
        <v>0</v>
      </c>
      <c r="FE254">
        <f t="shared" si="1524"/>
        <v>0</v>
      </c>
      <c r="FF254">
        <f t="shared" si="1524"/>
        <v>0</v>
      </c>
      <c r="FG254">
        <f t="shared" si="1524"/>
        <v>0</v>
      </c>
      <c r="FH254">
        <f t="shared" si="1524"/>
        <v>0</v>
      </c>
      <c r="FI254">
        <f t="shared" si="1524"/>
        <v>0</v>
      </c>
      <c r="FJ254">
        <f t="shared" si="1204"/>
        <v>0</v>
      </c>
      <c r="FK254">
        <f t="shared" si="1205"/>
        <v>0</v>
      </c>
      <c r="FL254">
        <f t="shared" si="1413"/>
        <v>0</v>
      </c>
      <c r="FM254">
        <f t="shared" si="1234"/>
        <v>0</v>
      </c>
      <c r="FN254">
        <f t="shared" si="1207"/>
        <v>0</v>
      </c>
      <c r="FO254">
        <f t="shared" si="1208"/>
        <v>0</v>
      </c>
      <c r="FP254">
        <f t="shared" si="1209"/>
        <v>0</v>
      </c>
      <c r="FQ254">
        <f t="shared" si="1210"/>
        <v>0</v>
      </c>
      <c r="FR254">
        <f t="shared" si="1211"/>
        <v>0</v>
      </c>
      <c r="FS254">
        <f t="shared" si="1212"/>
        <v>0</v>
      </c>
      <c r="FT254">
        <f t="shared" si="1213"/>
        <v>0</v>
      </c>
      <c r="FU254">
        <f t="shared" si="1214"/>
        <v>0</v>
      </c>
      <c r="FV254">
        <f t="shared" si="1215"/>
        <v>0</v>
      </c>
      <c r="FW254">
        <f t="shared" si="1216"/>
        <v>0</v>
      </c>
      <c r="FX254">
        <f t="shared" si="1414"/>
        <v>0</v>
      </c>
      <c r="FY254">
        <f t="shared" si="1235"/>
        <v>0</v>
      </c>
      <c r="FZ254">
        <f t="shared" si="1218"/>
        <v>0</v>
      </c>
      <c r="GA254">
        <f t="shared" si="1219"/>
        <v>0</v>
      </c>
      <c r="GB254">
        <f t="shared" si="1220"/>
        <v>0</v>
      </c>
      <c r="GC254">
        <f t="shared" si="1221"/>
        <v>0</v>
      </c>
    </row>
    <row r="255" spans="1:185" x14ac:dyDescent="0.2">
      <c r="A255" s="8" t="str">
        <f t="shared" si="1311"/>
        <v/>
      </c>
      <c r="B255" s="8">
        <f t="shared" si="1312"/>
        <v>0</v>
      </c>
      <c r="C255" s="8">
        <f t="shared" si="1313"/>
        <v>0</v>
      </c>
      <c r="D255" s="8">
        <f t="shared" si="1314"/>
        <v>0</v>
      </c>
      <c r="E255" s="8">
        <f t="shared" si="1486"/>
        <v>0</v>
      </c>
      <c r="F255" s="8">
        <f t="shared" si="1384"/>
        <v>0</v>
      </c>
      <c r="G255" s="8">
        <f t="shared" si="1427"/>
        <v>0</v>
      </c>
      <c r="H255" s="8">
        <f t="shared" si="1428"/>
        <v>0</v>
      </c>
      <c r="I255" s="8">
        <f t="shared" si="1429"/>
        <v>0</v>
      </c>
      <c r="J255" s="8">
        <f t="shared" si="1430"/>
        <v>0</v>
      </c>
      <c r="K255" s="8">
        <f t="shared" si="1431"/>
        <v>0</v>
      </c>
      <c r="L255">
        <f t="shared" si="1320"/>
        <v>0</v>
      </c>
      <c r="M255">
        <f t="shared" si="1321"/>
        <v>0</v>
      </c>
      <c r="N255">
        <f t="shared" si="1322"/>
        <v>0</v>
      </c>
      <c r="O255">
        <f t="shared" si="1323"/>
        <v>0</v>
      </c>
      <c r="P255">
        <f t="shared" si="1324"/>
        <v>0</v>
      </c>
      <c r="Q255">
        <f t="shared" si="1325"/>
        <v>0</v>
      </c>
      <c r="R255">
        <f t="shared" si="1326"/>
        <v>0</v>
      </c>
      <c r="S255" s="8">
        <f t="shared" si="1327"/>
        <v>0</v>
      </c>
      <c r="T255" s="8">
        <f t="shared" si="1328"/>
        <v>0</v>
      </c>
      <c r="U255" s="8">
        <f t="shared" si="1329"/>
        <v>0</v>
      </c>
      <c r="V255">
        <f>IF(V$230,LandEmiss!AF150,0)</f>
        <v>0</v>
      </c>
      <c r="W255">
        <f>IF(W$230,LandEmiss!AG150,0)</f>
        <v>0</v>
      </c>
      <c r="X255">
        <f>IF(X$230,LandEmiss!AH150,0)</f>
        <v>0</v>
      </c>
      <c r="Y255">
        <f>IF(Y$230,LandEmiss!AI150,0)</f>
        <v>0</v>
      </c>
      <c r="Z255">
        <f>IF(Z$230,LandEmiss!AJ150,0)</f>
        <v>0</v>
      </c>
      <c r="AA255">
        <f>IF(AA$230,LandEmiss!AK150,0)</f>
        <v>0</v>
      </c>
      <c r="AB255">
        <f>IF(AB$230,LandEmiss!AL150,0)</f>
        <v>0</v>
      </c>
      <c r="AC255">
        <f>IF(AC$230,LandEmiss!AM150,0)</f>
        <v>0</v>
      </c>
      <c r="AD255">
        <f>IF(AD$230,LandEmiss!AN150,0)</f>
        <v>0</v>
      </c>
      <c r="AE255">
        <f>IF(AE$230,LandEmiss!AO150,0)</f>
        <v>0</v>
      </c>
      <c r="AF255">
        <f t="shared" ref="AF255:AO255" si="1525">IF(AF$230,AF150,0)</f>
        <v>0</v>
      </c>
      <c r="AG255">
        <f t="shared" si="1525"/>
        <v>0</v>
      </c>
      <c r="AH255">
        <f t="shared" si="1525"/>
        <v>0</v>
      </c>
      <c r="AI255">
        <f t="shared" si="1525"/>
        <v>0</v>
      </c>
      <c r="AJ255">
        <f t="shared" si="1525"/>
        <v>0</v>
      </c>
      <c r="AK255">
        <f t="shared" si="1525"/>
        <v>0</v>
      </c>
      <c r="AL255">
        <f t="shared" si="1525"/>
        <v>0</v>
      </c>
      <c r="AM255">
        <f t="shared" si="1525"/>
        <v>0</v>
      </c>
      <c r="AN255">
        <f t="shared" si="1525"/>
        <v>0</v>
      </c>
      <c r="AO255">
        <f t="shared" si="1525"/>
        <v>0</v>
      </c>
      <c r="AP255">
        <f t="shared" si="1331"/>
        <v>0</v>
      </c>
      <c r="AQ255">
        <f t="shared" si="1332"/>
        <v>0</v>
      </c>
      <c r="AR255">
        <f t="shared" si="1333"/>
        <v>0</v>
      </c>
      <c r="AS255">
        <f t="shared" si="1334"/>
        <v>0</v>
      </c>
      <c r="AT255">
        <f t="shared" si="1335"/>
        <v>0</v>
      </c>
      <c r="AU255">
        <f t="shared" si="1336"/>
        <v>0</v>
      </c>
      <c r="AV255">
        <f t="shared" si="1337"/>
        <v>0</v>
      </c>
      <c r="AW255">
        <f t="shared" si="1338"/>
        <v>0</v>
      </c>
      <c r="AX255">
        <f t="shared" si="1339"/>
        <v>0</v>
      </c>
      <c r="AY255">
        <f t="shared" si="1340"/>
        <v>0</v>
      </c>
      <c r="AZ255">
        <f t="shared" si="1341"/>
        <v>0</v>
      </c>
      <c r="BA255">
        <f t="shared" si="1342"/>
        <v>0</v>
      </c>
      <c r="BB255">
        <f t="shared" si="1343"/>
        <v>0</v>
      </c>
      <c r="BC255">
        <f t="shared" si="1344"/>
        <v>0</v>
      </c>
      <c r="BD255">
        <f t="shared" si="1345"/>
        <v>0</v>
      </c>
      <c r="BE255">
        <f t="shared" si="1346"/>
        <v>0</v>
      </c>
      <c r="BF255">
        <f t="shared" si="1347"/>
        <v>0</v>
      </c>
      <c r="BG255">
        <f t="shared" si="1348"/>
        <v>0</v>
      </c>
      <c r="BH255">
        <f t="shared" si="1488"/>
        <v>0</v>
      </c>
      <c r="BI255">
        <f t="shared" si="1387"/>
        <v>0</v>
      </c>
      <c r="BJ255" s="8" t="str">
        <f>Hidden!$CC26</f>
        <v/>
      </c>
      <c r="BK255">
        <f t="shared" ref="BK255:BT255" si="1526">IF(BK$230,CP150,0)</f>
        <v>0</v>
      </c>
      <c r="BL255">
        <f t="shared" si="1526"/>
        <v>0</v>
      </c>
      <c r="BM255">
        <f t="shared" si="1526"/>
        <v>0</v>
      </c>
      <c r="BN255">
        <f t="shared" si="1526"/>
        <v>0</v>
      </c>
      <c r="BO255">
        <f t="shared" si="1526"/>
        <v>0</v>
      </c>
      <c r="BP255">
        <f t="shared" si="1526"/>
        <v>0</v>
      </c>
      <c r="BQ255">
        <f t="shared" si="1526"/>
        <v>0</v>
      </c>
      <c r="BR255">
        <f t="shared" si="1526"/>
        <v>0</v>
      </c>
      <c r="BS255">
        <f t="shared" si="1526"/>
        <v>0</v>
      </c>
      <c r="BT255">
        <f t="shared" si="1526"/>
        <v>0</v>
      </c>
      <c r="BU255">
        <f t="shared" ref="BU255:CD255" si="1527">IF(BU$230,CP150,0)</f>
        <v>0</v>
      </c>
      <c r="BV255">
        <f t="shared" si="1527"/>
        <v>0</v>
      </c>
      <c r="BW255">
        <f t="shared" si="1527"/>
        <v>0</v>
      </c>
      <c r="BX255">
        <f t="shared" si="1527"/>
        <v>0</v>
      </c>
      <c r="BY255">
        <f t="shared" si="1527"/>
        <v>0</v>
      </c>
      <c r="BZ255">
        <f t="shared" si="1527"/>
        <v>0</v>
      </c>
      <c r="CA255">
        <f t="shared" si="1527"/>
        <v>0</v>
      </c>
      <c r="CB255">
        <f t="shared" si="1527"/>
        <v>0</v>
      </c>
      <c r="CC255">
        <f t="shared" si="1527"/>
        <v>0</v>
      </c>
      <c r="CD255">
        <f t="shared" si="1527"/>
        <v>0</v>
      </c>
      <c r="CE255">
        <f t="shared" si="1352"/>
        <v>0</v>
      </c>
      <c r="CF255">
        <f t="shared" si="1353"/>
        <v>0</v>
      </c>
      <c r="CG255">
        <f t="shared" si="1354"/>
        <v>0</v>
      </c>
      <c r="CH255">
        <f t="shared" si="1355"/>
        <v>0</v>
      </c>
      <c r="CI255">
        <f t="shared" si="1356"/>
        <v>0</v>
      </c>
      <c r="CJ255">
        <f t="shared" si="1491"/>
        <v>0</v>
      </c>
      <c r="CK255">
        <f t="shared" si="1390"/>
        <v>0</v>
      </c>
      <c r="CL255">
        <f t="shared" si="1358"/>
        <v>0</v>
      </c>
      <c r="CM255">
        <f t="shared" si="1359"/>
        <v>0</v>
      </c>
      <c r="CN255">
        <f t="shared" si="1360"/>
        <v>0</v>
      </c>
      <c r="CO255">
        <f t="shared" ref="CO255:CX255" si="1528">IF(CO$230,CP150,0)</f>
        <v>0</v>
      </c>
      <c r="CP255">
        <f t="shared" si="1528"/>
        <v>0</v>
      </c>
      <c r="CQ255">
        <f t="shared" si="1528"/>
        <v>0</v>
      </c>
      <c r="CR255">
        <f t="shared" si="1528"/>
        <v>0</v>
      </c>
      <c r="CS255">
        <f t="shared" si="1528"/>
        <v>0</v>
      </c>
      <c r="CT255">
        <f t="shared" si="1528"/>
        <v>0</v>
      </c>
      <c r="CU255">
        <f t="shared" si="1528"/>
        <v>0</v>
      </c>
      <c r="CV255">
        <f t="shared" si="1528"/>
        <v>0</v>
      </c>
      <c r="CW255">
        <f t="shared" si="1528"/>
        <v>0</v>
      </c>
      <c r="CX255">
        <f t="shared" si="1528"/>
        <v>0</v>
      </c>
      <c r="CY255">
        <f t="shared" si="1362"/>
        <v>0</v>
      </c>
      <c r="CZ255">
        <f t="shared" si="1363"/>
        <v>0</v>
      </c>
      <c r="DA255">
        <f t="shared" si="1364"/>
        <v>0</v>
      </c>
      <c r="DB255">
        <f t="shared" si="1365"/>
        <v>0</v>
      </c>
      <c r="DC255">
        <f t="shared" si="1366"/>
        <v>0</v>
      </c>
      <c r="DD255">
        <f t="shared" si="1367"/>
        <v>0</v>
      </c>
      <c r="DE255">
        <f t="shared" si="1368"/>
        <v>0</v>
      </c>
      <c r="DF255">
        <f t="shared" si="1369"/>
        <v>0</v>
      </c>
      <c r="DG255">
        <f t="shared" si="1370"/>
        <v>0</v>
      </c>
      <c r="DH255">
        <f t="shared" si="1371"/>
        <v>0</v>
      </c>
      <c r="DI255">
        <f t="shared" si="1372"/>
        <v>0</v>
      </c>
      <c r="DJ255">
        <f t="shared" si="1373"/>
        <v>0</v>
      </c>
      <c r="DK255">
        <f t="shared" si="1374"/>
        <v>0</v>
      </c>
      <c r="DL255">
        <f t="shared" si="1375"/>
        <v>0</v>
      </c>
      <c r="DM255">
        <f t="shared" si="1376"/>
        <v>0</v>
      </c>
      <c r="DN255">
        <f t="shared" si="1377"/>
        <v>0</v>
      </c>
      <c r="DO255">
        <f t="shared" si="1378"/>
        <v>0</v>
      </c>
      <c r="DP255">
        <f t="shared" si="1379"/>
        <v>0</v>
      </c>
      <c r="DQ255">
        <f t="shared" si="1380"/>
        <v>0</v>
      </c>
      <c r="DR255">
        <f t="shared" si="1381"/>
        <v>0</v>
      </c>
      <c r="DT255" s="77"/>
      <c r="DU255" s="8" t="str">
        <f>Hidden!$CG38</f>
        <v/>
      </c>
      <c r="DV255">
        <f t="shared" si="1176"/>
        <v>0</v>
      </c>
      <c r="DW255">
        <f t="shared" si="1177"/>
        <v>0</v>
      </c>
      <c r="DX255">
        <f t="shared" si="1178"/>
        <v>0</v>
      </c>
      <c r="DY255">
        <f t="shared" si="1179"/>
        <v>0</v>
      </c>
      <c r="DZ255">
        <f t="shared" si="1180"/>
        <v>0</v>
      </c>
      <c r="EA255">
        <f t="shared" si="1181"/>
        <v>0</v>
      </c>
      <c r="EB255">
        <f t="shared" si="1182"/>
        <v>0</v>
      </c>
      <c r="EC255">
        <f t="shared" si="1183"/>
        <v>0</v>
      </c>
      <c r="ED255">
        <f t="shared" si="1184"/>
        <v>0</v>
      </c>
      <c r="EE255">
        <f t="shared" si="1185"/>
        <v>0</v>
      </c>
      <c r="EF255">
        <f t="shared" si="1186"/>
        <v>0</v>
      </c>
      <c r="EG255">
        <f t="shared" si="1187"/>
        <v>0</v>
      </c>
      <c r="EH255">
        <f t="shared" si="1188"/>
        <v>0</v>
      </c>
      <c r="EI255">
        <f t="shared" si="1189"/>
        <v>0</v>
      </c>
      <c r="EJ255">
        <f t="shared" si="1190"/>
        <v>0</v>
      </c>
      <c r="EK255">
        <f t="shared" si="1191"/>
        <v>0</v>
      </c>
      <c r="EL255">
        <f t="shared" si="1192"/>
        <v>0</v>
      </c>
      <c r="EM255">
        <f t="shared" si="1193"/>
        <v>0</v>
      </c>
      <c r="EN255">
        <f t="shared" si="1194"/>
        <v>0</v>
      </c>
      <c r="EO255">
        <f t="shared" si="1195"/>
        <v>0</v>
      </c>
      <c r="EP255">
        <f t="shared" si="1196"/>
        <v>0</v>
      </c>
      <c r="EQ255">
        <f t="shared" si="1197"/>
        <v>0</v>
      </c>
      <c r="ER255">
        <f t="shared" si="1517"/>
        <v>0</v>
      </c>
      <c r="ES255">
        <f t="shared" ref="ES255:ET255" si="1529">IF(ES$218,FC150,0)</f>
        <v>0</v>
      </c>
      <c r="ET255">
        <f t="shared" si="1529"/>
        <v>0</v>
      </c>
      <c r="EU255">
        <f t="shared" si="1199"/>
        <v>0</v>
      </c>
      <c r="EV255">
        <f t="shared" si="1411"/>
        <v>0</v>
      </c>
      <c r="EW255">
        <f t="shared" si="1232"/>
        <v>0</v>
      </c>
      <c r="EX255">
        <f t="shared" si="1201"/>
        <v>0</v>
      </c>
      <c r="EY255">
        <f t="shared" si="1202"/>
        <v>0</v>
      </c>
      <c r="EZ255">
        <f t="shared" ref="EZ255:FI255" si="1530">IF(EZ$218,EZ150,0)</f>
        <v>0</v>
      </c>
      <c r="FA255">
        <f t="shared" si="1530"/>
        <v>0</v>
      </c>
      <c r="FB255">
        <f t="shared" si="1530"/>
        <v>0</v>
      </c>
      <c r="FC255">
        <f t="shared" si="1530"/>
        <v>0</v>
      </c>
      <c r="FD255">
        <f t="shared" si="1530"/>
        <v>0</v>
      </c>
      <c r="FE255">
        <f t="shared" si="1530"/>
        <v>0</v>
      </c>
      <c r="FF255">
        <f t="shared" si="1530"/>
        <v>0</v>
      </c>
      <c r="FG255">
        <f t="shared" si="1530"/>
        <v>0</v>
      </c>
      <c r="FH255">
        <f t="shared" si="1530"/>
        <v>0</v>
      </c>
      <c r="FI255">
        <f t="shared" si="1530"/>
        <v>0</v>
      </c>
      <c r="FJ255">
        <f t="shared" si="1204"/>
        <v>0</v>
      </c>
      <c r="FK255">
        <f t="shared" si="1205"/>
        <v>0</v>
      </c>
      <c r="FL255">
        <f t="shared" si="1413"/>
        <v>0</v>
      </c>
      <c r="FM255">
        <f t="shared" si="1234"/>
        <v>0</v>
      </c>
      <c r="FN255">
        <f t="shared" si="1207"/>
        <v>0</v>
      </c>
      <c r="FO255">
        <f t="shared" si="1208"/>
        <v>0</v>
      </c>
      <c r="FP255">
        <f t="shared" si="1209"/>
        <v>0</v>
      </c>
      <c r="FQ255">
        <f t="shared" si="1210"/>
        <v>0</v>
      </c>
      <c r="FR255">
        <f t="shared" si="1211"/>
        <v>0</v>
      </c>
      <c r="FS255">
        <f t="shared" si="1212"/>
        <v>0</v>
      </c>
      <c r="FT255">
        <f t="shared" si="1213"/>
        <v>0</v>
      </c>
      <c r="FU255">
        <f t="shared" si="1214"/>
        <v>0</v>
      </c>
      <c r="FV255">
        <f t="shared" si="1215"/>
        <v>0</v>
      </c>
      <c r="FW255">
        <f t="shared" si="1216"/>
        <v>0</v>
      </c>
      <c r="FX255">
        <f t="shared" si="1414"/>
        <v>0</v>
      </c>
      <c r="FY255">
        <f t="shared" si="1235"/>
        <v>0</v>
      </c>
      <c r="FZ255">
        <f t="shared" si="1218"/>
        <v>0</v>
      </c>
      <c r="GA255">
        <f t="shared" si="1219"/>
        <v>0</v>
      </c>
      <c r="GB255">
        <f t="shared" si="1220"/>
        <v>0</v>
      </c>
      <c r="GC255">
        <f t="shared" si="1221"/>
        <v>0</v>
      </c>
    </row>
    <row r="256" spans="1:185" x14ac:dyDescent="0.2">
      <c r="A256" s="8" t="str">
        <f t="shared" si="1311"/>
        <v/>
      </c>
      <c r="B256" s="8">
        <f t="shared" si="1312"/>
        <v>0</v>
      </c>
      <c r="C256" s="8">
        <f t="shared" si="1313"/>
        <v>0</v>
      </c>
      <c r="D256" s="8">
        <f t="shared" si="1314"/>
        <v>0</v>
      </c>
      <c r="E256" s="8">
        <f t="shared" si="1486"/>
        <v>0</v>
      </c>
      <c r="F256" s="8">
        <f t="shared" si="1384"/>
        <v>0</v>
      </c>
      <c r="G256" s="8">
        <f t="shared" si="1427"/>
        <v>0</v>
      </c>
      <c r="H256" s="8">
        <f t="shared" si="1428"/>
        <v>0</v>
      </c>
      <c r="I256" s="8">
        <f t="shared" si="1429"/>
        <v>0</v>
      </c>
      <c r="J256" s="8">
        <f t="shared" si="1430"/>
        <v>0</v>
      </c>
      <c r="K256" s="8">
        <f t="shared" si="1431"/>
        <v>0</v>
      </c>
      <c r="L256">
        <f t="shared" si="1320"/>
        <v>0</v>
      </c>
      <c r="M256">
        <f t="shared" si="1321"/>
        <v>0</v>
      </c>
      <c r="N256">
        <f t="shared" si="1322"/>
        <v>0</v>
      </c>
      <c r="O256">
        <f t="shared" si="1323"/>
        <v>0</v>
      </c>
      <c r="P256">
        <f t="shared" si="1324"/>
        <v>0</v>
      </c>
      <c r="Q256">
        <f t="shared" si="1325"/>
        <v>0</v>
      </c>
      <c r="R256">
        <f t="shared" si="1326"/>
        <v>0</v>
      </c>
      <c r="S256" s="8">
        <f t="shared" si="1327"/>
        <v>0</v>
      </c>
      <c r="T256" s="8">
        <f t="shared" si="1328"/>
        <v>0</v>
      </c>
      <c r="U256" s="8">
        <f t="shared" si="1329"/>
        <v>0</v>
      </c>
      <c r="V256">
        <f>IF(V$230,LandEmiss!AF151,0)</f>
        <v>0</v>
      </c>
      <c r="W256">
        <f>IF(W$230,LandEmiss!AG151,0)</f>
        <v>0</v>
      </c>
      <c r="X256">
        <f>IF(X$230,LandEmiss!AH151,0)</f>
        <v>0</v>
      </c>
      <c r="Y256">
        <f>IF(Y$230,LandEmiss!AI151,0)</f>
        <v>0</v>
      </c>
      <c r="Z256">
        <f>IF(Z$230,LandEmiss!AJ151,0)</f>
        <v>0</v>
      </c>
      <c r="AA256">
        <f>IF(AA$230,LandEmiss!AK151,0)</f>
        <v>0</v>
      </c>
      <c r="AB256">
        <f>IF(AB$230,LandEmiss!AL151,0)</f>
        <v>0</v>
      </c>
      <c r="AC256">
        <f>IF(AC$230,LandEmiss!AM151,0)</f>
        <v>0</v>
      </c>
      <c r="AD256">
        <f>IF(AD$230,LandEmiss!AN151,0)</f>
        <v>0</v>
      </c>
      <c r="AE256">
        <f>IF(AE$230,LandEmiss!AO151,0)</f>
        <v>0</v>
      </c>
      <c r="AF256">
        <f t="shared" ref="AF256:AO256" si="1531">IF(AF$230,AF151,0)</f>
        <v>0</v>
      </c>
      <c r="AG256">
        <f t="shared" si="1531"/>
        <v>0</v>
      </c>
      <c r="AH256">
        <f t="shared" si="1531"/>
        <v>0</v>
      </c>
      <c r="AI256">
        <f t="shared" si="1531"/>
        <v>0</v>
      </c>
      <c r="AJ256">
        <f t="shared" si="1531"/>
        <v>0</v>
      </c>
      <c r="AK256">
        <f t="shared" si="1531"/>
        <v>0</v>
      </c>
      <c r="AL256">
        <f t="shared" si="1531"/>
        <v>0</v>
      </c>
      <c r="AM256">
        <f t="shared" si="1531"/>
        <v>0</v>
      </c>
      <c r="AN256">
        <f t="shared" si="1531"/>
        <v>0</v>
      </c>
      <c r="AO256">
        <f t="shared" si="1531"/>
        <v>0</v>
      </c>
      <c r="AP256">
        <f t="shared" si="1331"/>
        <v>0</v>
      </c>
      <c r="AQ256">
        <f t="shared" si="1332"/>
        <v>0</v>
      </c>
      <c r="AR256">
        <f t="shared" si="1333"/>
        <v>0</v>
      </c>
      <c r="AS256">
        <f t="shared" si="1334"/>
        <v>0</v>
      </c>
      <c r="AT256">
        <f t="shared" si="1335"/>
        <v>0</v>
      </c>
      <c r="AU256">
        <f t="shared" si="1336"/>
        <v>0</v>
      </c>
      <c r="AV256">
        <f t="shared" si="1337"/>
        <v>0</v>
      </c>
      <c r="AW256">
        <f t="shared" si="1338"/>
        <v>0</v>
      </c>
      <c r="AX256">
        <f t="shared" si="1339"/>
        <v>0</v>
      </c>
      <c r="AY256">
        <f t="shared" si="1340"/>
        <v>0</v>
      </c>
      <c r="AZ256">
        <f t="shared" si="1341"/>
        <v>0</v>
      </c>
      <c r="BA256">
        <f t="shared" si="1342"/>
        <v>0</v>
      </c>
      <c r="BB256">
        <f t="shared" si="1343"/>
        <v>0</v>
      </c>
      <c r="BC256">
        <f t="shared" si="1344"/>
        <v>0</v>
      </c>
      <c r="BD256">
        <f t="shared" si="1345"/>
        <v>0</v>
      </c>
      <c r="BE256">
        <f t="shared" si="1346"/>
        <v>0</v>
      </c>
      <c r="BF256">
        <f t="shared" si="1347"/>
        <v>0</v>
      </c>
      <c r="BG256">
        <f t="shared" si="1348"/>
        <v>0</v>
      </c>
      <c r="BH256">
        <f t="shared" si="1488"/>
        <v>0</v>
      </c>
      <c r="BI256">
        <f t="shared" si="1387"/>
        <v>0</v>
      </c>
      <c r="BJ256" s="8" t="str">
        <f>Hidden!$CC27</f>
        <v/>
      </c>
      <c r="BK256">
        <f t="shared" ref="BK256:BT256" si="1532">IF(BK$230,CP151,0)</f>
        <v>0</v>
      </c>
      <c r="BL256">
        <f t="shared" si="1532"/>
        <v>0</v>
      </c>
      <c r="BM256">
        <f t="shared" si="1532"/>
        <v>0</v>
      </c>
      <c r="BN256">
        <f t="shared" si="1532"/>
        <v>0</v>
      </c>
      <c r="BO256">
        <f t="shared" si="1532"/>
        <v>0</v>
      </c>
      <c r="BP256">
        <f t="shared" si="1532"/>
        <v>0</v>
      </c>
      <c r="BQ256">
        <f t="shared" si="1532"/>
        <v>0</v>
      </c>
      <c r="BR256">
        <f t="shared" si="1532"/>
        <v>0</v>
      </c>
      <c r="BS256">
        <f t="shared" si="1532"/>
        <v>0</v>
      </c>
      <c r="BT256">
        <f t="shared" si="1532"/>
        <v>0</v>
      </c>
      <c r="BU256">
        <f t="shared" ref="BU256:CD256" si="1533">IF(BU$230,CP151,0)</f>
        <v>0</v>
      </c>
      <c r="BV256">
        <f t="shared" si="1533"/>
        <v>0</v>
      </c>
      <c r="BW256">
        <f t="shared" si="1533"/>
        <v>0</v>
      </c>
      <c r="BX256">
        <f t="shared" si="1533"/>
        <v>0</v>
      </c>
      <c r="BY256">
        <f t="shared" si="1533"/>
        <v>0</v>
      </c>
      <c r="BZ256">
        <f t="shared" si="1533"/>
        <v>0</v>
      </c>
      <c r="CA256">
        <f t="shared" si="1533"/>
        <v>0</v>
      </c>
      <c r="CB256">
        <f t="shared" si="1533"/>
        <v>0</v>
      </c>
      <c r="CC256">
        <f t="shared" si="1533"/>
        <v>0</v>
      </c>
      <c r="CD256">
        <f t="shared" si="1533"/>
        <v>0</v>
      </c>
      <c r="CE256">
        <f t="shared" si="1352"/>
        <v>0</v>
      </c>
      <c r="CF256">
        <f t="shared" si="1353"/>
        <v>0</v>
      </c>
      <c r="CG256">
        <f t="shared" si="1354"/>
        <v>0</v>
      </c>
      <c r="CH256">
        <f t="shared" si="1355"/>
        <v>0</v>
      </c>
      <c r="CI256">
        <f t="shared" si="1356"/>
        <v>0</v>
      </c>
      <c r="CJ256">
        <f t="shared" si="1491"/>
        <v>0</v>
      </c>
      <c r="CK256">
        <f t="shared" si="1390"/>
        <v>0</v>
      </c>
      <c r="CL256">
        <f t="shared" si="1358"/>
        <v>0</v>
      </c>
      <c r="CM256">
        <f t="shared" si="1359"/>
        <v>0</v>
      </c>
      <c r="CN256">
        <f t="shared" si="1360"/>
        <v>0</v>
      </c>
      <c r="CO256">
        <f t="shared" ref="CO256:CX256" si="1534">IF(CO$230,CP151,0)</f>
        <v>0</v>
      </c>
      <c r="CP256">
        <f t="shared" si="1534"/>
        <v>0</v>
      </c>
      <c r="CQ256">
        <f t="shared" si="1534"/>
        <v>0</v>
      </c>
      <c r="CR256">
        <f t="shared" si="1534"/>
        <v>0</v>
      </c>
      <c r="CS256">
        <f t="shared" si="1534"/>
        <v>0</v>
      </c>
      <c r="CT256">
        <f t="shared" si="1534"/>
        <v>0</v>
      </c>
      <c r="CU256">
        <f t="shared" si="1534"/>
        <v>0</v>
      </c>
      <c r="CV256">
        <f t="shared" si="1534"/>
        <v>0</v>
      </c>
      <c r="CW256">
        <f t="shared" si="1534"/>
        <v>0</v>
      </c>
      <c r="CX256">
        <f t="shared" si="1534"/>
        <v>0</v>
      </c>
      <c r="CY256">
        <f t="shared" si="1362"/>
        <v>0</v>
      </c>
      <c r="CZ256">
        <f t="shared" si="1363"/>
        <v>0</v>
      </c>
      <c r="DA256">
        <f t="shared" si="1364"/>
        <v>0</v>
      </c>
      <c r="DB256">
        <f t="shared" si="1365"/>
        <v>0</v>
      </c>
      <c r="DC256">
        <f t="shared" si="1366"/>
        <v>0</v>
      </c>
      <c r="DD256">
        <f t="shared" si="1367"/>
        <v>0</v>
      </c>
      <c r="DE256">
        <f t="shared" si="1368"/>
        <v>0</v>
      </c>
      <c r="DF256">
        <f t="shared" si="1369"/>
        <v>0</v>
      </c>
      <c r="DG256">
        <f t="shared" si="1370"/>
        <v>0</v>
      </c>
      <c r="DH256">
        <f t="shared" si="1371"/>
        <v>0</v>
      </c>
      <c r="DI256">
        <f t="shared" si="1372"/>
        <v>0</v>
      </c>
      <c r="DJ256">
        <f t="shared" si="1373"/>
        <v>0</v>
      </c>
      <c r="DK256">
        <f t="shared" si="1374"/>
        <v>0</v>
      </c>
      <c r="DL256">
        <f t="shared" si="1375"/>
        <v>0</v>
      </c>
      <c r="DM256">
        <f t="shared" si="1376"/>
        <v>0</v>
      </c>
      <c r="DN256">
        <f t="shared" si="1377"/>
        <v>0</v>
      </c>
      <c r="DO256">
        <f t="shared" si="1378"/>
        <v>0</v>
      </c>
      <c r="DP256">
        <f t="shared" si="1379"/>
        <v>0</v>
      </c>
      <c r="DQ256">
        <f t="shared" si="1380"/>
        <v>0</v>
      </c>
      <c r="DR256">
        <f t="shared" si="1381"/>
        <v>0</v>
      </c>
      <c r="DT256" s="77"/>
      <c r="DU256" s="8" t="str">
        <f>Hidden!$CG39</f>
        <v/>
      </c>
      <c r="DV256">
        <f t="shared" si="1176"/>
        <v>0</v>
      </c>
      <c r="DW256">
        <f t="shared" si="1177"/>
        <v>0</v>
      </c>
      <c r="DX256">
        <f t="shared" si="1178"/>
        <v>0</v>
      </c>
      <c r="DY256">
        <f t="shared" si="1179"/>
        <v>0</v>
      </c>
      <c r="DZ256">
        <f t="shared" si="1180"/>
        <v>0</v>
      </c>
      <c r="EA256">
        <f t="shared" si="1181"/>
        <v>0</v>
      </c>
      <c r="EB256">
        <f t="shared" si="1182"/>
        <v>0</v>
      </c>
      <c r="EC256">
        <f t="shared" si="1183"/>
        <v>0</v>
      </c>
      <c r="ED256">
        <f t="shared" si="1184"/>
        <v>0</v>
      </c>
      <c r="EE256">
        <f t="shared" si="1185"/>
        <v>0</v>
      </c>
      <c r="EF256">
        <f t="shared" si="1186"/>
        <v>0</v>
      </c>
      <c r="EG256">
        <f t="shared" si="1187"/>
        <v>0</v>
      </c>
      <c r="EH256">
        <f t="shared" si="1188"/>
        <v>0</v>
      </c>
      <c r="EI256">
        <f t="shared" si="1189"/>
        <v>0</v>
      </c>
      <c r="EJ256">
        <f t="shared" si="1190"/>
        <v>0</v>
      </c>
      <c r="EK256">
        <f t="shared" si="1191"/>
        <v>0</v>
      </c>
      <c r="EL256">
        <f t="shared" si="1192"/>
        <v>0</v>
      </c>
      <c r="EM256">
        <f t="shared" si="1193"/>
        <v>0</v>
      </c>
      <c r="EN256">
        <f t="shared" si="1194"/>
        <v>0</v>
      </c>
      <c r="EO256">
        <f t="shared" si="1195"/>
        <v>0</v>
      </c>
      <c r="EP256">
        <f t="shared" si="1196"/>
        <v>0</v>
      </c>
      <c r="EQ256">
        <f t="shared" si="1197"/>
        <v>0</v>
      </c>
      <c r="ER256">
        <f t="shared" si="1517"/>
        <v>0</v>
      </c>
      <c r="ES256">
        <f t="shared" ref="ES256:ET256" si="1535">IF(ES$218,FC151,0)</f>
        <v>0</v>
      </c>
      <c r="ET256">
        <f t="shared" si="1535"/>
        <v>0</v>
      </c>
      <c r="EU256">
        <f t="shared" si="1199"/>
        <v>0</v>
      </c>
      <c r="EV256">
        <f t="shared" si="1411"/>
        <v>0</v>
      </c>
      <c r="EW256">
        <f t="shared" si="1232"/>
        <v>0</v>
      </c>
      <c r="EX256">
        <f t="shared" si="1201"/>
        <v>0</v>
      </c>
      <c r="EY256">
        <f t="shared" si="1202"/>
        <v>0</v>
      </c>
      <c r="EZ256">
        <f t="shared" ref="EZ256:FI256" si="1536">IF(EZ$218,EZ151,0)</f>
        <v>0</v>
      </c>
      <c r="FA256">
        <f t="shared" si="1536"/>
        <v>0</v>
      </c>
      <c r="FB256">
        <f t="shared" si="1536"/>
        <v>0</v>
      </c>
      <c r="FC256">
        <f t="shared" si="1536"/>
        <v>0</v>
      </c>
      <c r="FD256">
        <f t="shared" si="1536"/>
        <v>0</v>
      </c>
      <c r="FE256">
        <f t="shared" si="1536"/>
        <v>0</v>
      </c>
      <c r="FF256">
        <f t="shared" si="1536"/>
        <v>0</v>
      </c>
      <c r="FG256">
        <f t="shared" si="1536"/>
        <v>0</v>
      </c>
      <c r="FH256">
        <f t="shared" si="1536"/>
        <v>0</v>
      </c>
      <c r="FI256">
        <f t="shared" si="1536"/>
        <v>0</v>
      </c>
      <c r="FJ256">
        <f t="shared" si="1204"/>
        <v>0</v>
      </c>
      <c r="FK256">
        <f t="shared" si="1205"/>
        <v>0</v>
      </c>
      <c r="FL256">
        <f t="shared" si="1413"/>
        <v>0</v>
      </c>
      <c r="FM256">
        <f t="shared" si="1234"/>
        <v>0</v>
      </c>
      <c r="FN256">
        <f t="shared" si="1207"/>
        <v>0</v>
      </c>
      <c r="FO256">
        <f t="shared" si="1208"/>
        <v>0</v>
      </c>
      <c r="FP256">
        <f t="shared" si="1209"/>
        <v>0</v>
      </c>
      <c r="FQ256">
        <f t="shared" si="1210"/>
        <v>0</v>
      </c>
      <c r="FR256">
        <f t="shared" si="1211"/>
        <v>0</v>
      </c>
      <c r="FS256">
        <f t="shared" si="1212"/>
        <v>0</v>
      </c>
      <c r="FT256">
        <f t="shared" si="1213"/>
        <v>0</v>
      </c>
      <c r="FU256">
        <f t="shared" si="1214"/>
        <v>0</v>
      </c>
      <c r="FV256">
        <f t="shared" si="1215"/>
        <v>0</v>
      </c>
      <c r="FW256">
        <f t="shared" si="1216"/>
        <v>0</v>
      </c>
      <c r="FX256">
        <f t="shared" si="1414"/>
        <v>0</v>
      </c>
      <c r="FY256">
        <f t="shared" si="1235"/>
        <v>0</v>
      </c>
      <c r="FZ256">
        <f t="shared" si="1218"/>
        <v>0</v>
      </c>
      <c r="GA256">
        <f t="shared" si="1219"/>
        <v>0</v>
      </c>
      <c r="GB256">
        <f t="shared" si="1220"/>
        <v>0</v>
      </c>
      <c r="GC256">
        <f t="shared" si="1221"/>
        <v>0</v>
      </c>
    </row>
    <row r="257" spans="1:185" x14ac:dyDescent="0.2">
      <c r="A257" s="8" t="str">
        <f t="shared" si="1311"/>
        <v/>
      </c>
      <c r="B257" s="8">
        <f t="shared" si="1312"/>
        <v>0</v>
      </c>
      <c r="C257" s="8">
        <f t="shared" si="1313"/>
        <v>0</v>
      </c>
      <c r="D257" s="8">
        <f t="shared" si="1314"/>
        <v>0</v>
      </c>
      <c r="E257" s="8">
        <f t="shared" si="1486"/>
        <v>0</v>
      </c>
      <c r="F257" s="8">
        <f t="shared" si="1384"/>
        <v>0</v>
      </c>
      <c r="G257" s="8">
        <f t="shared" si="1427"/>
        <v>0</v>
      </c>
      <c r="H257" s="8">
        <f t="shared" si="1428"/>
        <v>0</v>
      </c>
      <c r="I257" s="8">
        <f t="shared" si="1429"/>
        <v>0</v>
      </c>
      <c r="J257" s="8">
        <f t="shared" si="1430"/>
        <v>0</v>
      </c>
      <c r="K257" s="8">
        <f t="shared" si="1431"/>
        <v>0</v>
      </c>
      <c r="L257">
        <f t="shared" si="1320"/>
        <v>0</v>
      </c>
      <c r="M257">
        <f t="shared" si="1321"/>
        <v>0</v>
      </c>
      <c r="N257">
        <f t="shared" si="1322"/>
        <v>0</v>
      </c>
      <c r="O257">
        <f t="shared" si="1323"/>
        <v>0</v>
      </c>
      <c r="P257">
        <f t="shared" si="1324"/>
        <v>0</v>
      </c>
      <c r="Q257">
        <f t="shared" si="1325"/>
        <v>0</v>
      </c>
      <c r="R257">
        <f t="shared" si="1326"/>
        <v>0</v>
      </c>
      <c r="S257" s="8">
        <f t="shared" si="1327"/>
        <v>0</v>
      </c>
      <c r="T257" s="8">
        <f t="shared" si="1328"/>
        <v>0</v>
      </c>
      <c r="U257" s="8">
        <f t="shared" si="1329"/>
        <v>0</v>
      </c>
      <c r="V257">
        <f>IF(V$230,LandEmiss!AF152,0)</f>
        <v>0</v>
      </c>
      <c r="W257">
        <f>IF(W$230,LandEmiss!AG152,0)</f>
        <v>0</v>
      </c>
      <c r="X257">
        <f>IF(X$230,LandEmiss!AH152,0)</f>
        <v>0</v>
      </c>
      <c r="Y257">
        <f>IF(Y$230,LandEmiss!AI152,0)</f>
        <v>0</v>
      </c>
      <c r="Z257">
        <f>IF(Z$230,LandEmiss!AJ152,0)</f>
        <v>0</v>
      </c>
      <c r="AA257">
        <f>IF(AA$230,LandEmiss!AK152,0)</f>
        <v>0</v>
      </c>
      <c r="AB257">
        <f>IF(AB$230,LandEmiss!AL152,0)</f>
        <v>0</v>
      </c>
      <c r="AC257">
        <f>IF(AC$230,LandEmiss!AM152,0)</f>
        <v>0</v>
      </c>
      <c r="AD257">
        <f>IF(AD$230,LandEmiss!AN152,0)</f>
        <v>0</v>
      </c>
      <c r="AE257">
        <f>IF(AE$230,LandEmiss!AO152,0)</f>
        <v>0</v>
      </c>
      <c r="AF257">
        <f t="shared" ref="AF257:AO257" si="1537">IF(AF$230,AF152,0)</f>
        <v>0</v>
      </c>
      <c r="AG257">
        <f t="shared" si="1537"/>
        <v>0</v>
      </c>
      <c r="AH257">
        <f t="shared" si="1537"/>
        <v>0</v>
      </c>
      <c r="AI257">
        <f t="shared" si="1537"/>
        <v>0</v>
      </c>
      <c r="AJ257">
        <f t="shared" si="1537"/>
        <v>0</v>
      </c>
      <c r="AK257">
        <f t="shared" si="1537"/>
        <v>0</v>
      </c>
      <c r="AL257">
        <f t="shared" si="1537"/>
        <v>0</v>
      </c>
      <c r="AM257">
        <f t="shared" si="1537"/>
        <v>0</v>
      </c>
      <c r="AN257">
        <f t="shared" si="1537"/>
        <v>0</v>
      </c>
      <c r="AO257">
        <f t="shared" si="1537"/>
        <v>0</v>
      </c>
      <c r="AP257">
        <f t="shared" si="1331"/>
        <v>0</v>
      </c>
      <c r="AQ257">
        <f t="shared" si="1332"/>
        <v>0</v>
      </c>
      <c r="AR257">
        <f t="shared" si="1333"/>
        <v>0</v>
      </c>
      <c r="AS257">
        <f t="shared" si="1334"/>
        <v>0</v>
      </c>
      <c r="AT257">
        <f t="shared" si="1335"/>
        <v>0</v>
      </c>
      <c r="AU257">
        <f t="shared" si="1336"/>
        <v>0</v>
      </c>
      <c r="AV257">
        <f t="shared" si="1337"/>
        <v>0</v>
      </c>
      <c r="AW257">
        <f t="shared" si="1338"/>
        <v>0</v>
      </c>
      <c r="AX257">
        <f t="shared" si="1339"/>
        <v>0</v>
      </c>
      <c r="AY257">
        <f t="shared" si="1340"/>
        <v>0</v>
      </c>
      <c r="AZ257">
        <f t="shared" si="1341"/>
        <v>0</v>
      </c>
      <c r="BA257">
        <f t="shared" si="1342"/>
        <v>0</v>
      </c>
      <c r="BB257">
        <f t="shared" si="1343"/>
        <v>0</v>
      </c>
      <c r="BC257">
        <f t="shared" si="1344"/>
        <v>0</v>
      </c>
      <c r="BD257">
        <f t="shared" si="1345"/>
        <v>0</v>
      </c>
      <c r="BE257">
        <f t="shared" si="1346"/>
        <v>0</v>
      </c>
      <c r="BF257">
        <f t="shared" si="1347"/>
        <v>0</v>
      </c>
      <c r="BG257">
        <f t="shared" si="1348"/>
        <v>0</v>
      </c>
      <c r="BH257">
        <f t="shared" si="1488"/>
        <v>0</v>
      </c>
      <c r="BI257">
        <f t="shared" si="1387"/>
        <v>0</v>
      </c>
      <c r="BJ257" s="8" t="str">
        <f>Hidden!$CC28</f>
        <v/>
      </c>
      <c r="BK257">
        <f t="shared" ref="BK257:BT257" si="1538">IF(BK$230,CP152,0)</f>
        <v>0</v>
      </c>
      <c r="BL257">
        <f t="shared" si="1538"/>
        <v>0</v>
      </c>
      <c r="BM257">
        <f t="shared" si="1538"/>
        <v>0</v>
      </c>
      <c r="BN257">
        <f t="shared" si="1538"/>
        <v>0</v>
      </c>
      <c r="BO257">
        <f t="shared" si="1538"/>
        <v>0</v>
      </c>
      <c r="BP257">
        <f t="shared" si="1538"/>
        <v>0</v>
      </c>
      <c r="BQ257">
        <f t="shared" si="1538"/>
        <v>0</v>
      </c>
      <c r="BR257">
        <f t="shared" si="1538"/>
        <v>0</v>
      </c>
      <c r="BS257">
        <f t="shared" si="1538"/>
        <v>0</v>
      </c>
      <c r="BT257">
        <f t="shared" si="1538"/>
        <v>0</v>
      </c>
      <c r="BU257">
        <f t="shared" ref="BU257:CD257" si="1539">IF(BU$230,CP152,0)</f>
        <v>0</v>
      </c>
      <c r="BV257">
        <f t="shared" si="1539"/>
        <v>0</v>
      </c>
      <c r="BW257">
        <f t="shared" si="1539"/>
        <v>0</v>
      </c>
      <c r="BX257">
        <f t="shared" si="1539"/>
        <v>0</v>
      </c>
      <c r="BY257">
        <f t="shared" si="1539"/>
        <v>0</v>
      </c>
      <c r="BZ257">
        <f t="shared" si="1539"/>
        <v>0</v>
      </c>
      <c r="CA257">
        <f t="shared" si="1539"/>
        <v>0</v>
      </c>
      <c r="CB257">
        <f t="shared" si="1539"/>
        <v>0</v>
      </c>
      <c r="CC257">
        <f t="shared" si="1539"/>
        <v>0</v>
      </c>
      <c r="CD257">
        <f t="shared" si="1539"/>
        <v>0</v>
      </c>
      <c r="CE257">
        <f t="shared" si="1352"/>
        <v>0</v>
      </c>
      <c r="CF257">
        <f t="shared" si="1353"/>
        <v>0</v>
      </c>
      <c r="CG257">
        <f t="shared" si="1354"/>
        <v>0</v>
      </c>
      <c r="CH257">
        <f t="shared" si="1355"/>
        <v>0</v>
      </c>
      <c r="CI257">
        <f t="shared" si="1356"/>
        <v>0</v>
      </c>
      <c r="CJ257">
        <f t="shared" si="1491"/>
        <v>0</v>
      </c>
      <c r="CK257">
        <f t="shared" si="1390"/>
        <v>0</v>
      </c>
      <c r="CL257">
        <f t="shared" si="1358"/>
        <v>0</v>
      </c>
      <c r="CM257">
        <f t="shared" si="1359"/>
        <v>0</v>
      </c>
      <c r="CN257">
        <f t="shared" si="1360"/>
        <v>0</v>
      </c>
      <c r="CO257">
        <f t="shared" ref="CO257:CX257" si="1540">IF(CO$230,CP152,0)</f>
        <v>0</v>
      </c>
      <c r="CP257">
        <f t="shared" si="1540"/>
        <v>0</v>
      </c>
      <c r="CQ257">
        <f t="shared" si="1540"/>
        <v>0</v>
      </c>
      <c r="CR257">
        <f t="shared" si="1540"/>
        <v>0</v>
      </c>
      <c r="CS257">
        <f t="shared" si="1540"/>
        <v>0</v>
      </c>
      <c r="CT257">
        <f t="shared" si="1540"/>
        <v>0</v>
      </c>
      <c r="CU257">
        <f t="shared" si="1540"/>
        <v>0</v>
      </c>
      <c r="CV257">
        <f t="shared" si="1540"/>
        <v>0</v>
      </c>
      <c r="CW257">
        <f t="shared" si="1540"/>
        <v>0</v>
      </c>
      <c r="CX257">
        <f t="shared" si="1540"/>
        <v>0</v>
      </c>
      <c r="CY257">
        <f t="shared" si="1362"/>
        <v>0</v>
      </c>
      <c r="CZ257">
        <f t="shared" si="1363"/>
        <v>0</v>
      </c>
      <c r="DA257">
        <f t="shared" si="1364"/>
        <v>0</v>
      </c>
      <c r="DB257">
        <f t="shared" si="1365"/>
        <v>0</v>
      </c>
      <c r="DC257">
        <f t="shared" si="1366"/>
        <v>0</v>
      </c>
      <c r="DD257">
        <f t="shared" si="1367"/>
        <v>0</v>
      </c>
      <c r="DE257">
        <f t="shared" si="1368"/>
        <v>0</v>
      </c>
      <c r="DF257">
        <f t="shared" si="1369"/>
        <v>0</v>
      </c>
      <c r="DG257">
        <f t="shared" si="1370"/>
        <v>0</v>
      </c>
      <c r="DH257">
        <f t="shared" si="1371"/>
        <v>0</v>
      </c>
      <c r="DI257">
        <f t="shared" si="1372"/>
        <v>0</v>
      </c>
      <c r="DJ257">
        <f t="shared" si="1373"/>
        <v>0</v>
      </c>
      <c r="DK257">
        <f t="shared" si="1374"/>
        <v>0</v>
      </c>
      <c r="DL257">
        <f t="shared" si="1375"/>
        <v>0</v>
      </c>
      <c r="DM257">
        <f t="shared" si="1376"/>
        <v>0</v>
      </c>
      <c r="DN257">
        <f t="shared" si="1377"/>
        <v>0</v>
      </c>
      <c r="DO257">
        <f t="shared" si="1378"/>
        <v>0</v>
      </c>
      <c r="DP257">
        <f t="shared" si="1379"/>
        <v>0</v>
      </c>
      <c r="DQ257">
        <f t="shared" si="1380"/>
        <v>0</v>
      </c>
      <c r="DR257">
        <f t="shared" si="1381"/>
        <v>0</v>
      </c>
      <c r="DT257" s="77"/>
      <c r="DU257" s="8" t="str">
        <f>Hidden!$CG40</f>
        <v/>
      </c>
      <c r="DV257">
        <f t="shared" si="1176"/>
        <v>0</v>
      </c>
      <c r="DW257">
        <f t="shared" si="1177"/>
        <v>0</v>
      </c>
      <c r="DX257">
        <f t="shared" si="1178"/>
        <v>0</v>
      </c>
      <c r="DY257">
        <f t="shared" si="1179"/>
        <v>0</v>
      </c>
      <c r="DZ257">
        <f t="shared" si="1180"/>
        <v>0</v>
      </c>
      <c r="EA257">
        <f t="shared" si="1181"/>
        <v>0</v>
      </c>
      <c r="EB257">
        <f t="shared" si="1182"/>
        <v>0</v>
      </c>
      <c r="EC257">
        <f t="shared" si="1183"/>
        <v>0</v>
      </c>
      <c r="ED257">
        <f t="shared" si="1184"/>
        <v>0</v>
      </c>
      <c r="EE257">
        <f t="shared" si="1185"/>
        <v>0</v>
      </c>
      <c r="EF257">
        <f t="shared" si="1186"/>
        <v>0</v>
      </c>
      <c r="EG257">
        <f t="shared" si="1187"/>
        <v>0</v>
      </c>
      <c r="EH257">
        <f t="shared" si="1188"/>
        <v>0</v>
      </c>
      <c r="EI257">
        <f t="shared" si="1189"/>
        <v>0</v>
      </c>
      <c r="EJ257">
        <f t="shared" si="1190"/>
        <v>0</v>
      </c>
      <c r="EK257">
        <f t="shared" si="1191"/>
        <v>0</v>
      </c>
      <c r="EL257">
        <f t="shared" si="1192"/>
        <v>0</v>
      </c>
      <c r="EM257">
        <f t="shared" si="1193"/>
        <v>0</v>
      </c>
      <c r="EN257">
        <f t="shared" si="1194"/>
        <v>0</v>
      </c>
      <c r="EO257">
        <f t="shared" si="1195"/>
        <v>0</v>
      </c>
      <c r="EP257">
        <f t="shared" si="1196"/>
        <v>0</v>
      </c>
      <c r="EQ257">
        <f t="shared" si="1197"/>
        <v>0</v>
      </c>
      <c r="ER257">
        <f t="shared" si="1517"/>
        <v>0</v>
      </c>
      <c r="ES257">
        <f t="shared" ref="ES257:ET257" si="1541">IF(ES$218,FC152,0)</f>
        <v>0</v>
      </c>
      <c r="ET257">
        <f t="shared" si="1541"/>
        <v>0</v>
      </c>
      <c r="EU257">
        <f t="shared" si="1199"/>
        <v>0</v>
      </c>
      <c r="EV257">
        <f t="shared" si="1411"/>
        <v>0</v>
      </c>
      <c r="EW257">
        <f t="shared" si="1232"/>
        <v>0</v>
      </c>
      <c r="EX257">
        <f t="shared" si="1201"/>
        <v>0</v>
      </c>
      <c r="EY257">
        <f t="shared" si="1202"/>
        <v>0</v>
      </c>
      <c r="EZ257">
        <f t="shared" ref="EZ257:FI257" si="1542">IF(EZ$218,EZ152,0)</f>
        <v>0</v>
      </c>
      <c r="FA257">
        <f t="shared" si="1542"/>
        <v>0</v>
      </c>
      <c r="FB257">
        <f t="shared" si="1542"/>
        <v>0</v>
      </c>
      <c r="FC257">
        <f t="shared" si="1542"/>
        <v>0</v>
      </c>
      <c r="FD257">
        <f t="shared" si="1542"/>
        <v>0</v>
      </c>
      <c r="FE257">
        <f t="shared" si="1542"/>
        <v>0</v>
      </c>
      <c r="FF257">
        <f t="shared" si="1542"/>
        <v>0</v>
      </c>
      <c r="FG257">
        <f t="shared" si="1542"/>
        <v>0</v>
      </c>
      <c r="FH257">
        <f t="shared" si="1542"/>
        <v>0</v>
      </c>
      <c r="FI257">
        <f t="shared" si="1542"/>
        <v>0</v>
      </c>
      <c r="FJ257">
        <f t="shared" si="1204"/>
        <v>0</v>
      </c>
      <c r="FK257">
        <f t="shared" si="1205"/>
        <v>0</v>
      </c>
      <c r="FL257">
        <f t="shared" si="1413"/>
        <v>0</v>
      </c>
      <c r="FM257">
        <f t="shared" si="1234"/>
        <v>0</v>
      </c>
      <c r="FN257">
        <f t="shared" si="1207"/>
        <v>0</v>
      </c>
      <c r="FO257">
        <f t="shared" si="1208"/>
        <v>0</v>
      </c>
      <c r="FP257">
        <f t="shared" si="1209"/>
        <v>0</v>
      </c>
      <c r="FQ257">
        <f t="shared" si="1210"/>
        <v>0</v>
      </c>
      <c r="FR257">
        <f t="shared" si="1211"/>
        <v>0</v>
      </c>
      <c r="FS257">
        <f t="shared" si="1212"/>
        <v>0</v>
      </c>
      <c r="FT257">
        <f t="shared" si="1213"/>
        <v>0</v>
      </c>
      <c r="FU257">
        <f t="shared" si="1214"/>
        <v>0</v>
      </c>
      <c r="FV257">
        <f t="shared" si="1215"/>
        <v>0</v>
      </c>
      <c r="FW257">
        <f t="shared" si="1216"/>
        <v>0</v>
      </c>
      <c r="FX257">
        <f t="shared" si="1414"/>
        <v>0</v>
      </c>
      <c r="FY257">
        <f t="shared" si="1235"/>
        <v>0</v>
      </c>
      <c r="FZ257">
        <f t="shared" si="1218"/>
        <v>0</v>
      </c>
      <c r="GA257">
        <f t="shared" si="1219"/>
        <v>0</v>
      </c>
      <c r="GB257">
        <f t="shared" si="1220"/>
        <v>0</v>
      </c>
      <c r="GC257">
        <f t="shared" si="1221"/>
        <v>0</v>
      </c>
    </row>
    <row r="258" spans="1:185" x14ac:dyDescent="0.2">
      <c r="A258" s="8" t="str">
        <f t="shared" si="1311"/>
        <v/>
      </c>
      <c r="B258" s="8">
        <f t="shared" si="1312"/>
        <v>0</v>
      </c>
      <c r="C258" s="8">
        <f t="shared" si="1313"/>
        <v>0</v>
      </c>
      <c r="D258" s="8">
        <f t="shared" si="1314"/>
        <v>0</v>
      </c>
      <c r="E258" s="8">
        <f t="shared" si="1486"/>
        <v>0</v>
      </c>
      <c r="F258" s="8">
        <f t="shared" si="1384"/>
        <v>0</v>
      </c>
      <c r="G258" s="8">
        <f t="shared" si="1427"/>
        <v>0</v>
      </c>
      <c r="H258" s="8">
        <f t="shared" si="1428"/>
        <v>0</v>
      </c>
      <c r="I258" s="8">
        <f t="shared" si="1429"/>
        <v>0</v>
      </c>
      <c r="J258" s="8">
        <f t="shared" si="1430"/>
        <v>0</v>
      </c>
      <c r="K258" s="8">
        <f t="shared" si="1431"/>
        <v>0</v>
      </c>
      <c r="L258">
        <f t="shared" si="1320"/>
        <v>0</v>
      </c>
      <c r="M258">
        <f t="shared" si="1321"/>
        <v>0</v>
      </c>
      <c r="N258">
        <f t="shared" si="1322"/>
        <v>0</v>
      </c>
      <c r="O258">
        <f t="shared" si="1323"/>
        <v>0</v>
      </c>
      <c r="P258">
        <f t="shared" si="1324"/>
        <v>0</v>
      </c>
      <c r="Q258">
        <f t="shared" si="1325"/>
        <v>0</v>
      </c>
      <c r="R258">
        <f t="shared" si="1326"/>
        <v>0</v>
      </c>
      <c r="S258" s="8">
        <f t="shared" si="1327"/>
        <v>0</v>
      </c>
      <c r="T258" s="8">
        <f t="shared" si="1328"/>
        <v>0</v>
      </c>
      <c r="U258" s="8">
        <f t="shared" si="1329"/>
        <v>0</v>
      </c>
      <c r="V258">
        <f>IF(V$230,LandEmiss!AF153,0)</f>
        <v>0</v>
      </c>
      <c r="W258">
        <f>IF(W$230,LandEmiss!AG153,0)</f>
        <v>0</v>
      </c>
      <c r="X258">
        <f>IF(X$230,LandEmiss!AH153,0)</f>
        <v>0</v>
      </c>
      <c r="Y258">
        <f>IF(Y$230,LandEmiss!AI153,0)</f>
        <v>0</v>
      </c>
      <c r="Z258">
        <f>IF(Z$230,LandEmiss!AJ153,0)</f>
        <v>0</v>
      </c>
      <c r="AA258">
        <f>IF(AA$230,LandEmiss!AK153,0)</f>
        <v>0</v>
      </c>
      <c r="AB258">
        <f>IF(AB$230,LandEmiss!AL153,0)</f>
        <v>0</v>
      </c>
      <c r="AC258">
        <f>IF(AC$230,LandEmiss!AM153,0)</f>
        <v>0</v>
      </c>
      <c r="AD258">
        <f>IF(AD$230,LandEmiss!AN153,0)</f>
        <v>0</v>
      </c>
      <c r="AE258">
        <f>IF(AE$230,LandEmiss!AO153,0)</f>
        <v>0</v>
      </c>
      <c r="AF258">
        <f t="shared" ref="AF258:AO258" si="1543">IF(AF$230,AF153,0)</f>
        <v>0</v>
      </c>
      <c r="AG258">
        <f t="shared" si="1543"/>
        <v>0</v>
      </c>
      <c r="AH258">
        <f t="shared" si="1543"/>
        <v>0</v>
      </c>
      <c r="AI258">
        <f t="shared" si="1543"/>
        <v>0</v>
      </c>
      <c r="AJ258">
        <f t="shared" si="1543"/>
        <v>0</v>
      </c>
      <c r="AK258">
        <f t="shared" si="1543"/>
        <v>0</v>
      </c>
      <c r="AL258">
        <f t="shared" si="1543"/>
        <v>0</v>
      </c>
      <c r="AM258">
        <f t="shared" si="1543"/>
        <v>0</v>
      </c>
      <c r="AN258">
        <f t="shared" si="1543"/>
        <v>0</v>
      </c>
      <c r="AO258">
        <f t="shared" si="1543"/>
        <v>0</v>
      </c>
      <c r="AP258">
        <f t="shared" si="1331"/>
        <v>0</v>
      </c>
      <c r="AQ258">
        <f t="shared" si="1332"/>
        <v>0</v>
      </c>
      <c r="AR258">
        <f t="shared" si="1333"/>
        <v>0</v>
      </c>
      <c r="AS258">
        <f t="shared" si="1334"/>
        <v>0</v>
      </c>
      <c r="AT258">
        <f t="shared" si="1335"/>
        <v>0</v>
      </c>
      <c r="AU258">
        <f t="shared" si="1336"/>
        <v>0</v>
      </c>
      <c r="AV258">
        <f t="shared" si="1337"/>
        <v>0</v>
      </c>
      <c r="AW258">
        <f t="shared" si="1338"/>
        <v>0</v>
      </c>
      <c r="AX258">
        <f t="shared" si="1339"/>
        <v>0</v>
      </c>
      <c r="AY258">
        <f t="shared" si="1340"/>
        <v>0</v>
      </c>
      <c r="AZ258">
        <f t="shared" si="1341"/>
        <v>0</v>
      </c>
      <c r="BA258">
        <f t="shared" si="1342"/>
        <v>0</v>
      </c>
      <c r="BB258">
        <f t="shared" si="1343"/>
        <v>0</v>
      </c>
      <c r="BC258">
        <f t="shared" si="1344"/>
        <v>0</v>
      </c>
      <c r="BD258">
        <f t="shared" si="1345"/>
        <v>0</v>
      </c>
      <c r="BE258">
        <f t="shared" si="1346"/>
        <v>0</v>
      </c>
      <c r="BF258">
        <f t="shared" si="1347"/>
        <v>0</v>
      </c>
      <c r="BG258">
        <f t="shared" si="1348"/>
        <v>0</v>
      </c>
      <c r="BH258">
        <f t="shared" si="1488"/>
        <v>0</v>
      </c>
      <c r="BI258">
        <f t="shared" si="1387"/>
        <v>0</v>
      </c>
      <c r="BJ258" s="8" t="str">
        <f>Hidden!$CC29</f>
        <v/>
      </c>
      <c r="BK258">
        <f t="shared" ref="BK258:BT258" si="1544">IF(BK$230,CP153,0)</f>
        <v>0</v>
      </c>
      <c r="BL258">
        <f t="shared" si="1544"/>
        <v>0</v>
      </c>
      <c r="BM258">
        <f t="shared" si="1544"/>
        <v>0</v>
      </c>
      <c r="BN258">
        <f t="shared" si="1544"/>
        <v>0</v>
      </c>
      <c r="BO258">
        <f t="shared" si="1544"/>
        <v>0</v>
      </c>
      <c r="BP258">
        <f t="shared" si="1544"/>
        <v>0</v>
      </c>
      <c r="BQ258">
        <f t="shared" si="1544"/>
        <v>0</v>
      </c>
      <c r="BR258">
        <f t="shared" si="1544"/>
        <v>0</v>
      </c>
      <c r="BS258">
        <f t="shared" si="1544"/>
        <v>0</v>
      </c>
      <c r="BT258">
        <f t="shared" si="1544"/>
        <v>0</v>
      </c>
      <c r="BU258">
        <f t="shared" ref="BU258:CD258" si="1545">IF(BU$230,CP153,0)</f>
        <v>0</v>
      </c>
      <c r="BV258">
        <f t="shared" si="1545"/>
        <v>0</v>
      </c>
      <c r="BW258">
        <f t="shared" si="1545"/>
        <v>0</v>
      </c>
      <c r="BX258">
        <f t="shared" si="1545"/>
        <v>0</v>
      </c>
      <c r="BY258">
        <f t="shared" si="1545"/>
        <v>0</v>
      </c>
      <c r="BZ258">
        <f t="shared" si="1545"/>
        <v>0</v>
      </c>
      <c r="CA258">
        <f t="shared" si="1545"/>
        <v>0</v>
      </c>
      <c r="CB258">
        <f t="shared" si="1545"/>
        <v>0</v>
      </c>
      <c r="CC258">
        <f t="shared" si="1545"/>
        <v>0</v>
      </c>
      <c r="CD258">
        <f t="shared" si="1545"/>
        <v>0</v>
      </c>
      <c r="CE258">
        <f t="shared" si="1352"/>
        <v>0</v>
      </c>
      <c r="CF258">
        <f t="shared" si="1353"/>
        <v>0</v>
      </c>
      <c r="CG258">
        <f t="shared" si="1354"/>
        <v>0</v>
      </c>
      <c r="CH258">
        <f t="shared" si="1355"/>
        <v>0</v>
      </c>
      <c r="CI258">
        <f t="shared" si="1356"/>
        <v>0</v>
      </c>
      <c r="CJ258">
        <f t="shared" si="1491"/>
        <v>0</v>
      </c>
      <c r="CK258">
        <f t="shared" si="1390"/>
        <v>0</v>
      </c>
      <c r="CL258">
        <f t="shared" si="1358"/>
        <v>0</v>
      </c>
      <c r="CM258">
        <f t="shared" si="1359"/>
        <v>0</v>
      </c>
      <c r="CN258">
        <f t="shared" si="1360"/>
        <v>0</v>
      </c>
      <c r="CO258">
        <f t="shared" ref="CO258:CX258" si="1546">IF(CO$230,CP153,0)</f>
        <v>0</v>
      </c>
      <c r="CP258">
        <f t="shared" si="1546"/>
        <v>0</v>
      </c>
      <c r="CQ258">
        <f t="shared" si="1546"/>
        <v>0</v>
      </c>
      <c r="CR258">
        <f t="shared" si="1546"/>
        <v>0</v>
      </c>
      <c r="CS258">
        <f t="shared" si="1546"/>
        <v>0</v>
      </c>
      <c r="CT258">
        <f t="shared" si="1546"/>
        <v>0</v>
      </c>
      <c r="CU258">
        <f t="shared" si="1546"/>
        <v>0</v>
      </c>
      <c r="CV258">
        <f t="shared" si="1546"/>
        <v>0</v>
      </c>
      <c r="CW258">
        <f t="shared" si="1546"/>
        <v>0</v>
      </c>
      <c r="CX258">
        <f t="shared" si="1546"/>
        <v>0</v>
      </c>
      <c r="CY258">
        <f t="shared" si="1362"/>
        <v>0</v>
      </c>
      <c r="CZ258">
        <f t="shared" si="1363"/>
        <v>0</v>
      </c>
      <c r="DA258">
        <f t="shared" si="1364"/>
        <v>0</v>
      </c>
      <c r="DB258">
        <f t="shared" si="1365"/>
        <v>0</v>
      </c>
      <c r="DC258">
        <f t="shared" si="1366"/>
        <v>0</v>
      </c>
      <c r="DD258">
        <f t="shared" si="1367"/>
        <v>0</v>
      </c>
      <c r="DE258">
        <f t="shared" si="1368"/>
        <v>0</v>
      </c>
      <c r="DF258">
        <f t="shared" si="1369"/>
        <v>0</v>
      </c>
      <c r="DG258">
        <f t="shared" si="1370"/>
        <v>0</v>
      </c>
      <c r="DH258">
        <f t="shared" si="1371"/>
        <v>0</v>
      </c>
      <c r="DI258">
        <f t="shared" si="1372"/>
        <v>0</v>
      </c>
      <c r="DJ258">
        <f t="shared" si="1373"/>
        <v>0</v>
      </c>
      <c r="DK258">
        <f t="shared" si="1374"/>
        <v>0</v>
      </c>
      <c r="DL258">
        <f t="shared" si="1375"/>
        <v>0</v>
      </c>
      <c r="DM258">
        <f t="shared" si="1376"/>
        <v>0</v>
      </c>
      <c r="DN258">
        <f t="shared" si="1377"/>
        <v>0</v>
      </c>
      <c r="DO258">
        <f t="shared" si="1378"/>
        <v>0</v>
      </c>
      <c r="DP258">
        <f t="shared" si="1379"/>
        <v>0</v>
      </c>
      <c r="DQ258">
        <f t="shared" si="1380"/>
        <v>0</v>
      </c>
      <c r="DR258">
        <f t="shared" si="1381"/>
        <v>0</v>
      </c>
      <c r="DT258" s="77"/>
      <c r="DU258" s="8" t="str">
        <f>Hidden!$CG41</f>
        <v/>
      </c>
      <c r="DV258">
        <f t="shared" si="1176"/>
        <v>0</v>
      </c>
      <c r="DW258">
        <f t="shared" si="1177"/>
        <v>0</v>
      </c>
      <c r="DX258">
        <f t="shared" si="1178"/>
        <v>0</v>
      </c>
      <c r="DY258">
        <f t="shared" si="1179"/>
        <v>0</v>
      </c>
      <c r="DZ258">
        <f t="shared" si="1180"/>
        <v>0</v>
      </c>
      <c r="EA258">
        <f t="shared" si="1181"/>
        <v>0</v>
      </c>
      <c r="EB258">
        <f t="shared" si="1182"/>
        <v>0</v>
      </c>
      <c r="EC258">
        <f t="shared" si="1183"/>
        <v>0</v>
      </c>
      <c r="ED258">
        <f t="shared" si="1184"/>
        <v>0</v>
      </c>
      <c r="EE258">
        <f t="shared" si="1185"/>
        <v>0</v>
      </c>
      <c r="EF258">
        <f t="shared" si="1186"/>
        <v>0</v>
      </c>
      <c r="EG258">
        <f t="shared" si="1187"/>
        <v>0</v>
      </c>
      <c r="EH258">
        <f t="shared" si="1188"/>
        <v>0</v>
      </c>
      <c r="EI258">
        <f t="shared" si="1189"/>
        <v>0</v>
      </c>
      <c r="EJ258">
        <f t="shared" si="1190"/>
        <v>0</v>
      </c>
      <c r="EK258">
        <f t="shared" si="1191"/>
        <v>0</v>
      </c>
      <c r="EL258">
        <f t="shared" si="1192"/>
        <v>0</v>
      </c>
      <c r="EM258">
        <f t="shared" si="1193"/>
        <v>0</v>
      </c>
      <c r="EN258">
        <f t="shared" si="1194"/>
        <v>0</v>
      </c>
      <c r="EO258">
        <f t="shared" si="1195"/>
        <v>0</v>
      </c>
      <c r="EP258">
        <f t="shared" si="1196"/>
        <v>0</v>
      </c>
      <c r="EQ258">
        <f t="shared" si="1197"/>
        <v>0</v>
      </c>
      <c r="ER258">
        <f t="shared" si="1517"/>
        <v>0</v>
      </c>
      <c r="ES258">
        <f t="shared" ref="ES258:ET258" si="1547">IF(ES$218,FC153,0)</f>
        <v>0</v>
      </c>
      <c r="ET258">
        <f t="shared" si="1547"/>
        <v>0</v>
      </c>
      <c r="EU258">
        <f t="shared" si="1199"/>
        <v>0</v>
      </c>
      <c r="EV258">
        <f t="shared" si="1411"/>
        <v>0</v>
      </c>
      <c r="EW258">
        <f t="shared" si="1232"/>
        <v>0</v>
      </c>
      <c r="EX258">
        <f t="shared" si="1201"/>
        <v>0</v>
      </c>
      <c r="EY258">
        <f t="shared" si="1202"/>
        <v>0</v>
      </c>
      <c r="EZ258">
        <f t="shared" ref="EZ258:FI258" si="1548">IF(EZ$218,EZ153,0)</f>
        <v>0</v>
      </c>
      <c r="FA258">
        <f t="shared" si="1548"/>
        <v>0</v>
      </c>
      <c r="FB258">
        <f t="shared" si="1548"/>
        <v>0</v>
      </c>
      <c r="FC258">
        <f t="shared" si="1548"/>
        <v>0</v>
      </c>
      <c r="FD258">
        <f t="shared" si="1548"/>
        <v>0</v>
      </c>
      <c r="FE258">
        <f t="shared" si="1548"/>
        <v>0</v>
      </c>
      <c r="FF258">
        <f t="shared" si="1548"/>
        <v>0</v>
      </c>
      <c r="FG258">
        <f t="shared" si="1548"/>
        <v>0</v>
      </c>
      <c r="FH258">
        <f t="shared" si="1548"/>
        <v>0</v>
      </c>
      <c r="FI258">
        <f t="shared" si="1548"/>
        <v>0</v>
      </c>
      <c r="FJ258">
        <f t="shared" si="1204"/>
        <v>0</v>
      </c>
      <c r="FK258">
        <f t="shared" si="1205"/>
        <v>0</v>
      </c>
      <c r="FL258">
        <f t="shared" si="1413"/>
        <v>0</v>
      </c>
      <c r="FM258">
        <f t="shared" si="1234"/>
        <v>0</v>
      </c>
      <c r="FN258">
        <f t="shared" si="1207"/>
        <v>0</v>
      </c>
      <c r="FO258">
        <f t="shared" si="1208"/>
        <v>0</v>
      </c>
      <c r="FP258">
        <f t="shared" si="1209"/>
        <v>0</v>
      </c>
      <c r="FQ258">
        <f t="shared" si="1210"/>
        <v>0</v>
      </c>
      <c r="FR258">
        <f t="shared" si="1211"/>
        <v>0</v>
      </c>
      <c r="FS258">
        <f t="shared" si="1212"/>
        <v>0</v>
      </c>
      <c r="FT258">
        <f t="shared" si="1213"/>
        <v>0</v>
      </c>
      <c r="FU258">
        <f t="shared" si="1214"/>
        <v>0</v>
      </c>
      <c r="FV258">
        <f t="shared" si="1215"/>
        <v>0</v>
      </c>
      <c r="FW258">
        <f t="shared" si="1216"/>
        <v>0</v>
      </c>
      <c r="FX258">
        <f t="shared" si="1414"/>
        <v>0</v>
      </c>
      <c r="FY258">
        <f t="shared" si="1235"/>
        <v>0</v>
      </c>
      <c r="FZ258">
        <f t="shared" si="1218"/>
        <v>0</v>
      </c>
      <c r="GA258">
        <f t="shared" si="1219"/>
        <v>0</v>
      </c>
      <c r="GB258">
        <f t="shared" si="1220"/>
        <v>0</v>
      </c>
      <c r="GC258">
        <f t="shared" si="1221"/>
        <v>0</v>
      </c>
    </row>
    <row r="259" spans="1:185" x14ac:dyDescent="0.2">
      <c r="A259" s="8" t="str">
        <f t="shared" si="1311"/>
        <v/>
      </c>
      <c r="B259" s="8">
        <f t="shared" si="1312"/>
        <v>0</v>
      </c>
      <c r="C259" s="8">
        <f t="shared" si="1313"/>
        <v>0</v>
      </c>
      <c r="D259" s="8">
        <f t="shared" si="1314"/>
        <v>0</v>
      </c>
      <c r="E259" s="8">
        <f t="shared" si="1486"/>
        <v>0</v>
      </c>
      <c r="F259" s="8">
        <f t="shared" si="1384"/>
        <v>0</v>
      </c>
      <c r="G259" s="8">
        <f t="shared" si="1427"/>
        <v>0</v>
      </c>
      <c r="H259" s="8">
        <f t="shared" si="1428"/>
        <v>0</v>
      </c>
      <c r="I259" s="8">
        <f t="shared" si="1429"/>
        <v>0</v>
      </c>
      <c r="J259" s="8">
        <f t="shared" si="1430"/>
        <v>0</v>
      </c>
      <c r="K259" s="8">
        <f t="shared" si="1431"/>
        <v>0</v>
      </c>
      <c r="L259">
        <f t="shared" si="1320"/>
        <v>0</v>
      </c>
      <c r="M259">
        <f t="shared" si="1321"/>
        <v>0</v>
      </c>
      <c r="N259">
        <f t="shared" si="1322"/>
        <v>0</v>
      </c>
      <c r="O259">
        <f t="shared" si="1323"/>
        <v>0</v>
      </c>
      <c r="P259">
        <f t="shared" si="1324"/>
        <v>0</v>
      </c>
      <c r="Q259">
        <f t="shared" si="1325"/>
        <v>0</v>
      </c>
      <c r="R259">
        <f t="shared" si="1326"/>
        <v>0</v>
      </c>
      <c r="S259" s="8">
        <f t="shared" si="1327"/>
        <v>0</v>
      </c>
      <c r="T259" s="8">
        <f t="shared" si="1328"/>
        <v>0</v>
      </c>
      <c r="U259" s="8">
        <f t="shared" si="1329"/>
        <v>0</v>
      </c>
      <c r="V259">
        <f>IF(V$230,LandEmiss!AF154,0)</f>
        <v>0</v>
      </c>
      <c r="W259">
        <f>IF(W$230,LandEmiss!AG154,0)</f>
        <v>0</v>
      </c>
      <c r="X259">
        <f>IF(X$230,LandEmiss!AH154,0)</f>
        <v>0</v>
      </c>
      <c r="Y259">
        <f>IF(Y$230,LandEmiss!AI154,0)</f>
        <v>0</v>
      </c>
      <c r="Z259">
        <f>IF(Z$230,LandEmiss!AJ154,0)</f>
        <v>0</v>
      </c>
      <c r="AA259">
        <f>IF(AA$230,LandEmiss!AK154,0)</f>
        <v>0</v>
      </c>
      <c r="AB259">
        <f>IF(AB$230,LandEmiss!AL154,0)</f>
        <v>0</v>
      </c>
      <c r="AC259">
        <f>IF(AC$230,LandEmiss!AM154,0)</f>
        <v>0</v>
      </c>
      <c r="AD259">
        <f>IF(AD$230,LandEmiss!AN154,0)</f>
        <v>0</v>
      </c>
      <c r="AE259">
        <f>IF(AE$230,LandEmiss!AO154,0)</f>
        <v>0</v>
      </c>
      <c r="AF259">
        <f t="shared" ref="AF259:AO259" si="1549">IF(AF$230,AF154,0)</f>
        <v>0</v>
      </c>
      <c r="AG259">
        <f t="shared" si="1549"/>
        <v>0</v>
      </c>
      <c r="AH259">
        <f t="shared" si="1549"/>
        <v>0</v>
      </c>
      <c r="AI259">
        <f t="shared" si="1549"/>
        <v>0</v>
      </c>
      <c r="AJ259">
        <f t="shared" si="1549"/>
        <v>0</v>
      </c>
      <c r="AK259">
        <f t="shared" si="1549"/>
        <v>0</v>
      </c>
      <c r="AL259">
        <f t="shared" si="1549"/>
        <v>0</v>
      </c>
      <c r="AM259">
        <f t="shared" si="1549"/>
        <v>0</v>
      </c>
      <c r="AN259">
        <f t="shared" si="1549"/>
        <v>0</v>
      </c>
      <c r="AO259">
        <f t="shared" si="1549"/>
        <v>0</v>
      </c>
      <c r="AP259">
        <f t="shared" si="1331"/>
        <v>0</v>
      </c>
      <c r="AQ259">
        <f t="shared" si="1332"/>
        <v>0</v>
      </c>
      <c r="AR259">
        <f t="shared" si="1333"/>
        <v>0</v>
      </c>
      <c r="AS259">
        <f t="shared" si="1334"/>
        <v>0</v>
      </c>
      <c r="AT259">
        <f t="shared" si="1335"/>
        <v>0</v>
      </c>
      <c r="AU259">
        <f t="shared" si="1336"/>
        <v>0</v>
      </c>
      <c r="AV259">
        <f t="shared" si="1337"/>
        <v>0</v>
      </c>
      <c r="AW259">
        <f t="shared" si="1338"/>
        <v>0</v>
      </c>
      <c r="AX259">
        <f t="shared" si="1339"/>
        <v>0</v>
      </c>
      <c r="AY259">
        <f t="shared" si="1340"/>
        <v>0</v>
      </c>
      <c r="AZ259">
        <f t="shared" si="1341"/>
        <v>0</v>
      </c>
      <c r="BA259">
        <f t="shared" si="1342"/>
        <v>0</v>
      </c>
      <c r="BB259">
        <f t="shared" si="1343"/>
        <v>0</v>
      </c>
      <c r="BC259">
        <f t="shared" si="1344"/>
        <v>0</v>
      </c>
      <c r="BD259">
        <f t="shared" si="1345"/>
        <v>0</v>
      </c>
      <c r="BE259">
        <f t="shared" si="1346"/>
        <v>0</v>
      </c>
      <c r="BF259">
        <f t="shared" si="1347"/>
        <v>0</v>
      </c>
      <c r="BG259">
        <f t="shared" si="1348"/>
        <v>0</v>
      </c>
      <c r="BH259">
        <f t="shared" si="1488"/>
        <v>0</v>
      </c>
      <c r="BI259">
        <f t="shared" si="1387"/>
        <v>0</v>
      </c>
      <c r="BJ259" s="8" t="str">
        <f>Hidden!$CC30</f>
        <v/>
      </c>
      <c r="BK259">
        <f t="shared" ref="BK259:BT259" si="1550">IF(BK$230,CP154,0)</f>
        <v>0</v>
      </c>
      <c r="BL259">
        <f t="shared" si="1550"/>
        <v>0</v>
      </c>
      <c r="BM259">
        <f t="shared" si="1550"/>
        <v>0</v>
      </c>
      <c r="BN259">
        <f t="shared" si="1550"/>
        <v>0</v>
      </c>
      <c r="BO259">
        <f t="shared" si="1550"/>
        <v>0</v>
      </c>
      <c r="BP259">
        <f t="shared" si="1550"/>
        <v>0</v>
      </c>
      <c r="BQ259">
        <f t="shared" si="1550"/>
        <v>0</v>
      </c>
      <c r="BR259">
        <f t="shared" si="1550"/>
        <v>0</v>
      </c>
      <c r="BS259">
        <f t="shared" si="1550"/>
        <v>0</v>
      </c>
      <c r="BT259">
        <f t="shared" si="1550"/>
        <v>0</v>
      </c>
      <c r="BU259">
        <f t="shared" ref="BU259:CD259" si="1551">IF(BU$230,CP154,0)</f>
        <v>0</v>
      </c>
      <c r="BV259">
        <f t="shared" si="1551"/>
        <v>0</v>
      </c>
      <c r="BW259">
        <f t="shared" si="1551"/>
        <v>0</v>
      </c>
      <c r="BX259">
        <f t="shared" si="1551"/>
        <v>0</v>
      </c>
      <c r="BY259">
        <f t="shared" si="1551"/>
        <v>0</v>
      </c>
      <c r="BZ259">
        <f t="shared" si="1551"/>
        <v>0</v>
      </c>
      <c r="CA259">
        <f t="shared" si="1551"/>
        <v>0</v>
      </c>
      <c r="CB259">
        <f t="shared" si="1551"/>
        <v>0</v>
      </c>
      <c r="CC259">
        <f t="shared" si="1551"/>
        <v>0</v>
      </c>
      <c r="CD259">
        <f t="shared" si="1551"/>
        <v>0</v>
      </c>
      <c r="CE259">
        <f t="shared" si="1352"/>
        <v>0</v>
      </c>
      <c r="CF259">
        <f t="shared" si="1353"/>
        <v>0</v>
      </c>
      <c r="CG259">
        <f t="shared" si="1354"/>
        <v>0</v>
      </c>
      <c r="CH259">
        <f t="shared" si="1355"/>
        <v>0</v>
      </c>
      <c r="CI259">
        <f t="shared" si="1356"/>
        <v>0</v>
      </c>
      <c r="CJ259">
        <f t="shared" si="1491"/>
        <v>0</v>
      </c>
      <c r="CK259">
        <f t="shared" si="1390"/>
        <v>0</v>
      </c>
      <c r="CL259">
        <f t="shared" si="1358"/>
        <v>0</v>
      </c>
      <c r="CM259">
        <f t="shared" si="1359"/>
        <v>0</v>
      </c>
      <c r="CN259">
        <f t="shared" si="1360"/>
        <v>0</v>
      </c>
      <c r="CO259">
        <f t="shared" ref="CO259:CX259" si="1552">IF(CO$230,CP154,0)</f>
        <v>0</v>
      </c>
      <c r="CP259">
        <f t="shared" si="1552"/>
        <v>0</v>
      </c>
      <c r="CQ259">
        <f t="shared" si="1552"/>
        <v>0</v>
      </c>
      <c r="CR259">
        <f t="shared" si="1552"/>
        <v>0</v>
      </c>
      <c r="CS259">
        <f t="shared" si="1552"/>
        <v>0</v>
      </c>
      <c r="CT259">
        <f t="shared" si="1552"/>
        <v>0</v>
      </c>
      <c r="CU259">
        <f t="shared" si="1552"/>
        <v>0</v>
      </c>
      <c r="CV259">
        <f t="shared" si="1552"/>
        <v>0</v>
      </c>
      <c r="CW259">
        <f t="shared" si="1552"/>
        <v>0</v>
      </c>
      <c r="CX259">
        <f t="shared" si="1552"/>
        <v>0</v>
      </c>
      <c r="CY259">
        <f t="shared" si="1362"/>
        <v>0</v>
      </c>
      <c r="CZ259">
        <f t="shared" si="1363"/>
        <v>0</v>
      </c>
      <c r="DA259">
        <f t="shared" si="1364"/>
        <v>0</v>
      </c>
      <c r="DB259">
        <f t="shared" si="1365"/>
        <v>0</v>
      </c>
      <c r="DC259">
        <f t="shared" si="1366"/>
        <v>0</v>
      </c>
      <c r="DD259">
        <f t="shared" si="1367"/>
        <v>0</v>
      </c>
      <c r="DE259">
        <f t="shared" si="1368"/>
        <v>0</v>
      </c>
      <c r="DF259">
        <f t="shared" si="1369"/>
        <v>0</v>
      </c>
      <c r="DG259">
        <f t="shared" si="1370"/>
        <v>0</v>
      </c>
      <c r="DH259">
        <f t="shared" si="1371"/>
        <v>0</v>
      </c>
      <c r="DI259">
        <f t="shared" si="1372"/>
        <v>0</v>
      </c>
      <c r="DJ259">
        <f t="shared" si="1373"/>
        <v>0</v>
      </c>
      <c r="DK259">
        <f t="shared" si="1374"/>
        <v>0</v>
      </c>
      <c r="DL259">
        <f t="shared" si="1375"/>
        <v>0</v>
      </c>
      <c r="DM259">
        <f t="shared" si="1376"/>
        <v>0</v>
      </c>
      <c r="DN259">
        <f t="shared" si="1377"/>
        <v>0</v>
      </c>
      <c r="DO259">
        <f t="shared" si="1378"/>
        <v>0</v>
      </c>
      <c r="DP259">
        <f t="shared" si="1379"/>
        <v>0</v>
      </c>
      <c r="DQ259">
        <f t="shared" si="1380"/>
        <v>0</v>
      </c>
      <c r="DR259">
        <f t="shared" si="1381"/>
        <v>0</v>
      </c>
      <c r="DT259" s="77"/>
      <c r="DU259" s="8" t="str">
        <f>Hidden!$CG42</f>
        <v/>
      </c>
      <c r="DV259">
        <f t="shared" si="1176"/>
        <v>0</v>
      </c>
      <c r="DW259">
        <f t="shared" si="1177"/>
        <v>0</v>
      </c>
      <c r="DX259">
        <f t="shared" si="1178"/>
        <v>0</v>
      </c>
      <c r="DY259">
        <f t="shared" si="1179"/>
        <v>0</v>
      </c>
      <c r="DZ259">
        <f t="shared" si="1180"/>
        <v>0</v>
      </c>
      <c r="EA259">
        <f t="shared" si="1181"/>
        <v>0</v>
      </c>
      <c r="EB259">
        <f t="shared" si="1182"/>
        <v>0</v>
      </c>
      <c r="EC259">
        <f t="shared" si="1183"/>
        <v>0</v>
      </c>
      <c r="ED259">
        <f t="shared" si="1184"/>
        <v>0</v>
      </c>
      <c r="EE259">
        <f t="shared" si="1185"/>
        <v>0</v>
      </c>
      <c r="EF259">
        <f t="shared" si="1186"/>
        <v>0</v>
      </c>
      <c r="EG259">
        <f t="shared" si="1187"/>
        <v>0</v>
      </c>
      <c r="EH259">
        <f t="shared" si="1188"/>
        <v>0</v>
      </c>
      <c r="EI259">
        <f t="shared" si="1189"/>
        <v>0</v>
      </c>
      <c r="EJ259">
        <f t="shared" si="1190"/>
        <v>0</v>
      </c>
      <c r="EK259">
        <f t="shared" si="1191"/>
        <v>0</v>
      </c>
      <c r="EL259">
        <f t="shared" si="1192"/>
        <v>0</v>
      </c>
      <c r="EM259">
        <f t="shared" si="1193"/>
        <v>0</v>
      </c>
      <c r="EN259">
        <f t="shared" si="1194"/>
        <v>0</v>
      </c>
      <c r="EO259">
        <f t="shared" si="1195"/>
        <v>0</v>
      </c>
      <c r="EP259">
        <f t="shared" si="1196"/>
        <v>0</v>
      </c>
      <c r="EQ259">
        <f t="shared" si="1197"/>
        <v>0</v>
      </c>
      <c r="ER259">
        <f t="shared" si="1517"/>
        <v>0</v>
      </c>
      <c r="ES259">
        <f t="shared" ref="ES259:ET259" si="1553">IF(ES$218,FC154,0)</f>
        <v>0</v>
      </c>
      <c r="ET259">
        <f t="shared" si="1553"/>
        <v>0</v>
      </c>
      <c r="EU259">
        <f t="shared" si="1199"/>
        <v>0</v>
      </c>
      <c r="EV259">
        <f t="shared" si="1411"/>
        <v>0</v>
      </c>
      <c r="EW259">
        <f t="shared" si="1232"/>
        <v>0</v>
      </c>
      <c r="EX259">
        <f t="shared" si="1201"/>
        <v>0</v>
      </c>
      <c r="EY259">
        <f t="shared" si="1202"/>
        <v>0</v>
      </c>
      <c r="EZ259">
        <f t="shared" ref="EZ259:FI259" si="1554">IF(EZ$218,EZ154,0)</f>
        <v>0</v>
      </c>
      <c r="FA259">
        <f t="shared" si="1554"/>
        <v>0</v>
      </c>
      <c r="FB259">
        <f t="shared" si="1554"/>
        <v>0</v>
      </c>
      <c r="FC259">
        <f t="shared" si="1554"/>
        <v>0</v>
      </c>
      <c r="FD259">
        <f t="shared" si="1554"/>
        <v>0</v>
      </c>
      <c r="FE259">
        <f t="shared" si="1554"/>
        <v>0</v>
      </c>
      <c r="FF259">
        <f t="shared" si="1554"/>
        <v>0</v>
      </c>
      <c r="FG259">
        <f t="shared" si="1554"/>
        <v>0</v>
      </c>
      <c r="FH259">
        <f t="shared" si="1554"/>
        <v>0</v>
      </c>
      <c r="FI259">
        <f t="shared" si="1554"/>
        <v>0</v>
      </c>
      <c r="FJ259">
        <f t="shared" si="1204"/>
        <v>0</v>
      </c>
      <c r="FK259">
        <f t="shared" si="1205"/>
        <v>0</v>
      </c>
      <c r="FL259">
        <f t="shared" si="1413"/>
        <v>0</v>
      </c>
      <c r="FM259">
        <f t="shared" si="1234"/>
        <v>0</v>
      </c>
      <c r="FN259">
        <f t="shared" si="1207"/>
        <v>0</v>
      </c>
      <c r="FO259">
        <f t="shared" si="1208"/>
        <v>0</v>
      </c>
      <c r="FP259">
        <f t="shared" si="1209"/>
        <v>0</v>
      </c>
      <c r="FQ259">
        <f t="shared" si="1210"/>
        <v>0</v>
      </c>
      <c r="FR259">
        <f t="shared" si="1211"/>
        <v>0</v>
      </c>
      <c r="FS259">
        <f t="shared" si="1212"/>
        <v>0</v>
      </c>
      <c r="FT259">
        <f t="shared" si="1213"/>
        <v>0</v>
      </c>
      <c r="FU259">
        <f t="shared" si="1214"/>
        <v>0</v>
      </c>
      <c r="FV259">
        <f t="shared" si="1215"/>
        <v>0</v>
      </c>
      <c r="FW259">
        <f t="shared" si="1216"/>
        <v>0</v>
      </c>
      <c r="FX259">
        <f t="shared" si="1414"/>
        <v>0</v>
      </c>
      <c r="FY259">
        <f t="shared" si="1235"/>
        <v>0</v>
      </c>
      <c r="FZ259">
        <f t="shared" si="1218"/>
        <v>0</v>
      </c>
      <c r="GA259">
        <f t="shared" si="1219"/>
        <v>0</v>
      </c>
      <c r="GB259">
        <f t="shared" si="1220"/>
        <v>0</v>
      </c>
      <c r="GC259">
        <f t="shared" si="1221"/>
        <v>0</v>
      </c>
    </row>
    <row r="260" spans="1:185" x14ac:dyDescent="0.2">
      <c r="A260" s="8" t="str">
        <f t="shared" si="1311"/>
        <v/>
      </c>
      <c r="B260" s="8">
        <f t="shared" si="1312"/>
        <v>0</v>
      </c>
      <c r="C260" s="8">
        <f t="shared" si="1313"/>
        <v>0</v>
      </c>
      <c r="D260" s="8">
        <f t="shared" si="1314"/>
        <v>0</v>
      </c>
      <c r="E260" s="8">
        <f t="shared" si="1486"/>
        <v>0</v>
      </c>
      <c r="F260" s="8">
        <f t="shared" si="1384"/>
        <v>0</v>
      </c>
      <c r="G260" s="8">
        <f t="shared" si="1427"/>
        <v>0</v>
      </c>
      <c r="H260" s="8">
        <f t="shared" si="1428"/>
        <v>0</v>
      </c>
      <c r="I260" s="8">
        <f t="shared" si="1429"/>
        <v>0</v>
      </c>
      <c r="J260" s="8">
        <f t="shared" si="1430"/>
        <v>0</v>
      </c>
      <c r="K260" s="8">
        <f t="shared" si="1431"/>
        <v>0</v>
      </c>
      <c r="L260">
        <f t="shared" si="1320"/>
        <v>0</v>
      </c>
      <c r="M260">
        <f t="shared" si="1321"/>
        <v>0</v>
      </c>
      <c r="N260">
        <f t="shared" si="1322"/>
        <v>0</v>
      </c>
      <c r="O260">
        <f t="shared" si="1323"/>
        <v>0</v>
      </c>
      <c r="P260">
        <f t="shared" si="1324"/>
        <v>0</v>
      </c>
      <c r="Q260">
        <f t="shared" si="1325"/>
        <v>0</v>
      </c>
      <c r="R260">
        <f t="shared" si="1326"/>
        <v>0</v>
      </c>
      <c r="S260">
        <f t="shared" si="1327"/>
        <v>0</v>
      </c>
      <c r="T260">
        <f t="shared" si="1328"/>
        <v>0</v>
      </c>
      <c r="U260">
        <f t="shared" si="1329"/>
        <v>0</v>
      </c>
      <c r="V260">
        <f>IF(V$230,LandEmiss!AF155,0)</f>
        <v>0</v>
      </c>
      <c r="W260">
        <f>IF(W$230,LandEmiss!AG155,0)</f>
        <v>0</v>
      </c>
      <c r="X260">
        <f>IF(X$230,LandEmiss!AH155,0)</f>
        <v>0</v>
      </c>
      <c r="Y260">
        <f>IF(Y$230,LandEmiss!AI155,0)</f>
        <v>0</v>
      </c>
      <c r="Z260">
        <f>IF(Z$230,LandEmiss!AJ155,0)</f>
        <v>0</v>
      </c>
      <c r="AA260">
        <f>IF(AA$230,LandEmiss!AK155,0)</f>
        <v>0</v>
      </c>
      <c r="AB260">
        <f>IF(AB$230,LandEmiss!AL155,0)</f>
        <v>0</v>
      </c>
      <c r="AC260">
        <f>IF(AC$230,LandEmiss!AM155,0)</f>
        <v>0</v>
      </c>
      <c r="AD260">
        <f>IF(AD$230,LandEmiss!AN155,0)</f>
        <v>0</v>
      </c>
      <c r="AE260">
        <f>IF(AE$230,LandEmiss!AO155,0)</f>
        <v>0</v>
      </c>
      <c r="AF260">
        <f t="shared" ref="AF260:AO260" si="1555">IF(AF$230,AF155,0)</f>
        <v>0</v>
      </c>
      <c r="AG260">
        <f t="shared" si="1555"/>
        <v>0</v>
      </c>
      <c r="AH260">
        <f t="shared" si="1555"/>
        <v>0</v>
      </c>
      <c r="AI260">
        <f t="shared" si="1555"/>
        <v>0</v>
      </c>
      <c r="AJ260">
        <f t="shared" si="1555"/>
        <v>0</v>
      </c>
      <c r="AK260">
        <f t="shared" si="1555"/>
        <v>0</v>
      </c>
      <c r="AL260">
        <f t="shared" si="1555"/>
        <v>0</v>
      </c>
      <c r="AM260">
        <f t="shared" si="1555"/>
        <v>0</v>
      </c>
      <c r="AN260">
        <f t="shared" si="1555"/>
        <v>0</v>
      </c>
      <c r="AO260">
        <f t="shared" si="1555"/>
        <v>0</v>
      </c>
      <c r="AP260">
        <f t="shared" si="1331"/>
        <v>0</v>
      </c>
      <c r="AQ260">
        <f t="shared" si="1332"/>
        <v>0</v>
      </c>
      <c r="AR260">
        <f t="shared" si="1333"/>
        <v>0</v>
      </c>
      <c r="AS260">
        <f t="shared" si="1334"/>
        <v>0</v>
      </c>
      <c r="AT260">
        <f t="shared" si="1335"/>
        <v>0</v>
      </c>
      <c r="AU260">
        <f t="shared" si="1336"/>
        <v>0</v>
      </c>
      <c r="AV260">
        <f t="shared" si="1337"/>
        <v>0</v>
      </c>
      <c r="AW260">
        <f t="shared" si="1338"/>
        <v>0</v>
      </c>
      <c r="AX260">
        <f t="shared" si="1339"/>
        <v>0</v>
      </c>
      <c r="AY260">
        <f t="shared" si="1340"/>
        <v>0</v>
      </c>
      <c r="AZ260">
        <f t="shared" si="1341"/>
        <v>0</v>
      </c>
      <c r="BA260">
        <f t="shared" si="1342"/>
        <v>0</v>
      </c>
      <c r="BB260">
        <f t="shared" si="1343"/>
        <v>0</v>
      </c>
      <c r="BC260">
        <f t="shared" si="1344"/>
        <v>0</v>
      </c>
      <c r="BD260">
        <f t="shared" si="1345"/>
        <v>0</v>
      </c>
      <c r="BE260">
        <f t="shared" si="1346"/>
        <v>0</v>
      </c>
      <c r="BF260">
        <f t="shared" si="1347"/>
        <v>0</v>
      </c>
      <c r="BG260">
        <f t="shared" si="1348"/>
        <v>0</v>
      </c>
      <c r="BH260">
        <f t="shared" si="1488"/>
        <v>0</v>
      </c>
      <c r="BI260">
        <f t="shared" si="1387"/>
        <v>0</v>
      </c>
      <c r="BJ260" s="8" t="str">
        <f>Hidden!$CC31</f>
        <v/>
      </c>
      <c r="BK260">
        <f t="shared" ref="BK260:BT260" si="1556">IF(BK$230,CP155,0)</f>
        <v>0</v>
      </c>
      <c r="BL260">
        <f t="shared" si="1556"/>
        <v>0</v>
      </c>
      <c r="BM260">
        <f t="shared" si="1556"/>
        <v>0</v>
      </c>
      <c r="BN260">
        <f t="shared" si="1556"/>
        <v>0</v>
      </c>
      <c r="BO260">
        <f t="shared" si="1556"/>
        <v>0</v>
      </c>
      <c r="BP260">
        <f t="shared" si="1556"/>
        <v>0</v>
      </c>
      <c r="BQ260">
        <f t="shared" si="1556"/>
        <v>0</v>
      </c>
      <c r="BR260">
        <f t="shared" si="1556"/>
        <v>0</v>
      </c>
      <c r="BS260">
        <f t="shared" si="1556"/>
        <v>0</v>
      </c>
      <c r="BT260">
        <f t="shared" si="1556"/>
        <v>0</v>
      </c>
      <c r="BU260">
        <f t="shared" ref="BU260:CD260" si="1557">IF(BU$230,CP155,0)</f>
        <v>0</v>
      </c>
      <c r="BV260">
        <f t="shared" si="1557"/>
        <v>0</v>
      </c>
      <c r="BW260">
        <f t="shared" si="1557"/>
        <v>0</v>
      </c>
      <c r="BX260">
        <f t="shared" si="1557"/>
        <v>0</v>
      </c>
      <c r="BY260">
        <f t="shared" si="1557"/>
        <v>0</v>
      </c>
      <c r="BZ260">
        <f t="shared" si="1557"/>
        <v>0</v>
      </c>
      <c r="CA260">
        <f t="shared" si="1557"/>
        <v>0</v>
      </c>
      <c r="CB260">
        <f t="shared" si="1557"/>
        <v>0</v>
      </c>
      <c r="CC260">
        <f t="shared" si="1557"/>
        <v>0</v>
      </c>
      <c r="CD260">
        <f t="shared" si="1557"/>
        <v>0</v>
      </c>
      <c r="CE260">
        <f t="shared" si="1352"/>
        <v>0</v>
      </c>
      <c r="CF260">
        <f t="shared" si="1353"/>
        <v>0</v>
      </c>
      <c r="CG260">
        <f t="shared" si="1354"/>
        <v>0</v>
      </c>
      <c r="CH260">
        <f t="shared" si="1355"/>
        <v>0</v>
      </c>
      <c r="CI260">
        <f t="shared" si="1356"/>
        <v>0</v>
      </c>
      <c r="CJ260">
        <f t="shared" si="1491"/>
        <v>0</v>
      </c>
      <c r="CK260">
        <f t="shared" si="1390"/>
        <v>0</v>
      </c>
      <c r="CL260">
        <f t="shared" si="1358"/>
        <v>0</v>
      </c>
      <c r="CM260">
        <f t="shared" si="1359"/>
        <v>0</v>
      </c>
      <c r="CN260">
        <f t="shared" si="1360"/>
        <v>0</v>
      </c>
      <c r="CO260">
        <f t="shared" ref="CO260:CX260" si="1558">IF(CO$230,CP155,0)</f>
        <v>0</v>
      </c>
      <c r="CP260">
        <f t="shared" si="1558"/>
        <v>0</v>
      </c>
      <c r="CQ260">
        <f t="shared" si="1558"/>
        <v>0</v>
      </c>
      <c r="CR260">
        <f t="shared" si="1558"/>
        <v>0</v>
      </c>
      <c r="CS260">
        <f t="shared" si="1558"/>
        <v>0</v>
      </c>
      <c r="CT260">
        <f t="shared" si="1558"/>
        <v>0</v>
      </c>
      <c r="CU260">
        <f t="shared" si="1558"/>
        <v>0</v>
      </c>
      <c r="CV260">
        <f t="shared" si="1558"/>
        <v>0</v>
      </c>
      <c r="CW260">
        <f t="shared" si="1558"/>
        <v>0</v>
      </c>
      <c r="CX260">
        <f t="shared" si="1558"/>
        <v>0</v>
      </c>
      <c r="CY260">
        <f t="shared" si="1362"/>
        <v>0</v>
      </c>
      <c r="CZ260">
        <f t="shared" si="1363"/>
        <v>0</v>
      </c>
      <c r="DA260">
        <f t="shared" si="1364"/>
        <v>0</v>
      </c>
      <c r="DB260">
        <f t="shared" si="1365"/>
        <v>0</v>
      </c>
      <c r="DC260">
        <f t="shared" si="1366"/>
        <v>0</v>
      </c>
      <c r="DD260">
        <f t="shared" si="1367"/>
        <v>0</v>
      </c>
      <c r="DE260">
        <f t="shared" si="1368"/>
        <v>0</v>
      </c>
      <c r="DF260">
        <f t="shared" si="1369"/>
        <v>0</v>
      </c>
      <c r="DG260">
        <f t="shared" si="1370"/>
        <v>0</v>
      </c>
      <c r="DH260">
        <f t="shared" si="1371"/>
        <v>0</v>
      </c>
      <c r="DI260">
        <f t="shared" si="1372"/>
        <v>0</v>
      </c>
      <c r="DJ260">
        <f t="shared" si="1373"/>
        <v>0</v>
      </c>
      <c r="DK260">
        <f t="shared" si="1374"/>
        <v>0</v>
      </c>
      <c r="DL260">
        <f t="shared" si="1375"/>
        <v>0</v>
      </c>
      <c r="DM260">
        <f t="shared" si="1376"/>
        <v>0</v>
      </c>
      <c r="DN260">
        <f t="shared" si="1377"/>
        <v>0</v>
      </c>
      <c r="DO260">
        <f t="shared" si="1378"/>
        <v>0</v>
      </c>
      <c r="DP260">
        <f t="shared" si="1379"/>
        <v>0</v>
      </c>
      <c r="DQ260">
        <f t="shared" si="1380"/>
        <v>0</v>
      </c>
      <c r="DR260">
        <f t="shared" si="1381"/>
        <v>0</v>
      </c>
      <c r="DT260" s="77"/>
      <c r="DU260" s="8" t="str">
        <f>Hidden!$CG43</f>
        <v/>
      </c>
      <c r="DV260">
        <f t="shared" si="1176"/>
        <v>0</v>
      </c>
      <c r="DW260">
        <f t="shared" si="1177"/>
        <v>0</v>
      </c>
      <c r="DX260">
        <f t="shared" si="1178"/>
        <v>0</v>
      </c>
      <c r="DY260">
        <f t="shared" si="1179"/>
        <v>0</v>
      </c>
      <c r="DZ260">
        <f t="shared" si="1180"/>
        <v>0</v>
      </c>
      <c r="EA260">
        <f t="shared" si="1181"/>
        <v>0</v>
      </c>
      <c r="EB260">
        <f t="shared" si="1182"/>
        <v>0</v>
      </c>
      <c r="EC260">
        <f t="shared" si="1183"/>
        <v>0</v>
      </c>
      <c r="ED260">
        <f t="shared" si="1184"/>
        <v>0</v>
      </c>
      <c r="EE260">
        <f t="shared" si="1185"/>
        <v>0</v>
      </c>
      <c r="EF260">
        <f t="shared" si="1186"/>
        <v>0</v>
      </c>
      <c r="EG260">
        <f t="shared" si="1187"/>
        <v>0</v>
      </c>
      <c r="EH260">
        <f t="shared" si="1188"/>
        <v>0</v>
      </c>
      <c r="EI260">
        <f t="shared" si="1189"/>
        <v>0</v>
      </c>
      <c r="EJ260">
        <f t="shared" si="1190"/>
        <v>0</v>
      </c>
      <c r="EK260">
        <f t="shared" si="1191"/>
        <v>0</v>
      </c>
      <c r="EL260">
        <f t="shared" si="1192"/>
        <v>0</v>
      </c>
      <c r="EM260">
        <f t="shared" si="1193"/>
        <v>0</v>
      </c>
      <c r="EN260">
        <f t="shared" si="1194"/>
        <v>0</v>
      </c>
      <c r="EO260">
        <f t="shared" si="1195"/>
        <v>0</v>
      </c>
      <c r="EP260">
        <f t="shared" si="1196"/>
        <v>0</v>
      </c>
      <c r="EQ260">
        <f t="shared" si="1197"/>
        <v>0</v>
      </c>
      <c r="ER260">
        <f t="shared" si="1517"/>
        <v>0</v>
      </c>
      <c r="ES260">
        <f t="shared" ref="ES260:ET260" si="1559">IF(ES$218,FC155,0)</f>
        <v>0</v>
      </c>
      <c r="ET260">
        <f t="shared" si="1559"/>
        <v>0</v>
      </c>
      <c r="EU260">
        <f t="shared" si="1199"/>
        <v>0</v>
      </c>
      <c r="EV260">
        <f t="shared" si="1411"/>
        <v>0</v>
      </c>
      <c r="EW260">
        <f t="shared" si="1232"/>
        <v>0</v>
      </c>
      <c r="EX260">
        <f t="shared" si="1201"/>
        <v>0</v>
      </c>
      <c r="EY260">
        <f t="shared" si="1202"/>
        <v>0</v>
      </c>
      <c r="EZ260">
        <f t="shared" ref="EZ260:FI260" si="1560">IF(EZ$218,EZ155,0)</f>
        <v>0</v>
      </c>
      <c r="FA260">
        <f t="shared" si="1560"/>
        <v>0</v>
      </c>
      <c r="FB260">
        <f t="shared" si="1560"/>
        <v>0</v>
      </c>
      <c r="FC260">
        <f t="shared" si="1560"/>
        <v>0</v>
      </c>
      <c r="FD260">
        <f t="shared" si="1560"/>
        <v>0</v>
      </c>
      <c r="FE260">
        <f t="shared" si="1560"/>
        <v>0</v>
      </c>
      <c r="FF260">
        <f t="shared" si="1560"/>
        <v>0</v>
      </c>
      <c r="FG260">
        <f t="shared" si="1560"/>
        <v>0</v>
      </c>
      <c r="FH260">
        <f t="shared" si="1560"/>
        <v>0</v>
      </c>
      <c r="FI260">
        <f t="shared" si="1560"/>
        <v>0</v>
      </c>
      <c r="FJ260">
        <f t="shared" si="1204"/>
        <v>0</v>
      </c>
      <c r="FK260">
        <f t="shared" si="1205"/>
        <v>0</v>
      </c>
      <c r="FL260">
        <f t="shared" si="1413"/>
        <v>0</v>
      </c>
      <c r="FM260">
        <f t="shared" si="1234"/>
        <v>0</v>
      </c>
      <c r="FN260">
        <f t="shared" si="1207"/>
        <v>0</v>
      </c>
      <c r="FO260">
        <f t="shared" si="1208"/>
        <v>0</v>
      </c>
      <c r="FP260">
        <f t="shared" si="1209"/>
        <v>0</v>
      </c>
      <c r="FQ260">
        <f t="shared" si="1210"/>
        <v>0</v>
      </c>
      <c r="FR260">
        <f t="shared" si="1211"/>
        <v>0</v>
      </c>
      <c r="FS260">
        <f t="shared" si="1212"/>
        <v>0</v>
      </c>
      <c r="FT260">
        <f t="shared" si="1213"/>
        <v>0</v>
      </c>
      <c r="FU260">
        <f t="shared" si="1214"/>
        <v>0</v>
      </c>
      <c r="FV260">
        <f t="shared" si="1215"/>
        <v>0</v>
      </c>
      <c r="FW260">
        <f t="shared" si="1216"/>
        <v>0</v>
      </c>
      <c r="FX260">
        <f t="shared" si="1414"/>
        <v>0</v>
      </c>
      <c r="FY260">
        <f t="shared" si="1235"/>
        <v>0</v>
      </c>
      <c r="FZ260">
        <f t="shared" si="1218"/>
        <v>0</v>
      </c>
      <c r="GA260">
        <f t="shared" si="1219"/>
        <v>0</v>
      </c>
      <c r="GB260">
        <f t="shared" si="1220"/>
        <v>0</v>
      </c>
      <c r="GC260">
        <f t="shared" si="1221"/>
        <v>0</v>
      </c>
    </row>
    <row r="261" spans="1:185" x14ac:dyDescent="0.2">
      <c r="A261" s="8" t="str">
        <f t="shared" si="1311"/>
        <v/>
      </c>
      <c r="B261" s="8">
        <f t="shared" si="1312"/>
        <v>0</v>
      </c>
      <c r="C261" s="8">
        <f t="shared" si="1313"/>
        <v>0</v>
      </c>
      <c r="D261" s="8">
        <f t="shared" si="1314"/>
        <v>0</v>
      </c>
      <c r="E261" s="8">
        <f t="shared" si="1486"/>
        <v>0</v>
      </c>
      <c r="F261" s="8">
        <f t="shared" si="1384"/>
        <v>0</v>
      </c>
      <c r="G261" s="8">
        <f t="shared" si="1427"/>
        <v>0</v>
      </c>
      <c r="H261" s="8">
        <f t="shared" si="1428"/>
        <v>0</v>
      </c>
      <c r="I261" s="8">
        <f t="shared" si="1429"/>
        <v>0</v>
      </c>
      <c r="J261" s="8">
        <f t="shared" si="1430"/>
        <v>0</v>
      </c>
      <c r="K261" s="8">
        <f t="shared" si="1431"/>
        <v>0</v>
      </c>
      <c r="L261">
        <f t="shared" si="1320"/>
        <v>0</v>
      </c>
      <c r="M261">
        <f t="shared" si="1321"/>
        <v>0</v>
      </c>
      <c r="N261">
        <f t="shared" si="1322"/>
        <v>0</v>
      </c>
      <c r="O261">
        <f t="shared" si="1323"/>
        <v>0</v>
      </c>
      <c r="P261">
        <f t="shared" si="1324"/>
        <v>0</v>
      </c>
      <c r="Q261">
        <f t="shared" si="1325"/>
        <v>0</v>
      </c>
      <c r="R261">
        <f t="shared" si="1326"/>
        <v>0</v>
      </c>
      <c r="S261">
        <f t="shared" si="1327"/>
        <v>0</v>
      </c>
      <c r="T261">
        <f t="shared" si="1328"/>
        <v>0</v>
      </c>
      <c r="U261">
        <f t="shared" si="1329"/>
        <v>0</v>
      </c>
      <c r="V261">
        <f>IF(V$230,LandEmiss!AF156,0)</f>
        <v>0</v>
      </c>
      <c r="W261">
        <f>IF(W$230,LandEmiss!AG156,0)</f>
        <v>0</v>
      </c>
      <c r="X261">
        <f>IF(X$230,LandEmiss!AH156,0)</f>
        <v>0</v>
      </c>
      <c r="Y261">
        <f>IF(Y$230,LandEmiss!AI156,0)</f>
        <v>0</v>
      </c>
      <c r="Z261">
        <f>IF(Z$230,LandEmiss!AJ156,0)</f>
        <v>0</v>
      </c>
      <c r="AA261">
        <f>IF(AA$230,LandEmiss!AK156,0)</f>
        <v>0</v>
      </c>
      <c r="AB261">
        <f>IF(AB$230,LandEmiss!AL156,0)</f>
        <v>0</v>
      </c>
      <c r="AC261">
        <f>IF(AC$230,LandEmiss!AM156,0)</f>
        <v>0</v>
      </c>
      <c r="AD261">
        <f>IF(AD$230,LandEmiss!AN156,0)</f>
        <v>0</v>
      </c>
      <c r="AE261">
        <f>IF(AE$230,LandEmiss!AO156,0)</f>
        <v>0</v>
      </c>
      <c r="AF261">
        <f t="shared" ref="AF261:AO261" si="1561">IF(AF$230,AF156,0)</f>
        <v>0</v>
      </c>
      <c r="AG261">
        <f t="shared" si="1561"/>
        <v>0</v>
      </c>
      <c r="AH261">
        <f t="shared" si="1561"/>
        <v>0</v>
      </c>
      <c r="AI261">
        <f t="shared" si="1561"/>
        <v>0</v>
      </c>
      <c r="AJ261">
        <f t="shared" si="1561"/>
        <v>0</v>
      </c>
      <c r="AK261">
        <f t="shared" si="1561"/>
        <v>0</v>
      </c>
      <c r="AL261">
        <f t="shared" si="1561"/>
        <v>0</v>
      </c>
      <c r="AM261">
        <f t="shared" si="1561"/>
        <v>0</v>
      </c>
      <c r="AN261">
        <f t="shared" si="1561"/>
        <v>0</v>
      </c>
      <c r="AO261">
        <f t="shared" si="1561"/>
        <v>0</v>
      </c>
      <c r="AP261">
        <f t="shared" si="1331"/>
        <v>0</v>
      </c>
      <c r="AQ261">
        <f t="shared" si="1332"/>
        <v>0</v>
      </c>
      <c r="AR261">
        <f t="shared" si="1333"/>
        <v>0</v>
      </c>
      <c r="AS261">
        <f t="shared" si="1334"/>
        <v>0</v>
      </c>
      <c r="AT261">
        <f t="shared" si="1335"/>
        <v>0</v>
      </c>
      <c r="AU261">
        <f t="shared" si="1336"/>
        <v>0</v>
      </c>
      <c r="AV261">
        <f t="shared" si="1337"/>
        <v>0</v>
      </c>
      <c r="AW261">
        <f t="shared" si="1338"/>
        <v>0</v>
      </c>
      <c r="AX261">
        <f t="shared" si="1339"/>
        <v>0</v>
      </c>
      <c r="AY261">
        <f t="shared" si="1340"/>
        <v>0</v>
      </c>
      <c r="AZ261">
        <f t="shared" si="1341"/>
        <v>0</v>
      </c>
      <c r="BA261">
        <f t="shared" si="1342"/>
        <v>0</v>
      </c>
      <c r="BB261">
        <f t="shared" si="1343"/>
        <v>0</v>
      </c>
      <c r="BC261">
        <f t="shared" si="1344"/>
        <v>0</v>
      </c>
      <c r="BD261">
        <f t="shared" si="1345"/>
        <v>0</v>
      </c>
      <c r="BE261">
        <f t="shared" si="1346"/>
        <v>0</v>
      </c>
      <c r="BF261">
        <f t="shared" si="1347"/>
        <v>0</v>
      </c>
      <c r="BG261">
        <f t="shared" si="1348"/>
        <v>0</v>
      </c>
      <c r="BH261">
        <f t="shared" si="1488"/>
        <v>0</v>
      </c>
      <c r="BI261">
        <f t="shared" si="1387"/>
        <v>0</v>
      </c>
      <c r="BJ261" s="8" t="str">
        <f>Hidden!$CC32</f>
        <v/>
      </c>
      <c r="BK261">
        <f t="shared" ref="BK261:BT261" si="1562">IF(BK$230,CP156,0)</f>
        <v>0</v>
      </c>
      <c r="BL261">
        <f t="shared" si="1562"/>
        <v>0</v>
      </c>
      <c r="BM261">
        <f t="shared" si="1562"/>
        <v>0</v>
      </c>
      <c r="BN261">
        <f t="shared" si="1562"/>
        <v>0</v>
      </c>
      <c r="BO261">
        <f t="shared" si="1562"/>
        <v>0</v>
      </c>
      <c r="BP261">
        <f t="shared" si="1562"/>
        <v>0</v>
      </c>
      <c r="BQ261">
        <f t="shared" si="1562"/>
        <v>0</v>
      </c>
      <c r="BR261">
        <f t="shared" si="1562"/>
        <v>0</v>
      </c>
      <c r="BS261">
        <f t="shared" si="1562"/>
        <v>0</v>
      </c>
      <c r="BT261">
        <f t="shared" si="1562"/>
        <v>0</v>
      </c>
      <c r="BU261">
        <f t="shared" ref="BU261:CD261" si="1563">IF(BU$230,CP156,0)</f>
        <v>0</v>
      </c>
      <c r="BV261">
        <f t="shared" si="1563"/>
        <v>0</v>
      </c>
      <c r="BW261">
        <f t="shared" si="1563"/>
        <v>0</v>
      </c>
      <c r="BX261">
        <f t="shared" si="1563"/>
        <v>0</v>
      </c>
      <c r="BY261">
        <f t="shared" si="1563"/>
        <v>0</v>
      </c>
      <c r="BZ261">
        <f t="shared" si="1563"/>
        <v>0</v>
      </c>
      <c r="CA261">
        <f t="shared" si="1563"/>
        <v>0</v>
      </c>
      <c r="CB261">
        <f t="shared" si="1563"/>
        <v>0</v>
      </c>
      <c r="CC261">
        <f t="shared" si="1563"/>
        <v>0</v>
      </c>
      <c r="CD261">
        <f t="shared" si="1563"/>
        <v>0</v>
      </c>
      <c r="CE261">
        <f t="shared" si="1352"/>
        <v>0</v>
      </c>
      <c r="CF261">
        <f t="shared" si="1353"/>
        <v>0</v>
      </c>
      <c r="CG261">
        <f t="shared" si="1354"/>
        <v>0</v>
      </c>
      <c r="CH261">
        <f t="shared" si="1355"/>
        <v>0</v>
      </c>
      <c r="CI261">
        <f t="shared" si="1356"/>
        <v>0</v>
      </c>
      <c r="CJ261">
        <f t="shared" si="1491"/>
        <v>0</v>
      </c>
      <c r="CK261">
        <f t="shared" si="1390"/>
        <v>0</v>
      </c>
      <c r="CL261">
        <f t="shared" si="1358"/>
        <v>0</v>
      </c>
      <c r="CM261">
        <f t="shared" si="1359"/>
        <v>0</v>
      </c>
      <c r="CN261">
        <f t="shared" si="1360"/>
        <v>0</v>
      </c>
      <c r="CO261">
        <f t="shared" ref="CO261:CX261" si="1564">IF(CO$230,CP156,0)</f>
        <v>0</v>
      </c>
      <c r="CP261">
        <f t="shared" si="1564"/>
        <v>0</v>
      </c>
      <c r="CQ261">
        <f t="shared" si="1564"/>
        <v>0</v>
      </c>
      <c r="CR261">
        <f t="shared" si="1564"/>
        <v>0</v>
      </c>
      <c r="CS261">
        <f t="shared" si="1564"/>
        <v>0</v>
      </c>
      <c r="CT261">
        <f t="shared" si="1564"/>
        <v>0</v>
      </c>
      <c r="CU261">
        <f t="shared" si="1564"/>
        <v>0</v>
      </c>
      <c r="CV261">
        <f t="shared" si="1564"/>
        <v>0</v>
      </c>
      <c r="CW261">
        <f t="shared" si="1564"/>
        <v>0</v>
      </c>
      <c r="CX261">
        <f t="shared" si="1564"/>
        <v>0</v>
      </c>
      <c r="CY261">
        <f t="shared" si="1362"/>
        <v>0</v>
      </c>
      <c r="CZ261">
        <f t="shared" si="1363"/>
        <v>0</v>
      </c>
      <c r="DA261">
        <f t="shared" si="1364"/>
        <v>0</v>
      </c>
      <c r="DB261">
        <f t="shared" si="1365"/>
        <v>0</v>
      </c>
      <c r="DC261">
        <f t="shared" si="1366"/>
        <v>0</v>
      </c>
      <c r="DD261">
        <f t="shared" si="1367"/>
        <v>0</v>
      </c>
      <c r="DE261">
        <f t="shared" si="1368"/>
        <v>0</v>
      </c>
      <c r="DF261">
        <f t="shared" si="1369"/>
        <v>0</v>
      </c>
      <c r="DG261">
        <f t="shared" si="1370"/>
        <v>0</v>
      </c>
      <c r="DH261">
        <f t="shared" si="1371"/>
        <v>0</v>
      </c>
      <c r="DI261">
        <f t="shared" si="1372"/>
        <v>0</v>
      </c>
      <c r="DJ261">
        <f t="shared" si="1373"/>
        <v>0</v>
      </c>
      <c r="DK261">
        <f t="shared" si="1374"/>
        <v>0</v>
      </c>
      <c r="DL261">
        <f t="shared" si="1375"/>
        <v>0</v>
      </c>
      <c r="DM261">
        <f t="shared" si="1376"/>
        <v>0</v>
      </c>
      <c r="DN261">
        <f t="shared" si="1377"/>
        <v>0</v>
      </c>
      <c r="DO261">
        <f t="shared" si="1378"/>
        <v>0</v>
      </c>
      <c r="DP261">
        <f t="shared" si="1379"/>
        <v>0</v>
      </c>
      <c r="DQ261">
        <f t="shared" si="1380"/>
        <v>0</v>
      </c>
      <c r="DR261">
        <f t="shared" si="1381"/>
        <v>0</v>
      </c>
      <c r="DT261" s="77"/>
      <c r="DU261" s="8" t="str">
        <f>Hidden!$CG44</f>
        <v/>
      </c>
      <c r="DV261">
        <f t="shared" si="1176"/>
        <v>0</v>
      </c>
      <c r="DW261">
        <f t="shared" si="1177"/>
        <v>0</v>
      </c>
      <c r="DX261">
        <f t="shared" si="1178"/>
        <v>0</v>
      </c>
      <c r="DY261">
        <f t="shared" si="1179"/>
        <v>0</v>
      </c>
      <c r="DZ261">
        <f t="shared" si="1180"/>
        <v>0</v>
      </c>
      <c r="EA261">
        <f t="shared" si="1181"/>
        <v>0</v>
      </c>
      <c r="EB261">
        <f t="shared" si="1182"/>
        <v>0</v>
      </c>
      <c r="EC261">
        <f t="shared" si="1183"/>
        <v>0</v>
      </c>
      <c r="ED261">
        <f t="shared" si="1184"/>
        <v>0</v>
      </c>
      <c r="EE261">
        <f t="shared" si="1185"/>
        <v>0</v>
      </c>
      <c r="EF261">
        <f t="shared" si="1186"/>
        <v>0</v>
      </c>
      <c r="EG261">
        <f t="shared" si="1187"/>
        <v>0</v>
      </c>
      <c r="EH261">
        <f t="shared" si="1188"/>
        <v>0</v>
      </c>
      <c r="EI261">
        <f t="shared" si="1189"/>
        <v>0</v>
      </c>
      <c r="EJ261">
        <f t="shared" si="1190"/>
        <v>0</v>
      </c>
      <c r="EK261">
        <f t="shared" si="1191"/>
        <v>0</v>
      </c>
      <c r="EL261">
        <f t="shared" si="1192"/>
        <v>0</v>
      </c>
      <c r="EM261">
        <f t="shared" si="1193"/>
        <v>0</v>
      </c>
      <c r="EN261">
        <f t="shared" si="1194"/>
        <v>0</v>
      </c>
      <c r="EO261">
        <f t="shared" si="1195"/>
        <v>0</v>
      </c>
      <c r="EP261">
        <f t="shared" si="1196"/>
        <v>0</v>
      </c>
      <c r="EQ261">
        <f t="shared" si="1197"/>
        <v>0</v>
      </c>
      <c r="ER261">
        <f t="shared" si="1517"/>
        <v>0</v>
      </c>
      <c r="ES261">
        <f t="shared" ref="ES261:ET261" si="1565">IF(ES$218,FC156,0)</f>
        <v>0</v>
      </c>
      <c r="ET261">
        <f t="shared" si="1565"/>
        <v>0</v>
      </c>
      <c r="EU261">
        <f t="shared" si="1199"/>
        <v>0</v>
      </c>
      <c r="EV261">
        <f t="shared" si="1411"/>
        <v>0</v>
      </c>
      <c r="EW261">
        <f t="shared" si="1232"/>
        <v>0</v>
      </c>
      <c r="EX261">
        <f t="shared" si="1201"/>
        <v>0</v>
      </c>
      <c r="EY261">
        <f t="shared" si="1202"/>
        <v>0</v>
      </c>
      <c r="EZ261">
        <f t="shared" ref="EZ261:FI261" si="1566">IF(EZ$218,EZ156,0)</f>
        <v>0</v>
      </c>
      <c r="FA261">
        <f t="shared" si="1566"/>
        <v>0</v>
      </c>
      <c r="FB261">
        <f t="shared" si="1566"/>
        <v>0</v>
      </c>
      <c r="FC261">
        <f t="shared" si="1566"/>
        <v>0</v>
      </c>
      <c r="FD261">
        <f t="shared" si="1566"/>
        <v>0</v>
      </c>
      <c r="FE261">
        <f t="shared" si="1566"/>
        <v>0</v>
      </c>
      <c r="FF261">
        <f t="shared" si="1566"/>
        <v>0</v>
      </c>
      <c r="FG261">
        <f t="shared" si="1566"/>
        <v>0</v>
      </c>
      <c r="FH261">
        <f t="shared" si="1566"/>
        <v>0</v>
      </c>
      <c r="FI261">
        <f t="shared" si="1566"/>
        <v>0</v>
      </c>
      <c r="FJ261">
        <f t="shared" si="1204"/>
        <v>0</v>
      </c>
      <c r="FK261">
        <f t="shared" si="1205"/>
        <v>0</v>
      </c>
      <c r="FL261">
        <f t="shared" si="1413"/>
        <v>0</v>
      </c>
      <c r="FM261">
        <f t="shared" si="1234"/>
        <v>0</v>
      </c>
      <c r="FN261">
        <f t="shared" si="1207"/>
        <v>0</v>
      </c>
      <c r="FO261">
        <f t="shared" si="1208"/>
        <v>0</v>
      </c>
      <c r="FP261">
        <f t="shared" si="1209"/>
        <v>0</v>
      </c>
      <c r="FQ261">
        <f t="shared" si="1210"/>
        <v>0</v>
      </c>
      <c r="FR261">
        <f t="shared" si="1211"/>
        <v>0</v>
      </c>
      <c r="FS261">
        <f t="shared" si="1212"/>
        <v>0</v>
      </c>
      <c r="FT261">
        <f t="shared" si="1213"/>
        <v>0</v>
      </c>
      <c r="FU261">
        <f t="shared" si="1214"/>
        <v>0</v>
      </c>
      <c r="FV261">
        <f t="shared" si="1215"/>
        <v>0</v>
      </c>
      <c r="FW261">
        <f t="shared" si="1216"/>
        <v>0</v>
      </c>
      <c r="FX261">
        <f t="shared" si="1414"/>
        <v>0</v>
      </c>
      <c r="FY261">
        <f t="shared" si="1235"/>
        <v>0</v>
      </c>
      <c r="FZ261">
        <f t="shared" si="1218"/>
        <v>0</v>
      </c>
      <c r="GA261">
        <f t="shared" si="1219"/>
        <v>0</v>
      </c>
      <c r="GB261">
        <f t="shared" si="1220"/>
        <v>0</v>
      </c>
      <c r="GC261">
        <f t="shared" si="1221"/>
        <v>0</v>
      </c>
    </row>
    <row r="262" spans="1:185" x14ac:dyDescent="0.2">
      <c r="A262" s="8" t="str">
        <f>$AE50</f>
        <v/>
      </c>
      <c r="B262" s="8">
        <f t="shared" si="1312"/>
        <v>0</v>
      </c>
      <c r="C262" s="8">
        <f t="shared" si="1313"/>
        <v>0</v>
      </c>
      <c r="D262" s="8">
        <f t="shared" si="1314"/>
        <v>0</v>
      </c>
      <c r="E262" s="8">
        <f t="shared" si="1486"/>
        <v>0</v>
      </c>
      <c r="F262" s="8">
        <f t="shared" si="1384"/>
        <v>0</v>
      </c>
      <c r="G262" s="8">
        <f t="shared" si="1427"/>
        <v>0</v>
      </c>
      <c r="H262" s="8">
        <f t="shared" si="1428"/>
        <v>0</v>
      </c>
      <c r="I262" s="8">
        <f t="shared" si="1429"/>
        <v>0</v>
      </c>
      <c r="J262" s="8">
        <f t="shared" si="1430"/>
        <v>0</v>
      </c>
      <c r="K262" s="8">
        <f t="shared" si="1431"/>
        <v>0</v>
      </c>
      <c r="L262">
        <f t="shared" si="1320"/>
        <v>0</v>
      </c>
      <c r="M262">
        <f t="shared" si="1321"/>
        <v>0</v>
      </c>
      <c r="N262">
        <f t="shared" si="1322"/>
        <v>0</v>
      </c>
      <c r="O262">
        <f t="shared" si="1323"/>
        <v>0</v>
      </c>
      <c r="P262">
        <f t="shared" si="1324"/>
        <v>0</v>
      </c>
      <c r="Q262">
        <f t="shared" si="1325"/>
        <v>0</v>
      </c>
      <c r="R262">
        <f t="shared" si="1326"/>
        <v>0</v>
      </c>
      <c r="S262">
        <f t="shared" si="1327"/>
        <v>0</v>
      </c>
      <c r="T262">
        <f t="shared" si="1328"/>
        <v>0</v>
      </c>
      <c r="U262">
        <f t="shared" si="1329"/>
        <v>0</v>
      </c>
      <c r="V262">
        <f>IF(V$230,LandEmiss!AF157,0)</f>
        <v>0</v>
      </c>
      <c r="W262">
        <f>IF(W$230,LandEmiss!AG157,0)</f>
        <v>0</v>
      </c>
      <c r="X262">
        <f>IF(X$230,LandEmiss!AH157,0)</f>
        <v>0</v>
      </c>
      <c r="Y262">
        <f>IF(Y$230,LandEmiss!AI157,0)</f>
        <v>0</v>
      </c>
      <c r="Z262">
        <f>IF(Z$230,LandEmiss!AJ157,0)</f>
        <v>0</v>
      </c>
      <c r="AA262">
        <f>IF(AA$230,LandEmiss!AK157,0)</f>
        <v>0</v>
      </c>
      <c r="AB262">
        <f>IF(AB$230,LandEmiss!AL157,0)</f>
        <v>0</v>
      </c>
      <c r="AC262">
        <f>IF(AC$230,LandEmiss!AM157,0)</f>
        <v>0</v>
      </c>
      <c r="AD262">
        <f>IF(AD$230,LandEmiss!AN157,0)</f>
        <v>0</v>
      </c>
      <c r="AE262">
        <f>IF(AE$230,LandEmiss!AO157,0)</f>
        <v>0</v>
      </c>
      <c r="AF262">
        <f t="shared" ref="AF262:AO262" si="1567">IF(AF$230,AF157,0)</f>
        <v>0</v>
      </c>
      <c r="AG262">
        <f t="shared" si="1567"/>
        <v>0</v>
      </c>
      <c r="AH262">
        <f t="shared" si="1567"/>
        <v>0</v>
      </c>
      <c r="AI262">
        <f t="shared" si="1567"/>
        <v>0</v>
      </c>
      <c r="AJ262">
        <f t="shared" si="1567"/>
        <v>0</v>
      </c>
      <c r="AK262">
        <f t="shared" si="1567"/>
        <v>0</v>
      </c>
      <c r="AL262">
        <f t="shared" si="1567"/>
        <v>0</v>
      </c>
      <c r="AM262">
        <f t="shared" si="1567"/>
        <v>0</v>
      </c>
      <c r="AN262">
        <f t="shared" si="1567"/>
        <v>0</v>
      </c>
      <c r="AO262">
        <f t="shared" si="1567"/>
        <v>0</v>
      </c>
      <c r="AP262">
        <f t="shared" si="1331"/>
        <v>0</v>
      </c>
      <c r="AQ262">
        <f t="shared" si="1332"/>
        <v>0</v>
      </c>
      <c r="AR262">
        <f t="shared" si="1333"/>
        <v>0</v>
      </c>
      <c r="AS262">
        <f t="shared" si="1334"/>
        <v>0</v>
      </c>
      <c r="AT262">
        <f t="shared" si="1335"/>
        <v>0</v>
      </c>
      <c r="AU262">
        <f t="shared" si="1336"/>
        <v>0</v>
      </c>
      <c r="AV262">
        <f t="shared" si="1337"/>
        <v>0</v>
      </c>
      <c r="AW262">
        <f t="shared" si="1338"/>
        <v>0</v>
      </c>
      <c r="AX262">
        <f t="shared" si="1339"/>
        <v>0</v>
      </c>
      <c r="AY262">
        <f t="shared" si="1340"/>
        <v>0</v>
      </c>
      <c r="AZ262">
        <f t="shared" si="1341"/>
        <v>0</v>
      </c>
      <c r="BA262">
        <f t="shared" si="1342"/>
        <v>0</v>
      </c>
      <c r="BB262">
        <f t="shared" si="1343"/>
        <v>0</v>
      </c>
      <c r="BC262">
        <f t="shared" si="1344"/>
        <v>0</v>
      </c>
      <c r="BD262">
        <f t="shared" si="1345"/>
        <v>0</v>
      </c>
      <c r="BE262">
        <f t="shared" si="1346"/>
        <v>0</v>
      </c>
      <c r="BF262">
        <f t="shared" si="1347"/>
        <v>0</v>
      </c>
      <c r="BG262">
        <f t="shared" si="1348"/>
        <v>0</v>
      </c>
      <c r="BH262">
        <f t="shared" si="1488"/>
        <v>0</v>
      </c>
      <c r="BI262">
        <f t="shared" si="1387"/>
        <v>0</v>
      </c>
      <c r="BJ262" s="8" t="str">
        <f>Hidden!$CC33</f>
        <v/>
      </c>
      <c r="BK262">
        <f t="shared" ref="BK262:BT262" si="1568">IF(BK$230,CP157,0)</f>
        <v>0</v>
      </c>
      <c r="BL262">
        <f t="shared" si="1568"/>
        <v>0</v>
      </c>
      <c r="BM262">
        <f t="shared" si="1568"/>
        <v>0</v>
      </c>
      <c r="BN262">
        <f t="shared" si="1568"/>
        <v>0</v>
      </c>
      <c r="BO262">
        <f t="shared" si="1568"/>
        <v>0</v>
      </c>
      <c r="BP262">
        <f t="shared" si="1568"/>
        <v>0</v>
      </c>
      <c r="BQ262">
        <f t="shared" si="1568"/>
        <v>0</v>
      </c>
      <c r="BR262">
        <f t="shared" si="1568"/>
        <v>0</v>
      </c>
      <c r="BS262">
        <f t="shared" si="1568"/>
        <v>0</v>
      </c>
      <c r="BT262">
        <f t="shared" si="1568"/>
        <v>0</v>
      </c>
      <c r="BU262">
        <f t="shared" ref="BU262:CD262" si="1569">IF(BU$230,CP157,0)</f>
        <v>0</v>
      </c>
      <c r="BV262">
        <f t="shared" si="1569"/>
        <v>0</v>
      </c>
      <c r="BW262">
        <f t="shared" si="1569"/>
        <v>0</v>
      </c>
      <c r="BX262">
        <f t="shared" si="1569"/>
        <v>0</v>
      </c>
      <c r="BY262">
        <f t="shared" si="1569"/>
        <v>0</v>
      </c>
      <c r="BZ262">
        <f t="shared" si="1569"/>
        <v>0</v>
      </c>
      <c r="CA262">
        <f t="shared" si="1569"/>
        <v>0</v>
      </c>
      <c r="CB262">
        <f t="shared" si="1569"/>
        <v>0</v>
      </c>
      <c r="CC262">
        <f t="shared" si="1569"/>
        <v>0</v>
      </c>
      <c r="CD262">
        <f t="shared" si="1569"/>
        <v>0</v>
      </c>
      <c r="CE262">
        <f t="shared" si="1352"/>
        <v>0</v>
      </c>
      <c r="CF262">
        <f t="shared" si="1353"/>
        <v>0</v>
      </c>
      <c r="CG262">
        <f t="shared" si="1354"/>
        <v>0</v>
      </c>
      <c r="CH262">
        <f t="shared" si="1355"/>
        <v>0</v>
      </c>
      <c r="CI262">
        <f t="shared" si="1356"/>
        <v>0</v>
      </c>
      <c r="CJ262">
        <f t="shared" si="1491"/>
        <v>0</v>
      </c>
      <c r="CK262">
        <f t="shared" si="1390"/>
        <v>0</v>
      </c>
      <c r="CL262">
        <f t="shared" si="1358"/>
        <v>0</v>
      </c>
      <c r="CM262">
        <f t="shared" si="1359"/>
        <v>0</v>
      </c>
      <c r="CN262">
        <f t="shared" si="1360"/>
        <v>0</v>
      </c>
      <c r="CO262">
        <f t="shared" ref="CO262:CX262" si="1570">IF(CO$230,CP157,0)</f>
        <v>0</v>
      </c>
      <c r="CP262">
        <f t="shared" si="1570"/>
        <v>0</v>
      </c>
      <c r="CQ262">
        <f t="shared" si="1570"/>
        <v>0</v>
      </c>
      <c r="CR262">
        <f t="shared" si="1570"/>
        <v>0</v>
      </c>
      <c r="CS262">
        <f t="shared" si="1570"/>
        <v>0</v>
      </c>
      <c r="CT262">
        <f t="shared" si="1570"/>
        <v>0</v>
      </c>
      <c r="CU262">
        <f t="shared" si="1570"/>
        <v>0</v>
      </c>
      <c r="CV262">
        <f t="shared" si="1570"/>
        <v>0</v>
      </c>
      <c r="CW262">
        <f t="shared" si="1570"/>
        <v>0</v>
      </c>
      <c r="CX262">
        <f t="shared" si="1570"/>
        <v>0</v>
      </c>
      <c r="CY262">
        <f t="shared" si="1362"/>
        <v>0</v>
      </c>
      <c r="CZ262">
        <f t="shared" si="1363"/>
        <v>0</v>
      </c>
      <c r="DA262">
        <f t="shared" si="1364"/>
        <v>0</v>
      </c>
      <c r="DB262">
        <f t="shared" si="1365"/>
        <v>0</v>
      </c>
      <c r="DC262">
        <f t="shared" si="1366"/>
        <v>0</v>
      </c>
      <c r="DD262">
        <f t="shared" si="1367"/>
        <v>0</v>
      </c>
      <c r="DE262">
        <f t="shared" si="1368"/>
        <v>0</v>
      </c>
      <c r="DF262">
        <f t="shared" si="1369"/>
        <v>0</v>
      </c>
      <c r="DG262">
        <f t="shared" si="1370"/>
        <v>0</v>
      </c>
      <c r="DH262">
        <f t="shared" si="1371"/>
        <v>0</v>
      </c>
      <c r="DI262">
        <f t="shared" si="1372"/>
        <v>0</v>
      </c>
      <c r="DJ262">
        <f t="shared" si="1373"/>
        <v>0</v>
      </c>
      <c r="DK262">
        <f t="shared" si="1374"/>
        <v>0</v>
      </c>
      <c r="DL262">
        <f t="shared" si="1375"/>
        <v>0</v>
      </c>
      <c r="DM262">
        <f t="shared" si="1376"/>
        <v>0</v>
      </c>
      <c r="DN262">
        <f t="shared" si="1377"/>
        <v>0</v>
      </c>
      <c r="DO262">
        <f t="shared" si="1378"/>
        <v>0</v>
      </c>
      <c r="DP262">
        <f t="shared" si="1379"/>
        <v>0</v>
      </c>
      <c r="DQ262">
        <f t="shared" si="1380"/>
        <v>0</v>
      </c>
      <c r="DR262">
        <f t="shared" si="1381"/>
        <v>0</v>
      </c>
      <c r="DT262" s="77"/>
      <c r="DU262" s="8" t="str">
        <f>Hidden!$CG45</f>
        <v/>
      </c>
      <c r="DV262">
        <f t="shared" si="1176"/>
        <v>0</v>
      </c>
      <c r="DW262">
        <f t="shared" si="1177"/>
        <v>0</v>
      </c>
      <c r="DX262">
        <f t="shared" si="1178"/>
        <v>0</v>
      </c>
      <c r="DY262">
        <f t="shared" si="1179"/>
        <v>0</v>
      </c>
      <c r="DZ262">
        <f t="shared" si="1180"/>
        <v>0</v>
      </c>
      <c r="EA262">
        <f t="shared" si="1181"/>
        <v>0</v>
      </c>
      <c r="EB262">
        <f t="shared" si="1182"/>
        <v>0</v>
      </c>
      <c r="EC262">
        <f t="shared" si="1183"/>
        <v>0</v>
      </c>
      <c r="ED262">
        <f t="shared" si="1184"/>
        <v>0</v>
      </c>
      <c r="EE262">
        <f t="shared" si="1185"/>
        <v>0</v>
      </c>
      <c r="EF262">
        <f t="shared" si="1186"/>
        <v>0</v>
      </c>
      <c r="EG262">
        <f t="shared" si="1187"/>
        <v>0</v>
      </c>
      <c r="EH262">
        <f t="shared" si="1188"/>
        <v>0</v>
      </c>
      <c r="EI262">
        <f t="shared" si="1189"/>
        <v>0</v>
      </c>
      <c r="EJ262">
        <f t="shared" si="1190"/>
        <v>0</v>
      </c>
      <c r="EK262">
        <f t="shared" si="1191"/>
        <v>0</v>
      </c>
      <c r="EL262">
        <f t="shared" si="1192"/>
        <v>0</v>
      </c>
      <c r="EM262">
        <f t="shared" si="1193"/>
        <v>0</v>
      </c>
      <c r="EN262">
        <f t="shared" si="1194"/>
        <v>0</v>
      </c>
      <c r="EO262">
        <f t="shared" si="1195"/>
        <v>0</v>
      </c>
      <c r="EP262">
        <f t="shared" si="1196"/>
        <v>0</v>
      </c>
      <c r="EQ262">
        <f t="shared" si="1197"/>
        <v>0</v>
      </c>
      <c r="ER262">
        <f t="shared" si="1517"/>
        <v>0</v>
      </c>
      <c r="ES262">
        <f t="shared" ref="ES262:ET262" si="1571">IF(ES$218,FC157,0)</f>
        <v>0</v>
      </c>
      <c r="ET262">
        <f t="shared" si="1571"/>
        <v>0</v>
      </c>
      <c r="EU262">
        <f t="shared" si="1199"/>
        <v>0</v>
      </c>
      <c r="EV262">
        <f t="shared" si="1411"/>
        <v>0</v>
      </c>
      <c r="EW262">
        <f t="shared" si="1232"/>
        <v>0</v>
      </c>
      <c r="EX262">
        <f t="shared" si="1201"/>
        <v>0</v>
      </c>
      <c r="EY262">
        <f t="shared" si="1202"/>
        <v>0</v>
      </c>
      <c r="EZ262">
        <f t="shared" ref="EZ262:FI262" si="1572">IF(EZ$218,EZ157,0)</f>
        <v>0</v>
      </c>
      <c r="FA262">
        <f t="shared" si="1572"/>
        <v>0</v>
      </c>
      <c r="FB262">
        <f t="shared" si="1572"/>
        <v>0</v>
      </c>
      <c r="FC262">
        <f t="shared" si="1572"/>
        <v>0</v>
      </c>
      <c r="FD262">
        <f t="shared" si="1572"/>
        <v>0</v>
      </c>
      <c r="FE262">
        <f t="shared" si="1572"/>
        <v>0</v>
      </c>
      <c r="FF262">
        <f t="shared" si="1572"/>
        <v>0</v>
      </c>
      <c r="FG262">
        <f t="shared" si="1572"/>
        <v>0</v>
      </c>
      <c r="FH262">
        <f t="shared" si="1572"/>
        <v>0</v>
      </c>
      <c r="FI262">
        <f t="shared" si="1572"/>
        <v>0</v>
      </c>
      <c r="FJ262">
        <f t="shared" si="1204"/>
        <v>0</v>
      </c>
      <c r="FK262">
        <f t="shared" si="1205"/>
        <v>0</v>
      </c>
      <c r="FL262">
        <f t="shared" si="1413"/>
        <v>0</v>
      </c>
      <c r="FM262">
        <f t="shared" si="1234"/>
        <v>0</v>
      </c>
      <c r="FN262">
        <f t="shared" si="1207"/>
        <v>0</v>
      </c>
      <c r="FO262">
        <f t="shared" si="1208"/>
        <v>0</v>
      </c>
      <c r="FP262">
        <f t="shared" si="1209"/>
        <v>0</v>
      </c>
      <c r="FQ262">
        <f t="shared" si="1210"/>
        <v>0</v>
      </c>
      <c r="FR262">
        <f t="shared" si="1211"/>
        <v>0</v>
      </c>
      <c r="FS262">
        <f t="shared" si="1212"/>
        <v>0</v>
      </c>
      <c r="FT262">
        <f t="shared" si="1213"/>
        <v>0</v>
      </c>
      <c r="FU262">
        <f t="shared" si="1214"/>
        <v>0</v>
      </c>
      <c r="FV262">
        <f t="shared" si="1215"/>
        <v>0</v>
      </c>
      <c r="FW262">
        <f t="shared" si="1216"/>
        <v>0</v>
      </c>
      <c r="FX262">
        <f t="shared" si="1414"/>
        <v>0</v>
      </c>
      <c r="FY262">
        <f t="shared" si="1235"/>
        <v>0</v>
      </c>
      <c r="FZ262">
        <f t="shared" si="1218"/>
        <v>0</v>
      </c>
      <c r="GA262">
        <f t="shared" si="1219"/>
        <v>0</v>
      </c>
      <c r="GB262">
        <f t="shared" si="1220"/>
        <v>0</v>
      </c>
      <c r="GC262">
        <f t="shared" si="1221"/>
        <v>0</v>
      </c>
    </row>
    <row r="263" spans="1:185" x14ac:dyDescent="0.2">
      <c r="A263" s="8" t="str">
        <f t="shared" si="1311"/>
        <v/>
      </c>
      <c r="B263" s="8">
        <f t="shared" si="1312"/>
        <v>0</v>
      </c>
      <c r="C263" s="8">
        <f t="shared" si="1313"/>
        <v>0</v>
      </c>
      <c r="D263" s="8">
        <f t="shared" si="1314"/>
        <v>0</v>
      </c>
      <c r="E263" s="8">
        <f t="shared" si="1486"/>
        <v>0</v>
      </c>
      <c r="F263" s="8">
        <f t="shared" si="1384"/>
        <v>0</v>
      </c>
      <c r="G263" s="8">
        <f t="shared" si="1427"/>
        <v>0</v>
      </c>
      <c r="H263" s="8">
        <f t="shared" si="1428"/>
        <v>0</v>
      </c>
      <c r="I263" s="8">
        <f t="shared" si="1429"/>
        <v>0</v>
      </c>
      <c r="J263" s="8">
        <f t="shared" si="1430"/>
        <v>0</v>
      </c>
      <c r="K263" s="8">
        <f t="shared" si="1431"/>
        <v>0</v>
      </c>
      <c r="L263">
        <f t="shared" si="1320"/>
        <v>0</v>
      </c>
      <c r="M263">
        <f t="shared" si="1321"/>
        <v>0</v>
      </c>
      <c r="N263">
        <f t="shared" si="1322"/>
        <v>0</v>
      </c>
      <c r="O263">
        <f t="shared" si="1323"/>
        <v>0</v>
      </c>
      <c r="P263">
        <f t="shared" si="1324"/>
        <v>0</v>
      </c>
      <c r="Q263">
        <f t="shared" si="1325"/>
        <v>0</v>
      </c>
      <c r="R263">
        <f t="shared" si="1326"/>
        <v>0</v>
      </c>
      <c r="S263">
        <f t="shared" si="1327"/>
        <v>0</v>
      </c>
      <c r="T263">
        <f t="shared" si="1328"/>
        <v>0</v>
      </c>
      <c r="U263">
        <f t="shared" si="1329"/>
        <v>0</v>
      </c>
      <c r="V263">
        <f>IF(V$230,LandEmiss!AF158,0)</f>
        <v>0</v>
      </c>
      <c r="W263">
        <f>IF(W$230,LandEmiss!AG158,0)</f>
        <v>0</v>
      </c>
      <c r="X263">
        <f>IF(X$230,LandEmiss!AH158,0)</f>
        <v>0</v>
      </c>
      <c r="Y263">
        <f>IF(Y$230,LandEmiss!AI158,0)</f>
        <v>0</v>
      </c>
      <c r="Z263">
        <f>IF(Z$230,LandEmiss!AJ158,0)</f>
        <v>0</v>
      </c>
      <c r="AA263">
        <f>IF(AA$230,LandEmiss!AK158,0)</f>
        <v>0</v>
      </c>
      <c r="AB263">
        <f>IF(AB$230,LandEmiss!AL158,0)</f>
        <v>0</v>
      </c>
      <c r="AC263">
        <f>IF(AC$230,LandEmiss!AM158,0)</f>
        <v>0</v>
      </c>
      <c r="AD263">
        <f>IF(AD$230,LandEmiss!AN158,0)</f>
        <v>0</v>
      </c>
      <c r="AE263">
        <f>IF(AE$230,LandEmiss!AO158,0)</f>
        <v>0</v>
      </c>
      <c r="AF263">
        <f t="shared" ref="AF263:AO263" si="1573">IF(AF$230,AF158,0)</f>
        <v>0</v>
      </c>
      <c r="AG263">
        <f t="shared" si="1573"/>
        <v>0</v>
      </c>
      <c r="AH263">
        <f t="shared" si="1573"/>
        <v>0</v>
      </c>
      <c r="AI263">
        <f t="shared" si="1573"/>
        <v>0</v>
      </c>
      <c r="AJ263">
        <f t="shared" si="1573"/>
        <v>0</v>
      </c>
      <c r="AK263">
        <f t="shared" si="1573"/>
        <v>0</v>
      </c>
      <c r="AL263">
        <f t="shared" si="1573"/>
        <v>0</v>
      </c>
      <c r="AM263">
        <f t="shared" si="1573"/>
        <v>0</v>
      </c>
      <c r="AN263">
        <f t="shared" si="1573"/>
        <v>0</v>
      </c>
      <c r="AO263">
        <f t="shared" si="1573"/>
        <v>0</v>
      </c>
      <c r="AP263">
        <f t="shared" si="1331"/>
        <v>0</v>
      </c>
      <c r="AQ263">
        <f t="shared" si="1332"/>
        <v>0</v>
      </c>
      <c r="AR263">
        <f t="shared" si="1333"/>
        <v>0</v>
      </c>
      <c r="AS263">
        <f t="shared" si="1334"/>
        <v>0</v>
      </c>
      <c r="AT263">
        <f t="shared" si="1335"/>
        <v>0</v>
      </c>
      <c r="AU263">
        <f t="shared" si="1336"/>
        <v>0</v>
      </c>
      <c r="AV263">
        <f t="shared" si="1337"/>
        <v>0</v>
      </c>
      <c r="AW263">
        <f t="shared" si="1338"/>
        <v>0</v>
      </c>
      <c r="AX263">
        <f t="shared" si="1339"/>
        <v>0</v>
      </c>
      <c r="AY263">
        <f t="shared" si="1340"/>
        <v>0</v>
      </c>
      <c r="AZ263">
        <f t="shared" si="1341"/>
        <v>0</v>
      </c>
      <c r="BA263">
        <f t="shared" si="1342"/>
        <v>0</v>
      </c>
      <c r="BB263">
        <f t="shared" si="1343"/>
        <v>0</v>
      </c>
      <c r="BC263">
        <f t="shared" si="1344"/>
        <v>0</v>
      </c>
      <c r="BD263">
        <f t="shared" si="1345"/>
        <v>0</v>
      </c>
      <c r="BE263">
        <f t="shared" si="1346"/>
        <v>0</v>
      </c>
      <c r="BF263">
        <f t="shared" si="1347"/>
        <v>0</v>
      </c>
      <c r="BG263">
        <f t="shared" si="1348"/>
        <v>0</v>
      </c>
      <c r="BH263">
        <f t="shared" si="1488"/>
        <v>0</v>
      </c>
      <c r="BI263">
        <f t="shared" si="1387"/>
        <v>0</v>
      </c>
      <c r="BJ263" s="8" t="str">
        <f>Hidden!$CC34</f>
        <v/>
      </c>
      <c r="BK263">
        <f t="shared" ref="BK263:BT263" si="1574">IF(BK$230,CP158,0)</f>
        <v>0</v>
      </c>
      <c r="BL263">
        <f t="shared" si="1574"/>
        <v>0</v>
      </c>
      <c r="BM263">
        <f t="shared" si="1574"/>
        <v>0</v>
      </c>
      <c r="BN263">
        <f t="shared" si="1574"/>
        <v>0</v>
      </c>
      <c r="BO263">
        <f t="shared" si="1574"/>
        <v>0</v>
      </c>
      <c r="BP263">
        <f t="shared" si="1574"/>
        <v>0</v>
      </c>
      <c r="BQ263">
        <f t="shared" si="1574"/>
        <v>0</v>
      </c>
      <c r="BR263">
        <f t="shared" si="1574"/>
        <v>0</v>
      </c>
      <c r="BS263">
        <f t="shared" si="1574"/>
        <v>0</v>
      </c>
      <c r="BT263">
        <f t="shared" si="1574"/>
        <v>0</v>
      </c>
      <c r="BU263">
        <f t="shared" ref="BU263:CD263" si="1575">IF(BU$230,CP158,0)</f>
        <v>0</v>
      </c>
      <c r="BV263">
        <f t="shared" si="1575"/>
        <v>0</v>
      </c>
      <c r="BW263">
        <f t="shared" si="1575"/>
        <v>0</v>
      </c>
      <c r="BX263">
        <f t="shared" si="1575"/>
        <v>0</v>
      </c>
      <c r="BY263">
        <f t="shared" si="1575"/>
        <v>0</v>
      </c>
      <c r="BZ263">
        <f t="shared" si="1575"/>
        <v>0</v>
      </c>
      <c r="CA263">
        <f t="shared" si="1575"/>
        <v>0</v>
      </c>
      <c r="CB263">
        <f t="shared" si="1575"/>
        <v>0</v>
      </c>
      <c r="CC263">
        <f t="shared" si="1575"/>
        <v>0</v>
      </c>
      <c r="CD263">
        <f t="shared" si="1575"/>
        <v>0</v>
      </c>
      <c r="CE263">
        <f t="shared" si="1352"/>
        <v>0</v>
      </c>
      <c r="CF263">
        <f t="shared" si="1353"/>
        <v>0</v>
      </c>
      <c r="CG263">
        <f t="shared" si="1354"/>
        <v>0</v>
      </c>
      <c r="CH263">
        <f t="shared" si="1355"/>
        <v>0</v>
      </c>
      <c r="CI263">
        <f t="shared" si="1356"/>
        <v>0</v>
      </c>
      <c r="CJ263">
        <f t="shared" si="1491"/>
        <v>0</v>
      </c>
      <c r="CK263">
        <f t="shared" si="1390"/>
        <v>0</v>
      </c>
      <c r="CL263">
        <f t="shared" si="1358"/>
        <v>0</v>
      </c>
      <c r="CM263">
        <f t="shared" si="1359"/>
        <v>0</v>
      </c>
      <c r="CN263">
        <f t="shared" si="1360"/>
        <v>0</v>
      </c>
      <c r="CO263">
        <f t="shared" ref="CO263:CX263" si="1576">IF(CO$230,CP158,0)</f>
        <v>0</v>
      </c>
      <c r="CP263">
        <f t="shared" si="1576"/>
        <v>0</v>
      </c>
      <c r="CQ263">
        <f t="shared" si="1576"/>
        <v>0</v>
      </c>
      <c r="CR263">
        <f t="shared" si="1576"/>
        <v>0</v>
      </c>
      <c r="CS263">
        <f t="shared" si="1576"/>
        <v>0</v>
      </c>
      <c r="CT263">
        <f t="shared" si="1576"/>
        <v>0</v>
      </c>
      <c r="CU263">
        <f t="shared" si="1576"/>
        <v>0</v>
      </c>
      <c r="CV263">
        <f t="shared" si="1576"/>
        <v>0</v>
      </c>
      <c r="CW263">
        <f t="shared" si="1576"/>
        <v>0</v>
      </c>
      <c r="CX263">
        <f t="shared" si="1576"/>
        <v>0</v>
      </c>
      <c r="CY263">
        <f t="shared" si="1362"/>
        <v>0</v>
      </c>
      <c r="CZ263">
        <f t="shared" si="1363"/>
        <v>0</v>
      </c>
      <c r="DA263">
        <f t="shared" si="1364"/>
        <v>0</v>
      </c>
      <c r="DB263">
        <f t="shared" si="1365"/>
        <v>0</v>
      </c>
      <c r="DC263">
        <f t="shared" si="1366"/>
        <v>0</v>
      </c>
      <c r="DD263">
        <f t="shared" si="1367"/>
        <v>0</v>
      </c>
      <c r="DE263">
        <f t="shared" si="1368"/>
        <v>0</v>
      </c>
      <c r="DF263">
        <f t="shared" si="1369"/>
        <v>0</v>
      </c>
      <c r="DG263">
        <f t="shared" si="1370"/>
        <v>0</v>
      </c>
      <c r="DH263">
        <f t="shared" si="1371"/>
        <v>0</v>
      </c>
      <c r="DI263">
        <f t="shared" si="1372"/>
        <v>0</v>
      </c>
      <c r="DJ263">
        <f t="shared" si="1373"/>
        <v>0</v>
      </c>
      <c r="DK263">
        <f t="shared" si="1374"/>
        <v>0</v>
      </c>
      <c r="DL263">
        <f t="shared" si="1375"/>
        <v>0</v>
      </c>
      <c r="DM263">
        <f t="shared" si="1376"/>
        <v>0</v>
      </c>
      <c r="DN263">
        <f t="shared" si="1377"/>
        <v>0</v>
      </c>
      <c r="DO263">
        <f t="shared" si="1378"/>
        <v>0</v>
      </c>
      <c r="DP263">
        <f t="shared" si="1379"/>
        <v>0</v>
      </c>
      <c r="DQ263">
        <f t="shared" si="1380"/>
        <v>0</v>
      </c>
      <c r="DR263">
        <f t="shared" si="1381"/>
        <v>0</v>
      </c>
      <c r="DT263" s="77"/>
      <c r="DU263" s="8" t="str">
        <f>Hidden!$CG46</f>
        <v/>
      </c>
      <c r="DV263">
        <f t="shared" si="1176"/>
        <v>0</v>
      </c>
      <c r="DW263">
        <f t="shared" si="1177"/>
        <v>0</v>
      </c>
      <c r="DX263">
        <f t="shared" si="1178"/>
        <v>0</v>
      </c>
      <c r="DY263">
        <f t="shared" si="1179"/>
        <v>0</v>
      </c>
      <c r="DZ263">
        <f t="shared" si="1180"/>
        <v>0</v>
      </c>
      <c r="EA263">
        <f t="shared" si="1181"/>
        <v>0</v>
      </c>
      <c r="EB263">
        <f t="shared" si="1182"/>
        <v>0</v>
      </c>
      <c r="EC263">
        <f t="shared" si="1183"/>
        <v>0</v>
      </c>
      <c r="ED263">
        <f t="shared" si="1184"/>
        <v>0</v>
      </c>
      <c r="EE263">
        <f t="shared" si="1185"/>
        <v>0</v>
      </c>
      <c r="EF263">
        <f t="shared" si="1186"/>
        <v>0</v>
      </c>
      <c r="EG263">
        <f t="shared" si="1187"/>
        <v>0</v>
      </c>
      <c r="EH263">
        <f t="shared" si="1188"/>
        <v>0</v>
      </c>
      <c r="EI263">
        <f t="shared" si="1189"/>
        <v>0</v>
      </c>
      <c r="EJ263">
        <f t="shared" si="1190"/>
        <v>0</v>
      </c>
      <c r="EK263">
        <f t="shared" si="1191"/>
        <v>0</v>
      </c>
      <c r="EL263">
        <f t="shared" si="1192"/>
        <v>0</v>
      </c>
      <c r="EM263">
        <f t="shared" si="1193"/>
        <v>0</v>
      </c>
      <c r="EN263">
        <f t="shared" si="1194"/>
        <v>0</v>
      </c>
      <c r="EO263">
        <f t="shared" si="1195"/>
        <v>0</v>
      </c>
      <c r="EP263">
        <f t="shared" si="1196"/>
        <v>0</v>
      </c>
      <c r="EQ263">
        <f t="shared" si="1197"/>
        <v>0</v>
      </c>
      <c r="ER263">
        <f t="shared" si="1517"/>
        <v>0</v>
      </c>
      <c r="ES263">
        <f t="shared" ref="ES263:ET263" si="1577">IF(ES$218,FC158,0)</f>
        <v>0</v>
      </c>
      <c r="ET263">
        <f t="shared" si="1577"/>
        <v>0</v>
      </c>
      <c r="EU263">
        <f t="shared" si="1199"/>
        <v>0</v>
      </c>
      <c r="EV263">
        <f t="shared" si="1411"/>
        <v>0</v>
      </c>
      <c r="EW263">
        <f t="shared" si="1232"/>
        <v>0</v>
      </c>
      <c r="EX263">
        <f t="shared" si="1201"/>
        <v>0</v>
      </c>
      <c r="EY263">
        <f t="shared" si="1202"/>
        <v>0</v>
      </c>
      <c r="EZ263">
        <f t="shared" ref="EZ263:FI263" si="1578">IF(EZ$218,EZ158,0)</f>
        <v>0</v>
      </c>
      <c r="FA263">
        <f t="shared" si="1578"/>
        <v>0</v>
      </c>
      <c r="FB263">
        <f t="shared" si="1578"/>
        <v>0</v>
      </c>
      <c r="FC263">
        <f t="shared" si="1578"/>
        <v>0</v>
      </c>
      <c r="FD263">
        <f t="shared" si="1578"/>
        <v>0</v>
      </c>
      <c r="FE263">
        <f t="shared" si="1578"/>
        <v>0</v>
      </c>
      <c r="FF263">
        <f t="shared" si="1578"/>
        <v>0</v>
      </c>
      <c r="FG263">
        <f t="shared" si="1578"/>
        <v>0</v>
      </c>
      <c r="FH263">
        <f t="shared" si="1578"/>
        <v>0</v>
      </c>
      <c r="FI263">
        <f t="shared" si="1578"/>
        <v>0</v>
      </c>
      <c r="FJ263">
        <f t="shared" si="1204"/>
        <v>0</v>
      </c>
      <c r="FK263">
        <f t="shared" si="1205"/>
        <v>0</v>
      </c>
      <c r="FL263">
        <f t="shared" si="1413"/>
        <v>0</v>
      </c>
      <c r="FM263">
        <f t="shared" si="1234"/>
        <v>0</v>
      </c>
      <c r="FN263">
        <f t="shared" si="1207"/>
        <v>0</v>
      </c>
      <c r="FO263">
        <f t="shared" si="1208"/>
        <v>0</v>
      </c>
      <c r="FP263">
        <f t="shared" si="1209"/>
        <v>0</v>
      </c>
      <c r="FQ263">
        <f t="shared" si="1210"/>
        <v>0</v>
      </c>
      <c r="FR263">
        <f t="shared" si="1211"/>
        <v>0</v>
      </c>
      <c r="FS263">
        <f t="shared" si="1212"/>
        <v>0</v>
      </c>
      <c r="FT263">
        <f t="shared" si="1213"/>
        <v>0</v>
      </c>
      <c r="FU263">
        <f t="shared" si="1214"/>
        <v>0</v>
      </c>
      <c r="FV263">
        <f t="shared" si="1215"/>
        <v>0</v>
      </c>
      <c r="FW263">
        <f t="shared" si="1216"/>
        <v>0</v>
      </c>
      <c r="FX263">
        <f t="shared" si="1414"/>
        <v>0</v>
      </c>
      <c r="FY263">
        <f t="shared" si="1235"/>
        <v>0</v>
      </c>
      <c r="FZ263">
        <f t="shared" si="1218"/>
        <v>0</v>
      </c>
      <c r="GA263">
        <f t="shared" si="1219"/>
        <v>0</v>
      </c>
      <c r="GB263">
        <f t="shared" si="1220"/>
        <v>0</v>
      </c>
      <c r="GC263">
        <f t="shared" si="1221"/>
        <v>0</v>
      </c>
    </row>
    <row r="264" spans="1:185" x14ac:dyDescent="0.2">
      <c r="A264" s="8" t="str">
        <f t="shared" si="1311"/>
        <v/>
      </c>
      <c r="B264" s="8">
        <f t="shared" si="1312"/>
        <v>0</v>
      </c>
      <c r="C264" s="8">
        <f t="shared" si="1313"/>
        <v>0</v>
      </c>
      <c r="D264" s="8">
        <f t="shared" si="1314"/>
        <v>0</v>
      </c>
      <c r="E264" s="8">
        <f t="shared" si="1486"/>
        <v>0</v>
      </c>
      <c r="F264" s="8">
        <f t="shared" si="1384"/>
        <v>0</v>
      </c>
      <c r="G264" s="8">
        <f t="shared" si="1427"/>
        <v>0</v>
      </c>
      <c r="H264" s="8">
        <f t="shared" si="1428"/>
        <v>0</v>
      </c>
      <c r="I264" s="8">
        <f t="shared" si="1429"/>
        <v>0</v>
      </c>
      <c r="J264" s="8">
        <f t="shared" si="1430"/>
        <v>0</v>
      </c>
      <c r="K264" s="8">
        <f t="shared" si="1431"/>
        <v>0</v>
      </c>
      <c r="L264">
        <f t="shared" si="1320"/>
        <v>0</v>
      </c>
      <c r="M264">
        <f t="shared" si="1321"/>
        <v>0</v>
      </c>
      <c r="N264">
        <f t="shared" si="1322"/>
        <v>0</v>
      </c>
      <c r="O264">
        <f t="shared" si="1323"/>
        <v>0</v>
      </c>
      <c r="P264">
        <f t="shared" si="1324"/>
        <v>0</v>
      </c>
      <c r="Q264">
        <f t="shared" si="1325"/>
        <v>0</v>
      </c>
      <c r="R264">
        <f t="shared" si="1326"/>
        <v>0</v>
      </c>
      <c r="S264">
        <f t="shared" si="1327"/>
        <v>0</v>
      </c>
      <c r="T264">
        <f t="shared" si="1328"/>
        <v>0</v>
      </c>
      <c r="U264">
        <f t="shared" si="1329"/>
        <v>0</v>
      </c>
      <c r="V264">
        <f>IF(V$230,LandEmiss!AF159,0)</f>
        <v>0</v>
      </c>
      <c r="W264">
        <f>IF(W$230,LandEmiss!AG159,0)</f>
        <v>0</v>
      </c>
      <c r="X264">
        <f>IF(X$230,LandEmiss!AH159,0)</f>
        <v>0</v>
      </c>
      <c r="Y264">
        <f>IF(Y$230,LandEmiss!AI159,0)</f>
        <v>0</v>
      </c>
      <c r="Z264">
        <f>IF(Z$230,LandEmiss!AJ159,0)</f>
        <v>0</v>
      </c>
      <c r="AA264">
        <f>IF(AA$230,LandEmiss!AK159,0)</f>
        <v>0</v>
      </c>
      <c r="AB264">
        <f>IF(AB$230,LandEmiss!AL159,0)</f>
        <v>0</v>
      </c>
      <c r="AC264">
        <f>IF(AC$230,LandEmiss!AM159,0)</f>
        <v>0</v>
      </c>
      <c r="AD264">
        <f>IF(AD$230,LandEmiss!AN159,0)</f>
        <v>0</v>
      </c>
      <c r="AE264">
        <f>IF(AE$230,LandEmiss!AO159,0)</f>
        <v>0</v>
      </c>
      <c r="AF264">
        <f t="shared" ref="AF264:AO264" si="1579">IF(AF$230,AF159,0)</f>
        <v>0</v>
      </c>
      <c r="AG264">
        <f t="shared" si="1579"/>
        <v>0</v>
      </c>
      <c r="AH264">
        <f t="shared" si="1579"/>
        <v>0</v>
      </c>
      <c r="AI264">
        <f t="shared" si="1579"/>
        <v>0</v>
      </c>
      <c r="AJ264">
        <f t="shared" si="1579"/>
        <v>0</v>
      </c>
      <c r="AK264">
        <f t="shared" si="1579"/>
        <v>0</v>
      </c>
      <c r="AL264">
        <f t="shared" si="1579"/>
        <v>0</v>
      </c>
      <c r="AM264">
        <f t="shared" si="1579"/>
        <v>0</v>
      </c>
      <c r="AN264">
        <f t="shared" si="1579"/>
        <v>0</v>
      </c>
      <c r="AO264">
        <f t="shared" si="1579"/>
        <v>0</v>
      </c>
      <c r="AP264">
        <f t="shared" si="1331"/>
        <v>0</v>
      </c>
      <c r="AQ264">
        <f t="shared" si="1332"/>
        <v>0</v>
      </c>
      <c r="AR264">
        <f t="shared" si="1333"/>
        <v>0</v>
      </c>
      <c r="AS264">
        <f t="shared" si="1334"/>
        <v>0</v>
      </c>
      <c r="AT264">
        <f t="shared" si="1335"/>
        <v>0</v>
      </c>
      <c r="AU264">
        <f t="shared" si="1336"/>
        <v>0</v>
      </c>
      <c r="AV264">
        <f t="shared" si="1337"/>
        <v>0</v>
      </c>
      <c r="AW264">
        <f t="shared" si="1338"/>
        <v>0</v>
      </c>
      <c r="AX264">
        <f t="shared" si="1339"/>
        <v>0</v>
      </c>
      <c r="AY264">
        <f t="shared" si="1340"/>
        <v>0</v>
      </c>
      <c r="AZ264">
        <f t="shared" si="1341"/>
        <v>0</v>
      </c>
      <c r="BA264">
        <f t="shared" si="1342"/>
        <v>0</v>
      </c>
      <c r="BB264">
        <f t="shared" si="1343"/>
        <v>0</v>
      </c>
      <c r="BC264">
        <f t="shared" si="1344"/>
        <v>0</v>
      </c>
      <c r="BD264">
        <f t="shared" si="1345"/>
        <v>0</v>
      </c>
      <c r="BE264">
        <f t="shared" si="1346"/>
        <v>0</v>
      </c>
      <c r="BF264">
        <f t="shared" si="1347"/>
        <v>0</v>
      </c>
      <c r="BG264">
        <f t="shared" si="1348"/>
        <v>0</v>
      </c>
      <c r="BH264">
        <f t="shared" si="1488"/>
        <v>0</v>
      </c>
      <c r="BI264">
        <f t="shared" si="1387"/>
        <v>0</v>
      </c>
      <c r="BJ264" s="8" t="str">
        <f>Hidden!$CC35</f>
        <v/>
      </c>
      <c r="BK264">
        <f t="shared" ref="BK264:BT264" si="1580">IF(BK$230,CP159,0)</f>
        <v>0</v>
      </c>
      <c r="BL264">
        <f t="shared" si="1580"/>
        <v>0</v>
      </c>
      <c r="BM264">
        <f t="shared" si="1580"/>
        <v>0</v>
      </c>
      <c r="BN264">
        <f t="shared" si="1580"/>
        <v>0</v>
      </c>
      <c r="BO264">
        <f t="shared" si="1580"/>
        <v>0</v>
      </c>
      <c r="BP264">
        <f t="shared" si="1580"/>
        <v>0</v>
      </c>
      <c r="BQ264">
        <f t="shared" si="1580"/>
        <v>0</v>
      </c>
      <c r="BR264">
        <f t="shared" si="1580"/>
        <v>0</v>
      </c>
      <c r="BS264">
        <f t="shared" si="1580"/>
        <v>0</v>
      </c>
      <c r="BT264">
        <f t="shared" si="1580"/>
        <v>0</v>
      </c>
      <c r="BU264">
        <f t="shared" ref="BU264:CD264" si="1581">IF(BU$230,CP159,0)</f>
        <v>0</v>
      </c>
      <c r="BV264">
        <f t="shared" si="1581"/>
        <v>0</v>
      </c>
      <c r="BW264">
        <f t="shared" si="1581"/>
        <v>0</v>
      </c>
      <c r="BX264">
        <f t="shared" si="1581"/>
        <v>0</v>
      </c>
      <c r="BY264">
        <f t="shared" si="1581"/>
        <v>0</v>
      </c>
      <c r="BZ264">
        <f t="shared" si="1581"/>
        <v>0</v>
      </c>
      <c r="CA264">
        <f t="shared" si="1581"/>
        <v>0</v>
      </c>
      <c r="CB264">
        <f t="shared" si="1581"/>
        <v>0</v>
      </c>
      <c r="CC264">
        <f t="shared" si="1581"/>
        <v>0</v>
      </c>
      <c r="CD264">
        <f t="shared" si="1581"/>
        <v>0</v>
      </c>
      <c r="CE264">
        <f t="shared" si="1352"/>
        <v>0</v>
      </c>
      <c r="CF264">
        <f t="shared" si="1353"/>
        <v>0</v>
      </c>
      <c r="CG264">
        <f t="shared" si="1354"/>
        <v>0</v>
      </c>
      <c r="CH264">
        <f t="shared" si="1355"/>
        <v>0</v>
      </c>
      <c r="CI264">
        <f t="shared" si="1356"/>
        <v>0</v>
      </c>
      <c r="CJ264">
        <f t="shared" si="1491"/>
        <v>0</v>
      </c>
      <c r="CK264">
        <f t="shared" si="1390"/>
        <v>0</v>
      </c>
      <c r="CL264">
        <f t="shared" si="1358"/>
        <v>0</v>
      </c>
      <c r="CM264">
        <f t="shared" si="1359"/>
        <v>0</v>
      </c>
      <c r="CN264">
        <f t="shared" si="1360"/>
        <v>0</v>
      </c>
      <c r="CO264">
        <f t="shared" ref="CO264:CX264" si="1582">IF(CO$230,CP159,0)</f>
        <v>0</v>
      </c>
      <c r="CP264">
        <f t="shared" si="1582"/>
        <v>0</v>
      </c>
      <c r="CQ264">
        <f t="shared" si="1582"/>
        <v>0</v>
      </c>
      <c r="CR264">
        <f t="shared" si="1582"/>
        <v>0</v>
      </c>
      <c r="CS264">
        <f t="shared" si="1582"/>
        <v>0</v>
      </c>
      <c r="CT264">
        <f t="shared" si="1582"/>
        <v>0</v>
      </c>
      <c r="CU264">
        <f t="shared" si="1582"/>
        <v>0</v>
      </c>
      <c r="CV264">
        <f t="shared" si="1582"/>
        <v>0</v>
      </c>
      <c r="CW264">
        <f t="shared" si="1582"/>
        <v>0</v>
      </c>
      <c r="CX264">
        <f t="shared" si="1582"/>
        <v>0</v>
      </c>
      <c r="CY264">
        <f t="shared" si="1362"/>
        <v>0</v>
      </c>
      <c r="CZ264">
        <f t="shared" si="1363"/>
        <v>0</v>
      </c>
      <c r="DA264">
        <f t="shared" si="1364"/>
        <v>0</v>
      </c>
      <c r="DB264">
        <f t="shared" si="1365"/>
        <v>0</v>
      </c>
      <c r="DC264">
        <f t="shared" si="1366"/>
        <v>0</v>
      </c>
      <c r="DD264">
        <f t="shared" si="1367"/>
        <v>0</v>
      </c>
      <c r="DE264">
        <f t="shared" si="1368"/>
        <v>0</v>
      </c>
      <c r="DF264">
        <f t="shared" si="1369"/>
        <v>0</v>
      </c>
      <c r="DG264">
        <f t="shared" si="1370"/>
        <v>0</v>
      </c>
      <c r="DH264">
        <f t="shared" si="1371"/>
        <v>0</v>
      </c>
      <c r="DI264">
        <f t="shared" si="1372"/>
        <v>0</v>
      </c>
      <c r="DJ264">
        <f t="shared" si="1373"/>
        <v>0</v>
      </c>
      <c r="DK264">
        <f t="shared" si="1374"/>
        <v>0</v>
      </c>
      <c r="DL264">
        <f t="shared" si="1375"/>
        <v>0</v>
      </c>
      <c r="DM264">
        <f t="shared" si="1376"/>
        <v>0</v>
      </c>
      <c r="DN264">
        <f t="shared" si="1377"/>
        <v>0</v>
      </c>
      <c r="DO264">
        <f t="shared" si="1378"/>
        <v>0</v>
      </c>
      <c r="DP264">
        <f t="shared" si="1379"/>
        <v>0</v>
      </c>
      <c r="DQ264">
        <f t="shared" si="1380"/>
        <v>0</v>
      </c>
      <c r="DR264">
        <f t="shared" si="1381"/>
        <v>0</v>
      </c>
      <c r="DT264" s="77"/>
      <c r="DU264" s="8" t="str">
        <f>Hidden!$CG47</f>
        <v/>
      </c>
      <c r="DV264">
        <f t="shared" si="1176"/>
        <v>0</v>
      </c>
      <c r="DW264">
        <f t="shared" si="1177"/>
        <v>0</v>
      </c>
      <c r="DX264">
        <f t="shared" si="1178"/>
        <v>0</v>
      </c>
      <c r="DY264">
        <f t="shared" si="1179"/>
        <v>0</v>
      </c>
      <c r="DZ264">
        <f t="shared" si="1180"/>
        <v>0</v>
      </c>
      <c r="EA264">
        <f t="shared" si="1181"/>
        <v>0</v>
      </c>
      <c r="EB264">
        <f t="shared" si="1182"/>
        <v>0</v>
      </c>
      <c r="EC264">
        <f t="shared" si="1183"/>
        <v>0</v>
      </c>
      <c r="ED264">
        <f t="shared" si="1184"/>
        <v>0</v>
      </c>
      <c r="EE264">
        <f t="shared" si="1185"/>
        <v>0</v>
      </c>
      <c r="EF264">
        <f t="shared" si="1186"/>
        <v>0</v>
      </c>
      <c r="EG264">
        <f t="shared" si="1187"/>
        <v>0</v>
      </c>
      <c r="EH264">
        <f t="shared" si="1188"/>
        <v>0</v>
      </c>
      <c r="EI264">
        <f t="shared" si="1189"/>
        <v>0</v>
      </c>
      <c r="EJ264">
        <f t="shared" si="1190"/>
        <v>0</v>
      </c>
      <c r="EK264">
        <f t="shared" si="1191"/>
        <v>0</v>
      </c>
      <c r="EL264">
        <f t="shared" si="1192"/>
        <v>0</v>
      </c>
      <c r="EM264">
        <f t="shared" si="1193"/>
        <v>0</v>
      </c>
      <c r="EN264">
        <f t="shared" si="1194"/>
        <v>0</v>
      </c>
      <c r="EO264">
        <f t="shared" si="1195"/>
        <v>0</v>
      </c>
      <c r="EP264">
        <f t="shared" si="1196"/>
        <v>0</v>
      </c>
      <c r="EQ264">
        <f t="shared" si="1197"/>
        <v>0</v>
      </c>
      <c r="ER264">
        <f t="shared" si="1517"/>
        <v>0</v>
      </c>
      <c r="ES264">
        <f t="shared" ref="ES264:ET264" si="1583">IF(ES$218,FC159,0)</f>
        <v>0</v>
      </c>
      <c r="ET264">
        <f t="shared" si="1583"/>
        <v>0</v>
      </c>
      <c r="EU264">
        <f t="shared" si="1199"/>
        <v>0</v>
      </c>
      <c r="EV264">
        <f t="shared" si="1411"/>
        <v>0</v>
      </c>
      <c r="EW264">
        <f t="shared" si="1232"/>
        <v>0</v>
      </c>
      <c r="EX264">
        <f t="shared" si="1201"/>
        <v>0</v>
      </c>
      <c r="EY264">
        <f t="shared" si="1202"/>
        <v>0</v>
      </c>
      <c r="EZ264">
        <f t="shared" ref="EZ264:FI264" si="1584">IF(EZ$218,EZ159,0)</f>
        <v>0</v>
      </c>
      <c r="FA264">
        <f t="shared" si="1584"/>
        <v>0</v>
      </c>
      <c r="FB264">
        <f t="shared" si="1584"/>
        <v>0</v>
      </c>
      <c r="FC264">
        <f t="shared" si="1584"/>
        <v>0</v>
      </c>
      <c r="FD264">
        <f t="shared" si="1584"/>
        <v>0</v>
      </c>
      <c r="FE264">
        <f t="shared" si="1584"/>
        <v>0</v>
      </c>
      <c r="FF264">
        <f t="shared" si="1584"/>
        <v>0</v>
      </c>
      <c r="FG264">
        <f t="shared" si="1584"/>
        <v>0</v>
      </c>
      <c r="FH264">
        <f t="shared" si="1584"/>
        <v>0</v>
      </c>
      <c r="FI264">
        <f t="shared" si="1584"/>
        <v>0</v>
      </c>
      <c r="FJ264">
        <f t="shared" si="1204"/>
        <v>0</v>
      </c>
      <c r="FK264">
        <f t="shared" si="1205"/>
        <v>0</v>
      </c>
      <c r="FL264">
        <f t="shared" si="1413"/>
        <v>0</v>
      </c>
      <c r="FM264">
        <f t="shared" si="1234"/>
        <v>0</v>
      </c>
      <c r="FN264">
        <f t="shared" si="1207"/>
        <v>0</v>
      </c>
      <c r="FO264">
        <f t="shared" si="1208"/>
        <v>0</v>
      </c>
      <c r="FP264">
        <f t="shared" si="1209"/>
        <v>0</v>
      </c>
      <c r="FQ264">
        <f t="shared" si="1210"/>
        <v>0</v>
      </c>
      <c r="FR264">
        <f t="shared" si="1211"/>
        <v>0</v>
      </c>
      <c r="FS264">
        <f t="shared" si="1212"/>
        <v>0</v>
      </c>
      <c r="FT264">
        <f t="shared" si="1213"/>
        <v>0</v>
      </c>
      <c r="FU264">
        <f t="shared" si="1214"/>
        <v>0</v>
      </c>
      <c r="FV264">
        <f t="shared" si="1215"/>
        <v>0</v>
      </c>
      <c r="FW264">
        <f t="shared" si="1216"/>
        <v>0</v>
      </c>
      <c r="FX264">
        <f t="shared" si="1414"/>
        <v>0</v>
      </c>
      <c r="FY264">
        <f t="shared" si="1235"/>
        <v>0</v>
      </c>
      <c r="FZ264">
        <f t="shared" si="1218"/>
        <v>0</v>
      </c>
      <c r="GA264">
        <f t="shared" si="1219"/>
        <v>0</v>
      </c>
      <c r="GB264">
        <f t="shared" si="1220"/>
        <v>0</v>
      </c>
      <c r="GC264">
        <f t="shared" si="1221"/>
        <v>0</v>
      </c>
    </row>
    <row r="265" spans="1:185" x14ac:dyDescent="0.2">
      <c r="A265" s="8" t="str">
        <f t="shared" si="1311"/>
        <v/>
      </c>
      <c r="B265" s="8">
        <f t="shared" si="1312"/>
        <v>0</v>
      </c>
      <c r="C265" s="8">
        <f t="shared" si="1313"/>
        <v>0</v>
      </c>
      <c r="D265" s="8">
        <f t="shared" si="1314"/>
        <v>0</v>
      </c>
      <c r="E265" s="8">
        <f t="shared" si="1486"/>
        <v>0</v>
      </c>
      <c r="F265" s="8">
        <f t="shared" si="1384"/>
        <v>0</v>
      </c>
      <c r="G265" s="8">
        <f t="shared" si="1427"/>
        <v>0</v>
      </c>
      <c r="H265" s="8">
        <f t="shared" si="1428"/>
        <v>0</v>
      </c>
      <c r="I265" s="8">
        <f t="shared" si="1429"/>
        <v>0</v>
      </c>
      <c r="J265" s="8">
        <f t="shared" si="1430"/>
        <v>0</v>
      </c>
      <c r="K265" s="8">
        <f t="shared" si="1431"/>
        <v>0</v>
      </c>
      <c r="L265">
        <f t="shared" si="1320"/>
        <v>0</v>
      </c>
      <c r="M265">
        <f t="shared" si="1321"/>
        <v>0</v>
      </c>
      <c r="N265">
        <f t="shared" si="1322"/>
        <v>0</v>
      </c>
      <c r="O265">
        <f t="shared" si="1323"/>
        <v>0</v>
      </c>
      <c r="P265">
        <f t="shared" si="1324"/>
        <v>0</v>
      </c>
      <c r="Q265">
        <f t="shared" si="1325"/>
        <v>0</v>
      </c>
      <c r="R265">
        <f t="shared" si="1326"/>
        <v>0</v>
      </c>
      <c r="S265">
        <f t="shared" si="1327"/>
        <v>0</v>
      </c>
      <c r="T265">
        <f t="shared" si="1328"/>
        <v>0</v>
      </c>
      <c r="U265">
        <f t="shared" si="1329"/>
        <v>0</v>
      </c>
      <c r="V265">
        <f>IF(V$230,LandEmiss!AF160,0)</f>
        <v>0</v>
      </c>
      <c r="W265">
        <f>IF(W$230,LandEmiss!AG160,0)</f>
        <v>0</v>
      </c>
      <c r="X265">
        <f>IF(X$230,LandEmiss!AH160,0)</f>
        <v>0</v>
      </c>
      <c r="Y265">
        <f>IF(Y$230,LandEmiss!AI160,0)</f>
        <v>0</v>
      </c>
      <c r="Z265">
        <f>IF(Z$230,LandEmiss!AJ160,0)</f>
        <v>0</v>
      </c>
      <c r="AA265">
        <f>IF(AA$230,LandEmiss!AK160,0)</f>
        <v>0</v>
      </c>
      <c r="AB265">
        <f>IF(AB$230,LandEmiss!AL160,0)</f>
        <v>0</v>
      </c>
      <c r="AC265">
        <f>IF(AC$230,LandEmiss!AM160,0)</f>
        <v>0</v>
      </c>
      <c r="AD265">
        <f>IF(AD$230,LandEmiss!AN160,0)</f>
        <v>0</v>
      </c>
      <c r="AE265">
        <f>IF(AE$230,LandEmiss!AO160,0)</f>
        <v>0</v>
      </c>
      <c r="AF265">
        <f t="shared" ref="AF265:AO265" si="1585">IF(AF$230,AF160,0)</f>
        <v>0</v>
      </c>
      <c r="AG265">
        <f t="shared" si="1585"/>
        <v>0</v>
      </c>
      <c r="AH265">
        <f t="shared" si="1585"/>
        <v>0</v>
      </c>
      <c r="AI265">
        <f t="shared" si="1585"/>
        <v>0</v>
      </c>
      <c r="AJ265">
        <f t="shared" si="1585"/>
        <v>0</v>
      </c>
      <c r="AK265">
        <f t="shared" si="1585"/>
        <v>0</v>
      </c>
      <c r="AL265">
        <f t="shared" si="1585"/>
        <v>0</v>
      </c>
      <c r="AM265">
        <f t="shared" si="1585"/>
        <v>0</v>
      </c>
      <c r="AN265">
        <f t="shared" si="1585"/>
        <v>0</v>
      </c>
      <c r="AO265">
        <f t="shared" si="1585"/>
        <v>0</v>
      </c>
      <c r="AP265">
        <f t="shared" si="1331"/>
        <v>0</v>
      </c>
      <c r="AQ265">
        <f t="shared" si="1332"/>
        <v>0</v>
      </c>
      <c r="AR265">
        <f t="shared" si="1333"/>
        <v>0</v>
      </c>
      <c r="AS265">
        <f t="shared" si="1334"/>
        <v>0</v>
      </c>
      <c r="AT265">
        <f t="shared" si="1335"/>
        <v>0</v>
      </c>
      <c r="AU265">
        <f t="shared" si="1336"/>
        <v>0</v>
      </c>
      <c r="AV265">
        <f t="shared" si="1337"/>
        <v>0</v>
      </c>
      <c r="AW265">
        <f t="shared" si="1338"/>
        <v>0</v>
      </c>
      <c r="AX265">
        <f t="shared" si="1339"/>
        <v>0</v>
      </c>
      <c r="AY265">
        <f t="shared" si="1340"/>
        <v>0</v>
      </c>
      <c r="AZ265">
        <f t="shared" si="1341"/>
        <v>0</v>
      </c>
      <c r="BA265">
        <f t="shared" si="1342"/>
        <v>0</v>
      </c>
      <c r="BB265">
        <f t="shared" si="1343"/>
        <v>0</v>
      </c>
      <c r="BC265">
        <f t="shared" si="1344"/>
        <v>0</v>
      </c>
      <c r="BD265">
        <f t="shared" si="1345"/>
        <v>0</v>
      </c>
      <c r="BE265">
        <f t="shared" si="1346"/>
        <v>0</v>
      </c>
      <c r="BF265">
        <f t="shared" si="1347"/>
        <v>0</v>
      </c>
      <c r="BG265">
        <f t="shared" si="1348"/>
        <v>0</v>
      </c>
      <c r="BH265">
        <f t="shared" si="1488"/>
        <v>0</v>
      </c>
      <c r="BI265">
        <f t="shared" si="1387"/>
        <v>0</v>
      </c>
      <c r="BJ265" s="8" t="str">
        <f>Hidden!$CC36</f>
        <v/>
      </c>
      <c r="BK265">
        <f t="shared" ref="BK265:BT265" si="1586">IF(BK$230,CP160,0)</f>
        <v>0</v>
      </c>
      <c r="BL265">
        <f t="shared" si="1586"/>
        <v>0</v>
      </c>
      <c r="BM265">
        <f t="shared" si="1586"/>
        <v>0</v>
      </c>
      <c r="BN265">
        <f t="shared" si="1586"/>
        <v>0</v>
      </c>
      <c r="BO265">
        <f t="shared" si="1586"/>
        <v>0</v>
      </c>
      <c r="BP265">
        <f t="shared" si="1586"/>
        <v>0</v>
      </c>
      <c r="BQ265">
        <f t="shared" si="1586"/>
        <v>0</v>
      </c>
      <c r="BR265">
        <f t="shared" si="1586"/>
        <v>0</v>
      </c>
      <c r="BS265">
        <f t="shared" si="1586"/>
        <v>0</v>
      </c>
      <c r="BT265">
        <f t="shared" si="1586"/>
        <v>0</v>
      </c>
      <c r="BU265">
        <f t="shared" ref="BU265:CD265" si="1587">IF(BU$230,CP160,0)</f>
        <v>0</v>
      </c>
      <c r="BV265">
        <f t="shared" si="1587"/>
        <v>0</v>
      </c>
      <c r="BW265">
        <f t="shared" si="1587"/>
        <v>0</v>
      </c>
      <c r="BX265">
        <f t="shared" si="1587"/>
        <v>0</v>
      </c>
      <c r="BY265">
        <f t="shared" si="1587"/>
        <v>0</v>
      </c>
      <c r="BZ265">
        <f t="shared" si="1587"/>
        <v>0</v>
      </c>
      <c r="CA265">
        <f t="shared" si="1587"/>
        <v>0</v>
      </c>
      <c r="CB265">
        <f t="shared" si="1587"/>
        <v>0</v>
      </c>
      <c r="CC265">
        <f t="shared" si="1587"/>
        <v>0</v>
      </c>
      <c r="CD265">
        <f t="shared" si="1587"/>
        <v>0</v>
      </c>
      <c r="CE265">
        <f t="shared" si="1352"/>
        <v>0</v>
      </c>
      <c r="CF265">
        <f t="shared" si="1353"/>
        <v>0</v>
      </c>
      <c r="CG265">
        <f t="shared" si="1354"/>
        <v>0</v>
      </c>
      <c r="CH265">
        <f t="shared" si="1355"/>
        <v>0</v>
      </c>
      <c r="CI265">
        <f t="shared" si="1356"/>
        <v>0</v>
      </c>
      <c r="CJ265">
        <f t="shared" si="1491"/>
        <v>0</v>
      </c>
      <c r="CK265">
        <f t="shared" si="1390"/>
        <v>0</v>
      </c>
      <c r="CL265">
        <f t="shared" si="1358"/>
        <v>0</v>
      </c>
      <c r="CM265">
        <f t="shared" si="1359"/>
        <v>0</v>
      </c>
      <c r="CN265">
        <f t="shared" si="1360"/>
        <v>0</v>
      </c>
      <c r="CO265">
        <f t="shared" ref="CO265:CX265" si="1588">IF(CO$230,CP160,0)</f>
        <v>0</v>
      </c>
      <c r="CP265">
        <f t="shared" si="1588"/>
        <v>0</v>
      </c>
      <c r="CQ265">
        <f t="shared" si="1588"/>
        <v>0</v>
      </c>
      <c r="CR265">
        <f t="shared" si="1588"/>
        <v>0</v>
      </c>
      <c r="CS265">
        <f t="shared" si="1588"/>
        <v>0</v>
      </c>
      <c r="CT265">
        <f t="shared" si="1588"/>
        <v>0</v>
      </c>
      <c r="CU265">
        <f t="shared" si="1588"/>
        <v>0</v>
      </c>
      <c r="CV265">
        <f t="shared" si="1588"/>
        <v>0</v>
      </c>
      <c r="CW265">
        <f t="shared" si="1588"/>
        <v>0</v>
      </c>
      <c r="CX265">
        <f t="shared" si="1588"/>
        <v>0</v>
      </c>
      <c r="CY265">
        <f t="shared" si="1362"/>
        <v>0</v>
      </c>
      <c r="CZ265">
        <f t="shared" si="1363"/>
        <v>0</v>
      </c>
      <c r="DA265">
        <f t="shared" si="1364"/>
        <v>0</v>
      </c>
      <c r="DB265">
        <f t="shared" si="1365"/>
        <v>0</v>
      </c>
      <c r="DC265">
        <f t="shared" si="1366"/>
        <v>0</v>
      </c>
      <c r="DD265">
        <f t="shared" si="1367"/>
        <v>0</v>
      </c>
      <c r="DE265">
        <f t="shared" si="1368"/>
        <v>0</v>
      </c>
      <c r="DF265">
        <f t="shared" si="1369"/>
        <v>0</v>
      </c>
      <c r="DG265">
        <f t="shared" si="1370"/>
        <v>0</v>
      </c>
      <c r="DH265">
        <f t="shared" si="1371"/>
        <v>0</v>
      </c>
      <c r="DI265">
        <f t="shared" si="1372"/>
        <v>0</v>
      </c>
      <c r="DJ265">
        <f t="shared" si="1373"/>
        <v>0</v>
      </c>
      <c r="DK265">
        <f t="shared" si="1374"/>
        <v>0</v>
      </c>
      <c r="DL265">
        <f t="shared" si="1375"/>
        <v>0</v>
      </c>
      <c r="DM265">
        <f t="shared" si="1376"/>
        <v>0</v>
      </c>
      <c r="DN265">
        <f t="shared" si="1377"/>
        <v>0</v>
      </c>
      <c r="DO265">
        <f t="shared" si="1378"/>
        <v>0</v>
      </c>
      <c r="DP265">
        <f t="shared" si="1379"/>
        <v>0</v>
      </c>
      <c r="DQ265">
        <f t="shared" si="1380"/>
        <v>0</v>
      </c>
      <c r="DR265">
        <f t="shared" si="1381"/>
        <v>0</v>
      </c>
      <c r="DT265" s="77"/>
      <c r="DU265" s="8" t="str">
        <f>Hidden!$CG48</f>
        <v/>
      </c>
      <c r="DV265">
        <f t="shared" si="1176"/>
        <v>0</v>
      </c>
      <c r="DW265">
        <f t="shared" si="1177"/>
        <v>0</v>
      </c>
      <c r="DX265">
        <f t="shared" si="1178"/>
        <v>0</v>
      </c>
      <c r="DY265">
        <f t="shared" si="1179"/>
        <v>0</v>
      </c>
      <c r="DZ265">
        <f t="shared" si="1180"/>
        <v>0</v>
      </c>
      <c r="EA265">
        <f t="shared" si="1181"/>
        <v>0</v>
      </c>
      <c r="EB265">
        <f t="shared" si="1182"/>
        <v>0</v>
      </c>
      <c r="EC265">
        <f t="shared" si="1183"/>
        <v>0</v>
      </c>
      <c r="ED265">
        <f t="shared" si="1184"/>
        <v>0</v>
      </c>
      <c r="EE265">
        <f t="shared" si="1185"/>
        <v>0</v>
      </c>
      <c r="EF265">
        <f t="shared" si="1186"/>
        <v>0</v>
      </c>
      <c r="EG265">
        <f t="shared" si="1187"/>
        <v>0</v>
      </c>
      <c r="EH265">
        <f t="shared" si="1188"/>
        <v>0</v>
      </c>
      <c r="EI265">
        <f t="shared" si="1189"/>
        <v>0</v>
      </c>
      <c r="EJ265">
        <f t="shared" si="1190"/>
        <v>0</v>
      </c>
      <c r="EK265">
        <f t="shared" si="1191"/>
        <v>0</v>
      </c>
      <c r="EL265">
        <f t="shared" si="1192"/>
        <v>0</v>
      </c>
      <c r="EM265">
        <f t="shared" si="1193"/>
        <v>0</v>
      </c>
      <c r="EN265">
        <f t="shared" si="1194"/>
        <v>0</v>
      </c>
      <c r="EO265">
        <f t="shared" si="1195"/>
        <v>0</v>
      </c>
      <c r="EP265">
        <f t="shared" si="1196"/>
        <v>0</v>
      </c>
      <c r="EQ265">
        <f t="shared" si="1197"/>
        <v>0</v>
      </c>
      <c r="ER265">
        <f t="shared" si="1517"/>
        <v>0</v>
      </c>
      <c r="ES265">
        <f t="shared" ref="ES265:ET265" si="1589">IF(ES$218,FC160,0)</f>
        <v>0</v>
      </c>
      <c r="ET265">
        <f t="shared" si="1589"/>
        <v>0</v>
      </c>
      <c r="EU265">
        <f t="shared" si="1199"/>
        <v>0</v>
      </c>
      <c r="EV265">
        <f t="shared" si="1411"/>
        <v>0</v>
      </c>
      <c r="EW265">
        <f t="shared" si="1232"/>
        <v>0</v>
      </c>
      <c r="EX265">
        <f t="shared" si="1201"/>
        <v>0</v>
      </c>
      <c r="EY265">
        <f t="shared" si="1202"/>
        <v>0</v>
      </c>
      <c r="EZ265">
        <f t="shared" ref="EZ265:FI265" si="1590">IF(EZ$218,EZ160,0)</f>
        <v>0</v>
      </c>
      <c r="FA265">
        <f t="shared" si="1590"/>
        <v>0</v>
      </c>
      <c r="FB265">
        <f t="shared" si="1590"/>
        <v>0</v>
      </c>
      <c r="FC265">
        <f t="shared" si="1590"/>
        <v>0</v>
      </c>
      <c r="FD265">
        <f t="shared" si="1590"/>
        <v>0</v>
      </c>
      <c r="FE265">
        <f t="shared" si="1590"/>
        <v>0</v>
      </c>
      <c r="FF265">
        <f t="shared" si="1590"/>
        <v>0</v>
      </c>
      <c r="FG265">
        <f t="shared" si="1590"/>
        <v>0</v>
      </c>
      <c r="FH265">
        <f t="shared" si="1590"/>
        <v>0</v>
      </c>
      <c r="FI265">
        <f t="shared" si="1590"/>
        <v>0</v>
      </c>
      <c r="FJ265">
        <f t="shared" si="1204"/>
        <v>0</v>
      </c>
      <c r="FK265">
        <f t="shared" si="1205"/>
        <v>0</v>
      </c>
      <c r="FL265">
        <f t="shared" si="1413"/>
        <v>0</v>
      </c>
      <c r="FM265">
        <f t="shared" si="1234"/>
        <v>0</v>
      </c>
      <c r="FN265">
        <f t="shared" si="1207"/>
        <v>0</v>
      </c>
      <c r="FO265">
        <f t="shared" si="1208"/>
        <v>0</v>
      </c>
      <c r="FP265">
        <f t="shared" si="1209"/>
        <v>0</v>
      </c>
      <c r="FQ265">
        <f t="shared" si="1210"/>
        <v>0</v>
      </c>
      <c r="FR265">
        <f t="shared" si="1211"/>
        <v>0</v>
      </c>
      <c r="FS265">
        <f t="shared" si="1212"/>
        <v>0</v>
      </c>
      <c r="FT265">
        <f t="shared" si="1213"/>
        <v>0</v>
      </c>
      <c r="FU265">
        <f t="shared" si="1214"/>
        <v>0</v>
      </c>
      <c r="FV265">
        <f t="shared" si="1215"/>
        <v>0</v>
      </c>
      <c r="FW265">
        <f t="shared" si="1216"/>
        <v>0</v>
      </c>
      <c r="FX265">
        <f t="shared" si="1414"/>
        <v>0</v>
      </c>
      <c r="FY265">
        <f t="shared" si="1235"/>
        <v>0</v>
      </c>
      <c r="FZ265">
        <f t="shared" si="1218"/>
        <v>0</v>
      </c>
      <c r="GA265">
        <f t="shared" si="1219"/>
        <v>0</v>
      </c>
      <c r="GB265">
        <f t="shared" si="1220"/>
        <v>0</v>
      </c>
      <c r="GC265">
        <f t="shared" si="1221"/>
        <v>0</v>
      </c>
    </row>
    <row r="266" spans="1:185" x14ac:dyDescent="0.2">
      <c r="A266" s="8" t="str">
        <f t="shared" si="1311"/>
        <v/>
      </c>
      <c r="B266" s="8">
        <f t="shared" si="1312"/>
        <v>0</v>
      </c>
      <c r="C266" s="8">
        <f t="shared" si="1313"/>
        <v>0</v>
      </c>
      <c r="D266" s="8">
        <f t="shared" si="1314"/>
        <v>0</v>
      </c>
      <c r="E266" s="8">
        <f t="shared" si="1486"/>
        <v>0</v>
      </c>
      <c r="F266" s="8">
        <f t="shared" si="1384"/>
        <v>0</v>
      </c>
      <c r="G266" s="8">
        <f t="shared" si="1427"/>
        <v>0</v>
      </c>
      <c r="H266" s="8">
        <f t="shared" si="1428"/>
        <v>0</v>
      </c>
      <c r="I266" s="8">
        <f t="shared" si="1429"/>
        <v>0</v>
      </c>
      <c r="J266" s="8">
        <f t="shared" si="1430"/>
        <v>0</v>
      </c>
      <c r="K266" s="8">
        <f t="shared" si="1431"/>
        <v>0</v>
      </c>
      <c r="L266">
        <f t="shared" si="1320"/>
        <v>0</v>
      </c>
      <c r="M266">
        <f t="shared" si="1321"/>
        <v>0</v>
      </c>
      <c r="N266">
        <f t="shared" si="1322"/>
        <v>0</v>
      </c>
      <c r="O266">
        <f t="shared" si="1323"/>
        <v>0</v>
      </c>
      <c r="P266">
        <f t="shared" si="1324"/>
        <v>0</v>
      </c>
      <c r="Q266">
        <f t="shared" si="1325"/>
        <v>0</v>
      </c>
      <c r="R266">
        <f t="shared" si="1326"/>
        <v>0</v>
      </c>
      <c r="S266">
        <f t="shared" si="1327"/>
        <v>0</v>
      </c>
      <c r="T266">
        <f t="shared" si="1328"/>
        <v>0</v>
      </c>
      <c r="U266">
        <f t="shared" si="1329"/>
        <v>0</v>
      </c>
      <c r="V266">
        <f>IF(V$230,LandEmiss!AF161,0)</f>
        <v>0</v>
      </c>
      <c r="W266">
        <f>IF(W$230,LandEmiss!AG161,0)</f>
        <v>0</v>
      </c>
      <c r="X266">
        <f>IF(X$230,LandEmiss!AH161,0)</f>
        <v>0</v>
      </c>
      <c r="Y266">
        <f>IF(Y$230,LandEmiss!AI161,0)</f>
        <v>0</v>
      </c>
      <c r="Z266">
        <f>IF(Z$230,LandEmiss!AJ161,0)</f>
        <v>0</v>
      </c>
      <c r="AA266">
        <f>IF(AA$230,LandEmiss!AK161,0)</f>
        <v>0</v>
      </c>
      <c r="AB266">
        <f>IF(AB$230,LandEmiss!AL161,0)</f>
        <v>0</v>
      </c>
      <c r="AC266">
        <f>IF(AC$230,LandEmiss!AM161,0)</f>
        <v>0</v>
      </c>
      <c r="AD266">
        <f>IF(AD$230,LandEmiss!AN161,0)</f>
        <v>0</v>
      </c>
      <c r="AE266">
        <f>IF(AE$230,LandEmiss!AO161,0)</f>
        <v>0</v>
      </c>
      <c r="AF266">
        <f t="shared" ref="AF266:AO266" si="1591">IF(AF$230,AF161,0)</f>
        <v>0</v>
      </c>
      <c r="AG266">
        <f t="shared" si="1591"/>
        <v>0</v>
      </c>
      <c r="AH266">
        <f t="shared" si="1591"/>
        <v>0</v>
      </c>
      <c r="AI266">
        <f t="shared" si="1591"/>
        <v>0</v>
      </c>
      <c r="AJ266">
        <f t="shared" si="1591"/>
        <v>0</v>
      </c>
      <c r="AK266">
        <f t="shared" si="1591"/>
        <v>0</v>
      </c>
      <c r="AL266">
        <f t="shared" si="1591"/>
        <v>0</v>
      </c>
      <c r="AM266">
        <f t="shared" si="1591"/>
        <v>0</v>
      </c>
      <c r="AN266">
        <f t="shared" si="1591"/>
        <v>0</v>
      </c>
      <c r="AO266">
        <f t="shared" si="1591"/>
        <v>0</v>
      </c>
      <c r="AP266">
        <f t="shared" si="1331"/>
        <v>0</v>
      </c>
      <c r="AQ266">
        <f t="shared" si="1332"/>
        <v>0</v>
      </c>
      <c r="AR266">
        <f t="shared" si="1333"/>
        <v>0</v>
      </c>
      <c r="AS266">
        <f t="shared" si="1334"/>
        <v>0</v>
      </c>
      <c r="AT266">
        <f t="shared" si="1335"/>
        <v>0</v>
      </c>
      <c r="AU266">
        <f t="shared" si="1336"/>
        <v>0</v>
      </c>
      <c r="AV266">
        <f t="shared" si="1337"/>
        <v>0</v>
      </c>
      <c r="AW266">
        <f t="shared" si="1338"/>
        <v>0</v>
      </c>
      <c r="AX266">
        <f t="shared" si="1339"/>
        <v>0</v>
      </c>
      <c r="AY266">
        <f t="shared" si="1340"/>
        <v>0</v>
      </c>
      <c r="AZ266">
        <f t="shared" si="1341"/>
        <v>0</v>
      </c>
      <c r="BA266">
        <f t="shared" si="1342"/>
        <v>0</v>
      </c>
      <c r="BB266">
        <f t="shared" si="1343"/>
        <v>0</v>
      </c>
      <c r="BC266">
        <f t="shared" si="1344"/>
        <v>0</v>
      </c>
      <c r="BD266">
        <f t="shared" si="1345"/>
        <v>0</v>
      </c>
      <c r="BE266">
        <f t="shared" si="1346"/>
        <v>0</v>
      </c>
      <c r="BF266">
        <f t="shared" si="1347"/>
        <v>0</v>
      </c>
      <c r="BG266">
        <f t="shared" si="1348"/>
        <v>0</v>
      </c>
      <c r="BH266">
        <f t="shared" si="1488"/>
        <v>0</v>
      </c>
      <c r="BI266">
        <f t="shared" si="1387"/>
        <v>0</v>
      </c>
      <c r="BJ266" s="8" t="str">
        <f>Hidden!$CC37</f>
        <v/>
      </c>
      <c r="BK266">
        <f t="shared" ref="BK266:BT266" si="1592">IF(BK$230,CP161,0)</f>
        <v>0</v>
      </c>
      <c r="BL266">
        <f t="shared" si="1592"/>
        <v>0</v>
      </c>
      <c r="BM266">
        <f t="shared" si="1592"/>
        <v>0</v>
      </c>
      <c r="BN266">
        <f t="shared" si="1592"/>
        <v>0</v>
      </c>
      <c r="BO266">
        <f t="shared" si="1592"/>
        <v>0</v>
      </c>
      <c r="BP266">
        <f t="shared" si="1592"/>
        <v>0</v>
      </c>
      <c r="BQ266">
        <f t="shared" si="1592"/>
        <v>0</v>
      </c>
      <c r="BR266">
        <f t="shared" si="1592"/>
        <v>0</v>
      </c>
      <c r="BS266">
        <f t="shared" si="1592"/>
        <v>0</v>
      </c>
      <c r="BT266">
        <f t="shared" si="1592"/>
        <v>0</v>
      </c>
      <c r="BU266">
        <f t="shared" ref="BU266:CD266" si="1593">IF(BU$230,CP161,0)</f>
        <v>0</v>
      </c>
      <c r="BV266">
        <f t="shared" si="1593"/>
        <v>0</v>
      </c>
      <c r="BW266">
        <f t="shared" si="1593"/>
        <v>0</v>
      </c>
      <c r="BX266">
        <f t="shared" si="1593"/>
        <v>0</v>
      </c>
      <c r="BY266">
        <f t="shared" si="1593"/>
        <v>0</v>
      </c>
      <c r="BZ266">
        <f t="shared" si="1593"/>
        <v>0</v>
      </c>
      <c r="CA266">
        <f t="shared" si="1593"/>
        <v>0</v>
      </c>
      <c r="CB266">
        <f t="shared" si="1593"/>
        <v>0</v>
      </c>
      <c r="CC266">
        <f t="shared" si="1593"/>
        <v>0</v>
      </c>
      <c r="CD266">
        <f t="shared" si="1593"/>
        <v>0</v>
      </c>
      <c r="CE266">
        <f t="shared" si="1352"/>
        <v>0</v>
      </c>
      <c r="CF266">
        <f t="shared" si="1353"/>
        <v>0</v>
      </c>
      <c r="CG266">
        <f t="shared" si="1354"/>
        <v>0</v>
      </c>
      <c r="CH266">
        <f t="shared" si="1355"/>
        <v>0</v>
      </c>
      <c r="CI266">
        <f t="shared" si="1356"/>
        <v>0</v>
      </c>
      <c r="CJ266">
        <f t="shared" si="1491"/>
        <v>0</v>
      </c>
      <c r="CK266">
        <f t="shared" si="1390"/>
        <v>0</v>
      </c>
      <c r="CL266">
        <f t="shared" si="1358"/>
        <v>0</v>
      </c>
      <c r="CM266">
        <f t="shared" si="1359"/>
        <v>0</v>
      </c>
      <c r="CN266">
        <f t="shared" si="1360"/>
        <v>0</v>
      </c>
      <c r="CO266">
        <f t="shared" ref="CO266:CX266" si="1594">IF(CO$230,CP161,0)</f>
        <v>0</v>
      </c>
      <c r="CP266">
        <f t="shared" si="1594"/>
        <v>0</v>
      </c>
      <c r="CQ266">
        <f t="shared" si="1594"/>
        <v>0</v>
      </c>
      <c r="CR266">
        <f t="shared" si="1594"/>
        <v>0</v>
      </c>
      <c r="CS266">
        <f t="shared" si="1594"/>
        <v>0</v>
      </c>
      <c r="CT266">
        <f t="shared" si="1594"/>
        <v>0</v>
      </c>
      <c r="CU266">
        <f t="shared" si="1594"/>
        <v>0</v>
      </c>
      <c r="CV266">
        <f t="shared" si="1594"/>
        <v>0</v>
      </c>
      <c r="CW266">
        <f t="shared" si="1594"/>
        <v>0</v>
      </c>
      <c r="CX266">
        <f t="shared" si="1594"/>
        <v>0</v>
      </c>
      <c r="CY266">
        <f t="shared" si="1362"/>
        <v>0</v>
      </c>
      <c r="CZ266">
        <f t="shared" si="1363"/>
        <v>0</v>
      </c>
      <c r="DA266">
        <f t="shared" si="1364"/>
        <v>0</v>
      </c>
      <c r="DB266">
        <f t="shared" si="1365"/>
        <v>0</v>
      </c>
      <c r="DC266">
        <f t="shared" si="1366"/>
        <v>0</v>
      </c>
      <c r="DD266">
        <f t="shared" si="1367"/>
        <v>0</v>
      </c>
      <c r="DE266">
        <f t="shared" si="1368"/>
        <v>0</v>
      </c>
      <c r="DF266">
        <f t="shared" si="1369"/>
        <v>0</v>
      </c>
      <c r="DG266">
        <f t="shared" si="1370"/>
        <v>0</v>
      </c>
      <c r="DH266">
        <f t="shared" si="1371"/>
        <v>0</v>
      </c>
      <c r="DI266">
        <f t="shared" si="1372"/>
        <v>0</v>
      </c>
      <c r="DJ266">
        <f t="shared" si="1373"/>
        <v>0</v>
      </c>
      <c r="DK266">
        <f t="shared" si="1374"/>
        <v>0</v>
      </c>
      <c r="DL266">
        <f t="shared" si="1375"/>
        <v>0</v>
      </c>
      <c r="DM266">
        <f t="shared" si="1376"/>
        <v>0</v>
      </c>
      <c r="DN266">
        <f t="shared" si="1377"/>
        <v>0</v>
      </c>
      <c r="DO266">
        <f t="shared" si="1378"/>
        <v>0</v>
      </c>
      <c r="DP266">
        <f t="shared" si="1379"/>
        <v>0</v>
      </c>
      <c r="DQ266">
        <f t="shared" si="1380"/>
        <v>0</v>
      </c>
      <c r="DR266">
        <f t="shared" si="1381"/>
        <v>0</v>
      </c>
      <c r="DT266" s="77"/>
      <c r="DU266" s="8" t="str">
        <f>Hidden!$CG49</f>
        <v/>
      </c>
      <c r="DV266">
        <f t="shared" si="1176"/>
        <v>0</v>
      </c>
      <c r="DW266">
        <f t="shared" si="1177"/>
        <v>0</v>
      </c>
      <c r="DX266">
        <f t="shared" si="1178"/>
        <v>0</v>
      </c>
      <c r="DY266">
        <f t="shared" si="1179"/>
        <v>0</v>
      </c>
      <c r="DZ266">
        <f t="shared" si="1180"/>
        <v>0</v>
      </c>
      <c r="EA266">
        <f t="shared" si="1181"/>
        <v>0</v>
      </c>
      <c r="EB266">
        <f t="shared" si="1182"/>
        <v>0</v>
      </c>
      <c r="EC266">
        <f t="shared" si="1183"/>
        <v>0</v>
      </c>
      <c r="ED266">
        <f t="shared" si="1184"/>
        <v>0</v>
      </c>
      <c r="EE266">
        <f t="shared" si="1185"/>
        <v>0</v>
      </c>
      <c r="EF266">
        <f t="shared" si="1186"/>
        <v>0</v>
      </c>
      <c r="EG266">
        <f t="shared" si="1187"/>
        <v>0</v>
      </c>
      <c r="EH266">
        <f t="shared" si="1188"/>
        <v>0</v>
      </c>
      <c r="EI266">
        <f t="shared" si="1189"/>
        <v>0</v>
      </c>
      <c r="EJ266">
        <f t="shared" si="1190"/>
        <v>0</v>
      </c>
      <c r="EK266">
        <f t="shared" si="1191"/>
        <v>0</v>
      </c>
      <c r="EL266">
        <f t="shared" si="1192"/>
        <v>0</v>
      </c>
      <c r="EM266">
        <f t="shared" si="1193"/>
        <v>0</v>
      </c>
      <c r="EN266">
        <f t="shared" si="1194"/>
        <v>0</v>
      </c>
      <c r="EO266">
        <f t="shared" si="1195"/>
        <v>0</v>
      </c>
      <c r="EP266">
        <f t="shared" si="1196"/>
        <v>0</v>
      </c>
      <c r="EQ266">
        <f t="shared" si="1197"/>
        <v>0</v>
      </c>
      <c r="ER266">
        <f t="shared" si="1517"/>
        <v>0</v>
      </c>
      <c r="ES266">
        <f t="shared" ref="ES266:ET266" si="1595">IF(ES$218,FC161,0)</f>
        <v>0</v>
      </c>
      <c r="ET266">
        <f t="shared" si="1595"/>
        <v>0</v>
      </c>
      <c r="EU266">
        <f t="shared" si="1199"/>
        <v>0</v>
      </c>
      <c r="EV266">
        <f t="shared" si="1411"/>
        <v>0</v>
      </c>
      <c r="EW266">
        <f t="shared" si="1232"/>
        <v>0</v>
      </c>
      <c r="EX266">
        <f t="shared" si="1201"/>
        <v>0</v>
      </c>
      <c r="EY266">
        <f t="shared" si="1202"/>
        <v>0</v>
      </c>
      <c r="EZ266">
        <f t="shared" ref="EZ266:FI266" si="1596">IF(EZ$218,EZ161,0)</f>
        <v>0</v>
      </c>
      <c r="FA266">
        <f t="shared" si="1596"/>
        <v>0</v>
      </c>
      <c r="FB266">
        <f t="shared" si="1596"/>
        <v>0</v>
      </c>
      <c r="FC266">
        <f t="shared" si="1596"/>
        <v>0</v>
      </c>
      <c r="FD266">
        <f t="shared" si="1596"/>
        <v>0</v>
      </c>
      <c r="FE266">
        <f t="shared" si="1596"/>
        <v>0</v>
      </c>
      <c r="FF266">
        <f t="shared" si="1596"/>
        <v>0</v>
      </c>
      <c r="FG266">
        <f t="shared" si="1596"/>
        <v>0</v>
      </c>
      <c r="FH266">
        <f t="shared" si="1596"/>
        <v>0</v>
      </c>
      <c r="FI266">
        <f t="shared" si="1596"/>
        <v>0</v>
      </c>
      <c r="FJ266">
        <f t="shared" si="1204"/>
        <v>0</v>
      </c>
      <c r="FK266">
        <f t="shared" si="1205"/>
        <v>0</v>
      </c>
      <c r="FL266">
        <f t="shared" si="1413"/>
        <v>0</v>
      </c>
      <c r="FM266">
        <f t="shared" si="1234"/>
        <v>0</v>
      </c>
      <c r="FN266">
        <f t="shared" si="1207"/>
        <v>0</v>
      </c>
      <c r="FO266">
        <f t="shared" si="1208"/>
        <v>0</v>
      </c>
      <c r="FP266">
        <f t="shared" si="1209"/>
        <v>0</v>
      </c>
      <c r="FQ266">
        <f t="shared" si="1210"/>
        <v>0</v>
      </c>
      <c r="FR266">
        <f t="shared" si="1211"/>
        <v>0</v>
      </c>
      <c r="FS266">
        <f t="shared" si="1212"/>
        <v>0</v>
      </c>
      <c r="FT266">
        <f t="shared" si="1213"/>
        <v>0</v>
      </c>
      <c r="FU266">
        <f t="shared" si="1214"/>
        <v>0</v>
      </c>
      <c r="FV266">
        <f t="shared" si="1215"/>
        <v>0</v>
      </c>
      <c r="FW266">
        <f t="shared" si="1216"/>
        <v>0</v>
      </c>
      <c r="FX266">
        <f t="shared" si="1414"/>
        <v>0</v>
      </c>
      <c r="FY266">
        <f t="shared" si="1235"/>
        <v>0</v>
      </c>
      <c r="FZ266">
        <f t="shared" si="1218"/>
        <v>0</v>
      </c>
      <c r="GA266">
        <f t="shared" si="1219"/>
        <v>0</v>
      </c>
      <c r="GB266">
        <f t="shared" si="1220"/>
        <v>0</v>
      </c>
      <c r="GC266">
        <f t="shared" si="1221"/>
        <v>0</v>
      </c>
    </row>
    <row r="267" spans="1:185" x14ac:dyDescent="0.2">
      <c r="A267" s="8" t="str">
        <f t="shared" si="1311"/>
        <v/>
      </c>
      <c r="B267" s="8">
        <f t="shared" si="1312"/>
        <v>0</v>
      </c>
      <c r="C267" s="8">
        <f t="shared" si="1313"/>
        <v>0</v>
      </c>
      <c r="D267" s="8">
        <f t="shared" si="1314"/>
        <v>0</v>
      </c>
      <c r="E267" s="8">
        <f t="shared" si="1486"/>
        <v>0</v>
      </c>
      <c r="F267" s="8">
        <f t="shared" si="1384"/>
        <v>0</v>
      </c>
      <c r="G267" s="8">
        <f t="shared" si="1427"/>
        <v>0</v>
      </c>
      <c r="H267" s="8">
        <f t="shared" si="1428"/>
        <v>0</v>
      </c>
      <c r="I267" s="8">
        <f t="shared" si="1429"/>
        <v>0</v>
      </c>
      <c r="J267" s="8">
        <f t="shared" si="1430"/>
        <v>0</v>
      </c>
      <c r="K267" s="8">
        <f t="shared" si="1431"/>
        <v>0</v>
      </c>
      <c r="L267">
        <f t="shared" si="1320"/>
        <v>0</v>
      </c>
      <c r="M267">
        <f t="shared" si="1321"/>
        <v>0</v>
      </c>
      <c r="N267">
        <f t="shared" si="1322"/>
        <v>0</v>
      </c>
      <c r="O267">
        <f t="shared" si="1323"/>
        <v>0</v>
      </c>
      <c r="P267">
        <f t="shared" si="1324"/>
        <v>0</v>
      </c>
      <c r="Q267">
        <f t="shared" si="1325"/>
        <v>0</v>
      </c>
      <c r="R267">
        <f t="shared" si="1326"/>
        <v>0</v>
      </c>
      <c r="S267">
        <f t="shared" si="1327"/>
        <v>0</v>
      </c>
      <c r="T267">
        <f t="shared" si="1328"/>
        <v>0</v>
      </c>
      <c r="U267">
        <f t="shared" si="1329"/>
        <v>0</v>
      </c>
      <c r="V267">
        <f>IF(V$230,LandEmiss!AF162,0)</f>
        <v>0</v>
      </c>
      <c r="W267">
        <f>IF(W$230,LandEmiss!AG162,0)</f>
        <v>0</v>
      </c>
      <c r="X267">
        <f>IF(X$230,LandEmiss!AH162,0)</f>
        <v>0</v>
      </c>
      <c r="Y267">
        <f>IF(Y$230,LandEmiss!AI162,0)</f>
        <v>0</v>
      </c>
      <c r="Z267">
        <f>IF(Z$230,LandEmiss!AJ162,0)</f>
        <v>0</v>
      </c>
      <c r="AA267">
        <f>IF(AA$230,LandEmiss!AK162,0)</f>
        <v>0</v>
      </c>
      <c r="AB267">
        <f>IF(AB$230,LandEmiss!AL162,0)</f>
        <v>0</v>
      </c>
      <c r="AC267">
        <f>IF(AC$230,LandEmiss!AM162,0)</f>
        <v>0</v>
      </c>
      <c r="AD267">
        <f>IF(AD$230,LandEmiss!AN162,0)</f>
        <v>0</v>
      </c>
      <c r="AE267">
        <f>IF(AE$230,LandEmiss!AO162,0)</f>
        <v>0</v>
      </c>
      <c r="AF267">
        <f t="shared" ref="AF267:AO267" si="1597">IF(AF$230,AF162,0)</f>
        <v>0</v>
      </c>
      <c r="AG267">
        <f t="shared" si="1597"/>
        <v>0</v>
      </c>
      <c r="AH267">
        <f t="shared" si="1597"/>
        <v>0</v>
      </c>
      <c r="AI267">
        <f t="shared" si="1597"/>
        <v>0</v>
      </c>
      <c r="AJ267">
        <f t="shared" si="1597"/>
        <v>0</v>
      </c>
      <c r="AK267">
        <f t="shared" si="1597"/>
        <v>0</v>
      </c>
      <c r="AL267">
        <f t="shared" si="1597"/>
        <v>0</v>
      </c>
      <c r="AM267">
        <f t="shared" si="1597"/>
        <v>0</v>
      </c>
      <c r="AN267">
        <f t="shared" si="1597"/>
        <v>0</v>
      </c>
      <c r="AO267">
        <f t="shared" si="1597"/>
        <v>0</v>
      </c>
      <c r="AP267">
        <f t="shared" si="1331"/>
        <v>0</v>
      </c>
      <c r="AQ267">
        <f t="shared" si="1332"/>
        <v>0</v>
      </c>
      <c r="AR267">
        <f t="shared" si="1333"/>
        <v>0</v>
      </c>
      <c r="AS267">
        <f t="shared" si="1334"/>
        <v>0</v>
      </c>
      <c r="AT267">
        <f t="shared" si="1335"/>
        <v>0</v>
      </c>
      <c r="AU267">
        <f t="shared" si="1336"/>
        <v>0</v>
      </c>
      <c r="AV267">
        <f t="shared" si="1337"/>
        <v>0</v>
      </c>
      <c r="AW267">
        <f t="shared" si="1338"/>
        <v>0</v>
      </c>
      <c r="AX267">
        <f t="shared" si="1339"/>
        <v>0</v>
      </c>
      <c r="AY267">
        <f t="shared" si="1340"/>
        <v>0</v>
      </c>
      <c r="AZ267">
        <f t="shared" si="1341"/>
        <v>0</v>
      </c>
      <c r="BA267">
        <f t="shared" si="1342"/>
        <v>0</v>
      </c>
      <c r="BB267">
        <f t="shared" si="1343"/>
        <v>0</v>
      </c>
      <c r="BC267">
        <f t="shared" si="1344"/>
        <v>0</v>
      </c>
      <c r="BD267">
        <f t="shared" si="1345"/>
        <v>0</v>
      </c>
      <c r="BE267">
        <f t="shared" si="1346"/>
        <v>0</v>
      </c>
      <c r="BF267">
        <f t="shared" si="1347"/>
        <v>0</v>
      </c>
      <c r="BG267">
        <f t="shared" si="1348"/>
        <v>0</v>
      </c>
      <c r="BH267">
        <f t="shared" si="1488"/>
        <v>0</v>
      </c>
      <c r="BI267">
        <f t="shared" si="1387"/>
        <v>0</v>
      </c>
      <c r="BJ267" s="8" t="str">
        <f>Hidden!$CC38</f>
        <v/>
      </c>
      <c r="BK267">
        <f t="shared" ref="BK267:BT267" si="1598">IF(BK$230,CP162,0)</f>
        <v>0</v>
      </c>
      <c r="BL267">
        <f t="shared" si="1598"/>
        <v>0</v>
      </c>
      <c r="BM267">
        <f t="shared" si="1598"/>
        <v>0</v>
      </c>
      <c r="BN267">
        <f t="shared" si="1598"/>
        <v>0</v>
      </c>
      <c r="BO267">
        <f t="shared" si="1598"/>
        <v>0</v>
      </c>
      <c r="BP267">
        <f t="shared" si="1598"/>
        <v>0</v>
      </c>
      <c r="BQ267">
        <f t="shared" si="1598"/>
        <v>0</v>
      </c>
      <c r="BR267">
        <f t="shared" si="1598"/>
        <v>0</v>
      </c>
      <c r="BS267">
        <f t="shared" si="1598"/>
        <v>0</v>
      </c>
      <c r="BT267">
        <f t="shared" si="1598"/>
        <v>0</v>
      </c>
      <c r="BU267">
        <f t="shared" ref="BU267:CD267" si="1599">IF(BU$230,CP162,0)</f>
        <v>0</v>
      </c>
      <c r="BV267">
        <f t="shared" si="1599"/>
        <v>0</v>
      </c>
      <c r="BW267">
        <f t="shared" si="1599"/>
        <v>0</v>
      </c>
      <c r="BX267">
        <f t="shared" si="1599"/>
        <v>0</v>
      </c>
      <c r="BY267">
        <f t="shared" si="1599"/>
        <v>0</v>
      </c>
      <c r="BZ267">
        <f t="shared" si="1599"/>
        <v>0</v>
      </c>
      <c r="CA267">
        <f t="shared" si="1599"/>
        <v>0</v>
      </c>
      <c r="CB267">
        <f t="shared" si="1599"/>
        <v>0</v>
      </c>
      <c r="CC267">
        <f t="shared" si="1599"/>
        <v>0</v>
      </c>
      <c r="CD267">
        <f t="shared" si="1599"/>
        <v>0</v>
      </c>
      <c r="CE267">
        <f t="shared" si="1352"/>
        <v>0</v>
      </c>
      <c r="CF267">
        <f t="shared" si="1353"/>
        <v>0</v>
      </c>
      <c r="CG267">
        <f t="shared" si="1354"/>
        <v>0</v>
      </c>
      <c r="CH267">
        <f t="shared" si="1355"/>
        <v>0</v>
      </c>
      <c r="CI267">
        <f t="shared" si="1356"/>
        <v>0</v>
      </c>
      <c r="CJ267">
        <f t="shared" si="1491"/>
        <v>0</v>
      </c>
      <c r="CK267">
        <f t="shared" si="1390"/>
        <v>0</v>
      </c>
      <c r="CL267">
        <f t="shared" si="1358"/>
        <v>0</v>
      </c>
      <c r="CM267">
        <f t="shared" si="1359"/>
        <v>0</v>
      </c>
      <c r="CN267">
        <f t="shared" si="1360"/>
        <v>0</v>
      </c>
      <c r="CO267">
        <f t="shared" ref="CO267:CX267" si="1600">IF(CO$230,CP162,0)</f>
        <v>0</v>
      </c>
      <c r="CP267">
        <f t="shared" si="1600"/>
        <v>0</v>
      </c>
      <c r="CQ267">
        <f t="shared" si="1600"/>
        <v>0</v>
      </c>
      <c r="CR267">
        <f t="shared" si="1600"/>
        <v>0</v>
      </c>
      <c r="CS267">
        <f t="shared" si="1600"/>
        <v>0</v>
      </c>
      <c r="CT267">
        <f t="shared" si="1600"/>
        <v>0</v>
      </c>
      <c r="CU267">
        <f t="shared" si="1600"/>
        <v>0</v>
      </c>
      <c r="CV267">
        <f t="shared" si="1600"/>
        <v>0</v>
      </c>
      <c r="CW267">
        <f t="shared" si="1600"/>
        <v>0</v>
      </c>
      <c r="CX267">
        <f t="shared" si="1600"/>
        <v>0</v>
      </c>
      <c r="CY267">
        <f t="shared" si="1362"/>
        <v>0</v>
      </c>
      <c r="CZ267">
        <f t="shared" si="1363"/>
        <v>0</v>
      </c>
      <c r="DA267">
        <f t="shared" si="1364"/>
        <v>0</v>
      </c>
      <c r="DB267">
        <f t="shared" si="1365"/>
        <v>0</v>
      </c>
      <c r="DC267">
        <f t="shared" si="1366"/>
        <v>0</v>
      </c>
      <c r="DD267">
        <f t="shared" si="1367"/>
        <v>0</v>
      </c>
      <c r="DE267">
        <f t="shared" si="1368"/>
        <v>0</v>
      </c>
      <c r="DF267">
        <f t="shared" si="1369"/>
        <v>0</v>
      </c>
      <c r="DG267">
        <f t="shared" si="1370"/>
        <v>0</v>
      </c>
      <c r="DH267">
        <f t="shared" si="1371"/>
        <v>0</v>
      </c>
      <c r="DI267">
        <f t="shared" si="1372"/>
        <v>0</v>
      </c>
      <c r="DJ267">
        <f t="shared" si="1373"/>
        <v>0</v>
      </c>
      <c r="DK267">
        <f t="shared" si="1374"/>
        <v>0</v>
      </c>
      <c r="DL267">
        <f t="shared" si="1375"/>
        <v>0</v>
      </c>
      <c r="DM267">
        <f t="shared" si="1376"/>
        <v>0</v>
      </c>
      <c r="DN267">
        <f t="shared" si="1377"/>
        <v>0</v>
      </c>
      <c r="DO267">
        <f t="shared" si="1378"/>
        <v>0</v>
      </c>
      <c r="DP267">
        <f t="shared" si="1379"/>
        <v>0</v>
      </c>
      <c r="DQ267">
        <f t="shared" si="1380"/>
        <v>0</v>
      </c>
      <c r="DR267">
        <f t="shared" si="1381"/>
        <v>0</v>
      </c>
      <c r="DT267" s="77"/>
      <c r="DU267" s="8" t="str">
        <f>Hidden!$CG50</f>
        <v/>
      </c>
      <c r="DV267">
        <f t="shared" si="1176"/>
        <v>0</v>
      </c>
      <c r="DW267">
        <f t="shared" si="1177"/>
        <v>0</v>
      </c>
      <c r="DX267">
        <f t="shared" si="1178"/>
        <v>0</v>
      </c>
      <c r="DY267">
        <f t="shared" si="1179"/>
        <v>0</v>
      </c>
      <c r="DZ267">
        <f t="shared" si="1180"/>
        <v>0</v>
      </c>
      <c r="EA267">
        <f t="shared" si="1181"/>
        <v>0</v>
      </c>
      <c r="EB267">
        <f t="shared" si="1182"/>
        <v>0</v>
      </c>
      <c r="EC267">
        <f t="shared" si="1183"/>
        <v>0</v>
      </c>
      <c r="ED267">
        <f t="shared" si="1184"/>
        <v>0</v>
      </c>
      <c r="EE267">
        <f t="shared" si="1185"/>
        <v>0</v>
      </c>
      <c r="EF267">
        <f t="shared" si="1186"/>
        <v>0</v>
      </c>
      <c r="EG267">
        <f t="shared" si="1187"/>
        <v>0</v>
      </c>
      <c r="EH267">
        <f t="shared" si="1188"/>
        <v>0</v>
      </c>
      <c r="EI267">
        <f t="shared" si="1189"/>
        <v>0</v>
      </c>
      <c r="EJ267">
        <f t="shared" si="1190"/>
        <v>0</v>
      </c>
      <c r="EK267">
        <f t="shared" si="1191"/>
        <v>0</v>
      </c>
      <c r="EL267">
        <f t="shared" si="1192"/>
        <v>0</v>
      </c>
      <c r="EM267">
        <f t="shared" si="1193"/>
        <v>0</v>
      </c>
      <c r="EN267">
        <f t="shared" si="1194"/>
        <v>0</v>
      </c>
      <c r="EO267">
        <f t="shared" si="1195"/>
        <v>0</v>
      </c>
      <c r="EP267">
        <f t="shared" si="1196"/>
        <v>0</v>
      </c>
      <c r="EQ267">
        <f t="shared" si="1197"/>
        <v>0</v>
      </c>
      <c r="ER267">
        <f t="shared" si="1517"/>
        <v>0</v>
      </c>
      <c r="ES267">
        <f t="shared" ref="ES267:ET267" si="1601">IF(ES$218,FC162,0)</f>
        <v>0</v>
      </c>
      <c r="ET267">
        <f t="shared" si="1601"/>
        <v>0</v>
      </c>
      <c r="EU267">
        <f t="shared" si="1199"/>
        <v>0</v>
      </c>
      <c r="EV267">
        <f t="shared" si="1411"/>
        <v>0</v>
      </c>
      <c r="EW267">
        <f t="shared" si="1232"/>
        <v>0</v>
      </c>
      <c r="EX267">
        <f t="shared" si="1201"/>
        <v>0</v>
      </c>
      <c r="EY267">
        <f t="shared" si="1202"/>
        <v>0</v>
      </c>
      <c r="EZ267">
        <f t="shared" ref="EZ267:FI267" si="1602">IF(EZ$218,EZ162,0)</f>
        <v>0</v>
      </c>
      <c r="FA267">
        <f t="shared" si="1602"/>
        <v>0</v>
      </c>
      <c r="FB267">
        <f t="shared" si="1602"/>
        <v>0</v>
      </c>
      <c r="FC267">
        <f t="shared" si="1602"/>
        <v>0</v>
      </c>
      <c r="FD267">
        <f t="shared" si="1602"/>
        <v>0</v>
      </c>
      <c r="FE267">
        <f t="shared" si="1602"/>
        <v>0</v>
      </c>
      <c r="FF267">
        <f t="shared" si="1602"/>
        <v>0</v>
      </c>
      <c r="FG267">
        <f t="shared" si="1602"/>
        <v>0</v>
      </c>
      <c r="FH267">
        <f t="shared" si="1602"/>
        <v>0</v>
      </c>
      <c r="FI267">
        <f t="shared" si="1602"/>
        <v>0</v>
      </c>
      <c r="FJ267">
        <f t="shared" si="1204"/>
        <v>0</v>
      </c>
      <c r="FK267">
        <f t="shared" si="1205"/>
        <v>0</v>
      </c>
      <c r="FL267">
        <f t="shared" si="1413"/>
        <v>0</v>
      </c>
      <c r="FM267">
        <f t="shared" si="1234"/>
        <v>0</v>
      </c>
      <c r="FN267">
        <f t="shared" si="1207"/>
        <v>0</v>
      </c>
      <c r="FO267">
        <f t="shared" si="1208"/>
        <v>0</v>
      </c>
      <c r="FP267">
        <f t="shared" si="1209"/>
        <v>0</v>
      </c>
      <c r="FQ267">
        <f t="shared" si="1210"/>
        <v>0</v>
      </c>
      <c r="FR267">
        <f t="shared" si="1211"/>
        <v>0</v>
      </c>
      <c r="FS267">
        <f t="shared" si="1212"/>
        <v>0</v>
      </c>
      <c r="FT267">
        <f t="shared" si="1213"/>
        <v>0</v>
      </c>
      <c r="FU267">
        <f t="shared" si="1214"/>
        <v>0</v>
      </c>
      <c r="FV267">
        <f t="shared" si="1215"/>
        <v>0</v>
      </c>
      <c r="FW267">
        <f t="shared" si="1216"/>
        <v>0</v>
      </c>
      <c r="FX267">
        <f t="shared" si="1414"/>
        <v>0</v>
      </c>
      <c r="FY267">
        <f t="shared" si="1235"/>
        <v>0</v>
      </c>
      <c r="FZ267">
        <f t="shared" si="1218"/>
        <v>0</v>
      </c>
      <c r="GA267">
        <f t="shared" si="1219"/>
        <v>0</v>
      </c>
      <c r="GB267">
        <f t="shared" si="1220"/>
        <v>0</v>
      </c>
      <c r="GC267">
        <f t="shared" si="1221"/>
        <v>0</v>
      </c>
    </row>
    <row r="268" spans="1:185" x14ac:dyDescent="0.2">
      <c r="A268" s="8" t="str">
        <f t="shared" si="1311"/>
        <v/>
      </c>
      <c r="B268" s="8">
        <f t="shared" si="1312"/>
        <v>0</v>
      </c>
      <c r="C268" s="8">
        <f t="shared" si="1313"/>
        <v>0</v>
      </c>
      <c r="D268" s="8">
        <f t="shared" si="1314"/>
        <v>0</v>
      </c>
      <c r="E268" s="8">
        <f t="shared" si="1486"/>
        <v>0</v>
      </c>
      <c r="F268" s="8">
        <f t="shared" si="1384"/>
        <v>0</v>
      </c>
      <c r="G268" s="8">
        <f t="shared" si="1427"/>
        <v>0</v>
      </c>
      <c r="H268" s="8">
        <f t="shared" si="1428"/>
        <v>0</v>
      </c>
      <c r="I268" s="8">
        <f t="shared" si="1429"/>
        <v>0</v>
      </c>
      <c r="J268" s="8">
        <f t="shared" si="1430"/>
        <v>0</v>
      </c>
      <c r="K268" s="8">
        <f t="shared" si="1431"/>
        <v>0</v>
      </c>
      <c r="L268">
        <f t="shared" si="1320"/>
        <v>0</v>
      </c>
      <c r="M268">
        <f t="shared" si="1321"/>
        <v>0</v>
      </c>
      <c r="N268">
        <f t="shared" si="1322"/>
        <v>0</v>
      </c>
      <c r="O268">
        <f t="shared" si="1323"/>
        <v>0</v>
      </c>
      <c r="P268">
        <f t="shared" si="1324"/>
        <v>0</v>
      </c>
      <c r="Q268">
        <f t="shared" si="1325"/>
        <v>0</v>
      </c>
      <c r="R268">
        <f t="shared" si="1326"/>
        <v>0</v>
      </c>
      <c r="S268">
        <f t="shared" si="1327"/>
        <v>0</v>
      </c>
      <c r="T268">
        <f t="shared" si="1328"/>
        <v>0</v>
      </c>
      <c r="U268">
        <f t="shared" si="1329"/>
        <v>0</v>
      </c>
      <c r="V268">
        <f>IF(V$230,LandEmiss!AF163,0)</f>
        <v>0</v>
      </c>
      <c r="W268">
        <f>IF(W$230,LandEmiss!AG163,0)</f>
        <v>0</v>
      </c>
      <c r="X268">
        <f>IF(X$230,LandEmiss!AH163,0)</f>
        <v>0</v>
      </c>
      <c r="Y268">
        <f>IF(Y$230,LandEmiss!AI163,0)</f>
        <v>0</v>
      </c>
      <c r="Z268">
        <f>IF(Z$230,LandEmiss!AJ163,0)</f>
        <v>0</v>
      </c>
      <c r="AA268">
        <f>IF(AA$230,LandEmiss!AK163,0)</f>
        <v>0</v>
      </c>
      <c r="AB268">
        <f>IF(AB$230,LandEmiss!AL163,0)</f>
        <v>0</v>
      </c>
      <c r="AC268">
        <f>IF(AC$230,LandEmiss!AM163,0)</f>
        <v>0</v>
      </c>
      <c r="AD268">
        <f>IF(AD$230,LandEmiss!AN163,0)</f>
        <v>0</v>
      </c>
      <c r="AE268">
        <f>IF(AE$230,LandEmiss!AO163,0)</f>
        <v>0</v>
      </c>
      <c r="AF268">
        <f t="shared" ref="AF268:AO268" si="1603">IF(AF$230,AF163,0)</f>
        <v>0</v>
      </c>
      <c r="AG268">
        <f t="shared" si="1603"/>
        <v>0</v>
      </c>
      <c r="AH268">
        <f t="shared" si="1603"/>
        <v>0</v>
      </c>
      <c r="AI268">
        <f t="shared" si="1603"/>
        <v>0</v>
      </c>
      <c r="AJ268">
        <f t="shared" si="1603"/>
        <v>0</v>
      </c>
      <c r="AK268">
        <f t="shared" si="1603"/>
        <v>0</v>
      </c>
      <c r="AL268">
        <f t="shared" si="1603"/>
        <v>0</v>
      </c>
      <c r="AM268">
        <f t="shared" si="1603"/>
        <v>0</v>
      </c>
      <c r="AN268">
        <f t="shared" si="1603"/>
        <v>0</v>
      </c>
      <c r="AO268">
        <f t="shared" si="1603"/>
        <v>0</v>
      </c>
      <c r="AP268">
        <f t="shared" si="1331"/>
        <v>0</v>
      </c>
      <c r="AQ268">
        <f t="shared" si="1332"/>
        <v>0</v>
      </c>
      <c r="AR268">
        <f t="shared" si="1333"/>
        <v>0</v>
      </c>
      <c r="AS268">
        <f t="shared" si="1334"/>
        <v>0</v>
      </c>
      <c r="AT268">
        <f t="shared" si="1335"/>
        <v>0</v>
      </c>
      <c r="AU268">
        <f t="shared" si="1336"/>
        <v>0</v>
      </c>
      <c r="AV268">
        <f t="shared" si="1337"/>
        <v>0</v>
      </c>
      <c r="AW268">
        <f t="shared" si="1338"/>
        <v>0</v>
      </c>
      <c r="AX268">
        <f t="shared" si="1339"/>
        <v>0</v>
      </c>
      <c r="AY268">
        <f t="shared" si="1340"/>
        <v>0</v>
      </c>
      <c r="AZ268">
        <f t="shared" si="1341"/>
        <v>0</v>
      </c>
      <c r="BA268">
        <f t="shared" si="1342"/>
        <v>0</v>
      </c>
      <c r="BB268">
        <f t="shared" si="1343"/>
        <v>0</v>
      </c>
      <c r="BC268">
        <f t="shared" si="1344"/>
        <v>0</v>
      </c>
      <c r="BD268">
        <f t="shared" si="1345"/>
        <v>0</v>
      </c>
      <c r="BE268">
        <f t="shared" si="1346"/>
        <v>0</v>
      </c>
      <c r="BF268">
        <f t="shared" si="1347"/>
        <v>0</v>
      </c>
      <c r="BG268">
        <f t="shared" si="1348"/>
        <v>0</v>
      </c>
      <c r="BH268">
        <f t="shared" si="1488"/>
        <v>0</v>
      </c>
      <c r="BI268">
        <f t="shared" si="1387"/>
        <v>0</v>
      </c>
      <c r="BJ268" s="8" t="str">
        <f>Hidden!$CC39</f>
        <v/>
      </c>
      <c r="BK268">
        <f t="shared" ref="BK268:BT268" si="1604">IF(BK$230,CP163,0)</f>
        <v>0</v>
      </c>
      <c r="BL268">
        <f t="shared" si="1604"/>
        <v>0</v>
      </c>
      <c r="BM268">
        <f t="shared" si="1604"/>
        <v>0</v>
      </c>
      <c r="BN268">
        <f t="shared" si="1604"/>
        <v>0</v>
      </c>
      <c r="BO268">
        <f t="shared" si="1604"/>
        <v>0</v>
      </c>
      <c r="BP268">
        <f t="shared" si="1604"/>
        <v>0</v>
      </c>
      <c r="BQ268">
        <f t="shared" si="1604"/>
        <v>0</v>
      </c>
      <c r="BR268">
        <f t="shared" si="1604"/>
        <v>0</v>
      </c>
      <c r="BS268">
        <f t="shared" si="1604"/>
        <v>0</v>
      </c>
      <c r="BT268">
        <f t="shared" si="1604"/>
        <v>0</v>
      </c>
      <c r="BU268">
        <f t="shared" ref="BU268:CD268" si="1605">IF(BU$230,CP163,0)</f>
        <v>0</v>
      </c>
      <c r="BV268">
        <f t="shared" si="1605"/>
        <v>0</v>
      </c>
      <c r="BW268">
        <f t="shared" si="1605"/>
        <v>0</v>
      </c>
      <c r="BX268">
        <f t="shared" si="1605"/>
        <v>0</v>
      </c>
      <c r="BY268">
        <f t="shared" si="1605"/>
        <v>0</v>
      </c>
      <c r="BZ268">
        <f t="shared" si="1605"/>
        <v>0</v>
      </c>
      <c r="CA268">
        <f t="shared" si="1605"/>
        <v>0</v>
      </c>
      <c r="CB268">
        <f t="shared" si="1605"/>
        <v>0</v>
      </c>
      <c r="CC268">
        <f t="shared" si="1605"/>
        <v>0</v>
      </c>
      <c r="CD268">
        <f t="shared" si="1605"/>
        <v>0</v>
      </c>
      <c r="CE268">
        <f t="shared" si="1352"/>
        <v>0</v>
      </c>
      <c r="CF268">
        <f t="shared" si="1353"/>
        <v>0</v>
      </c>
      <c r="CG268">
        <f t="shared" si="1354"/>
        <v>0</v>
      </c>
      <c r="CH268">
        <f t="shared" si="1355"/>
        <v>0</v>
      </c>
      <c r="CI268">
        <f t="shared" si="1356"/>
        <v>0</v>
      </c>
      <c r="CJ268">
        <f t="shared" si="1491"/>
        <v>0</v>
      </c>
      <c r="CK268">
        <f t="shared" si="1390"/>
        <v>0</v>
      </c>
      <c r="CL268">
        <f t="shared" si="1358"/>
        <v>0</v>
      </c>
      <c r="CM268">
        <f t="shared" si="1359"/>
        <v>0</v>
      </c>
      <c r="CN268">
        <f t="shared" si="1360"/>
        <v>0</v>
      </c>
      <c r="CO268">
        <f t="shared" ref="CO268:CX268" si="1606">IF(CO$230,CP163,0)</f>
        <v>0</v>
      </c>
      <c r="CP268">
        <f t="shared" si="1606"/>
        <v>0</v>
      </c>
      <c r="CQ268">
        <f t="shared" si="1606"/>
        <v>0</v>
      </c>
      <c r="CR268">
        <f t="shared" si="1606"/>
        <v>0</v>
      </c>
      <c r="CS268">
        <f t="shared" si="1606"/>
        <v>0</v>
      </c>
      <c r="CT268">
        <f t="shared" si="1606"/>
        <v>0</v>
      </c>
      <c r="CU268">
        <f t="shared" si="1606"/>
        <v>0</v>
      </c>
      <c r="CV268">
        <f t="shared" si="1606"/>
        <v>0</v>
      </c>
      <c r="CW268">
        <f t="shared" si="1606"/>
        <v>0</v>
      </c>
      <c r="CX268">
        <f t="shared" si="1606"/>
        <v>0</v>
      </c>
      <c r="CY268">
        <f t="shared" si="1362"/>
        <v>0</v>
      </c>
      <c r="CZ268">
        <f t="shared" si="1363"/>
        <v>0</v>
      </c>
      <c r="DA268">
        <f t="shared" si="1364"/>
        <v>0</v>
      </c>
      <c r="DB268">
        <f t="shared" si="1365"/>
        <v>0</v>
      </c>
      <c r="DC268">
        <f t="shared" si="1366"/>
        <v>0</v>
      </c>
      <c r="DD268">
        <f t="shared" si="1367"/>
        <v>0</v>
      </c>
      <c r="DE268">
        <f t="shared" si="1368"/>
        <v>0</v>
      </c>
      <c r="DF268">
        <f t="shared" si="1369"/>
        <v>0</v>
      </c>
      <c r="DG268">
        <f t="shared" si="1370"/>
        <v>0</v>
      </c>
      <c r="DH268">
        <f t="shared" si="1371"/>
        <v>0</v>
      </c>
      <c r="DI268">
        <f t="shared" si="1372"/>
        <v>0</v>
      </c>
      <c r="DJ268">
        <f t="shared" si="1373"/>
        <v>0</v>
      </c>
      <c r="DK268">
        <f t="shared" si="1374"/>
        <v>0</v>
      </c>
      <c r="DL268">
        <f t="shared" si="1375"/>
        <v>0</v>
      </c>
      <c r="DM268">
        <f t="shared" si="1376"/>
        <v>0</v>
      </c>
      <c r="DN268">
        <f t="shared" si="1377"/>
        <v>0</v>
      </c>
      <c r="DO268">
        <f t="shared" si="1378"/>
        <v>0</v>
      </c>
      <c r="DP268">
        <f t="shared" si="1379"/>
        <v>0</v>
      </c>
      <c r="DQ268">
        <f t="shared" si="1380"/>
        <v>0</v>
      </c>
      <c r="DR268">
        <f t="shared" si="1381"/>
        <v>0</v>
      </c>
      <c r="DT268" s="77"/>
      <c r="DU268" s="8" t="str">
        <f>Hidden!$CG51</f>
        <v/>
      </c>
      <c r="DV268">
        <f t="shared" si="1176"/>
        <v>0</v>
      </c>
      <c r="DW268">
        <f t="shared" si="1177"/>
        <v>0</v>
      </c>
      <c r="DX268">
        <f t="shared" si="1178"/>
        <v>0</v>
      </c>
      <c r="DY268">
        <f t="shared" si="1179"/>
        <v>0</v>
      </c>
      <c r="DZ268">
        <f t="shared" si="1180"/>
        <v>0</v>
      </c>
      <c r="EA268">
        <f t="shared" si="1181"/>
        <v>0</v>
      </c>
      <c r="EB268">
        <f t="shared" si="1182"/>
        <v>0</v>
      </c>
      <c r="EC268">
        <f t="shared" si="1183"/>
        <v>0</v>
      </c>
      <c r="ED268">
        <f t="shared" si="1184"/>
        <v>0</v>
      </c>
      <c r="EE268">
        <f t="shared" si="1185"/>
        <v>0</v>
      </c>
      <c r="EF268">
        <f t="shared" si="1186"/>
        <v>0</v>
      </c>
      <c r="EG268">
        <f t="shared" si="1187"/>
        <v>0</v>
      </c>
      <c r="EH268">
        <f t="shared" si="1188"/>
        <v>0</v>
      </c>
      <c r="EI268">
        <f t="shared" si="1189"/>
        <v>0</v>
      </c>
      <c r="EJ268">
        <f t="shared" si="1190"/>
        <v>0</v>
      </c>
      <c r="EK268">
        <f t="shared" si="1191"/>
        <v>0</v>
      </c>
      <c r="EL268">
        <f t="shared" si="1192"/>
        <v>0</v>
      </c>
      <c r="EM268">
        <f t="shared" si="1193"/>
        <v>0</v>
      </c>
      <c r="EN268">
        <f t="shared" si="1194"/>
        <v>0</v>
      </c>
      <c r="EO268">
        <f t="shared" si="1195"/>
        <v>0</v>
      </c>
      <c r="EP268">
        <f t="shared" si="1196"/>
        <v>0</v>
      </c>
      <c r="EQ268">
        <f t="shared" si="1197"/>
        <v>0</v>
      </c>
      <c r="ER268">
        <f t="shared" si="1517"/>
        <v>0</v>
      </c>
      <c r="ES268">
        <f t="shared" ref="ES268:ET268" si="1607">IF(ES$218,FC163,0)</f>
        <v>0</v>
      </c>
      <c r="ET268">
        <f t="shared" si="1607"/>
        <v>0</v>
      </c>
      <c r="EU268">
        <f t="shared" si="1199"/>
        <v>0</v>
      </c>
      <c r="EV268">
        <f t="shared" si="1411"/>
        <v>0</v>
      </c>
      <c r="EW268">
        <f t="shared" si="1232"/>
        <v>0</v>
      </c>
      <c r="EX268">
        <f t="shared" si="1201"/>
        <v>0</v>
      </c>
      <c r="EY268">
        <f t="shared" si="1202"/>
        <v>0</v>
      </c>
      <c r="EZ268">
        <f t="shared" ref="EZ268:FI268" si="1608">IF(EZ$218,EZ163,0)</f>
        <v>0</v>
      </c>
      <c r="FA268">
        <f t="shared" si="1608"/>
        <v>0</v>
      </c>
      <c r="FB268">
        <f t="shared" si="1608"/>
        <v>0</v>
      </c>
      <c r="FC268">
        <f t="shared" si="1608"/>
        <v>0</v>
      </c>
      <c r="FD268">
        <f t="shared" si="1608"/>
        <v>0</v>
      </c>
      <c r="FE268">
        <f t="shared" si="1608"/>
        <v>0</v>
      </c>
      <c r="FF268">
        <f t="shared" si="1608"/>
        <v>0</v>
      </c>
      <c r="FG268">
        <f t="shared" si="1608"/>
        <v>0</v>
      </c>
      <c r="FH268">
        <f t="shared" si="1608"/>
        <v>0</v>
      </c>
      <c r="FI268">
        <f t="shared" si="1608"/>
        <v>0</v>
      </c>
      <c r="FJ268">
        <f t="shared" si="1204"/>
        <v>0</v>
      </c>
      <c r="FK268">
        <f t="shared" si="1205"/>
        <v>0</v>
      </c>
      <c r="FL268">
        <f t="shared" si="1413"/>
        <v>0</v>
      </c>
      <c r="FM268">
        <f t="shared" si="1234"/>
        <v>0</v>
      </c>
      <c r="FN268">
        <f t="shared" si="1207"/>
        <v>0</v>
      </c>
      <c r="FO268">
        <f t="shared" si="1208"/>
        <v>0</v>
      </c>
      <c r="FP268">
        <f t="shared" si="1209"/>
        <v>0</v>
      </c>
      <c r="FQ268">
        <f t="shared" si="1210"/>
        <v>0</v>
      </c>
      <c r="FR268">
        <f t="shared" si="1211"/>
        <v>0</v>
      </c>
      <c r="FS268">
        <f t="shared" si="1212"/>
        <v>0</v>
      </c>
      <c r="FT268">
        <f t="shared" si="1213"/>
        <v>0</v>
      </c>
      <c r="FU268">
        <f t="shared" si="1214"/>
        <v>0</v>
      </c>
      <c r="FV268">
        <f t="shared" si="1215"/>
        <v>0</v>
      </c>
      <c r="FW268">
        <f t="shared" si="1216"/>
        <v>0</v>
      </c>
      <c r="FX268">
        <f t="shared" si="1414"/>
        <v>0</v>
      </c>
      <c r="FY268">
        <f t="shared" si="1235"/>
        <v>0</v>
      </c>
      <c r="FZ268">
        <f t="shared" si="1218"/>
        <v>0</v>
      </c>
      <c r="GA268">
        <f t="shared" si="1219"/>
        <v>0</v>
      </c>
      <c r="GB268">
        <f t="shared" si="1220"/>
        <v>0</v>
      </c>
      <c r="GC268">
        <f t="shared" si="1221"/>
        <v>0</v>
      </c>
    </row>
    <row r="269" spans="1:185" x14ac:dyDescent="0.2">
      <c r="A269" s="8" t="str">
        <f t="shared" si="1311"/>
        <v/>
      </c>
      <c r="B269" s="8">
        <f t="shared" si="1312"/>
        <v>0</v>
      </c>
      <c r="C269" s="8">
        <f t="shared" si="1313"/>
        <v>0</v>
      </c>
      <c r="D269" s="8">
        <f t="shared" si="1314"/>
        <v>0</v>
      </c>
      <c r="E269" s="8">
        <f t="shared" si="1486"/>
        <v>0</v>
      </c>
      <c r="F269" s="8">
        <f t="shared" si="1384"/>
        <v>0</v>
      </c>
      <c r="G269" s="8">
        <f t="shared" si="1427"/>
        <v>0</v>
      </c>
      <c r="H269" s="8">
        <f t="shared" si="1428"/>
        <v>0</v>
      </c>
      <c r="I269" s="8">
        <f t="shared" si="1429"/>
        <v>0</v>
      </c>
      <c r="J269" s="8">
        <f t="shared" si="1430"/>
        <v>0</v>
      </c>
      <c r="K269" s="8">
        <f t="shared" si="1431"/>
        <v>0</v>
      </c>
      <c r="L269">
        <f t="shared" si="1320"/>
        <v>0</v>
      </c>
      <c r="M269">
        <f t="shared" si="1321"/>
        <v>0</v>
      </c>
      <c r="N269">
        <f t="shared" si="1322"/>
        <v>0</v>
      </c>
      <c r="O269">
        <f t="shared" si="1323"/>
        <v>0</v>
      </c>
      <c r="P269">
        <f t="shared" si="1324"/>
        <v>0</v>
      </c>
      <c r="Q269">
        <f t="shared" si="1325"/>
        <v>0</v>
      </c>
      <c r="R269">
        <f t="shared" si="1326"/>
        <v>0</v>
      </c>
      <c r="S269">
        <f t="shared" si="1327"/>
        <v>0</v>
      </c>
      <c r="T269">
        <f t="shared" si="1328"/>
        <v>0</v>
      </c>
      <c r="U269">
        <f t="shared" si="1329"/>
        <v>0</v>
      </c>
      <c r="V269">
        <f>IF(V$230,LandEmiss!AF164,0)</f>
        <v>0</v>
      </c>
      <c r="W269">
        <f>IF(W$230,LandEmiss!AG164,0)</f>
        <v>0</v>
      </c>
      <c r="X269">
        <f>IF(X$230,LandEmiss!AH164,0)</f>
        <v>0</v>
      </c>
      <c r="Y269">
        <f>IF(Y$230,LandEmiss!AI164,0)</f>
        <v>0</v>
      </c>
      <c r="Z269">
        <f>IF(Z$230,LandEmiss!AJ164,0)</f>
        <v>0</v>
      </c>
      <c r="AA269">
        <f>IF(AA$230,LandEmiss!AK164,0)</f>
        <v>0</v>
      </c>
      <c r="AB269">
        <f>IF(AB$230,LandEmiss!AL164,0)</f>
        <v>0</v>
      </c>
      <c r="AC269">
        <f>IF(AC$230,LandEmiss!AM164,0)</f>
        <v>0</v>
      </c>
      <c r="AD269">
        <f>IF(AD$230,LandEmiss!AN164,0)</f>
        <v>0</v>
      </c>
      <c r="AE269">
        <f>IF(AE$230,LandEmiss!AO164,0)</f>
        <v>0</v>
      </c>
      <c r="AF269">
        <f t="shared" ref="AF269:AO269" si="1609">IF(AF$230,AF164,0)</f>
        <v>0</v>
      </c>
      <c r="AG269">
        <f t="shared" si="1609"/>
        <v>0</v>
      </c>
      <c r="AH269">
        <f t="shared" si="1609"/>
        <v>0</v>
      </c>
      <c r="AI269">
        <f t="shared" si="1609"/>
        <v>0</v>
      </c>
      <c r="AJ269">
        <f t="shared" si="1609"/>
        <v>0</v>
      </c>
      <c r="AK269">
        <f t="shared" si="1609"/>
        <v>0</v>
      </c>
      <c r="AL269">
        <f t="shared" si="1609"/>
        <v>0</v>
      </c>
      <c r="AM269">
        <f t="shared" si="1609"/>
        <v>0</v>
      </c>
      <c r="AN269">
        <f t="shared" si="1609"/>
        <v>0</v>
      </c>
      <c r="AO269">
        <f t="shared" si="1609"/>
        <v>0</v>
      </c>
      <c r="AP269">
        <f t="shared" si="1331"/>
        <v>0</v>
      </c>
      <c r="AQ269">
        <f t="shared" si="1332"/>
        <v>0</v>
      </c>
      <c r="AR269">
        <f t="shared" si="1333"/>
        <v>0</v>
      </c>
      <c r="AS269">
        <f t="shared" si="1334"/>
        <v>0</v>
      </c>
      <c r="AT269">
        <f t="shared" si="1335"/>
        <v>0</v>
      </c>
      <c r="AU269">
        <f t="shared" si="1336"/>
        <v>0</v>
      </c>
      <c r="AV269">
        <f t="shared" si="1337"/>
        <v>0</v>
      </c>
      <c r="AW269">
        <f t="shared" si="1338"/>
        <v>0</v>
      </c>
      <c r="AX269">
        <f t="shared" si="1339"/>
        <v>0</v>
      </c>
      <c r="AY269">
        <f t="shared" si="1340"/>
        <v>0</v>
      </c>
      <c r="AZ269">
        <f t="shared" si="1341"/>
        <v>0</v>
      </c>
      <c r="BA269">
        <f t="shared" si="1342"/>
        <v>0</v>
      </c>
      <c r="BB269">
        <f t="shared" si="1343"/>
        <v>0</v>
      </c>
      <c r="BC269">
        <f t="shared" si="1344"/>
        <v>0</v>
      </c>
      <c r="BD269">
        <f t="shared" si="1345"/>
        <v>0</v>
      </c>
      <c r="BE269">
        <f t="shared" si="1346"/>
        <v>0</v>
      </c>
      <c r="BF269">
        <f t="shared" si="1347"/>
        <v>0</v>
      </c>
      <c r="BG269">
        <f t="shared" si="1348"/>
        <v>0</v>
      </c>
      <c r="BH269">
        <f t="shared" si="1488"/>
        <v>0</v>
      </c>
      <c r="BI269">
        <f t="shared" si="1387"/>
        <v>0</v>
      </c>
      <c r="BJ269" s="8" t="str">
        <f>Hidden!$CC40</f>
        <v/>
      </c>
      <c r="BK269">
        <f t="shared" ref="BK269:BT269" si="1610">IF(BK$230,CP164,0)</f>
        <v>0</v>
      </c>
      <c r="BL269">
        <f t="shared" si="1610"/>
        <v>0</v>
      </c>
      <c r="BM269">
        <f t="shared" si="1610"/>
        <v>0</v>
      </c>
      <c r="BN269">
        <f t="shared" si="1610"/>
        <v>0</v>
      </c>
      <c r="BO269">
        <f t="shared" si="1610"/>
        <v>0</v>
      </c>
      <c r="BP269">
        <f t="shared" si="1610"/>
        <v>0</v>
      </c>
      <c r="BQ269">
        <f t="shared" si="1610"/>
        <v>0</v>
      </c>
      <c r="BR269">
        <f t="shared" si="1610"/>
        <v>0</v>
      </c>
      <c r="BS269">
        <f t="shared" si="1610"/>
        <v>0</v>
      </c>
      <c r="BT269">
        <f t="shared" si="1610"/>
        <v>0</v>
      </c>
      <c r="BU269">
        <f t="shared" ref="BU269:CD269" si="1611">IF(BU$230,CP164,0)</f>
        <v>0</v>
      </c>
      <c r="BV269">
        <f t="shared" si="1611"/>
        <v>0</v>
      </c>
      <c r="BW269">
        <f t="shared" si="1611"/>
        <v>0</v>
      </c>
      <c r="BX269">
        <f t="shared" si="1611"/>
        <v>0</v>
      </c>
      <c r="BY269">
        <f t="shared" si="1611"/>
        <v>0</v>
      </c>
      <c r="BZ269">
        <f t="shared" si="1611"/>
        <v>0</v>
      </c>
      <c r="CA269">
        <f t="shared" si="1611"/>
        <v>0</v>
      </c>
      <c r="CB269">
        <f t="shared" si="1611"/>
        <v>0</v>
      </c>
      <c r="CC269">
        <f t="shared" si="1611"/>
        <v>0</v>
      </c>
      <c r="CD269">
        <f t="shared" si="1611"/>
        <v>0</v>
      </c>
      <c r="CE269">
        <f t="shared" si="1352"/>
        <v>0</v>
      </c>
      <c r="CF269">
        <f t="shared" si="1353"/>
        <v>0</v>
      </c>
      <c r="CG269">
        <f t="shared" si="1354"/>
        <v>0</v>
      </c>
      <c r="CH269">
        <f t="shared" si="1355"/>
        <v>0</v>
      </c>
      <c r="CI269">
        <f t="shared" si="1356"/>
        <v>0</v>
      </c>
      <c r="CJ269">
        <f t="shared" si="1491"/>
        <v>0</v>
      </c>
      <c r="CK269">
        <f t="shared" si="1390"/>
        <v>0</v>
      </c>
      <c r="CL269">
        <f t="shared" si="1358"/>
        <v>0</v>
      </c>
      <c r="CM269">
        <f t="shared" si="1359"/>
        <v>0</v>
      </c>
      <c r="CN269">
        <f t="shared" si="1360"/>
        <v>0</v>
      </c>
      <c r="CO269">
        <f t="shared" ref="CO269:CX269" si="1612">IF(CO$230,CP164,0)</f>
        <v>0</v>
      </c>
      <c r="CP269">
        <f t="shared" si="1612"/>
        <v>0</v>
      </c>
      <c r="CQ269">
        <f t="shared" si="1612"/>
        <v>0</v>
      </c>
      <c r="CR269">
        <f t="shared" si="1612"/>
        <v>0</v>
      </c>
      <c r="CS269">
        <f t="shared" si="1612"/>
        <v>0</v>
      </c>
      <c r="CT269">
        <f t="shared" si="1612"/>
        <v>0</v>
      </c>
      <c r="CU269">
        <f t="shared" si="1612"/>
        <v>0</v>
      </c>
      <c r="CV269">
        <f t="shared" si="1612"/>
        <v>0</v>
      </c>
      <c r="CW269">
        <f t="shared" si="1612"/>
        <v>0</v>
      </c>
      <c r="CX269">
        <f t="shared" si="1612"/>
        <v>0</v>
      </c>
      <c r="CY269">
        <f t="shared" si="1362"/>
        <v>0</v>
      </c>
      <c r="CZ269">
        <f t="shared" si="1363"/>
        <v>0</v>
      </c>
      <c r="DA269">
        <f t="shared" si="1364"/>
        <v>0</v>
      </c>
      <c r="DB269">
        <f t="shared" si="1365"/>
        <v>0</v>
      </c>
      <c r="DC269">
        <f t="shared" si="1366"/>
        <v>0</v>
      </c>
      <c r="DD269">
        <f t="shared" si="1367"/>
        <v>0</v>
      </c>
      <c r="DE269">
        <f t="shared" si="1368"/>
        <v>0</v>
      </c>
      <c r="DF269">
        <f t="shared" si="1369"/>
        <v>0</v>
      </c>
      <c r="DG269">
        <f t="shared" si="1370"/>
        <v>0</v>
      </c>
      <c r="DH269">
        <f t="shared" si="1371"/>
        <v>0</v>
      </c>
      <c r="DI269">
        <f t="shared" si="1372"/>
        <v>0</v>
      </c>
      <c r="DJ269">
        <f t="shared" si="1373"/>
        <v>0</v>
      </c>
      <c r="DK269">
        <f t="shared" si="1374"/>
        <v>0</v>
      </c>
      <c r="DL269">
        <f t="shared" si="1375"/>
        <v>0</v>
      </c>
      <c r="DM269">
        <f t="shared" si="1376"/>
        <v>0</v>
      </c>
      <c r="DN269">
        <f t="shared" si="1377"/>
        <v>0</v>
      </c>
      <c r="DO269">
        <f t="shared" si="1378"/>
        <v>0</v>
      </c>
      <c r="DP269">
        <f t="shared" si="1379"/>
        <v>0</v>
      </c>
      <c r="DQ269">
        <f t="shared" si="1380"/>
        <v>0</v>
      </c>
      <c r="DR269">
        <f t="shared" si="1381"/>
        <v>0</v>
      </c>
      <c r="DT269" s="77"/>
      <c r="DU269" s="8" t="str">
        <f>Hidden!$CG52</f>
        <v/>
      </c>
      <c r="DV269">
        <f t="shared" si="1176"/>
        <v>0</v>
      </c>
      <c r="DW269">
        <f t="shared" si="1177"/>
        <v>0</v>
      </c>
      <c r="DX269">
        <f t="shared" si="1178"/>
        <v>0</v>
      </c>
      <c r="DY269">
        <f t="shared" si="1179"/>
        <v>0</v>
      </c>
      <c r="DZ269">
        <f t="shared" si="1180"/>
        <v>0</v>
      </c>
      <c r="EA269">
        <f t="shared" si="1181"/>
        <v>0</v>
      </c>
      <c r="EB269">
        <f t="shared" si="1182"/>
        <v>0</v>
      </c>
      <c r="EC269">
        <f t="shared" si="1183"/>
        <v>0</v>
      </c>
      <c r="ED269">
        <f t="shared" si="1184"/>
        <v>0</v>
      </c>
      <c r="EE269">
        <f t="shared" si="1185"/>
        <v>0</v>
      </c>
      <c r="EF269">
        <f t="shared" si="1186"/>
        <v>0</v>
      </c>
      <c r="EG269">
        <f t="shared" si="1187"/>
        <v>0</v>
      </c>
      <c r="EH269">
        <f t="shared" si="1188"/>
        <v>0</v>
      </c>
      <c r="EI269">
        <f t="shared" si="1189"/>
        <v>0</v>
      </c>
      <c r="EJ269">
        <f t="shared" si="1190"/>
        <v>0</v>
      </c>
      <c r="EK269">
        <f t="shared" si="1191"/>
        <v>0</v>
      </c>
      <c r="EL269">
        <f t="shared" si="1192"/>
        <v>0</v>
      </c>
      <c r="EM269">
        <f t="shared" si="1193"/>
        <v>0</v>
      </c>
      <c r="EN269">
        <f t="shared" si="1194"/>
        <v>0</v>
      </c>
      <c r="EO269">
        <f t="shared" si="1195"/>
        <v>0</v>
      </c>
      <c r="EP269">
        <f t="shared" si="1196"/>
        <v>0</v>
      </c>
      <c r="EQ269">
        <f t="shared" si="1197"/>
        <v>0</v>
      </c>
      <c r="ER269">
        <f t="shared" ref="ER269:ET284" si="1613">IF(ER$218,FB164,0)</f>
        <v>0</v>
      </c>
      <c r="ES269">
        <f t="shared" si="1613"/>
        <v>0</v>
      </c>
      <c r="ET269">
        <f t="shared" si="1613"/>
        <v>0</v>
      </c>
      <c r="EU269">
        <f t="shared" si="1199"/>
        <v>0</v>
      </c>
      <c r="EV269">
        <f t="shared" si="1411"/>
        <v>0</v>
      </c>
      <c r="EW269">
        <f t="shared" si="1232"/>
        <v>0</v>
      </c>
      <c r="EX269">
        <f t="shared" si="1201"/>
        <v>0</v>
      </c>
      <c r="EY269">
        <f t="shared" si="1202"/>
        <v>0</v>
      </c>
      <c r="EZ269">
        <f t="shared" ref="EZ269:FI269" si="1614">IF(EZ$218,EZ164,0)</f>
        <v>0</v>
      </c>
      <c r="FA269">
        <f t="shared" si="1614"/>
        <v>0</v>
      </c>
      <c r="FB269">
        <f t="shared" si="1614"/>
        <v>0</v>
      </c>
      <c r="FC269">
        <f t="shared" si="1614"/>
        <v>0</v>
      </c>
      <c r="FD269">
        <f t="shared" si="1614"/>
        <v>0</v>
      </c>
      <c r="FE269">
        <f t="shared" si="1614"/>
        <v>0</v>
      </c>
      <c r="FF269">
        <f t="shared" si="1614"/>
        <v>0</v>
      </c>
      <c r="FG269">
        <f t="shared" si="1614"/>
        <v>0</v>
      </c>
      <c r="FH269">
        <f t="shared" si="1614"/>
        <v>0</v>
      </c>
      <c r="FI269">
        <f t="shared" si="1614"/>
        <v>0</v>
      </c>
      <c r="FJ269">
        <f t="shared" si="1204"/>
        <v>0</v>
      </c>
      <c r="FK269">
        <f t="shared" si="1205"/>
        <v>0</v>
      </c>
      <c r="FL269">
        <f t="shared" si="1413"/>
        <v>0</v>
      </c>
      <c r="FM269">
        <f t="shared" si="1234"/>
        <v>0</v>
      </c>
      <c r="FN269">
        <f t="shared" si="1207"/>
        <v>0</v>
      </c>
      <c r="FO269">
        <f t="shared" si="1208"/>
        <v>0</v>
      </c>
      <c r="FP269">
        <f t="shared" si="1209"/>
        <v>0</v>
      </c>
      <c r="FQ269">
        <f t="shared" si="1210"/>
        <v>0</v>
      </c>
      <c r="FR269">
        <f t="shared" si="1211"/>
        <v>0</v>
      </c>
      <c r="FS269">
        <f t="shared" si="1212"/>
        <v>0</v>
      </c>
      <c r="FT269">
        <f t="shared" si="1213"/>
        <v>0</v>
      </c>
      <c r="FU269">
        <f t="shared" si="1214"/>
        <v>0</v>
      </c>
      <c r="FV269">
        <f t="shared" si="1215"/>
        <v>0</v>
      </c>
      <c r="FW269">
        <f t="shared" si="1216"/>
        <v>0</v>
      </c>
      <c r="FX269">
        <f t="shared" si="1414"/>
        <v>0</v>
      </c>
      <c r="FY269">
        <f t="shared" si="1235"/>
        <v>0</v>
      </c>
      <c r="FZ269">
        <f t="shared" si="1218"/>
        <v>0</v>
      </c>
      <c r="GA269">
        <f t="shared" si="1219"/>
        <v>0</v>
      </c>
      <c r="GB269">
        <f t="shared" si="1220"/>
        <v>0</v>
      </c>
      <c r="GC269">
        <f t="shared" si="1221"/>
        <v>0</v>
      </c>
    </row>
    <row r="270" spans="1:185" x14ac:dyDescent="0.2">
      <c r="A270" s="8" t="str">
        <f t="shared" si="1311"/>
        <v/>
      </c>
      <c r="B270" s="8">
        <f t="shared" si="1312"/>
        <v>0</v>
      </c>
      <c r="C270" s="8">
        <f t="shared" si="1313"/>
        <v>0</v>
      </c>
      <c r="D270" s="8">
        <f t="shared" si="1314"/>
        <v>0</v>
      </c>
      <c r="E270" s="8">
        <f t="shared" si="1486"/>
        <v>0</v>
      </c>
      <c r="F270" s="8">
        <f t="shared" si="1384"/>
        <v>0</v>
      </c>
      <c r="G270" s="8">
        <f t="shared" si="1427"/>
        <v>0</v>
      </c>
      <c r="H270" s="8">
        <f t="shared" si="1428"/>
        <v>0</v>
      </c>
      <c r="I270" s="8">
        <f t="shared" si="1429"/>
        <v>0</v>
      </c>
      <c r="J270" s="8">
        <f t="shared" si="1430"/>
        <v>0</v>
      </c>
      <c r="K270" s="8">
        <f t="shared" si="1431"/>
        <v>0</v>
      </c>
      <c r="L270">
        <f t="shared" si="1320"/>
        <v>0</v>
      </c>
      <c r="M270">
        <f t="shared" si="1321"/>
        <v>0</v>
      </c>
      <c r="N270">
        <f t="shared" si="1322"/>
        <v>0</v>
      </c>
      <c r="O270">
        <f t="shared" si="1323"/>
        <v>0</v>
      </c>
      <c r="P270">
        <f t="shared" si="1324"/>
        <v>0</v>
      </c>
      <c r="Q270">
        <f t="shared" si="1325"/>
        <v>0</v>
      </c>
      <c r="R270">
        <f t="shared" si="1326"/>
        <v>0</v>
      </c>
      <c r="S270">
        <f t="shared" si="1327"/>
        <v>0</v>
      </c>
      <c r="T270">
        <f t="shared" si="1328"/>
        <v>0</v>
      </c>
      <c r="U270">
        <f t="shared" si="1329"/>
        <v>0</v>
      </c>
      <c r="V270">
        <f>IF(V$230,LandEmiss!AF165,0)</f>
        <v>0</v>
      </c>
      <c r="W270">
        <f>IF(W$230,LandEmiss!AG165,0)</f>
        <v>0</v>
      </c>
      <c r="X270">
        <f>IF(X$230,LandEmiss!AH165,0)</f>
        <v>0</v>
      </c>
      <c r="Y270">
        <f>IF(Y$230,LandEmiss!AI165,0)</f>
        <v>0</v>
      </c>
      <c r="Z270">
        <f>IF(Z$230,LandEmiss!AJ165,0)</f>
        <v>0</v>
      </c>
      <c r="AA270">
        <f>IF(AA$230,LandEmiss!AK165,0)</f>
        <v>0</v>
      </c>
      <c r="AB270">
        <f>IF(AB$230,LandEmiss!AL165,0)</f>
        <v>0</v>
      </c>
      <c r="AC270">
        <f>IF(AC$230,LandEmiss!AM165,0)</f>
        <v>0</v>
      </c>
      <c r="AD270">
        <f>IF(AD$230,LandEmiss!AN165,0)</f>
        <v>0</v>
      </c>
      <c r="AE270">
        <f>IF(AE$230,LandEmiss!AO165,0)</f>
        <v>0</v>
      </c>
      <c r="AF270">
        <f t="shared" ref="AF270:AO270" si="1615">IF(AF$230,AF165,0)</f>
        <v>0</v>
      </c>
      <c r="AG270">
        <f t="shared" si="1615"/>
        <v>0</v>
      </c>
      <c r="AH270">
        <f t="shared" si="1615"/>
        <v>0</v>
      </c>
      <c r="AI270">
        <f t="shared" si="1615"/>
        <v>0</v>
      </c>
      <c r="AJ270">
        <f t="shared" si="1615"/>
        <v>0</v>
      </c>
      <c r="AK270">
        <f t="shared" si="1615"/>
        <v>0</v>
      </c>
      <c r="AL270">
        <f t="shared" si="1615"/>
        <v>0</v>
      </c>
      <c r="AM270">
        <f t="shared" si="1615"/>
        <v>0</v>
      </c>
      <c r="AN270">
        <f t="shared" si="1615"/>
        <v>0</v>
      </c>
      <c r="AO270">
        <f t="shared" si="1615"/>
        <v>0</v>
      </c>
      <c r="AP270">
        <f t="shared" si="1331"/>
        <v>0</v>
      </c>
      <c r="AQ270">
        <f t="shared" si="1332"/>
        <v>0</v>
      </c>
      <c r="AR270">
        <f t="shared" si="1333"/>
        <v>0</v>
      </c>
      <c r="AS270">
        <f t="shared" si="1334"/>
        <v>0</v>
      </c>
      <c r="AT270">
        <f t="shared" si="1335"/>
        <v>0</v>
      </c>
      <c r="AU270">
        <f t="shared" si="1336"/>
        <v>0</v>
      </c>
      <c r="AV270">
        <f t="shared" si="1337"/>
        <v>0</v>
      </c>
      <c r="AW270">
        <f t="shared" si="1338"/>
        <v>0</v>
      </c>
      <c r="AX270">
        <f t="shared" si="1339"/>
        <v>0</v>
      </c>
      <c r="AY270">
        <f t="shared" si="1340"/>
        <v>0</v>
      </c>
      <c r="AZ270">
        <f t="shared" si="1341"/>
        <v>0</v>
      </c>
      <c r="BA270">
        <f t="shared" si="1342"/>
        <v>0</v>
      </c>
      <c r="BB270">
        <f t="shared" si="1343"/>
        <v>0</v>
      </c>
      <c r="BC270">
        <f t="shared" si="1344"/>
        <v>0</v>
      </c>
      <c r="BD270">
        <f t="shared" si="1345"/>
        <v>0</v>
      </c>
      <c r="BE270">
        <f t="shared" si="1346"/>
        <v>0</v>
      </c>
      <c r="BF270">
        <f t="shared" si="1347"/>
        <v>0</v>
      </c>
      <c r="BG270">
        <f t="shared" si="1348"/>
        <v>0</v>
      </c>
      <c r="BH270">
        <f t="shared" si="1488"/>
        <v>0</v>
      </c>
      <c r="BI270">
        <f t="shared" si="1387"/>
        <v>0</v>
      </c>
      <c r="BJ270" s="8" t="str">
        <f>Hidden!$CC41</f>
        <v/>
      </c>
      <c r="BK270">
        <f t="shared" ref="BK270:BT270" si="1616">IF(BK$230,CP165,0)</f>
        <v>0</v>
      </c>
      <c r="BL270">
        <f t="shared" si="1616"/>
        <v>0</v>
      </c>
      <c r="BM270">
        <f t="shared" si="1616"/>
        <v>0</v>
      </c>
      <c r="BN270">
        <f t="shared" si="1616"/>
        <v>0</v>
      </c>
      <c r="BO270">
        <f t="shared" si="1616"/>
        <v>0</v>
      </c>
      <c r="BP270">
        <f t="shared" si="1616"/>
        <v>0</v>
      </c>
      <c r="BQ270">
        <f t="shared" si="1616"/>
        <v>0</v>
      </c>
      <c r="BR270">
        <f t="shared" si="1616"/>
        <v>0</v>
      </c>
      <c r="BS270">
        <f t="shared" si="1616"/>
        <v>0</v>
      </c>
      <c r="BT270">
        <f t="shared" si="1616"/>
        <v>0</v>
      </c>
      <c r="BU270">
        <f t="shared" ref="BU270:CD270" si="1617">IF(BU$230,CP165,0)</f>
        <v>0</v>
      </c>
      <c r="BV270">
        <f t="shared" si="1617"/>
        <v>0</v>
      </c>
      <c r="BW270">
        <f t="shared" si="1617"/>
        <v>0</v>
      </c>
      <c r="BX270">
        <f t="shared" si="1617"/>
        <v>0</v>
      </c>
      <c r="BY270">
        <f t="shared" si="1617"/>
        <v>0</v>
      </c>
      <c r="BZ270">
        <f t="shared" si="1617"/>
        <v>0</v>
      </c>
      <c r="CA270">
        <f t="shared" si="1617"/>
        <v>0</v>
      </c>
      <c r="CB270">
        <f t="shared" si="1617"/>
        <v>0</v>
      </c>
      <c r="CC270">
        <f t="shared" si="1617"/>
        <v>0</v>
      </c>
      <c r="CD270">
        <f t="shared" si="1617"/>
        <v>0</v>
      </c>
      <c r="CE270">
        <f t="shared" si="1352"/>
        <v>0</v>
      </c>
      <c r="CF270">
        <f t="shared" si="1353"/>
        <v>0</v>
      </c>
      <c r="CG270">
        <f t="shared" si="1354"/>
        <v>0</v>
      </c>
      <c r="CH270">
        <f t="shared" si="1355"/>
        <v>0</v>
      </c>
      <c r="CI270">
        <f t="shared" si="1356"/>
        <v>0</v>
      </c>
      <c r="CJ270">
        <f t="shared" si="1491"/>
        <v>0</v>
      </c>
      <c r="CK270">
        <f t="shared" si="1390"/>
        <v>0</v>
      </c>
      <c r="CL270">
        <f t="shared" si="1358"/>
        <v>0</v>
      </c>
      <c r="CM270">
        <f t="shared" si="1359"/>
        <v>0</v>
      </c>
      <c r="CN270">
        <f t="shared" si="1360"/>
        <v>0</v>
      </c>
      <c r="CO270">
        <f t="shared" ref="CO270:CX270" si="1618">IF(CO$230,CP165,0)</f>
        <v>0</v>
      </c>
      <c r="CP270">
        <f t="shared" si="1618"/>
        <v>0</v>
      </c>
      <c r="CQ270">
        <f t="shared" si="1618"/>
        <v>0</v>
      </c>
      <c r="CR270">
        <f t="shared" si="1618"/>
        <v>0</v>
      </c>
      <c r="CS270">
        <f t="shared" si="1618"/>
        <v>0</v>
      </c>
      <c r="CT270">
        <f t="shared" si="1618"/>
        <v>0</v>
      </c>
      <c r="CU270">
        <f t="shared" si="1618"/>
        <v>0</v>
      </c>
      <c r="CV270">
        <f t="shared" si="1618"/>
        <v>0</v>
      </c>
      <c r="CW270">
        <f t="shared" si="1618"/>
        <v>0</v>
      </c>
      <c r="CX270">
        <f t="shared" si="1618"/>
        <v>0</v>
      </c>
      <c r="CY270">
        <f t="shared" si="1362"/>
        <v>0</v>
      </c>
      <c r="CZ270">
        <f t="shared" si="1363"/>
        <v>0</v>
      </c>
      <c r="DA270">
        <f t="shared" si="1364"/>
        <v>0</v>
      </c>
      <c r="DB270">
        <f t="shared" si="1365"/>
        <v>0</v>
      </c>
      <c r="DC270">
        <f t="shared" si="1366"/>
        <v>0</v>
      </c>
      <c r="DD270">
        <f t="shared" si="1367"/>
        <v>0</v>
      </c>
      <c r="DE270">
        <f t="shared" si="1368"/>
        <v>0</v>
      </c>
      <c r="DF270">
        <f t="shared" si="1369"/>
        <v>0</v>
      </c>
      <c r="DG270">
        <f t="shared" si="1370"/>
        <v>0</v>
      </c>
      <c r="DH270">
        <f t="shared" si="1371"/>
        <v>0</v>
      </c>
      <c r="DI270">
        <f t="shared" si="1372"/>
        <v>0</v>
      </c>
      <c r="DJ270">
        <f t="shared" si="1373"/>
        <v>0</v>
      </c>
      <c r="DK270">
        <f t="shared" si="1374"/>
        <v>0</v>
      </c>
      <c r="DL270">
        <f t="shared" si="1375"/>
        <v>0</v>
      </c>
      <c r="DM270">
        <f t="shared" si="1376"/>
        <v>0</v>
      </c>
      <c r="DN270">
        <f t="shared" si="1377"/>
        <v>0</v>
      </c>
      <c r="DO270">
        <f t="shared" si="1378"/>
        <v>0</v>
      </c>
      <c r="DP270">
        <f t="shared" si="1379"/>
        <v>0</v>
      </c>
      <c r="DQ270">
        <f t="shared" si="1380"/>
        <v>0</v>
      </c>
      <c r="DR270">
        <f t="shared" si="1381"/>
        <v>0</v>
      </c>
      <c r="DT270" s="77"/>
      <c r="DU270" s="8" t="str">
        <f>Hidden!$CG53</f>
        <v/>
      </c>
      <c r="DV270">
        <f t="shared" si="1176"/>
        <v>0</v>
      </c>
      <c r="DW270">
        <f t="shared" si="1177"/>
        <v>0</v>
      </c>
      <c r="DX270">
        <f t="shared" si="1178"/>
        <v>0</v>
      </c>
      <c r="DY270">
        <f t="shared" si="1179"/>
        <v>0</v>
      </c>
      <c r="DZ270">
        <f t="shared" si="1180"/>
        <v>0</v>
      </c>
      <c r="EA270">
        <f t="shared" si="1181"/>
        <v>0</v>
      </c>
      <c r="EB270">
        <f t="shared" si="1182"/>
        <v>0</v>
      </c>
      <c r="EC270">
        <f t="shared" si="1183"/>
        <v>0</v>
      </c>
      <c r="ED270">
        <f t="shared" si="1184"/>
        <v>0</v>
      </c>
      <c r="EE270">
        <f t="shared" si="1185"/>
        <v>0</v>
      </c>
      <c r="EF270">
        <f t="shared" si="1186"/>
        <v>0</v>
      </c>
      <c r="EG270">
        <f t="shared" si="1187"/>
        <v>0</v>
      </c>
      <c r="EH270">
        <f t="shared" si="1188"/>
        <v>0</v>
      </c>
      <c r="EI270">
        <f t="shared" si="1189"/>
        <v>0</v>
      </c>
      <c r="EJ270">
        <f t="shared" si="1190"/>
        <v>0</v>
      </c>
      <c r="EK270">
        <f t="shared" si="1191"/>
        <v>0</v>
      </c>
      <c r="EL270">
        <f t="shared" si="1192"/>
        <v>0</v>
      </c>
      <c r="EM270">
        <f t="shared" si="1193"/>
        <v>0</v>
      </c>
      <c r="EN270">
        <f t="shared" si="1194"/>
        <v>0</v>
      </c>
      <c r="EO270">
        <f t="shared" si="1195"/>
        <v>0</v>
      </c>
      <c r="EP270">
        <f t="shared" si="1196"/>
        <v>0</v>
      </c>
      <c r="EQ270">
        <f t="shared" si="1197"/>
        <v>0</v>
      </c>
      <c r="ER270">
        <f t="shared" si="1613"/>
        <v>0</v>
      </c>
      <c r="ES270">
        <f t="shared" ref="ES270:ET270" si="1619">IF(ES$218,FC165,0)</f>
        <v>0</v>
      </c>
      <c r="ET270">
        <f t="shared" si="1619"/>
        <v>0</v>
      </c>
      <c r="EU270">
        <f t="shared" si="1199"/>
        <v>0</v>
      </c>
      <c r="EV270">
        <f t="shared" si="1411"/>
        <v>0</v>
      </c>
      <c r="EW270">
        <f t="shared" si="1232"/>
        <v>0</v>
      </c>
      <c r="EX270">
        <f t="shared" si="1201"/>
        <v>0</v>
      </c>
      <c r="EY270">
        <f t="shared" si="1202"/>
        <v>0</v>
      </c>
      <c r="EZ270">
        <f t="shared" ref="EZ270:FI270" si="1620">IF(EZ$218,EZ165,0)</f>
        <v>0</v>
      </c>
      <c r="FA270">
        <f t="shared" si="1620"/>
        <v>0</v>
      </c>
      <c r="FB270">
        <f t="shared" si="1620"/>
        <v>0</v>
      </c>
      <c r="FC270">
        <f t="shared" si="1620"/>
        <v>0</v>
      </c>
      <c r="FD270">
        <f t="shared" si="1620"/>
        <v>0</v>
      </c>
      <c r="FE270">
        <f t="shared" si="1620"/>
        <v>0</v>
      </c>
      <c r="FF270">
        <f t="shared" si="1620"/>
        <v>0</v>
      </c>
      <c r="FG270">
        <f t="shared" si="1620"/>
        <v>0</v>
      </c>
      <c r="FH270">
        <f t="shared" si="1620"/>
        <v>0</v>
      </c>
      <c r="FI270">
        <f t="shared" si="1620"/>
        <v>0</v>
      </c>
      <c r="FJ270">
        <f t="shared" si="1204"/>
        <v>0</v>
      </c>
      <c r="FK270">
        <f t="shared" si="1205"/>
        <v>0</v>
      </c>
      <c r="FL270">
        <f t="shared" si="1413"/>
        <v>0</v>
      </c>
      <c r="FM270">
        <f t="shared" si="1234"/>
        <v>0</v>
      </c>
      <c r="FN270">
        <f t="shared" si="1207"/>
        <v>0</v>
      </c>
      <c r="FO270">
        <f t="shared" si="1208"/>
        <v>0</v>
      </c>
      <c r="FP270">
        <f t="shared" si="1209"/>
        <v>0</v>
      </c>
      <c r="FQ270">
        <f t="shared" si="1210"/>
        <v>0</v>
      </c>
      <c r="FR270">
        <f t="shared" si="1211"/>
        <v>0</v>
      </c>
      <c r="FS270">
        <f t="shared" si="1212"/>
        <v>0</v>
      </c>
      <c r="FT270">
        <f t="shared" si="1213"/>
        <v>0</v>
      </c>
      <c r="FU270">
        <f t="shared" si="1214"/>
        <v>0</v>
      </c>
      <c r="FV270">
        <f t="shared" si="1215"/>
        <v>0</v>
      </c>
      <c r="FW270">
        <f t="shared" si="1216"/>
        <v>0</v>
      </c>
      <c r="FX270">
        <f t="shared" si="1414"/>
        <v>0</v>
      </c>
      <c r="FY270">
        <f t="shared" si="1235"/>
        <v>0</v>
      </c>
      <c r="FZ270">
        <f t="shared" si="1218"/>
        <v>0</v>
      </c>
      <c r="GA270">
        <f t="shared" si="1219"/>
        <v>0</v>
      </c>
      <c r="GB270">
        <f t="shared" si="1220"/>
        <v>0</v>
      </c>
      <c r="GC270">
        <f t="shared" si="1221"/>
        <v>0</v>
      </c>
    </row>
    <row r="271" spans="1:185" x14ac:dyDescent="0.2">
      <c r="A271" s="8" t="str">
        <f t="shared" si="1311"/>
        <v/>
      </c>
      <c r="B271" s="8">
        <f t="shared" si="1312"/>
        <v>0</v>
      </c>
      <c r="C271" s="8">
        <f t="shared" si="1313"/>
        <v>0</v>
      </c>
      <c r="D271" s="8">
        <f t="shared" si="1314"/>
        <v>0</v>
      </c>
      <c r="E271" s="8">
        <f t="shared" si="1486"/>
        <v>0</v>
      </c>
      <c r="F271" s="8">
        <f t="shared" si="1384"/>
        <v>0</v>
      </c>
      <c r="G271" s="8">
        <f t="shared" si="1427"/>
        <v>0</v>
      </c>
      <c r="H271" s="8">
        <f t="shared" si="1428"/>
        <v>0</v>
      </c>
      <c r="I271" s="8">
        <f t="shared" si="1429"/>
        <v>0</v>
      </c>
      <c r="J271" s="8">
        <f t="shared" si="1430"/>
        <v>0</v>
      </c>
      <c r="K271" s="8">
        <f t="shared" si="1431"/>
        <v>0</v>
      </c>
      <c r="L271">
        <f t="shared" si="1320"/>
        <v>0</v>
      </c>
      <c r="M271">
        <f t="shared" si="1321"/>
        <v>0</v>
      </c>
      <c r="N271">
        <f t="shared" si="1322"/>
        <v>0</v>
      </c>
      <c r="O271">
        <f t="shared" si="1323"/>
        <v>0</v>
      </c>
      <c r="P271">
        <f t="shared" si="1324"/>
        <v>0</v>
      </c>
      <c r="Q271">
        <f t="shared" si="1325"/>
        <v>0</v>
      </c>
      <c r="R271">
        <f t="shared" si="1326"/>
        <v>0</v>
      </c>
      <c r="S271">
        <f t="shared" si="1327"/>
        <v>0</v>
      </c>
      <c r="T271">
        <f t="shared" si="1328"/>
        <v>0</v>
      </c>
      <c r="U271">
        <f t="shared" si="1329"/>
        <v>0</v>
      </c>
      <c r="V271">
        <f>IF(V$230,LandEmiss!AF166,0)</f>
        <v>0</v>
      </c>
      <c r="W271">
        <f>IF(W$230,LandEmiss!AG166,0)</f>
        <v>0</v>
      </c>
      <c r="X271">
        <f>IF(X$230,LandEmiss!AH166,0)</f>
        <v>0</v>
      </c>
      <c r="Y271">
        <f>IF(Y$230,LandEmiss!AI166,0)</f>
        <v>0</v>
      </c>
      <c r="Z271">
        <f>IF(Z$230,LandEmiss!AJ166,0)</f>
        <v>0</v>
      </c>
      <c r="AA271">
        <f>IF(AA$230,LandEmiss!AK166,0)</f>
        <v>0</v>
      </c>
      <c r="AB271">
        <f>IF(AB$230,LandEmiss!AL166,0)</f>
        <v>0</v>
      </c>
      <c r="AC271">
        <f>IF(AC$230,LandEmiss!AM166,0)</f>
        <v>0</v>
      </c>
      <c r="AD271">
        <f>IF(AD$230,LandEmiss!AN166,0)</f>
        <v>0</v>
      </c>
      <c r="AE271">
        <f>IF(AE$230,LandEmiss!AO166,0)</f>
        <v>0</v>
      </c>
      <c r="AF271">
        <f t="shared" ref="AF271:AO271" si="1621">IF(AF$230,AF166,0)</f>
        <v>0</v>
      </c>
      <c r="AG271">
        <f t="shared" si="1621"/>
        <v>0</v>
      </c>
      <c r="AH271">
        <f t="shared" si="1621"/>
        <v>0</v>
      </c>
      <c r="AI271">
        <f t="shared" si="1621"/>
        <v>0</v>
      </c>
      <c r="AJ271">
        <f t="shared" si="1621"/>
        <v>0</v>
      </c>
      <c r="AK271">
        <f t="shared" si="1621"/>
        <v>0</v>
      </c>
      <c r="AL271">
        <f t="shared" si="1621"/>
        <v>0</v>
      </c>
      <c r="AM271">
        <f t="shared" si="1621"/>
        <v>0</v>
      </c>
      <c r="AN271">
        <f t="shared" si="1621"/>
        <v>0</v>
      </c>
      <c r="AO271">
        <f t="shared" si="1621"/>
        <v>0</v>
      </c>
      <c r="AP271">
        <f t="shared" si="1331"/>
        <v>0</v>
      </c>
      <c r="AQ271">
        <f t="shared" si="1332"/>
        <v>0</v>
      </c>
      <c r="AR271">
        <f t="shared" si="1333"/>
        <v>0</v>
      </c>
      <c r="AS271">
        <f t="shared" si="1334"/>
        <v>0</v>
      </c>
      <c r="AT271">
        <f t="shared" si="1335"/>
        <v>0</v>
      </c>
      <c r="AU271">
        <f t="shared" si="1336"/>
        <v>0</v>
      </c>
      <c r="AV271">
        <f t="shared" si="1337"/>
        <v>0</v>
      </c>
      <c r="AW271">
        <f t="shared" si="1338"/>
        <v>0</v>
      </c>
      <c r="AX271">
        <f t="shared" si="1339"/>
        <v>0</v>
      </c>
      <c r="AY271">
        <f t="shared" si="1340"/>
        <v>0</v>
      </c>
      <c r="AZ271">
        <f t="shared" si="1341"/>
        <v>0</v>
      </c>
      <c r="BA271">
        <f t="shared" si="1342"/>
        <v>0</v>
      </c>
      <c r="BB271">
        <f t="shared" si="1343"/>
        <v>0</v>
      </c>
      <c r="BC271">
        <f t="shared" si="1344"/>
        <v>0</v>
      </c>
      <c r="BD271">
        <f t="shared" si="1345"/>
        <v>0</v>
      </c>
      <c r="BE271">
        <f t="shared" si="1346"/>
        <v>0</v>
      </c>
      <c r="BF271">
        <f t="shared" si="1347"/>
        <v>0</v>
      </c>
      <c r="BG271">
        <f t="shared" si="1348"/>
        <v>0</v>
      </c>
      <c r="BH271">
        <f t="shared" si="1488"/>
        <v>0</v>
      </c>
      <c r="BI271">
        <f t="shared" si="1387"/>
        <v>0</v>
      </c>
      <c r="BJ271" s="8" t="str">
        <f>Hidden!$CC42</f>
        <v/>
      </c>
      <c r="BK271">
        <f t="shared" ref="BK271:BT271" si="1622">IF(BK$230,CP166,0)</f>
        <v>0</v>
      </c>
      <c r="BL271">
        <f t="shared" si="1622"/>
        <v>0</v>
      </c>
      <c r="BM271">
        <f t="shared" si="1622"/>
        <v>0</v>
      </c>
      <c r="BN271">
        <f t="shared" si="1622"/>
        <v>0</v>
      </c>
      <c r="BO271">
        <f t="shared" si="1622"/>
        <v>0</v>
      </c>
      <c r="BP271">
        <f t="shared" si="1622"/>
        <v>0</v>
      </c>
      <c r="BQ271">
        <f t="shared" si="1622"/>
        <v>0</v>
      </c>
      <c r="BR271">
        <f t="shared" si="1622"/>
        <v>0</v>
      </c>
      <c r="BS271">
        <f t="shared" si="1622"/>
        <v>0</v>
      </c>
      <c r="BT271">
        <f t="shared" si="1622"/>
        <v>0</v>
      </c>
      <c r="BU271">
        <f t="shared" ref="BU271:CD271" si="1623">IF(BU$230,CP166,0)</f>
        <v>0</v>
      </c>
      <c r="BV271">
        <f t="shared" si="1623"/>
        <v>0</v>
      </c>
      <c r="BW271">
        <f t="shared" si="1623"/>
        <v>0</v>
      </c>
      <c r="BX271">
        <f t="shared" si="1623"/>
        <v>0</v>
      </c>
      <c r="BY271">
        <f t="shared" si="1623"/>
        <v>0</v>
      </c>
      <c r="BZ271">
        <f t="shared" si="1623"/>
        <v>0</v>
      </c>
      <c r="CA271">
        <f t="shared" si="1623"/>
        <v>0</v>
      </c>
      <c r="CB271">
        <f t="shared" si="1623"/>
        <v>0</v>
      </c>
      <c r="CC271">
        <f t="shared" si="1623"/>
        <v>0</v>
      </c>
      <c r="CD271">
        <f t="shared" si="1623"/>
        <v>0</v>
      </c>
      <c r="CE271">
        <f t="shared" si="1352"/>
        <v>0</v>
      </c>
      <c r="CF271">
        <f t="shared" si="1353"/>
        <v>0</v>
      </c>
      <c r="CG271">
        <f t="shared" si="1354"/>
        <v>0</v>
      </c>
      <c r="CH271">
        <f t="shared" si="1355"/>
        <v>0</v>
      </c>
      <c r="CI271">
        <f t="shared" si="1356"/>
        <v>0</v>
      </c>
      <c r="CJ271">
        <f t="shared" si="1491"/>
        <v>0</v>
      </c>
      <c r="CK271">
        <f t="shared" si="1390"/>
        <v>0</v>
      </c>
      <c r="CL271">
        <f t="shared" si="1358"/>
        <v>0</v>
      </c>
      <c r="CM271">
        <f t="shared" si="1359"/>
        <v>0</v>
      </c>
      <c r="CN271">
        <f t="shared" si="1360"/>
        <v>0</v>
      </c>
      <c r="CO271">
        <f t="shared" ref="CO271:CX271" si="1624">IF(CO$230,CP166,0)</f>
        <v>0</v>
      </c>
      <c r="CP271">
        <f t="shared" si="1624"/>
        <v>0</v>
      </c>
      <c r="CQ271">
        <f t="shared" si="1624"/>
        <v>0</v>
      </c>
      <c r="CR271">
        <f t="shared" si="1624"/>
        <v>0</v>
      </c>
      <c r="CS271">
        <f t="shared" si="1624"/>
        <v>0</v>
      </c>
      <c r="CT271">
        <f t="shared" si="1624"/>
        <v>0</v>
      </c>
      <c r="CU271">
        <f t="shared" si="1624"/>
        <v>0</v>
      </c>
      <c r="CV271">
        <f t="shared" si="1624"/>
        <v>0</v>
      </c>
      <c r="CW271">
        <f t="shared" si="1624"/>
        <v>0</v>
      </c>
      <c r="CX271">
        <f t="shared" si="1624"/>
        <v>0</v>
      </c>
      <c r="CY271">
        <f t="shared" si="1362"/>
        <v>0</v>
      </c>
      <c r="CZ271">
        <f t="shared" si="1363"/>
        <v>0</v>
      </c>
      <c r="DA271">
        <f t="shared" si="1364"/>
        <v>0</v>
      </c>
      <c r="DB271">
        <f t="shared" si="1365"/>
        <v>0</v>
      </c>
      <c r="DC271">
        <f t="shared" si="1366"/>
        <v>0</v>
      </c>
      <c r="DD271">
        <f t="shared" si="1367"/>
        <v>0</v>
      </c>
      <c r="DE271">
        <f t="shared" si="1368"/>
        <v>0</v>
      </c>
      <c r="DF271">
        <f t="shared" si="1369"/>
        <v>0</v>
      </c>
      <c r="DG271">
        <f t="shared" si="1370"/>
        <v>0</v>
      </c>
      <c r="DH271">
        <f t="shared" si="1371"/>
        <v>0</v>
      </c>
      <c r="DI271">
        <f t="shared" si="1372"/>
        <v>0</v>
      </c>
      <c r="DJ271">
        <f t="shared" si="1373"/>
        <v>0</v>
      </c>
      <c r="DK271">
        <f t="shared" si="1374"/>
        <v>0</v>
      </c>
      <c r="DL271">
        <f t="shared" si="1375"/>
        <v>0</v>
      </c>
      <c r="DM271">
        <f t="shared" si="1376"/>
        <v>0</v>
      </c>
      <c r="DN271">
        <f t="shared" si="1377"/>
        <v>0</v>
      </c>
      <c r="DO271">
        <f t="shared" si="1378"/>
        <v>0</v>
      </c>
      <c r="DP271">
        <f t="shared" si="1379"/>
        <v>0</v>
      </c>
      <c r="DQ271">
        <f t="shared" si="1380"/>
        <v>0</v>
      </c>
      <c r="DR271">
        <f t="shared" si="1381"/>
        <v>0</v>
      </c>
      <c r="DT271" s="77"/>
      <c r="DU271" s="8" t="str">
        <f>Hidden!$CG54</f>
        <v/>
      </c>
      <c r="DV271">
        <f t="shared" si="1176"/>
        <v>0</v>
      </c>
      <c r="DW271">
        <f t="shared" si="1177"/>
        <v>0</v>
      </c>
      <c r="DX271">
        <f t="shared" si="1178"/>
        <v>0</v>
      </c>
      <c r="DY271">
        <f t="shared" si="1179"/>
        <v>0</v>
      </c>
      <c r="DZ271">
        <f t="shared" si="1180"/>
        <v>0</v>
      </c>
      <c r="EA271">
        <f t="shared" si="1181"/>
        <v>0</v>
      </c>
      <c r="EB271">
        <f t="shared" si="1182"/>
        <v>0</v>
      </c>
      <c r="EC271">
        <f t="shared" si="1183"/>
        <v>0</v>
      </c>
      <c r="ED271">
        <f t="shared" si="1184"/>
        <v>0</v>
      </c>
      <c r="EE271">
        <f t="shared" si="1185"/>
        <v>0</v>
      </c>
      <c r="EF271">
        <f t="shared" si="1186"/>
        <v>0</v>
      </c>
      <c r="EG271">
        <f t="shared" si="1187"/>
        <v>0</v>
      </c>
      <c r="EH271">
        <f t="shared" si="1188"/>
        <v>0</v>
      </c>
      <c r="EI271">
        <f t="shared" si="1189"/>
        <v>0</v>
      </c>
      <c r="EJ271">
        <f t="shared" si="1190"/>
        <v>0</v>
      </c>
      <c r="EK271">
        <f t="shared" si="1191"/>
        <v>0</v>
      </c>
      <c r="EL271">
        <f t="shared" si="1192"/>
        <v>0</v>
      </c>
      <c r="EM271">
        <f t="shared" si="1193"/>
        <v>0</v>
      </c>
      <c r="EN271">
        <f t="shared" si="1194"/>
        <v>0</v>
      </c>
      <c r="EO271">
        <f t="shared" si="1195"/>
        <v>0</v>
      </c>
      <c r="EP271">
        <f t="shared" si="1196"/>
        <v>0</v>
      </c>
      <c r="EQ271">
        <f t="shared" si="1197"/>
        <v>0</v>
      </c>
      <c r="ER271">
        <f t="shared" si="1613"/>
        <v>0</v>
      </c>
      <c r="ES271">
        <f t="shared" ref="ES271:ET271" si="1625">IF(ES$218,FC166,0)</f>
        <v>0</v>
      </c>
      <c r="ET271">
        <f t="shared" si="1625"/>
        <v>0</v>
      </c>
      <c r="EU271">
        <f t="shared" si="1199"/>
        <v>0</v>
      </c>
      <c r="EV271">
        <f t="shared" si="1411"/>
        <v>0</v>
      </c>
      <c r="EW271">
        <f t="shared" si="1232"/>
        <v>0</v>
      </c>
      <c r="EX271">
        <f t="shared" si="1201"/>
        <v>0</v>
      </c>
      <c r="EY271">
        <f t="shared" si="1202"/>
        <v>0</v>
      </c>
      <c r="EZ271">
        <f t="shared" ref="EZ271:FI271" si="1626">IF(EZ$218,EZ166,0)</f>
        <v>0</v>
      </c>
      <c r="FA271">
        <f t="shared" si="1626"/>
        <v>0</v>
      </c>
      <c r="FB271">
        <f t="shared" si="1626"/>
        <v>0</v>
      </c>
      <c r="FC271">
        <f t="shared" si="1626"/>
        <v>0</v>
      </c>
      <c r="FD271">
        <f t="shared" si="1626"/>
        <v>0</v>
      </c>
      <c r="FE271">
        <f t="shared" si="1626"/>
        <v>0</v>
      </c>
      <c r="FF271">
        <f t="shared" si="1626"/>
        <v>0</v>
      </c>
      <c r="FG271">
        <f t="shared" si="1626"/>
        <v>0</v>
      </c>
      <c r="FH271">
        <f t="shared" si="1626"/>
        <v>0</v>
      </c>
      <c r="FI271">
        <f t="shared" si="1626"/>
        <v>0</v>
      </c>
      <c r="FJ271">
        <f t="shared" si="1204"/>
        <v>0</v>
      </c>
      <c r="FK271">
        <f t="shared" si="1205"/>
        <v>0</v>
      </c>
      <c r="FL271">
        <f t="shared" si="1413"/>
        <v>0</v>
      </c>
      <c r="FM271">
        <f t="shared" si="1234"/>
        <v>0</v>
      </c>
      <c r="FN271">
        <f t="shared" si="1207"/>
        <v>0</v>
      </c>
      <c r="FO271">
        <f t="shared" si="1208"/>
        <v>0</v>
      </c>
      <c r="FP271">
        <f t="shared" si="1209"/>
        <v>0</v>
      </c>
      <c r="FQ271">
        <f t="shared" si="1210"/>
        <v>0</v>
      </c>
      <c r="FR271">
        <f t="shared" si="1211"/>
        <v>0</v>
      </c>
      <c r="FS271">
        <f t="shared" si="1212"/>
        <v>0</v>
      </c>
      <c r="FT271">
        <f t="shared" si="1213"/>
        <v>0</v>
      </c>
      <c r="FU271">
        <f t="shared" si="1214"/>
        <v>0</v>
      </c>
      <c r="FV271">
        <f t="shared" si="1215"/>
        <v>0</v>
      </c>
      <c r="FW271">
        <f t="shared" si="1216"/>
        <v>0</v>
      </c>
      <c r="FX271">
        <f t="shared" si="1414"/>
        <v>0</v>
      </c>
      <c r="FY271">
        <f t="shared" si="1235"/>
        <v>0</v>
      </c>
      <c r="FZ271">
        <f t="shared" si="1218"/>
        <v>0</v>
      </c>
      <c r="GA271">
        <f t="shared" si="1219"/>
        <v>0</v>
      </c>
      <c r="GB271">
        <f t="shared" si="1220"/>
        <v>0</v>
      </c>
      <c r="GC271">
        <f t="shared" si="1221"/>
        <v>0</v>
      </c>
    </row>
    <row r="272" spans="1:185" x14ac:dyDescent="0.2">
      <c r="A272" s="8" t="str">
        <f t="shared" si="1311"/>
        <v/>
      </c>
      <c r="B272" s="8">
        <f t="shared" si="1312"/>
        <v>0</v>
      </c>
      <c r="C272" s="8">
        <f t="shared" si="1313"/>
        <v>0</v>
      </c>
      <c r="D272" s="8">
        <f t="shared" si="1314"/>
        <v>0</v>
      </c>
      <c r="E272" s="8">
        <f t="shared" si="1486"/>
        <v>0</v>
      </c>
      <c r="F272" s="8">
        <f t="shared" si="1384"/>
        <v>0</v>
      </c>
      <c r="G272" s="8">
        <f t="shared" si="1427"/>
        <v>0</v>
      </c>
      <c r="H272" s="8">
        <f t="shared" si="1428"/>
        <v>0</v>
      </c>
      <c r="I272" s="8">
        <f t="shared" si="1429"/>
        <v>0</v>
      </c>
      <c r="J272" s="8">
        <f t="shared" si="1430"/>
        <v>0</v>
      </c>
      <c r="K272" s="8">
        <f t="shared" si="1431"/>
        <v>0</v>
      </c>
      <c r="L272">
        <f t="shared" si="1320"/>
        <v>0</v>
      </c>
      <c r="M272">
        <f t="shared" si="1321"/>
        <v>0</v>
      </c>
      <c r="N272">
        <f t="shared" si="1322"/>
        <v>0</v>
      </c>
      <c r="O272">
        <f t="shared" si="1323"/>
        <v>0</v>
      </c>
      <c r="P272">
        <f t="shared" si="1324"/>
        <v>0</v>
      </c>
      <c r="Q272">
        <f t="shared" si="1325"/>
        <v>0</v>
      </c>
      <c r="R272">
        <f t="shared" si="1326"/>
        <v>0</v>
      </c>
      <c r="S272">
        <f t="shared" si="1327"/>
        <v>0</v>
      </c>
      <c r="T272">
        <f t="shared" si="1328"/>
        <v>0</v>
      </c>
      <c r="U272">
        <f t="shared" si="1329"/>
        <v>0</v>
      </c>
      <c r="V272">
        <f>IF(V$230,LandEmiss!AF167,0)</f>
        <v>0</v>
      </c>
      <c r="W272">
        <f>IF(W$230,LandEmiss!AG167,0)</f>
        <v>0</v>
      </c>
      <c r="X272">
        <f>IF(X$230,LandEmiss!AH167,0)</f>
        <v>0</v>
      </c>
      <c r="Y272">
        <f>IF(Y$230,LandEmiss!AI167,0)</f>
        <v>0</v>
      </c>
      <c r="Z272">
        <f>IF(Z$230,LandEmiss!AJ167,0)</f>
        <v>0</v>
      </c>
      <c r="AA272">
        <f>IF(AA$230,LandEmiss!AK167,0)</f>
        <v>0</v>
      </c>
      <c r="AB272">
        <f>IF(AB$230,LandEmiss!AL167,0)</f>
        <v>0</v>
      </c>
      <c r="AC272">
        <f>IF(AC$230,LandEmiss!AM167,0)</f>
        <v>0</v>
      </c>
      <c r="AD272">
        <f>IF(AD$230,LandEmiss!AN167,0)</f>
        <v>0</v>
      </c>
      <c r="AE272">
        <f>IF(AE$230,LandEmiss!AO167,0)</f>
        <v>0</v>
      </c>
      <c r="AF272">
        <f t="shared" ref="AF272:AO272" si="1627">IF(AF$230,AF167,0)</f>
        <v>0</v>
      </c>
      <c r="AG272">
        <f t="shared" si="1627"/>
        <v>0</v>
      </c>
      <c r="AH272">
        <f t="shared" si="1627"/>
        <v>0</v>
      </c>
      <c r="AI272">
        <f t="shared" si="1627"/>
        <v>0</v>
      </c>
      <c r="AJ272">
        <f t="shared" si="1627"/>
        <v>0</v>
      </c>
      <c r="AK272">
        <f t="shared" si="1627"/>
        <v>0</v>
      </c>
      <c r="AL272">
        <f t="shared" si="1627"/>
        <v>0</v>
      </c>
      <c r="AM272">
        <f t="shared" si="1627"/>
        <v>0</v>
      </c>
      <c r="AN272">
        <f t="shared" si="1627"/>
        <v>0</v>
      </c>
      <c r="AO272">
        <f t="shared" si="1627"/>
        <v>0</v>
      </c>
      <c r="AP272">
        <f t="shared" si="1331"/>
        <v>0</v>
      </c>
      <c r="AQ272">
        <f t="shared" si="1332"/>
        <v>0</v>
      </c>
      <c r="AR272">
        <f t="shared" si="1333"/>
        <v>0</v>
      </c>
      <c r="AS272">
        <f t="shared" si="1334"/>
        <v>0</v>
      </c>
      <c r="AT272">
        <f t="shared" si="1335"/>
        <v>0</v>
      </c>
      <c r="AU272">
        <f t="shared" si="1336"/>
        <v>0</v>
      </c>
      <c r="AV272">
        <f t="shared" si="1337"/>
        <v>0</v>
      </c>
      <c r="AW272">
        <f t="shared" si="1338"/>
        <v>0</v>
      </c>
      <c r="AX272">
        <f t="shared" si="1339"/>
        <v>0</v>
      </c>
      <c r="AY272">
        <f t="shared" si="1340"/>
        <v>0</v>
      </c>
      <c r="AZ272">
        <f t="shared" si="1341"/>
        <v>0</v>
      </c>
      <c r="BA272">
        <f t="shared" si="1342"/>
        <v>0</v>
      </c>
      <c r="BB272">
        <f t="shared" si="1343"/>
        <v>0</v>
      </c>
      <c r="BC272">
        <f t="shared" si="1344"/>
        <v>0</v>
      </c>
      <c r="BD272">
        <f t="shared" si="1345"/>
        <v>0</v>
      </c>
      <c r="BE272">
        <f t="shared" si="1346"/>
        <v>0</v>
      </c>
      <c r="BF272">
        <f t="shared" si="1347"/>
        <v>0</v>
      </c>
      <c r="BG272">
        <f t="shared" si="1348"/>
        <v>0</v>
      </c>
      <c r="BH272">
        <f t="shared" si="1488"/>
        <v>0</v>
      </c>
      <c r="BI272">
        <f t="shared" si="1387"/>
        <v>0</v>
      </c>
      <c r="BJ272" s="8" t="str">
        <f>Hidden!$CC43</f>
        <v/>
      </c>
      <c r="BK272">
        <f t="shared" ref="BK272:BT272" si="1628">IF(BK$230,CP167,0)</f>
        <v>0</v>
      </c>
      <c r="BL272">
        <f t="shared" si="1628"/>
        <v>0</v>
      </c>
      <c r="BM272">
        <f t="shared" si="1628"/>
        <v>0</v>
      </c>
      <c r="BN272">
        <f t="shared" si="1628"/>
        <v>0</v>
      </c>
      <c r="BO272">
        <f t="shared" si="1628"/>
        <v>0</v>
      </c>
      <c r="BP272">
        <f t="shared" si="1628"/>
        <v>0</v>
      </c>
      <c r="BQ272">
        <f t="shared" si="1628"/>
        <v>0</v>
      </c>
      <c r="BR272">
        <f t="shared" si="1628"/>
        <v>0</v>
      </c>
      <c r="BS272">
        <f t="shared" si="1628"/>
        <v>0</v>
      </c>
      <c r="BT272">
        <f t="shared" si="1628"/>
        <v>0</v>
      </c>
      <c r="BU272">
        <f t="shared" ref="BU272:CD272" si="1629">IF(BU$230,CP167,0)</f>
        <v>0</v>
      </c>
      <c r="BV272">
        <f t="shared" si="1629"/>
        <v>0</v>
      </c>
      <c r="BW272">
        <f t="shared" si="1629"/>
        <v>0</v>
      </c>
      <c r="BX272">
        <f t="shared" si="1629"/>
        <v>0</v>
      </c>
      <c r="BY272">
        <f t="shared" si="1629"/>
        <v>0</v>
      </c>
      <c r="BZ272">
        <f t="shared" si="1629"/>
        <v>0</v>
      </c>
      <c r="CA272">
        <f t="shared" si="1629"/>
        <v>0</v>
      </c>
      <c r="CB272">
        <f t="shared" si="1629"/>
        <v>0</v>
      </c>
      <c r="CC272">
        <f t="shared" si="1629"/>
        <v>0</v>
      </c>
      <c r="CD272">
        <f t="shared" si="1629"/>
        <v>0</v>
      </c>
      <c r="CE272">
        <f t="shared" si="1352"/>
        <v>0</v>
      </c>
      <c r="CF272">
        <f t="shared" si="1353"/>
        <v>0</v>
      </c>
      <c r="CG272">
        <f t="shared" si="1354"/>
        <v>0</v>
      </c>
      <c r="CH272">
        <f t="shared" si="1355"/>
        <v>0</v>
      </c>
      <c r="CI272">
        <f t="shared" si="1356"/>
        <v>0</v>
      </c>
      <c r="CJ272">
        <f t="shared" si="1491"/>
        <v>0</v>
      </c>
      <c r="CK272">
        <f t="shared" si="1390"/>
        <v>0</v>
      </c>
      <c r="CL272">
        <f t="shared" si="1358"/>
        <v>0</v>
      </c>
      <c r="CM272">
        <f t="shared" si="1359"/>
        <v>0</v>
      </c>
      <c r="CN272">
        <f t="shared" si="1360"/>
        <v>0</v>
      </c>
      <c r="CO272">
        <f t="shared" ref="CO272:CX272" si="1630">IF(CO$230,CP167,0)</f>
        <v>0</v>
      </c>
      <c r="CP272">
        <f t="shared" si="1630"/>
        <v>0</v>
      </c>
      <c r="CQ272">
        <f t="shared" si="1630"/>
        <v>0</v>
      </c>
      <c r="CR272">
        <f t="shared" si="1630"/>
        <v>0</v>
      </c>
      <c r="CS272">
        <f t="shared" si="1630"/>
        <v>0</v>
      </c>
      <c r="CT272">
        <f t="shared" si="1630"/>
        <v>0</v>
      </c>
      <c r="CU272">
        <f t="shared" si="1630"/>
        <v>0</v>
      </c>
      <c r="CV272">
        <f t="shared" si="1630"/>
        <v>0</v>
      </c>
      <c r="CW272">
        <f t="shared" si="1630"/>
        <v>0</v>
      </c>
      <c r="CX272">
        <f t="shared" si="1630"/>
        <v>0</v>
      </c>
      <c r="CY272">
        <f t="shared" si="1362"/>
        <v>0</v>
      </c>
      <c r="CZ272">
        <f t="shared" si="1363"/>
        <v>0</v>
      </c>
      <c r="DA272">
        <f t="shared" si="1364"/>
        <v>0</v>
      </c>
      <c r="DB272">
        <f t="shared" si="1365"/>
        <v>0</v>
      </c>
      <c r="DC272">
        <f t="shared" si="1366"/>
        <v>0</v>
      </c>
      <c r="DD272">
        <f t="shared" si="1367"/>
        <v>0</v>
      </c>
      <c r="DE272">
        <f t="shared" si="1368"/>
        <v>0</v>
      </c>
      <c r="DF272">
        <f t="shared" si="1369"/>
        <v>0</v>
      </c>
      <c r="DG272">
        <f t="shared" si="1370"/>
        <v>0</v>
      </c>
      <c r="DH272">
        <f t="shared" si="1371"/>
        <v>0</v>
      </c>
      <c r="DI272">
        <f t="shared" si="1372"/>
        <v>0</v>
      </c>
      <c r="DJ272">
        <f t="shared" si="1373"/>
        <v>0</v>
      </c>
      <c r="DK272">
        <f t="shared" si="1374"/>
        <v>0</v>
      </c>
      <c r="DL272">
        <f t="shared" si="1375"/>
        <v>0</v>
      </c>
      <c r="DM272">
        <f t="shared" si="1376"/>
        <v>0</v>
      </c>
      <c r="DN272">
        <f t="shared" si="1377"/>
        <v>0</v>
      </c>
      <c r="DO272">
        <f t="shared" si="1378"/>
        <v>0</v>
      </c>
      <c r="DP272">
        <f t="shared" si="1379"/>
        <v>0</v>
      </c>
      <c r="DQ272">
        <f t="shared" si="1380"/>
        <v>0</v>
      </c>
      <c r="DR272">
        <f t="shared" si="1381"/>
        <v>0</v>
      </c>
      <c r="DT272" s="77"/>
      <c r="DU272" s="8" t="str">
        <f>Hidden!$CG55</f>
        <v/>
      </c>
      <c r="DV272">
        <f t="shared" si="1176"/>
        <v>0</v>
      </c>
      <c r="DW272">
        <f t="shared" si="1177"/>
        <v>0</v>
      </c>
      <c r="DX272">
        <f t="shared" si="1178"/>
        <v>0</v>
      </c>
      <c r="DY272">
        <f t="shared" si="1179"/>
        <v>0</v>
      </c>
      <c r="DZ272">
        <f t="shared" si="1180"/>
        <v>0</v>
      </c>
      <c r="EA272">
        <f t="shared" si="1181"/>
        <v>0</v>
      </c>
      <c r="EB272">
        <f t="shared" si="1182"/>
        <v>0</v>
      </c>
      <c r="EC272">
        <f t="shared" si="1183"/>
        <v>0</v>
      </c>
      <c r="ED272">
        <f t="shared" si="1184"/>
        <v>0</v>
      </c>
      <c r="EE272">
        <f t="shared" si="1185"/>
        <v>0</v>
      </c>
      <c r="EF272">
        <f t="shared" si="1186"/>
        <v>0</v>
      </c>
      <c r="EG272">
        <f t="shared" si="1187"/>
        <v>0</v>
      </c>
      <c r="EH272">
        <f t="shared" si="1188"/>
        <v>0</v>
      </c>
      <c r="EI272">
        <f t="shared" si="1189"/>
        <v>0</v>
      </c>
      <c r="EJ272">
        <f t="shared" si="1190"/>
        <v>0</v>
      </c>
      <c r="EK272">
        <f t="shared" si="1191"/>
        <v>0</v>
      </c>
      <c r="EL272">
        <f t="shared" si="1192"/>
        <v>0</v>
      </c>
      <c r="EM272">
        <f t="shared" si="1193"/>
        <v>0</v>
      </c>
      <c r="EN272">
        <f t="shared" si="1194"/>
        <v>0</v>
      </c>
      <c r="EO272">
        <f t="shared" si="1195"/>
        <v>0</v>
      </c>
      <c r="EP272">
        <f t="shared" si="1196"/>
        <v>0</v>
      </c>
      <c r="EQ272">
        <f t="shared" si="1197"/>
        <v>0</v>
      </c>
      <c r="ER272">
        <f t="shared" si="1613"/>
        <v>0</v>
      </c>
      <c r="ES272">
        <f t="shared" ref="ES272:ET272" si="1631">IF(ES$218,FC167,0)</f>
        <v>0</v>
      </c>
      <c r="ET272">
        <f t="shared" si="1631"/>
        <v>0</v>
      </c>
      <c r="EU272">
        <f t="shared" si="1199"/>
        <v>0</v>
      </c>
      <c r="EV272">
        <f t="shared" si="1411"/>
        <v>0</v>
      </c>
      <c r="EW272">
        <f t="shared" si="1232"/>
        <v>0</v>
      </c>
      <c r="EX272">
        <f t="shared" si="1201"/>
        <v>0</v>
      </c>
      <c r="EY272">
        <f t="shared" si="1202"/>
        <v>0</v>
      </c>
      <c r="EZ272">
        <f t="shared" ref="EZ272:FI272" si="1632">IF(EZ$218,EZ167,0)</f>
        <v>0</v>
      </c>
      <c r="FA272">
        <f t="shared" si="1632"/>
        <v>0</v>
      </c>
      <c r="FB272">
        <f t="shared" si="1632"/>
        <v>0</v>
      </c>
      <c r="FC272">
        <f t="shared" si="1632"/>
        <v>0</v>
      </c>
      <c r="FD272">
        <f t="shared" si="1632"/>
        <v>0</v>
      </c>
      <c r="FE272">
        <f t="shared" si="1632"/>
        <v>0</v>
      </c>
      <c r="FF272">
        <f t="shared" si="1632"/>
        <v>0</v>
      </c>
      <c r="FG272">
        <f t="shared" si="1632"/>
        <v>0</v>
      </c>
      <c r="FH272">
        <f t="shared" si="1632"/>
        <v>0</v>
      </c>
      <c r="FI272">
        <f t="shared" si="1632"/>
        <v>0</v>
      </c>
      <c r="FJ272">
        <f t="shared" si="1204"/>
        <v>0</v>
      </c>
      <c r="FK272">
        <f t="shared" si="1205"/>
        <v>0</v>
      </c>
      <c r="FL272">
        <f t="shared" si="1413"/>
        <v>0</v>
      </c>
      <c r="FM272">
        <f t="shared" si="1234"/>
        <v>0</v>
      </c>
      <c r="FN272">
        <f t="shared" si="1207"/>
        <v>0</v>
      </c>
      <c r="FO272">
        <f t="shared" si="1208"/>
        <v>0</v>
      </c>
      <c r="FP272">
        <f t="shared" si="1209"/>
        <v>0</v>
      </c>
      <c r="FQ272">
        <f t="shared" si="1210"/>
        <v>0</v>
      </c>
      <c r="FR272">
        <f t="shared" si="1211"/>
        <v>0</v>
      </c>
      <c r="FS272">
        <f t="shared" si="1212"/>
        <v>0</v>
      </c>
      <c r="FT272">
        <f t="shared" si="1213"/>
        <v>0</v>
      </c>
      <c r="FU272">
        <f t="shared" si="1214"/>
        <v>0</v>
      </c>
      <c r="FV272">
        <f t="shared" si="1215"/>
        <v>0</v>
      </c>
      <c r="FW272">
        <f t="shared" si="1216"/>
        <v>0</v>
      </c>
      <c r="FX272">
        <f t="shared" si="1414"/>
        <v>0</v>
      </c>
      <c r="FY272">
        <f t="shared" si="1235"/>
        <v>0</v>
      </c>
      <c r="FZ272">
        <f t="shared" si="1218"/>
        <v>0</v>
      </c>
      <c r="GA272">
        <f t="shared" si="1219"/>
        <v>0</v>
      </c>
      <c r="GB272">
        <f t="shared" si="1220"/>
        <v>0</v>
      </c>
      <c r="GC272">
        <f t="shared" si="1221"/>
        <v>0</v>
      </c>
    </row>
    <row r="273" spans="1:185" x14ac:dyDescent="0.2">
      <c r="A273" s="8" t="str">
        <f t="shared" si="1311"/>
        <v/>
      </c>
      <c r="B273" s="8">
        <f t="shared" si="1312"/>
        <v>0</v>
      </c>
      <c r="C273" s="8">
        <f t="shared" si="1313"/>
        <v>0</v>
      </c>
      <c r="D273" s="8">
        <f t="shared" si="1314"/>
        <v>0</v>
      </c>
      <c r="E273" s="8">
        <f t="shared" si="1486"/>
        <v>0</v>
      </c>
      <c r="F273" s="8">
        <f t="shared" si="1384"/>
        <v>0</v>
      </c>
      <c r="G273" s="8">
        <f t="shared" si="1427"/>
        <v>0</v>
      </c>
      <c r="H273" s="8">
        <f t="shared" si="1428"/>
        <v>0</v>
      </c>
      <c r="I273" s="8">
        <f t="shared" si="1429"/>
        <v>0</v>
      </c>
      <c r="J273" s="8">
        <f t="shared" si="1430"/>
        <v>0</v>
      </c>
      <c r="K273" s="8">
        <f t="shared" si="1431"/>
        <v>0</v>
      </c>
      <c r="L273">
        <f t="shared" si="1320"/>
        <v>0</v>
      </c>
      <c r="M273">
        <f t="shared" si="1321"/>
        <v>0</v>
      </c>
      <c r="N273">
        <f t="shared" si="1322"/>
        <v>0</v>
      </c>
      <c r="O273">
        <f t="shared" si="1323"/>
        <v>0</v>
      </c>
      <c r="P273">
        <f t="shared" si="1324"/>
        <v>0</v>
      </c>
      <c r="Q273">
        <f t="shared" si="1325"/>
        <v>0</v>
      </c>
      <c r="R273">
        <f t="shared" si="1326"/>
        <v>0</v>
      </c>
      <c r="S273">
        <f t="shared" si="1327"/>
        <v>0</v>
      </c>
      <c r="T273">
        <f t="shared" si="1328"/>
        <v>0</v>
      </c>
      <c r="U273">
        <f t="shared" si="1329"/>
        <v>0</v>
      </c>
      <c r="V273">
        <f>IF(V$230,LandEmiss!AF168,0)</f>
        <v>0</v>
      </c>
      <c r="W273">
        <f>IF(W$230,LandEmiss!AG168,0)</f>
        <v>0</v>
      </c>
      <c r="X273">
        <f>IF(X$230,LandEmiss!AH168,0)</f>
        <v>0</v>
      </c>
      <c r="Y273">
        <f>IF(Y$230,LandEmiss!AI168,0)</f>
        <v>0</v>
      </c>
      <c r="Z273">
        <f>IF(Z$230,LandEmiss!AJ168,0)</f>
        <v>0</v>
      </c>
      <c r="AA273">
        <f>IF(AA$230,LandEmiss!AK168,0)</f>
        <v>0</v>
      </c>
      <c r="AB273">
        <f>IF(AB$230,LandEmiss!AL168,0)</f>
        <v>0</v>
      </c>
      <c r="AC273">
        <f>IF(AC$230,LandEmiss!AM168,0)</f>
        <v>0</v>
      </c>
      <c r="AD273">
        <f>IF(AD$230,LandEmiss!AN168,0)</f>
        <v>0</v>
      </c>
      <c r="AE273">
        <f>IF(AE$230,LandEmiss!AO168,0)</f>
        <v>0</v>
      </c>
      <c r="AF273">
        <f t="shared" ref="AF273:AO273" si="1633">IF(AF$230,AF168,0)</f>
        <v>0</v>
      </c>
      <c r="AG273">
        <f t="shared" si="1633"/>
        <v>0</v>
      </c>
      <c r="AH273">
        <f t="shared" si="1633"/>
        <v>0</v>
      </c>
      <c r="AI273">
        <f t="shared" si="1633"/>
        <v>0</v>
      </c>
      <c r="AJ273">
        <f t="shared" si="1633"/>
        <v>0</v>
      </c>
      <c r="AK273">
        <f t="shared" si="1633"/>
        <v>0</v>
      </c>
      <c r="AL273">
        <f t="shared" si="1633"/>
        <v>0</v>
      </c>
      <c r="AM273">
        <f t="shared" si="1633"/>
        <v>0</v>
      </c>
      <c r="AN273">
        <f t="shared" si="1633"/>
        <v>0</v>
      </c>
      <c r="AO273">
        <f t="shared" si="1633"/>
        <v>0</v>
      </c>
      <c r="AP273">
        <f t="shared" si="1331"/>
        <v>0</v>
      </c>
      <c r="AQ273">
        <f t="shared" si="1332"/>
        <v>0</v>
      </c>
      <c r="AR273">
        <f t="shared" si="1333"/>
        <v>0</v>
      </c>
      <c r="AS273">
        <f t="shared" si="1334"/>
        <v>0</v>
      </c>
      <c r="AT273">
        <f t="shared" si="1335"/>
        <v>0</v>
      </c>
      <c r="AU273">
        <f t="shared" si="1336"/>
        <v>0</v>
      </c>
      <c r="AV273">
        <f t="shared" si="1337"/>
        <v>0</v>
      </c>
      <c r="AW273">
        <f t="shared" si="1338"/>
        <v>0</v>
      </c>
      <c r="AX273">
        <f t="shared" si="1339"/>
        <v>0</v>
      </c>
      <c r="AY273">
        <f t="shared" si="1340"/>
        <v>0</v>
      </c>
      <c r="AZ273">
        <f t="shared" si="1341"/>
        <v>0</v>
      </c>
      <c r="BA273">
        <f t="shared" si="1342"/>
        <v>0</v>
      </c>
      <c r="BB273">
        <f t="shared" si="1343"/>
        <v>0</v>
      </c>
      <c r="BC273">
        <f t="shared" si="1344"/>
        <v>0</v>
      </c>
      <c r="BD273">
        <f t="shared" si="1345"/>
        <v>0</v>
      </c>
      <c r="BE273">
        <f t="shared" si="1346"/>
        <v>0</v>
      </c>
      <c r="BF273">
        <f t="shared" si="1347"/>
        <v>0</v>
      </c>
      <c r="BG273">
        <f t="shared" si="1348"/>
        <v>0</v>
      </c>
      <c r="BH273">
        <f t="shared" si="1488"/>
        <v>0</v>
      </c>
      <c r="BI273">
        <f t="shared" si="1387"/>
        <v>0</v>
      </c>
      <c r="BJ273" s="8" t="str">
        <f>Hidden!$CC44</f>
        <v/>
      </c>
      <c r="BK273">
        <f t="shared" ref="BK273:BT273" si="1634">IF(BK$230,CP168,0)</f>
        <v>0</v>
      </c>
      <c r="BL273">
        <f t="shared" si="1634"/>
        <v>0</v>
      </c>
      <c r="BM273">
        <f t="shared" si="1634"/>
        <v>0</v>
      </c>
      <c r="BN273">
        <f t="shared" si="1634"/>
        <v>0</v>
      </c>
      <c r="BO273">
        <f t="shared" si="1634"/>
        <v>0</v>
      </c>
      <c r="BP273">
        <f t="shared" si="1634"/>
        <v>0</v>
      </c>
      <c r="BQ273">
        <f t="shared" si="1634"/>
        <v>0</v>
      </c>
      <c r="BR273">
        <f t="shared" si="1634"/>
        <v>0</v>
      </c>
      <c r="BS273">
        <f t="shared" si="1634"/>
        <v>0</v>
      </c>
      <c r="BT273">
        <f t="shared" si="1634"/>
        <v>0</v>
      </c>
      <c r="BU273">
        <f t="shared" ref="BU273:CD273" si="1635">IF(BU$230,CP168,0)</f>
        <v>0</v>
      </c>
      <c r="BV273">
        <f t="shared" si="1635"/>
        <v>0</v>
      </c>
      <c r="BW273">
        <f t="shared" si="1635"/>
        <v>0</v>
      </c>
      <c r="BX273">
        <f t="shared" si="1635"/>
        <v>0</v>
      </c>
      <c r="BY273">
        <f t="shared" si="1635"/>
        <v>0</v>
      </c>
      <c r="BZ273">
        <f t="shared" si="1635"/>
        <v>0</v>
      </c>
      <c r="CA273">
        <f t="shared" si="1635"/>
        <v>0</v>
      </c>
      <c r="CB273">
        <f t="shared" si="1635"/>
        <v>0</v>
      </c>
      <c r="CC273">
        <f t="shared" si="1635"/>
        <v>0</v>
      </c>
      <c r="CD273">
        <f t="shared" si="1635"/>
        <v>0</v>
      </c>
      <c r="CE273">
        <f t="shared" si="1352"/>
        <v>0</v>
      </c>
      <c r="CF273">
        <f t="shared" si="1353"/>
        <v>0</v>
      </c>
      <c r="CG273">
        <f t="shared" si="1354"/>
        <v>0</v>
      </c>
      <c r="CH273">
        <f t="shared" si="1355"/>
        <v>0</v>
      </c>
      <c r="CI273">
        <f t="shared" si="1356"/>
        <v>0</v>
      </c>
      <c r="CJ273">
        <f t="shared" si="1491"/>
        <v>0</v>
      </c>
      <c r="CK273">
        <f t="shared" si="1390"/>
        <v>0</v>
      </c>
      <c r="CL273">
        <f t="shared" si="1358"/>
        <v>0</v>
      </c>
      <c r="CM273">
        <f t="shared" si="1359"/>
        <v>0</v>
      </c>
      <c r="CN273">
        <f t="shared" si="1360"/>
        <v>0</v>
      </c>
      <c r="CO273">
        <f t="shared" ref="CO273:CX273" si="1636">IF(CO$230,CP168,0)</f>
        <v>0</v>
      </c>
      <c r="CP273">
        <f t="shared" si="1636"/>
        <v>0</v>
      </c>
      <c r="CQ273">
        <f t="shared" si="1636"/>
        <v>0</v>
      </c>
      <c r="CR273">
        <f t="shared" si="1636"/>
        <v>0</v>
      </c>
      <c r="CS273">
        <f t="shared" si="1636"/>
        <v>0</v>
      </c>
      <c r="CT273">
        <f t="shared" si="1636"/>
        <v>0</v>
      </c>
      <c r="CU273">
        <f t="shared" si="1636"/>
        <v>0</v>
      </c>
      <c r="CV273">
        <f t="shared" si="1636"/>
        <v>0</v>
      </c>
      <c r="CW273">
        <f t="shared" si="1636"/>
        <v>0</v>
      </c>
      <c r="CX273">
        <f t="shared" si="1636"/>
        <v>0</v>
      </c>
      <c r="CY273">
        <f t="shared" si="1362"/>
        <v>0</v>
      </c>
      <c r="CZ273">
        <f t="shared" si="1363"/>
        <v>0</v>
      </c>
      <c r="DA273">
        <f t="shared" si="1364"/>
        <v>0</v>
      </c>
      <c r="DB273">
        <f t="shared" si="1365"/>
        <v>0</v>
      </c>
      <c r="DC273">
        <f t="shared" si="1366"/>
        <v>0</v>
      </c>
      <c r="DD273">
        <f t="shared" si="1367"/>
        <v>0</v>
      </c>
      <c r="DE273">
        <f t="shared" si="1368"/>
        <v>0</v>
      </c>
      <c r="DF273">
        <f t="shared" si="1369"/>
        <v>0</v>
      </c>
      <c r="DG273">
        <f t="shared" si="1370"/>
        <v>0</v>
      </c>
      <c r="DH273">
        <f t="shared" si="1371"/>
        <v>0</v>
      </c>
      <c r="DI273">
        <f t="shared" si="1372"/>
        <v>0</v>
      </c>
      <c r="DJ273">
        <f t="shared" si="1373"/>
        <v>0</v>
      </c>
      <c r="DK273">
        <f t="shared" si="1374"/>
        <v>0</v>
      </c>
      <c r="DL273">
        <f t="shared" si="1375"/>
        <v>0</v>
      </c>
      <c r="DM273">
        <f t="shared" si="1376"/>
        <v>0</v>
      </c>
      <c r="DN273">
        <f t="shared" si="1377"/>
        <v>0</v>
      </c>
      <c r="DO273">
        <f t="shared" si="1378"/>
        <v>0</v>
      </c>
      <c r="DP273">
        <f t="shared" si="1379"/>
        <v>0</v>
      </c>
      <c r="DQ273">
        <f t="shared" si="1380"/>
        <v>0</v>
      </c>
      <c r="DR273">
        <f t="shared" si="1381"/>
        <v>0</v>
      </c>
      <c r="DT273" s="77"/>
      <c r="DU273" s="8" t="str">
        <f>Hidden!$CG56</f>
        <v/>
      </c>
      <c r="DV273">
        <f t="shared" si="1176"/>
        <v>0</v>
      </c>
      <c r="DW273">
        <f t="shared" si="1177"/>
        <v>0</v>
      </c>
      <c r="DX273">
        <f t="shared" si="1178"/>
        <v>0</v>
      </c>
      <c r="DY273">
        <f t="shared" si="1179"/>
        <v>0</v>
      </c>
      <c r="DZ273">
        <f t="shared" si="1180"/>
        <v>0</v>
      </c>
      <c r="EA273">
        <f t="shared" si="1181"/>
        <v>0</v>
      </c>
      <c r="EB273">
        <f t="shared" si="1182"/>
        <v>0</v>
      </c>
      <c r="EC273">
        <f t="shared" si="1183"/>
        <v>0</v>
      </c>
      <c r="ED273">
        <f t="shared" si="1184"/>
        <v>0</v>
      </c>
      <c r="EE273">
        <f t="shared" si="1185"/>
        <v>0</v>
      </c>
      <c r="EF273">
        <f t="shared" si="1186"/>
        <v>0</v>
      </c>
      <c r="EG273">
        <f t="shared" si="1187"/>
        <v>0</v>
      </c>
      <c r="EH273">
        <f t="shared" si="1188"/>
        <v>0</v>
      </c>
      <c r="EI273">
        <f t="shared" si="1189"/>
        <v>0</v>
      </c>
      <c r="EJ273">
        <f t="shared" si="1190"/>
        <v>0</v>
      </c>
      <c r="EK273">
        <f t="shared" si="1191"/>
        <v>0</v>
      </c>
      <c r="EL273">
        <f t="shared" si="1192"/>
        <v>0</v>
      </c>
      <c r="EM273">
        <f t="shared" si="1193"/>
        <v>0</v>
      </c>
      <c r="EN273">
        <f t="shared" si="1194"/>
        <v>0</v>
      </c>
      <c r="EO273">
        <f t="shared" si="1195"/>
        <v>0</v>
      </c>
      <c r="EP273">
        <f t="shared" si="1196"/>
        <v>0</v>
      </c>
      <c r="EQ273">
        <f t="shared" si="1197"/>
        <v>0</v>
      </c>
      <c r="ER273">
        <f t="shared" si="1613"/>
        <v>0</v>
      </c>
      <c r="ES273">
        <f t="shared" ref="ES273:ET273" si="1637">IF(ES$218,FC168,0)</f>
        <v>0</v>
      </c>
      <c r="ET273">
        <f t="shared" si="1637"/>
        <v>0</v>
      </c>
      <c r="EU273">
        <f t="shared" si="1199"/>
        <v>0</v>
      </c>
      <c r="EV273">
        <f t="shared" si="1411"/>
        <v>0</v>
      </c>
      <c r="EW273">
        <f t="shared" si="1232"/>
        <v>0</v>
      </c>
      <c r="EX273">
        <f t="shared" si="1201"/>
        <v>0</v>
      </c>
      <c r="EY273">
        <f t="shared" si="1202"/>
        <v>0</v>
      </c>
      <c r="EZ273">
        <f t="shared" ref="EZ273:FI273" si="1638">IF(EZ$218,EZ168,0)</f>
        <v>0</v>
      </c>
      <c r="FA273">
        <f t="shared" si="1638"/>
        <v>0</v>
      </c>
      <c r="FB273">
        <f t="shared" si="1638"/>
        <v>0</v>
      </c>
      <c r="FC273">
        <f t="shared" si="1638"/>
        <v>0</v>
      </c>
      <c r="FD273">
        <f t="shared" si="1638"/>
        <v>0</v>
      </c>
      <c r="FE273">
        <f t="shared" si="1638"/>
        <v>0</v>
      </c>
      <c r="FF273">
        <f t="shared" si="1638"/>
        <v>0</v>
      </c>
      <c r="FG273">
        <f t="shared" si="1638"/>
        <v>0</v>
      </c>
      <c r="FH273">
        <f t="shared" si="1638"/>
        <v>0</v>
      </c>
      <c r="FI273">
        <f t="shared" si="1638"/>
        <v>0</v>
      </c>
      <c r="FJ273">
        <f t="shared" si="1204"/>
        <v>0</v>
      </c>
      <c r="FK273">
        <f t="shared" si="1205"/>
        <v>0</v>
      </c>
      <c r="FL273">
        <f t="shared" si="1413"/>
        <v>0</v>
      </c>
      <c r="FM273">
        <f t="shared" si="1234"/>
        <v>0</v>
      </c>
      <c r="FN273">
        <f t="shared" si="1207"/>
        <v>0</v>
      </c>
      <c r="FO273">
        <f t="shared" si="1208"/>
        <v>0</v>
      </c>
      <c r="FP273">
        <f t="shared" si="1209"/>
        <v>0</v>
      </c>
      <c r="FQ273">
        <f t="shared" si="1210"/>
        <v>0</v>
      </c>
      <c r="FR273">
        <f t="shared" si="1211"/>
        <v>0</v>
      </c>
      <c r="FS273">
        <f t="shared" si="1212"/>
        <v>0</v>
      </c>
      <c r="FT273">
        <f t="shared" si="1213"/>
        <v>0</v>
      </c>
      <c r="FU273">
        <f t="shared" si="1214"/>
        <v>0</v>
      </c>
      <c r="FV273">
        <f t="shared" si="1215"/>
        <v>0</v>
      </c>
      <c r="FW273">
        <f t="shared" si="1216"/>
        <v>0</v>
      </c>
      <c r="FX273">
        <f t="shared" si="1414"/>
        <v>0</v>
      </c>
      <c r="FY273">
        <f t="shared" si="1235"/>
        <v>0</v>
      </c>
      <c r="FZ273">
        <f t="shared" si="1218"/>
        <v>0</v>
      </c>
      <c r="GA273">
        <f t="shared" si="1219"/>
        <v>0</v>
      </c>
      <c r="GB273">
        <f t="shared" si="1220"/>
        <v>0</v>
      </c>
      <c r="GC273">
        <f t="shared" si="1221"/>
        <v>0</v>
      </c>
    </row>
    <row r="274" spans="1:185" x14ac:dyDescent="0.2">
      <c r="A274" s="8" t="str">
        <f t="shared" si="1311"/>
        <v/>
      </c>
      <c r="B274" s="8">
        <f t="shared" si="1312"/>
        <v>0</v>
      </c>
      <c r="C274" s="8">
        <f t="shared" si="1313"/>
        <v>0</v>
      </c>
      <c r="D274" s="8">
        <f t="shared" si="1314"/>
        <v>0</v>
      </c>
      <c r="E274" s="8">
        <f t="shared" si="1486"/>
        <v>0</v>
      </c>
      <c r="F274" s="8">
        <f t="shared" si="1384"/>
        <v>0</v>
      </c>
      <c r="G274" s="8">
        <f t="shared" si="1427"/>
        <v>0</v>
      </c>
      <c r="H274" s="8">
        <f t="shared" si="1428"/>
        <v>0</v>
      </c>
      <c r="I274" s="8">
        <f t="shared" si="1429"/>
        <v>0</v>
      </c>
      <c r="J274" s="8">
        <f t="shared" si="1430"/>
        <v>0</v>
      </c>
      <c r="K274" s="8">
        <f t="shared" si="1431"/>
        <v>0</v>
      </c>
      <c r="L274">
        <f t="shared" si="1320"/>
        <v>0</v>
      </c>
      <c r="M274">
        <f t="shared" si="1321"/>
        <v>0</v>
      </c>
      <c r="N274">
        <f t="shared" si="1322"/>
        <v>0</v>
      </c>
      <c r="O274">
        <f t="shared" si="1323"/>
        <v>0</v>
      </c>
      <c r="P274">
        <f t="shared" si="1324"/>
        <v>0</v>
      </c>
      <c r="Q274">
        <f t="shared" si="1325"/>
        <v>0</v>
      </c>
      <c r="R274">
        <f t="shared" si="1326"/>
        <v>0</v>
      </c>
      <c r="S274">
        <f t="shared" si="1327"/>
        <v>0</v>
      </c>
      <c r="T274">
        <f t="shared" si="1328"/>
        <v>0</v>
      </c>
      <c r="U274">
        <f t="shared" si="1329"/>
        <v>0</v>
      </c>
      <c r="V274">
        <f>IF(V$230,LandEmiss!AF169,0)</f>
        <v>0</v>
      </c>
      <c r="W274">
        <f>IF(W$230,LandEmiss!AG169,0)</f>
        <v>0</v>
      </c>
      <c r="X274">
        <f>IF(X$230,LandEmiss!AH169,0)</f>
        <v>0</v>
      </c>
      <c r="Y274">
        <f>IF(Y$230,LandEmiss!AI169,0)</f>
        <v>0</v>
      </c>
      <c r="Z274">
        <f>IF(Z$230,LandEmiss!AJ169,0)</f>
        <v>0</v>
      </c>
      <c r="AA274">
        <f>IF(AA$230,LandEmiss!AK169,0)</f>
        <v>0</v>
      </c>
      <c r="AB274">
        <f>IF(AB$230,LandEmiss!AL169,0)</f>
        <v>0</v>
      </c>
      <c r="AC274">
        <f>IF(AC$230,LandEmiss!AM169,0)</f>
        <v>0</v>
      </c>
      <c r="AD274">
        <f>IF(AD$230,LandEmiss!AN169,0)</f>
        <v>0</v>
      </c>
      <c r="AE274">
        <f>IF(AE$230,LandEmiss!AO169,0)</f>
        <v>0</v>
      </c>
      <c r="AF274">
        <f t="shared" ref="AF274:AO274" si="1639">IF(AF$230,AF169,0)</f>
        <v>0</v>
      </c>
      <c r="AG274">
        <f t="shared" si="1639"/>
        <v>0</v>
      </c>
      <c r="AH274">
        <f t="shared" si="1639"/>
        <v>0</v>
      </c>
      <c r="AI274">
        <f t="shared" si="1639"/>
        <v>0</v>
      </c>
      <c r="AJ274">
        <f t="shared" si="1639"/>
        <v>0</v>
      </c>
      <c r="AK274">
        <f t="shared" si="1639"/>
        <v>0</v>
      </c>
      <c r="AL274">
        <f t="shared" si="1639"/>
        <v>0</v>
      </c>
      <c r="AM274">
        <f t="shared" si="1639"/>
        <v>0</v>
      </c>
      <c r="AN274">
        <f t="shared" si="1639"/>
        <v>0</v>
      </c>
      <c r="AO274">
        <f t="shared" si="1639"/>
        <v>0</v>
      </c>
      <c r="AP274">
        <f t="shared" si="1331"/>
        <v>0</v>
      </c>
      <c r="AQ274">
        <f t="shared" si="1332"/>
        <v>0</v>
      </c>
      <c r="AR274">
        <f t="shared" si="1333"/>
        <v>0</v>
      </c>
      <c r="AS274">
        <f t="shared" si="1334"/>
        <v>0</v>
      </c>
      <c r="AT274">
        <f t="shared" si="1335"/>
        <v>0</v>
      </c>
      <c r="AU274">
        <f t="shared" si="1336"/>
        <v>0</v>
      </c>
      <c r="AV274">
        <f t="shared" si="1337"/>
        <v>0</v>
      </c>
      <c r="AW274">
        <f t="shared" si="1338"/>
        <v>0</v>
      </c>
      <c r="AX274">
        <f t="shared" si="1339"/>
        <v>0</v>
      </c>
      <c r="AY274">
        <f t="shared" si="1340"/>
        <v>0</v>
      </c>
      <c r="AZ274">
        <f t="shared" si="1341"/>
        <v>0</v>
      </c>
      <c r="BA274">
        <f t="shared" si="1342"/>
        <v>0</v>
      </c>
      <c r="BB274">
        <f t="shared" si="1343"/>
        <v>0</v>
      </c>
      <c r="BC274">
        <f t="shared" si="1344"/>
        <v>0</v>
      </c>
      <c r="BD274">
        <f t="shared" si="1345"/>
        <v>0</v>
      </c>
      <c r="BE274">
        <f t="shared" si="1346"/>
        <v>0</v>
      </c>
      <c r="BF274">
        <f t="shared" si="1347"/>
        <v>0</v>
      </c>
      <c r="BG274">
        <f t="shared" si="1348"/>
        <v>0</v>
      </c>
      <c r="BH274">
        <f t="shared" si="1488"/>
        <v>0</v>
      </c>
      <c r="BI274">
        <f t="shared" si="1387"/>
        <v>0</v>
      </c>
      <c r="BJ274" s="8" t="str">
        <f>Hidden!$CC45</f>
        <v/>
      </c>
      <c r="BK274">
        <f t="shared" ref="BK274:BT274" si="1640">IF(BK$230,CP169,0)</f>
        <v>0</v>
      </c>
      <c r="BL274">
        <f t="shared" si="1640"/>
        <v>0</v>
      </c>
      <c r="BM274">
        <f t="shared" si="1640"/>
        <v>0</v>
      </c>
      <c r="BN274">
        <f t="shared" si="1640"/>
        <v>0</v>
      </c>
      <c r="BO274">
        <f t="shared" si="1640"/>
        <v>0</v>
      </c>
      <c r="BP274">
        <f t="shared" si="1640"/>
        <v>0</v>
      </c>
      <c r="BQ274">
        <f t="shared" si="1640"/>
        <v>0</v>
      </c>
      <c r="BR274">
        <f t="shared" si="1640"/>
        <v>0</v>
      </c>
      <c r="BS274">
        <f t="shared" si="1640"/>
        <v>0</v>
      </c>
      <c r="BT274">
        <f t="shared" si="1640"/>
        <v>0</v>
      </c>
      <c r="BU274">
        <f t="shared" ref="BU274:CD274" si="1641">IF(BU$230,CP169,0)</f>
        <v>0</v>
      </c>
      <c r="BV274">
        <f t="shared" si="1641"/>
        <v>0</v>
      </c>
      <c r="BW274">
        <f t="shared" si="1641"/>
        <v>0</v>
      </c>
      <c r="BX274">
        <f t="shared" si="1641"/>
        <v>0</v>
      </c>
      <c r="BY274">
        <f t="shared" si="1641"/>
        <v>0</v>
      </c>
      <c r="BZ274">
        <f t="shared" si="1641"/>
        <v>0</v>
      </c>
      <c r="CA274">
        <f t="shared" si="1641"/>
        <v>0</v>
      </c>
      <c r="CB274">
        <f t="shared" si="1641"/>
        <v>0</v>
      </c>
      <c r="CC274">
        <f t="shared" si="1641"/>
        <v>0</v>
      </c>
      <c r="CD274">
        <f t="shared" si="1641"/>
        <v>0</v>
      </c>
      <c r="CE274">
        <f t="shared" si="1352"/>
        <v>0</v>
      </c>
      <c r="CF274">
        <f t="shared" si="1353"/>
        <v>0</v>
      </c>
      <c r="CG274">
        <f t="shared" si="1354"/>
        <v>0</v>
      </c>
      <c r="CH274">
        <f t="shared" si="1355"/>
        <v>0</v>
      </c>
      <c r="CI274">
        <f t="shared" si="1356"/>
        <v>0</v>
      </c>
      <c r="CJ274">
        <f t="shared" si="1491"/>
        <v>0</v>
      </c>
      <c r="CK274">
        <f t="shared" si="1390"/>
        <v>0</v>
      </c>
      <c r="CL274">
        <f t="shared" si="1358"/>
        <v>0</v>
      </c>
      <c r="CM274">
        <f t="shared" si="1359"/>
        <v>0</v>
      </c>
      <c r="CN274">
        <f t="shared" si="1360"/>
        <v>0</v>
      </c>
      <c r="CO274">
        <f t="shared" ref="CO274:CX274" si="1642">IF(CO$230,CP169,0)</f>
        <v>0</v>
      </c>
      <c r="CP274">
        <f t="shared" si="1642"/>
        <v>0</v>
      </c>
      <c r="CQ274">
        <f t="shared" si="1642"/>
        <v>0</v>
      </c>
      <c r="CR274">
        <f t="shared" si="1642"/>
        <v>0</v>
      </c>
      <c r="CS274">
        <f t="shared" si="1642"/>
        <v>0</v>
      </c>
      <c r="CT274">
        <f t="shared" si="1642"/>
        <v>0</v>
      </c>
      <c r="CU274">
        <f t="shared" si="1642"/>
        <v>0</v>
      </c>
      <c r="CV274">
        <f t="shared" si="1642"/>
        <v>0</v>
      </c>
      <c r="CW274">
        <f t="shared" si="1642"/>
        <v>0</v>
      </c>
      <c r="CX274">
        <f t="shared" si="1642"/>
        <v>0</v>
      </c>
      <c r="CY274">
        <f t="shared" si="1362"/>
        <v>0</v>
      </c>
      <c r="CZ274">
        <f t="shared" si="1363"/>
        <v>0</v>
      </c>
      <c r="DA274">
        <f t="shared" si="1364"/>
        <v>0</v>
      </c>
      <c r="DB274">
        <f t="shared" si="1365"/>
        <v>0</v>
      </c>
      <c r="DC274">
        <f t="shared" si="1366"/>
        <v>0</v>
      </c>
      <c r="DD274">
        <f t="shared" si="1367"/>
        <v>0</v>
      </c>
      <c r="DE274">
        <f t="shared" si="1368"/>
        <v>0</v>
      </c>
      <c r="DF274">
        <f t="shared" si="1369"/>
        <v>0</v>
      </c>
      <c r="DG274">
        <f t="shared" si="1370"/>
        <v>0</v>
      </c>
      <c r="DH274">
        <f t="shared" si="1371"/>
        <v>0</v>
      </c>
      <c r="DI274">
        <f t="shared" si="1372"/>
        <v>0</v>
      </c>
      <c r="DJ274">
        <f t="shared" si="1373"/>
        <v>0</v>
      </c>
      <c r="DK274">
        <f t="shared" si="1374"/>
        <v>0</v>
      </c>
      <c r="DL274">
        <f t="shared" si="1375"/>
        <v>0</v>
      </c>
      <c r="DM274">
        <f t="shared" si="1376"/>
        <v>0</v>
      </c>
      <c r="DN274">
        <f t="shared" si="1377"/>
        <v>0</v>
      </c>
      <c r="DO274">
        <f t="shared" si="1378"/>
        <v>0</v>
      </c>
      <c r="DP274">
        <f t="shared" si="1379"/>
        <v>0</v>
      </c>
      <c r="DQ274">
        <f t="shared" si="1380"/>
        <v>0</v>
      </c>
      <c r="DR274">
        <f t="shared" si="1381"/>
        <v>0</v>
      </c>
      <c r="DT274" s="77"/>
      <c r="DU274" s="8" t="str">
        <f>Hidden!$CG57</f>
        <v/>
      </c>
      <c r="DV274">
        <f t="shared" si="1176"/>
        <v>0</v>
      </c>
      <c r="DW274">
        <f t="shared" si="1177"/>
        <v>0</v>
      </c>
      <c r="DX274">
        <f t="shared" si="1178"/>
        <v>0</v>
      </c>
      <c r="DY274">
        <f t="shared" si="1179"/>
        <v>0</v>
      </c>
      <c r="DZ274">
        <f t="shared" si="1180"/>
        <v>0</v>
      </c>
      <c r="EA274">
        <f t="shared" si="1181"/>
        <v>0</v>
      </c>
      <c r="EB274">
        <f t="shared" si="1182"/>
        <v>0</v>
      </c>
      <c r="EC274">
        <f t="shared" si="1183"/>
        <v>0</v>
      </c>
      <c r="ED274">
        <f t="shared" si="1184"/>
        <v>0</v>
      </c>
      <c r="EE274">
        <f t="shared" si="1185"/>
        <v>0</v>
      </c>
      <c r="EF274">
        <f t="shared" si="1186"/>
        <v>0</v>
      </c>
      <c r="EG274">
        <f t="shared" si="1187"/>
        <v>0</v>
      </c>
      <c r="EH274">
        <f t="shared" si="1188"/>
        <v>0</v>
      </c>
      <c r="EI274">
        <f t="shared" si="1189"/>
        <v>0</v>
      </c>
      <c r="EJ274">
        <f t="shared" si="1190"/>
        <v>0</v>
      </c>
      <c r="EK274">
        <f t="shared" si="1191"/>
        <v>0</v>
      </c>
      <c r="EL274">
        <f t="shared" si="1192"/>
        <v>0</v>
      </c>
      <c r="EM274">
        <f t="shared" si="1193"/>
        <v>0</v>
      </c>
      <c r="EN274">
        <f t="shared" si="1194"/>
        <v>0</v>
      </c>
      <c r="EO274">
        <f t="shared" si="1195"/>
        <v>0</v>
      </c>
      <c r="EP274">
        <f t="shared" si="1196"/>
        <v>0</v>
      </c>
      <c r="EQ274">
        <f t="shared" si="1197"/>
        <v>0</v>
      </c>
      <c r="ER274">
        <f t="shared" si="1613"/>
        <v>0</v>
      </c>
      <c r="ES274">
        <f t="shared" ref="ES274:ET274" si="1643">IF(ES$218,FC169,0)</f>
        <v>0</v>
      </c>
      <c r="ET274">
        <f t="shared" si="1643"/>
        <v>0</v>
      </c>
      <c r="EU274">
        <f t="shared" si="1199"/>
        <v>0</v>
      </c>
      <c r="EV274">
        <f t="shared" si="1411"/>
        <v>0</v>
      </c>
      <c r="EW274">
        <f t="shared" si="1232"/>
        <v>0</v>
      </c>
      <c r="EX274">
        <f t="shared" si="1201"/>
        <v>0</v>
      </c>
      <c r="EY274">
        <f t="shared" si="1202"/>
        <v>0</v>
      </c>
      <c r="EZ274">
        <f t="shared" ref="EZ274:FI274" si="1644">IF(EZ$218,EZ169,0)</f>
        <v>0</v>
      </c>
      <c r="FA274">
        <f t="shared" si="1644"/>
        <v>0</v>
      </c>
      <c r="FB274">
        <f t="shared" si="1644"/>
        <v>0</v>
      </c>
      <c r="FC274">
        <f t="shared" si="1644"/>
        <v>0</v>
      </c>
      <c r="FD274">
        <f t="shared" si="1644"/>
        <v>0</v>
      </c>
      <c r="FE274">
        <f t="shared" si="1644"/>
        <v>0</v>
      </c>
      <c r="FF274">
        <f t="shared" si="1644"/>
        <v>0</v>
      </c>
      <c r="FG274">
        <f t="shared" si="1644"/>
        <v>0</v>
      </c>
      <c r="FH274">
        <f t="shared" si="1644"/>
        <v>0</v>
      </c>
      <c r="FI274">
        <f t="shared" si="1644"/>
        <v>0</v>
      </c>
      <c r="FJ274">
        <f t="shared" si="1204"/>
        <v>0</v>
      </c>
      <c r="FK274">
        <f t="shared" si="1205"/>
        <v>0</v>
      </c>
      <c r="FL274">
        <f t="shared" si="1413"/>
        <v>0</v>
      </c>
      <c r="FM274">
        <f t="shared" si="1234"/>
        <v>0</v>
      </c>
      <c r="FN274">
        <f t="shared" si="1207"/>
        <v>0</v>
      </c>
      <c r="FO274">
        <f t="shared" si="1208"/>
        <v>0</v>
      </c>
      <c r="FP274">
        <f t="shared" si="1209"/>
        <v>0</v>
      </c>
      <c r="FQ274">
        <f t="shared" si="1210"/>
        <v>0</v>
      </c>
      <c r="FR274">
        <f t="shared" si="1211"/>
        <v>0</v>
      </c>
      <c r="FS274">
        <f t="shared" si="1212"/>
        <v>0</v>
      </c>
      <c r="FT274">
        <f t="shared" si="1213"/>
        <v>0</v>
      </c>
      <c r="FU274">
        <f t="shared" si="1214"/>
        <v>0</v>
      </c>
      <c r="FV274">
        <f t="shared" si="1215"/>
        <v>0</v>
      </c>
      <c r="FW274">
        <f t="shared" si="1216"/>
        <v>0</v>
      </c>
      <c r="FX274">
        <f t="shared" si="1414"/>
        <v>0</v>
      </c>
      <c r="FY274">
        <f t="shared" si="1235"/>
        <v>0</v>
      </c>
      <c r="FZ274">
        <f t="shared" si="1218"/>
        <v>0</v>
      </c>
      <c r="GA274">
        <f t="shared" si="1219"/>
        <v>0</v>
      </c>
      <c r="GB274">
        <f t="shared" si="1220"/>
        <v>0</v>
      </c>
      <c r="GC274">
        <f t="shared" si="1221"/>
        <v>0</v>
      </c>
    </row>
    <row r="275" spans="1:185" x14ac:dyDescent="0.2">
      <c r="A275" s="8" t="str">
        <f t="shared" si="1311"/>
        <v/>
      </c>
      <c r="B275" s="8">
        <f t="shared" si="1312"/>
        <v>0</v>
      </c>
      <c r="C275" s="8">
        <f t="shared" si="1313"/>
        <v>0</v>
      </c>
      <c r="D275" s="8">
        <f t="shared" si="1314"/>
        <v>0</v>
      </c>
      <c r="E275" s="8">
        <f t="shared" si="1486"/>
        <v>0</v>
      </c>
      <c r="F275" s="8">
        <f t="shared" si="1384"/>
        <v>0</v>
      </c>
      <c r="G275" s="8">
        <f t="shared" si="1427"/>
        <v>0</v>
      </c>
      <c r="H275" s="8">
        <f t="shared" si="1428"/>
        <v>0</v>
      </c>
      <c r="I275" s="8">
        <f t="shared" si="1429"/>
        <v>0</v>
      </c>
      <c r="J275" s="8">
        <f t="shared" si="1430"/>
        <v>0</v>
      </c>
      <c r="K275" s="8">
        <f t="shared" si="1431"/>
        <v>0</v>
      </c>
      <c r="L275">
        <f t="shared" si="1320"/>
        <v>0</v>
      </c>
      <c r="M275">
        <f t="shared" si="1321"/>
        <v>0</v>
      </c>
      <c r="N275">
        <f t="shared" si="1322"/>
        <v>0</v>
      </c>
      <c r="O275">
        <f t="shared" si="1323"/>
        <v>0</v>
      </c>
      <c r="P275">
        <f t="shared" si="1324"/>
        <v>0</v>
      </c>
      <c r="Q275">
        <f t="shared" si="1325"/>
        <v>0</v>
      </c>
      <c r="R275">
        <f t="shared" si="1326"/>
        <v>0</v>
      </c>
      <c r="S275">
        <f t="shared" si="1327"/>
        <v>0</v>
      </c>
      <c r="T275">
        <f t="shared" si="1328"/>
        <v>0</v>
      </c>
      <c r="U275">
        <f t="shared" si="1329"/>
        <v>0</v>
      </c>
      <c r="V275">
        <f>IF(V$230,LandEmiss!AF170,0)</f>
        <v>0</v>
      </c>
      <c r="W275">
        <f>IF(W$230,LandEmiss!AG170,0)</f>
        <v>0</v>
      </c>
      <c r="X275">
        <f>IF(X$230,LandEmiss!AH170,0)</f>
        <v>0</v>
      </c>
      <c r="Y275">
        <f>IF(Y$230,LandEmiss!AI170,0)</f>
        <v>0</v>
      </c>
      <c r="Z275">
        <f>IF(Z$230,LandEmiss!AJ170,0)</f>
        <v>0</v>
      </c>
      <c r="AA275">
        <f>IF(AA$230,LandEmiss!AK170,0)</f>
        <v>0</v>
      </c>
      <c r="AB275">
        <f>IF(AB$230,LandEmiss!AL170,0)</f>
        <v>0</v>
      </c>
      <c r="AC275">
        <f>IF(AC$230,LandEmiss!AM170,0)</f>
        <v>0</v>
      </c>
      <c r="AD275">
        <f>IF(AD$230,LandEmiss!AN170,0)</f>
        <v>0</v>
      </c>
      <c r="AE275">
        <f>IF(AE$230,LandEmiss!AO170,0)</f>
        <v>0</v>
      </c>
      <c r="AF275">
        <f t="shared" ref="AF275:AO275" si="1645">IF(AF$230,AF170,0)</f>
        <v>0</v>
      </c>
      <c r="AG275">
        <f t="shared" si="1645"/>
        <v>0</v>
      </c>
      <c r="AH275">
        <f t="shared" si="1645"/>
        <v>0</v>
      </c>
      <c r="AI275">
        <f t="shared" si="1645"/>
        <v>0</v>
      </c>
      <c r="AJ275">
        <f t="shared" si="1645"/>
        <v>0</v>
      </c>
      <c r="AK275">
        <f t="shared" si="1645"/>
        <v>0</v>
      </c>
      <c r="AL275">
        <f t="shared" si="1645"/>
        <v>0</v>
      </c>
      <c r="AM275">
        <f t="shared" si="1645"/>
        <v>0</v>
      </c>
      <c r="AN275">
        <f t="shared" si="1645"/>
        <v>0</v>
      </c>
      <c r="AO275">
        <f t="shared" si="1645"/>
        <v>0</v>
      </c>
      <c r="AP275">
        <f t="shared" si="1331"/>
        <v>0</v>
      </c>
      <c r="AQ275">
        <f t="shared" si="1332"/>
        <v>0</v>
      </c>
      <c r="AR275">
        <f t="shared" si="1333"/>
        <v>0</v>
      </c>
      <c r="AS275">
        <f t="shared" si="1334"/>
        <v>0</v>
      </c>
      <c r="AT275">
        <f t="shared" si="1335"/>
        <v>0</v>
      </c>
      <c r="AU275">
        <f t="shared" si="1336"/>
        <v>0</v>
      </c>
      <c r="AV275">
        <f t="shared" si="1337"/>
        <v>0</v>
      </c>
      <c r="AW275">
        <f t="shared" si="1338"/>
        <v>0</v>
      </c>
      <c r="AX275">
        <f t="shared" si="1339"/>
        <v>0</v>
      </c>
      <c r="AY275">
        <f t="shared" si="1340"/>
        <v>0</v>
      </c>
      <c r="AZ275">
        <f t="shared" si="1341"/>
        <v>0</v>
      </c>
      <c r="BA275">
        <f t="shared" si="1342"/>
        <v>0</v>
      </c>
      <c r="BB275">
        <f t="shared" si="1343"/>
        <v>0</v>
      </c>
      <c r="BC275">
        <f t="shared" si="1344"/>
        <v>0</v>
      </c>
      <c r="BD275">
        <f t="shared" si="1345"/>
        <v>0</v>
      </c>
      <c r="BE275">
        <f t="shared" si="1346"/>
        <v>0</v>
      </c>
      <c r="BF275">
        <f t="shared" si="1347"/>
        <v>0</v>
      </c>
      <c r="BG275">
        <f t="shared" si="1348"/>
        <v>0</v>
      </c>
      <c r="BH275">
        <f t="shared" si="1488"/>
        <v>0</v>
      </c>
      <c r="BI275">
        <f t="shared" si="1387"/>
        <v>0</v>
      </c>
      <c r="BJ275" s="8" t="str">
        <f>Hidden!$CC46</f>
        <v/>
      </c>
      <c r="BK275">
        <f t="shared" ref="BK275:BT275" si="1646">IF(BK$230,CP170,0)</f>
        <v>0</v>
      </c>
      <c r="BL275">
        <f t="shared" si="1646"/>
        <v>0</v>
      </c>
      <c r="BM275">
        <f t="shared" si="1646"/>
        <v>0</v>
      </c>
      <c r="BN275">
        <f t="shared" si="1646"/>
        <v>0</v>
      </c>
      <c r="BO275">
        <f t="shared" si="1646"/>
        <v>0</v>
      </c>
      <c r="BP275">
        <f t="shared" si="1646"/>
        <v>0</v>
      </c>
      <c r="BQ275">
        <f t="shared" si="1646"/>
        <v>0</v>
      </c>
      <c r="BR275">
        <f t="shared" si="1646"/>
        <v>0</v>
      </c>
      <c r="BS275">
        <f t="shared" si="1646"/>
        <v>0</v>
      </c>
      <c r="BT275">
        <f t="shared" si="1646"/>
        <v>0</v>
      </c>
      <c r="BU275">
        <f t="shared" ref="BU275:CD275" si="1647">IF(BU$230,CP170,0)</f>
        <v>0</v>
      </c>
      <c r="BV275">
        <f t="shared" si="1647"/>
        <v>0</v>
      </c>
      <c r="BW275">
        <f t="shared" si="1647"/>
        <v>0</v>
      </c>
      <c r="BX275">
        <f t="shared" si="1647"/>
        <v>0</v>
      </c>
      <c r="BY275">
        <f t="shared" si="1647"/>
        <v>0</v>
      </c>
      <c r="BZ275">
        <f t="shared" si="1647"/>
        <v>0</v>
      </c>
      <c r="CA275">
        <f t="shared" si="1647"/>
        <v>0</v>
      </c>
      <c r="CB275">
        <f t="shared" si="1647"/>
        <v>0</v>
      </c>
      <c r="CC275">
        <f t="shared" si="1647"/>
        <v>0</v>
      </c>
      <c r="CD275">
        <f t="shared" si="1647"/>
        <v>0</v>
      </c>
      <c r="CE275">
        <f t="shared" si="1352"/>
        <v>0</v>
      </c>
      <c r="CF275">
        <f t="shared" si="1353"/>
        <v>0</v>
      </c>
      <c r="CG275">
        <f t="shared" si="1354"/>
        <v>0</v>
      </c>
      <c r="CH275">
        <f t="shared" si="1355"/>
        <v>0</v>
      </c>
      <c r="CI275">
        <f t="shared" si="1356"/>
        <v>0</v>
      </c>
      <c r="CJ275">
        <f t="shared" si="1491"/>
        <v>0</v>
      </c>
      <c r="CK275">
        <f t="shared" si="1390"/>
        <v>0</v>
      </c>
      <c r="CL275">
        <f t="shared" si="1358"/>
        <v>0</v>
      </c>
      <c r="CM275">
        <f t="shared" si="1359"/>
        <v>0</v>
      </c>
      <c r="CN275">
        <f t="shared" si="1360"/>
        <v>0</v>
      </c>
      <c r="CO275">
        <f t="shared" ref="CO275:CX275" si="1648">IF(CO$230,CP170,0)</f>
        <v>0</v>
      </c>
      <c r="CP275">
        <f t="shared" si="1648"/>
        <v>0</v>
      </c>
      <c r="CQ275">
        <f t="shared" si="1648"/>
        <v>0</v>
      </c>
      <c r="CR275">
        <f t="shared" si="1648"/>
        <v>0</v>
      </c>
      <c r="CS275">
        <f t="shared" si="1648"/>
        <v>0</v>
      </c>
      <c r="CT275">
        <f t="shared" si="1648"/>
        <v>0</v>
      </c>
      <c r="CU275">
        <f t="shared" si="1648"/>
        <v>0</v>
      </c>
      <c r="CV275">
        <f t="shared" si="1648"/>
        <v>0</v>
      </c>
      <c r="CW275">
        <f t="shared" si="1648"/>
        <v>0</v>
      </c>
      <c r="CX275">
        <f t="shared" si="1648"/>
        <v>0</v>
      </c>
      <c r="CY275">
        <f t="shared" si="1362"/>
        <v>0</v>
      </c>
      <c r="CZ275">
        <f t="shared" si="1363"/>
        <v>0</v>
      </c>
      <c r="DA275">
        <f t="shared" si="1364"/>
        <v>0</v>
      </c>
      <c r="DB275">
        <f t="shared" si="1365"/>
        <v>0</v>
      </c>
      <c r="DC275">
        <f t="shared" si="1366"/>
        <v>0</v>
      </c>
      <c r="DD275">
        <f t="shared" si="1367"/>
        <v>0</v>
      </c>
      <c r="DE275">
        <f t="shared" si="1368"/>
        <v>0</v>
      </c>
      <c r="DF275">
        <f t="shared" si="1369"/>
        <v>0</v>
      </c>
      <c r="DG275">
        <f t="shared" si="1370"/>
        <v>0</v>
      </c>
      <c r="DH275">
        <f t="shared" si="1371"/>
        <v>0</v>
      </c>
      <c r="DI275">
        <f t="shared" si="1372"/>
        <v>0</v>
      </c>
      <c r="DJ275">
        <f t="shared" si="1373"/>
        <v>0</v>
      </c>
      <c r="DK275">
        <f t="shared" si="1374"/>
        <v>0</v>
      </c>
      <c r="DL275">
        <f t="shared" si="1375"/>
        <v>0</v>
      </c>
      <c r="DM275">
        <f t="shared" si="1376"/>
        <v>0</v>
      </c>
      <c r="DN275">
        <f t="shared" si="1377"/>
        <v>0</v>
      </c>
      <c r="DO275">
        <f t="shared" si="1378"/>
        <v>0</v>
      </c>
      <c r="DP275">
        <f t="shared" si="1379"/>
        <v>0</v>
      </c>
      <c r="DQ275">
        <f t="shared" si="1380"/>
        <v>0</v>
      </c>
      <c r="DR275">
        <f t="shared" si="1381"/>
        <v>0</v>
      </c>
      <c r="DT275" s="77"/>
      <c r="DU275" s="8" t="str">
        <f>Hidden!$CG58</f>
        <v/>
      </c>
      <c r="DV275">
        <f t="shared" si="1176"/>
        <v>0</v>
      </c>
      <c r="DW275">
        <f t="shared" si="1177"/>
        <v>0</v>
      </c>
      <c r="DX275">
        <f t="shared" si="1178"/>
        <v>0</v>
      </c>
      <c r="DY275">
        <f t="shared" si="1179"/>
        <v>0</v>
      </c>
      <c r="DZ275">
        <f t="shared" si="1180"/>
        <v>0</v>
      </c>
      <c r="EA275">
        <f t="shared" si="1181"/>
        <v>0</v>
      </c>
      <c r="EB275">
        <f t="shared" si="1182"/>
        <v>0</v>
      </c>
      <c r="EC275">
        <f t="shared" si="1183"/>
        <v>0</v>
      </c>
      <c r="ED275">
        <f t="shared" si="1184"/>
        <v>0</v>
      </c>
      <c r="EE275">
        <f t="shared" si="1185"/>
        <v>0</v>
      </c>
      <c r="EF275">
        <f t="shared" si="1186"/>
        <v>0</v>
      </c>
      <c r="EG275">
        <f t="shared" si="1187"/>
        <v>0</v>
      </c>
      <c r="EH275">
        <f t="shared" si="1188"/>
        <v>0</v>
      </c>
      <c r="EI275">
        <f t="shared" si="1189"/>
        <v>0</v>
      </c>
      <c r="EJ275">
        <f t="shared" si="1190"/>
        <v>0</v>
      </c>
      <c r="EK275">
        <f t="shared" si="1191"/>
        <v>0</v>
      </c>
      <c r="EL275">
        <f t="shared" si="1192"/>
        <v>0</v>
      </c>
      <c r="EM275">
        <f t="shared" si="1193"/>
        <v>0</v>
      </c>
      <c r="EN275">
        <f t="shared" si="1194"/>
        <v>0</v>
      </c>
      <c r="EO275">
        <f t="shared" si="1195"/>
        <v>0</v>
      </c>
      <c r="EP275">
        <f t="shared" si="1196"/>
        <v>0</v>
      </c>
      <c r="EQ275">
        <f t="shared" si="1197"/>
        <v>0</v>
      </c>
      <c r="ER275">
        <f t="shared" si="1613"/>
        <v>0</v>
      </c>
      <c r="ES275">
        <f t="shared" ref="ES275:ET275" si="1649">IF(ES$218,FC170,0)</f>
        <v>0</v>
      </c>
      <c r="ET275">
        <f t="shared" si="1649"/>
        <v>0</v>
      </c>
      <c r="EU275">
        <f t="shared" si="1199"/>
        <v>0</v>
      </c>
      <c r="EV275">
        <f t="shared" si="1411"/>
        <v>0</v>
      </c>
      <c r="EW275">
        <f t="shared" si="1232"/>
        <v>0</v>
      </c>
      <c r="EX275">
        <f t="shared" si="1201"/>
        <v>0</v>
      </c>
      <c r="EY275">
        <f t="shared" si="1202"/>
        <v>0</v>
      </c>
      <c r="EZ275">
        <f t="shared" ref="EZ275:FI275" si="1650">IF(EZ$218,EZ170,0)</f>
        <v>0</v>
      </c>
      <c r="FA275">
        <f t="shared" si="1650"/>
        <v>0</v>
      </c>
      <c r="FB275">
        <f t="shared" si="1650"/>
        <v>0</v>
      </c>
      <c r="FC275">
        <f t="shared" si="1650"/>
        <v>0</v>
      </c>
      <c r="FD275">
        <f t="shared" si="1650"/>
        <v>0</v>
      </c>
      <c r="FE275">
        <f t="shared" si="1650"/>
        <v>0</v>
      </c>
      <c r="FF275">
        <f t="shared" si="1650"/>
        <v>0</v>
      </c>
      <c r="FG275">
        <f t="shared" si="1650"/>
        <v>0</v>
      </c>
      <c r="FH275">
        <f t="shared" si="1650"/>
        <v>0</v>
      </c>
      <c r="FI275">
        <f t="shared" si="1650"/>
        <v>0</v>
      </c>
      <c r="FJ275">
        <f t="shared" si="1204"/>
        <v>0</v>
      </c>
      <c r="FK275">
        <f t="shared" si="1205"/>
        <v>0</v>
      </c>
      <c r="FL275">
        <f t="shared" si="1413"/>
        <v>0</v>
      </c>
      <c r="FM275">
        <f t="shared" si="1234"/>
        <v>0</v>
      </c>
      <c r="FN275">
        <f t="shared" si="1207"/>
        <v>0</v>
      </c>
      <c r="FO275">
        <f t="shared" si="1208"/>
        <v>0</v>
      </c>
      <c r="FP275">
        <f t="shared" si="1209"/>
        <v>0</v>
      </c>
      <c r="FQ275">
        <f t="shared" si="1210"/>
        <v>0</v>
      </c>
      <c r="FR275">
        <f t="shared" si="1211"/>
        <v>0</v>
      </c>
      <c r="FS275">
        <f t="shared" si="1212"/>
        <v>0</v>
      </c>
      <c r="FT275">
        <f t="shared" si="1213"/>
        <v>0</v>
      </c>
      <c r="FU275">
        <f t="shared" si="1214"/>
        <v>0</v>
      </c>
      <c r="FV275">
        <f t="shared" si="1215"/>
        <v>0</v>
      </c>
      <c r="FW275">
        <f t="shared" si="1216"/>
        <v>0</v>
      </c>
      <c r="FX275">
        <f t="shared" si="1414"/>
        <v>0</v>
      </c>
      <c r="FY275">
        <f t="shared" si="1235"/>
        <v>0</v>
      </c>
      <c r="FZ275">
        <f t="shared" si="1218"/>
        <v>0</v>
      </c>
      <c r="GA275">
        <f t="shared" si="1219"/>
        <v>0</v>
      </c>
      <c r="GB275">
        <f t="shared" si="1220"/>
        <v>0</v>
      </c>
      <c r="GC275">
        <f t="shared" si="1221"/>
        <v>0</v>
      </c>
    </row>
    <row r="276" spans="1:185" x14ac:dyDescent="0.2">
      <c r="A276" s="8" t="str">
        <f t="shared" si="1311"/>
        <v/>
      </c>
      <c r="B276" s="8">
        <f t="shared" si="1312"/>
        <v>0</v>
      </c>
      <c r="C276" s="8">
        <f t="shared" si="1313"/>
        <v>0</v>
      </c>
      <c r="D276" s="8">
        <f t="shared" si="1314"/>
        <v>0</v>
      </c>
      <c r="E276" s="8">
        <f t="shared" si="1486"/>
        <v>0</v>
      </c>
      <c r="F276" s="8">
        <f t="shared" si="1384"/>
        <v>0</v>
      </c>
      <c r="G276" s="8">
        <f t="shared" si="1427"/>
        <v>0</v>
      </c>
      <c r="H276" s="8">
        <f t="shared" si="1428"/>
        <v>0</v>
      </c>
      <c r="I276" s="8">
        <f t="shared" si="1429"/>
        <v>0</v>
      </c>
      <c r="J276" s="8">
        <f t="shared" si="1430"/>
        <v>0</v>
      </c>
      <c r="K276" s="8">
        <f t="shared" si="1431"/>
        <v>0</v>
      </c>
      <c r="L276">
        <f t="shared" si="1320"/>
        <v>0</v>
      </c>
      <c r="M276">
        <f t="shared" si="1321"/>
        <v>0</v>
      </c>
      <c r="N276">
        <f t="shared" si="1322"/>
        <v>0</v>
      </c>
      <c r="O276">
        <f t="shared" si="1323"/>
        <v>0</v>
      </c>
      <c r="P276">
        <f t="shared" si="1324"/>
        <v>0</v>
      </c>
      <c r="Q276">
        <f t="shared" si="1325"/>
        <v>0</v>
      </c>
      <c r="R276">
        <f t="shared" si="1326"/>
        <v>0</v>
      </c>
      <c r="S276">
        <f t="shared" si="1327"/>
        <v>0</v>
      </c>
      <c r="T276">
        <f t="shared" si="1328"/>
        <v>0</v>
      </c>
      <c r="U276">
        <f t="shared" si="1329"/>
        <v>0</v>
      </c>
      <c r="V276">
        <f>IF(V$230,LandEmiss!AF171,0)</f>
        <v>0</v>
      </c>
      <c r="W276">
        <f>IF(W$230,LandEmiss!AG171,0)</f>
        <v>0</v>
      </c>
      <c r="X276">
        <f>IF(X$230,LandEmiss!AH171,0)</f>
        <v>0</v>
      </c>
      <c r="Y276">
        <f>IF(Y$230,LandEmiss!AI171,0)</f>
        <v>0</v>
      </c>
      <c r="Z276">
        <f>IF(Z$230,LandEmiss!AJ171,0)</f>
        <v>0</v>
      </c>
      <c r="AA276">
        <f>IF(AA$230,LandEmiss!AK171,0)</f>
        <v>0</v>
      </c>
      <c r="AB276">
        <f>IF(AB$230,LandEmiss!AL171,0)</f>
        <v>0</v>
      </c>
      <c r="AC276">
        <f>IF(AC$230,LandEmiss!AM171,0)</f>
        <v>0</v>
      </c>
      <c r="AD276">
        <f>IF(AD$230,LandEmiss!AN171,0)</f>
        <v>0</v>
      </c>
      <c r="AE276">
        <f>IF(AE$230,LandEmiss!AO171,0)</f>
        <v>0</v>
      </c>
      <c r="AF276">
        <f t="shared" ref="AF276:AO276" si="1651">IF(AF$230,AF171,0)</f>
        <v>0</v>
      </c>
      <c r="AG276">
        <f t="shared" si="1651"/>
        <v>0</v>
      </c>
      <c r="AH276">
        <f t="shared" si="1651"/>
        <v>0</v>
      </c>
      <c r="AI276">
        <f t="shared" si="1651"/>
        <v>0</v>
      </c>
      <c r="AJ276">
        <f t="shared" si="1651"/>
        <v>0</v>
      </c>
      <c r="AK276">
        <f t="shared" si="1651"/>
        <v>0</v>
      </c>
      <c r="AL276">
        <f t="shared" si="1651"/>
        <v>0</v>
      </c>
      <c r="AM276">
        <f t="shared" si="1651"/>
        <v>0</v>
      </c>
      <c r="AN276">
        <f t="shared" si="1651"/>
        <v>0</v>
      </c>
      <c r="AO276">
        <f t="shared" si="1651"/>
        <v>0</v>
      </c>
      <c r="AP276">
        <f t="shared" si="1331"/>
        <v>0</v>
      </c>
      <c r="AQ276">
        <f t="shared" si="1332"/>
        <v>0</v>
      </c>
      <c r="AR276">
        <f t="shared" si="1333"/>
        <v>0</v>
      </c>
      <c r="AS276">
        <f t="shared" si="1334"/>
        <v>0</v>
      </c>
      <c r="AT276">
        <f t="shared" si="1335"/>
        <v>0</v>
      </c>
      <c r="AU276">
        <f t="shared" si="1336"/>
        <v>0</v>
      </c>
      <c r="AV276">
        <f t="shared" si="1337"/>
        <v>0</v>
      </c>
      <c r="AW276">
        <f t="shared" si="1338"/>
        <v>0</v>
      </c>
      <c r="AX276">
        <f t="shared" si="1339"/>
        <v>0</v>
      </c>
      <c r="AY276">
        <f t="shared" si="1340"/>
        <v>0</v>
      </c>
      <c r="AZ276">
        <f t="shared" si="1341"/>
        <v>0</v>
      </c>
      <c r="BA276">
        <f t="shared" si="1342"/>
        <v>0</v>
      </c>
      <c r="BB276">
        <f t="shared" si="1343"/>
        <v>0</v>
      </c>
      <c r="BC276">
        <f t="shared" si="1344"/>
        <v>0</v>
      </c>
      <c r="BD276">
        <f t="shared" si="1345"/>
        <v>0</v>
      </c>
      <c r="BE276">
        <f t="shared" si="1346"/>
        <v>0</v>
      </c>
      <c r="BF276">
        <f t="shared" si="1347"/>
        <v>0</v>
      </c>
      <c r="BG276">
        <f t="shared" si="1348"/>
        <v>0</v>
      </c>
      <c r="BH276">
        <f t="shared" si="1488"/>
        <v>0</v>
      </c>
      <c r="BI276">
        <f t="shared" si="1387"/>
        <v>0</v>
      </c>
      <c r="BJ276" s="8" t="str">
        <f>Hidden!$CC47</f>
        <v/>
      </c>
      <c r="BK276">
        <f t="shared" ref="BK276:BT276" si="1652">IF(BK$230,CP171,0)</f>
        <v>0</v>
      </c>
      <c r="BL276">
        <f t="shared" si="1652"/>
        <v>0</v>
      </c>
      <c r="BM276">
        <f t="shared" si="1652"/>
        <v>0</v>
      </c>
      <c r="BN276">
        <f t="shared" si="1652"/>
        <v>0</v>
      </c>
      <c r="BO276">
        <f t="shared" si="1652"/>
        <v>0</v>
      </c>
      <c r="BP276">
        <f t="shared" si="1652"/>
        <v>0</v>
      </c>
      <c r="BQ276">
        <f t="shared" si="1652"/>
        <v>0</v>
      </c>
      <c r="BR276">
        <f t="shared" si="1652"/>
        <v>0</v>
      </c>
      <c r="BS276">
        <f t="shared" si="1652"/>
        <v>0</v>
      </c>
      <c r="BT276">
        <f t="shared" si="1652"/>
        <v>0</v>
      </c>
      <c r="BU276">
        <f t="shared" ref="BU276:CD276" si="1653">IF(BU$230,CP171,0)</f>
        <v>0</v>
      </c>
      <c r="BV276">
        <f t="shared" si="1653"/>
        <v>0</v>
      </c>
      <c r="BW276">
        <f t="shared" si="1653"/>
        <v>0</v>
      </c>
      <c r="BX276">
        <f t="shared" si="1653"/>
        <v>0</v>
      </c>
      <c r="BY276">
        <f t="shared" si="1653"/>
        <v>0</v>
      </c>
      <c r="BZ276">
        <f t="shared" si="1653"/>
        <v>0</v>
      </c>
      <c r="CA276">
        <f t="shared" si="1653"/>
        <v>0</v>
      </c>
      <c r="CB276">
        <f t="shared" si="1653"/>
        <v>0</v>
      </c>
      <c r="CC276">
        <f t="shared" si="1653"/>
        <v>0</v>
      </c>
      <c r="CD276">
        <f t="shared" si="1653"/>
        <v>0</v>
      </c>
      <c r="CE276">
        <f t="shared" si="1352"/>
        <v>0</v>
      </c>
      <c r="CF276">
        <f t="shared" si="1353"/>
        <v>0</v>
      </c>
      <c r="CG276">
        <f t="shared" si="1354"/>
        <v>0</v>
      </c>
      <c r="CH276">
        <f t="shared" si="1355"/>
        <v>0</v>
      </c>
      <c r="CI276">
        <f t="shared" si="1356"/>
        <v>0</v>
      </c>
      <c r="CJ276">
        <f t="shared" si="1491"/>
        <v>0</v>
      </c>
      <c r="CK276">
        <f t="shared" si="1390"/>
        <v>0</v>
      </c>
      <c r="CL276">
        <f t="shared" si="1358"/>
        <v>0</v>
      </c>
      <c r="CM276">
        <f t="shared" si="1359"/>
        <v>0</v>
      </c>
      <c r="CN276">
        <f t="shared" si="1360"/>
        <v>0</v>
      </c>
      <c r="CO276">
        <f t="shared" ref="CO276:CX276" si="1654">IF(CO$230,CP171,0)</f>
        <v>0</v>
      </c>
      <c r="CP276">
        <f t="shared" si="1654"/>
        <v>0</v>
      </c>
      <c r="CQ276">
        <f t="shared" si="1654"/>
        <v>0</v>
      </c>
      <c r="CR276">
        <f t="shared" si="1654"/>
        <v>0</v>
      </c>
      <c r="CS276">
        <f t="shared" si="1654"/>
        <v>0</v>
      </c>
      <c r="CT276">
        <f t="shared" si="1654"/>
        <v>0</v>
      </c>
      <c r="CU276">
        <f t="shared" si="1654"/>
        <v>0</v>
      </c>
      <c r="CV276">
        <f t="shared" si="1654"/>
        <v>0</v>
      </c>
      <c r="CW276">
        <f t="shared" si="1654"/>
        <v>0</v>
      </c>
      <c r="CX276">
        <f t="shared" si="1654"/>
        <v>0</v>
      </c>
      <c r="CY276">
        <f t="shared" si="1362"/>
        <v>0</v>
      </c>
      <c r="CZ276">
        <f t="shared" si="1363"/>
        <v>0</v>
      </c>
      <c r="DA276">
        <f t="shared" si="1364"/>
        <v>0</v>
      </c>
      <c r="DB276">
        <f t="shared" si="1365"/>
        <v>0</v>
      </c>
      <c r="DC276">
        <f t="shared" si="1366"/>
        <v>0</v>
      </c>
      <c r="DD276">
        <f t="shared" si="1367"/>
        <v>0</v>
      </c>
      <c r="DE276">
        <f t="shared" si="1368"/>
        <v>0</v>
      </c>
      <c r="DF276">
        <f t="shared" si="1369"/>
        <v>0</v>
      </c>
      <c r="DG276">
        <f t="shared" si="1370"/>
        <v>0</v>
      </c>
      <c r="DH276">
        <f t="shared" si="1371"/>
        <v>0</v>
      </c>
      <c r="DI276">
        <f t="shared" si="1372"/>
        <v>0</v>
      </c>
      <c r="DJ276">
        <f t="shared" si="1373"/>
        <v>0</v>
      </c>
      <c r="DK276">
        <f t="shared" si="1374"/>
        <v>0</v>
      </c>
      <c r="DL276">
        <f t="shared" si="1375"/>
        <v>0</v>
      </c>
      <c r="DM276">
        <f t="shared" si="1376"/>
        <v>0</v>
      </c>
      <c r="DN276">
        <f t="shared" si="1377"/>
        <v>0</v>
      </c>
      <c r="DO276">
        <f t="shared" si="1378"/>
        <v>0</v>
      </c>
      <c r="DP276">
        <f t="shared" si="1379"/>
        <v>0</v>
      </c>
      <c r="DQ276">
        <f t="shared" si="1380"/>
        <v>0</v>
      </c>
      <c r="DR276">
        <f t="shared" si="1381"/>
        <v>0</v>
      </c>
      <c r="DT276" s="77"/>
      <c r="DU276" s="8" t="str">
        <f>Hidden!$CG59</f>
        <v/>
      </c>
      <c r="DV276">
        <f t="shared" si="1176"/>
        <v>0</v>
      </c>
      <c r="DW276">
        <f t="shared" si="1177"/>
        <v>0</v>
      </c>
      <c r="DX276">
        <f t="shared" si="1178"/>
        <v>0</v>
      </c>
      <c r="DY276">
        <f t="shared" si="1179"/>
        <v>0</v>
      </c>
      <c r="DZ276">
        <f t="shared" si="1180"/>
        <v>0</v>
      </c>
      <c r="EA276">
        <f t="shared" si="1181"/>
        <v>0</v>
      </c>
      <c r="EB276">
        <f t="shared" si="1182"/>
        <v>0</v>
      </c>
      <c r="EC276">
        <f t="shared" si="1183"/>
        <v>0</v>
      </c>
      <c r="ED276">
        <f t="shared" si="1184"/>
        <v>0</v>
      </c>
      <c r="EE276">
        <f t="shared" si="1185"/>
        <v>0</v>
      </c>
      <c r="EF276">
        <f t="shared" si="1186"/>
        <v>0</v>
      </c>
      <c r="EG276">
        <f t="shared" si="1187"/>
        <v>0</v>
      </c>
      <c r="EH276">
        <f t="shared" si="1188"/>
        <v>0</v>
      </c>
      <c r="EI276">
        <f t="shared" si="1189"/>
        <v>0</v>
      </c>
      <c r="EJ276">
        <f t="shared" si="1190"/>
        <v>0</v>
      </c>
      <c r="EK276">
        <f t="shared" si="1191"/>
        <v>0</v>
      </c>
      <c r="EL276">
        <f t="shared" si="1192"/>
        <v>0</v>
      </c>
      <c r="EM276">
        <f t="shared" si="1193"/>
        <v>0</v>
      </c>
      <c r="EN276">
        <f t="shared" si="1194"/>
        <v>0</v>
      </c>
      <c r="EO276">
        <f t="shared" si="1195"/>
        <v>0</v>
      </c>
      <c r="EP276">
        <f t="shared" si="1196"/>
        <v>0</v>
      </c>
      <c r="EQ276">
        <f t="shared" si="1197"/>
        <v>0</v>
      </c>
      <c r="ER276">
        <f t="shared" si="1613"/>
        <v>0</v>
      </c>
      <c r="ES276">
        <f t="shared" ref="ES276:ET276" si="1655">IF(ES$218,FC171,0)</f>
        <v>0</v>
      </c>
      <c r="ET276">
        <f t="shared" si="1655"/>
        <v>0</v>
      </c>
      <c r="EU276">
        <f t="shared" si="1199"/>
        <v>0</v>
      </c>
      <c r="EV276">
        <f t="shared" si="1411"/>
        <v>0</v>
      </c>
      <c r="EW276">
        <f t="shared" si="1232"/>
        <v>0</v>
      </c>
      <c r="EX276">
        <f t="shared" si="1201"/>
        <v>0</v>
      </c>
      <c r="EY276">
        <f t="shared" si="1202"/>
        <v>0</v>
      </c>
      <c r="EZ276">
        <f t="shared" ref="EZ276:FI276" si="1656">IF(EZ$218,EZ171,0)</f>
        <v>0</v>
      </c>
      <c r="FA276">
        <f t="shared" si="1656"/>
        <v>0</v>
      </c>
      <c r="FB276">
        <f t="shared" si="1656"/>
        <v>0</v>
      </c>
      <c r="FC276">
        <f t="shared" si="1656"/>
        <v>0</v>
      </c>
      <c r="FD276">
        <f t="shared" si="1656"/>
        <v>0</v>
      </c>
      <c r="FE276">
        <f t="shared" si="1656"/>
        <v>0</v>
      </c>
      <c r="FF276">
        <f t="shared" si="1656"/>
        <v>0</v>
      </c>
      <c r="FG276">
        <f t="shared" si="1656"/>
        <v>0</v>
      </c>
      <c r="FH276">
        <f t="shared" si="1656"/>
        <v>0</v>
      </c>
      <c r="FI276">
        <f t="shared" si="1656"/>
        <v>0</v>
      </c>
      <c r="FJ276">
        <f t="shared" si="1204"/>
        <v>0</v>
      </c>
      <c r="FK276">
        <f t="shared" si="1205"/>
        <v>0</v>
      </c>
      <c r="FL276">
        <f t="shared" si="1413"/>
        <v>0</v>
      </c>
      <c r="FM276">
        <f t="shared" si="1234"/>
        <v>0</v>
      </c>
      <c r="FN276">
        <f t="shared" si="1207"/>
        <v>0</v>
      </c>
      <c r="FO276">
        <f t="shared" si="1208"/>
        <v>0</v>
      </c>
      <c r="FP276">
        <f t="shared" si="1209"/>
        <v>0</v>
      </c>
      <c r="FQ276">
        <f t="shared" si="1210"/>
        <v>0</v>
      </c>
      <c r="FR276">
        <f t="shared" si="1211"/>
        <v>0</v>
      </c>
      <c r="FS276">
        <f t="shared" si="1212"/>
        <v>0</v>
      </c>
      <c r="FT276">
        <f t="shared" si="1213"/>
        <v>0</v>
      </c>
      <c r="FU276">
        <f t="shared" si="1214"/>
        <v>0</v>
      </c>
      <c r="FV276">
        <f t="shared" si="1215"/>
        <v>0</v>
      </c>
      <c r="FW276">
        <f t="shared" si="1216"/>
        <v>0</v>
      </c>
      <c r="FX276">
        <f t="shared" si="1414"/>
        <v>0</v>
      </c>
      <c r="FY276">
        <f t="shared" si="1235"/>
        <v>0</v>
      </c>
      <c r="FZ276">
        <f t="shared" si="1218"/>
        <v>0</v>
      </c>
      <c r="GA276">
        <f t="shared" si="1219"/>
        <v>0</v>
      </c>
      <c r="GB276">
        <f t="shared" si="1220"/>
        <v>0</v>
      </c>
      <c r="GC276">
        <f t="shared" si="1221"/>
        <v>0</v>
      </c>
    </row>
    <row r="277" spans="1:185" x14ac:dyDescent="0.2">
      <c r="A277" s="8" t="str">
        <f t="shared" si="1311"/>
        <v/>
      </c>
      <c r="B277" s="8">
        <f t="shared" si="1312"/>
        <v>0</v>
      </c>
      <c r="C277" s="8">
        <f t="shared" si="1313"/>
        <v>0</v>
      </c>
      <c r="D277" s="8">
        <f t="shared" si="1314"/>
        <v>0</v>
      </c>
      <c r="E277" s="8">
        <f t="shared" si="1486"/>
        <v>0</v>
      </c>
      <c r="F277" s="8">
        <f t="shared" si="1384"/>
        <v>0</v>
      </c>
      <c r="G277" s="8">
        <f t="shared" si="1427"/>
        <v>0</v>
      </c>
      <c r="H277" s="8">
        <f t="shared" si="1428"/>
        <v>0</v>
      </c>
      <c r="I277" s="8">
        <f t="shared" si="1429"/>
        <v>0</v>
      </c>
      <c r="J277" s="8">
        <f t="shared" si="1430"/>
        <v>0</v>
      </c>
      <c r="K277" s="8">
        <f t="shared" si="1431"/>
        <v>0</v>
      </c>
      <c r="L277">
        <f t="shared" si="1320"/>
        <v>0</v>
      </c>
      <c r="M277">
        <f t="shared" si="1321"/>
        <v>0</v>
      </c>
      <c r="N277">
        <f t="shared" si="1322"/>
        <v>0</v>
      </c>
      <c r="O277">
        <f t="shared" si="1323"/>
        <v>0</v>
      </c>
      <c r="P277">
        <f t="shared" si="1324"/>
        <v>0</v>
      </c>
      <c r="Q277">
        <f t="shared" si="1325"/>
        <v>0</v>
      </c>
      <c r="R277">
        <f t="shared" si="1326"/>
        <v>0</v>
      </c>
      <c r="S277">
        <f t="shared" si="1327"/>
        <v>0</v>
      </c>
      <c r="T277">
        <f t="shared" si="1328"/>
        <v>0</v>
      </c>
      <c r="U277">
        <f t="shared" si="1329"/>
        <v>0</v>
      </c>
      <c r="V277">
        <f>IF(V$230,LandEmiss!AF172,0)</f>
        <v>0</v>
      </c>
      <c r="W277">
        <f>IF(W$230,LandEmiss!AG172,0)</f>
        <v>0</v>
      </c>
      <c r="X277">
        <f>IF(X$230,LandEmiss!AH172,0)</f>
        <v>0</v>
      </c>
      <c r="Y277">
        <f>IF(Y$230,LandEmiss!AI172,0)</f>
        <v>0</v>
      </c>
      <c r="Z277">
        <f>IF(Z$230,LandEmiss!AJ172,0)</f>
        <v>0</v>
      </c>
      <c r="AA277">
        <f>IF(AA$230,LandEmiss!AK172,0)</f>
        <v>0</v>
      </c>
      <c r="AB277">
        <f>IF(AB$230,LandEmiss!AL172,0)</f>
        <v>0</v>
      </c>
      <c r="AC277">
        <f>IF(AC$230,LandEmiss!AM172,0)</f>
        <v>0</v>
      </c>
      <c r="AD277">
        <f>IF(AD$230,LandEmiss!AN172,0)</f>
        <v>0</v>
      </c>
      <c r="AE277">
        <f>IF(AE$230,LandEmiss!AO172,0)</f>
        <v>0</v>
      </c>
      <c r="AF277">
        <f t="shared" ref="AF277:AO277" si="1657">IF(AF$230,AF172,0)</f>
        <v>0</v>
      </c>
      <c r="AG277">
        <f t="shared" si="1657"/>
        <v>0</v>
      </c>
      <c r="AH277">
        <f t="shared" si="1657"/>
        <v>0</v>
      </c>
      <c r="AI277">
        <f t="shared" si="1657"/>
        <v>0</v>
      </c>
      <c r="AJ277">
        <f t="shared" si="1657"/>
        <v>0</v>
      </c>
      <c r="AK277">
        <f t="shared" si="1657"/>
        <v>0</v>
      </c>
      <c r="AL277">
        <f t="shared" si="1657"/>
        <v>0</v>
      </c>
      <c r="AM277">
        <f t="shared" si="1657"/>
        <v>0</v>
      </c>
      <c r="AN277">
        <f t="shared" si="1657"/>
        <v>0</v>
      </c>
      <c r="AO277">
        <f t="shared" si="1657"/>
        <v>0</v>
      </c>
      <c r="AP277">
        <f t="shared" si="1331"/>
        <v>0</v>
      </c>
      <c r="AQ277">
        <f t="shared" si="1332"/>
        <v>0</v>
      </c>
      <c r="AR277">
        <f t="shared" si="1333"/>
        <v>0</v>
      </c>
      <c r="AS277">
        <f t="shared" si="1334"/>
        <v>0</v>
      </c>
      <c r="AT277">
        <f t="shared" si="1335"/>
        <v>0</v>
      </c>
      <c r="AU277">
        <f t="shared" si="1336"/>
        <v>0</v>
      </c>
      <c r="AV277">
        <f t="shared" si="1337"/>
        <v>0</v>
      </c>
      <c r="AW277">
        <f t="shared" si="1338"/>
        <v>0</v>
      </c>
      <c r="AX277">
        <f t="shared" si="1339"/>
        <v>0</v>
      </c>
      <c r="AY277">
        <f t="shared" si="1340"/>
        <v>0</v>
      </c>
      <c r="AZ277">
        <f t="shared" si="1341"/>
        <v>0</v>
      </c>
      <c r="BA277">
        <f t="shared" si="1342"/>
        <v>0</v>
      </c>
      <c r="BB277">
        <f t="shared" si="1343"/>
        <v>0</v>
      </c>
      <c r="BC277">
        <f t="shared" si="1344"/>
        <v>0</v>
      </c>
      <c r="BD277">
        <f t="shared" si="1345"/>
        <v>0</v>
      </c>
      <c r="BE277">
        <f t="shared" si="1346"/>
        <v>0</v>
      </c>
      <c r="BF277">
        <f t="shared" si="1347"/>
        <v>0</v>
      </c>
      <c r="BG277">
        <f t="shared" si="1348"/>
        <v>0</v>
      </c>
      <c r="BH277">
        <f t="shared" si="1488"/>
        <v>0</v>
      </c>
      <c r="BI277">
        <f t="shared" si="1387"/>
        <v>0</v>
      </c>
      <c r="BJ277" s="8" t="str">
        <f>Hidden!$CC48</f>
        <v/>
      </c>
      <c r="BK277">
        <f t="shared" ref="BK277:BT277" si="1658">IF(BK$230,CP172,0)</f>
        <v>0</v>
      </c>
      <c r="BL277">
        <f t="shared" si="1658"/>
        <v>0</v>
      </c>
      <c r="BM277">
        <f t="shared" si="1658"/>
        <v>0</v>
      </c>
      <c r="BN277">
        <f t="shared" si="1658"/>
        <v>0</v>
      </c>
      <c r="BO277">
        <f t="shared" si="1658"/>
        <v>0</v>
      </c>
      <c r="BP277">
        <f t="shared" si="1658"/>
        <v>0</v>
      </c>
      <c r="BQ277">
        <f t="shared" si="1658"/>
        <v>0</v>
      </c>
      <c r="BR277">
        <f t="shared" si="1658"/>
        <v>0</v>
      </c>
      <c r="BS277">
        <f t="shared" si="1658"/>
        <v>0</v>
      </c>
      <c r="BT277">
        <f t="shared" si="1658"/>
        <v>0</v>
      </c>
      <c r="BU277">
        <f t="shared" ref="BU277:CD277" si="1659">IF(BU$230,CP172,0)</f>
        <v>0</v>
      </c>
      <c r="BV277">
        <f t="shared" si="1659"/>
        <v>0</v>
      </c>
      <c r="BW277">
        <f t="shared" si="1659"/>
        <v>0</v>
      </c>
      <c r="BX277">
        <f t="shared" si="1659"/>
        <v>0</v>
      </c>
      <c r="BY277">
        <f t="shared" si="1659"/>
        <v>0</v>
      </c>
      <c r="BZ277">
        <f t="shared" si="1659"/>
        <v>0</v>
      </c>
      <c r="CA277">
        <f t="shared" si="1659"/>
        <v>0</v>
      </c>
      <c r="CB277">
        <f t="shared" si="1659"/>
        <v>0</v>
      </c>
      <c r="CC277">
        <f t="shared" si="1659"/>
        <v>0</v>
      </c>
      <c r="CD277">
        <f t="shared" si="1659"/>
        <v>0</v>
      </c>
      <c r="CE277">
        <f t="shared" si="1352"/>
        <v>0</v>
      </c>
      <c r="CF277">
        <f t="shared" si="1353"/>
        <v>0</v>
      </c>
      <c r="CG277">
        <f t="shared" si="1354"/>
        <v>0</v>
      </c>
      <c r="CH277">
        <f t="shared" si="1355"/>
        <v>0</v>
      </c>
      <c r="CI277">
        <f t="shared" si="1356"/>
        <v>0</v>
      </c>
      <c r="CJ277">
        <f t="shared" si="1491"/>
        <v>0</v>
      </c>
      <c r="CK277">
        <f t="shared" si="1390"/>
        <v>0</v>
      </c>
      <c r="CL277">
        <f t="shared" si="1358"/>
        <v>0</v>
      </c>
      <c r="CM277">
        <f t="shared" si="1359"/>
        <v>0</v>
      </c>
      <c r="CN277">
        <f t="shared" si="1360"/>
        <v>0</v>
      </c>
      <c r="CO277">
        <f t="shared" ref="CO277:CX277" si="1660">IF(CO$230,CP172,0)</f>
        <v>0</v>
      </c>
      <c r="CP277">
        <f t="shared" si="1660"/>
        <v>0</v>
      </c>
      <c r="CQ277">
        <f t="shared" si="1660"/>
        <v>0</v>
      </c>
      <c r="CR277">
        <f t="shared" si="1660"/>
        <v>0</v>
      </c>
      <c r="CS277">
        <f t="shared" si="1660"/>
        <v>0</v>
      </c>
      <c r="CT277">
        <f t="shared" si="1660"/>
        <v>0</v>
      </c>
      <c r="CU277">
        <f t="shared" si="1660"/>
        <v>0</v>
      </c>
      <c r="CV277">
        <f t="shared" si="1660"/>
        <v>0</v>
      </c>
      <c r="CW277">
        <f t="shared" si="1660"/>
        <v>0</v>
      </c>
      <c r="CX277">
        <f t="shared" si="1660"/>
        <v>0</v>
      </c>
      <c r="CY277">
        <f t="shared" si="1362"/>
        <v>0</v>
      </c>
      <c r="CZ277">
        <f t="shared" si="1363"/>
        <v>0</v>
      </c>
      <c r="DA277">
        <f t="shared" si="1364"/>
        <v>0</v>
      </c>
      <c r="DB277">
        <f t="shared" si="1365"/>
        <v>0</v>
      </c>
      <c r="DC277">
        <f t="shared" si="1366"/>
        <v>0</v>
      </c>
      <c r="DD277">
        <f t="shared" si="1367"/>
        <v>0</v>
      </c>
      <c r="DE277">
        <f t="shared" si="1368"/>
        <v>0</v>
      </c>
      <c r="DF277">
        <f t="shared" si="1369"/>
        <v>0</v>
      </c>
      <c r="DG277">
        <f t="shared" si="1370"/>
        <v>0</v>
      </c>
      <c r="DH277">
        <f t="shared" si="1371"/>
        <v>0</v>
      </c>
      <c r="DI277">
        <f t="shared" si="1372"/>
        <v>0</v>
      </c>
      <c r="DJ277">
        <f t="shared" si="1373"/>
        <v>0</v>
      </c>
      <c r="DK277">
        <f t="shared" si="1374"/>
        <v>0</v>
      </c>
      <c r="DL277">
        <f t="shared" si="1375"/>
        <v>0</v>
      </c>
      <c r="DM277">
        <f t="shared" si="1376"/>
        <v>0</v>
      </c>
      <c r="DN277">
        <f t="shared" si="1377"/>
        <v>0</v>
      </c>
      <c r="DO277">
        <f t="shared" si="1378"/>
        <v>0</v>
      </c>
      <c r="DP277">
        <f t="shared" si="1379"/>
        <v>0</v>
      </c>
      <c r="DQ277">
        <f t="shared" si="1380"/>
        <v>0</v>
      </c>
      <c r="DR277">
        <f t="shared" si="1381"/>
        <v>0</v>
      </c>
      <c r="DT277" s="77"/>
      <c r="DU277" s="8" t="str">
        <f>Hidden!$CG60</f>
        <v/>
      </c>
      <c r="DV277">
        <f t="shared" si="1176"/>
        <v>0</v>
      </c>
      <c r="DW277">
        <f t="shared" si="1177"/>
        <v>0</v>
      </c>
      <c r="DX277">
        <f t="shared" si="1178"/>
        <v>0</v>
      </c>
      <c r="DY277">
        <f t="shared" si="1179"/>
        <v>0</v>
      </c>
      <c r="DZ277">
        <f t="shared" si="1180"/>
        <v>0</v>
      </c>
      <c r="EA277">
        <f t="shared" si="1181"/>
        <v>0</v>
      </c>
      <c r="EB277">
        <f t="shared" si="1182"/>
        <v>0</v>
      </c>
      <c r="EC277">
        <f t="shared" si="1183"/>
        <v>0</v>
      </c>
      <c r="ED277">
        <f t="shared" si="1184"/>
        <v>0</v>
      </c>
      <c r="EE277">
        <f t="shared" si="1185"/>
        <v>0</v>
      </c>
      <c r="EF277">
        <f t="shared" si="1186"/>
        <v>0</v>
      </c>
      <c r="EG277">
        <f t="shared" si="1187"/>
        <v>0</v>
      </c>
      <c r="EH277">
        <f t="shared" si="1188"/>
        <v>0</v>
      </c>
      <c r="EI277">
        <f t="shared" si="1189"/>
        <v>0</v>
      </c>
      <c r="EJ277">
        <f t="shared" si="1190"/>
        <v>0</v>
      </c>
      <c r="EK277">
        <f t="shared" si="1191"/>
        <v>0</v>
      </c>
      <c r="EL277">
        <f t="shared" si="1192"/>
        <v>0</v>
      </c>
      <c r="EM277">
        <f t="shared" si="1193"/>
        <v>0</v>
      </c>
      <c r="EN277">
        <f t="shared" si="1194"/>
        <v>0</v>
      </c>
      <c r="EO277">
        <f t="shared" si="1195"/>
        <v>0</v>
      </c>
      <c r="EP277">
        <f t="shared" si="1196"/>
        <v>0</v>
      </c>
      <c r="EQ277">
        <f t="shared" si="1197"/>
        <v>0</v>
      </c>
      <c r="ER277">
        <f t="shared" si="1613"/>
        <v>0</v>
      </c>
      <c r="ES277">
        <f t="shared" ref="ES277:ET277" si="1661">IF(ES$218,FC172,0)</f>
        <v>0</v>
      </c>
      <c r="ET277">
        <f t="shared" si="1661"/>
        <v>0</v>
      </c>
      <c r="EU277">
        <f t="shared" si="1199"/>
        <v>0</v>
      </c>
      <c r="EV277">
        <f t="shared" si="1411"/>
        <v>0</v>
      </c>
      <c r="EW277">
        <f t="shared" si="1232"/>
        <v>0</v>
      </c>
      <c r="EX277">
        <f t="shared" si="1201"/>
        <v>0</v>
      </c>
      <c r="EY277">
        <f t="shared" si="1202"/>
        <v>0</v>
      </c>
      <c r="EZ277">
        <f t="shared" ref="EZ277:FI277" si="1662">IF(EZ$218,EZ172,0)</f>
        <v>0</v>
      </c>
      <c r="FA277">
        <f t="shared" si="1662"/>
        <v>0</v>
      </c>
      <c r="FB277">
        <f t="shared" si="1662"/>
        <v>0</v>
      </c>
      <c r="FC277">
        <f t="shared" si="1662"/>
        <v>0</v>
      </c>
      <c r="FD277">
        <f t="shared" si="1662"/>
        <v>0</v>
      </c>
      <c r="FE277">
        <f t="shared" si="1662"/>
        <v>0</v>
      </c>
      <c r="FF277">
        <f t="shared" si="1662"/>
        <v>0</v>
      </c>
      <c r="FG277">
        <f t="shared" si="1662"/>
        <v>0</v>
      </c>
      <c r="FH277">
        <f t="shared" si="1662"/>
        <v>0</v>
      </c>
      <c r="FI277">
        <f t="shared" si="1662"/>
        <v>0</v>
      </c>
      <c r="FJ277">
        <f t="shared" si="1204"/>
        <v>0</v>
      </c>
      <c r="FK277">
        <f t="shared" si="1205"/>
        <v>0</v>
      </c>
      <c r="FL277">
        <f t="shared" si="1413"/>
        <v>0</v>
      </c>
      <c r="FM277">
        <f t="shared" si="1234"/>
        <v>0</v>
      </c>
      <c r="FN277">
        <f t="shared" si="1207"/>
        <v>0</v>
      </c>
      <c r="FO277">
        <f t="shared" si="1208"/>
        <v>0</v>
      </c>
      <c r="FP277">
        <f t="shared" si="1209"/>
        <v>0</v>
      </c>
      <c r="FQ277">
        <f t="shared" si="1210"/>
        <v>0</v>
      </c>
      <c r="FR277">
        <f t="shared" si="1211"/>
        <v>0</v>
      </c>
      <c r="FS277">
        <f t="shared" si="1212"/>
        <v>0</v>
      </c>
      <c r="FT277">
        <f t="shared" si="1213"/>
        <v>0</v>
      </c>
      <c r="FU277">
        <f t="shared" si="1214"/>
        <v>0</v>
      </c>
      <c r="FV277">
        <f t="shared" si="1215"/>
        <v>0</v>
      </c>
      <c r="FW277">
        <f t="shared" si="1216"/>
        <v>0</v>
      </c>
      <c r="FX277">
        <f t="shared" si="1414"/>
        <v>0</v>
      </c>
      <c r="FY277">
        <f t="shared" si="1235"/>
        <v>0</v>
      </c>
      <c r="FZ277">
        <f t="shared" si="1218"/>
        <v>0</v>
      </c>
      <c r="GA277">
        <f t="shared" si="1219"/>
        <v>0</v>
      </c>
      <c r="GB277">
        <f t="shared" si="1220"/>
        <v>0</v>
      </c>
      <c r="GC277">
        <f t="shared" si="1221"/>
        <v>0</v>
      </c>
    </row>
    <row r="278" spans="1:185" x14ac:dyDescent="0.2">
      <c r="A278" s="8" t="str">
        <f t="shared" si="1311"/>
        <v/>
      </c>
      <c r="B278" s="8">
        <f t="shared" si="1312"/>
        <v>0</v>
      </c>
      <c r="C278" s="8">
        <f t="shared" si="1313"/>
        <v>0</v>
      </c>
      <c r="D278" s="8">
        <f t="shared" si="1314"/>
        <v>0</v>
      </c>
      <c r="E278" s="8">
        <f t="shared" si="1486"/>
        <v>0</v>
      </c>
      <c r="F278" s="8">
        <f t="shared" si="1384"/>
        <v>0</v>
      </c>
      <c r="G278" s="8">
        <f t="shared" si="1427"/>
        <v>0</v>
      </c>
      <c r="H278" s="8">
        <f t="shared" si="1428"/>
        <v>0</v>
      </c>
      <c r="I278" s="8">
        <f t="shared" si="1429"/>
        <v>0</v>
      </c>
      <c r="J278" s="8">
        <f t="shared" si="1430"/>
        <v>0</v>
      </c>
      <c r="K278" s="8">
        <f t="shared" si="1431"/>
        <v>0</v>
      </c>
      <c r="L278">
        <f t="shared" si="1320"/>
        <v>0</v>
      </c>
      <c r="M278">
        <f t="shared" si="1321"/>
        <v>0</v>
      </c>
      <c r="N278">
        <f t="shared" si="1322"/>
        <v>0</v>
      </c>
      <c r="O278">
        <f t="shared" si="1323"/>
        <v>0</v>
      </c>
      <c r="P278">
        <f t="shared" si="1324"/>
        <v>0</v>
      </c>
      <c r="Q278">
        <f t="shared" si="1325"/>
        <v>0</v>
      </c>
      <c r="R278">
        <f t="shared" si="1326"/>
        <v>0</v>
      </c>
      <c r="S278">
        <f t="shared" si="1327"/>
        <v>0</v>
      </c>
      <c r="T278">
        <f t="shared" si="1328"/>
        <v>0</v>
      </c>
      <c r="U278">
        <f t="shared" si="1329"/>
        <v>0</v>
      </c>
      <c r="V278">
        <f>IF(V$230,LandEmiss!AF173,0)</f>
        <v>0</v>
      </c>
      <c r="W278">
        <f>IF(W$230,LandEmiss!AG173,0)</f>
        <v>0</v>
      </c>
      <c r="X278">
        <f>IF(X$230,LandEmiss!AH173,0)</f>
        <v>0</v>
      </c>
      <c r="Y278">
        <f>IF(Y$230,LandEmiss!AI173,0)</f>
        <v>0</v>
      </c>
      <c r="Z278">
        <f>IF(Z$230,LandEmiss!AJ173,0)</f>
        <v>0</v>
      </c>
      <c r="AA278">
        <f>IF(AA$230,LandEmiss!AK173,0)</f>
        <v>0</v>
      </c>
      <c r="AB278">
        <f>IF(AB$230,LandEmiss!AL173,0)</f>
        <v>0</v>
      </c>
      <c r="AC278">
        <f>IF(AC$230,LandEmiss!AM173,0)</f>
        <v>0</v>
      </c>
      <c r="AD278">
        <f>IF(AD$230,LandEmiss!AN173,0)</f>
        <v>0</v>
      </c>
      <c r="AE278">
        <f>IF(AE$230,LandEmiss!AO173,0)</f>
        <v>0</v>
      </c>
      <c r="AF278">
        <f t="shared" ref="AF278:AO278" si="1663">IF(AF$230,AF173,0)</f>
        <v>0</v>
      </c>
      <c r="AG278">
        <f t="shared" si="1663"/>
        <v>0</v>
      </c>
      <c r="AH278">
        <f t="shared" si="1663"/>
        <v>0</v>
      </c>
      <c r="AI278">
        <f t="shared" si="1663"/>
        <v>0</v>
      </c>
      <c r="AJ278">
        <f t="shared" si="1663"/>
        <v>0</v>
      </c>
      <c r="AK278">
        <f t="shared" si="1663"/>
        <v>0</v>
      </c>
      <c r="AL278">
        <f t="shared" si="1663"/>
        <v>0</v>
      </c>
      <c r="AM278">
        <f t="shared" si="1663"/>
        <v>0</v>
      </c>
      <c r="AN278">
        <f t="shared" si="1663"/>
        <v>0</v>
      </c>
      <c r="AO278">
        <f t="shared" si="1663"/>
        <v>0</v>
      </c>
      <c r="AP278">
        <f t="shared" si="1331"/>
        <v>0</v>
      </c>
      <c r="AQ278">
        <f t="shared" si="1332"/>
        <v>0</v>
      </c>
      <c r="AR278">
        <f t="shared" si="1333"/>
        <v>0</v>
      </c>
      <c r="AS278">
        <f t="shared" si="1334"/>
        <v>0</v>
      </c>
      <c r="AT278">
        <f t="shared" si="1335"/>
        <v>0</v>
      </c>
      <c r="AU278">
        <f t="shared" si="1336"/>
        <v>0</v>
      </c>
      <c r="AV278">
        <f t="shared" si="1337"/>
        <v>0</v>
      </c>
      <c r="AW278">
        <f t="shared" si="1338"/>
        <v>0</v>
      </c>
      <c r="AX278">
        <f t="shared" si="1339"/>
        <v>0</v>
      </c>
      <c r="AY278">
        <f t="shared" si="1340"/>
        <v>0</v>
      </c>
      <c r="AZ278">
        <f t="shared" si="1341"/>
        <v>0</v>
      </c>
      <c r="BA278">
        <f t="shared" si="1342"/>
        <v>0</v>
      </c>
      <c r="BB278">
        <f t="shared" si="1343"/>
        <v>0</v>
      </c>
      <c r="BC278">
        <f t="shared" si="1344"/>
        <v>0</v>
      </c>
      <c r="BD278">
        <f t="shared" si="1345"/>
        <v>0</v>
      </c>
      <c r="BE278">
        <f t="shared" si="1346"/>
        <v>0</v>
      </c>
      <c r="BF278">
        <f t="shared" si="1347"/>
        <v>0</v>
      </c>
      <c r="BG278">
        <f t="shared" si="1348"/>
        <v>0</v>
      </c>
      <c r="BH278">
        <f t="shared" si="1488"/>
        <v>0</v>
      </c>
      <c r="BI278">
        <f t="shared" si="1387"/>
        <v>0</v>
      </c>
      <c r="BJ278" s="8" t="str">
        <f>Hidden!$CC49</f>
        <v/>
      </c>
      <c r="BK278">
        <f t="shared" ref="BK278:BT278" si="1664">IF(BK$230,CP173,0)</f>
        <v>0</v>
      </c>
      <c r="BL278">
        <f t="shared" si="1664"/>
        <v>0</v>
      </c>
      <c r="BM278">
        <f t="shared" si="1664"/>
        <v>0</v>
      </c>
      <c r="BN278">
        <f t="shared" si="1664"/>
        <v>0</v>
      </c>
      <c r="BO278">
        <f t="shared" si="1664"/>
        <v>0</v>
      </c>
      <c r="BP278">
        <f t="shared" si="1664"/>
        <v>0</v>
      </c>
      <c r="BQ278">
        <f t="shared" si="1664"/>
        <v>0</v>
      </c>
      <c r="BR278">
        <f t="shared" si="1664"/>
        <v>0</v>
      </c>
      <c r="BS278">
        <f t="shared" si="1664"/>
        <v>0</v>
      </c>
      <c r="BT278">
        <f t="shared" si="1664"/>
        <v>0</v>
      </c>
      <c r="BU278">
        <f t="shared" ref="BU278:CD278" si="1665">IF(BU$230,CP173,0)</f>
        <v>0</v>
      </c>
      <c r="BV278">
        <f t="shared" si="1665"/>
        <v>0</v>
      </c>
      <c r="BW278">
        <f t="shared" si="1665"/>
        <v>0</v>
      </c>
      <c r="BX278">
        <f t="shared" si="1665"/>
        <v>0</v>
      </c>
      <c r="BY278">
        <f t="shared" si="1665"/>
        <v>0</v>
      </c>
      <c r="BZ278">
        <f t="shared" si="1665"/>
        <v>0</v>
      </c>
      <c r="CA278">
        <f t="shared" si="1665"/>
        <v>0</v>
      </c>
      <c r="CB278">
        <f t="shared" si="1665"/>
        <v>0</v>
      </c>
      <c r="CC278">
        <f t="shared" si="1665"/>
        <v>0</v>
      </c>
      <c r="CD278">
        <f t="shared" si="1665"/>
        <v>0</v>
      </c>
      <c r="CE278">
        <f t="shared" si="1352"/>
        <v>0</v>
      </c>
      <c r="CF278">
        <f t="shared" si="1353"/>
        <v>0</v>
      </c>
      <c r="CG278">
        <f t="shared" si="1354"/>
        <v>0</v>
      </c>
      <c r="CH278">
        <f t="shared" si="1355"/>
        <v>0</v>
      </c>
      <c r="CI278">
        <f t="shared" si="1356"/>
        <v>0</v>
      </c>
      <c r="CJ278">
        <f t="shared" si="1491"/>
        <v>0</v>
      </c>
      <c r="CK278">
        <f t="shared" si="1390"/>
        <v>0</v>
      </c>
      <c r="CL278">
        <f t="shared" si="1358"/>
        <v>0</v>
      </c>
      <c r="CM278">
        <f t="shared" si="1359"/>
        <v>0</v>
      </c>
      <c r="CN278">
        <f t="shared" si="1360"/>
        <v>0</v>
      </c>
      <c r="CO278">
        <f t="shared" ref="CO278:CX278" si="1666">IF(CO$230,CP173,0)</f>
        <v>0</v>
      </c>
      <c r="CP278">
        <f t="shared" si="1666"/>
        <v>0</v>
      </c>
      <c r="CQ278">
        <f t="shared" si="1666"/>
        <v>0</v>
      </c>
      <c r="CR278">
        <f t="shared" si="1666"/>
        <v>0</v>
      </c>
      <c r="CS278">
        <f t="shared" si="1666"/>
        <v>0</v>
      </c>
      <c r="CT278">
        <f t="shared" si="1666"/>
        <v>0</v>
      </c>
      <c r="CU278">
        <f t="shared" si="1666"/>
        <v>0</v>
      </c>
      <c r="CV278">
        <f t="shared" si="1666"/>
        <v>0</v>
      </c>
      <c r="CW278">
        <f t="shared" si="1666"/>
        <v>0</v>
      </c>
      <c r="CX278">
        <f t="shared" si="1666"/>
        <v>0</v>
      </c>
      <c r="CY278">
        <f t="shared" si="1362"/>
        <v>0</v>
      </c>
      <c r="CZ278">
        <f t="shared" si="1363"/>
        <v>0</v>
      </c>
      <c r="DA278">
        <f t="shared" si="1364"/>
        <v>0</v>
      </c>
      <c r="DB278">
        <f t="shared" si="1365"/>
        <v>0</v>
      </c>
      <c r="DC278">
        <f t="shared" si="1366"/>
        <v>0</v>
      </c>
      <c r="DD278">
        <f t="shared" si="1367"/>
        <v>0</v>
      </c>
      <c r="DE278">
        <f t="shared" si="1368"/>
        <v>0</v>
      </c>
      <c r="DF278">
        <f t="shared" si="1369"/>
        <v>0</v>
      </c>
      <c r="DG278">
        <f t="shared" si="1370"/>
        <v>0</v>
      </c>
      <c r="DH278">
        <f t="shared" si="1371"/>
        <v>0</v>
      </c>
      <c r="DI278">
        <f t="shared" si="1372"/>
        <v>0</v>
      </c>
      <c r="DJ278">
        <f t="shared" si="1373"/>
        <v>0</v>
      </c>
      <c r="DK278">
        <f t="shared" si="1374"/>
        <v>0</v>
      </c>
      <c r="DL278">
        <f t="shared" si="1375"/>
        <v>0</v>
      </c>
      <c r="DM278">
        <f t="shared" si="1376"/>
        <v>0</v>
      </c>
      <c r="DN278">
        <f t="shared" si="1377"/>
        <v>0</v>
      </c>
      <c r="DO278">
        <f t="shared" si="1378"/>
        <v>0</v>
      </c>
      <c r="DP278">
        <f t="shared" si="1379"/>
        <v>0</v>
      </c>
      <c r="DQ278">
        <f t="shared" si="1380"/>
        <v>0</v>
      </c>
      <c r="DR278">
        <f t="shared" si="1381"/>
        <v>0</v>
      </c>
      <c r="DT278" s="77"/>
      <c r="DU278" s="8" t="str">
        <f>Hidden!$CG61</f>
        <v/>
      </c>
      <c r="DV278">
        <f t="shared" si="1176"/>
        <v>0</v>
      </c>
      <c r="DW278">
        <f t="shared" si="1177"/>
        <v>0</v>
      </c>
      <c r="DX278">
        <f t="shared" si="1178"/>
        <v>0</v>
      </c>
      <c r="DY278">
        <f t="shared" si="1179"/>
        <v>0</v>
      </c>
      <c r="DZ278">
        <f t="shared" si="1180"/>
        <v>0</v>
      </c>
      <c r="EA278">
        <f t="shared" si="1181"/>
        <v>0</v>
      </c>
      <c r="EB278">
        <f t="shared" si="1182"/>
        <v>0</v>
      </c>
      <c r="EC278">
        <f t="shared" si="1183"/>
        <v>0</v>
      </c>
      <c r="ED278">
        <f t="shared" si="1184"/>
        <v>0</v>
      </c>
      <c r="EE278">
        <f t="shared" si="1185"/>
        <v>0</v>
      </c>
      <c r="EF278">
        <f t="shared" si="1186"/>
        <v>0</v>
      </c>
      <c r="EG278">
        <f t="shared" si="1187"/>
        <v>0</v>
      </c>
      <c r="EH278">
        <f t="shared" si="1188"/>
        <v>0</v>
      </c>
      <c r="EI278">
        <f t="shared" si="1189"/>
        <v>0</v>
      </c>
      <c r="EJ278">
        <f t="shared" si="1190"/>
        <v>0</v>
      </c>
      <c r="EK278">
        <f t="shared" si="1191"/>
        <v>0</v>
      </c>
      <c r="EL278">
        <f t="shared" si="1192"/>
        <v>0</v>
      </c>
      <c r="EM278">
        <f t="shared" si="1193"/>
        <v>0</v>
      </c>
      <c r="EN278">
        <f t="shared" si="1194"/>
        <v>0</v>
      </c>
      <c r="EO278">
        <f t="shared" si="1195"/>
        <v>0</v>
      </c>
      <c r="EP278">
        <f t="shared" si="1196"/>
        <v>0</v>
      </c>
      <c r="EQ278">
        <f t="shared" si="1197"/>
        <v>0</v>
      </c>
      <c r="ER278">
        <f t="shared" si="1613"/>
        <v>0</v>
      </c>
      <c r="ES278">
        <f t="shared" ref="ES278:ET278" si="1667">IF(ES$218,FC173,0)</f>
        <v>0</v>
      </c>
      <c r="ET278">
        <f t="shared" si="1667"/>
        <v>0</v>
      </c>
      <c r="EU278">
        <f t="shared" si="1199"/>
        <v>0</v>
      </c>
      <c r="EV278">
        <f t="shared" si="1411"/>
        <v>0</v>
      </c>
      <c r="EW278">
        <f t="shared" si="1232"/>
        <v>0</v>
      </c>
      <c r="EX278">
        <f t="shared" si="1201"/>
        <v>0</v>
      </c>
      <c r="EY278">
        <f t="shared" si="1202"/>
        <v>0</v>
      </c>
      <c r="EZ278">
        <f t="shared" ref="EZ278:FI278" si="1668">IF(EZ$218,EZ173,0)</f>
        <v>0</v>
      </c>
      <c r="FA278">
        <f t="shared" si="1668"/>
        <v>0</v>
      </c>
      <c r="FB278">
        <f t="shared" si="1668"/>
        <v>0</v>
      </c>
      <c r="FC278">
        <f t="shared" si="1668"/>
        <v>0</v>
      </c>
      <c r="FD278">
        <f t="shared" si="1668"/>
        <v>0</v>
      </c>
      <c r="FE278">
        <f t="shared" si="1668"/>
        <v>0</v>
      </c>
      <c r="FF278">
        <f t="shared" si="1668"/>
        <v>0</v>
      </c>
      <c r="FG278">
        <f t="shared" si="1668"/>
        <v>0</v>
      </c>
      <c r="FH278">
        <f t="shared" si="1668"/>
        <v>0</v>
      </c>
      <c r="FI278">
        <f t="shared" si="1668"/>
        <v>0</v>
      </c>
      <c r="FJ278">
        <f t="shared" si="1204"/>
        <v>0</v>
      </c>
      <c r="FK278">
        <f t="shared" si="1205"/>
        <v>0</v>
      </c>
      <c r="FL278">
        <f t="shared" si="1413"/>
        <v>0</v>
      </c>
      <c r="FM278">
        <f t="shared" si="1234"/>
        <v>0</v>
      </c>
      <c r="FN278">
        <f t="shared" si="1207"/>
        <v>0</v>
      </c>
      <c r="FO278">
        <f t="shared" si="1208"/>
        <v>0</v>
      </c>
      <c r="FP278">
        <f t="shared" si="1209"/>
        <v>0</v>
      </c>
      <c r="FQ278">
        <f t="shared" si="1210"/>
        <v>0</v>
      </c>
      <c r="FR278">
        <f t="shared" si="1211"/>
        <v>0</v>
      </c>
      <c r="FS278">
        <f t="shared" si="1212"/>
        <v>0</v>
      </c>
      <c r="FT278">
        <f t="shared" si="1213"/>
        <v>0</v>
      </c>
      <c r="FU278">
        <f t="shared" si="1214"/>
        <v>0</v>
      </c>
      <c r="FV278">
        <f t="shared" si="1215"/>
        <v>0</v>
      </c>
      <c r="FW278">
        <f t="shared" si="1216"/>
        <v>0</v>
      </c>
      <c r="FX278">
        <f t="shared" si="1414"/>
        <v>0</v>
      </c>
      <c r="FY278">
        <f t="shared" si="1235"/>
        <v>0</v>
      </c>
      <c r="FZ278">
        <f t="shared" si="1218"/>
        <v>0</v>
      </c>
      <c r="GA278">
        <f t="shared" si="1219"/>
        <v>0</v>
      </c>
      <c r="GB278">
        <f t="shared" si="1220"/>
        <v>0</v>
      </c>
      <c r="GC278">
        <f t="shared" si="1221"/>
        <v>0</v>
      </c>
    </row>
    <row r="279" spans="1:185" x14ac:dyDescent="0.2">
      <c r="A279" s="8" t="str">
        <f t="shared" si="1311"/>
        <v/>
      </c>
      <c r="B279" s="8">
        <f t="shared" si="1312"/>
        <v>0</v>
      </c>
      <c r="C279" s="8">
        <f t="shared" si="1313"/>
        <v>0</v>
      </c>
      <c r="D279" s="8">
        <f t="shared" si="1314"/>
        <v>0</v>
      </c>
      <c r="E279" s="8">
        <f t="shared" si="1486"/>
        <v>0</v>
      </c>
      <c r="F279" s="8">
        <f t="shared" si="1384"/>
        <v>0</v>
      </c>
      <c r="G279" s="8">
        <f t="shared" si="1427"/>
        <v>0</v>
      </c>
      <c r="H279" s="8">
        <f t="shared" si="1428"/>
        <v>0</v>
      </c>
      <c r="I279" s="8">
        <f t="shared" si="1429"/>
        <v>0</v>
      </c>
      <c r="J279" s="8">
        <f t="shared" si="1430"/>
        <v>0</v>
      </c>
      <c r="K279" s="8">
        <f t="shared" si="1431"/>
        <v>0</v>
      </c>
      <c r="L279">
        <f t="shared" si="1320"/>
        <v>0</v>
      </c>
      <c r="M279">
        <f t="shared" si="1321"/>
        <v>0</v>
      </c>
      <c r="N279">
        <f t="shared" si="1322"/>
        <v>0</v>
      </c>
      <c r="O279">
        <f t="shared" si="1323"/>
        <v>0</v>
      </c>
      <c r="P279">
        <f t="shared" si="1324"/>
        <v>0</v>
      </c>
      <c r="Q279">
        <f t="shared" si="1325"/>
        <v>0</v>
      </c>
      <c r="R279">
        <f t="shared" si="1326"/>
        <v>0</v>
      </c>
      <c r="S279">
        <f t="shared" si="1327"/>
        <v>0</v>
      </c>
      <c r="T279">
        <f t="shared" si="1328"/>
        <v>0</v>
      </c>
      <c r="U279">
        <f t="shared" si="1329"/>
        <v>0</v>
      </c>
      <c r="V279">
        <f>IF(V$230,LandEmiss!AF174,0)</f>
        <v>0</v>
      </c>
      <c r="W279">
        <f>IF(W$230,LandEmiss!AG174,0)</f>
        <v>0</v>
      </c>
      <c r="X279">
        <f>IF(X$230,LandEmiss!AH174,0)</f>
        <v>0</v>
      </c>
      <c r="Y279">
        <f>IF(Y$230,LandEmiss!AI174,0)</f>
        <v>0</v>
      </c>
      <c r="Z279">
        <f>IF(Z$230,LandEmiss!AJ174,0)</f>
        <v>0</v>
      </c>
      <c r="AA279">
        <f>IF(AA$230,LandEmiss!AK174,0)</f>
        <v>0</v>
      </c>
      <c r="AB279">
        <f>IF(AB$230,LandEmiss!AL174,0)</f>
        <v>0</v>
      </c>
      <c r="AC279">
        <f>IF(AC$230,LandEmiss!AM174,0)</f>
        <v>0</v>
      </c>
      <c r="AD279">
        <f>IF(AD$230,LandEmiss!AN174,0)</f>
        <v>0</v>
      </c>
      <c r="AE279">
        <f>IF(AE$230,LandEmiss!AO174,0)</f>
        <v>0</v>
      </c>
      <c r="AF279">
        <f t="shared" ref="AF279:AO279" si="1669">IF(AF$230,AF174,0)</f>
        <v>0</v>
      </c>
      <c r="AG279">
        <f t="shared" si="1669"/>
        <v>0</v>
      </c>
      <c r="AH279">
        <f t="shared" si="1669"/>
        <v>0</v>
      </c>
      <c r="AI279">
        <f t="shared" si="1669"/>
        <v>0</v>
      </c>
      <c r="AJ279">
        <f t="shared" si="1669"/>
        <v>0</v>
      </c>
      <c r="AK279">
        <f t="shared" si="1669"/>
        <v>0</v>
      </c>
      <c r="AL279">
        <f t="shared" si="1669"/>
        <v>0</v>
      </c>
      <c r="AM279">
        <f t="shared" si="1669"/>
        <v>0</v>
      </c>
      <c r="AN279">
        <f t="shared" si="1669"/>
        <v>0</v>
      </c>
      <c r="AO279">
        <f t="shared" si="1669"/>
        <v>0</v>
      </c>
      <c r="AP279">
        <f t="shared" si="1331"/>
        <v>0</v>
      </c>
      <c r="AQ279">
        <f t="shared" si="1332"/>
        <v>0</v>
      </c>
      <c r="AR279">
        <f t="shared" si="1333"/>
        <v>0</v>
      </c>
      <c r="AS279">
        <f t="shared" si="1334"/>
        <v>0</v>
      </c>
      <c r="AT279">
        <f t="shared" si="1335"/>
        <v>0</v>
      </c>
      <c r="AU279">
        <f t="shared" si="1336"/>
        <v>0</v>
      </c>
      <c r="AV279">
        <f t="shared" si="1337"/>
        <v>0</v>
      </c>
      <c r="AW279">
        <f t="shared" si="1338"/>
        <v>0</v>
      </c>
      <c r="AX279">
        <f t="shared" si="1339"/>
        <v>0</v>
      </c>
      <c r="AY279">
        <f t="shared" si="1340"/>
        <v>0</v>
      </c>
      <c r="AZ279">
        <f t="shared" si="1341"/>
        <v>0</v>
      </c>
      <c r="BA279">
        <f t="shared" si="1342"/>
        <v>0</v>
      </c>
      <c r="BB279">
        <f t="shared" si="1343"/>
        <v>0</v>
      </c>
      <c r="BC279">
        <f t="shared" si="1344"/>
        <v>0</v>
      </c>
      <c r="BD279">
        <f t="shared" si="1345"/>
        <v>0</v>
      </c>
      <c r="BE279">
        <f t="shared" si="1346"/>
        <v>0</v>
      </c>
      <c r="BF279">
        <f t="shared" si="1347"/>
        <v>0</v>
      </c>
      <c r="BG279">
        <f t="shared" si="1348"/>
        <v>0</v>
      </c>
      <c r="BH279">
        <f t="shared" si="1488"/>
        <v>0</v>
      </c>
      <c r="BI279">
        <f t="shared" si="1387"/>
        <v>0</v>
      </c>
      <c r="BJ279" s="8" t="str">
        <f>Hidden!$CC50</f>
        <v/>
      </c>
      <c r="BK279">
        <f t="shared" ref="BK279:BT279" si="1670">IF(BK$230,CP174,0)</f>
        <v>0</v>
      </c>
      <c r="BL279">
        <f t="shared" si="1670"/>
        <v>0</v>
      </c>
      <c r="BM279">
        <f t="shared" si="1670"/>
        <v>0</v>
      </c>
      <c r="BN279">
        <f t="shared" si="1670"/>
        <v>0</v>
      </c>
      <c r="BO279">
        <f t="shared" si="1670"/>
        <v>0</v>
      </c>
      <c r="BP279">
        <f t="shared" si="1670"/>
        <v>0</v>
      </c>
      <c r="BQ279">
        <f t="shared" si="1670"/>
        <v>0</v>
      </c>
      <c r="BR279">
        <f t="shared" si="1670"/>
        <v>0</v>
      </c>
      <c r="BS279">
        <f t="shared" si="1670"/>
        <v>0</v>
      </c>
      <c r="BT279">
        <f t="shared" si="1670"/>
        <v>0</v>
      </c>
      <c r="BU279">
        <f t="shared" ref="BU279:CD279" si="1671">IF(BU$230,CP174,0)</f>
        <v>0</v>
      </c>
      <c r="BV279">
        <f t="shared" si="1671"/>
        <v>0</v>
      </c>
      <c r="BW279">
        <f t="shared" si="1671"/>
        <v>0</v>
      </c>
      <c r="BX279">
        <f t="shared" si="1671"/>
        <v>0</v>
      </c>
      <c r="BY279">
        <f t="shared" si="1671"/>
        <v>0</v>
      </c>
      <c r="BZ279">
        <f t="shared" si="1671"/>
        <v>0</v>
      </c>
      <c r="CA279">
        <f t="shared" si="1671"/>
        <v>0</v>
      </c>
      <c r="CB279">
        <f t="shared" si="1671"/>
        <v>0</v>
      </c>
      <c r="CC279">
        <f t="shared" si="1671"/>
        <v>0</v>
      </c>
      <c r="CD279">
        <f t="shared" si="1671"/>
        <v>0</v>
      </c>
      <c r="CE279">
        <f t="shared" si="1352"/>
        <v>0</v>
      </c>
      <c r="CF279">
        <f t="shared" si="1353"/>
        <v>0</v>
      </c>
      <c r="CG279">
        <f t="shared" si="1354"/>
        <v>0</v>
      </c>
      <c r="CH279">
        <f t="shared" si="1355"/>
        <v>0</v>
      </c>
      <c r="CI279">
        <f t="shared" si="1356"/>
        <v>0</v>
      </c>
      <c r="CJ279">
        <f t="shared" si="1491"/>
        <v>0</v>
      </c>
      <c r="CK279">
        <f t="shared" si="1390"/>
        <v>0</v>
      </c>
      <c r="CL279">
        <f t="shared" si="1358"/>
        <v>0</v>
      </c>
      <c r="CM279">
        <f t="shared" si="1359"/>
        <v>0</v>
      </c>
      <c r="CN279">
        <f t="shared" si="1360"/>
        <v>0</v>
      </c>
      <c r="CO279">
        <f t="shared" ref="CO279:CX279" si="1672">IF(CO$230,CP174,0)</f>
        <v>0</v>
      </c>
      <c r="CP279">
        <f t="shared" si="1672"/>
        <v>0</v>
      </c>
      <c r="CQ279">
        <f t="shared" si="1672"/>
        <v>0</v>
      </c>
      <c r="CR279">
        <f t="shared" si="1672"/>
        <v>0</v>
      </c>
      <c r="CS279">
        <f t="shared" si="1672"/>
        <v>0</v>
      </c>
      <c r="CT279">
        <f t="shared" si="1672"/>
        <v>0</v>
      </c>
      <c r="CU279">
        <f t="shared" si="1672"/>
        <v>0</v>
      </c>
      <c r="CV279">
        <f t="shared" si="1672"/>
        <v>0</v>
      </c>
      <c r="CW279">
        <f t="shared" si="1672"/>
        <v>0</v>
      </c>
      <c r="CX279">
        <f t="shared" si="1672"/>
        <v>0</v>
      </c>
      <c r="CY279">
        <f t="shared" si="1362"/>
        <v>0</v>
      </c>
      <c r="CZ279">
        <f t="shared" si="1363"/>
        <v>0</v>
      </c>
      <c r="DA279">
        <f t="shared" si="1364"/>
        <v>0</v>
      </c>
      <c r="DB279">
        <f t="shared" si="1365"/>
        <v>0</v>
      </c>
      <c r="DC279">
        <f t="shared" si="1366"/>
        <v>0</v>
      </c>
      <c r="DD279">
        <f t="shared" si="1367"/>
        <v>0</v>
      </c>
      <c r="DE279">
        <f t="shared" si="1368"/>
        <v>0</v>
      </c>
      <c r="DF279">
        <f t="shared" si="1369"/>
        <v>0</v>
      </c>
      <c r="DG279">
        <f t="shared" si="1370"/>
        <v>0</v>
      </c>
      <c r="DH279">
        <f t="shared" si="1371"/>
        <v>0</v>
      </c>
      <c r="DI279">
        <f t="shared" si="1372"/>
        <v>0</v>
      </c>
      <c r="DJ279">
        <f t="shared" si="1373"/>
        <v>0</v>
      </c>
      <c r="DK279">
        <f t="shared" si="1374"/>
        <v>0</v>
      </c>
      <c r="DL279">
        <f t="shared" si="1375"/>
        <v>0</v>
      </c>
      <c r="DM279">
        <f t="shared" si="1376"/>
        <v>0</v>
      </c>
      <c r="DN279">
        <f t="shared" si="1377"/>
        <v>0</v>
      </c>
      <c r="DO279">
        <f t="shared" si="1378"/>
        <v>0</v>
      </c>
      <c r="DP279">
        <f t="shared" si="1379"/>
        <v>0</v>
      </c>
      <c r="DQ279">
        <f t="shared" si="1380"/>
        <v>0</v>
      </c>
      <c r="DR279">
        <f t="shared" si="1381"/>
        <v>0</v>
      </c>
      <c r="DT279" s="77"/>
      <c r="DU279" s="8" t="str">
        <f>Hidden!$CG62</f>
        <v/>
      </c>
      <c r="DV279">
        <f t="shared" si="1176"/>
        <v>0</v>
      </c>
      <c r="DW279">
        <f t="shared" si="1177"/>
        <v>0</v>
      </c>
      <c r="DX279">
        <f t="shared" si="1178"/>
        <v>0</v>
      </c>
      <c r="DY279">
        <f t="shared" si="1179"/>
        <v>0</v>
      </c>
      <c r="DZ279">
        <f t="shared" si="1180"/>
        <v>0</v>
      </c>
      <c r="EA279">
        <f t="shared" si="1181"/>
        <v>0</v>
      </c>
      <c r="EB279">
        <f t="shared" si="1182"/>
        <v>0</v>
      </c>
      <c r="EC279">
        <f t="shared" si="1183"/>
        <v>0</v>
      </c>
      <c r="ED279">
        <f t="shared" si="1184"/>
        <v>0</v>
      </c>
      <c r="EE279">
        <f t="shared" si="1185"/>
        <v>0</v>
      </c>
      <c r="EF279">
        <f t="shared" si="1186"/>
        <v>0</v>
      </c>
      <c r="EG279">
        <f t="shared" si="1187"/>
        <v>0</v>
      </c>
      <c r="EH279">
        <f t="shared" si="1188"/>
        <v>0</v>
      </c>
      <c r="EI279">
        <f t="shared" si="1189"/>
        <v>0</v>
      </c>
      <c r="EJ279">
        <f t="shared" si="1190"/>
        <v>0</v>
      </c>
      <c r="EK279">
        <f t="shared" si="1191"/>
        <v>0</v>
      </c>
      <c r="EL279">
        <f t="shared" si="1192"/>
        <v>0</v>
      </c>
      <c r="EM279">
        <f t="shared" si="1193"/>
        <v>0</v>
      </c>
      <c r="EN279">
        <f t="shared" si="1194"/>
        <v>0</v>
      </c>
      <c r="EO279">
        <f t="shared" si="1195"/>
        <v>0</v>
      </c>
      <c r="EP279">
        <f t="shared" si="1196"/>
        <v>0</v>
      </c>
      <c r="EQ279">
        <f t="shared" si="1197"/>
        <v>0</v>
      </c>
      <c r="ER279">
        <f t="shared" si="1613"/>
        <v>0</v>
      </c>
      <c r="ES279">
        <f t="shared" ref="ES279:ET279" si="1673">IF(ES$218,FC174,0)</f>
        <v>0</v>
      </c>
      <c r="ET279">
        <f t="shared" si="1673"/>
        <v>0</v>
      </c>
      <c r="EU279">
        <f t="shared" si="1199"/>
        <v>0</v>
      </c>
      <c r="EV279">
        <f t="shared" si="1411"/>
        <v>0</v>
      </c>
      <c r="EW279">
        <f t="shared" si="1232"/>
        <v>0</v>
      </c>
      <c r="EX279">
        <f t="shared" si="1201"/>
        <v>0</v>
      </c>
      <c r="EY279">
        <f t="shared" si="1202"/>
        <v>0</v>
      </c>
      <c r="EZ279">
        <f t="shared" ref="EZ279:FI279" si="1674">IF(EZ$218,EZ174,0)</f>
        <v>0</v>
      </c>
      <c r="FA279">
        <f t="shared" si="1674"/>
        <v>0</v>
      </c>
      <c r="FB279">
        <f t="shared" si="1674"/>
        <v>0</v>
      </c>
      <c r="FC279">
        <f t="shared" si="1674"/>
        <v>0</v>
      </c>
      <c r="FD279">
        <f t="shared" si="1674"/>
        <v>0</v>
      </c>
      <c r="FE279">
        <f t="shared" si="1674"/>
        <v>0</v>
      </c>
      <c r="FF279">
        <f t="shared" si="1674"/>
        <v>0</v>
      </c>
      <c r="FG279">
        <f t="shared" si="1674"/>
        <v>0</v>
      </c>
      <c r="FH279">
        <f t="shared" si="1674"/>
        <v>0</v>
      </c>
      <c r="FI279">
        <f t="shared" si="1674"/>
        <v>0</v>
      </c>
      <c r="FJ279">
        <f t="shared" si="1204"/>
        <v>0</v>
      </c>
      <c r="FK279">
        <f t="shared" si="1205"/>
        <v>0</v>
      </c>
      <c r="FL279">
        <f t="shared" si="1413"/>
        <v>0</v>
      </c>
      <c r="FM279">
        <f t="shared" si="1234"/>
        <v>0</v>
      </c>
      <c r="FN279">
        <f t="shared" si="1207"/>
        <v>0</v>
      </c>
      <c r="FO279">
        <f t="shared" si="1208"/>
        <v>0</v>
      </c>
      <c r="FP279">
        <f t="shared" si="1209"/>
        <v>0</v>
      </c>
      <c r="FQ279">
        <f t="shared" si="1210"/>
        <v>0</v>
      </c>
      <c r="FR279">
        <f t="shared" si="1211"/>
        <v>0</v>
      </c>
      <c r="FS279">
        <f t="shared" si="1212"/>
        <v>0</v>
      </c>
      <c r="FT279">
        <f t="shared" si="1213"/>
        <v>0</v>
      </c>
      <c r="FU279">
        <f t="shared" si="1214"/>
        <v>0</v>
      </c>
      <c r="FV279">
        <f t="shared" si="1215"/>
        <v>0</v>
      </c>
      <c r="FW279">
        <f t="shared" si="1216"/>
        <v>0</v>
      </c>
      <c r="FX279">
        <f t="shared" si="1414"/>
        <v>0</v>
      </c>
      <c r="FY279">
        <f t="shared" si="1235"/>
        <v>0</v>
      </c>
      <c r="FZ279">
        <f t="shared" si="1218"/>
        <v>0</v>
      </c>
      <c r="GA279">
        <f t="shared" si="1219"/>
        <v>0</v>
      </c>
      <c r="GB279">
        <f t="shared" si="1220"/>
        <v>0</v>
      </c>
      <c r="GC279">
        <f t="shared" si="1221"/>
        <v>0</v>
      </c>
    </row>
    <row r="280" spans="1:185" x14ac:dyDescent="0.2">
      <c r="A280" s="8" t="str">
        <f t="shared" si="1311"/>
        <v/>
      </c>
      <c r="B280" s="8">
        <f t="shared" si="1312"/>
        <v>0</v>
      </c>
      <c r="C280" s="8">
        <f t="shared" si="1313"/>
        <v>0</v>
      </c>
      <c r="D280" s="8">
        <f t="shared" si="1314"/>
        <v>0</v>
      </c>
      <c r="E280" s="8">
        <f t="shared" si="1486"/>
        <v>0</v>
      </c>
      <c r="F280" s="8">
        <f t="shared" si="1384"/>
        <v>0</v>
      </c>
      <c r="G280" s="8">
        <f t="shared" si="1427"/>
        <v>0</v>
      </c>
      <c r="H280" s="8">
        <f t="shared" si="1428"/>
        <v>0</v>
      </c>
      <c r="I280" s="8">
        <f t="shared" si="1429"/>
        <v>0</v>
      </c>
      <c r="J280" s="8">
        <f t="shared" si="1430"/>
        <v>0</v>
      </c>
      <c r="K280" s="8">
        <f t="shared" si="1431"/>
        <v>0</v>
      </c>
      <c r="L280">
        <f t="shared" si="1320"/>
        <v>0</v>
      </c>
      <c r="M280">
        <f t="shared" si="1321"/>
        <v>0</v>
      </c>
      <c r="N280">
        <f t="shared" si="1322"/>
        <v>0</v>
      </c>
      <c r="O280">
        <f t="shared" si="1323"/>
        <v>0</v>
      </c>
      <c r="P280">
        <f t="shared" si="1324"/>
        <v>0</v>
      </c>
      <c r="Q280">
        <f t="shared" si="1325"/>
        <v>0</v>
      </c>
      <c r="R280">
        <f t="shared" si="1326"/>
        <v>0</v>
      </c>
      <c r="S280">
        <f t="shared" si="1327"/>
        <v>0</v>
      </c>
      <c r="T280">
        <f t="shared" si="1328"/>
        <v>0</v>
      </c>
      <c r="U280">
        <f t="shared" si="1329"/>
        <v>0</v>
      </c>
      <c r="V280">
        <f>IF(V$230,LandEmiss!AF175,0)</f>
        <v>0</v>
      </c>
      <c r="W280">
        <f>IF(W$230,LandEmiss!AG175,0)</f>
        <v>0</v>
      </c>
      <c r="X280">
        <f>IF(X$230,LandEmiss!AH175,0)</f>
        <v>0</v>
      </c>
      <c r="Y280">
        <f>IF(Y$230,LandEmiss!AI175,0)</f>
        <v>0</v>
      </c>
      <c r="Z280">
        <f>IF(Z$230,LandEmiss!AJ175,0)</f>
        <v>0</v>
      </c>
      <c r="AA280">
        <f>IF(AA$230,LandEmiss!AK175,0)</f>
        <v>0</v>
      </c>
      <c r="AB280">
        <f>IF(AB$230,LandEmiss!AL175,0)</f>
        <v>0</v>
      </c>
      <c r="AC280">
        <f>IF(AC$230,LandEmiss!AM175,0)</f>
        <v>0</v>
      </c>
      <c r="AD280">
        <f>IF(AD$230,LandEmiss!AN175,0)</f>
        <v>0</v>
      </c>
      <c r="AE280">
        <f>IF(AE$230,LandEmiss!AO175,0)</f>
        <v>0</v>
      </c>
      <c r="AF280">
        <f t="shared" ref="AF280:AO280" si="1675">IF(AF$230,AF175,0)</f>
        <v>0</v>
      </c>
      <c r="AG280">
        <f t="shared" si="1675"/>
        <v>0</v>
      </c>
      <c r="AH280">
        <f t="shared" si="1675"/>
        <v>0</v>
      </c>
      <c r="AI280">
        <f t="shared" si="1675"/>
        <v>0</v>
      </c>
      <c r="AJ280">
        <f t="shared" si="1675"/>
        <v>0</v>
      </c>
      <c r="AK280">
        <f t="shared" si="1675"/>
        <v>0</v>
      </c>
      <c r="AL280">
        <f t="shared" si="1675"/>
        <v>0</v>
      </c>
      <c r="AM280">
        <f t="shared" si="1675"/>
        <v>0</v>
      </c>
      <c r="AN280">
        <f t="shared" si="1675"/>
        <v>0</v>
      </c>
      <c r="AO280">
        <f t="shared" si="1675"/>
        <v>0</v>
      </c>
      <c r="AP280">
        <f t="shared" si="1331"/>
        <v>0</v>
      </c>
      <c r="AQ280">
        <f t="shared" si="1332"/>
        <v>0</v>
      </c>
      <c r="AR280">
        <f t="shared" si="1333"/>
        <v>0</v>
      </c>
      <c r="AS280">
        <f t="shared" si="1334"/>
        <v>0</v>
      </c>
      <c r="AT280">
        <f t="shared" si="1335"/>
        <v>0</v>
      </c>
      <c r="AU280">
        <f t="shared" si="1336"/>
        <v>0</v>
      </c>
      <c r="AV280">
        <f t="shared" si="1337"/>
        <v>0</v>
      </c>
      <c r="AW280">
        <f t="shared" si="1338"/>
        <v>0</v>
      </c>
      <c r="AX280">
        <f t="shared" si="1339"/>
        <v>0</v>
      </c>
      <c r="AY280">
        <f t="shared" si="1340"/>
        <v>0</v>
      </c>
      <c r="AZ280">
        <f t="shared" si="1341"/>
        <v>0</v>
      </c>
      <c r="BA280">
        <f t="shared" si="1342"/>
        <v>0</v>
      </c>
      <c r="BB280">
        <f t="shared" si="1343"/>
        <v>0</v>
      </c>
      <c r="BC280">
        <f t="shared" si="1344"/>
        <v>0</v>
      </c>
      <c r="BD280">
        <f t="shared" si="1345"/>
        <v>0</v>
      </c>
      <c r="BE280">
        <f t="shared" si="1346"/>
        <v>0</v>
      </c>
      <c r="BF280">
        <f t="shared" si="1347"/>
        <v>0</v>
      </c>
      <c r="BG280">
        <f t="shared" si="1348"/>
        <v>0</v>
      </c>
      <c r="BH280">
        <f t="shared" si="1488"/>
        <v>0</v>
      </c>
      <c r="BI280">
        <f t="shared" si="1387"/>
        <v>0</v>
      </c>
      <c r="BJ280" s="8" t="str">
        <f>Hidden!$CC51</f>
        <v/>
      </c>
      <c r="BK280">
        <f t="shared" ref="BK280:BT280" si="1676">IF(BK$230,CP175,0)</f>
        <v>0</v>
      </c>
      <c r="BL280">
        <f t="shared" si="1676"/>
        <v>0</v>
      </c>
      <c r="BM280">
        <f t="shared" si="1676"/>
        <v>0</v>
      </c>
      <c r="BN280">
        <f t="shared" si="1676"/>
        <v>0</v>
      </c>
      <c r="BO280">
        <f t="shared" si="1676"/>
        <v>0</v>
      </c>
      <c r="BP280">
        <f t="shared" si="1676"/>
        <v>0</v>
      </c>
      <c r="BQ280">
        <f t="shared" si="1676"/>
        <v>0</v>
      </c>
      <c r="BR280">
        <f t="shared" si="1676"/>
        <v>0</v>
      </c>
      <c r="BS280">
        <f t="shared" si="1676"/>
        <v>0</v>
      </c>
      <c r="BT280">
        <f t="shared" si="1676"/>
        <v>0</v>
      </c>
      <c r="BU280">
        <f t="shared" ref="BU280:CD280" si="1677">IF(BU$230,CP175,0)</f>
        <v>0</v>
      </c>
      <c r="BV280">
        <f t="shared" si="1677"/>
        <v>0</v>
      </c>
      <c r="BW280">
        <f t="shared" si="1677"/>
        <v>0</v>
      </c>
      <c r="BX280">
        <f t="shared" si="1677"/>
        <v>0</v>
      </c>
      <c r="BY280">
        <f t="shared" si="1677"/>
        <v>0</v>
      </c>
      <c r="BZ280">
        <f t="shared" si="1677"/>
        <v>0</v>
      </c>
      <c r="CA280">
        <f t="shared" si="1677"/>
        <v>0</v>
      </c>
      <c r="CB280">
        <f t="shared" si="1677"/>
        <v>0</v>
      </c>
      <c r="CC280">
        <f t="shared" si="1677"/>
        <v>0</v>
      </c>
      <c r="CD280">
        <f t="shared" si="1677"/>
        <v>0</v>
      </c>
      <c r="CE280">
        <f t="shared" si="1352"/>
        <v>0</v>
      </c>
      <c r="CF280">
        <f t="shared" si="1353"/>
        <v>0</v>
      </c>
      <c r="CG280">
        <f t="shared" si="1354"/>
        <v>0</v>
      </c>
      <c r="CH280">
        <f t="shared" si="1355"/>
        <v>0</v>
      </c>
      <c r="CI280">
        <f t="shared" si="1356"/>
        <v>0</v>
      </c>
      <c r="CJ280">
        <f t="shared" si="1491"/>
        <v>0</v>
      </c>
      <c r="CK280">
        <f t="shared" si="1390"/>
        <v>0</v>
      </c>
      <c r="CL280">
        <f t="shared" si="1358"/>
        <v>0</v>
      </c>
      <c r="CM280">
        <f t="shared" si="1359"/>
        <v>0</v>
      </c>
      <c r="CN280">
        <f t="shared" si="1360"/>
        <v>0</v>
      </c>
      <c r="CO280">
        <f t="shared" ref="CO280:CX280" si="1678">IF(CO$230,CP175,0)</f>
        <v>0</v>
      </c>
      <c r="CP280">
        <f t="shared" si="1678"/>
        <v>0</v>
      </c>
      <c r="CQ280">
        <f t="shared" si="1678"/>
        <v>0</v>
      </c>
      <c r="CR280">
        <f t="shared" si="1678"/>
        <v>0</v>
      </c>
      <c r="CS280">
        <f t="shared" si="1678"/>
        <v>0</v>
      </c>
      <c r="CT280">
        <f t="shared" si="1678"/>
        <v>0</v>
      </c>
      <c r="CU280">
        <f t="shared" si="1678"/>
        <v>0</v>
      </c>
      <c r="CV280">
        <f t="shared" si="1678"/>
        <v>0</v>
      </c>
      <c r="CW280">
        <f t="shared" si="1678"/>
        <v>0</v>
      </c>
      <c r="CX280">
        <f t="shared" si="1678"/>
        <v>0</v>
      </c>
      <c r="CY280">
        <f t="shared" si="1362"/>
        <v>0</v>
      </c>
      <c r="CZ280">
        <f t="shared" si="1363"/>
        <v>0</v>
      </c>
      <c r="DA280">
        <f t="shared" si="1364"/>
        <v>0</v>
      </c>
      <c r="DB280">
        <f t="shared" si="1365"/>
        <v>0</v>
      </c>
      <c r="DC280">
        <f t="shared" si="1366"/>
        <v>0</v>
      </c>
      <c r="DD280">
        <f t="shared" si="1367"/>
        <v>0</v>
      </c>
      <c r="DE280">
        <f t="shared" si="1368"/>
        <v>0</v>
      </c>
      <c r="DF280">
        <f t="shared" si="1369"/>
        <v>0</v>
      </c>
      <c r="DG280">
        <f t="shared" si="1370"/>
        <v>0</v>
      </c>
      <c r="DH280">
        <f t="shared" si="1371"/>
        <v>0</v>
      </c>
      <c r="DI280">
        <f t="shared" si="1372"/>
        <v>0</v>
      </c>
      <c r="DJ280">
        <f t="shared" si="1373"/>
        <v>0</v>
      </c>
      <c r="DK280">
        <f t="shared" si="1374"/>
        <v>0</v>
      </c>
      <c r="DL280">
        <f t="shared" si="1375"/>
        <v>0</v>
      </c>
      <c r="DM280">
        <f t="shared" si="1376"/>
        <v>0</v>
      </c>
      <c r="DN280">
        <f t="shared" si="1377"/>
        <v>0</v>
      </c>
      <c r="DO280">
        <f t="shared" si="1378"/>
        <v>0</v>
      </c>
      <c r="DP280">
        <f t="shared" si="1379"/>
        <v>0</v>
      </c>
      <c r="DQ280">
        <f t="shared" si="1380"/>
        <v>0</v>
      </c>
      <c r="DR280">
        <f t="shared" si="1381"/>
        <v>0</v>
      </c>
      <c r="DT280" s="77"/>
      <c r="DU280" s="8" t="str">
        <f>Hidden!$CG63</f>
        <v/>
      </c>
      <c r="DV280">
        <f t="shared" si="1176"/>
        <v>0</v>
      </c>
      <c r="DW280">
        <f t="shared" si="1177"/>
        <v>0</v>
      </c>
      <c r="DX280">
        <f t="shared" si="1178"/>
        <v>0</v>
      </c>
      <c r="DY280">
        <f t="shared" si="1179"/>
        <v>0</v>
      </c>
      <c r="DZ280">
        <f t="shared" si="1180"/>
        <v>0</v>
      </c>
      <c r="EA280">
        <f t="shared" si="1181"/>
        <v>0</v>
      </c>
      <c r="EB280">
        <f t="shared" si="1182"/>
        <v>0</v>
      </c>
      <c r="EC280">
        <f t="shared" si="1183"/>
        <v>0</v>
      </c>
      <c r="ED280">
        <f t="shared" si="1184"/>
        <v>0</v>
      </c>
      <c r="EE280">
        <f t="shared" si="1185"/>
        <v>0</v>
      </c>
      <c r="EF280">
        <f t="shared" si="1186"/>
        <v>0</v>
      </c>
      <c r="EG280">
        <f t="shared" si="1187"/>
        <v>0</v>
      </c>
      <c r="EH280">
        <f t="shared" si="1188"/>
        <v>0</v>
      </c>
      <c r="EI280">
        <f t="shared" si="1189"/>
        <v>0</v>
      </c>
      <c r="EJ280">
        <f t="shared" si="1190"/>
        <v>0</v>
      </c>
      <c r="EK280">
        <f t="shared" si="1191"/>
        <v>0</v>
      </c>
      <c r="EL280">
        <f t="shared" si="1192"/>
        <v>0</v>
      </c>
      <c r="EM280">
        <f t="shared" si="1193"/>
        <v>0</v>
      </c>
      <c r="EN280">
        <f t="shared" si="1194"/>
        <v>0</v>
      </c>
      <c r="EO280">
        <f t="shared" si="1195"/>
        <v>0</v>
      </c>
      <c r="EP280">
        <f t="shared" si="1196"/>
        <v>0</v>
      </c>
      <c r="EQ280">
        <f t="shared" si="1197"/>
        <v>0</v>
      </c>
      <c r="ER280">
        <f t="shared" si="1613"/>
        <v>0</v>
      </c>
      <c r="ES280">
        <f t="shared" ref="ES280:ET280" si="1679">IF(ES$218,FC175,0)</f>
        <v>0</v>
      </c>
      <c r="ET280">
        <f t="shared" si="1679"/>
        <v>0</v>
      </c>
      <c r="EU280">
        <f t="shared" si="1199"/>
        <v>0</v>
      </c>
      <c r="EV280">
        <f t="shared" si="1411"/>
        <v>0</v>
      </c>
      <c r="EW280">
        <f t="shared" si="1232"/>
        <v>0</v>
      </c>
      <c r="EX280">
        <f t="shared" si="1201"/>
        <v>0</v>
      </c>
      <c r="EY280">
        <f t="shared" si="1202"/>
        <v>0</v>
      </c>
      <c r="EZ280">
        <f t="shared" ref="EZ280:FI280" si="1680">IF(EZ$218,EZ175,0)</f>
        <v>0</v>
      </c>
      <c r="FA280">
        <f t="shared" si="1680"/>
        <v>0</v>
      </c>
      <c r="FB280">
        <f t="shared" si="1680"/>
        <v>0</v>
      </c>
      <c r="FC280">
        <f t="shared" si="1680"/>
        <v>0</v>
      </c>
      <c r="FD280">
        <f t="shared" si="1680"/>
        <v>0</v>
      </c>
      <c r="FE280">
        <f t="shared" si="1680"/>
        <v>0</v>
      </c>
      <c r="FF280">
        <f t="shared" si="1680"/>
        <v>0</v>
      </c>
      <c r="FG280">
        <f t="shared" si="1680"/>
        <v>0</v>
      </c>
      <c r="FH280">
        <f t="shared" si="1680"/>
        <v>0</v>
      </c>
      <c r="FI280">
        <f t="shared" si="1680"/>
        <v>0</v>
      </c>
      <c r="FJ280">
        <f t="shared" si="1204"/>
        <v>0</v>
      </c>
      <c r="FK280">
        <f t="shared" si="1205"/>
        <v>0</v>
      </c>
      <c r="FL280">
        <f t="shared" si="1413"/>
        <v>0</v>
      </c>
      <c r="FM280">
        <f t="shared" si="1234"/>
        <v>0</v>
      </c>
      <c r="FN280">
        <f t="shared" si="1207"/>
        <v>0</v>
      </c>
      <c r="FO280">
        <f t="shared" si="1208"/>
        <v>0</v>
      </c>
      <c r="FP280">
        <f t="shared" si="1209"/>
        <v>0</v>
      </c>
      <c r="FQ280">
        <f t="shared" si="1210"/>
        <v>0</v>
      </c>
      <c r="FR280">
        <f t="shared" si="1211"/>
        <v>0</v>
      </c>
      <c r="FS280">
        <f t="shared" si="1212"/>
        <v>0</v>
      </c>
      <c r="FT280">
        <f t="shared" si="1213"/>
        <v>0</v>
      </c>
      <c r="FU280">
        <f t="shared" si="1214"/>
        <v>0</v>
      </c>
      <c r="FV280">
        <f t="shared" si="1215"/>
        <v>0</v>
      </c>
      <c r="FW280">
        <f t="shared" si="1216"/>
        <v>0</v>
      </c>
      <c r="FX280">
        <f t="shared" si="1414"/>
        <v>0</v>
      </c>
      <c r="FY280">
        <f t="shared" si="1235"/>
        <v>0</v>
      </c>
      <c r="FZ280">
        <f t="shared" si="1218"/>
        <v>0</v>
      </c>
      <c r="GA280">
        <f t="shared" si="1219"/>
        <v>0</v>
      </c>
      <c r="GB280">
        <f t="shared" si="1220"/>
        <v>0</v>
      </c>
      <c r="GC280">
        <f t="shared" si="1221"/>
        <v>0</v>
      </c>
    </row>
    <row r="281" spans="1:185" x14ac:dyDescent="0.2">
      <c r="A281" s="8" t="str">
        <f t="shared" si="1311"/>
        <v/>
      </c>
      <c r="B281" s="8">
        <f t="shared" si="1312"/>
        <v>0</v>
      </c>
      <c r="C281" s="8">
        <f t="shared" si="1313"/>
        <v>0</v>
      </c>
      <c r="D281" s="8">
        <f t="shared" si="1314"/>
        <v>0</v>
      </c>
      <c r="E281" s="8">
        <f t="shared" si="1486"/>
        <v>0</v>
      </c>
      <c r="F281" s="8">
        <f t="shared" si="1384"/>
        <v>0</v>
      </c>
      <c r="G281" s="8">
        <f t="shared" si="1427"/>
        <v>0</v>
      </c>
      <c r="H281" s="8">
        <f t="shared" si="1428"/>
        <v>0</v>
      </c>
      <c r="I281" s="8">
        <f t="shared" si="1429"/>
        <v>0</v>
      </c>
      <c r="J281" s="8">
        <f t="shared" si="1430"/>
        <v>0</v>
      </c>
      <c r="K281" s="8">
        <f t="shared" si="1431"/>
        <v>0</v>
      </c>
      <c r="L281">
        <f t="shared" si="1320"/>
        <v>0</v>
      </c>
      <c r="M281">
        <f t="shared" si="1321"/>
        <v>0</v>
      </c>
      <c r="N281">
        <f t="shared" si="1322"/>
        <v>0</v>
      </c>
      <c r="O281">
        <f t="shared" si="1323"/>
        <v>0</v>
      </c>
      <c r="P281">
        <f t="shared" si="1324"/>
        <v>0</v>
      </c>
      <c r="Q281">
        <f t="shared" si="1325"/>
        <v>0</v>
      </c>
      <c r="R281">
        <f t="shared" si="1326"/>
        <v>0</v>
      </c>
      <c r="S281">
        <f t="shared" si="1327"/>
        <v>0</v>
      </c>
      <c r="T281">
        <f t="shared" si="1328"/>
        <v>0</v>
      </c>
      <c r="U281">
        <f t="shared" si="1329"/>
        <v>0</v>
      </c>
      <c r="V281">
        <f>IF(V$230,LandEmiss!AF176,0)</f>
        <v>0</v>
      </c>
      <c r="W281">
        <f>IF(W$230,LandEmiss!AG176,0)</f>
        <v>0</v>
      </c>
      <c r="X281">
        <f>IF(X$230,LandEmiss!AH176,0)</f>
        <v>0</v>
      </c>
      <c r="Y281">
        <f>IF(Y$230,LandEmiss!AI176,0)</f>
        <v>0</v>
      </c>
      <c r="Z281">
        <f>IF(Z$230,LandEmiss!AJ176,0)</f>
        <v>0</v>
      </c>
      <c r="AA281">
        <f>IF(AA$230,LandEmiss!AK176,0)</f>
        <v>0</v>
      </c>
      <c r="AB281">
        <f>IF(AB$230,LandEmiss!AL176,0)</f>
        <v>0</v>
      </c>
      <c r="AC281">
        <f>IF(AC$230,LandEmiss!AM176,0)</f>
        <v>0</v>
      </c>
      <c r="AD281">
        <f>IF(AD$230,LandEmiss!AN176,0)</f>
        <v>0</v>
      </c>
      <c r="AE281">
        <f>IF(AE$230,LandEmiss!AO176,0)</f>
        <v>0</v>
      </c>
      <c r="AF281">
        <f t="shared" ref="AF281:AO281" si="1681">IF(AF$230,AF176,0)</f>
        <v>0</v>
      </c>
      <c r="AG281">
        <f t="shared" si="1681"/>
        <v>0</v>
      </c>
      <c r="AH281">
        <f t="shared" si="1681"/>
        <v>0</v>
      </c>
      <c r="AI281">
        <f t="shared" si="1681"/>
        <v>0</v>
      </c>
      <c r="AJ281">
        <f t="shared" si="1681"/>
        <v>0</v>
      </c>
      <c r="AK281">
        <f t="shared" si="1681"/>
        <v>0</v>
      </c>
      <c r="AL281">
        <f t="shared" si="1681"/>
        <v>0</v>
      </c>
      <c r="AM281">
        <f t="shared" si="1681"/>
        <v>0</v>
      </c>
      <c r="AN281">
        <f t="shared" si="1681"/>
        <v>0</v>
      </c>
      <c r="AO281">
        <f t="shared" si="1681"/>
        <v>0</v>
      </c>
      <c r="AP281">
        <f t="shared" si="1331"/>
        <v>0</v>
      </c>
      <c r="AQ281">
        <f t="shared" si="1332"/>
        <v>0</v>
      </c>
      <c r="AR281">
        <f t="shared" si="1333"/>
        <v>0</v>
      </c>
      <c r="AS281">
        <f t="shared" si="1334"/>
        <v>0</v>
      </c>
      <c r="AT281">
        <f t="shared" si="1335"/>
        <v>0</v>
      </c>
      <c r="AU281">
        <f t="shared" si="1336"/>
        <v>0</v>
      </c>
      <c r="AV281">
        <f t="shared" si="1337"/>
        <v>0</v>
      </c>
      <c r="AW281">
        <f t="shared" si="1338"/>
        <v>0</v>
      </c>
      <c r="AX281">
        <f t="shared" si="1339"/>
        <v>0</v>
      </c>
      <c r="AY281">
        <f t="shared" si="1340"/>
        <v>0</v>
      </c>
      <c r="AZ281">
        <f t="shared" si="1341"/>
        <v>0</v>
      </c>
      <c r="BA281">
        <f t="shared" si="1342"/>
        <v>0</v>
      </c>
      <c r="BB281">
        <f t="shared" si="1343"/>
        <v>0</v>
      </c>
      <c r="BC281">
        <f t="shared" si="1344"/>
        <v>0</v>
      </c>
      <c r="BD281">
        <f t="shared" si="1345"/>
        <v>0</v>
      </c>
      <c r="BE281">
        <f t="shared" si="1346"/>
        <v>0</v>
      </c>
      <c r="BF281">
        <f t="shared" si="1347"/>
        <v>0</v>
      </c>
      <c r="BG281">
        <f t="shared" si="1348"/>
        <v>0</v>
      </c>
      <c r="BH281">
        <f t="shared" si="1488"/>
        <v>0</v>
      </c>
      <c r="BI281">
        <f t="shared" si="1387"/>
        <v>0</v>
      </c>
      <c r="BJ281" s="8" t="str">
        <f>Hidden!$CC52</f>
        <v/>
      </c>
      <c r="BK281">
        <f t="shared" ref="BK281:BT281" si="1682">IF(BK$230,CP176,0)</f>
        <v>0</v>
      </c>
      <c r="BL281">
        <f t="shared" si="1682"/>
        <v>0</v>
      </c>
      <c r="BM281">
        <f t="shared" si="1682"/>
        <v>0</v>
      </c>
      <c r="BN281">
        <f t="shared" si="1682"/>
        <v>0</v>
      </c>
      <c r="BO281">
        <f t="shared" si="1682"/>
        <v>0</v>
      </c>
      <c r="BP281">
        <f t="shared" si="1682"/>
        <v>0</v>
      </c>
      <c r="BQ281">
        <f t="shared" si="1682"/>
        <v>0</v>
      </c>
      <c r="BR281">
        <f t="shared" si="1682"/>
        <v>0</v>
      </c>
      <c r="BS281">
        <f t="shared" si="1682"/>
        <v>0</v>
      </c>
      <c r="BT281">
        <f t="shared" si="1682"/>
        <v>0</v>
      </c>
      <c r="BU281">
        <f t="shared" ref="BU281:CD281" si="1683">IF(BU$230,CP176,0)</f>
        <v>0</v>
      </c>
      <c r="BV281">
        <f t="shared" si="1683"/>
        <v>0</v>
      </c>
      <c r="BW281">
        <f t="shared" si="1683"/>
        <v>0</v>
      </c>
      <c r="BX281">
        <f t="shared" si="1683"/>
        <v>0</v>
      </c>
      <c r="BY281">
        <f t="shared" si="1683"/>
        <v>0</v>
      </c>
      <c r="BZ281">
        <f t="shared" si="1683"/>
        <v>0</v>
      </c>
      <c r="CA281">
        <f t="shared" si="1683"/>
        <v>0</v>
      </c>
      <c r="CB281">
        <f t="shared" si="1683"/>
        <v>0</v>
      </c>
      <c r="CC281">
        <f t="shared" si="1683"/>
        <v>0</v>
      </c>
      <c r="CD281">
        <f t="shared" si="1683"/>
        <v>0</v>
      </c>
      <c r="CE281">
        <f t="shared" si="1352"/>
        <v>0</v>
      </c>
      <c r="CF281">
        <f t="shared" si="1353"/>
        <v>0</v>
      </c>
      <c r="CG281">
        <f t="shared" si="1354"/>
        <v>0</v>
      </c>
      <c r="CH281">
        <f t="shared" si="1355"/>
        <v>0</v>
      </c>
      <c r="CI281">
        <f t="shared" si="1356"/>
        <v>0</v>
      </c>
      <c r="CJ281">
        <f t="shared" si="1491"/>
        <v>0</v>
      </c>
      <c r="CK281">
        <f t="shared" si="1390"/>
        <v>0</v>
      </c>
      <c r="CL281">
        <f t="shared" si="1358"/>
        <v>0</v>
      </c>
      <c r="CM281">
        <f t="shared" si="1359"/>
        <v>0</v>
      </c>
      <c r="CN281">
        <f t="shared" si="1360"/>
        <v>0</v>
      </c>
      <c r="CO281">
        <f t="shared" ref="CO281:CX281" si="1684">IF(CO$230,CP176,0)</f>
        <v>0</v>
      </c>
      <c r="CP281">
        <f t="shared" si="1684"/>
        <v>0</v>
      </c>
      <c r="CQ281">
        <f t="shared" si="1684"/>
        <v>0</v>
      </c>
      <c r="CR281">
        <f t="shared" si="1684"/>
        <v>0</v>
      </c>
      <c r="CS281">
        <f t="shared" si="1684"/>
        <v>0</v>
      </c>
      <c r="CT281">
        <f t="shared" si="1684"/>
        <v>0</v>
      </c>
      <c r="CU281">
        <f t="shared" si="1684"/>
        <v>0</v>
      </c>
      <c r="CV281">
        <f t="shared" si="1684"/>
        <v>0</v>
      </c>
      <c r="CW281">
        <f t="shared" si="1684"/>
        <v>0</v>
      </c>
      <c r="CX281">
        <f t="shared" si="1684"/>
        <v>0</v>
      </c>
      <c r="CY281">
        <f t="shared" si="1362"/>
        <v>0</v>
      </c>
      <c r="CZ281">
        <f t="shared" si="1363"/>
        <v>0</v>
      </c>
      <c r="DA281">
        <f t="shared" si="1364"/>
        <v>0</v>
      </c>
      <c r="DB281">
        <f t="shared" si="1365"/>
        <v>0</v>
      </c>
      <c r="DC281">
        <f t="shared" si="1366"/>
        <v>0</v>
      </c>
      <c r="DD281">
        <f t="shared" si="1367"/>
        <v>0</v>
      </c>
      <c r="DE281">
        <f t="shared" si="1368"/>
        <v>0</v>
      </c>
      <c r="DF281">
        <f t="shared" si="1369"/>
        <v>0</v>
      </c>
      <c r="DG281">
        <f t="shared" si="1370"/>
        <v>0</v>
      </c>
      <c r="DH281">
        <f t="shared" si="1371"/>
        <v>0</v>
      </c>
      <c r="DI281">
        <f t="shared" si="1372"/>
        <v>0</v>
      </c>
      <c r="DJ281">
        <f t="shared" si="1373"/>
        <v>0</v>
      </c>
      <c r="DK281">
        <f t="shared" si="1374"/>
        <v>0</v>
      </c>
      <c r="DL281">
        <f t="shared" si="1375"/>
        <v>0</v>
      </c>
      <c r="DM281">
        <f t="shared" si="1376"/>
        <v>0</v>
      </c>
      <c r="DN281">
        <f t="shared" si="1377"/>
        <v>0</v>
      </c>
      <c r="DO281">
        <f t="shared" si="1378"/>
        <v>0</v>
      </c>
      <c r="DP281">
        <f t="shared" si="1379"/>
        <v>0</v>
      </c>
      <c r="DQ281">
        <f t="shared" si="1380"/>
        <v>0</v>
      </c>
      <c r="DR281">
        <f t="shared" si="1381"/>
        <v>0</v>
      </c>
      <c r="DT281" s="77"/>
      <c r="DU281" s="8" t="str">
        <f>Hidden!$CG64</f>
        <v/>
      </c>
      <c r="DV281">
        <f t="shared" si="1176"/>
        <v>0</v>
      </c>
      <c r="DW281">
        <f t="shared" si="1177"/>
        <v>0</v>
      </c>
      <c r="DX281">
        <f t="shared" si="1178"/>
        <v>0</v>
      </c>
      <c r="DY281">
        <f t="shared" si="1179"/>
        <v>0</v>
      </c>
      <c r="DZ281">
        <f t="shared" si="1180"/>
        <v>0</v>
      </c>
      <c r="EA281">
        <f t="shared" si="1181"/>
        <v>0</v>
      </c>
      <c r="EB281">
        <f t="shared" si="1182"/>
        <v>0</v>
      </c>
      <c r="EC281">
        <f t="shared" si="1183"/>
        <v>0</v>
      </c>
      <c r="ED281">
        <f t="shared" si="1184"/>
        <v>0</v>
      </c>
      <c r="EE281">
        <f t="shared" si="1185"/>
        <v>0</v>
      </c>
      <c r="EF281">
        <f t="shared" si="1186"/>
        <v>0</v>
      </c>
      <c r="EG281">
        <f t="shared" si="1187"/>
        <v>0</v>
      </c>
      <c r="EH281">
        <f t="shared" si="1188"/>
        <v>0</v>
      </c>
      <c r="EI281">
        <f t="shared" si="1189"/>
        <v>0</v>
      </c>
      <c r="EJ281">
        <f t="shared" si="1190"/>
        <v>0</v>
      </c>
      <c r="EK281">
        <f t="shared" si="1191"/>
        <v>0</v>
      </c>
      <c r="EL281">
        <f t="shared" si="1192"/>
        <v>0</v>
      </c>
      <c r="EM281">
        <f t="shared" si="1193"/>
        <v>0</v>
      </c>
      <c r="EN281">
        <f t="shared" si="1194"/>
        <v>0</v>
      </c>
      <c r="EO281">
        <f t="shared" si="1195"/>
        <v>0</v>
      </c>
      <c r="EP281">
        <f t="shared" si="1196"/>
        <v>0</v>
      </c>
      <c r="EQ281">
        <f t="shared" si="1197"/>
        <v>0</v>
      </c>
      <c r="ER281">
        <f t="shared" si="1613"/>
        <v>0</v>
      </c>
      <c r="ES281">
        <f t="shared" ref="ES281:ET281" si="1685">IF(ES$218,FC176,0)</f>
        <v>0</v>
      </c>
      <c r="ET281">
        <f t="shared" si="1685"/>
        <v>0</v>
      </c>
      <c r="EU281">
        <f t="shared" si="1199"/>
        <v>0</v>
      </c>
      <c r="EV281">
        <f t="shared" si="1411"/>
        <v>0</v>
      </c>
      <c r="EW281">
        <f t="shared" si="1232"/>
        <v>0</v>
      </c>
      <c r="EX281">
        <f t="shared" si="1201"/>
        <v>0</v>
      </c>
      <c r="EY281">
        <f t="shared" si="1202"/>
        <v>0</v>
      </c>
      <c r="EZ281">
        <f t="shared" ref="EZ281:FI281" si="1686">IF(EZ$218,EZ176,0)</f>
        <v>0</v>
      </c>
      <c r="FA281">
        <f t="shared" si="1686"/>
        <v>0</v>
      </c>
      <c r="FB281">
        <f t="shared" si="1686"/>
        <v>0</v>
      </c>
      <c r="FC281">
        <f t="shared" si="1686"/>
        <v>0</v>
      </c>
      <c r="FD281">
        <f t="shared" si="1686"/>
        <v>0</v>
      </c>
      <c r="FE281">
        <f t="shared" si="1686"/>
        <v>0</v>
      </c>
      <c r="FF281">
        <f t="shared" si="1686"/>
        <v>0</v>
      </c>
      <c r="FG281">
        <f t="shared" si="1686"/>
        <v>0</v>
      </c>
      <c r="FH281">
        <f t="shared" si="1686"/>
        <v>0</v>
      </c>
      <c r="FI281">
        <f t="shared" si="1686"/>
        <v>0</v>
      </c>
      <c r="FJ281">
        <f t="shared" si="1204"/>
        <v>0</v>
      </c>
      <c r="FK281">
        <f t="shared" si="1205"/>
        <v>0</v>
      </c>
      <c r="FL281">
        <f t="shared" si="1413"/>
        <v>0</v>
      </c>
      <c r="FM281">
        <f t="shared" si="1234"/>
        <v>0</v>
      </c>
      <c r="FN281">
        <f t="shared" si="1207"/>
        <v>0</v>
      </c>
      <c r="FO281">
        <f t="shared" si="1208"/>
        <v>0</v>
      </c>
      <c r="FP281">
        <f t="shared" si="1209"/>
        <v>0</v>
      </c>
      <c r="FQ281">
        <f t="shared" si="1210"/>
        <v>0</v>
      </c>
      <c r="FR281">
        <f t="shared" si="1211"/>
        <v>0</v>
      </c>
      <c r="FS281">
        <f t="shared" si="1212"/>
        <v>0</v>
      </c>
      <c r="FT281">
        <f t="shared" si="1213"/>
        <v>0</v>
      </c>
      <c r="FU281">
        <f t="shared" si="1214"/>
        <v>0</v>
      </c>
      <c r="FV281">
        <f t="shared" si="1215"/>
        <v>0</v>
      </c>
      <c r="FW281">
        <f t="shared" si="1216"/>
        <v>0</v>
      </c>
      <c r="FX281">
        <f t="shared" si="1414"/>
        <v>0</v>
      </c>
      <c r="FY281">
        <f t="shared" si="1235"/>
        <v>0</v>
      </c>
      <c r="FZ281">
        <f t="shared" si="1218"/>
        <v>0</v>
      </c>
      <c r="GA281">
        <f t="shared" si="1219"/>
        <v>0</v>
      </c>
      <c r="GB281">
        <f t="shared" si="1220"/>
        <v>0</v>
      </c>
      <c r="GC281">
        <f t="shared" si="1221"/>
        <v>0</v>
      </c>
    </row>
    <row r="282" spans="1:185" x14ac:dyDescent="0.2">
      <c r="A282" s="8" t="str">
        <f t="shared" si="1311"/>
        <v/>
      </c>
      <c r="B282" s="8">
        <f t="shared" si="1312"/>
        <v>0</v>
      </c>
      <c r="C282" s="8">
        <f t="shared" si="1313"/>
        <v>0</v>
      </c>
      <c r="D282" s="8">
        <f t="shared" si="1314"/>
        <v>0</v>
      </c>
      <c r="E282" s="8">
        <f t="shared" si="1486"/>
        <v>0</v>
      </c>
      <c r="F282" s="8">
        <f t="shared" si="1384"/>
        <v>0</v>
      </c>
      <c r="G282" s="8">
        <f t="shared" si="1427"/>
        <v>0</v>
      </c>
      <c r="H282" s="8">
        <f t="shared" si="1428"/>
        <v>0</v>
      </c>
      <c r="I282" s="8">
        <f t="shared" si="1429"/>
        <v>0</v>
      </c>
      <c r="J282" s="8">
        <f t="shared" si="1430"/>
        <v>0</v>
      </c>
      <c r="K282" s="8">
        <f t="shared" si="1431"/>
        <v>0</v>
      </c>
      <c r="L282">
        <f t="shared" si="1320"/>
        <v>0</v>
      </c>
      <c r="M282">
        <f t="shared" si="1321"/>
        <v>0</v>
      </c>
      <c r="N282">
        <f t="shared" si="1322"/>
        <v>0</v>
      </c>
      <c r="O282">
        <f t="shared" si="1323"/>
        <v>0</v>
      </c>
      <c r="P282">
        <f t="shared" si="1324"/>
        <v>0</v>
      </c>
      <c r="Q282">
        <f t="shared" si="1325"/>
        <v>0</v>
      </c>
      <c r="R282">
        <f t="shared" si="1326"/>
        <v>0</v>
      </c>
      <c r="S282">
        <f t="shared" si="1327"/>
        <v>0</v>
      </c>
      <c r="T282">
        <f t="shared" si="1328"/>
        <v>0</v>
      </c>
      <c r="U282">
        <f t="shared" si="1329"/>
        <v>0</v>
      </c>
      <c r="V282">
        <f>IF(V$230,LandEmiss!AF177,0)</f>
        <v>0</v>
      </c>
      <c r="W282">
        <f>IF(W$230,LandEmiss!AG177,0)</f>
        <v>0</v>
      </c>
      <c r="X282">
        <f>IF(X$230,LandEmiss!AH177,0)</f>
        <v>0</v>
      </c>
      <c r="Y282">
        <f>IF(Y$230,LandEmiss!AI177,0)</f>
        <v>0</v>
      </c>
      <c r="Z282">
        <f>IF(Z$230,LandEmiss!AJ177,0)</f>
        <v>0</v>
      </c>
      <c r="AA282">
        <f>IF(AA$230,LandEmiss!AK177,0)</f>
        <v>0</v>
      </c>
      <c r="AB282">
        <f>IF(AB$230,LandEmiss!AL177,0)</f>
        <v>0</v>
      </c>
      <c r="AC282">
        <f>IF(AC$230,LandEmiss!AM177,0)</f>
        <v>0</v>
      </c>
      <c r="AD282">
        <f>IF(AD$230,LandEmiss!AN177,0)</f>
        <v>0</v>
      </c>
      <c r="AE282">
        <f>IF(AE$230,LandEmiss!AO177,0)</f>
        <v>0</v>
      </c>
      <c r="AF282">
        <f t="shared" ref="AF282:AO282" si="1687">IF(AF$230,AF177,0)</f>
        <v>0</v>
      </c>
      <c r="AG282">
        <f t="shared" si="1687"/>
        <v>0</v>
      </c>
      <c r="AH282">
        <f t="shared" si="1687"/>
        <v>0</v>
      </c>
      <c r="AI282">
        <f t="shared" si="1687"/>
        <v>0</v>
      </c>
      <c r="AJ282">
        <f t="shared" si="1687"/>
        <v>0</v>
      </c>
      <c r="AK282">
        <f t="shared" si="1687"/>
        <v>0</v>
      </c>
      <c r="AL282">
        <f t="shared" si="1687"/>
        <v>0</v>
      </c>
      <c r="AM282">
        <f t="shared" si="1687"/>
        <v>0</v>
      </c>
      <c r="AN282">
        <f t="shared" si="1687"/>
        <v>0</v>
      </c>
      <c r="AO282">
        <f t="shared" si="1687"/>
        <v>0</v>
      </c>
      <c r="AP282">
        <f t="shared" si="1331"/>
        <v>0</v>
      </c>
      <c r="AQ282">
        <f t="shared" si="1332"/>
        <v>0</v>
      </c>
      <c r="AR282">
        <f t="shared" si="1333"/>
        <v>0</v>
      </c>
      <c r="AS282">
        <f t="shared" si="1334"/>
        <v>0</v>
      </c>
      <c r="AT282">
        <f t="shared" si="1335"/>
        <v>0</v>
      </c>
      <c r="AU282">
        <f t="shared" si="1336"/>
        <v>0</v>
      </c>
      <c r="AV282">
        <f t="shared" si="1337"/>
        <v>0</v>
      </c>
      <c r="AW282">
        <f t="shared" si="1338"/>
        <v>0</v>
      </c>
      <c r="AX282">
        <f t="shared" si="1339"/>
        <v>0</v>
      </c>
      <c r="AY282">
        <f t="shared" si="1340"/>
        <v>0</v>
      </c>
      <c r="AZ282">
        <f t="shared" si="1341"/>
        <v>0</v>
      </c>
      <c r="BA282">
        <f t="shared" si="1342"/>
        <v>0</v>
      </c>
      <c r="BB282">
        <f t="shared" si="1343"/>
        <v>0</v>
      </c>
      <c r="BC282">
        <f t="shared" si="1344"/>
        <v>0</v>
      </c>
      <c r="BD282">
        <f t="shared" si="1345"/>
        <v>0</v>
      </c>
      <c r="BE282">
        <f t="shared" si="1346"/>
        <v>0</v>
      </c>
      <c r="BF282">
        <f t="shared" si="1347"/>
        <v>0</v>
      </c>
      <c r="BG282">
        <f t="shared" si="1348"/>
        <v>0</v>
      </c>
      <c r="BH282">
        <f t="shared" si="1488"/>
        <v>0</v>
      </c>
      <c r="BI282">
        <f t="shared" si="1387"/>
        <v>0</v>
      </c>
      <c r="BJ282" s="8" t="str">
        <f>Hidden!$CC53</f>
        <v/>
      </c>
      <c r="BK282">
        <f t="shared" ref="BK282:BT282" si="1688">IF(BK$230,CP177,0)</f>
        <v>0</v>
      </c>
      <c r="BL282">
        <f t="shared" si="1688"/>
        <v>0</v>
      </c>
      <c r="BM282">
        <f t="shared" si="1688"/>
        <v>0</v>
      </c>
      <c r="BN282">
        <f t="shared" si="1688"/>
        <v>0</v>
      </c>
      <c r="BO282">
        <f t="shared" si="1688"/>
        <v>0</v>
      </c>
      <c r="BP282">
        <f t="shared" si="1688"/>
        <v>0</v>
      </c>
      <c r="BQ282">
        <f t="shared" si="1688"/>
        <v>0</v>
      </c>
      <c r="BR282">
        <f t="shared" si="1688"/>
        <v>0</v>
      </c>
      <c r="BS282">
        <f t="shared" si="1688"/>
        <v>0</v>
      </c>
      <c r="BT282">
        <f t="shared" si="1688"/>
        <v>0</v>
      </c>
      <c r="BU282">
        <f t="shared" ref="BU282:CD282" si="1689">IF(BU$230,CP177,0)</f>
        <v>0</v>
      </c>
      <c r="BV282">
        <f t="shared" si="1689"/>
        <v>0</v>
      </c>
      <c r="BW282">
        <f t="shared" si="1689"/>
        <v>0</v>
      </c>
      <c r="BX282">
        <f t="shared" si="1689"/>
        <v>0</v>
      </c>
      <c r="BY282">
        <f t="shared" si="1689"/>
        <v>0</v>
      </c>
      <c r="BZ282">
        <f t="shared" si="1689"/>
        <v>0</v>
      </c>
      <c r="CA282">
        <f t="shared" si="1689"/>
        <v>0</v>
      </c>
      <c r="CB282">
        <f t="shared" si="1689"/>
        <v>0</v>
      </c>
      <c r="CC282">
        <f t="shared" si="1689"/>
        <v>0</v>
      </c>
      <c r="CD282">
        <f t="shared" si="1689"/>
        <v>0</v>
      </c>
      <c r="CE282">
        <f t="shared" si="1352"/>
        <v>0</v>
      </c>
      <c r="CF282">
        <f t="shared" si="1353"/>
        <v>0</v>
      </c>
      <c r="CG282">
        <f t="shared" si="1354"/>
        <v>0</v>
      </c>
      <c r="CH282">
        <f t="shared" si="1355"/>
        <v>0</v>
      </c>
      <c r="CI282">
        <f t="shared" si="1356"/>
        <v>0</v>
      </c>
      <c r="CJ282">
        <f t="shared" si="1491"/>
        <v>0</v>
      </c>
      <c r="CK282">
        <f t="shared" si="1390"/>
        <v>0</v>
      </c>
      <c r="CL282">
        <f t="shared" si="1358"/>
        <v>0</v>
      </c>
      <c r="CM282">
        <f t="shared" si="1359"/>
        <v>0</v>
      </c>
      <c r="CN282">
        <f t="shared" si="1360"/>
        <v>0</v>
      </c>
      <c r="CO282">
        <f t="shared" ref="CO282:CX282" si="1690">IF(CO$230,CP177,0)</f>
        <v>0</v>
      </c>
      <c r="CP282">
        <f t="shared" si="1690"/>
        <v>0</v>
      </c>
      <c r="CQ282">
        <f t="shared" si="1690"/>
        <v>0</v>
      </c>
      <c r="CR282">
        <f t="shared" si="1690"/>
        <v>0</v>
      </c>
      <c r="CS282">
        <f t="shared" si="1690"/>
        <v>0</v>
      </c>
      <c r="CT282">
        <f t="shared" si="1690"/>
        <v>0</v>
      </c>
      <c r="CU282">
        <f t="shared" si="1690"/>
        <v>0</v>
      </c>
      <c r="CV282">
        <f t="shared" si="1690"/>
        <v>0</v>
      </c>
      <c r="CW282">
        <f t="shared" si="1690"/>
        <v>0</v>
      </c>
      <c r="CX282">
        <f t="shared" si="1690"/>
        <v>0</v>
      </c>
      <c r="CY282">
        <f t="shared" si="1362"/>
        <v>0</v>
      </c>
      <c r="CZ282">
        <f t="shared" si="1363"/>
        <v>0</v>
      </c>
      <c r="DA282">
        <f t="shared" si="1364"/>
        <v>0</v>
      </c>
      <c r="DB282">
        <f t="shared" si="1365"/>
        <v>0</v>
      </c>
      <c r="DC282">
        <f t="shared" si="1366"/>
        <v>0</v>
      </c>
      <c r="DD282">
        <f t="shared" si="1367"/>
        <v>0</v>
      </c>
      <c r="DE282">
        <f t="shared" si="1368"/>
        <v>0</v>
      </c>
      <c r="DF282">
        <f t="shared" si="1369"/>
        <v>0</v>
      </c>
      <c r="DG282">
        <f t="shared" si="1370"/>
        <v>0</v>
      </c>
      <c r="DH282">
        <f t="shared" si="1371"/>
        <v>0</v>
      </c>
      <c r="DI282">
        <f t="shared" si="1372"/>
        <v>0</v>
      </c>
      <c r="DJ282">
        <f t="shared" si="1373"/>
        <v>0</v>
      </c>
      <c r="DK282">
        <f t="shared" si="1374"/>
        <v>0</v>
      </c>
      <c r="DL282">
        <f t="shared" si="1375"/>
        <v>0</v>
      </c>
      <c r="DM282">
        <f t="shared" si="1376"/>
        <v>0</v>
      </c>
      <c r="DN282">
        <f t="shared" si="1377"/>
        <v>0</v>
      </c>
      <c r="DO282">
        <f t="shared" si="1378"/>
        <v>0</v>
      </c>
      <c r="DP282">
        <f t="shared" si="1379"/>
        <v>0</v>
      </c>
      <c r="DQ282">
        <f t="shared" si="1380"/>
        <v>0</v>
      </c>
      <c r="DR282">
        <f t="shared" si="1381"/>
        <v>0</v>
      </c>
      <c r="DT282" s="77"/>
      <c r="DU282" s="8" t="str">
        <f>Hidden!$CG65</f>
        <v/>
      </c>
      <c r="DV282">
        <f t="shared" si="1176"/>
        <v>0</v>
      </c>
      <c r="DW282">
        <f t="shared" si="1177"/>
        <v>0</v>
      </c>
      <c r="DX282">
        <f t="shared" si="1178"/>
        <v>0</v>
      </c>
      <c r="DY282">
        <f t="shared" si="1179"/>
        <v>0</v>
      </c>
      <c r="DZ282">
        <f t="shared" si="1180"/>
        <v>0</v>
      </c>
      <c r="EA282">
        <f t="shared" si="1181"/>
        <v>0</v>
      </c>
      <c r="EB282">
        <f t="shared" si="1182"/>
        <v>0</v>
      </c>
      <c r="EC282">
        <f t="shared" si="1183"/>
        <v>0</v>
      </c>
      <c r="ED282">
        <f t="shared" si="1184"/>
        <v>0</v>
      </c>
      <c r="EE282">
        <f t="shared" si="1185"/>
        <v>0</v>
      </c>
      <c r="EF282">
        <f t="shared" si="1186"/>
        <v>0</v>
      </c>
      <c r="EG282">
        <f t="shared" si="1187"/>
        <v>0</v>
      </c>
      <c r="EH282">
        <f t="shared" si="1188"/>
        <v>0</v>
      </c>
      <c r="EI282">
        <f t="shared" si="1189"/>
        <v>0</v>
      </c>
      <c r="EJ282">
        <f t="shared" si="1190"/>
        <v>0</v>
      </c>
      <c r="EK282">
        <f t="shared" si="1191"/>
        <v>0</v>
      </c>
      <c r="EL282">
        <f t="shared" si="1192"/>
        <v>0</v>
      </c>
      <c r="EM282">
        <f t="shared" si="1193"/>
        <v>0</v>
      </c>
      <c r="EN282">
        <f t="shared" si="1194"/>
        <v>0</v>
      </c>
      <c r="EO282">
        <f t="shared" si="1195"/>
        <v>0</v>
      </c>
      <c r="EP282">
        <f t="shared" si="1196"/>
        <v>0</v>
      </c>
      <c r="EQ282">
        <f t="shared" si="1197"/>
        <v>0</v>
      </c>
      <c r="ER282">
        <f t="shared" si="1613"/>
        <v>0</v>
      </c>
      <c r="ES282">
        <f t="shared" ref="ES282:ET282" si="1691">IF(ES$218,FC177,0)</f>
        <v>0</v>
      </c>
      <c r="ET282">
        <f t="shared" si="1691"/>
        <v>0</v>
      </c>
      <c r="EU282">
        <f t="shared" si="1199"/>
        <v>0</v>
      </c>
      <c r="EV282">
        <f t="shared" si="1411"/>
        <v>0</v>
      </c>
      <c r="EW282">
        <f t="shared" si="1232"/>
        <v>0</v>
      </c>
      <c r="EX282">
        <f t="shared" si="1201"/>
        <v>0</v>
      </c>
      <c r="EY282">
        <f t="shared" si="1202"/>
        <v>0</v>
      </c>
      <c r="EZ282">
        <f t="shared" ref="EZ282:FI282" si="1692">IF(EZ$218,EZ177,0)</f>
        <v>0</v>
      </c>
      <c r="FA282">
        <f t="shared" si="1692"/>
        <v>0</v>
      </c>
      <c r="FB282">
        <f t="shared" si="1692"/>
        <v>0</v>
      </c>
      <c r="FC282">
        <f t="shared" si="1692"/>
        <v>0</v>
      </c>
      <c r="FD282">
        <f t="shared" si="1692"/>
        <v>0</v>
      </c>
      <c r="FE282">
        <f t="shared" si="1692"/>
        <v>0</v>
      </c>
      <c r="FF282">
        <f t="shared" si="1692"/>
        <v>0</v>
      </c>
      <c r="FG282">
        <f t="shared" si="1692"/>
        <v>0</v>
      </c>
      <c r="FH282">
        <f t="shared" si="1692"/>
        <v>0</v>
      </c>
      <c r="FI282">
        <f t="shared" si="1692"/>
        <v>0</v>
      </c>
      <c r="FJ282">
        <f t="shared" si="1204"/>
        <v>0</v>
      </c>
      <c r="FK282">
        <f t="shared" si="1205"/>
        <v>0</v>
      </c>
      <c r="FL282">
        <f t="shared" si="1413"/>
        <v>0</v>
      </c>
      <c r="FM282">
        <f t="shared" si="1234"/>
        <v>0</v>
      </c>
      <c r="FN282">
        <f t="shared" si="1207"/>
        <v>0</v>
      </c>
      <c r="FO282">
        <f t="shared" si="1208"/>
        <v>0</v>
      </c>
      <c r="FP282">
        <f t="shared" si="1209"/>
        <v>0</v>
      </c>
      <c r="FQ282">
        <f t="shared" si="1210"/>
        <v>0</v>
      </c>
      <c r="FR282">
        <f t="shared" si="1211"/>
        <v>0</v>
      </c>
      <c r="FS282">
        <f t="shared" si="1212"/>
        <v>0</v>
      </c>
      <c r="FT282">
        <f t="shared" si="1213"/>
        <v>0</v>
      </c>
      <c r="FU282">
        <f t="shared" si="1214"/>
        <v>0</v>
      </c>
      <c r="FV282">
        <f t="shared" si="1215"/>
        <v>0</v>
      </c>
      <c r="FW282">
        <f t="shared" si="1216"/>
        <v>0</v>
      </c>
      <c r="FX282">
        <f t="shared" si="1414"/>
        <v>0</v>
      </c>
      <c r="FY282">
        <f t="shared" si="1235"/>
        <v>0</v>
      </c>
      <c r="FZ282">
        <f t="shared" si="1218"/>
        <v>0</v>
      </c>
      <c r="GA282">
        <f t="shared" si="1219"/>
        <v>0</v>
      </c>
      <c r="GB282">
        <f t="shared" si="1220"/>
        <v>0</v>
      </c>
      <c r="GC282">
        <f t="shared" si="1221"/>
        <v>0</v>
      </c>
    </row>
    <row r="283" spans="1:185" x14ac:dyDescent="0.2">
      <c r="A283" s="8" t="str">
        <f t="shared" si="1311"/>
        <v/>
      </c>
      <c r="B283" s="8">
        <f t="shared" si="1312"/>
        <v>0</v>
      </c>
      <c r="C283" s="8">
        <f t="shared" si="1313"/>
        <v>0</v>
      </c>
      <c r="D283" s="8">
        <f t="shared" si="1314"/>
        <v>0</v>
      </c>
      <c r="E283" s="8">
        <f t="shared" si="1486"/>
        <v>0</v>
      </c>
      <c r="F283" s="8">
        <f t="shared" si="1384"/>
        <v>0</v>
      </c>
      <c r="G283" s="8">
        <f t="shared" si="1427"/>
        <v>0</v>
      </c>
      <c r="H283" s="8">
        <f t="shared" si="1428"/>
        <v>0</v>
      </c>
      <c r="I283" s="8">
        <f t="shared" si="1429"/>
        <v>0</v>
      </c>
      <c r="J283" s="8">
        <f t="shared" si="1430"/>
        <v>0</v>
      </c>
      <c r="K283" s="8">
        <f t="shared" si="1431"/>
        <v>0</v>
      </c>
      <c r="L283">
        <f t="shared" si="1320"/>
        <v>0</v>
      </c>
      <c r="M283">
        <f t="shared" si="1321"/>
        <v>0</v>
      </c>
      <c r="N283">
        <f t="shared" si="1322"/>
        <v>0</v>
      </c>
      <c r="O283">
        <f t="shared" si="1323"/>
        <v>0</v>
      </c>
      <c r="P283">
        <f t="shared" si="1324"/>
        <v>0</v>
      </c>
      <c r="Q283">
        <f t="shared" si="1325"/>
        <v>0</v>
      </c>
      <c r="R283">
        <f t="shared" si="1326"/>
        <v>0</v>
      </c>
      <c r="S283">
        <f t="shared" si="1327"/>
        <v>0</v>
      </c>
      <c r="T283">
        <f t="shared" si="1328"/>
        <v>0</v>
      </c>
      <c r="U283">
        <f t="shared" si="1329"/>
        <v>0</v>
      </c>
      <c r="V283">
        <f>IF(V$230,LandEmiss!AF178,0)</f>
        <v>0</v>
      </c>
      <c r="W283">
        <f>IF(W$230,LandEmiss!AG178,0)</f>
        <v>0</v>
      </c>
      <c r="X283">
        <f>IF(X$230,LandEmiss!AH178,0)</f>
        <v>0</v>
      </c>
      <c r="Y283">
        <f>IF(Y$230,LandEmiss!AI178,0)</f>
        <v>0</v>
      </c>
      <c r="Z283">
        <f>IF(Z$230,LandEmiss!AJ178,0)</f>
        <v>0</v>
      </c>
      <c r="AA283">
        <f>IF(AA$230,LandEmiss!AK178,0)</f>
        <v>0</v>
      </c>
      <c r="AB283">
        <f>IF(AB$230,LandEmiss!AL178,0)</f>
        <v>0</v>
      </c>
      <c r="AC283">
        <f>IF(AC$230,LandEmiss!AM178,0)</f>
        <v>0</v>
      </c>
      <c r="AD283">
        <f>IF(AD$230,LandEmiss!AN178,0)</f>
        <v>0</v>
      </c>
      <c r="AE283">
        <f>IF(AE$230,LandEmiss!AO178,0)</f>
        <v>0</v>
      </c>
      <c r="AF283">
        <f t="shared" ref="AF283:AO283" si="1693">IF(AF$230,AF178,0)</f>
        <v>0</v>
      </c>
      <c r="AG283">
        <f t="shared" si="1693"/>
        <v>0</v>
      </c>
      <c r="AH283">
        <f t="shared" si="1693"/>
        <v>0</v>
      </c>
      <c r="AI283">
        <f t="shared" si="1693"/>
        <v>0</v>
      </c>
      <c r="AJ283">
        <f t="shared" si="1693"/>
        <v>0</v>
      </c>
      <c r="AK283">
        <f t="shared" si="1693"/>
        <v>0</v>
      </c>
      <c r="AL283">
        <f t="shared" si="1693"/>
        <v>0</v>
      </c>
      <c r="AM283">
        <f t="shared" si="1693"/>
        <v>0</v>
      </c>
      <c r="AN283">
        <f t="shared" si="1693"/>
        <v>0</v>
      </c>
      <c r="AO283">
        <f t="shared" si="1693"/>
        <v>0</v>
      </c>
      <c r="AP283">
        <f t="shared" si="1331"/>
        <v>0</v>
      </c>
      <c r="AQ283">
        <f t="shared" si="1332"/>
        <v>0</v>
      </c>
      <c r="AR283">
        <f t="shared" si="1333"/>
        <v>0</v>
      </c>
      <c r="AS283">
        <f t="shared" si="1334"/>
        <v>0</v>
      </c>
      <c r="AT283">
        <f t="shared" si="1335"/>
        <v>0</v>
      </c>
      <c r="AU283">
        <f t="shared" si="1336"/>
        <v>0</v>
      </c>
      <c r="AV283">
        <f t="shared" si="1337"/>
        <v>0</v>
      </c>
      <c r="AW283">
        <f t="shared" si="1338"/>
        <v>0</v>
      </c>
      <c r="AX283">
        <f t="shared" si="1339"/>
        <v>0</v>
      </c>
      <c r="AY283">
        <f t="shared" si="1340"/>
        <v>0</v>
      </c>
      <c r="AZ283">
        <f t="shared" si="1341"/>
        <v>0</v>
      </c>
      <c r="BA283">
        <f t="shared" si="1342"/>
        <v>0</v>
      </c>
      <c r="BB283">
        <f t="shared" si="1343"/>
        <v>0</v>
      </c>
      <c r="BC283">
        <f t="shared" si="1344"/>
        <v>0</v>
      </c>
      <c r="BD283">
        <f t="shared" si="1345"/>
        <v>0</v>
      </c>
      <c r="BE283">
        <f t="shared" si="1346"/>
        <v>0</v>
      </c>
      <c r="BF283">
        <f t="shared" si="1347"/>
        <v>0</v>
      </c>
      <c r="BG283">
        <f t="shared" si="1348"/>
        <v>0</v>
      </c>
      <c r="BH283">
        <f t="shared" si="1488"/>
        <v>0</v>
      </c>
      <c r="BI283">
        <f t="shared" si="1387"/>
        <v>0</v>
      </c>
      <c r="BJ283" s="8" t="str">
        <f>Hidden!$CC54</f>
        <v/>
      </c>
      <c r="BK283">
        <f t="shared" ref="BK283:BT283" si="1694">IF(BK$230,CP178,0)</f>
        <v>0</v>
      </c>
      <c r="BL283">
        <f t="shared" si="1694"/>
        <v>0</v>
      </c>
      <c r="BM283">
        <f t="shared" si="1694"/>
        <v>0</v>
      </c>
      <c r="BN283">
        <f t="shared" si="1694"/>
        <v>0</v>
      </c>
      <c r="BO283">
        <f t="shared" si="1694"/>
        <v>0</v>
      </c>
      <c r="BP283">
        <f t="shared" si="1694"/>
        <v>0</v>
      </c>
      <c r="BQ283">
        <f t="shared" si="1694"/>
        <v>0</v>
      </c>
      <c r="BR283">
        <f t="shared" si="1694"/>
        <v>0</v>
      </c>
      <c r="BS283">
        <f t="shared" si="1694"/>
        <v>0</v>
      </c>
      <c r="BT283">
        <f t="shared" si="1694"/>
        <v>0</v>
      </c>
      <c r="BU283">
        <f t="shared" ref="BU283:CD283" si="1695">IF(BU$230,CP178,0)</f>
        <v>0</v>
      </c>
      <c r="BV283">
        <f t="shared" si="1695"/>
        <v>0</v>
      </c>
      <c r="BW283">
        <f t="shared" si="1695"/>
        <v>0</v>
      </c>
      <c r="BX283">
        <f t="shared" si="1695"/>
        <v>0</v>
      </c>
      <c r="BY283">
        <f t="shared" si="1695"/>
        <v>0</v>
      </c>
      <c r="BZ283">
        <f t="shared" si="1695"/>
        <v>0</v>
      </c>
      <c r="CA283">
        <f t="shared" si="1695"/>
        <v>0</v>
      </c>
      <c r="CB283">
        <f t="shared" si="1695"/>
        <v>0</v>
      </c>
      <c r="CC283">
        <f t="shared" si="1695"/>
        <v>0</v>
      </c>
      <c r="CD283">
        <f t="shared" si="1695"/>
        <v>0</v>
      </c>
      <c r="CE283">
        <f t="shared" si="1352"/>
        <v>0</v>
      </c>
      <c r="CF283">
        <f t="shared" si="1353"/>
        <v>0</v>
      </c>
      <c r="CG283">
        <f t="shared" si="1354"/>
        <v>0</v>
      </c>
      <c r="CH283">
        <f t="shared" si="1355"/>
        <v>0</v>
      </c>
      <c r="CI283">
        <f t="shared" si="1356"/>
        <v>0</v>
      </c>
      <c r="CJ283">
        <f t="shared" si="1491"/>
        <v>0</v>
      </c>
      <c r="CK283">
        <f t="shared" si="1390"/>
        <v>0</v>
      </c>
      <c r="CL283">
        <f t="shared" si="1358"/>
        <v>0</v>
      </c>
      <c r="CM283">
        <f t="shared" si="1359"/>
        <v>0</v>
      </c>
      <c r="CN283">
        <f t="shared" si="1360"/>
        <v>0</v>
      </c>
      <c r="CO283">
        <f t="shared" ref="CO283:CX283" si="1696">IF(CO$230,CP178,0)</f>
        <v>0</v>
      </c>
      <c r="CP283">
        <f t="shared" si="1696"/>
        <v>0</v>
      </c>
      <c r="CQ283">
        <f t="shared" si="1696"/>
        <v>0</v>
      </c>
      <c r="CR283">
        <f t="shared" si="1696"/>
        <v>0</v>
      </c>
      <c r="CS283">
        <f t="shared" si="1696"/>
        <v>0</v>
      </c>
      <c r="CT283">
        <f t="shared" si="1696"/>
        <v>0</v>
      </c>
      <c r="CU283">
        <f t="shared" si="1696"/>
        <v>0</v>
      </c>
      <c r="CV283">
        <f t="shared" si="1696"/>
        <v>0</v>
      </c>
      <c r="CW283">
        <f t="shared" si="1696"/>
        <v>0</v>
      </c>
      <c r="CX283">
        <f t="shared" si="1696"/>
        <v>0</v>
      </c>
      <c r="CY283">
        <f t="shared" si="1362"/>
        <v>0</v>
      </c>
      <c r="CZ283">
        <f t="shared" si="1363"/>
        <v>0</v>
      </c>
      <c r="DA283">
        <f t="shared" si="1364"/>
        <v>0</v>
      </c>
      <c r="DB283">
        <f t="shared" si="1365"/>
        <v>0</v>
      </c>
      <c r="DC283">
        <f t="shared" si="1366"/>
        <v>0</v>
      </c>
      <c r="DD283">
        <f t="shared" si="1367"/>
        <v>0</v>
      </c>
      <c r="DE283">
        <f t="shared" si="1368"/>
        <v>0</v>
      </c>
      <c r="DF283">
        <f t="shared" si="1369"/>
        <v>0</v>
      </c>
      <c r="DG283">
        <f t="shared" si="1370"/>
        <v>0</v>
      </c>
      <c r="DH283">
        <f t="shared" si="1371"/>
        <v>0</v>
      </c>
      <c r="DI283">
        <f t="shared" si="1372"/>
        <v>0</v>
      </c>
      <c r="DJ283">
        <f t="shared" si="1373"/>
        <v>0</v>
      </c>
      <c r="DK283">
        <f t="shared" si="1374"/>
        <v>0</v>
      </c>
      <c r="DL283">
        <f t="shared" si="1375"/>
        <v>0</v>
      </c>
      <c r="DM283">
        <f t="shared" si="1376"/>
        <v>0</v>
      </c>
      <c r="DN283">
        <f t="shared" si="1377"/>
        <v>0</v>
      </c>
      <c r="DO283">
        <f t="shared" si="1378"/>
        <v>0</v>
      </c>
      <c r="DP283">
        <f t="shared" si="1379"/>
        <v>0</v>
      </c>
      <c r="DQ283">
        <f t="shared" si="1380"/>
        <v>0</v>
      </c>
      <c r="DR283">
        <f t="shared" si="1381"/>
        <v>0</v>
      </c>
      <c r="DT283" s="77"/>
      <c r="DU283" s="8" t="str">
        <f>Hidden!$CG66</f>
        <v/>
      </c>
      <c r="DV283">
        <f t="shared" si="1176"/>
        <v>0</v>
      </c>
      <c r="DW283">
        <f t="shared" si="1177"/>
        <v>0</v>
      </c>
      <c r="DX283">
        <f t="shared" si="1178"/>
        <v>0</v>
      </c>
      <c r="DY283">
        <f t="shared" si="1179"/>
        <v>0</v>
      </c>
      <c r="DZ283">
        <f t="shared" si="1180"/>
        <v>0</v>
      </c>
      <c r="EA283">
        <f t="shared" si="1181"/>
        <v>0</v>
      </c>
      <c r="EB283">
        <f t="shared" si="1182"/>
        <v>0</v>
      </c>
      <c r="EC283">
        <f t="shared" si="1183"/>
        <v>0</v>
      </c>
      <c r="ED283">
        <f t="shared" si="1184"/>
        <v>0</v>
      </c>
      <c r="EE283">
        <f t="shared" si="1185"/>
        <v>0</v>
      </c>
      <c r="EF283">
        <f t="shared" si="1186"/>
        <v>0</v>
      </c>
      <c r="EG283">
        <f t="shared" si="1187"/>
        <v>0</v>
      </c>
      <c r="EH283">
        <f t="shared" si="1188"/>
        <v>0</v>
      </c>
      <c r="EI283">
        <f t="shared" si="1189"/>
        <v>0</v>
      </c>
      <c r="EJ283">
        <f t="shared" si="1190"/>
        <v>0</v>
      </c>
      <c r="EK283">
        <f t="shared" si="1191"/>
        <v>0</v>
      </c>
      <c r="EL283">
        <f t="shared" si="1192"/>
        <v>0</v>
      </c>
      <c r="EM283">
        <f t="shared" si="1193"/>
        <v>0</v>
      </c>
      <c r="EN283">
        <f t="shared" si="1194"/>
        <v>0</v>
      </c>
      <c r="EO283">
        <f t="shared" si="1195"/>
        <v>0</v>
      </c>
      <c r="EP283">
        <f t="shared" si="1196"/>
        <v>0</v>
      </c>
      <c r="EQ283">
        <f t="shared" si="1197"/>
        <v>0</v>
      </c>
      <c r="ER283">
        <f t="shared" si="1613"/>
        <v>0</v>
      </c>
      <c r="ES283">
        <f t="shared" ref="ES283:ET283" si="1697">IF(ES$218,FC178,0)</f>
        <v>0</v>
      </c>
      <c r="ET283">
        <f t="shared" si="1697"/>
        <v>0</v>
      </c>
      <c r="EU283">
        <f t="shared" si="1199"/>
        <v>0</v>
      </c>
      <c r="EV283">
        <f t="shared" si="1411"/>
        <v>0</v>
      </c>
      <c r="EW283">
        <f t="shared" si="1232"/>
        <v>0</v>
      </c>
      <c r="EX283">
        <f t="shared" si="1201"/>
        <v>0</v>
      </c>
      <c r="EY283">
        <f t="shared" si="1202"/>
        <v>0</v>
      </c>
      <c r="EZ283">
        <f t="shared" ref="EZ283:FI283" si="1698">IF(EZ$218,EZ178,0)</f>
        <v>0</v>
      </c>
      <c r="FA283">
        <f t="shared" si="1698"/>
        <v>0</v>
      </c>
      <c r="FB283">
        <f t="shared" si="1698"/>
        <v>0</v>
      </c>
      <c r="FC283">
        <f t="shared" si="1698"/>
        <v>0</v>
      </c>
      <c r="FD283">
        <f t="shared" si="1698"/>
        <v>0</v>
      </c>
      <c r="FE283">
        <f t="shared" si="1698"/>
        <v>0</v>
      </c>
      <c r="FF283">
        <f t="shared" si="1698"/>
        <v>0</v>
      </c>
      <c r="FG283">
        <f t="shared" si="1698"/>
        <v>0</v>
      </c>
      <c r="FH283">
        <f t="shared" si="1698"/>
        <v>0</v>
      </c>
      <c r="FI283">
        <f t="shared" si="1698"/>
        <v>0</v>
      </c>
      <c r="FJ283">
        <f t="shared" si="1204"/>
        <v>0</v>
      </c>
      <c r="FK283">
        <f t="shared" si="1205"/>
        <v>0</v>
      </c>
      <c r="FL283">
        <f t="shared" si="1413"/>
        <v>0</v>
      </c>
      <c r="FM283">
        <f t="shared" si="1234"/>
        <v>0</v>
      </c>
      <c r="FN283">
        <f t="shared" si="1207"/>
        <v>0</v>
      </c>
      <c r="FO283">
        <f t="shared" si="1208"/>
        <v>0</v>
      </c>
      <c r="FP283">
        <f t="shared" si="1209"/>
        <v>0</v>
      </c>
      <c r="FQ283">
        <f t="shared" si="1210"/>
        <v>0</v>
      </c>
      <c r="FR283">
        <f t="shared" si="1211"/>
        <v>0</v>
      </c>
      <c r="FS283">
        <f t="shared" si="1212"/>
        <v>0</v>
      </c>
      <c r="FT283">
        <f t="shared" si="1213"/>
        <v>0</v>
      </c>
      <c r="FU283">
        <f t="shared" si="1214"/>
        <v>0</v>
      </c>
      <c r="FV283">
        <f t="shared" si="1215"/>
        <v>0</v>
      </c>
      <c r="FW283">
        <f t="shared" si="1216"/>
        <v>0</v>
      </c>
      <c r="FX283">
        <f t="shared" si="1414"/>
        <v>0</v>
      </c>
      <c r="FY283">
        <f t="shared" si="1235"/>
        <v>0</v>
      </c>
      <c r="FZ283">
        <f t="shared" si="1218"/>
        <v>0</v>
      </c>
      <c r="GA283">
        <f t="shared" si="1219"/>
        <v>0</v>
      </c>
      <c r="GB283">
        <f t="shared" si="1220"/>
        <v>0</v>
      </c>
      <c r="GC283">
        <f t="shared" si="1221"/>
        <v>0</v>
      </c>
    </row>
    <row r="284" spans="1:185" x14ac:dyDescent="0.2">
      <c r="A284" s="8" t="str">
        <f t="shared" si="1311"/>
        <v/>
      </c>
      <c r="B284" s="8">
        <f t="shared" si="1312"/>
        <v>0</v>
      </c>
      <c r="C284" s="8">
        <f t="shared" si="1313"/>
        <v>0</v>
      </c>
      <c r="D284" s="8">
        <f t="shared" si="1314"/>
        <v>0</v>
      </c>
      <c r="E284" s="8">
        <f t="shared" si="1486"/>
        <v>0</v>
      </c>
      <c r="F284" s="8">
        <f t="shared" si="1384"/>
        <v>0</v>
      </c>
      <c r="G284" s="8">
        <f t="shared" si="1427"/>
        <v>0</v>
      </c>
      <c r="H284" s="8">
        <f t="shared" si="1428"/>
        <v>0</v>
      </c>
      <c r="I284" s="8">
        <f t="shared" si="1429"/>
        <v>0</v>
      </c>
      <c r="J284" s="8">
        <f t="shared" si="1430"/>
        <v>0</v>
      </c>
      <c r="K284" s="8">
        <f t="shared" si="1431"/>
        <v>0</v>
      </c>
      <c r="L284">
        <f t="shared" si="1320"/>
        <v>0</v>
      </c>
      <c r="M284">
        <f t="shared" si="1321"/>
        <v>0</v>
      </c>
      <c r="N284">
        <f t="shared" si="1322"/>
        <v>0</v>
      </c>
      <c r="O284">
        <f t="shared" si="1323"/>
        <v>0</v>
      </c>
      <c r="P284">
        <f t="shared" si="1324"/>
        <v>0</v>
      </c>
      <c r="Q284">
        <f t="shared" si="1325"/>
        <v>0</v>
      </c>
      <c r="R284">
        <f t="shared" si="1326"/>
        <v>0</v>
      </c>
      <c r="S284">
        <f t="shared" si="1327"/>
        <v>0</v>
      </c>
      <c r="T284">
        <f t="shared" si="1328"/>
        <v>0</v>
      </c>
      <c r="U284">
        <f t="shared" si="1329"/>
        <v>0</v>
      </c>
      <c r="V284">
        <f>IF(V$230,LandEmiss!AF179,0)</f>
        <v>0</v>
      </c>
      <c r="W284">
        <f>IF(W$230,LandEmiss!AG179,0)</f>
        <v>0</v>
      </c>
      <c r="X284">
        <f>IF(X$230,LandEmiss!AH179,0)</f>
        <v>0</v>
      </c>
      <c r="Y284">
        <f>IF(Y$230,LandEmiss!AI179,0)</f>
        <v>0</v>
      </c>
      <c r="Z284">
        <f>IF(Z$230,LandEmiss!AJ179,0)</f>
        <v>0</v>
      </c>
      <c r="AA284">
        <f>IF(AA$230,LandEmiss!AK179,0)</f>
        <v>0</v>
      </c>
      <c r="AB284">
        <f>IF(AB$230,LandEmiss!AL179,0)</f>
        <v>0</v>
      </c>
      <c r="AC284">
        <f>IF(AC$230,LandEmiss!AM179,0)</f>
        <v>0</v>
      </c>
      <c r="AD284">
        <f>IF(AD$230,LandEmiss!AN179,0)</f>
        <v>0</v>
      </c>
      <c r="AE284">
        <f>IF(AE$230,LandEmiss!AO179,0)</f>
        <v>0</v>
      </c>
      <c r="AF284">
        <f t="shared" ref="AF284:AO284" si="1699">IF(AF$230,AF179,0)</f>
        <v>0</v>
      </c>
      <c r="AG284">
        <f t="shared" si="1699"/>
        <v>0</v>
      </c>
      <c r="AH284">
        <f t="shared" si="1699"/>
        <v>0</v>
      </c>
      <c r="AI284">
        <f t="shared" si="1699"/>
        <v>0</v>
      </c>
      <c r="AJ284">
        <f t="shared" si="1699"/>
        <v>0</v>
      </c>
      <c r="AK284">
        <f t="shared" si="1699"/>
        <v>0</v>
      </c>
      <c r="AL284">
        <f t="shared" si="1699"/>
        <v>0</v>
      </c>
      <c r="AM284">
        <f t="shared" si="1699"/>
        <v>0</v>
      </c>
      <c r="AN284">
        <f t="shared" si="1699"/>
        <v>0</v>
      </c>
      <c r="AO284">
        <f t="shared" si="1699"/>
        <v>0</v>
      </c>
      <c r="AP284">
        <f t="shared" si="1331"/>
        <v>0</v>
      </c>
      <c r="AQ284">
        <f t="shared" si="1332"/>
        <v>0</v>
      </c>
      <c r="AR284">
        <f t="shared" si="1333"/>
        <v>0</v>
      </c>
      <c r="AS284">
        <f t="shared" si="1334"/>
        <v>0</v>
      </c>
      <c r="AT284">
        <f t="shared" si="1335"/>
        <v>0</v>
      </c>
      <c r="AU284">
        <f t="shared" si="1336"/>
        <v>0</v>
      </c>
      <c r="AV284">
        <f t="shared" si="1337"/>
        <v>0</v>
      </c>
      <c r="AW284">
        <f t="shared" si="1338"/>
        <v>0</v>
      </c>
      <c r="AX284">
        <f t="shared" si="1339"/>
        <v>0</v>
      </c>
      <c r="AY284">
        <f t="shared" si="1340"/>
        <v>0</v>
      </c>
      <c r="AZ284">
        <f t="shared" si="1341"/>
        <v>0</v>
      </c>
      <c r="BA284">
        <f t="shared" si="1342"/>
        <v>0</v>
      </c>
      <c r="BB284">
        <f t="shared" si="1343"/>
        <v>0</v>
      </c>
      <c r="BC284">
        <f t="shared" si="1344"/>
        <v>0</v>
      </c>
      <c r="BD284">
        <f t="shared" si="1345"/>
        <v>0</v>
      </c>
      <c r="BE284">
        <f t="shared" si="1346"/>
        <v>0</v>
      </c>
      <c r="BF284">
        <f t="shared" si="1347"/>
        <v>0</v>
      </c>
      <c r="BG284">
        <f t="shared" si="1348"/>
        <v>0</v>
      </c>
      <c r="BH284">
        <f t="shared" si="1488"/>
        <v>0</v>
      </c>
      <c r="BI284">
        <f t="shared" si="1387"/>
        <v>0</v>
      </c>
      <c r="BJ284" s="8" t="str">
        <f>Hidden!$CC55</f>
        <v/>
      </c>
      <c r="BK284">
        <f t="shared" ref="BK284:BT284" si="1700">IF(BK$230,CP179,0)</f>
        <v>0</v>
      </c>
      <c r="BL284">
        <f t="shared" si="1700"/>
        <v>0</v>
      </c>
      <c r="BM284">
        <f t="shared" si="1700"/>
        <v>0</v>
      </c>
      <c r="BN284">
        <f t="shared" si="1700"/>
        <v>0</v>
      </c>
      <c r="BO284">
        <f t="shared" si="1700"/>
        <v>0</v>
      </c>
      <c r="BP284">
        <f t="shared" si="1700"/>
        <v>0</v>
      </c>
      <c r="BQ284">
        <f t="shared" si="1700"/>
        <v>0</v>
      </c>
      <c r="BR284">
        <f t="shared" si="1700"/>
        <v>0</v>
      </c>
      <c r="BS284">
        <f t="shared" si="1700"/>
        <v>0</v>
      </c>
      <c r="BT284">
        <f t="shared" si="1700"/>
        <v>0</v>
      </c>
      <c r="BU284">
        <f t="shared" ref="BU284:CD284" si="1701">IF(BU$230,CP179,0)</f>
        <v>0</v>
      </c>
      <c r="BV284">
        <f t="shared" si="1701"/>
        <v>0</v>
      </c>
      <c r="BW284">
        <f t="shared" si="1701"/>
        <v>0</v>
      </c>
      <c r="BX284">
        <f t="shared" si="1701"/>
        <v>0</v>
      </c>
      <c r="BY284">
        <f t="shared" si="1701"/>
        <v>0</v>
      </c>
      <c r="BZ284">
        <f t="shared" si="1701"/>
        <v>0</v>
      </c>
      <c r="CA284">
        <f t="shared" si="1701"/>
        <v>0</v>
      </c>
      <c r="CB284">
        <f t="shared" si="1701"/>
        <v>0</v>
      </c>
      <c r="CC284">
        <f t="shared" si="1701"/>
        <v>0</v>
      </c>
      <c r="CD284">
        <f t="shared" si="1701"/>
        <v>0</v>
      </c>
      <c r="CE284">
        <f t="shared" si="1352"/>
        <v>0</v>
      </c>
      <c r="CF284">
        <f t="shared" si="1353"/>
        <v>0</v>
      </c>
      <c r="CG284">
        <f t="shared" si="1354"/>
        <v>0</v>
      </c>
      <c r="CH284">
        <f t="shared" si="1355"/>
        <v>0</v>
      </c>
      <c r="CI284">
        <f t="shared" si="1356"/>
        <v>0</v>
      </c>
      <c r="CJ284">
        <f t="shared" si="1491"/>
        <v>0</v>
      </c>
      <c r="CK284">
        <f t="shared" si="1390"/>
        <v>0</v>
      </c>
      <c r="CL284">
        <f t="shared" si="1358"/>
        <v>0</v>
      </c>
      <c r="CM284">
        <f t="shared" si="1359"/>
        <v>0</v>
      </c>
      <c r="CN284">
        <f t="shared" si="1360"/>
        <v>0</v>
      </c>
      <c r="CO284">
        <f t="shared" ref="CO284:CX284" si="1702">IF(CO$230,CP179,0)</f>
        <v>0</v>
      </c>
      <c r="CP284">
        <f t="shared" si="1702"/>
        <v>0</v>
      </c>
      <c r="CQ284">
        <f t="shared" si="1702"/>
        <v>0</v>
      </c>
      <c r="CR284">
        <f t="shared" si="1702"/>
        <v>0</v>
      </c>
      <c r="CS284">
        <f t="shared" si="1702"/>
        <v>0</v>
      </c>
      <c r="CT284">
        <f t="shared" si="1702"/>
        <v>0</v>
      </c>
      <c r="CU284">
        <f t="shared" si="1702"/>
        <v>0</v>
      </c>
      <c r="CV284">
        <f t="shared" si="1702"/>
        <v>0</v>
      </c>
      <c r="CW284">
        <f t="shared" si="1702"/>
        <v>0</v>
      </c>
      <c r="CX284">
        <f t="shared" si="1702"/>
        <v>0</v>
      </c>
      <c r="CY284">
        <f t="shared" si="1362"/>
        <v>0</v>
      </c>
      <c r="CZ284">
        <f t="shared" si="1363"/>
        <v>0</v>
      </c>
      <c r="DA284">
        <f t="shared" si="1364"/>
        <v>0</v>
      </c>
      <c r="DB284">
        <f t="shared" si="1365"/>
        <v>0</v>
      </c>
      <c r="DC284">
        <f t="shared" si="1366"/>
        <v>0</v>
      </c>
      <c r="DD284">
        <f t="shared" si="1367"/>
        <v>0</v>
      </c>
      <c r="DE284">
        <f t="shared" si="1368"/>
        <v>0</v>
      </c>
      <c r="DF284">
        <f t="shared" si="1369"/>
        <v>0</v>
      </c>
      <c r="DG284">
        <f t="shared" si="1370"/>
        <v>0</v>
      </c>
      <c r="DH284">
        <f t="shared" si="1371"/>
        <v>0</v>
      </c>
      <c r="DI284">
        <f t="shared" si="1372"/>
        <v>0</v>
      </c>
      <c r="DJ284">
        <f t="shared" si="1373"/>
        <v>0</v>
      </c>
      <c r="DK284">
        <f t="shared" si="1374"/>
        <v>0</v>
      </c>
      <c r="DL284">
        <f t="shared" si="1375"/>
        <v>0</v>
      </c>
      <c r="DM284">
        <f t="shared" si="1376"/>
        <v>0</v>
      </c>
      <c r="DN284">
        <f t="shared" si="1377"/>
        <v>0</v>
      </c>
      <c r="DO284">
        <f t="shared" si="1378"/>
        <v>0</v>
      </c>
      <c r="DP284">
        <f t="shared" si="1379"/>
        <v>0</v>
      </c>
      <c r="DQ284">
        <f t="shared" si="1380"/>
        <v>0</v>
      </c>
      <c r="DR284">
        <f t="shared" si="1381"/>
        <v>0</v>
      </c>
      <c r="DT284" s="77"/>
      <c r="DU284" s="8" t="str">
        <f>Hidden!$CG67</f>
        <v/>
      </c>
      <c r="DV284">
        <f t="shared" si="1176"/>
        <v>0</v>
      </c>
      <c r="DW284">
        <f t="shared" si="1177"/>
        <v>0</v>
      </c>
      <c r="DX284">
        <f t="shared" si="1178"/>
        <v>0</v>
      </c>
      <c r="DY284">
        <f t="shared" si="1179"/>
        <v>0</v>
      </c>
      <c r="DZ284">
        <f t="shared" si="1180"/>
        <v>0</v>
      </c>
      <c r="EA284">
        <f t="shared" si="1181"/>
        <v>0</v>
      </c>
      <c r="EB284">
        <f t="shared" si="1182"/>
        <v>0</v>
      </c>
      <c r="EC284">
        <f t="shared" si="1183"/>
        <v>0</v>
      </c>
      <c r="ED284">
        <f t="shared" si="1184"/>
        <v>0</v>
      </c>
      <c r="EE284">
        <f t="shared" si="1185"/>
        <v>0</v>
      </c>
      <c r="EF284">
        <f t="shared" si="1186"/>
        <v>0</v>
      </c>
      <c r="EG284">
        <f t="shared" si="1187"/>
        <v>0</v>
      </c>
      <c r="EH284">
        <f t="shared" si="1188"/>
        <v>0</v>
      </c>
      <c r="EI284">
        <f t="shared" si="1189"/>
        <v>0</v>
      </c>
      <c r="EJ284">
        <f t="shared" si="1190"/>
        <v>0</v>
      </c>
      <c r="EK284">
        <f t="shared" si="1191"/>
        <v>0</v>
      </c>
      <c r="EL284">
        <f t="shared" si="1192"/>
        <v>0</v>
      </c>
      <c r="EM284">
        <f t="shared" si="1193"/>
        <v>0</v>
      </c>
      <c r="EN284">
        <f t="shared" si="1194"/>
        <v>0</v>
      </c>
      <c r="EO284">
        <f t="shared" si="1195"/>
        <v>0</v>
      </c>
      <c r="EP284">
        <f t="shared" si="1196"/>
        <v>0</v>
      </c>
      <c r="EQ284">
        <f t="shared" si="1197"/>
        <v>0</v>
      </c>
      <c r="ER284">
        <f t="shared" si="1613"/>
        <v>0</v>
      </c>
      <c r="ES284">
        <f t="shared" ref="ES284:ET284" si="1703">IF(ES$218,FC179,0)</f>
        <v>0</v>
      </c>
      <c r="ET284">
        <f t="shared" si="1703"/>
        <v>0</v>
      </c>
      <c r="EU284">
        <f t="shared" si="1199"/>
        <v>0</v>
      </c>
      <c r="EV284">
        <f t="shared" si="1411"/>
        <v>0</v>
      </c>
      <c r="EW284">
        <f t="shared" si="1232"/>
        <v>0</v>
      </c>
      <c r="EX284">
        <f t="shared" si="1201"/>
        <v>0</v>
      </c>
      <c r="EY284">
        <f t="shared" si="1202"/>
        <v>0</v>
      </c>
      <c r="EZ284">
        <f t="shared" ref="EZ284:FI284" si="1704">IF(EZ$218,EZ179,0)</f>
        <v>0</v>
      </c>
      <c r="FA284">
        <f t="shared" si="1704"/>
        <v>0</v>
      </c>
      <c r="FB284">
        <f t="shared" si="1704"/>
        <v>0</v>
      </c>
      <c r="FC284">
        <f t="shared" si="1704"/>
        <v>0</v>
      </c>
      <c r="FD284">
        <f t="shared" si="1704"/>
        <v>0</v>
      </c>
      <c r="FE284">
        <f t="shared" si="1704"/>
        <v>0</v>
      </c>
      <c r="FF284">
        <f t="shared" si="1704"/>
        <v>0</v>
      </c>
      <c r="FG284">
        <f t="shared" si="1704"/>
        <v>0</v>
      </c>
      <c r="FH284">
        <f t="shared" si="1704"/>
        <v>0</v>
      </c>
      <c r="FI284">
        <f t="shared" si="1704"/>
        <v>0</v>
      </c>
      <c r="FJ284">
        <f t="shared" si="1204"/>
        <v>0</v>
      </c>
      <c r="FK284">
        <f t="shared" si="1205"/>
        <v>0</v>
      </c>
      <c r="FL284">
        <f t="shared" si="1413"/>
        <v>0</v>
      </c>
      <c r="FM284">
        <f t="shared" si="1234"/>
        <v>0</v>
      </c>
      <c r="FN284">
        <f t="shared" si="1207"/>
        <v>0</v>
      </c>
      <c r="FO284">
        <f t="shared" si="1208"/>
        <v>0</v>
      </c>
      <c r="FP284">
        <f t="shared" si="1209"/>
        <v>0</v>
      </c>
      <c r="FQ284">
        <f t="shared" si="1210"/>
        <v>0</v>
      </c>
      <c r="FR284">
        <f t="shared" si="1211"/>
        <v>0</v>
      </c>
      <c r="FS284">
        <f t="shared" si="1212"/>
        <v>0</v>
      </c>
      <c r="FT284">
        <f t="shared" si="1213"/>
        <v>0</v>
      </c>
      <c r="FU284">
        <f t="shared" si="1214"/>
        <v>0</v>
      </c>
      <c r="FV284">
        <f t="shared" si="1215"/>
        <v>0</v>
      </c>
      <c r="FW284">
        <f t="shared" si="1216"/>
        <v>0</v>
      </c>
      <c r="FX284">
        <f t="shared" si="1414"/>
        <v>0</v>
      </c>
      <c r="FY284">
        <f t="shared" si="1235"/>
        <v>0</v>
      </c>
      <c r="FZ284">
        <f t="shared" si="1218"/>
        <v>0</v>
      </c>
      <c r="GA284">
        <f t="shared" si="1219"/>
        <v>0</v>
      </c>
      <c r="GB284">
        <f t="shared" si="1220"/>
        <v>0</v>
      </c>
      <c r="GC284">
        <f t="shared" si="1221"/>
        <v>0</v>
      </c>
    </row>
    <row r="285" spans="1:185" x14ac:dyDescent="0.2">
      <c r="A285" s="8" t="str">
        <f t="shared" si="1311"/>
        <v/>
      </c>
      <c r="B285" s="8">
        <f t="shared" si="1312"/>
        <v>0</v>
      </c>
      <c r="C285" s="8">
        <f t="shared" si="1313"/>
        <v>0</v>
      </c>
      <c r="D285" s="8">
        <f t="shared" si="1314"/>
        <v>0</v>
      </c>
      <c r="E285" s="8">
        <f t="shared" si="1486"/>
        <v>0</v>
      </c>
      <c r="F285" s="8">
        <f t="shared" si="1384"/>
        <v>0</v>
      </c>
      <c r="G285" s="8">
        <f t="shared" si="1427"/>
        <v>0</v>
      </c>
      <c r="H285" s="8">
        <f t="shared" si="1428"/>
        <v>0</v>
      </c>
      <c r="I285" s="8">
        <f t="shared" si="1429"/>
        <v>0</v>
      </c>
      <c r="J285" s="8">
        <f t="shared" si="1430"/>
        <v>0</v>
      </c>
      <c r="K285" s="8">
        <f t="shared" si="1431"/>
        <v>0</v>
      </c>
      <c r="L285">
        <f t="shared" si="1320"/>
        <v>0</v>
      </c>
      <c r="M285">
        <f t="shared" si="1321"/>
        <v>0</v>
      </c>
      <c r="N285">
        <f t="shared" si="1322"/>
        <v>0</v>
      </c>
      <c r="O285">
        <f t="shared" si="1323"/>
        <v>0</v>
      </c>
      <c r="P285">
        <f t="shared" si="1324"/>
        <v>0</v>
      </c>
      <c r="Q285">
        <f t="shared" si="1325"/>
        <v>0</v>
      </c>
      <c r="R285">
        <f t="shared" si="1326"/>
        <v>0</v>
      </c>
      <c r="S285">
        <f t="shared" si="1327"/>
        <v>0</v>
      </c>
      <c r="T285">
        <f t="shared" si="1328"/>
        <v>0</v>
      </c>
      <c r="U285">
        <f t="shared" si="1329"/>
        <v>0</v>
      </c>
      <c r="V285">
        <f>IF(V$230,LandEmiss!AF180,0)</f>
        <v>0</v>
      </c>
      <c r="W285">
        <f>IF(W$230,LandEmiss!AG180,0)</f>
        <v>0</v>
      </c>
      <c r="X285">
        <f>IF(X$230,LandEmiss!AH180,0)</f>
        <v>0</v>
      </c>
      <c r="Y285">
        <f>IF(Y$230,LandEmiss!AI180,0)</f>
        <v>0</v>
      </c>
      <c r="Z285">
        <f>IF(Z$230,LandEmiss!AJ180,0)</f>
        <v>0</v>
      </c>
      <c r="AA285">
        <f>IF(AA$230,LandEmiss!AK180,0)</f>
        <v>0</v>
      </c>
      <c r="AB285">
        <f>IF(AB$230,LandEmiss!AL180,0)</f>
        <v>0</v>
      </c>
      <c r="AC285">
        <f>IF(AC$230,LandEmiss!AM180,0)</f>
        <v>0</v>
      </c>
      <c r="AD285">
        <f>IF(AD$230,LandEmiss!AN180,0)</f>
        <v>0</v>
      </c>
      <c r="AE285">
        <f>IF(AE$230,LandEmiss!AO180,0)</f>
        <v>0</v>
      </c>
      <c r="AF285">
        <f t="shared" ref="AF285:AO285" si="1705">IF(AF$230,AF180,0)</f>
        <v>0</v>
      </c>
      <c r="AG285">
        <f t="shared" si="1705"/>
        <v>0</v>
      </c>
      <c r="AH285">
        <f t="shared" si="1705"/>
        <v>0</v>
      </c>
      <c r="AI285">
        <f t="shared" si="1705"/>
        <v>0</v>
      </c>
      <c r="AJ285">
        <f t="shared" si="1705"/>
        <v>0</v>
      </c>
      <c r="AK285">
        <f t="shared" si="1705"/>
        <v>0</v>
      </c>
      <c r="AL285">
        <f t="shared" si="1705"/>
        <v>0</v>
      </c>
      <c r="AM285">
        <f t="shared" si="1705"/>
        <v>0</v>
      </c>
      <c r="AN285">
        <f t="shared" si="1705"/>
        <v>0</v>
      </c>
      <c r="AO285">
        <f t="shared" si="1705"/>
        <v>0</v>
      </c>
      <c r="AP285">
        <f t="shared" si="1331"/>
        <v>0</v>
      </c>
      <c r="AQ285">
        <f t="shared" si="1332"/>
        <v>0</v>
      </c>
      <c r="AR285">
        <f t="shared" si="1333"/>
        <v>0</v>
      </c>
      <c r="AS285">
        <f t="shared" si="1334"/>
        <v>0</v>
      </c>
      <c r="AT285">
        <f t="shared" si="1335"/>
        <v>0</v>
      </c>
      <c r="AU285">
        <f t="shared" si="1336"/>
        <v>0</v>
      </c>
      <c r="AV285">
        <f t="shared" si="1337"/>
        <v>0</v>
      </c>
      <c r="AW285">
        <f t="shared" si="1338"/>
        <v>0</v>
      </c>
      <c r="AX285">
        <f t="shared" si="1339"/>
        <v>0</v>
      </c>
      <c r="AY285">
        <f t="shared" si="1340"/>
        <v>0</v>
      </c>
      <c r="AZ285">
        <f t="shared" si="1341"/>
        <v>0</v>
      </c>
      <c r="BA285">
        <f t="shared" si="1342"/>
        <v>0</v>
      </c>
      <c r="BB285">
        <f t="shared" si="1343"/>
        <v>0</v>
      </c>
      <c r="BC285">
        <f t="shared" si="1344"/>
        <v>0</v>
      </c>
      <c r="BD285">
        <f t="shared" si="1345"/>
        <v>0</v>
      </c>
      <c r="BE285">
        <f t="shared" si="1346"/>
        <v>0</v>
      </c>
      <c r="BF285">
        <f t="shared" si="1347"/>
        <v>0</v>
      </c>
      <c r="BG285">
        <f t="shared" si="1348"/>
        <v>0</v>
      </c>
      <c r="BH285">
        <f t="shared" si="1488"/>
        <v>0</v>
      </c>
      <c r="BI285">
        <f t="shared" si="1387"/>
        <v>0</v>
      </c>
      <c r="BJ285" s="8" t="str">
        <f>Hidden!$CC56</f>
        <v/>
      </c>
      <c r="BK285">
        <f t="shared" ref="BK285:BT285" si="1706">IF(BK$230,CP180,0)</f>
        <v>0</v>
      </c>
      <c r="BL285">
        <f t="shared" si="1706"/>
        <v>0</v>
      </c>
      <c r="BM285">
        <f t="shared" si="1706"/>
        <v>0</v>
      </c>
      <c r="BN285">
        <f t="shared" si="1706"/>
        <v>0</v>
      </c>
      <c r="BO285">
        <f t="shared" si="1706"/>
        <v>0</v>
      </c>
      <c r="BP285">
        <f t="shared" si="1706"/>
        <v>0</v>
      </c>
      <c r="BQ285">
        <f t="shared" si="1706"/>
        <v>0</v>
      </c>
      <c r="BR285">
        <f t="shared" si="1706"/>
        <v>0</v>
      </c>
      <c r="BS285">
        <f t="shared" si="1706"/>
        <v>0</v>
      </c>
      <c r="BT285">
        <f t="shared" si="1706"/>
        <v>0</v>
      </c>
      <c r="BU285">
        <f t="shared" ref="BU285:CD285" si="1707">IF(BU$230,CP180,0)</f>
        <v>0</v>
      </c>
      <c r="BV285">
        <f t="shared" si="1707"/>
        <v>0</v>
      </c>
      <c r="BW285">
        <f t="shared" si="1707"/>
        <v>0</v>
      </c>
      <c r="BX285">
        <f t="shared" si="1707"/>
        <v>0</v>
      </c>
      <c r="BY285">
        <f t="shared" si="1707"/>
        <v>0</v>
      </c>
      <c r="BZ285">
        <f t="shared" si="1707"/>
        <v>0</v>
      </c>
      <c r="CA285">
        <f t="shared" si="1707"/>
        <v>0</v>
      </c>
      <c r="CB285">
        <f t="shared" si="1707"/>
        <v>0</v>
      </c>
      <c r="CC285">
        <f t="shared" si="1707"/>
        <v>0</v>
      </c>
      <c r="CD285">
        <f t="shared" si="1707"/>
        <v>0</v>
      </c>
      <c r="CE285">
        <f t="shared" si="1352"/>
        <v>0</v>
      </c>
      <c r="CF285">
        <f t="shared" si="1353"/>
        <v>0</v>
      </c>
      <c r="CG285">
        <f t="shared" si="1354"/>
        <v>0</v>
      </c>
      <c r="CH285">
        <f t="shared" si="1355"/>
        <v>0</v>
      </c>
      <c r="CI285">
        <f t="shared" si="1356"/>
        <v>0</v>
      </c>
      <c r="CJ285">
        <f t="shared" si="1491"/>
        <v>0</v>
      </c>
      <c r="CK285">
        <f t="shared" si="1390"/>
        <v>0</v>
      </c>
      <c r="CL285">
        <f t="shared" si="1358"/>
        <v>0</v>
      </c>
      <c r="CM285">
        <f t="shared" si="1359"/>
        <v>0</v>
      </c>
      <c r="CN285">
        <f t="shared" si="1360"/>
        <v>0</v>
      </c>
      <c r="CO285">
        <f t="shared" ref="CO285:CX285" si="1708">IF(CO$230,CP180,0)</f>
        <v>0</v>
      </c>
      <c r="CP285">
        <f t="shared" si="1708"/>
        <v>0</v>
      </c>
      <c r="CQ285">
        <f t="shared" si="1708"/>
        <v>0</v>
      </c>
      <c r="CR285">
        <f t="shared" si="1708"/>
        <v>0</v>
      </c>
      <c r="CS285">
        <f t="shared" si="1708"/>
        <v>0</v>
      </c>
      <c r="CT285">
        <f t="shared" si="1708"/>
        <v>0</v>
      </c>
      <c r="CU285">
        <f t="shared" si="1708"/>
        <v>0</v>
      </c>
      <c r="CV285">
        <f t="shared" si="1708"/>
        <v>0</v>
      </c>
      <c r="CW285">
        <f t="shared" si="1708"/>
        <v>0</v>
      </c>
      <c r="CX285">
        <f t="shared" si="1708"/>
        <v>0</v>
      </c>
      <c r="CY285">
        <f t="shared" si="1362"/>
        <v>0</v>
      </c>
      <c r="CZ285">
        <f t="shared" si="1363"/>
        <v>0</v>
      </c>
      <c r="DA285">
        <f t="shared" si="1364"/>
        <v>0</v>
      </c>
      <c r="DB285">
        <f t="shared" si="1365"/>
        <v>0</v>
      </c>
      <c r="DC285">
        <f t="shared" si="1366"/>
        <v>0</v>
      </c>
      <c r="DD285">
        <f t="shared" si="1367"/>
        <v>0</v>
      </c>
      <c r="DE285">
        <f t="shared" si="1368"/>
        <v>0</v>
      </c>
      <c r="DF285">
        <f t="shared" si="1369"/>
        <v>0</v>
      </c>
      <c r="DG285">
        <f t="shared" si="1370"/>
        <v>0</v>
      </c>
      <c r="DH285">
        <f t="shared" si="1371"/>
        <v>0</v>
      </c>
      <c r="DI285">
        <f t="shared" si="1372"/>
        <v>0</v>
      </c>
      <c r="DJ285">
        <f t="shared" si="1373"/>
        <v>0</v>
      </c>
      <c r="DK285">
        <f t="shared" si="1374"/>
        <v>0</v>
      </c>
      <c r="DL285">
        <f t="shared" si="1375"/>
        <v>0</v>
      </c>
      <c r="DM285">
        <f t="shared" si="1376"/>
        <v>0</v>
      </c>
      <c r="DN285">
        <f t="shared" si="1377"/>
        <v>0</v>
      </c>
      <c r="DO285">
        <f t="shared" si="1378"/>
        <v>0</v>
      </c>
      <c r="DP285">
        <f t="shared" si="1379"/>
        <v>0</v>
      </c>
      <c r="DQ285">
        <f t="shared" si="1380"/>
        <v>0</v>
      </c>
      <c r="DR285">
        <f t="shared" si="1381"/>
        <v>0</v>
      </c>
      <c r="DT285" s="77"/>
      <c r="DU285" s="8" t="str">
        <f>Hidden!$CG68</f>
        <v/>
      </c>
      <c r="DV285">
        <f t="shared" ref="DV285:DV319" si="1709">IF(DV$218,EZ180,0)</f>
        <v>0</v>
      </c>
      <c r="DW285">
        <f t="shared" ref="DW285:DW319" si="1710">IF(DW$218,FA180,0)</f>
        <v>0</v>
      </c>
      <c r="DX285">
        <f t="shared" ref="DX285:DX319" si="1711">IF(DX$218,FB180,0)</f>
        <v>0</v>
      </c>
      <c r="DY285">
        <f t="shared" ref="DY285:DY319" si="1712">IF(DY$218,FC180,0)</f>
        <v>0</v>
      </c>
      <c r="DZ285">
        <f t="shared" ref="DZ285:DZ319" si="1713">IF(DZ$218,FD180,0)</f>
        <v>0</v>
      </c>
      <c r="EA285">
        <f t="shared" ref="EA285:EA319" si="1714">IF(EA$218,FE180,0)</f>
        <v>0</v>
      </c>
      <c r="EB285">
        <f t="shared" ref="EB285:EB319" si="1715">IF(EB$218,FF180,0)</f>
        <v>0</v>
      </c>
      <c r="EC285">
        <f t="shared" ref="EC285:EC319" si="1716">IF(EC$218,FG180,0)</f>
        <v>0</v>
      </c>
      <c r="ED285">
        <f t="shared" ref="ED285:ED319" si="1717">IF(ED$218,FH180,0)</f>
        <v>0</v>
      </c>
      <c r="EE285">
        <f t="shared" ref="EE285:EE319" si="1718">IF(EE$218,FI180,0)</f>
        <v>0</v>
      </c>
      <c r="EF285">
        <f t="shared" ref="EF285:EF319" si="1719">IF(EF$218,EZ180,0)</f>
        <v>0</v>
      </c>
      <c r="EG285">
        <f t="shared" ref="EG285:EG319" si="1720">IF(EG$218,FA180,0)</f>
        <v>0</v>
      </c>
      <c r="EH285">
        <f t="shared" ref="EH285:EH319" si="1721">IF(EH$218,FB180,0)</f>
        <v>0</v>
      </c>
      <c r="EI285">
        <f t="shared" ref="EI285:EI319" si="1722">IF(EI$218,FC180,0)</f>
        <v>0</v>
      </c>
      <c r="EJ285">
        <f t="shared" ref="EJ285:EJ319" si="1723">IF(EJ$218,FD180,0)</f>
        <v>0</v>
      </c>
      <c r="EK285">
        <f t="shared" ref="EK285:EK319" si="1724">IF(EK$218,FE180,0)</f>
        <v>0</v>
      </c>
      <c r="EL285">
        <f t="shared" ref="EL285:EL319" si="1725">IF(EL$218,FF180,0)</f>
        <v>0</v>
      </c>
      <c r="EM285">
        <f t="shared" ref="EM285:EM319" si="1726">IF(EM$218,FG180,0)</f>
        <v>0</v>
      </c>
      <c r="EN285">
        <f t="shared" ref="EN285:EN319" si="1727">IF(EN$218,FH180,0)</f>
        <v>0</v>
      </c>
      <c r="EO285">
        <f t="shared" ref="EO285:EO319" si="1728">IF(EO$218,FI180,0)</f>
        <v>0</v>
      </c>
      <c r="EP285">
        <f t="shared" ref="EP285:EP319" si="1729">IF(EP$218,EZ180,0)</f>
        <v>0</v>
      </c>
      <c r="EQ285">
        <f t="shared" ref="EQ285:EQ319" si="1730">IF(EQ$218,FA180,0)</f>
        <v>0</v>
      </c>
      <c r="ER285">
        <f t="shared" ref="ER285:ET300" si="1731">IF(ER$218,FB180,0)</f>
        <v>0</v>
      </c>
      <c r="ES285">
        <f t="shared" si="1731"/>
        <v>0</v>
      </c>
      <c r="ET285">
        <f t="shared" si="1731"/>
        <v>0</v>
      </c>
      <c r="EU285">
        <f t="shared" ref="EU285:EU319" si="1732">IF(EU$218,FE180,0)</f>
        <v>0</v>
      </c>
      <c r="EV285">
        <f t="shared" si="1411"/>
        <v>0</v>
      </c>
      <c r="EW285">
        <f t="shared" si="1232"/>
        <v>0</v>
      </c>
      <c r="EX285">
        <f t="shared" ref="EX285:EX319" si="1733">IF(EX$218,FH180,0)</f>
        <v>0</v>
      </c>
      <c r="EY285">
        <f t="shared" ref="EY285:EY319" si="1734">IF(EY$218,FI180,0)</f>
        <v>0</v>
      </c>
      <c r="EZ285">
        <f t="shared" ref="EZ285:FI285" si="1735">IF(EZ$218,EZ180,0)</f>
        <v>0</v>
      </c>
      <c r="FA285">
        <f t="shared" si="1735"/>
        <v>0</v>
      </c>
      <c r="FB285">
        <f t="shared" si="1735"/>
        <v>0</v>
      </c>
      <c r="FC285">
        <f t="shared" si="1735"/>
        <v>0</v>
      </c>
      <c r="FD285">
        <f t="shared" si="1735"/>
        <v>0</v>
      </c>
      <c r="FE285">
        <f t="shared" si="1735"/>
        <v>0</v>
      </c>
      <c r="FF285">
        <f t="shared" si="1735"/>
        <v>0</v>
      </c>
      <c r="FG285">
        <f t="shared" si="1735"/>
        <v>0</v>
      </c>
      <c r="FH285">
        <f t="shared" si="1735"/>
        <v>0</v>
      </c>
      <c r="FI285">
        <f t="shared" si="1735"/>
        <v>0</v>
      </c>
      <c r="FJ285">
        <f t="shared" ref="FJ285:FJ319" si="1736">IF(FJ$218,EZ180,0)</f>
        <v>0</v>
      </c>
      <c r="FK285">
        <f t="shared" ref="FK285:FK319" si="1737">IF(FK$218,FA180,0)</f>
        <v>0</v>
      </c>
      <c r="FL285">
        <f t="shared" si="1413"/>
        <v>0</v>
      </c>
      <c r="FM285">
        <f t="shared" si="1234"/>
        <v>0</v>
      </c>
      <c r="FN285">
        <f t="shared" ref="FN285:FN319" si="1738">IF(FN$218,FD180,0)</f>
        <v>0</v>
      </c>
      <c r="FO285">
        <f t="shared" ref="FO285:FO319" si="1739">IF(FO$218,FE180,0)</f>
        <v>0</v>
      </c>
      <c r="FP285">
        <f t="shared" ref="FP285:FP319" si="1740">IF(FP$218,FF180,0)</f>
        <v>0</v>
      </c>
      <c r="FQ285">
        <f t="shared" ref="FQ285:FQ319" si="1741">IF(FQ$218,FG180,0)</f>
        <v>0</v>
      </c>
      <c r="FR285">
        <f t="shared" ref="FR285:FR319" si="1742">IF(FR$218,FH180,0)</f>
        <v>0</v>
      </c>
      <c r="FS285">
        <f t="shared" ref="FS285:FS319" si="1743">IF(FS$218,FI180,0)</f>
        <v>0</v>
      </c>
      <c r="FT285">
        <f t="shared" ref="FT285:FT319" si="1744">IF(FT$218,EZ180,0)</f>
        <v>0</v>
      </c>
      <c r="FU285">
        <f t="shared" ref="FU285:FU319" si="1745">IF(FU$218,FA180,0)</f>
        <v>0</v>
      </c>
      <c r="FV285">
        <f t="shared" ref="FV285:FV319" si="1746">IF(FV$218,FB180,0)</f>
        <v>0</v>
      </c>
      <c r="FW285">
        <f t="shared" ref="FW285:FW319" si="1747">IF(FW$218,FC180,0)</f>
        <v>0</v>
      </c>
      <c r="FX285">
        <f t="shared" si="1414"/>
        <v>0</v>
      </c>
      <c r="FY285">
        <f t="shared" si="1235"/>
        <v>0</v>
      </c>
      <c r="FZ285">
        <f t="shared" ref="FZ285:FZ319" si="1748">IF(FZ$218,FF180,0)</f>
        <v>0</v>
      </c>
      <c r="GA285">
        <f t="shared" ref="GA285:GA319" si="1749">IF(GA$218,FG180,0)</f>
        <v>0</v>
      </c>
      <c r="GB285">
        <f t="shared" ref="GB285:GB319" si="1750">IF(GB$218,FH180,0)</f>
        <v>0</v>
      </c>
      <c r="GC285">
        <f t="shared" ref="GC285:GC319" si="1751">IF(GC$218,FI180,0)</f>
        <v>0</v>
      </c>
    </row>
    <row r="286" spans="1:185" x14ac:dyDescent="0.2">
      <c r="A286" s="8" t="str">
        <f t="shared" si="1311"/>
        <v/>
      </c>
      <c r="B286" s="8">
        <f t="shared" si="1312"/>
        <v>0</v>
      </c>
      <c r="C286" s="8">
        <f t="shared" si="1313"/>
        <v>0</v>
      </c>
      <c r="D286" s="8">
        <f t="shared" si="1314"/>
        <v>0</v>
      </c>
      <c r="E286" s="8">
        <f t="shared" si="1486"/>
        <v>0</v>
      </c>
      <c r="F286" s="8">
        <f t="shared" si="1384"/>
        <v>0</v>
      </c>
      <c r="G286" s="8">
        <f t="shared" si="1427"/>
        <v>0</v>
      </c>
      <c r="H286" s="8">
        <f t="shared" si="1428"/>
        <v>0</v>
      </c>
      <c r="I286" s="8">
        <f t="shared" si="1429"/>
        <v>0</v>
      </c>
      <c r="J286" s="8">
        <f t="shared" si="1430"/>
        <v>0</v>
      </c>
      <c r="K286" s="8">
        <f t="shared" si="1431"/>
        <v>0</v>
      </c>
      <c r="L286">
        <f t="shared" si="1320"/>
        <v>0</v>
      </c>
      <c r="M286">
        <f t="shared" si="1321"/>
        <v>0</v>
      </c>
      <c r="N286">
        <f t="shared" si="1322"/>
        <v>0</v>
      </c>
      <c r="O286">
        <f t="shared" si="1323"/>
        <v>0</v>
      </c>
      <c r="P286">
        <f t="shared" si="1324"/>
        <v>0</v>
      </c>
      <c r="Q286">
        <f t="shared" si="1325"/>
        <v>0</v>
      </c>
      <c r="R286">
        <f t="shared" si="1326"/>
        <v>0</v>
      </c>
      <c r="S286">
        <f t="shared" si="1327"/>
        <v>0</v>
      </c>
      <c r="T286">
        <f t="shared" si="1328"/>
        <v>0</v>
      </c>
      <c r="U286">
        <f t="shared" si="1329"/>
        <v>0</v>
      </c>
      <c r="V286">
        <f>IF(V$230,LandEmiss!AF181,0)</f>
        <v>0</v>
      </c>
      <c r="W286">
        <f>IF(W$230,LandEmiss!AG181,0)</f>
        <v>0</v>
      </c>
      <c r="X286">
        <f>IF(X$230,LandEmiss!AH181,0)</f>
        <v>0</v>
      </c>
      <c r="Y286">
        <f>IF(Y$230,LandEmiss!AI181,0)</f>
        <v>0</v>
      </c>
      <c r="Z286">
        <f>IF(Z$230,LandEmiss!AJ181,0)</f>
        <v>0</v>
      </c>
      <c r="AA286">
        <f>IF(AA$230,LandEmiss!AK181,0)</f>
        <v>0</v>
      </c>
      <c r="AB286">
        <f>IF(AB$230,LandEmiss!AL181,0)</f>
        <v>0</v>
      </c>
      <c r="AC286">
        <f>IF(AC$230,LandEmiss!AM181,0)</f>
        <v>0</v>
      </c>
      <c r="AD286">
        <f>IF(AD$230,LandEmiss!AN181,0)</f>
        <v>0</v>
      </c>
      <c r="AE286">
        <f>IF(AE$230,LandEmiss!AO181,0)</f>
        <v>0</v>
      </c>
      <c r="AF286">
        <f t="shared" ref="AF286:AO286" si="1752">IF(AF$230,AF181,0)</f>
        <v>0</v>
      </c>
      <c r="AG286">
        <f t="shared" si="1752"/>
        <v>0</v>
      </c>
      <c r="AH286">
        <f t="shared" si="1752"/>
        <v>0</v>
      </c>
      <c r="AI286">
        <f t="shared" si="1752"/>
        <v>0</v>
      </c>
      <c r="AJ286">
        <f t="shared" si="1752"/>
        <v>0</v>
      </c>
      <c r="AK286">
        <f t="shared" si="1752"/>
        <v>0</v>
      </c>
      <c r="AL286">
        <f t="shared" si="1752"/>
        <v>0</v>
      </c>
      <c r="AM286">
        <f t="shared" si="1752"/>
        <v>0</v>
      </c>
      <c r="AN286">
        <f t="shared" si="1752"/>
        <v>0</v>
      </c>
      <c r="AO286">
        <f t="shared" si="1752"/>
        <v>0</v>
      </c>
      <c r="AP286">
        <f t="shared" si="1331"/>
        <v>0</v>
      </c>
      <c r="AQ286">
        <f t="shared" si="1332"/>
        <v>0</v>
      </c>
      <c r="AR286">
        <f t="shared" si="1333"/>
        <v>0</v>
      </c>
      <c r="AS286">
        <f t="shared" si="1334"/>
        <v>0</v>
      </c>
      <c r="AT286">
        <f t="shared" si="1335"/>
        <v>0</v>
      </c>
      <c r="AU286">
        <f t="shared" si="1336"/>
        <v>0</v>
      </c>
      <c r="AV286">
        <f t="shared" si="1337"/>
        <v>0</v>
      </c>
      <c r="AW286">
        <f t="shared" si="1338"/>
        <v>0</v>
      </c>
      <c r="AX286">
        <f t="shared" si="1339"/>
        <v>0</v>
      </c>
      <c r="AY286">
        <f t="shared" si="1340"/>
        <v>0</v>
      </c>
      <c r="AZ286">
        <f t="shared" si="1341"/>
        <v>0</v>
      </c>
      <c r="BA286">
        <f t="shared" si="1342"/>
        <v>0</v>
      </c>
      <c r="BB286">
        <f t="shared" si="1343"/>
        <v>0</v>
      </c>
      <c r="BC286">
        <f t="shared" si="1344"/>
        <v>0</v>
      </c>
      <c r="BD286">
        <f t="shared" si="1345"/>
        <v>0</v>
      </c>
      <c r="BE286">
        <f t="shared" si="1346"/>
        <v>0</v>
      </c>
      <c r="BF286">
        <f t="shared" si="1347"/>
        <v>0</v>
      </c>
      <c r="BG286">
        <f t="shared" si="1348"/>
        <v>0</v>
      </c>
      <c r="BH286">
        <f t="shared" si="1488"/>
        <v>0</v>
      </c>
      <c r="BI286">
        <f t="shared" si="1387"/>
        <v>0</v>
      </c>
      <c r="BJ286" s="8" t="str">
        <f>Hidden!$CC57</f>
        <v/>
      </c>
      <c r="BK286">
        <f t="shared" ref="BK286:BT286" si="1753">IF(BK$230,CP181,0)</f>
        <v>0</v>
      </c>
      <c r="BL286">
        <f t="shared" si="1753"/>
        <v>0</v>
      </c>
      <c r="BM286">
        <f t="shared" si="1753"/>
        <v>0</v>
      </c>
      <c r="BN286">
        <f t="shared" si="1753"/>
        <v>0</v>
      </c>
      <c r="BO286">
        <f t="shared" si="1753"/>
        <v>0</v>
      </c>
      <c r="BP286">
        <f t="shared" si="1753"/>
        <v>0</v>
      </c>
      <c r="BQ286">
        <f t="shared" si="1753"/>
        <v>0</v>
      </c>
      <c r="BR286">
        <f t="shared" si="1753"/>
        <v>0</v>
      </c>
      <c r="BS286">
        <f t="shared" si="1753"/>
        <v>0</v>
      </c>
      <c r="BT286">
        <f t="shared" si="1753"/>
        <v>0</v>
      </c>
      <c r="BU286">
        <f t="shared" ref="BU286:CD286" si="1754">IF(BU$230,CP181,0)</f>
        <v>0</v>
      </c>
      <c r="BV286">
        <f t="shared" si="1754"/>
        <v>0</v>
      </c>
      <c r="BW286">
        <f t="shared" si="1754"/>
        <v>0</v>
      </c>
      <c r="BX286">
        <f t="shared" si="1754"/>
        <v>0</v>
      </c>
      <c r="BY286">
        <f t="shared" si="1754"/>
        <v>0</v>
      </c>
      <c r="BZ286">
        <f t="shared" si="1754"/>
        <v>0</v>
      </c>
      <c r="CA286">
        <f t="shared" si="1754"/>
        <v>0</v>
      </c>
      <c r="CB286">
        <f t="shared" si="1754"/>
        <v>0</v>
      </c>
      <c r="CC286">
        <f t="shared" si="1754"/>
        <v>0</v>
      </c>
      <c r="CD286">
        <f t="shared" si="1754"/>
        <v>0</v>
      </c>
      <c r="CE286">
        <f t="shared" si="1352"/>
        <v>0</v>
      </c>
      <c r="CF286">
        <f t="shared" si="1353"/>
        <v>0</v>
      </c>
      <c r="CG286">
        <f t="shared" si="1354"/>
        <v>0</v>
      </c>
      <c r="CH286">
        <f t="shared" si="1355"/>
        <v>0</v>
      </c>
      <c r="CI286">
        <f t="shared" si="1356"/>
        <v>0</v>
      </c>
      <c r="CJ286">
        <f t="shared" si="1491"/>
        <v>0</v>
      </c>
      <c r="CK286">
        <f t="shared" si="1390"/>
        <v>0</v>
      </c>
      <c r="CL286">
        <f t="shared" si="1358"/>
        <v>0</v>
      </c>
      <c r="CM286">
        <f t="shared" si="1359"/>
        <v>0</v>
      </c>
      <c r="CN286">
        <f t="shared" si="1360"/>
        <v>0</v>
      </c>
      <c r="CO286">
        <f t="shared" ref="CO286:CX286" si="1755">IF(CO$230,CP181,0)</f>
        <v>0</v>
      </c>
      <c r="CP286">
        <f t="shared" si="1755"/>
        <v>0</v>
      </c>
      <c r="CQ286">
        <f t="shared" si="1755"/>
        <v>0</v>
      </c>
      <c r="CR286">
        <f t="shared" si="1755"/>
        <v>0</v>
      </c>
      <c r="CS286">
        <f t="shared" si="1755"/>
        <v>0</v>
      </c>
      <c r="CT286">
        <f t="shared" si="1755"/>
        <v>0</v>
      </c>
      <c r="CU286">
        <f t="shared" si="1755"/>
        <v>0</v>
      </c>
      <c r="CV286">
        <f t="shared" si="1755"/>
        <v>0</v>
      </c>
      <c r="CW286">
        <f t="shared" si="1755"/>
        <v>0</v>
      </c>
      <c r="CX286">
        <f t="shared" si="1755"/>
        <v>0</v>
      </c>
      <c r="CY286">
        <f t="shared" si="1362"/>
        <v>0</v>
      </c>
      <c r="CZ286">
        <f t="shared" si="1363"/>
        <v>0</v>
      </c>
      <c r="DA286">
        <f t="shared" si="1364"/>
        <v>0</v>
      </c>
      <c r="DB286">
        <f t="shared" si="1365"/>
        <v>0</v>
      </c>
      <c r="DC286">
        <f t="shared" si="1366"/>
        <v>0</v>
      </c>
      <c r="DD286">
        <f t="shared" si="1367"/>
        <v>0</v>
      </c>
      <c r="DE286">
        <f t="shared" si="1368"/>
        <v>0</v>
      </c>
      <c r="DF286">
        <f t="shared" si="1369"/>
        <v>0</v>
      </c>
      <c r="DG286">
        <f t="shared" si="1370"/>
        <v>0</v>
      </c>
      <c r="DH286">
        <f t="shared" si="1371"/>
        <v>0</v>
      </c>
      <c r="DI286">
        <f t="shared" si="1372"/>
        <v>0</v>
      </c>
      <c r="DJ286">
        <f t="shared" si="1373"/>
        <v>0</v>
      </c>
      <c r="DK286">
        <f t="shared" si="1374"/>
        <v>0</v>
      </c>
      <c r="DL286">
        <f t="shared" si="1375"/>
        <v>0</v>
      </c>
      <c r="DM286">
        <f t="shared" si="1376"/>
        <v>0</v>
      </c>
      <c r="DN286">
        <f t="shared" si="1377"/>
        <v>0</v>
      </c>
      <c r="DO286">
        <f t="shared" si="1378"/>
        <v>0</v>
      </c>
      <c r="DP286">
        <f t="shared" si="1379"/>
        <v>0</v>
      </c>
      <c r="DQ286">
        <f t="shared" si="1380"/>
        <v>0</v>
      </c>
      <c r="DR286">
        <f t="shared" si="1381"/>
        <v>0</v>
      </c>
      <c r="DT286" s="77"/>
      <c r="DU286" s="8" t="str">
        <f>Hidden!$CG69</f>
        <v/>
      </c>
      <c r="DV286">
        <f t="shared" si="1709"/>
        <v>0</v>
      </c>
      <c r="DW286">
        <f t="shared" si="1710"/>
        <v>0</v>
      </c>
      <c r="DX286">
        <f t="shared" si="1711"/>
        <v>0</v>
      </c>
      <c r="DY286">
        <f t="shared" si="1712"/>
        <v>0</v>
      </c>
      <c r="DZ286">
        <f t="shared" si="1713"/>
        <v>0</v>
      </c>
      <c r="EA286">
        <f t="shared" si="1714"/>
        <v>0</v>
      </c>
      <c r="EB286">
        <f t="shared" si="1715"/>
        <v>0</v>
      </c>
      <c r="EC286">
        <f t="shared" si="1716"/>
        <v>0</v>
      </c>
      <c r="ED286">
        <f t="shared" si="1717"/>
        <v>0</v>
      </c>
      <c r="EE286">
        <f t="shared" si="1718"/>
        <v>0</v>
      </c>
      <c r="EF286">
        <f t="shared" si="1719"/>
        <v>0</v>
      </c>
      <c r="EG286">
        <f t="shared" si="1720"/>
        <v>0</v>
      </c>
      <c r="EH286">
        <f t="shared" si="1721"/>
        <v>0</v>
      </c>
      <c r="EI286">
        <f t="shared" si="1722"/>
        <v>0</v>
      </c>
      <c r="EJ286">
        <f t="shared" si="1723"/>
        <v>0</v>
      </c>
      <c r="EK286">
        <f t="shared" si="1724"/>
        <v>0</v>
      </c>
      <c r="EL286">
        <f t="shared" si="1725"/>
        <v>0</v>
      </c>
      <c r="EM286">
        <f t="shared" si="1726"/>
        <v>0</v>
      </c>
      <c r="EN286">
        <f t="shared" si="1727"/>
        <v>0</v>
      </c>
      <c r="EO286">
        <f t="shared" si="1728"/>
        <v>0</v>
      </c>
      <c r="EP286">
        <f t="shared" si="1729"/>
        <v>0</v>
      </c>
      <c r="EQ286">
        <f t="shared" si="1730"/>
        <v>0</v>
      </c>
      <c r="ER286">
        <f t="shared" si="1731"/>
        <v>0</v>
      </c>
      <c r="ES286">
        <f t="shared" ref="ES286:ET286" si="1756">IF(ES$218,FC181,0)</f>
        <v>0</v>
      </c>
      <c r="ET286">
        <f t="shared" si="1756"/>
        <v>0</v>
      </c>
      <c r="EU286">
        <f t="shared" si="1732"/>
        <v>0</v>
      </c>
      <c r="EV286">
        <f t="shared" si="1411"/>
        <v>0</v>
      </c>
      <c r="EW286">
        <f t="shared" ref="EW286:EW319" si="1757">IF(EW$218,FG181,0)</f>
        <v>0</v>
      </c>
      <c r="EX286">
        <f t="shared" si="1733"/>
        <v>0</v>
      </c>
      <c r="EY286">
        <f t="shared" si="1734"/>
        <v>0</v>
      </c>
      <c r="EZ286">
        <f t="shared" ref="EZ286:FI286" si="1758">IF(EZ$218,EZ181,0)</f>
        <v>0</v>
      </c>
      <c r="FA286">
        <f t="shared" si="1758"/>
        <v>0</v>
      </c>
      <c r="FB286">
        <f t="shared" si="1758"/>
        <v>0</v>
      </c>
      <c r="FC286">
        <f t="shared" si="1758"/>
        <v>0</v>
      </c>
      <c r="FD286">
        <f t="shared" si="1758"/>
        <v>0</v>
      </c>
      <c r="FE286">
        <f t="shared" si="1758"/>
        <v>0</v>
      </c>
      <c r="FF286">
        <f t="shared" si="1758"/>
        <v>0</v>
      </c>
      <c r="FG286">
        <f t="shared" si="1758"/>
        <v>0</v>
      </c>
      <c r="FH286">
        <f t="shared" si="1758"/>
        <v>0</v>
      </c>
      <c r="FI286">
        <f t="shared" si="1758"/>
        <v>0</v>
      </c>
      <c r="FJ286">
        <f t="shared" si="1736"/>
        <v>0</v>
      </c>
      <c r="FK286">
        <f t="shared" si="1737"/>
        <v>0</v>
      </c>
      <c r="FL286">
        <f t="shared" si="1413"/>
        <v>0</v>
      </c>
      <c r="FM286">
        <f t="shared" ref="FM286:FM319" si="1759">IF(FM$218,FC181,0)</f>
        <v>0</v>
      </c>
      <c r="FN286">
        <f t="shared" si="1738"/>
        <v>0</v>
      </c>
      <c r="FO286">
        <f t="shared" si="1739"/>
        <v>0</v>
      </c>
      <c r="FP286">
        <f t="shared" si="1740"/>
        <v>0</v>
      </c>
      <c r="FQ286">
        <f t="shared" si="1741"/>
        <v>0</v>
      </c>
      <c r="FR286">
        <f t="shared" si="1742"/>
        <v>0</v>
      </c>
      <c r="FS286">
        <f t="shared" si="1743"/>
        <v>0</v>
      </c>
      <c r="FT286">
        <f t="shared" si="1744"/>
        <v>0</v>
      </c>
      <c r="FU286">
        <f t="shared" si="1745"/>
        <v>0</v>
      </c>
      <c r="FV286">
        <f t="shared" si="1746"/>
        <v>0</v>
      </c>
      <c r="FW286">
        <f t="shared" si="1747"/>
        <v>0</v>
      </c>
      <c r="FX286">
        <f t="shared" si="1414"/>
        <v>0</v>
      </c>
      <c r="FY286">
        <f t="shared" ref="FY286:FY319" si="1760">IF(FY$218,FE181,0)</f>
        <v>0</v>
      </c>
      <c r="FZ286">
        <f t="shared" si="1748"/>
        <v>0</v>
      </c>
      <c r="GA286">
        <f t="shared" si="1749"/>
        <v>0</v>
      </c>
      <c r="GB286">
        <f t="shared" si="1750"/>
        <v>0</v>
      </c>
      <c r="GC286">
        <f t="shared" si="1751"/>
        <v>0</v>
      </c>
    </row>
    <row r="287" spans="1:185" x14ac:dyDescent="0.2">
      <c r="A287" s="8" t="str">
        <f t="shared" si="1311"/>
        <v/>
      </c>
      <c r="B287" s="8">
        <f t="shared" si="1312"/>
        <v>0</v>
      </c>
      <c r="C287" s="8">
        <f t="shared" si="1313"/>
        <v>0</v>
      </c>
      <c r="D287" s="8">
        <f t="shared" si="1314"/>
        <v>0</v>
      </c>
      <c r="E287" s="8">
        <f t="shared" si="1486"/>
        <v>0</v>
      </c>
      <c r="F287" s="8">
        <f t="shared" si="1384"/>
        <v>0</v>
      </c>
      <c r="G287" s="8">
        <f t="shared" si="1427"/>
        <v>0</v>
      </c>
      <c r="H287" s="8">
        <f t="shared" si="1428"/>
        <v>0</v>
      </c>
      <c r="I287" s="8">
        <f t="shared" si="1429"/>
        <v>0</v>
      </c>
      <c r="J287" s="8">
        <f t="shared" si="1430"/>
        <v>0</v>
      </c>
      <c r="K287" s="8">
        <f t="shared" si="1431"/>
        <v>0</v>
      </c>
      <c r="L287">
        <f t="shared" si="1320"/>
        <v>0</v>
      </c>
      <c r="M287">
        <f t="shared" si="1321"/>
        <v>0</v>
      </c>
      <c r="N287">
        <f t="shared" si="1322"/>
        <v>0</v>
      </c>
      <c r="O287">
        <f t="shared" si="1323"/>
        <v>0</v>
      </c>
      <c r="P287">
        <f t="shared" si="1324"/>
        <v>0</v>
      </c>
      <c r="Q287">
        <f t="shared" si="1325"/>
        <v>0</v>
      </c>
      <c r="R287">
        <f t="shared" si="1326"/>
        <v>0</v>
      </c>
      <c r="S287">
        <f t="shared" si="1327"/>
        <v>0</v>
      </c>
      <c r="T287">
        <f t="shared" si="1328"/>
        <v>0</v>
      </c>
      <c r="U287">
        <f t="shared" si="1329"/>
        <v>0</v>
      </c>
      <c r="V287">
        <f>IF(V$230,LandEmiss!AF182,0)</f>
        <v>0</v>
      </c>
      <c r="W287">
        <f>IF(W$230,LandEmiss!AG182,0)</f>
        <v>0</v>
      </c>
      <c r="X287">
        <f>IF(X$230,LandEmiss!AH182,0)</f>
        <v>0</v>
      </c>
      <c r="Y287">
        <f>IF(Y$230,LandEmiss!AI182,0)</f>
        <v>0</v>
      </c>
      <c r="Z287">
        <f>IF(Z$230,LandEmiss!AJ182,0)</f>
        <v>0</v>
      </c>
      <c r="AA287">
        <f>IF(AA$230,LandEmiss!AK182,0)</f>
        <v>0</v>
      </c>
      <c r="AB287">
        <f>IF(AB$230,LandEmiss!AL182,0)</f>
        <v>0</v>
      </c>
      <c r="AC287">
        <f>IF(AC$230,LandEmiss!AM182,0)</f>
        <v>0</v>
      </c>
      <c r="AD287">
        <f>IF(AD$230,LandEmiss!AN182,0)</f>
        <v>0</v>
      </c>
      <c r="AE287">
        <f>IF(AE$230,LandEmiss!AO182,0)</f>
        <v>0</v>
      </c>
      <c r="AF287">
        <f t="shared" ref="AF287:AO287" si="1761">IF(AF$230,AF182,0)</f>
        <v>0</v>
      </c>
      <c r="AG287">
        <f t="shared" si="1761"/>
        <v>0</v>
      </c>
      <c r="AH287">
        <f t="shared" si="1761"/>
        <v>0</v>
      </c>
      <c r="AI287">
        <f t="shared" si="1761"/>
        <v>0</v>
      </c>
      <c r="AJ287">
        <f t="shared" si="1761"/>
        <v>0</v>
      </c>
      <c r="AK287">
        <f t="shared" si="1761"/>
        <v>0</v>
      </c>
      <c r="AL287">
        <f t="shared" si="1761"/>
        <v>0</v>
      </c>
      <c r="AM287">
        <f t="shared" si="1761"/>
        <v>0</v>
      </c>
      <c r="AN287">
        <f t="shared" si="1761"/>
        <v>0</v>
      </c>
      <c r="AO287">
        <f t="shared" si="1761"/>
        <v>0</v>
      </c>
      <c r="AP287">
        <f t="shared" si="1331"/>
        <v>0</v>
      </c>
      <c r="AQ287">
        <f t="shared" si="1332"/>
        <v>0</v>
      </c>
      <c r="AR287">
        <f t="shared" si="1333"/>
        <v>0</v>
      </c>
      <c r="AS287">
        <f t="shared" si="1334"/>
        <v>0</v>
      </c>
      <c r="AT287">
        <f t="shared" si="1335"/>
        <v>0</v>
      </c>
      <c r="AU287">
        <f t="shared" si="1336"/>
        <v>0</v>
      </c>
      <c r="AV287">
        <f t="shared" si="1337"/>
        <v>0</v>
      </c>
      <c r="AW287">
        <f t="shared" si="1338"/>
        <v>0</v>
      </c>
      <c r="AX287">
        <f t="shared" si="1339"/>
        <v>0</v>
      </c>
      <c r="AY287">
        <f t="shared" si="1340"/>
        <v>0</v>
      </c>
      <c r="AZ287">
        <f t="shared" si="1341"/>
        <v>0</v>
      </c>
      <c r="BA287">
        <f t="shared" si="1342"/>
        <v>0</v>
      </c>
      <c r="BB287">
        <f t="shared" si="1343"/>
        <v>0</v>
      </c>
      <c r="BC287">
        <f t="shared" si="1344"/>
        <v>0</v>
      </c>
      <c r="BD287">
        <f t="shared" si="1345"/>
        <v>0</v>
      </c>
      <c r="BE287">
        <f t="shared" si="1346"/>
        <v>0</v>
      </c>
      <c r="BF287">
        <f t="shared" si="1347"/>
        <v>0</v>
      </c>
      <c r="BG287">
        <f t="shared" si="1348"/>
        <v>0</v>
      </c>
      <c r="BH287">
        <f t="shared" si="1488"/>
        <v>0</v>
      </c>
      <c r="BI287">
        <f t="shared" si="1387"/>
        <v>0</v>
      </c>
      <c r="BJ287" s="8" t="str">
        <f>Hidden!$CC58</f>
        <v/>
      </c>
      <c r="BK287">
        <f t="shared" ref="BK287:BT287" si="1762">IF(BK$230,CP182,0)</f>
        <v>0</v>
      </c>
      <c r="BL287">
        <f t="shared" si="1762"/>
        <v>0</v>
      </c>
      <c r="BM287">
        <f t="shared" si="1762"/>
        <v>0</v>
      </c>
      <c r="BN287">
        <f t="shared" si="1762"/>
        <v>0</v>
      </c>
      <c r="BO287">
        <f t="shared" si="1762"/>
        <v>0</v>
      </c>
      <c r="BP287">
        <f t="shared" si="1762"/>
        <v>0</v>
      </c>
      <c r="BQ287">
        <f t="shared" si="1762"/>
        <v>0</v>
      </c>
      <c r="BR287">
        <f t="shared" si="1762"/>
        <v>0</v>
      </c>
      <c r="BS287">
        <f t="shared" si="1762"/>
        <v>0</v>
      </c>
      <c r="BT287">
        <f t="shared" si="1762"/>
        <v>0</v>
      </c>
      <c r="BU287">
        <f t="shared" ref="BU287:CD287" si="1763">IF(BU$230,CP182,0)</f>
        <v>0</v>
      </c>
      <c r="BV287">
        <f t="shared" si="1763"/>
        <v>0</v>
      </c>
      <c r="BW287">
        <f t="shared" si="1763"/>
        <v>0</v>
      </c>
      <c r="BX287">
        <f t="shared" si="1763"/>
        <v>0</v>
      </c>
      <c r="BY287">
        <f t="shared" si="1763"/>
        <v>0</v>
      </c>
      <c r="BZ287">
        <f t="shared" si="1763"/>
        <v>0</v>
      </c>
      <c r="CA287">
        <f t="shared" si="1763"/>
        <v>0</v>
      </c>
      <c r="CB287">
        <f t="shared" si="1763"/>
        <v>0</v>
      </c>
      <c r="CC287">
        <f t="shared" si="1763"/>
        <v>0</v>
      </c>
      <c r="CD287">
        <f t="shared" si="1763"/>
        <v>0</v>
      </c>
      <c r="CE287">
        <f t="shared" si="1352"/>
        <v>0</v>
      </c>
      <c r="CF287">
        <f t="shared" si="1353"/>
        <v>0</v>
      </c>
      <c r="CG287">
        <f t="shared" si="1354"/>
        <v>0</v>
      </c>
      <c r="CH287">
        <f t="shared" si="1355"/>
        <v>0</v>
      </c>
      <c r="CI287">
        <f t="shared" si="1356"/>
        <v>0</v>
      </c>
      <c r="CJ287">
        <f t="shared" si="1491"/>
        <v>0</v>
      </c>
      <c r="CK287">
        <f t="shared" si="1390"/>
        <v>0</v>
      </c>
      <c r="CL287">
        <f t="shared" si="1358"/>
        <v>0</v>
      </c>
      <c r="CM287">
        <f t="shared" si="1359"/>
        <v>0</v>
      </c>
      <c r="CN287">
        <f t="shared" si="1360"/>
        <v>0</v>
      </c>
      <c r="CO287">
        <f t="shared" ref="CO287:CX287" si="1764">IF(CO$230,CP182,0)</f>
        <v>0</v>
      </c>
      <c r="CP287">
        <f t="shared" si="1764"/>
        <v>0</v>
      </c>
      <c r="CQ287">
        <f t="shared" si="1764"/>
        <v>0</v>
      </c>
      <c r="CR287">
        <f t="shared" si="1764"/>
        <v>0</v>
      </c>
      <c r="CS287">
        <f t="shared" si="1764"/>
        <v>0</v>
      </c>
      <c r="CT287">
        <f t="shared" si="1764"/>
        <v>0</v>
      </c>
      <c r="CU287">
        <f t="shared" si="1764"/>
        <v>0</v>
      </c>
      <c r="CV287">
        <f t="shared" si="1764"/>
        <v>0</v>
      </c>
      <c r="CW287">
        <f t="shared" si="1764"/>
        <v>0</v>
      </c>
      <c r="CX287">
        <f t="shared" si="1764"/>
        <v>0</v>
      </c>
      <c r="CY287">
        <f t="shared" si="1362"/>
        <v>0</v>
      </c>
      <c r="CZ287">
        <f t="shared" si="1363"/>
        <v>0</v>
      </c>
      <c r="DA287">
        <f t="shared" si="1364"/>
        <v>0</v>
      </c>
      <c r="DB287">
        <f t="shared" si="1365"/>
        <v>0</v>
      </c>
      <c r="DC287">
        <f t="shared" si="1366"/>
        <v>0</v>
      </c>
      <c r="DD287">
        <f t="shared" si="1367"/>
        <v>0</v>
      </c>
      <c r="DE287">
        <f t="shared" si="1368"/>
        <v>0</v>
      </c>
      <c r="DF287">
        <f t="shared" si="1369"/>
        <v>0</v>
      </c>
      <c r="DG287">
        <f t="shared" si="1370"/>
        <v>0</v>
      </c>
      <c r="DH287">
        <f t="shared" si="1371"/>
        <v>0</v>
      </c>
      <c r="DI287">
        <f t="shared" si="1372"/>
        <v>0</v>
      </c>
      <c r="DJ287">
        <f t="shared" si="1373"/>
        <v>0</v>
      </c>
      <c r="DK287">
        <f t="shared" si="1374"/>
        <v>0</v>
      </c>
      <c r="DL287">
        <f t="shared" si="1375"/>
        <v>0</v>
      </c>
      <c r="DM287">
        <f t="shared" si="1376"/>
        <v>0</v>
      </c>
      <c r="DN287">
        <f t="shared" si="1377"/>
        <v>0</v>
      </c>
      <c r="DO287">
        <f t="shared" si="1378"/>
        <v>0</v>
      </c>
      <c r="DP287">
        <f t="shared" si="1379"/>
        <v>0</v>
      </c>
      <c r="DQ287">
        <f t="shared" si="1380"/>
        <v>0</v>
      </c>
      <c r="DR287">
        <f t="shared" si="1381"/>
        <v>0</v>
      </c>
      <c r="DT287" s="77"/>
      <c r="DU287" s="8" t="str">
        <f>Hidden!$CG70</f>
        <v/>
      </c>
      <c r="DV287">
        <f t="shared" si="1709"/>
        <v>0</v>
      </c>
      <c r="DW287">
        <f t="shared" si="1710"/>
        <v>0</v>
      </c>
      <c r="DX287">
        <f t="shared" si="1711"/>
        <v>0</v>
      </c>
      <c r="DY287">
        <f t="shared" si="1712"/>
        <v>0</v>
      </c>
      <c r="DZ287">
        <f t="shared" si="1713"/>
        <v>0</v>
      </c>
      <c r="EA287">
        <f t="shared" si="1714"/>
        <v>0</v>
      </c>
      <c r="EB287">
        <f t="shared" si="1715"/>
        <v>0</v>
      </c>
      <c r="EC287">
        <f t="shared" si="1716"/>
        <v>0</v>
      </c>
      <c r="ED287">
        <f t="shared" si="1717"/>
        <v>0</v>
      </c>
      <c r="EE287">
        <f t="shared" si="1718"/>
        <v>0</v>
      </c>
      <c r="EF287">
        <f t="shared" si="1719"/>
        <v>0</v>
      </c>
      <c r="EG287">
        <f t="shared" si="1720"/>
        <v>0</v>
      </c>
      <c r="EH287">
        <f t="shared" si="1721"/>
        <v>0</v>
      </c>
      <c r="EI287">
        <f t="shared" si="1722"/>
        <v>0</v>
      </c>
      <c r="EJ287">
        <f t="shared" si="1723"/>
        <v>0</v>
      </c>
      <c r="EK287">
        <f t="shared" si="1724"/>
        <v>0</v>
      </c>
      <c r="EL287">
        <f t="shared" si="1725"/>
        <v>0</v>
      </c>
      <c r="EM287">
        <f t="shared" si="1726"/>
        <v>0</v>
      </c>
      <c r="EN287">
        <f t="shared" si="1727"/>
        <v>0</v>
      </c>
      <c r="EO287">
        <f t="shared" si="1728"/>
        <v>0</v>
      </c>
      <c r="EP287">
        <f t="shared" si="1729"/>
        <v>0</v>
      </c>
      <c r="EQ287">
        <f t="shared" si="1730"/>
        <v>0</v>
      </c>
      <c r="ER287">
        <f t="shared" si="1731"/>
        <v>0</v>
      </c>
      <c r="ES287">
        <f t="shared" ref="ES287:ET287" si="1765">IF(ES$218,FC182,0)</f>
        <v>0</v>
      </c>
      <c r="ET287">
        <f t="shared" si="1765"/>
        <v>0</v>
      </c>
      <c r="EU287">
        <f t="shared" si="1732"/>
        <v>0</v>
      </c>
      <c r="EV287">
        <f t="shared" si="1411"/>
        <v>0</v>
      </c>
      <c r="EW287">
        <f t="shared" si="1757"/>
        <v>0</v>
      </c>
      <c r="EX287">
        <f t="shared" si="1733"/>
        <v>0</v>
      </c>
      <c r="EY287">
        <f t="shared" si="1734"/>
        <v>0</v>
      </c>
      <c r="EZ287">
        <f t="shared" ref="EZ287:FI287" si="1766">IF(EZ$218,EZ182,0)</f>
        <v>0</v>
      </c>
      <c r="FA287">
        <f t="shared" si="1766"/>
        <v>0</v>
      </c>
      <c r="FB287">
        <f t="shared" si="1766"/>
        <v>0</v>
      </c>
      <c r="FC287">
        <f t="shared" si="1766"/>
        <v>0</v>
      </c>
      <c r="FD287">
        <f t="shared" si="1766"/>
        <v>0</v>
      </c>
      <c r="FE287">
        <f t="shared" si="1766"/>
        <v>0</v>
      </c>
      <c r="FF287">
        <f t="shared" si="1766"/>
        <v>0</v>
      </c>
      <c r="FG287">
        <f t="shared" si="1766"/>
        <v>0</v>
      </c>
      <c r="FH287">
        <f t="shared" si="1766"/>
        <v>0</v>
      </c>
      <c r="FI287">
        <f t="shared" si="1766"/>
        <v>0</v>
      </c>
      <c r="FJ287">
        <f t="shared" si="1736"/>
        <v>0</v>
      </c>
      <c r="FK287">
        <f t="shared" si="1737"/>
        <v>0</v>
      </c>
      <c r="FL287">
        <f t="shared" si="1413"/>
        <v>0</v>
      </c>
      <c r="FM287">
        <f t="shared" si="1759"/>
        <v>0</v>
      </c>
      <c r="FN287">
        <f t="shared" si="1738"/>
        <v>0</v>
      </c>
      <c r="FO287">
        <f t="shared" si="1739"/>
        <v>0</v>
      </c>
      <c r="FP287">
        <f t="shared" si="1740"/>
        <v>0</v>
      </c>
      <c r="FQ287">
        <f t="shared" si="1741"/>
        <v>0</v>
      </c>
      <c r="FR287">
        <f t="shared" si="1742"/>
        <v>0</v>
      </c>
      <c r="FS287">
        <f t="shared" si="1743"/>
        <v>0</v>
      </c>
      <c r="FT287">
        <f t="shared" si="1744"/>
        <v>0</v>
      </c>
      <c r="FU287">
        <f t="shared" si="1745"/>
        <v>0</v>
      </c>
      <c r="FV287">
        <f t="shared" si="1746"/>
        <v>0</v>
      </c>
      <c r="FW287">
        <f t="shared" si="1747"/>
        <v>0</v>
      </c>
      <c r="FX287">
        <f t="shared" si="1414"/>
        <v>0</v>
      </c>
      <c r="FY287">
        <f t="shared" si="1760"/>
        <v>0</v>
      </c>
      <c r="FZ287">
        <f t="shared" si="1748"/>
        <v>0</v>
      </c>
      <c r="GA287">
        <f t="shared" si="1749"/>
        <v>0</v>
      </c>
      <c r="GB287">
        <f t="shared" si="1750"/>
        <v>0</v>
      </c>
      <c r="GC287">
        <f t="shared" si="1751"/>
        <v>0</v>
      </c>
    </row>
    <row r="288" spans="1:185" x14ac:dyDescent="0.2">
      <c r="A288" s="8" t="str">
        <f t="shared" si="1311"/>
        <v/>
      </c>
      <c r="B288" s="8">
        <f t="shared" si="1312"/>
        <v>0</v>
      </c>
      <c r="C288" s="8">
        <f t="shared" si="1313"/>
        <v>0</v>
      </c>
      <c r="D288" s="8">
        <f t="shared" si="1314"/>
        <v>0</v>
      </c>
      <c r="E288" s="8">
        <f t="shared" si="1486"/>
        <v>0</v>
      </c>
      <c r="F288" s="8">
        <f t="shared" si="1384"/>
        <v>0</v>
      </c>
      <c r="G288" s="8">
        <f t="shared" si="1427"/>
        <v>0</v>
      </c>
      <c r="H288" s="8">
        <f t="shared" si="1428"/>
        <v>0</v>
      </c>
      <c r="I288" s="8">
        <f t="shared" si="1429"/>
        <v>0</v>
      </c>
      <c r="J288" s="8">
        <f t="shared" si="1430"/>
        <v>0</v>
      </c>
      <c r="K288" s="8">
        <f t="shared" si="1431"/>
        <v>0</v>
      </c>
      <c r="L288">
        <f t="shared" si="1320"/>
        <v>0</v>
      </c>
      <c r="M288">
        <f t="shared" si="1321"/>
        <v>0</v>
      </c>
      <c r="N288">
        <f t="shared" si="1322"/>
        <v>0</v>
      </c>
      <c r="O288">
        <f t="shared" si="1323"/>
        <v>0</v>
      </c>
      <c r="P288">
        <f t="shared" si="1324"/>
        <v>0</v>
      </c>
      <c r="Q288">
        <f t="shared" si="1325"/>
        <v>0</v>
      </c>
      <c r="R288">
        <f t="shared" si="1326"/>
        <v>0</v>
      </c>
      <c r="S288">
        <f t="shared" si="1327"/>
        <v>0</v>
      </c>
      <c r="T288">
        <f t="shared" si="1328"/>
        <v>0</v>
      </c>
      <c r="U288">
        <f t="shared" si="1329"/>
        <v>0</v>
      </c>
      <c r="V288">
        <f>IF(V$230,LandEmiss!AF183,0)</f>
        <v>0</v>
      </c>
      <c r="W288">
        <f>IF(W$230,LandEmiss!AG183,0)</f>
        <v>0</v>
      </c>
      <c r="X288">
        <f>IF(X$230,LandEmiss!AH183,0)</f>
        <v>0</v>
      </c>
      <c r="Y288">
        <f>IF(Y$230,LandEmiss!AI183,0)</f>
        <v>0</v>
      </c>
      <c r="Z288">
        <f>IF(Z$230,LandEmiss!AJ183,0)</f>
        <v>0</v>
      </c>
      <c r="AA288">
        <f>IF(AA$230,LandEmiss!AK183,0)</f>
        <v>0</v>
      </c>
      <c r="AB288">
        <f>IF(AB$230,LandEmiss!AL183,0)</f>
        <v>0</v>
      </c>
      <c r="AC288">
        <f>IF(AC$230,LandEmiss!AM183,0)</f>
        <v>0</v>
      </c>
      <c r="AD288">
        <f>IF(AD$230,LandEmiss!AN183,0)</f>
        <v>0</v>
      </c>
      <c r="AE288">
        <f>IF(AE$230,LandEmiss!AO183,0)</f>
        <v>0</v>
      </c>
      <c r="AF288">
        <f t="shared" ref="AF288:AO288" si="1767">IF(AF$230,AF183,0)</f>
        <v>0</v>
      </c>
      <c r="AG288">
        <f t="shared" si="1767"/>
        <v>0</v>
      </c>
      <c r="AH288">
        <f t="shared" si="1767"/>
        <v>0</v>
      </c>
      <c r="AI288">
        <f t="shared" si="1767"/>
        <v>0</v>
      </c>
      <c r="AJ288">
        <f t="shared" si="1767"/>
        <v>0</v>
      </c>
      <c r="AK288">
        <f t="shared" si="1767"/>
        <v>0</v>
      </c>
      <c r="AL288">
        <f t="shared" si="1767"/>
        <v>0</v>
      </c>
      <c r="AM288">
        <f t="shared" si="1767"/>
        <v>0</v>
      </c>
      <c r="AN288">
        <f t="shared" si="1767"/>
        <v>0</v>
      </c>
      <c r="AO288">
        <f t="shared" si="1767"/>
        <v>0</v>
      </c>
      <c r="AP288">
        <f t="shared" si="1331"/>
        <v>0</v>
      </c>
      <c r="AQ288">
        <f t="shared" si="1332"/>
        <v>0</v>
      </c>
      <c r="AR288">
        <f t="shared" si="1333"/>
        <v>0</v>
      </c>
      <c r="AS288">
        <f t="shared" si="1334"/>
        <v>0</v>
      </c>
      <c r="AT288">
        <f t="shared" si="1335"/>
        <v>0</v>
      </c>
      <c r="AU288">
        <f t="shared" si="1336"/>
        <v>0</v>
      </c>
      <c r="AV288">
        <f t="shared" si="1337"/>
        <v>0</v>
      </c>
      <c r="AW288">
        <f t="shared" si="1338"/>
        <v>0</v>
      </c>
      <c r="AX288">
        <f t="shared" si="1339"/>
        <v>0</v>
      </c>
      <c r="AY288">
        <f t="shared" si="1340"/>
        <v>0</v>
      </c>
      <c r="AZ288">
        <f t="shared" si="1341"/>
        <v>0</v>
      </c>
      <c r="BA288">
        <f t="shared" si="1342"/>
        <v>0</v>
      </c>
      <c r="BB288">
        <f t="shared" si="1343"/>
        <v>0</v>
      </c>
      <c r="BC288">
        <f t="shared" si="1344"/>
        <v>0</v>
      </c>
      <c r="BD288">
        <f t="shared" si="1345"/>
        <v>0</v>
      </c>
      <c r="BE288">
        <f t="shared" si="1346"/>
        <v>0</v>
      </c>
      <c r="BF288">
        <f t="shared" si="1347"/>
        <v>0</v>
      </c>
      <c r="BG288">
        <f t="shared" si="1348"/>
        <v>0</v>
      </c>
      <c r="BH288">
        <f t="shared" si="1488"/>
        <v>0</v>
      </c>
      <c r="BI288">
        <f t="shared" si="1387"/>
        <v>0</v>
      </c>
      <c r="BJ288" s="8" t="str">
        <f>Hidden!$CC59</f>
        <v/>
      </c>
      <c r="BK288">
        <f t="shared" ref="BK288:BT288" si="1768">IF(BK$230,CP183,0)</f>
        <v>0</v>
      </c>
      <c r="BL288">
        <f t="shared" si="1768"/>
        <v>0</v>
      </c>
      <c r="BM288">
        <f t="shared" si="1768"/>
        <v>0</v>
      </c>
      <c r="BN288">
        <f t="shared" si="1768"/>
        <v>0</v>
      </c>
      <c r="BO288">
        <f t="shared" si="1768"/>
        <v>0</v>
      </c>
      <c r="BP288">
        <f t="shared" si="1768"/>
        <v>0</v>
      </c>
      <c r="BQ288">
        <f t="shared" si="1768"/>
        <v>0</v>
      </c>
      <c r="BR288">
        <f t="shared" si="1768"/>
        <v>0</v>
      </c>
      <c r="BS288">
        <f t="shared" si="1768"/>
        <v>0</v>
      </c>
      <c r="BT288">
        <f t="shared" si="1768"/>
        <v>0</v>
      </c>
      <c r="BU288">
        <f t="shared" ref="BU288:CD288" si="1769">IF(BU$230,CP183,0)</f>
        <v>0</v>
      </c>
      <c r="BV288">
        <f t="shared" si="1769"/>
        <v>0</v>
      </c>
      <c r="BW288">
        <f t="shared" si="1769"/>
        <v>0</v>
      </c>
      <c r="BX288">
        <f t="shared" si="1769"/>
        <v>0</v>
      </c>
      <c r="BY288">
        <f t="shared" si="1769"/>
        <v>0</v>
      </c>
      <c r="BZ288">
        <f t="shared" si="1769"/>
        <v>0</v>
      </c>
      <c r="CA288">
        <f t="shared" si="1769"/>
        <v>0</v>
      </c>
      <c r="CB288">
        <f t="shared" si="1769"/>
        <v>0</v>
      </c>
      <c r="CC288">
        <f t="shared" si="1769"/>
        <v>0</v>
      </c>
      <c r="CD288">
        <f t="shared" si="1769"/>
        <v>0</v>
      </c>
      <c r="CE288">
        <f t="shared" si="1352"/>
        <v>0</v>
      </c>
      <c r="CF288">
        <f t="shared" si="1353"/>
        <v>0</v>
      </c>
      <c r="CG288">
        <f t="shared" si="1354"/>
        <v>0</v>
      </c>
      <c r="CH288">
        <f t="shared" si="1355"/>
        <v>0</v>
      </c>
      <c r="CI288">
        <f t="shared" si="1356"/>
        <v>0</v>
      </c>
      <c r="CJ288">
        <f t="shared" si="1491"/>
        <v>0</v>
      </c>
      <c r="CK288">
        <f t="shared" si="1390"/>
        <v>0</v>
      </c>
      <c r="CL288">
        <f t="shared" si="1358"/>
        <v>0</v>
      </c>
      <c r="CM288">
        <f t="shared" si="1359"/>
        <v>0</v>
      </c>
      <c r="CN288">
        <f t="shared" si="1360"/>
        <v>0</v>
      </c>
      <c r="CO288">
        <f t="shared" ref="CO288:CX288" si="1770">IF(CO$230,CP183,0)</f>
        <v>0</v>
      </c>
      <c r="CP288">
        <f t="shared" si="1770"/>
        <v>0</v>
      </c>
      <c r="CQ288">
        <f t="shared" si="1770"/>
        <v>0</v>
      </c>
      <c r="CR288">
        <f t="shared" si="1770"/>
        <v>0</v>
      </c>
      <c r="CS288">
        <f t="shared" si="1770"/>
        <v>0</v>
      </c>
      <c r="CT288">
        <f t="shared" si="1770"/>
        <v>0</v>
      </c>
      <c r="CU288">
        <f t="shared" si="1770"/>
        <v>0</v>
      </c>
      <c r="CV288">
        <f t="shared" si="1770"/>
        <v>0</v>
      </c>
      <c r="CW288">
        <f t="shared" si="1770"/>
        <v>0</v>
      </c>
      <c r="CX288">
        <f t="shared" si="1770"/>
        <v>0</v>
      </c>
      <c r="CY288">
        <f t="shared" si="1362"/>
        <v>0</v>
      </c>
      <c r="CZ288">
        <f t="shared" si="1363"/>
        <v>0</v>
      </c>
      <c r="DA288">
        <f t="shared" si="1364"/>
        <v>0</v>
      </c>
      <c r="DB288">
        <f t="shared" si="1365"/>
        <v>0</v>
      </c>
      <c r="DC288">
        <f t="shared" si="1366"/>
        <v>0</v>
      </c>
      <c r="DD288">
        <f t="shared" si="1367"/>
        <v>0</v>
      </c>
      <c r="DE288">
        <f t="shared" si="1368"/>
        <v>0</v>
      </c>
      <c r="DF288">
        <f t="shared" si="1369"/>
        <v>0</v>
      </c>
      <c r="DG288">
        <f t="shared" si="1370"/>
        <v>0</v>
      </c>
      <c r="DH288">
        <f t="shared" si="1371"/>
        <v>0</v>
      </c>
      <c r="DI288">
        <f t="shared" si="1372"/>
        <v>0</v>
      </c>
      <c r="DJ288">
        <f t="shared" si="1373"/>
        <v>0</v>
      </c>
      <c r="DK288">
        <f t="shared" si="1374"/>
        <v>0</v>
      </c>
      <c r="DL288">
        <f t="shared" si="1375"/>
        <v>0</v>
      </c>
      <c r="DM288">
        <f t="shared" si="1376"/>
        <v>0</v>
      </c>
      <c r="DN288">
        <f t="shared" si="1377"/>
        <v>0</v>
      </c>
      <c r="DO288">
        <f t="shared" si="1378"/>
        <v>0</v>
      </c>
      <c r="DP288">
        <f t="shared" si="1379"/>
        <v>0</v>
      </c>
      <c r="DQ288">
        <f t="shared" si="1380"/>
        <v>0</v>
      </c>
      <c r="DR288">
        <f t="shared" si="1381"/>
        <v>0</v>
      </c>
      <c r="DT288" s="77"/>
      <c r="DU288" s="8" t="str">
        <f>Hidden!$CG71</f>
        <v/>
      </c>
      <c r="DV288">
        <f t="shared" si="1709"/>
        <v>0</v>
      </c>
      <c r="DW288">
        <f t="shared" si="1710"/>
        <v>0</v>
      </c>
      <c r="DX288">
        <f t="shared" si="1711"/>
        <v>0</v>
      </c>
      <c r="DY288">
        <f t="shared" si="1712"/>
        <v>0</v>
      </c>
      <c r="DZ288">
        <f t="shared" si="1713"/>
        <v>0</v>
      </c>
      <c r="EA288">
        <f t="shared" si="1714"/>
        <v>0</v>
      </c>
      <c r="EB288">
        <f t="shared" si="1715"/>
        <v>0</v>
      </c>
      <c r="EC288">
        <f t="shared" si="1716"/>
        <v>0</v>
      </c>
      <c r="ED288">
        <f t="shared" si="1717"/>
        <v>0</v>
      </c>
      <c r="EE288">
        <f t="shared" si="1718"/>
        <v>0</v>
      </c>
      <c r="EF288">
        <f t="shared" si="1719"/>
        <v>0</v>
      </c>
      <c r="EG288">
        <f t="shared" si="1720"/>
        <v>0</v>
      </c>
      <c r="EH288">
        <f t="shared" si="1721"/>
        <v>0</v>
      </c>
      <c r="EI288">
        <f t="shared" si="1722"/>
        <v>0</v>
      </c>
      <c r="EJ288">
        <f t="shared" si="1723"/>
        <v>0</v>
      </c>
      <c r="EK288">
        <f t="shared" si="1724"/>
        <v>0</v>
      </c>
      <c r="EL288">
        <f t="shared" si="1725"/>
        <v>0</v>
      </c>
      <c r="EM288">
        <f t="shared" si="1726"/>
        <v>0</v>
      </c>
      <c r="EN288">
        <f t="shared" si="1727"/>
        <v>0</v>
      </c>
      <c r="EO288">
        <f t="shared" si="1728"/>
        <v>0</v>
      </c>
      <c r="EP288">
        <f t="shared" si="1729"/>
        <v>0</v>
      </c>
      <c r="EQ288">
        <f t="shared" si="1730"/>
        <v>0</v>
      </c>
      <c r="ER288">
        <f t="shared" si="1731"/>
        <v>0</v>
      </c>
      <c r="ES288">
        <f t="shared" ref="ES288:ET288" si="1771">IF(ES$218,FC183,0)</f>
        <v>0</v>
      </c>
      <c r="ET288">
        <f t="shared" si="1771"/>
        <v>0</v>
      </c>
      <c r="EU288">
        <f t="shared" si="1732"/>
        <v>0</v>
      </c>
      <c r="EV288">
        <f t="shared" si="1411"/>
        <v>0</v>
      </c>
      <c r="EW288">
        <f t="shared" si="1757"/>
        <v>0</v>
      </c>
      <c r="EX288">
        <f t="shared" si="1733"/>
        <v>0</v>
      </c>
      <c r="EY288">
        <f t="shared" si="1734"/>
        <v>0</v>
      </c>
      <c r="EZ288">
        <f t="shared" ref="EZ288:FI288" si="1772">IF(EZ$218,EZ183,0)</f>
        <v>0</v>
      </c>
      <c r="FA288">
        <f t="shared" si="1772"/>
        <v>0</v>
      </c>
      <c r="FB288">
        <f t="shared" si="1772"/>
        <v>0</v>
      </c>
      <c r="FC288">
        <f t="shared" si="1772"/>
        <v>0</v>
      </c>
      <c r="FD288">
        <f t="shared" si="1772"/>
        <v>0</v>
      </c>
      <c r="FE288">
        <f t="shared" si="1772"/>
        <v>0</v>
      </c>
      <c r="FF288">
        <f t="shared" si="1772"/>
        <v>0</v>
      </c>
      <c r="FG288">
        <f t="shared" si="1772"/>
        <v>0</v>
      </c>
      <c r="FH288">
        <f t="shared" si="1772"/>
        <v>0</v>
      </c>
      <c r="FI288">
        <f t="shared" si="1772"/>
        <v>0</v>
      </c>
      <c r="FJ288">
        <f t="shared" si="1736"/>
        <v>0</v>
      </c>
      <c r="FK288">
        <f t="shared" si="1737"/>
        <v>0</v>
      </c>
      <c r="FL288">
        <f t="shared" si="1413"/>
        <v>0</v>
      </c>
      <c r="FM288">
        <f t="shared" si="1759"/>
        <v>0</v>
      </c>
      <c r="FN288">
        <f t="shared" si="1738"/>
        <v>0</v>
      </c>
      <c r="FO288">
        <f t="shared" si="1739"/>
        <v>0</v>
      </c>
      <c r="FP288">
        <f t="shared" si="1740"/>
        <v>0</v>
      </c>
      <c r="FQ288">
        <f t="shared" si="1741"/>
        <v>0</v>
      </c>
      <c r="FR288">
        <f t="shared" si="1742"/>
        <v>0</v>
      </c>
      <c r="FS288">
        <f t="shared" si="1743"/>
        <v>0</v>
      </c>
      <c r="FT288">
        <f t="shared" si="1744"/>
        <v>0</v>
      </c>
      <c r="FU288">
        <f t="shared" si="1745"/>
        <v>0</v>
      </c>
      <c r="FV288">
        <f t="shared" si="1746"/>
        <v>0</v>
      </c>
      <c r="FW288">
        <f t="shared" si="1747"/>
        <v>0</v>
      </c>
      <c r="FX288">
        <f t="shared" si="1414"/>
        <v>0</v>
      </c>
      <c r="FY288">
        <f t="shared" si="1760"/>
        <v>0</v>
      </c>
      <c r="FZ288">
        <f t="shared" si="1748"/>
        <v>0</v>
      </c>
      <c r="GA288">
        <f t="shared" si="1749"/>
        <v>0</v>
      </c>
      <c r="GB288">
        <f t="shared" si="1750"/>
        <v>0</v>
      </c>
      <c r="GC288">
        <f t="shared" si="1751"/>
        <v>0</v>
      </c>
    </row>
    <row r="289" spans="1:185" x14ac:dyDescent="0.2">
      <c r="A289" s="8" t="str">
        <f t="shared" si="1311"/>
        <v/>
      </c>
      <c r="B289" s="8">
        <f t="shared" si="1312"/>
        <v>0</v>
      </c>
      <c r="C289" s="8">
        <f t="shared" si="1313"/>
        <v>0</v>
      </c>
      <c r="D289" s="8">
        <f t="shared" si="1314"/>
        <v>0</v>
      </c>
      <c r="E289" s="8">
        <f t="shared" si="1486"/>
        <v>0</v>
      </c>
      <c r="F289" s="8">
        <f t="shared" si="1384"/>
        <v>0</v>
      </c>
      <c r="G289" s="8">
        <f t="shared" si="1427"/>
        <v>0</v>
      </c>
      <c r="H289" s="8">
        <f t="shared" si="1428"/>
        <v>0</v>
      </c>
      <c r="I289" s="8">
        <f t="shared" si="1429"/>
        <v>0</v>
      </c>
      <c r="J289" s="8">
        <f t="shared" si="1430"/>
        <v>0</v>
      </c>
      <c r="K289" s="8">
        <f t="shared" si="1431"/>
        <v>0</v>
      </c>
      <c r="L289">
        <f t="shared" si="1320"/>
        <v>0</v>
      </c>
      <c r="M289">
        <f t="shared" si="1321"/>
        <v>0</v>
      </c>
      <c r="N289">
        <f t="shared" si="1322"/>
        <v>0</v>
      </c>
      <c r="O289">
        <f t="shared" si="1323"/>
        <v>0</v>
      </c>
      <c r="P289">
        <f t="shared" si="1324"/>
        <v>0</v>
      </c>
      <c r="Q289">
        <f t="shared" si="1325"/>
        <v>0</v>
      </c>
      <c r="R289">
        <f t="shared" si="1326"/>
        <v>0</v>
      </c>
      <c r="S289">
        <f t="shared" si="1327"/>
        <v>0</v>
      </c>
      <c r="T289">
        <f t="shared" si="1328"/>
        <v>0</v>
      </c>
      <c r="U289">
        <f t="shared" si="1329"/>
        <v>0</v>
      </c>
      <c r="V289">
        <f>IF(V$230,LandEmiss!AF184,0)</f>
        <v>0</v>
      </c>
      <c r="W289">
        <f>IF(W$230,LandEmiss!AG184,0)</f>
        <v>0</v>
      </c>
      <c r="X289">
        <f>IF(X$230,LandEmiss!AH184,0)</f>
        <v>0</v>
      </c>
      <c r="Y289">
        <f>IF(Y$230,LandEmiss!AI184,0)</f>
        <v>0</v>
      </c>
      <c r="Z289">
        <f>IF(Z$230,LandEmiss!AJ184,0)</f>
        <v>0</v>
      </c>
      <c r="AA289">
        <f>IF(AA$230,LandEmiss!AK184,0)</f>
        <v>0</v>
      </c>
      <c r="AB289">
        <f>IF(AB$230,LandEmiss!AL184,0)</f>
        <v>0</v>
      </c>
      <c r="AC289">
        <f>IF(AC$230,LandEmiss!AM184,0)</f>
        <v>0</v>
      </c>
      <c r="AD289">
        <f>IF(AD$230,LandEmiss!AN184,0)</f>
        <v>0</v>
      </c>
      <c r="AE289">
        <f>IF(AE$230,LandEmiss!AO184,0)</f>
        <v>0</v>
      </c>
      <c r="AF289">
        <f t="shared" ref="AF289:AO289" si="1773">IF(AF$230,AF184,0)</f>
        <v>0</v>
      </c>
      <c r="AG289">
        <f t="shared" si="1773"/>
        <v>0</v>
      </c>
      <c r="AH289">
        <f t="shared" si="1773"/>
        <v>0</v>
      </c>
      <c r="AI289">
        <f t="shared" si="1773"/>
        <v>0</v>
      </c>
      <c r="AJ289">
        <f t="shared" si="1773"/>
        <v>0</v>
      </c>
      <c r="AK289">
        <f t="shared" si="1773"/>
        <v>0</v>
      </c>
      <c r="AL289">
        <f t="shared" si="1773"/>
        <v>0</v>
      </c>
      <c r="AM289">
        <f t="shared" si="1773"/>
        <v>0</v>
      </c>
      <c r="AN289">
        <f t="shared" si="1773"/>
        <v>0</v>
      </c>
      <c r="AO289">
        <f t="shared" si="1773"/>
        <v>0</v>
      </c>
      <c r="AP289">
        <f t="shared" si="1331"/>
        <v>0</v>
      </c>
      <c r="AQ289">
        <f t="shared" si="1332"/>
        <v>0</v>
      </c>
      <c r="AR289">
        <f t="shared" si="1333"/>
        <v>0</v>
      </c>
      <c r="AS289">
        <f t="shared" si="1334"/>
        <v>0</v>
      </c>
      <c r="AT289">
        <f t="shared" si="1335"/>
        <v>0</v>
      </c>
      <c r="AU289">
        <f t="shared" si="1336"/>
        <v>0</v>
      </c>
      <c r="AV289">
        <f t="shared" si="1337"/>
        <v>0</v>
      </c>
      <c r="AW289">
        <f t="shared" si="1338"/>
        <v>0</v>
      </c>
      <c r="AX289">
        <f t="shared" si="1339"/>
        <v>0</v>
      </c>
      <c r="AY289">
        <f t="shared" si="1340"/>
        <v>0</v>
      </c>
      <c r="AZ289">
        <f t="shared" si="1341"/>
        <v>0</v>
      </c>
      <c r="BA289">
        <f t="shared" si="1342"/>
        <v>0</v>
      </c>
      <c r="BB289">
        <f t="shared" si="1343"/>
        <v>0</v>
      </c>
      <c r="BC289">
        <f t="shared" si="1344"/>
        <v>0</v>
      </c>
      <c r="BD289">
        <f t="shared" si="1345"/>
        <v>0</v>
      </c>
      <c r="BE289">
        <f t="shared" si="1346"/>
        <v>0</v>
      </c>
      <c r="BF289">
        <f t="shared" si="1347"/>
        <v>0</v>
      </c>
      <c r="BG289">
        <f t="shared" si="1348"/>
        <v>0</v>
      </c>
      <c r="BH289">
        <f t="shared" si="1488"/>
        <v>0</v>
      </c>
      <c r="BI289">
        <f t="shared" si="1387"/>
        <v>0</v>
      </c>
      <c r="BJ289" s="8" t="str">
        <f>Hidden!$CC60</f>
        <v/>
      </c>
      <c r="BK289">
        <f t="shared" ref="BK289:BT289" si="1774">IF(BK$230,CP184,0)</f>
        <v>0</v>
      </c>
      <c r="BL289">
        <f t="shared" si="1774"/>
        <v>0</v>
      </c>
      <c r="BM289">
        <f t="shared" si="1774"/>
        <v>0</v>
      </c>
      <c r="BN289">
        <f t="shared" si="1774"/>
        <v>0</v>
      </c>
      <c r="BO289">
        <f t="shared" si="1774"/>
        <v>0</v>
      </c>
      <c r="BP289">
        <f t="shared" si="1774"/>
        <v>0</v>
      </c>
      <c r="BQ289">
        <f t="shared" si="1774"/>
        <v>0</v>
      </c>
      <c r="BR289">
        <f t="shared" si="1774"/>
        <v>0</v>
      </c>
      <c r="BS289">
        <f t="shared" si="1774"/>
        <v>0</v>
      </c>
      <c r="BT289">
        <f t="shared" si="1774"/>
        <v>0</v>
      </c>
      <c r="BU289">
        <f t="shared" ref="BU289:CD289" si="1775">IF(BU$230,CP184,0)</f>
        <v>0</v>
      </c>
      <c r="BV289">
        <f t="shared" si="1775"/>
        <v>0</v>
      </c>
      <c r="BW289">
        <f t="shared" si="1775"/>
        <v>0</v>
      </c>
      <c r="BX289">
        <f t="shared" si="1775"/>
        <v>0</v>
      </c>
      <c r="BY289">
        <f t="shared" si="1775"/>
        <v>0</v>
      </c>
      <c r="BZ289">
        <f t="shared" si="1775"/>
        <v>0</v>
      </c>
      <c r="CA289">
        <f t="shared" si="1775"/>
        <v>0</v>
      </c>
      <c r="CB289">
        <f t="shared" si="1775"/>
        <v>0</v>
      </c>
      <c r="CC289">
        <f t="shared" si="1775"/>
        <v>0</v>
      </c>
      <c r="CD289">
        <f t="shared" si="1775"/>
        <v>0</v>
      </c>
      <c r="CE289">
        <f t="shared" si="1352"/>
        <v>0</v>
      </c>
      <c r="CF289">
        <f t="shared" si="1353"/>
        <v>0</v>
      </c>
      <c r="CG289">
        <f t="shared" si="1354"/>
        <v>0</v>
      </c>
      <c r="CH289">
        <f t="shared" si="1355"/>
        <v>0</v>
      </c>
      <c r="CI289">
        <f t="shared" si="1356"/>
        <v>0</v>
      </c>
      <c r="CJ289">
        <f t="shared" si="1491"/>
        <v>0</v>
      </c>
      <c r="CK289">
        <f t="shared" si="1390"/>
        <v>0</v>
      </c>
      <c r="CL289">
        <f t="shared" si="1358"/>
        <v>0</v>
      </c>
      <c r="CM289">
        <f t="shared" si="1359"/>
        <v>0</v>
      </c>
      <c r="CN289">
        <f t="shared" si="1360"/>
        <v>0</v>
      </c>
      <c r="CO289">
        <f t="shared" ref="CO289:CX289" si="1776">IF(CO$230,CP184,0)</f>
        <v>0</v>
      </c>
      <c r="CP289">
        <f t="shared" si="1776"/>
        <v>0</v>
      </c>
      <c r="CQ289">
        <f t="shared" si="1776"/>
        <v>0</v>
      </c>
      <c r="CR289">
        <f t="shared" si="1776"/>
        <v>0</v>
      </c>
      <c r="CS289">
        <f t="shared" si="1776"/>
        <v>0</v>
      </c>
      <c r="CT289">
        <f t="shared" si="1776"/>
        <v>0</v>
      </c>
      <c r="CU289">
        <f t="shared" si="1776"/>
        <v>0</v>
      </c>
      <c r="CV289">
        <f t="shared" si="1776"/>
        <v>0</v>
      </c>
      <c r="CW289">
        <f t="shared" si="1776"/>
        <v>0</v>
      </c>
      <c r="CX289">
        <f t="shared" si="1776"/>
        <v>0</v>
      </c>
      <c r="CY289">
        <f t="shared" si="1362"/>
        <v>0</v>
      </c>
      <c r="CZ289">
        <f t="shared" si="1363"/>
        <v>0</v>
      </c>
      <c r="DA289">
        <f t="shared" si="1364"/>
        <v>0</v>
      </c>
      <c r="DB289">
        <f t="shared" si="1365"/>
        <v>0</v>
      </c>
      <c r="DC289">
        <f t="shared" si="1366"/>
        <v>0</v>
      </c>
      <c r="DD289">
        <f t="shared" si="1367"/>
        <v>0</v>
      </c>
      <c r="DE289">
        <f t="shared" si="1368"/>
        <v>0</v>
      </c>
      <c r="DF289">
        <f t="shared" si="1369"/>
        <v>0</v>
      </c>
      <c r="DG289">
        <f t="shared" si="1370"/>
        <v>0</v>
      </c>
      <c r="DH289">
        <f t="shared" si="1371"/>
        <v>0</v>
      </c>
      <c r="DI289">
        <f t="shared" si="1372"/>
        <v>0</v>
      </c>
      <c r="DJ289">
        <f t="shared" si="1373"/>
        <v>0</v>
      </c>
      <c r="DK289">
        <f t="shared" si="1374"/>
        <v>0</v>
      </c>
      <c r="DL289">
        <f t="shared" si="1375"/>
        <v>0</v>
      </c>
      <c r="DM289">
        <f t="shared" si="1376"/>
        <v>0</v>
      </c>
      <c r="DN289">
        <f t="shared" si="1377"/>
        <v>0</v>
      </c>
      <c r="DO289">
        <f t="shared" si="1378"/>
        <v>0</v>
      </c>
      <c r="DP289">
        <f t="shared" si="1379"/>
        <v>0</v>
      </c>
      <c r="DQ289">
        <f t="shared" si="1380"/>
        <v>0</v>
      </c>
      <c r="DR289">
        <f t="shared" si="1381"/>
        <v>0</v>
      </c>
      <c r="DT289" s="77"/>
      <c r="DU289" s="8" t="str">
        <f>Hidden!$CG72</f>
        <v/>
      </c>
      <c r="DV289">
        <f t="shared" si="1709"/>
        <v>0</v>
      </c>
      <c r="DW289">
        <f t="shared" si="1710"/>
        <v>0</v>
      </c>
      <c r="DX289">
        <f t="shared" si="1711"/>
        <v>0</v>
      </c>
      <c r="DY289">
        <f t="shared" si="1712"/>
        <v>0</v>
      </c>
      <c r="DZ289">
        <f t="shared" si="1713"/>
        <v>0</v>
      </c>
      <c r="EA289">
        <f t="shared" si="1714"/>
        <v>0</v>
      </c>
      <c r="EB289">
        <f t="shared" si="1715"/>
        <v>0</v>
      </c>
      <c r="EC289">
        <f t="shared" si="1716"/>
        <v>0</v>
      </c>
      <c r="ED289">
        <f t="shared" si="1717"/>
        <v>0</v>
      </c>
      <c r="EE289">
        <f t="shared" si="1718"/>
        <v>0</v>
      </c>
      <c r="EF289">
        <f t="shared" si="1719"/>
        <v>0</v>
      </c>
      <c r="EG289">
        <f t="shared" si="1720"/>
        <v>0</v>
      </c>
      <c r="EH289">
        <f t="shared" si="1721"/>
        <v>0</v>
      </c>
      <c r="EI289">
        <f t="shared" si="1722"/>
        <v>0</v>
      </c>
      <c r="EJ289">
        <f t="shared" si="1723"/>
        <v>0</v>
      </c>
      <c r="EK289">
        <f t="shared" si="1724"/>
        <v>0</v>
      </c>
      <c r="EL289">
        <f t="shared" si="1725"/>
        <v>0</v>
      </c>
      <c r="EM289">
        <f t="shared" si="1726"/>
        <v>0</v>
      </c>
      <c r="EN289">
        <f t="shared" si="1727"/>
        <v>0</v>
      </c>
      <c r="EO289">
        <f t="shared" si="1728"/>
        <v>0</v>
      </c>
      <c r="EP289">
        <f t="shared" si="1729"/>
        <v>0</v>
      </c>
      <c r="EQ289">
        <f t="shared" si="1730"/>
        <v>0</v>
      </c>
      <c r="ER289">
        <f t="shared" si="1731"/>
        <v>0</v>
      </c>
      <c r="ES289">
        <f t="shared" ref="ES289:ET289" si="1777">IF(ES$218,FC184,0)</f>
        <v>0</v>
      </c>
      <c r="ET289">
        <f t="shared" si="1777"/>
        <v>0</v>
      </c>
      <c r="EU289">
        <f t="shared" si="1732"/>
        <v>0</v>
      </c>
      <c r="EV289">
        <f t="shared" si="1411"/>
        <v>0</v>
      </c>
      <c r="EW289">
        <f t="shared" si="1757"/>
        <v>0</v>
      </c>
      <c r="EX289">
        <f t="shared" si="1733"/>
        <v>0</v>
      </c>
      <c r="EY289">
        <f t="shared" si="1734"/>
        <v>0</v>
      </c>
      <c r="EZ289">
        <f t="shared" ref="EZ289:FI289" si="1778">IF(EZ$218,EZ184,0)</f>
        <v>0</v>
      </c>
      <c r="FA289">
        <f t="shared" si="1778"/>
        <v>0</v>
      </c>
      <c r="FB289">
        <f t="shared" si="1778"/>
        <v>0</v>
      </c>
      <c r="FC289">
        <f t="shared" si="1778"/>
        <v>0</v>
      </c>
      <c r="FD289">
        <f t="shared" si="1778"/>
        <v>0</v>
      </c>
      <c r="FE289">
        <f t="shared" si="1778"/>
        <v>0</v>
      </c>
      <c r="FF289">
        <f t="shared" si="1778"/>
        <v>0</v>
      </c>
      <c r="FG289">
        <f t="shared" si="1778"/>
        <v>0</v>
      </c>
      <c r="FH289">
        <f t="shared" si="1778"/>
        <v>0</v>
      </c>
      <c r="FI289">
        <f t="shared" si="1778"/>
        <v>0</v>
      </c>
      <c r="FJ289">
        <f t="shared" si="1736"/>
        <v>0</v>
      </c>
      <c r="FK289">
        <f t="shared" si="1737"/>
        <v>0</v>
      </c>
      <c r="FL289">
        <f t="shared" si="1413"/>
        <v>0</v>
      </c>
      <c r="FM289">
        <f t="shared" si="1759"/>
        <v>0</v>
      </c>
      <c r="FN289">
        <f t="shared" si="1738"/>
        <v>0</v>
      </c>
      <c r="FO289">
        <f t="shared" si="1739"/>
        <v>0</v>
      </c>
      <c r="FP289">
        <f t="shared" si="1740"/>
        <v>0</v>
      </c>
      <c r="FQ289">
        <f t="shared" si="1741"/>
        <v>0</v>
      </c>
      <c r="FR289">
        <f t="shared" si="1742"/>
        <v>0</v>
      </c>
      <c r="FS289">
        <f t="shared" si="1743"/>
        <v>0</v>
      </c>
      <c r="FT289">
        <f t="shared" si="1744"/>
        <v>0</v>
      </c>
      <c r="FU289">
        <f t="shared" si="1745"/>
        <v>0</v>
      </c>
      <c r="FV289">
        <f t="shared" si="1746"/>
        <v>0</v>
      </c>
      <c r="FW289">
        <f t="shared" si="1747"/>
        <v>0</v>
      </c>
      <c r="FX289">
        <f t="shared" si="1414"/>
        <v>0</v>
      </c>
      <c r="FY289">
        <f t="shared" si="1760"/>
        <v>0</v>
      </c>
      <c r="FZ289">
        <f t="shared" si="1748"/>
        <v>0</v>
      </c>
      <c r="GA289">
        <f t="shared" si="1749"/>
        <v>0</v>
      </c>
      <c r="GB289">
        <f t="shared" si="1750"/>
        <v>0</v>
      </c>
      <c r="GC289">
        <f t="shared" si="1751"/>
        <v>0</v>
      </c>
    </row>
    <row r="290" spans="1:185" x14ac:dyDescent="0.2">
      <c r="A290" s="8" t="str">
        <f t="shared" si="1311"/>
        <v/>
      </c>
      <c r="B290" s="8">
        <f t="shared" si="1312"/>
        <v>0</v>
      </c>
      <c r="C290" s="8">
        <f t="shared" si="1313"/>
        <v>0</v>
      </c>
      <c r="D290" s="8">
        <f t="shared" si="1314"/>
        <v>0</v>
      </c>
      <c r="E290" s="8">
        <f t="shared" si="1486"/>
        <v>0</v>
      </c>
      <c r="F290" s="8">
        <f t="shared" si="1384"/>
        <v>0</v>
      </c>
      <c r="G290" s="8">
        <f t="shared" si="1427"/>
        <v>0</v>
      </c>
      <c r="H290" s="8">
        <f t="shared" si="1428"/>
        <v>0</v>
      </c>
      <c r="I290" s="8">
        <f t="shared" si="1429"/>
        <v>0</v>
      </c>
      <c r="J290" s="8">
        <f t="shared" si="1430"/>
        <v>0</v>
      </c>
      <c r="K290" s="8">
        <f t="shared" si="1431"/>
        <v>0</v>
      </c>
      <c r="L290">
        <f t="shared" si="1320"/>
        <v>0</v>
      </c>
      <c r="M290">
        <f t="shared" si="1321"/>
        <v>0</v>
      </c>
      <c r="N290">
        <f t="shared" si="1322"/>
        <v>0</v>
      </c>
      <c r="O290">
        <f t="shared" si="1323"/>
        <v>0</v>
      </c>
      <c r="P290">
        <f t="shared" si="1324"/>
        <v>0</v>
      </c>
      <c r="Q290">
        <f t="shared" si="1325"/>
        <v>0</v>
      </c>
      <c r="R290">
        <f t="shared" si="1326"/>
        <v>0</v>
      </c>
      <c r="S290">
        <f t="shared" si="1327"/>
        <v>0</v>
      </c>
      <c r="T290">
        <f t="shared" si="1328"/>
        <v>0</v>
      </c>
      <c r="U290">
        <f t="shared" si="1329"/>
        <v>0</v>
      </c>
      <c r="V290">
        <f>IF(V$230,LandEmiss!AF185,0)</f>
        <v>0</v>
      </c>
      <c r="W290">
        <f>IF(W$230,LandEmiss!AG185,0)</f>
        <v>0</v>
      </c>
      <c r="X290">
        <f>IF(X$230,LandEmiss!AH185,0)</f>
        <v>0</v>
      </c>
      <c r="Y290">
        <f>IF(Y$230,LandEmiss!AI185,0)</f>
        <v>0</v>
      </c>
      <c r="Z290">
        <f>IF(Z$230,LandEmiss!AJ185,0)</f>
        <v>0</v>
      </c>
      <c r="AA290">
        <f>IF(AA$230,LandEmiss!AK185,0)</f>
        <v>0</v>
      </c>
      <c r="AB290">
        <f>IF(AB$230,LandEmiss!AL185,0)</f>
        <v>0</v>
      </c>
      <c r="AC290">
        <f>IF(AC$230,LandEmiss!AM185,0)</f>
        <v>0</v>
      </c>
      <c r="AD290">
        <f>IF(AD$230,LandEmiss!AN185,0)</f>
        <v>0</v>
      </c>
      <c r="AE290">
        <f>IF(AE$230,LandEmiss!AO185,0)</f>
        <v>0</v>
      </c>
      <c r="AF290">
        <f t="shared" ref="AF290:AO290" si="1779">IF(AF$230,AF185,0)</f>
        <v>0</v>
      </c>
      <c r="AG290">
        <f t="shared" si="1779"/>
        <v>0</v>
      </c>
      <c r="AH290">
        <f t="shared" si="1779"/>
        <v>0</v>
      </c>
      <c r="AI290">
        <f t="shared" si="1779"/>
        <v>0</v>
      </c>
      <c r="AJ290">
        <f t="shared" si="1779"/>
        <v>0</v>
      </c>
      <c r="AK290">
        <f t="shared" si="1779"/>
        <v>0</v>
      </c>
      <c r="AL290">
        <f t="shared" si="1779"/>
        <v>0</v>
      </c>
      <c r="AM290">
        <f t="shared" si="1779"/>
        <v>0</v>
      </c>
      <c r="AN290">
        <f t="shared" si="1779"/>
        <v>0</v>
      </c>
      <c r="AO290">
        <f t="shared" si="1779"/>
        <v>0</v>
      </c>
      <c r="AP290">
        <f t="shared" si="1331"/>
        <v>0</v>
      </c>
      <c r="AQ290">
        <f t="shared" si="1332"/>
        <v>0</v>
      </c>
      <c r="AR290">
        <f t="shared" si="1333"/>
        <v>0</v>
      </c>
      <c r="AS290">
        <f t="shared" si="1334"/>
        <v>0</v>
      </c>
      <c r="AT290">
        <f t="shared" si="1335"/>
        <v>0</v>
      </c>
      <c r="AU290">
        <f t="shared" si="1336"/>
        <v>0</v>
      </c>
      <c r="AV290">
        <f t="shared" si="1337"/>
        <v>0</v>
      </c>
      <c r="AW290">
        <f t="shared" si="1338"/>
        <v>0</v>
      </c>
      <c r="AX290">
        <f t="shared" si="1339"/>
        <v>0</v>
      </c>
      <c r="AY290">
        <f t="shared" si="1340"/>
        <v>0</v>
      </c>
      <c r="AZ290">
        <f t="shared" si="1341"/>
        <v>0</v>
      </c>
      <c r="BA290">
        <f t="shared" si="1342"/>
        <v>0</v>
      </c>
      <c r="BB290">
        <f t="shared" si="1343"/>
        <v>0</v>
      </c>
      <c r="BC290">
        <f t="shared" si="1344"/>
        <v>0</v>
      </c>
      <c r="BD290">
        <f t="shared" si="1345"/>
        <v>0</v>
      </c>
      <c r="BE290">
        <f t="shared" si="1346"/>
        <v>0</v>
      </c>
      <c r="BF290">
        <f t="shared" si="1347"/>
        <v>0</v>
      </c>
      <c r="BG290">
        <f t="shared" si="1348"/>
        <v>0</v>
      </c>
      <c r="BH290">
        <f t="shared" si="1488"/>
        <v>0</v>
      </c>
      <c r="BI290">
        <f t="shared" si="1387"/>
        <v>0</v>
      </c>
      <c r="BJ290" s="8" t="str">
        <f>Hidden!$CC61</f>
        <v/>
      </c>
      <c r="BK290">
        <f t="shared" ref="BK290:BT290" si="1780">IF(BK$230,CP185,0)</f>
        <v>0</v>
      </c>
      <c r="BL290">
        <f t="shared" si="1780"/>
        <v>0</v>
      </c>
      <c r="BM290">
        <f t="shared" si="1780"/>
        <v>0</v>
      </c>
      <c r="BN290">
        <f t="shared" si="1780"/>
        <v>0</v>
      </c>
      <c r="BO290">
        <f t="shared" si="1780"/>
        <v>0</v>
      </c>
      <c r="BP290">
        <f t="shared" si="1780"/>
        <v>0</v>
      </c>
      <c r="BQ290">
        <f t="shared" si="1780"/>
        <v>0</v>
      </c>
      <c r="BR290">
        <f t="shared" si="1780"/>
        <v>0</v>
      </c>
      <c r="BS290">
        <f t="shared" si="1780"/>
        <v>0</v>
      </c>
      <c r="BT290">
        <f t="shared" si="1780"/>
        <v>0</v>
      </c>
      <c r="BU290">
        <f t="shared" ref="BU290:CD290" si="1781">IF(BU$230,CP185,0)</f>
        <v>0</v>
      </c>
      <c r="BV290">
        <f t="shared" si="1781"/>
        <v>0</v>
      </c>
      <c r="BW290">
        <f t="shared" si="1781"/>
        <v>0</v>
      </c>
      <c r="BX290">
        <f t="shared" si="1781"/>
        <v>0</v>
      </c>
      <c r="BY290">
        <f t="shared" si="1781"/>
        <v>0</v>
      </c>
      <c r="BZ290">
        <f t="shared" si="1781"/>
        <v>0</v>
      </c>
      <c r="CA290">
        <f t="shared" si="1781"/>
        <v>0</v>
      </c>
      <c r="CB290">
        <f t="shared" si="1781"/>
        <v>0</v>
      </c>
      <c r="CC290">
        <f t="shared" si="1781"/>
        <v>0</v>
      </c>
      <c r="CD290">
        <f t="shared" si="1781"/>
        <v>0</v>
      </c>
      <c r="CE290">
        <f t="shared" si="1352"/>
        <v>0</v>
      </c>
      <c r="CF290">
        <f t="shared" si="1353"/>
        <v>0</v>
      </c>
      <c r="CG290">
        <f t="shared" si="1354"/>
        <v>0</v>
      </c>
      <c r="CH290">
        <f t="shared" si="1355"/>
        <v>0</v>
      </c>
      <c r="CI290">
        <f t="shared" si="1356"/>
        <v>0</v>
      </c>
      <c r="CJ290">
        <f t="shared" si="1491"/>
        <v>0</v>
      </c>
      <c r="CK290">
        <f t="shared" si="1390"/>
        <v>0</v>
      </c>
      <c r="CL290">
        <f t="shared" si="1358"/>
        <v>0</v>
      </c>
      <c r="CM290">
        <f t="shared" si="1359"/>
        <v>0</v>
      </c>
      <c r="CN290">
        <f t="shared" si="1360"/>
        <v>0</v>
      </c>
      <c r="CO290">
        <f t="shared" ref="CO290:CX290" si="1782">IF(CO$230,CP185,0)</f>
        <v>0</v>
      </c>
      <c r="CP290">
        <f t="shared" si="1782"/>
        <v>0</v>
      </c>
      <c r="CQ290">
        <f t="shared" si="1782"/>
        <v>0</v>
      </c>
      <c r="CR290">
        <f t="shared" si="1782"/>
        <v>0</v>
      </c>
      <c r="CS290">
        <f t="shared" si="1782"/>
        <v>0</v>
      </c>
      <c r="CT290">
        <f t="shared" si="1782"/>
        <v>0</v>
      </c>
      <c r="CU290">
        <f t="shared" si="1782"/>
        <v>0</v>
      </c>
      <c r="CV290">
        <f t="shared" si="1782"/>
        <v>0</v>
      </c>
      <c r="CW290">
        <f t="shared" si="1782"/>
        <v>0</v>
      </c>
      <c r="CX290">
        <f t="shared" si="1782"/>
        <v>0</v>
      </c>
      <c r="CY290">
        <f t="shared" si="1362"/>
        <v>0</v>
      </c>
      <c r="CZ290">
        <f t="shared" si="1363"/>
        <v>0</v>
      </c>
      <c r="DA290">
        <f t="shared" si="1364"/>
        <v>0</v>
      </c>
      <c r="DB290">
        <f t="shared" si="1365"/>
        <v>0</v>
      </c>
      <c r="DC290">
        <f t="shared" si="1366"/>
        <v>0</v>
      </c>
      <c r="DD290">
        <f t="shared" si="1367"/>
        <v>0</v>
      </c>
      <c r="DE290">
        <f t="shared" si="1368"/>
        <v>0</v>
      </c>
      <c r="DF290">
        <f t="shared" si="1369"/>
        <v>0</v>
      </c>
      <c r="DG290">
        <f t="shared" si="1370"/>
        <v>0</v>
      </c>
      <c r="DH290">
        <f t="shared" si="1371"/>
        <v>0</v>
      </c>
      <c r="DI290">
        <f t="shared" si="1372"/>
        <v>0</v>
      </c>
      <c r="DJ290">
        <f t="shared" si="1373"/>
        <v>0</v>
      </c>
      <c r="DK290">
        <f t="shared" si="1374"/>
        <v>0</v>
      </c>
      <c r="DL290">
        <f t="shared" si="1375"/>
        <v>0</v>
      </c>
      <c r="DM290">
        <f t="shared" si="1376"/>
        <v>0</v>
      </c>
      <c r="DN290">
        <f t="shared" si="1377"/>
        <v>0</v>
      </c>
      <c r="DO290">
        <f t="shared" si="1378"/>
        <v>0</v>
      </c>
      <c r="DP290">
        <f t="shared" si="1379"/>
        <v>0</v>
      </c>
      <c r="DQ290">
        <f t="shared" si="1380"/>
        <v>0</v>
      </c>
      <c r="DR290">
        <f t="shared" si="1381"/>
        <v>0</v>
      </c>
      <c r="DT290" s="77"/>
      <c r="DU290" s="8" t="str">
        <f>Hidden!$CG73</f>
        <v/>
      </c>
      <c r="DV290">
        <f t="shared" si="1709"/>
        <v>0</v>
      </c>
      <c r="DW290">
        <f t="shared" si="1710"/>
        <v>0</v>
      </c>
      <c r="DX290">
        <f t="shared" si="1711"/>
        <v>0</v>
      </c>
      <c r="DY290">
        <f t="shared" si="1712"/>
        <v>0</v>
      </c>
      <c r="DZ290">
        <f t="shared" si="1713"/>
        <v>0</v>
      </c>
      <c r="EA290">
        <f t="shared" si="1714"/>
        <v>0</v>
      </c>
      <c r="EB290">
        <f t="shared" si="1715"/>
        <v>0</v>
      </c>
      <c r="EC290">
        <f t="shared" si="1716"/>
        <v>0</v>
      </c>
      <c r="ED290">
        <f t="shared" si="1717"/>
        <v>0</v>
      </c>
      <c r="EE290">
        <f t="shared" si="1718"/>
        <v>0</v>
      </c>
      <c r="EF290">
        <f t="shared" si="1719"/>
        <v>0</v>
      </c>
      <c r="EG290">
        <f t="shared" si="1720"/>
        <v>0</v>
      </c>
      <c r="EH290">
        <f t="shared" si="1721"/>
        <v>0</v>
      </c>
      <c r="EI290">
        <f t="shared" si="1722"/>
        <v>0</v>
      </c>
      <c r="EJ290">
        <f t="shared" si="1723"/>
        <v>0</v>
      </c>
      <c r="EK290">
        <f t="shared" si="1724"/>
        <v>0</v>
      </c>
      <c r="EL290">
        <f t="shared" si="1725"/>
        <v>0</v>
      </c>
      <c r="EM290">
        <f t="shared" si="1726"/>
        <v>0</v>
      </c>
      <c r="EN290">
        <f t="shared" si="1727"/>
        <v>0</v>
      </c>
      <c r="EO290">
        <f t="shared" si="1728"/>
        <v>0</v>
      </c>
      <c r="EP290">
        <f t="shared" si="1729"/>
        <v>0</v>
      </c>
      <c r="EQ290">
        <f t="shared" si="1730"/>
        <v>0</v>
      </c>
      <c r="ER290">
        <f t="shared" si="1731"/>
        <v>0</v>
      </c>
      <c r="ES290">
        <f t="shared" ref="ES290:ET290" si="1783">IF(ES$218,FC185,0)</f>
        <v>0</v>
      </c>
      <c r="ET290">
        <f t="shared" si="1783"/>
        <v>0</v>
      </c>
      <c r="EU290">
        <f t="shared" si="1732"/>
        <v>0</v>
      </c>
      <c r="EV290">
        <f t="shared" si="1411"/>
        <v>0</v>
      </c>
      <c r="EW290">
        <f t="shared" si="1757"/>
        <v>0</v>
      </c>
      <c r="EX290">
        <f t="shared" si="1733"/>
        <v>0</v>
      </c>
      <c r="EY290">
        <f t="shared" si="1734"/>
        <v>0</v>
      </c>
      <c r="EZ290">
        <f t="shared" ref="EZ290:FI290" si="1784">IF(EZ$218,EZ185,0)</f>
        <v>0</v>
      </c>
      <c r="FA290">
        <f t="shared" si="1784"/>
        <v>0</v>
      </c>
      <c r="FB290">
        <f t="shared" si="1784"/>
        <v>0</v>
      </c>
      <c r="FC290">
        <f t="shared" si="1784"/>
        <v>0</v>
      </c>
      <c r="FD290">
        <f t="shared" si="1784"/>
        <v>0</v>
      </c>
      <c r="FE290">
        <f t="shared" si="1784"/>
        <v>0</v>
      </c>
      <c r="FF290">
        <f t="shared" si="1784"/>
        <v>0</v>
      </c>
      <c r="FG290">
        <f t="shared" si="1784"/>
        <v>0</v>
      </c>
      <c r="FH290">
        <f t="shared" si="1784"/>
        <v>0</v>
      </c>
      <c r="FI290">
        <f t="shared" si="1784"/>
        <v>0</v>
      </c>
      <c r="FJ290">
        <f t="shared" si="1736"/>
        <v>0</v>
      </c>
      <c r="FK290">
        <f t="shared" si="1737"/>
        <v>0</v>
      </c>
      <c r="FL290">
        <f t="shared" si="1413"/>
        <v>0</v>
      </c>
      <c r="FM290">
        <f t="shared" si="1759"/>
        <v>0</v>
      </c>
      <c r="FN290">
        <f t="shared" si="1738"/>
        <v>0</v>
      </c>
      <c r="FO290">
        <f t="shared" si="1739"/>
        <v>0</v>
      </c>
      <c r="FP290">
        <f t="shared" si="1740"/>
        <v>0</v>
      </c>
      <c r="FQ290">
        <f t="shared" si="1741"/>
        <v>0</v>
      </c>
      <c r="FR290">
        <f t="shared" si="1742"/>
        <v>0</v>
      </c>
      <c r="FS290">
        <f t="shared" si="1743"/>
        <v>0</v>
      </c>
      <c r="FT290">
        <f t="shared" si="1744"/>
        <v>0</v>
      </c>
      <c r="FU290">
        <f t="shared" si="1745"/>
        <v>0</v>
      </c>
      <c r="FV290">
        <f t="shared" si="1746"/>
        <v>0</v>
      </c>
      <c r="FW290">
        <f t="shared" si="1747"/>
        <v>0</v>
      </c>
      <c r="FX290">
        <f t="shared" si="1414"/>
        <v>0</v>
      </c>
      <c r="FY290">
        <f t="shared" si="1760"/>
        <v>0</v>
      </c>
      <c r="FZ290">
        <f t="shared" si="1748"/>
        <v>0</v>
      </c>
      <c r="GA290">
        <f t="shared" si="1749"/>
        <v>0</v>
      </c>
      <c r="GB290">
        <f t="shared" si="1750"/>
        <v>0</v>
      </c>
      <c r="GC290">
        <f t="shared" si="1751"/>
        <v>0</v>
      </c>
    </row>
    <row r="291" spans="1:185" x14ac:dyDescent="0.2">
      <c r="A291" s="8" t="str">
        <f t="shared" si="1311"/>
        <v/>
      </c>
      <c r="B291" s="8">
        <f t="shared" si="1312"/>
        <v>0</v>
      </c>
      <c r="C291" s="8">
        <f t="shared" si="1313"/>
        <v>0</v>
      </c>
      <c r="D291" s="8">
        <f t="shared" si="1314"/>
        <v>0</v>
      </c>
      <c r="E291" s="8">
        <f t="shared" si="1486"/>
        <v>0</v>
      </c>
      <c r="F291" s="8">
        <f t="shared" si="1384"/>
        <v>0</v>
      </c>
      <c r="G291" s="8">
        <f t="shared" si="1427"/>
        <v>0</v>
      </c>
      <c r="H291" s="8">
        <f t="shared" si="1428"/>
        <v>0</v>
      </c>
      <c r="I291" s="8">
        <f t="shared" si="1429"/>
        <v>0</v>
      </c>
      <c r="J291" s="8">
        <f t="shared" si="1430"/>
        <v>0</v>
      </c>
      <c r="K291" s="8">
        <f t="shared" si="1431"/>
        <v>0</v>
      </c>
      <c r="L291">
        <f t="shared" si="1320"/>
        <v>0</v>
      </c>
      <c r="M291">
        <f t="shared" si="1321"/>
        <v>0</v>
      </c>
      <c r="N291">
        <f t="shared" si="1322"/>
        <v>0</v>
      </c>
      <c r="O291">
        <f t="shared" si="1323"/>
        <v>0</v>
      </c>
      <c r="P291">
        <f t="shared" si="1324"/>
        <v>0</v>
      </c>
      <c r="Q291">
        <f t="shared" si="1325"/>
        <v>0</v>
      </c>
      <c r="R291">
        <f t="shared" si="1326"/>
        <v>0</v>
      </c>
      <c r="S291">
        <f t="shared" si="1327"/>
        <v>0</v>
      </c>
      <c r="T291">
        <f t="shared" si="1328"/>
        <v>0</v>
      </c>
      <c r="U291">
        <f t="shared" si="1329"/>
        <v>0</v>
      </c>
      <c r="V291">
        <f>IF(V$230,LandEmiss!AF186,0)</f>
        <v>0</v>
      </c>
      <c r="W291">
        <f>IF(W$230,LandEmiss!AG186,0)</f>
        <v>0</v>
      </c>
      <c r="X291">
        <f>IF(X$230,LandEmiss!AH186,0)</f>
        <v>0</v>
      </c>
      <c r="Y291">
        <f>IF(Y$230,LandEmiss!AI186,0)</f>
        <v>0</v>
      </c>
      <c r="Z291">
        <f>IF(Z$230,LandEmiss!AJ186,0)</f>
        <v>0</v>
      </c>
      <c r="AA291">
        <f>IF(AA$230,LandEmiss!AK186,0)</f>
        <v>0</v>
      </c>
      <c r="AB291">
        <f>IF(AB$230,LandEmiss!AL186,0)</f>
        <v>0</v>
      </c>
      <c r="AC291">
        <f>IF(AC$230,LandEmiss!AM186,0)</f>
        <v>0</v>
      </c>
      <c r="AD291">
        <f>IF(AD$230,LandEmiss!AN186,0)</f>
        <v>0</v>
      </c>
      <c r="AE291">
        <f>IF(AE$230,LandEmiss!AO186,0)</f>
        <v>0</v>
      </c>
      <c r="AF291">
        <f t="shared" ref="AF291:AO291" si="1785">IF(AF$230,AF186,0)</f>
        <v>0</v>
      </c>
      <c r="AG291">
        <f t="shared" si="1785"/>
        <v>0</v>
      </c>
      <c r="AH291">
        <f t="shared" si="1785"/>
        <v>0</v>
      </c>
      <c r="AI291">
        <f t="shared" si="1785"/>
        <v>0</v>
      </c>
      <c r="AJ291">
        <f t="shared" si="1785"/>
        <v>0</v>
      </c>
      <c r="AK291">
        <f t="shared" si="1785"/>
        <v>0</v>
      </c>
      <c r="AL291">
        <f t="shared" si="1785"/>
        <v>0</v>
      </c>
      <c r="AM291">
        <f t="shared" si="1785"/>
        <v>0</v>
      </c>
      <c r="AN291">
        <f t="shared" si="1785"/>
        <v>0</v>
      </c>
      <c r="AO291">
        <f t="shared" si="1785"/>
        <v>0</v>
      </c>
      <c r="AP291">
        <f t="shared" si="1331"/>
        <v>0</v>
      </c>
      <c r="AQ291">
        <f t="shared" si="1332"/>
        <v>0</v>
      </c>
      <c r="AR291">
        <f t="shared" si="1333"/>
        <v>0</v>
      </c>
      <c r="AS291">
        <f t="shared" si="1334"/>
        <v>0</v>
      </c>
      <c r="AT291">
        <f t="shared" si="1335"/>
        <v>0</v>
      </c>
      <c r="AU291">
        <f t="shared" si="1336"/>
        <v>0</v>
      </c>
      <c r="AV291">
        <f t="shared" si="1337"/>
        <v>0</v>
      </c>
      <c r="AW291">
        <f t="shared" si="1338"/>
        <v>0</v>
      </c>
      <c r="AX291">
        <f t="shared" si="1339"/>
        <v>0</v>
      </c>
      <c r="AY291">
        <f t="shared" si="1340"/>
        <v>0</v>
      </c>
      <c r="AZ291">
        <f t="shared" si="1341"/>
        <v>0</v>
      </c>
      <c r="BA291">
        <f t="shared" si="1342"/>
        <v>0</v>
      </c>
      <c r="BB291">
        <f t="shared" si="1343"/>
        <v>0</v>
      </c>
      <c r="BC291">
        <f t="shared" si="1344"/>
        <v>0</v>
      </c>
      <c r="BD291">
        <f t="shared" si="1345"/>
        <v>0</v>
      </c>
      <c r="BE291">
        <f t="shared" si="1346"/>
        <v>0</v>
      </c>
      <c r="BF291">
        <f t="shared" si="1347"/>
        <v>0</v>
      </c>
      <c r="BG291">
        <f t="shared" si="1348"/>
        <v>0</v>
      </c>
      <c r="BH291">
        <f t="shared" si="1488"/>
        <v>0</v>
      </c>
      <c r="BI291">
        <f t="shared" si="1387"/>
        <v>0</v>
      </c>
      <c r="BJ291" s="8" t="str">
        <f>Hidden!$CC62</f>
        <v/>
      </c>
      <c r="BK291">
        <f t="shared" ref="BK291:BT291" si="1786">IF(BK$230,CP186,0)</f>
        <v>0</v>
      </c>
      <c r="BL291">
        <f t="shared" si="1786"/>
        <v>0</v>
      </c>
      <c r="BM291">
        <f t="shared" si="1786"/>
        <v>0</v>
      </c>
      <c r="BN291">
        <f t="shared" si="1786"/>
        <v>0</v>
      </c>
      <c r="BO291">
        <f t="shared" si="1786"/>
        <v>0</v>
      </c>
      <c r="BP291">
        <f t="shared" si="1786"/>
        <v>0</v>
      </c>
      <c r="BQ291">
        <f t="shared" si="1786"/>
        <v>0</v>
      </c>
      <c r="BR291">
        <f t="shared" si="1786"/>
        <v>0</v>
      </c>
      <c r="BS291">
        <f t="shared" si="1786"/>
        <v>0</v>
      </c>
      <c r="BT291">
        <f t="shared" si="1786"/>
        <v>0</v>
      </c>
      <c r="BU291">
        <f t="shared" ref="BU291:CD291" si="1787">IF(BU$230,CP186,0)</f>
        <v>0</v>
      </c>
      <c r="BV291">
        <f t="shared" si="1787"/>
        <v>0</v>
      </c>
      <c r="BW291">
        <f t="shared" si="1787"/>
        <v>0</v>
      </c>
      <c r="BX291">
        <f t="shared" si="1787"/>
        <v>0</v>
      </c>
      <c r="BY291">
        <f t="shared" si="1787"/>
        <v>0</v>
      </c>
      <c r="BZ291">
        <f t="shared" si="1787"/>
        <v>0</v>
      </c>
      <c r="CA291">
        <f t="shared" si="1787"/>
        <v>0</v>
      </c>
      <c r="CB291">
        <f t="shared" si="1787"/>
        <v>0</v>
      </c>
      <c r="CC291">
        <f t="shared" si="1787"/>
        <v>0</v>
      </c>
      <c r="CD291">
        <f t="shared" si="1787"/>
        <v>0</v>
      </c>
      <c r="CE291">
        <f t="shared" si="1352"/>
        <v>0</v>
      </c>
      <c r="CF291">
        <f t="shared" si="1353"/>
        <v>0</v>
      </c>
      <c r="CG291">
        <f t="shared" si="1354"/>
        <v>0</v>
      </c>
      <c r="CH291">
        <f t="shared" si="1355"/>
        <v>0</v>
      </c>
      <c r="CI291">
        <f t="shared" si="1356"/>
        <v>0</v>
      </c>
      <c r="CJ291">
        <f t="shared" si="1491"/>
        <v>0</v>
      </c>
      <c r="CK291">
        <f t="shared" si="1390"/>
        <v>0</v>
      </c>
      <c r="CL291">
        <f t="shared" si="1358"/>
        <v>0</v>
      </c>
      <c r="CM291">
        <f t="shared" si="1359"/>
        <v>0</v>
      </c>
      <c r="CN291">
        <f t="shared" si="1360"/>
        <v>0</v>
      </c>
      <c r="CO291">
        <f t="shared" ref="CO291:CX291" si="1788">IF(CO$230,CP186,0)</f>
        <v>0</v>
      </c>
      <c r="CP291">
        <f t="shared" si="1788"/>
        <v>0</v>
      </c>
      <c r="CQ291">
        <f t="shared" si="1788"/>
        <v>0</v>
      </c>
      <c r="CR291">
        <f t="shared" si="1788"/>
        <v>0</v>
      </c>
      <c r="CS291">
        <f t="shared" si="1788"/>
        <v>0</v>
      </c>
      <c r="CT291">
        <f t="shared" si="1788"/>
        <v>0</v>
      </c>
      <c r="CU291">
        <f t="shared" si="1788"/>
        <v>0</v>
      </c>
      <c r="CV291">
        <f t="shared" si="1788"/>
        <v>0</v>
      </c>
      <c r="CW291">
        <f t="shared" si="1788"/>
        <v>0</v>
      </c>
      <c r="CX291">
        <f t="shared" si="1788"/>
        <v>0</v>
      </c>
      <c r="CY291">
        <f t="shared" si="1362"/>
        <v>0</v>
      </c>
      <c r="CZ291">
        <f t="shared" si="1363"/>
        <v>0</v>
      </c>
      <c r="DA291">
        <f t="shared" si="1364"/>
        <v>0</v>
      </c>
      <c r="DB291">
        <f t="shared" si="1365"/>
        <v>0</v>
      </c>
      <c r="DC291">
        <f t="shared" si="1366"/>
        <v>0</v>
      </c>
      <c r="DD291">
        <f t="shared" si="1367"/>
        <v>0</v>
      </c>
      <c r="DE291">
        <f t="shared" si="1368"/>
        <v>0</v>
      </c>
      <c r="DF291">
        <f t="shared" si="1369"/>
        <v>0</v>
      </c>
      <c r="DG291">
        <f t="shared" si="1370"/>
        <v>0</v>
      </c>
      <c r="DH291">
        <f t="shared" si="1371"/>
        <v>0</v>
      </c>
      <c r="DI291">
        <f t="shared" si="1372"/>
        <v>0</v>
      </c>
      <c r="DJ291">
        <f t="shared" si="1373"/>
        <v>0</v>
      </c>
      <c r="DK291">
        <f t="shared" si="1374"/>
        <v>0</v>
      </c>
      <c r="DL291">
        <f t="shared" si="1375"/>
        <v>0</v>
      </c>
      <c r="DM291">
        <f t="shared" si="1376"/>
        <v>0</v>
      </c>
      <c r="DN291">
        <f t="shared" si="1377"/>
        <v>0</v>
      </c>
      <c r="DO291">
        <f t="shared" si="1378"/>
        <v>0</v>
      </c>
      <c r="DP291">
        <f t="shared" si="1379"/>
        <v>0</v>
      </c>
      <c r="DQ291">
        <f t="shared" si="1380"/>
        <v>0</v>
      </c>
      <c r="DR291">
        <f t="shared" si="1381"/>
        <v>0</v>
      </c>
      <c r="DT291" s="77"/>
      <c r="DU291" s="8" t="str">
        <f>Hidden!$CG74</f>
        <v/>
      </c>
      <c r="DV291">
        <f t="shared" si="1709"/>
        <v>0</v>
      </c>
      <c r="DW291">
        <f t="shared" si="1710"/>
        <v>0</v>
      </c>
      <c r="DX291">
        <f t="shared" si="1711"/>
        <v>0</v>
      </c>
      <c r="DY291">
        <f t="shared" si="1712"/>
        <v>0</v>
      </c>
      <c r="DZ291">
        <f t="shared" si="1713"/>
        <v>0</v>
      </c>
      <c r="EA291">
        <f t="shared" si="1714"/>
        <v>0</v>
      </c>
      <c r="EB291">
        <f t="shared" si="1715"/>
        <v>0</v>
      </c>
      <c r="EC291">
        <f t="shared" si="1716"/>
        <v>0</v>
      </c>
      <c r="ED291">
        <f t="shared" si="1717"/>
        <v>0</v>
      </c>
      <c r="EE291">
        <f t="shared" si="1718"/>
        <v>0</v>
      </c>
      <c r="EF291">
        <f t="shared" si="1719"/>
        <v>0</v>
      </c>
      <c r="EG291">
        <f t="shared" si="1720"/>
        <v>0</v>
      </c>
      <c r="EH291">
        <f t="shared" si="1721"/>
        <v>0</v>
      </c>
      <c r="EI291">
        <f t="shared" si="1722"/>
        <v>0</v>
      </c>
      <c r="EJ291">
        <f t="shared" si="1723"/>
        <v>0</v>
      </c>
      <c r="EK291">
        <f t="shared" si="1724"/>
        <v>0</v>
      </c>
      <c r="EL291">
        <f t="shared" si="1725"/>
        <v>0</v>
      </c>
      <c r="EM291">
        <f t="shared" si="1726"/>
        <v>0</v>
      </c>
      <c r="EN291">
        <f t="shared" si="1727"/>
        <v>0</v>
      </c>
      <c r="EO291">
        <f t="shared" si="1728"/>
        <v>0</v>
      </c>
      <c r="EP291">
        <f t="shared" si="1729"/>
        <v>0</v>
      </c>
      <c r="EQ291">
        <f t="shared" si="1730"/>
        <v>0</v>
      </c>
      <c r="ER291">
        <f t="shared" si="1731"/>
        <v>0</v>
      </c>
      <c r="ES291">
        <f t="shared" ref="ES291:ET291" si="1789">IF(ES$218,FC186,0)</f>
        <v>0</v>
      </c>
      <c r="ET291">
        <f t="shared" si="1789"/>
        <v>0</v>
      </c>
      <c r="EU291">
        <f t="shared" si="1732"/>
        <v>0</v>
      </c>
      <c r="EV291">
        <f t="shared" si="1411"/>
        <v>0</v>
      </c>
      <c r="EW291">
        <f t="shared" si="1757"/>
        <v>0</v>
      </c>
      <c r="EX291">
        <f t="shared" si="1733"/>
        <v>0</v>
      </c>
      <c r="EY291">
        <f t="shared" si="1734"/>
        <v>0</v>
      </c>
      <c r="EZ291">
        <f t="shared" ref="EZ291:FI291" si="1790">IF(EZ$218,EZ186,0)</f>
        <v>0</v>
      </c>
      <c r="FA291">
        <f t="shared" si="1790"/>
        <v>0</v>
      </c>
      <c r="FB291">
        <f t="shared" si="1790"/>
        <v>0</v>
      </c>
      <c r="FC291">
        <f t="shared" si="1790"/>
        <v>0</v>
      </c>
      <c r="FD291">
        <f t="shared" si="1790"/>
        <v>0</v>
      </c>
      <c r="FE291">
        <f t="shared" si="1790"/>
        <v>0</v>
      </c>
      <c r="FF291">
        <f t="shared" si="1790"/>
        <v>0</v>
      </c>
      <c r="FG291">
        <f t="shared" si="1790"/>
        <v>0</v>
      </c>
      <c r="FH291">
        <f t="shared" si="1790"/>
        <v>0</v>
      </c>
      <c r="FI291">
        <f t="shared" si="1790"/>
        <v>0</v>
      </c>
      <c r="FJ291">
        <f t="shared" si="1736"/>
        <v>0</v>
      </c>
      <c r="FK291">
        <f t="shared" si="1737"/>
        <v>0</v>
      </c>
      <c r="FL291">
        <f t="shared" si="1413"/>
        <v>0</v>
      </c>
      <c r="FM291">
        <f t="shared" si="1759"/>
        <v>0</v>
      </c>
      <c r="FN291">
        <f t="shared" si="1738"/>
        <v>0</v>
      </c>
      <c r="FO291">
        <f t="shared" si="1739"/>
        <v>0</v>
      </c>
      <c r="FP291">
        <f t="shared" si="1740"/>
        <v>0</v>
      </c>
      <c r="FQ291">
        <f t="shared" si="1741"/>
        <v>0</v>
      </c>
      <c r="FR291">
        <f t="shared" si="1742"/>
        <v>0</v>
      </c>
      <c r="FS291">
        <f t="shared" si="1743"/>
        <v>0</v>
      </c>
      <c r="FT291">
        <f t="shared" si="1744"/>
        <v>0</v>
      </c>
      <c r="FU291">
        <f t="shared" si="1745"/>
        <v>0</v>
      </c>
      <c r="FV291">
        <f t="shared" si="1746"/>
        <v>0</v>
      </c>
      <c r="FW291">
        <f t="shared" si="1747"/>
        <v>0</v>
      </c>
      <c r="FX291">
        <f t="shared" si="1414"/>
        <v>0</v>
      </c>
      <c r="FY291">
        <f t="shared" si="1760"/>
        <v>0</v>
      </c>
      <c r="FZ291">
        <f t="shared" si="1748"/>
        <v>0</v>
      </c>
      <c r="GA291">
        <f t="shared" si="1749"/>
        <v>0</v>
      </c>
      <c r="GB291">
        <f t="shared" si="1750"/>
        <v>0</v>
      </c>
      <c r="GC291">
        <f t="shared" si="1751"/>
        <v>0</v>
      </c>
    </row>
    <row r="292" spans="1:185" x14ac:dyDescent="0.2">
      <c r="A292" s="8" t="str">
        <f t="shared" si="1311"/>
        <v/>
      </c>
      <c r="B292" s="8">
        <f t="shared" si="1312"/>
        <v>0</v>
      </c>
      <c r="C292" s="8">
        <f t="shared" si="1313"/>
        <v>0</v>
      </c>
      <c r="D292" s="8">
        <f t="shared" si="1314"/>
        <v>0</v>
      </c>
      <c r="E292" s="8">
        <f t="shared" si="1486"/>
        <v>0</v>
      </c>
      <c r="F292" s="8">
        <f t="shared" si="1384"/>
        <v>0</v>
      </c>
      <c r="G292" s="8">
        <f t="shared" si="1427"/>
        <v>0</v>
      </c>
      <c r="H292" s="8">
        <f t="shared" si="1428"/>
        <v>0</v>
      </c>
      <c r="I292" s="8">
        <f t="shared" si="1429"/>
        <v>0</v>
      </c>
      <c r="J292" s="8">
        <f t="shared" si="1430"/>
        <v>0</v>
      </c>
      <c r="K292" s="8">
        <f t="shared" si="1431"/>
        <v>0</v>
      </c>
      <c r="L292">
        <f t="shared" si="1320"/>
        <v>0</v>
      </c>
      <c r="M292">
        <f t="shared" si="1321"/>
        <v>0</v>
      </c>
      <c r="N292">
        <f t="shared" si="1322"/>
        <v>0</v>
      </c>
      <c r="O292">
        <f t="shared" si="1323"/>
        <v>0</v>
      </c>
      <c r="P292">
        <f t="shared" si="1324"/>
        <v>0</v>
      </c>
      <c r="Q292">
        <f t="shared" si="1325"/>
        <v>0</v>
      </c>
      <c r="R292">
        <f t="shared" si="1326"/>
        <v>0</v>
      </c>
      <c r="S292">
        <f t="shared" si="1327"/>
        <v>0</v>
      </c>
      <c r="T292">
        <f t="shared" si="1328"/>
        <v>0</v>
      </c>
      <c r="U292">
        <f t="shared" si="1329"/>
        <v>0</v>
      </c>
      <c r="V292">
        <f>IF(V$230,LandEmiss!AF187,0)</f>
        <v>0</v>
      </c>
      <c r="W292">
        <f>IF(W$230,LandEmiss!AG187,0)</f>
        <v>0</v>
      </c>
      <c r="X292">
        <f>IF(X$230,LandEmiss!AH187,0)</f>
        <v>0</v>
      </c>
      <c r="Y292">
        <f>IF(Y$230,LandEmiss!AI187,0)</f>
        <v>0</v>
      </c>
      <c r="Z292">
        <f>IF(Z$230,LandEmiss!AJ187,0)</f>
        <v>0</v>
      </c>
      <c r="AA292">
        <f>IF(AA$230,LandEmiss!AK187,0)</f>
        <v>0</v>
      </c>
      <c r="AB292">
        <f>IF(AB$230,LandEmiss!AL187,0)</f>
        <v>0</v>
      </c>
      <c r="AC292">
        <f>IF(AC$230,LandEmiss!AM187,0)</f>
        <v>0</v>
      </c>
      <c r="AD292">
        <f>IF(AD$230,LandEmiss!AN187,0)</f>
        <v>0</v>
      </c>
      <c r="AE292">
        <f>IF(AE$230,LandEmiss!AO187,0)</f>
        <v>0</v>
      </c>
      <c r="AF292">
        <f t="shared" ref="AF292:AO292" si="1791">IF(AF$230,AF187,0)</f>
        <v>0</v>
      </c>
      <c r="AG292">
        <f t="shared" si="1791"/>
        <v>0</v>
      </c>
      <c r="AH292">
        <f t="shared" si="1791"/>
        <v>0</v>
      </c>
      <c r="AI292">
        <f t="shared" si="1791"/>
        <v>0</v>
      </c>
      <c r="AJ292">
        <f t="shared" si="1791"/>
        <v>0</v>
      </c>
      <c r="AK292">
        <f t="shared" si="1791"/>
        <v>0</v>
      </c>
      <c r="AL292">
        <f t="shared" si="1791"/>
        <v>0</v>
      </c>
      <c r="AM292">
        <f t="shared" si="1791"/>
        <v>0</v>
      </c>
      <c r="AN292">
        <f t="shared" si="1791"/>
        <v>0</v>
      </c>
      <c r="AO292">
        <f t="shared" si="1791"/>
        <v>0</v>
      </c>
      <c r="AP292">
        <f t="shared" si="1331"/>
        <v>0</v>
      </c>
      <c r="AQ292">
        <f t="shared" si="1332"/>
        <v>0</v>
      </c>
      <c r="AR292">
        <f t="shared" si="1333"/>
        <v>0</v>
      </c>
      <c r="AS292">
        <f t="shared" si="1334"/>
        <v>0</v>
      </c>
      <c r="AT292">
        <f t="shared" si="1335"/>
        <v>0</v>
      </c>
      <c r="AU292">
        <f t="shared" si="1336"/>
        <v>0</v>
      </c>
      <c r="AV292">
        <f t="shared" si="1337"/>
        <v>0</v>
      </c>
      <c r="AW292">
        <f t="shared" si="1338"/>
        <v>0</v>
      </c>
      <c r="AX292">
        <f t="shared" si="1339"/>
        <v>0</v>
      </c>
      <c r="AY292">
        <f t="shared" si="1340"/>
        <v>0</v>
      </c>
      <c r="AZ292">
        <f t="shared" si="1341"/>
        <v>0</v>
      </c>
      <c r="BA292">
        <f t="shared" si="1342"/>
        <v>0</v>
      </c>
      <c r="BB292">
        <f t="shared" si="1343"/>
        <v>0</v>
      </c>
      <c r="BC292">
        <f t="shared" si="1344"/>
        <v>0</v>
      </c>
      <c r="BD292">
        <f t="shared" si="1345"/>
        <v>0</v>
      </c>
      <c r="BE292">
        <f t="shared" si="1346"/>
        <v>0</v>
      </c>
      <c r="BF292">
        <f t="shared" si="1347"/>
        <v>0</v>
      </c>
      <c r="BG292">
        <f t="shared" si="1348"/>
        <v>0</v>
      </c>
      <c r="BH292">
        <f t="shared" si="1488"/>
        <v>0</v>
      </c>
      <c r="BI292">
        <f t="shared" si="1387"/>
        <v>0</v>
      </c>
      <c r="BJ292" s="8" t="str">
        <f>Hidden!$CC63</f>
        <v/>
      </c>
      <c r="BK292">
        <f t="shared" ref="BK292:BT292" si="1792">IF(BK$230,CP187,0)</f>
        <v>0</v>
      </c>
      <c r="BL292">
        <f t="shared" si="1792"/>
        <v>0</v>
      </c>
      <c r="BM292">
        <f t="shared" si="1792"/>
        <v>0</v>
      </c>
      <c r="BN292">
        <f t="shared" si="1792"/>
        <v>0</v>
      </c>
      <c r="BO292">
        <f t="shared" si="1792"/>
        <v>0</v>
      </c>
      <c r="BP292">
        <f t="shared" si="1792"/>
        <v>0</v>
      </c>
      <c r="BQ292">
        <f t="shared" si="1792"/>
        <v>0</v>
      </c>
      <c r="BR292">
        <f t="shared" si="1792"/>
        <v>0</v>
      </c>
      <c r="BS292">
        <f t="shared" si="1792"/>
        <v>0</v>
      </c>
      <c r="BT292">
        <f t="shared" si="1792"/>
        <v>0</v>
      </c>
      <c r="BU292">
        <f t="shared" ref="BU292:CD292" si="1793">IF(BU$230,CP187,0)</f>
        <v>0</v>
      </c>
      <c r="BV292">
        <f t="shared" si="1793"/>
        <v>0</v>
      </c>
      <c r="BW292">
        <f t="shared" si="1793"/>
        <v>0</v>
      </c>
      <c r="BX292">
        <f t="shared" si="1793"/>
        <v>0</v>
      </c>
      <c r="BY292">
        <f t="shared" si="1793"/>
        <v>0</v>
      </c>
      <c r="BZ292">
        <f t="shared" si="1793"/>
        <v>0</v>
      </c>
      <c r="CA292">
        <f t="shared" si="1793"/>
        <v>0</v>
      </c>
      <c r="CB292">
        <f t="shared" si="1793"/>
        <v>0</v>
      </c>
      <c r="CC292">
        <f t="shared" si="1793"/>
        <v>0</v>
      </c>
      <c r="CD292">
        <f t="shared" si="1793"/>
        <v>0</v>
      </c>
      <c r="CE292">
        <f t="shared" si="1352"/>
        <v>0</v>
      </c>
      <c r="CF292">
        <f t="shared" si="1353"/>
        <v>0</v>
      </c>
      <c r="CG292">
        <f t="shared" si="1354"/>
        <v>0</v>
      </c>
      <c r="CH292">
        <f t="shared" si="1355"/>
        <v>0</v>
      </c>
      <c r="CI292">
        <f t="shared" si="1356"/>
        <v>0</v>
      </c>
      <c r="CJ292">
        <f t="shared" si="1491"/>
        <v>0</v>
      </c>
      <c r="CK292">
        <f t="shared" si="1390"/>
        <v>0</v>
      </c>
      <c r="CL292">
        <f t="shared" si="1358"/>
        <v>0</v>
      </c>
      <c r="CM292">
        <f t="shared" si="1359"/>
        <v>0</v>
      </c>
      <c r="CN292">
        <f t="shared" si="1360"/>
        <v>0</v>
      </c>
      <c r="CO292">
        <f t="shared" ref="CO292:CX292" si="1794">IF(CO$230,CP187,0)</f>
        <v>0</v>
      </c>
      <c r="CP292">
        <f t="shared" si="1794"/>
        <v>0</v>
      </c>
      <c r="CQ292">
        <f t="shared" si="1794"/>
        <v>0</v>
      </c>
      <c r="CR292">
        <f t="shared" si="1794"/>
        <v>0</v>
      </c>
      <c r="CS292">
        <f t="shared" si="1794"/>
        <v>0</v>
      </c>
      <c r="CT292">
        <f t="shared" si="1794"/>
        <v>0</v>
      </c>
      <c r="CU292">
        <f t="shared" si="1794"/>
        <v>0</v>
      </c>
      <c r="CV292">
        <f t="shared" si="1794"/>
        <v>0</v>
      </c>
      <c r="CW292">
        <f t="shared" si="1794"/>
        <v>0</v>
      </c>
      <c r="CX292">
        <f t="shared" si="1794"/>
        <v>0</v>
      </c>
      <c r="CY292">
        <f t="shared" si="1362"/>
        <v>0</v>
      </c>
      <c r="CZ292">
        <f t="shared" si="1363"/>
        <v>0</v>
      </c>
      <c r="DA292">
        <f t="shared" si="1364"/>
        <v>0</v>
      </c>
      <c r="DB292">
        <f t="shared" si="1365"/>
        <v>0</v>
      </c>
      <c r="DC292">
        <f t="shared" si="1366"/>
        <v>0</v>
      </c>
      <c r="DD292">
        <f t="shared" si="1367"/>
        <v>0</v>
      </c>
      <c r="DE292">
        <f t="shared" si="1368"/>
        <v>0</v>
      </c>
      <c r="DF292">
        <f t="shared" si="1369"/>
        <v>0</v>
      </c>
      <c r="DG292">
        <f t="shared" si="1370"/>
        <v>0</v>
      </c>
      <c r="DH292">
        <f t="shared" si="1371"/>
        <v>0</v>
      </c>
      <c r="DI292">
        <f t="shared" si="1372"/>
        <v>0</v>
      </c>
      <c r="DJ292">
        <f t="shared" si="1373"/>
        <v>0</v>
      </c>
      <c r="DK292">
        <f t="shared" si="1374"/>
        <v>0</v>
      </c>
      <c r="DL292">
        <f t="shared" si="1375"/>
        <v>0</v>
      </c>
      <c r="DM292">
        <f t="shared" si="1376"/>
        <v>0</v>
      </c>
      <c r="DN292">
        <f t="shared" si="1377"/>
        <v>0</v>
      </c>
      <c r="DO292">
        <f t="shared" si="1378"/>
        <v>0</v>
      </c>
      <c r="DP292">
        <f t="shared" si="1379"/>
        <v>0</v>
      </c>
      <c r="DQ292">
        <f t="shared" si="1380"/>
        <v>0</v>
      </c>
      <c r="DR292">
        <f t="shared" si="1381"/>
        <v>0</v>
      </c>
      <c r="DT292" s="77"/>
      <c r="DU292" s="8" t="str">
        <f>Hidden!$CG75</f>
        <v/>
      </c>
      <c r="DV292">
        <f t="shared" si="1709"/>
        <v>0</v>
      </c>
      <c r="DW292">
        <f t="shared" si="1710"/>
        <v>0</v>
      </c>
      <c r="DX292">
        <f t="shared" si="1711"/>
        <v>0</v>
      </c>
      <c r="DY292">
        <f t="shared" si="1712"/>
        <v>0</v>
      </c>
      <c r="DZ292">
        <f t="shared" si="1713"/>
        <v>0</v>
      </c>
      <c r="EA292">
        <f t="shared" si="1714"/>
        <v>0</v>
      </c>
      <c r="EB292">
        <f t="shared" si="1715"/>
        <v>0</v>
      </c>
      <c r="EC292">
        <f t="shared" si="1716"/>
        <v>0</v>
      </c>
      <c r="ED292">
        <f t="shared" si="1717"/>
        <v>0</v>
      </c>
      <c r="EE292">
        <f t="shared" si="1718"/>
        <v>0</v>
      </c>
      <c r="EF292">
        <f t="shared" si="1719"/>
        <v>0</v>
      </c>
      <c r="EG292">
        <f t="shared" si="1720"/>
        <v>0</v>
      </c>
      <c r="EH292">
        <f t="shared" si="1721"/>
        <v>0</v>
      </c>
      <c r="EI292">
        <f t="shared" si="1722"/>
        <v>0</v>
      </c>
      <c r="EJ292">
        <f t="shared" si="1723"/>
        <v>0</v>
      </c>
      <c r="EK292">
        <f t="shared" si="1724"/>
        <v>0</v>
      </c>
      <c r="EL292">
        <f t="shared" si="1725"/>
        <v>0</v>
      </c>
      <c r="EM292">
        <f t="shared" si="1726"/>
        <v>0</v>
      </c>
      <c r="EN292">
        <f t="shared" si="1727"/>
        <v>0</v>
      </c>
      <c r="EO292">
        <f t="shared" si="1728"/>
        <v>0</v>
      </c>
      <c r="EP292">
        <f t="shared" si="1729"/>
        <v>0</v>
      </c>
      <c r="EQ292">
        <f t="shared" si="1730"/>
        <v>0</v>
      </c>
      <c r="ER292">
        <f t="shared" si="1731"/>
        <v>0</v>
      </c>
      <c r="ES292">
        <f t="shared" ref="ES292:ET292" si="1795">IF(ES$218,FC187,0)</f>
        <v>0</v>
      </c>
      <c r="ET292">
        <f t="shared" si="1795"/>
        <v>0</v>
      </c>
      <c r="EU292">
        <f t="shared" si="1732"/>
        <v>0</v>
      </c>
      <c r="EV292">
        <f t="shared" si="1411"/>
        <v>0</v>
      </c>
      <c r="EW292">
        <f t="shared" si="1757"/>
        <v>0</v>
      </c>
      <c r="EX292">
        <f t="shared" si="1733"/>
        <v>0</v>
      </c>
      <c r="EY292">
        <f t="shared" si="1734"/>
        <v>0</v>
      </c>
      <c r="EZ292">
        <f t="shared" ref="EZ292:FI292" si="1796">IF(EZ$218,EZ187,0)</f>
        <v>0</v>
      </c>
      <c r="FA292">
        <f t="shared" si="1796"/>
        <v>0</v>
      </c>
      <c r="FB292">
        <f t="shared" si="1796"/>
        <v>0</v>
      </c>
      <c r="FC292">
        <f t="shared" si="1796"/>
        <v>0</v>
      </c>
      <c r="FD292">
        <f t="shared" si="1796"/>
        <v>0</v>
      </c>
      <c r="FE292">
        <f t="shared" si="1796"/>
        <v>0</v>
      </c>
      <c r="FF292">
        <f t="shared" si="1796"/>
        <v>0</v>
      </c>
      <c r="FG292">
        <f t="shared" si="1796"/>
        <v>0</v>
      </c>
      <c r="FH292">
        <f t="shared" si="1796"/>
        <v>0</v>
      </c>
      <c r="FI292">
        <f t="shared" si="1796"/>
        <v>0</v>
      </c>
      <c r="FJ292">
        <f t="shared" si="1736"/>
        <v>0</v>
      </c>
      <c r="FK292">
        <f t="shared" si="1737"/>
        <v>0</v>
      </c>
      <c r="FL292">
        <f t="shared" si="1413"/>
        <v>0</v>
      </c>
      <c r="FM292">
        <f t="shared" si="1759"/>
        <v>0</v>
      </c>
      <c r="FN292">
        <f t="shared" si="1738"/>
        <v>0</v>
      </c>
      <c r="FO292">
        <f t="shared" si="1739"/>
        <v>0</v>
      </c>
      <c r="FP292">
        <f t="shared" si="1740"/>
        <v>0</v>
      </c>
      <c r="FQ292">
        <f t="shared" si="1741"/>
        <v>0</v>
      </c>
      <c r="FR292">
        <f t="shared" si="1742"/>
        <v>0</v>
      </c>
      <c r="FS292">
        <f t="shared" si="1743"/>
        <v>0</v>
      </c>
      <c r="FT292">
        <f t="shared" si="1744"/>
        <v>0</v>
      </c>
      <c r="FU292">
        <f t="shared" si="1745"/>
        <v>0</v>
      </c>
      <c r="FV292">
        <f t="shared" si="1746"/>
        <v>0</v>
      </c>
      <c r="FW292">
        <f t="shared" si="1747"/>
        <v>0</v>
      </c>
      <c r="FX292">
        <f t="shared" si="1414"/>
        <v>0</v>
      </c>
      <c r="FY292">
        <f t="shared" si="1760"/>
        <v>0</v>
      </c>
      <c r="FZ292">
        <f t="shared" si="1748"/>
        <v>0</v>
      </c>
      <c r="GA292">
        <f t="shared" si="1749"/>
        <v>0</v>
      </c>
      <c r="GB292">
        <f t="shared" si="1750"/>
        <v>0</v>
      </c>
      <c r="GC292">
        <f t="shared" si="1751"/>
        <v>0</v>
      </c>
    </row>
    <row r="293" spans="1:185" x14ac:dyDescent="0.2">
      <c r="A293" s="8" t="str">
        <f t="shared" si="1311"/>
        <v/>
      </c>
      <c r="B293" s="8">
        <f t="shared" si="1312"/>
        <v>0</v>
      </c>
      <c r="C293" s="8">
        <f t="shared" si="1313"/>
        <v>0</v>
      </c>
      <c r="D293" s="8">
        <f t="shared" si="1314"/>
        <v>0</v>
      </c>
      <c r="E293" s="8">
        <f t="shared" si="1486"/>
        <v>0</v>
      </c>
      <c r="F293" s="8">
        <f t="shared" si="1384"/>
        <v>0</v>
      </c>
      <c r="G293" s="8">
        <f t="shared" si="1427"/>
        <v>0</v>
      </c>
      <c r="H293" s="8">
        <f t="shared" si="1428"/>
        <v>0</v>
      </c>
      <c r="I293" s="8">
        <f t="shared" si="1429"/>
        <v>0</v>
      </c>
      <c r="J293" s="8">
        <f t="shared" si="1430"/>
        <v>0</v>
      </c>
      <c r="K293" s="8">
        <f t="shared" si="1431"/>
        <v>0</v>
      </c>
      <c r="L293">
        <f t="shared" si="1320"/>
        <v>0</v>
      </c>
      <c r="M293">
        <f t="shared" si="1321"/>
        <v>0</v>
      </c>
      <c r="N293">
        <f t="shared" si="1322"/>
        <v>0</v>
      </c>
      <c r="O293">
        <f t="shared" si="1323"/>
        <v>0</v>
      </c>
      <c r="P293">
        <f t="shared" si="1324"/>
        <v>0</v>
      </c>
      <c r="Q293">
        <f t="shared" si="1325"/>
        <v>0</v>
      </c>
      <c r="R293">
        <f t="shared" si="1326"/>
        <v>0</v>
      </c>
      <c r="S293">
        <f t="shared" si="1327"/>
        <v>0</v>
      </c>
      <c r="T293">
        <f t="shared" si="1328"/>
        <v>0</v>
      </c>
      <c r="U293">
        <f t="shared" si="1329"/>
        <v>0</v>
      </c>
      <c r="V293">
        <f>IF(V$230,LandEmiss!AF188,0)</f>
        <v>0</v>
      </c>
      <c r="W293">
        <f>IF(W$230,LandEmiss!AG188,0)</f>
        <v>0</v>
      </c>
      <c r="X293">
        <f>IF(X$230,LandEmiss!AH188,0)</f>
        <v>0</v>
      </c>
      <c r="Y293">
        <f>IF(Y$230,LandEmiss!AI188,0)</f>
        <v>0</v>
      </c>
      <c r="Z293">
        <f>IF(Z$230,LandEmiss!AJ188,0)</f>
        <v>0</v>
      </c>
      <c r="AA293">
        <f>IF(AA$230,LandEmiss!AK188,0)</f>
        <v>0</v>
      </c>
      <c r="AB293">
        <f>IF(AB$230,LandEmiss!AL188,0)</f>
        <v>0</v>
      </c>
      <c r="AC293">
        <f>IF(AC$230,LandEmiss!AM188,0)</f>
        <v>0</v>
      </c>
      <c r="AD293">
        <f>IF(AD$230,LandEmiss!AN188,0)</f>
        <v>0</v>
      </c>
      <c r="AE293">
        <f>IF(AE$230,LandEmiss!AO188,0)</f>
        <v>0</v>
      </c>
      <c r="AF293">
        <f t="shared" ref="AF293:AO293" si="1797">IF(AF$230,AF188,0)</f>
        <v>0</v>
      </c>
      <c r="AG293">
        <f t="shared" si="1797"/>
        <v>0</v>
      </c>
      <c r="AH293">
        <f t="shared" si="1797"/>
        <v>0</v>
      </c>
      <c r="AI293">
        <f t="shared" si="1797"/>
        <v>0</v>
      </c>
      <c r="AJ293">
        <f t="shared" si="1797"/>
        <v>0</v>
      </c>
      <c r="AK293">
        <f t="shared" si="1797"/>
        <v>0</v>
      </c>
      <c r="AL293">
        <f t="shared" si="1797"/>
        <v>0</v>
      </c>
      <c r="AM293">
        <f t="shared" si="1797"/>
        <v>0</v>
      </c>
      <c r="AN293">
        <f t="shared" si="1797"/>
        <v>0</v>
      </c>
      <c r="AO293">
        <f t="shared" si="1797"/>
        <v>0</v>
      </c>
      <c r="AP293">
        <f t="shared" si="1331"/>
        <v>0</v>
      </c>
      <c r="AQ293">
        <f t="shared" si="1332"/>
        <v>0</v>
      </c>
      <c r="AR293">
        <f t="shared" si="1333"/>
        <v>0</v>
      </c>
      <c r="AS293">
        <f t="shared" si="1334"/>
        <v>0</v>
      </c>
      <c r="AT293">
        <f t="shared" si="1335"/>
        <v>0</v>
      </c>
      <c r="AU293">
        <f t="shared" si="1336"/>
        <v>0</v>
      </c>
      <c r="AV293">
        <f t="shared" si="1337"/>
        <v>0</v>
      </c>
      <c r="AW293">
        <f t="shared" si="1338"/>
        <v>0</v>
      </c>
      <c r="AX293">
        <f t="shared" si="1339"/>
        <v>0</v>
      </c>
      <c r="AY293">
        <f t="shared" si="1340"/>
        <v>0</v>
      </c>
      <c r="AZ293">
        <f t="shared" si="1341"/>
        <v>0</v>
      </c>
      <c r="BA293">
        <f t="shared" si="1342"/>
        <v>0</v>
      </c>
      <c r="BB293">
        <f t="shared" si="1343"/>
        <v>0</v>
      </c>
      <c r="BC293">
        <f t="shared" si="1344"/>
        <v>0</v>
      </c>
      <c r="BD293">
        <f t="shared" si="1345"/>
        <v>0</v>
      </c>
      <c r="BE293">
        <f t="shared" si="1346"/>
        <v>0</v>
      </c>
      <c r="BF293">
        <f t="shared" si="1347"/>
        <v>0</v>
      </c>
      <c r="BG293">
        <f t="shared" si="1348"/>
        <v>0</v>
      </c>
      <c r="BH293">
        <f t="shared" si="1488"/>
        <v>0</v>
      </c>
      <c r="BI293">
        <f t="shared" si="1387"/>
        <v>0</v>
      </c>
      <c r="BJ293" s="8" t="str">
        <f>Hidden!$CC64</f>
        <v/>
      </c>
      <c r="BK293">
        <f t="shared" ref="BK293:BT293" si="1798">IF(BK$230,CP188,0)</f>
        <v>0</v>
      </c>
      <c r="BL293">
        <f t="shared" si="1798"/>
        <v>0</v>
      </c>
      <c r="BM293">
        <f t="shared" si="1798"/>
        <v>0</v>
      </c>
      <c r="BN293">
        <f t="shared" si="1798"/>
        <v>0</v>
      </c>
      <c r="BO293">
        <f t="shared" si="1798"/>
        <v>0</v>
      </c>
      <c r="BP293">
        <f t="shared" si="1798"/>
        <v>0</v>
      </c>
      <c r="BQ293">
        <f t="shared" si="1798"/>
        <v>0</v>
      </c>
      <c r="BR293">
        <f t="shared" si="1798"/>
        <v>0</v>
      </c>
      <c r="BS293">
        <f t="shared" si="1798"/>
        <v>0</v>
      </c>
      <c r="BT293">
        <f t="shared" si="1798"/>
        <v>0</v>
      </c>
      <c r="BU293">
        <f t="shared" ref="BU293:CD293" si="1799">IF(BU$230,CP188,0)</f>
        <v>0</v>
      </c>
      <c r="BV293">
        <f t="shared" si="1799"/>
        <v>0</v>
      </c>
      <c r="BW293">
        <f t="shared" si="1799"/>
        <v>0</v>
      </c>
      <c r="BX293">
        <f t="shared" si="1799"/>
        <v>0</v>
      </c>
      <c r="BY293">
        <f t="shared" si="1799"/>
        <v>0</v>
      </c>
      <c r="BZ293">
        <f t="shared" si="1799"/>
        <v>0</v>
      </c>
      <c r="CA293">
        <f t="shared" si="1799"/>
        <v>0</v>
      </c>
      <c r="CB293">
        <f t="shared" si="1799"/>
        <v>0</v>
      </c>
      <c r="CC293">
        <f t="shared" si="1799"/>
        <v>0</v>
      </c>
      <c r="CD293">
        <f t="shared" si="1799"/>
        <v>0</v>
      </c>
      <c r="CE293">
        <f t="shared" si="1352"/>
        <v>0</v>
      </c>
      <c r="CF293">
        <f t="shared" si="1353"/>
        <v>0</v>
      </c>
      <c r="CG293">
        <f t="shared" si="1354"/>
        <v>0</v>
      </c>
      <c r="CH293">
        <f t="shared" si="1355"/>
        <v>0</v>
      </c>
      <c r="CI293">
        <f t="shared" si="1356"/>
        <v>0</v>
      </c>
      <c r="CJ293">
        <f t="shared" si="1491"/>
        <v>0</v>
      </c>
      <c r="CK293">
        <f t="shared" si="1390"/>
        <v>0</v>
      </c>
      <c r="CL293">
        <f t="shared" si="1358"/>
        <v>0</v>
      </c>
      <c r="CM293">
        <f t="shared" si="1359"/>
        <v>0</v>
      </c>
      <c r="CN293">
        <f t="shared" si="1360"/>
        <v>0</v>
      </c>
      <c r="CO293">
        <f t="shared" ref="CO293:CX293" si="1800">IF(CO$230,CP188,0)</f>
        <v>0</v>
      </c>
      <c r="CP293">
        <f t="shared" si="1800"/>
        <v>0</v>
      </c>
      <c r="CQ293">
        <f t="shared" si="1800"/>
        <v>0</v>
      </c>
      <c r="CR293">
        <f t="shared" si="1800"/>
        <v>0</v>
      </c>
      <c r="CS293">
        <f t="shared" si="1800"/>
        <v>0</v>
      </c>
      <c r="CT293">
        <f t="shared" si="1800"/>
        <v>0</v>
      </c>
      <c r="CU293">
        <f t="shared" si="1800"/>
        <v>0</v>
      </c>
      <c r="CV293">
        <f t="shared" si="1800"/>
        <v>0</v>
      </c>
      <c r="CW293">
        <f t="shared" si="1800"/>
        <v>0</v>
      </c>
      <c r="CX293">
        <f t="shared" si="1800"/>
        <v>0</v>
      </c>
      <c r="CY293">
        <f t="shared" si="1362"/>
        <v>0</v>
      </c>
      <c r="CZ293">
        <f t="shared" si="1363"/>
        <v>0</v>
      </c>
      <c r="DA293">
        <f t="shared" si="1364"/>
        <v>0</v>
      </c>
      <c r="DB293">
        <f t="shared" si="1365"/>
        <v>0</v>
      </c>
      <c r="DC293">
        <f t="shared" si="1366"/>
        <v>0</v>
      </c>
      <c r="DD293">
        <f t="shared" si="1367"/>
        <v>0</v>
      </c>
      <c r="DE293">
        <f t="shared" si="1368"/>
        <v>0</v>
      </c>
      <c r="DF293">
        <f t="shared" si="1369"/>
        <v>0</v>
      </c>
      <c r="DG293">
        <f t="shared" si="1370"/>
        <v>0</v>
      </c>
      <c r="DH293">
        <f t="shared" si="1371"/>
        <v>0</v>
      </c>
      <c r="DI293">
        <f t="shared" si="1372"/>
        <v>0</v>
      </c>
      <c r="DJ293">
        <f t="shared" si="1373"/>
        <v>0</v>
      </c>
      <c r="DK293">
        <f t="shared" si="1374"/>
        <v>0</v>
      </c>
      <c r="DL293">
        <f t="shared" si="1375"/>
        <v>0</v>
      </c>
      <c r="DM293">
        <f t="shared" si="1376"/>
        <v>0</v>
      </c>
      <c r="DN293">
        <f t="shared" si="1377"/>
        <v>0</v>
      </c>
      <c r="DO293">
        <f t="shared" si="1378"/>
        <v>0</v>
      </c>
      <c r="DP293">
        <f t="shared" si="1379"/>
        <v>0</v>
      </c>
      <c r="DQ293">
        <f t="shared" si="1380"/>
        <v>0</v>
      </c>
      <c r="DR293">
        <f t="shared" si="1381"/>
        <v>0</v>
      </c>
      <c r="DT293" s="77"/>
      <c r="DU293" s="8" t="str">
        <f>Hidden!$CG76</f>
        <v/>
      </c>
      <c r="DV293">
        <f t="shared" si="1709"/>
        <v>0</v>
      </c>
      <c r="DW293">
        <f t="shared" si="1710"/>
        <v>0</v>
      </c>
      <c r="DX293">
        <f t="shared" si="1711"/>
        <v>0</v>
      </c>
      <c r="DY293">
        <f t="shared" si="1712"/>
        <v>0</v>
      </c>
      <c r="DZ293">
        <f t="shared" si="1713"/>
        <v>0</v>
      </c>
      <c r="EA293">
        <f t="shared" si="1714"/>
        <v>0</v>
      </c>
      <c r="EB293">
        <f t="shared" si="1715"/>
        <v>0</v>
      </c>
      <c r="EC293">
        <f t="shared" si="1716"/>
        <v>0</v>
      </c>
      <c r="ED293">
        <f t="shared" si="1717"/>
        <v>0</v>
      </c>
      <c r="EE293">
        <f t="shared" si="1718"/>
        <v>0</v>
      </c>
      <c r="EF293">
        <f t="shared" si="1719"/>
        <v>0</v>
      </c>
      <c r="EG293">
        <f t="shared" si="1720"/>
        <v>0</v>
      </c>
      <c r="EH293">
        <f t="shared" si="1721"/>
        <v>0</v>
      </c>
      <c r="EI293">
        <f t="shared" si="1722"/>
        <v>0</v>
      </c>
      <c r="EJ293">
        <f t="shared" si="1723"/>
        <v>0</v>
      </c>
      <c r="EK293">
        <f t="shared" si="1724"/>
        <v>0</v>
      </c>
      <c r="EL293">
        <f t="shared" si="1725"/>
        <v>0</v>
      </c>
      <c r="EM293">
        <f t="shared" si="1726"/>
        <v>0</v>
      </c>
      <c r="EN293">
        <f t="shared" si="1727"/>
        <v>0</v>
      </c>
      <c r="EO293">
        <f t="shared" si="1728"/>
        <v>0</v>
      </c>
      <c r="EP293">
        <f t="shared" si="1729"/>
        <v>0</v>
      </c>
      <c r="EQ293">
        <f t="shared" si="1730"/>
        <v>0</v>
      </c>
      <c r="ER293">
        <f t="shared" si="1731"/>
        <v>0</v>
      </c>
      <c r="ES293">
        <f t="shared" ref="ES293:ET293" si="1801">IF(ES$218,FC188,0)</f>
        <v>0</v>
      </c>
      <c r="ET293">
        <f t="shared" si="1801"/>
        <v>0</v>
      </c>
      <c r="EU293">
        <f t="shared" si="1732"/>
        <v>0</v>
      </c>
      <c r="EV293">
        <f t="shared" si="1411"/>
        <v>0</v>
      </c>
      <c r="EW293">
        <f t="shared" si="1757"/>
        <v>0</v>
      </c>
      <c r="EX293">
        <f t="shared" si="1733"/>
        <v>0</v>
      </c>
      <c r="EY293">
        <f t="shared" si="1734"/>
        <v>0</v>
      </c>
      <c r="EZ293">
        <f t="shared" ref="EZ293:FI293" si="1802">IF(EZ$218,EZ188,0)</f>
        <v>0</v>
      </c>
      <c r="FA293">
        <f t="shared" si="1802"/>
        <v>0</v>
      </c>
      <c r="FB293">
        <f t="shared" si="1802"/>
        <v>0</v>
      </c>
      <c r="FC293">
        <f t="shared" si="1802"/>
        <v>0</v>
      </c>
      <c r="FD293">
        <f t="shared" si="1802"/>
        <v>0</v>
      </c>
      <c r="FE293">
        <f t="shared" si="1802"/>
        <v>0</v>
      </c>
      <c r="FF293">
        <f t="shared" si="1802"/>
        <v>0</v>
      </c>
      <c r="FG293">
        <f t="shared" si="1802"/>
        <v>0</v>
      </c>
      <c r="FH293">
        <f t="shared" si="1802"/>
        <v>0</v>
      </c>
      <c r="FI293">
        <f t="shared" si="1802"/>
        <v>0</v>
      </c>
      <c r="FJ293">
        <f t="shared" si="1736"/>
        <v>0</v>
      </c>
      <c r="FK293">
        <f t="shared" si="1737"/>
        <v>0</v>
      </c>
      <c r="FL293">
        <f t="shared" si="1413"/>
        <v>0</v>
      </c>
      <c r="FM293">
        <f t="shared" si="1759"/>
        <v>0</v>
      </c>
      <c r="FN293">
        <f t="shared" si="1738"/>
        <v>0</v>
      </c>
      <c r="FO293">
        <f t="shared" si="1739"/>
        <v>0</v>
      </c>
      <c r="FP293">
        <f t="shared" si="1740"/>
        <v>0</v>
      </c>
      <c r="FQ293">
        <f t="shared" si="1741"/>
        <v>0</v>
      </c>
      <c r="FR293">
        <f t="shared" si="1742"/>
        <v>0</v>
      </c>
      <c r="FS293">
        <f t="shared" si="1743"/>
        <v>0</v>
      </c>
      <c r="FT293">
        <f t="shared" si="1744"/>
        <v>0</v>
      </c>
      <c r="FU293">
        <f t="shared" si="1745"/>
        <v>0</v>
      </c>
      <c r="FV293">
        <f t="shared" si="1746"/>
        <v>0</v>
      </c>
      <c r="FW293">
        <f t="shared" si="1747"/>
        <v>0</v>
      </c>
      <c r="FX293">
        <f t="shared" si="1414"/>
        <v>0</v>
      </c>
      <c r="FY293">
        <f t="shared" si="1760"/>
        <v>0</v>
      </c>
      <c r="FZ293">
        <f t="shared" si="1748"/>
        <v>0</v>
      </c>
      <c r="GA293">
        <f t="shared" si="1749"/>
        <v>0</v>
      </c>
      <c r="GB293">
        <f t="shared" si="1750"/>
        <v>0</v>
      </c>
      <c r="GC293">
        <f t="shared" si="1751"/>
        <v>0</v>
      </c>
    </row>
    <row r="294" spans="1:185" x14ac:dyDescent="0.2">
      <c r="A294" s="8" t="str">
        <f t="shared" si="1311"/>
        <v/>
      </c>
      <c r="B294" s="8">
        <f t="shared" si="1312"/>
        <v>0</v>
      </c>
      <c r="C294" s="8">
        <f t="shared" si="1313"/>
        <v>0</v>
      </c>
      <c r="D294" s="8">
        <f t="shared" si="1314"/>
        <v>0</v>
      </c>
      <c r="E294" s="8">
        <f t="shared" si="1486"/>
        <v>0</v>
      </c>
      <c r="F294" s="8">
        <f t="shared" si="1384"/>
        <v>0</v>
      </c>
      <c r="G294" s="8">
        <f t="shared" si="1427"/>
        <v>0</v>
      </c>
      <c r="H294" s="8">
        <f t="shared" si="1428"/>
        <v>0</v>
      </c>
      <c r="I294" s="8">
        <f t="shared" si="1429"/>
        <v>0</v>
      </c>
      <c r="J294" s="8">
        <f t="shared" si="1430"/>
        <v>0</v>
      </c>
      <c r="K294" s="8">
        <f t="shared" si="1431"/>
        <v>0</v>
      </c>
      <c r="L294">
        <f t="shared" si="1320"/>
        <v>0</v>
      </c>
      <c r="M294">
        <f t="shared" si="1321"/>
        <v>0</v>
      </c>
      <c r="N294">
        <f t="shared" si="1322"/>
        <v>0</v>
      </c>
      <c r="O294">
        <f t="shared" si="1323"/>
        <v>0</v>
      </c>
      <c r="P294">
        <f t="shared" si="1324"/>
        <v>0</v>
      </c>
      <c r="Q294">
        <f t="shared" si="1325"/>
        <v>0</v>
      </c>
      <c r="R294">
        <f t="shared" si="1326"/>
        <v>0</v>
      </c>
      <c r="S294">
        <f t="shared" si="1327"/>
        <v>0</v>
      </c>
      <c r="T294">
        <f t="shared" si="1328"/>
        <v>0</v>
      </c>
      <c r="U294">
        <f t="shared" si="1329"/>
        <v>0</v>
      </c>
      <c r="V294">
        <f>IF(V$230,LandEmiss!AF189,0)</f>
        <v>0</v>
      </c>
      <c r="W294">
        <f>IF(W$230,LandEmiss!AG189,0)</f>
        <v>0</v>
      </c>
      <c r="X294">
        <f>IF(X$230,LandEmiss!AH189,0)</f>
        <v>0</v>
      </c>
      <c r="Y294">
        <f>IF(Y$230,LandEmiss!AI189,0)</f>
        <v>0</v>
      </c>
      <c r="Z294">
        <f>IF(Z$230,LandEmiss!AJ189,0)</f>
        <v>0</v>
      </c>
      <c r="AA294">
        <f>IF(AA$230,LandEmiss!AK189,0)</f>
        <v>0</v>
      </c>
      <c r="AB294">
        <f>IF(AB$230,LandEmiss!AL189,0)</f>
        <v>0</v>
      </c>
      <c r="AC294">
        <f>IF(AC$230,LandEmiss!AM189,0)</f>
        <v>0</v>
      </c>
      <c r="AD294">
        <f>IF(AD$230,LandEmiss!AN189,0)</f>
        <v>0</v>
      </c>
      <c r="AE294">
        <f>IF(AE$230,LandEmiss!AO189,0)</f>
        <v>0</v>
      </c>
      <c r="AF294">
        <f t="shared" ref="AF294:AO294" si="1803">IF(AF$230,AF189,0)</f>
        <v>0</v>
      </c>
      <c r="AG294">
        <f t="shared" si="1803"/>
        <v>0</v>
      </c>
      <c r="AH294">
        <f t="shared" si="1803"/>
        <v>0</v>
      </c>
      <c r="AI294">
        <f t="shared" si="1803"/>
        <v>0</v>
      </c>
      <c r="AJ294">
        <f t="shared" si="1803"/>
        <v>0</v>
      </c>
      <c r="AK294">
        <f t="shared" si="1803"/>
        <v>0</v>
      </c>
      <c r="AL294">
        <f t="shared" si="1803"/>
        <v>0</v>
      </c>
      <c r="AM294">
        <f t="shared" si="1803"/>
        <v>0</v>
      </c>
      <c r="AN294">
        <f t="shared" si="1803"/>
        <v>0</v>
      </c>
      <c r="AO294">
        <f t="shared" si="1803"/>
        <v>0</v>
      </c>
      <c r="AP294">
        <f t="shared" si="1331"/>
        <v>0</v>
      </c>
      <c r="AQ294">
        <f t="shared" si="1332"/>
        <v>0</v>
      </c>
      <c r="AR294">
        <f t="shared" si="1333"/>
        <v>0</v>
      </c>
      <c r="AS294">
        <f t="shared" si="1334"/>
        <v>0</v>
      </c>
      <c r="AT294">
        <f t="shared" si="1335"/>
        <v>0</v>
      </c>
      <c r="AU294">
        <f t="shared" si="1336"/>
        <v>0</v>
      </c>
      <c r="AV294">
        <f t="shared" si="1337"/>
        <v>0</v>
      </c>
      <c r="AW294">
        <f t="shared" si="1338"/>
        <v>0</v>
      </c>
      <c r="AX294">
        <f t="shared" si="1339"/>
        <v>0</v>
      </c>
      <c r="AY294">
        <f t="shared" si="1340"/>
        <v>0</v>
      </c>
      <c r="AZ294">
        <f t="shared" si="1341"/>
        <v>0</v>
      </c>
      <c r="BA294">
        <f t="shared" si="1342"/>
        <v>0</v>
      </c>
      <c r="BB294">
        <f t="shared" si="1343"/>
        <v>0</v>
      </c>
      <c r="BC294">
        <f t="shared" si="1344"/>
        <v>0</v>
      </c>
      <c r="BD294">
        <f t="shared" si="1345"/>
        <v>0</v>
      </c>
      <c r="BE294">
        <f t="shared" si="1346"/>
        <v>0</v>
      </c>
      <c r="BF294">
        <f t="shared" si="1347"/>
        <v>0</v>
      </c>
      <c r="BG294">
        <f t="shared" si="1348"/>
        <v>0</v>
      </c>
      <c r="BH294">
        <f t="shared" si="1488"/>
        <v>0</v>
      </c>
      <c r="BI294">
        <f t="shared" si="1387"/>
        <v>0</v>
      </c>
      <c r="BJ294" s="8" t="str">
        <f>Hidden!$CC65</f>
        <v/>
      </c>
      <c r="BK294">
        <f t="shared" ref="BK294:BT294" si="1804">IF(BK$230,CP189,0)</f>
        <v>0</v>
      </c>
      <c r="BL294">
        <f t="shared" si="1804"/>
        <v>0</v>
      </c>
      <c r="BM294">
        <f t="shared" si="1804"/>
        <v>0</v>
      </c>
      <c r="BN294">
        <f t="shared" si="1804"/>
        <v>0</v>
      </c>
      <c r="BO294">
        <f t="shared" si="1804"/>
        <v>0</v>
      </c>
      <c r="BP294">
        <f t="shared" si="1804"/>
        <v>0</v>
      </c>
      <c r="BQ294">
        <f t="shared" si="1804"/>
        <v>0</v>
      </c>
      <c r="BR294">
        <f t="shared" si="1804"/>
        <v>0</v>
      </c>
      <c r="BS294">
        <f t="shared" si="1804"/>
        <v>0</v>
      </c>
      <c r="BT294">
        <f t="shared" si="1804"/>
        <v>0</v>
      </c>
      <c r="BU294">
        <f t="shared" ref="BU294:CD294" si="1805">IF(BU$230,CP189,0)</f>
        <v>0</v>
      </c>
      <c r="BV294">
        <f t="shared" si="1805"/>
        <v>0</v>
      </c>
      <c r="BW294">
        <f t="shared" si="1805"/>
        <v>0</v>
      </c>
      <c r="BX294">
        <f t="shared" si="1805"/>
        <v>0</v>
      </c>
      <c r="BY294">
        <f t="shared" si="1805"/>
        <v>0</v>
      </c>
      <c r="BZ294">
        <f t="shared" si="1805"/>
        <v>0</v>
      </c>
      <c r="CA294">
        <f t="shared" si="1805"/>
        <v>0</v>
      </c>
      <c r="CB294">
        <f t="shared" si="1805"/>
        <v>0</v>
      </c>
      <c r="CC294">
        <f t="shared" si="1805"/>
        <v>0</v>
      </c>
      <c r="CD294">
        <f t="shared" si="1805"/>
        <v>0</v>
      </c>
      <c r="CE294">
        <f t="shared" si="1352"/>
        <v>0</v>
      </c>
      <c r="CF294">
        <f t="shared" si="1353"/>
        <v>0</v>
      </c>
      <c r="CG294">
        <f t="shared" si="1354"/>
        <v>0</v>
      </c>
      <c r="CH294">
        <f t="shared" si="1355"/>
        <v>0</v>
      </c>
      <c r="CI294">
        <f t="shared" si="1356"/>
        <v>0</v>
      </c>
      <c r="CJ294">
        <f t="shared" si="1491"/>
        <v>0</v>
      </c>
      <c r="CK294">
        <f t="shared" si="1390"/>
        <v>0</v>
      </c>
      <c r="CL294">
        <f t="shared" si="1358"/>
        <v>0</v>
      </c>
      <c r="CM294">
        <f t="shared" si="1359"/>
        <v>0</v>
      </c>
      <c r="CN294">
        <f t="shared" si="1360"/>
        <v>0</v>
      </c>
      <c r="CO294">
        <f t="shared" ref="CO294:CX294" si="1806">IF(CO$230,CP189,0)</f>
        <v>0</v>
      </c>
      <c r="CP294">
        <f t="shared" si="1806"/>
        <v>0</v>
      </c>
      <c r="CQ294">
        <f t="shared" si="1806"/>
        <v>0</v>
      </c>
      <c r="CR294">
        <f t="shared" si="1806"/>
        <v>0</v>
      </c>
      <c r="CS294">
        <f t="shared" si="1806"/>
        <v>0</v>
      </c>
      <c r="CT294">
        <f t="shared" si="1806"/>
        <v>0</v>
      </c>
      <c r="CU294">
        <f t="shared" si="1806"/>
        <v>0</v>
      </c>
      <c r="CV294">
        <f t="shared" si="1806"/>
        <v>0</v>
      </c>
      <c r="CW294">
        <f t="shared" si="1806"/>
        <v>0</v>
      </c>
      <c r="CX294">
        <f t="shared" si="1806"/>
        <v>0</v>
      </c>
      <c r="CY294">
        <f t="shared" si="1362"/>
        <v>0</v>
      </c>
      <c r="CZ294">
        <f t="shared" si="1363"/>
        <v>0</v>
      </c>
      <c r="DA294">
        <f t="shared" si="1364"/>
        <v>0</v>
      </c>
      <c r="DB294">
        <f t="shared" si="1365"/>
        <v>0</v>
      </c>
      <c r="DC294">
        <f t="shared" si="1366"/>
        <v>0</v>
      </c>
      <c r="DD294">
        <f t="shared" si="1367"/>
        <v>0</v>
      </c>
      <c r="DE294">
        <f t="shared" si="1368"/>
        <v>0</v>
      </c>
      <c r="DF294">
        <f t="shared" si="1369"/>
        <v>0</v>
      </c>
      <c r="DG294">
        <f t="shared" si="1370"/>
        <v>0</v>
      </c>
      <c r="DH294">
        <f t="shared" si="1371"/>
        <v>0</v>
      </c>
      <c r="DI294">
        <f t="shared" si="1372"/>
        <v>0</v>
      </c>
      <c r="DJ294">
        <f t="shared" si="1373"/>
        <v>0</v>
      </c>
      <c r="DK294">
        <f t="shared" si="1374"/>
        <v>0</v>
      </c>
      <c r="DL294">
        <f t="shared" si="1375"/>
        <v>0</v>
      </c>
      <c r="DM294">
        <f t="shared" si="1376"/>
        <v>0</v>
      </c>
      <c r="DN294">
        <f t="shared" si="1377"/>
        <v>0</v>
      </c>
      <c r="DO294">
        <f t="shared" si="1378"/>
        <v>0</v>
      </c>
      <c r="DP294">
        <f t="shared" si="1379"/>
        <v>0</v>
      </c>
      <c r="DQ294">
        <f t="shared" si="1380"/>
        <v>0</v>
      </c>
      <c r="DR294">
        <f t="shared" si="1381"/>
        <v>0</v>
      </c>
      <c r="DT294" s="77"/>
      <c r="DU294" s="8" t="str">
        <f>Hidden!$CG77</f>
        <v/>
      </c>
      <c r="DV294">
        <f t="shared" si="1709"/>
        <v>0</v>
      </c>
      <c r="DW294">
        <f t="shared" si="1710"/>
        <v>0</v>
      </c>
      <c r="DX294">
        <f t="shared" si="1711"/>
        <v>0</v>
      </c>
      <c r="DY294">
        <f t="shared" si="1712"/>
        <v>0</v>
      </c>
      <c r="DZ294">
        <f t="shared" si="1713"/>
        <v>0</v>
      </c>
      <c r="EA294">
        <f t="shared" si="1714"/>
        <v>0</v>
      </c>
      <c r="EB294">
        <f t="shared" si="1715"/>
        <v>0</v>
      </c>
      <c r="EC294">
        <f t="shared" si="1716"/>
        <v>0</v>
      </c>
      <c r="ED294">
        <f t="shared" si="1717"/>
        <v>0</v>
      </c>
      <c r="EE294">
        <f t="shared" si="1718"/>
        <v>0</v>
      </c>
      <c r="EF294">
        <f t="shared" si="1719"/>
        <v>0</v>
      </c>
      <c r="EG294">
        <f t="shared" si="1720"/>
        <v>0</v>
      </c>
      <c r="EH294">
        <f t="shared" si="1721"/>
        <v>0</v>
      </c>
      <c r="EI294">
        <f t="shared" si="1722"/>
        <v>0</v>
      </c>
      <c r="EJ294">
        <f t="shared" si="1723"/>
        <v>0</v>
      </c>
      <c r="EK294">
        <f t="shared" si="1724"/>
        <v>0</v>
      </c>
      <c r="EL294">
        <f t="shared" si="1725"/>
        <v>0</v>
      </c>
      <c r="EM294">
        <f t="shared" si="1726"/>
        <v>0</v>
      </c>
      <c r="EN294">
        <f t="shared" si="1727"/>
        <v>0</v>
      </c>
      <c r="EO294">
        <f t="shared" si="1728"/>
        <v>0</v>
      </c>
      <c r="EP294">
        <f t="shared" si="1729"/>
        <v>0</v>
      </c>
      <c r="EQ294">
        <f t="shared" si="1730"/>
        <v>0</v>
      </c>
      <c r="ER294">
        <f t="shared" si="1731"/>
        <v>0</v>
      </c>
      <c r="ES294">
        <f t="shared" ref="ES294:ET294" si="1807">IF(ES$218,FC189,0)</f>
        <v>0</v>
      </c>
      <c r="ET294">
        <f t="shared" si="1807"/>
        <v>0</v>
      </c>
      <c r="EU294">
        <f t="shared" si="1732"/>
        <v>0</v>
      </c>
      <c r="EV294">
        <f t="shared" si="1411"/>
        <v>0</v>
      </c>
      <c r="EW294">
        <f t="shared" si="1757"/>
        <v>0</v>
      </c>
      <c r="EX294">
        <f t="shared" si="1733"/>
        <v>0</v>
      </c>
      <c r="EY294">
        <f t="shared" si="1734"/>
        <v>0</v>
      </c>
      <c r="EZ294">
        <f t="shared" ref="EZ294:FI294" si="1808">IF(EZ$218,EZ189,0)</f>
        <v>0</v>
      </c>
      <c r="FA294">
        <f t="shared" si="1808"/>
        <v>0</v>
      </c>
      <c r="FB294">
        <f t="shared" si="1808"/>
        <v>0</v>
      </c>
      <c r="FC294">
        <f t="shared" si="1808"/>
        <v>0</v>
      </c>
      <c r="FD294">
        <f t="shared" si="1808"/>
        <v>0</v>
      </c>
      <c r="FE294">
        <f t="shared" si="1808"/>
        <v>0</v>
      </c>
      <c r="FF294">
        <f t="shared" si="1808"/>
        <v>0</v>
      </c>
      <c r="FG294">
        <f t="shared" si="1808"/>
        <v>0</v>
      </c>
      <c r="FH294">
        <f t="shared" si="1808"/>
        <v>0</v>
      </c>
      <c r="FI294">
        <f t="shared" si="1808"/>
        <v>0</v>
      </c>
      <c r="FJ294">
        <f t="shared" si="1736"/>
        <v>0</v>
      </c>
      <c r="FK294">
        <f t="shared" si="1737"/>
        <v>0</v>
      </c>
      <c r="FL294">
        <f t="shared" si="1413"/>
        <v>0</v>
      </c>
      <c r="FM294">
        <f t="shared" si="1759"/>
        <v>0</v>
      </c>
      <c r="FN294">
        <f t="shared" si="1738"/>
        <v>0</v>
      </c>
      <c r="FO294">
        <f t="shared" si="1739"/>
        <v>0</v>
      </c>
      <c r="FP294">
        <f t="shared" si="1740"/>
        <v>0</v>
      </c>
      <c r="FQ294">
        <f t="shared" si="1741"/>
        <v>0</v>
      </c>
      <c r="FR294">
        <f t="shared" si="1742"/>
        <v>0</v>
      </c>
      <c r="FS294">
        <f t="shared" si="1743"/>
        <v>0</v>
      </c>
      <c r="FT294">
        <f t="shared" si="1744"/>
        <v>0</v>
      </c>
      <c r="FU294">
        <f t="shared" si="1745"/>
        <v>0</v>
      </c>
      <c r="FV294">
        <f t="shared" si="1746"/>
        <v>0</v>
      </c>
      <c r="FW294">
        <f t="shared" si="1747"/>
        <v>0</v>
      </c>
      <c r="FX294">
        <f t="shared" si="1414"/>
        <v>0</v>
      </c>
      <c r="FY294">
        <f t="shared" si="1760"/>
        <v>0</v>
      </c>
      <c r="FZ294">
        <f t="shared" si="1748"/>
        <v>0</v>
      </c>
      <c r="GA294">
        <f t="shared" si="1749"/>
        <v>0</v>
      </c>
      <c r="GB294">
        <f t="shared" si="1750"/>
        <v>0</v>
      </c>
      <c r="GC294">
        <f t="shared" si="1751"/>
        <v>0</v>
      </c>
    </row>
    <row r="295" spans="1:185" x14ac:dyDescent="0.2">
      <c r="A295" s="8" t="str">
        <f t="shared" si="1311"/>
        <v/>
      </c>
      <c r="B295" s="8">
        <f t="shared" si="1312"/>
        <v>0</v>
      </c>
      <c r="C295" s="8">
        <f t="shared" si="1313"/>
        <v>0</v>
      </c>
      <c r="D295" s="8">
        <f t="shared" si="1314"/>
        <v>0</v>
      </c>
      <c r="E295" s="8">
        <f t="shared" si="1486"/>
        <v>0</v>
      </c>
      <c r="F295" s="8">
        <f t="shared" si="1384"/>
        <v>0</v>
      </c>
      <c r="G295" s="8">
        <f t="shared" si="1427"/>
        <v>0</v>
      </c>
      <c r="H295" s="8">
        <f t="shared" si="1428"/>
        <v>0</v>
      </c>
      <c r="I295" s="8">
        <f t="shared" si="1429"/>
        <v>0</v>
      </c>
      <c r="J295" s="8">
        <f t="shared" si="1430"/>
        <v>0</v>
      </c>
      <c r="K295" s="8">
        <f t="shared" si="1431"/>
        <v>0</v>
      </c>
      <c r="L295">
        <f t="shared" si="1320"/>
        <v>0</v>
      </c>
      <c r="M295">
        <f t="shared" si="1321"/>
        <v>0</v>
      </c>
      <c r="N295">
        <f t="shared" si="1322"/>
        <v>0</v>
      </c>
      <c r="O295">
        <f t="shared" si="1323"/>
        <v>0</v>
      </c>
      <c r="P295">
        <f t="shared" si="1324"/>
        <v>0</v>
      </c>
      <c r="Q295">
        <f t="shared" si="1325"/>
        <v>0</v>
      </c>
      <c r="R295">
        <f t="shared" si="1326"/>
        <v>0</v>
      </c>
      <c r="S295">
        <f t="shared" si="1327"/>
        <v>0</v>
      </c>
      <c r="T295">
        <f t="shared" si="1328"/>
        <v>0</v>
      </c>
      <c r="U295">
        <f t="shared" si="1329"/>
        <v>0</v>
      </c>
      <c r="V295">
        <f>IF(V$230,LandEmiss!AF190,0)</f>
        <v>0</v>
      </c>
      <c r="W295">
        <f>IF(W$230,LandEmiss!AG190,0)</f>
        <v>0</v>
      </c>
      <c r="X295">
        <f>IF(X$230,LandEmiss!AH190,0)</f>
        <v>0</v>
      </c>
      <c r="Y295">
        <f>IF(Y$230,LandEmiss!AI190,0)</f>
        <v>0</v>
      </c>
      <c r="Z295">
        <f>IF(Z$230,LandEmiss!AJ190,0)</f>
        <v>0</v>
      </c>
      <c r="AA295">
        <f>IF(AA$230,LandEmiss!AK190,0)</f>
        <v>0</v>
      </c>
      <c r="AB295">
        <f>IF(AB$230,LandEmiss!AL190,0)</f>
        <v>0</v>
      </c>
      <c r="AC295">
        <f>IF(AC$230,LandEmiss!AM190,0)</f>
        <v>0</v>
      </c>
      <c r="AD295">
        <f>IF(AD$230,LandEmiss!AN190,0)</f>
        <v>0</v>
      </c>
      <c r="AE295">
        <f>IF(AE$230,LandEmiss!AO190,0)</f>
        <v>0</v>
      </c>
      <c r="AF295">
        <f t="shared" ref="AF295:AO295" si="1809">IF(AF$230,AF190,0)</f>
        <v>0</v>
      </c>
      <c r="AG295">
        <f t="shared" si="1809"/>
        <v>0</v>
      </c>
      <c r="AH295">
        <f t="shared" si="1809"/>
        <v>0</v>
      </c>
      <c r="AI295">
        <f t="shared" si="1809"/>
        <v>0</v>
      </c>
      <c r="AJ295">
        <f t="shared" si="1809"/>
        <v>0</v>
      </c>
      <c r="AK295">
        <f t="shared" si="1809"/>
        <v>0</v>
      </c>
      <c r="AL295">
        <f t="shared" si="1809"/>
        <v>0</v>
      </c>
      <c r="AM295">
        <f t="shared" si="1809"/>
        <v>0</v>
      </c>
      <c r="AN295">
        <f t="shared" si="1809"/>
        <v>0</v>
      </c>
      <c r="AO295">
        <f t="shared" si="1809"/>
        <v>0</v>
      </c>
      <c r="AP295">
        <f t="shared" si="1331"/>
        <v>0</v>
      </c>
      <c r="AQ295">
        <f t="shared" si="1332"/>
        <v>0</v>
      </c>
      <c r="AR295">
        <f t="shared" si="1333"/>
        <v>0</v>
      </c>
      <c r="AS295">
        <f t="shared" si="1334"/>
        <v>0</v>
      </c>
      <c r="AT295">
        <f t="shared" si="1335"/>
        <v>0</v>
      </c>
      <c r="AU295">
        <f t="shared" si="1336"/>
        <v>0</v>
      </c>
      <c r="AV295">
        <f t="shared" si="1337"/>
        <v>0</v>
      </c>
      <c r="AW295">
        <f t="shared" si="1338"/>
        <v>0</v>
      </c>
      <c r="AX295">
        <f t="shared" si="1339"/>
        <v>0</v>
      </c>
      <c r="AY295">
        <f t="shared" si="1340"/>
        <v>0</v>
      </c>
      <c r="AZ295">
        <f t="shared" si="1341"/>
        <v>0</v>
      </c>
      <c r="BA295">
        <f t="shared" si="1342"/>
        <v>0</v>
      </c>
      <c r="BB295">
        <f t="shared" si="1343"/>
        <v>0</v>
      </c>
      <c r="BC295">
        <f t="shared" si="1344"/>
        <v>0</v>
      </c>
      <c r="BD295">
        <f t="shared" si="1345"/>
        <v>0</v>
      </c>
      <c r="BE295">
        <f t="shared" si="1346"/>
        <v>0</v>
      </c>
      <c r="BF295">
        <f t="shared" si="1347"/>
        <v>0</v>
      </c>
      <c r="BG295">
        <f t="shared" si="1348"/>
        <v>0</v>
      </c>
      <c r="BH295">
        <f t="shared" si="1488"/>
        <v>0</v>
      </c>
      <c r="BI295">
        <f t="shared" si="1387"/>
        <v>0</v>
      </c>
      <c r="BJ295" s="8" t="str">
        <f>Hidden!$CC66</f>
        <v/>
      </c>
      <c r="BK295">
        <f t="shared" ref="BK295:BT295" si="1810">IF(BK$230,CP190,0)</f>
        <v>0</v>
      </c>
      <c r="BL295">
        <f t="shared" si="1810"/>
        <v>0</v>
      </c>
      <c r="BM295">
        <f t="shared" si="1810"/>
        <v>0</v>
      </c>
      <c r="BN295">
        <f t="shared" si="1810"/>
        <v>0</v>
      </c>
      <c r="BO295">
        <f t="shared" si="1810"/>
        <v>0</v>
      </c>
      <c r="BP295">
        <f t="shared" si="1810"/>
        <v>0</v>
      </c>
      <c r="BQ295">
        <f t="shared" si="1810"/>
        <v>0</v>
      </c>
      <c r="BR295">
        <f t="shared" si="1810"/>
        <v>0</v>
      </c>
      <c r="BS295">
        <f t="shared" si="1810"/>
        <v>0</v>
      </c>
      <c r="BT295">
        <f t="shared" si="1810"/>
        <v>0</v>
      </c>
      <c r="BU295">
        <f t="shared" ref="BU295:CD295" si="1811">IF(BU$230,CP190,0)</f>
        <v>0</v>
      </c>
      <c r="BV295">
        <f t="shared" si="1811"/>
        <v>0</v>
      </c>
      <c r="BW295">
        <f t="shared" si="1811"/>
        <v>0</v>
      </c>
      <c r="BX295">
        <f t="shared" si="1811"/>
        <v>0</v>
      </c>
      <c r="BY295">
        <f t="shared" si="1811"/>
        <v>0</v>
      </c>
      <c r="BZ295">
        <f t="shared" si="1811"/>
        <v>0</v>
      </c>
      <c r="CA295">
        <f t="shared" si="1811"/>
        <v>0</v>
      </c>
      <c r="CB295">
        <f t="shared" si="1811"/>
        <v>0</v>
      </c>
      <c r="CC295">
        <f t="shared" si="1811"/>
        <v>0</v>
      </c>
      <c r="CD295">
        <f t="shared" si="1811"/>
        <v>0</v>
      </c>
      <c r="CE295">
        <f t="shared" si="1352"/>
        <v>0</v>
      </c>
      <c r="CF295">
        <f t="shared" si="1353"/>
        <v>0</v>
      </c>
      <c r="CG295">
        <f t="shared" si="1354"/>
        <v>0</v>
      </c>
      <c r="CH295">
        <f t="shared" si="1355"/>
        <v>0</v>
      </c>
      <c r="CI295">
        <f t="shared" si="1356"/>
        <v>0</v>
      </c>
      <c r="CJ295">
        <f t="shared" si="1491"/>
        <v>0</v>
      </c>
      <c r="CK295">
        <f t="shared" si="1390"/>
        <v>0</v>
      </c>
      <c r="CL295">
        <f t="shared" si="1358"/>
        <v>0</v>
      </c>
      <c r="CM295">
        <f t="shared" si="1359"/>
        <v>0</v>
      </c>
      <c r="CN295">
        <f t="shared" si="1360"/>
        <v>0</v>
      </c>
      <c r="CO295">
        <f t="shared" ref="CO295:CX295" si="1812">IF(CO$230,CP190,0)</f>
        <v>0</v>
      </c>
      <c r="CP295">
        <f t="shared" si="1812"/>
        <v>0</v>
      </c>
      <c r="CQ295">
        <f t="shared" si="1812"/>
        <v>0</v>
      </c>
      <c r="CR295">
        <f t="shared" si="1812"/>
        <v>0</v>
      </c>
      <c r="CS295">
        <f t="shared" si="1812"/>
        <v>0</v>
      </c>
      <c r="CT295">
        <f t="shared" si="1812"/>
        <v>0</v>
      </c>
      <c r="CU295">
        <f t="shared" si="1812"/>
        <v>0</v>
      </c>
      <c r="CV295">
        <f t="shared" si="1812"/>
        <v>0</v>
      </c>
      <c r="CW295">
        <f t="shared" si="1812"/>
        <v>0</v>
      </c>
      <c r="CX295">
        <f t="shared" si="1812"/>
        <v>0</v>
      </c>
      <c r="CY295">
        <f t="shared" si="1362"/>
        <v>0</v>
      </c>
      <c r="CZ295">
        <f t="shared" si="1363"/>
        <v>0</v>
      </c>
      <c r="DA295">
        <f t="shared" si="1364"/>
        <v>0</v>
      </c>
      <c r="DB295">
        <f t="shared" si="1365"/>
        <v>0</v>
      </c>
      <c r="DC295">
        <f t="shared" si="1366"/>
        <v>0</v>
      </c>
      <c r="DD295">
        <f t="shared" si="1367"/>
        <v>0</v>
      </c>
      <c r="DE295">
        <f t="shared" si="1368"/>
        <v>0</v>
      </c>
      <c r="DF295">
        <f t="shared" si="1369"/>
        <v>0</v>
      </c>
      <c r="DG295">
        <f t="shared" si="1370"/>
        <v>0</v>
      </c>
      <c r="DH295">
        <f t="shared" si="1371"/>
        <v>0</v>
      </c>
      <c r="DI295">
        <f t="shared" si="1372"/>
        <v>0</v>
      </c>
      <c r="DJ295">
        <f t="shared" si="1373"/>
        <v>0</v>
      </c>
      <c r="DK295">
        <f t="shared" si="1374"/>
        <v>0</v>
      </c>
      <c r="DL295">
        <f t="shared" si="1375"/>
        <v>0</v>
      </c>
      <c r="DM295">
        <f t="shared" si="1376"/>
        <v>0</v>
      </c>
      <c r="DN295">
        <f t="shared" si="1377"/>
        <v>0</v>
      </c>
      <c r="DO295">
        <f t="shared" si="1378"/>
        <v>0</v>
      </c>
      <c r="DP295">
        <f t="shared" si="1379"/>
        <v>0</v>
      </c>
      <c r="DQ295">
        <f t="shared" si="1380"/>
        <v>0</v>
      </c>
      <c r="DR295">
        <f t="shared" si="1381"/>
        <v>0</v>
      </c>
      <c r="DT295" s="77"/>
      <c r="DU295" s="8" t="str">
        <f>Hidden!$CG78</f>
        <v/>
      </c>
      <c r="DV295">
        <f t="shared" si="1709"/>
        <v>0</v>
      </c>
      <c r="DW295">
        <f t="shared" si="1710"/>
        <v>0</v>
      </c>
      <c r="DX295">
        <f t="shared" si="1711"/>
        <v>0</v>
      </c>
      <c r="DY295">
        <f t="shared" si="1712"/>
        <v>0</v>
      </c>
      <c r="DZ295">
        <f t="shared" si="1713"/>
        <v>0</v>
      </c>
      <c r="EA295">
        <f t="shared" si="1714"/>
        <v>0</v>
      </c>
      <c r="EB295">
        <f t="shared" si="1715"/>
        <v>0</v>
      </c>
      <c r="EC295">
        <f t="shared" si="1716"/>
        <v>0</v>
      </c>
      <c r="ED295">
        <f t="shared" si="1717"/>
        <v>0</v>
      </c>
      <c r="EE295">
        <f t="shared" si="1718"/>
        <v>0</v>
      </c>
      <c r="EF295">
        <f t="shared" si="1719"/>
        <v>0</v>
      </c>
      <c r="EG295">
        <f t="shared" si="1720"/>
        <v>0</v>
      </c>
      <c r="EH295">
        <f t="shared" si="1721"/>
        <v>0</v>
      </c>
      <c r="EI295">
        <f t="shared" si="1722"/>
        <v>0</v>
      </c>
      <c r="EJ295">
        <f t="shared" si="1723"/>
        <v>0</v>
      </c>
      <c r="EK295">
        <f t="shared" si="1724"/>
        <v>0</v>
      </c>
      <c r="EL295">
        <f t="shared" si="1725"/>
        <v>0</v>
      </c>
      <c r="EM295">
        <f t="shared" si="1726"/>
        <v>0</v>
      </c>
      <c r="EN295">
        <f t="shared" si="1727"/>
        <v>0</v>
      </c>
      <c r="EO295">
        <f t="shared" si="1728"/>
        <v>0</v>
      </c>
      <c r="EP295">
        <f t="shared" si="1729"/>
        <v>0</v>
      </c>
      <c r="EQ295">
        <f t="shared" si="1730"/>
        <v>0</v>
      </c>
      <c r="ER295">
        <f t="shared" si="1731"/>
        <v>0</v>
      </c>
      <c r="ES295">
        <f t="shared" ref="ES295:ET295" si="1813">IF(ES$218,FC190,0)</f>
        <v>0</v>
      </c>
      <c r="ET295">
        <f t="shared" si="1813"/>
        <v>0</v>
      </c>
      <c r="EU295">
        <f t="shared" si="1732"/>
        <v>0</v>
      </c>
      <c r="EV295">
        <f t="shared" si="1411"/>
        <v>0</v>
      </c>
      <c r="EW295">
        <f t="shared" si="1757"/>
        <v>0</v>
      </c>
      <c r="EX295">
        <f t="shared" si="1733"/>
        <v>0</v>
      </c>
      <c r="EY295">
        <f t="shared" si="1734"/>
        <v>0</v>
      </c>
      <c r="EZ295">
        <f t="shared" ref="EZ295:FI295" si="1814">IF(EZ$218,EZ190,0)</f>
        <v>0</v>
      </c>
      <c r="FA295">
        <f t="shared" si="1814"/>
        <v>0</v>
      </c>
      <c r="FB295">
        <f t="shared" si="1814"/>
        <v>0</v>
      </c>
      <c r="FC295">
        <f t="shared" si="1814"/>
        <v>0</v>
      </c>
      <c r="FD295">
        <f t="shared" si="1814"/>
        <v>0</v>
      </c>
      <c r="FE295">
        <f t="shared" si="1814"/>
        <v>0</v>
      </c>
      <c r="FF295">
        <f t="shared" si="1814"/>
        <v>0</v>
      </c>
      <c r="FG295">
        <f t="shared" si="1814"/>
        <v>0</v>
      </c>
      <c r="FH295">
        <f t="shared" si="1814"/>
        <v>0</v>
      </c>
      <c r="FI295">
        <f t="shared" si="1814"/>
        <v>0</v>
      </c>
      <c r="FJ295">
        <f t="shared" si="1736"/>
        <v>0</v>
      </c>
      <c r="FK295">
        <f t="shared" si="1737"/>
        <v>0</v>
      </c>
      <c r="FL295">
        <f t="shared" si="1413"/>
        <v>0</v>
      </c>
      <c r="FM295">
        <f t="shared" si="1759"/>
        <v>0</v>
      </c>
      <c r="FN295">
        <f t="shared" si="1738"/>
        <v>0</v>
      </c>
      <c r="FO295">
        <f t="shared" si="1739"/>
        <v>0</v>
      </c>
      <c r="FP295">
        <f t="shared" si="1740"/>
        <v>0</v>
      </c>
      <c r="FQ295">
        <f t="shared" si="1741"/>
        <v>0</v>
      </c>
      <c r="FR295">
        <f t="shared" si="1742"/>
        <v>0</v>
      </c>
      <c r="FS295">
        <f t="shared" si="1743"/>
        <v>0</v>
      </c>
      <c r="FT295">
        <f t="shared" si="1744"/>
        <v>0</v>
      </c>
      <c r="FU295">
        <f t="shared" si="1745"/>
        <v>0</v>
      </c>
      <c r="FV295">
        <f t="shared" si="1746"/>
        <v>0</v>
      </c>
      <c r="FW295">
        <f t="shared" si="1747"/>
        <v>0</v>
      </c>
      <c r="FX295">
        <f t="shared" si="1414"/>
        <v>0</v>
      </c>
      <c r="FY295">
        <f t="shared" si="1760"/>
        <v>0</v>
      </c>
      <c r="FZ295">
        <f t="shared" si="1748"/>
        <v>0</v>
      </c>
      <c r="GA295">
        <f t="shared" si="1749"/>
        <v>0</v>
      </c>
      <c r="GB295">
        <f t="shared" si="1750"/>
        <v>0</v>
      </c>
      <c r="GC295">
        <f t="shared" si="1751"/>
        <v>0</v>
      </c>
    </row>
    <row r="296" spans="1:185" x14ac:dyDescent="0.2">
      <c r="A296" s="8" t="str">
        <f t="shared" si="1311"/>
        <v/>
      </c>
      <c r="B296" s="8">
        <f t="shared" si="1312"/>
        <v>0</v>
      </c>
      <c r="C296" s="8">
        <f t="shared" si="1313"/>
        <v>0</v>
      </c>
      <c r="D296" s="8">
        <f t="shared" si="1314"/>
        <v>0</v>
      </c>
      <c r="E296" s="8">
        <f t="shared" si="1486"/>
        <v>0</v>
      </c>
      <c r="F296" s="8">
        <f t="shared" si="1384"/>
        <v>0</v>
      </c>
      <c r="G296" s="8">
        <f t="shared" si="1427"/>
        <v>0</v>
      </c>
      <c r="H296" s="8">
        <f t="shared" si="1428"/>
        <v>0</v>
      </c>
      <c r="I296" s="8">
        <f t="shared" si="1429"/>
        <v>0</v>
      </c>
      <c r="J296" s="8">
        <f t="shared" si="1430"/>
        <v>0</v>
      </c>
      <c r="K296" s="8">
        <f t="shared" si="1431"/>
        <v>0</v>
      </c>
      <c r="L296">
        <f t="shared" si="1320"/>
        <v>0</v>
      </c>
      <c r="M296">
        <f t="shared" si="1321"/>
        <v>0</v>
      </c>
      <c r="N296">
        <f t="shared" si="1322"/>
        <v>0</v>
      </c>
      <c r="O296">
        <f t="shared" si="1323"/>
        <v>0</v>
      </c>
      <c r="P296">
        <f t="shared" si="1324"/>
        <v>0</v>
      </c>
      <c r="Q296">
        <f t="shared" si="1325"/>
        <v>0</v>
      </c>
      <c r="R296">
        <f t="shared" si="1326"/>
        <v>0</v>
      </c>
      <c r="S296">
        <f t="shared" si="1327"/>
        <v>0</v>
      </c>
      <c r="T296">
        <f t="shared" si="1328"/>
        <v>0</v>
      </c>
      <c r="U296">
        <f t="shared" si="1329"/>
        <v>0</v>
      </c>
      <c r="V296">
        <f>IF(V$230,LandEmiss!AF191,0)</f>
        <v>0</v>
      </c>
      <c r="W296">
        <f>IF(W$230,LandEmiss!AG191,0)</f>
        <v>0</v>
      </c>
      <c r="X296">
        <f>IF(X$230,LandEmiss!AH191,0)</f>
        <v>0</v>
      </c>
      <c r="Y296">
        <f>IF(Y$230,LandEmiss!AI191,0)</f>
        <v>0</v>
      </c>
      <c r="Z296">
        <f>IF(Z$230,LandEmiss!AJ191,0)</f>
        <v>0</v>
      </c>
      <c r="AA296">
        <f>IF(AA$230,LandEmiss!AK191,0)</f>
        <v>0</v>
      </c>
      <c r="AB296">
        <f>IF(AB$230,LandEmiss!AL191,0)</f>
        <v>0</v>
      </c>
      <c r="AC296">
        <f>IF(AC$230,LandEmiss!AM191,0)</f>
        <v>0</v>
      </c>
      <c r="AD296">
        <f>IF(AD$230,LandEmiss!AN191,0)</f>
        <v>0</v>
      </c>
      <c r="AE296">
        <f>IF(AE$230,LandEmiss!AO191,0)</f>
        <v>0</v>
      </c>
      <c r="AF296">
        <f t="shared" ref="AF296:AO296" si="1815">IF(AF$230,AF191,0)</f>
        <v>0</v>
      </c>
      <c r="AG296">
        <f t="shared" si="1815"/>
        <v>0</v>
      </c>
      <c r="AH296">
        <f t="shared" si="1815"/>
        <v>0</v>
      </c>
      <c r="AI296">
        <f t="shared" si="1815"/>
        <v>0</v>
      </c>
      <c r="AJ296">
        <f t="shared" si="1815"/>
        <v>0</v>
      </c>
      <c r="AK296">
        <f t="shared" si="1815"/>
        <v>0</v>
      </c>
      <c r="AL296">
        <f t="shared" si="1815"/>
        <v>0</v>
      </c>
      <c r="AM296">
        <f t="shared" si="1815"/>
        <v>0</v>
      </c>
      <c r="AN296">
        <f t="shared" si="1815"/>
        <v>0</v>
      </c>
      <c r="AO296">
        <f t="shared" si="1815"/>
        <v>0</v>
      </c>
      <c r="AP296">
        <f t="shared" si="1331"/>
        <v>0</v>
      </c>
      <c r="AQ296">
        <f t="shared" si="1332"/>
        <v>0</v>
      </c>
      <c r="AR296">
        <f t="shared" si="1333"/>
        <v>0</v>
      </c>
      <c r="AS296">
        <f t="shared" si="1334"/>
        <v>0</v>
      </c>
      <c r="AT296">
        <f t="shared" si="1335"/>
        <v>0</v>
      </c>
      <c r="AU296">
        <f t="shared" si="1336"/>
        <v>0</v>
      </c>
      <c r="AV296">
        <f t="shared" si="1337"/>
        <v>0</v>
      </c>
      <c r="AW296">
        <f t="shared" si="1338"/>
        <v>0</v>
      </c>
      <c r="AX296">
        <f t="shared" si="1339"/>
        <v>0</v>
      </c>
      <c r="AY296">
        <f t="shared" si="1340"/>
        <v>0</v>
      </c>
      <c r="AZ296">
        <f t="shared" si="1341"/>
        <v>0</v>
      </c>
      <c r="BA296">
        <f t="shared" si="1342"/>
        <v>0</v>
      </c>
      <c r="BB296">
        <f t="shared" si="1343"/>
        <v>0</v>
      </c>
      <c r="BC296">
        <f t="shared" si="1344"/>
        <v>0</v>
      </c>
      <c r="BD296">
        <f t="shared" si="1345"/>
        <v>0</v>
      </c>
      <c r="BE296">
        <f t="shared" si="1346"/>
        <v>0</v>
      </c>
      <c r="BF296">
        <f t="shared" si="1347"/>
        <v>0</v>
      </c>
      <c r="BG296">
        <f t="shared" si="1348"/>
        <v>0</v>
      </c>
      <c r="BH296">
        <f t="shared" si="1488"/>
        <v>0</v>
      </c>
      <c r="BI296">
        <f t="shared" si="1387"/>
        <v>0</v>
      </c>
      <c r="BJ296" s="8" t="str">
        <f>Hidden!$CC67</f>
        <v/>
      </c>
      <c r="BK296">
        <f t="shared" ref="BK296:BT296" si="1816">IF(BK$230,CP191,0)</f>
        <v>0</v>
      </c>
      <c r="BL296">
        <f t="shared" si="1816"/>
        <v>0</v>
      </c>
      <c r="BM296">
        <f t="shared" si="1816"/>
        <v>0</v>
      </c>
      <c r="BN296">
        <f t="shared" si="1816"/>
        <v>0</v>
      </c>
      <c r="BO296">
        <f t="shared" si="1816"/>
        <v>0</v>
      </c>
      <c r="BP296">
        <f t="shared" si="1816"/>
        <v>0</v>
      </c>
      <c r="BQ296">
        <f t="shared" si="1816"/>
        <v>0</v>
      </c>
      <c r="BR296">
        <f t="shared" si="1816"/>
        <v>0</v>
      </c>
      <c r="BS296">
        <f t="shared" si="1816"/>
        <v>0</v>
      </c>
      <c r="BT296">
        <f t="shared" si="1816"/>
        <v>0</v>
      </c>
      <c r="BU296">
        <f t="shared" ref="BU296:CD296" si="1817">IF(BU$230,CP191,0)</f>
        <v>0</v>
      </c>
      <c r="BV296">
        <f t="shared" si="1817"/>
        <v>0</v>
      </c>
      <c r="BW296">
        <f t="shared" si="1817"/>
        <v>0</v>
      </c>
      <c r="BX296">
        <f t="shared" si="1817"/>
        <v>0</v>
      </c>
      <c r="BY296">
        <f t="shared" si="1817"/>
        <v>0</v>
      </c>
      <c r="BZ296">
        <f t="shared" si="1817"/>
        <v>0</v>
      </c>
      <c r="CA296">
        <f t="shared" si="1817"/>
        <v>0</v>
      </c>
      <c r="CB296">
        <f t="shared" si="1817"/>
        <v>0</v>
      </c>
      <c r="CC296">
        <f t="shared" si="1817"/>
        <v>0</v>
      </c>
      <c r="CD296">
        <f t="shared" si="1817"/>
        <v>0</v>
      </c>
      <c r="CE296">
        <f t="shared" si="1352"/>
        <v>0</v>
      </c>
      <c r="CF296">
        <f t="shared" si="1353"/>
        <v>0</v>
      </c>
      <c r="CG296">
        <f t="shared" si="1354"/>
        <v>0</v>
      </c>
      <c r="CH296">
        <f t="shared" si="1355"/>
        <v>0</v>
      </c>
      <c r="CI296">
        <f t="shared" si="1356"/>
        <v>0</v>
      </c>
      <c r="CJ296">
        <f t="shared" si="1491"/>
        <v>0</v>
      </c>
      <c r="CK296">
        <f t="shared" si="1390"/>
        <v>0</v>
      </c>
      <c r="CL296">
        <f t="shared" si="1358"/>
        <v>0</v>
      </c>
      <c r="CM296">
        <f t="shared" si="1359"/>
        <v>0</v>
      </c>
      <c r="CN296">
        <f t="shared" si="1360"/>
        <v>0</v>
      </c>
      <c r="CO296">
        <f t="shared" ref="CO296:CX296" si="1818">IF(CO$230,CP191,0)</f>
        <v>0</v>
      </c>
      <c r="CP296">
        <f t="shared" si="1818"/>
        <v>0</v>
      </c>
      <c r="CQ296">
        <f t="shared" si="1818"/>
        <v>0</v>
      </c>
      <c r="CR296">
        <f t="shared" si="1818"/>
        <v>0</v>
      </c>
      <c r="CS296">
        <f t="shared" si="1818"/>
        <v>0</v>
      </c>
      <c r="CT296">
        <f t="shared" si="1818"/>
        <v>0</v>
      </c>
      <c r="CU296">
        <f t="shared" si="1818"/>
        <v>0</v>
      </c>
      <c r="CV296">
        <f t="shared" si="1818"/>
        <v>0</v>
      </c>
      <c r="CW296">
        <f t="shared" si="1818"/>
        <v>0</v>
      </c>
      <c r="CX296">
        <f t="shared" si="1818"/>
        <v>0</v>
      </c>
      <c r="CY296">
        <f t="shared" si="1362"/>
        <v>0</v>
      </c>
      <c r="CZ296">
        <f t="shared" si="1363"/>
        <v>0</v>
      </c>
      <c r="DA296">
        <f t="shared" si="1364"/>
        <v>0</v>
      </c>
      <c r="DB296">
        <f t="shared" si="1365"/>
        <v>0</v>
      </c>
      <c r="DC296">
        <f t="shared" si="1366"/>
        <v>0</v>
      </c>
      <c r="DD296">
        <f t="shared" si="1367"/>
        <v>0</v>
      </c>
      <c r="DE296">
        <f t="shared" si="1368"/>
        <v>0</v>
      </c>
      <c r="DF296">
        <f t="shared" si="1369"/>
        <v>0</v>
      </c>
      <c r="DG296">
        <f t="shared" si="1370"/>
        <v>0</v>
      </c>
      <c r="DH296">
        <f t="shared" si="1371"/>
        <v>0</v>
      </c>
      <c r="DI296">
        <f t="shared" si="1372"/>
        <v>0</v>
      </c>
      <c r="DJ296">
        <f t="shared" si="1373"/>
        <v>0</v>
      </c>
      <c r="DK296">
        <f t="shared" si="1374"/>
        <v>0</v>
      </c>
      <c r="DL296">
        <f t="shared" si="1375"/>
        <v>0</v>
      </c>
      <c r="DM296">
        <f t="shared" si="1376"/>
        <v>0</v>
      </c>
      <c r="DN296">
        <f t="shared" si="1377"/>
        <v>0</v>
      </c>
      <c r="DO296">
        <f t="shared" si="1378"/>
        <v>0</v>
      </c>
      <c r="DP296">
        <f t="shared" si="1379"/>
        <v>0</v>
      </c>
      <c r="DQ296">
        <f t="shared" si="1380"/>
        <v>0</v>
      </c>
      <c r="DR296">
        <f t="shared" si="1381"/>
        <v>0</v>
      </c>
      <c r="DT296" s="77"/>
      <c r="DU296" s="8" t="str">
        <f>Hidden!$CG79</f>
        <v/>
      </c>
      <c r="DV296">
        <f t="shared" si="1709"/>
        <v>0</v>
      </c>
      <c r="DW296">
        <f t="shared" si="1710"/>
        <v>0</v>
      </c>
      <c r="DX296">
        <f t="shared" si="1711"/>
        <v>0</v>
      </c>
      <c r="DY296">
        <f t="shared" si="1712"/>
        <v>0</v>
      </c>
      <c r="DZ296">
        <f t="shared" si="1713"/>
        <v>0</v>
      </c>
      <c r="EA296">
        <f t="shared" si="1714"/>
        <v>0</v>
      </c>
      <c r="EB296">
        <f t="shared" si="1715"/>
        <v>0</v>
      </c>
      <c r="EC296">
        <f t="shared" si="1716"/>
        <v>0</v>
      </c>
      <c r="ED296">
        <f t="shared" si="1717"/>
        <v>0</v>
      </c>
      <c r="EE296">
        <f t="shared" si="1718"/>
        <v>0</v>
      </c>
      <c r="EF296">
        <f t="shared" si="1719"/>
        <v>0</v>
      </c>
      <c r="EG296">
        <f t="shared" si="1720"/>
        <v>0</v>
      </c>
      <c r="EH296">
        <f t="shared" si="1721"/>
        <v>0</v>
      </c>
      <c r="EI296">
        <f t="shared" si="1722"/>
        <v>0</v>
      </c>
      <c r="EJ296">
        <f t="shared" si="1723"/>
        <v>0</v>
      </c>
      <c r="EK296">
        <f t="shared" si="1724"/>
        <v>0</v>
      </c>
      <c r="EL296">
        <f t="shared" si="1725"/>
        <v>0</v>
      </c>
      <c r="EM296">
        <f t="shared" si="1726"/>
        <v>0</v>
      </c>
      <c r="EN296">
        <f t="shared" si="1727"/>
        <v>0</v>
      </c>
      <c r="EO296">
        <f t="shared" si="1728"/>
        <v>0</v>
      </c>
      <c r="EP296">
        <f t="shared" si="1729"/>
        <v>0</v>
      </c>
      <c r="EQ296">
        <f t="shared" si="1730"/>
        <v>0</v>
      </c>
      <c r="ER296">
        <f t="shared" si="1731"/>
        <v>0</v>
      </c>
      <c r="ES296">
        <f t="shared" ref="ES296:ET296" si="1819">IF(ES$218,FC191,0)</f>
        <v>0</v>
      </c>
      <c r="ET296">
        <f t="shared" si="1819"/>
        <v>0</v>
      </c>
      <c r="EU296">
        <f t="shared" si="1732"/>
        <v>0</v>
      </c>
      <c r="EV296">
        <f t="shared" si="1411"/>
        <v>0</v>
      </c>
      <c r="EW296">
        <f t="shared" si="1757"/>
        <v>0</v>
      </c>
      <c r="EX296">
        <f t="shared" si="1733"/>
        <v>0</v>
      </c>
      <c r="EY296">
        <f t="shared" si="1734"/>
        <v>0</v>
      </c>
      <c r="EZ296">
        <f t="shared" ref="EZ296:FI296" si="1820">IF(EZ$218,EZ191,0)</f>
        <v>0</v>
      </c>
      <c r="FA296">
        <f t="shared" si="1820"/>
        <v>0</v>
      </c>
      <c r="FB296">
        <f t="shared" si="1820"/>
        <v>0</v>
      </c>
      <c r="FC296">
        <f t="shared" si="1820"/>
        <v>0</v>
      </c>
      <c r="FD296">
        <f t="shared" si="1820"/>
        <v>0</v>
      </c>
      <c r="FE296">
        <f t="shared" si="1820"/>
        <v>0</v>
      </c>
      <c r="FF296">
        <f t="shared" si="1820"/>
        <v>0</v>
      </c>
      <c r="FG296">
        <f t="shared" si="1820"/>
        <v>0</v>
      </c>
      <c r="FH296">
        <f t="shared" si="1820"/>
        <v>0</v>
      </c>
      <c r="FI296">
        <f t="shared" si="1820"/>
        <v>0</v>
      </c>
      <c r="FJ296">
        <f t="shared" si="1736"/>
        <v>0</v>
      </c>
      <c r="FK296">
        <f t="shared" si="1737"/>
        <v>0</v>
      </c>
      <c r="FL296">
        <f t="shared" si="1413"/>
        <v>0</v>
      </c>
      <c r="FM296">
        <f t="shared" si="1759"/>
        <v>0</v>
      </c>
      <c r="FN296">
        <f t="shared" si="1738"/>
        <v>0</v>
      </c>
      <c r="FO296">
        <f t="shared" si="1739"/>
        <v>0</v>
      </c>
      <c r="FP296">
        <f t="shared" si="1740"/>
        <v>0</v>
      </c>
      <c r="FQ296">
        <f t="shared" si="1741"/>
        <v>0</v>
      </c>
      <c r="FR296">
        <f t="shared" si="1742"/>
        <v>0</v>
      </c>
      <c r="FS296">
        <f t="shared" si="1743"/>
        <v>0</v>
      </c>
      <c r="FT296">
        <f t="shared" si="1744"/>
        <v>0</v>
      </c>
      <c r="FU296">
        <f t="shared" si="1745"/>
        <v>0</v>
      </c>
      <c r="FV296">
        <f t="shared" si="1746"/>
        <v>0</v>
      </c>
      <c r="FW296">
        <f t="shared" si="1747"/>
        <v>0</v>
      </c>
      <c r="FX296">
        <f t="shared" si="1414"/>
        <v>0</v>
      </c>
      <c r="FY296">
        <f t="shared" si="1760"/>
        <v>0</v>
      </c>
      <c r="FZ296">
        <f t="shared" si="1748"/>
        <v>0</v>
      </c>
      <c r="GA296">
        <f t="shared" si="1749"/>
        <v>0</v>
      </c>
      <c r="GB296">
        <f t="shared" si="1750"/>
        <v>0</v>
      </c>
      <c r="GC296">
        <f t="shared" si="1751"/>
        <v>0</v>
      </c>
    </row>
    <row r="297" spans="1:185" x14ac:dyDescent="0.2">
      <c r="A297" s="8" t="str">
        <f t="shared" ref="A297:A331" si="1821">$AE85</f>
        <v/>
      </c>
      <c r="B297" s="8">
        <f t="shared" ref="B297:B331" si="1822">IF(B$230,AF192,0)</f>
        <v>0</v>
      </c>
      <c r="C297" s="8">
        <f t="shared" ref="C297:C331" si="1823">IF(C$230,AG192,0)</f>
        <v>0</v>
      </c>
      <c r="D297" s="8">
        <f t="shared" ref="D297:D331" si="1824">IF(D$230,AH192,0)</f>
        <v>0</v>
      </c>
      <c r="E297" s="8">
        <f t="shared" si="1486"/>
        <v>0</v>
      </c>
      <c r="F297" s="8">
        <f t="shared" si="1384"/>
        <v>0</v>
      </c>
      <c r="G297" s="8">
        <f t="shared" si="1427"/>
        <v>0</v>
      </c>
      <c r="H297" s="8">
        <f t="shared" si="1428"/>
        <v>0</v>
      </c>
      <c r="I297" s="8">
        <f t="shared" si="1429"/>
        <v>0</v>
      </c>
      <c r="J297" s="8">
        <f t="shared" si="1430"/>
        <v>0</v>
      </c>
      <c r="K297" s="8">
        <f t="shared" si="1431"/>
        <v>0</v>
      </c>
      <c r="L297">
        <f t="shared" ref="L297:L331" si="1825">IF(L$230,AF192,0)</f>
        <v>0</v>
      </c>
      <c r="M297">
        <f t="shared" ref="M297:M331" si="1826">IF(M$230,AG192,0)</f>
        <v>0</v>
      </c>
      <c r="N297">
        <f t="shared" ref="N297:N331" si="1827">IF(N$230,AH192,0)</f>
        <v>0</v>
      </c>
      <c r="O297">
        <f t="shared" ref="O297:O331" si="1828">IF(O$230,AI192,0)</f>
        <v>0</v>
      </c>
      <c r="P297">
        <f t="shared" ref="P297:P331" si="1829">IF(P$230,AJ192,0)</f>
        <v>0</v>
      </c>
      <c r="Q297">
        <f t="shared" ref="Q297:Q331" si="1830">IF(Q$230,AK192,0)</f>
        <v>0</v>
      </c>
      <c r="R297">
        <f t="shared" ref="R297:R331" si="1831">IF(R$230,AL192,0)</f>
        <v>0</v>
      </c>
      <c r="S297">
        <f t="shared" ref="S297:S331" si="1832">IF(S$230,AM192,0)</f>
        <v>0</v>
      </c>
      <c r="T297">
        <f t="shared" ref="T297:T331" si="1833">IF(T$230,AN192,0)</f>
        <v>0</v>
      </c>
      <c r="U297">
        <f t="shared" ref="U297:U331" si="1834">IF(U$230,AO192,0)</f>
        <v>0</v>
      </c>
      <c r="V297">
        <f>IF(V$230,LandEmiss!AF192,0)</f>
        <v>0</v>
      </c>
      <c r="W297">
        <f>IF(W$230,LandEmiss!AG192,0)</f>
        <v>0</v>
      </c>
      <c r="X297">
        <f>IF(X$230,LandEmiss!AH192,0)</f>
        <v>0</v>
      </c>
      <c r="Y297">
        <f>IF(Y$230,LandEmiss!AI192,0)</f>
        <v>0</v>
      </c>
      <c r="Z297">
        <f>IF(Z$230,LandEmiss!AJ192,0)</f>
        <v>0</v>
      </c>
      <c r="AA297">
        <f>IF(AA$230,LandEmiss!AK192,0)</f>
        <v>0</v>
      </c>
      <c r="AB297">
        <f>IF(AB$230,LandEmiss!AL192,0)</f>
        <v>0</v>
      </c>
      <c r="AC297">
        <f>IF(AC$230,LandEmiss!AM192,0)</f>
        <v>0</v>
      </c>
      <c r="AD297">
        <f>IF(AD$230,LandEmiss!AN192,0)</f>
        <v>0</v>
      </c>
      <c r="AE297">
        <f>IF(AE$230,LandEmiss!AO192,0)</f>
        <v>0</v>
      </c>
      <c r="AF297">
        <f t="shared" ref="AF297:AO297" si="1835">IF(AF$230,AF192,0)</f>
        <v>0</v>
      </c>
      <c r="AG297">
        <f t="shared" si="1835"/>
        <v>0</v>
      </c>
      <c r="AH297">
        <f t="shared" si="1835"/>
        <v>0</v>
      </c>
      <c r="AI297">
        <f t="shared" si="1835"/>
        <v>0</v>
      </c>
      <c r="AJ297">
        <f t="shared" si="1835"/>
        <v>0</v>
      </c>
      <c r="AK297">
        <f t="shared" si="1835"/>
        <v>0</v>
      </c>
      <c r="AL297">
        <f t="shared" si="1835"/>
        <v>0</v>
      </c>
      <c r="AM297">
        <f t="shared" si="1835"/>
        <v>0</v>
      </c>
      <c r="AN297">
        <f t="shared" si="1835"/>
        <v>0</v>
      </c>
      <c r="AO297">
        <f t="shared" si="1835"/>
        <v>0</v>
      </c>
      <c r="AP297">
        <f t="shared" ref="AP297:AP331" si="1836">IF(AP$230,AF192,0)</f>
        <v>0</v>
      </c>
      <c r="AQ297">
        <f t="shared" ref="AQ297:AQ331" si="1837">IF(AQ$230,AG192,0)</f>
        <v>0</v>
      </c>
      <c r="AR297">
        <f t="shared" ref="AR297:AR331" si="1838">IF(AR$230,AH192,0)</f>
        <v>0</v>
      </c>
      <c r="AS297">
        <f t="shared" ref="AS297:AS331" si="1839">IF(AS$230,AI192,0)</f>
        <v>0</v>
      </c>
      <c r="AT297">
        <f t="shared" ref="AT297:AT331" si="1840">IF(AT$230,AJ192,0)</f>
        <v>0</v>
      </c>
      <c r="AU297">
        <f t="shared" ref="AU297:AU331" si="1841">IF(AU$230,AK192,0)</f>
        <v>0</v>
      </c>
      <c r="AV297">
        <f t="shared" ref="AV297:AV331" si="1842">IF(AV$230,AL192,0)</f>
        <v>0</v>
      </c>
      <c r="AW297">
        <f t="shared" ref="AW297:AW331" si="1843">IF(AW$230,AM192,0)</f>
        <v>0</v>
      </c>
      <c r="AX297">
        <f t="shared" ref="AX297:AX331" si="1844">IF(AX$230,AN192,0)</f>
        <v>0</v>
      </c>
      <c r="AY297">
        <f t="shared" ref="AY297:AY331" si="1845">IF(AY$230,AO192,0)</f>
        <v>0</v>
      </c>
      <c r="AZ297">
        <f t="shared" ref="AZ297:AZ331" si="1846">IF(AZ$230,AF192,0)</f>
        <v>0</v>
      </c>
      <c r="BA297">
        <f t="shared" ref="BA297:BA331" si="1847">IF(BA$230,AG192,0)</f>
        <v>0</v>
      </c>
      <c r="BB297">
        <f t="shared" ref="BB297:BB331" si="1848">IF(BB$230,AH192,0)</f>
        <v>0</v>
      </c>
      <c r="BC297">
        <f t="shared" ref="BC297:BC331" si="1849">IF(BC$230,AI192,0)</f>
        <v>0</v>
      </c>
      <c r="BD297">
        <f t="shared" ref="BD297:BD331" si="1850">IF(BD$230,AJ192,0)</f>
        <v>0</v>
      </c>
      <c r="BE297">
        <f t="shared" ref="BE297:BE331" si="1851">IF(BE$230,AK192,0)</f>
        <v>0</v>
      </c>
      <c r="BF297">
        <f t="shared" ref="BF297:BF331" si="1852">IF(BF$230,AL192,0)</f>
        <v>0</v>
      </c>
      <c r="BG297">
        <f t="shared" ref="BG297:BG331" si="1853">IF(BG$230,AM192,0)</f>
        <v>0</v>
      </c>
      <c r="BH297">
        <f t="shared" si="1488"/>
        <v>0</v>
      </c>
      <c r="BI297">
        <f t="shared" si="1387"/>
        <v>0</v>
      </c>
      <c r="BJ297" s="8" t="str">
        <f>Hidden!$CC68</f>
        <v/>
      </c>
      <c r="BK297">
        <f t="shared" ref="BK297:BT297" si="1854">IF(BK$230,CP192,0)</f>
        <v>0</v>
      </c>
      <c r="BL297">
        <f t="shared" si="1854"/>
        <v>0</v>
      </c>
      <c r="BM297">
        <f t="shared" si="1854"/>
        <v>0</v>
      </c>
      <c r="BN297">
        <f t="shared" si="1854"/>
        <v>0</v>
      </c>
      <c r="BO297">
        <f t="shared" si="1854"/>
        <v>0</v>
      </c>
      <c r="BP297">
        <f t="shared" si="1854"/>
        <v>0</v>
      </c>
      <c r="BQ297">
        <f t="shared" si="1854"/>
        <v>0</v>
      </c>
      <c r="BR297">
        <f t="shared" si="1854"/>
        <v>0</v>
      </c>
      <c r="BS297">
        <f t="shared" si="1854"/>
        <v>0</v>
      </c>
      <c r="BT297">
        <f t="shared" si="1854"/>
        <v>0</v>
      </c>
      <c r="BU297">
        <f t="shared" ref="BU297:CD297" si="1855">IF(BU$230,CP192,0)</f>
        <v>0</v>
      </c>
      <c r="BV297">
        <f t="shared" si="1855"/>
        <v>0</v>
      </c>
      <c r="BW297">
        <f t="shared" si="1855"/>
        <v>0</v>
      </c>
      <c r="BX297">
        <f t="shared" si="1855"/>
        <v>0</v>
      </c>
      <c r="BY297">
        <f t="shared" si="1855"/>
        <v>0</v>
      </c>
      <c r="BZ297">
        <f t="shared" si="1855"/>
        <v>0</v>
      </c>
      <c r="CA297">
        <f t="shared" si="1855"/>
        <v>0</v>
      </c>
      <c r="CB297">
        <f t="shared" si="1855"/>
        <v>0</v>
      </c>
      <c r="CC297">
        <f t="shared" si="1855"/>
        <v>0</v>
      </c>
      <c r="CD297">
        <f t="shared" si="1855"/>
        <v>0</v>
      </c>
      <c r="CE297">
        <f t="shared" ref="CE297:CE331" si="1856">IF(CE$230,CP192,0)</f>
        <v>0</v>
      </c>
      <c r="CF297">
        <f t="shared" ref="CF297:CF331" si="1857">IF(CF$230,CQ192,0)</f>
        <v>0</v>
      </c>
      <c r="CG297">
        <f t="shared" ref="CG297:CG331" si="1858">IF(CG$230,CR192,0)</f>
        <v>0</v>
      </c>
      <c r="CH297">
        <f t="shared" ref="CH297:CH331" si="1859">IF(CH$230,CS192,0)</f>
        <v>0</v>
      </c>
      <c r="CI297">
        <f t="shared" ref="CI297:CI331" si="1860">IF(CI$230,CT192,0)</f>
        <v>0</v>
      </c>
      <c r="CJ297">
        <f t="shared" si="1491"/>
        <v>0</v>
      </c>
      <c r="CK297">
        <f t="shared" si="1390"/>
        <v>0</v>
      </c>
      <c r="CL297">
        <f t="shared" ref="CL297:CL331" si="1861">IF(CL$230,CW192,0)</f>
        <v>0</v>
      </c>
      <c r="CM297">
        <f t="shared" ref="CM297:CM331" si="1862">IF(CM$230,CX192,0)</f>
        <v>0</v>
      </c>
      <c r="CN297">
        <f t="shared" ref="CN297:CN331" si="1863">IF(CN$230,CY192,0)</f>
        <v>0</v>
      </c>
      <c r="CO297">
        <f t="shared" ref="CO297:CX297" si="1864">IF(CO$230,CP192,0)</f>
        <v>0</v>
      </c>
      <c r="CP297">
        <f t="shared" si="1864"/>
        <v>0</v>
      </c>
      <c r="CQ297">
        <f t="shared" si="1864"/>
        <v>0</v>
      </c>
      <c r="CR297">
        <f t="shared" si="1864"/>
        <v>0</v>
      </c>
      <c r="CS297">
        <f t="shared" si="1864"/>
        <v>0</v>
      </c>
      <c r="CT297">
        <f t="shared" si="1864"/>
        <v>0</v>
      </c>
      <c r="CU297">
        <f t="shared" si="1864"/>
        <v>0</v>
      </c>
      <c r="CV297">
        <f t="shared" si="1864"/>
        <v>0</v>
      </c>
      <c r="CW297">
        <f t="shared" si="1864"/>
        <v>0</v>
      </c>
      <c r="CX297">
        <f t="shared" si="1864"/>
        <v>0</v>
      </c>
      <c r="CY297">
        <f t="shared" ref="CY297:CY331" si="1865">IF(CY$230,CP192,0)</f>
        <v>0</v>
      </c>
      <c r="CZ297">
        <f t="shared" ref="CZ297:CZ331" si="1866">IF(CZ$230,CQ192,0)</f>
        <v>0</v>
      </c>
      <c r="DA297">
        <f t="shared" ref="DA297:DA331" si="1867">IF(DA$230,CR192,0)</f>
        <v>0</v>
      </c>
      <c r="DB297">
        <f t="shared" ref="DB297:DB331" si="1868">IF(DB$230,CS192,0)</f>
        <v>0</v>
      </c>
      <c r="DC297">
        <f t="shared" ref="DC297:DC331" si="1869">IF(DC$230,CT192,0)</f>
        <v>0</v>
      </c>
      <c r="DD297">
        <f t="shared" ref="DD297:DD331" si="1870">IF(DD$230,CU192,0)</f>
        <v>0</v>
      </c>
      <c r="DE297">
        <f t="shared" ref="DE297:DE331" si="1871">IF(DE$230,CV192,0)</f>
        <v>0</v>
      </c>
      <c r="DF297">
        <f t="shared" ref="DF297:DF331" si="1872">IF(DF$230,CW192,0)</f>
        <v>0</v>
      </c>
      <c r="DG297">
        <f t="shared" ref="DG297:DG331" si="1873">IF(DG$230,CX192,0)</f>
        <v>0</v>
      </c>
      <c r="DH297">
        <f t="shared" ref="DH297:DH331" si="1874">IF(DH$230,CY192,0)</f>
        <v>0</v>
      </c>
      <c r="DI297">
        <f t="shared" ref="DI297:DI331" si="1875">IF(DI$230,CP192,0)</f>
        <v>0</v>
      </c>
      <c r="DJ297">
        <f t="shared" ref="DJ297:DJ331" si="1876">IF(DJ$230,CQ192,0)</f>
        <v>0</v>
      </c>
      <c r="DK297">
        <f t="shared" ref="DK297:DK331" si="1877">IF(DK$230,CR192,0)</f>
        <v>0</v>
      </c>
      <c r="DL297">
        <f t="shared" ref="DL297:DL331" si="1878">IF(DL$230,CS192,0)</f>
        <v>0</v>
      </c>
      <c r="DM297">
        <f t="shared" ref="DM297:DM331" si="1879">IF(DM$230,CT192,0)</f>
        <v>0</v>
      </c>
      <c r="DN297">
        <f t="shared" ref="DN297:DN331" si="1880">IF(DN$230,CU192,0)</f>
        <v>0</v>
      </c>
      <c r="DO297">
        <f t="shared" ref="DO297:DO331" si="1881">IF(DO$230,CV192,0)</f>
        <v>0</v>
      </c>
      <c r="DP297">
        <f t="shared" ref="DP297:DP331" si="1882">IF(DP$230,CW192,0)</f>
        <v>0</v>
      </c>
      <c r="DQ297">
        <f t="shared" ref="DQ297:DQ331" si="1883">IF(DQ$230,CX192,0)</f>
        <v>0</v>
      </c>
      <c r="DR297">
        <f t="shared" ref="DR297:DR331" si="1884">IF(DR$230,CY192,0)</f>
        <v>0</v>
      </c>
      <c r="DT297" s="77"/>
      <c r="DU297" s="8" t="str">
        <f>Hidden!$CG80</f>
        <v/>
      </c>
      <c r="DV297">
        <f t="shared" si="1709"/>
        <v>0</v>
      </c>
      <c r="DW297">
        <f t="shared" si="1710"/>
        <v>0</v>
      </c>
      <c r="DX297">
        <f t="shared" si="1711"/>
        <v>0</v>
      </c>
      <c r="DY297">
        <f t="shared" si="1712"/>
        <v>0</v>
      </c>
      <c r="DZ297">
        <f t="shared" si="1713"/>
        <v>0</v>
      </c>
      <c r="EA297">
        <f t="shared" si="1714"/>
        <v>0</v>
      </c>
      <c r="EB297">
        <f t="shared" si="1715"/>
        <v>0</v>
      </c>
      <c r="EC297">
        <f t="shared" si="1716"/>
        <v>0</v>
      </c>
      <c r="ED297">
        <f t="shared" si="1717"/>
        <v>0</v>
      </c>
      <c r="EE297">
        <f t="shared" si="1718"/>
        <v>0</v>
      </c>
      <c r="EF297">
        <f t="shared" si="1719"/>
        <v>0</v>
      </c>
      <c r="EG297">
        <f t="shared" si="1720"/>
        <v>0</v>
      </c>
      <c r="EH297">
        <f t="shared" si="1721"/>
        <v>0</v>
      </c>
      <c r="EI297">
        <f t="shared" si="1722"/>
        <v>0</v>
      </c>
      <c r="EJ297">
        <f t="shared" si="1723"/>
        <v>0</v>
      </c>
      <c r="EK297">
        <f t="shared" si="1724"/>
        <v>0</v>
      </c>
      <c r="EL297">
        <f t="shared" si="1725"/>
        <v>0</v>
      </c>
      <c r="EM297">
        <f t="shared" si="1726"/>
        <v>0</v>
      </c>
      <c r="EN297">
        <f t="shared" si="1727"/>
        <v>0</v>
      </c>
      <c r="EO297">
        <f t="shared" si="1728"/>
        <v>0</v>
      </c>
      <c r="EP297">
        <f t="shared" si="1729"/>
        <v>0</v>
      </c>
      <c r="EQ297">
        <f t="shared" si="1730"/>
        <v>0</v>
      </c>
      <c r="ER297">
        <f t="shared" si="1731"/>
        <v>0</v>
      </c>
      <c r="ES297">
        <f t="shared" ref="ES297:ET297" si="1885">IF(ES$218,FC192,0)</f>
        <v>0</v>
      </c>
      <c r="ET297">
        <f t="shared" si="1885"/>
        <v>0</v>
      </c>
      <c r="EU297">
        <f t="shared" si="1732"/>
        <v>0</v>
      </c>
      <c r="EV297">
        <f t="shared" si="1411"/>
        <v>0</v>
      </c>
      <c r="EW297">
        <f t="shared" si="1757"/>
        <v>0</v>
      </c>
      <c r="EX297">
        <f t="shared" si="1733"/>
        <v>0</v>
      </c>
      <c r="EY297">
        <f t="shared" si="1734"/>
        <v>0</v>
      </c>
      <c r="EZ297">
        <f t="shared" ref="EZ297:FI297" si="1886">IF(EZ$218,EZ192,0)</f>
        <v>0</v>
      </c>
      <c r="FA297">
        <f t="shared" si="1886"/>
        <v>0</v>
      </c>
      <c r="FB297">
        <f t="shared" si="1886"/>
        <v>0</v>
      </c>
      <c r="FC297">
        <f t="shared" si="1886"/>
        <v>0</v>
      </c>
      <c r="FD297">
        <f t="shared" si="1886"/>
        <v>0</v>
      </c>
      <c r="FE297">
        <f t="shared" si="1886"/>
        <v>0</v>
      </c>
      <c r="FF297">
        <f t="shared" si="1886"/>
        <v>0</v>
      </c>
      <c r="FG297">
        <f t="shared" si="1886"/>
        <v>0</v>
      </c>
      <c r="FH297">
        <f t="shared" si="1886"/>
        <v>0</v>
      </c>
      <c r="FI297">
        <f t="shared" si="1886"/>
        <v>0</v>
      </c>
      <c r="FJ297">
        <f t="shared" si="1736"/>
        <v>0</v>
      </c>
      <c r="FK297">
        <f t="shared" si="1737"/>
        <v>0</v>
      </c>
      <c r="FL297">
        <f t="shared" si="1413"/>
        <v>0</v>
      </c>
      <c r="FM297">
        <f t="shared" si="1759"/>
        <v>0</v>
      </c>
      <c r="FN297">
        <f t="shared" si="1738"/>
        <v>0</v>
      </c>
      <c r="FO297">
        <f t="shared" si="1739"/>
        <v>0</v>
      </c>
      <c r="FP297">
        <f t="shared" si="1740"/>
        <v>0</v>
      </c>
      <c r="FQ297">
        <f t="shared" si="1741"/>
        <v>0</v>
      </c>
      <c r="FR297">
        <f t="shared" si="1742"/>
        <v>0</v>
      </c>
      <c r="FS297">
        <f t="shared" si="1743"/>
        <v>0</v>
      </c>
      <c r="FT297">
        <f t="shared" si="1744"/>
        <v>0</v>
      </c>
      <c r="FU297">
        <f t="shared" si="1745"/>
        <v>0</v>
      </c>
      <c r="FV297">
        <f t="shared" si="1746"/>
        <v>0</v>
      </c>
      <c r="FW297">
        <f t="shared" si="1747"/>
        <v>0</v>
      </c>
      <c r="FX297">
        <f t="shared" si="1414"/>
        <v>0</v>
      </c>
      <c r="FY297">
        <f t="shared" si="1760"/>
        <v>0</v>
      </c>
      <c r="FZ297">
        <f t="shared" si="1748"/>
        <v>0</v>
      </c>
      <c r="GA297">
        <f t="shared" si="1749"/>
        <v>0</v>
      </c>
      <c r="GB297">
        <f t="shared" si="1750"/>
        <v>0</v>
      </c>
      <c r="GC297">
        <f t="shared" si="1751"/>
        <v>0</v>
      </c>
    </row>
    <row r="298" spans="1:185" x14ac:dyDescent="0.2">
      <c r="A298" s="8" t="str">
        <f t="shared" si="1821"/>
        <v/>
      </c>
      <c r="B298" s="8">
        <f t="shared" si="1822"/>
        <v>0</v>
      </c>
      <c r="C298" s="8">
        <f t="shared" si="1823"/>
        <v>0</v>
      </c>
      <c r="D298" s="8">
        <f t="shared" si="1824"/>
        <v>0</v>
      </c>
      <c r="E298" s="8">
        <f t="shared" si="1486"/>
        <v>0</v>
      </c>
      <c r="F298" s="8">
        <f t="shared" ref="F298:F331" si="1887">IF(F$230,AJ193,0)</f>
        <v>0</v>
      </c>
      <c r="G298" s="8">
        <f t="shared" si="1427"/>
        <v>0</v>
      </c>
      <c r="H298" s="8">
        <f t="shared" si="1428"/>
        <v>0</v>
      </c>
      <c r="I298" s="8">
        <f t="shared" si="1429"/>
        <v>0</v>
      </c>
      <c r="J298" s="8">
        <f t="shared" si="1430"/>
        <v>0</v>
      </c>
      <c r="K298" s="8">
        <f t="shared" si="1431"/>
        <v>0</v>
      </c>
      <c r="L298">
        <f t="shared" si="1825"/>
        <v>0</v>
      </c>
      <c r="M298">
        <f t="shared" si="1826"/>
        <v>0</v>
      </c>
      <c r="N298">
        <f t="shared" si="1827"/>
        <v>0</v>
      </c>
      <c r="O298">
        <f t="shared" si="1828"/>
        <v>0</v>
      </c>
      <c r="P298">
        <f t="shared" si="1829"/>
        <v>0</v>
      </c>
      <c r="Q298">
        <f t="shared" si="1830"/>
        <v>0</v>
      </c>
      <c r="R298">
        <f t="shared" si="1831"/>
        <v>0</v>
      </c>
      <c r="S298">
        <f t="shared" si="1832"/>
        <v>0</v>
      </c>
      <c r="T298">
        <f t="shared" si="1833"/>
        <v>0</v>
      </c>
      <c r="U298">
        <f t="shared" si="1834"/>
        <v>0</v>
      </c>
      <c r="V298">
        <f>IF(V$230,LandEmiss!AF193,0)</f>
        <v>0</v>
      </c>
      <c r="W298">
        <f>IF(W$230,LandEmiss!AG193,0)</f>
        <v>0</v>
      </c>
      <c r="X298">
        <f>IF(X$230,LandEmiss!AH193,0)</f>
        <v>0</v>
      </c>
      <c r="Y298">
        <f>IF(Y$230,LandEmiss!AI193,0)</f>
        <v>0</v>
      </c>
      <c r="Z298">
        <f>IF(Z$230,LandEmiss!AJ193,0)</f>
        <v>0</v>
      </c>
      <c r="AA298">
        <f>IF(AA$230,LandEmiss!AK193,0)</f>
        <v>0</v>
      </c>
      <c r="AB298">
        <f>IF(AB$230,LandEmiss!AL193,0)</f>
        <v>0</v>
      </c>
      <c r="AC298">
        <f>IF(AC$230,LandEmiss!AM193,0)</f>
        <v>0</v>
      </c>
      <c r="AD298">
        <f>IF(AD$230,LandEmiss!AN193,0)</f>
        <v>0</v>
      </c>
      <c r="AE298">
        <f>IF(AE$230,LandEmiss!AO193,0)</f>
        <v>0</v>
      </c>
      <c r="AF298">
        <f t="shared" ref="AF298:AO298" si="1888">IF(AF$230,AF193,0)</f>
        <v>0</v>
      </c>
      <c r="AG298">
        <f t="shared" si="1888"/>
        <v>0</v>
      </c>
      <c r="AH298">
        <f t="shared" si="1888"/>
        <v>0</v>
      </c>
      <c r="AI298">
        <f t="shared" si="1888"/>
        <v>0</v>
      </c>
      <c r="AJ298">
        <f t="shared" si="1888"/>
        <v>0</v>
      </c>
      <c r="AK298">
        <f t="shared" si="1888"/>
        <v>0</v>
      </c>
      <c r="AL298">
        <f t="shared" si="1888"/>
        <v>0</v>
      </c>
      <c r="AM298">
        <f t="shared" si="1888"/>
        <v>0</v>
      </c>
      <c r="AN298">
        <f t="shared" si="1888"/>
        <v>0</v>
      </c>
      <c r="AO298">
        <f t="shared" si="1888"/>
        <v>0</v>
      </c>
      <c r="AP298">
        <f t="shared" si="1836"/>
        <v>0</v>
      </c>
      <c r="AQ298">
        <f t="shared" si="1837"/>
        <v>0</v>
      </c>
      <c r="AR298">
        <f t="shared" si="1838"/>
        <v>0</v>
      </c>
      <c r="AS298">
        <f t="shared" si="1839"/>
        <v>0</v>
      </c>
      <c r="AT298">
        <f t="shared" si="1840"/>
        <v>0</v>
      </c>
      <c r="AU298">
        <f t="shared" si="1841"/>
        <v>0</v>
      </c>
      <c r="AV298">
        <f t="shared" si="1842"/>
        <v>0</v>
      </c>
      <c r="AW298">
        <f t="shared" si="1843"/>
        <v>0</v>
      </c>
      <c r="AX298">
        <f t="shared" si="1844"/>
        <v>0</v>
      </c>
      <c r="AY298">
        <f t="shared" si="1845"/>
        <v>0</v>
      </c>
      <c r="AZ298">
        <f t="shared" si="1846"/>
        <v>0</v>
      </c>
      <c r="BA298">
        <f t="shared" si="1847"/>
        <v>0</v>
      </c>
      <c r="BB298">
        <f t="shared" si="1848"/>
        <v>0</v>
      </c>
      <c r="BC298">
        <f t="shared" si="1849"/>
        <v>0</v>
      </c>
      <c r="BD298">
        <f t="shared" si="1850"/>
        <v>0</v>
      </c>
      <c r="BE298">
        <f t="shared" si="1851"/>
        <v>0</v>
      </c>
      <c r="BF298">
        <f t="shared" si="1852"/>
        <v>0</v>
      </c>
      <c r="BG298">
        <f t="shared" si="1853"/>
        <v>0</v>
      </c>
      <c r="BH298">
        <f t="shared" si="1488"/>
        <v>0</v>
      </c>
      <c r="BI298">
        <f t="shared" ref="BI298:BI331" si="1889">IF(BI$230,AO193,0)</f>
        <v>0</v>
      </c>
      <c r="BJ298" s="8" t="str">
        <f>Hidden!$CC69</f>
        <v/>
      </c>
      <c r="BK298">
        <f t="shared" ref="BK298:BT298" si="1890">IF(BK$230,CP193,0)</f>
        <v>0</v>
      </c>
      <c r="BL298">
        <f t="shared" si="1890"/>
        <v>0</v>
      </c>
      <c r="BM298">
        <f t="shared" si="1890"/>
        <v>0</v>
      </c>
      <c r="BN298">
        <f t="shared" si="1890"/>
        <v>0</v>
      </c>
      <c r="BO298">
        <f t="shared" si="1890"/>
        <v>0</v>
      </c>
      <c r="BP298">
        <f t="shared" si="1890"/>
        <v>0</v>
      </c>
      <c r="BQ298">
        <f t="shared" si="1890"/>
        <v>0</v>
      </c>
      <c r="BR298">
        <f t="shared" si="1890"/>
        <v>0</v>
      </c>
      <c r="BS298">
        <f t="shared" si="1890"/>
        <v>0</v>
      </c>
      <c r="BT298">
        <f t="shared" si="1890"/>
        <v>0</v>
      </c>
      <c r="BU298">
        <f t="shared" ref="BU298:CD298" si="1891">IF(BU$230,CP193,0)</f>
        <v>0</v>
      </c>
      <c r="BV298">
        <f t="shared" si="1891"/>
        <v>0</v>
      </c>
      <c r="BW298">
        <f t="shared" si="1891"/>
        <v>0</v>
      </c>
      <c r="BX298">
        <f t="shared" si="1891"/>
        <v>0</v>
      </c>
      <c r="BY298">
        <f t="shared" si="1891"/>
        <v>0</v>
      </c>
      <c r="BZ298">
        <f t="shared" si="1891"/>
        <v>0</v>
      </c>
      <c r="CA298">
        <f t="shared" si="1891"/>
        <v>0</v>
      </c>
      <c r="CB298">
        <f t="shared" si="1891"/>
        <v>0</v>
      </c>
      <c r="CC298">
        <f t="shared" si="1891"/>
        <v>0</v>
      </c>
      <c r="CD298">
        <f t="shared" si="1891"/>
        <v>0</v>
      </c>
      <c r="CE298">
        <f t="shared" si="1856"/>
        <v>0</v>
      </c>
      <c r="CF298">
        <f t="shared" si="1857"/>
        <v>0</v>
      </c>
      <c r="CG298">
        <f t="shared" si="1858"/>
        <v>0</v>
      </c>
      <c r="CH298">
        <f t="shared" si="1859"/>
        <v>0</v>
      </c>
      <c r="CI298">
        <f t="shared" si="1860"/>
        <v>0</v>
      </c>
      <c r="CJ298">
        <f t="shared" si="1491"/>
        <v>0</v>
      </c>
      <c r="CK298">
        <f t="shared" ref="CK298:CK331" si="1892">IF(CK$230,CV193,0)</f>
        <v>0</v>
      </c>
      <c r="CL298">
        <f t="shared" si="1861"/>
        <v>0</v>
      </c>
      <c r="CM298">
        <f t="shared" si="1862"/>
        <v>0</v>
      </c>
      <c r="CN298">
        <f t="shared" si="1863"/>
        <v>0</v>
      </c>
      <c r="CO298">
        <f t="shared" ref="CO298:CX298" si="1893">IF(CO$230,CP193,0)</f>
        <v>0</v>
      </c>
      <c r="CP298">
        <f t="shared" si="1893"/>
        <v>0</v>
      </c>
      <c r="CQ298">
        <f t="shared" si="1893"/>
        <v>0</v>
      </c>
      <c r="CR298">
        <f t="shared" si="1893"/>
        <v>0</v>
      </c>
      <c r="CS298">
        <f t="shared" si="1893"/>
        <v>0</v>
      </c>
      <c r="CT298">
        <f t="shared" si="1893"/>
        <v>0</v>
      </c>
      <c r="CU298">
        <f t="shared" si="1893"/>
        <v>0</v>
      </c>
      <c r="CV298">
        <f t="shared" si="1893"/>
        <v>0</v>
      </c>
      <c r="CW298">
        <f t="shared" si="1893"/>
        <v>0</v>
      </c>
      <c r="CX298">
        <f t="shared" si="1893"/>
        <v>0</v>
      </c>
      <c r="CY298">
        <f t="shared" si="1865"/>
        <v>0</v>
      </c>
      <c r="CZ298">
        <f t="shared" si="1866"/>
        <v>0</v>
      </c>
      <c r="DA298">
        <f t="shared" si="1867"/>
        <v>0</v>
      </c>
      <c r="DB298">
        <f t="shared" si="1868"/>
        <v>0</v>
      </c>
      <c r="DC298">
        <f t="shared" si="1869"/>
        <v>0</v>
      </c>
      <c r="DD298">
        <f t="shared" si="1870"/>
        <v>0</v>
      </c>
      <c r="DE298">
        <f t="shared" si="1871"/>
        <v>0</v>
      </c>
      <c r="DF298">
        <f t="shared" si="1872"/>
        <v>0</v>
      </c>
      <c r="DG298">
        <f t="shared" si="1873"/>
        <v>0</v>
      </c>
      <c r="DH298">
        <f t="shared" si="1874"/>
        <v>0</v>
      </c>
      <c r="DI298">
        <f t="shared" si="1875"/>
        <v>0</v>
      </c>
      <c r="DJ298">
        <f t="shared" si="1876"/>
        <v>0</v>
      </c>
      <c r="DK298">
        <f t="shared" si="1877"/>
        <v>0</v>
      </c>
      <c r="DL298">
        <f t="shared" si="1878"/>
        <v>0</v>
      </c>
      <c r="DM298">
        <f t="shared" si="1879"/>
        <v>0</v>
      </c>
      <c r="DN298">
        <f t="shared" si="1880"/>
        <v>0</v>
      </c>
      <c r="DO298">
        <f t="shared" si="1881"/>
        <v>0</v>
      </c>
      <c r="DP298">
        <f t="shared" si="1882"/>
        <v>0</v>
      </c>
      <c r="DQ298">
        <f t="shared" si="1883"/>
        <v>0</v>
      </c>
      <c r="DR298">
        <f t="shared" si="1884"/>
        <v>0</v>
      </c>
      <c r="DT298" s="77"/>
      <c r="DU298" s="8" t="str">
        <f>Hidden!$CG81</f>
        <v/>
      </c>
      <c r="DV298">
        <f t="shared" si="1709"/>
        <v>0</v>
      </c>
      <c r="DW298">
        <f t="shared" si="1710"/>
        <v>0</v>
      </c>
      <c r="DX298">
        <f t="shared" si="1711"/>
        <v>0</v>
      </c>
      <c r="DY298">
        <f t="shared" si="1712"/>
        <v>0</v>
      </c>
      <c r="DZ298">
        <f t="shared" si="1713"/>
        <v>0</v>
      </c>
      <c r="EA298">
        <f t="shared" si="1714"/>
        <v>0</v>
      </c>
      <c r="EB298">
        <f t="shared" si="1715"/>
        <v>0</v>
      </c>
      <c r="EC298">
        <f t="shared" si="1716"/>
        <v>0</v>
      </c>
      <c r="ED298">
        <f t="shared" si="1717"/>
        <v>0</v>
      </c>
      <c r="EE298">
        <f t="shared" si="1718"/>
        <v>0</v>
      </c>
      <c r="EF298">
        <f t="shared" si="1719"/>
        <v>0</v>
      </c>
      <c r="EG298">
        <f t="shared" si="1720"/>
        <v>0</v>
      </c>
      <c r="EH298">
        <f t="shared" si="1721"/>
        <v>0</v>
      </c>
      <c r="EI298">
        <f t="shared" si="1722"/>
        <v>0</v>
      </c>
      <c r="EJ298">
        <f t="shared" si="1723"/>
        <v>0</v>
      </c>
      <c r="EK298">
        <f t="shared" si="1724"/>
        <v>0</v>
      </c>
      <c r="EL298">
        <f t="shared" si="1725"/>
        <v>0</v>
      </c>
      <c r="EM298">
        <f t="shared" si="1726"/>
        <v>0</v>
      </c>
      <c r="EN298">
        <f t="shared" si="1727"/>
        <v>0</v>
      </c>
      <c r="EO298">
        <f t="shared" si="1728"/>
        <v>0</v>
      </c>
      <c r="EP298">
        <f t="shared" si="1729"/>
        <v>0</v>
      </c>
      <c r="EQ298">
        <f t="shared" si="1730"/>
        <v>0</v>
      </c>
      <c r="ER298">
        <f t="shared" si="1731"/>
        <v>0</v>
      </c>
      <c r="ES298">
        <f t="shared" ref="ES298:ET298" si="1894">IF(ES$218,FC193,0)</f>
        <v>0</v>
      </c>
      <c r="ET298">
        <f t="shared" si="1894"/>
        <v>0</v>
      </c>
      <c r="EU298">
        <f t="shared" si="1732"/>
        <v>0</v>
      </c>
      <c r="EV298">
        <f t="shared" si="1411"/>
        <v>0</v>
      </c>
      <c r="EW298">
        <f t="shared" si="1757"/>
        <v>0</v>
      </c>
      <c r="EX298">
        <f t="shared" si="1733"/>
        <v>0</v>
      </c>
      <c r="EY298">
        <f t="shared" si="1734"/>
        <v>0</v>
      </c>
      <c r="EZ298">
        <f t="shared" ref="EZ298:FI298" si="1895">IF(EZ$218,EZ193,0)</f>
        <v>0</v>
      </c>
      <c r="FA298">
        <f t="shared" si="1895"/>
        <v>0</v>
      </c>
      <c r="FB298">
        <f t="shared" si="1895"/>
        <v>0</v>
      </c>
      <c r="FC298">
        <f t="shared" si="1895"/>
        <v>0</v>
      </c>
      <c r="FD298">
        <f t="shared" si="1895"/>
        <v>0</v>
      </c>
      <c r="FE298">
        <f t="shared" si="1895"/>
        <v>0</v>
      </c>
      <c r="FF298">
        <f t="shared" si="1895"/>
        <v>0</v>
      </c>
      <c r="FG298">
        <f t="shared" si="1895"/>
        <v>0</v>
      </c>
      <c r="FH298">
        <f t="shared" si="1895"/>
        <v>0</v>
      </c>
      <c r="FI298">
        <f t="shared" si="1895"/>
        <v>0</v>
      </c>
      <c r="FJ298">
        <f t="shared" si="1736"/>
        <v>0</v>
      </c>
      <c r="FK298">
        <f t="shared" si="1737"/>
        <v>0</v>
      </c>
      <c r="FL298">
        <f t="shared" si="1413"/>
        <v>0</v>
      </c>
      <c r="FM298">
        <f t="shared" si="1759"/>
        <v>0</v>
      </c>
      <c r="FN298">
        <f t="shared" si="1738"/>
        <v>0</v>
      </c>
      <c r="FO298">
        <f t="shared" si="1739"/>
        <v>0</v>
      </c>
      <c r="FP298">
        <f t="shared" si="1740"/>
        <v>0</v>
      </c>
      <c r="FQ298">
        <f t="shared" si="1741"/>
        <v>0</v>
      </c>
      <c r="FR298">
        <f t="shared" si="1742"/>
        <v>0</v>
      </c>
      <c r="FS298">
        <f t="shared" si="1743"/>
        <v>0</v>
      </c>
      <c r="FT298">
        <f t="shared" si="1744"/>
        <v>0</v>
      </c>
      <c r="FU298">
        <f t="shared" si="1745"/>
        <v>0</v>
      </c>
      <c r="FV298">
        <f t="shared" si="1746"/>
        <v>0</v>
      </c>
      <c r="FW298">
        <f t="shared" si="1747"/>
        <v>0</v>
      </c>
      <c r="FX298">
        <f t="shared" si="1414"/>
        <v>0</v>
      </c>
      <c r="FY298">
        <f t="shared" si="1760"/>
        <v>0</v>
      </c>
      <c r="FZ298">
        <f t="shared" si="1748"/>
        <v>0</v>
      </c>
      <c r="GA298">
        <f t="shared" si="1749"/>
        <v>0</v>
      </c>
      <c r="GB298">
        <f t="shared" si="1750"/>
        <v>0</v>
      </c>
      <c r="GC298">
        <f t="shared" si="1751"/>
        <v>0</v>
      </c>
    </row>
    <row r="299" spans="1:185" x14ac:dyDescent="0.2">
      <c r="A299" s="8" t="str">
        <f t="shared" si="1821"/>
        <v/>
      </c>
      <c r="B299" s="8">
        <f t="shared" si="1822"/>
        <v>0</v>
      </c>
      <c r="C299" s="8">
        <f t="shared" si="1823"/>
        <v>0</v>
      </c>
      <c r="D299" s="8">
        <f t="shared" si="1824"/>
        <v>0</v>
      </c>
      <c r="E299" s="8">
        <f t="shared" si="1486"/>
        <v>0</v>
      </c>
      <c r="F299" s="8">
        <f t="shared" si="1887"/>
        <v>0</v>
      </c>
      <c r="G299" s="8">
        <f t="shared" si="1427"/>
        <v>0</v>
      </c>
      <c r="H299" s="8">
        <f t="shared" si="1428"/>
        <v>0</v>
      </c>
      <c r="I299" s="8">
        <f t="shared" si="1429"/>
        <v>0</v>
      </c>
      <c r="J299" s="8">
        <f t="shared" si="1430"/>
        <v>0</v>
      </c>
      <c r="K299" s="8">
        <f t="shared" si="1431"/>
        <v>0</v>
      </c>
      <c r="L299">
        <f t="shared" si="1825"/>
        <v>0</v>
      </c>
      <c r="M299">
        <f t="shared" si="1826"/>
        <v>0</v>
      </c>
      <c r="N299">
        <f t="shared" si="1827"/>
        <v>0</v>
      </c>
      <c r="O299">
        <f t="shared" si="1828"/>
        <v>0</v>
      </c>
      <c r="P299">
        <f t="shared" si="1829"/>
        <v>0</v>
      </c>
      <c r="Q299">
        <f t="shared" si="1830"/>
        <v>0</v>
      </c>
      <c r="R299">
        <f t="shared" si="1831"/>
        <v>0</v>
      </c>
      <c r="S299">
        <f t="shared" si="1832"/>
        <v>0</v>
      </c>
      <c r="T299">
        <f t="shared" si="1833"/>
        <v>0</v>
      </c>
      <c r="U299">
        <f t="shared" si="1834"/>
        <v>0</v>
      </c>
      <c r="V299">
        <f>IF(V$230,LandEmiss!AF194,0)</f>
        <v>0</v>
      </c>
      <c r="W299">
        <f>IF(W$230,LandEmiss!AG194,0)</f>
        <v>0</v>
      </c>
      <c r="X299">
        <f>IF(X$230,LandEmiss!AH194,0)</f>
        <v>0</v>
      </c>
      <c r="Y299">
        <f>IF(Y$230,LandEmiss!AI194,0)</f>
        <v>0</v>
      </c>
      <c r="Z299">
        <f>IF(Z$230,LandEmiss!AJ194,0)</f>
        <v>0</v>
      </c>
      <c r="AA299">
        <f>IF(AA$230,LandEmiss!AK194,0)</f>
        <v>0</v>
      </c>
      <c r="AB299">
        <f>IF(AB$230,LandEmiss!AL194,0)</f>
        <v>0</v>
      </c>
      <c r="AC299">
        <f>IF(AC$230,LandEmiss!AM194,0)</f>
        <v>0</v>
      </c>
      <c r="AD299">
        <f>IF(AD$230,LandEmiss!AN194,0)</f>
        <v>0</v>
      </c>
      <c r="AE299">
        <f>IF(AE$230,LandEmiss!AO194,0)</f>
        <v>0</v>
      </c>
      <c r="AF299">
        <f t="shared" ref="AF299:AO299" si="1896">IF(AF$230,AF194,0)</f>
        <v>0</v>
      </c>
      <c r="AG299">
        <f t="shared" si="1896"/>
        <v>0</v>
      </c>
      <c r="AH299">
        <f t="shared" si="1896"/>
        <v>0</v>
      </c>
      <c r="AI299">
        <f t="shared" si="1896"/>
        <v>0</v>
      </c>
      <c r="AJ299">
        <f t="shared" si="1896"/>
        <v>0</v>
      </c>
      <c r="AK299">
        <f t="shared" si="1896"/>
        <v>0</v>
      </c>
      <c r="AL299">
        <f t="shared" si="1896"/>
        <v>0</v>
      </c>
      <c r="AM299">
        <f t="shared" si="1896"/>
        <v>0</v>
      </c>
      <c r="AN299">
        <f t="shared" si="1896"/>
        <v>0</v>
      </c>
      <c r="AO299">
        <f t="shared" si="1896"/>
        <v>0</v>
      </c>
      <c r="AP299">
        <f t="shared" si="1836"/>
        <v>0</v>
      </c>
      <c r="AQ299">
        <f t="shared" si="1837"/>
        <v>0</v>
      </c>
      <c r="AR299">
        <f t="shared" si="1838"/>
        <v>0</v>
      </c>
      <c r="AS299">
        <f t="shared" si="1839"/>
        <v>0</v>
      </c>
      <c r="AT299">
        <f t="shared" si="1840"/>
        <v>0</v>
      </c>
      <c r="AU299">
        <f t="shared" si="1841"/>
        <v>0</v>
      </c>
      <c r="AV299">
        <f t="shared" si="1842"/>
        <v>0</v>
      </c>
      <c r="AW299">
        <f t="shared" si="1843"/>
        <v>0</v>
      </c>
      <c r="AX299">
        <f t="shared" si="1844"/>
        <v>0</v>
      </c>
      <c r="AY299">
        <f t="shared" si="1845"/>
        <v>0</v>
      </c>
      <c r="AZ299">
        <f t="shared" si="1846"/>
        <v>0</v>
      </c>
      <c r="BA299">
        <f t="shared" si="1847"/>
        <v>0</v>
      </c>
      <c r="BB299">
        <f t="shared" si="1848"/>
        <v>0</v>
      </c>
      <c r="BC299">
        <f t="shared" si="1849"/>
        <v>0</v>
      </c>
      <c r="BD299">
        <f t="shared" si="1850"/>
        <v>0</v>
      </c>
      <c r="BE299">
        <f t="shared" si="1851"/>
        <v>0</v>
      </c>
      <c r="BF299">
        <f t="shared" si="1852"/>
        <v>0</v>
      </c>
      <c r="BG299">
        <f t="shared" si="1853"/>
        <v>0</v>
      </c>
      <c r="BH299">
        <f t="shared" si="1488"/>
        <v>0</v>
      </c>
      <c r="BI299">
        <f t="shared" si="1889"/>
        <v>0</v>
      </c>
      <c r="BJ299" s="8" t="str">
        <f>Hidden!$CC70</f>
        <v/>
      </c>
      <c r="BK299">
        <f t="shared" ref="BK299:BT299" si="1897">IF(BK$230,CP194,0)</f>
        <v>0</v>
      </c>
      <c r="BL299">
        <f t="shared" si="1897"/>
        <v>0</v>
      </c>
      <c r="BM299">
        <f t="shared" si="1897"/>
        <v>0</v>
      </c>
      <c r="BN299">
        <f t="shared" si="1897"/>
        <v>0</v>
      </c>
      <c r="BO299">
        <f t="shared" si="1897"/>
        <v>0</v>
      </c>
      <c r="BP299">
        <f t="shared" si="1897"/>
        <v>0</v>
      </c>
      <c r="BQ299">
        <f t="shared" si="1897"/>
        <v>0</v>
      </c>
      <c r="BR299">
        <f t="shared" si="1897"/>
        <v>0</v>
      </c>
      <c r="BS299">
        <f t="shared" si="1897"/>
        <v>0</v>
      </c>
      <c r="BT299">
        <f t="shared" si="1897"/>
        <v>0</v>
      </c>
      <c r="BU299">
        <f t="shared" ref="BU299:CD299" si="1898">IF(BU$230,CP194,0)</f>
        <v>0</v>
      </c>
      <c r="BV299">
        <f t="shared" si="1898"/>
        <v>0</v>
      </c>
      <c r="BW299">
        <f t="shared" si="1898"/>
        <v>0</v>
      </c>
      <c r="BX299">
        <f t="shared" si="1898"/>
        <v>0</v>
      </c>
      <c r="BY299">
        <f t="shared" si="1898"/>
        <v>0</v>
      </c>
      <c r="BZ299">
        <f t="shared" si="1898"/>
        <v>0</v>
      </c>
      <c r="CA299">
        <f t="shared" si="1898"/>
        <v>0</v>
      </c>
      <c r="CB299">
        <f t="shared" si="1898"/>
        <v>0</v>
      </c>
      <c r="CC299">
        <f t="shared" si="1898"/>
        <v>0</v>
      </c>
      <c r="CD299">
        <f t="shared" si="1898"/>
        <v>0</v>
      </c>
      <c r="CE299">
        <f t="shared" si="1856"/>
        <v>0</v>
      </c>
      <c r="CF299">
        <f t="shared" si="1857"/>
        <v>0</v>
      </c>
      <c r="CG299">
        <f t="shared" si="1858"/>
        <v>0</v>
      </c>
      <c r="CH299">
        <f t="shared" si="1859"/>
        <v>0</v>
      </c>
      <c r="CI299">
        <f t="shared" si="1860"/>
        <v>0</v>
      </c>
      <c r="CJ299">
        <f t="shared" si="1491"/>
        <v>0</v>
      </c>
      <c r="CK299">
        <f t="shared" si="1892"/>
        <v>0</v>
      </c>
      <c r="CL299">
        <f t="shared" si="1861"/>
        <v>0</v>
      </c>
      <c r="CM299">
        <f t="shared" si="1862"/>
        <v>0</v>
      </c>
      <c r="CN299">
        <f t="shared" si="1863"/>
        <v>0</v>
      </c>
      <c r="CO299">
        <f t="shared" ref="CO299:CX299" si="1899">IF(CO$230,CP194,0)</f>
        <v>0</v>
      </c>
      <c r="CP299">
        <f t="shared" si="1899"/>
        <v>0</v>
      </c>
      <c r="CQ299">
        <f t="shared" si="1899"/>
        <v>0</v>
      </c>
      <c r="CR299">
        <f t="shared" si="1899"/>
        <v>0</v>
      </c>
      <c r="CS299">
        <f t="shared" si="1899"/>
        <v>0</v>
      </c>
      <c r="CT299">
        <f t="shared" si="1899"/>
        <v>0</v>
      </c>
      <c r="CU299">
        <f t="shared" si="1899"/>
        <v>0</v>
      </c>
      <c r="CV299">
        <f t="shared" si="1899"/>
        <v>0</v>
      </c>
      <c r="CW299">
        <f t="shared" si="1899"/>
        <v>0</v>
      </c>
      <c r="CX299">
        <f t="shared" si="1899"/>
        <v>0</v>
      </c>
      <c r="CY299">
        <f t="shared" si="1865"/>
        <v>0</v>
      </c>
      <c r="CZ299">
        <f t="shared" si="1866"/>
        <v>0</v>
      </c>
      <c r="DA299">
        <f t="shared" si="1867"/>
        <v>0</v>
      </c>
      <c r="DB299">
        <f t="shared" si="1868"/>
        <v>0</v>
      </c>
      <c r="DC299">
        <f t="shared" si="1869"/>
        <v>0</v>
      </c>
      <c r="DD299">
        <f t="shared" si="1870"/>
        <v>0</v>
      </c>
      <c r="DE299">
        <f t="shared" si="1871"/>
        <v>0</v>
      </c>
      <c r="DF299">
        <f t="shared" si="1872"/>
        <v>0</v>
      </c>
      <c r="DG299">
        <f t="shared" si="1873"/>
        <v>0</v>
      </c>
      <c r="DH299">
        <f t="shared" si="1874"/>
        <v>0</v>
      </c>
      <c r="DI299">
        <f t="shared" si="1875"/>
        <v>0</v>
      </c>
      <c r="DJ299">
        <f t="shared" si="1876"/>
        <v>0</v>
      </c>
      <c r="DK299">
        <f t="shared" si="1877"/>
        <v>0</v>
      </c>
      <c r="DL299">
        <f t="shared" si="1878"/>
        <v>0</v>
      </c>
      <c r="DM299">
        <f t="shared" si="1879"/>
        <v>0</v>
      </c>
      <c r="DN299">
        <f t="shared" si="1880"/>
        <v>0</v>
      </c>
      <c r="DO299">
        <f t="shared" si="1881"/>
        <v>0</v>
      </c>
      <c r="DP299">
        <f t="shared" si="1882"/>
        <v>0</v>
      </c>
      <c r="DQ299">
        <f t="shared" si="1883"/>
        <v>0</v>
      </c>
      <c r="DR299">
        <f t="shared" si="1884"/>
        <v>0</v>
      </c>
      <c r="DT299" s="77"/>
      <c r="DU299" s="8" t="str">
        <f>Hidden!$CG82</f>
        <v/>
      </c>
      <c r="DV299">
        <f t="shared" si="1709"/>
        <v>0</v>
      </c>
      <c r="DW299">
        <f t="shared" si="1710"/>
        <v>0</v>
      </c>
      <c r="DX299">
        <f t="shared" si="1711"/>
        <v>0</v>
      </c>
      <c r="DY299">
        <f t="shared" si="1712"/>
        <v>0</v>
      </c>
      <c r="DZ299">
        <f t="shared" si="1713"/>
        <v>0</v>
      </c>
      <c r="EA299">
        <f t="shared" si="1714"/>
        <v>0</v>
      </c>
      <c r="EB299">
        <f t="shared" si="1715"/>
        <v>0</v>
      </c>
      <c r="EC299">
        <f t="shared" si="1716"/>
        <v>0</v>
      </c>
      <c r="ED299">
        <f t="shared" si="1717"/>
        <v>0</v>
      </c>
      <c r="EE299">
        <f t="shared" si="1718"/>
        <v>0</v>
      </c>
      <c r="EF299">
        <f t="shared" si="1719"/>
        <v>0</v>
      </c>
      <c r="EG299">
        <f t="shared" si="1720"/>
        <v>0</v>
      </c>
      <c r="EH299">
        <f t="shared" si="1721"/>
        <v>0</v>
      </c>
      <c r="EI299">
        <f t="shared" si="1722"/>
        <v>0</v>
      </c>
      <c r="EJ299">
        <f t="shared" si="1723"/>
        <v>0</v>
      </c>
      <c r="EK299">
        <f t="shared" si="1724"/>
        <v>0</v>
      </c>
      <c r="EL299">
        <f t="shared" si="1725"/>
        <v>0</v>
      </c>
      <c r="EM299">
        <f t="shared" si="1726"/>
        <v>0</v>
      </c>
      <c r="EN299">
        <f t="shared" si="1727"/>
        <v>0</v>
      </c>
      <c r="EO299">
        <f t="shared" si="1728"/>
        <v>0</v>
      </c>
      <c r="EP299">
        <f t="shared" si="1729"/>
        <v>0</v>
      </c>
      <c r="EQ299">
        <f t="shared" si="1730"/>
        <v>0</v>
      </c>
      <c r="ER299">
        <f t="shared" si="1731"/>
        <v>0</v>
      </c>
      <c r="ES299">
        <f t="shared" ref="ES299:ET299" si="1900">IF(ES$218,FC194,0)</f>
        <v>0</v>
      </c>
      <c r="ET299">
        <f t="shared" si="1900"/>
        <v>0</v>
      </c>
      <c r="EU299">
        <f t="shared" si="1732"/>
        <v>0</v>
      </c>
      <c r="EV299">
        <f t="shared" si="1411"/>
        <v>0</v>
      </c>
      <c r="EW299">
        <f t="shared" si="1757"/>
        <v>0</v>
      </c>
      <c r="EX299">
        <f t="shared" si="1733"/>
        <v>0</v>
      </c>
      <c r="EY299">
        <f t="shared" si="1734"/>
        <v>0</v>
      </c>
      <c r="EZ299">
        <f t="shared" ref="EZ299:FI299" si="1901">IF(EZ$218,EZ194,0)</f>
        <v>0</v>
      </c>
      <c r="FA299">
        <f t="shared" si="1901"/>
        <v>0</v>
      </c>
      <c r="FB299">
        <f t="shared" si="1901"/>
        <v>0</v>
      </c>
      <c r="FC299">
        <f t="shared" si="1901"/>
        <v>0</v>
      </c>
      <c r="FD299">
        <f t="shared" si="1901"/>
        <v>0</v>
      </c>
      <c r="FE299">
        <f t="shared" si="1901"/>
        <v>0</v>
      </c>
      <c r="FF299">
        <f t="shared" si="1901"/>
        <v>0</v>
      </c>
      <c r="FG299">
        <f t="shared" si="1901"/>
        <v>0</v>
      </c>
      <c r="FH299">
        <f t="shared" si="1901"/>
        <v>0</v>
      </c>
      <c r="FI299">
        <f t="shared" si="1901"/>
        <v>0</v>
      </c>
      <c r="FJ299">
        <f t="shared" si="1736"/>
        <v>0</v>
      </c>
      <c r="FK299">
        <f t="shared" si="1737"/>
        <v>0</v>
      </c>
      <c r="FL299">
        <f t="shared" si="1413"/>
        <v>0</v>
      </c>
      <c r="FM299">
        <f t="shared" si="1759"/>
        <v>0</v>
      </c>
      <c r="FN299">
        <f t="shared" si="1738"/>
        <v>0</v>
      </c>
      <c r="FO299">
        <f t="shared" si="1739"/>
        <v>0</v>
      </c>
      <c r="FP299">
        <f t="shared" si="1740"/>
        <v>0</v>
      </c>
      <c r="FQ299">
        <f t="shared" si="1741"/>
        <v>0</v>
      </c>
      <c r="FR299">
        <f t="shared" si="1742"/>
        <v>0</v>
      </c>
      <c r="FS299">
        <f t="shared" si="1743"/>
        <v>0</v>
      </c>
      <c r="FT299">
        <f t="shared" si="1744"/>
        <v>0</v>
      </c>
      <c r="FU299">
        <f t="shared" si="1745"/>
        <v>0</v>
      </c>
      <c r="FV299">
        <f t="shared" si="1746"/>
        <v>0</v>
      </c>
      <c r="FW299">
        <f t="shared" si="1747"/>
        <v>0</v>
      </c>
      <c r="FX299">
        <f t="shared" si="1414"/>
        <v>0</v>
      </c>
      <c r="FY299">
        <f t="shared" si="1760"/>
        <v>0</v>
      </c>
      <c r="FZ299">
        <f t="shared" si="1748"/>
        <v>0</v>
      </c>
      <c r="GA299">
        <f t="shared" si="1749"/>
        <v>0</v>
      </c>
      <c r="GB299">
        <f t="shared" si="1750"/>
        <v>0</v>
      </c>
      <c r="GC299">
        <f t="shared" si="1751"/>
        <v>0</v>
      </c>
    </row>
    <row r="300" spans="1:185" x14ac:dyDescent="0.2">
      <c r="A300" s="8" t="str">
        <f t="shared" si="1821"/>
        <v/>
      </c>
      <c r="B300" s="8">
        <f t="shared" si="1822"/>
        <v>0</v>
      </c>
      <c r="C300" s="8">
        <f t="shared" si="1823"/>
        <v>0</v>
      </c>
      <c r="D300" s="8">
        <f t="shared" si="1824"/>
        <v>0</v>
      </c>
      <c r="E300" s="8">
        <f t="shared" si="1486"/>
        <v>0</v>
      </c>
      <c r="F300" s="8">
        <f t="shared" si="1887"/>
        <v>0</v>
      </c>
      <c r="G300" s="8">
        <f t="shared" si="1427"/>
        <v>0</v>
      </c>
      <c r="H300" s="8">
        <f t="shared" si="1428"/>
        <v>0</v>
      </c>
      <c r="I300" s="8">
        <f t="shared" si="1429"/>
        <v>0</v>
      </c>
      <c r="J300" s="8">
        <f t="shared" si="1430"/>
        <v>0</v>
      </c>
      <c r="K300" s="8">
        <f t="shared" si="1431"/>
        <v>0</v>
      </c>
      <c r="L300">
        <f t="shared" si="1825"/>
        <v>0</v>
      </c>
      <c r="M300">
        <f t="shared" si="1826"/>
        <v>0</v>
      </c>
      <c r="N300">
        <f t="shared" si="1827"/>
        <v>0</v>
      </c>
      <c r="O300">
        <f t="shared" si="1828"/>
        <v>0</v>
      </c>
      <c r="P300">
        <f t="shared" si="1829"/>
        <v>0</v>
      </c>
      <c r="Q300">
        <f t="shared" si="1830"/>
        <v>0</v>
      </c>
      <c r="R300">
        <f t="shared" si="1831"/>
        <v>0</v>
      </c>
      <c r="S300">
        <f t="shared" si="1832"/>
        <v>0</v>
      </c>
      <c r="T300">
        <f t="shared" si="1833"/>
        <v>0</v>
      </c>
      <c r="U300">
        <f t="shared" si="1834"/>
        <v>0</v>
      </c>
      <c r="V300">
        <f>IF(V$230,LandEmiss!AF195,0)</f>
        <v>0</v>
      </c>
      <c r="W300">
        <f>IF(W$230,LandEmiss!AG195,0)</f>
        <v>0</v>
      </c>
      <c r="X300">
        <f>IF(X$230,LandEmiss!AH195,0)</f>
        <v>0</v>
      </c>
      <c r="Y300">
        <f>IF(Y$230,LandEmiss!AI195,0)</f>
        <v>0</v>
      </c>
      <c r="Z300">
        <f>IF(Z$230,LandEmiss!AJ195,0)</f>
        <v>0</v>
      </c>
      <c r="AA300">
        <f>IF(AA$230,LandEmiss!AK195,0)</f>
        <v>0</v>
      </c>
      <c r="AB300">
        <f>IF(AB$230,LandEmiss!AL195,0)</f>
        <v>0</v>
      </c>
      <c r="AC300">
        <f>IF(AC$230,LandEmiss!AM195,0)</f>
        <v>0</v>
      </c>
      <c r="AD300">
        <f>IF(AD$230,LandEmiss!AN195,0)</f>
        <v>0</v>
      </c>
      <c r="AE300">
        <f>IF(AE$230,LandEmiss!AO195,0)</f>
        <v>0</v>
      </c>
      <c r="AF300">
        <f t="shared" ref="AF300:AO300" si="1902">IF(AF$230,AF195,0)</f>
        <v>0</v>
      </c>
      <c r="AG300">
        <f t="shared" si="1902"/>
        <v>0</v>
      </c>
      <c r="AH300">
        <f t="shared" si="1902"/>
        <v>0</v>
      </c>
      <c r="AI300">
        <f t="shared" si="1902"/>
        <v>0</v>
      </c>
      <c r="AJ300">
        <f t="shared" si="1902"/>
        <v>0</v>
      </c>
      <c r="AK300">
        <f t="shared" si="1902"/>
        <v>0</v>
      </c>
      <c r="AL300">
        <f t="shared" si="1902"/>
        <v>0</v>
      </c>
      <c r="AM300">
        <f t="shared" si="1902"/>
        <v>0</v>
      </c>
      <c r="AN300">
        <f t="shared" si="1902"/>
        <v>0</v>
      </c>
      <c r="AO300">
        <f t="shared" si="1902"/>
        <v>0</v>
      </c>
      <c r="AP300">
        <f t="shared" si="1836"/>
        <v>0</v>
      </c>
      <c r="AQ300">
        <f t="shared" si="1837"/>
        <v>0</v>
      </c>
      <c r="AR300">
        <f t="shared" si="1838"/>
        <v>0</v>
      </c>
      <c r="AS300">
        <f t="shared" si="1839"/>
        <v>0</v>
      </c>
      <c r="AT300">
        <f t="shared" si="1840"/>
        <v>0</v>
      </c>
      <c r="AU300">
        <f t="shared" si="1841"/>
        <v>0</v>
      </c>
      <c r="AV300">
        <f t="shared" si="1842"/>
        <v>0</v>
      </c>
      <c r="AW300">
        <f t="shared" si="1843"/>
        <v>0</v>
      </c>
      <c r="AX300">
        <f t="shared" si="1844"/>
        <v>0</v>
      </c>
      <c r="AY300">
        <f t="shared" si="1845"/>
        <v>0</v>
      </c>
      <c r="AZ300">
        <f t="shared" si="1846"/>
        <v>0</v>
      </c>
      <c r="BA300">
        <f t="shared" si="1847"/>
        <v>0</v>
      </c>
      <c r="BB300">
        <f t="shared" si="1848"/>
        <v>0</v>
      </c>
      <c r="BC300">
        <f t="shared" si="1849"/>
        <v>0</v>
      </c>
      <c r="BD300">
        <f t="shared" si="1850"/>
        <v>0</v>
      </c>
      <c r="BE300">
        <f t="shared" si="1851"/>
        <v>0</v>
      </c>
      <c r="BF300">
        <f t="shared" si="1852"/>
        <v>0</v>
      </c>
      <c r="BG300">
        <f t="shared" si="1853"/>
        <v>0</v>
      </c>
      <c r="BH300">
        <f t="shared" si="1488"/>
        <v>0</v>
      </c>
      <c r="BI300">
        <f t="shared" si="1889"/>
        <v>0</v>
      </c>
      <c r="BJ300" s="8" t="str">
        <f>Hidden!$CC71</f>
        <v/>
      </c>
      <c r="BK300">
        <f t="shared" ref="BK300:BT300" si="1903">IF(BK$230,CP195,0)</f>
        <v>0</v>
      </c>
      <c r="BL300">
        <f t="shared" si="1903"/>
        <v>0</v>
      </c>
      <c r="BM300">
        <f t="shared" si="1903"/>
        <v>0</v>
      </c>
      <c r="BN300">
        <f t="shared" si="1903"/>
        <v>0</v>
      </c>
      <c r="BO300">
        <f t="shared" si="1903"/>
        <v>0</v>
      </c>
      <c r="BP300">
        <f t="shared" si="1903"/>
        <v>0</v>
      </c>
      <c r="BQ300">
        <f t="shared" si="1903"/>
        <v>0</v>
      </c>
      <c r="BR300">
        <f t="shared" si="1903"/>
        <v>0</v>
      </c>
      <c r="BS300">
        <f t="shared" si="1903"/>
        <v>0</v>
      </c>
      <c r="BT300">
        <f t="shared" si="1903"/>
        <v>0</v>
      </c>
      <c r="BU300">
        <f t="shared" ref="BU300:CD300" si="1904">IF(BU$230,CP195,0)</f>
        <v>0</v>
      </c>
      <c r="BV300">
        <f t="shared" si="1904"/>
        <v>0</v>
      </c>
      <c r="BW300">
        <f t="shared" si="1904"/>
        <v>0</v>
      </c>
      <c r="BX300">
        <f t="shared" si="1904"/>
        <v>0</v>
      </c>
      <c r="BY300">
        <f t="shared" si="1904"/>
        <v>0</v>
      </c>
      <c r="BZ300">
        <f t="shared" si="1904"/>
        <v>0</v>
      </c>
      <c r="CA300">
        <f t="shared" si="1904"/>
        <v>0</v>
      </c>
      <c r="CB300">
        <f t="shared" si="1904"/>
        <v>0</v>
      </c>
      <c r="CC300">
        <f t="shared" si="1904"/>
        <v>0</v>
      </c>
      <c r="CD300">
        <f t="shared" si="1904"/>
        <v>0</v>
      </c>
      <c r="CE300">
        <f t="shared" si="1856"/>
        <v>0</v>
      </c>
      <c r="CF300">
        <f t="shared" si="1857"/>
        <v>0</v>
      </c>
      <c r="CG300">
        <f t="shared" si="1858"/>
        <v>0</v>
      </c>
      <c r="CH300">
        <f t="shared" si="1859"/>
        <v>0</v>
      </c>
      <c r="CI300">
        <f t="shared" si="1860"/>
        <v>0</v>
      </c>
      <c r="CJ300">
        <f t="shared" si="1491"/>
        <v>0</v>
      </c>
      <c r="CK300">
        <f t="shared" si="1892"/>
        <v>0</v>
      </c>
      <c r="CL300">
        <f t="shared" si="1861"/>
        <v>0</v>
      </c>
      <c r="CM300">
        <f t="shared" si="1862"/>
        <v>0</v>
      </c>
      <c r="CN300">
        <f t="shared" si="1863"/>
        <v>0</v>
      </c>
      <c r="CO300">
        <f t="shared" ref="CO300:CX300" si="1905">IF(CO$230,CP195,0)</f>
        <v>0</v>
      </c>
      <c r="CP300">
        <f t="shared" si="1905"/>
        <v>0</v>
      </c>
      <c r="CQ300">
        <f t="shared" si="1905"/>
        <v>0</v>
      </c>
      <c r="CR300">
        <f t="shared" si="1905"/>
        <v>0</v>
      </c>
      <c r="CS300">
        <f t="shared" si="1905"/>
        <v>0</v>
      </c>
      <c r="CT300">
        <f t="shared" si="1905"/>
        <v>0</v>
      </c>
      <c r="CU300">
        <f t="shared" si="1905"/>
        <v>0</v>
      </c>
      <c r="CV300">
        <f t="shared" si="1905"/>
        <v>0</v>
      </c>
      <c r="CW300">
        <f t="shared" si="1905"/>
        <v>0</v>
      </c>
      <c r="CX300">
        <f t="shared" si="1905"/>
        <v>0</v>
      </c>
      <c r="CY300">
        <f t="shared" si="1865"/>
        <v>0</v>
      </c>
      <c r="CZ300">
        <f t="shared" si="1866"/>
        <v>0</v>
      </c>
      <c r="DA300">
        <f t="shared" si="1867"/>
        <v>0</v>
      </c>
      <c r="DB300">
        <f t="shared" si="1868"/>
        <v>0</v>
      </c>
      <c r="DC300">
        <f t="shared" si="1869"/>
        <v>0</v>
      </c>
      <c r="DD300">
        <f t="shared" si="1870"/>
        <v>0</v>
      </c>
      <c r="DE300">
        <f t="shared" si="1871"/>
        <v>0</v>
      </c>
      <c r="DF300">
        <f t="shared" si="1872"/>
        <v>0</v>
      </c>
      <c r="DG300">
        <f t="shared" si="1873"/>
        <v>0</v>
      </c>
      <c r="DH300">
        <f t="shared" si="1874"/>
        <v>0</v>
      </c>
      <c r="DI300">
        <f t="shared" si="1875"/>
        <v>0</v>
      </c>
      <c r="DJ300">
        <f t="shared" si="1876"/>
        <v>0</v>
      </c>
      <c r="DK300">
        <f t="shared" si="1877"/>
        <v>0</v>
      </c>
      <c r="DL300">
        <f t="shared" si="1878"/>
        <v>0</v>
      </c>
      <c r="DM300">
        <f t="shared" si="1879"/>
        <v>0</v>
      </c>
      <c r="DN300">
        <f t="shared" si="1880"/>
        <v>0</v>
      </c>
      <c r="DO300">
        <f t="shared" si="1881"/>
        <v>0</v>
      </c>
      <c r="DP300">
        <f t="shared" si="1882"/>
        <v>0</v>
      </c>
      <c r="DQ300">
        <f t="shared" si="1883"/>
        <v>0</v>
      </c>
      <c r="DR300">
        <f t="shared" si="1884"/>
        <v>0</v>
      </c>
      <c r="DT300" s="77"/>
      <c r="DU300" s="8" t="str">
        <f>Hidden!$CG83</f>
        <v/>
      </c>
      <c r="DV300">
        <f t="shared" si="1709"/>
        <v>0</v>
      </c>
      <c r="DW300">
        <f t="shared" si="1710"/>
        <v>0</v>
      </c>
      <c r="DX300">
        <f t="shared" si="1711"/>
        <v>0</v>
      </c>
      <c r="DY300">
        <f t="shared" si="1712"/>
        <v>0</v>
      </c>
      <c r="DZ300">
        <f t="shared" si="1713"/>
        <v>0</v>
      </c>
      <c r="EA300">
        <f t="shared" si="1714"/>
        <v>0</v>
      </c>
      <c r="EB300">
        <f t="shared" si="1715"/>
        <v>0</v>
      </c>
      <c r="EC300">
        <f t="shared" si="1716"/>
        <v>0</v>
      </c>
      <c r="ED300">
        <f t="shared" si="1717"/>
        <v>0</v>
      </c>
      <c r="EE300">
        <f t="shared" si="1718"/>
        <v>0</v>
      </c>
      <c r="EF300">
        <f t="shared" si="1719"/>
        <v>0</v>
      </c>
      <c r="EG300">
        <f t="shared" si="1720"/>
        <v>0</v>
      </c>
      <c r="EH300">
        <f t="shared" si="1721"/>
        <v>0</v>
      </c>
      <c r="EI300">
        <f t="shared" si="1722"/>
        <v>0</v>
      </c>
      <c r="EJ300">
        <f t="shared" si="1723"/>
        <v>0</v>
      </c>
      <c r="EK300">
        <f t="shared" si="1724"/>
        <v>0</v>
      </c>
      <c r="EL300">
        <f t="shared" si="1725"/>
        <v>0</v>
      </c>
      <c r="EM300">
        <f t="shared" si="1726"/>
        <v>0</v>
      </c>
      <c r="EN300">
        <f t="shared" si="1727"/>
        <v>0</v>
      </c>
      <c r="EO300">
        <f t="shared" si="1728"/>
        <v>0</v>
      </c>
      <c r="EP300">
        <f t="shared" si="1729"/>
        <v>0</v>
      </c>
      <c r="EQ300">
        <f t="shared" si="1730"/>
        <v>0</v>
      </c>
      <c r="ER300">
        <f t="shared" si="1731"/>
        <v>0</v>
      </c>
      <c r="ES300">
        <f t="shared" ref="ES300:ET300" si="1906">IF(ES$218,FC195,0)</f>
        <v>0</v>
      </c>
      <c r="ET300">
        <f t="shared" si="1906"/>
        <v>0</v>
      </c>
      <c r="EU300">
        <f t="shared" si="1732"/>
        <v>0</v>
      </c>
      <c r="EV300">
        <f t="shared" si="1411"/>
        <v>0</v>
      </c>
      <c r="EW300">
        <f t="shared" si="1757"/>
        <v>0</v>
      </c>
      <c r="EX300">
        <f t="shared" si="1733"/>
        <v>0</v>
      </c>
      <c r="EY300">
        <f t="shared" si="1734"/>
        <v>0</v>
      </c>
      <c r="EZ300">
        <f t="shared" ref="EZ300:FI300" si="1907">IF(EZ$218,EZ195,0)</f>
        <v>0</v>
      </c>
      <c r="FA300">
        <f t="shared" si="1907"/>
        <v>0</v>
      </c>
      <c r="FB300">
        <f t="shared" si="1907"/>
        <v>0</v>
      </c>
      <c r="FC300">
        <f t="shared" si="1907"/>
        <v>0</v>
      </c>
      <c r="FD300">
        <f t="shared" si="1907"/>
        <v>0</v>
      </c>
      <c r="FE300">
        <f t="shared" si="1907"/>
        <v>0</v>
      </c>
      <c r="FF300">
        <f t="shared" si="1907"/>
        <v>0</v>
      </c>
      <c r="FG300">
        <f t="shared" si="1907"/>
        <v>0</v>
      </c>
      <c r="FH300">
        <f t="shared" si="1907"/>
        <v>0</v>
      </c>
      <c r="FI300">
        <f t="shared" si="1907"/>
        <v>0</v>
      </c>
      <c r="FJ300">
        <f t="shared" si="1736"/>
        <v>0</v>
      </c>
      <c r="FK300">
        <f t="shared" si="1737"/>
        <v>0</v>
      </c>
      <c r="FL300">
        <f t="shared" si="1413"/>
        <v>0</v>
      </c>
      <c r="FM300">
        <f t="shared" si="1759"/>
        <v>0</v>
      </c>
      <c r="FN300">
        <f t="shared" si="1738"/>
        <v>0</v>
      </c>
      <c r="FO300">
        <f t="shared" si="1739"/>
        <v>0</v>
      </c>
      <c r="FP300">
        <f t="shared" si="1740"/>
        <v>0</v>
      </c>
      <c r="FQ300">
        <f t="shared" si="1741"/>
        <v>0</v>
      </c>
      <c r="FR300">
        <f t="shared" si="1742"/>
        <v>0</v>
      </c>
      <c r="FS300">
        <f t="shared" si="1743"/>
        <v>0</v>
      </c>
      <c r="FT300">
        <f t="shared" si="1744"/>
        <v>0</v>
      </c>
      <c r="FU300">
        <f t="shared" si="1745"/>
        <v>0</v>
      </c>
      <c r="FV300">
        <f t="shared" si="1746"/>
        <v>0</v>
      </c>
      <c r="FW300">
        <f t="shared" si="1747"/>
        <v>0</v>
      </c>
      <c r="FX300">
        <f t="shared" si="1414"/>
        <v>0</v>
      </c>
      <c r="FY300">
        <f t="shared" si="1760"/>
        <v>0</v>
      </c>
      <c r="FZ300">
        <f t="shared" si="1748"/>
        <v>0</v>
      </c>
      <c r="GA300">
        <f t="shared" si="1749"/>
        <v>0</v>
      </c>
      <c r="GB300">
        <f t="shared" si="1750"/>
        <v>0</v>
      </c>
      <c r="GC300">
        <f t="shared" si="1751"/>
        <v>0</v>
      </c>
    </row>
    <row r="301" spans="1:185" x14ac:dyDescent="0.2">
      <c r="A301" s="8" t="str">
        <f t="shared" si="1821"/>
        <v/>
      </c>
      <c r="B301" s="8">
        <f t="shared" si="1822"/>
        <v>0</v>
      </c>
      <c r="C301" s="8">
        <f t="shared" si="1823"/>
        <v>0</v>
      </c>
      <c r="D301" s="8">
        <f t="shared" si="1824"/>
        <v>0</v>
      </c>
      <c r="E301" s="8">
        <f t="shared" si="1486"/>
        <v>0</v>
      </c>
      <c r="F301" s="8">
        <f t="shared" si="1887"/>
        <v>0</v>
      </c>
      <c r="G301" s="8">
        <f t="shared" si="1427"/>
        <v>0</v>
      </c>
      <c r="H301" s="8">
        <f t="shared" si="1428"/>
        <v>0</v>
      </c>
      <c r="I301" s="8">
        <f t="shared" si="1429"/>
        <v>0</v>
      </c>
      <c r="J301" s="8">
        <f t="shared" si="1430"/>
        <v>0</v>
      </c>
      <c r="K301" s="8">
        <f t="shared" si="1431"/>
        <v>0</v>
      </c>
      <c r="L301">
        <f t="shared" si="1825"/>
        <v>0</v>
      </c>
      <c r="M301">
        <f t="shared" si="1826"/>
        <v>0</v>
      </c>
      <c r="N301">
        <f t="shared" si="1827"/>
        <v>0</v>
      </c>
      <c r="O301">
        <f t="shared" si="1828"/>
        <v>0</v>
      </c>
      <c r="P301">
        <f t="shared" si="1829"/>
        <v>0</v>
      </c>
      <c r="Q301">
        <f t="shared" si="1830"/>
        <v>0</v>
      </c>
      <c r="R301">
        <f t="shared" si="1831"/>
        <v>0</v>
      </c>
      <c r="S301">
        <f t="shared" si="1832"/>
        <v>0</v>
      </c>
      <c r="T301">
        <f t="shared" si="1833"/>
        <v>0</v>
      </c>
      <c r="U301">
        <f t="shared" si="1834"/>
        <v>0</v>
      </c>
      <c r="V301">
        <f>IF(V$230,LandEmiss!AF196,0)</f>
        <v>0</v>
      </c>
      <c r="W301">
        <f>IF(W$230,LandEmiss!AG196,0)</f>
        <v>0</v>
      </c>
      <c r="X301">
        <f>IF(X$230,LandEmiss!AH196,0)</f>
        <v>0</v>
      </c>
      <c r="Y301">
        <f>IF(Y$230,LandEmiss!AI196,0)</f>
        <v>0</v>
      </c>
      <c r="Z301">
        <f>IF(Z$230,LandEmiss!AJ196,0)</f>
        <v>0</v>
      </c>
      <c r="AA301">
        <f>IF(AA$230,LandEmiss!AK196,0)</f>
        <v>0</v>
      </c>
      <c r="AB301">
        <f>IF(AB$230,LandEmiss!AL196,0)</f>
        <v>0</v>
      </c>
      <c r="AC301">
        <f>IF(AC$230,LandEmiss!AM196,0)</f>
        <v>0</v>
      </c>
      <c r="AD301">
        <f>IF(AD$230,LandEmiss!AN196,0)</f>
        <v>0</v>
      </c>
      <c r="AE301">
        <f>IF(AE$230,LandEmiss!AO196,0)</f>
        <v>0</v>
      </c>
      <c r="AF301">
        <f t="shared" ref="AF301:AO301" si="1908">IF(AF$230,AF196,0)</f>
        <v>0</v>
      </c>
      <c r="AG301">
        <f t="shared" si="1908"/>
        <v>0</v>
      </c>
      <c r="AH301">
        <f t="shared" si="1908"/>
        <v>0</v>
      </c>
      <c r="AI301">
        <f t="shared" si="1908"/>
        <v>0</v>
      </c>
      <c r="AJ301">
        <f t="shared" si="1908"/>
        <v>0</v>
      </c>
      <c r="AK301">
        <f t="shared" si="1908"/>
        <v>0</v>
      </c>
      <c r="AL301">
        <f t="shared" si="1908"/>
        <v>0</v>
      </c>
      <c r="AM301">
        <f t="shared" si="1908"/>
        <v>0</v>
      </c>
      <c r="AN301">
        <f t="shared" si="1908"/>
        <v>0</v>
      </c>
      <c r="AO301">
        <f t="shared" si="1908"/>
        <v>0</v>
      </c>
      <c r="AP301">
        <f t="shared" si="1836"/>
        <v>0</v>
      </c>
      <c r="AQ301">
        <f t="shared" si="1837"/>
        <v>0</v>
      </c>
      <c r="AR301">
        <f t="shared" si="1838"/>
        <v>0</v>
      </c>
      <c r="AS301">
        <f t="shared" si="1839"/>
        <v>0</v>
      </c>
      <c r="AT301">
        <f t="shared" si="1840"/>
        <v>0</v>
      </c>
      <c r="AU301">
        <f t="shared" si="1841"/>
        <v>0</v>
      </c>
      <c r="AV301">
        <f t="shared" si="1842"/>
        <v>0</v>
      </c>
      <c r="AW301">
        <f t="shared" si="1843"/>
        <v>0</v>
      </c>
      <c r="AX301">
        <f t="shared" si="1844"/>
        <v>0</v>
      </c>
      <c r="AY301">
        <f t="shared" si="1845"/>
        <v>0</v>
      </c>
      <c r="AZ301">
        <f t="shared" si="1846"/>
        <v>0</v>
      </c>
      <c r="BA301">
        <f t="shared" si="1847"/>
        <v>0</v>
      </c>
      <c r="BB301">
        <f t="shared" si="1848"/>
        <v>0</v>
      </c>
      <c r="BC301">
        <f t="shared" si="1849"/>
        <v>0</v>
      </c>
      <c r="BD301">
        <f t="shared" si="1850"/>
        <v>0</v>
      </c>
      <c r="BE301">
        <f t="shared" si="1851"/>
        <v>0</v>
      </c>
      <c r="BF301">
        <f t="shared" si="1852"/>
        <v>0</v>
      </c>
      <c r="BG301">
        <f t="shared" si="1853"/>
        <v>0</v>
      </c>
      <c r="BH301">
        <f t="shared" si="1488"/>
        <v>0</v>
      </c>
      <c r="BI301">
        <f t="shared" si="1889"/>
        <v>0</v>
      </c>
      <c r="BJ301" s="8" t="str">
        <f>Hidden!$CC72</f>
        <v/>
      </c>
      <c r="BK301">
        <f t="shared" ref="BK301:BT301" si="1909">IF(BK$230,CP196,0)</f>
        <v>0</v>
      </c>
      <c r="BL301">
        <f t="shared" si="1909"/>
        <v>0</v>
      </c>
      <c r="BM301">
        <f t="shared" si="1909"/>
        <v>0</v>
      </c>
      <c r="BN301">
        <f t="shared" si="1909"/>
        <v>0</v>
      </c>
      <c r="BO301">
        <f t="shared" si="1909"/>
        <v>0</v>
      </c>
      <c r="BP301">
        <f t="shared" si="1909"/>
        <v>0</v>
      </c>
      <c r="BQ301">
        <f t="shared" si="1909"/>
        <v>0</v>
      </c>
      <c r="BR301">
        <f t="shared" si="1909"/>
        <v>0</v>
      </c>
      <c r="BS301">
        <f t="shared" si="1909"/>
        <v>0</v>
      </c>
      <c r="BT301">
        <f t="shared" si="1909"/>
        <v>0</v>
      </c>
      <c r="BU301">
        <f t="shared" ref="BU301:CD301" si="1910">IF(BU$230,CP196,0)</f>
        <v>0</v>
      </c>
      <c r="BV301">
        <f t="shared" si="1910"/>
        <v>0</v>
      </c>
      <c r="BW301">
        <f t="shared" si="1910"/>
        <v>0</v>
      </c>
      <c r="BX301">
        <f t="shared" si="1910"/>
        <v>0</v>
      </c>
      <c r="BY301">
        <f t="shared" si="1910"/>
        <v>0</v>
      </c>
      <c r="BZ301">
        <f t="shared" si="1910"/>
        <v>0</v>
      </c>
      <c r="CA301">
        <f t="shared" si="1910"/>
        <v>0</v>
      </c>
      <c r="CB301">
        <f t="shared" si="1910"/>
        <v>0</v>
      </c>
      <c r="CC301">
        <f t="shared" si="1910"/>
        <v>0</v>
      </c>
      <c r="CD301">
        <f t="shared" si="1910"/>
        <v>0</v>
      </c>
      <c r="CE301">
        <f t="shared" si="1856"/>
        <v>0</v>
      </c>
      <c r="CF301">
        <f t="shared" si="1857"/>
        <v>0</v>
      </c>
      <c r="CG301">
        <f t="shared" si="1858"/>
        <v>0</v>
      </c>
      <c r="CH301">
        <f t="shared" si="1859"/>
        <v>0</v>
      </c>
      <c r="CI301">
        <f t="shared" si="1860"/>
        <v>0</v>
      </c>
      <c r="CJ301">
        <f t="shared" si="1491"/>
        <v>0</v>
      </c>
      <c r="CK301">
        <f t="shared" si="1892"/>
        <v>0</v>
      </c>
      <c r="CL301">
        <f t="shared" si="1861"/>
        <v>0</v>
      </c>
      <c r="CM301">
        <f t="shared" si="1862"/>
        <v>0</v>
      </c>
      <c r="CN301">
        <f t="shared" si="1863"/>
        <v>0</v>
      </c>
      <c r="CO301">
        <f t="shared" ref="CO301:CX301" si="1911">IF(CO$230,CP196,0)</f>
        <v>0</v>
      </c>
      <c r="CP301">
        <f t="shared" si="1911"/>
        <v>0</v>
      </c>
      <c r="CQ301">
        <f t="shared" si="1911"/>
        <v>0</v>
      </c>
      <c r="CR301">
        <f t="shared" si="1911"/>
        <v>0</v>
      </c>
      <c r="CS301">
        <f t="shared" si="1911"/>
        <v>0</v>
      </c>
      <c r="CT301">
        <f t="shared" si="1911"/>
        <v>0</v>
      </c>
      <c r="CU301">
        <f t="shared" si="1911"/>
        <v>0</v>
      </c>
      <c r="CV301">
        <f t="shared" si="1911"/>
        <v>0</v>
      </c>
      <c r="CW301">
        <f t="shared" si="1911"/>
        <v>0</v>
      </c>
      <c r="CX301">
        <f t="shared" si="1911"/>
        <v>0</v>
      </c>
      <c r="CY301">
        <f t="shared" si="1865"/>
        <v>0</v>
      </c>
      <c r="CZ301">
        <f t="shared" si="1866"/>
        <v>0</v>
      </c>
      <c r="DA301">
        <f t="shared" si="1867"/>
        <v>0</v>
      </c>
      <c r="DB301">
        <f t="shared" si="1868"/>
        <v>0</v>
      </c>
      <c r="DC301">
        <f t="shared" si="1869"/>
        <v>0</v>
      </c>
      <c r="DD301">
        <f t="shared" si="1870"/>
        <v>0</v>
      </c>
      <c r="DE301">
        <f t="shared" si="1871"/>
        <v>0</v>
      </c>
      <c r="DF301">
        <f t="shared" si="1872"/>
        <v>0</v>
      </c>
      <c r="DG301">
        <f t="shared" si="1873"/>
        <v>0</v>
      </c>
      <c r="DH301">
        <f t="shared" si="1874"/>
        <v>0</v>
      </c>
      <c r="DI301">
        <f t="shared" si="1875"/>
        <v>0</v>
      </c>
      <c r="DJ301">
        <f t="shared" si="1876"/>
        <v>0</v>
      </c>
      <c r="DK301">
        <f t="shared" si="1877"/>
        <v>0</v>
      </c>
      <c r="DL301">
        <f t="shared" si="1878"/>
        <v>0</v>
      </c>
      <c r="DM301">
        <f t="shared" si="1879"/>
        <v>0</v>
      </c>
      <c r="DN301">
        <f t="shared" si="1880"/>
        <v>0</v>
      </c>
      <c r="DO301">
        <f t="shared" si="1881"/>
        <v>0</v>
      </c>
      <c r="DP301">
        <f t="shared" si="1882"/>
        <v>0</v>
      </c>
      <c r="DQ301">
        <f t="shared" si="1883"/>
        <v>0</v>
      </c>
      <c r="DR301">
        <f t="shared" si="1884"/>
        <v>0</v>
      </c>
      <c r="DT301" s="77"/>
      <c r="DU301" s="8" t="str">
        <f>Hidden!$CG84</f>
        <v/>
      </c>
      <c r="DV301">
        <f t="shared" si="1709"/>
        <v>0</v>
      </c>
      <c r="DW301">
        <f t="shared" si="1710"/>
        <v>0</v>
      </c>
      <c r="DX301">
        <f t="shared" si="1711"/>
        <v>0</v>
      </c>
      <c r="DY301">
        <f t="shared" si="1712"/>
        <v>0</v>
      </c>
      <c r="DZ301">
        <f t="shared" si="1713"/>
        <v>0</v>
      </c>
      <c r="EA301">
        <f t="shared" si="1714"/>
        <v>0</v>
      </c>
      <c r="EB301">
        <f t="shared" si="1715"/>
        <v>0</v>
      </c>
      <c r="EC301">
        <f t="shared" si="1716"/>
        <v>0</v>
      </c>
      <c r="ED301">
        <f t="shared" si="1717"/>
        <v>0</v>
      </c>
      <c r="EE301">
        <f t="shared" si="1718"/>
        <v>0</v>
      </c>
      <c r="EF301">
        <f t="shared" si="1719"/>
        <v>0</v>
      </c>
      <c r="EG301">
        <f t="shared" si="1720"/>
        <v>0</v>
      </c>
      <c r="EH301">
        <f t="shared" si="1721"/>
        <v>0</v>
      </c>
      <c r="EI301">
        <f t="shared" si="1722"/>
        <v>0</v>
      </c>
      <c r="EJ301">
        <f t="shared" si="1723"/>
        <v>0</v>
      </c>
      <c r="EK301">
        <f t="shared" si="1724"/>
        <v>0</v>
      </c>
      <c r="EL301">
        <f t="shared" si="1725"/>
        <v>0</v>
      </c>
      <c r="EM301">
        <f t="shared" si="1726"/>
        <v>0</v>
      </c>
      <c r="EN301">
        <f t="shared" si="1727"/>
        <v>0</v>
      </c>
      <c r="EO301">
        <f t="shared" si="1728"/>
        <v>0</v>
      </c>
      <c r="EP301">
        <f t="shared" si="1729"/>
        <v>0</v>
      </c>
      <c r="EQ301">
        <f t="shared" si="1730"/>
        <v>0</v>
      </c>
      <c r="ER301">
        <f t="shared" ref="ER301:ET316" si="1912">IF(ER$218,FB196,0)</f>
        <v>0</v>
      </c>
      <c r="ES301">
        <f t="shared" si="1912"/>
        <v>0</v>
      </c>
      <c r="ET301">
        <f t="shared" si="1912"/>
        <v>0</v>
      </c>
      <c r="EU301">
        <f t="shared" si="1732"/>
        <v>0</v>
      </c>
      <c r="EV301">
        <f t="shared" ref="EV301:EV319" si="1913">IF(EV$218,FF196,0)</f>
        <v>0</v>
      </c>
      <c r="EW301">
        <f t="shared" si="1757"/>
        <v>0</v>
      </c>
      <c r="EX301">
        <f t="shared" si="1733"/>
        <v>0</v>
      </c>
      <c r="EY301">
        <f t="shared" si="1734"/>
        <v>0</v>
      </c>
      <c r="EZ301">
        <f t="shared" ref="EZ301:FI301" si="1914">IF(EZ$218,EZ196,0)</f>
        <v>0</v>
      </c>
      <c r="FA301">
        <f t="shared" si="1914"/>
        <v>0</v>
      </c>
      <c r="FB301">
        <f t="shared" si="1914"/>
        <v>0</v>
      </c>
      <c r="FC301">
        <f t="shared" si="1914"/>
        <v>0</v>
      </c>
      <c r="FD301">
        <f t="shared" si="1914"/>
        <v>0</v>
      </c>
      <c r="FE301">
        <f t="shared" si="1914"/>
        <v>0</v>
      </c>
      <c r="FF301">
        <f t="shared" si="1914"/>
        <v>0</v>
      </c>
      <c r="FG301">
        <f t="shared" si="1914"/>
        <v>0</v>
      </c>
      <c r="FH301">
        <f t="shared" si="1914"/>
        <v>0</v>
      </c>
      <c r="FI301">
        <f t="shared" si="1914"/>
        <v>0</v>
      </c>
      <c r="FJ301">
        <f t="shared" si="1736"/>
        <v>0</v>
      </c>
      <c r="FK301">
        <f t="shared" si="1737"/>
        <v>0</v>
      </c>
      <c r="FL301">
        <f t="shared" ref="FL301:FL319" si="1915">IF(FL$218,FB196,0)</f>
        <v>0</v>
      </c>
      <c r="FM301">
        <f t="shared" si="1759"/>
        <v>0</v>
      </c>
      <c r="FN301">
        <f t="shared" si="1738"/>
        <v>0</v>
      </c>
      <c r="FO301">
        <f t="shared" si="1739"/>
        <v>0</v>
      </c>
      <c r="FP301">
        <f t="shared" si="1740"/>
        <v>0</v>
      </c>
      <c r="FQ301">
        <f t="shared" si="1741"/>
        <v>0</v>
      </c>
      <c r="FR301">
        <f t="shared" si="1742"/>
        <v>0</v>
      </c>
      <c r="FS301">
        <f t="shared" si="1743"/>
        <v>0</v>
      </c>
      <c r="FT301">
        <f t="shared" si="1744"/>
        <v>0</v>
      </c>
      <c r="FU301">
        <f t="shared" si="1745"/>
        <v>0</v>
      </c>
      <c r="FV301">
        <f t="shared" si="1746"/>
        <v>0</v>
      </c>
      <c r="FW301">
        <f t="shared" si="1747"/>
        <v>0</v>
      </c>
      <c r="FX301">
        <f t="shared" ref="FX301:FX319" si="1916">IF(FX$218,FD196,0)</f>
        <v>0</v>
      </c>
      <c r="FY301">
        <f t="shared" si="1760"/>
        <v>0</v>
      </c>
      <c r="FZ301">
        <f t="shared" si="1748"/>
        <v>0</v>
      </c>
      <c r="GA301">
        <f t="shared" si="1749"/>
        <v>0</v>
      </c>
      <c r="GB301">
        <f t="shared" si="1750"/>
        <v>0</v>
      </c>
      <c r="GC301">
        <f t="shared" si="1751"/>
        <v>0</v>
      </c>
    </row>
    <row r="302" spans="1:185" x14ac:dyDescent="0.2">
      <c r="A302" s="8" t="str">
        <f t="shared" si="1821"/>
        <v/>
      </c>
      <c r="B302" s="8">
        <f t="shared" si="1822"/>
        <v>0</v>
      </c>
      <c r="C302" s="8">
        <f t="shared" si="1823"/>
        <v>0</v>
      </c>
      <c r="D302" s="8">
        <f t="shared" si="1824"/>
        <v>0</v>
      </c>
      <c r="E302" s="8">
        <f t="shared" si="1486"/>
        <v>0</v>
      </c>
      <c r="F302" s="8">
        <f t="shared" si="1887"/>
        <v>0</v>
      </c>
      <c r="G302" s="8">
        <f t="shared" si="1427"/>
        <v>0</v>
      </c>
      <c r="H302" s="8">
        <f t="shared" si="1428"/>
        <v>0</v>
      </c>
      <c r="I302" s="8">
        <f t="shared" si="1429"/>
        <v>0</v>
      </c>
      <c r="J302" s="8">
        <f t="shared" si="1430"/>
        <v>0</v>
      </c>
      <c r="K302" s="8">
        <f t="shared" si="1431"/>
        <v>0</v>
      </c>
      <c r="L302">
        <f t="shared" si="1825"/>
        <v>0</v>
      </c>
      <c r="M302">
        <f t="shared" si="1826"/>
        <v>0</v>
      </c>
      <c r="N302">
        <f t="shared" si="1827"/>
        <v>0</v>
      </c>
      <c r="O302">
        <f t="shared" si="1828"/>
        <v>0</v>
      </c>
      <c r="P302">
        <f t="shared" si="1829"/>
        <v>0</v>
      </c>
      <c r="Q302">
        <f t="shared" si="1830"/>
        <v>0</v>
      </c>
      <c r="R302">
        <f t="shared" si="1831"/>
        <v>0</v>
      </c>
      <c r="S302">
        <f t="shared" si="1832"/>
        <v>0</v>
      </c>
      <c r="T302">
        <f t="shared" si="1833"/>
        <v>0</v>
      </c>
      <c r="U302">
        <f t="shared" si="1834"/>
        <v>0</v>
      </c>
      <c r="V302">
        <f>IF(V$230,LandEmiss!AF197,0)</f>
        <v>0</v>
      </c>
      <c r="W302">
        <f>IF(W$230,LandEmiss!AG197,0)</f>
        <v>0</v>
      </c>
      <c r="X302">
        <f>IF(X$230,LandEmiss!AH197,0)</f>
        <v>0</v>
      </c>
      <c r="Y302">
        <f>IF(Y$230,LandEmiss!AI197,0)</f>
        <v>0</v>
      </c>
      <c r="Z302">
        <f>IF(Z$230,LandEmiss!AJ197,0)</f>
        <v>0</v>
      </c>
      <c r="AA302">
        <f>IF(AA$230,LandEmiss!AK197,0)</f>
        <v>0</v>
      </c>
      <c r="AB302">
        <f>IF(AB$230,LandEmiss!AL197,0)</f>
        <v>0</v>
      </c>
      <c r="AC302">
        <f>IF(AC$230,LandEmiss!AM197,0)</f>
        <v>0</v>
      </c>
      <c r="AD302">
        <f>IF(AD$230,LandEmiss!AN197,0)</f>
        <v>0</v>
      </c>
      <c r="AE302">
        <f>IF(AE$230,LandEmiss!AO197,0)</f>
        <v>0</v>
      </c>
      <c r="AF302">
        <f t="shared" ref="AF302:AO302" si="1917">IF(AF$230,AF197,0)</f>
        <v>0</v>
      </c>
      <c r="AG302">
        <f t="shared" si="1917"/>
        <v>0</v>
      </c>
      <c r="AH302">
        <f t="shared" si="1917"/>
        <v>0</v>
      </c>
      <c r="AI302">
        <f t="shared" si="1917"/>
        <v>0</v>
      </c>
      <c r="AJ302">
        <f t="shared" si="1917"/>
        <v>0</v>
      </c>
      <c r="AK302">
        <f t="shared" si="1917"/>
        <v>0</v>
      </c>
      <c r="AL302">
        <f t="shared" si="1917"/>
        <v>0</v>
      </c>
      <c r="AM302">
        <f t="shared" si="1917"/>
        <v>0</v>
      </c>
      <c r="AN302">
        <f t="shared" si="1917"/>
        <v>0</v>
      </c>
      <c r="AO302">
        <f t="shared" si="1917"/>
        <v>0</v>
      </c>
      <c r="AP302">
        <f t="shared" si="1836"/>
        <v>0</v>
      </c>
      <c r="AQ302">
        <f t="shared" si="1837"/>
        <v>0</v>
      </c>
      <c r="AR302">
        <f t="shared" si="1838"/>
        <v>0</v>
      </c>
      <c r="AS302">
        <f t="shared" si="1839"/>
        <v>0</v>
      </c>
      <c r="AT302">
        <f t="shared" si="1840"/>
        <v>0</v>
      </c>
      <c r="AU302">
        <f t="shared" si="1841"/>
        <v>0</v>
      </c>
      <c r="AV302">
        <f t="shared" si="1842"/>
        <v>0</v>
      </c>
      <c r="AW302">
        <f t="shared" si="1843"/>
        <v>0</v>
      </c>
      <c r="AX302">
        <f t="shared" si="1844"/>
        <v>0</v>
      </c>
      <c r="AY302">
        <f t="shared" si="1845"/>
        <v>0</v>
      </c>
      <c r="AZ302">
        <f t="shared" si="1846"/>
        <v>0</v>
      </c>
      <c r="BA302">
        <f t="shared" si="1847"/>
        <v>0</v>
      </c>
      <c r="BB302">
        <f t="shared" si="1848"/>
        <v>0</v>
      </c>
      <c r="BC302">
        <f t="shared" si="1849"/>
        <v>0</v>
      </c>
      <c r="BD302">
        <f t="shared" si="1850"/>
        <v>0</v>
      </c>
      <c r="BE302">
        <f t="shared" si="1851"/>
        <v>0</v>
      </c>
      <c r="BF302">
        <f t="shared" si="1852"/>
        <v>0</v>
      </c>
      <c r="BG302">
        <f t="shared" si="1853"/>
        <v>0</v>
      </c>
      <c r="BH302">
        <f t="shared" si="1488"/>
        <v>0</v>
      </c>
      <c r="BI302">
        <f t="shared" si="1889"/>
        <v>0</v>
      </c>
      <c r="BJ302" s="8" t="str">
        <f>Hidden!$CC73</f>
        <v/>
      </c>
      <c r="BK302">
        <f t="shared" ref="BK302:BT302" si="1918">IF(BK$230,CP197,0)</f>
        <v>0</v>
      </c>
      <c r="BL302">
        <f t="shared" si="1918"/>
        <v>0</v>
      </c>
      <c r="BM302">
        <f t="shared" si="1918"/>
        <v>0</v>
      </c>
      <c r="BN302">
        <f t="shared" si="1918"/>
        <v>0</v>
      </c>
      <c r="BO302">
        <f t="shared" si="1918"/>
        <v>0</v>
      </c>
      <c r="BP302">
        <f t="shared" si="1918"/>
        <v>0</v>
      </c>
      <c r="BQ302">
        <f t="shared" si="1918"/>
        <v>0</v>
      </c>
      <c r="BR302">
        <f t="shared" si="1918"/>
        <v>0</v>
      </c>
      <c r="BS302">
        <f t="shared" si="1918"/>
        <v>0</v>
      </c>
      <c r="BT302">
        <f t="shared" si="1918"/>
        <v>0</v>
      </c>
      <c r="BU302">
        <f t="shared" ref="BU302:CD302" si="1919">IF(BU$230,CP197,0)</f>
        <v>0</v>
      </c>
      <c r="BV302">
        <f t="shared" si="1919"/>
        <v>0</v>
      </c>
      <c r="BW302">
        <f t="shared" si="1919"/>
        <v>0</v>
      </c>
      <c r="BX302">
        <f t="shared" si="1919"/>
        <v>0</v>
      </c>
      <c r="BY302">
        <f t="shared" si="1919"/>
        <v>0</v>
      </c>
      <c r="BZ302">
        <f t="shared" si="1919"/>
        <v>0</v>
      </c>
      <c r="CA302">
        <f t="shared" si="1919"/>
        <v>0</v>
      </c>
      <c r="CB302">
        <f t="shared" si="1919"/>
        <v>0</v>
      </c>
      <c r="CC302">
        <f t="shared" si="1919"/>
        <v>0</v>
      </c>
      <c r="CD302">
        <f t="shared" si="1919"/>
        <v>0</v>
      </c>
      <c r="CE302">
        <f t="shared" si="1856"/>
        <v>0</v>
      </c>
      <c r="CF302">
        <f t="shared" si="1857"/>
        <v>0</v>
      </c>
      <c r="CG302">
        <f t="shared" si="1858"/>
        <v>0</v>
      </c>
      <c r="CH302">
        <f t="shared" si="1859"/>
        <v>0</v>
      </c>
      <c r="CI302">
        <f t="shared" si="1860"/>
        <v>0</v>
      </c>
      <c r="CJ302">
        <f t="shared" si="1491"/>
        <v>0</v>
      </c>
      <c r="CK302">
        <f t="shared" si="1892"/>
        <v>0</v>
      </c>
      <c r="CL302">
        <f t="shared" si="1861"/>
        <v>0</v>
      </c>
      <c r="CM302">
        <f t="shared" si="1862"/>
        <v>0</v>
      </c>
      <c r="CN302">
        <f t="shared" si="1863"/>
        <v>0</v>
      </c>
      <c r="CO302">
        <f t="shared" ref="CO302:CX302" si="1920">IF(CO$230,CP197,0)</f>
        <v>0</v>
      </c>
      <c r="CP302">
        <f t="shared" si="1920"/>
        <v>0</v>
      </c>
      <c r="CQ302">
        <f t="shared" si="1920"/>
        <v>0</v>
      </c>
      <c r="CR302">
        <f t="shared" si="1920"/>
        <v>0</v>
      </c>
      <c r="CS302">
        <f t="shared" si="1920"/>
        <v>0</v>
      </c>
      <c r="CT302">
        <f t="shared" si="1920"/>
        <v>0</v>
      </c>
      <c r="CU302">
        <f t="shared" si="1920"/>
        <v>0</v>
      </c>
      <c r="CV302">
        <f t="shared" si="1920"/>
        <v>0</v>
      </c>
      <c r="CW302">
        <f t="shared" si="1920"/>
        <v>0</v>
      </c>
      <c r="CX302">
        <f t="shared" si="1920"/>
        <v>0</v>
      </c>
      <c r="CY302">
        <f t="shared" si="1865"/>
        <v>0</v>
      </c>
      <c r="CZ302">
        <f t="shared" si="1866"/>
        <v>0</v>
      </c>
      <c r="DA302">
        <f t="shared" si="1867"/>
        <v>0</v>
      </c>
      <c r="DB302">
        <f t="shared" si="1868"/>
        <v>0</v>
      </c>
      <c r="DC302">
        <f t="shared" si="1869"/>
        <v>0</v>
      </c>
      <c r="DD302">
        <f t="shared" si="1870"/>
        <v>0</v>
      </c>
      <c r="DE302">
        <f t="shared" si="1871"/>
        <v>0</v>
      </c>
      <c r="DF302">
        <f t="shared" si="1872"/>
        <v>0</v>
      </c>
      <c r="DG302">
        <f t="shared" si="1873"/>
        <v>0</v>
      </c>
      <c r="DH302">
        <f t="shared" si="1874"/>
        <v>0</v>
      </c>
      <c r="DI302">
        <f t="shared" si="1875"/>
        <v>0</v>
      </c>
      <c r="DJ302">
        <f t="shared" si="1876"/>
        <v>0</v>
      </c>
      <c r="DK302">
        <f t="shared" si="1877"/>
        <v>0</v>
      </c>
      <c r="DL302">
        <f t="shared" si="1878"/>
        <v>0</v>
      </c>
      <c r="DM302">
        <f t="shared" si="1879"/>
        <v>0</v>
      </c>
      <c r="DN302">
        <f t="shared" si="1880"/>
        <v>0</v>
      </c>
      <c r="DO302">
        <f t="shared" si="1881"/>
        <v>0</v>
      </c>
      <c r="DP302">
        <f t="shared" si="1882"/>
        <v>0</v>
      </c>
      <c r="DQ302">
        <f t="shared" si="1883"/>
        <v>0</v>
      </c>
      <c r="DR302">
        <f t="shared" si="1884"/>
        <v>0</v>
      </c>
      <c r="DT302" s="77"/>
      <c r="DU302" s="8" t="str">
        <f>Hidden!$CG85</f>
        <v/>
      </c>
      <c r="DV302">
        <f t="shared" si="1709"/>
        <v>0</v>
      </c>
      <c r="DW302">
        <f t="shared" si="1710"/>
        <v>0</v>
      </c>
      <c r="DX302">
        <f t="shared" si="1711"/>
        <v>0</v>
      </c>
      <c r="DY302">
        <f t="shared" si="1712"/>
        <v>0</v>
      </c>
      <c r="DZ302">
        <f t="shared" si="1713"/>
        <v>0</v>
      </c>
      <c r="EA302">
        <f t="shared" si="1714"/>
        <v>0</v>
      </c>
      <c r="EB302">
        <f t="shared" si="1715"/>
        <v>0</v>
      </c>
      <c r="EC302">
        <f t="shared" si="1716"/>
        <v>0</v>
      </c>
      <c r="ED302">
        <f t="shared" si="1717"/>
        <v>0</v>
      </c>
      <c r="EE302">
        <f t="shared" si="1718"/>
        <v>0</v>
      </c>
      <c r="EF302">
        <f t="shared" si="1719"/>
        <v>0</v>
      </c>
      <c r="EG302">
        <f t="shared" si="1720"/>
        <v>0</v>
      </c>
      <c r="EH302">
        <f t="shared" si="1721"/>
        <v>0</v>
      </c>
      <c r="EI302">
        <f t="shared" si="1722"/>
        <v>0</v>
      </c>
      <c r="EJ302">
        <f t="shared" si="1723"/>
        <v>0</v>
      </c>
      <c r="EK302">
        <f t="shared" si="1724"/>
        <v>0</v>
      </c>
      <c r="EL302">
        <f t="shared" si="1725"/>
        <v>0</v>
      </c>
      <c r="EM302">
        <f t="shared" si="1726"/>
        <v>0</v>
      </c>
      <c r="EN302">
        <f t="shared" si="1727"/>
        <v>0</v>
      </c>
      <c r="EO302">
        <f t="shared" si="1728"/>
        <v>0</v>
      </c>
      <c r="EP302">
        <f t="shared" si="1729"/>
        <v>0</v>
      </c>
      <c r="EQ302">
        <f t="shared" si="1730"/>
        <v>0</v>
      </c>
      <c r="ER302">
        <f t="shared" si="1912"/>
        <v>0</v>
      </c>
      <c r="ES302">
        <f t="shared" ref="ES302:ET302" si="1921">IF(ES$218,FC197,0)</f>
        <v>0</v>
      </c>
      <c r="ET302">
        <f t="shared" si="1921"/>
        <v>0</v>
      </c>
      <c r="EU302">
        <f t="shared" si="1732"/>
        <v>0</v>
      </c>
      <c r="EV302">
        <f t="shared" si="1913"/>
        <v>0</v>
      </c>
      <c r="EW302">
        <f t="shared" si="1757"/>
        <v>0</v>
      </c>
      <c r="EX302">
        <f t="shared" si="1733"/>
        <v>0</v>
      </c>
      <c r="EY302">
        <f t="shared" si="1734"/>
        <v>0</v>
      </c>
      <c r="EZ302">
        <f t="shared" ref="EZ302:FI302" si="1922">IF(EZ$218,EZ197,0)</f>
        <v>0</v>
      </c>
      <c r="FA302">
        <f t="shared" si="1922"/>
        <v>0</v>
      </c>
      <c r="FB302">
        <f t="shared" si="1922"/>
        <v>0</v>
      </c>
      <c r="FC302">
        <f t="shared" si="1922"/>
        <v>0</v>
      </c>
      <c r="FD302">
        <f t="shared" si="1922"/>
        <v>0</v>
      </c>
      <c r="FE302">
        <f t="shared" si="1922"/>
        <v>0</v>
      </c>
      <c r="FF302">
        <f t="shared" si="1922"/>
        <v>0</v>
      </c>
      <c r="FG302">
        <f t="shared" si="1922"/>
        <v>0</v>
      </c>
      <c r="FH302">
        <f t="shared" si="1922"/>
        <v>0</v>
      </c>
      <c r="FI302">
        <f t="shared" si="1922"/>
        <v>0</v>
      </c>
      <c r="FJ302">
        <f t="shared" si="1736"/>
        <v>0</v>
      </c>
      <c r="FK302">
        <f t="shared" si="1737"/>
        <v>0</v>
      </c>
      <c r="FL302">
        <f t="shared" si="1915"/>
        <v>0</v>
      </c>
      <c r="FM302">
        <f t="shared" si="1759"/>
        <v>0</v>
      </c>
      <c r="FN302">
        <f t="shared" si="1738"/>
        <v>0</v>
      </c>
      <c r="FO302">
        <f t="shared" si="1739"/>
        <v>0</v>
      </c>
      <c r="FP302">
        <f t="shared" si="1740"/>
        <v>0</v>
      </c>
      <c r="FQ302">
        <f t="shared" si="1741"/>
        <v>0</v>
      </c>
      <c r="FR302">
        <f t="shared" si="1742"/>
        <v>0</v>
      </c>
      <c r="FS302">
        <f t="shared" si="1743"/>
        <v>0</v>
      </c>
      <c r="FT302">
        <f t="shared" si="1744"/>
        <v>0</v>
      </c>
      <c r="FU302">
        <f t="shared" si="1745"/>
        <v>0</v>
      </c>
      <c r="FV302">
        <f t="shared" si="1746"/>
        <v>0</v>
      </c>
      <c r="FW302">
        <f t="shared" si="1747"/>
        <v>0</v>
      </c>
      <c r="FX302">
        <f t="shared" si="1916"/>
        <v>0</v>
      </c>
      <c r="FY302">
        <f t="shared" si="1760"/>
        <v>0</v>
      </c>
      <c r="FZ302">
        <f t="shared" si="1748"/>
        <v>0</v>
      </c>
      <c r="GA302">
        <f t="shared" si="1749"/>
        <v>0</v>
      </c>
      <c r="GB302">
        <f t="shared" si="1750"/>
        <v>0</v>
      </c>
      <c r="GC302">
        <f t="shared" si="1751"/>
        <v>0</v>
      </c>
    </row>
    <row r="303" spans="1:185" x14ac:dyDescent="0.2">
      <c r="A303" s="8" t="str">
        <f t="shared" si="1821"/>
        <v/>
      </c>
      <c r="B303" s="8">
        <f t="shared" si="1822"/>
        <v>0</v>
      </c>
      <c r="C303" s="8">
        <f t="shared" si="1823"/>
        <v>0</v>
      </c>
      <c r="D303" s="8">
        <f t="shared" si="1824"/>
        <v>0</v>
      </c>
      <c r="E303" s="8">
        <f t="shared" si="1486"/>
        <v>0</v>
      </c>
      <c r="F303" s="8">
        <f t="shared" si="1887"/>
        <v>0</v>
      </c>
      <c r="G303" s="8">
        <f t="shared" si="1427"/>
        <v>0</v>
      </c>
      <c r="H303" s="8">
        <f t="shared" si="1428"/>
        <v>0</v>
      </c>
      <c r="I303" s="8">
        <f t="shared" si="1429"/>
        <v>0</v>
      </c>
      <c r="J303" s="8">
        <f t="shared" si="1430"/>
        <v>0</v>
      </c>
      <c r="K303" s="8">
        <f t="shared" si="1431"/>
        <v>0</v>
      </c>
      <c r="L303">
        <f t="shared" si="1825"/>
        <v>0</v>
      </c>
      <c r="M303">
        <f t="shared" si="1826"/>
        <v>0</v>
      </c>
      <c r="N303">
        <f t="shared" si="1827"/>
        <v>0</v>
      </c>
      <c r="O303">
        <f t="shared" si="1828"/>
        <v>0</v>
      </c>
      <c r="P303">
        <f t="shared" si="1829"/>
        <v>0</v>
      </c>
      <c r="Q303">
        <f t="shared" si="1830"/>
        <v>0</v>
      </c>
      <c r="R303">
        <f t="shared" si="1831"/>
        <v>0</v>
      </c>
      <c r="S303">
        <f t="shared" si="1832"/>
        <v>0</v>
      </c>
      <c r="T303">
        <f t="shared" si="1833"/>
        <v>0</v>
      </c>
      <c r="U303">
        <f t="shared" si="1834"/>
        <v>0</v>
      </c>
      <c r="V303">
        <f>IF(V$230,LandEmiss!AF198,0)</f>
        <v>0</v>
      </c>
      <c r="W303">
        <f>IF(W$230,LandEmiss!AG198,0)</f>
        <v>0</v>
      </c>
      <c r="X303">
        <f>IF(X$230,LandEmiss!AH198,0)</f>
        <v>0</v>
      </c>
      <c r="Y303">
        <f>IF(Y$230,LandEmiss!AI198,0)</f>
        <v>0</v>
      </c>
      <c r="Z303">
        <f>IF(Z$230,LandEmiss!AJ198,0)</f>
        <v>0</v>
      </c>
      <c r="AA303">
        <f>IF(AA$230,LandEmiss!AK198,0)</f>
        <v>0</v>
      </c>
      <c r="AB303">
        <f>IF(AB$230,LandEmiss!AL198,0)</f>
        <v>0</v>
      </c>
      <c r="AC303">
        <f>IF(AC$230,LandEmiss!AM198,0)</f>
        <v>0</v>
      </c>
      <c r="AD303">
        <f>IF(AD$230,LandEmiss!AN198,0)</f>
        <v>0</v>
      </c>
      <c r="AE303">
        <f>IF(AE$230,LandEmiss!AO198,0)</f>
        <v>0</v>
      </c>
      <c r="AF303">
        <f t="shared" ref="AF303:AO303" si="1923">IF(AF$230,AF198,0)</f>
        <v>0</v>
      </c>
      <c r="AG303">
        <f t="shared" si="1923"/>
        <v>0</v>
      </c>
      <c r="AH303">
        <f t="shared" si="1923"/>
        <v>0</v>
      </c>
      <c r="AI303">
        <f t="shared" si="1923"/>
        <v>0</v>
      </c>
      <c r="AJ303">
        <f t="shared" si="1923"/>
        <v>0</v>
      </c>
      <c r="AK303">
        <f t="shared" si="1923"/>
        <v>0</v>
      </c>
      <c r="AL303">
        <f t="shared" si="1923"/>
        <v>0</v>
      </c>
      <c r="AM303">
        <f t="shared" si="1923"/>
        <v>0</v>
      </c>
      <c r="AN303">
        <f t="shared" si="1923"/>
        <v>0</v>
      </c>
      <c r="AO303">
        <f t="shared" si="1923"/>
        <v>0</v>
      </c>
      <c r="AP303">
        <f t="shared" si="1836"/>
        <v>0</v>
      </c>
      <c r="AQ303">
        <f t="shared" si="1837"/>
        <v>0</v>
      </c>
      <c r="AR303">
        <f t="shared" si="1838"/>
        <v>0</v>
      </c>
      <c r="AS303">
        <f t="shared" si="1839"/>
        <v>0</v>
      </c>
      <c r="AT303">
        <f t="shared" si="1840"/>
        <v>0</v>
      </c>
      <c r="AU303">
        <f t="shared" si="1841"/>
        <v>0</v>
      </c>
      <c r="AV303">
        <f t="shared" si="1842"/>
        <v>0</v>
      </c>
      <c r="AW303">
        <f t="shared" si="1843"/>
        <v>0</v>
      </c>
      <c r="AX303">
        <f t="shared" si="1844"/>
        <v>0</v>
      </c>
      <c r="AY303">
        <f t="shared" si="1845"/>
        <v>0</v>
      </c>
      <c r="AZ303">
        <f t="shared" si="1846"/>
        <v>0</v>
      </c>
      <c r="BA303">
        <f t="shared" si="1847"/>
        <v>0</v>
      </c>
      <c r="BB303">
        <f t="shared" si="1848"/>
        <v>0</v>
      </c>
      <c r="BC303">
        <f t="shared" si="1849"/>
        <v>0</v>
      </c>
      <c r="BD303">
        <f t="shared" si="1850"/>
        <v>0</v>
      </c>
      <c r="BE303">
        <f t="shared" si="1851"/>
        <v>0</v>
      </c>
      <c r="BF303">
        <f t="shared" si="1852"/>
        <v>0</v>
      </c>
      <c r="BG303">
        <f t="shared" si="1853"/>
        <v>0</v>
      </c>
      <c r="BH303">
        <f t="shared" si="1488"/>
        <v>0</v>
      </c>
      <c r="BI303">
        <f t="shared" si="1889"/>
        <v>0</v>
      </c>
      <c r="BJ303" s="8" t="str">
        <f>Hidden!$CC74</f>
        <v/>
      </c>
      <c r="BK303">
        <f t="shared" ref="BK303:BT303" si="1924">IF(BK$230,CP198,0)</f>
        <v>0</v>
      </c>
      <c r="BL303">
        <f t="shared" si="1924"/>
        <v>0</v>
      </c>
      <c r="BM303">
        <f t="shared" si="1924"/>
        <v>0</v>
      </c>
      <c r="BN303">
        <f t="shared" si="1924"/>
        <v>0</v>
      </c>
      <c r="BO303">
        <f t="shared" si="1924"/>
        <v>0</v>
      </c>
      <c r="BP303">
        <f t="shared" si="1924"/>
        <v>0</v>
      </c>
      <c r="BQ303">
        <f t="shared" si="1924"/>
        <v>0</v>
      </c>
      <c r="BR303">
        <f t="shared" si="1924"/>
        <v>0</v>
      </c>
      <c r="BS303">
        <f t="shared" si="1924"/>
        <v>0</v>
      </c>
      <c r="BT303">
        <f t="shared" si="1924"/>
        <v>0</v>
      </c>
      <c r="BU303">
        <f t="shared" ref="BU303:CD303" si="1925">IF(BU$230,CP198,0)</f>
        <v>0</v>
      </c>
      <c r="BV303">
        <f t="shared" si="1925"/>
        <v>0</v>
      </c>
      <c r="BW303">
        <f t="shared" si="1925"/>
        <v>0</v>
      </c>
      <c r="BX303">
        <f t="shared" si="1925"/>
        <v>0</v>
      </c>
      <c r="BY303">
        <f t="shared" si="1925"/>
        <v>0</v>
      </c>
      <c r="BZ303">
        <f t="shared" si="1925"/>
        <v>0</v>
      </c>
      <c r="CA303">
        <f t="shared" si="1925"/>
        <v>0</v>
      </c>
      <c r="CB303">
        <f t="shared" si="1925"/>
        <v>0</v>
      </c>
      <c r="CC303">
        <f t="shared" si="1925"/>
        <v>0</v>
      </c>
      <c r="CD303">
        <f t="shared" si="1925"/>
        <v>0</v>
      </c>
      <c r="CE303">
        <f t="shared" si="1856"/>
        <v>0</v>
      </c>
      <c r="CF303">
        <f t="shared" si="1857"/>
        <v>0</v>
      </c>
      <c r="CG303">
        <f t="shared" si="1858"/>
        <v>0</v>
      </c>
      <c r="CH303">
        <f t="shared" si="1859"/>
        <v>0</v>
      </c>
      <c r="CI303">
        <f t="shared" si="1860"/>
        <v>0</v>
      </c>
      <c r="CJ303">
        <f t="shared" si="1491"/>
        <v>0</v>
      </c>
      <c r="CK303">
        <f t="shared" si="1892"/>
        <v>0</v>
      </c>
      <c r="CL303">
        <f t="shared" si="1861"/>
        <v>0</v>
      </c>
      <c r="CM303">
        <f t="shared" si="1862"/>
        <v>0</v>
      </c>
      <c r="CN303">
        <f t="shared" si="1863"/>
        <v>0</v>
      </c>
      <c r="CO303">
        <f t="shared" ref="CO303:CX303" si="1926">IF(CO$230,CP198,0)</f>
        <v>0</v>
      </c>
      <c r="CP303">
        <f t="shared" si="1926"/>
        <v>0</v>
      </c>
      <c r="CQ303">
        <f t="shared" si="1926"/>
        <v>0</v>
      </c>
      <c r="CR303">
        <f t="shared" si="1926"/>
        <v>0</v>
      </c>
      <c r="CS303">
        <f t="shared" si="1926"/>
        <v>0</v>
      </c>
      <c r="CT303">
        <f t="shared" si="1926"/>
        <v>0</v>
      </c>
      <c r="CU303">
        <f t="shared" si="1926"/>
        <v>0</v>
      </c>
      <c r="CV303">
        <f t="shared" si="1926"/>
        <v>0</v>
      </c>
      <c r="CW303">
        <f t="shared" si="1926"/>
        <v>0</v>
      </c>
      <c r="CX303">
        <f t="shared" si="1926"/>
        <v>0</v>
      </c>
      <c r="CY303">
        <f t="shared" si="1865"/>
        <v>0</v>
      </c>
      <c r="CZ303">
        <f t="shared" si="1866"/>
        <v>0</v>
      </c>
      <c r="DA303">
        <f t="shared" si="1867"/>
        <v>0</v>
      </c>
      <c r="DB303">
        <f t="shared" si="1868"/>
        <v>0</v>
      </c>
      <c r="DC303">
        <f t="shared" si="1869"/>
        <v>0</v>
      </c>
      <c r="DD303">
        <f t="shared" si="1870"/>
        <v>0</v>
      </c>
      <c r="DE303">
        <f t="shared" si="1871"/>
        <v>0</v>
      </c>
      <c r="DF303">
        <f t="shared" si="1872"/>
        <v>0</v>
      </c>
      <c r="DG303">
        <f t="shared" si="1873"/>
        <v>0</v>
      </c>
      <c r="DH303">
        <f t="shared" si="1874"/>
        <v>0</v>
      </c>
      <c r="DI303">
        <f t="shared" si="1875"/>
        <v>0</v>
      </c>
      <c r="DJ303">
        <f t="shared" si="1876"/>
        <v>0</v>
      </c>
      <c r="DK303">
        <f t="shared" si="1877"/>
        <v>0</v>
      </c>
      <c r="DL303">
        <f t="shared" si="1878"/>
        <v>0</v>
      </c>
      <c r="DM303">
        <f t="shared" si="1879"/>
        <v>0</v>
      </c>
      <c r="DN303">
        <f t="shared" si="1880"/>
        <v>0</v>
      </c>
      <c r="DO303">
        <f t="shared" si="1881"/>
        <v>0</v>
      </c>
      <c r="DP303">
        <f t="shared" si="1882"/>
        <v>0</v>
      </c>
      <c r="DQ303">
        <f t="shared" si="1883"/>
        <v>0</v>
      </c>
      <c r="DR303">
        <f t="shared" si="1884"/>
        <v>0</v>
      </c>
      <c r="DT303" s="77"/>
      <c r="DU303" s="8" t="str">
        <f>Hidden!$CG86</f>
        <v/>
      </c>
      <c r="DV303">
        <f t="shared" si="1709"/>
        <v>0</v>
      </c>
      <c r="DW303">
        <f t="shared" si="1710"/>
        <v>0</v>
      </c>
      <c r="DX303">
        <f t="shared" si="1711"/>
        <v>0</v>
      </c>
      <c r="DY303">
        <f t="shared" si="1712"/>
        <v>0</v>
      </c>
      <c r="DZ303">
        <f t="shared" si="1713"/>
        <v>0</v>
      </c>
      <c r="EA303">
        <f t="shared" si="1714"/>
        <v>0</v>
      </c>
      <c r="EB303">
        <f t="shared" si="1715"/>
        <v>0</v>
      </c>
      <c r="EC303">
        <f t="shared" si="1716"/>
        <v>0</v>
      </c>
      <c r="ED303">
        <f t="shared" si="1717"/>
        <v>0</v>
      </c>
      <c r="EE303">
        <f t="shared" si="1718"/>
        <v>0</v>
      </c>
      <c r="EF303">
        <f t="shared" si="1719"/>
        <v>0</v>
      </c>
      <c r="EG303">
        <f t="shared" si="1720"/>
        <v>0</v>
      </c>
      <c r="EH303">
        <f t="shared" si="1721"/>
        <v>0</v>
      </c>
      <c r="EI303">
        <f t="shared" si="1722"/>
        <v>0</v>
      </c>
      <c r="EJ303">
        <f t="shared" si="1723"/>
        <v>0</v>
      </c>
      <c r="EK303">
        <f t="shared" si="1724"/>
        <v>0</v>
      </c>
      <c r="EL303">
        <f t="shared" si="1725"/>
        <v>0</v>
      </c>
      <c r="EM303">
        <f t="shared" si="1726"/>
        <v>0</v>
      </c>
      <c r="EN303">
        <f t="shared" si="1727"/>
        <v>0</v>
      </c>
      <c r="EO303">
        <f t="shared" si="1728"/>
        <v>0</v>
      </c>
      <c r="EP303">
        <f t="shared" si="1729"/>
        <v>0</v>
      </c>
      <c r="EQ303">
        <f t="shared" si="1730"/>
        <v>0</v>
      </c>
      <c r="ER303">
        <f t="shared" si="1912"/>
        <v>0</v>
      </c>
      <c r="ES303">
        <f t="shared" ref="ES303:ET303" si="1927">IF(ES$218,FC198,0)</f>
        <v>0</v>
      </c>
      <c r="ET303">
        <f t="shared" si="1927"/>
        <v>0</v>
      </c>
      <c r="EU303">
        <f t="shared" si="1732"/>
        <v>0</v>
      </c>
      <c r="EV303">
        <f t="shared" si="1913"/>
        <v>0</v>
      </c>
      <c r="EW303">
        <f t="shared" si="1757"/>
        <v>0</v>
      </c>
      <c r="EX303">
        <f t="shared" si="1733"/>
        <v>0</v>
      </c>
      <c r="EY303">
        <f t="shared" si="1734"/>
        <v>0</v>
      </c>
      <c r="EZ303">
        <f t="shared" ref="EZ303:FI303" si="1928">IF(EZ$218,EZ198,0)</f>
        <v>0</v>
      </c>
      <c r="FA303">
        <f t="shared" si="1928"/>
        <v>0</v>
      </c>
      <c r="FB303">
        <f t="shared" si="1928"/>
        <v>0</v>
      </c>
      <c r="FC303">
        <f t="shared" si="1928"/>
        <v>0</v>
      </c>
      <c r="FD303">
        <f t="shared" si="1928"/>
        <v>0</v>
      </c>
      <c r="FE303">
        <f t="shared" si="1928"/>
        <v>0</v>
      </c>
      <c r="FF303">
        <f t="shared" si="1928"/>
        <v>0</v>
      </c>
      <c r="FG303">
        <f t="shared" si="1928"/>
        <v>0</v>
      </c>
      <c r="FH303">
        <f t="shared" si="1928"/>
        <v>0</v>
      </c>
      <c r="FI303">
        <f t="shared" si="1928"/>
        <v>0</v>
      </c>
      <c r="FJ303">
        <f t="shared" si="1736"/>
        <v>0</v>
      </c>
      <c r="FK303">
        <f t="shared" si="1737"/>
        <v>0</v>
      </c>
      <c r="FL303">
        <f t="shared" si="1915"/>
        <v>0</v>
      </c>
      <c r="FM303">
        <f t="shared" si="1759"/>
        <v>0</v>
      </c>
      <c r="FN303">
        <f t="shared" si="1738"/>
        <v>0</v>
      </c>
      <c r="FO303">
        <f t="shared" si="1739"/>
        <v>0</v>
      </c>
      <c r="FP303">
        <f t="shared" si="1740"/>
        <v>0</v>
      </c>
      <c r="FQ303">
        <f t="shared" si="1741"/>
        <v>0</v>
      </c>
      <c r="FR303">
        <f t="shared" si="1742"/>
        <v>0</v>
      </c>
      <c r="FS303">
        <f t="shared" si="1743"/>
        <v>0</v>
      </c>
      <c r="FT303">
        <f t="shared" si="1744"/>
        <v>0</v>
      </c>
      <c r="FU303">
        <f t="shared" si="1745"/>
        <v>0</v>
      </c>
      <c r="FV303">
        <f t="shared" si="1746"/>
        <v>0</v>
      </c>
      <c r="FW303">
        <f t="shared" si="1747"/>
        <v>0</v>
      </c>
      <c r="FX303">
        <f t="shared" si="1916"/>
        <v>0</v>
      </c>
      <c r="FY303">
        <f t="shared" si="1760"/>
        <v>0</v>
      </c>
      <c r="FZ303">
        <f t="shared" si="1748"/>
        <v>0</v>
      </c>
      <c r="GA303">
        <f t="shared" si="1749"/>
        <v>0</v>
      </c>
      <c r="GB303">
        <f t="shared" si="1750"/>
        <v>0</v>
      </c>
      <c r="GC303">
        <f t="shared" si="1751"/>
        <v>0</v>
      </c>
    </row>
    <row r="304" spans="1:185" x14ac:dyDescent="0.2">
      <c r="A304" s="8" t="str">
        <f t="shared" si="1821"/>
        <v/>
      </c>
      <c r="B304" s="8">
        <f t="shared" si="1822"/>
        <v>0</v>
      </c>
      <c r="C304" s="8">
        <f t="shared" si="1823"/>
        <v>0</v>
      </c>
      <c r="D304" s="8">
        <f t="shared" si="1824"/>
        <v>0</v>
      </c>
      <c r="E304" s="8">
        <f t="shared" si="1486"/>
        <v>0</v>
      </c>
      <c r="F304" s="8">
        <f t="shared" si="1887"/>
        <v>0</v>
      </c>
      <c r="G304" s="8">
        <f t="shared" ref="G304:G331" si="1929">IF(G$230,AK199,0)</f>
        <v>0</v>
      </c>
      <c r="H304" s="8">
        <f t="shared" ref="H304:H331" si="1930">IF(H$230,AL199,0)</f>
        <v>0</v>
      </c>
      <c r="I304" s="8">
        <f t="shared" ref="I304:I331" si="1931">IF(I$230,AM199,0)</f>
        <v>0</v>
      </c>
      <c r="J304" s="8">
        <f t="shared" ref="J304:J331" si="1932">IF(J$230,AN199,0)</f>
        <v>0</v>
      </c>
      <c r="K304" s="8">
        <f t="shared" ref="K304:K331" si="1933">IF(K$230,AO199,0)</f>
        <v>0</v>
      </c>
      <c r="L304">
        <f t="shared" si="1825"/>
        <v>0</v>
      </c>
      <c r="M304">
        <f t="shared" si="1826"/>
        <v>0</v>
      </c>
      <c r="N304">
        <f t="shared" si="1827"/>
        <v>0</v>
      </c>
      <c r="O304">
        <f t="shared" si="1828"/>
        <v>0</v>
      </c>
      <c r="P304">
        <f t="shared" si="1829"/>
        <v>0</v>
      </c>
      <c r="Q304">
        <f t="shared" si="1830"/>
        <v>0</v>
      </c>
      <c r="R304">
        <f t="shared" si="1831"/>
        <v>0</v>
      </c>
      <c r="S304">
        <f t="shared" si="1832"/>
        <v>0</v>
      </c>
      <c r="T304">
        <f t="shared" si="1833"/>
        <v>0</v>
      </c>
      <c r="U304">
        <f t="shared" si="1834"/>
        <v>0</v>
      </c>
      <c r="V304">
        <f>IF(V$230,LandEmiss!AF199,0)</f>
        <v>0</v>
      </c>
      <c r="W304">
        <f>IF(W$230,LandEmiss!AG199,0)</f>
        <v>0</v>
      </c>
      <c r="X304">
        <f>IF(X$230,LandEmiss!AH199,0)</f>
        <v>0</v>
      </c>
      <c r="Y304">
        <f>IF(Y$230,LandEmiss!AI199,0)</f>
        <v>0</v>
      </c>
      <c r="Z304">
        <f>IF(Z$230,LandEmiss!AJ199,0)</f>
        <v>0</v>
      </c>
      <c r="AA304">
        <f>IF(AA$230,LandEmiss!AK199,0)</f>
        <v>0</v>
      </c>
      <c r="AB304">
        <f>IF(AB$230,LandEmiss!AL199,0)</f>
        <v>0</v>
      </c>
      <c r="AC304">
        <f>IF(AC$230,LandEmiss!AM199,0)</f>
        <v>0</v>
      </c>
      <c r="AD304">
        <f>IF(AD$230,LandEmiss!AN199,0)</f>
        <v>0</v>
      </c>
      <c r="AE304">
        <f>IF(AE$230,LandEmiss!AO199,0)</f>
        <v>0</v>
      </c>
      <c r="AF304">
        <f t="shared" ref="AF304:AO304" si="1934">IF(AF$230,AF199,0)</f>
        <v>0</v>
      </c>
      <c r="AG304">
        <f t="shared" si="1934"/>
        <v>0</v>
      </c>
      <c r="AH304">
        <f t="shared" si="1934"/>
        <v>0</v>
      </c>
      <c r="AI304">
        <f t="shared" si="1934"/>
        <v>0</v>
      </c>
      <c r="AJ304">
        <f t="shared" si="1934"/>
        <v>0</v>
      </c>
      <c r="AK304">
        <f t="shared" si="1934"/>
        <v>0</v>
      </c>
      <c r="AL304">
        <f t="shared" si="1934"/>
        <v>0</v>
      </c>
      <c r="AM304">
        <f t="shared" si="1934"/>
        <v>0</v>
      </c>
      <c r="AN304">
        <f t="shared" si="1934"/>
        <v>0</v>
      </c>
      <c r="AO304">
        <f t="shared" si="1934"/>
        <v>0</v>
      </c>
      <c r="AP304">
        <f t="shared" si="1836"/>
        <v>0</v>
      </c>
      <c r="AQ304">
        <f t="shared" si="1837"/>
        <v>0</v>
      </c>
      <c r="AR304">
        <f t="shared" si="1838"/>
        <v>0</v>
      </c>
      <c r="AS304">
        <f t="shared" si="1839"/>
        <v>0</v>
      </c>
      <c r="AT304">
        <f t="shared" si="1840"/>
        <v>0</v>
      </c>
      <c r="AU304">
        <f t="shared" si="1841"/>
        <v>0</v>
      </c>
      <c r="AV304">
        <f t="shared" si="1842"/>
        <v>0</v>
      </c>
      <c r="AW304">
        <f t="shared" si="1843"/>
        <v>0</v>
      </c>
      <c r="AX304">
        <f t="shared" si="1844"/>
        <v>0</v>
      </c>
      <c r="AY304">
        <f t="shared" si="1845"/>
        <v>0</v>
      </c>
      <c r="AZ304">
        <f t="shared" si="1846"/>
        <v>0</v>
      </c>
      <c r="BA304">
        <f t="shared" si="1847"/>
        <v>0</v>
      </c>
      <c r="BB304">
        <f t="shared" si="1848"/>
        <v>0</v>
      </c>
      <c r="BC304">
        <f t="shared" si="1849"/>
        <v>0</v>
      </c>
      <c r="BD304">
        <f t="shared" si="1850"/>
        <v>0</v>
      </c>
      <c r="BE304">
        <f t="shared" si="1851"/>
        <v>0</v>
      </c>
      <c r="BF304">
        <f t="shared" si="1852"/>
        <v>0</v>
      </c>
      <c r="BG304">
        <f t="shared" si="1853"/>
        <v>0</v>
      </c>
      <c r="BH304">
        <f t="shared" si="1488"/>
        <v>0</v>
      </c>
      <c r="BI304">
        <f t="shared" si="1889"/>
        <v>0</v>
      </c>
      <c r="BJ304" s="8" t="str">
        <f>Hidden!$CC75</f>
        <v/>
      </c>
      <c r="BK304">
        <f t="shared" ref="BK304:BT304" si="1935">IF(BK$230,CP199,0)</f>
        <v>0</v>
      </c>
      <c r="BL304">
        <f t="shared" si="1935"/>
        <v>0</v>
      </c>
      <c r="BM304">
        <f t="shared" si="1935"/>
        <v>0</v>
      </c>
      <c r="BN304">
        <f t="shared" si="1935"/>
        <v>0</v>
      </c>
      <c r="BO304">
        <f t="shared" si="1935"/>
        <v>0</v>
      </c>
      <c r="BP304">
        <f t="shared" si="1935"/>
        <v>0</v>
      </c>
      <c r="BQ304">
        <f t="shared" si="1935"/>
        <v>0</v>
      </c>
      <c r="BR304">
        <f t="shared" si="1935"/>
        <v>0</v>
      </c>
      <c r="BS304">
        <f t="shared" si="1935"/>
        <v>0</v>
      </c>
      <c r="BT304">
        <f t="shared" si="1935"/>
        <v>0</v>
      </c>
      <c r="BU304">
        <f t="shared" ref="BU304:CD304" si="1936">IF(BU$230,CP199,0)</f>
        <v>0</v>
      </c>
      <c r="BV304">
        <f t="shared" si="1936"/>
        <v>0</v>
      </c>
      <c r="BW304">
        <f t="shared" si="1936"/>
        <v>0</v>
      </c>
      <c r="BX304">
        <f t="shared" si="1936"/>
        <v>0</v>
      </c>
      <c r="BY304">
        <f t="shared" si="1936"/>
        <v>0</v>
      </c>
      <c r="BZ304">
        <f t="shared" si="1936"/>
        <v>0</v>
      </c>
      <c r="CA304">
        <f t="shared" si="1936"/>
        <v>0</v>
      </c>
      <c r="CB304">
        <f t="shared" si="1936"/>
        <v>0</v>
      </c>
      <c r="CC304">
        <f t="shared" si="1936"/>
        <v>0</v>
      </c>
      <c r="CD304">
        <f t="shared" si="1936"/>
        <v>0</v>
      </c>
      <c r="CE304">
        <f t="shared" si="1856"/>
        <v>0</v>
      </c>
      <c r="CF304">
        <f t="shared" si="1857"/>
        <v>0</v>
      </c>
      <c r="CG304">
        <f t="shared" si="1858"/>
        <v>0</v>
      </c>
      <c r="CH304">
        <f t="shared" si="1859"/>
        <v>0</v>
      </c>
      <c r="CI304">
        <f t="shared" si="1860"/>
        <v>0</v>
      </c>
      <c r="CJ304">
        <f t="shared" si="1491"/>
        <v>0</v>
      </c>
      <c r="CK304">
        <f t="shared" si="1892"/>
        <v>0</v>
      </c>
      <c r="CL304">
        <f t="shared" si="1861"/>
        <v>0</v>
      </c>
      <c r="CM304">
        <f t="shared" si="1862"/>
        <v>0</v>
      </c>
      <c r="CN304">
        <f t="shared" si="1863"/>
        <v>0</v>
      </c>
      <c r="CO304">
        <f t="shared" ref="CO304:CX304" si="1937">IF(CO$230,CP199,0)</f>
        <v>0</v>
      </c>
      <c r="CP304">
        <f t="shared" si="1937"/>
        <v>0</v>
      </c>
      <c r="CQ304">
        <f t="shared" si="1937"/>
        <v>0</v>
      </c>
      <c r="CR304">
        <f t="shared" si="1937"/>
        <v>0</v>
      </c>
      <c r="CS304">
        <f t="shared" si="1937"/>
        <v>0</v>
      </c>
      <c r="CT304">
        <f t="shared" si="1937"/>
        <v>0</v>
      </c>
      <c r="CU304">
        <f t="shared" si="1937"/>
        <v>0</v>
      </c>
      <c r="CV304">
        <f t="shared" si="1937"/>
        <v>0</v>
      </c>
      <c r="CW304">
        <f t="shared" si="1937"/>
        <v>0</v>
      </c>
      <c r="CX304">
        <f t="shared" si="1937"/>
        <v>0</v>
      </c>
      <c r="CY304">
        <f t="shared" si="1865"/>
        <v>0</v>
      </c>
      <c r="CZ304">
        <f t="shared" si="1866"/>
        <v>0</v>
      </c>
      <c r="DA304">
        <f t="shared" si="1867"/>
        <v>0</v>
      </c>
      <c r="DB304">
        <f t="shared" si="1868"/>
        <v>0</v>
      </c>
      <c r="DC304">
        <f t="shared" si="1869"/>
        <v>0</v>
      </c>
      <c r="DD304">
        <f t="shared" si="1870"/>
        <v>0</v>
      </c>
      <c r="DE304">
        <f t="shared" si="1871"/>
        <v>0</v>
      </c>
      <c r="DF304">
        <f t="shared" si="1872"/>
        <v>0</v>
      </c>
      <c r="DG304">
        <f t="shared" si="1873"/>
        <v>0</v>
      </c>
      <c r="DH304">
        <f t="shared" si="1874"/>
        <v>0</v>
      </c>
      <c r="DI304">
        <f t="shared" si="1875"/>
        <v>0</v>
      </c>
      <c r="DJ304">
        <f t="shared" si="1876"/>
        <v>0</v>
      </c>
      <c r="DK304">
        <f t="shared" si="1877"/>
        <v>0</v>
      </c>
      <c r="DL304">
        <f t="shared" si="1878"/>
        <v>0</v>
      </c>
      <c r="DM304">
        <f t="shared" si="1879"/>
        <v>0</v>
      </c>
      <c r="DN304">
        <f t="shared" si="1880"/>
        <v>0</v>
      </c>
      <c r="DO304">
        <f t="shared" si="1881"/>
        <v>0</v>
      </c>
      <c r="DP304">
        <f t="shared" si="1882"/>
        <v>0</v>
      </c>
      <c r="DQ304">
        <f t="shared" si="1883"/>
        <v>0</v>
      </c>
      <c r="DR304">
        <f t="shared" si="1884"/>
        <v>0</v>
      </c>
      <c r="DT304" s="77"/>
      <c r="DU304" s="8" t="str">
        <f>Hidden!$CG87</f>
        <v/>
      </c>
      <c r="DV304">
        <f t="shared" si="1709"/>
        <v>0</v>
      </c>
      <c r="DW304">
        <f t="shared" si="1710"/>
        <v>0</v>
      </c>
      <c r="DX304">
        <f t="shared" si="1711"/>
        <v>0</v>
      </c>
      <c r="DY304">
        <f t="shared" si="1712"/>
        <v>0</v>
      </c>
      <c r="DZ304">
        <f t="shared" si="1713"/>
        <v>0</v>
      </c>
      <c r="EA304">
        <f t="shared" si="1714"/>
        <v>0</v>
      </c>
      <c r="EB304">
        <f t="shared" si="1715"/>
        <v>0</v>
      </c>
      <c r="EC304">
        <f t="shared" si="1716"/>
        <v>0</v>
      </c>
      <c r="ED304">
        <f t="shared" si="1717"/>
        <v>0</v>
      </c>
      <c r="EE304">
        <f t="shared" si="1718"/>
        <v>0</v>
      </c>
      <c r="EF304">
        <f t="shared" si="1719"/>
        <v>0</v>
      </c>
      <c r="EG304">
        <f t="shared" si="1720"/>
        <v>0</v>
      </c>
      <c r="EH304">
        <f t="shared" si="1721"/>
        <v>0</v>
      </c>
      <c r="EI304">
        <f t="shared" si="1722"/>
        <v>0</v>
      </c>
      <c r="EJ304">
        <f t="shared" si="1723"/>
        <v>0</v>
      </c>
      <c r="EK304">
        <f t="shared" si="1724"/>
        <v>0</v>
      </c>
      <c r="EL304">
        <f t="shared" si="1725"/>
        <v>0</v>
      </c>
      <c r="EM304">
        <f t="shared" si="1726"/>
        <v>0</v>
      </c>
      <c r="EN304">
        <f t="shared" si="1727"/>
        <v>0</v>
      </c>
      <c r="EO304">
        <f t="shared" si="1728"/>
        <v>0</v>
      </c>
      <c r="EP304">
        <f t="shared" si="1729"/>
        <v>0</v>
      </c>
      <c r="EQ304">
        <f t="shared" si="1730"/>
        <v>0</v>
      </c>
      <c r="ER304">
        <f t="shared" si="1912"/>
        <v>0</v>
      </c>
      <c r="ES304">
        <f t="shared" ref="ES304:ET304" si="1938">IF(ES$218,FC199,0)</f>
        <v>0</v>
      </c>
      <c r="ET304">
        <f t="shared" si="1938"/>
        <v>0</v>
      </c>
      <c r="EU304">
        <f t="shared" si="1732"/>
        <v>0</v>
      </c>
      <c r="EV304">
        <f t="shared" si="1913"/>
        <v>0</v>
      </c>
      <c r="EW304">
        <f t="shared" si="1757"/>
        <v>0</v>
      </c>
      <c r="EX304">
        <f t="shared" si="1733"/>
        <v>0</v>
      </c>
      <c r="EY304">
        <f t="shared" si="1734"/>
        <v>0</v>
      </c>
      <c r="EZ304">
        <f t="shared" ref="EZ304:FI304" si="1939">IF(EZ$218,EZ199,0)</f>
        <v>0</v>
      </c>
      <c r="FA304">
        <f t="shared" si="1939"/>
        <v>0</v>
      </c>
      <c r="FB304">
        <f t="shared" si="1939"/>
        <v>0</v>
      </c>
      <c r="FC304">
        <f t="shared" si="1939"/>
        <v>0</v>
      </c>
      <c r="FD304">
        <f t="shared" si="1939"/>
        <v>0</v>
      </c>
      <c r="FE304">
        <f t="shared" si="1939"/>
        <v>0</v>
      </c>
      <c r="FF304">
        <f t="shared" si="1939"/>
        <v>0</v>
      </c>
      <c r="FG304">
        <f t="shared" si="1939"/>
        <v>0</v>
      </c>
      <c r="FH304">
        <f t="shared" si="1939"/>
        <v>0</v>
      </c>
      <c r="FI304">
        <f t="shared" si="1939"/>
        <v>0</v>
      </c>
      <c r="FJ304">
        <f t="shared" si="1736"/>
        <v>0</v>
      </c>
      <c r="FK304">
        <f t="shared" si="1737"/>
        <v>0</v>
      </c>
      <c r="FL304">
        <f t="shared" si="1915"/>
        <v>0</v>
      </c>
      <c r="FM304">
        <f t="shared" si="1759"/>
        <v>0</v>
      </c>
      <c r="FN304">
        <f t="shared" si="1738"/>
        <v>0</v>
      </c>
      <c r="FO304">
        <f t="shared" si="1739"/>
        <v>0</v>
      </c>
      <c r="FP304">
        <f t="shared" si="1740"/>
        <v>0</v>
      </c>
      <c r="FQ304">
        <f t="shared" si="1741"/>
        <v>0</v>
      </c>
      <c r="FR304">
        <f t="shared" si="1742"/>
        <v>0</v>
      </c>
      <c r="FS304">
        <f t="shared" si="1743"/>
        <v>0</v>
      </c>
      <c r="FT304">
        <f t="shared" si="1744"/>
        <v>0</v>
      </c>
      <c r="FU304">
        <f t="shared" si="1745"/>
        <v>0</v>
      </c>
      <c r="FV304">
        <f t="shared" si="1746"/>
        <v>0</v>
      </c>
      <c r="FW304">
        <f t="shared" si="1747"/>
        <v>0</v>
      </c>
      <c r="FX304">
        <f t="shared" si="1916"/>
        <v>0</v>
      </c>
      <c r="FY304">
        <f t="shared" si="1760"/>
        <v>0</v>
      </c>
      <c r="FZ304">
        <f t="shared" si="1748"/>
        <v>0</v>
      </c>
      <c r="GA304">
        <f t="shared" si="1749"/>
        <v>0</v>
      </c>
      <c r="GB304">
        <f t="shared" si="1750"/>
        <v>0</v>
      </c>
      <c r="GC304">
        <f t="shared" si="1751"/>
        <v>0</v>
      </c>
    </row>
    <row r="305" spans="1:187" x14ac:dyDescent="0.2">
      <c r="A305" s="8" t="str">
        <f t="shared" si="1821"/>
        <v/>
      </c>
      <c r="B305" s="8">
        <f t="shared" si="1822"/>
        <v>0</v>
      </c>
      <c r="C305" s="8">
        <f t="shared" si="1823"/>
        <v>0</v>
      </c>
      <c r="D305" s="8">
        <f t="shared" si="1824"/>
        <v>0</v>
      </c>
      <c r="E305" s="8">
        <f t="shared" si="1486"/>
        <v>0</v>
      </c>
      <c r="F305" s="8">
        <f t="shared" si="1887"/>
        <v>0</v>
      </c>
      <c r="G305" s="8">
        <f t="shared" si="1929"/>
        <v>0</v>
      </c>
      <c r="H305" s="8">
        <f t="shared" si="1930"/>
        <v>0</v>
      </c>
      <c r="I305" s="8">
        <f t="shared" si="1931"/>
        <v>0</v>
      </c>
      <c r="J305" s="8">
        <f t="shared" si="1932"/>
        <v>0</v>
      </c>
      <c r="K305" s="8">
        <f t="shared" si="1933"/>
        <v>0</v>
      </c>
      <c r="L305">
        <f t="shared" si="1825"/>
        <v>0</v>
      </c>
      <c r="M305">
        <f t="shared" si="1826"/>
        <v>0</v>
      </c>
      <c r="N305">
        <f t="shared" si="1827"/>
        <v>0</v>
      </c>
      <c r="O305">
        <f t="shared" si="1828"/>
        <v>0</v>
      </c>
      <c r="P305">
        <f t="shared" si="1829"/>
        <v>0</v>
      </c>
      <c r="Q305">
        <f t="shared" si="1830"/>
        <v>0</v>
      </c>
      <c r="R305">
        <f t="shared" si="1831"/>
        <v>0</v>
      </c>
      <c r="S305">
        <f t="shared" si="1832"/>
        <v>0</v>
      </c>
      <c r="T305">
        <f t="shared" si="1833"/>
        <v>0</v>
      </c>
      <c r="U305">
        <f t="shared" si="1834"/>
        <v>0</v>
      </c>
      <c r="V305">
        <f>IF(V$230,LandEmiss!AF200,0)</f>
        <v>0</v>
      </c>
      <c r="W305">
        <f>IF(W$230,LandEmiss!AG200,0)</f>
        <v>0</v>
      </c>
      <c r="X305">
        <f>IF(X$230,LandEmiss!AH200,0)</f>
        <v>0</v>
      </c>
      <c r="Y305">
        <f>IF(Y$230,LandEmiss!AI200,0)</f>
        <v>0</v>
      </c>
      <c r="Z305">
        <f>IF(Z$230,LandEmiss!AJ200,0)</f>
        <v>0</v>
      </c>
      <c r="AA305">
        <f>IF(AA$230,LandEmiss!AK200,0)</f>
        <v>0</v>
      </c>
      <c r="AB305">
        <f>IF(AB$230,LandEmiss!AL200,0)</f>
        <v>0</v>
      </c>
      <c r="AC305">
        <f>IF(AC$230,LandEmiss!AM200,0)</f>
        <v>0</v>
      </c>
      <c r="AD305">
        <f>IF(AD$230,LandEmiss!AN200,0)</f>
        <v>0</v>
      </c>
      <c r="AE305">
        <f>IF(AE$230,LandEmiss!AO200,0)</f>
        <v>0</v>
      </c>
      <c r="AF305">
        <f t="shared" ref="AF305:AO305" si="1940">IF(AF$230,AF200,0)</f>
        <v>0</v>
      </c>
      <c r="AG305">
        <f t="shared" si="1940"/>
        <v>0</v>
      </c>
      <c r="AH305">
        <f t="shared" si="1940"/>
        <v>0</v>
      </c>
      <c r="AI305">
        <f t="shared" si="1940"/>
        <v>0</v>
      </c>
      <c r="AJ305">
        <f t="shared" si="1940"/>
        <v>0</v>
      </c>
      <c r="AK305">
        <f t="shared" si="1940"/>
        <v>0</v>
      </c>
      <c r="AL305">
        <f t="shared" si="1940"/>
        <v>0</v>
      </c>
      <c r="AM305">
        <f t="shared" si="1940"/>
        <v>0</v>
      </c>
      <c r="AN305">
        <f t="shared" si="1940"/>
        <v>0</v>
      </c>
      <c r="AO305">
        <f t="shared" si="1940"/>
        <v>0</v>
      </c>
      <c r="AP305">
        <f t="shared" si="1836"/>
        <v>0</v>
      </c>
      <c r="AQ305">
        <f t="shared" si="1837"/>
        <v>0</v>
      </c>
      <c r="AR305">
        <f t="shared" si="1838"/>
        <v>0</v>
      </c>
      <c r="AS305">
        <f t="shared" si="1839"/>
        <v>0</v>
      </c>
      <c r="AT305">
        <f t="shared" si="1840"/>
        <v>0</v>
      </c>
      <c r="AU305">
        <f t="shared" si="1841"/>
        <v>0</v>
      </c>
      <c r="AV305">
        <f t="shared" si="1842"/>
        <v>0</v>
      </c>
      <c r="AW305">
        <f t="shared" si="1843"/>
        <v>0</v>
      </c>
      <c r="AX305">
        <f t="shared" si="1844"/>
        <v>0</v>
      </c>
      <c r="AY305">
        <f t="shared" si="1845"/>
        <v>0</v>
      </c>
      <c r="AZ305">
        <f t="shared" si="1846"/>
        <v>0</v>
      </c>
      <c r="BA305">
        <f t="shared" si="1847"/>
        <v>0</v>
      </c>
      <c r="BB305">
        <f t="shared" si="1848"/>
        <v>0</v>
      </c>
      <c r="BC305">
        <f t="shared" si="1849"/>
        <v>0</v>
      </c>
      <c r="BD305">
        <f t="shared" si="1850"/>
        <v>0</v>
      </c>
      <c r="BE305">
        <f t="shared" si="1851"/>
        <v>0</v>
      </c>
      <c r="BF305">
        <f t="shared" si="1852"/>
        <v>0</v>
      </c>
      <c r="BG305">
        <f t="shared" si="1853"/>
        <v>0</v>
      </c>
      <c r="BH305">
        <f t="shared" si="1488"/>
        <v>0</v>
      </c>
      <c r="BI305">
        <f t="shared" si="1889"/>
        <v>0</v>
      </c>
      <c r="BJ305" s="8" t="str">
        <f>Hidden!$CC76</f>
        <v/>
      </c>
      <c r="BK305">
        <f t="shared" ref="BK305:BT305" si="1941">IF(BK$230,CP200,0)</f>
        <v>0</v>
      </c>
      <c r="BL305">
        <f t="shared" si="1941"/>
        <v>0</v>
      </c>
      <c r="BM305">
        <f t="shared" si="1941"/>
        <v>0</v>
      </c>
      <c r="BN305">
        <f t="shared" si="1941"/>
        <v>0</v>
      </c>
      <c r="BO305">
        <f t="shared" si="1941"/>
        <v>0</v>
      </c>
      <c r="BP305">
        <f t="shared" si="1941"/>
        <v>0</v>
      </c>
      <c r="BQ305">
        <f t="shared" si="1941"/>
        <v>0</v>
      </c>
      <c r="BR305">
        <f t="shared" si="1941"/>
        <v>0</v>
      </c>
      <c r="BS305">
        <f t="shared" si="1941"/>
        <v>0</v>
      </c>
      <c r="BT305">
        <f t="shared" si="1941"/>
        <v>0</v>
      </c>
      <c r="BU305">
        <f t="shared" ref="BU305:CD305" si="1942">IF(BU$230,CP200,0)</f>
        <v>0</v>
      </c>
      <c r="BV305">
        <f t="shared" si="1942"/>
        <v>0</v>
      </c>
      <c r="BW305">
        <f t="shared" si="1942"/>
        <v>0</v>
      </c>
      <c r="BX305">
        <f t="shared" si="1942"/>
        <v>0</v>
      </c>
      <c r="BY305">
        <f t="shared" si="1942"/>
        <v>0</v>
      </c>
      <c r="BZ305">
        <f t="shared" si="1942"/>
        <v>0</v>
      </c>
      <c r="CA305">
        <f t="shared" si="1942"/>
        <v>0</v>
      </c>
      <c r="CB305">
        <f t="shared" si="1942"/>
        <v>0</v>
      </c>
      <c r="CC305">
        <f t="shared" si="1942"/>
        <v>0</v>
      </c>
      <c r="CD305">
        <f t="shared" si="1942"/>
        <v>0</v>
      </c>
      <c r="CE305">
        <f t="shared" si="1856"/>
        <v>0</v>
      </c>
      <c r="CF305">
        <f t="shared" si="1857"/>
        <v>0</v>
      </c>
      <c r="CG305">
        <f t="shared" si="1858"/>
        <v>0</v>
      </c>
      <c r="CH305">
        <f t="shared" si="1859"/>
        <v>0</v>
      </c>
      <c r="CI305">
        <f t="shared" si="1860"/>
        <v>0</v>
      </c>
      <c r="CJ305">
        <f t="shared" si="1491"/>
        <v>0</v>
      </c>
      <c r="CK305">
        <f t="shared" si="1892"/>
        <v>0</v>
      </c>
      <c r="CL305">
        <f t="shared" si="1861"/>
        <v>0</v>
      </c>
      <c r="CM305">
        <f t="shared" si="1862"/>
        <v>0</v>
      </c>
      <c r="CN305">
        <f t="shared" si="1863"/>
        <v>0</v>
      </c>
      <c r="CO305">
        <f t="shared" ref="CO305:CX305" si="1943">IF(CO$230,CP200,0)</f>
        <v>0</v>
      </c>
      <c r="CP305">
        <f t="shared" si="1943"/>
        <v>0</v>
      </c>
      <c r="CQ305">
        <f t="shared" si="1943"/>
        <v>0</v>
      </c>
      <c r="CR305">
        <f t="shared" si="1943"/>
        <v>0</v>
      </c>
      <c r="CS305">
        <f t="shared" si="1943"/>
        <v>0</v>
      </c>
      <c r="CT305">
        <f t="shared" si="1943"/>
        <v>0</v>
      </c>
      <c r="CU305">
        <f t="shared" si="1943"/>
        <v>0</v>
      </c>
      <c r="CV305">
        <f t="shared" si="1943"/>
        <v>0</v>
      </c>
      <c r="CW305">
        <f t="shared" si="1943"/>
        <v>0</v>
      </c>
      <c r="CX305">
        <f t="shared" si="1943"/>
        <v>0</v>
      </c>
      <c r="CY305">
        <f t="shared" si="1865"/>
        <v>0</v>
      </c>
      <c r="CZ305">
        <f t="shared" si="1866"/>
        <v>0</v>
      </c>
      <c r="DA305">
        <f t="shared" si="1867"/>
        <v>0</v>
      </c>
      <c r="DB305">
        <f t="shared" si="1868"/>
        <v>0</v>
      </c>
      <c r="DC305">
        <f t="shared" si="1869"/>
        <v>0</v>
      </c>
      <c r="DD305">
        <f t="shared" si="1870"/>
        <v>0</v>
      </c>
      <c r="DE305">
        <f t="shared" si="1871"/>
        <v>0</v>
      </c>
      <c r="DF305">
        <f t="shared" si="1872"/>
        <v>0</v>
      </c>
      <c r="DG305">
        <f t="shared" si="1873"/>
        <v>0</v>
      </c>
      <c r="DH305">
        <f t="shared" si="1874"/>
        <v>0</v>
      </c>
      <c r="DI305">
        <f t="shared" si="1875"/>
        <v>0</v>
      </c>
      <c r="DJ305">
        <f t="shared" si="1876"/>
        <v>0</v>
      </c>
      <c r="DK305">
        <f t="shared" si="1877"/>
        <v>0</v>
      </c>
      <c r="DL305">
        <f t="shared" si="1878"/>
        <v>0</v>
      </c>
      <c r="DM305">
        <f t="shared" si="1879"/>
        <v>0</v>
      </c>
      <c r="DN305">
        <f t="shared" si="1880"/>
        <v>0</v>
      </c>
      <c r="DO305">
        <f t="shared" si="1881"/>
        <v>0</v>
      </c>
      <c r="DP305">
        <f t="shared" si="1882"/>
        <v>0</v>
      </c>
      <c r="DQ305">
        <f t="shared" si="1883"/>
        <v>0</v>
      </c>
      <c r="DR305">
        <f t="shared" si="1884"/>
        <v>0</v>
      </c>
      <c r="DT305" s="77"/>
      <c r="DU305" s="8" t="str">
        <f>Hidden!$CG88</f>
        <v/>
      </c>
      <c r="DV305">
        <f t="shared" si="1709"/>
        <v>0</v>
      </c>
      <c r="DW305">
        <f t="shared" si="1710"/>
        <v>0</v>
      </c>
      <c r="DX305">
        <f t="shared" si="1711"/>
        <v>0</v>
      </c>
      <c r="DY305">
        <f t="shared" si="1712"/>
        <v>0</v>
      </c>
      <c r="DZ305">
        <f t="shared" si="1713"/>
        <v>0</v>
      </c>
      <c r="EA305">
        <f t="shared" si="1714"/>
        <v>0</v>
      </c>
      <c r="EB305">
        <f t="shared" si="1715"/>
        <v>0</v>
      </c>
      <c r="EC305">
        <f t="shared" si="1716"/>
        <v>0</v>
      </c>
      <c r="ED305">
        <f t="shared" si="1717"/>
        <v>0</v>
      </c>
      <c r="EE305">
        <f t="shared" si="1718"/>
        <v>0</v>
      </c>
      <c r="EF305">
        <f t="shared" si="1719"/>
        <v>0</v>
      </c>
      <c r="EG305">
        <f t="shared" si="1720"/>
        <v>0</v>
      </c>
      <c r="EH305">
        <f t="shared" si="1721"/>
        <v>0</v>
      </c>
      <c r="EI305">
        <f t="shared" si="1722"/>
        <v>0</v>
      </c>
      <c r="EJ305">
        <f t="shared" si="1723"/>
        <v>0</v>
      </c>
      <c r="EK305">
        <f t="shared" si="1724"/>
        <v>0</v>
      </c>
      <c r="EL305">
        <f t="shared" si="1725"/>
        <v>0</v>
      </c>
      <c r="EM305">
        <f t="shared" si="1726"/>
        <v>0</v>
      </c>
      <c r="EN305">
        <f t="shared" si="1727"/>
        <v>0</v>
      </c>
      <c r="EO305">
        <f t="shared" si="1728"/>
        <v>0</v>
      </c>
      <c r="EP305">
        <f t="shared" si="1729"/>
        <v>0</v>
      </c>
      <c r="EQ305">
        <f t="shared" si="1730"/>
        <v>0</v>
      </c>
      <c r="ER305">
        <f t="shared" si="1912"/>
        <v>0</v>
      </c>
      <c r="ES305">
        <f t="shared" ref="ES305:ET305" si="1944">IF(ES$218,FC200,0)</f>
        <v>0</v>
      </c>
      <c r="ET305">
        <f t="shared" si="1944"/>
        <v>0</v>
      </c>
      <c r="EU305">
        <f t="shared" si="1732"/>
        <v>0</v>
      </c>
      <c r="EV305">
        <f t="shared" si="1913"/>
        <v>0</v>
      </c>
      <c r="EW305">
        <f t="shared" si="1757"/>
        <v>0</v>
      </c>
      <c r="EX305">
        <f t="shared" si="1733"/>
        <v>0</v>
      </c>
      <c r="EY305">
        <f t="shared" si="1734"/>
        <v>0</v>
      </c>
      <c r="EZ305">
        <f t="shared" ref="EZ305:FI305" si="1945">IF(EZ$218,EZ200,0)</f>
        <v>0</v>
      </c>
      <c r="FA305">
        <f t="shared" si="1945"/>
        <v>0</v>
      </c>
      <c r="FB305">
        <f t="shared" si="1945"/>
        <v>0</v>
      </c>
      <c r="FC305">
        <f t="shared" si="1945"/>
        <v>0</v>
      </c>
      <c r="FD305">
        <f t="shared" si="1945"/>
        <v>0</v>
      </c>
      <c r="FE305">
        <f t="shared" si="1945"/>
        <v>0</v>
      </c>
      <c r="FF305">
        <f t="shared" si="1945"/>
        <v>0</v>
      </c>
      <c r="FG305">
        <f t="shared" si="1945"/>
        <v>0</v>
      </c>
      <c r="FH305">
        <f t="shared" si="1945"/>
        <v>0</v>
      </c>
      <c r="FI305">
        <f t="shared" si="1945"/>
        <v>0</v>
      </c>
      <c r="FJ305">
        <f t="shared" si="1736"/>
        <v>0</v>
      </c>
      <c r="FK305">
        <f t="shared" si="1737"/>
        <v>0</v>
      </c>
      <c r="FL305">
        <f t="shared" si="1915"/>
        <v>0</v>
      </c>
      <c r="FM305">
        <f t="shared" si="1759"/>
        <v>0</v>
      </c>
      <c r="FN305">
        <f t="shared" si="1738"/>
        <v>0</v>
      </c>
      <c r="FO305">
        <f t="shared" si="1739"/>
        <v>0</v>
      </c>
      <c r="FP305">
        <f t="shared" si="1740"/>
        <v>0</v>
      </c>
      <c r="FQ305">
        <f t="shared" si="1741"/>
        <v>0</v>
      </c>
      <c r="FR305">
        <f t="shared" si="1742"/>
        <v>0</v>
      </c>
      <c r="FS305">
        <f t="shared" si="1743"/>
        <v>0</v>
      </c>
      <c r="FT305">
        <f t="shared" si="1744"/>
        <v>0</v>
      </c>
      <c r="FU305">
        <f t="shared" si="1745"/>
        <v>0</v>
      </c>
      <c r="FV305">
        <f t="shared" si="1746"/>
        <v>0</v>
      </c>
      <c r="FW305">
        <f t="shared" si="1747"/>
        <v>0</v>
      </c>
      <c r="FX305">
        <f t="shared" si="1916"/>
        <v>0</v>
      </c>
      <c r="FY305">
        <f t="shared" si="1760"/>
        <v>0</v>
      </c>
      <c r="FZ305">
        <f t="shared" si="1748"/>
        <v>0</v>
      </c>
      <c r="GA305">
        <f t="shared" si="1749"/>
        <v>0</v>
      </c>
      <c r="GB305">
        <f t="shared" si="1750"/>
        <v>0</v>
      </c>
      <c r="GC305">
        <f t="shared" si="1751"/>
        <v>0</v>
      </c>
    </row>
    <row r="306" spans="1:187" x14ac:dyDescent="0.2">
      <c r="A306" s="8" t="str">
        <f t="shared" si="1821"/>
        <v/>
      </c>
      <c r="B306" s="8">
        <f t="shared" si="1822"/>
        <v>0</v>
      </c>
      <c r="C306" s="8">
        <f t="shared" si="1823"/>
        <v>0</v>
      </c>
      <c r="D306" s="8">
        <f t="shared" si="1824"/>
        <v>0</v>
      </c>
      <c r="E306" s="8">
        <f t="shared" si="1486"/>
        <v>0</v>
      </c>
      <c r="F306" s="8">
        <f t="shared" si="1887"/>
        <v>0</v>
      </c>
      <c r="G306" s="8">
        <f t="shared" si="1929"/>
        <v>0</v>
      </c>
      <c r="H306" s="8">
        <f t="shared" si="1930"/>
        <v>0</v>
      </c>
      <c r="I306" s="8">
        <f t="shared" si="1931"/>
        <v>0</v>
      </c>
      <c r="J306" s="8">
        <f t="shared" si="1932"/>
        <v>0</v>
      </c>
      <c r="K306" s="8">
        <f t="shared" si="1933"/>
        <v>0</v>
      </c>
      <c r="L306">
        <f t="shared" si="1825"/>
        <v>0</v>
      </c>
      <c r="M306">
        <f t="shared" si="1826"/>
        <v>0</v>
      </c>
      <c r="N306">
        <f t="shared" si="1827"/>
        <v>0</v>
      </c>
      <c r="O306">
        <f t="shared" si="1828"/>
        <v>0</v>
      </c>
      <c r="P306">
        <f t="shared" si="1829"/>
        <v>0</v>
      </c>
      <c r="Q306">
        <f t="shared" si="1830"/>
        <v>0</v>
      </c>
      <c r="R306">
        <f t="shared" si="1831"/>
        <v>0</v>
      </c>
      <c r="S306">
        <f t="shared" si="1832"/>
        <v>0</v>
      </c>
      <c r="T306">
        <f t="shared" si="1833"/>
        <v>0</v>
      </c>
      <c r="U306">
        <f t="shared" si="1834"/>
        <v>0</v>
      </c>
      <c r="V306">
        <f>IF(V$230,LandEmiss!AF201,0)</f>
        <v>0</v>
      </c>
      <c r="W306">
        <f>IF(W$230,LandEmiss!AG201,0)</f>
        <v>0</v>
      </c>
      <c r="X306">
        <f>IF(X$230,LandEmiss!AH201,0)</f>
        <v>0</v>
      </c>
      <c r="Y306">
        <f>IF(Y$230,LandEmiss!AI201,0)</f>
        <v>0</v>
      </c>
      <c r="Z306">
        <f>IF(Z$230,LandEmiss!AJ201,0)</f>
        <v>0</v>
      </c>
      <c r="AA306">
        <f>IF(AA$230,LandEmiss!AK201,0)</f>
        <v>0</v>
      </c>
      <c r="AB306">
        <f>IF(AB$230,LandEmiss!AL201,0)</f>
        <v>0</v>
      </c>
      <c r="AC306">
        <f>IF(AC$230,LandEmiss!AM201,0)</f>
        <v>0</v>
      </c>
      <c r="AD306">
        <f>IF(AD$230,LandEmiss!AN201,0)</f>
        <v>0</v>
      </c>
      <c r="AE306">
        <f>IF(AE$230,LandEmiss!AO201,0)</f>
        <v>0</v>
      </c>
      <c r="AF306">
        <f t="shared" ref="AF306:AO306" si="1946">IF(AF$230,AF201,0)</f>
        <v>0</v>
      </c>
      <c r="AG306">
        <f t="shared" si="1946"/>
        <v>0</v>
      </c>
      <c r="AH306">
        <f t="shared" si="1946"/>
        <v>0</v>
      </c>
      <c r="AI306">
        <f t="shared" si="1946"/>
        <v>0</v>
      </c>
      <c r="AJ306">
        <f t="shared" si="1946"/>
        <v>0</v>
      </c>
      <c r="AK306">
        <f t="shared" si="1946"/>
        <v>0</v>
      </c>
      <c r="AL306">
        <f t="shared" si="1946"/>
        <v>0</v>
      </c>
      <c r="AM306">
        <f t="shared" si="1946"/>
        <v>0</v>
      </c>
      <c r="AN306">
        <f t="shared" si="1946"/>
        <v>0</v>
      </c>
      <c r="AO306">
        <f t="shared" si="1946"/>
        <v>0</v>
      </c>
      <c r="AP306">
        <f t="shared" si="1836"/>
        <v>0</v>
      </c>
      <c r="AQ306">
        <f t="shared" si="1837"/>
        <v>0</v>
      </c>
      <c r="AR306">
        <f t="shared" si="1838"/>
        <v>0</v>
      </c>
      <c r="AS306">
        <f t="shared" si="1839"/>
        <v>0</v>
      </c>
      <c r="AT306">
        <f t="shared" si="1840"/>
        <v>0</v>
      </c>
      <c r="AU306">
        <f t="shared" si="1841"/>
        <v>0</v>
      </c>
      <c r="AV306">
        <f t="shared" si="1842"/>
        <v>0</v>
      </c>
      <c r="AW306">
        <f t="shared" si="1843"/>
        <v>0</v>
      </c>
      <c r="AX306">
        <f t="shared" si="1844"/>
        <v>0</v>
      </c>
      <c r="AY306">
        <f t="shared" si="1845"/>
        <v>0</v>
      </c>
      <c r="AZ306">
        <f t="shared" si="1846"/>
        <v>0</v>
      </c>
      <c r="BA306">
        <f t="shared" si="1847"/>
        <v>0</v>
      </c>
      <c r="BB306">
        <f t="shared" si="1848"/>
        <v>0</v>
      </c>
      <c r="BC306">
        <f t="shared" si="1849"/>
        <v>0</v>
      </c>
      <c r="BD306">
        <f t="shared" si="1850"/>
        <v>0</v>
      </c>
      <c r="BE306">
        <f t="shared" si="1851"/>
        <v>0</v>
      </c>
      <c r="BF306">
        <f t="shared" si="1852"/>
        <v>0</v>
      </c>
      <c r="BG306">
        <f t="shared" si="1853"/>
        <v>0</v>
      </c>
      <c r="BH306">
        <f t="shared" si="1488"/>
        <v>0</v>
      </c>
      <c r="BI306">
        <f t="shared" si="1889"/>
        <v>0</v>
      </c>
      <c r="BJ306" s="8" t="str">
        <f>Hidden!$CC77</f>
        <v/>
      </c>
      <c r="BK306">
        <f t="shared" ref="BK306:BT306" si="1947">IF(BK$230,CP201,0)</f>
        <v>0</v>
      </c>
      <c r="BL306">
        <f t="shared" si="1947"/>
        <v>0</v>
      </c>
      <c r="BM306">
        <f t="shared" si="1947"/>
        <v>0</v>
      </c>
      <c r="BN306">
        <f t="shared" si="1947"/>
        <v>0</v>
      </c>
      <c r="BO306">
        <f t="shared" si="1947"/>
        <v>0</v>
      </c>
      <c r="BP306">
        <f t="shared" si="1947"/>
        <v>0</v>
      </c>
      <c r="BQ306">
        <f t="shared" si="1947"/>
        <v>0</v>
      </c>
      <c r="BR306">
        <f t="shared" si="1947"/>
        <v>0</v>
      </c>
      <c r="BS306">
        <f t="shared" si="1947"/>
        <v>0</v>
      </c>
      <c r="BT306">
        <f t="shared" si="1947"/>
        <v>0</v>
      </c>
      <c r="BU306">
        <f t="shared" ref="BU306:CD306" si="1948">IF(BU$230,CP201,0)</f>
        <v>0</v>
      </c>
      <c r="BV306">
        <f t="shared" si="1948"/>
        <v>0</v>
      </c>
      <c r="BW306">
        <f t="shared" si="1948"/>
        <v>0</v>
      </c>
      <c r="BX306">
        <f t="shared" si="1948"/>
        <v>0</v>
      </c>
      <c r="BY306">
        <f t="shared" si="1948"/>
        <v>0</v>
      </c>
      <c r="BZ306">
        <f t="shared" si="1948"/>
        <v>0</v>
      </c>
      <c r="CA306">
        <f t="shared" si="1948"/>
        <v>0</v>
      </c>
      <c r="CB306">
        <f t="shared" si="1948"/>
        <v>0</v>
      </c>
      <c r="CC306">
        <f t="shared" si="1948"/>
        <v>0</v>
      </c>
      <c r="CD306">
        <f t="shared" si="1948"/>
        <v>0</v>
      </c>
      <c r="CE306">
        <f t="shared" si="1856"/>
        <v>0</v>
      </c>
      <c r="CF306">
        <f t="shared" si="1857"/>
        <v>0</v>
      </c>
      <c r="CG306">
        <f t="shared" si="1858"/>
        <v>0</v>
      </c>
      <c r="CH306">
        <f t="shared" si="1859"/>
        <v>0</v>
      </c>
      <c r="CI306">
        <f t="shared" si="1860"/>
        <v>0</v>
      </c>
      <c r="CJ306">
        <f t="shared" si="1491"/>
        <v>0</v>
      </c>
      <c r="CK306">
        <f t="shared" si="1892"/>
        <v>0</v>
      </c>
      <c r="CL306">
        <f t="shared" si="1861"/>
        <v>0</v>
      </c>
      <c r="CM306">
        <f t="shared" si="1862"/>
        <v>0</v>
      </c>
      <c r="CN306">
        <f t="shared" si="1863"/>
        <v>0</v>
      </c>
      <c r="CO306">
        <f t="shared" ref="CO306:CX306" si="1949">IF(CO$230,CP201,0)</f>
        <v>0</v>
      </c>
      <c r="CP306">
        <f t="shared" si="1949"/>
        <v>0</v>
      </c>
      <c r="CQ306">
        <f t="shared" si="1949"/>
        <v>0</v>
      </c>
      <c r="CR306">
        <f t="shared" si="1949"/>
        <v>0</v>
      </c>
      <c r="CS306">
        <f t="shared" si="1949"/>
        <v>0</v>
      </c>
      <c r="CT306">
        <f t="shared" si="1949"/>
        <v>0</v>
      </c>
      <c r="CU306">
        <f t="shared" si="1949"/>
        <v>0</v>
      </c>
      <c r="CV306">
        <f t="shared" si="1949"/>
        <v>0</v>
      </c>
      <c r="CW306">
        <f t="shared" si="1949"/>
        <v>0</v>
      </c>
      <c r="CX306">
        <f t="shared" si="1949"/>
        <v>0</v>
      </c>
      <c r="CY306">
        <f t="shared" si="1865"/>
        <v>0</v>
      </c>
      <c r="CZ306">
        <f t="shared" si="1866"/>
        <v>0</v>
      </c>
      <c r="DA306">
        <f t="shared" si="1867"/>
        <v>0</v>
      </c>
      <c r="DB306">
        <f t="shared" si="1868"/>
        <v>0</v>
      </c>
      <c r="DC306">
        <f t="shared" si="1869"/>
        <v>0</v>
      </c>
      <c r="DD306">
        <f t="shared" si="1870"/>
        <v>0</v>
      </c>
      <c r="DE306">
        <f t="shared" si="1871"/>
        <v>0</v>
      </c>
      <c r="DF306">
        <f t="shared" si="1872"/>
        <v>0</v>
      </c>
      <c r="DG306">
        <f t="shared" si="1873"/>
        <v>0</v>
      </c>
      <c r="DH306">
        <f t="shared" si="1874"/>
        <v>0</v>
      </c>
      <c r="DI306">
        <f t="shared" si="1875"/>
        <v>0</v>
      </c>
      <c r="DJ306">
        <f t="shared" si="1876"/>
        <v>0</v>
      </c>
      <c r="DK306">
        <f t="shared" si="1877"/>
        <v>0</v>
      </c>
      <c r="DL306">
        <f t="shared" si="1878"/>
        <v>0</v>
      </c>
      <c r="DM306">
        <f t="shared" si="1879"/>
        <v>0</v>
      </c>
      <c r="DN306">
        <f t="shared" si="1880"/>
        <v>0</v>
      </c>
      <c r="DO306">
        <f t="shared" si="1881"/>
        <v>0</v>
      </c>
      <c r="DP306">
        <f t="shared" si="1882"/>
        <v>0</v>
      </c>
      <c r="DQ306">
        <f t="shared" si="1883"/>
        <v>0</v>
      </c>
      <c r="DR306">
        <f t="shared" si="1884"/>
        <v>0</v>
      </c>
      <c r="DT306" s="77"/>
      <c r="DU306" s="8" t="str">
        <f>Hidden!$CG89</f>
        <v/>
      </c>
      <c r="DV306">
        <f t="shared" si="1709"/>
        <v>0</v>
      </c>
      <c r="DW306">
        <f t="shared" si="1710"/>
        <v>0</v>
      </c>
      <c r="DX306">
        <f t="shared" si="1711"/>
        <v>0</v>
      </c>
      <c r="DY306">
        <f t="shared" si="1712"/>
        <v>0</v>
      </c>
      <c r="DZ306">
        <f t="shared" si="1713"/>
        <v>0</v>
      </c>
      <c r="EA306">
        <f t="shared" si="1714"/>
        <v>0</v>
      </c>
      <c r="EB306">
        <f t="shared" si="1715"/>
        <v>0</v>
      </c>
      <c r="EC306">
        <f t="shared" si="1716"/>
        <v>0</v>
      </c>
      <c r="ED306">
        <f t="shared" si="1717"/>
        <v>0</v>
      </c>
      <c r="EE306">
        <f t="shared" si="1718"/>
        <v>0</v>
      </c>
      <c r="EF306">
        <f t="shared" si="1719"/>
        <v>0</v>
      </c>
      <c r="EG306">
        <f t="shared" si="1720"/>
        <v>0</v>
      </c>
      <c r="EH306">
        <f t="shared" si="1721"/>
        <v>0</v>
      </c>
      <c r="EI306">
        <f t="shared" si="1722"/>
        <v>0</v>
      </c>
      <c r="EJ306">
        <f t="shared" si="1723"/>
        <v>0</v>
      </c>
      <c r="EK306">
        <f t="shared" si="1724"/>
        <v>0</v>
      </c>
      <c r="EL306">
        <f t="shared" si="1725"/>
        <v>0</v>
      </c>
      <c r="EM306">
        <f t="shared" si="1726"/>
        <v>0</v>
      </c>
      <c r="EN306">
        <f t="shared" si="1727"/>
        <v>0</v>
      </c>
      <c r="EO306">
        <f t="shared" si="1728"/>
        <v>0</v>
      </c>
      <c r="EP306">
        <f t="shared" si="1729"/>
        <v>0</v>
      </c>
      <c r="EQ306">
        <f t="shared" si="1730"/>
        <v>0</v>
      </c>
      <c r="ER306">
        <f t="shared" si="1912"/>
        <v>0</v>
      </c>
      <c r="ES306">
        <f t="shared" ref="ES306:ET306" si="1950">IF(ES$218,FC201,0)</f>
        <v>0</v>
      </c>
      <c r="ET306">
        <f t="shared" si="1950"/>
        <v>0</v>
      </c>
      <c r="EU306">
        <f t="shared" si="1732"/>
        <v>0</v>
      </c>
      <c r="EV306">
        <f t="shared" si="1913"/>
        <v>0</v>
      </c>
      <c r="EW306">
        <f t="shared" si="1757"/>
        <v>0</v>
      </c>
      <c r="EX306">
        <f t="shared" si="1733"/>
        <v>0</v>
      </c>
      <c r="EY306">
        <f t="shared" si="1734"/>
        <v>0</v>
      </c>
      <c r="EZ306">
        <f t="shared" ref="EZ306:FI306" si="1951">IF(EZ$218,EZ201,0)</f>
        <v>0</v>
      </c>
      <c r="FA306">
        <f t="shared" si="1951"/>
        <v>0</v>
      </c>
      <c r="FB306">
        <f t="shared" si="1951"/>
        <v>0</v>
      </c>
      <c r="FC306">
        <f t="shared" si="1951"/>
        <v>0</v>
      </c>
      <c r="FD306">
        <f t="shared" si="1951"/>
        <v>0</v>
      </c>
      <c r="FE306">
        <f t="shared" si="1951"/>
        <v>0</v>
      </c>
      <c r="FF306">
        <f t="shared" si="1951"/>
        <v>0</v>
      </c>
      <c r="FG306">
        <f t="shared" si="1951"/>
        <v>0</v>
      </c>
      <c r="FH306">
        <f t="shared" si="1951"/>
        <v>0</v>
      </c>
      <c r="FI306">
        <f t="shared" si="1951"/>
        <v>0</v>
      </c>
      <c r="FJ306">
        <f t="shared" si="1736"/>
        <v>0</v>
      </c>
      <c r="FK306">
        <f t="shared" si="1737"/>
        <v>0</v>
      </c>
      <c r="FL306">
        <f t="shared" si="1915"/>
        <v>0</v>
      </c>
      <c r="FM306">
        <f t="shared" si="1759"/>
        <v>0</v>
      </c>
      <c r="FN306">
        <f t="shared" si="1738"/>
        <v>0</v>
      </c>
      <c r="FO306">
        <f t="shared" si="1739"/>
        <v>0</v>
      </c>
      <c r="FP306">
        <f t="shared" si="1740"/>
        <v>0</v>
      </c>
      <c r="FQ306">
        <f t="shared" si="1741"/>
        <v>0</v>
      </c>
      <c r="FR306">
        <f t="shared" si="1742"/>
        <v>0</v>
      </c>
      <c r="FS306">
        <f t="shared" si="1743"/>
        <v>0</v>
      </c>
      <c r="FT306">
        <f t="shared" si="1744"/>
        <v>0</v>
      </c>
      <c r="FU306">
        <f t="shared" si="1745"/>
        <v>0</v>
      </c>
      <c r="FV306">
        <f t="shared" si="1746"/>
        <v>0</v>
      </c>
      <c r="FW306">
        <f t="shared" si="1747"/>
        <v>0</v>
      </c>
      <c r="FX306">
        <f t="shared" si="1916"/>
        <v>0</v>
      </c>
      <c r="FY306">
        <f t="shared" si="1760"/>
        <v>0</v>
      </c>
      <c r="FZ306">
        <f t="shared" si="1748"/>
        <v>0</v>
      </c>
      <c r="GA306">
        <f t="shared" si="1749"/>
        <v>0</v>
      </c>
      <c r="GB306">
        <f t="shared" si="1750"/>
        <v>0</v>
      </c>
      <c r="GC306">
        <f t="shared" si="1751"/>
        <v>0</v>
      </c>
    </row>
    <row r="307" spans="1:187" x14ac:dyDescent="0.2">
      <c r="A307" s="8" t="str">
        <f t="shared" si="1821"/>
        <v/>
      </c>
      <c r="B307" s="8">
        <f t="shared" si="1822"/>
        <v>0</v>
      </c>
      <c r="C307" s="8">
        <f t="shared" si="1823"/>
        <v>0</v>
      </c>
      <c r="D307" s="8">
        <f t="shared" si="1824"/>
        <v>0</v>
      </c>
      <c r="E307" s="8">
        <f t="shared" si="1486"/>
        <v>0</v>
      </c>
      <c r="F307" s="8">
        <f t="shared" si="1887"/>
        <v>0</v>
      </c>
      <c r="G307" s="8">
        <f t="shared" si="1929"/>
        <v>0</v>
      </c>
      <c r="H307" s="8">
        <f t="shared" si="1930"/>
        <v>0</v>
      </c>
      <c r="I307" s="8">
        <f t="shared" si="1931"/>
        <v>0</v>
      </c>
      <c r="J307" s="8">
        <f t="shared" si="1932"/>
        <v>0</v>
      </c>
      <c r="K307" s="8">
        <f t="shared" si="1933"/>
        <v>0</v>
      </c>
      <c r="L307">
        <f t="shared" si="1825"/>
        <v>0</v>
      </c>
      <c r="M307">
        <f t="shared" si="1826"/>
        <v>0</v>
      </c>
      <c r="N307">
        <f t="shared" si="1827"/>
        <v>0</v>
      </c>
      <c r="O307">
        <f t="shared" si="1828"/>
        <v>0</v>
      </c>
      <c r="P307">
        <f t="shared" si="1829"/>
        <v>0</v>
      </c>
      <c r="Q307">
        <f t="shared" si="1830"/>
        <v>0</v>
      </c>
      <c r="R307">
        <f t="shared" si="1831"/>
        <v>0</v>
      </c>
      <c r="S307">
        <f t="shared" si="1832"/>
        <v>0</v>
      </c>
      <c r="T307">
        <f t="shared" si="1833"/>
        <v>0</v>
      </c>
      <c r="U307">
        <f t="shared" si="1834"/>
        <v>0</v>
      </c>
      <c r="V307">
        <f>IF(V$230,LandEmiss!AF202,0)</f>
        <v>0</v>
      </c>
      <c r="W307">
        <f>IF(W$230,LandEmiss!AG202,0)</f>
        <v>0</v>
      </c>
      <c r="X307">
        <f>IF(X$230,LandEmiss!AH202,0)</f>
        <v>0</v>
      </c>
      <c r="Y307">
        <f>IF(Y$230,LandEmiss!AI202,0)</f>
        <v>0</v>
      </c>
      <c r="Z307">
        <f>IF(Z$230,LandEmiss!AJ202,0)</f>
        <v>0</v>
      </c>
      <c r="AA307">
        <f>IF(AA$230,LandEmiss!AK202,0)</f>
        <v>0</v>
      </c>
      <c r="AB307">
        <f>IF(AB$230,LandEmiss!AL202,0)</f>
        <v>0</v>
      </c>
      <c r="AC307">
        <f>IF(AC$230,LandEmiss!AM202,0)</f>
        <v>0</v>
      </c>
      <c r="AD307">
        <f>IF(AD$230,LandEmiss!AN202,0)</f>
        <v>0</v>
      </c>
      <c r="AE307">
        <f>IF(AE$230,LandEmiss!AO202,0)</f>
        <v>0</v>
      </c>
      <c r="AF307">
        <f t="shared" ref="AF307:AO307" si="1952">IF(AF$230,AF202,0)</f>
        <v>0</v>
      </c>
      <c r="AG307">
        <f t="shared" si="1952"/>
        <v>0</v>
      </c>
      <c r="AH307">
        <f t="shared" si="1952"/>
        <v>0</v>
      </c>
      <c r="AI307">
        <f t="shared" si="1952"/>
        <v>0</v>
      </c>
      <c r="AJ307">
        <f t="shared" si="1952"/>
        <v>0</v>
      </c>
      <c r="AK307">
        <f t="shared" si="1952"/>
        <v>0</v>
      </c>
      <c r="AL307">
        <f t="shared" si="1952"/>
        <v>0</v>
      </c>
      <c r="AM307">
        <f t="shared" si="1952"/>
        <v>0</v>
      </c>
      <c r="AN307">
        <f t="shared" si="1952"/>
        <v>0</v>
      </c>
      <c r="AO307">
        <f t="shared" si="1952"/>
        <v>0</v>
      </c>
      <c r="AP307">
        <f t="shared" si="1836"/>
        <v>0</v>
      </c>
      <c r="AQ307">
        <f t="shared" si="1837"/>
        <v>0</v>
      </c>
      <c r="AR307">
        <f t="shared" si="1838"/>
        <v>0</v>
      </c>
      <c r="AS307">
        <f t="shared" si="1839"/>
        <v>0</v>
      </c>
      <c r="AT307">
        <f t="shared" si="1840"/>
        <v>0</v>
      </c>
      <c r="AU307">
        <f t="shared" si="1841"/>
        <v>0</v>
      </c>
      <c r="AV307">
        <f t="shared" si="1842"/>
        <v>0</v>
      </c>
      <c r="AW307">
        <f t="shared" si="1843"/>
        <v>0</v>
      </c>
      <c r="AX307">
        <f t="shared" si="1844"/>
        <v>0</v>
      </c>
      <c r="AY307">
        <f t="shared" si="1845"/>
        <v>0</v>
      </c>
      <c r="AZ307">
        <f t="shared" si="1846"/>
        <v>0</v>
      </c>
      <c r="BA307">
        <f t="shared" si="1847"/>
        <v>0</v>
      </c>
      <c r="BB307">
        <f t="shared" si="1848"/>
        <v>0</v>
      </c>
      <c r="BC307">
        <f t="shared" si="1849"/>
        <v>0</v>
      </c>
      <c r="BD307">
        <f t="shared" si="1850"/>
        <v>0</v>
      </c>
      <c r="BE307">
        <f t="shared" si="1851"/>
        <v>0</v>
      </c>
      <c r="BF307">
        <f t="shared" si="1852"/>
        <v>0</v>
      </c>
      <c r="BG307">
        <f t="shared" si="1853"/>
        <v>0</v>
      </c>
      <c r="BH307">
        <f t="shared" si="1488"/>
        <v>0</v>
      </c>
      <c r="BI307">
        <f t="shared" si="1889"/>
        <v>0</v>
      </c>
      <c r="BJ307" s="8" t="str">
        <f>Hidden!$CC78</f>
        <v/>
      </c>
      <c r="BK307">
        <f t="shared" ref="BK307:BT307" si="1953">IF(BK$230,CP202,0)</f>
        <v>0</v>
      </c>
      <c r="BL307">
        <f t="shared" si="1953"/>
        <v>0</v>
      </c>
      <c r="BM307">
        <f t="shared" si="1953"/>
        <v>0</v>
      </c>
      <c r="BN307">
        <f t="shared" si="1953"/>
        <v>0</v>
      </c>
      <c r="BO307">
        <f t="shared" si="1953"/>
        <v>0</v>
      </c>
      <c r="BP307">
        <f t="shared" si="1953"/>
        <v>0</v>
      </c>
      <c r="BQ307">
        <f t="shared" si="1953"/>
        <v>0</v>
      </c>
      <c r="BR307">
        <f t="shared" si="1953"/>
        <v>0</v>
      </c>
      <c r="BS307">
        <f t="shared" si="1953"/>
        <v>0</v>
      </c>
      <c r="BT307">
        <f t="shared" si="1953"/>
        <v>0</v>
      </c>
      <c r="BU307">
        <f t="shared" ref="BU307:CD307" si="1954">IF(BU$230,CP202,0)</f>
        <v>0</v>
      </c>
      <c r="BV307">
        <f t="shared" si="1954"/>
        <v>0</v>
      </c>
      <c r="BW307">
        <f t="shared" si="1954"/>
        <v>0</v>
      </c>
      <c r="BX307">
        <f t="shared" si="1954"/>
        <v>0</v>
      </c>
      <c r="BY307">
        <f t="shared" si="1954"/>
        <v>0</v>
      </c>
      <c r="BZ307">
        <f t="shared" si="1954"/>
        <v>0</v>
      </c>
      <c r="CA307">
        <f t="shared" si="1954"/>
        <v>0</v>
      </c>
      <c r="CB307">
        <f t="shared" si="1954"/>
        <v>0</v>
      </c>
      <c r="CC307">
        <f t="shared" si="1954"/>
        <v>0</v>
      </c>
      <c r="CD307">
        <f t="shared" si="1954"/>
        <v>0</v>
      </c>
      <c r="CE307">
        <f t="shared" si="1856"/>
        <v>0</v>
      </c>
      <c r="CF307">
        <f t="shared" si="1857"/>
        <v>0</v>
      </c>
      <c r="CG307">
        <f t="shared" si="1858"/>
        <v>0</v>
      </c>
      <c r="CH307">
        <f t="shared" si="1859"/>
        <v>0</v>
      </c>
      <c r="CI307">
        <f t="shared" si="1860"/>
        <v>0</v>
      </c>
      <c r="CJ307">
        <f t="shared" si="1491"/>
        <v>0</v>
      </c>
      <c r="CK307">
        <f t="shared" si="1892"/>
        <v>0</v>
      </c>
      <c r="CL307">
        <f t="shared" si="1861"/>
        <v>0</v>
      </c>
      <c r="CM307">
        <f t="shared" si="1862"/>
        <v>0</v>
      </c>
      <c r="CN307">
        <f t="shared" si="1863"/>
        <v>0</v>
      </c>
      <c r="CO307">
        <f t="shared" ref="CO307:CX307" si="1955">IF(CO$230,CP202,0)</f>
        <v>0</v>
      </c>
      <c r="CP307">
        <f t="shared" si="1955"/>
        <v>0</v>
      </c>
      <c r="CQ307">
        <f t="shared" si="1955"/>
        <v>0</v>
      </c>
      <c r="CR307">
        <f t="shared" si="1955"/>
        <v>0</v>
      </c>
      <c r="CS307">
        <f t="shared" si="1955"/>
        <v>0</v>
      </c>
      <c r="CT307">
        <f t="shared" si="1955"/>
        <v>0</v>
      </c>
      <c r="CU307">
        <f t="shared" si="1955"/>
        <v>0</v>
      </c>
      <c r="CV307">
        <f t="shared" si="1955"/>
        <v>0</v>
      </c>
      <c r="CW307">
        <f t="shared" si="1955"/>
        <v>0</v>
      </c>
      <c r="CX307">
        <f t="shared" si="1955"/>
        <v>0</v>
      </c>
      <c r="CY307">
        <f t="shared" si="1865"/>
        <v>0</v>
      </c>
      <c r="CZ307">
        <f t="shared" si="1866"/>
        <v>0</v>
      </c>
      <c r="DA307">
        <f t="shared" si="1867"/>
        <v>0</v>
      </c>
      <c r="DB307">
        <f t="shared" si="1868"/>
        <v>0</v>
      </c>
      <c r="DC307">
        <f t="shared" si="1869"/>
        <v>0</v>
      </c>
      <c r="DD307">
        <f t="shared" si="1870"/>
        <v>0</v>
      </c>
      <c r="DE307">
        <f t="shared" si="1871"/>
        <v>0</v>
      </c>
      <c r="DF307">
        <f t="shared" si="1872"/>
        <v>0</v>
      </c>
      <c r="DG307">
        <f t="shared" si="1873"/>
        <v>0</v>
      </c>
      <c r="DH307">
        <f t="shared" si="1874"/>
        <v>0</v>
      </c>
      <c r="DI307">
        <f t="shared" si="1875"/>
        <v>0</v>
      </c>
      <c r="DJ307">
        <f t="shared" si="1876"/>
        <v>0</v>
      </c>
      <c r="DK307">
        <f t="shared" si="1877"/>
        <v>0</v>
      </c>
      <c r="DL307">
        <f t="shared" si="1878"/>
        <v>0</v>
      </c>
      <c r="DM307">
        <f t="shared" si="1879"/>
        <v>0</v>
      </c>
      <c r="DN307">
        <f t="shared" si="1880"/>
        <v>0</v>
      </c>
      <c r="DO307">
        <f t="shared" si="1881"/>
        <v>0</v>
      </c>
      <c r="DP307">
        <f t="shared" si="1882"/>
        <v>0</v>
      </c>
      <c r="DQ307">
        <f t="shared" si="1883"/>
        <v>0</v>
      </c>
      <c r="DR307">
        <f t="shared" si="1884"/>
        <v>0</v>
      </c>
      <c r="DT307" s="77"/>
      <c r="DU307" s="8" t="str">
        <f>Hidden!$CG90</f>
        <v/>
      </c>
      <c r="DV307">
        <f t="shared" si="1709"/>
        <v>0</v>
      </c>
      <c r="DW307">
        <f t="shared" si="1710"/>
        <v>0</v>
      </c>
      <c r="DX307">
        <f t="shared" si="1711"/>
        <v>0</v>
      </c>
      <c r="DY307">
        <f t="shared" si="1712"/>
        <v>0</v>
      </c>
      <c r="DZ307">
        <f t="shared" si="1713"/>
        <v>0</v>
      </c>
      <c r="EA307">
        <f t="shared" si="1714"/>
        <v>0</v>
      </c>
      <c r="EB307">
        <f t="shared" si="1715"/>
        <v>0</v>
      </c>
      <c r="EC307">
        <f t="shared" si="1716"/>
        <v>0</v>
      </c>
      <c r="ED307">
        <f t="shared" si="1717"/>
        <v>0</v>
      </c>
      <c r="EE307">
        <f t="shared" si="1718"/>
        <v>0</v>
      </c>
      <c r="EF307">
        <f t="shared" si="1719"/>
        <v>0</v>
      </c>
      <c r="EG307">
        <f t="shared" si="1720"/>
        <v>0</v>
      </c>
      <c r="EH307">
        <f t="shared" si="1721"/>
        <v>0</v>
      </c>
      <c r="EI307">
        <f t="shared" si="1722"/>
        <v>0</v>
      </c>
      <c r="EJ307">
        <f t="shared" si="1723"/>
        <v>0</v>
      </c>
      <c r="EK307">
        <f t="shared" si="1724"/>
        <v>0</v>
      </c>
      <c r="EL307">
        <f t="shared" si="1725"/>
        <v>0</v>
      </c>
      <c r="EM307">
        <f t="shared" si="1726"/>
        <v>0</v>
      </c>
      <c r="EN307">
        <f t="shared" si="1727"/>
        <v>0</v>
      </c>
      <c r="EO307">
        <f t="shared" si="1728"/>
        <v>0</v>
      </c>
      <c r="EP307">
        <f t="shared" si="1729"/>
        <v>0</v>
      </c>
      <c r="EQ307">
        <f t="shared" si="1730"/>
        <v>0</v>
      </c>
      <c r="ER307">
        <f t="shared" si="1912"/>
        <v>0</v>
      </c>
      <c r="ES307">
        <f t="shared" ref="ES307:ET307" si="1956">IF(ES$218,FC202,0)</f>
        <v>0</v>
      </c>
      <c r="ET307">
        <f t="shared" si="1956"/>
        <v>0</v>
      </c>
      <c r="EU307">
        <f t="shared" si="1732"/>
        <v>0</v>
      </c>
      <c r="EV307">
        <f t="shared" si="1913"/>
        <v>0</v>
      </c>
      <c r="EW307">
        <f t="shared" si="1757"/>
        <v>0</v>
      </c>
      <c r="EX307">
        <f t="shared" si="1733"/>
        <v>0</v>
      </c>
      <c r="EY307">
        <f t="shared" si="1734"/>
        <v>0</v>
      </c>
      <c r="EZ307">
        <f t="shared" ref="EZ307:FI307" si="1957">IF(EZ$218,EZ202,0)</f>
        <v>0</v>
      </c>
      <c r="FA307">
        <f t="shared" si="1957"/>
        <v>0</v>
      </c>
      <c r="FB307">
        <f t="shared" si="1957"/>
        <v>0</v>
      </c>
      <c r="FC307">
        <f t="shared" si="1957"/>
        <v>0</v>
      </c>
      <c r="FD307">
        <f t="shared" si="1957"/>
        <v>0</v>
      </c>
      <c r="FE307">
        <f t="shared" si="1957"/>
        <v>0</v>
      </c>
      <c r="FF307">
        <f t="shared" si="1957"/>
        <v>0</v>
      </c>
      <c r="FG307">
        <f t="shared" si="1957"/>
        <v>0</v>
      </c>
      <c r="FH307">
        <f t="shared" si="1957"/>
        <v>0</v>
      </c>
      <c r="FI307">
        <f t="shared" si="1957"/>
        <v>0</v>
      </c>
      <c r="FJ307">
        <f t="shared" si="1736"/>
        <v>0</v>
      </c>
      <c r="FK307">
        <f t="shared" si="1737"/>
        <v>0</v>
      </c>
      <c r="FL307">
        <f t="shared" si="1915"/>
        <v>0</v>
      </c>
      <c r="FM307">
        <f t="shared" si="1759"/>
        <v>0</v>
      </c>
      <c r="FN307">
        <f t="shared" si="1738"/>
        <v>0</v>
      </c>
      <c r="FO307">
        <f t="shared" si="1739"/>
        <v>0</v>
      </c>
      <c r="FP307">
        <f t="shared" si="1740"/>
        <v>0</v>
      </c>
      <c r="FQ307">
        <f t="shared" si="1741"/>
        <v>0</v>
      </c>
      <c r="FR307">
        <f t="shared" si="1742"/>
        <v>0</v>
      </c>
      <c r="FS307">
        <f t="shared" si="1743"/>
        <v>0</v>
      </c>
      <c r="FT307">
        <f t="shared" si="1744"/>
        <v>0</v>
      </c>
      <c r="FU307">
        <f t="shared" si="1745"/>
        <v>0</v>
      </c>
      <c r="FV307">
        <f t="shared" si="1746"/>
        <v>0</v>
      </c>
      <c r="FW307">
        <f t="shared" si="1747"/>
        <v>0</v>
      </c>
      <c r="FX307">
        <f t="shared" si="1916"/>
        <v>0</v>
      </c>
      <c r="FY307">
        <f t="shared" si="1760"/>
        <v>0</v>
      </c>
      <c r="FZ307">
        <f t="shared" si="1748"/>
        <v>0</v>
      </c>
      <c r="GA307">
        <f t="shared" si="1749"/>
        <v>0</v>
      </c>
      <c r="GB307">
        <f t="shared" si="1750"/>
        <v>0</v>
      </c>
      <c r="GC307">
        <f t="shared" si="1751"/>
        <v>0</v>
      </c>
    </row>
    <row r="308" spans="1:187" x14ac:dyDescent="0.2">
      <c r="A308" s="8" t="str">
        <f t="shared" si="1821"/>
        <v/>
      </c>
      <c r="B308" s="8">
        <f t="shared" si="1822"/>
        <v>0</v>
      </c>
      <c r="C308" s="8">
        <f t="shared" si="1823"/>
        <v>0</v>
      </c>
      <c r="D308" s="8">
        <f t="shared" si="1824"/>
        <v>0</v>
      </c>
      <c r="E308" s="8">
        <f t="shared" si="1486"/>
        <v>0</v>
      </c>
      <c r="F308" s="8">
        <f t="shared" si="1887"/>
        <v>0</v>
      </c>
      <c r="G308" s="8">
        <f t="shared" si="1929"/>
        <v>0</v>
      </c>
      <c r="H308" s="8">
        <f t="shared" si="1930"/>
        <v>0</v>
      </c>
      <c r="I308" s="8">
        <f t="shared" si="1931"/>
        <v>0</v>
      </c>
      <c r="J308" s="8">
        <f t="shared" si="1932"/>
        <v>0</v>
      </c>
      <c r="K308" s="8">
        <f t="shared" si="1933"/>
        <v>0</v>
      </c>
      <c r="L308">
        <f t="shared" si="1825"/>
        <v>0</v>
      </c>
      <c r="M308">
        <f t="shared" si="1826"/>
        <v>0</v>
      </c>
      <c r="N308">
        <f t="shared" si="1827"/>
        <v>0</v>
      </c>
      <c r="O308">
        <f t="shared" si="1828"/>
        <v>0</v>
      </c>
      <c r="P308">
        <f t="shared" si="1829"/>
        <v>0</v>
      </c>
      <c r="Q308">
        <f t="shared" si="1830"/>
        <v>0</v>
      </c>
      <c r="R308">
        <f t="shared" si="1831"/>
        <v>0</v>
      </c>
      <c r="S308">
        <f t="shared" si="1832"/>
        <v>0</v>
      </c>
      <c r="T308">
        <f t="shared" si="1833"/>
        <v>0</v>
      </c>
      <c r="U308">
        <f t="shared" si="1834"/>
        <v>0</v>
      </c>
      <c r="V308">
        <f>IF(V$230,LandEmiss!AF203,0)</f>
        <v>0</v>
      </c>
      <c r="W308">
        <f>IF(W$230,LandEmiss!AG203,0)</f>
        <v>0</v>
      </c>
      <c r="X308">
        <f>IF(X$230,LandEmiss!AH203,0)</f>
        <v>0</v>
      </c>
      <c r="Y308">
        <f>IF(Y$230,LandEmiss!AI203,0)</f>
        <v>0</v>
      </c>
      <c r="Z308">
        <f>IF(Z$230,LandEmiss!AJ203,0)</f>
        <v>0</v>
      </c>
      <c r="AA308">
        <f>IF(AA$230,LandEmiss!AK203,0)</f>
        <v>0</v>
      </c>
      <c r="AB308">
        <f>IF(AB$230,LandEmiss!AL203,0)</f>
        <v>0</v>
      </c>
      <c r="AC308">
        <f>IF(AC$230,LandEmiss!AM203,0)</f>
        <v>0</v>
      </c>
      <c r="AD308">
        <f>IF(AD$230,LandEmiss!AN203,0)</f>
        <v>0</v>
      </c>
      <c r="AE308">
        <f>IF(AE$230,LandEmiss!AO203,0)</f>
        <v>0</v>
      </c>
      <c r="AF308">
        <f t="shared" ref="AF308:AO308" si="1958">IF(AF$230,AF203,0)</f>
        <v>0</v>
      </c>
      <c r="AG308">
        <f t="shared" si="1958"/>
        <v>0</v>
      </c>
      <c r="AH308">
        <f t="shared" si="1958"/>
        <v>0</v>
      </c>
      <c r="AI308">
        <f t="shared" si="1958"/>
        <v>0</v>
      </c>
      <c r="AJ308">
        <f t="shared" si="1958"/>
        <v>0</v>
      </c>
      <c r="AK308">
        <f t="shared" si="1958"/>
        <v>0</v>
      </c>
      <c r="AL308">
        <f t="shared" si="1958"/>
        <v>0</v>
      </c>
      <c r="AM308">
        <f t="shared" si="1958"/>
        <v>0</v>
      </c>
      <c r="AN308">
        <f t="shared" si="1958"/>
        <v>0</v>
      </c>
      <c r="AO308">
        <f t="shared" si="1958"/>
        <v>0</v>
      </c>
      <c r="AP308">
        <f t="shared" si="1836"/>
        <v>0</v>
      </c>
      <c r="AQ308">
        <f t="shared" si="1837"/>
        <v>0</v>
      </c>
      <c r="AR308">
        <f t="shared" si="1838"/>
        <v>0</v>
      </c>
      <c r="AS308">
        <f t="shared" si="1839"/>
        <v>0</v>
      </c>
      <c r="AT308">
        <f t="shared" si="1840"/>
        <v>0</v>
      </c>
      <c r="AU308">
        <f t="shared" si="1841"/>
        <v>0</v>
      </c>
      <c r="AV308">
        <f t="shared" si="1842"/>
        <v>0</v>
      </c>
      <c r="AW308">
        <f t="shared" si="1843"/>
        <v>0</v>
      </c>
      <c r="AX308">
        <f t="shared" si="1844"/>
        <v>0</v>
      </c>
      <c r="AY308">
        <f t="shared" si="1845"/>
        <v>0</v>
      </c>
      <c r="AZ308">
        <f t="shared" si="1846"/>
        <v>0</v>
      </c>
      <c r="BA308">
        <f t="shared" si="1847"/>
        <v>0</v>
      </c>
      <c r="BB308">
        <f t="shared" si="1848"/>
        <v>0</v>
      </c>
      <c r="BC308">
        <f t="shared" si="1849"/>
        <v>0</v>
      </c>
      <c r="BD308">
        <f t="shared" si="1850"/>
        <v>0</v>
      </c>
      <c r="BE308">
        <f t="shared" si="1851"/>
        <v>0</v>
      </c>
      <c r="BF308">
        <f t="shared" si="1852"/>
        <v>0</v>
      </c>
      <c r="BG308">
        <f t="shared" si="1853"/>
        <v>0</v>
      </c>
      <c r="BH308">
        <f t="shared" si="1488"/>
        <v>0</v>
      </c>
      <c r="BI308">
        <f t="shared" si="1889"/>
        <v>0</v>
      </c>
      <c r="BJ308" s="8" t="str">
        <f>Hidden!$CC79</f>
        <v/>
      </c>
      <c r="BK308">
        <f t="shared" ref="BK308:BT308" si="1959">IF(BK$230,CP203,0)</f>
        <v>0</v>
      </c>
      <c r="BL308">
        <f t="shared" si="1959"/>
        <v>0</v>
      </c>
      <c r="BM308">
        <f t="shared" si="1959"/>
        <v>0</v>
      </c>
      <c r="BN308">
        <f t="shared" si="1959"/>
        <v>0</v>
      </c>
      <c r="BO308">
        <f t="shared" si="1959"/>
        <v>0</v>
      </c>
      <c r="BP308">
        <f t="shared" si="1959"/>
        <v>0</v>
      </c>
      <c r="BQ308">
        <f t="shared" si="1959"/>
        <v>0</v>
      </c>
      <c r="BR308">
        <f t="shared" si="1959"/>
        <v>0</v>
      </c>
      <c r="BS308">
        <f t="shared" si="1959"/>
        <v>0</v>
      </c>
      <c r="BT308">
        <f t="shared" si="1959"/>
        <v>0</v>
      </c>
      <c r="BU308">
        <f t="shared" ref="BU308:CD308" si="1960">IF(BU$230,CP203,0)</f>
        <v>0</v>
      </c>
      <c r="BV308">
        <f t="shared" si="1960"/>
        <v>0</v>
      </c>
      <c r="BW308">
        <f t="shared" si="1960"/>
        <v>0</v>
      </c>
      <c r="BX308">
        <f t="shared" si="1960"/>
        <v>0</v>
      </c>
      <c r="BY308">
        <f t="shared" si="1960"/>
        <v>0</v>
      </c>
      <c r="BZ308">
        <f t="shared" si="1960"/>
        <v>0</v>
      </c>
      <c r="CA308">
        <f t="shared" si="1960"/>
        <v>0</v>
      </c>
      <c r="CB308">
        <f t="shared" si="1960"/>
        <v>0</v>
      </c>
      <c r="CC308">
        <f t="shared" si="1960"/>
        <v>0</v>
      </c>
      <c r="CD308">
        <f t="shared" si="1960"/>
        <v>0</v>
      </c>
      <c r="CE308">
        <f t="shared" si="1856"/>
        <v>0</v>
      </c>
      <c r="CF308">
        <f t="shared" si="1857"/>
        <v>0</v>
      </c>
      <c r="CG308">
        <f t="shared" si="1858"/>
        <v>0</v>
      </c>
      <c r="CH308">
        <f t="shared" si="1859"/>
        <v>0</v>
      </c>
      <c r="CI308">
        <f t="shared" si="1860"/>
        <v>0</v>
      </c>
      <c r="CJ308">
        <f t="shared" si="1491"/>
        <v>0</v>
      </c>
      <c r="CK308">
        <f t="shared" si="1892"/>
        <v>0</v>
      </c>
      <c r="CL308">
        <f t="shared" si="1861"/>
        <v>0</v>
      </c>
      <c r="CM308">
        <f t="shared" si="1862"/>
        <v>0</v>
      </c>
      <c r="CN308">
        <f t="shared" si="1863"/>
        <v>0</v>
      </c>
      <c r="CO308">
        <f t="shared" ref="CO308:CX308" si="1961">IF(CO$230,CP203,0)</f>
        <v>0</v>
      </c>
      <c r="CP308">
        <f t="shared" si="1961"/>
        <v>0</v>
      </c>
      <c r="CQ308">
        <f t="shared" si="1961"/>
        <v>0</v>
      </c>
      <c r="CR308">
        <f t="shared" si="1961"/>
        <v>0</v>
      </c>
      <c r="CS308">
        <f t="shared" si="1961"/>
        <v>0</v>
      </c>
      <c r="CT308">
        <f t="shared" si="1961"/>
        <v>0</v>
      </c>
      <c r="CU308">
        <f t="shared" si="1961"/>
        <v>0</v>
      </c>
      <c r="CV308">
        <f t="shared" si="1961"/>
        <v>0</v>
      </c>
      <c r="CW308">
        <f t="shared" si="1961"/>
        <v>0</v>
      </c>
      <c r="CX308">
        <f t="shared" si="1961"/>
        <v>0</v>
      </c>
      <c r="CY308">
        <f t="shared" si="1865"/>
        <v>0</v>
      </c>
      <c r="CZ308">
        <f t="shared" si="1866"/>
        <v>0</v>
      </c>
      <c r="DA308">
        <f t="shared" si="1867"/>
        <v>0</v>
      </c>
      <c r="DB308">
        <f t="shared" si="1868"/>
        <v>0</v>
      </c>
      <c r="DC308">
        <f t="shared" si="1869"/>
        <v>0</v>
      </c>
      <c r="DD308">
        <f t="shared" si="1870"/>
        <v>0</v>
      </c>
      <c r="DE308">
        <f t="shared" si="1871"/>
        <v>0</v>
      </c>
      <c r="DF308">
        <f t="shared" si="1872"/>
        <v>0</v>
      </c>
      <c r="DG308">
        <f t="shared" si="1873"/>
        <v>0</v>
      </c>
      <c r="DH308">
        <f t="shared" si="1874"/>
        <v>0</v>
      </c>
      <c r="DI308">
        <f t="shared" si="1875"/>
        <v>0</v>
      </c>
      <c r="DJ308">
        <f t="shared" si="1876"/>
        <v>0</v>
      </c>
      <c r="DK308">
        <f t="shared" si="1877"/>
        <v>0</v>
      </c>
      <c r="DL308">
        <f t="shared" si="1878"/>
        <v>0</v>
      </c>
      <c r="DM308">
        <f t="shared" si="1879"/>
        <v>0</v>
      </c>
      <c r="DN308">
        <f t="shared" si="1880"/>
        <v>0</v>
      </c>
      <c r="DO308">
        <f t="shared" si="1881"/>
        <v>0</v>
      </c>
      <c r="DP308">
        <f t="shared" si="1882"/>
        <v>0</v>
      </c>
      <c r="DQ308">
        <f t="shared" si="1883"/>
        <v>0</v>
      </c>
      <c r="DR308">
        <f t="shared" si="1884"/>
        <v>0</v>
      </c>
      <c r="DT308" s="77"/>
      <c r="DU308" s="8" t="str">
        <f>Hidden!$CG91</f>
        <v/>
      </c>
      <c r="DV308">
        <f t="shared" si="1709"/>
        <v>0</v>
      </c>
      <c r="DW308">
        <f t="shared" si="1710"/>
        <v>0</v>
      </c>
      <c r="DX308">
        <f t="shared" si="1711"/>
        <v>0</v>
      </c>
      <c r="DY308">
        <f t="shared" si="1712"/>
        <v>0</v>
      </c>
      <c r="DZ308">
        <f t="shared" si="1713"/>
        <v>0</v>
      </c>
      <c r="EA308">
        <f t="shared" si="1714"/>
        <v>0</v>
      </c>
      <c r="EB308">
        <f t="shared" si="1715"/>
        <v>0</v>
      </c>
      <c r="EC308">
        <f t="shared" si="1716"/>
        <v>0</v>
      </c>
      <c r="ED308">
        <f t="shared" si="1717"/>
        <v>0</v>
      </c>
      <c r="EE308">
        <f t="shared" si="1718"/>
        <v>0</v>
      </c>
      <c r="EF308">
        <f t="shared" si="1719"/>
        <v>0</v>
      </c>
      <c r="EG308">
        <f t="shared" si="1720"/>
        <v>0</v>
      </c>
      <c r="EH308">
        <f t="shared" si="1721"/>
        <v>0</v>
      </c>
      <c r="EI308">
        <f t="shared" si="1722"/>
        <v>0</v>
      </c>
      <c r="EJ308">
        <f t="shared" si="1723"/>
        <v>0</v>
      </c>
      <c r="EK308">
        <f t="shared" si="1724"/>
        <v>0</v>
      </c>
      <c r="EL308">
        <f t="shared" si="1725"/>
        <v>0</v>
      </c>
      <c r="EM308">
        <f t="shared" si="1726"/>
        <v>0</v>
      </c>
      <c r="EN308">
        <f t="shared" si="1727"/>
        <v>0</v>
      </c>
      <c r="EO308">
        <f t="shared" si="1728"/>
        <v>0</v>
      </c>
      <c r="EP308">
        <f t="shared" si="1729"/>
        <v>0</v>
      </c>
      <c r="EQ308">
        <f t="shared" si="1730"/>
        <v>0</v>
      </c>
      <c r="ER308">
        <f t="shared" si="1912"/>
        <v>0</v>
      </c>
      <c r="ES308">
        <f t="shared" ref="ES308:ET308" si="1962">IF(ES$218,FC203,0)</f>
        <v>0</v>
      </c>
      <c r="ET308">
        <f t="shared" si="1962"/>
        <v>0</v>
      </c>
      <c r="EU308">
        <f t="shared" si="1732"/>
        <v>0</v>
      </c>
      <c r="EV308">
        <f t="shared" si="1913"/>
        <v>0</v>
      </c>
      <c r="EW308">
        <f t="shared" si="1757"/>
        <v>0</v>
      </c>
      <c r="EX308">
        <f t="shared" si="1733"/>
        <v>0</v>
      </c>
      <c r="EY308">
        <f t="shared" si="1734"/>
        <v>0</v>
      </c>
      <c r="EZ308">
        <f t="shared" ref="EZ308:FI308" si="1963">IF(EZ$218,EZ203,0)</f>
        <v>0</v>
      </c>
      <c r="FA308">
        <f t="shared" si="1963"/>
        <v>0</v>
      </c>
      <c r="FB308">
        <f t="shared" si="1963"/>
        <v>0</v>
      </c>
      <c r="FC308">
        <f t="shared" si="1963"/>
        <v>0</v>
      </c>
      <c r="FD308">
        <f t="shared" si="1963"/>
        <v>0</v>
      </c>
      <c r="FE308">
        <f t="shared" si="1963"/>
        <v>0</v>
      </c>
      <c r="FF308">
        <f t="shared" si="1963"/>
        <v>0</v>
      </c>
      <c r="FG308">
        <f t="shared" si="1963"/>
        <v>0</v>
      </c>
      <c r="FH308">
        <f t="shared" si="1963"/>
        <v>0</v>
      </c>
      <c r="FI308">
        <f t="shared" si="1963"/>
        <v>0</v>
      </c>
      <c r="FJ308">
        <f t="shared" si="1736"/>
        <v>0</v>
      </c>
      <c r="FK308">
        <f t="shared" si="1737"/>
        <v>0</v>
      </c>
      <c r="FL308">
        <f t="shared" si="1915"/>
        <v>0</v>
      </c>
      <c r="FM308">
        <f t="shared" si="1759"/>
        <v>0</v>
      </c>
      <c r="FN308">
        <f t="shared" si="1738"/>
        <v>0</v>
      </c>
      <c r="FO308">
        <f t="shared" si="1739"/>
        <v>0</v>
      </c>
      <c r="FP308">
        <f t="shared" si="1740"/>
        <v>0</v>
      </c>
      <c r="FQ308">
        <f t="shared" si="1741"/>
        <v>0</v>
      </c>
      <c r="FR308">
        <f t="shared" si="1742"/>
        <v>0</v>
      </c>
      <c r="FS308">
        <f t="shared" si="1743"/>
        <v>0</v>
      </c>
      <c r="FT308">
        <f t="shared" si="1744"/>
        <v>0</v>
      </c>
      <c r="FU308">
        <f t="shared" si="1745"/>
        <v>0</v>
      </c>
      <c r="FV308">
        <f t="shared" si="1746"/>
        <v>0</v>
      </c>
      <c r="FW308">
        <f t="shared" si="1747"/>
        <v>0</v>
      </c>
      <c r="FX308">
        <f t="shared" si="1916"/>
        <v>0</v>
      </c>
      <c r="FY308">
        <f t="shared" si="1760"/>
        <v>0</v>
      </c>
      <c r="FZ308">
        <f t="shared" si="1748"/>
        <v>0</v>
      </c>
      <c r="GA308">
        <f t="shared" si="1749"/>
        <v>0</v>
      </c>
      <c r="GB308">
        <f t="shared" si="1750"/>
        <v>0</v>
      </c>
      <c r="GC308">
        <f t="shared" si="1751"/>
        <v>0</v>
      </c>
    </row>
    <row r="309" spans="1:187" x14ac:dyDescent="0.2">
      <c r="A309" s="8" t="str">
        <f t="shared" si="1821"/>
        <v/>
      </c>
      <c r="B309" s="8">
        <f t="shared" si="1822"/>
        <v>0</v>
      </c>
      <c r="C309" s="8">
        <f t="shared" si="1823"/>
        <v>0</v>
      </c>
      <c r="D309" s="8">
        <f t="shared" si="1824"/>
        <v>0</v>
      </c>
      <c r="E309" s="8">
        <f t="shared" si="1486"/>
        <v>0</v>
      </c>
      <c r="F309" s="8">
        <f t="shared" si="1887"/>
        <v>0</v>
      </c>
      <c r="G309" s="8">
        <f t="shared" si="1929"/>
        <v>0</v>
      </c>
      <c r="H309" s="8">
        <f t="shared" si="1930"/>
        <v>0</v>
      </c>
      <c r="I309" s="8">
        <f t="shared" si="1931"/>
        <v>0</v>
      </c>
      <c r="J309" s="8">
        <f t="shared" si="1932"/>
        <v>0</v>
      </c>
      <c r="K309" s="8">
        <f t="shared" si="1933"/>
        <v>0</v>
      </c>
      <c r="L309">
        <f t="shared" si="1825"/>
        <v>0</v>
      </c>
      <c r="M309">
        <f t="shared" si="1826"/>
        <v>0</v>
      </c>
      <c r="N309">
        <f t="shared" si="1827"/>
        <v>0</v>
      </c>
      <c r="O309">
        <f t="shared" si="1828"/>
        <v>0</v>
      </c>
      <c r="P309">
        <f t="shared" si="1829"/>
        <v>0</v>
      </c>
      <c r="Q309">
        <f t="shared" si="1830"/>
        <v>0</v>
      </c>
      <c r="R309">
        <f t="shared" si="1831"/>
        <v>0</v>
      </c>
      <c r="S309">
        <f t="shared" si="1832"/>
        <v>0</v>
      </c>
      <c r="T309">
        <f t="shared" si="1833"/>
        <v>0</v>
      </c>
      <c r="U309">
        <f t="shared" si="1834"/>
        <v>0</v>
      </c>
      <c r="V309">
        <f>IF(V$230,LandEmiss!AF204,0)</f>
        <v>0</v>
      </c>
      <c r="W309">
        <f>IF(W$230,LandEmiss!AG204,0)</f>
        <v>0</v>
      </c>
      <c r="X309">
        <f>IF(X$230,LandEmiss!AH204,0)</f>
        <v>0</v>
      </c>
      <c r="Y309">
        <f>IF(Y$230,LandEmiss!AI204,0)</f>
        <v>0</v>
      </c>
      <c r="Z309">
        <f>IF(Z$230,LandEmiss!AJ204,0)</f>
        <v>0</v>
      </c>
      <c r="AA309">
        <f>IF(AA$230,LandEmiss!AK204,0)</f>
        <v>0</v>
      </c>
      <c r="AB309">
        <f>IF(AB$230,LandEmiss!AL204,0)</f>
        <v>0</v>
      </c>
      <c r="AC309">
        <f>IF(AC$230,LandEmiss!AM204,0)</f>
        <v>0</v>
      </c>
      <c r="AD309">
        <f>IF(AD$230,LandEmiss!AN204,0)</f>
        <v>0</v>
      </c>
      <c r="AE309">
        <f>IF(AE$230,LandEmiss!AO204,0)</f>
        <v>0</v>
      </c>
      <c r="AF309">
        <f t="shared" ref="AF309:AO309" si="1964">IF(AF$230,AF204,0)</f>
        <v>0</v>
      </c>
      <c r="AG309">
        <f t="shared" si="1964"/>
        <v>0</v>
      </c>
      <c r="AH309">
        <f t="shared" si="1964"/>
        <v>0</v>
      </c>
      <c r="AI309">
        <f t="shared" si="1964"/>
        <v>0</v>
      </c>
      <c r="AJ309">
        <f t="shared" si="1964"/>
        <v>0</v>
      </c>
      <c r="AK309">
        <f t="shared" si="1964"/>
        <v>0</v>
      </c>
      <c r="AL309">
        <f t="shared" si="1964"/>
        <v>0</v>
      </c>
      <c r="AM309">
        <f t="shared" si="1964"/>
        <v>0</v>
      </c>
      <c r="AN309">
        <f t="shared" si="1964"/>
        <v>0</v>
      </c>
      <c r="AO309">
        <f t="shared" si="1964"/>
        <v>0</v>
      </c>
      <c r="AP309">
        <f t="shared" si="1836"/>
        <v>0</v>
      </c>
      <c r="AQ309">
        <f t="shared" si="1837"/>
        <v>0</v>
      </c>
      <c r="AR309">
        <f t="shared" si="1838"/>
        <v>0</v>
      </c>
      <c r="AS309">
        <f t="shared" si="1839"/>
        <v>0</v>
      </c>
      <c r="AT309">
        <f t="shared" si="1840"/>
        <v>0</v>
      </c>
      <c r="AU309">
        <f t="shared" si="1841"/>
        <v>0</v>
      </c>
      <c r="AV309">
        <f t="shared" si="1842"/>
        <v>0</v>
      </c>
      <c r="AW309">
        <f t="shared" si="1843"/>
        <v>0</v>
      </c>
      <c r="AX309">
        <f t="shared" si="1844"/>
        <v>0</v>
      </c>
      <c r="AY309">
        <f t="shared" si="1845"/>
        <v>0</v>
      </c>
      <c r="AZ309">
        <f t="shared" si="1846"/>
        <v>0</v>
      </c>
      <c r="BA309">
        <f t="shared" si="1847"/>
        <v>0</v>
      </c>
      <c r="BB309">
        <f t="shared" si="1848"/>
        <v>0</v>
      </c>
      <c r="BC309">
        <f t="shared" si="1849"/>
        <v>0</v>
      </c>
      <c r="BD309">
        <f t="shared" si="1850"/>
        <v>0</v>
      </c>
      <c r="BE309">
        <f t="shared" si="1851"/>
        <v>0</v>
      </c>
      <c r="BF309">
        <f t="shared" si="1852"/>
        <v>0</v>
      </c>
      <c r="BG309">
        <f t="shared" si="1853"/>
        <v>0</v>
      </c>
      <c r="BH309">
        <f t="shared" si="1488"/>
        <v>0</v>
      </c>
      <c r="BI309">
        <f t="shared" si="1889"/>
        <v>0</v>
      </c>
      <c r="BJ309" s="8" t="str">
        <f>Hidden!$CC80</f>
        <v/>
      </c>
      <c r="BK309">
        <f t="shared" ref="BK309:BT309" si="1965">IF(BK$230,CP204,0)</f>
        <v>0</v>
      </c>
      <c r="BL309">
        <f t="shared" si="1965"/>
        <v>0</v>
      </c>
      <c r="BM309">
        <f t="shared" si="1965"/>
        <v>0</v>
      </c>
      <c r="BN309">
        <f t="shared" si="1965"/>
        <v>0</v>
      </c>
      <c r="BO309">
        <f t="shared" si="1965"/>
        <v>0</v>
      </c>
      <c r="BP309">
        <f t="shared" si="1965"/>
        <v>0</v>
      </c>
      <c r="BQ309">
        <f t="shared" si="1965"/>
        <v>0</v>
      </c>
      <c r="BR309">
        <f t="shared" si="1965"/>
        <v>0</v>
      </c>
      <c r="BS309">
        <f t="shared" si="1965"/>
        <v>0</v>
      </c>
      <c r="BT309">
        <f t="shared" si="1965"/>
        <v>0</v>
      </c>
      <c r="BU309">
        <f t="shared" ref="BU309:CD309" si="1966">IF(BU$230,CP204,0)</f>
        <v>0</v>
      </c>
      <c r="BV309">
        <f t="shared" si="1966"/>
        <v>0</v>
      </c>
      <c r="BW309">
        <f t="shared" si="1966"/>
        <v>0</v>
      </c>
      <c r="BX309">
        <f t="shared" si="1966"/>
        <v>0</v>
      </c>
      <c r="BY309">
        <f t="shared" si="1966"/>
        <v>0</v>
      </c>
      <c r="BZ309">
        <f t="shared" si="1966"/>
        <v>0</v>
      </c>
      <c r="CA309">
        <f t="shared" si="1966"/>
        <v>0</v>
      </c>
      <c r="CB309">
        <f t="shared" si="1966"/>
        <v>0</v>
      </c>
      <c r="CC309">
        <f t="shared" si="1966"/>
        <v>0</v>
      </c>
      <c r="CD309">
        <f t="shared" si="1966"/>
        <v>0</v>
      </c>
      <c r="CE309">
        <f t="shared" si="1856"/>
        <v>0</v>
      </c>
      <c r="CF309">
        <f t="shared" si="1857"/>
        <v>0</v>
      </c>
      <c r="CG309">
        <f t="shared" si="1858"/>
        <v>0</v>
      </c>
      <c r="CH309">
        <f t="shared" si="1859"/>
        <v>0</v>
      </c>
      <c r="CI309">
        <f t="shared" si="1860"/>
        <v>0</v>
      </c>
      <c r="CJ309">
        <f t="shared" si="1491"/>
        <v>0</v>
      </c>
      <c r="CK309">
        <f t="shared" si="1892"/>
        <v>0</v>
      </c>
      <c r="CL309">
        <f t="shared" si="1861"/>
        <v>0</v>
      </c>
      <c r="CM309">
        <f t="shared" si="1862"/>
        <v>0</v>
      </c>
      <c r="CN309">
        <f t="shared" si="1863"/>
        <v>0</v>
      </c>
      <c r="CO309">
        <f t="shared" ref="CO309:CX309" si="1967">IF(CO$230,CP204,0)</f>
        <v>0</v>
      </c>
      <c r="CP309">
        <f t="shared" si="1967"/>
        <v>0</v>
      </c>
      <c r="CQ309">
        <f t="shared" si="1967"/>
        <v>0</v>
      </c>
      <c r="CR309">
        <f t="shared" si="1967"/>
        <v>0</v>
      </c>
      <c r="CS309">
        <f t="shared" si="1967"/>
        <v>0</v>
      </c>
      <c r="CT309">
        <f t="shared" si="1967"/>
        <v>0</v>
      </c>
      <c r="CU309">
        <f t="shared" si="1967"/>
        <v>0</v>
      </c>
      <c r="CV309">
        <f t="shared" si="1967"/>
        <v>0</v>
      </c>
      <c r="CW309">
        <f t="shared" si="1967"/>
        <v>0</v>
      </c>
      <c r="CX309">
        <f t="shared" si="1967"/>
        <v>0</v>
      </c>
      <c r="CY309">
        <f t="shared" si="1865"/>
        <v>0</v>
      </c>
      <c r="CZ309">
        <f t="shared" si="1866"/>
        <v>0</v>
      </c>
      <c r="DA309">
        <f t="shared" si="1867"/>
        <v>0</v>
      </c>
      <c r="DB309">
        <f t="shared" si="1868"/>
        <v>0</v>
      </c>
      <c r="DC309">
        <f t="shared" si="1869"/>
        <v>0</v>
      </c>
      <c r="DD309">
        <f t="shared" si="1870"/>
        <v>0</v>
      </c>
      <c r="DE309">
        <f t="shared" si="1871"/>
        <v>0</v>
      </c>
      <c r="DF309">
        <f t="shared" si="1872"/>
        <v>0</v>
      </c>
      <c r="DG309">
        <f t="shared" si="1873"/>
        <v>0</v>
      </c>
      <c r="DH309">
        <f t="shared" si="1874"/>
        <v>0</v>
      </c>
      <c r="DI309">
        <f t="shared" si="1875"/>
        <v>0</v>
      </c>
      <c r="DJ309">
        <f t="shared" si="1876"/>
        <v>0</v>
      </c>
      <c r="DK309">
        <f t="shared" si="1877"/>
        <v>0</v>
      </c>
      <c r="DL309">
        <f t="shared" si="1878"/>
        <v>0</v>
      </c>
      <c r="DM309">
        <f t="shared" si="1879"/>
        <v>0</v>
      </c>
      <c r="DN309">
        <f t="shared" si="1880"/>
        <v>0</v>
      </c>
      <c r="DO309">
        <f t="shared" si="1881"/>
        <v>0</v>
      </c>
      <c r="DP309">
        <f t="shared" si="1882"/>
        <v>0</v>
      </c>
      <c r="DQ309">
        <f t="shared" si="1883"/>
        <v>0</v>
      </c>
      <c r="DR309">
        <f t="shared" si="1884"/>
        <v>0</v>
      </c>
      <c r="DT309" s="77"/>
      <c r="DU309" s="8" t="str">
        <f>Hidden!$CG92</f>
        <v/>
      </c>
      <c r="DV309">
        <f t="shared" si="1709"/>
        <v>0</v>
      </c>
      <c r="DW309">
        <f t="shared" si="1710"/>
        <v>0</v>
      </c>
      <c r="DX309">
        <f t="shared" si="1711"/>
        <v>0</v>
      </c>
      <c r="DY309">
        <f t="shared" si="1712"/>
        <v>0</v>
      </c>
      <c r="DZ309">
        <f t="shared" si="1713"/>
        <v>0</v>
      </c>
      <c r="EA309">
        <f t="shared" si="1714"/>
        <v>0</v>
      </c>
      <c r="EB309">
        <f t="shared" si="1715"/>
        <v>0</v>
      </c>
      <c r="EC309">
        <f t="shared" si="1716"/>
        <v>0</v>
      </c>
      <c r="ED309">
        <f t="shared" si="1717"/>
        <v>0</v>
      </c>
      <c r="EE309">
        <f t="shared" si="1718"/>
        <v>0</v>
      </c>
      <c r="EF309">
        <f t="shared" si="1719"/>
        <v>0</v>
      </c>
      <c r="EG309">
        <f t="shared" si="1720"/>
        <v>0</v>
      </c>
      <c r="EH309">
        <f t="shared" si="1721"/>
        <v>0</v>
      </c>
      <c r="EI309">
        <f t="shared" si="1722"/>
        <v>0</v>
      </c>
      <c r="EJ309">
        <f t="shared" si="1723"/>
        <v>0</v>
      </c>
      <c r="EK309">
        <f t="shared" si="1724"/>
        <v>0</v>
      </c>
      <c r="EL309">
        <f t="shared" si="1725"/>
        <v>0</v>
      </c>
      <c r="EM309">
        <f t="shared" si="1726"/>
        <v>0</v>
      </c>
      <c r="EN309">
        <f t="shared" si="1727"/>
        <v>0</v>
      </c>
      <c r="EO309">
        <f t="shared" si="1728"/>
        <v>0</v>
      </c>
      <c r="EP309">
        <f t="shared" si="1729"/>
        <v>0</v>
      </c>
      <c r="EQ309">
        <f t="shared" si="1730"/>
        <v>0</v>
      </c>
      <c r="ER309">
        <f t="shared" si="1912"/>
        <v>0</v>
      </c>
      <c r="ES309">
        <f t="shared" ref="ES309:ET309" si="1968">IF(ES$218,FC204,0)</f>
        <v>0</v>
      </c>
      <c r="ET309">
        <f t="shared" si="1968"/>
        <v>0</v>
      </c>
      <c r="EU309">
        <f t="shared" si="1732"/>
        <v>0</v>
      </c>
      <c r="EV309">
        <f t="shared" si="1913"/>
        <v>0</v>
      </c>
      <c r="EW309">
        <f t="shared" si="1757"/>
        <v>0</v>
      </c>
      <c r="EX309">
        <f t="shared" si="1733"/>
        <v>0</v>
      </c>
      <c r="EY309">
        <f t="shared" si="1734"/>
        <v>0</v>
      </c>
      <c r="EZ309">
        <f t="shared" ref="EZ309:FI309" si="1969">IF(EZ$218,EZ204,0)</f>
        <v>0</v>
      </c>
      <c r="FA309">
        <f t="shared" si="1969"/>
        <v>0</v>
      </c>
      <c r="FB309">
        <f t="shared" si="1969"/>
        <v>0</v>
      </c>
      <c r="FC309">
        <f t="shared" si="1969"/>
        <v>0</v>
      </c>
      <c r="FD309">
        <f t="shared" si="1969"/>
        <v>0</v>
      </c>
      <c r="FE309">
        <f t="shared" si="1969"/>
        <v>0</v>
      </c>
      <c r="FF309">
        <f t="shared" si="1969"/>
        <v>0</v>
      </c>
      <c r="FG309">
        <f t="shared" si="1969"/>
        <v>0</v>
      </c>
      <c r="FH309">
        <f t="shared" si="1969"/>
        <v>0</v>
      </c>
      <c r="FI309">
        <f t="shared" si="1969"/>
        <v>0</v>
      </c>
      <c r="FJ309">
        <f t="shared" si="1736"/>
        <v>0</v>
      </c>
      <c r="FK309">
        <f t="shared" si="1737"/>
        <v>0</v>
      </c>
      <c r="FL309">
        <f t="shared" si="1915"/>
        <v>0</v>
      </c>
      <c r="FM309">
        <f t="shared" si="1759"/>
        <v>0</v>
      </c>
      <c r="FN309">
        <f t="shared" si="1738"/>
        <v>0</v>
      </c>
      <c r="FO309">
        <f t="shared" si="1739"/>
        <v>0</v>
      </c>
      <c r="FP309">
        <f t="shared" si="1740"/>
        <v>0</v>
      </c>
      <c r="FQ309">
        <f t="shared" si="1741"/>
        <v>0</v>
      </c>
      <c r="FR309">
        <f t="shared" si="1742"/>
        <v>0</v>
      </c>
      <c r="FS309">
        <f t="shared" si="1743"/>
        <v>0</v>
      </c>
      <c r="FT309">
        <f t="shared" si="1744"/>
        <v>0</v>
      </c>
      <c r="FU309">
        <f t="shared" si="1745"/>
        <v>0</v>
      </c>
      <c r="FV309">
        <f t="shared" si="1746"/>
        <v>0</v>
      </c>
      <c r="FW309">
        <f t="shared" si="1747"/>
        <v>0</v>
      </c>
      <c r="FX309">
        <f t="shared" si="1916"/>
        <v>0</v>
      </c>
      <c r="FY309">
        <f t="shared" si="1760"/>
        <v>0</v>
      </c>
      <c r="FZ309">
        <f t="shared" si="1748"/>
        <v>0</v>
      </c>
      <c r="GA309">
        <f t="shared" si="1749"/>
        <v>0</v>
      </c>
      <c r="GB309">
        <f t="shared" si="1750"/>
        <v>0</v>
      </c>
      <c r="GC309">
        <f t="shared" si="1751"/>
        <v>0</v>
      </c>
    </row>
    <row r="310" spans="1:187" x14ac:dyDescent="0.2">
      <c r="A310" s="8" t="str">
        <f t="shared" si="1821"/>
        <v/>
      </c>
      <c r="B310" s="8">
        <f t="shared" si="1822"/>
        <v>0</v>
      </c>
      <c r="C310" s="8">
        <f t="shared" si="1823"/>
        <v>0</v>
      </c>
      <c r="D310" s="8">
        <f t="shared" si="1824"/>
        <v>0</v>
      </c>
      <c r="E310" s="8">
        <f t="shared" si="1486"/>
        <v>0</v>
      </c>
      <c r="F310" s="8">
        <f t="shared" si="1887"/>
        <v>0</v>
      </c>
      <c r="G310" s="8">
        <f t="shared" si="1929"/>
        <v>0</v>
      </c>
      <c r="H310" s="8">
        <f t="shared" si="1930"/>
        <v>0</v>
      </c>
      <c r="I310" s="8">
        <f t="shared" si="1931"/>
        <v>0</v>
      </c>
      <c r="J310" s="8">
        <f t="shared" si="1932"/>
        <v>0</v>
      </c>
      <c r="K310" s="8">
        <f t="shared" si="1933"/>
        <v>0</v>
      </c>
      <c r="L310">
        <f t="shared" si="1825"/>
        <v>0</v>
      </c>
      <c r="M310">
        <f t="shared" si="1826"/>
        <v>0</v>
      </c>
      <c r="N310">
        <f t="shared" si="1827"/>
        <v>0</v>
      </c>
      <c r="O310">
        <f t="shared" si="1828"/>
        <v>0</v>
      </c>
      <c r="P310">
        <f t="shared" si="1829"/>
        <v>0</v>
      </c>
      <c r="Q310">
        <f t="shared" si="1830"/>
        <v>0</v>
      </c>
      <c r="R310">
        <f t="shared" si="1831"/>
        <v>0</v>
      </c>
      <c r="S310">
        <f t="shared" si="1832"/>
        <v>0</v>
      </c>
      <c r="T310">
        <f t="shared" si="1833"/>
        <v>0</v>
      </c>
      <c r="U310">
        <f t="shared" si="1834"/>
        <v>0</v>
      </c>
      <c r="V310">
        <f>IF(V$230,LandEmiss!AF205,0)</f>
        <v>0</v>
      </c>
      <c r="W310">
        <f>IF(W$230,LandEmiss!AG205,0)</f>
        <v>0</v>
      </c>
      <c r="X310">
        <f>IF(X$230,LandEmiss!AH205,0)</f>
        <v>0</v>
      </c>
      <c r="Y310">
        <f>IF(Y$230,LandEmiss!AI205,0)</f>
        <v>0</v>
      </c>
      <c r="Z310">
        <f>IF(Z$230,LandEmiss!AJ205,0)</f>
        <v>0</v>
      </c>
      <c r="AA310">
        <f>IF(AA$230,LandEmiss!AK205,0)</f>
        <v>0</v>
      </c>
      <c r="AB310">
        <f>IF(AB$230,LandEmiss!AL205,0)</f>
        <v>0</v>
      </c>
      <c r="AC310">
        <f>IF(AC$230,LandEmiss!AM205,0)</f>
        <v>0</v>
      </c>
      <c r="AD310">
        <f>IF(AD$230,LandEmiss!AN205,0)</f>
        <v>0</v>
      </c>
      <c r="AE310">
        <f>IF(AE$230,LandEmiss!AO205,0)</f>
        <v>0</v>
      </c>
      <c r="AF310">
        <f t="shared" ref="AF310:AO310" si="1970">IF(AF$230,AF205,0)</f>
        <v>0</v>
      </c>
      <c r="AG310">
        <f t="shared" si="1970"/>
        <v>0</v>
      </c>
      <c r="AH310">
        <f t="shared" si="1970"/>
        <v>0</v>
      </c>
      <c r="AI310">
        <f t="shared" si="1970"/>
        <v>0</v>
      </c>
      <c r="AJ310">
        <f t="shared" si="1970"/>
        <v>0</v>
      </c>
      <c r="AK310">
        <f t="shared" si="1970"/>
        <v>0</v>
      </c>
      <c r="AL310">
        <f t="shared" si="1970"/>
        <v>0</v>
      </c>
      <c r="AM310">
        <f t="shared" si="1970"/>
        <v>0</v>
      </c>
      <c r="AN310">
        <f t="shared" si="1970"/>
        <v>0</v>
      </c>
      <c r="AO310">
        <f t="shared" si="1970"/>
        <v>0</v>
      </c>
      <c r="AP310">
        <f t="shared" si="1836"/>
        <v>0</v>
      </c>
      <c r="AQ310">
        <f t="shared" si="1837"/>
        <v>0</v>
      </c>
      <c r="AR310">
        <f t="shared" si="1838"/>
        <v>0</v>
      </c>
      <c r="AS310">
        <f t="shared" si="1839"/>
        <v>0</v>
      </c>
      <c r="AT310">
        <f t="shared" si="1840"/>
        <v>0</v>
      </c>
      <c r="AU310">
        <f t="shared" si="1841"/>
        <v>0</v>
      </c>
      <c r="AV310">
        <f t="shared" si="1842"/>
        <v>0</v>
      </c>
      <c r="AW310">
        <f t="shared" si="1843"/>
        <v>0</v>
      </c>
      <c r="AX310">
        <f t="shared" si="1844"/>
        <v>0</v>
      </c>
      <c r="AY310">
        <f t="shared" si="1845"/>
        <v>0</v>
      </c>
      <c r="AZ310">
        <f t="shared" si="1846"/>
        <v>0</v>
      </c>
      <c r="BA310">
        <f t="shared" si="1847"/>
        <v>0</v>
      </c>
      <c r="BB310">
        <f t="shared" si="1848"/>
        <v>0</v>
      </c>
      <c r="BC310">
        <f t="shared" si="1849"/>
        <v>0</v>
      </c>
      <c r="BD310">
        <f t="shared" si="1850"/>
        <v>0</v>
      </c>
      <c r="BE310">
        <f t="shared" si="1851"/>
        <v>0</v>
      </c>
      <c r="BF310">
        <f t="shared" si="1852"/>
        <v>0</v>
      </c>
      <c r="BG310">
        <f t="shared" si="1853"/>
        <v>0</v>
      </c>
      <c r="BH310">
        <f t="shared" si="1488"/>
        <v>0</v>
      </c>
      <c r="BI310">
        <f t="shared" si="1889"/>
        <v>0</v>
      </c>
      <c r="BJ310" s="8" t="str">
        <f>Hidden!$CC81</f>
        <v/>
      </c>
      <c r="BK310">
        <f t="shared" ref="BK310:BT310" si="1971">IF(BK$230,CP205,0)</f>
        <v>0</v>
      </c>
      <c r="BL310">
        <f t="shared" si="1971"/>
        <v>0</v>
      </c>
      <c r="BM310">
        <f t="shared" si="1971"/>
        <v>0</v>
      </c>
      <c r="BN310">
        <f t="shared" si="1971"/>
        <v>0</v>
      </c>
      <c r="BO310">
        <f t="shared" si="1971"/>
        <v>0</v>
      </c>
      <c r="BP310">
        <f t="shared" si="1971"/>
        <v>0</v>
      </c>
      <c r="BQ310">
        <f t="shared" si="1971"/>
        <v>0</v>
      </c>
      <c r="BR310">
        <f t="shared" si="1971"/>
        <v>0</v>
      </c>
      <c r="BS310">
        <f t="shared" si="1971"/>
        <v>0</v>
      </c>
      <c r="BT310">
        <f t="shared" si="1971"/>
        <v>0</v>
      </c>
      <c r="BU310">
        <f t="shared" ref="BU310:CD310" si="1972">IF(BU$230,CP205,0)</f>
        <v>0</v>
      </c>
      <c r="BV310">
        <f t="shared" si="1972"/>
        <v>0</v>
      </c>
      <c r="BW310">
        <f t="shared" si="1972"/>
        <v>0</v>
      </c>
      <c r="BX310">
        <f t="shared" si="1972"/>
        <v>0</v>
      </c>
      <c r="BY310">
        <f t="shared" si="1972"/>
        <v>0</v>
      </c>
      <c r="BZ310">
        <f t="shared" si="1972"/>
        <v>0</v>
      </c>
      <c r="CA310">
        <f t="shared" si="1972"/>
        <v>0</v>
      </c>
      <c r="CB310">
        <f t="shared" si="1972"/>
        <v>0</v>
      </c>
      <c r="CC310">
        <f t="shared" si="1972"/>
        <v>0</v>
      </c>
      <c r="CD310">
        <f t="shared" si="1972"/>
        <v>0</v>
      </c>
      <c r="CE310">
        <f t="shared" si="1856"/>
        <v>0</v>
      </c>
      <c r="CF310">
        <f t="shared" si="1857"/>
        <v>0</v>
      </c>
      <c r="CG310">
        <f t="shared" si="1858"/>
        <v>0</v>
      </c>
      <c r="CH310">
        <f t="shared" si="1859"/>
        <v>0</v>
      </c>
      <c r="CI310">
        <f t="shared" si="1860"/>
        <v>0</v>
      </c>
      <c r="CJ310">
        <f t="shared" si="1491"/>
        <v>0</v>
      </c>
      <c r="CK310">
        <f t="shared" si="1892"/>
        <v>0</v>
      </c>
      <c r="CL310">
        <f t="shared" si="1861"/>
        <v>0</v>
      </c>
      <c r="CM310">
        <f t="shared" si="1862"/>
        <v>0</v>
      </c>
      <c r="CN310">
        <f t="shared" si="1863"/>
        <v>0</v>
      </c>
      <c r="CO310">
        <f t="shared" ref="CO310:CX310" si="1973">IF(CO$230,CP205,0)</f>
        <v>0</v>
      </c>
      <c r="CP310">
        <f t="shared" si="1973"/>
        <v>0</v>
      </c>
      <c r="CQ310">
        <f t="shared" si="1973"/>
        <v>0</v>
      </c>
      <c r="CR310">
        <f t="shared" si="1973"/>
        <v>0</v>
      </c>
      <c r="CS310">
        <f t="shared" si="1973"/>
        <v>0</v>
      </c>
      <c r="CT310">
        <f t="shared" si="1973"/>
        <v>0</v>
      </c>
      <c r="CU310">
        <f t="shared" si="1973"/>
        <v>0</v>
      </c>
      <c r="CV310">
        <f t="shared" si="1973"/>
        <v>0</v>
      </c>
      <c r="CW310">
        <f t="shared" si="1973"/>
        <v>0</v>
      </c>
      <c r="CX310">
        <f t="shared" si="1973"/>
        <v>0</v>
      </c>
      <c r="CY310">
        <f t="shared" si="1865"/>
        <v>0</v>
      </c>
      <c r="CZ310">
        <f t="shared" si="1866"/>
        <v>0</v>
      </c>
      <c r="DA310">
        <f t="shared" si="1867"/>
        <v>0</v>
      </c>
      <c r="DB310">
        <f t="shared" si="1868"/>
        <v>0</v>
      </c>
      <c r="DC310">
        <f t="shared" si="1869"/>
        <v>0</v>
      </c>
      <c r="DD310">
        <f t="shared" si="1870"/>
        <v>0</v>
      </c>
      <c r="DE310">
        <f t="shared" si="1871"/>
        <v>0</v>
      </c>
      <c r="DF310">
        <f t="shared" si="1872"/>
        <v>0</v>
      </c>
      <c r="DG310">
        <f t="shared" si="1873"/>
        <v>0</v>
      </c>
      <c r="DH310">
        <f t="shared" si="1874"/>
        <v>0</v>
      </c>
      <c r="DI310">
        <f t="shared" si="1875"/>
        <v>0</v>
      </c>
      <c r="DJ310">
        <f t="shared" si="1876"/>
        <v>0</v>
      </c>
      <c r="DK310">
        <f t="shared" si="1877"/>
        <v>0</v>
      </c>
      <c r="DL310">
        <f t="shared" si="1878"/>
        <v>0</v>
      </c>
      <c r="DM310">
        <f t="shared" si="1879"/>
        <v>0</v>
      </c>
      <c r="DN310">
        <f t="shared" si="1880"/>
        <v>0</v>
      </c>
      <c r="DO310">
        <f t="shared" si="1881"/>
        <v>0</v>
      </c>
      <c r="DP310">
        <f t="shared" si="1882"/>
        <v>0</v>
      </c>
      <c r="DQ310">
        <f t="shared" si="1883"/>
        <v>0</v>
      </c>
      <c r="DR310">
        <f t="shared" si="1884"/>
        <v>0</v>
      </c>
      <c r="DT310" s="77"/>
      <c r="DU310" s="8" t="str">
        <f>Hidden!$CG93</f>
        <v/>
      </c>
      <c r="DV310">
        <f t="shared" si="1709"/>
        <v>0</v>
      </c>
      <c r="DW310">
        <f t="shared" si="1710"/>
        <v>0</v>
      </c>
      <c r="DX310">
        <f t="shared" si="1711"/>
        <v>0</v>
      </c>
      <c r="DY310">
        <f t="shared" si="1712"/>
        <v>0</v>
      </c>
      <c r="DZ310">
        <f t="shared" si="1713"/>
        <v>0</v>
      </c>
      <c r="EA310">
        <f t="shared" si="1714"/>
        <v>0</v>
      </c>
      <c r="EB310">
        <f t="shared" si="1715"/>
        <v>0</v>
      </c>
      <c r="EC310">
        <f t="shared" si="1716"/>
        <v>0</v>
      </c>
      <c r="ED310">
        <f t="shared" si="1717"/>
        <v>0</v>
      </c>
      <c r="EE310">
        <f t="shared" si="1718"/>
        <v>0</v>
      </c>
      <c r="EF310">
        <f t="shared" si="1719"/>
        <v>0</v>
      </c>
      <c r="EG310">
        <f t="shared" si="1720"/>
        <v>0</v>
      </c>
      <c r="EH310">
        <f t="shared" si="1721"/>
        <v>0</v>
      </c>
      <c r="EI310">
        <f t="shared" si="1722"/>
        <v>0</v>
      </c>
      <c r="EJ310">
        <f t="shared" si="1723"/>
        <v>0</v>
      </c>
      <c r="EK310">
        <f t="shared" si="1724"/>
        <v>0</v>
      </c>
      <c r="EL310">
        <f t="shared" si="1725"/>
        <v>0</v>
      </c>
      <c r="EM310">
        <f t="shared" si="1726"/>
        <v>0</v>
      </c>
      <c r="EN310">
        <f t="shared" si="1727"/>
        <v>0</v>
      </c>
      <c r="EO310">
        <f t="shared" si="1728"/>
        <v>0</v>
      </c>
      <c r="EP310">
        <f t="shared" si="1729"/>
        <v>0</v>
      </c>
      <c r="EQ310">
        <f t="shared" si="1730"/>
        <v>0</v>
      </c>
      <c r="ER310">
        <f t="shared" si="1912"/>
        <v>0</v>
      </c>
      <c r="ES310">
        <f t="shared" ref="ES310:ET310" si="1974">IF(ES$218,FC205,0)</f>
        <v>0</v>
      </c>
      <c r="ET310">
        <f t="shared" si="1974"/>
        <v>0</v>
      </c>
      <c r="EU310">
        <f t="shared" si="1732"/>
        <v>0</v>
      </c>
      <c r="EV310">
        <f t="shared" si="1913"/>
        <v>0</v>
      </c>
      <c r="EW310">
        <f t="shared" si="1757"/>
        <v>0</v>
      </c>
      <c r="EX310">
        <f t="shared" si="1733"/>
        <v>0</v>
      </c>
      <c r="EY310">
        <f t="shared" si="1734"/>
        <v>0</v>
      </c>
      <c r="EZ310">
        <f t="shared" ref="EZ310:FI310" si="1975">IF(EZ$218,EZ205,0)</f>
        <v>0</v>
      </c>
      <c r="FA310">
        <f t="shared" si="1975"/>
        <v>0</v>
      </c>
      <c r="FB310">
        <f t="shared" si="1975"/>
        <v>0</v>
      </c>
      <c r="FC310">
        <f t="shared" si="1975"/>
        <v>0</v>
      </c>
      <c r="FD310">
        <f t="shared" si="1975"/>
        <v>0</v>
      </c>
      <c r="FE310">
        <f t="shared" si="1975"/>
        <v>0</v>
      </c>
      <c r="FF310">
        <f t="shared" si="1975"/>
        <v>0</v>
      </c>
      <c r="FG310">
        <f t="shared" si="1975"/>
        <v>0</v>
      </c>
      <c r="FH310">
        <f t="shared" si="1975"/>
        <v>0</v>
      </c>
      <c r="FI310">
        <f t="shared" si="1975"/>
        <v>0</v>
      </c>
      <c r="FJ310">
        <f t="shared" si="1736"/>
        <v>0</v>
      </c>
      <c r="FK310">
        <f t="shared" si="1737"/>
        <v>0</v>
      </c>
      <c r="FL310">
        <f t="shared" si="1915"/>
        <v>0</v>
      </c>
      <c r="FM310">
        <f t="shared" si="1759"/>
        <v>0</v>
      </c>
      <c r="FN310">
        <f t="shared" si="1738"/>
        <v>0</v>
      </c>
      <c r="FO310">
        <f t="shared" si="1739"/>
        <v>0</v>
      </c>
      <c r="FP310">
        <f t="shared" si="1740"/>
        <v>0</v>
      </c>
      <c r="FQ310">
        <f t="shared" si="1741"/>
        <v>0</v>
      </c>
      <c r="FR310">
        <f t="shared" si="1742"/>
        <v>0</v>
      </c>
      <c r="FS310">
        <f t="shared" si="1743"/>
        <v>0</v>
      </c>
      <c r="FT310">
        <f t="shared" si="1744"/>
        <v>0</v>
      </c>
      <c r="FU310">
        <f t="shared" si="1745"/>
        <v>0</v>
      </c>
      <c r="FV310">
        <f t="shared" si="1746"/>
        <v>0</v>
      </c>
      <c r="FW310">
        <f t="shared" si="1747"/>
        <v>0</v>
      </c>
      <c r="FX310">
        <f t="shared" si="1916"/>
        <v>0</v>
      </c>
      <c r="FY310">
        <f t="shared" si="1760"/>
        <v>0</v>
      </c>
      <c r="FZ310">
        <f t="shared" si="1748"/>
        <v>0</v>
      </c>
      <c r="GA310">
        <f t="shared" si="1749"/>
        <v>0</v>
      </c>
      <c r="GB310">
        <f t="shared" si="1750"/>
        <v>0</v>
      </c>
      <c r="GC310">
        <f t="shared" si="1751"/>
        <v>0</v>
      </c>
    </row>
    <row r="311" spans="1:187" x14ac:dyDescent="0.2">
      <c r="A311" s="8" t="str">
        <f t="shared" si="1821"/>
        <v/>
      </c>
      <c r="B311" s="8">
        <f t="shared" si="1822"/>
        <v>0</v>
      </c>
      <c r="C311" s="8">
        <f t="shared" si="1823"/>
        <v>0</v>
      </c>
      <c r="D311" s="8">
        <f t="shared" si="1824"/>
        <v>0</v>
      </c>
      <c r="E311" s="8">
        <f t="shared" si="1486"/>
        <v>0</v>
      </c>
      <c r="F311" s="8">
        <f t="shared" si="1887"/>
        <v>0</v>
      </c>
      <c r="G311" s="8">
        <f t="shared" si="1929"/>
        <v>0</v>
      </c>
      <c r="H311" s="8">
        <f t="shared" si="1930"/>
        <v>0</v>
      </c>
      <c r="I311" s="8">
        <f t="shared" si="1931"/>
        <v>0</v>
      </c>
      <c r="J311" s="8">
        <f t="shared" si="1932"/>
        <v>0</v>
      </c>
      <c r="K311" s="8">
        <f t="shared" si="1933"/>
        <v>0</v>
      </c>
      <c r="L311">
        <f t="shared" si="1825"/>
        <v>0</v>
      </c>
      <c r="M311">
        <f t="shared" si="1826"/>
        <v>0</v>
      </c>
      <c r="N311">
        <f t="shared" si="1827"/>
        <v>0</v>
      </c>
      <c r="O311">
        <f t="shared" si="1828"/>
        <v>0</v>
      </c>
      <c r="P311">
        <f t="shared" si="1829"/>
        <v>0</v>
      </c>
      <c r="Q311">
        <f t="shared" si="1830"/>
        <v>0</v>
      </c>
      <c r="R311">
        <f t="shared" si="1831"/>
        <v>0</v>
      </c>
      <c r="S311">
        <f t="shared" si="1832"/>
        <v>0</v>
      </c>
      <c r="T311">
        <f t="shared" si="1833"/>
        <v>0</v>
      </c>
      <c r="U311">
        <f t="shared" si="1834"/>
        <v>0</v>
      </c>
      <c r="V311">
        <f>IF(V$230,LandEmiss!AF206,0)</f>
        <v>0</v>
      </c>
      <c r="W311">
        <f>IF(W$230,LandEmiss!AG206,0)</f>
        <v>0</v>
      </c>
      <c r="X311">
        <f>IF(X$230,LandEmiss!AH206,0)</f>
        <v>0</v>
      </c>
      <c r="Y311">
        <f>IF(Y$230,LandEmiss!AI206,0)</f>
        <v>0</v>
      </c>
      <c r="Z311">
        <f>IF(Z$230,LandEmiss!AJ206,0)</f>
        <v>0</v>
      </c>
      <c r="AA311">
        <f>IF(AA$230,LandEmiss!AK206,0)</f>
        <v>0</v>
      </c>
      <c r="AB311">
        <f>IF(AB$230,LandEmiss!AL206,0)</f>
        <v>0</v>
      </c>
      <c r="AC311">
        <f>IF(AC$230,LandEmiss!AM206,0)</f>
        <v>0</v>
      </c>
      <c r="AD311">
        <f>IF(AD$230,LandEmiss!AN206,0)</f>
        <v>0</v>
      </c>
      <c r="AE311">
        <f>IF(AE$230,LandEmiss!AO206,0)</f>
        <v>0</v>
      </c>
      <c r="AF311">
        <f t="shared" ref="AF311:AO311" si="1976">IF(AF$230,AF206,0)</f>
        <v>0</v>
      </c>
      <c r="AG311">
        <f t="shared" si="1976"/>
        <v>0</v>
      </c>
      <c r="AH311">
        <f t="shared" si="1976"/>
        <v>0</v>
      </c>
      <c r="AI311">
        <f t="shared" si="1976"/>
        <v>0</v>
      </c>
      <c r="AJ311">
        <f t="shared" si="1976"/>
        <v>0</v>
      </c>
      <c r="AK311">
        <f t="shared" si="1976"/>
        <v>0</v>
      </c>
      <c r="AL311">
        <f t="shared" si="1976"/>
        <v>0</v>
      </c>
      <c r="AM311">
        <f t="shared" si="1976"/>
        <v>0</v>
      </c>
      <c r="AN311">
        <f t="shared" si="1976"/>
        <v>0</v>
      </c>
      <c r="AO311">
        <f t="shared" si="1976"/>
        <v>0</v>
      </c>
      <c r="AP311">
        <f t="shared" si="1836"/>
        <v>0</v>
      </c>
      <c r="AQ311">
        <f t="shared" si="1837"/>
        <v>0</v>
      </c>
      <c r="AR311">
        <f t="shared" si="1838"/>
        <v>0</v>
      </c>
      <c r="AS311">
        <f t="shared" si="1839"/>
        <v>0</v>
      </c>
      <c r="AT311">
        <f t="shared" si="1840"/>
        <v>0</v>
      </c>
      <c r="AU311">
        <f t="shared" si="1841"/>
        <v>0</v>
      </c>
      <c r="AV311">
        <f t="shared" si="1842"/>
        <v>0</v>
      </c>
      <c r="AW311">
        <f t="shared" si="1843"/>
        <v>0</v>
      </c>
      <c r="AX311">
        <f t="shared" si="1844"/>
        <v>0</v>
      </c>
      <c r="AY311">
        <f t="shared" si="1845"/>
        <v>0</v>
      </c>
      <c r="AZ311">
        <f t="shared" si="1846"/>
        <v>0</v>
      </c>
      <c r="BA311">
        <f t="shared" si="1847"/>
        <v>0</v>
      </c>
      <c r="BB311">
        <f t="shared" si="1848"/>
        <v>0</v>
      </c>
      <c r="BC311">
        <f t="shared" si="1849"/>
        <v>0</v>
      </c>
      <c r="BD311">
        <f t="shared" si="1850"/>
        <v>0</v>
      </c>
      <c r="BE311">
        <f t="shared" si="1851"/>
        <v>0</v>
      </c>
      <c r="BF311">
        <f t="shared" si="1852"/>
        <v>0</v>
      </c>
      <c r="BG311">
        <f t="shared" si="1853"/>
        <v>0</v>
      </c>
      <c r="BH311">
        <f t="shared" si="1488"/>
        <v>0</v>
      </c>
      <c r="BI311">
        <f t="shared" si="1889"/>
        <v>0</v>
      </c>
      <c r="BJ311" s="8" t="str">
        <f>Hidden!$CC82</f>
        <v/>
      </c>
      <c r="BK311">
        <f t="shared" ref="BK311:BT311" si="1977">IF(BK$230,CP206,0)</f>
        <v>0</v>
      </c>
      <c r="BL311">
        <f t="shared" si="1977"/>
        <v>0</v>
      </c>
      <c r="BM311">
        <f t="shared" si="1977"/>
        <v>0</v>
      </c>
      <c r="BN311">
        <f t="shared" si="1977"/>
        <v>0</v>
      </c>
      <c r="BO311">
        <f t="shared" si="1977"/>
        <v>0</v>
      </c>
      <c r="BP311">
        <f t="shared" si="1977"/>
        <v>0</v>
      </c>
      <c r="BQ311">
        <f t="shared" si="1977"/>
        <v>0</v>
      </c>
      <c r="BR311">
        <f t="shared" si="1977"/>
        <v>0</v>
      </c>
      <c r="BS311">
        <f t="shared" si="1977"/>
        <v>0</v>
      </c>
      <c r="BT311">
        <f t="shared" si="1977"/>
        <v>0</v>
      </c>
      <c r="BU311">
        <f t="shared" ref="BU311:CD311" si="1978">IF(BU$230,CP206,0)</f>
        <v>0</v>
      </c>
      <c r="BV311">
        <f t="shared" si="1978"/>
        <v>0</v>
      </c>
      <c r="BW311">
        <f t="shared" si="1978"/>
        <v>0</v>
      </c>
      <c r="BX311">
        <f t="shared" si="1978"/>
        <v>0</v>
      </c>
      <c r="BY311">
        <f t="shared" si="1978"/>
        <v>0</v>
      </c>
      <c r="BZ311">
        <f t="shared" si="1978"/>
        <v>0</v>
      </c>
      <c r="CA311">
        <f t="shared" si="1978"/>
        <v>0</v>
      </c>
      <c r="CB311">
        <f t="shared" si="1978"/>
        <v>0</v>
      </c>
      <c r="CC311">
        <f t="shared" si="1978"/>
        <v>0</v>
      </c>
      <c r="CD311">
        <f t="shared" si="1978"/>
        <v>0</v>
      </c>
      <c r="CE311">
        <f t="shared" si="1856"/>
        <v>0</v>
      </c>
      <c r="CF311">
        <f t="shared" si="1857"/>
        <v>0</v>
      </c>
      <c r="CG311">
        <f t="shared" si="1858"/>
        <v>0</v>
      </c>
      <c r="CH311">
        <f t="shared" si="1859"/>
        <v>0</v>
      </c>
      <c r="CI311">
        <f t="shared" si="1860"/>
        <v>0</v>
      </c>
      <c r="CJ311">
        <f t="shared" si="1491"/>
        <v>0</v>
      </c>
      <c r="CK311">
        <f t="shared" si="1892"/>
        <v>0</v>
      </c>
      <c r="CL311">
        <f t="shared" si="1861"/>
        <v>0</v>
      </c>
      <c r="CM311">
        <f t="shared" si="1862"/>
        <v>0</v>
      </c>
      <c r="CN311">
        <f t="shared" si="1863"/>
        <v>0</v>
      </c>
      <c r="CO311">
        <f t="shared" ref="CO311:CX311" si="1979">IF(CO$230,CP206,0)</f>
        <v>0</v>
      </c>
      <c r="CP311">
        <f t="shared" si="1979"/>
        <v>0</v>
      </c>
      <c r="CQ311">
        <f t="shared" si="1979"/>
        <v>0</v>
      </c>
      <c r="CR311">
        <f t="shared" si="1979"/>
        <v>0</v>
      </c>
      <c r="CS311">
        <f t="shared" si="1979"/>
        <v>0</v>
      </c>
      <c r="CT311">
        <f t="shared" si="1979"/>
        <v>0</v>
      </c>
      <c r="CU311">
        <f t="shared" si="1979"/>
        <v>0</v>
      </c>
      <c r="CV311">
        <f t="shared" si="1979"/>
        <v>0</v>
      </c>
      <c r="CW311">
        <f t="shared" si="1979"/>
        <v>0</v>
      </c>
      <c r="CX311">
        <f t="shared" si="1979"/>
        <v>0</v>
      </c>
      <c r="CY311">
        <f t="shared" si="1865"/>
        <v>0</v>
      </c>
      <c r="CZ311">
        <f t="shared" si="1866"/>
        <v>0</v>
      </c>
      <c r="DA311">
        <f t="shared" si="1867"/>
        <v>0</v>
      </c>
      <c r="DB311">
        <f t="shared" si="1868"/>
        <v>0</v>
      </c>
      <c r="DC311">
        <f t="shared" si="1869"/>
        <v>0</v>
      </c>
      <c r="DD311">
        <f t="shared" si="1870"/>
        <v>0</v>
      </c>
      <c r="DE311">
        <f t="shared" si="1871"/>
        <v>0</v>
      </c>
      <c r="DF311">
        <f t="shared" si="1872"/>
        <v>0</v>
      </c>
      <c r="DG311">
        <f t="shared" si="1873"/>
        <v>0</v>
      </c>
      <c r="DH311">
        <f t="shared" si="1874"/>
        <v>0</v>
      </c>
      <c r="DI311">
        <f t="shared" si="1875"/>
        <v>0</v>
      </c>
      <c r="DJ311">
        <f t="shared" si="1876"/>
        <v>0</v>
      </c>
      <c r="DK311">
        <f t="shared" si="1877"/>
        <v>0</v>
      </c>
      <c r="DL311">
        <f t="shared" si="1878"/>
        <v>0</v>
      </c>
      <c r="DM311">
        <f t="shared" si="1879"/>
        <v>0</v>
      </c>
      <c r="DN311">
        <f t="shared" si="1880"/>
        <v>0</v>
      </c>
      <c r="DO311">
        <f t="shared" si="1881"/>
        <v>0</v>
      </c>
      <c r="DP311">
        <f t="shared" si="1882"/>
        <v>0</v>
      </c>
      <c r="DQ311">
        <f t="shared" si="1883"/>
        <v>0</v>
      </c>
      <c r="DR311">
        <f t="shared" si="1884"/>
        <v>0</v>
      </c>
      <c r="DT311" s="77"/>
      <c r="DU311" s="8" t="str">
        <f>Hidden!$CG94</f>
        <v/>
      </c>
      <c r="DV311">
        <f t="shared" si="1709"/>
        <v>0</v>
      </c>
      <c r="DW311">
        <f t="shared" si="1710"/>
        <v>0</v>
      </c>
      <c r="DX311">
        <f t="shared" si="1711"/>
        <v>0</v>
      </c>
      <c r="DY311">
        <f t="shared" si="1712"/>
        <v>0</v>
      </c>
      <c r="DZ311">
        <f t="shared" si="1713"/>
        <v>0</v>
      </c>
      <c r="EA311">
        <f t="shared" si="1714"/>
        <v>0</v>
      </c>
      <c r="EB311">
        <f t="shared" si="1715"/>
        <v>0</v>
      </c>
      <c r="EC311">
        <f t="shared" si="1716"/>
        <v>0</v>
      </c>
      <c r="ED311">
        <f t="shared" si="1717"/>
        <v>0</v>
      </c>
      <c r="EE311">
        <f t="shared" si="1718"/>
        <v>0</v>
      </c>
      <c r="EF311">
        <f t="shared" si="1719"/>
        <v>0</v>
      </c>
      <c r="EG311">
        <f t="shared" si="1720"/>
        <v>0</v>
      </c>
      <c r="EH311">
        <f t="shared" si="1721"/>
        <v>0</v>
      </c>
      <c r="EI311">
        <f t="shared" si="1722"/>
        <v>0</v>
      </c>
      <c r="EJ311">
        <f t="shared" si="1723"/>
        <v>0</v>
      </c>
      <c r="EK311">
        <f t="shared" si="1724"/>
        <v>0</v>
      </c>
      <c r="EL311">
        <f t="shared" si="1725"/>
        <v>0</v>
      </c>
      <c r="EM311">
        <f t="shared" si="1726"/>
        <v>0</v>
      </c>
      <c r="EN311">
        <f t="shared" si="1727"/>
        <v>0</v>
      </c>
      <c r="EO311">
        <f t="shared" si="1728"/>
        <v>0</v>
      </c>
      <c r="EP311">
        <f t="shared" si="1729"/>
        <v>0</v>
      </c>
      <c r="EQ311">
        <f t="shared" si="1730"/>
        <v>0</v>
      </c>
      <c r="ER311">
        <f t="shared" si="1912"/>
        <v>0</v>
      </c>
      <c r="ES311">
        <f t="shared" ref="ES311:ET311" si="1980">IF(ES$218,FC206,0)</f>
        <v>0</v>
      </c>
      <c r="ET311">
        <f t="shared" si="1980"/>
        <v>0</v>
      </c>
      <c r="EU311">
        <f t="shared" si="1732"/>
        <v>0</v>
      </c>
      <c r="EV311">
        <f t="shared" si="1913"/>
        <v>0</v>
      </c>
      <c r="EW311">
        <f t="shared" si="1757"/>
        <v>0</v>
      </c>
      <c r="EX311">
        <f t="shared" si="1733"/>
        <v>0</v>
      </c>
      <c r="EY311">
        <f t="shared" si="1734"/>
        <v>0</v>
      </c>
      <c r="EZ311">
        <f t="shared" ref="EZ311:FI311" si="1981">IF(EZ$218,EZ206,0)</f>
        <v>0</v>
      </c>
      <c r="FA311">
        <f t="shared" si="1981"/>
        <v>0</v>
      </c>
      <c r="FB311">
        <f t="shared" si="1981"/>
        <v>0</v>
      </c>
      <c r="FC311">
        <f t="shared" si="1981"/>
        <v>0</v>
      </c>
      <c r="FD311">
        <f t="shared" si="1981"/>
        <v>0</v>
      </c>
      <c r="FE311">
        <f t="shared" si="1981"/>
        <v>0</v>
      </c>
      <c r="FF311">
        <f t="shared" si="1981"/>
        <v>0</v>
      </c>
      <c r="FG311">
        <f t="shared" si="1981"/>
        <v>0</v>
      </c>
      <c r="FH311">
        <f t="shared" si="1981"/>
        <v>0</v>
      </c>
      <c r="FI311">
        <f t="shared" si="1981"/>
        <v>0</v>
      </c>
      <c r="FJ311">
        <f t="shared" si="1736"/>
        <v>0</v>
      </c>
      <c r="FK311">
        <f t="shared" si="1737"/>
        <v>0</v>
      </c>
      <c r="FL311">
        <f t="shared" si="1915"/>
        <v>0</v>
      </c>
      <c r="FM311">
        <f t="shared" si="1759"/>
        <v>0</v>
      </c>
      <c r="FN311">
        <f t="shared" si="1738"/>
        <v>0</v>
      </c>
      <c r="FO311">
        <f t="shared" si="1739"/>
        <v>0</v>
      </c>
      <c r="FP311">
        <f t="shared" si="1740"/>
        <v>0</v>
      </c>
      <c r="FQ311">
        <f t="shared" si="1741"/>
        <v>0</v>
      </c>
      <c r="FR311">
        <f t="shared" si="1742"/>
        <v>0</v>
      </c>
      <c r="FS311">
        <f t="shared" si="1743"/>
        <v>0</v>
      </c>
      <c r="FT311">
        <f t="shared" si="1744"/>
        <v>0</v>
      </c>
      <c r="FU311">
        <f t="shared" si="1745"/>
        <v>0</v>
      </c>
      <c r="FV311">
        <f t="shared" si="1746"/>
        <v>0</v>
      </c>
      <c r="FW311">
        <f t="shared" si="1747"/>
        <v>0</v>
      </c>
      <c r="FX311">
        <f t="shared" si="1916"/>
        <v>0</v>
      </c>
      <c r="FY311">
        <f t="shared" si="1760"/>
        <v>0</v>
      </c>
      <c r="FZ311">
        <f t="shared" si="1748"/>
        <v>0</v>
      </c>
      <c r="GA311">
        <f t="shared" si="1749"/>
        <v>0</v>
      </c>
      <c r="GB311">
        <f t="shared" si="1750"/>
        <v>0</v>
      </c>
      <c r="GC311">
        <f t="shared" si="1751"/>
        <v>0</v>
      </c>
    </row>
    <row r="312" spans="1:187" x14ac:dyDescent="0.2">
      <c r="A312" s="8" t="str">
        <f t="shared" si="1821"/>
        <v/>
      </c>
      <c r="B312" s="8">
        <f t="shared" si="1822"/>
        <v>0</v>
      </c>
      <c r="C312" s="8">
        <f t="shared" si="1823"/>
        <v>0</v>
      </c>
      <c r="D312" s="8">
        <f t="shared" si="1824"/>
        <v>0</v>
      </c>
      <c r="E312" s="8">
        <f t="shared" si="1486"/>
        <v>0</v>
      </c>
      <c r="F312" s="8">
        <f t="shared" si="1887"/>
        <v>0</v>
      </c>
      <c r="G312" s="8">
        <f t="shared" si="1929"/>
        <v>0</v>
      </c>
      <c r="H312" s="8">
        <f t="shared" si="1930"/>
        <v>0</v>
      </c>
      <c r="I312" s="8">
        <f t="shared" si="1931"/>
        <v>0</v>
      </c>
      <c r="J312" s="8">
        <f t="shared" si="1932"/>
        <v>0</v>
      </c>
      <c r="K312" s="8">
        <f t="shared" si="1933"/>
        <v>0</v>
      </c>
      <c r="L312">
        <f t="shared" si="1825"/>
        <v>0</v>
      </c>
      <c r="M312">
        <f t="shared" si="1826"/>
        <v>0</v>
      </c>
      <c r="N312">
        <f t="shared" si="1827"/>
        <v>0</v>
      </c>
      <c r="O312">
        <f t="shared" si="1828"/>
        <v>0</v>
      </c>
      <c r="P312">
        <f t="shared" si="1829"/>
        <v>0</v>
      </c>
      <c r="Q312">
        <f t="shared" si="1830"/>
        <v>0</v>
      </c>
      <c r="R312">
        <f t="shared" si="1831"/>
        <v>0</v>
      </c>
      <c r="S312">
        <f t="shared" si="1832"/>
        <v>0</v>
      </c>
      <c r="T312">
        <f t="shared" si="1833"/>
        <v>0</v>
      </c>
      <c r="U312">
        <f t="shared" si="1834"/>
        <v>0</v>
      </c>
      <c r="V312">
        <f>IF(V$230,LandEmiss!AF207,0)</f>
        <v>0</v>
      </c>
      <c r="W312">
        <f>IF(W$230,LandEmiss!AG207,0)</f>
        <v>0</v>
      </c>
      <c r="X312">
        <f>IF(X$230,LandEmiss!AH207,0)</f>
        <v>0</v>
      </c>
      <c r="Y312">
        <f>IF(Y$230,LandEmiss!AI207,0)</f>
        <v>0</v>
      </c>
      <c r="Z312">
        <f>IF(Z$230,LandEmiss!AJ207,0)</f>
        <v>0</v>
      </c>
      <c r="AA312">
        <f>IF(AA$230,LandEmiss!AK207,0)</f>
        <v>0</v>
      </c>
      <c r="AB312">
        <f>IF(AB$230,LandEmiss!AL207,0)</f>
        <v>0</v>
      </c>
      <c r="AC312">
        <f>IF(AC$230,LandEmiss!AM207,0)</f>
        <v>0</v>
      </c>
      <c r="AD312">
        <f>IF(AD$230,LandEmiss!AN207,0)</f>
        <v>0</v>
      </c>
      <c r="AE312">
        <f>IF(AE$230,LandEmiss!AO207,0)</f>
        <v>0</v>
      </c>
      <c r="AF312">
        <f t="shared" ref="AF312:AO312" si="1982">IF(AF$230,AF207,0)</f>
        <v>0</v>
      </c>
      <c r="AG312">
        <f t="shared" si="1982"/>
        <v>0</v>
      </c>
      <c r="AH312">
        <f t="shared" si="1982"/>
        <v>0</v>
      </c>
      <c r="AI312">
        <f t="shared" si="1982"/>
        <v>0</v>
      </c>
      <c r="AJ312">
        <f t="shared" si="1982"/>
        <v>0</v>
      </c>
      <c r="AK312">
        <f t="shared" si="1982"/>
        <v>0</v>
      </c>
      <c r="AL312">
        <f t="shared" si="1982"/>
        <v>0</v>
      </c>
      <c r="AM312">
        <f t="shared" si="1982"/>
        <v>0</v>
      </c>
      <c r="AN312">
        <f t="shared" si="1982"/>
        <v>0</v>
      </c>
      <c r="AO312">
        <f t="shared" si="1982"/>
        <v>0</v>
      </c>
      <c r="AP312">
        <f t="shared" si="1836"/>
        <v>0</v>
      </c>
      <c r="AQ312">
        <f t="shared" si="1837"/>
        <v>0</v>
      </c>
      <c r="AR312">
        <f t="shared" si="1838"/>
        <v>0</v>
      </c>
      <c r="AS312">
        <f t="shared" si="1839"/>
        <v>0</v>
      </c>
      <c r="AT312">
        <f t="shared" si="1840"/>
        <v>0</v>
      </c>
      <c r="AU312">
        <f t="shared" si="1841"/>
        <v>0</v>
      </c>
      <c r="AV312">
        <f t="shared" si="1842"/>
        <v>0</v>
      </c>
      <c r="AW312">
        <f t="shared" si="1843"/>
        <v>0</v>
      </c>
      <c r="AX312">
        <f t="shared" si="1844"/>
        <v>0</v>
      </c>
      <c r="AY312">
        <f t="shared" si="1845"/>
        <v>0</v>
      </c>
      <c r="AZ312">
        <f t="shared" si="1846"/>
        <v>0</v>
      </c>
      <c r="BA312">
        <f t="shared" si="1847"/>
        <v>0</v>
      </c>
      <c r="BB312">
        <f t="shared" si="1848"/>
        <v>0</v>
      </c>
      <c r="BC312">
        <f t="shared" si="1849"/>
        <v>0</v>
      </c>
      <c r="BD312">
        <f t="shared" si="1850"/>
        <v>0</v>
      </c>
      <c r="BE312">
        <f t="shared" si="1851"/>
        <v>0</v>
      </c>
      <c r="BF312">
        <f t="shared" si="1852"/>
        <v>0</v>
      </c>
      <c r="BG312">
        <f t="shared" si="1853"/>
        <v>0</v>
      </c>
      <c r="BH312">
        <f t="shared" si="1488"/>
        <v>0</v>
      </c>
      <c r="BI312">
        <f t="shared" si="1889"/>
        <v>0</v>
      </c>
      <c r="BJ312" s="8" t="str">
        <f>Hidden!$CC83</f>
        <v/>
      </c>
      <c r="BK312">
        <f t="shared" ref="BK312:BT312" si="1983">IF(BK$230,CP207,0)</f>
        <v>0</v>
      </c>
      <c r="BL312">
        <f t="shared" si="1983"/>
        <v>0</v>
      </c>
      <c r="BM312">
        <f t="shared" si="1983"/>
        <v>0</v>
      </c>
      <c r="BN312">
        <f t="shared" si="1983"/>
        <v>0</v>
      </c>
      <c r="BO312">
        <f t="shared" si="1983"/>
        <v>0</v>
      </c>
      <c r="BP312">
        <f t="shared" si="1983"/>
        <v>0</v>
      </c>
      <c r="BQ312">
        <f t="shared" si="1983"/>
        <v>0</v>
      </c>
      <c r="BR312">
        <f t="shared" si="1983"/>
        <v>0</v>
      </c>
      <c r="BS312">
        <f t="shared" si="1983"/>
        <v>0</v>
      </c>
      <c r="BT312">
        <f t="shared" si="1983"/>
        <v>0</v>
      </c>
      <c r="BU312">
        <f t="shared" ref="BU312:CD312" si="1984">IF(BU$230,CP207,0)</f>
        <v>0</v>
      </c>
      <c r="BV312">
        <f t="shared" si="1984"/>
        <v>0</v>
      </c>
      <c r="BW312">
        <f t="shared" si="1984"/>
        <v>0</v>
      </c>
      <c r="BX312">
        <f t="shared" si="1984"/>
        <v>0</v>
      </c>
      <c r="BY312">
        <f t="shared" si="1984"/>
        <v>0</v>
      </c>
      <c r="BZ312">
        <f t="shared" si="1984"/>
        <v>0</v>
      </c>
      <c r="CA312">
        <f t="shared" si="1984"/>
        <v>0</v>
      </c>
      <c r="CB312">
        <f t="shared" si="1984"/>
        <v>0</v>
      </c>
      <c r="CC312">
        <f t="shared" si="1984"/>
        <v>0</v>
      </c>
      <c r="CD312">
        <f t="shared" si="1984"/>
        <v>0</v>
      </c>
      <c r="CE312">
        <f t="shared" si="1856"/>
        <v>0</v>
      </c>
      <c r="CF312">
        <f t="shared" si="1857"/>
        <v>0</v>
      </c>
      <c r="CG312">
        <f t="shared" si="1858"/>
        <v>0</v>
      </c>
      <c r="CH312">
        <f t="shared" si="1859"/>
        <v>0</v>
      </c>
      <c r="CI312">
        <f t="shared" si="1860"/>
        <v>0</v>
      </c>
      <c r="CJ312">
        <f t="shared" si="1491"/>
        <v>0</v>
      </c>
      <c r="CK312">
        <f t="shared" si="1892"/>
        <v>0</v>
      </c>
      <c r="CL312">
        <f t="shared" si="1861"/>
        <v>0</v>
      </c>
      <c r="CM312">
        <f t="shared" si="1862"/>
        <v>0</v>
      </c>
      <c r="CN312">
        <f t="shared" si="1863"/>
        <v>0</v>
      </c>
      <c r="CO312">
        <f t="shared" ref="CO312:CX312" si="1985">IF(CO$230,CP207,0)</f>
        <v>0</v>
      </c>
      <c r="CP312">
        <f t="shared" si="1985"/>
        <v>0</v>
      </c>
      <c r="CQ312">
        <f t="shared" si="1985"/>
        <v>0</v>
      </c>
      <c r="CR312">
        <f t="shared" si="1985"/>
        <v>0</v>
      </c>
      <c r="CS312">
        <f t="shared" si="1985"/>
        <v>0</v>
      </c>
      <c r="CT312">
        <f t="shared" si="1985"/>
        <v>0</v>
      </c>
      <c r="CU312">
        <f t="shared" si="1985"/>
        <v>0</v>
      </c>
      <c r="CV312">
        <f t="shared" si="1985"/>
        <v>0</v>
      </c>
      <c r="CW312">
        <f t="shared" si="1985"/>
        <v>0</v>
      </c>
      <c r="CX312">
        <f t="shared" si="1985"/>
        <v>0</v>
      </c>
      <c r="CY312">
        <f t="shared" si="1865"/>
        <v>0</v>
      </c>
      <c r="CZ312">
        <f t="shared" si="1866"/>
        <v>0</v>
      </c>
      <c r="DA312">
        <f t="shared" si="1867"/>
        <v>0</v>
      </c>
      <c r="DB312">
        <f t="shared" si="1868"/>
        <v>0</v>
      </c>
      <c r="DC312">
        <f t="shared" si="1869"/>
        <v>0</v>
      </c>
      <c r="DD312">
        <f t="shared" si="1870"/>
        <v>0</v>
      </c>
      <c r="DE312">
        <f t="shared" si="1871"/>
        <v>0</v>
      </c>
      <c r="DF312">
        <f t="shared" si="1872"/>
        <v>0</v>
      </c>
      <c r="DG312">
        <f t="shared" si="1873"/>
        <v>0</v>
      </c>
      <c r="DH312">
        <f t="shared" si="1874"/>
        <v>0</v>
      </c>
      <c r="DI312">
        <f t="shared" si="1875"/>
        <v>0</v>
      </c>
      <c r="DJ312">
        <f t="shared" si="1876"/>
        <v>0</v>
      </c>
      <c r="DK312">
        <f t="shared" si="1877"/>
        <v>0</v>
      </c>
      <c r="DL312">
        <f t="shared" si="1878"/>
        <v>0</v>
      </c>
      <c r="DM312">
        <f t="shared" si="1879"/>
        <v>0</v>
      </c>
      <c r="DN312">
        <f t="shared" si="1880"/>
        <v>0</v>
      </c>
      <c r="DO312">
        <f t="shared" si="1881"/>
        <v>0</v>
      </c>
      <c r="DP312">
        <f t="shared" si="1882"/>
        <v>0</v>
      </c>
      <c r="DQ312">
        <f t="shared" si="1883"/>
        <v>0</v>
      </c>
      <c r="DR312">
        <f t="shared" si="1884"/>
        <v>0</v>
      </c>
      <c r="DT312" s="77"/>
      <c r="DU312" s="8" t="str">
        <f>Hidden!$CG95</f>
        <v/>
      </c>
      <c r="DV312">
        <f t="shared" si="1709"/>
        <v>0</v>
      </c>
      <c r="DW312">
        <f t="shared" si="1710"/>
        <v>0</v>
      </c>
      <c r="DX312">
        <f t="shared" si="1711"/>
        <v>0</v>
      </c>
      <c r="DY312">
        <f t="shared" si="1712"/>
        <v>0</v>
      </c>
      <c r="DZ312">
        <f t="shared" si="1713"/>
        <v>0</v>
      </c>
      <c r="EA312">
        <f t="shared" si="1714"/>
        <v>0</v>
      </c>
      <c r="EB312">
        <f t="shared" si="1715"/>
        <v>0</v>
      </c>
      <c r="EC312">
        <f t="shared" si="1716"/>
        <v>0</v>
      </c>
      <c r="ED312">
        <f t="shared" si="1717"/>
        <v>0</v>
      </c>
      <c r="EE312">
        <f t="shared" si="1718"/>
        <v>0</v>
      </c>
      <c r="EF312">
        <f t="shared" si="1719"/>
        <v>0</v>
      </c>
      <c r="EG312">
        <f t="shared" si="1720"/>
        <v>0</v>
      </c>
      <c r="EH312">
        <f t="shared" si="1721"/>
        <v>0</v>
      </c>
      <c r="EI312">
        <f t="shared" si="1722"/>
        <v>0</v>
      </c>
      <c r="EJ312">
        <f t="shared" si="1723"/>
        <v>0</v>
      </c>
      <c r="EK312">
        <f t="shared" si="1724"/>
        <v>0</v>
      </c>
      <c r="EL312">
        <f t="shared" si="1725"/>
        <v>0</v>
      </c>
      <c r="EM312">
        <f t="shared" si="1726"/>
        <v>0</v>
      </c>
      <c r="EN312">
        <f t="shared" si="1727"/>
        <v>0</v>
      </c>
      <c r="EO312">
        <f t="shared" si="1728"/>
        <v>0</v>
      </c>
      <c r="EP312">
        <f t="shared" si="1729"/>
        <v>0</v>
      </c>
      <c r="EQ312">
        <f t="shared" si="1730"/>
        <v>0</v>
      </c>
      <c r="ER312">
        <f t="shared" si="1912"/>
        <v>0</v>
      </c>
      <c r="ES312">
        <f t="shared" ref="ES312:ET312" si="1986">IF(ES$218,FC207,0)</f>
        <v>0</v>
      </c>
      <c r="ET312">
        <f t="shared" si="1986"/>
        <v>0</v>
      </c>
      <c r="EU312">
        <f t="shared" si="1732"/>
        <v>0</v>
      </c>
      <c r="EV312">
        <f t="shared" si="1913"/>
        <v>0</v>
      </c>
      <c r="EW312">
        <f t="shared" si="1757"/>
        <v>0</v>
      </c>
      <c r="EX312">
        <f t="shared" si="1733"/>
        <v>0</v>
      </c>
      <c r="EY312">
        <f t="shared" si="1734"/>
        <v>0</v>
      </c>
      <c r="EZ312">
        <f t="shared" ref="EZ312:FI312" si="1987">IF(EZ$218,EZ207,0)</f>
        <v>0</v>
      </c>
      <c r="FA312">
        <f t="shared" si="1987"/>
        <v>0</v>
      </c>
      <c r="FB312">
        <f t="shared" si="1987"/>
        <v>0</v>
      </c>
      <c r="FC312">
        <f t="shared" si="1987"/>
        <v>0</v>
      </c>
      <c r="FD312">
        <f t="shared" si="1987"/>
        <v>0</v>
      </c>
      <c r="FE312">
        <f t="shared" si="1987"/>
        <v>0</v>
      </c>
      <c r="FF312">
        <f t="shared" si="1987"/>
        <v>0</v>
      </c>
      <c r="FG312">
        <f t="shared" si="1987"/>
        <v>0</v>
      </c>
      <c r="FH312">
        <f t="shared" si="1987"/>
        <v>0</v>
      </c>
      <c r="FI312">
        <f t="shared" si="1987"/>
        <v>0</v>
      </c>
      <c r="FJ312">
        <f t="shared" si="1736"/>
        <v>0</v>
      </c>
      <c r="FK312">
        <f t="shared" si="1737"/>
        <v>0</v>
      </c>
      <c r="FL312">
        <f t="shared" si="1915"/>
        <v>0</v>
      </c>
      <c r="FM312">
        <f t="shared" si="1759"/>
        <v>0</v>
      </c>
      <c r="FN312">
        <f t="shared" si="1738"/>
        <v>0</v>
      </c>
      <c r="FO312">
        <f t="shared" si="1739"/>
        <v>0</v>
      </c>
      <c r="FP312">
        <f t="shared" si="1740"/>
        <v>0</v>
      </c>
      <c r="FQ312">
        <f t="shared" si="1741"/>
        <v>0</v>
      </c>
      <c r="FR312">
        <f t="shared" si="1742"/>
        <v>0</v>
      </c>
      <c r="FS312">
        <f t="shared" si="1743"/>
        <v>0</v>
      </c>
      <c r="FT312">
        <f t="shared" si="1744"/>
        <v>0</v>
      </c>
      <c r="FU312">
        <f t="shared" si="1745"/>
        <v>0</v>
      </c>
      <c r="FV312">
        <f t="shared" si="1746"/>
        <v>0</v>
      </c>
      <c r="FW312">
        <f t="shared" si="1747"/>
        <v>0</v>
      </c>
      <c r="FX312">
        <f t="shared" si="1916"/>
        <v>0</v>
      </c>
      <c r="FY312">
        <f t="shared" si="1760"/>
        <v>0</v>
      </c>
      <c r="FZ312">
        <f t="shared" si="1748"/>
        <v>0</v>
      </c>
      <c r="GA312">
        <f t="shared" si="1749"/>
        <v>0</v>
      </c>
      <c r="GB312">
        <f t="shared" si="1750"/>
        <v>0</v>
      </c>
      <c r="GC312">
        <f t="shared" si="1751"/>
        <v>0</v>
      </c>
    </row>
    <row r="313" spans="1:187" x14ac:dyDescent="0.2">
      <c r="A313" s="8" t="str">
        <f t="shared" si="1821"/>
        <v/>
      </c>
      <c r="B313" s="8">
        <f t="shared" si="1822"/>
        <v>0</v>
      </c>
      <c r="C313" s="8">
        <f t="shared" si="1823"/>
        <v>0</v>
      </c>
      <c r="D313" s="8">
        <f t="shared" si="1824"/>
        <v>0</v>
      </c>
      <c r="E313" s="8">
        <f t="shared" ref="E313:E331" si="1988">IF(E$230,AI208,0)</f>
        <v>0</v>
      </c>
      <c r="F313" s="8">
        <f t="shared" si="1887"/>
        <v>0</v>
      </c>
      <c r="G313" s="8">
        <f t="shared" si="1929"/>
        <v>0</v>
      </c>
      <c r="H313" s="8">
        <f t="shared" si="1930"/>
        <v>0</v>
      </c>
      <c r="I313" s="8">
        <f t="shared" si="1931"/>
        <v>0</v>
      </c>
      <c r="J313" s="8">
        <f t="shared" si="1932"/>
        <v>0</v>
      </c>
      <c r="K313" s="8">
        <f t="shared" si="1933"/>
        <v>0</v>
      </c>
      <c r="L313">
        <f t="shared" si="1825"/>
        <v>0</v>
      </c>
      <c r="M313">
        <f t="shared" si="1826"/>
        <v>0</v>
      </c>
      <c r="N313">
        <f t="shared" si="1827"/>
        <v>0</v>
      </c>
      <c r="O313">
        <f t="shared" si="1828"/>
        <v>0</v>
      </c>
      <c r="P313">
        <f t="shared" si="1829"/>
        <v>0</v>
      </c>
      <c r="Q313">
        <f t="shared" si="1830"/>
        <v>0</v>
      </c>
      <c r="R313">
        <f t="shared" si="1831"/>
        <v>0</v>
      </c>
      <c r="S313">
        <f t="shared" si="1832"/>
        <v>0</v>
      </c>
      <c r="T313">
        <f t="shared" si="1833"/>
        <v>0</v>
      </c>
      <c r="U313">
        <f t="shared" si="1834"/>
        <v>0</v>
      </c>
      <c r="V313">
        <f>IF(V$230,LandEmiss!AF208,0)</f>
        <v>0</v>
      </c>
      <c r="W313">
        <f>IF(W$230,LandEmiss!AG208,0)</f>
        <v>0</v>
      </c>
      <c r="X313">
        <f>IF(X$230,LandEmiss!AH208,0)</f>
        <v>0</v>
      </c>
      <c r="Y313">
        <f>IF(Y$230,LandEmiss!AI208,0)</f>
        <v>0</v>
      </c>
      <c r="Z313">
        <f>IF(Z$230,LandEmiss!AJ208,0)</f>
        <v>0</v>
      </c>
      <c r="AA313">
        <f>IF(AA$230,LandEmiss!AK208,0)</f>
        <v>0</v>
      </c>
      <c r="AB313">
        <f>IF(AB$230,LandEmiss!AL208,0)</f>
        <v>0</v>
      </c>
      <c r="AC313">
        <f>IF(AC$230,LandEmiss!AM208,0)</f>
        <v>0</v>
      </c>
      <c r="AD313">
        <f>IF(AD$230,LandEmiss!AN208,0)</f>
        <v>0</v>
      </c>
      <c r="AE313">
        <f>IF(AE$230,LandEmiss!AO208,0)</f>
        <v>0</v>
      </c>
      <c r="AF313">
        <f t="shared" ref="AF313:AO313" si="1989">IF(AF$230,AF208,0)</f>
        <v>0</v>
      </c>
      <c r="AG313">
        <f t="shared" si="1989"/>
        <v>0</v>
      </c>
      <c r="AH313">
        <f t="shared" si="1989"/>
        <v>0</v>
      </c>
      <c r="AI313">
        <f t="shared" si="1989"/>
        <v>0</v>
      </c>
      <c r="AJ313">
        <f t="shared" si="1989"/>
        <v>0</v>
      </c>
      <c r="AK313">
        <f t="shared" si="1989"/>
        <v>0</v>
      </c>
      <c r="AL313">
        <f t="shared" si="1989"/>
        <v>0</v>
      </c>
      <c r="AM313">
        <f t="shared" si="1989"/>
        <v>0</v>
      </c>
      <c r="AN313">
        <f t="shared" si="1989"/>
        <v>0</v>
      </c>
      <c r="AO313">
        <f t="shared" si="1989"/>
        <v>0</v>
      </c>
      <c r="AP313">
        <f t="shared" si="1836"/>
        <v>0</v>
      </c>
      <c r="AQ313">
        <f t="shared" si="1837"/>
        <v>0</v>
      </c>
      <c r="AR313">
        <f t="shared" si="1838"/>
        <v>0</v>
      </c>
      <c r="AS313">
        <f t="shared" si="1839"/>
        <v>0</v>
      </c>
      <c r="AT313">
        <f t="shared" si="1840"/>
        <v>0</v>
      </c>
      <c r="AU313">
        <f t="shared" si="1841"/>
        <v>0</v>
      </c>
      <c r="AV313">
        <f t="shared" si="1842"/>
        <v>0</v>
      </c>
      <c r="AW313">
        <f t="shared" si="1843"/>
        <v>0</v>
      </c>
      <c r="AX313">
        <f t="shared" si="1844"/>
        <v>0</v>
      </c>
      <c r="AY313">
        <f t="shared" si="1845"/>
        <v>0</v>
      </c>
      <c r="AZ313">
        <f t="shared" si="1846"/>
        <v>0</v>
      </c>
      <c r="BA313">
        <f t="shared" si="1847"/>
        <v>0</v>
      </c>
      <c r="BB313">
        <f t="shared" si="1848"/>
        <v>0</v>
      </c>
      <c r="BC313">
        <f t="shared" si="1849"/>
        <v>0</v>
      </c>
      <c r="BD313">
        <f t="shared" si="1850"/>
        <v>0</v>
      </c>
      <c r="BE313">
        <f t="shared" si="1851"/>
        <v>0</v>
      </c>
      <c r="BF313">
        <f t="shared" si="1852"/>
        <v>0</v>
      </c>
      <c r="BG313">
        <f t="shared" si="1853"/>
        <v>0</v>
      </c>
      <c r="BH313">
        <f t="shared" ref="BH313:BH331" si="1990">IF(BH$230,AN208,0)</f>
        <v>0</v>
      </c>
      <c r="BI313">
        <f t="shared" si="1889"/>
        <v>0</v>
      </c>
      <c r="BJ313" s="8" t="str">
        <f>Hidden!$CC84</f>
        <v/>
      </c>
      <c r="BK313">
        <f t="shared" ref="BK313:BT313" si="1991">IF(BK$230,CP208,0)</f>
        <v>0</v>
      </c>
      <c r="BL313">
        <f t="shared" si="1991"/>
        <v>0</v>
      </c>
      <c r="BM313">
        <f t="shared" si="1991"/>
        <v>0</v>
      </c>
      <c r="BN313">
        <f t="shared" si="1991"/>
        <v>0</v>
      </c>
      <c r="BO313">
        <f t="shared" si="1991"/>
        <v>0</v>
      </c>
      <c r="BP313">
        <f t="shared" si="1991"/>
        <v>0</v>
      </c>
      <c r="BQ313">
        <f t="shared" si="1991"/>
        <v>0</v>
      </c>
      <c r="BR313">
        <f t="shared" si="1991"/>
        <v>0</v>
      </c>
      <c r="BS313">
        <f t="shared" si="1991"/>
        <v>0</v>
      </c>
      <c r="BT313">
        <f t="shared" si="1991"/>
        <v>0</v>
      </c>
      <c r="BU313">
        <f t="shared" ref="BU313:CD313" si="1992">IF(BU$230,CP208,0)</f>
        <v>0</v>
      </c>
      <c r="BV313">
        <f t="shared" si="1992"/>
        <v>0</v>
      </c>
      <c r="BW313">
        <f t="shared" si="1992"/>
        <v>0</v>
      </c>
      <c r="BX313">
        <f t="shared" si="1992"/>
        <v>0</v>
      </c>
      <c r="BY313">
        <f t="shared" si="1992"/>
        <v>0</v>
      </c>
      <c r="BZ313">
        <f t="shared" si="1992"/>
        <v>0</v>
      </c>
      <c r="CA313">
        <f t="shared" si="1992"/>
        <v>0</v>
      </c>
      <c r="CB313">
        <f t="shared" si="1992"/>
        <v>0</v>
      </c>
      <c r="CC313">
        <f t="shared" si="1992"/>
        <v>0</v>
      </c>
      <c r="CD313">
        <f t="shared" si="1992"/>
        <v>0</v>
      </c>
      <c r="CE313">
        <f t="shared" si="1856"/>
        <v>0</v>
      </c>
      <c r="CF313">
        <f t="shared" si="1857"/>
        <v>0</v>
      </c>
      <c r="CG313">
        <f t="shared" si="1858"/>
        <v>0</v>
      </c>
      <c r="CH313">
        <f t="shared" si="1859"/>
        <v>0</v>
      </c>
      <c r="CI313">
        <f t="shared" si="1860"/>
        <v>0</v>
      </c>
      <c r="CJ313">
        <f t="shared" ref="CJ313:CJ331" si="1993">IF(CJ$230,CU208,0)</f>
        <v>0</v>
      </c>
      <c r="CK313">
        <f t="shared" si="1892"/>
        <v>0</v>
      </c>
      <c r="CL313">
        <f t="shared" si="1861"/>
        <v>0</v>
      </c>
      <c r="CM313">
        <f t="shared" si="1862"/>
        <v>0</v>
      </c>
      <c r="CN313">
        <f t="shared" si="1863"/>
        <v>0</v>
      </c>
      <c r="CO313">
        <f t="shared" ref="CO313:CX313" si="1994">IF(CO$230,CP208,0)</f>
        <v>0</v>
      </c>
      <c r="CP313">
        <f t="shared" si="1994"/>
        <v>0</v>
      </c>
      <c r="CQ313">
        <f t="shared" si="1994"/>
        <v>0</v>
      </c>
      <c r="CR313">
        <f t="shared" si="1994"/>
        <v>0</v>
      </c>
      <c r="CS313">
        <f t="shared" si="1994"/>
        <v>0</v>
      </c>
      <c r="CT313">
        <f t="shared" si="1994"/>
        <v>0</v>
      </c>
      <c r="CU313">
        <f t="shared" si="1994"/>
        <v>0</v>
      </c>
      <c r="CV313">
        <f t="shared" si="1994"/>
        <v>0</v>
      </c>
      <c r="CW313">
        <f t="shared" si="1994"/>
        <v>0</v>
      </c>
      <c r="CX313">
        <f t="shared" si="1994"/>
        <v>0</v>
      </c>
      <c r="CY313">
        <f t="shared" si="1865"/>
        <v>0</v>
      </c>
      <c r="CZ313">
        <f t="shared" si="1866"/>
        <v>0</v>
      </c>
      <c r="DA313">
        <f t="shared" si="1867"/>
        <v>0</v>
      </c>
      <c r="DB313">
        <f t="shared" si="1868"/>
        <v>0</v>
      </c>
      <c r="DC313">
        <f t="shared" si="1869"/>
        <v>0</v>
      </c>
      <c r="DD313">
        <f t="shared" si="1870"/>
        <v>0</v>
      </c>
      <c r="DE313">
        <f t="shared" si="1871"/>
        <v>0</v>
      </c>
      <c r="DF313">
        <f t="shared" si="1872"/>
        <v>0</v>
      </c>
      <c r="DG313">
        <f t="shared" si="1873"/>
        <v>0</v>
      </c>
      <c r="DH313">
        <f t="shared" si="1874"/>
        <v>0</v>
      </c>
      <c r="DI313">
        <f t="shared" si="1875"/>
        <v>0</v>
      </c>
      <c r="DJ313">
        <f t="shared" si="1876"/>
        <v>0</v>
      </c>
      <c r="DK313">
        <f t="shared" si="1877"/>
        <v>0</v>
      </c>
      <c r="DL313">
        <f t="shared" si="1878"/>
        <v>0</v>
      </c>
      <c r="DM313">
        <f t="shared" si="1879"/>
        <v>0</v>
      </c>
      <c r="DN313">
        <f t="shared" si="1880"/>
        <v>0</v>
      </c>
      <c r="DO313">
        <f t="shared" si="1881"/>
        <v>0</v>
      </c>
      <c r="DP313">
        <f t="shared" si="1882"/>
        <v>0</v>
      </c>
      <c r="DQ313">
        <f t="shared" si="1883"/>
        <v>0</v>
      </c>
      <c r="DR313">
        <f t="shared" si="1884"/>
        <v>0</v>
      </c>
      <c r="DT313" s="77"/>
      <c r="DU313" s="8" t="str">
        <f>Hidden!$CG96</f>
        <v/>
      </c>
      <c r="DV313">
        <f t="shared" si="1709"/>
        <v>0</v>
      </c>
      <c r="DW313">
        <f t="shared" si="1710"/>
        <v>0</v>
      </c>
      <c r="DX313">
        <f t="shared" si="1711"/>
        <v>0</v>
      </c>
      <c r="DY313">
        <f t="shared" si="1712"/>
        <v>0</v>
      </c>
      <c r="DZ313">
        <f t="shared" si="1713"/>
        <v>0</v>
      </c>
      <c r="EA313">
        <f t="shared" si="1714"/>
        <v>0</v>
      </c>
      <c r="EB313">
        <f t="shared" si="1715"/>
        <v>0</v>
      </c>
      <c r="EC313">
        <f t="shared" si="1716"/>
        <v>0</v>
      </c>
      <c r="ED313">
        <f t="shared" si="1717"/>
        <v>0</v>
      </c>
      <c r="EE313">
        <f t="shared" si="1718"/>
        <v>0</v>
      </c>
      <c r="EF313">
        <f t="shared" si="1719"/>
        <v>0</v>
      </c>
      <c r="EG313">
        <f t="shared" si="1720"/>
        <v>0</v>
      </c>
      <c r="EH313">
        <f t="shared" si="1721"/>
        <v>0</v>
      </c>
      <c r="EI313">
        <f t="shared" si="1722"/>
        <v>0</v>
      </c>
      <c r="EJ313">
        <f t="shared" si="1723"/>
        <v>0</v>
      </c>
      <c r="EK313">
        <f t="shared" si="1724"/>
        <v>0</v>
      </c>
      <c r="EL313">
        <f t="shared" si="1725"/>
        <v>0</v>
      </c>
      <c r="EM313">
        <f t="shared" si="1726"/>
        <v>0</v>
      </c>
      <c r="EN313">
        <f t="shared" si="1727"/>
        <v>0</v>
      </c>
      <c r="EO313">
        <f t="shared" si="1728"/>
        <v>0</v>
      </c>
      <c r="EP313">
        <f t="shared" si="1729"/>
        <v>0</v>
      </c>
      <c r="EQ313">
        <f t="shared" si="1730"/>
        <v>0</v>
      </c>
      <c r="ER313">
        <f t="shared" si="1912"/>
        <v>0</v>
      </c>
      <c r="ES313">
        <f t="shared" ref="ES313:ET313" si="1995">IF(ES$218,FC208,0)</f>
        <v>0</v>
      </c>
      <c r="ET313">
        <f t="shared" si="1995"/>
        <v>0</v>
      </c>
      <c r="EU313">
        <f t="shared" si="1732"/>
        <v>0</v>
      </c>
      <c r="EV313">
        <f t="shared" si="1913"/>
        <v>0</v>
      </c>
      <c r="EW313">
        <f t="shared" si="1757"/>
        <v>0</v>
      </c>
      <c r="EX313">
        <f t="shared" si="1733"/>
        <v>0</v>
      </c>
      <c r="EY313">
        <f t="shared" si="1734"/>
        <v>0</v>
      </c>
      <c r="EZ313">
        <f t="shared" ref="EZ313:FI313" si="1996">IF(EZ$218,EZ208,0)</f>
        <v>0</v>
      </c>
      <c r="FA313">
        <f t="shared" si="1996"/>
        <v>0</v>
      </c>
      <c r="FB313">
        <f t="shared" si="1996"/>
        <v>0</v>
      </c>
      <c r="FC313">
        <f t="shared" si="1996"/>
        <v>0</v>
      </c>
      <c r="FD313">
        <f t="shared" si="1996"/>
        <v>0</v>
      </c>
      <c r="FE313">
        <f t="shared" si="1996"/>
        <v>0</v>
      </c>
      <c r="FF313">
        <f t="shared" si="1996"/>
        <v>0</v>
      </c>
      <c r="FG313">
        <f t="shared" si="1996"/>
        <v>0</v>
      </c>
      <c r="FH313">
        <f t="shared" si="1996"/>
        <v>0</v>
      </c>
      <c r="FI313">
        <f t="shared" si="1996"/>
        <v>0</v>
      </c>
      <c r="FJ313">
        <f t="shared" si="1736"/>
        <v>0</v>
      </c>
      <c r="FK313">
        <f t="shared" si="1737"/>
        <v>0</v>
      </c>
      <c r="FL313">
        <f t="shared" si="1915"/>
        <v>0</v>
      </c>
      <c r="FM313">
        <f t="shared" si="1759"/>
        <v>0</v>
      </c>
      <c r="FN313">
        <f t="shared" si="1738"/>
        <v>0</v>
      </c>
      <c r="FO313">
        <f t="shared" si="1739"/>
        <v>0</v>
      </c>
      <c r="FP313">
        <f t="shared" si="1740"/>
        <v>0</v>
      </c>
      <c r="FQ313">
        <f t="shared" si="1741"/>
        <v>0</v>
      </c>
      <c r="FR313">
        <f t="shared" si="1742"/>
        <v>0</v>
      </c>
      <c r="FS313">
        <f t="shared" si="1743"/>
        <v>0</v>
      </c>
      <c r="FT313">
        <f t="shared" si="1744"/>
        <v>0</v>
      </c>
      <c r="FU313">
        <f t="shared" si="1745"/>
        <v>0</v>
      </c>
      <c r="FV313">
        <f t="shared" si="1746"/>
        <v>0</v>
      </c>
      <c r="FW313">
        <f t="shared" si="1747"/>
        <v>0</v>
      </c>
      <c r="FX313">
        <f t="shared" si="1916"/>
        <v>0</v>
      </c>
      <c r="FY313">
        <f t="shared" si="1760"/>
        <v>0</v>
      </c>
      <c r="FZ313">
        <f t="shared" si="1748"/>
        <v>0</v>
      </c>
      <c r="GA313">
        <f t="shared" si="1749"/>
        <v>0</v>
      </c>
      <c r="GB313">
        <f t="shared" si="1750"/>
        <v>0</v>
      </c>
      <c r="GC313">
        <f t="shared" si="1751"/>
        <v>0</v>
      </c>
    </row>
    <row r="314" spans="1:187" x14ac:dyDescent="0.2">
      <c r="A314" s="8" t="str">
        <f t="shared" si="1821"/>
        <v/>
      </c>
      <c r="B314" s="8">
        <f t="shared" si="1822"/>
        <v>0</v>
      </c>
      <c r="C314" s="8">
        <f t="shared" si="1823"/>
        <v>0</v>
      </c>
      <c r="D314" s="8">
        <f t="shared" si="1824"/>
        <v>0</v>
      </c>
      <c r="E314" s="8">
        <f t="shared" si="1988"/>
        <v>0</v>
      </c>
      <c r="F314" s="8">
        <f t="shared" si="1887"/>
        <v>0</v>
      </c>
      <c r="G314" s="8">
        <f t="shared" si="1929"/>
        <v>0</v>
      </c>
      <c r="H314" s="8">
        <f t="shared" si="1930"/>
        <v>0</v>
      </c>
      <c r="I314" s="8">
        <f t="shared" si="1931"/>
        <v>0</v>
      </c>
      <c r="J314" s="8">
        <f t="shared" si="1932"/>
        <v>0</v>
      </c>
      <c r="K314" s="8">
        <f t="shared" si="1933"/>
        <v>0</v>
      </c>
      <c r="L314">
        <f t="shared" si="1825"/>
        <v>0</v>
      </c>
      <c r="M314">
        <f t="shared" si="1826"/>
        <v>0</v>
      </c>
      <c r="N314">
        <f t="shared" si="1827"/>
        <v>0</v>
      </c>
      <c r="O314">
        <f t="shared" si="1828"/>
        <v>0</v>
      </c>
      <c r="P314">
        <f t="shared" si="1829"/>
        <v>0</v>
      </c>
      <c r="Q314">
        <f t="shared" si="1830"/>
        <v>0</v>
      </c>
      <c r="R314">
        <f t="shared" si="1831"/>
        <v>0</v>
      </c>
      <c r="S314">
        <f t="shared" si="1832"/>
        <v>0</v>
      </c>
      <c r="T314">
        <f t="shared" si="1833"/>
        <v>0</v>
      </c>
      <c r="U314">
        <f t="shared" si="1834"/>
        <v>0</v>
      </c>
      <c r="V314">
        <f>IF(V$230,LandEmiss!AF209,0)</f>
        <v>0</v>
      </c>
      <c r="W314">
        <f>IF(W$230,LandEmiss!AG209,0)</f>
        <v>0</v>
      </c>
      <c r="X314">
        <f>IF(X$230,LandEmiss!AH209,0)</f>
        <v>0</v>
      </c>
      <c r="Y314">
        <f>IF(Y$230,LandEmiss!AI209,0)</f>
        <v>0</v>
      </c>
      <c r="Z314">
        <f>IF(Z$230,LandEmiss!AJ209,0)</f>
        <v>0</v>
      </c>
      <c r="AA314">
        <f>IF(AA$230,LandEmiss!AK209,0)</f>
        <v>0</v>
      </c>
      <c r="AB314">
        <f>IF(AB$230,LandEmiss!AL209,0)</f>
        <v>0</v>
      </c>
      <c r="AC314">
        <f>IF(AC$230,LandEmiss!AM209,0)</f>
        <v>0</v>
      </c>
      <c r="AD314">
        <f>IF(AD$230,LandEmiss!AN209,0)</f>
        <v>0</v>
      </c>
      <c r="AE314">
        <f>IF(AE$230,LandEmiss!AO209,0)</f>
        <v>0</v>
      </c>
      <c r="AF314">
        <f t="shared" ref="AF314:AO314" si="1997">IF(AF$230,AF209,0)</f>
        <v>0</v>
      </c>
      <c r="AG314">
        <f t="shared" si="1997"/>
        <v>0</v>
      </c>
      <c r="AH314">
        <f t="shared" si="1997"/>
        <v>0</v>
      </c>
      <c r="AI314">
        <f t="shared" si="1997"/>
        <v>0</v>
      </c>
      <c r="AJ314">
        <f t="shared" si="1997"/>
        <v>0</v>
      </c>
      <c r="AK314">
        <f t="shared" si="1997"/>
        <v>0</v>
      </c>
      <c r="AL314">
        <f t="shared" si="1997"/>
        <v>0</v>
      </c>
      <c r="AM314">
        <f t="shared" si="1997"/>
        <v>0</v>
      </c>
      <c r="AN314">
        <f t="shared" si="1997"/>
        <v>0</v>
      </c>
      <c r="AO314">
        <f t="shared" si="1997"/>
        <v>0</v>
      </c>
      <c r="AP314">
        <f t="shared" si="1836"/>
        <v>0</v>
      </c>
      <c r="AQ314">
        <f t="shared" si="1837"/>
        <v>0</v>
      </c>
      <c r="AR314">
        <f t="shared" si="1838"/>
        <v>0</v>
      </c>
      <c r="AS314">
        <f t="shared" si="1839"/>
        <v>0</v>
      </c>
      <c r="AT314">
        <f t="shared" si="1840"/>
        <v>0</v>
      </c>
      <c r="AU314">
        <f t="shared" si="1841"/>
        <v>0</v>
      </c>
      <c r="AV314">
        <f t="shared" si="1842"/>
        <v>0</v>
      </c>
      <c r="AW314">
        <f t="shared" si="1843"/>
        <v>0</v>
      </c>
      <c r="AX314">
        <f t="shared" si="1844"/>
        <v>0</v>
      </c>
      <c r="AY314">
        <f t="shared" si="1845"/>
        <v>0</v>
      </c>
      <c r="AZ314">
        <f t="shared" si="1846"/>
        <v>0</v>
      </c>
      <c r="BA314">
        <f t="shared" si="1847"/>
        <v>0</v>
      </c>
      <c r="BB314">
        <f t="shared" si="1848"/>
        <v>0</v>
      </c>
      <c r="BC314">
        <f t="shared" si="1849"/>
        <v>0</v>
      </c>
      <c r="BD314">
        <f t="shared" si="1850"/>
        <v>0</v>
      </c>
      <c r="BE314">
        <f t="shared" si="1851"/>
        <v>0</v>
      </c>
      <c r="BF314">
        <f t="shared" si="1852"/>
        <v>0</v>
      </c>
      <c r="BG314">
        <f t="shared" si="1853"/>
        <v>0</v>
      </c>
      <c r="BH314">
        <f t="shared" si="1990"/>
        <v>0</v>
      </c>
      <c r="BI314">
        <f t="shared" si="1889"/>
        <v>0</v>
      </c>
      <c r="BJ314" s="8" t="str">
        <f>Hidden!$CC85</f>
        <v/>
      </c>
      <c r="BK314">
        <f t="shared" ref="BK314:BT314" si="1998">IF(BK$230,CP209,0)</f>
        <v>0</v>
      </c>
      <c r="BL314">
        <f t="shared" si="1998"/>
        <v>0</v>
      </c>
      <c r="BM314">
        <f t="shared" si="1998"/>
        <v>0</v>
      </c>
      <c r="BN314">
        <f t="shared" si="1998"/>
        <v>0</v>
      </c>
      <c r="BO314">
        <f t="shared" si="1998"/>
        <v>0</v>
      </c>
      <c r="BP314">
        <f t="shared" si="1998"/>
        <v>0</v>
      </c>
      <c r="BQ314">
        <f t="shared" si="1998"/>
        <v>0</v>
      </c>
      <c r="BR314">
        <f t="shared" si="1998"/>
        <v>0</v>
      </c>
      <c r="BS314">
        <f t="shared" si="1998"/>
        <v>0</v>
      </c>
      <c r="BT314">
        <f t="shared" si="1998"/>
        <v>0</v>
      </c>
      <c r="BU314">
        <f t="shared" ref="BU314:CD314" si="1999">IF(BU$230,CP209,0)</f>
        <v>0</v>
      </c>
      <c r="BV314">
        <f t="shared" si="1999"/>
        <v>0</v>
      </c>
      <c r="BW314">
        <f t="shared" si="1999"/>
        <v>0</v>
      </c>
      <c r="BX314">
        <f t="shared" si="1999"/>
        <v>0</v>
      </c>
      <c r="BY314">
        <f t="shared" si="1999"/>
        <v>0</v>
      </c>
      <c r="BZ314">
        <f t="shared" si="1999"/>
        <v>0</v>
      </c>
      <c r="CA314">
        <f t="shared" si="1999"/>
        <v>0</v>
      </c>
      <c r="CB314">
        <f t="shared" si="1999"/>
        <v>0</v>
      </c>
      <c r="CC314">
        <f t="shared" si="1999"/>
        <v>0</v>
      </c>
      <c r="CD314">
        <f t="shared" si="1999"/>
        <v>0</v>
      </c>
      <c r="CE314">
        <f t="shared" si="1856"/>
        <v>0</v>
      </c>
      <c r="CF314">
        <f t="shared" si="1857"/>
        <v>0</v>
      </c>
      <c r="CG314">
        <f t="shared" si="1858"/>
        <v>0</v>
      </c>
      <c r="CH314">
        <f t="shared" si="1859"/>
        <v>0</v>
      </c>
      <c r="CI314">
        <f t="shared" si="1860"/>
        <v>0</v>
      </c>
      <c r="CJ314">
        <f t="shared" si="1993"/>
        <v>0</v>
      </c>
      <c r="CK314">
        <f t="shared" si="1892"/>
        <v>0</v>
      </c>
      <c r="CL314">
        <f t="shared" si="1861"/>
        <v>0</v>
      </c>
      <c r="CM314">
        <f t="shared" si="1862"/>
        <v>0</v>
      </c>
      <c r="CN314">
        <f t="shared" si="1863"/>
        <v>0</v>
      </c>
      <c r="CO314">
        <f t="shared" ref="CO314:CX314" si="2000">IF(CO$230,CP209,0)</f>
        <v>0</v>
      </c>
      <c r="CP314">
        <f t="shared" si="2000"/>
        <v>0</v>
      </c>
      <c r="CQ314">
        <f t="shared" si="2000"/>
        <v>0</v>
      </c>
      <c r="CR314">
        <f t="shared" si="2000"/>
        <v>0</v>
      </c>
      <c r="CS314">
        <f t="shared" si="2000"/>
        <v>0</v>
      </c>
      <c r="CT314">
        <f t="shared" si="2000"/>
        <v>0</v>
      </c>
      <c r="CU314">
        <f t="shared" si="2000"/>
        <v>0</v>
      </c>
      <c r="CV314">
        <f t="shared" si="2000"/>
        <v>0</v>
      </c>
      <c r="CW314">
        <f t="shared" si="2000"/>
        <v>0</v>
      </c>
      <c r="CX314">
        <f t="shared" si="2000"/>
        <v>0</v>
      </c>
      <c r="CY314">
        <f t="shared" si="1865"/>
        <v>0</v>
      </c>
      <c r="CZ314">
        <f t="shared" si="1866"/>
        <v>0</v>
      </c>
      <c r="DA314">
        <f t="shared" si="1867"/>
        <v>0</v>
      </c>
      <c r="DB314">
        <f t="shared" si="1868"/>
        <v>0</v>
      </c>
      <c r="DC314">
        <f t="shared" si="1869"/>
        <v>0</v>
      </c>
      <c r="DD314">
        <f t="shared" si="1870"/>
        <v>0</v>
      </c>
      <c r="DE314">
        <f t="shared" si="1871"/>
        <v>0</v>
      </c>
      <c r="DF314">
        <f t="shared" si="1872"/>
        <v>0</v>
      </c>
      <c r="DG314">
        <f t="shared" si="1873"/>
        <v>0</v>
      </c>
      <c r="DH314">
        <f t="shared" si="1874"/>
        <v>0</v>
      </c>
      <c r="DI314">
        <f t="shared" si="1875"/>
        <v>0</v>
      </c>
      <c r="DJ314">
        <f t="shared" si="1876"/>
        <v>0</v>
      </c>
      <c r="DK314">
        <f t="shared" si="1877"/>
        <v>0</v>
      </c>
      <c r="DL314">
        <f t="shared" si="1878"/>
        <v>0</v>
      </c>
      <c r="DM314">
        <f t="shared" si="1879"/>
        <v>0</v>
      </c>
      <c r="DN314">
        <f t="shared" si="1880"/>
        <v>0</v>
      </c>
      <c r="DO314">
        <f t="shared" si="1881"/>
        <v>0</v>
      </c>
      <c r="DP314">
        <f t="shared" si="1882"/>
        <v>0</v>
      </c>
      <c r="DQ314">
        <f t="shared" si="1883"/>
        <v>0</v>
      </c>
      <c r="DR314">
        <f t="shared" si="1884"/>
        <v>0</v>
      </c>
      <c r="DT314" s="77"/>
      <c r="DU314" s="8" t="str">
        <f>Hidden!$CG97</f>
        <v/>
      </c>
      <c r="DV314">
        <f t="shared" si="1709"/>
        <v>0</v>
      </c>
      <c r="DW314">
        <f t="shared" si="1710"/>
        <v>0</v>
      </c>
      <c r="DX314">
        <f t="shared" si="1711"/>
        <v>0</v>
      </c>
      <c r="DY314">
        <f t="shared" si="1712"/>
        <v>0</v>
      </c>
      <c r="DZ314">
        <f t="shared" si="1713"/>
        <v>0</v>
      </c>
      <c r="EA314">
        <f t="shared" si="1714"/>
        <v>0</v>
      </c>
      <c r="EB314">
        <f t="shared" si="1715"/>
        <v>0</v>
      </c>
      <c r="EC314">
        <f t="shared" si="1716"/>
        <v>0</v>
      </c>
      <c r="ED314">
        <f t="shared" si="1717"/>
        <v>0</v>
      </c>
      <c r="EE314">
        <f t="shared" si="1718"/>
        <v>0</v>
      </c>
      <c r="EF314">
        <f t="shared" si="1719"/>
        <v>0</v>
      </c>
      <c r="EG314">
        <f t="shared" si="1720"/>
        <v>0</v>
      </c>
      <c r="EH314">
        <f t="shared" si="1721"/>
        <v>0</v>
      </c>
      <c r="EI314">
        <f t="shared" si="1722"/>
        <v>0</v>
      </c>
      <c r="EJ314">
        <f t="shared" si="1723"/>
        <v>0</v>
      </c>
      <c r="EK314">
        <f t="shared" si="1724"/>
        <v>0</v>
      </c>
      <c r="EL314">
        <f t="shared" si="1725"/>
        <v>0</v>
      </c>
      <c r="EM314">
        <f t="shared" si="1726"/>
        <v>0</v>
      </c>
      <c r="EN314">
        <f t="shared" si="1727"/>
        <v>0</v>
      </c>
      <c r="EO314">
        <f t="shared" si="1728"/>
        <v>0</v>
      </c>
      <c r="EP314">
        <f t="shared" si="1729"/>
        <v>0</v>
      </c>
      <c r="EQ314">
        <f t="shared" si="1730"/>
        <v>0</v>
      </c>
      <c r="ER314">
        <f t="shared" si="1912"/>
        <v>0</v>
      </c>
      <c r="ES314">
        <f t="shared" ref="ES314:ET314" si="2001">IF(ES$218,FC209,0)</f>
        <v>0</v>
      </c>
      <c r="ET314">
        <f t="shared" si="2001"/>
        <v>0</v>
      </c>
      <c r="EU314">
        <f t="shared" si="1732"/>
        <v>0</v>
      </c>
      <c r="EV314">
        <f t="shared" si="1913"/>
        <v>0</v>
      </c>
      <c r="EW314">
        <f t="shared" si="1757"/>
        <v>0</v>
      </c>
      <c r="EX314">
        <f t="shared" si="1733"/>
        <v>0</v>
      </c>
      <c r="EY314">
        <f t="shared" si="1734"/>
        <v>0</v>
      </c>
      <c r="EZ314">
        <f t="shared" ref="EZ314:FI314" si="2002">IF(EZ$218,EZ209,0)</f>
        <v>0</v>
      </c>
      <c r="FA314">
        <f t="shared" si="2002"/>
        <v>0</v>
      </c>
      <c r="FB314">
        <f t="shared" si="2002"/>
        <v>0</v>
      </c>
      <c r="FC314">
        <f t="shared" si="2002"/>
        <v>0</v>
      </c>
      <c r="FD314">
        <f t="shared" si="2002"/>
        <v>0</v>
      </c>
      <c r="FE314">
        <f t="shared" si="2002"/>
        <v>0</v>
      </c>
      <c r="FF314">
        <f t="shared" si="2002"/>
        <v>0</v>
      </c>
      <c r="FG314">
        <f t="shared" si="2002"/>
        <v>0</v>
      </c>
      <c r="FH314">
        <f t="shared" si="2002"/>
        <v>0</v>
      </c>
      <c r="FI314">
        <f t="shared" si="2002"/>
        <v>0</v>
      </c>
      <c r="FJ314">
        <f t="shared" si="1736"/>
        <v>0</v>
      </c>
      <c r="FK314">
        <f t="shared" si="1737"/>
        <v>0</v>
      </c>
      <c r="FL314">
        <f t="shared" si="1915"/>
        <v>0</v>
      </c>
      <c r="FM314">
        <f t="shared" si="1759"/>
        <v>0</v>
      </c>
      <c r="FN314">
        <f t="shared" si="1738"/>
        <v>0</v>
      </c>
      <c r="FO314">
        <f t="shared" si="1739"/>
        <v>0</v>
      </c>
      <c r="FP314">
        <f t="shared" si="1740"/>
        <v>0</v>
      </c>
      <c r="FQ314">
        <f t="shared" si="1741"/>
        <v>0</v>
      </c>
      <c r="FR314">
        <f t="shared" si="1742"/>
        <v>0</v>
      </c>
      <c r="FS314">
        <f t="shared" si="1743"/>
        <v>0</v>
      </c>
      <c r="FT314">
        <f t="shared" si="1744"/>
        <v>0</v>
      </c>
      <c r="FU314">
        <f t="shared" si="1745"/>
        <v>0</v>
      </c>
      <c r="FV314">
        <f t="shared" si="1746"/>
        <v>0</v>
      </c>
      <c r="FW314">
        <f t="shared" si="1747"/>
        <v>0</v>
      </c>
      <c r="FX314">
        <f t="shared" si="1916"/>
        <v>0</v>
      </c>
      <c r="FY314">
        <f t="shared" si="1760"/>
        <v>0</v>
      </c>
      <c r="FZ314">
        <f t="shared" si="1748"/>
        <v>0</v>
      </c>
      <c r="GA314">
        <f t="shared" si="1749"/>
        <v>0</v>
      </c>
      <c r="GB314">
        <f t="shared" si="1750"/>
        <v>0</v>
      </c>
      <c r="GC314">
        <f t="shared" si="1751"/>
        <v>0</v>
      </c>
    </row>
    <row r="315" spans="1:187" x14ac:dyDescent="0.2">
      <c r="A315" s="8" t="str">
        <f t="shared" si="1821"/>
        <v/>
      </c>
      <c r="B315" s="8">
        <f t="shared" si="1822"/>
        <v>0</v>
      </c>
      <c r="C315" s="8">
        <f t="shared" si="1823"/>
        <v>0</v>
      </c>
      <c r="D315" s="8">
        <f t="shared" si="1824"/>
        <v>0</v>
      </c>
      <c r="E315" s="8">
        <f t="shared" si="1988"/>
        <v>0</v>
      </c>
      <c r="F315" s="8">
        <f t="shared" si="1887"/>
        <v>0</v>
      </c>
      <c r="G315" s="8">
        <f t="shared" si="1929"/>
        <v>0</v>
      </c>
      <c r="H315" s="8">
        <f t="shared" si="1930"/>
        <v>0</v>
      </c>
      <c r="I315" s="8">
        <f t="shared" si="1931"/>
        <v>0</v>
      </c>
      <c r="J315" s="8">
        <f t="shared" si="1932"/>
        <v>0</v>
      </c>
      <c r="K315" s="8">
        <f t="shared" si="1933"/>
        <v>0</v>
      </c>
      <c r="L315">
        <f t="shared" si="1825"/>
        <v>0</v>
      </c>
      <c r="M315">
        <f t="shared" si="1826"/>
        <v>0</v>
      </c>
      <c r="N315">
        <f t="shared" si="1827"/>
        <v>0</v>
      </c>
      <c r="O315">
        <f t="shared" si="1828"/>
        <v>0</v>
      </c>
      <c r="P315">
        <f t="shared" si="1829"/>
        <v>0</v>
      </c>
      <c r="Q315">
        <f t="shared" si="1830"/>
        <v>0</v>
      </c>
      <c r="R315">
        <f t="shared" si="1831"/>
        <v>0</v>
      </c>
      <c r="S315">
        <f t="shared" si="1832"/>
        <v>0</v>
      </c>
      <c r="T315">
        <f t="shared" si="1833"/>
        <v>0</v>
      </c>
      <c r="U315">
        <f t="shared" si="1834"/>
        <v>0</v>
      </c>
      <c r="V315">
        <f>IF(V$230,LandEmiss!AF210,0)</f>
        <v>0</v>
      </c>
      <c r="W315">
        <f>IF(W$230,LandEmiss!AG210,0)</f>
        <v>0</v>
      </c>
      <c r="X315">
        <f>IF(X$230,LandEmiss!AH210,0)</f>
        <v>0</v>
      </c>
      <c r="Y315">
        <f>IF(Y$230,LandEmiss!AI210,0)</f>
        <v>0</v>
      </c>
      <c r="Z315">
        <f>IF(Z$230,LandEmiss!AJ210,0)</f>
        <v>0</v>
      </c>
      <c r="AA315">
        <f>IF(AA$230,LandEmiss!AK210,0)</f>
        <v>0</v>
      </c>
      <c r="AB315">
        <f>IF(AB$230,LandEmiss!AL210,0)</f>
        <v>0</v>
      </c>
      <c r="AC315">
        <f>IF(AC$230,LandEmiss!AM210,0)</f>
        <v>0</v>
      </c>
      <c r="AD315">
        <f>IF(AD$230,LandEmiss!AN210,0)</f>
        <v>0</v>
      </c>
      <c r="AE315">
        <f>IF(AE$230,LandEmiss!AO210,0)</f>
        <v>0</v>
      </c>
      <c r="AF315">
        <f t="shared" ref="AF315:AO315" si="2003">IF(AF$230,AF210,0)</f>
        <v>0</v>
      </c>
      <c r="AG315">
        <f t="shared" si="2003"/>
        <v>0</v>
      </c>
      <c r="AH315">
        <f t="shared" si="2003"/>
        <v>0</v>
      </c>
      <c r="AI315">
        <f t="shared" si="2003"/>
        <v>0</v>
      </c>
      <c r="AJ315">
        <f t="shared" si="2003"/>
        <v>0</v>
      </c>
      <c r="AK315">
        <f t="shared" si="2003"/>
        <v>0</v>
      </c>
      <c r="AL315">
        <f t="shared" si="2003"/>
        <v>0</v>
      </c>
      <c r="AM315">
        <f t="shared" si="2003"/>
        <v>0</v>
      </c>
      <c r="AN315">
        <f t="shared" si="2003"/>
        <v>0</v>
      </c>
      <c r="AO315">
        <f t="shared" si="2003"/>
        <v>0</v>
      </c>
      <c r="AP315">
        <f t="shared" si="1836"/>
        <v>0</v>
      </c>
      <c r="AQ315">
        <f t="shared" si="1837"/>
        <v>0</v>
      </c>
      <c r="AR315">
        <f t="shared" si="1838"/>
        <v>0</v>
      </c>
      <c r="AS315">
        <f t="shared" si="1839"/>
        <v>0</v>
      </c>
      <c r="AT315">
        <f t="shared" si="1840"/>
        <v>0</v>
      </c>
      <c r="AU315">
        <f t="shared" si="1841"/>
        <v>0</v>
      </c>
      <c r="AV315">
        <f t="shared" si="1842"/>
        <v>0</v>
      </c>
      <c r="AW315">
        <f t="shared" si="1843"/>
        <v>0</v>
      </c>
      <c r="AX315">
        <f t="shared" si="1844"/>
        <v>0</v>
      </c>
      <c r="AY315">
        <f t="shared" si="1845"/>
        <v>0</v>
      </c>
      <c r="AZ315">
        <f t="shared" si="1846"/>
        <v>0</v>
      </c>
      <c r="BA315">
        <f t="shared" si="1847"/>
        <v>0</v>
      </c>
      <c r="BB315">
        <f t="shared" si="1848"/>
        <v>0</v>
      </c>
      <c r="BC315">
        <f t="shared" si="1849"/>
        <v>0</v>
      </c>
      <c r="BD315">
        <f t="shared" si="1850"/>
        <v>0</v>
      </c>
      <c r="BE315">
        <f t="shared" si="1851"/>
        <v>0</v>
      </c>
      <c r="BF315">
        <f t="shared" si="1852"/>
        <v>0</v>
      </c>
      <c r="BG315">
        <f t="shared" si="1853"/>
        <v>0</v>
      </c>
      <c r="BH315">
        <f t="shared" si="1990"/>
        <v>0</v>
      </c>
      <c r="BI315">
        <f t="shared" si="1889"/>
        <v>0</v>
      </c>
      <c r="BJ315" s="8" t="str">
        <f>Hidden!$CC86</f>
        <v/>
      </c>
      <c r="BK315">
        <f t="shared" ref="BK315:BT315" si="2004">IF(BK$230,CP210,0)</f>
        <v>0</v>
      </c>
      <c r="BL315">
        <f t="shared" si="2004"/>
        <v>0</v>
      </c>
      <c r="BM315">
        <f t="shared" si="2004"/>
        <v>0</v>
      </c>
      <c r="BN315">
        <f t="shared" si="2004"/>
        <v>0</v>
      </c>
      <c r="BO315">
        <f t="shared" si="2004"/>
        <v>0</v>
      </c>
      <c r="BP315">
        <f t="shared" si="2004"/>
        <v>0</v>
      </c>
      <c r="BQ315">
        <f t="shared" si="2004"/>
        <v>0</v>
      </c>
      <c r="BR315">
        <f t="shared" si="2004"/>
        <v>0</v>
      </c>
      <c r="BS315">
        <f t="shared" si="2004"/>
        <v>0</v>
      </c>
      <c r="BT315">
        <f t="shared" si="2004"/>
        <v>0</v>
      </c>
      <c r="BU315">
        <f t="shared" ref="BU315:CD315" si="2005">IF(BU$230,CP210,0)</f>
        <v>0</v>
      </c>
      <c r="BV315">
        <f t="shared" si="2005"/>
        <v>0</v>
      </c>
      <c r="BW315">
        <f t="shared" si="2005"/>
        <v>0</v>
      </c>
      <c r="BX315">
        <f t="shared" si="2005"/>
        <v>0</v>
      </c>
      <c r="BY315">
        <f t="shared" si="2005"/>
        <v>0</v>
      </c>
      <c r="BZ315">
        <f t="shared" si="2005"/>
        <v>0</v>
      </c>
      <c r="CA315">
        <f t="shared" si="2005"/>
        <v>0</v>
      </c>
      <c r="CB315">
        <f t="shared" si="2005"/>
        <v>0</v>
      </c>
      <c r="CC315">
        <f t="shared" si="2005"/>
        <v>0</v>
      </c>
      <c r="CD315">
        <f t="shared" si="2005"/>
        <v>0</v>
      </c>
      <c r="CE315">
        <f t="shared" si="1856"/>
        <v>0</v>
      </c>
      <c r="CF315">
        <f t="shared" si="1857"/>
        <v>0</v>
      </c>
      <c r="CG315">
        <f t="shared" si="1858"/>
        <v>0</v>
      </c>
      <c r="CH315">
        <f t="shared" si="1859"/>
        <v>0</v>
      </c>
      <c r="CI315">
        <f t="shared" si="1860"/>
        <v>0</v>
      </c>
      <c r="CJ315">
        <f t="shared" si="1993"/>
        <v>0</v>
      </c>
      <c r="CK315">
        <f t="shared" si="1892"/>
        <v>0</v>
      </c>
      <c r="CL315">
        <f t="shared" si="1861"/>
        <v>0</v>
      </c>
      <c r="CM315">
        <f t="shared" si="1862"/>
        <v>0</v>
      </c>
      <c r="CN315">
        <f t="shared" si="1863"/>
        <v>0</v>
      </c>
      <c r="CO315">
        <f t="shared" ref="CO315:CX315" si="2006">IF(CO$230,CP210,0)</f>
        <v>0</v>
      </c>
      <c r="CP315">
        <f t="shared" si="2006"/>
        <v>0</v>
      </c>
      <c r="CQ315">
        <f t="shared" si="2006"/>
        <v>0</v>
      </c>
      <c r="CR315">
        <f t="shared" si="2006"/>
        <v>0</v>
      </c>
      <c r="CS315">
        <f t="shared" si="2006"/>
        <v>0</v>
      </c>
      <c r="CT315">
        <f t="shared" si="2006"/>
        <v>0</v>
      </c>
      <c r="CU315">
        <f t="shared" si="2006"/>
        <v>0</v>
      </c>
      <c r="CV315">
        <f t="shared" si="2006"/>
        <v>0</v>
      </c>
      <c r="CW315">
        <f t="shared" si="2006"/>
        <v>0</v>
      </c>
      <c r="CX315">
        <f t="shared" si="2006"/>
        <v>0</v>
      </c>
      <c r="CY315">
        <f t="shared" si="1865"/>
        <v>0</v>
      </c>
      <c r="CZ315">
        <f t="shared" si="1866"/>
        <v>0</v>
      </c>
      <c r="DA315">
        <f t="shared" si="1867"/>
        <v>0</v>
      </c>
      <c r="DB315">
        <f t="shared" si="1868"/>
        <v>0</v>
      </c>
      <c r="DC315">
        <f t="shared" si="1869"/>
        <v>0</v>
      </c>
      <c r="DD315">
        <f t="shared" si="1870"/>
        <v>0</v>
      </c>
      <c r="DE315">
        <f t="shared" si="1871"/>
        <v>0</v>
      </c>
      <c r="DF315">
        <f t="shared" si="1872"/>
        <v>0</v>
      </c>
      <c r="DG315">
        <f t="shared" si="1873"/>
        <v>0</v>
      </c>
      <c r="DH315">
        <f t="shared" si="1874"/>
        <v>0</v>
      </c>
      <c r="DI315">
        <f t="shared" si="1875"/>
        <v>0</v>
      </c>
      <c r="DJ315">
        <f t="shared" si="1876"/>
        <v>0</v>
      </c>
      <c r="DK315">
        <f t="shared" si="1877"/>
        <v>0</v>
      </c>
      <c r="DL315">
        <f t="shared" si="1878"/>
        <v>0</v>
      </c>
      <c r="DM315">
        <f t="shared" si="1879"/>
        <v>0</v>
      </c>
      <c r="DN315">
        <f t="shared" si="1880"/>
        <v>0</v>
      </c>
      <c r="DO315">
        <f t="shared" si="1881"/>
        <v>0</v>
      </c>
      <c r="DP315">
        <f t="shared" si="1882"/>
        <v>0</v>
      </c>
      <c r="DQ315">
        <f t="shared" si="1883"/>
        <v>0</v>
      </c>
      <c r="DR315">
        <f t="shared" si="1884"/>
        <v>0</v>
      </c>
      <c r="DT315" s="77"/>
      <c r="DU315" s="8" t="str">
        <f>Hidden!$CG98</f>
        <v/>
      </c>
      <c r="DV315">
        <f t="shared" si="1709"/>
        <v>0</v>
      </c>
      <c r="DW315">
        <f t="shared" si="1710"/>
        <v>0</v>
      </c>
      <c r="DX315">
        <f t="shared" si="1711"/>
        <v>0</v>
      </c>
      <c r="DY315">
        <f t="shared" si="1712"/>
        <v>0</v>
      </c>
      <c r="DZ315">
        <f t="shared" si="1713"/>
        <v>0</v>
      </c>
      <c r="EA315">
        <f t="shared" si="1714"/>
        <v>0</v>
      </c>
      <c r="EB315">
        <f t="shared" si="1715"/>
        <v>0</v>
      </c>
      <c r="EC315">
        <f t="shared" si="1716"/>
        <v>0</v>
      </c>
      <c r="ED315">
        <f t="shared" si="1717"/>
        <v>0</v>
      </c>
      <c r="EE315">
        <f t="shared" si="1718"/>
        <v>0</v>
      </c>
      <c r="EF315">
        <f t="shared" si="1719"/>
        <v>0</v>
      </c>
      <c r="EG315">
        <f t="shared" si="1720"/>
        <v>0</v>
      </c>
      <c r="EH315">
        <f t="shared" si="1721"/>
        <v>0</v>
      </c>
      <c r="EI315">
        <f t="shared" si="1722"/>
        <v>0</v>
      </c>
      <c r="EJ315">
        <f t="shared" si="1723"/>
        <v>0</v>
      </c>
      <c r="EK315">
        <f t="shared" si="1724"/>
        <v>0</v>
      </c>
      <c r="EL315">
        <f t="shared" si="1725"/>
        <v>0</v>
      </c>
      <c r="EM315">
        <f t="shared" si="1726"/>
        <v>0</v>
      </c>
      <c r="EN315">
        <f t="shared" si="1727"/>
        <v>0</v>
      </c>
      <c r="EO315">
        <f t="shared" si="1728"/>
        <v>0</v>
      </c>
      <c r="EP315">
        <f t="shared" si="1729"/>
        <v>0</v>
      </c>
      <c r="EQ315">
        <f t="shared" si="1730"/>
        <v>0</v>
      </c>
      <c r="ER315">
        <f t="shared" si="1912"/>
        <v>0</v>
      </c>
      <c r="ES315">
        <f t="shared" ref="ES315:ET315" si="2007">IF(ES$218,FC210,0)</f>
        <v>0</v>
      </c>
      <c r="ET315">
        <f t="shared" si="2007"/>
        <v>0</v>
      </c>
      <c r="EU315">
        <f t="shared" si="1732"/>
        <v>0</v>
      </c>
      <c r="EV315">
        <f t="shared" si="1913"/>
        <v>0</v>
      </c>
      <c r="EW315">
        <f t="shared" si="1757"/>
        <v>0</v>
      </c>
      <c r="EX315">
        <f t="shared" si="1733"/>
        <v>0</v>
      </c>
      <c r="EY315">
        <f t="shared" si="1734"/>
        <v>0</v>
      </c>
      <c r="EZ315">
        <f t="shared" ref="EZ315:FI315" si="2008">IF(EZ$218,EZ210,0)</f>
        <v>0</v>
      </c>
      <c r="FA315">
        <f t="shared" si="2008"/>
        <v>0</v>
      </c>
      <c r="FB315">
        <f t="shared" si="2008"/>
        <v>0</v>
      </c>
      <c r="FC315">
        <f t="shared" si="2008"/>
        <v>0</v>
      </c>
      <c r="FD315">
        <f t="shared" si="2008"/>
        <v>0</v>
      </c>
      <c r="FE315">
        <f t="shared" si="2008"/>
        <v>0</v>
      </c>
      <c r="FF315">
        <f t="shared" si="2008"/>
        <v>0</v>
      </c>
      <c r="FG315">
        <f t="shared" si="2008"/>
        <v>0</v>
      </c>
      <c r="FH315">
        <f t="shared" si="2008"/>
        <v>0</v>
      </c>
      <c r="FI315">
        <f t="shared" si="2008"/>
        <v>0</v>
      </c>
      <c r="FJ315">
        <f t="shared" si="1736"/>
        <v>0</v>
      </c>
      <c r="FK315">
        <f t="shared" si="1737"/>
        <v>0</v>
      </c>
      <c r="FL315">
        <f t="shared" si="1915"/>
        <v>0</v>
      </c>
      <c r="FM315">
        <f t="shared" si="1759"/>
        <v>0</v>
      </c>
      <c r="FN315">
        <f t="shared" si="1738"/>
        <v>0</v>
      </c>
      <c r="FO315">
        <f t="shared" si="1739"/>
        <v>0</v>
      </c>
      <c r="FP315">
        <f t="shared" si="1740"/>
        <v>0</v>
      </c>
      <c r="FQ315">
        <f t="shared" si="1741"/>
        <v>0</v>
      </c>
      <c r="FR315">
        <f t="shared" si="1742"/>
        <v>0</v>
      </c>
      <c r="FS315">
        <f t="shared" si="1743"/>
        <v>0</v>
      </c>
      <c r="FT315">
        <f t="shared" si="1744"/>
        <v>0</v>
      </c>
      <c r="FU315">
        <f t="shared" si="1745"/>
        <v>0</v>
      </c>
      <c r="FV315">
        <f t="shared" si="1746"/>
        <v>0</v>
      </c>
      <c r="FW315">
        <f t="shared" si="1747"/>
        <v>0</v>
      </c>
      <c r="FX315">
        <f t="shared" si="1916"/>
        <v>0</v>
      </c>
      <c r="FY315">
        <f t="shared" si="1760"/>
        <v>0</v>
      </c>
      <c r="FZ315">
        <f t="shared" si="1748"/>
        <v>0</v>
      </c>
      <c r="GA315">
        <f t="shared" si="1749"/>
        <v>0</v>
      </c>
      <c r="GB315">
        <f t="shared" si="1750"/>
        <v>0</v>
      </c>
      <c r="GC315">
        <f t="shared" si="1751"/>
        <v>0</v>
      </c>
    </row>
    <row r="316" spans="1:187" x14ac:dyDescent="0.2">
      <c r="A316" s="8" t="str">
        <f t="shared" si="1821"/>
        <v/>
      </c>
      <c r="B316" s="8">
        <f t="shared" si="1822"/>
        <v>0</v>
      </c>
      <c r="C316" s="8">
        <f t="shared" si="1823"/>
        <v>0</v>
      </c>
      <c r="D316" s="8">
        <f t="shared" si="1824"/>
        <v>0</v>
      </c>
      <c r="E316" s="8">
        <f t="shared" si="1988"/>
        <v>0</v>
      </c>
      <c r="F316" s="8">
        <f t="shared" si="1887"/>
        <v>0</v>
      </c>
      <c r="G316" s="8">
        <f t="shared" si="1929"/>
        <v>0</v>
      </c>
      <c r="H316" s="8">
        <f t="shared" si="1930"/>
        <v>0</v>
      </c>
      <c r="I316" s="8">
        <f t="shared" si="1931"/>
        <v>0</v>
      </c>
      <c r="J316" s="8">
        <f t="shared" si="1932"/>
        <v>0</v>
      </c>
      <c r="K316" s="8">
        <f t="shared" si="1933"/>
        <v>0</v>
      </c>
      <c r="L316">
        <f t="shared" si="1825"/>
        <v>0</v>
      </c>
      <c r="M316">
        <f t="shared" si="1826"/>
        <v>0</v>
      </c>
      <c r="N316">
        <f t="shared" si="1827"/>
        <v>0</v>
      </c>
      <c r="O316">
        <f t="shared" si="1828"/>
        <v>0</v>
      </c>
      <c r="P316">
        <f t="shared" si="1829"/>
        <v>0</v>
      </c>
      <c r="Q316">
        <f t="shared" si="1830"/>
        <v>0</v>
      </c>
      <c r="R316">
        <f t="shared" si="1831"/>
        <v>0</v>
      </c>
      <c r="S316">
        <f t="shared" si="1832"/>
        <v>0</v>
      </c>
      <c r="T316">
        <f t="shared" si="1833"/>
        <v>0</v>
      </c>
      <c r="U316">
        <f t="shared" si="1834"/>
        <v>0</v>
      </c>
      <c r="V316">
        <f>IF(V$230,LandEmiss!AF211,0)</f>
        <v>0</v>
      </c>
      <c r="W316">
        <f>IF(W$230,LandEmiss!AG211,0)</f>
        <v>0</v>
      </c>
      <c r="X316">
        <f>IF(X$230,LandEmiss!AH211,0)</f>
        <v>0</v>
      </c>
      <c r="Y316">
        <f>IF(Y$230,LandEmiss!AI211,0)</f>
        <v>0</v>
      </c>
      <c r="Z316">
        <f>IF(Z$230,LandEmiss!AJ211,0)</f>
        <v>0</v>
      </c>
      <c r="AA316">
        <f>IF(AA$230,LandEmiss!AK211,0)</f>
        <v>0</v>
      </c>
      <c r="AB316">
        <f>IF(AB$230,LandEmiss!AL211,0)</f>
        <v>0</v>
      </c>
      <c r="AC316">
        <f>IF(AC$230,LandEmiss!AM211,0)</f>
        <v>0</v>
      </c>
      <c r="AD316">
        <f>IF(AD$230,LandEmiss!AN211,0)</f>
        <v>0</v>
      </c>
      <c r="AE316">
        <f>IF(AE$230,LandEmiss!AO211,0)</f>
        <v>0</v>
      </c>
      <c r="AF316">
        <f t="shared" ref="AF316:AO316" si="2009">IF(AF$230,AF211,0)</f>
        <v>0</v>
      </c>
      <c r="AG316">
        <f t="shared" si="2009"/>
        <v>0</v>
      </c>
      <c r="AH316">
        <f t="shared" si="2009"/>
        <v>0</v>
      </c>
      <c r="AI316">
        <f t="shared" si="2009"/>
        <v>0</v>
      </c>
      <c r="AJ316">
        <f t="shared" si="2009"/>
        <v>0</v>
      </c>
      <c r="AK316">
        <f t="shared" si="2009"/>
        <v>0</v>
      </c>
      <c r="AL316">
        <f t="shared" si="2009"/>
        <v>0</v>
      </c>
      <c r="AM316">
        <f t="shared" si="2009"/>
        <v>0</v>
      </c>
      <c r="AN316">
        <f t="shared" si="2009"/>
        <v>0</v>
      </c>
      <c r="AO316">
        <f t="shared" si="2009"/>
        <v>0</v>
      </c>
      <c r="AP316">
        <f t="shared" si="1836"/>
        <v>0</v>
      </c>
      <c r="AQ316">
        <f t="shared" si="1837"/>
        <v>0</v>
      </c>
      <c r="AR316">
        <f t="shared" si="1838"/>
        <v>0</v>
      </c>
      <c r="AS316">
        <f t="shared" si="1839"/>
        <v>0</v>
      </c>
      <c r="AT316">
        <f t="shared" si="1840"/>
        <v>0</v>
      </c>
      <c r="AU316">
        <f t="shared" si="1841"/>
        <v>0</v>
      </c>
      <c r="AV316">
        <f t="shared" si="1842"/>
        <v>0</v>
      </c>
      <c r="AW316">
        <f t="shared" si="1843"/>
        <v>0</v>
      </c>
      <c r="AX316">
        <f t="shared" si="1844"/>
        <v>0</v>
      </c>
      <c r="AY316">
        <f t="shared" si="1845"/>
        <v>0</v>
      </c>
      <c r="AZ316">
        <f t="shared" si="1846"/>
        <v>0</v>
      </c>
      <c r="BA316">
        <f t="shared" si="1847"/>
        <v>0</v>
      </c>
      <c r="BB316">
        <f t="shared" si="1848"/>
        <v>0</v>
      </c>
      <c r="BC316">
        <f t="shared" si="1849"/>
        <v>0</v>
      </c>
      <c r="BD316">
        <f t="shared" si="1850"/>
        <v>0</v>
      </c>
      <c r="BE316">
        <f t="shared" si="1851"/>
        <v>0</v>
      </c>
      <c r="BF316">
        <f t="shared" si="1852"/>
        <v>0</v>
      </c>
      <c r="BG316">
        <f t="shared" si="1853"/>
        <v>0</v>
      </c>
      <c r="BH316">
        <f t="shared" si="1990"/>
        <v>0</v>
      </c>
      <c r="BI316">
        <f t="shared" si="1889"/>
        <v>0</v>
      </c>
      <c r="BJ316" s="8" t="str">
        <f>Hidden!$CC87</f>
        <v/>
      </c>
      <c r="BK316">
        <f t="shared" ref="BK316:BT316" si="2010">IF(BK$230,CP211,0)</f>
        <v>0</v>
      </c>
      <c r="BL316">
        <f t="shared" si="2010"/>
        <v>0</v>
      </c>
      <c r="BM316">
        <f t="shared" si="2010"/>
        <v>0</v>
      </c>
      <c r="BN316">
        <f t="shared" si="2010"/>
        <v>0</v>
      </c>
      <c r="BO316">
        <f t="shared" si="2010"/>
        <v>0</v>
      </c>
      <c r="BP316">
        <f t="shared" si="2010"/>
        <v>0</v>
      </c>
      <c r="BQ316">
        <f t="shared" si="2010"/>
        <v>0</v>
      </c>
      <c r="BR316">
        <f t="shared" si="2010"/>
        <v>0</v>
      </c>
      <c r="BS316">
        <f t="shared" si="2010"/>
        <v>0</v>
      </c>
      <c r="BT316">
        <f t="shared" si="2010"/>
        <v>0</v>
      </c>
      <c r="BU316">
        <f t="shared" ref="BU316:CD316" si="2011">IF(BU$230,CP211,0)</f>
        <v>0</v>
      </c>
      <c r="BV316">
        <f t="shared" si="2011"/>
        <v>0</v>
      </c>
      <c r="BW316">
        <f t="shared" si="2011"/>
        <v>0</v>
      </c>
      <c r="BX316">
        <f t="shared" si="2011"/>
        <v>0</v>
      </c>
      <c r="BY316">
        <f t="shared" si="2011"/>
        <v>0</v>
      </c>
      <c r="BZ316">
        <f t="shared" si="2011"/>
        <v>0</v>
      </c>
      <c r="CA316">
        <f t="shared" si="2011"/>
        <v>0</v>
      </c>
      <c r="CB316">
        <f t="shared" si="2011"/>
        <v>0</v>
      </c>
      <c r="CC316">
        <f t="shared" si="2011"/>
        <v>0</v>
      </c>
      <c r="CD316">
        <f t="shared" si="2011"/>
        <v>0</v>
      </c>
      <c r="CE316">
        <f t="shared" si="1856"/>
        <v>0</v>
      </c>
      <c r="CF316">
        <f t="shared" si="1857"/>
        <v>0</v>
      </c>
      <c r="CG316">
        <f t="shared" si="1858"/>
        <v>0</v>
      </c>
      <c r="CH316">
        <f t="shared" si="1859"/>
        <v>0</v>
      </c>
      <c r="CI316">
        <f t="shared" si="1860"/>
        <v>0</v>
      </c>
      <c r="CJ316">
        <f t="shared" si="1993"/>
        <v>0</v>
      </c>
      <c r="CK316">
        <f t="shared" si="1892"/>
        <v>0</v>
      </c>
      <c r="CL316">
        <f t="shared" si="1861"/>
        <v>0</v>
      </c>
      <c r="CM316">
        <f t="shared" si="1862"/>
        <v>0</v>
      </c>
      <c r="CN316">
        <f t="shared" si="1863"/>
        <v>0</v>
      </c>
      <c r="CO316">
        <f t="shared" ref="CO316:CX316" si="2012">IF(CO$230,CP211,0)</f>
        <v>0</v>
      </c>
      <c r="CP316">
        <f t="shared" si="2012"/>
        <v>0</v>
      </c>
      <c r="CQ316">
        <f t="shared" si="2012"/>
        <v>0</v>
      </c>
      <c r="CR316">
        <f t="shared" si="2012"/>
        <v>0</v>
      </c>
      <c r="CS316">
        <f t="shared" si="2012"/>
        <v>0</v>
      </c>
      <c r="CT316">
        <f t="shared" si="2012"/>
        <v>0</v>
      </c>
      <c r="CU316">
        <f t="shared" si="2012"/>
        <v>0</v>
      </c>
      <c r="CV316">
        <f t="shared" si="2012"/>
        <v>0</v>
      </c>
      <c r="CW316">
        <f t="shared" si="2012"/>
        <v>0</v>
      </c>
      <c r="CX316">
        <f t="shared" si="2012"/>
        <v>0</v>
      </c>
      <c r="CY316">
        <f t="shared" si="1865"/>
        <v>0</v>
      </c>
      <c r="CZ316">
        <f t="shared" si="1866"/>
        <v>0</v>
      </c>
      <c r="DA316">
        <f t="shared" si="1867"/>
        <v>0</v>
      </c>
      <c r="DB316">
        <f t="shared" si="1868"/>
        <v>0</v>
      </c>
      <c r="DC316">
        <f t="shared" si="1869"/>
        <v>0</v>
      </c>
      <c r="DD316">
        <f t="shared" si="1870"/>
        <v>0</v>
      </c>
      <c r="DE316">
        <f t="shared" si="1871"/>
        <v>0</v>
      </c>
      <c r="DF316">
        <f t="shared" si="1872"/>
        <v>0</v>
      </c>
      <c r="DG316">
        <f t="shared" si="1873"/>
        <v>0</v>
      </c>
      <c r="DH316">
        <f t="shared" si="1874"/>
        <v>0</v>
      </c>
      <c r="DI316">
        <f t="shared" si="1875"/>
        <v>0</v>
      </c>
      <c r="DJ316">
        <f t="shared" si="1876"/>
        <v>0</v>
      </c>
      <c r="DK316">
        <f t="shared" si="1877"/>
        <v>0</v>
      </c>
      <c r="DL316">
        <f t="shared" si="1878"/>
        <v>0</v>
      </c>
      <c r="DM316">
        <f t="shared" si="1879"/>
        <v>0</v>
      </c>
      <c r="DN316">
        <f t="shared" si="1880"/>
        <v>0</v>
      </c>
      <c r="DO316">
        <f t="shared" si="1881"/>
        <v>0</v>
      </c>
      <c r="DP316">
        <f t="shared" si="1882"/>
        <v>0</v>
      </c>
      <c r="DQ316">
        <f t="shared" si="1883"/>
        <v>0</v>
      </c>
      <c r="DR316">
        <f t="shared" si="1884"/>
        <v>0</v>
      </c>
      <c r="DT316" s="77"/>
      <c r="DU316" s="8" t="str">
        <f>Hidden!$CG99</f>
        <v/>
      </c>
      <c r="DV316">
        <f t="shared" si="1709"/>
        <v>0</v>
      </c>
      <c r="DW316">
        <f t="shared" si="1710"/>
        <v>0</v>
      </c>
      <c r="DX316">
        <f t="shared" si="1711"/>
        <v>0</v>
      </c>
      <c r="DY316">
        <f t="shared" si="1712"/>
        <v>0</v>
      </c>
      <c r="DZ316">
        <f t="shared" si="1713"/>
        <v>0</v>
      </c>
      <c r="EA316">
        <f t="shared" si="1714"/>
        <v>0</v>
      </c>
      <c r="EB316">
        <f t="shared" si="1715"/>
        <v>0</v>
      </c>
      <c r="EC316">
        <f t="shared" si="1716"/>
        <v>0</v>
      </c>
      <c r="ED316">
        <f t="shared" si="1717"/>
        <v>0</v>
      </c>
      <c r="EE316">
        <f t="shared" si="1718"/>
        <v>0</v>
      </c>
      <c r="EF316">
        <f t="shared" si="1719"/>
        <v>0</v>
      </c>
      <c r="EG316">
        <f t="shared" si="1720"/>
        <v>0</v>
      </c>
      <c r="EH316">
        <f t="shared" si="1721"/>
        <v>0</v>
      </c>
      <c r="EI316">
        <f t="shared" si="1722"/>
        <v>0</v>
      </c>
      <c r="EJ316">
        <f t="shared" si="1723"/>
        <v>0</v>
      </c>
      <c r="EK316">
        <f t="shared" si="1724"/>
        <v>0</v>
      </c>
      <c r="EL316">
        <f t="shared" si="1725"/>
        <v>0</v>
      </c>
      <c r="EM316">
        <f t="shared" si="1726"/>
        <v>0</v>
      </c>
      <c r="EN316">
        <f t="shared" si="1727"/>
        <v>0</v>
      </c>
      <c r="EO316">
        <f t="shared" si="1728"/>
        <v>0</v>
      </c>
      <c r="EP316">
        <f t="shared" si="1729"/>
        <v>0</v>
      </c>
      <c r="EQ316">
        <f t="shared" si="1730"/>
        <v>0</v>
      </c>
      <c r="ER316">
        <f t="shared" si="1912"/>
        <v>0</v>
      </c>
      <c r="ES316">
        <f t="shared" ref="ES316:ET316" si="2013">IF(ES$218,FC211,0)</f>
        <v>0</v>
      </c>
      <c r="ET316">
        <f t="shared" si="2013"/>
        <v>0</v>
      </c>
      <c r="EU316">
        <f t="shared" si="1732"/>
        <v>0</v>
      </c>
      <c r="EV316">
        <f t="shared" si="1913"/>
        <v>0</v>
      </c>
      <c r="EW316">
        <f t="shared" si="1757"/>
        <v>0</v>
      </c>
      <c r="EX316">
        <f t="shared" si="1733"/>
        <v>0</v>
      </c>
      <c r="EY316">
        <f t="shared" si="1734"/>
        <v>0</v>
      </c>
      <c r="EZ316">
        <f t="shared" ref="EZ316:FI316" si="2014">IF(EZ$218,EZ211,0)</f>
        <v>0</v>
      </c>
      <c r="FA316">
        <f t="shared" si="2014"/>
        <v>0</v>
      </c>
      <c r="FB316">
        <f t="shared" si="2014"/>
        <v>0</v>
      </c>
      <c r="FC316">
        <f t="shared" si="2014"/>
        <v>0</v>
      </c>
      <c r="FD316">
        <f t="shared" si="2014"/>
        <v>0</v>
      </c>
      <c r="FE316">
        <f t="shared" si="2014"/>
        <v>0</v>
      </c>
      <c r="FF316">
        <f t="shared" si="2014"/>
        <v>0</v>
      </c>
      <c r="FG316">
        <f t="shared" si="2014"/>
        <v>0</v>
      </c>
      <c r="FH316">
        <f t="shared" si="2014"/>
        <v>0</v>
      </c>
      <c r="FI316">
        <f t="shared" si="2014"/>
        <v>0</v>
      </c>
      <c r="FJ316">
        <f t="shared" si="1736"/>
        <v>0</v>
      </c>
      <c r="FK316">
        <f t="shared" si="1737"/>
        <v>0</v>
      </c>
      <c r="FL316">
        <f t="shared" si="1915"/>
        <v>0</v>
      </c>
      <c r="FM316">
        <f t="shared" si="1759"/>
        <v>0</v>
      </c>
      <c r="FN316">
        <f t="shared" si="1738"/>
        <v>0</v>
      </c>
      <c r="FO316">
        <f t="shared" si="1739"/>
        <v>0</v>
      </c>
      <c r="FP316">
        <f t="shared" si="1740"/>
        <v>0</v>
      </c>
      <c r="FQ316">
        <f t="shared" si="1741"/>
        <v>0</v>
      </c>
      <c r="FR316">
        <f t="shared" si="1742"/>
        <v>0</v>
      </c>
      <c r="FS316">
        <f t="shared" si="1743"/>
        <v>0</v>
      </c>
      <c r="FT316">
        <f t="shared" si="1744"/>
        <v>0</v>
      </c>
      <c r="FU316">
        <f t="shared" si="1745"/>
        <v>0</v>
      </c>
      <c r="FV316">
        <f t="shared" si="1746"/>
        <v>0</v>
      </c>
      <c r="FW316">
        <f t="shared" si="1747"/>
        <v>0</v>
      </c>
      <c r="FX316">
        <f t="shared" si="1916"/>
        <v>0</v>
      </c>
      <c r="FY316">
        <f t="shared" si="1760"/>
        <v>0</v>
      </c>
      <c r="FZ316">
        <f t="shared" si="1748"/>
        <v>0</v>
      </c>
      <c r="GA316">
        <f t="shared" si="1749"/>
        <v>0</v>
      </c>
      <c r="GB316">
        <f t="shared" si="1750"/>
        <v>0</v>
      </c>
      <c r="GC316">
        <f t="shared" si="1751"/>
        <v>0</v>
      </c>
    </row>
    <row r="317" spans="1:187" x14ac:dyDescent="0.2">
      <c r="A317" s="8" t="str">
        <f t="shared" si="1821"/>
        <v/>
      </c>
      <c r="B317" s="8">
        <f t="shared" si="1822"/>
        <v>0</v>
      </c>
      <c r="C317" s="8">
        <f t="shared" si="1823"/>
        <v>0</v>
      </c>
      <c r="D317" s="8">
        <f t="shared" si="1824"/>
        <v>0</v>
      </c>
      <c r="E317" s="8">
        <f t="shared" si="1988"/>
        <v>0</v>
      </c>
      <c r="F317" s="8">
        <f t="shared" si="1887"/>
        <v>0</v>
      </c>
      <c r="G317" s="8">
        <f t="shared" si="1929"/>
        <v>0</v>
      </c>
      <c r="H317" s="8">
        <f t="shared" si="1930"/>
        <v>0</v>
      </c>
      <c r="I317" s="8">
        <f t="shared" si="1931"/>
        <v>0</v>
      </c>
      <c r="J317" s="8">
        <f t="shared" si="1932"/>
        <v>0</v>
      </c>
      <c r="K317" s="8">
        <f t="shared" si="1933"/>
        <v>0</v>
      </c>
      <c r="L317">
        <f t="shared" si="1825"/>
        <v>0</v>
      </c>
      <c r="M317">
        <f t="shared" si="1826"/>
        <v>0</v>
      </c>
      <c r="N317">
        <f t="shared" si="1827"/>
        <v>0</v>
      </c>
      <c r="O317">
        <f t="shared" si="1828"/>
        <v>0</v>
      </c>
      <c r="P317">
        <f t="shared" si="1829"/>
        <v>0</v>
      </c>
      <c r="Q317">
        <f t="shared" si="1830"/>
        <v>0</v>
      </c>
      <c r="R317">
        <f t="shared" si="1831"/>
        <v>0</v>
      </c>
      <c r="S317">
        <f t="shared" si="1832"/>
        <v>0</v>
      </c>
      <c r="T317">
        <f t="shared" si="1833"/>
        <v>0</v>
      </c>
      <c r="U317">
        <f t="shared" si="1834"/>
        <v>0</v>
      </c>
      <c r="V317">
        <f>IF(V$230,LandEmiss!AF212,0)</f>
        <v>0</v>
      </c>
      <c r="W317">
        <f>IF(W$230,LandEmiss!AG212,0)</f>
        <v>0</v>
      </c>
      <c r="X317">
        <f>IF(X$230,LandEmiss!AH212,0)</f>
        <v>0</v>
      </c>
      <c r="Y317">
        <f>IF(Y$230,LandEmiss!AI212,0)</f>
        <v>0</v>
      </c>
      <c r="Z317">
        <f>IF(Z$230,LandEmiss!AJ212,0)</f>
        <v>0</v>
      </c>
      <c r="AA317">
        <f>IF(AA$230,LandEmiss!AK212,0)</f>
        <v>0</v>
      </c>
      <c r="AB317">
        <f>IF(AB$230,LandEmiss!AL212,0)</f>
        <v>0</v>
      </c>
      <c r="AC317">
        <f>IF(AC$230,LandEmiss!AM212,0)</f>
        <v>0</v>
      </c>
      <c r="AD317">
        <f>IF(AD$230,LandEmiss!AN212,0)</f>
        <v>0</v>
      </c>
      <c r="AE317">
        <f>IF(AE$230,LandEmiss!AO212,0)</f>
        <v>0</v>
      </c>
      <c r="AF317">
        <f t="shared" ref="AF317:AO317" si="2015">IF(AF$230,AF212,0)</f>
        <v>0</v>
      </c>
      <c r="AG317">
        <f t="shared" si="2015"/>
        <v>0</v>
      </c>
      <c r="AH317">
        <f t="shared" si="2015"/>
        <v>0</v>
      </c>
      <c r="AI317">
        <f t="shared" si="2015"/>
        <v>0</v>
      </c>
      <c r="AJ317">
        <f t="shared" si="2015"/>
        <v>0</v>
      </c>
      <c r="AK317">
        <f t="shared" si="2015"/>
        <v>0</v>
      </c>
      <c r="AL317">
        <f t="shared" si="2015"/>
        <v>0</v>
      </c>
      <c r="AM317">
        <f t="shared" si="2015"/>
        <v>0</v>
      </c>
      <c r="AN317">
        <f t="shared" si="2015"/>
        <v>0</v>
      </c>
      <c r="AO317">
        <f t="shared" si="2015"/>
        <v>0</v>
      </c>
      <c r="AP317">
        <f t="shared" si="1836"/>
        <v>0</v>
      </c>
      <c r="AQ317">
        <f t="shared" si="1837"/>
        <v>0</v>
      </c>
      <c r="AR317">
        <f t="shared" si="1838"/>
        <v>0</v>
      </c>
      <c r="AS317">
        <f t="shared" si="1839"/>
        <v>0</v>
      </c>
      <c r="AT317">
        <f t="shared" si="1840"/>
        <v>0</v>
      </c>
      <c r="AU317">
        <f t="shared" si="1841"/>
        <v>0</v>
      </c>
      <c r="AV317">
        <f t="shared" si="1842"/>
        <v>0</v>
      </c>
      <c r="AW317">
        <f t="shared" si="1843"/>
        <v>0</v>
      </c>
      <c r="AX317">
        <f t="shared" si="1844"/>
        <v>0</v>
      </c>
      <c r="AY317">
        <f t="shared" si="1845"/>
        <v>0</v>
      </c>
      <c r="AZ317">
        <f t="shared" si="1846"/>
        <v>0</v>
      </c>
      <c r="BA317">
        <f t="shared" si="1847"/>
        <v>0</v>
      </c>
      <c r="BB317">
        <f t="shared" si="1848"/>
        <v>0</v>
      </c>
      <c r="BC317">
        <f t="shared" si="1849"/>
        <v>0</v>
      </c>
      <c r="BD317">
        <f t="shared" si="1850"/>
        <v>0</v>
      </c>
      <c r="BE317">
        <f t="shared" si="1851"/>
        <v>0</v>
      </c>
      <c r="BF317">
        <f t="shared" si="1852"/>
        <v>0</v>
      </c>
      <c r="BG317">
        <f t="shared" si="1853"/>
        <v>0</v>
      </c>
      <c r="BH317">
        <f t="shared" si="1990"/>
        <v>0</v>
      </c>
      <c r="BI317">
        <f t="shared" si="1889"/>
        <v>0</v>
      </c>
      <c r="BJ317" s="8" t="str">
        <f>Hidden!$CC88</f>
        <v/>
      </c>
      <c r="BK317">
        <f t="shared" ref="BK317:BT317" si="2016">IF(BK$230,CP212,0)</f>
        <v>0</v>
      </c>
      <c r="BL317">
        <f t="shared" si="2016"/>
        <v>0</v>
      </c>
      <c r="BM317">
        <f t="shared" si="2016"/>
        <v>0</v>
      </c>
      <c r="BN317">
        <f t="shared" si="2016"/>
        <v>0</v>
      </c>
      <c r="BO317">
        <f t="shared" si="2016"/>
        <v>0</v>
      </c>
      <c r="BP317">
        <f t="shared" si="2016"/>
        <v>0</v>
      </c>
      <c r="BQ317">
        <f t="shared" si="2016"/>
        <v>0</v>
      </c>
      <c r="BR317">
        <f t="shared" si="2016"/>
        <v>0</v>
      </c>
      <c r="BS317">
        <f t="shared" si="2016"/>
        <v>0</v>
      </c>
      <c r="BT317">
        <f t="shared" si="2016"/>
        <v>0</v>
      </c>
      <c r="BU317">
        <f t="shared" ref="BU317:CD317" si="2017">IF(BU$230,CP212,0)</f>
        <v>0</v>
      </c>
      <c r="BV317">
        <f t="shared" si="2017"/>
        <v>0</v>
      </c>
      <c r="BW317">
        <f t="shared" si="2017"/>
        <v>0</v>
      </c>
      <c r="BX317">
        <f t="shared" si="2017"/>
        <v>0</v>
      </c>
      <c r="BY317">
        <f t="shared" si="2017"/>
        <v>0</v>
      </c>
      <c r="BZ317">
        <f t="shared" si="2017"/>
        <v>0</v>
      </c>
      <c r="CA317">
        <f t="shared" si="2017"/>
        <v>0</v>
      </c>
      <c r="CB317">
        <f t="shared" si="2017"/>
        <v>0</v>
      </c>
      <c r="CC317">
        <f t="shared" si="2017"/>
        <v>0</v>
      </c>
      <c r="CD317">
        <f t="shared" si="2017"/>
        <v>0</v>
      </c>
      <c r="CE317">
        <f t="shared" si="1856"/>
        <v>0</v>
      </c>
      <c r="CF317">
        <f t="shared" si="1857"/>
        <v>0</v>
      </c>
      <c r="CG317">
        <f t="shared" si="1858"/>
        <v>0</v>
      </c>
      <c r="CH317">
        <f t="shared" si="1859"/>
        <v>0</v>
      </c>
      <c r="CI317">
        <f t="shared" si="1860"/>
        <v>0</v>
      </c>
      <c r="CJ317">
        <f t="shared" si="1993"/>
        <v>0</v>
      </c>
      <c r="CK317">
        <f t="shared" si="1892"/>
        <v>0</v>
      </c>
      <c r="CL317">
        <f t="shared" si="1861"/>
        <v>0</v>
      </c>
      <c r="CM317">
        <f t="shared" si="1862"/>
        <v>0</v>
      </c>
      <c r="CN317">
        <f t="shared" si="1863"/>
        <v>0</v>
      </c>
      <c r="CO317">
        <f t="shared" ref="CO317:CX317" si="2018">IF(CO$230,CP212,0)</f>
        <v>0</v>
      </c>
      <c r="CP317">
        <f t="shared" si="2018"/>
        <v>0</v>
      </c>
      <c r="CQ317">
        <f t="shared" si="2018"/>
        <v>0</v>
      </c>
      <c r="CR317">
        <f t="shared" si="2018"/>
        <v>0</v>
      </c>
      <c r="CS317">
        <f t="shared" si="2018"/>
        <v>0</v>
      </c>
      <c r="CT317">
        <f t="shared" si="2018"/>
        <v>0</v>
      </c>
      <c r="CU317">
        <f t="shared" si="2018"/>
        <v>0</v>
      </c>
      <c r="CV317">
        <f t="shared" si="2018"/>
        <v>0</v>
      </c>
      <c r="CW317">
        <f t="shared" si="2018"/>
        <v>0</v>
      </c>
      <c r="CX317">
        <f t="shared" si="2018"/>
        <v>0</v>
      </c>
      <c r="CY317">
        <f t="shared" si="1865"/>
        <v>0</v>
      </c>
      <c r="CZ317">
        <f t="shared" si="1866"/>
        <v>0</v>
      </c>
      <c r="DA317">
        <f t="shared" si="1867"/>
        <v>0</v>
      </c>
      <c r="DB317">
        <f t="shared" si="1868"/>
        <v>0</v>
      </c>
      <c r="DC317">
        <f t="shared" si="1869"/>
        <v>0</v>
      </c>
      <c r="DD317">
        <f t="shared" si="1870"/>
        <v>0</v>
      </c>
      <c r="DE317">
        <f t="shared" si="1871"/>
        <v>0</v>
      </c>
      <c r="DF317">
        <f t="shared" si="1872"/>
        <v>0</v>
      </c>
      <c r="DG317">
        <f t="shared" si="1873"/>
        <v>0</v>
      </c>
      <c r="DH317">
        <f t="shared" si="1874"/>
        <v>0</v>
      </c>
      <c r="DI317">
        <f t="shared" si="1875"/>
        <v>0</v>
      </c>
      <c r="DJ317">
        <f t="shared" si="1876"/>
        <v>0</v>
      </c>
      <c r="DK317">
        <f t="shared" si="1877"/>
        <v>0</v>
      </c>
      <c r="DL317">
        <f t="shared" si="1878"/>
        <v>0</v>
      </c>
      <c r="DM317">
        <f t="shared" si="1879"/>
        <v>0</v>
      </c>
      <c r="DN317">
        <f t="shared" si="1880"/>
        <v>0</v>
      </c>
      <c r="DO317">
        <f t="shared" si="1881"/>
        <v>0</v>
      </c>
      <c r="DP317">
        <f t="shared" si="1882"/>
        <v>0</v>
      </c>
      <c r="DQ317">
        <f t="shared" si="1883"/>
        <v>0</v>
      </c>
      <c r="DR317">
        <f t="shared" si="1884"/>
        <v>0</v>
      </c>
      <c r="DT317" s="77"/>
      <c r="DU317" s="8" t="str">
        <f>Hidden!$CG100</f>
        <v/>
      </c>
      <c r="DV317">
        <f t="shared" si="1709"/>
        <v>0</v>
      </c>
      <c r="DW317">
        <f t="shared" si="1710"/>
        <v>0</v>
      </c>
      <c r="DX317">
        <f t="shared" si="1711"/>
        <v>0</v>
      </c>
      <c r="DY317">
        <f t="shared" si="1712"/>
        <v>0</v>
      </c>
      <c r="DZ317">
        <f t="shared" si="1713"/>
        <v>0</v>
      </c>
      <c r="EA317">
        <f t="shared" si="1714"/>
        <v>0</v>
      </c>
      <c r="EB317">
        <f t="shared" si="1715"/>
        <v>0</v>
      </c>
      <c r="EC317">
        <f t="shared" si="1716"/>
        <v>0</v>
      </c>
      <c r="ED317">
        <f t="shared" si="1717"/>
        <v>0</v>
      </c>
      <c r="EE317">
        <f t="shared" si="1718"/>
        <v>0</v>
      </c>
      <c r="EF317">
        <f t="shared" si="1719"/>
        <v>0</v>
      </c>
      <c r="EG317">
        <f t="shared" si="1720"/>
        <v>0</v>
      </c>
      <c r="EH317">
        <f t="shared" si="1721"/>
        <v>0</v>
      </c>
      <c r="EI317">
        <f t="shared" si="1722"/>
        <v>0</v>
      </c>
      <c r="EJ317">
        <f t="shared" si="1723"/>
        <v>0</v>
      </c>
      <c r="EK317">
        <f t="shared" si="1724"/>
        <v>0</v>
      </c>
      <c r="EL317">
        <f t="shared" si="1725"/>
        <v>0</v>
      </c>
      <c r="EM317">
        <f t="shared" si="1726"/>
        <v>0</v>
      </c>
      <c r="EN317">
        <f t="shared" si="1727"/>
        <v>0</v>
      </c>
      <c r="EO317">
        <f t="shared" si="1728"/>
        <v>0</v>
      </c>
      <c r="EP317">
        <f t="shared" si="1729"/>
        <v>0</v>
      </c>
      <c r="EQ317">
        <f t="shared" si="1730"/>
        <v>0</v>
      </c>
      <c r="ER317">
        <f t="shared" ref="ER317:ET319" si="2019">IF(ER$218,FB212,0)</f>
        <v>0</v>
      </c>
      <c r="ES317">
        <f t="shared" si="2019"/>
        <v>0</v>
      </c>
      <c r="ET317">
        <f t="shared" si="2019"/>
        <v>0</v>
      </c>
      <c r="EU317">
        <f t="shared" si="1732"/>
        <v>0</v>
      </c>
      <c r="EV317">
        <f t="shared" si="1913"/>
        <v>0</v>
      </c>
      <c r="EW317">
        <f t="shared" si="1757"/>
        <v>0</v>
      </c>
      <c r="EX317">
        <f t="shared" si="1733"/>
        <v>0</v>
      </c>
      <c r="EY317">
        <f t="shared" si="1734"/>
        <v>0</v>
      </c>
      <c r="EZ317">
        <f t="shared" ref="EZ317:FI317" si="2020">IF(EZ$218,EZ212,0)</f>
        <v>0</v>
      </c>
      <c r="FA317">
        <f t="shared" si="2020"/>
        <v>0</v>
      </c>
      <c r="FB317">
        <f t="shared" si="2020"/>
        <v>0</v>
      </c>
      <c r="FC317">
        <f t="shared" si="2020"/>
        <v>0</v>
      </c>
      <c r="FD317">
        <f t="shared" si="2020"/>
        <v>0</v>
      </c>
      <c r="FE317">
        <f t="shared" si="2020"/>
        <v>0</v>
      </c>
      <c r="FF317">
        <f t="shared" si="2020"/>
        <v>0</v>
      </c>
      <c r="FG317">
        <f t="shared" si="2020"/>
        <v>0</v>
      </c>
      <c r="FH317">
        <f t="shared" si="2020"/>
        <v>0</v>
      </c>
      <c r="FI317">
        <f t="shared" si="2020"/>
        <v>0</v>
      </c>
      <c r="FJ317">
        <f t="shared" si="1736"/>
        <v>0</v>
      </c>
      <c r="FK317">
        <f t="shared" si="1737"/>
        <v>0</v>
      </c>
      <c r="FL317">
        <f t="shared" si="1915"/>
        <v>0</v>
      </c>
      <c r="FM317">
        <f t="shared" si="1759"/>
        <v>0</v>
      </c>
      <c r="FN317">
        <f t="shared" si="1738"/>
        <v>0</v>
      </c>
      <c r="FO317">
        <f t="shared" si="1739"/>
        <v>0</v>
      </c>
      <c r="FP317">
        <f t="shared" si="1740"/>
        <v>0</v>
      </c>
      <c r="FQ317">
        <f t="shared" si="1741"/>
        <v>0</v>
      </c>
      <c r="FR317">
        <f t="shared" si="1742"/>
        <v>0</v>
      </c>
      <c r="FS317">
        <f t="shared" si="1743"/>
        <v>0</v>
      </c>
      <c r="FT317">
        <f t="shared" si="1744"/>
        <v>0</v>
      </c>
      <c r="FU317">
        <f t="shared" si="1745"/>
        <v>0</v>
      </c>
      <c r="FV317">
        <f t="shared" si="1746"/>
        <v>0</v>
      </c>
      <c r="FW317">
        <f t="shared" si="1747"/>
        <v>0</v>
      </c>
      <c r="FX317">
        <f t="shared" si="1916"/>
        <v>0</v>
      </c>
      <c r="FY317">
        <f t="shared" si="1760"/>
        <v>0</v>
      </c>
      <c r="FZ317">
        <f t="shared" si="1748"/>
        <v>0</v>
      </c>
      <c r="GA317">
        <f t="shared" si="1749"/>
        <v>0</v>
      </c>
      <c r="GB317">
        <f t="shared" si="1750"/>
        <v>0</v>
      </c>
      <c r="GC317">
        <f t="shared" si="1751"/>
        <v>0</v>
      </c>
    </row>
    <row r="318" spans="1:187" x14ac:dyDescent="0.2">
      <c r="A318" s="8" t="str">
        <f t="shared" si="1821"/>
        <v/>
      </c>
      <c r="B318" s="8">
        <f t="shared" si="1822"/>
        <v>0</v>
      </c>
      <c r="C318" s="8">
        <f t="shared" si="1823"/>
        <v>0</v>
      </c>
      <c r="D318" s="8">
        <f t="shared" si="1824"/>
        <v>0</v>
      </c>
      <c r="E318" s="8">
        <f t="shared" si="1988"/>
        <v>0</v>
      </c>
      <c r="F318" s="8">
        <f t="shared" si="1887"/>
        <v>0</v>
      </c>
      <c r="G318" s="8">
        <f t="shared" si="1929"/>
        <v>0</v>
      </c>
      <c r="H318" s="8">
        <f t="shared" si="1930"/>
        <v>0</v>
      </c>
      <c r="I318" s="8">
        <f t="shared" si="1931"/>
        <v>0</v>
      </c>
      <c r="J318" s="8">
        <f t="shared" si="1932"/>
        <v>0</v>
      </c>
      <c r="K318" s="8">
        <f t="shared" si="1933"/>
        <v>0</v>
      </c>
      <c r="L318">
        <f t="shared" si="1825"/>
        <v>0</v>
      </c>
      <c r="M318">
        <f t="shared" si="1826"/>
        <v>0</v>
      </c>
      <c r="N318">
        <f t="shared" si="1827"/>
        <v>0</v>
      </c>
      <c r="O318">
        <f t="shared" si="1828"/>
        <v>0</v>
      </c>
      <c r="P318">
        <f t="shared" si="1829"/>
        <v>0</v>
      </c>
      <c r="Q318">
        <f t="shared" si="1830"/>
        <v>0</v>
      </c>
      <c r="R318">
        <f t="shared" si="1831"/>
        <v>0</v>
      </c>
      <c r="S318">
        <f t="shared" si="1832"/>
        <v>0</v>
      </c>
      <c r="T318">
        <f t="shared" si="1833"/>
        <v>0</v>
      </c>
      <c r="U318">
        <f t="shared" si="1834"/>
        <v>0</v>
      </c>
      <c r="V318">
        <f>IF(V$230,LandEmiss!AF213,0)</f>
        <v>0</v>
      </c>
      <c r="W318">
        <f>IF(W$230,LandEmiss!AG213,0)</f>
        <v>0</v>
      </c>
      <c r="X318">
        <f>IF(X$230,LandEmiss!AH213,0)</f>
        <v>0</v>
      </c>
      <c r="Y318">
        <f>IF(Y$230,LandEmiss!AI213,0)</f>
        <v>0</v>
      </c>
      <c r="Z318">
        <f>IF(Z$230,LandEmiss!AJ213,0)</f>
        <v>0</v>
      </c>
      <c r="AA318">
        <f>IF(AA$230,LandEmiss!AK213,0)</f>
        <v>0</v>
      </c>
      <c r="AB318">
        <f>IF(AB$230,LandEmiss!AL213,0)</f>
        <v>0</v>
      </c>
      <c r="AC318">
        <f>IF(AC$230,LandEmiss!AM213,0)</f>
        <v>0</v>
      </c>
      <c r="AD318">
        <f>IF(AD$230,LandEmiss!AN213,0)</f>
        <v>0</v>
      </c>
      <c r="AE318">
        <f>IF(AE$230,LandEmiss!AO213,0)</f>
        <v>0</v>
      </c>
      <c r="AF318">
        <f t="shared" ref="AF318:AO318" si="2021">IF(AF$230,AF213,0)</f>
        <v>0</v>
      </c>
      <c r="AG318">
        <f t="shared" si="2021"/>
        <v>0</v>
      </c>
      <c r="AH318">
        <f t="shared" si="2021"/>
        <v>0</v>
      </c>
      <c r="AI318">
        <f t="shared" si="2021"/>
        <v>0</v>
      </c>
      <c r="AJ318">
        <f t="shared" si="2021"/>
        <v>0</v>
      </c>
      <c r="AK318">
        <f t="shared" si="2021"/>
        <v>0</v>
      </c>
      <c r="AL318">
        <f t="shared" si="2021"/>
        <v>0</v>
      </c>
      <c r="AM318">
        <f t="shared" si="2021"/>
        <v>0</v>
      </c>
      <c r="AN318">
        <f t="shared" si="2021"/>
        <v>0</v>
      </c>
      <c r="AO318">
        <f t="shared" si="2021"/>
        <v>0</v>
      </c>
      <c r="AP318">
        <f t="shared" si="1836"/>
        <v>0</v>
      </c>
      <c r="AQ318">
        <f t="shared" si="1837"/>
        <v>0</v>
      </c>
      <c r="AR318">
        <f t="shared" si="1838"/>
        <v>0</v>
      </c>
      <c r="AS318">
        <f t="shared" si="1839"/>
        <v>0</v>
      </c>
      <c r="AT318">
        <f t="shared" si="1840"/>
        <v>0</v>
      </c>
      <c r="AU318">
        <f t="shared" si="1841"/>
        <v>0</v>
      </c>
      <c r="AV318">
        <f t="shared" si="1842"/>
        <v>0</v>
      </c>
      <c r="AW318">
        <f t="shared" si="1843"/>
        <v>0</v>
      </c>
      <c r="AX318">
        <f t="shared" si="1844"/>
        <v>0</v>
      </c>
      <c r="AY318">
        <f t="shared" si="1845"/>
        <v>0</v>
      </c>
      <c r="AZ318">
        <f t="shared" si="1846"/>
        <v>0</v>
      </c>
      <c r="BA318">
        <f t="shared" si="1847"/>
        <v>0</v>
      </c>
      <c r="BB318">
        <f t="shared" si="1848"/>
        <v>0</v>
      </c>
      <c r="BC318">
        <f t="shared" si="1849"/>
        <v>0</v>
      </c>
      <c r="BD318">
        <f t="shared" si="1850"/>
        <v>0</v>
      </c>
      <c r="BE318">
        <f t="shared" si="1851"/>
        <v>0</v>
      </c>
      <c r="BF318">
        <f t="shared" si="1852"/>
        <v>0</v>
      </c>
      <c r="BG318">
        <f t="shared" si="1853"/>
        <v>0</v>
      </c>
      <c r="BH318">
        <f t="shared" si="1990"/>
        <v>0</v>
      </c>
      <c r="BI318">
        <f t="shared" si="1889"/>
        <v>0</v>
      </c>
      <c r="BJ318" s="8" t="str">
        <f>Hidden!$CC89</f>
        <v/>
      </c>
      <c r="BK318">
        <f t="shared" ref="BK318:BT318" si="2022">IF(BK$230,CP213,0)</f>
        <v>0</v>
      </c>
      <c r="BL318">
        <f t="shared" si="2022"/>
        <v>0</v>
      </c>
      <c r="BM318">
        <f t="shared" si="2022"/>
        <v>0</v>
      </c>
      <c r="BN318">
        <f t="shared" si="2022"/>
        <v>0</v>
      </c>
      <c r="BO318">
        <f t="shared" si="2022"/>
        <v>0</v>
      </c>
      <c r="BP318">
        <f t="shared" si="2022"/>
        <v>0</v>
      </c>
      <c r="BQ318">
        <f t="shared" si="2022"/>
        <v>0</v>
      </c>
      <c r="BR318">
        <f t="shared" si="2022"/>
        <v>0</v>
      </c>
      <c r="BS318">
        <f t="shared" si="2022"/>
        <v>0</v>
      </c>
      <c r="BT318">
        <f t="shared" si="2022"/>
        <v>0</v>
      </c>
      <c r="BU318">
        <f t="shared" ref="BU318:CD318" si="2023">IF(BU$230,CP213,0)</f>
        <v>0</v>
      </c>
      <c r="BV318">
        <f t="shared" si="2023"/>
        <v>0</v>
      </c>
      <c r="BW318">
        <f t="shared" si="2023"/>
        <v>0</v>
      </c>
      <c r="BX318">
        <f t="shared" si="2023"/>
        <v>0</v>
      </c>
      <c r="BY318">
        <f t="shared" si="2023"/>
        <v>0</v>
      </c>
      <c r="BZ318">
        <f t="shared" si="2023"/>
        <v>0</v>
      </c>
      <c r="CA318">
        <f t="shared" si="2023"/>
        <v>0</v>
      </c>
      <c r="CB318">
        <f t="shared" si="2023"/>
        <v>0</v>
      </c>
      <c r="CC318">
        <f t="shared" si="2023"/>
        <v>0</v>
      </c>
      <c r="CD318">
        <f t="shared" si="2023"/>
        <v>0</v>
      </c>
      <c r="CE318">
        <f t="shared" si="1856"/>
        <v>0</v>
      </c>
      <c r="CF318">
        <f t="shared" si="1857"/>
        <v>0</v>
      </c>
      <c r="CG318">
        <f t="shared" si="1858"/>
        <v>0</v>
      </c>
      <c r="CH318">
        <f t="shared" si="1859"/>
        <v>0</v>
      </c>
      <c r="CI318">
        <f t="shared" si="1860"/>
        <v>0</v>
      </c>
      <c r="CJ318">
        <f t="shared" si="1993"/>
        <v>0</v>
      </c>
      <c r="CK318">
        <f t="shared" si="1892"/>
        <v>0</v>
      </c>
      <c r="CL318">
        <f t="shared" si="1861"/>
        <v>0</v>
      </c>
      <c r="CM318">
        <f t="shared" si="1862"/>
        <v>0</v>
      </c>
      <c r="CN318">
        <f t="shared" si="1863"/>
        <v>0</v>
      </c>
      <c r="CO318">
        <f t="shared" ref="CO318:CX318" si="2024">IF(CO$230,CP213,0)</f>
        <v>0</v>
      </c>
      <c r="CP318">
        <f t="shared" si="2024"/>
        <v>0</v>
      </c>
      <c r="CQ318">
        <f t="shared" si="2024"/>
        <v>0</v>
      </c>
      <c r="CR318">
        <f t="shared" si="2024"/>
        <v>0</v>
      </c>
      <c r="CS318">
        <f t="shared" si="2024"/>
        <v>0</v>
      </c>
      <c r="CT318">
        <f t="shared" si="2024"/>
        <v>0</v>
      </c>
      <c r="CU318">
        <f t="shared" si="2024"/>
        <v>0</v>
      </c>
      <c r="CV318">
        <f t="shared" si="2024"/>
        <v>0</v>
      </c>
      <c r="CW318">
        <f t="shared" si="2024"/>
        <v>0</v>
      </c>
      <c r="CX318">
        <f t="shared" si="2024"/>
        <v>0</v>
      </c>
      <c r="CY318">
        <f t="shared" si="1865"/>
        <v>0</v>
      </c>
      <c r="CZ318">
        <f t="shared" si="1866"/>
        <v>0</v>
      </c>
      <c r="DA318">
        <f t="shared" si="1867"/>
        <v>0</v>
      </c>
      <c r="DB318">
        <f t="shared" si="1868"/>
        <v>0</v>
      </c>
      <c r="DC318">
        <f t="shared" si="1869"/>
        <v>0</v>
      </c>
      <c r="DD318">
        <f t="shared" si="1870"/>
        <v>0</v>
      </c>
      <c r="DE318">
        <f t="shared" si="1871"/>
        <v>0</v>
      </c>
      <c r="DF318">
        <f t="shared" si="1872"/>
        <v>0</v>
      </c>
      <c r="DG318">
        <f t="shared" si="1873"/>
        <v>0</v>
      </c>
      <c r="DH318">
        <f t="shared" si="1874"/>
        <v>0</v>
      </c>
      <c r="DI318">
        <f t="shared" si="1875"/>
        <v>0</v>
      </c>
      <c r="DJ318">
        <f t="shared" si="1876"/>
        <v>0</v>
      </c>
      <c r="DK318">
        <f t="shared" si="1877"/>
        <v>0</v>
      </c>
      <c r="DL318">
        <f t="shared" si="1878"/>
        <v>0</v>
      </c>
      <c r="DM318">
        <f t="shared" si="1879"/>
        <v>0</v>
      </c>
      <c r="DN318">
        <f t="shared" si="1880"/>
        <v>0</v>
      </c>
      <c r="DO318">
        <f t="shared" si="1881"/>
        <v>0</v>
      </c>
      <c r="DP318">
        <f t="shared" si="1882"/>
        <v>0</v>
      </c>
      <c r="DQ318">
        <f t="shared" si="1883"/>
        <v>0</v>
      </c>
      <c r="DR318">
        <f t="shared" si="1884"/>
        <v>0</v>
      </c>
      <c r="DT318" s="77"/>
      <c r="DU318" s="8" t="str">
        <f>Hidden!$CG101</f>
        <v/>
      </c>
      <c r="DV318">
        <f t="shared" si="1709"/>
        <v>0</v>
      </c>
      <c r="DW318">
        <f t="shared" si="1710"/>
        <v>0</v>
      </c>
      <c r="DX318">
        <f t="shared" si="1711"/>
        <v>0</v>
      </c>
      <c r="DY318">
        <f t="shared" si="1712"/>
        <v>0</v>
      </c>
      <c r="DZ318">
        <f t="shared" si="1713"/>
        <v>0</v>
      </c>
      <c r="EA318">
        <f t="shared" si="1714"/>
        <v>0</v>
      </c>
      <c r="EB318">
        <f t="shared" si="1715"/>
        <v>0</v>
      </c>
      <c r="EC318">
        <f t="shared" si="1716"/>
        <v>0</v>
      </c>
      <c r="ED318">
        <f t="shared" si="1717"/>
        <v>0</v>
      </c>
      <c r="EE318">
        <f t="shared" si="1718"/>
        <v>0</v>
      </c>
      <c r="EF318">
        <f t="shared" si="1719"/>
        <v>0</v>
      </c>
      <c r="EG318">
        <f t="shared" si="1720"/>
        <v>0</v>
      </c>
      <c r="EH318">
        <f t="shared" si="1721"/>
        <v>0</v>
      </c>
      <c r="EI318">
        <f t="shared" si="1722"/>
        <v>0</v>
      </c>
      <c r="EJ318">
        <f t="shared" si="1723"/>
        <v>0</v>
      </c>
      <c r="EK318">
        <f t="shared" si="1724"/>
        <v>0</v>
      </c>
      <c r="EL318">
        <f t="shared" si="1725"/>
        <v>0</v>
      </c>
      <c r="EM318">
        <f t="shared" si="1726"/>
        <v>0</v>
      </c>
      <c r="EN318">
        <f t="shared" si="1727"/>
        <v>0</v>
      </c>
      <c r="EO318">
        <f t="shared" si="1728"/>
        <v>0</v>
      </c>
      <c r="EP318">
        <f t="shared" si="1729"/>
        <v>0</v>
      </c>
      <c r="EQ318">
        <f t="shared" si="1730"/>
        <v>0</v>
      </c>
      <c r="ER318">
        <f t="shared" si="2019"/>
        <v>0</v>
      </c>
      <c r="ES318">
        <f t="shared" ref="ES318:ET318" si="2025">IF(ES$218,FC213,0)</f>
        <v>0</v>
      </c>
      <c r="ET318">
        <f t="shared" si="2025"/>
        <v>0</v>
      </c>
      <c r="EU318">
        <f t="shared" si="1732"/>
        <v>0</v>
      </c>
      <c r="EV318">
        <f t="shared" si="1913"/>
        <v>0</v>
      </c>
      <c r="EW318">
        <f t="shared" si="1757"/>
        <v>0</v>
      </c>
      <c r="EX318">
        <f t="shared" si="1733"/>
        <v>0</v>
      </c>
      <c r="EY318">
        <f t="shared" si="1734"/>
        <v>0</v>
      </c>
      <c r="EZ318">
        <f t="shared" ref="EZ318:FI318" si="2026">IF(EZ$218,EZ213,0)</f>
        <v>0</v>
      </c>
      <c r="FA318">
        <f t="shared" si="2026"/>
        <v>0</v>
      </c>
      <c r="FB318">
        <f t="shared" si="2026"/>
        <v>0</v>
      </c>
      <c r="FC318">
        <f t="shared" si="2026"/>
        <v>0</v>
      </c>
      <c r="FD318">
        <f t="shared" si="2026"/>
        <v>0</v>
      </c>
      <c r="FE318">
        <f t="shared" si="2026"/>
        <v>0</v>
      </c>
      <c r="FF318">
        <f t="shared" si="2026"/>
        <v>0</v>
      </c>
      <c r="FG318">
        <f t="shared" si="2026"/>
        <v>0</v>
      </c>
      <c r="FH318">
        <f t="shared" si="2026"/>
        <v>0</v>
      </c>
      <c r="FI318">
        <f t="shared" si="2026"/>
        <v>0</v>
      </c>
      <c r="FJ318">
        <f t="shared" si="1736"/>
        <v>0</v>
      </c>
      <c r="FK318">
        <f t="shared" si="1737"/>
        <v>0</v>
      </c>
      <c r="FL318">
        <f t="shared" si="1915"/>
        <v>0</v>
      </c>
      <c r="FM318">
        <f t="shared" si="1759"/>
        <v>0</v>
      </c>
      <c r="FN318">
        <f t="shared" si="1738"/>
        <v>0</v>
      </c>
      <c r="FO318">
        <f t="shared" si="1739"/>
        <v>0</v>
      </c>
      <c r="FP318">
        <f t="shared" si="1740"/>
        <v>0</v>
      </c>
      <c r="FQ318">
        <f t="shared" si="1741"/>
        <v>0</v>
      </c>
      <c r="FR318">
        <f t="shared" si="1742"/>
        <v>0</v>
      </c>
      <c r="FS318">
        <f t="shared" si="1743"/>
        <v>0</v>
      </c>
      <c r="FT318">
        <f t="shared" si="1744"/>
        <v>0</v>
      </c>
      <c r="FU318">
        <f t="shared" si="1745"/>
        <v>0</v>
      </c>
      <c r="FV318">
        <f t="shared" si="1746"/>
        <v>0</v>
      </c>
      <c r="FW318">
        <f t="shared" si="1747"/>
        <v>0</v>
      </c>
      <c r="FX318">
        <f t="shared" si="1916"/>
        <v>0</v>
      </c>
      <c r="FY318">
        <f t="shared" si="1760"/>
        <v>0</v>
      </c>
      <c r="FZ318">
        <f t="shared" si="1748"/>
        <v>0</v>
      </c>
      <c r="GA318">
        <f t="shared" si="1749"/>
        <v>0</v>
      </c>
      <c r="GB318">
        <f t="shared" si="1750"/>
        <v>0</v>
      </c>
      <c r="GC318">
        <f t="shared" si="1751"/>
        <v>0</v>
      </c>
    </row>
    <row r="319" spans="1:187" ht="15" thickBot="1" x14ac:dyDescent="0.25">
      <c r="A319" s="8" t="str">
        <f t="shared" si="1821"/>
        <v/>
      </c>
      <c r="B319" s="8">
        <f t="shared" si="1822"/>
        <v>0</v>
      </c>
      <c r="C319" s="8">
        <f t="shared" si="1823"/>
        <v>0</v>
      </c>
      <c r="D319" s="8">
        <f t="shared" si="1824"/>
        <v>0</v>
      </c>
      <c r="E319" s="8">
        <f t="shared" si="1988"/>
        <v>0</v>
      </c>
      <c r="F319" s="8">
        <f t="shared" si="1887"/>
        <v>0</v>
      </c>
      <c r="G319" s="8">
        <f t="shared" si="1929"/>
        <v>0</v>
      </c>
      <c r="H319" s="8">
        <f t="shared" si="1930"/>
        <v>0</v>
      </c>
      <c r="I319" s="8">
        <f t="shared" si="1931"/>
        <v>0</v>
      </c>
      <c r="J319" s="8">
        <f t="shared" si="1932"/>
        <v>0</v>
      </c>
      <c r="K319" s="8">
        <f t="shared" si="1933"/>
        <v>0</v>
      </c>
      <c r="L319">
        <f t="shared" si="1825"/>
        <v>0</v>
      </c>
      <c r="M319">
        <f t="shared" si="1826"/>
        <v>0</v>
      </c>
      <c r="N319">
        <f t="shared" si="1827"/>
        <v>0</v>
      </c>
      <c r="O319">
        <f t="shared" si="1828"/>
        <v>0</v>
      </c>
      <c r="P319">
        <f t="shared" si="1829"/>
        <v>0</v>
      </c>
      <c r="Q319">
        <f t="shared" si="1830"/>
        <v>0</v>
      </c>
      <c r="R319">
        <f t="shared" si="1831"/>
        <v>0</v>
      </c>
      <c r="S319">
        <f t="shared" si="1832"/>
        <v>0</v>
      </c>
      <c r="T319">
        <f t="shared" si="1833"/>
        <v>0</v>
      </c>
      <c r="U319">
        <f t="shared" si="1834"/>
        <v>0</v>
      </c>
      <c r="V319">
        <f>IF(V$230,LandEmiss!AF214,0)</f>
        <v>0</v>
      </c>
      <c r="W319">
        <f>IF(W$230,LandEmiss!AG214,0)</f>
        <v>0</v>
      </c>
      <c r="X319">
        <f>IF(X$230,LandEmiss!AH214,0)</f>
        <v>0</v>
      </c>
      <c r="Y319">
        <f>IF(Y$230,LandEmiss!AI214,0)</f>
        <v>0</v>
      </c>
      <c r="Z319">
        <f>IF(Z$230,LandEmiss!AJ214,0)</f>
        <v>0</v>
      </c>
      <c r="AA319">
        <f>IF(AA$230,LandEmiss!AK214,0)</f>
        <v>0</v>
      </c>
      <c r="AB319">
        <f>IF(AB$230,LandEmiss!AL214,0)</f>
        <v>0</v>
      </c>
      <c r="AC319">
        <f>IF(AC$230,LandEmiss!AM214,0)</f>
        <v>0</v>
      </c>
      <c r="AD319">
        <f>IF(AD$230,LandEmiss!AN214,0)</f>
        <v>0</v>
      </c>
      <c r="AE319">
        <f>IF(AE$230,LandEmiss!AO214,0)</f>
        <v>0</v>
      </c>
      <c r="AF319">
        <f t="shared" ref="AF319:AO319" si="2027">IF(AF$230,AF214,0)</f>
        <v>0</v>
      </c>
      <c r="AG319">
        <f t="shared" si="2027"/>
        <v>0</v>
      </c>
      <c r="AH319">
        <f t="shared" si="2027"/>
        <v>0</v>
      </c>
      <c r="AI319">
        <f t="shared" si="2027"/>
        <v>0</v>
      </c>
      <c r="AJ319">
        <f t="shared" si="2027"/>
        <v>0</v>
      </c>
      <c r="AK319">
        <f t="shared" si="2027"/>
        <v>0</v>
      </c>
      <c r="AL319">
        <f t="shared" si="2027"/>
        <v>0</v>
      </c>
      <c r="AM319">
        <f t="shared" si="2027"/>
        <v>0</v>
      </c>
      <c r="AN319">
        <f t="shared" si="2027"/>
        <v>0</v>
      </c>
      <c r="AO319">
        <f t="shared" si="2027"/>
        <v>0</v>
      </c>
      <c r="AP319">
        <f t="shared" si="1836"/>
        <v>0</v>
      </c>
      <c r="AQ319">
        <f t="shared" si="1837"/>
        <v>0</v>
      </c>
      <c r="AR319">
        <f t="shared" si="1838"/>
        <v>0</v>
      </c>
      <c r="AS319">
        <f t="shared" si="1839"/>
        <v>0</v>
      </c>
      <c r="AT319">
        <f t="shared" si="1840"/>
        <v>0</v>
      </c>
      <c r="AU319">
        <f t="shared" si="1841"/>
        <v>0</v>
      </c>
      <c r="AV319">
        <f t="shared" si="1842"/>
        <v>0</v>
      </c>
      <c r="AW319">
        <f t="shared" si="1843"/>
        <v>0</v>
      </c>
      <c r="AX319">
        <f t="shared" si="1844"/>
        <v>0</v>
      </c>
      <c r="AY319">
        <f t="shared" si="1845"/>
        <v>0</v>
      </c>
      <c r="AZ319">
        <f t="shared" si="1846"/>
        <v>0</v>
      </c>
      <c r="BA319">
        <f t="shared" si="1847"/>
        <v>0</v>
      </c>
      <c r="BB319">
        <f t="shared" si="1848"/>
        <v>0</v>
      </c>
      <c r="BC319">
        <f t="shared" si="1849"/>
        <v>0</v>
      </c>
      <c r="BD319">
        <f t="shared" si="1850"/>
        <v>0</v>
      </c>
      <c r="BE319">
        <f t="shared" si="1851"/>
        <v>0</v>
      </c>
      <c r="BF319">
        <f t="shared" si="1852"/>
        <v>0</v>
      </c>
      <c r="BG319">
        <f t="shared" si="1853"/>
        <v>0</v>
      </c>
      <c r="BH319">
        <f t="shared" si="1990"/>
        <v>0</v>
      </c>
      <c r="BI319">
        <f t="shared" si="1889"/>
        <v>0</v>
      </c>
      <c r="BJ319" s="8" t="str">
        <f>Hidden!$CC90</f>
        <v/>
      </c>
      <c r="BK319">
        <f t="shared" ref="BK319:BT319" si="2028">IF(BK$230,CP214,0)</f>
        <v>0</v>
      </c>
      <c r="BL319">
        <f t="shared" si="2028"/>
        <v>0</v>
      </c>
      <c r="BM319">
        <f t="shared" si="2028"/>
        <v>0</v>
      </c>
      <c r="BN319">
        <f t="shared" si="2028"/>
        <v>0</v>
      </c>
      <c r="BO319">
        <f t="shared" si="2028"/>
        <v>0</v>
      </c>
      <c r="BP319">
        <f t="shared" si="2028"/>
        <v>0</v>
      </c>
      <c r="BQ319">
        <f t="shared" si="2028"/>
        <v>0</v>
      </c>
      <c r="BR319">
        <f t="shared" si="2028"/>
        <v>0</v>
      </c>
      <c r="BS319">
        <f t="shared" si="2028"/>
        <v>0</v>
      </c>
      <c r="BT319">
        <f t="shared" si="2028"/>
        <v>0</v>
      </c>
      <c r="BU319">
        <f t="shared" ref="BU319:CD319" si="2029">IF(BU$230,CP214,0)</f>
        <v>0</v>
      </c>
      <c r="BV319">
        <f t="shared" si="2029"/>
        <v>0</v>
      </c>
      <c r="BW319">
        <f t="shared" si="2029"/>
        <v>0</v>
      </c>
      <c r="BX319">
        <f t="shared" si="2029"/>
        <v>0</v>
      </c>
      <c r="BY319">
        <f t="shared" si="2029"/>
        <v>0</v>
      </c>
      <c r="BZ319">
        <f t="shared" si="2029"/>
        <v>0</v>
      </c>
      <c r="CA319">
        <f t="shared" si="2029"/>
        <v>0</v>
      </c>
      <c r="CB319">
        <f t="shared" si="2029"/>
        <v>0</v>
      </c>
      <c r="CC319">
        <f t="shared" si="2029"/>
        <v>0</v>
      </c>
      <c r="CD319">
        <f t="shared" si="2029"/>
        <v>0</v>
      </c>
      <c r="CE319">
        <f t="shared" si="1856"/>
        <v>0</v>
      </c>
      <c r="CF319">
        <f t="shared" si="1857"/>
        <v>0</v>
      </c>
      <c r="CG319">
        <f t="shared" si="1858"/>
        <v>0</v>
      </c>
      <c r="CH319">
        <f t="shared" si="1859"/>
        <v>0</v>
      </c>
      <c r="CI319">
        <f t="shared" si="1860"/>
        <v>0</v>
      </c>
      <c r="CJ319">
        <f t="shared" si="1993"/>
        <v>0</v>
      </c>
      <c r="CK319">
        <f t="shared" si="1892"/>
        <v>0</v>
      </c>
      <c r="CL319">
        <f t="shared" si="1861"/>
        <v>0</v>
      </c>
      <c r="CM319">
        <f t="shared" si="1862"/>
        <v>0</v>
      </c>
      <c r="CN319">
        <f t="shared" si="1863"/>
        <v>0</v>
      </c>
      <c r="CO319">
        <f t="shared" ref="CO319:CX319" si="2030">IF(CO$230,CP214,0)</f>
        <v>0</v>
      </c>
      <c r="CP319">
        <f t="shared" si="2030"/>
        <v>0</v>
      </c>
      <c r="CQ319">
        <f t="shared" si="2030"/>
        <v>0</v>
      </c>
      <c r="CR319">
        <f t="shared" si="2030"/>
        <v>0</v>
      </c>
      <c r="CS319">
        <f t="shared" si="2030"/>
        <v>0</v>
      </c>
      <c r="CT319">
        <f t="shared" si="2030"/>
        <v>0</v>
      </c>
      <c r="CU319">
        <f t="shared" si="2030"/>
        <v>0</v>
      </c>
      <c r="CV319">
        <f t="shared" si="2030"/>
        <v>0</v>
      </c>
      <c r="CW319">
        <f t="shared" si="2030"/>
        <v>0</v>
      </c>
      <c r="CX319">
        <f t="shared" si="2030"/>
        <v>0</v>
      </c>
      <c r="CY319">
        <f t="shared" si="1865"/>
        <v>0</v>
      </c>
      <c r="CZ319">
        <f t="shared" si="1866"/>
        <v>0</v>
      </c>
      <c r="DA319">
        <f t="shared" si="1867"/>
        <v>0</v>
      </c>
      <c r="DB319">
        <f t="shared" si="1868"/>
        <v>0</v>
      </c>
      <c r="DC319">
        <f t="shared" si="1869"/>
        <v>0</v>
      </c>
      <c r="DD319">
        <f t="shared" si="1870"/>
        <v>0</v>
      </c>
      <c r="DE319">
        <f t="shared" si="1871"/>
        <v>0</v>
      </c>
      <c r="DF319">
        <f t="shared" si="1872"/>
        <v>0</v>
      </c>
      <c r="DG319">
        <f t="shared" si="1873"/>
        <v>0</v>
      </c>
      <c r="DH319">
        <f t="shared" si="1874"/>
        <v>0</v>
      </c>
      <c r="DI319">
        <f t="shared" si="1875"/>
        <v>0</v>
      </c>
      <c r="DJ319">
        <f t="shared" si="1876"/>
        <v>0</v>
      </c>
      <c r="DK319">
        <f t="shared" si="1877"/>
        <v>0</v>
      </c>
      <c r="DL319">
        <f t="shared" si="1878"/>
        <v>0</v>
      </c>
      <c r="DM319">
        <f t="shared" si="1879"/>
        <v>0</v>
      </c>
      <c r="DN319">
        <f t="shared" si="1880"/>
        <v>0</v>
      </c>
      <c r="DO319">
        <f t="shared" si="1881"/>
        <v>0</v>
      </c>
      <c r="DP319">
        <f t="shared" si="1882"/>
        <v>0</v>
      </c>
      <c r="DQ319">
        <f t="shared" si="1883"/>
        <v>0</v>
      </c>
      <c r="DR319">
        <f t="shared" si="1884"/>
        <v>0</v>
      </c>
      <c r="DT319" s="77"/>
      <c r="DU319" s="8" t="str">
        <f>Hidden!$CG102</f>
        <v/>
      </c>
      <c r="DV319">
        <f t="shared" si="1709"/>
        <v>0</v>
      </c>
      <c r="DW319">
        <f t="shared" si="1710"/>
        <v>0</v>
      </c>
      <c r="DX319">
        <f t="shared" si="1711"/>
        <v>0</v>
      </c>
      <c r="DY319">
        <f t="shared" si="1712"/>
        <v>0</v>
      </c>
      <c r="DZ319">
        <f t="shared" si="1713"/>
        <v>0</v>
      </c>
      <c r="EA319">
        <f t="shared" si="1714"/>
        <v>0</v>
      </c>
      <c r="EB319">
        <f t="shared" si="1715"/>
        <v>0</v>
      </c>
      <c r="EC319">
        <f t="shared" si="1716"/>
        <v>0</v>
      </c>
      <c r="ED319">
        <f t="shared" si="1717"/>
        <v>0</v>
      </c>
      <c r="EE319">
        <f t="shared" si="1718"/>
        <v>0</v>
      </c>
      <c r="EF319">
        <f t="shared" si="1719"/>
        <v>0</v>
      </c>
      <c r="EG319">
        <f t="shared" si="1720"/>
        <v>0</v>
      </c>
      <c r="EH319">
        <f t="shared" si="1721"/>
        <v>0</v>
      </c>
      <c r="EI319">
        <f t="shared" si="1722"/>
        <v>0</v>
      </c>
      <c r="EJ319">
        <f t="shared" si="1723"/>
        <v>0</v>
      </c>
      <c r="EK319">
        <f t="shared" si="1724"/>
        <v>0</v>
      </c>
      <c r="EL319">
        <f t="shared" si="1725"/>
        <v>0</v>
      </c>
      <c r="EM319">
        <f t="shared" si="1726"/>
        <v>0</v>
      </c>
      <c r="EN319">
        <f t="shared" si="1727"/>
        <v>0</v>
      </c>
      <c r="EO319">
        <f t="shared" si="1728"/>
        <v>0</v>
      </c>
      <c r="EP319">
        <f t="shared" si="1729"/>
        <v>0</v>
      </c>
      <c r="EQ319">
        <f t="shared" si="1730"/>
        <v>0</v>
      </c>
      <c r="ER319">
        <f t="shared" si="2019"/>
        <v>0</v>
      </c>
      <c r="ES319">
        <f t="shared" ref="ES319:ET319" si="2031">IF(ES$218,FC214,0)</f>
        <v>0</v>
      </c>
      <c r="ET319">
        <f t="shared" si="2031"/>
        <v>0</v>
      </c>
      <c r="EU319">
        <f t="shared" si="1732"/>
        <v>0</v>
      </c>
      <c r="EV319">
        <f t="shared" si="1913"/>
        <v>0</v>
      </c>
      <c r="EW319">
        <f t="shared" si="1757"/>
        <v>0</v>
      </c>
      <c r="EX319">
        <f t="shared" si="1733"/>
        <v>0</v>
      </c>
      <c r="EY319">
        <f t="shared" si="1734"/>
        <v>0</v>
      </c>
      <c r="EZ319">
        <f t="shared" ref="EZ319:FI319" si="2032">IF(EZ$218,EZ214,0)</f>
        <v>0</v>
      </c>
      <c r="FA319">
        <f t="shared" si="2032"/>
        <v>0</v>
      </c>
      <c r="FB319">
        <f t="shared" si="2032"/>
        <v>0</v>
      </c>
      <c r="FC319">
        <f t="shared" si="2032"/>
        <v>0</v>
      </c>
      <c r="FD319">
        <f t="shared" si="2032"/>
        <v>0</v>
      </c>
      <c r="FE319">
        <f t="shared" si="2032"/>
        <v>0</v>
      </c>
      <c r="FF319">
        <f t="shared" si="2032"/>
        <v>0</v>
      </c>
      <c r="FG319">
        <f t="shared" si="2032"/>
        <v>0</v>
      </c>
      <c r="FH319">
        <f t="shared" si="2032"/>
        <v>0</v>
      </c>
      <c r="FI319">
        <f t="shared" si="2032"/>
        <v>0</v>
      </c>
      <c r="FJ319">
        <f t="shared" si="1736"/>
        <v>0</v>
      </c>
      <c r="FK319">
        <f t="shared" si="1737"/>
        <v>0</v>
      </c>
      <c r="FL319">
        <f t="shared" si="1915"/>
        <v>0</v>
      </c>
      <c r="FM319">
        <f t="shared" si="1759"/>
        <v>0</v>
      </c>
      <c r="FN319">
        <f t="shared" si="1738"/>
        <v>0</v>
      </c>
      <c r="FO319">
        <f t="shared" si="1739"/>
        <v>0</v>
      </c>
      <c r="FP319">
        <f t="shared" si="1740"/>
        <v>0</v>
      </c>
      <c r="FQ319">
        <f t="shared" si="1741"/>
        <v>0</v>
      </c>
      <c r="FR319">
        <f t="shared" si="1742"/>
        <v>0</v>
      </c>
      <c r="FS319">
        <f t="shared" si="1743"/>
        <v>0</v>
      </c>
      <c r="FT319">
        <f t="shared" si="1744"/>
        <v>0</v>
      </c>
      <c r="FU319">
        <f t="shared" si="1745"/>
        <v>0</v>
      </c>
      <c r="FV319">
        <f t="shared" si="1746"/>
        <v>0</v>
      </c>
      <c r="FW319">
        <f t="shared" si="1747"/>
        <v>0</v>
      </c>
      <c r="FX319">
        <f t="shared" si="1916"/>
        <v>0</v>
      </c>
      <c r="FY319">
        <f t="shared" si="1760"/>
        <v>0</v>
      </c>
      <c r="FZ319">
        <f t="shared" si="1748"/>
        <v>0</v>
      </c>
      <c r="GA319">
        <f t="shared" si="1749"/>
        <v>0</v>
      </c>
      <c r="GB319">
        <f t="shared" si="1750"/>
        <v>0</v>
      </c>
      <c r="GC319">
        <f t="shared" si="1751"/>
        <v>0</v>
      </c>
    </row>
    <row r="320" spans="1:187" ht="15.75" thickBot="1" x14ac:dyDescent="0.25">
      <c r="A320" s="8" t="str">
        <f t="shared" si="1821"/>
        <v/>
      </c>
      <c r="B320" s="8">
        <f t="shared" si="1822"/>
        <v>0</v>
      </c>
      <c r="C320" s="8">
        <f t="shared" si="1823"/>
        <v>0</v>
      </c>
      <c r="D320" s="8">
        <f t="shared" si="1824"/>
        <v>0</v>
      </c>
      <c r="E320" s="8">
        <f t="shared" si="1988"/>
        <v>0</v>
      </c>
      <c r="F320" s="8">
        <f t="shared" si="1887"/>
        <v>0</v>
      </c>
      <c r="G320" s="8">
        <f t="shared" si="1929"/>
        <v>0</v>
      </c>
      <c r="H320" s="8">
        <f t="shared" si="1930"/>
        <v>0</v>
      </c>
      <c r="I320" s="8">
        <f t="shared" si="1931"/>
        <v>0</v>
      </c>
      <c r="J320" s="8">
        <f t="shared" si="1932"/>
        <v>0</v>
      </c>
      <c r="K320" s="8">
        <f t="shared" si="1933"/>
        <v>0</v>
      </c>
      <c r="L320">
        <f t="shared" si="1825"/>
        <v>0</v>
      </c>
      <c r="M320">
        <f t="shared" si="1826"/>
        <v>0</v>
      </c>
      <c r="N320">
        <f t="shared" si="1827"/>
        <v>0</v>
      </c>
      <c r="O320">
        <f t="shared" si="1828"/>
        <v>0</v>
      </c>
      <c r="P320">
        <f t="shared" si="1829"/>
        <v>0</v>
      </c>
      <c r="Q320">
        <f t="shared" si="1830"/>
        <v>0</v>
      </c>
      <c r="R320">
        <f t="shared" si="1831"/>
        <v>0</v>
      </c>
      <c r="S320">
        <f t="shared" si="1832"/>
        <v>0</v>
      </c>
      <c r="T320">
        <f t="shared" si="1833"/>
        <v>0</v>
      </c>
      <c r="U320">
        <f t="shared" si="1834"/>
        <v>0</v>
      </c>
      <c r="V320">
        <f>IF(V$230,LandEmiss!AF215,0)</f>
        <v>0</v>
      </c>
      <c r="W320">
        <f>IF(W$230,LandEmiss!AG215,0)</f>
        <v>0</v>
      </c>
      <c r="X320">
        <f>IF(X$230,LandEmiss!AH215,0)</f>
        <v>0</v>
      </c>
      <c r="Y320">
        <f>IF(Y$230,LandEmiss!AI215,0)</f>
        <v>0</v>
      </c>
      <c r="Z320">
        <f>IF(Z$230,LandEmiss!AJ215,0)</f>
        <v>0</v>
      </c>
      <c r="AA320">
        <f>IF(AA$230,LandEmiss!AK215,0)</f>
        <v>0</v>
      </c>
      <c r="AB320">
        <f>IF(AB$230,LandEmiss!AL215,0)</f>
        <v>0</v>
      </c>
      <c r="AC320">
        <f>IF(AC$230,LandEmiss!AM215,0)</f>
        <v>0</v>
      </c>
      <c r="AD320">
        <f>IF(AD$230,LandEmiss!AN215,0)</f>
        <v>0</v>
      </c>
      <c r="AE320">
        <f>IF(AE$230,LandEmiss!AO215,0)</f>
        <v>0</v>
      </c>
      <c r="AF320">
        <f t="shared" ref="AF320:AO320" si="2033">IF(AF$230,AF215,0)</f>
        <v>0</v>
      </c>
      <c r="AG320">
        <f t="shared" si="2033"/>
        <v>0</v>
      </c>
      <c r="AH320">
        <f t="shared" si="2033"/>
        <v>0</v>
      </c>
      <c r="AI320">
        <f t="shared" si="2033"/>
        <v>0</v>
      </c>
      <c r="AJ320">
        <f t="shared" si="2033"/>
        <v>0</v>
      </c>
      <c r="AK320">
        <f t="shared" si="2033"/>
        <v>0</v>
      </c>
      <c r="AL320">
        <f t="shared" si="2033"/>
        <v>0</v>
      </c>
      <c r="AM320">
        <f t="shared" si="2033"/>
        <v>0</v>
      </c>
      <c r="AN320">
        <f t="shared" si="2033"/>
        <v>0</v>
      </c>
      <c r="AO320">
        <f t="shared" si="2033"/>
        <v>0</v>
      </c>
      <c r="AP320">
        <f t="shared" si="1836"/>
        <v>0</v>
      </c>
      <c r="AQ320">
        <f t="shared" si="1837"/>
        <v>0</v>
      </c>
      <c r="AR320">
        <f t="shared" si="1838"/>
        <v>0</v>
      </c>
      <c r="AS320">
        <f t="shared" si="1839"/>
        <v>0</v>
      </c>
      <c r="AT320">
        <f t="shared" si="1840"/>
        <v>0</v>
      </c>
      <c r="AU320">
        <f t="shared" si="1841"/>
        <v>0</v>
      </c>
      <c r="AV320">
        <f t="shared" si="1842"/>
        <v>0</v>
      </c>
      <c r="AW320">
        <f t="shared" si="1843"/>
        <v>0</v>
      </c>
      <c r="AX320">
        <f t="shared" si="1844"/>
        <v>0</v>
      </c>
      <c r="AY320">
        <f t="shared" si="1845"/>
        <v>0</v>
      </c>
      <c r="AZ320">
        <f t="shared" si="1846"/>
        <v>0</v>
      </c>
      <c r="BA320">
        <f t="shared" si="1847"/>
        <v>0</v>
      </c>
      <c r="BB320">
        <f t="shared" si="1848"/>
        <v>0</v>
      </c>
      <c r="BC320">
        <f t="shared" si="1849"/>
        <v>0</v>
      </c>
      <c r="BD320">
        <f t="shared" si="1850"/>
        <v>0</v>
      </c>
      <c r="BE320">
        <f t="shared" si="1851"/>
        <v>0</v>
      </c>
      <c r="BF320">
        <f t="shared" si="1852"/>
        <v>0</v>
      </c>
      <c r="BG320">
        <f t="shared" si="1853"/>
        <v>0</v>
      </c>
      <c r="BH320">
        <f t="shared" si="1990"/>
        <v>0</v>
      </c>
      <c r="BI320">
        <f t="shared" si="1889"/>
        <v>0</v>
      </c>
      <c r="BJ320" s="8" t="str">
        <f>Hidden!$CC91</f>
        <v/>
      </c>
      <c r="BK320">
        <f t="shared" ref="BK320:BT320" si="2034">IF(BK$230,CP215,0)</f>
        <v>0</v>
      </c>
      <c r="BL320">
        <f t="shared" si="2034"/>
        <v>0</v>
      </c>
      <c r="BM320">
        <f t="shared" si="2034"/>
        <v>0</v>
      </c>
      <c r="BN320">
        <f t="shared" si="2034"/>
        <v>0</v>
      </c>
      <c r="BO320">
        <f t="shared" si="2034"/>
        <v>0</v>
      </c>
      <c r="BP320">
        <f t="shared" si="2034"/>
        <v>0</v>
      </c>
      <c r="BQ320">
        <f t="shared" si="2034"/>
        <v>0</v>
      </c>
      <c r="BR320">
        <f t="shared" si="2034"/>
        <v>0</v>
      </c>
      <c r="BS320">
        <f t="shared" si="2034"/>
        <v>0</v>
      </c>
      <c r="BT320">
        <f t="shared" si="2034"/>
        <v>0</v>
      </c>
      <c r="BU320">
        <f t="shared" ref="BU320:CD320" si="2035">IF(BU$230,CP215,0)</f>
        <v>0</v>
      </c>
      <c r="BV320">
        <f t="shared" si="2035"/>
        <v>0</v>
      </c>
      <c r="BW320">
        <f t="shared" si="2035"/>
        <v>0</v>
      </c>
      <c r="BX320">
        <f t="shared" si="2035"/>
        <v>0</v>
      </c>
      <c r="BY320">
        <f t="shared" si="2035"/>
        <v>0</v>
      </c>
      <c r="BZ320">
        <f t="shared" si="2035"/>
        <v>0</v>
      </c>
      <c r="CA320">
        <f t="shared" si="2035"/>
        <v>0</v>
      </c>
      <c r="CB320">
        <f t="shared" si="2035"/>
        <v>0</v>
      </c>
      <c r="CC320">
        <f t="shared" si="2035"/>
        <v>0</v>
      </c>
      <c r="CD320">
        <f t="shared" si="2035"/>
        <v>0</v>
      </c>
      <c r="CE320">
        <f t="shared" si="1856"/>
        <v>0</v>
      </c>
      <c r="CF320">
        <f t="shared" si="1857"/>
        <v>0</v>
      </c>
      <c r="CG320">
        <f t="shared" si="1858"/>
        <v>0</v>
      </c>
      <c r="CH320">
        <f t="shared" si="1859"/>
        <v>0</v>
      </c>
      <c r="CI320">
        <f t="shared" si="1860"/>
        <v>0</v>
      </c>
      <c r="CJ320">
        <f t="shared" si="1993"/>
        <v>0</v>
      </c>
      <c r="CK320">
        <f t="shared" si="1892"/>
        <v>0</v>
      </c>
      <c r="CL320">
        <f t="shared" si="1861"/>
        <v>0</v>
      </c>
      <c r="CM320">
        <f t="shared" si="1862"/>
        <v>0</v>
      </c>
      <c r="CN320">
        <f t="shared" si="1863"/>
        <v>0</v>
      </c>
      <c r="CO320">
        <f t="shared" ref="CO320:CX320" si="2036">IF(CO$230,CP215,0)</f>
        <v>0</v>
      </c>
      <c r="CP320">
        <f t="shared" si="2036"/>
        <v>0</v>
      </c>
      <c r="CQ320">
        <f t="shared" si="2036"/>
        <v>0</v>
      </c>
      <c r="CR320">
        <f t="shared" si="2036"/>
        <v>0</v>
      </c>
      <c r="CS320">
        <f t="shared" si="2036"/>
        <v>0</v>
      </c>
      <c r="CT320">
        <f t="shared" si="2036"/>
        <v>0</v>
      </c>
      <c r="CU320">
        <f t="shared" si="2036"/>
        <v>0</v>
      </c>
      <c r="CV320">
        <f t="shared" si="2036"/>
        <v>0</v>
      </c>
      <c r="CW320">
        <f t="shared" si="2036"/>
        <v>0</v>
      </c>
      <c r="CX320">
        <f t="shared" si="2036"/>
        <v>0</v>
      </c>
      <c r="CY320">
        <f t="shared" si="1865"/>
        <v>0</v>
      </c>
      <c r="CZ320">
        <f t="shared" si="1866"/>
        <v>0</v>
      </c>
      <c r="DA320">
        <f t="shared" si="1867"/>
        <v>0</v>
      </c>
      <c r="DB320">
        <f t="shared" si="1868"/>
        <v>0</v>
      </c>
      <c r="DC320">
        <f t="shared" si="1869"/>
        <v>0</v>
      </c>
      <c r="DD320">
        <f t="shared" si="1870"/>
        <v>0</v>
      </c>
      <c r="DE320">
        <f t="shared" si="1871"/>
        <v>0</v>
      </c>
      <c r="DF320">
        <f t="shared" si="1872"/>
        <v>0</v>
      </c>
      <c r="DG320">
        <f t="shared" si="1873"/>
        <v>0</v>
      </c>
      <c r="DH320">
        <f t="shared" si="1874"/>
        <v>0</v>
      </c>
      <c r="DI320">
        <f t="shared" si="1875"/>
        <v>0</v>
      </c>
      <c r="DJ320">
        <f t="shared" si="1876"/>
        <v>0</v>
      </c>
      <c r="DK320">
        <f t="shared" si="1877"/>
        <v>0</v>
      </c>
      <c r="DL320">
        <f t="shared" si="1878"/>
        <v>0</v>
      </c>
      <c r="DM320">
        <f t="shared" si="1879"/>
        <v>0</v>
      </c>
      <c r="DN320">
        <f t="shared" si="1880"/>
        <v>0</v>
      </c>
      <c r="DO320">
        <f t="shared" si="1881"/>
        <v>0</v>
      </c>
      <c r="DP320">
        <f t="shared" si="1882"/>
        <v>0</v>
      </c>
      <c r="DQ320">
        <f t="shared" si="1883"/>
        <v>0</v>
      </c>
      <c r="DR320">
        <f t="shared" si="1884"/>
        <v>0</v>
      </c>
      <c r="DT320" s="77"/>
      <c r="DU320" s="479" t="s">
        <v>9993</v>
      </c>
      <c r="DV320" s="479"/>
      <c r="DW320" s="479"/>
      <c r="DX320" s="479"/>
      <c r="DY320" s="479"/>
      <c r="DZ320" s="479"/>
      <c r="EA320" s="479"/>
      <c r="EB320" s="479"/>
      <c r="EC320" s="479"/>
      <c r="ED320" s="479"/>
      <c r="EE320" s="479"/>
      <c r="EF320" s="479"/>
      <c r="EG320" s="479"/>
      <c r="EH320" s="479"/>
      <c r="EI320" s="479"/>
      <c r="EJ320" s="479"/>
      <c r="EK320" s="479"/>
      <c r="EL320" s="479"/>
      <c r="EM320" s="479"/>
      <c r="EN320" s="479"/>
      <c r="EO320" s="479"/>
      <c r="EP320" s="479"/>
      <c r="EQ320" s="479"/>
      <c r="ER320" s="479"/>
      <c r="ES320" s="479"/>
      <c r="ET320" s="479"/>
      <c r="EU320" s="479"/>
      <c r="EV320" s="479"/>
      <c r="EW320" s="479"/>
      <c r="EX320" s="479"/>
      <c r="EY320" s="479"/>
      <c r="EZ320" s="479"/>
      <c r="FA320" s="479"/>
      <c r="FB320" s="479"/>
      <c r="FC320" s="479"/>
      <c r="FD320" s="479"/>
      <c r="FE320" s="479"/>
      <c r="FF320" s="479"/>
      <c r="FG320" s="479"/>
      <c r="FH320" s="479"/>
      <c r="FI320" s="479"/>
      <c r="FJ320" s="479"/>
      <c r="FK320" s="479"/>
      <c r="FL320" s="479"/>
      <c r="FM320" s="479"/>
      <c r="FN320" s="479"/>
      <c r="FO320" s="479"/>
      <c r="FP320" s="479"/>
      <c r="FQ320" s="479"/>
      <c r="FR320" s="479"/>
      <c r="FS320" s="479"/>
      <c r="FT320" s="479"/>
      <c r="FU320" s="479"/>
      <c r="FV320" s="479"/>
      <c r="FW320" s="479"/>
      <c r="FX320" s="479"/>
      <c r="FY320" s="479"/>
      <c r="FZ320" s="479"/>
      <c r="GA320" s="479"/>
      <c r="GB320" s="479"/>
      <c r="GC320" s="479"/>
      <c r="GD320" s="479"/>
      <c r="GE320" s="479"/>
    </row>
    <row r="321" spans="1:137" ht="28.5" x14ac:dyDescent="0.2">
      <c r="A321" s="8" t="str">
        <f t="shared" si="1821"/>
        <v/>
      </c>
      <c r="B321" s="8">
        <f t="shared" si="1822"/>
        <v>0</v>
      </c>
      <c r="C321" s="8">
        <f t="shared" si="1823"/>
        <v>0</v>
      </c>
      <c r="D321" s="8">
        <f t="shared" si="1824"/>
        <v>0</v>
      </c>
      <c r="E321" s="8">
        <f t="shared" si="1988"/>
        <v>0</v>
      </c>
      <c r="F321" s="8">
        <f t="shared" si="1887"/>
        <v>0</v>
      </c>
      <c r="G321" s="8">
        <f t="shared" si="1929"/>
        <v>0</v>
      </c>
      <c r="H321" s="8">
        <f t="shared" si="1930"/>
        <v>0</v>
      </c>
      <c r="I321" s="8">
        <f t="shared" si="1931"/>
        <v>0</v>
      </c>
      <c r="J321" s="8">
        <f t="shared" si="1932"/>
        <v>0</v>
      </c>
      <c r="K321" s="8">
        <f t="shared" si="1933"/>
        <v>0</v>
      </c>
      <c r="L321">
        <f t="shared" si="1825"/>
        <v>0</v>
      </c>
      <c r="M321">
        <f t="shared" si="1826"/>
        <v>0</v>
      </c>
      <c r="N321">
        <f t="shared" si="1827"/>
        <v>0</v>
      </c>
      <c r="O321">
        <f t="shared" si="1828"/>
        <v>0</v>
      </c>
      <c r="P321">
        <f t="shared" si="1829"/>
        <v>0</v>
      </c>
      <c r="Q321">
        <f t="shared" si="1830"/>
        <v>0</v>
      </c>
      <c r="R321">
        <f t="shared" si="1831"/>
        <v>0</v>
      </c>
      <c r="S321">
        <f t="shared" si="1832"/>
        <v>0</v>
      </c>
      <c r="T321">
        <f t="shared" si="1833"/>
        <v>0</v>
      </c>
      <c r="U321">
        <f t="shared" si="1834"/>
        <v>0</v>
      </c>
      <c r="V321">
        <f>IF(V$230,LandEmiss!AF216,0)</f>
        <v>0</v>
      </c>
      <c r="W321">
        <f>IF(W$230,LandEmiss!AG216,0)</f>
        <v>0</v>
      </c>
      <c r="X321">
        <f>IF(X$230,LandEmiss!AH216,0)</f>
        <v>0</v>
      </c>
      <c r="Y321">
        <f>IF(Y$230,LandEmiss!AI216,0)</f>
        <v>0</v>
      </c>
      <c r="Z321">
        <f>IF(Z$230,LandEmiss!AJ216,0)</f>
        <v>0</v>
      </c>
      <c r="AA321">
        <f>IF(AA$230,LandEmiss!AK216,0)</f>
        <v>0</v>
      </c>
      <c r="AB321">
        <f>IF(AB$230,LandEmiss!AL216,0)</f>
        <v>0</v>
      </c>
      <c r="AC321">
        <f>IF(AC$230,LandEmiss!AM216,0)</f>
        <v>0</v>
      </c>
      <c r="AD321">
        <f>IF(AD$230,LandEmiss!AN216,0)</f>
        <v>0</v>
      </c>
      <c r="AE321">
        <f>IF(AE$230,LandEmiss!AO216,0)</f>
        <v>0</v>
      </c>
      <c r="AF321">
        <f t="shared" ref="AF321:AO321" si="2037">IF(AF$230,AF216,0)</f>
        <v>0</v>
      </c>
      <c r="AG321">
        <f t="shared" si="2037"/>
        <v>0</v>
      </c>
      <c r="AH321">
        <f t="shared" si="2037"/>
        <v>0</v>
      </c>
      <c r="AI321">
        <f t="shared" si="2037"/>
        <v>0</v>
      </c>
      <c r="AJ321">
        <f t="shared" si="2037"/>
        <v>0</v>
      </c>
      <c r="AK321">
        <f t="shared" si="2037"/>
        <v>0</v>
      </c>
      <c r="AL321">
        <f t="shared" si="2037"/>
        <v>0</v>
      </c>
      <c r="AM321">
        <f t="shared" si="2037"/>
        <v>0</v>
      </c>
      <c r="AN321">
        <f t="shared" si="2037"/>
        <v>0</v>
      </c>
      <c r="AO321">
        <f t="shared" si="2037"/>
        <v>0</v>
      </c>
      <c r="AP321">
        <f t="shared" si="1836"/>
        <v>0</v>
      </c>
      <c r="AQ321">
        <f t="shared" si="1837"/>
        <v>0</v>
      </c>
      <c r="AR321">
        <f t="shared" si="1838"/>
        <v>0</v>
      </c>
      <c r="AS321">
        <f t="shared" si="1839"/>
        <v>0</v>
      </c>
      <c r="AT321">
        <f t="shared" si="1840"/>
        <v>0</v>
      </c>
      <c r="AU321">
        <f t="shared" si="1841"/>
        <v>0</v>
      </c>
      <c r="AV321">
        <f t="shared" si="1842"/>
        <v>0</v>
      </c>
      <c r="AW321">
        <f t="shared" si="1843"/>
        <v>0</v>
      </c>
      <c r="AX321">
        <f t="shared" si="1844"/>
        <v>0</v>
      </c>
      <c r="AY321">
        <f t="shared" si="1845"/>
        <v>0</v>
      </c>
      <c r="AZ321">
        <f t="shared" si="1846"/>
        <v>0</v>
      </c>
      <c r="BA321">
        <f t="shared" si="1847"/>
        <v>0</v>
      </c>
      <c r="BB321">
        <f t="shared" si="1848"/>
        <v>0</v>
      </c>
      <c r="BC321">
        <f t="shared" si="1849"/>
        <v>0</v>
      </c>
      <c r="BD321">
        <f t="shared" si="1850"/>
        <v>0</v>
      </c>
      <c r="BE321">
        <f t="shared" si="1851"/>
        <v>0</v>
      </c>
      <c r="BF321">
        <f t="shared" si="1852"/>
        <v>0</v>
      </c>
      <c r="BG321">
        <f t="shared" si="1853"/>
        <v>0</v>
      </c>
      <c r="BH321">
        <f t="shared" si="1990"/>
        <v>0</v>
      </c>
      <c r="BI321">
        <f t="shared" si="1889"/>
        <v>0</v>
      </c>
      <c r="BJ321" s="8" t="str">
        <f>Hidden!$CC92</f>
        <v/>
      </c>
      <c r="BK321">
        <f t="shared" ref="BK321:BT321" si="2038">IF(BK$230,CP216,0)</f>
        <v>0</v>
      </c>
      <c r="BL321">
        <f t="shared" si="2038"/>
        <v>0</v>
      </c>
      <c r="BM321">
        <f t="shared" si="2038"/>
        <v>0</v>
      </c>
      <c r="BN321">
        <f t="shared" si="2038"/>
        <v>0</v>
      </c>
      <c r="BO321">
        <f t="shared" si="2038"/>
        <v>0</v>
      </c>
      <c r="BP321">
        <f t="shared" si="2038"/>
        <v>0</v>
      </c>
      <c r="BQ321">
        <f t="shared" si="2038"/>
        <v>0</v>
      </c>
      <c r="BR321">
        <f t="shared" si="2038"/>
        <v>0</v>
      </c>
      <c r="BS321">
        <f t="shared" si="2038"/>
        <v>0</v>
      </c>
      <c r="BT321">
        <f t="shared" si="2038"/>
        <v>0</v>
      </c>
      <c r="BU321">
        <f t="shared" ref="BU321:CD321" si="2039">IF(BU$230,CP216,0)</f>
        <v>0</v>
      </c>
      <c r="BV321">
        <f t="shared" si="2039"/>
        <v>0</v>
      </c>
      <c r="BW321">
        <f t="shared" si="2039"/>
        <v>0</v>
      </c>
      <c r="BX321">
        <f t="shared" si="2039"/>
        <v>0</v>
      </c>
      <c r="BY321">
        <f t="shared" si="2039"/>
        <v>0</v>
      </c>
      <c r="BZ321">
        <f t="shared" si="2039"/>
        <v>0</v>
      </c>
      <c r="CA321">
        <f t="shared" si="2039"/>
        <v>0</v>
      </c>
      <c r="CB321">
        <f t="shared" si="2039"/>
        <v>0</v>
      </c>
      <c r="CC321">
        <f t="shared" si="2039"/>
        <v>0</v>
      </c>
      <c r="CD321">
        <f t="shared" si="2039"/>
        <v>0</v>
      </c>
      <c r="CE321">
        <f t="shared" si="1856"/>
        <v>0</v>
      </c>
      <c r="CF321">
        <f t="shared" si="1857"/>
        <v>0</v>
      </c>
      <c r="CG321">
        <f t="shared" si="1858"/>
        <v>0</v>
      </c>
      <c r="CH321">
        <f t="shared" si="1859"/>
        <v>0</v>
      </c>
      <c r="CI321">
        <f t="shared" si="1860"/>
        <v>0</v>
      </c>
      <c r="CJ321">
        <f t="shared" si="1993"/>
        <v>0</v>
      </c>
      <c r="CK321">
        <f t="shared" si="1892"/>
        <v>0</v>
      </c>
      <c r="CL321">
        <f t="shared" si="1861"/>
        <v>0</v>
      </c>
      <c r="CM321">
        <f t="shared" si="1862"/>
        <v>0</v>
      </c>
      <c r="CN321">
        <f t="shared" si="1863"/>
        <v>0</v>
      </c>
      <c r="CO321">
        <f t="shared" ref="CO321:CX321" si="2040">IF(CO$230,CP216,0)</f>
        <v>0</v>
      </c>
      <c r="CP321">
        <f t="shared" si="2040"/>
        <v>0</v>
      </c>
      <c r="CQ321">
        <f t="shared" si="2040"/>
        <v>0</v>
      </c>
      <c r="CR321">
        <f t="shared" si="2040"/>
        <v>0</v>
      </c>
      <c r="CS321">
        <f t="shared" si="2040"/>
        <v>0</v>
      </c>
      <c r="CT321">
        <f t="shared" si="2040"/>
        <v>0</v>
      </c>
      <c r="CU321">
        <f t="shared" si="2040"/>
        <v>0</v>
      </c>
      <c r="CV321">
        <f t="shared" si="2040"/>
        <v>0</v>
      </c>
      <c r="CW321">
        <f t="shared" si="2040"/>
        <v>0</v>
      </c>
      <c r="CX321">
        <f t="shared" si="2040"/>
        <v>0</v>
      </c>
      <c r="CY321">
        <f t="shared" si="1865"/>
        <v>0</v>
      </c>
      <c r="CZ321">
        <f t="shared" si="1866"/>
        <v>0</v>
      </c>
      <c r="DA321">
        <f t="shared" si="1867"/>
        <v>0</v>
      </c>
      <c r="DB321">
        <f t="shared" si="1868"/>
        <v>0</v>
      </c>
      <c r="DC321">
        <f t="shared" si="1869"/>
        <v>0</v>
      </c>
      <c r="DD321">
        <f t="shared" si="1870"/>
        <v>0</v>
      </c>
      <c r="DE321">
        <f t="shared" si="1871"/>
        <v>0</v>
      </c>
      <c r="DF321">
        <f t="shared" si="1872"/>
        <v>0</v>
      </c>
      <c r="DG321">
        <f t="shared" si="1873"/>
        <v>0</v>
      </c>
      <c r="DH321">
        <f t="shared" si="1874"/>
        <v>0</v>
      </c>
      <c r="DI321">
        <f t="shared" si="1875"/>
        <v>0</v>
      </c>
      <c r="DJ321">
        <f t="shared" si="1876"/>
        <v>0</v>
      </c>
      <c r="DK321">
        <f t="shared" si="1877"/>
        <v>0</v>
      </c>
      <c r="DL321">
        <f t="shared" si="1878"/>
        <v>0</v>
      </c>
      <c r="DM321">
        <f t="shared" si="1879"/>
        <v>0</v>
      </c>
      <c r="DN321">
        <f t="shared" si="1880"/>
        <v>0</v>
      </c>
      <c r="DO321">
        <f t="shared" si="1881"/>
        <v>0</v>
      </c>
      <c r="DP321">
        <f t="shared" si="1882"/>
        <v>0</v>
      </c>
      <c r="DQ321">
        <f t="shared" si="1883"/>
        <v>0</v>
      </c>
      <c r="DR321">
        <f t="shared" si="1884"/>
        <v>0</v>
      </c>
      <c r="DT321" s="77"/>
      <c r="DU321" s="8"/>
      <c r="DV321" t="s">
        <v>9749</v>
      </c>
      <c r="DX321" t="s">
        <v>9750</v>
      </c>
      <c r="DZ321" t="s">
        <v>9751</v>
      </c>
      <c r="EB321" t="s">
        <v>9757</v>
      </c>
      <c r="ED321" t="s">
        <v>9280</v>
      </c>
      <c r="EF321" t="s">
        <v>9758</v>
      </c>
    </row>
    <row r="322" spans="1:137" x14ac:dyDescent="0.2">
      <c r="A322" s="8" t="str">
        <f t="shared" si="1821"/>
        <v/>
      </c>
      <c r="B322" s="8">
        <f t="shared" si="1822"/>
        <v>0</v>
      </c>
      <c r="C322" s="8">
        <f t="shared" si="1823"/>
        <v>0</v>
      </c>
      <c r="D322" s="8">
        <f t="shared" si="1824"/>
        <v>0</v>
      </c>
      <c r="E322" s="8">
        <f t="shared" si="1988"/>
        <v>0</v>
      </c>
      <c r="F322" s="8">
        <f t="shared" si="1887"/>
        <v>0</v>
      </c>
      <c r="G322" s="8">
        <f t="shared" si="1929"/>
        <v>0</v>
      </c>
      <c r="H322" s="8">
        <f t="shared" si="1930"/>
        <v>0</v>
      </c>
      <c r="I322" s="8">
        <f t="shared" si="1931"/>
        <v>0</v>
      </c>
      <c r="J322" s="8">
        <f t="shared" si="1932"/>
        <v>0</v>
      </c>
      <c r="K322" s="8">
        <f t="shared" si="1933"/>
        <v>0</v>
      </c>
      <c r="L322">
        <f t="shared" si="1825"/>
        <v>0</v>
      </c>
      <c r="M322">
        <f t="shared" si="1826"/>
        <v>0</v>
      </c>
      <c r="N322">
        <f t="shared" si="1827"/>
        <v>0</v>
      </c>
      <c r="O322">
        <f t="shared" si="1828"/>
        <v>0</v>
      </c>
      <c r="P322">
        <f t="shared" si="1829"/>
        <v>0</v>
      </c>
      <c r="Q322">
        <f t="shared" si="1830"/>
        <v>0</v>
      </c>
      <c r="R322">
        <f t="shared" si="1831"/>
        <v>0</v>
      </c>
      <c r="S322">
        <f t="shared" si="1832"/>
        <v>0</v>
      </c>
      <c r="T322">
        <f t="shared" si="1833"/>
        <v>0</v>
      </c>
      <c r="U322">
        <f t="shared" si="1834"/>
        <v>0</v>
      </c>
      <c r="V322">
        <f>IF(V$230,LandEmiss!AF217,0)</f>
        <v>0</v>
      </c>
      <c r="W322">
        <f>IF(W$230,LandEmiss!AG217,0)</f>
        <v>0</v>
      </c>
      <c r="X322">
        <f>IF(X$230,LandEmiss!AH217,0)</f>
        <v>0</v>
      </c>
      <c r="Y322">
        <f>IF(Y$230,LandEmiss!AI217,0)</f>
        <v>0</v>
      </c>
      <c r="Z322">
        <f>IF(Z$230,LandEmiss!AJ217,0)</f>
        <v>0</v>
      </c>
      <c r="AA322">
        <f>IF(AA$230,LandEmiss!AK217,0)</f>
        <v>0</v>
      </c>
      <c r="AB322">
        <f>IF(AB$230,LandEmiss!AL217,0)</f>
        <v>0</v>
      </c>
      <c r="AC322">
        <f>IF(AC$230,LandEmiss!AM217,0)</f>
        <v>0</v>
      </c>
      <c r="AD322">
        <f>IF(AD$230,LandEmiss!AN217,0)</f>
        <v>0</v>
      </c>
      <c r="AE322">
        <f>IF(AE$230,LandEmiss!AO217,0)</f>
        <v>0</v>
      </c>
      <c r="AF322">
        <f t="shared" ref="AF322:AO322" si="2041">IF(AF$230,AF217,0)</f>
        <v>0</v>
      </c>
      <c r="AG322">
        <f t="shared" si="2041"/>
        <v>0</v>
      </c>
      <c r="AH322">
        <f t="shared" si="2041"/>
        <v>0</v>
      </c>
      <c r="AI322">
        <f t="shared" si="2041"/>
        <v>0</v>
      </c>
      <c r="AJ322">
        <f t="shared" si="2041"/>
        <v>0</v>
      </c>
      <c r="AK322">
        <f t="shared" si="2041"/>
        <v>0</v>
      </c>
      <c r="AL322">
        <f t="shared" si="2041"/>
        <v>0</v>
      </c>
      <c r="AM322">
        <f t="shared" si="2041"/>
        <v>0</v>
      </c>
      <c r="AN322">
        <f t="shared" si="2041"/>
        <v>0</v>
      </c>
      <c r="AO322">
        <f t="shared" si="2041"/>
        <v>0</v>
      </c>
      <c r="AP322">
        <f t="shared" si="1836"/>
        <v>0</v>
      </c>
      <c r="AQ322">
        <f t="shared" si="1837"/>
        <v>0</v>
      </c>
      <c r="AR322">
        <f t="shared" si="1838"/>
        <v>0</v>
      </c>
      <c r="AS322">
        <f t="shared" si="1839"/>
        <v>0</v>
      </c>
      <c r="AT322">
        <f t="shared" si="1840"/>
        <v>0</v>
      </c>
      <c r="AU322">
        <f t="shared" si="1841"/>
        <v>0</v>
      </c>
      <c r="AV322">
        <f t="shared" si="1842"/>
        <v>0</v>
      </c>
      <c r="AW322">
        <f t="shared" si="1843"/>
        <v>0</v>
      </c>
      <c r="AX322">
        <f t="shared" si="1844"/>
        <v>0</v>
      </c>
      <c r="AY322">
        <f t="shared" si="1845"/>
        <v>0</v>
      </c>
      <c r="AZ322">
        <f t="shared" si="1846"/>
        <v>0</v>
      </c>
      <c r="BA322">
        <f t="shared" si="1847"/>
        <v>0</v>
      </c>
      <c r="BB322">
        <f t="shared" si="1848"/>
        <v>0</v>
      </c>
      <c r="BC322">
        <f t="shared" si="1849"/>
        <v>0</v>
      </c>
      <c r="BD322">
        <f t="shared" si="1850"/>
        <v>0</v>
      </c>
      <c r="BE322">
        <f t="shared" si="1851"/>
        <v>0</v>
      </c>
      <c r="BF322">
        <f t="shared" si="1852"/>
        <v>0</v>
      </c>
      <c r="BG322">
        <f t="shared" si="1853"/>
        <v>0</v>
      </c>
      <c r="BH322">
        <f t="shared" si="1990"/>
        <v>0</v>
      </c>
      <c r="BI322">
        <f t="shared" si="1889"/>
        <v>0</v>
      </c>
      <c r="BJ322" s="8" t="str">
        <f>Hidden!$CC93</f>
        <v/>
      </c>
      <c r="BK322">
        <f t="shared" ref="BK322:BT322" si="2042">IF(BK$230,CP217,0)</f>
        <v>0</v>
      </c>
      <c r="BL322">
        <f t="shared" si="2042"/>
        <v>0</v>
      </c>
      <c r="BM322">
        <f t="shared" si="2042"/>
        <v>0</v>
      </c>
      <c r="BN322">
        <f t="shared" si="2042"/>
        <v>0</v>
      </c>
      <c r="BO322">
        <f t="shared" si="2042"/>
        <v>0</v>
      </c>
      <c r="BP322">
        <f t="shared" si="2042"/>
        <v>0</v>
      </c>
      <c r="BQ322">
        <f t="shared" si="2042"/>
        <v>0</v>
      </c>
      <c r="BR322">
        <f t="shared" si="2042"/>
        <v>0</v>
      </c>
      <c r="BS322">
        <f t="shared" si="2042"/>
        <v>0</v>
      </c>
      <c r="BT322">
        <f t="shared" si="2042"/>
        <v>0</v>
      </c>
      <c r="BU322">
        <f t="shared" ref="BU322:CD322" si="2043">IF(BU$230,CP217,0)</f>
        <v>0</v>
      </c>
      <c r="BV322">
        <f t="shared" si="2043"/>
        <v>0</v>
      </c>
      <c r="BW322">
        <f t="shared" si="2043"/>
        <v>0</v>
      </c>
      <c r="BX322">
        <f t="shared" si="2043"/>
        <v>0</v>
      </c>
      <c r="BY322">
        <f t="shared" si="2043"/>
        <v>0</v>
      </c>
      <c r="BZ322">
        <f t="shared" si="2043"/>
        <v>0</v>
      </c>
      <c r="CA322">
        <f t="shared" si="2043"/>
        <v>0</v>
      </c>
      <c r="CB322">
        <f t="shared" si="2043"/>
        <v>0</v>
      </c>
      <c r="CC322">
        <f t="shared" si="2043"/>
        <v>0</v>
      </c>
      <c r="CD322">
        <f t="shared" si="2043"/>
        <v>0</v>
      </c>
      <c r="CE322">
        <f t="shared" si="1856"/>
        <v>0</v>
      </c>
      <c r="CF322">
        <f t="shared" si="1857"/>
        <v>0</v>
      </c>
      <c r="CG322">
        <f t="shared" si="1858"/>
        <v>0</v>
      </c>
      <c r="CH322">
        <f t="shared" si="1859"/>
        <v>0</v>
      </c>
      <c r="CI322">
        <f t="shared" si="1860"/>
        <v>0</v>
      </c>
      <c r="CJ322">
        <f t="shared" si="1993"/>
        <v>0</v>
      </c>
      <c r="CK322">
        <f t="shared" si="1892"/>
        <v>0</v>
      </c>
      <c r="CL322">
        <f t="shared" si="1861"/>
        <v>0</v>
      </c>
      <c r="CM322">
        <f t="shared" si="1862"/>
        <v>0</v>
      </c>
      <c r="CN322">
        <f t="shared" si="1863"/>
        <v>0</v>
      </c>
      <c r="CO322">
        <f t="shared" ref="CO322:CX322" si="2044">IF(CO$230,CP217,0)</f>
        <v>0</v>
      </c>
      <c r="CP322">
        <f t="shared" si="2044"/>
        <v>0</v>
      </c>
      <c r="CQ322">
        <f t="shared" si="2044"/>
        <v>0</v>
      </c>
      <c r="CR322">
        <f t="shared" si="2044"/>
        <v>0</v>
      </c>
      <c r="CS322">
        <f t="shared" si="2044"/>
        <v>0</v>
      </c>
      <c r="CT322">
        <f t="shared" si="2044"/>
        <v>0</v>
      </c>
      <c r="CU322">
        <f t="shared" si="2044"/>
        <v>0</v>
      </c>
      <c r="CV322">
        <f t="shared" si="2044"/>
        <v>0</v>
      </c>
      <c r="CW322">
        <f t="shared" si="2044"/>
        <v>0</v>
      </c>
      <c r="CX322">
        <f t="shared" si="2044"/>
        <v>0</v>
      </c>
      <c r="CY322">
        <f t="shared" si="1865"/>
        <v>0</v>
      </c>
      <c r="CZ322">
        <f t="shared" si="1866"/>
        <v>0</v>
      </c>
      <c r="DA322">
        <f t="shared" si="1867"/>
        <v>0</v>
      </c>
      <c r="DB322">
        <f t="shared" si="1868"/>
        <v>0</v>
      </c>
      <c r="DC322">
        <f t="shared" si="1869"/>
        <v>0</v>
      </c>
      <c r="DD322">
        <f t="shared" si="1870"/>
        <v>0</v>
      </c>
      <c r="DE322">
        <f t="shared" si="1871"/>
        <v>0</v>
      </c>
      <c r="DF322">
        <f t="shared" si="1872"/>
        <v>0</v>
      </c>
      <c r="DG322">
        <f t="shared" si="1873"/>
        <v>0</v>
      </c>
      <c r="DH322">
        <f t="shared" si="1874"/>
        <v>0</v>
      </c>
      <c r="DI322">
        <f t="shared" si="1875"/>
        <v>0</v>
      </c>
      <c r="DJ322">
        <f t="shared" si="1876"/>
        <v>0</v>
      </c>
      <c r="DK322">
        <f t="shared" si="1877"/>
        <v>0</v>
      </c>
      <c r="DL322">
        <f t="shared" si="1878"/>
        <v>0</v>
      </c>
      <c r="DM322">
        <f t="shared" si="1879"/>
        <v>0</v>
      </c>
      <c r="DN322">
        <f t="shared" si="1880"/>
        <v>0</v>
      </c>
      <c r="DO322">
        <f t="shared" si="1881"/>
        <v>0</v>
      </c>
      <c r="DP322">
        <f t="shared" si="1882"/>
        <v>0</v>
      </c>
      <c r="DQ322">
        <f t="shared" si="1883"/>
        <v>0</v>
      </c>
      <c r="DR322">
        <f t="shared" si="1884"/>
        <v>0</v>
      </c>
      <c r="DT322" s="77"/>
      <c r="DU322" s="8" t="s">
        <v>9203</v>
      </c>
      <c r="DV322" t="s">
        <v>8741</v>
      </c>
      <c r="DW322" t="s">
        <v>8742</v>
      </c>
      <c r="DX322" t="s">
        <v>8741</v>
      </c>
      <c r="DY322" t="s">
        <v>8742</v>
      </c>
      <c r="DZ322" t="s">
        <v>8741</v>
      </c>
      <c r="EA322" t="s">
        <v>8742</v>
      </c>
      <c r="EB322" t="s">
        <v>8741</v>
      </c>
      <c r="EC322" t="s">
        <v>8742</v>
      </c>
      <c r="ED322" t="s">
        <v>8741</v>
      </c>
      <c r="EE322" t="s">
        <v>8742</v>
      </c>
      <c r="EF322" t="s">
        <v>8741</v>
      </c>
      <c r="EG322" t="s">
        <v>8742</v>
      </c>
    </row>
    <row r="323" spans="1:137" x14ac:dyDescent="0.2">
      <c r="A323" s="8" t="str">
        <f t="shared" si="1821"/>
        <v/>
      </c>
      <c r="B323" s="8">
        <f t="shared" si="1822"/>
        <v>0</v>
      </c>
      <c r="C323" s="8">
        <f t="shared" si="1823"/>
        <v>0</v>
      </c>
      <c r="D323" s="8">
        <f t="shared" si="1824"/>
        <v>0</v>
      </c>
      <c r="E323" s="8">
        <f t="shared" si="1988"/>
        <v>0</v>
      </c>
      <c r="F323" s="8">
        <f t="shared" si="1887"/>
        <v>0</v>
      </c>
      <c r="G323" s="8">
        <f t="shared" si="1929"/>
        <v>0</v>
      </c>
      <c r="H323" s="8">
        <f t="shared" si="1930"/>
        <v>0</v>
      </c>
      <c r="I323" s="8">
        <f t="shared" si="1931"/>
        <v>0</v>
      </c>
      <c r="J323" s="8">
        <f t="shared" si="1932"/>
        <v>0</v>
      </c>
      <c r="K323" s="8">
        <f t="shared" si="1933"/>
        <v>0</v>
      </c>
      <c r="L323">
        <f t="shared" si="1825"/>
        <v>0</v>
      </c>
      <c r="M323">
        <f t="shared" si="1826"/>
        <v>0</v>
      </c>
      <c r="N323">
        <f t="shared" si="1827"/>
        <v>0</v>
      </c>
      <c r="O323">
        <f t="shared" si="1828"/>
        <v>0</v>
      </c>
      <c r="P323">
        <f t="shared" si="1829"/>
        <v>0</v>
      </c>
      <c r="Q323">
        <f t="shared" si="1830"/>
        <v>0</v>
      </c>
      <c r="R323">
        <f t="shared" si="1831"/>
        <v>0</v>
      </c>
      <c r="S323">
        <f t="shared" si="1832"/>
        <v>0</v>
      </c>
      <c r="T323">
        <f t="shared" si="1833"/>
        <v>0</v>
      </c>
      <c r="U323">
        <f t="shared" si="1834"/>
        <v>0</v>
      </c>
      <c r="V323">
        <f>IF(V$230,LandEmiss!AF218,0)</f>
        <v>0</v>
      </c>
      <c r="W323">
        <f>IF(W$230,LandEmiss!AG218,0)</f>
        <v>0</v>
      </c>
      <c r="X323">
        <f>IF(X$230,LandEmiss!AH218,0)</f>
        <v>0</v>
      </c>
      <c r="Y323">
        <f>IF(Y$230,LandEmiss!AI218,0)</f>
        <v>0</v>
      </c>
      <c r="Z323">
        <f>IF(Z$230,LandEmiss!AJ218,0)</f>
        <v>0</v>
      </c>
      <c r="AA323">
        <f>IF(AA$230,LandEmiss!AK218,0)</f>
        <v>0</v>
      </c>
      <c r="AB323">
        <f>IF(AB$230,LandEmiss!AL218,0)</f>
        <v>0</v>
      </c>
      <c r="AC323">
        <f>IF(AC$230,LandEmiss!AM218,0)</f>
        <v>0</v>
      </c>
      <c r="AD323">
        <f>IF(AD$230,LandEmiss!AN218,0)</f>
        <v>0</v>
      </c>
      <c r="AE323">
        <f>IF(AE$230,LandEmiss!AO218,0)</f>
        <v>0</v>
      </c>
      <c r="AF323">
        <f t="shared" ref="AF323:AO323" si="2045">IF(AF$230,AF218,0)</f>
        <v>0</v>
      </c>
      <c r="AG323">
        <f t="shared" si="2045"/>
        <v>0</v>
      </c>
      <c r="AH323">
        <f t="shared" si="2045"/>
        <v>0</v>
      </c>
      <c r="AI323">
        <f t="shared" si="2045"/>
        <v>0</v>
      </c>
      <c r="AJ323">
        <f t="shared" si="2045"/>
        <v>0</v>
      </c>
      <c r="AK323">
        <f t="shared" si="2045"/>
        <v>0</v>
      </c>
      <c r="AL323">
        <f t="shared" si="2045"/>
        <v>0</v>
      </c>
      <c r="AM323">
        <f t="shared" si="2045"/>
        <v>0</v>
      </c>
      <c r="AN323">
        <f t="shared" si="2045"/>
        <v>0</v>
      </c>
      <c r="AO323">
        <f t="shared" si="2045"/>
        <v>0</v>
      </c>
      <c r="AP323">
        <f t="shared" si="1836"/>
        <v>0</v>
      </c>
      <c r="AQ323">
        <f t="shared" si="1837"/>
        <v>0</v>
      </c>
      <c r="AR323">
        <f t="shared" si="1838"/>
        <v>0</v>
      </c>
      <c r="AS323">
        <f t="shared" si="1839"/>
        <v>0</v>
      </c>
      <c r="AT323">
        <f t="shared" si="1840"/>
        <v>0</v>
      </c>
      <c r="AU323">
        <f t="shared" si="1841"/>
        <v>0</v>
      </c>
      <c r="AV323">
        <f t="shared" si="1842"/>
        <v>0</v>
      </c>
      <c r="AW323">
        <f t="shared" si="1843"/>
        <v>0</v>
      </c>
      <c r="AX323">
        <f t="shared" si="1844"/>
        <v>0</v>
      </c>
      <c r="AY323">
        <f t="shared" si="1845"/>
        <v>0</v>
      </c>
      <c r="AZ323">
        <f t="shared" si="1846"/>
        <v>0</v>
      </c>
      <c r="BA323">
        <f t="shared" si="1847"/>
        <v>0</v>
      </c>
      <c r="BB323">
        <f t="shared" si="1848"/>
        <v>0</v>
      </c>
      <c r="BC323">
        <f t="shared" si="1849"/>
        <v>0</v>
      </c>
      <c r="BD323">
        <f t="shared" si="1850"/>
        <v>0</v>
      </c>
      <c r="BE323">
        <f t="shared" si="1851"/>
        <v>0</v>
      </c>
      <c r="BF323">
        <f t="shared" si="1852"/>
        <v>0</v>
      </c>
      <c r="BG323">
        <f t="shared" si="1853"/>
        <v>0</v>
      </c>
      <c r="BH323">
        <f t="shared" si="1990"/>
        <v>0</v>
      </c>
      <c r="BI323">
        <f t="shared" si="1889"/>
        <v>0</v>
      </c>
      <c r="BJ323" s="8" t="str">
        <f>Hidden!$CC94</f>
        <v/>
      </c>
      <c r="BK323">
        <f t="shared" ref="BK323:BT323" si="2046">IF(BK$230,CP218,0)</f>
        <v>0</v>
      </c>
      <c r="BL323">
        <f t="shared" si="2046"/>
        <v>0</v>
      </c>
      <c r="BM323">
        <f t="shared" si="2046"/>
        <v>0</v>
      </c>
      <c r="BN323">
        <f t="shared" si="2046"/>
        <v>0</v>
      </c>
      <c r="BO323">
        <f t="shared" si="2046"/>
        <v>0</v>
      </c>
      <c r="BP323">
        <f t="shared" si="2046"/>
        <v>0</v>
      </c>
      <c r="BQ323">
        <f t="shared" si="2046"/>
        <v>0</v>
      </c>
      <c r="BR323">
        <f t="shared" si="2046"/>
        <v>0</v>
      </c>
      <c r="BS323">
        <f t="shared" si="2046"/>
        <v>0</v>
      </c>
      <c r="BT323">
        <f t="shared" si="2046"/>
        <v>0</v>
      </c>
      <c r="BU323">
        <f t="shared" ref="BU323:CD323" si="2047">IF(BU$230,CP218,0)</f>
        <v>0</v>
      </c>
      <c r="BV323">
        <f t="shared" si="2047"/>
        <v>0</v>
      </c>
      <c r="BW323">
        <f t="shared" si="2047"/>
        <v>0</v>
      </c>
      <c r="BX323">
        <f t="shared" si="2047"/>
        <v>0</v>
      </c>
      <c r="BY323">
        <f t="shared" si="2047"/>
        <v>0</v>
      </c>
      <c r="BZ323">
        <f t="shared" si="2047"/>
        <v>0</v>
      </c>
      <c r="CA323">
        <f t="shared" si="2047"/>
        <v>0</v>
      </c>
      <c r="CB323">
        <f t="shared" si="2047"/>
        <v>0</v>
      </c>
      <c r="CC323">
        <f t="shared" si="2047"/>
        <v>0</v>
      </c>
      <c r="CD323">
        <f t="shared" si="2047"/>
        <v>0</v>
      </c>
      <c r="CE323">
        <f t="shared" si="1856"/>
        <v>0</v>
      </c>
      <c r="CF323">
        <f t="shared" si="1857"/>
        <v>0</v>
      </c>
      <c r="CG323">
        <f t="shared" si="1858"/>
        <v>0</v>
      </c>
      <c r="CH323">
        <f t="shared" si="1859"/>
        <v>0</v>
      </c>
      <c r="CI323">
        <f t="shared" si="1860"/>
        <v>0</v>
      </c>
      <c r="CJ323">
        <f t="shared" si="1993"/>
        <v>0</v>
      </c>
      <c r="CK323">
        <f t="shared" si="1892"/>
        <v>0</v>
      </c>
      <c r="CL323">
        <f t="shared" si="1861"/>
        <v>0</v>
      </c>
      <c r="CM323">
        <f t="shared" si="1862"/>
        <v>0</v>
      </c>
      <c r="CN323">
        <f t="shared" si="1863"/>
        <v>0</v>
      </c>
      <c r="CO323">
        <f t="shared" ref="CO323:CX323" si="2048">IF(CO$230,CP218,0)</f>
        <v>0</v>
      </c>
      <c r="CP323">
        <f t="shared" si="2048"/>
        <v>0</v>
      </c>
      <c r="CQ323">
        <f t="shared" si="2048"/>
        <v>0</v>
      </c>
      <c r="CR323">
        <f t="shared" si="2048"/>
        <v>0</v>
      </c>
      <c r="CS323">
        <f t="shared" si="2048"/>
        <v>0</v>
      </c>
      <c r="CT323">
        <f t="shared" si="2048"/>
        <v>0</v>
      </c>
      <c r="CU323">
        <f t="shared" si="2048"/>
        <v>0</v>
      </c>
      <c r="CV323">
        <f t="shared" si="2048"/>
        <v>0</v>
      </c>
      <c r="CW323">
        <f t="shared" si="2048"/>
        <v>0</v>
      </c>
      <c r="CX323">
        <f t="shared" si="2048"/>
        <v>0</v>
      </c>
      <c r="CY323">
        <f t="shared" si="1865"/>
        <v>0</v>
      </c>
      <c r="CZ323">
        <f t="shared" si="1866"/>
        <v>0</v>
      </c>
      <c r="DA323">
        <f t="shared" si="1867"/>
        <v>0</v>
      </c>
      <c r="DB323">
        <f t="shared" si="1868"/>
        <v>0</v>
      </c>
      <c r="DC323">
        <f t="shared" si="1869"/>
        <v>0</v>
      </c>
      <c r="DD323">
        <f t="shared" si="1870"/>
        <v>0</v>
      </c>
      <c r="DE323">
        <f t="shared" si="1871"/>
        <v>0</v>
      </c>
      <c r="DF323">
        <f t="shared" si="1872"/>
        <v>0</v>
      </c>
      <c r="DG323">
        <f t="shared" si="1873"/>
        <v>0</v>
      </c>
      <c r="DH323">
        <f t="shared" si="1874"/>
        <v>0</v>
      </c>
      <c r="DI323">
        <f t="shared" si="1875"/>
        <v>0</v>
      </c>
      <c r="DJ323">
        <f t="shared" si="1876"/>
        <v>0</v>
      </c>
      <c r="DK323">
        <f t="shared" si="1877"/>
        <v>0</v>
      </c>
      <c r="DL323">
        <f t="shared" si="1878"/>
        <v>0</v>
      </c>
      <c r="DM323">
        <f t="shared" si="1879"/>
        <v>0</v>
      </c>
      <c r="DN323">
        <f t="shared" si="1880"/>
        <v>0</v>
      </c>
      <c r="DO323">
        <f t="shared" si="1881"/>
        <v>0</v>
      </c>
      <c r="DP323">
        <f t="shared" si="1882"/>
        <v>0</v>
      </c>
      <c r="DQ323">
        <f t="shared" si="1883"/>
        <v>0</v>
      </c>
      <c r="DR323">
        <f t="shared" si="1884"/>
        <v>0</v>
      </c>
      <c r="DT323" s="77"/>
      <c r="DU323" s="8" t="str">
        <f>Hidden!$CG3</f>
        <v/>
      </c>
      <c r="DV323">
        <f>MAX($DV220:$DZ220)</f>
        <v>0</v>
      </c>
      <c r="DW323">
        <f>SUM($EA220:$EE220)</f>
        <v>0</v>
      </c>
      <c r="DX323">
        <f>MAX($EF220:$EJ220)</f>
        <v>0</v>
      </c>
      <c r="DY323">
        <f>SUM($EK220:$EO220)</f>
        <v>0</v>
      </c>
      <c r="DZ323">
        <f>MAX($EP220:$ET220)</f>
        <v>0</v>
      </c>
      <c r="EA323">
        <f>SUM($EU220:$EY220)</f>
        <v>0</v>
      </c>
      <c r="EB323">
        <f>MAX($EZ220:$FD220)</f>
        <v>0</v>
      </c>
      <c r="EC323">
        <f>SUM($FE220:$FI220)</f>
        <v>0</v>
      </c>
      <c r="ED323">
        <f>MAX($FJ220:$FN220)</f>
        <v>0</v>
      </c>
      <c r="EE323">
        <f>SUM($FO220:$FS220)</f>
        <v>0</v>
      </c>
      <c r="EF323">
        <f>MAX($FT220:$FX220)</f>
        <v>0</v>
      </c>
      <c r="EG323">
        <f>SUM($FY220:$GC220)</f>
        <v>0</v>
      </c>
    </row>
    <row r="324" spans="1:137" x14ac:dyDescent="0.2">
      <c r="A324" s="8" t="str">
        <f t="shared" si="1821"/>
        <v/>
      </c>
      <c r="B324" s="8">
        <f t="shared" si="1822"/>
        <v>0</v>
      </c>
      <c r="C324" s="8">
        <f t="shared" si="1823"/>
        <v>0</v>
      </c>
      <c r="D324" s="8">
        <f t="shared" si="1824"/>
        <v>0</v>
      </c>
      <c r="E324" s="8">
        <f t="shared" si="1988"/>
        <v>0</v>
      </c>
      <c r="F324" s="8">
        <f t="shared" si="1887"/>
        <v>0</v>
      </c>
      <c r="G324" s="8">
        <f t="shared" si="1929"/>
        <v>0</v>
      </c>
      <c r="H324" s="8">
        <f t="shared" si="1930"/>
        <v>0</v>
      </c>
      <c r="I324" s="8">
        <f t="shared" si="1931"/>
        <v>0</v>
      </c>
      <c r="J324" s="8">
        <f t="shared" si="1932"/>
        <v>0</v>
      </c>
      <c r="K324" s="8">
        <f t="shared" si="1933"/>
        <v>0</v>
      </c>
      <c r="L324">
        <f t="shared" si="1825"/>
        <v>0</v>
      </c>
      <c r="M324">
        <f t="shared" si="1826"/>
        <v>0</v>
      </c>
      <c r="N324">
        <f t="shared" si="1827"/>
        <v>0</v>
      </c>
      <c r="O324">
        <f t="shared" si="1828"/>
        <v>0</v>
      </c>
      <c r="P324">
        <f t="shared" si="1829"/>
        <v>0</v>
      </c>
      <c r="Q324">
        <f t="shared" si="1830"/>
        <v>0</v>
      </c>
      <c r="R324">
        <f t="shared" si="1831"/>
        <v>0</v>
      </c>
      <c r="S324">
        <f t="shared" si="1832"/>
        <v>0</v>
      </c>
      <c r="T324">
        <f t="shared" si="1833"/>
        <v>0</v>
      </c>
      <c r="U324">
        <f t="shared" si="1834"/>
        <v>0</v>
      </c>
      <c r="V324">
        <f>IF(V$230,LandEmiss!AF219,0)</f>
        <v>0</v>
      </c>
      <c r="W324">
        <f>IF(W$230,LandEmiss!AG219,0)</f>
        <v>0</v>
      </c>
      <c r="X324">
        <f>IF(X$230,LandEmiss!AH219,0)</f>
        <v>0</v>
      </c>
      <c r="Y324">
        <f>IF(Y$230,LandEmiss!AI219,0)</f>
        <v>0</v>
      </c>
      <c r="Z324">
        <f>IF(Z$230,LandEmiss!AJ219,0)</f>
        <v>0</v>
      </c>
      <c r="AA324">
        <f>IF(AA$230,LandEmiss!AK219,0)</f>
        <v>0</v>
      </c>
      <c r="AB324">
        <f>IF(AB$230,LandEmiss!AL219,0)</f>
        <v>0</v>
      </c>
      <c r="AC324">
        <f>IF(AC$230,LandEmiss!AM219,0)</f>
        <v>0</v>
      </c>
      <c r="AD324">
        <f>IF(AD$230,LandEmiss!AN219,0)</f>
        <v>0</v>
      </c>
      <c r="AE324">
        <f>IF(AE$230,LandEmiss!AO219,0)</f>
        <v>0</v>
      </c>
      <c r="AF324">
        <f t="shared" ref="AF324:AO324" si="2049">IF(AF$230,AF219,0)</f>
        <v>0</v>
      </c>
      <c r="AG324">
        <f t="shared" si="2049"/>
        <v>0</v>
      </c>
      <c r="AH324">
        <f t="shared" si="2049"/>
        <v>0</v>
      </c>
      <c r="AI324">
        <f t="shared" si="2049"/>
        <v>0</v>
      </c>
      <c r="AJ324">
        <f t="shared" si="2049"/>
        <v>0</v>
      </c>
      <c r="AK324">
        <f t="shared" si="2049"/>
        <v>0</v>
      </c>
      <c r="AL324">
        <f t="shared" si="2049"/>
        <v>0</v>
      </c>
      <c r="AM324">
        <f t="shared" si="2049"/>
        <v>0</v>
      </c>
      <c r="AN324">
        <f t="shared" si="2049"/>
        <v>0</v>
      </c>
      <c r="AO324">
        <f t="shared" si="2049"/>
        <v>0</v>
      </c>
      <c r="AP324">
        <f t="shared" si="1836"/>
        <v>0</v>
      </c>
      <c r="AQ324">
        <f t="shared" si="1837"/>
        <v>0</v>
      </c>
      <c r="AR324">
        <f t="shared" si="1838"/>
        <v>0</v>
      </c>
      <c r="AS324">
        <f t="shared" si="1839"/>
        <v>0</v>
      </c>
      <c r="AT324">
        <f t="shared" si="1840"/>
        <v>0</v>
      </c>
      <c r="AU324">
        <f t="shared" si="1841"/>
        <v>0</v>
      </c>
      <c r="AV324">
        <f t="shared" si="1842"/>
        <v>0</v>
      </c>
      <c r="AW324">
        <f t="shared" si="1843"/>
        <v>0</v>
      </c>
      <c r="AX324">
        <f t="shared" si="1844"/>
        <v>0</v>
      </c>
      <c r="AY324">
        <f t="shared" si="1845"/>
        <v>0</v>
      </c>
      <c r="AZ324">
        <f t="shared" si="1846"/>
        <v>0</v>
      </c>
      <c r="BA324">
        <f t="shared" si="1847"/>
        <v>0</v>
      </c>
      <c r="BB324">
        <f t="shared" si="1848"/>
        <v>0</v>
      </c>
      <c r="BC324">
        <f t="shared" si="1849"/>
        <v>0</v>
      </c>
      <c r="BD324">
        <f t="shared" si="1850"/>
        <v>0</v>
      </c>
      <c r="BE324">
        <f t="shared" si="1851"/>
        <v>0</v>
      </c>
      <c r="BF324">
        <f t="shared" si="1852"/>
        <v>0</v>
      </c>
      <c r="BG324">
        <f t="shared" si="1853"/>
        <v>0</v>
      </c>
      <c r="BH324">
        <f t="shared" si="1990"/>
        <v>0</v>
      </c>
      <c r="BI324">
        <f t="shared" si="1889"/>
        <v>0</v>
      </c>
      <c r="BJ324" s="8" t="str">
        <f>Hidden!$CC95</f>
        <v/>
      </c>
      <c r="BK324">
        <f t="shared" ref="BK324:BT324" si="2050">IF(BK$230,CP219,0)</f>
        <v>0</v>
      </c>
      <c r="BL324">
        <f t="shared" si="2050"/>
        <v>0</v>
      </c>
      <c r="BM324">
        <f t="shared" si="2050"/>
        <v>0</v>
      </c>
      <c r="BN324">
        <f t="shared" si="2050"/>
        <v>0</v>
      </c>
      <c r="BO324">
        <f t="shared" si="2050"/>
        <v>0</v>
      </c>
      <c r="BP324">
        <f t="shared" si="2050"/>
        <v>0</v>
      </c>
      <c r="BQ324">
        <f t="shared" si="2050"/>
        <v>0</v>
      </c>
      <c r="BR324">
        <f t="shared" si="2050"/>
        <v>0</v>
      </c>
      <c r="BS324">
        <f t="shared" si="2050"/>
        <v>0</v>
      </c>
      <c r="BT324">
        <f t="shared" si="2050"/>
        <v>0</v>
      </c>
      <c r="BU324">
        <f t="shared" ref="BU324:CD324" si="2051">IF(BU$230,CP219,0)</f>
        <v>0</v>
      </c>
      <c r="BV324">
        <f t="shared" si="2051"/>
        <v>0</v>
      </c>
      <c r="BW324">
        <f t="shared" si="2051"/>
        <v>0</v>
      </c>
      <c r="BX324">
        <f t="shared" si="2051"/>
        <v>0</v>
      </c>
      <c r="BY324">
        <f t="shared" si="2051"/>
        <v>0</v>
      </c>
      <c r="BZ324">
        <f t="shared" si="2051"/>
        <v>0</v>
      </c>
      <c r="CA324">
        <f t="shared" si="2051"/>
        <v>0</v>
      </c>
      <c r="CB324">
        <f t="shared" si="2051"/>
        <v>0</v>
      </c>
      <c r="CC324">
        <f t="shared" si="2051"/>
        <v>0</v>
      </c>
      <c r="CD324">
        <f t="shared" si="2051"/>
        <v>0</v>
      </c>
      <c r="CE324">
        <f t="shared" si="1856"/>
        <v>0</v>
      </c>
      <c r="CF324">
        <f t="shared" si="1857"/>
        <v>0</v>
      </c>
      <c r="CG324">
        <f t="shared" si="1858"/>
        <v>0</v>
      </c>
      <c r="CH324">
        <f t="shared" si="1859"/>
        <v>0</v>
      </c>
      <c r="CI324">
        <f t="shared" si="1860"/>
        <v>0</v>
      </c>
      <c r="CJ324">
        <f t="shared" si="1993"/>
        <v>0</v>
      </c>
      <c r="CK324">
        <f t="shared" si="1892"/>
        <v>0</v>
      </c>
      <c r="CL324">
        <f t="shared" si="1861"/>
        <v>0</v>
      </c>
      <c r="CM324">
        <f t="shared" si="1862"/>
        <v>0</v>
      </c>
      <c r="CN324">
        <f t="shared" si="1863"/>
        <v>0</v>
      </c>
      <c r="CO324">
        <f t="shared" ref="CO324:CX324" si="2052">IF(CO$230,CP219,0)</f>
        <v>0</v>
      </c>
      <c r="CP324">
        <f t="shared" si="2052"/>
        <v>0</v>
      </c>
      <c r="CQ324">
        <f t="shared" si="2052"/>
        <v>0</v>
      </c>
      <c r="CR324">
        <f t="shared" si="2052"/>
        <v>0</v>
      </c>
      <c r="CS324">
        <f t="shared" si="2052"/>
        <v>0</v>
      </c>
      <c r="CT324">
        <f t="shared" si="2052"/>
        <v>0</v>
      </c>
      <c r="CU324">
        <f t="shared" si="2052"/>
        <v>0</v>
      </c>
      <c r="CV324">
        <f t="shared" si="2052"/>
        <v>0</v>
      </c>
      <c r="CW324">
        <f t="shared" si="2052"/>
        <v>0</v>
      </c>
      <c r="CX324">
        <f t="shared" si="2052"/>
        <v>0</v>
      </c>
      <c r="CY324">
        <f t="shared" si="1865"/>
        <v>0</v>
      </c>
      <c r="CZ324">
        <f t="shared" si="1866"/>
        <v>0</v>
      </c>
      <c r="DA324">
        <f t="shared" si="1867"/>
        <v>0</v>
      </c>
      <c r="DB324">
        <f t="shared" si="1868"/>
        <v>0</v>
      </c>
      <c r="DC324">
        <f t="shared" si="1869"/>
        <v>0</v>
      </c>
      <c r="DD324">
        <f t="shared" si="1870"/>
        <v>0</v>
      </c>
      <c r="DE324">
        <f t="shared" si="1871"/>
        <v>0</v>
      </c>
      <c r="DF324">
        <f t="shared" si="1872"/>
        <v>0</v>
      </c>
      <c r="DG324">
        <f t="shared" si="1873"/>
        <v>0</v>
      </c>
      <c r="DH324">
        <f t="shared" si="1874"/>
        <v>0</v>
      </c>
      <c r="DI324">
        <f t="shared" si="1875"/>
        <v>0</v>
      </c>
      <c r="DJ324">
        <f t="shared" si="1876"/>
        <v>0</v>
      </c>
      <c r="DK324">
        <f t="shared" si="1877"/>
        <v>0</v>
      </c>
      <c r="DL324">
        <f t="shared" si="1878"/>
        <v>0</v>
      </c>
      <c r="DM324">
        <f t="shared" si="1879"/>
        <v>0</v>
      </c>
      <c r="DN324">
        <f t="shared" si="1880"/>
        <v>0</v>
      </c>
      <c r="DO324">
        <f t="shared" si="1881"/>
        <v>0</v>
      </c>
      <c r="DP324">
        <f t="shared" si="1882"/>
        <v>0</v>
      </c>
      <c r="DQ324">
        <f t="shared" si="1883"/>
        <v>0</v>
      </c>
      <c r="DR324">
        <f t="shared" si="1884"/>
        <v>0</v>
      </c>
      <c r="DT324" s="77"/>
      <c r="DU324" s="8" t="str">
        <f>Hidden!$CG4</f>
        <v/>
      </c>
      <c r="DV324">
        <f t="shared" ref="DV324:DV387" si="2053">MAX($DV221:$DZ221)</f>
        <v>0</v>
      </c>
      <c r="DW324">
        <f t="shared" ref="DW324:DW387" si="2054">SUM($EA221:$EE221)</f>
        <v>0</v>
      </c>
      <c r="DX324">
        <f t="shared" ref="DX324:DX387" si="2055">MAX($EF221:$EJ221)</f>
        <v>0</v>
      </c>
      <c r="DY324">
        <f t="shared" ref="DY324:DY387" si="2056">SUM($EK221:$EO221)</f>
        <v>0</v>
      </c>
      <c r="DZ324">
        <f t="shared" ref="DZ324:DZ387" si="2057">MAX($EP221:$ET221)</f>
        <v>0</v>
      </c>
      <c r="EA324">
        <f t="shared" ref="EA324:EA387" si="2058">SUM($EU221:$EY221)</f>
        <v>0</v>
      </c>
      <c r="EB324">
        <f t="shared" ref="EB324:EB387" si="2059">MAX($EZ221:$FD221)</f>
        <v>0</v>
      </c>
      <c r="EC324">
        <f t="shared" ref="EC324:EC387" si="2060">SUM($FE221:$FI221)</f>
        <v>0</v>
      </c>
      <c r="ED324">
        <f t="shared" ref="ED324:ED387" si="2061">MAX($FJ221:$FN221)</f>
        <v>0</v>
      </c>
      <c r="EE324">
        <f t="shared" ref="EE324:EE387" si="2062">SUM($FO221:$FS221)</f>
        <v>0</v>
      </c>
      <c r="EF324">
        <f t="shared" ref="EF324:EF387" si="2063">MAX($FT221:$FX221)</f>
        <v>0</v>
      </c>
      <c r="EG324">
        <f t="shared" ref="EG324:EG387" si="2064">SUM($FY221:$GC221)</f>
        <v>0</v>
      </c>
    </row>
    <row r="325" spans="1:137" x14ac:dyDescent="0.2">
      <c r="A325" s="8" t="str">
        <f t="shared" si="1821"/>
        <v/>
      </c>
      <c r="B325" s="8">
        <f t="shared" si="1822"/>
        <v>0</v>
      </c>
      <c r="C325" s="8">
        <f t="shared" si="1823"/>
        <v>0</v>
      </c>
      <c r="D325" s="8">
        <f t="shared" si="1824"/>
        <v>0</v>
      </c>
      <c r="E325" s="8">
        <f t="shared" si="1988"/>
        <v>0</v>
      </c>
      <c r="F325" s="8">
        <f t="shared" si="1887"/>
        <v>0</v>
      </c>
      <c r="G325" s="8">
        <f t="shared" si="1929"/>
        <v>0</v>
      </c>
      <c r="H325" s="8">
        <f t="shared" si="1930"/>
        <v>0</v>
      </c>
      <c r="I325" s="8">
        <f t="shared" si="1931"/>
        <v>0</v>
      </c>
      <c r="J325" s="8">
        <f t="shared" si="1932"/>
        <v>0</v>
      </c>
      <c r="K325" s="8">
        <f t="shared" si="1933"/>
        <v>0</v>
      </c>
      <c r="L325">
        <f t="shared" si="1825"/>
        <v>0</v>
      </c>
      <c r="M325">
        <f t="shared" si="1826"/>
        <v>0</v>
      </c>
      <c r="N325">
        <f t="shared" si="1827"/>
        <v>0</v>
      </c>
      <c r="O325">
        <f t="shared" si="1828"/>
        <v>0</v>
      </c>
      <c r="P325">
        <f t="shared" si="1829"/>
        <v>0</v>
      </c>
      <c r="Q325">
        <f t="shared" si="1830"/>
        <v>0</v>
      </c>
      <c r="R325">
        <f t="shared" si="1831"/>
        <v>0</v>
      </c>
      <c r="S325">
        <f t="shared" si="1832"/>
        <v>0</v>
      </c>
      <c r="T325">
        <f t="shared" si="1833"/>
        <v>0</v>
      </c>
      <c r="U325">
        <f t="shared" si="1834"/>
        <v>0</v>
      </c>
      <c r="V325">
        <f>IF(V$230,LandEmiss!AF220,0)</f>
        <v>0</v>
      </c>
      <c r="W325">
        <f>IF(W$230,LandEmiss!AG220,0)</f>
        <v>0</v>
      </c>
      <c r="X325">
        <f>IF(X$230,LandEmiss!AH220,0)</f>
        <v>0</v>
      </c>
      <c r="Y325">
        <f>IF(Y$230,LandEmiss!AI220,0)</f>
        <v>0</v>
      </c>
      <c r="Z325">
        <f>IF(Z$230,LandEmiss!AJ220,0)</f>
        <v>0</v>
      </c>
      <c r="AA325">
        <f>IF(AA$230,LandEmiss!AK220,0)</f>
        <v>0</v>
      </c>
      <c r="AB325">
        <f>IF(AB$230,LandEmiss!AL220,0)</f>
        <v>0</v>
      </c>
      <c r="AC325">
        <f>IF(AC$230,LandEmiss!AM220,0)</f>
        <v>0</v>
      </c>
      <c r="AD325">
        <f>IF(AD$230,LandEmiss!AN220,0)</f>
        <v>0</v>
      </c>
      <c r="AE325">
        <f>IF(AE$230,LandEmiss!AO220,0)</f>
        <v>0</v>
      </c>
      <c r="AF325">
        <f t="shared" ref="AF325:AO325" si="2065">IF(AF$230,AF220,0)</f>
        <v>0</v>
      </c>
      <c r="AG325">
        <f t="shared" si="2065"/>
        <v>0</v>
      </c>
      <c r="AH325">
        <f t="shared" si="2065"/>
        <v>0</v>
      </c>
      <c r="AI325">
        <f t="shared" si="2065"/>
        <v>0</v>
      </c>
      <c r="AJ325">
        <f t="shared" si="2065"/>
        <v>0</v>
      </c>
      <c r="AK325">
        <f t="shared" si="2065"/>
        <v>0</v>
      </c>
      <c r="AL325">
        <f t="shared" si="2065"/>
        <v>0</v>
      </c>
      <c r="AM325">
        <f t="shared" si="2065"/>
        <v>0</v>
      </c>
      <c r="AN325">
        <f t="shared" si="2065"/>
        <v>0</v>
      </c>
      <c r="AO325">
        <f t="shared" si="2065"/>
        <v>0</v>
      </c>
      <c r="AP325">
        <f t="shared" si="1836"/>
        <v>0</v>
      </c>
      <c r="AQ325">
        <f t="shared" si="1837"/>
        <v>0</v>
      </c>
      <c r="AR325">
        <f t="shared" si="1838"/>
        <v>0</v>
      </c>
      <c r="AS325">
        <f t="shared" si="1839"/>
        <v>0</v>
      </c>
      <c r="AT325">
        <f t="shared" si="1840"/>
        <v>0</v>
      </c>
      <c r="AU325">
        <f t="shared" si="1841"/>
        <v>0</v>
      </c>
      <c r="AV325">
        <f t="shared" si="1842"/>
        <v>0</v>
      </c>
      <c r="AW325">
        <f t="shared" si="1843"/>
        <v>0</v>
      </c>
      <c r="AX325">
        <f t="shared" si="1844"/>
        <v>0</v>
      </c>
      <c r="AY325">
        <f t="shared" si="1845"/>
        <v>0</v>
      </c>
      <c r="AZ325">
        <f t="shared" si="1846"/>
        <v>0</v>
      </c>
      <c r="BA325">
        <f t="shared" si="1847"/>
        <v>0</v>
      </c>
      <c r="BB325">
        <f t="shared" si="1848"/>
        <v>0</v>
      </c>
      <c r="BC325">
        <f t="shared" si="1849"/>
        <v>0</v>
      </c>
      <c r="BD325">
        <f t="shared" si="1850"/>
        <v>0</v>
      </c>
      <c r="BE325">
        <f t="shared" si="1851"/>
        <v>0</v>
      </c>
      <c r="BF325">
        <f t="shared" si="1852"/>
        <v>0</v>
      </c>
      <c r="BG325">
        <f t="shared" si="1853"/>
        <v>0</v>
      </c>
      <c r="BH325">
        <f t="shared" si="1990"/>
        <v>0</v>
      </c>
      <c r="BI325">
        <f t="shared" si="1889"/>
        <v>0</v>
      </c>
      <c r="BJ325" s="8" t="str">
        <f>Hidden!$CC96</f>
        <v/>
      </c>
      <c r="BK325">
        <f t="shared" ref="BK325:BT325" si="2066">IF(BK$230,CP220,0)</f>
        <v>0</v>
      </c>
      <c r="BL325">
        <f t="shared" si="2066"/>
        <v>0</v>
      </c>
      <c r="BM325">
        <f t="shared" si="2066"/>
        <v>0</v>
      </c>
      <c r="BN325">
        <f t="shared" si="2066"/>
        <v>0</v>
      </c>
      <c r="BO325">
        <f t="shared" si="2066"/>
        <v>0</v>
      </c>
      <c r="BP325">
        <f t="shared" si="2066"/>
        <v>0</v>
      </c>
      <c r="BQ325">
        <f t="shared" si="2066"/>
        <v>0</v>
      </c>
      <c r="BR325">
        <f t="shared" si="2066"/>
        <v>0</v>
      </c>
      <c r="BS325">
        <f t="shared" si="2066"/>
        <v>0</v>
      </c>
      <c r="BT325">
        <f t="shared" si="2066"/>
        <v>0</v>
      </c>
      <c r="BU325">
        <f t="shared" ref="BU325:CD325" si="2067">IF(BU$230,CP220,0)</f>
        <v>0</v>
      </c>
      <c r="BV325">
        <f t="shared" si="2067"/>
        <v>0</v>
      </c>
      <c r="BW325">
        <f t="shared" si="2067"/>
        <v>0</v>
      </c>
      <c r="BX325">
        <f t="shared" si="2067"/>
        <v>0</v>
      </c>
      <c r="BY325">
        <f t="shared" si="2067"/>
        <v>0</v>
      </c>
      <c r="BZ325">
        <f t="shared" si="2067"/>
        <v>0</v>
      </c>
      <c r="CA325">
        <f t="shared" si="2067"/>
        <v>0</v>
      </c>
      <c r="CB325">
        <f t="shared" si="2067"/>
        <v>0</v>
      </c>
      <c r="CC325">
        <f t="shared" si="2067"/>
        <v>0</v>
      </c>
      <c r="CD325">
        <f t="shared" si="2067"/>
        <v>0</v>
      </c>
      <c r="CE325">
        <f t="shared" si="1856"/>
        <v>0</v>
      </c>
      <c r="CF325">
        <f t="shared" si="1857"/>
        <v>0</v>
      </c>
      <c r="CG325">
        <f t="shared" si="1858"/>
        <v>0</v>
      </c>
      <c r="CH325">
        <f t="shared" si="1859"/>
        <v>0</v>
      </c>
      <c r="CI325">
        <f t="shared" si="1860"/>
        <v>0</v>
      </c>
      <c r="CJ325">
        <f t="shared" si="1993"/>
        <v>0</v>
      </c>
      <c r="CK325">
        <f t="shared" si="1892"/>
        <v>0</v>
      </c>
      <c r="CL325">
        <f t="shared" si="1861"/>
        <v>0</v>
      </c>
      <c r="CM325">
        <f t="shared" si="1862"/>
        <v>0</v>
      </c>
      <c r="CN325">
        <f t="shared" si="1863"/>
        <v>0</v>
      </c>
      <c r="CO325">
        <f t="shared" ref="CO325:CX325" si="2068">IF(CO$230,CP220,0)</f>
        <v>0</v>
      </c>
      <c r="CP325">
        <f t="shared" si="2068"/>
        <v>0</v>
      </c>
      <c r="CQ325">
        <f t="shared" si="2068"/>
        <v>0</v>
      </c>
      <c r="CR325">
        <f t="shared" si="2068"/>
        <v>0</v>
      </c>
      <c r="CS325">
        <f t="shared" si="2068"/>
        <v>0</v>
      </c>
      <c r="CT325">
        <f t="shared" si="2068"/>
        <v>0</v>
      </c>
      <c r="CU325">
        <f t="shared" si="2068"/>
        <v>0</v>
      </c>
      <c r="CV325">
        <f t="shared" si="2068"/>
        <v>0</v>
      </c>
      <c r="CW325">
        <f t="shared" si="2068"/>
        <v>0</v>
      </c>
      <c r="CX325">
        <f t="shared" si="2068"/>
        <v>0</v>
      </c>
      <c r="CY325">
        <f t="shared" si="1865"/>
        <v>0</v>
      </c>
      <c r="CZ325">
        <f t="shared" si="1866"/>
        <v>0</v>
      </c>
      <c r="DA325">
        <f t="shared" si="1867"/>
        <v>0</v>
      </c>
      <c r="DB325">
        <f t="shared" si="1868"/>
        <v>0</v>
      </c>
      <c r="DC325">
        <f t="shared" si="1869"/>
        <v>0</v>
      </c>
      <c r="DD325">
        <f t="shared" si="1870"/>
        <v>0</v>
      </c>
      <c r="DE325">
        <f t="shared" si="1871"/>
        <v>0</v>
      </c>
      <c r="DF325">
        <f t="shared" si="1872"/>
        <v>0</v>
      </c>
      <c r="DG325">
        <f t="shared" si="1873"/>
        <v>0</v>
      </c>
      <c r="DH325">
        <f t="shared" si="1874"/>
        <v>0</v>
      </c>
      <c r="DI325">
        <f t="shared" si="1875"/>
        <v>0</v>
      </c>
      <c r="DJ325">
        <f t="shared" si="1876"/>
        <v>0</v>
      </c>
      <c r="DK325">
        <f t="shared" si="1877"/>
        <v>0</v>
      </c>
      <c r="DL325">
        <f t="shared" si="1878"/>
        <v>0</v>
      </c>
      <c r="DM325">
        <f t="shared" si="1879"/>
        <v>0</v>
      </c>
      <c r="DN325">
        <f t="shared" si="1880"/>
        <v>0</v>
      </c>
      <c r="DO325">
        <f t="shared" si="1881"/>
        <v>0</v>
      </c>
      <c r="DP325">
        <f t="shared" si="1882"/>
        <v>0</v>
      </c>
      <c r="DQ325">
        <f t="shared" si="1883"/>
        <v>0</v>
      </c>
      <c r="DR325">
        <f t="shared" si="1884"/>
        <v>0</v>
      </c>
      <c r="DT325" s="77"/>
      <c r="DU325" s="8" t="str">
        <f>Hidden!$CG5</f>
        <v/>
      </c>
      <c r="DV325">
        <f t="shared" si="2053"/>
        <v>0</v>
      </c>
      <c r="DW325">
        <f t="shared" si="2054"/>
        <v>0</v>
      </c>
      <c r="DX325">
        <f t="shared" si="2055"/>
        <v>0</v>
      </c>
      <c r="DY325">
        <f t="shared" si="2056"/>
        <v>0</v>
      </c>
      <c r="DZ325">
        <f t="shared" si="2057"/>
        <v>0</v>
      </c>
      <c r="EA325">
        <f t="shared" si="2058"/>
        <v>0</v>
      </c>
      <c r="EB325">
        <f t="shared" si="2059"/>
        <v>0</v>
      </c>
      <c r="EC325">
        <f t="shared" si="2060"/>
        <v>0</v>
      </c>
      <c r="ED325">
        <f t="shared" si="2061"/>
        <v>0</v>
      </c>
      <c r="EE325">
        <f t="shared" si="2062"/>
        <v>0</v>
      </c>
      <c r="EF325">
        <f t="shared" si="2063"/>
        <v>0</v>
      </c>
      <c r="EG325">
        <f t="shared" si="2064"/>
        <v>0</v>
      </c>
    </row>
    <row r="326" spans="1:137" x14ac:dyDescent="0.2">
      <c r="A326" s="8" t="str">
        <f t="shared" si="1821"/>
        <v/>
      </c>
      <c r="B326" s="8">
        <f t="shared" si="1822"/>
        <v>0</v>
      </c>
      <c r="C326" s="8">
        <f t="shared" si="1823"/>
        <v>0</v>
      </c>
      <c r="D326" s="8">
        <f t="shared" si="1824"/>
        <v>0</v>
      </c>
      <c r="E326" s="8">
        <f t="shared" si="1988"/>
        <v>0</v>
      </c>
      <c r="F326" s="8">
        <f t="shared" si="1887"/>
        <v>0</v>
      </c>
      <c r="G326" s="8">
        <f t="shared" si="1929"/>
        <v>0</v>
      </c>
      <c r="H326" s="8">
        <f t="shared" si="1930"/>
        <v>0</v>
      </c>
      <c r="I326" s="8">
        <f t="shared" si="1931"/>
        <v>0</v>
      </c>
      <c r="J326" s="8">
        <f t="shared" si="1932"/>
        <v>0</v>
      </c>
      <c r="K326" s="8">
        <f t="shared" si="1933"/>
        <v>0</v>
      </c>
      <c r="L326">
        <f t="shared" si="1825"/>
        <v>0</v>
      </c>
      <c r="M326">
        <f t="shared" si="1826"/>
        <v>0</v>
      </c>
      <c r="N326">
        <f t="shared" si="1827"/>
        <v>0</v>
      </c>
      <c r="O326">
        <f t="shared" si="1828"/>
        <v>0</v>
      </c>
      <c r="P326">
        <f t="shared" si="1829"/>
        <v>0</v>
      </c>
      <c r="Q326">
        <f t="shared" si="1830"/>
        <v>0</v>
      </c>
      <c r="R326">
        <f t="shared" si="1831"/>
        <v>0</v>
      </c>
      <c r="S326">
        <f t="shared" si="1832"/>
        <v>0</v>
      </c>
      <c r="T326">
        <f t="shared" si="1833"/>
        <v>0</v>
      </c>
      <c r="U326">
        <f t="shared" si="1834"/>
        <v>0</v>
      </c>
      <c r="V326">
        <f>IF(V$230,LandEmiss!AF221,0)</f>
        <v>0</v>
      </c>
      <c r="W326">
        <f>IF(W$230,LandEmiss!AG221,0)</f>
        <v>0</v>
      </c>
      <c r="X326">
        <f>IF(X$230,LandEmiss!AH221,0)</f>
        <v>0</v>
      </c>
      <c r="Y326">
        <f>IF(Y$230,LandEmiss!AI221,0)</f>
        <v>0</v>
      </c>
      <c r="Z326">
        <f>IF(Z$230,LandEmiss!AJ221,0)</f>
        <v>0</v>
      </c>
      <c r="AA326">
        <f>IF(AA$230,LandEmiss!AK221,0)</f>
        <v>0</v>
      </c>
      <c r="AB326">
        <f>IF(AB$230,LandEmiss!AL221,0)</f>
        <v>0</v>
      </c>
      <c r="AC326">
        <f>IF(AC$230,LandEmiss!AM221,0)</f>
        <v>0</v>
      </c>
      <c r="AD326">
        <f>IF(AD$230,LandEmiss!AN221,0)</f>
        <v>0</v>
      </c>
      <c r="AE326">
        <f>IF(AE$230,LandEmiss!AO221,0)</f>
        <v>0</v>
      </c>
      <c r="AF326">
        <f t="shared" ref="AF326:AO326" si="2069">IF(AF$230,AF221,0)</f>
        <v>0</v>
      </c>
      <c r="AG326">
        <f t="shared" si="2069"/>
        <v>0</v>
      </c>
      <c r="AH326">
        <f t="shared" si="2069"/>
        <v>0</v>
      </c>
      <c r="AI326">
        <f t="shared" si="2069"/>
        <v>0</v>
      </c>
      <c r="AJ326">
        <f t="shared" si="2069"/>
        <v>0</v>
      </c>
      <c r="AK326">
        <f t="shared" si="2069"/>
        <v>0</v>
      </c>
      <c r="AL326">
        <f t="shared" si="2069"/>
        <v>0</v>
      </c>
      <c r="AM326">
        <f t="shared" si="2069"/>
        <v>0</v>
      </c>
      <c r="AN326">
        <f t="shared" si="2069"/>
        <v>0</v>
      </c>
      <c r="AO326">
        <f t="shared" si="2069"/>
        <v>0</v>
      </c>
      <c r="AP326">
        <f t="shared" si="1836"/>
        <v>0</v>
      </c>
      <c r="AQ326">
        <f t="shared" si="1837"/>
        <v>0</v>
      </c>
      <c r="AR326">
        <f t="shared" si="1838"/>
        <v>0</v>
      </c>
      <c r="AS326">
        <f t="shared" si="1839"/>
        <v>0</v>
      </c>
      <c r="AT326">
        <f t="shared" si="1840"/>
        <v>0</v>
      </c>
      <c r="AU326">
        <f t="shared" si="1841"/>
        <v>0</v>
      </c>
      <c r="AV326">
        <f t="shared" si="1842"/>
        <v>0</v>
      </c>
      <c r="AW326">
        <f t="shared" si="1843"/>
        <v>0</v>
      </c>
      <c r="AX326">
        <f t="shared" si="1844"/>
        <v>0</v>
      </c>
      <c r="AY326">
        <f t="shared" si="1845"/>
        <v>0</v>
      </c>
      <c r="AZ326">
        <f t="shared" si="1846"/>
        <v>0</v>
      </c>
      <c r="BA326">
        <f t="shared" si="1847"/>
        <v>0</v>
      </c>
      <c r="BB326">
        <f t="shared" si="1848"/>
        <v>0</v>
      </c>
      <c r="BC326">
        <f t="shared" si="1849"/>
        <v>0</v>
      </c>
      <c r="BD326">
        <f t="shared" si="1850"/>
        <v>0</v>
      </c>
      <c r="BE326">
        <f t="shared" si="1851"/>
        <v>0</v>
      </c>
      <c r="BF326">
        <f t="shared" si="1852"/>
        <v>0</v>
      </c>
      <c r="BG326">
        <f t="shared" si="1853"/>
        <v>0</v>
      </c>
      <c r="BH326">
        <f t="shared" si="1990"/>
        <v>0</v>
      </c>
      <c r="BI326">
        <f t="shared" si="1889"/>
        <v>0</v>
      </c>
      <c r="BJ326" s="8" t="str">
        <f>Hidden!$CC97</f>
        <v/>
      </c>
      <c r="BK326">
        <f t="shared" ref="BK326:BT326" si="2070">IF(BK$230,CP221,0)</f>
        <v>0</v>
      </c>
      <c r="BL326">
        <f t="shared" si="2070"/>
        <v>0</v>
      </c>
      <c r="BM326">
        <f t="shared" si="2070"/>
        <v>0</v>
      </c>
      <c r="BN326">
        <f t="shared" si="2070"/>
        <v>0</v>
      </c>
      <c r="BO326">
        <f t="shared" si="2070"/>
        <v>0</v>
      </c>
      <c r="BP326">
        <f t="shared" si="2070"/>
        <v>0</v>
      </c>
      <c r="BQ326">
        <f t="shared" si="2070"/>
        <v>0</v>
      </c>
      <c r="BR326">
        <f t="shared" si="2070"/>
        <v>0</v>
      </c>
      <c r="BS326">
        <f t="shared" si="2070"/>
        <v>0</v>
      </c>
      <c r="BT326">
        <f t="shared" si="2070"/>
        <v>0</v>
      </c>
      <c r="BU326">
        <f t="shared" ref="BU326:CD326" si="2071">IF(BU$230,CP221,0)</f>
        <v>0</v>
      </c>
      <c r="BV326">
        <f t="shared" si="2071"/>
        <v>0</v>
      </c>
      <c r="BW326">
        <f t="shared" si="2071"/>
        <v>0</v>
      </c>
      <c r="BX326">
        <f t="shared" si="2071"/>
        <v>0</v>
      </c>
      <c r="BY326">
        <f t="shared" si="2071"/>
        <v>0</v>
      </c>
      <c r="BZ326">
        <f t="shared" si="2071"/>
        <v>0</v>
      </c>
      <c r="CA326">
        <f t="shared" si="2071"/>
        <v>0</v>
      </c>
      <c r="CB326">
        <f t="shared" si="2071"/>
        <v>0</v>
      </c>
      <c r="CC326">
        <f t="shared" si="2071"/>
        <v>0</v>
      </c>
      <c r="CD326">
        <f t="shared" si="2071"/>
        <v>0</v>
      </c>
      <c r="CE326">
        <f t="shared" si="1856"/>
        <v>0</v>
      </c>
      <c r="CF326">
        <f t="shared" si="1857"/>
        <v>0</v>
      </c>
      <c r="CG326">
        <f t="shared" si="1858"/>
        <v>0</v>
      </c>
      <c r="CH326">
        <f t="shared" si="1859"/>
        <v>0</v>
      </c>
      <c r="CI326">
        <f t="shared" si="1860"/>
        <v>0</v>
      </c>
      <c r="CJ326">
        <f t="shared" si="1993"/>
        <v>0</v>
      </c>
      <c r="CK326">
        <f t="shared" si="1892"/>
        <v>0</v>
      </c>
      <c r="CL326">
        <f t="shared" si="1861"/>
        <v>0</v>
      </c>
      <c r="CM326">
        <f t="shared" si="1862"/>
        <v>0</v>
      </c>
      <c r="CN326">
        <f t="shared" si="1863"/>
        <v>0</v>
      </c>
      <c r="CO326">
        <f t="shared" ref="CO326:CX326" si="2072">IF(CO$230,CP221,0)</f>
        <v>0</v>
      </c>
      <c r="CP326">
        <f t="shared" si="2072"/>
        <v>0</v>
      </c>
      <c r="CQ326">
        <f t="shared" si="2072"/>
        <v>0</v>
      </c>
      <c r="CR326">
        <f t="shared" si="2072"/>
        <v>0</v>
      </c>
      <c r="CS326">
        <f t="shared" si="2072"/>
        <v>0</v>
      </c>
      <c r="CT326">
        <f t="shared" si="2072"/>
        <v>0</v>
      </c>
      <c r="CU326">
        <f t="shared" si="2072"/>
        <v>0</v>
      </c>
      <c r="CV326">
        <f t="shared" si="2072"/>
        <v>0</v>
      </c>
      <c r="CW326">
        <f t="shared" si="2072"/>
        <v>0</v>
      </c>
      <c r="CX326">
        <f t="shared" si="2072"/>
        <v>0</v>
      </c>
      <c r="CY326">
        <f t="shared" si="1865"/>
        <v>0</v>
      </c>
      <c r="CZ326">
        <f t="shared" si="1866"/>
        <v>0</v>
      </c>
      <c r="DA326">
        <f t="shared" si="1867"/>
        <v>0</v>
      </c>
      <c r="DB326">
        <f t="shared" si="1868"/>
        <v>0</v>
      </c>
      <c r="DC326">
        <f t="shared" si="1869"/>
        <v>0</v>
      </c>
      <c r="DD326">
        <f t="shared" si="1870"/>
        <v>0</v>
      </c>
      <c r="DE326">
        <f t="shared" si="1871"/>
        <v>0</v>
      </c>
      <c r="DF326">
        <f t="shared" si="1872"/>
        <v>0</v>
      </c>
      <c r="DG326">
        <f t="shared" si="1873"/>
        <v>0</v>
      </c>
      <c r="DH326">
        <f t="shared" si="1874"/>
        <v>0</v>
      </c>
      <c r="DI326">
        <f t="shared" si="1875"/>
        <v>0</v>
      </c>
      <c r="DJ326">
        <f t="shared" si="1876"/>
        <v>0</v>
      </c>
      <c r="DK326">
        <f t="shared" si="1877"/>
        <v>0</v>
      </c>
      <c r="DL326">
        <f t="shared" si="1878"/>
        <v>0</v>
      </c>
      <c r="DM326">
        <f t="shared" si="1879"/>
        <v>0</v>
      </c>
      <c r="DN326">
        <f t="shared" si="1880"/>
        <v>0</v>
      </c>
      <c r="DO326">
        <f t="shared" si="1881"/>
        <v>0</v>
      </c>
      <c r="DP326">
        <f t="shared" si="1882"/>
        <v>0</v>
      </c>
      <c r="DQ326">
        <f t="shared" si="1883"/>
        <v>0</v>
      </c>
      <c r="DR326">
        <f t="shared" si="1884"/>
        <v>0</v>
      </c>
      <c r="DT326" s="77"/>
      <c r="DU326" s="8" t="str">
        <f>Hidden!$CG6</f>
        <v/>
      </c>
      <c r="DV326">
        <f t="shared" si="2053"/>
        <v>0</v>
      </c>
      <c r="DW326">
        <f t="shared" si="2054"/>
        <v>0</v>
      </c>
      <c r="DX326">
        <f t="shared" si="2055"/>
        <v>0</v>
      </c>
      <c r="DY326">
        <f t="shared" si="2056"/>
        <v>0</v>
      </c>
      <c r="DZ326">
        <f t="shared" si="2057"/>
        <v>0</v>
      </c>
      <c r="EA326">
        <f t="shared" si="2058"/>
        <v>0</v>
      </c>
      <c r="EB326">
        <f t="shared" si="2059"/>
        <v>0</v>
      </c>
      <c r="EC326">
        <f t="shared" si="2060"/>
        <v>0</v>
      </c>
      <c r="ED326">
        <f t="shared" si="2061"/>
        <v>0</v>
      </c>
      <c r="EE326">
        <f t="shared" si="2062"/>
        <v>0</v>
      </c>
      <c r="EF326">
        <f t="shared" si="2063"/>
        <v>0</v>
      </c>
      <c r="EG326">
        <f t="shared" si="2064"/>
        <v>0</v>
      </c>
    </row>
    <row r="327" spans="1:137" x14ac:dyDescent="0.2">
      <c r="A327" s="8" t="str">
        <f t="shared" si="1821"/>
        <v/>
      </c>
      <c r="B327" s="8">
        <f t="shared" si="1822"/>
        <v>0</v>
      </c>
      <c r="C327" s="8">
        <f t="shared" si="1823"/>
        <v>0</v>
      </c>
      <c r="D327" s="8">
        <f t="shared" si="1824"/>
        <v>0</v>
      </c>
      <c r="E327" s="8">
        <f t="shared" si="1988"/>
        <v>0</v>
      </c>
      <c r="F327" s="8">
        <f t="shared" si="1887"/>
        <v>0</v>
      </c>
      <c r="G327" s="8">
        <f t="shared" si="1929"/>
        <v>0</v>
      </c>
      <c r="H327" s="8">
        <f t="shared" si="1930"/>
        <v>0</v>
      </c>
      <c r="I327" s="8">
        <f t="shared" si="1931"/>
        <v>0</v>
      </c>
      <c r="J327" s="8">
        <f t="shared" si="1932"/>
        <v>0</v>
      </c>
      <c r="K327" s="8">
        <f t="shared" si="1933"/>
        <v>0</v>
      </c>
      <c r="L327">
        <f t="shared" si="1825"/>
        <v>0</v>
      </c>
      <c r="M327">
        <f t="shared" si="1826"/>
        <v>0</v>
      </c>
      <c r="N327">
        <f t="shared" si="1827"/>
        <v>0</v>
      </c>
      <c r="O327">
        <f t="shared" si="1828"/>
        <v>0</v>
      </c>
      <c r="P327">
        <f t="shared" si="1829"/>
        <v>0</v>
      </c>
      <c r="Q327">
        <f t="shared" si="1830"/>
        <v>0</v>
      </c>
      <c r="R327">
        <f t="shared" si="1831"/>
        <v>0</v>
      </c>
      <c r="S327">
        <f t="shared" si="1832"/>
        <v>0</v>
      </c>
      <c r="T327">
        <f t="shared" si="1833"/>
        <v>0</v>
      </c>
      <c r="U327">
        <f t="shared" si="1834"/>
        <v>0</v>
      </c>
      <c r="V327">
        <f>IF(V$230,LandEmiss!AF222,0)</f>
        <v>0</v>
      </c>
      <c r="W327">
        <f>IF(W$230,LandEmiss!AG222,0)</f>
        <v>0</v>
      </c>
      <c r="X327">
        <f>IF(X$230,LandEmiss!AH222,0)</f>
        <v>0</v>
      </c>
      <c r="Y327">
        <f>IF(Y$230,LandEmiss!AI222,0)</f>
        <v>0</v>
      </c>
      <c r="Z327">
        <f>IF(Z$230,LandEmiss!AJ222,0)</f>
        <v>0</v>
      </c>
      <c r="AA327">
        <f>IF(AA$230,LandEmiss!AK222,0)</f>
        <v>0</v>
      </c>
      <c r="AB327">
        <f>IF(AB$230,LandEmiss!AL222,0)</f>
        <v>0</v>
      </c>
      <c r="AC327">
        <f>IF(AC$230,LandEmiss!AM222,0)</f>
        <v>0</v>
      </c>
      <c r="AD327">
        <f>IF(AD$230,LandEmiss!AN222,0)</f>
        <v>0</v>
      </c>
      <c r="AE327">
        <f>IF(AE$230,LandEmiss!AO222,0)</f>
        <v>0</v>
      </c>
      <c r="AF327">
        <f t="shared" ref="AF327:AO327" si="2073">IF(AF$230,AF222,0)</f>
        <v>0</v>
      </c>
      <c r="AG327">
        <f t="shared" si="2073"/>
        <v>0</v>
      </c>
      <c r="AH327">
        <f t="shared" si="2073"/>
        <v>0</v>
      </c>
      <c r="AI327">
        <f t="shared" si="2073"/>
        <v>0</v>
      </c>
      <c r="AJ327">
        <f t="shared" si="2073"/>
        <v>0</v>
      </c>
      <c r="AK327">
        <f t="shared" si="2073"/>
        <v>0</v>
      </c>
      <c r="AL327">
        <f t="shared" si="2073"/>
        <v>0</v>
      </c>
      <c r="AM327">
        <f t="shared" si="2073"/>
        <v>0</v>
      </c>
      <c r="AN327">
        <f t="shared" si="2073"/>
        <v>0</v>
      </c>
      <c r="AO327">
        <f t="shared" si="2073"/>
        <v>0</v>
      </c>
      <c r="AP327">
        <f t="shared" si="1836"/>
        <v>0</v>
      </c>
      <c r="AQ327">
        <f t="shared" si="1837"/>
        <v>0</v>
      </c>
      <c r="AR327">
        <f t="shared" si="1838"/>
        <v>0</v>
      </c>
      <c r="AS327">
        <f t="shared" si="1839"/>
        <v>0</v>
      </c>
      <c r="AT327">
        <f t="shared" si="1840"/>
        <v>0</v>
      </c>
      <c r="AU327">
        <f t="shared" si="1841"/>
        <v>0</v>
      </c>
      <c r="AV327">
        <f t="shared" si="1842"/>
        <v>0</v>
      </c>
      <c r="AW327">
        <f t="shared" si="1843"/>
        <v>0</v>
      </c>
      <c r="AX327">
        <f t="shared" si="1844"/>
        <v>0</v>
      </c>
      <c r="AY327">
        <f t="shared" si="1845"/>
        <v>0</v>
      </c>
      <c r="AZ327">
        <f t="shared" si="1846"/>
        <v>0</v>
      </c>
      <c r="BA327">
        <f t="shared" si="1847"/>
        <v>0</v>
      </c>
      <c r="BB327">
        <f t="shared" si="1848"/>
        <v>0</v>
      </c>
      <c r="BC327">
        <f t="shared" si="1849"/>
        <v>0</v>
      </c>
      <c r="BD327">
        <f t="shared" si="1850"/>
        <v>0</v>
      </c>
      <c r="BE327">
        <f t="shared" si="1851"/>
        <v>0</v>
      </c>
      <c r="BF327">
        <f t="shared" si="1852"/>
        <v>0</v>
      </c>
      <c r="BG327">
        <f t="shared" si="1853"/>
        <v>0</v>
      </c>
      <c r="BH327">
        <f t="shared" si="1990"/>
        <v>0</v>
      </c>
      <c r="BI327">
        <f t="shared" si="1889"/>
        <v>0</v>
      </c>
      <c r="BJ327" s="8" t="str">
        <f>Hidden!$CC98</f>
        <v/>
      </c>
      <c r="BK327">
        <f t="shared" ref="BK327:BT327" si="2074">IF(BK$230,CP222,0)</f>
        <v>0</v>
      </c>
      <c r="BL327">
        <f t="shared" si="2074"/>
        <v>0</v>
      </c>
      <c r="BM327">
        <f t="shared" si="2074"/>
        <v>0</v>
      </c>
      <c r="BN327">
        <f t="shared" si="2074"/>
        <v>0</v>
      </c>
      <c r="BO327">
        <f t="shared" si="2074"/>
        <v>0</v>
      </c>
      <c r="BP327">
        <f t="shared" si="2074"/>
        <v>0</v>
      </c>
      <c r="BQ327">
        <f t="shared" si="2074"/>
        <v>0</v>
      </c>
      <c r="BR327">
        <f t="shared" si="2074"/>
        <v>0</v>
      </c>
      <c r="BS327">
        <f t="shared" si="2074"/>
        <v>0</v>
      </c>
      <c r="BT327">
        <f t="shared" si="2074"/>
        <v>0</v>
      </c>
      <c r="BU327">
        <f t="shared" ref="BU327:CD327" si="2075">IF(BU$230,CP222,0)</f>
        <v>0</v>
      </c>
      <c r="BV327">
        <f t="shared" si="2075"/>
        <v>0</v>
      </c>
      <c r="BW327">
        <f t="shared" si="2075"/>
        <v>0</v>
      </c>
      <c r="BX327">
        <f t="shared" si="2075"/>
        <v>0</v>
      </c>
      <c r="BY327">
        <f t="shared" si="2075"/>
        <v>0</v>
      </c>
      <c r="BZ327">
        <f t="shared" si="2075"/>
        <v>0</v>
      </c>
      <c r="CA327">
        <f t="shared" si="2075"/>
        <v>0</v>
      </c>
      <c r="CB327">
        <f t="shared" si="2075"/>
        <v>0</v>
      </c>
      <c r="CC327">
        <f t="shared" si="2075"/>
        <v>0</v>
      </c>
      <c r="CD327">
        <f t="shared" si="2075"/>
        <v>0</v>
      </c>
      <c r="CE327">
        <f t="shared" si="1856"/>
        <v>0</v>
      </c>
      <c r="CF327">
        <f t="shared" si="1857"/>
        <v>0</v>
      </c>
      <c r="CG327">
        <f t="shared" si="1858"/>
        <v>0</v>
      </c>
      <c r="CH327">
        <f t="shared" si="1859"/>
        <v>0</v>
      </c>
      <c r="CI327">
        <f t="shared" si="1860"/>
        <v>0</v>
      </c>
      <c r="CJ327">
        <f t="shared" si="1993"/>
        <v>0</v>
      </c>
      <c r="CK327">
        <f t="shared" si="1892"/>
        <v>0</v>
      </c>
      <c r="CL327">
        <f t="shared" si="1861"/>
        <v>0</v>
      </c>
      <c r="CM327">
        <f t="shared" si="1862"/>
        <v>0</v>
      </c>
      <c r="CN327">
        <f t="shared" si="1863"/>
        <v>0</v>
      </c>
      <c r="CO327">
        <f t="shared" ref="CO327:CX327" si="2076">IF(CO$230,CP222,0)</f>
        <v>0</v>
      </c>
      <c r="CP327">
        <f t="shared" si="2076"/>
        <v>0</v>
      </c>
      <c r="CQ327">
        <f t="shared" si="2076"/>
        <v>0</v>
      </c>
      <c r="CR327">
        <f t="shared" si="2076"/>
        <v>0</v>
      </c>
      <c r="CS327">
        <f t="shared" si="2076"/>
        <v>0</v>
      </c>
      <c r="CT327">
        <f t="shared" si="2076"/>
        <v>0</v>
      </c>
      <c r="CU327">
        <f t="shared" si="2076"/>
        <v>0</v>
      </c>
      <c r="CV327">
        <f t="shared" si="2076"/>
        <v>0</v>
      </c>
      <c r="CW327">
        <f t="shared" si="2076"/>
        <v>0</v>
      </c>
      <c r="CX327">
        <f t="shared" si="2076"/>
        <v>0</v>
      </c>
      <c r="CY327">
        <f t="shared" si="1865"/>
        <v>0</v>
      </c>
      <c r="CZ327">
        <f t="shared" si="1866"/>
        <v>0</v>
      </c>
      <c r="DA327">
        <f t="shared" si="1867"/>
        <v>0</v>
      </c>
      <c r="DB327">
        <f t="shared" si="1868"/>
        <v>0</v>
      </c>
      <c r="DC327">
        <f t="shared" si="1869"/>
        <v>0</v>
      </c>
      <c r="DD327">
        <f t="shared" si="1870"/>
        <v>0</v>
      </c>
      <c r="DE327">
        <f t="shared" si="1871"/>
        <v>0</v>
      </c>
      <c r="DF327">
        <f t="shared" si="1872"/>
        <v>0</v>
      </c>
      <c r="DG327">
        <f t="shared" si="1873"/>
        <v>0</v>
      </c>
      <c r="DH327">
        <f t="shared" si="1874"/>
        <v>0</v>
      </c>
      <c r="DI327">
        <f t="shared" si="1875"/>
        <v>0</v>
      </c>
      <c r="DJ327">
        <f t="shared" si="1876"/>
        <v>0</v>
      </c>
      <c r="DK327">
        <f t="shared" si="1877"/>
        <v>0</v>
      </c>
      <c r="DL327">
        <f t="shared" si="1878"/>
        <v>0</v>
      </c>
      <c r="DM327">
        <f t="shared" si="1879"/>
        <v>0</v>
      </c>
      <c r="DN327">
        <f t="shared" si="1880"/>
        <v>0</v>
      </c>
      <c r="DO327">
        <f t="shared" si="1881"/>
        <v>0</v>
      </c>
      <c r="DP327">
        <f t="shared" si="1882"/>
        <v>0</v>
      </c>
      <c r="DQ327">
        <f t="shared" si="1883"/>
        <v>0</v>
      </c>
      <c r="DR327">
        <f t="shared" si="1884"/>
        <v>0</v>
      </c>
      <c r="DT327" s="77"/>
      <c r="DU327" s="8" t="str">
        <f>Hidden!$CG7</f>
        <v/>
      </c>
      <c r="DV327">
        <f t="shared" si="2053"/>
        <v>0</v>
      </c>
      <c r="DW327">
        <f t="shared" si="2054"/>
        <v>0</v>
      </c>
      <c r="DX327">
        <f t="shared" si="2055"/>
        <v>0</v>
      </c>
      <c r="DY327">
        <f t="shared" si="2056"/>
        <v>0</v>
      </c>
      <c r="DZ327">
        <f t="shared" si="2057"/>
        <v>0</v>
      </c>
      <c r="EA327">
        <f t="shared" si="2058"/>
        <v>0</v>
      </c>
      <c r="EB327">
        <f t="shared" si="2059"/>
        <v>0</v>
      </c>
      <c r="EC327">
        <f t="shared" si="2060"/>
        <v>0</v>
      </c>
      <c r="ED327">
        <f t="shared" si="2061"/>
        <v>0</v>
      </c>
      <c r="EE327">
        <f t="shared" si="2062"/>
        <v>0</v>
      </c>
      <c r="EF327">
        <f t="shared" si="2063"/>
        <v>0</v>
      </c>
      <c r="EG327">
        <f t="shared" si="2064"/>
        <v>0</v>
      </c>
    </row>
    <row r="328" spans="1:137" x14ac:dyDescent="0.2">
      <c r="A328" s="8" t="str">
        <f t="shared" si="1821"/>
        <v/>
      </c>
      <c r="B328" s="8">
        <f t="shared" si="1822"/>
        <v>0</v>
      </c>
      <c r="C328" s="8">
        <f t="shared" si="1823"/>
        <v>0</v>
      </c>
      <c r="D328" s="8">
        <f t="shared" si="1824"/>
        <v>0</v>
      </c>
      <c r="E328" s="8">
        <f t="shared" si="1988"/>
        <v>0</v>
      </c>
      <c r="F328" s="8">
        <f t="shared" si="1887"/>
        <v>0</v>
      </c>
      <c r="G328" s="8">
        <f t="shared" si="1929"/>
        <v>0</v>
      </c>
      <c r="H328" s="8">
        <f t="shared" si="1930"/>
        <v>0</v>
      </c>
      <c r="I328" s="8">
        <f t="shared" si="1931"/>
        <v>0</v>
      </c>
      <c r="J328" s="8">
        <f t="shared" si="1932"/>
        <v>0</v>
      </c>
      <c r="K328" s="8">
        <f t="shared" si="1933"/>
        <v>0</v>
      </c>
      <c r="L328">
        <f t="shared" si="1825"/>
        <v>0</v>
      </c>
      <c r="M328">
        <f t="shared" si="1826"/>
        <v>0</v>
      </c>
      <c r="N328">
        <f t="shared" si="1827"/>
        <v>0</v>
      </c>
      <c r="O328">
        <f t="shared" si="1828"/>
        <v>0</v>
      </c>
      <c r="P328">
        <f t="shared" si="1829"/>
        <v>0</v>
      </c>
      <c r="Q328">
        <f t="shared" si="1830"/>
        <v>0</v>
      </c>
      <c r="R328">
        <f t="shared" si="1831"/>
        <v>0</v>
      </c>
      <c r="S328">
        <f t="shared" si="1832"/>
        <v>0</v>
      </c>
      <c r="T328">
        <f t="shared" si="1833"/>
        <v>0</v>
      </c>
      <c r="U328">
        <f t="shared" si="1834"/>
        <v>0</v>
      </c>
      <c r="V328">
        <f>IF(V$230,LandEmiss!AF223,0)</f>
        <v>0</v>
      </c>
      <c r="W328">
        <f>IF(W$230,LandEmiss!AG223,0)</f>
        <v>0</v>
      </c>
      <c r="X328">
        <f>IF(X$230,LandEmiss!AH223,0)</f>
        <v>0</v>
      </c>
      <c r="Y328">
        <f>IF(Y$230,LandEmiss!AI223,0)</f>
        <v>0</v>
      </c>
      <c r="Z328">
        <f>IF(Z$230,LandEmiss!AJ223,0)</f>
        <v>0</v>
      </c>
      <c r="AA328">
        <f>IF(AA$230,LandEmiss!AK223,0)</f>
        <v>0</v>
      </c>
      <c r="AB328">
        <f>IF(AB$230,LandEmiss!AL223,0)</f>
        <v>0</v>
      </c>
      <c r="AC328">
        <f>IF(AC$230,LandEmiss!AM223,0)</f>
        <v>0</v>
      </c>
      <c r="AD328">
        <f>IF(AD$230,LandEmiss!AN223,0)</f>
        <v>0</v>
      </c>
      <c r="AE328">
        <f>IF(AE$230,LandEmiss!AO223,0)</f>
        <v>0</v>
      </c>
      <c r="AF328">
        <f t="shared" ref="AF328:AO328" si="2077">IF(AF$230,AF223,0)</f>
        <v>0</v>
      </c>
      <c r="AG328">
        <f t="shared" si="2077"/>
        <v>0</v>
      </c>
      <c r="AH328">
        <f t="shared" si="2077"/>
        <v>0</v>
      </c>
      <c r="AI328">
        <f t="shared" si="2077"/>
        <v>0</v>
      </c>
      <c r="AJ328">
        <f t="shared" si="2077"/>
        <v>0</v>
      </c>
      <c r="AK328">
        <f t="shared" si="2077"/>
        <v>0</v>
      </c>
      <c r="AL328">
        <f t="shared" si="2077"/>
        <v>0</v>
      </c>
      <c r="AM328">
        <f t="shared" si="2077"/>
        <v>0</v>
      </c>
      <c r="AN328">
        <f t="shared" si="2077"/>
        <v>0</v>
      </c>
      <c r="AO328">
        <f t="shared" si="2077"/>
        <v>0</v>
      </c>
      <c r="AP328">
        <f t="shared" si="1836"/>
        <v>0</v>
      </c>
      <c r="AQ328">
        <f t="shared" si="1837"/>
        <v>0</v>
      </c>
      <c r="AR328">
        <f t="shared" si="1838"/>
        <v>0</v>
      </c>
      <c r="AS328">
        <f t="shared" si="1839"/>
        <v>0</v>
      </c>
      <c r="AT328">
        <f t="shared" si="1840"/>
        <v>0</v>
      </c>
      <c r="AU328">
        <f t="shared" si="1841"/>
        <v>0</v>
      </c>
      <c r="AV328">
        <f t="shared" si="1842"/>
        <v>0</v>
      </c>
      <c r="AW328">
        <f t="shared" si="1843"/>
        <v>0</v>
      </c>
      <c r="AX328">
        <f t="shared" si="1844"/>
        <v>0</v>
      </c>
      <c r="AY328">
        <f t="shared" si="1845"/>
        <v>0</v>
      </c>
      <c r="AZ328">
        <f t="shared" si="1846"/>
        <v>0</v>
      </c>
      <c r="BA328">
        <f t="shared" si="1847"/>
        <v>0</v>
      </c>
      <c r="BB328">
        <f t="shared" si="1848"/>
        <v>0</v>
      </c>
      <c r="BC328">
        <f t="shared" si="1849"/>
        <v>0</v>
      </c>
      <c r="BD328">
        <f t="shared" si="1850"/>
        <v>0</v>
      </c>
      <c r="BE328">
        <f t="shared" si="1851"/>
        <v>0</v>
      </c>
      <c r="BF328">
        <f t="shared" si="1852"/>
        <v>0</v>
      </c>
      <c r="BG328">
        <f t="shared" si="1853"/>
        <v>0</v>
      </c>
      <c r="BH328">
        <f t="shared" si="1990"/>
        <v>0</v>
      </c>
      <c r="BI328">
        <f t="shared" si="1889"/>
        <v>0</v>
      </c>
      <c r="BJ328" s="8" t="str">
        <f>Hidden!$CC99</f>
        <v/>
      </c>
      <c r="BK328">
        <f t="shared" ref="BK328:BT328" si="2078">IF(BK$230,CP223,0)</f>
        <v>0</v>
      </c>
      <c r="BL328">
        <f t="shared" si="2078"/>
        <v>0</v>
      </c>
      <c r="BM328">
        <f t="shared" si="2078"/>
        <v>0</v>
      </c>
      <c r="BN328">
        <f t="shared" si="2078"/>
        <v>0</v>
      </c>
      <c r="BO328">
        <f t="shared" si="2078"/>
        <v>0</v>
      </c>
      <c r="BP328">
        <f t="shared" si="2078"/>
        <v>0</v>
      </c>
      <c r="BQ328">
        <f t="shared" si="2078"/>
        <v>0</v>
      </c>
      <c r="BR328">
        <f t="shared" si="2078"/>
        <v>0</v>
      </c>
      <c r="BS328">
        <f t="shared" si="2078"/>
        <v>0</v>
      </c>
      <c r="BT328">
        <f t="shared" si="2078"/>
        <v>0</v>
      </c>
      <c r="BU328">
        <f t="shared" ref="BU328:CD328" si="2079">IF(BU$230,CP223,0)</f>
        <v>0</v>
      </c>
      <c r="BV328">
        <f t="shared" si="2079"/>
        <v>0</v>
      </c>
      <c r="BW328">
        <f t="shared" si="2079"/>
        <v>0</v>
      </c>
      <c r="BX328">
        <f t="shared" si="2079"/>
        <v>0</v>
      </c>
      <c r="BY328">
        <f t="shared" si="2079"/>
        <v>0</v>
      </c>
      <c r="BZ328">
        <f t="shared" si="2079"/>
        <v>0</v>
      </c>
      <c r="CA328">
        <f t="shared" si="2079"/>
        <v>0</v>
      </c>
      <c r="CB328">
        <f t="shared" si="2079"/>
        <v>0</v>
      </c>
      <c r="CC328">
        <f t="shared" si="2079"/>
        <v>0</v>
      </c>
      <c r="CD328">
        <f t="shared" si="2079"/>
        <v>0</v>
      </c>
      <c r="CE328">
        <f t="shared" si="1856"/>
        <v>0</v>
      </c>
      <c r="CF328">
        <f t="shared" si="1857"/>
        <v>0</v>
      </c>
      <c r="CG328">
        <f t="shared" si="1858"/>
        <v>0</v>
      </c>
      <c r="CH328">
        <f t="shared" si="1859"/>
        <v>0</v>
      </c>
      <c r="CI328">
        <f t="shared" si="1860"/>
        <v>0</v>
      </c>
      <c r="CJ328">
        <f t="shared" si="1993"/>
        <v>0</v>
      </c>
      <c r="CK328">
        <f t="shared" si="1892"/>
        <v>0</v>
      </c>
      <c r="CL328">
        <f t="shared" si="1861"/>
        <v>0</v>
      </c>
      <c r="CM328">
        <f t="shared" si="1862"/>
        <v>0</v>
      </c>
      <c r="CN328">
        <f t="shared" si="1863"/>
        <v>0</v>
      </c>
      <c r="CO328">
        <f t="shared" ref="CO328:CX328" si="2080">IF(CO$230,CP223,0)</f>
        <v>0</v>
      </c>
      <c r="CP328">
        <f t="shared" si="2080"/>
        <v>0</v>
      </c>
      <c r="CQ328">
        <f t="shared" si="2080"/>
        <v>0</v>
      </c>
      <c r="CR328">
        <f t="shared" si="2080"/>
        <v>0</v>
      </c>
      <c r="CS328">
        <f t="shared" si="2080"/>
        <v>0</v>
      </c>
      <c r="CT328">
        <f t="shared" si="2080"/>
        <v>0</v>
      </c>
      <c r="CU328">
        <f t="shared" si="2080"/>
        <v>0</v>
      </c>
      <c r="CV328">
        <f t="shared" si="2080"/>
        <v>0</v>
      </c>
      <c r="CW328">
        <f t="shared" si="2080"/>
        <v>0</v>
      </c>
      <c r="CX328">
        <f t="shared" si="2080"/>
        <v>0</v>
      </c>
      <c r="CY328">
        <f t="shared" si="1865"/>
        <v>0</v>
      </c>
      <c r="CZ328">
        <f t="shared" si="1866"/>
        <v>0</v>
      </c>
      <c r="DA328">
        <f t="shared" si="1867"/>
        <v>0</v>
      </c>
      <c r="DB328">
        <f t="shared" si="1868"/>
        <v>0</v>
      </c>
      <c r="DC328">
        <f t="shared" si="1869"/>
        <v>0</v>
      </c>
      <c r="DD328">
        <f t="shared" si="1870"/>
        <v>0</v>
      </c>
      <c r="DE328">
        <f t="shared" si="1871"/>
        <v>0</v>
      </c>
      <c r="DF328">
        <f t="shared" si="1872"/>
        <v>0</v>
      </c>
      <c r="DG328">
        <f t="shared" si="1873"/>
        <v>0</v>
      </c>
      <c r="DH328">
        <f t="shared" si="1874"/>
        <v>0</v>
      </c>
      <c r="DI328">
        <f t="shared" si="1875"/>
        <v>0</v>
      </c>
      <c r="DJ328">
        <f t="shared" si="1876"/>
        <v>0</v>
      </c>
      <c r="DK328">
        <f t="shared" si="1877"/>
        <v>0</v>
      </c>
      <c r="DL328">
        <f t="shared" si="1878"/>
        <v>0</v>
      </c>
      <c r="DM328">
        <f t="shared" si="1879"/>
        <v>0</v>
      </c>
      <c r="DN328">
        <f t="shared" si="1880"/>
        <v>0</v>
      </c>
      <c r="DO328">
        <f t="shared" si="1881"/>
        <v>0</v>
      </c>
      <c r="DP328">
        <f t="shared" si="1882"/>
        <v>0</v>
      </c>
      <c r="DQ328">
        <f t="shared" si="1883"/>
        <v>0</v>
      </c>
      <c r="DR328">
        <f t="shared" si="1884"/>
        <v>0</v>
      </c>
      <c r="DT328" s="77"/>
      <c r="DU328" s="8" t="str">
        <f>Hidden!$CG8</f>
        <v/>
      </c>
      <c r="DV328">
        <f t="shared" si="2053"/>
        <v>0</v>
      </c>
      <c r="DW328">
        <f t="shared" si="2054"/>
        <v>0</v>
      </c>
      <c r="DX328">
        <f t="shared" si="2055"/>
        <v>0</v>
      </c>
      <c r="DY328">
        <f t="shared" si="2056"/>
        <v>0</v>
      </c>
      <c r="DZ328">
        <f t="shared" si="2057"/>
        <v>0</v>
      </c>
      <c r="EA328">
        <f t="shared" si="2058"/>
        <v>0</v>
      </c>
      <c r="EB328">
        <f t="shared" si="2059"/>
        <v>0</v>
      </c>
      <c r="EC328">
        <f t="shared" si="2060"/>
        <v>0</v>
      </c>
      <c r="ED328">
        <f t="shared" si="2061"/>
        <v>0</v>
      </c>
      <c r="EE328">
        <f t="shared" si="2062"/>
        <v>0</v>
      </c>
      <c r="EF328">
        <f t="shared" si="2063"/>
        <v>0</v>
      </c>
      <c r="EG328">
        <f t="shared" si="2064"/>
        <v>0</v>
      </c>
    </row>
    <row r="329" spans="1:137" x14ac:dyDescent="0.2">
      <c r="A329" s="8" t="str">
        <f t="shared" si="1821"/>
        <v/>
      </c>
      <c r="B329" s="8">
        <f t="shared" si="1822"/>
        <v>0</v>
      </c>
      <c r="C329" s="8">
        <f t="shared" si="1823"/>
        <v>0</v>
      </c>
      <c r="D329" s="8">
        <f t="shared" si="1824"/>
        <v>0</v>
      </c>
      <c r="E329" s="8">
        <f t="shared" si="1988"/>
        <v>0</v>
      </c>
      <c r="F329" s="8">
        <f t="shared" si="1887"/>
        <v>0</v>
      </c>
      <c r="G329" s="8">
        <f t="shared" si="1929"/>
        <v>0</v>
      </c>
      <c r="H329" s="8">
        <f t="shared" si="1930"/>
        <v>0</v>
      </c>
      <c r="I329" s="8">
        <f t="shared" si="1931"/>
        <v>0</v>
      </c>
      <c r="J329" s="8">
        <f t="shared" si="1932"/>
        <v>0</v>
      </c>
      <c r="K329" s="8">
        <f t="shared" si="1933"/>
        <v>0</v>
      </c>
      <c r="L329">
        <f t="shared" si="1825"/>
        <v>0</v>
      </c>
      <c r="M329">
        <f t="shared" si="1826"/>
        <v>0</v>
      </c>
      <c r="N329">
        <f t="shared" si="1827"/>
        <v>0</v>
      </c>
      <c r="O329">
        <f t="shared" si="1828"/>
        <v>0</v>
      </c>
      <c r="P329">
        <f t="shared" si="1829"/>
        <v>0</v>
      </c>
      <c r="Q329">
        <f t="shared" si="1830"/>
        <v>0</v>
      </c>
      <c r="R329">
        <f t="shared" si="1831"/>
        <v>0</v>
      </c>
      <c r="S329">
        <f t="shared" si="1832"/>
        <v>0</v>
      </c>
      <c r="T329">
        <f t="shared" si="1833"/>
        <v>0</v>
      </c>
      <c r="U329">
        <f t="shared" si="1834"/>
        <v>0</v>
      </c>
      <c r="V329">
        <f>IF(V$230,LandEmiss!AF224,0)</f>
        <v>0</v>
      </c>
      <c r="W329">
        <f>IF(W$230,LandEmiss!AG224,0)</f>
        <v>0</v>
      </c>
      <c r="X329">
        <f>IF(X$230,LandEmiss!AH224,0)</f>
        <v>0</v>
      </c>
      <c r="Y329">
        <f>IF(Y$230,LandEmiss!AI224,0)</f>
        <v>0</v>
      </c>
      <c r="Z329">
        <f>IF(Z$230,LandEmiss!AJ224,0)</f>
        <v>0</v>
      </c>
      <c r="AA329">
        <f>IF(AA$230,LandEmiss!AK224,0)</f>
        <v>0</v>
      </c>
      <c r="AB329">
        <f>IF(AB$230,LandEmiss!AL224,0)</f>
        <v>0</v>
      </c>
      <c r="AC329">
        <f>IF(AC$230,LandEmiss!AM224,0)</f>
        <v>0</v>
      </c>
      <c r="AD329">
        <f>IF(AD$230,LandEmiss!AN224,0)</f>
        <v>0</v>
      </c>
      <c r="AE329">
        <f>IF(AE$230,LandEmiss!AO224,0)</f>
        <v>0</v>
      </c>
      <c r="AF329">
        <f t="shared" ref="AF329:AO329" si="2081">IF(AF$230,AF224,0)</f>
        <v>0</v>
      </c>
      <c r="AG329">
        <f t="shared" si="2081"/>
        <v>0</v>
      </c>
      <c r="AH329">
        <f t="shared" si="2081"/>
        <v>0</v>
      </c>
      <c r="AI329">
        <f t="shared" si="2081"/>
        <v>0</v>
      </c>
      <c r="AJ329">
        <f t="shared" si="2081"/>
        <v>0</v>
      </c>
      <c r="AK329">
        <f t="shared" si="2081"/>
        <v>0</v>
      </c>
      <c r="AL329">
        <f t="shared" si="2081"/>
        <v>0</v>
      </c>
      <c r="AM329">
        <f t="shared" si="2081"/>
        <v>0</v>
      </c>
      <c r="AN329">
        <f t="shared" si="2081"/>
        <v>0</v>
      </c>
      <c r="AO329">
        <f t="shared" si="2081"/>
        <v>0</v>
      </c>
      <c r="AP329">
        <f t="shared" si="1836"/>
        <v>0</v>
      </c>
      <c r="AQ329">
        <f t="shared" si="1837"/>
        <v>0</v>
      </c>
      <c r="AR329">
        <f t="shared" si="1838"/>
        <v>0</v>
      </c>
      <c r="AS329">
        <f t="shared" si="1839"/>
        <v>0</v>
      </c>
      <c r="AT329">
        <f t="shared" si="1840"/>
        <v>0</v>
      </c>
      <c r="AU329">
        <f t="shared" si="1841"/>
        <v>0</v>
      </c>
      <c r="AV329">
        <f t="shared" si="1842"/>
        <v>0</v>
      </c>
      <c r="AW329">
        <f t="shared" si="1843"/>
        <v>0</v>
      </c>
      <c r="AX329">
        <f t="shared" si="1844"/>
        <v>0</v>
      </c>
      <c r="AY329">
        <f t="shared" si="1845"/>
        <v>0</v>
      </c>
      <c r="AZ329">
        <f t="shared" si="1846"/>
        <v>0</v>
      </c>
      <c r="BA329">
        <f t="shared" si="1847"/>
        <v>0</v>
      </c>
      <c r="BB329">
        <f t="shared" si="1848"/>
        <v>0</v>
      </c>
      <c r="BC329">
        <f t="shared" si="1849"/>
        <v>0</v>
      </c>
      <c r="BD329">
        <f t="shared" si="1850"/>
        <v>0</v>
      </c>
      <c r="BE329">
        <f t="shared" si="1851"/>
        <v>0</v>
      </c>
      <c r="BF329">
        <f t="shared" si="1852"/>
        <v>0</v>
      </c>
      <c r="BG329">
        <f t="shared" si="1853"/>
        <v>0</v>
      </c>
      <c r="BH329">
        <f t="shared" si="1990"/>
        <v>0</v>
      </c>
      <c r="BI329">
        <f t="shared" si="1889"/>
        <v>0</v>
      </c>
      <c r="BJ329" s="8" t="str">
        <f>Hidden!$CC100</f>
        <v/>
      </c>
      <c r="BK329">
        <f t="shared" ref="BK329:BT329" si="2082">IF(BK$230,CP224,0)</f>
        <v>0</v>
      </c>
      <c r="BL329">
        <f t="shared" si="2082"/>
        <v>0</v>
      </c>
      <c r="BM329">
        <f t="shared" si="2082"/>
        <v>0</v>
      </c>
      <c r="BN329">
        <f t="shared" si="2082"/>
        <v>0</v>
      </c>
      <c r="BO329">
        <f t="shared" si="2082"/>
        <v>0</v>
      </c>
      <c r="BP329">
        <f t="shared" si="2082"/>
        <v>0</v>
      </c>
      <c r="BQ329">
        <f t="shared" si="2082"/>
        <v>0</v>
      </c>
      <c r="BR329">
        <f t="shared" si="2082"/>
        <v>0</v>
      </c>
      <c r="BS329">
        <f t="shared" si="2082"/>
        <v>0</v>
      </c>
      <c r="BT329">
        <f t="shared" si="2082"/>
        <v>0</v>
      </c>
      <c r="BU329">
        <f t="shared" ref="BU329:CD329" si="2083">IF(BU$230,CP224,0)</f>
        <v>0</v>
      </c>
      <c r="BV329">
        <f t="shared" si="2083"/>
        <v>0</v>
      </c>
      <c r="BW329">
        <f t="shared" si="2083"/>
        <v>0</v>
      </c>
      <c r="BX329">
        <f t="shared" si="2083"/>
        <v>0</v>
      </c>
      <c r="BY329">
        <f t="shared" si="2083"/>
        <v>0</v>
      </c>
      <c r="BZ329">
        <f t="shared" si="2083"/>
        <v>0</v>
      </c>
      <c r="CA329">
        <f t="shared" si="2083"/>
        <v>0</v>
      </c>
      <c r="CB329">
        <f t="shared" si="2083"/>
        <v>0</v>
      </c>
      <c r="CC329">
        <f t="shared" si="2083"/>
        <v>0</v>
      </c>
      <c r="CD329">
        <f t="shared" si="2083"/>
        <v>0</v>
      </c>
      <c r="CE329">
        <f t="shared" si="1856"/>
        <v>0</v>
      </c>
      <c r="CF329">
        <f t="shared" si="1857"/>
        <v>0</v>
      </c>
      <c r="CG329">
        <f t="shared" si="1858"/>
        <v>0</v>
      </c>
      <c r="CH329">
        <f t="shared" si="1859"/>
        <v>0</v>
      </c>
      <c r="CI329">
        <f t="shared" si="1860"/>
        <v>0</v>
      </c>
      <c r="CJ329">
        <f t="shared" si="1993"/>
        <v>0</v>
      </c>
      <c r="CK329">
        <f t="shared" si="1892"/>
        <v>0</v>
      </c>
      <c r="CL329">
        <f t="shared" si="1861"/>
        <v>0</v>
      </c>
      <c r="CM329">
        <f t="shared" si="1862"/>
        <v>0</v>
      </c>
      <c r="CN329">
        <f t="shared" si="1863"/>
        <v>0</v>
      </c>
      <c r="CO329">
        <f t="shared" ref="CO329:CX329" si="2084">IF(CO$230,CP224,0)</f>
        <v>0</v>
      </c>
      <c r="CP329">
        <f t="shared" si="2084"/>
        <v>0</v>
      </c>
      <c r="CQ329">
        <f t="shared" si="2084"/>
        <v>0</v>
      </c>
      <c r="CR329">
        <f t="shared" si="2084"/>
        <v>0</v>
      </c>
      <c r="CS329">
        <f t="shared" si="2084"/>
        <v>0</v>
      </c>
      <c r="CT329">
        <f t="shared" si="2084"/>
        <v>0</v>
      </c>
      <c r="CU329">
        <f t="shared" si="2084"/>
        <v>0</v>
      </c>
      <c r="CV329">
        <f t="shared" si="2084"/>
        <v>0</v>
      </c>
      <c r="CW329">
        <f t="shared" si="2084"/>
        <v>0</v>
      </c>
      <c r="CX329">
        <f t="shared" si="2084"/>
        <v>0</v>
      </c>
      <c r="CY329">
        <f t="shared" si="1865"/>
        <v>0</v>
      </c>
      <c r="CZ329">
        <f t="shared" si="1866"/>
        <v>0</v>
      </c>
      <c r="DA329">
        <f t="shared" si="1867"/>
        <v>0</v>
      </c>
      <c r="DB329">
        <f t="shared" si="1868"/>
        <v>0</v>
      </c>
      <c r="DC329">
        <f t="shared" si="1869"/>
        <v>0</v>
      </c>
      <c r="DD329">
        <f t="shared" si="1870"/>
        <v>0</v>
      </c>
      <c r="DE329">
        <f t="shared" si="1871"/>
        <v>0</v>
      </c>
      <c r="DF329">
        <f t="shared" si="1872"/>
        <v>0</v>
      </c>
      <c r="DG329">
        <f t="shared" si="1873"/>
        <v>0</v>
      </c>
      <c r="DH329">
        <f t="shared" si="1874"/>
        <v>0</v>
      </c>
      <c r="DI329">
        <f t="shared" si="1875"/>
        <v>0</v>
      </c>
      <c r="DJ329">
        <f t="shared" si="1876"/>
        <v>0</v>
      </c>
      <c r="DK329">
        <f t="shared" si="1877"/>
        <v>0</v>
      </c>
      <c r="DL329">
        <f t="shared" si="1878"/>
        <v>0</v>
      </c>
      <c r="DM329">
        <f t="shared" si="1879"/>
        <v>0</v>
      </c>
      <c r="DN329">
        <f t="shared" si="1880"/>
        <v>0</v>
      </c>
      <c r="DO329">
        <f t="shared" si="1881"/>
        <v>0</v>
      </c>
      <c r="DP329">
        <f t="shared" si="1882"/>
        <v>0</v>
      </c>
      <c r="DQ329">
        <f t="shared" si="1883"/>
        <v>0</v>
      </c>
      <c r="DR329">
        <f t="shared" si="1884"/>
        <v>0</v>
      </c>
      <c r="DT329" s="77"/>
      <c r="DU329" s="8" t="str">
        <f>Hidden!$CG9</f>
        <v/>
      </c>
      <c r="DV329">
        <f t="shared" si="2053"/>
        <v>0</v>
      </c>
      <c r="DW329">
        <f t="shared" si="2054"/>
        <v>0</v>
      </c>
      <c r="DX329">
        <f t="shared" si="2055"/>
        <v>0</v>
      </c>
      <c r="DY329">
        <f t="shared" si="2056"/>
        <v>0</v>
      </c>
      <c r="DZ329">
        <f t="shared" si="2057"/>
        <v>0</v>
      </c>
      <c r="EA329">
        <f t="shared" si="2058"/>
        <v>0</v>
      </c>
      <c r="EB329">
        <f t="shared" si="2059"/>
        <v>0</v>
      </c>
      <c r="EC329">
        <f t="shared" si="2060"/>
        <v>0</v>
      </c>
      <c r="ED329">
        <f t="shared" si="2061"/>
        <v>0</v>
      </c>
      <c r="EE329">
        <f t="shared" si="2062"/>
        <v>0</v>
      </c>
      <c r="EF329">
        <f t="shared" si="2063"/>
        <v>0</v>
      </c>
      <c r="EG329">
        <f t="shared" si="2064"/>
        <v>0</v>
      </c>
    </row>
    <row r="330" spans="1:137" x14ac:dyDescent="0.2">
      <c r="A330" s="8" t="str">
        <f t="shared" si="1821"/>
        <v/>
      </c>
      <c r="B330" s="8">
        <f t="shared" si="1822"/>
        <v>0</v>
      </c>
      <c r="C330" s="8">
        <f t="shared" si="1823"/>
        <v>0</v>
      </c>
      <c r="D330" s="8">
        <f t="shared" si="1824"/>
        <v>0</v>
      </c>
      <c r="E330" s="8">
        <f t="shared" si="1988"/>
        <v>0</v>
      </c>
      <c r="F330" s="8">
        <f t="shared" si="1887"/>
        <v>0</v>
      </c>
      <c r="G330" s="8">
        <f t="shared" si="1929"/>
        <v>0</v>
      </c>
      <c r="H330" s="8">
        <f t="shared" si="1930"/>
        <v>0</v>
      </c>
      <c r="I330" s="8">
        <f t="shared" si="1931"/>
        <v>0</v>
      </c>
      <c r="J330" s="8">
        <f t="shared" si="1932"/>
        <v>0</v>
      </c>
      <c r="K330" s="8">
        <f t="shared" si="1933"/>
        <v>0</v>
      </c>
      <c r="L330">
        <f t="shared" si="1825"/>
        <v>0</v>
      </c>
      <c r="M330">
        <f t="shared" si="1826"/>
        <v>0</v>
      </c>
      <c r="N330">
        <f t="shared" si="1827"/>
        <v>0</v>
      </c>
      <c r="O330">
        <f t="shared" si="1828"/>
        <v>0</v>
      </c>
      <c r="P330">
        <f t="shared" si="1829"/>
        <v>0</v>
      </c>
      <c r="Q330">
        <f t="shared" si="1830"/>
        <v>0</v>
      </c>
      <c r="R330">
        <f t="shared" si="1831"/>
        <v>0</v>
      </c>
      <c r="S330">
        <f t="shared" si="1832"/>
        <v>0</v>
      </c>
      <c r="T330">
        <f t="shared" si="1833"/>
        <v>0</v>
      </c>
      <c r="U330">
        <f t="shared" si="1834"/>
        <v>0</v>
      </c>
      <c r="V330">
        <f>IF(V$230,LandEmiss!AF225,0)</f>
        <v>0</v>
      </c>
      <c r="W330">
        <f>IF(W$230,LandEmiss!AG225,0)</f>
        <v>0</v>
      </c>
      <c r="X330">
        <f>IF(X$230,LandEmiss!AH225,0)</f>
        <v>0</v>
      </c>
      <c r="Y330">
        <f>IF(Y$230,LandEmiss!AI225,0)</f>
        <v>0</v>
      </c>
      <c r="Z330">
        <f>IF(Z$230,LandEmiss!AJ225,0)</f>
        <v>0</v>
      </c>
      <c r="AA330">
        <f>IF(AA$230,LandEmiss!AK225,0)</f>
        <v>0</v>
      </c>
      <c r="AB330">
        <f>IF(AB$230,LandEmiss!AL225,0)</f>
        <v>0</v>
      </c>
      <c r="AC330">
        <f>IF(AC$230,LandEmiss!AM225,0)</f>
        <v>0</v>
      </c>
      <c r="AD330">
        <f>IF(AD$230,LandEmiss!AN225,0)</f>
        <v>0</v>
      </c>
      <c r="AE330">
        <f>IF(AE$230,LandEmiss!AO225,0)</f>
        <v>0</v>
      </c>
      <c r="AF330">
        <f t="shared" ref="AF330:AO330" si="2085">IF(AF$230,AF225,0)</f>
        <v>0</v>
      </c>
      <c r="AG330">
        <f t="shared" si="2085"/>
        <v>0</v>
      </c>
      <c r="AH330">
        <f t="shared" si="2085"/>
        <v>0</v>
      </c>
      <c r="AI330">
        <f t="shared" si="2085"/>
        <v>0</v>
      </c>
      <c r="AJ330">
        <f t="shared" si="2085"/>
        <v>0</v>
      </c>
      <c r="AK330">
        <f t="shared" si="2085"/>
        <v>0</v>
      </c>
      <c r="AL330">
        <f t="shared" si="2085"/>
        <v>0</v>
      </c>
      <c r="AM330">
        <f t="shared" si="2085"/>
        <v>0</v>
      </c>
      <c r="AN330">
        <f t="shared" si="2085"/>
        <v>0</v>
      </c>
      <c r="AO330">
        <f t="shared" si="2085"/>
        <v>0</v>
      </c>
      <c r="AP330">
        <f t="shared" si="1836"/>
        <v>0</v>
      </c>
      <c r="AQ330">
        <f t="shared" si="1837"/>
        <v>0</v>
      </c>
      <c r="AR330">
        <f t="shared" si="1838"/>
        <v>0</v>
      </c>
      <c r="AS330">
        <f t="shared" si="1839"/>
        <v>0</v>
      </c>
      <c r="AT330">
        <f t="shared" si="1840"/>
        <v>0</v>
      </c>
      <c r="AU330">
        <f t="shared" si="1841"/>
        <v>0</v>
      </c>
      <c r="AV330">
        <f t="shared" si="1842"/>
        <v>0</v>
      </c>
      <c r="AW330">
        <f t="shared" si="1843"/>
        <v>0</v>
      </c>
      <c r="AX330">
        <f t="shared" si="1844"/>
        <v>0</v>
      </c>
      <c r="AY330">
        <f t="shared" si="1845"/>
        <v>0</v>
      </c>
      <c r="AZ330">
        <f t="shared" si="1846"/>
        <v>0</v>
      </c>
      <c r="BA330">
        <f t="shared" si="1847"/>
        <v>0</v>
      </c>
      <c r="BB330">
        <f t="shared" si="1848"/>
        <v>0</v>
      </c>
      <c r="BC330">
        <f t="shared" si="1849"/>
        <v>0</v>
      </c>
      <c r="BD330">
        <f t="shared" si="1850"/>
        <v>0</v>
      </c>
      <c r="BE330">
        <f t="shared" si="1851"/>
        <v>0</v>
      </c>
      <c r="BF330">
        <f t="shared" si="1852"/>
        <v>0</v>
      </c>
      <c r="BG330">
        <f t="shared" si="1853"/>
        <v>0</v>
      </c>
      <c r="BH330">
        <f t="shared" si="1990"/>
        <v>0</v>
      </c>
      <c r="BI330">
        <f t="shared" si="1889"/>
        <v>0</v>
      </c>
      <c r="BJ330" s="8" t="str">
        <f>Hidden!$CC101</f>
        <v/>
      </c>
      <c r="BK330">
        <f t="shared" ref="BK330:BT330" si="2086">IF(BK$230,CP225,0)</f>
        <v>0</v>
      </c>
      <c r="BL330">
        <f t="shared" si="2086"/>
        <v>0</v>
      </c>
      <c r="BM330">
        <f t="shared" si="2086"/>
        <v>0</v>
      </c>
      <c r="BN330">
        <f t="shared" si="2086"/>
        <v>0</v>
      </c>
      <c r="BO330">
        <f t="shared" si="2086"/>
        <v>0</v>
      </c>
      <c r="BP330">
        <f t="shared" si="2086"/>
        <v>0</v>
      </c>
      <c r="BQ330">
        <f t="shared" si="2086"/>
        <v>0</v>
      </c>
      <c r="BR330">
        <f t="shared" si="2086"/>
        <v>0</v>
      </c>
      <c r="BS330">
        <f t="shared" si="2086"/>
        <v>0</v>
      </c>
      <c r="BT330">
        <f t="shared" si="2086"/>
        <v>0</v>
      </c>
      <c r="BU330">
        <f t="shared" ref="BU330:CD330" si="2087">IF(BU$230,CP225,0)</f>
        <v>0</v>
      </c>
      <c r="BV330">
        <f t="shared" si="2087"/>
        <v>0</v>
      </c>
      <c r="BW330">
        <f t="shared" si="2087"/>
        <v>0</v>
      </c>
      <c r="BX330">
        <f t="shared" si="2087"/>
        <v>0</v>
      </c>
      <c r="BY330">
        <f t="shared" si="2087"/>
        <v>0</v>
      </c>
      <c r="BZ330">
        <f t="shared" si="2087"/>
        <v>0</v>
      </c>
      <c r="CA330">
        <f t="shared" si="2087"/>
        <v>0</v>
      </c>
      <c r="CB330">
        <f t="shared" si="2087"/>
        <v>0</v>
      </c>
      <c r="CC330">
        <f t="shared" si="2087"/>
        <v>0</v>
      </c>
      <c r="CD330">
        <f t="shared" si="2087"/>
        <v>0</v>
      </c>
      <c r="CE330">
        <f t="shared" si="1856"/>
        <v>0</v>
      </c>
      <c r="CF330">
        <f t="shared" si="1857"/>
        <v>0</v>
      </c>
      <c r="CG330">
        <f t="shared" si="1858"/>
        <v>0</v>
      </c>
      <c r="CH330">
        <f t="shared" si="1859"/>
        <v>0</v>
      </c>
      <c r="CI330">
        <f t="shared" si="1860"/>
        <v>0</v>
      </c>
      <c r="CJ330">
        <f t="shared" si="1993"/>
        <v>0</v>
      </c>
      <c r="CK330">
        <f t="shared" si="1892"/>
        <v>0</v>
      </c>
      <c r="CL330">
        <f t="shared" si="1861"/>
        <v>0</v>
      </c>
      <c r="CM330">
        <f t="shared" si="1862"/>
        <v>0</v>
      </c>
      <c r="CN330">
        <f t="shared" si="1863"/>
        <v>0</v>
      </c>
      <c r="CO330">
        <f t="shared" ref="CO330:CX330" si="2088">IF(CO$230,CP225,0)</f>
        <v>0</v>
      </c>
      <c r="CP330">
        <f t="shared" si="2088"/>
        <v>0</v>
      </c>
      <c r="CQ330">
        <f t="shared" si="2088"/>
        <v>0</v>
      </c>
      <c r="CR330">
        <f t="shared" si="2088"/>
        <v>0</v>
      </c>
      <c r="CS330">
        <f t="shared" si="2088"/>
        <v>0</v>
      </c>
      <c r="CT330">
        <f t="shared" si="2088"/>
        <v>0</v>
      </c>
      <c r="CU330">
        <f t="shared" si="2088"/>
        <v>0</v>
      </c>
      <c r="CV330">
        <f t="shared" si="2088"/>
        <v>0</v>
      </c>
      <c r="CW330">
        <f t="shared" si="2088"/>
        <v>0</v>
      </c>
      <c r="CX330">
        <f t="shared" si="2088"/>
        <v>0</v>
      </c>
      <c r="CY330">
        <f t="shared" si="1865"/>
        <v>0</v>
      </c>
      <c r="CZ330">
        <f t="shared" si="1866"/>
        <v>0</v>
      </c>
      <c r="DA330">
        <f t="shared" si="1867"/>
        <v>0</v>
      </c>
      <c r="DB330">
        <f t="shared" si="1868"/>
        <v>0</v>
      </c>
      <c r="DC330">
        <f t="shared" si="1869"/>
        <v>0</v>
      </c>
      <c r="DD330">
        <f t="shared" si="1870"/>
        <v>0</v>
      </c>
      <c r="DE330">
        <f t="shared" si="1871"/>
        <v>0</v>
      </c>
      <c r="DF330">
        <f t="shared" si="1872"/>
        <v>0</v>
      </c>
      <c r="DG330">
        <f t="shared" si="1873"/>
        <v>0</v>
      </c>
      <c r="DH330">
        <f t="shared" si="1874"/>
        <v>0</v>
      </c>
      <c r="DI330">
        <f t="shared" si="1875"/>
        <v>0</v>
      </c>
      <c r="DJ330">
        <f t="shared" si="1876"/>
        <v>0</v>
      </c>
      <c r="DK330">
        <f t="shared" si="1877"/>
        <v>0</v>
      </c>
      <c r="DL330">
        <f t="shared" si="1878"/>
        <v>0</v>
      </c>
      <c r="DM330">
        <f t="shared" si="1879"/>
        <v>0</v>
      </c>
      <c r="DN330">
        <f t="shared" si="1880"/>
        <v>0</v>
      </c>
      <c r="DO330">
        <f t="shared" si="1881"/>
        <v>0</v>
      </c>
      <c r="DP330">
        <f t="shared" si="1882"/>
        <v>0</v>
      </c>
      <c r="DQ330">
        <f t="shared" si="1883"/>
        <v>0</v>
      </c>
      <c r="DR330">
        <f t="shared" si="1884"/>
        <v>0</v>
      </c>
      <c r="DT330" s="77"/>
      <c r="DU330" s="8" t="str">
        <f>Hidden!$CG10</f>
        <v/>
      </c>
      <c r="DV330">
        <f t="shared" si="2053"/>
        <v>0</v>
      </c>
      <c r="DW330">
        <f t="shared" si="2054"/>
        <v>0</v>
      </c>
      <c r="DX330">
        <f t="shared" si="2055"/>
        <v>0</v>
      </c>
      <c r="DY330">
        <f t="shared" si="2056"/>
        <v>0</v>
      </c>
      <c r="DZ330">
        <f t="shared" si="2057"/>
        <v>0</v>
      </c>
      <c r="EA330">
        <f t="shared" si="2058"/>
        <v>0</v>
      </c>
      <c r="EB330">
        <f t="shared" si="2059"/>
        <v>0</v>
      </c>
      <c r="EC330">
        <f t="shared" si="2060"/>
        <v>0</v>
      </c>
      <c r="ED330">
        <f t="shared" si="2061"/>
        <v>0</v>
      </c>
      <c r="EE330">
        <f t="shared" si="2062"/>
        <v>0</v>
      </c>
      <c r="EF330">
        <f t="shared" si="2063"/>
        <v>0</v>
      </c>
      <c r="EG330">
        <f t="shared" si="2064"/>
        <v>0</v>
      </c>
    </row>
    <row r="331" spans="1:137" ht="15" thickBot="1" x14ac:dyDescent="0.25">
      <c r="A331" s="8" t="str">
        <f t="shared" si="1821"/>
        <v/>
      </c>
      <c r="B331" s="8">
        <f t="shared" si="1822"/>
        <v>0</v>
      </c>
      <c r="C331" s="8">
        <f t="shared" si="1823"/>
        <v>0</v>
      </c>
      <c r="D331" s="8">
        <f t="shared" si="1824"/>
        <v>0</v>
      </c>
      <c r="E331" s="8">
        <f t="shared" si="1988"/>
        <v>0</v>
      </c>
      <c r="F331" s="8">
        <f t="shared" si="1887"/>
        <v>0</v>
      </c>
      <c r="G331" s="8">
        <f t="shared" si="1929"/>
        <v>0</v>
      </c>
      <c r="H331" s="8">
        <f t="shared" si="1930"/>
        <v>0</v>
      </c>
      <c r="I331" s="8">
        <f t="shared" si="1931"/>
        <v>0</v>
      </c>
      <c r="J331" s="8">
        <f t="shared" si="1932"/>
        <v>0</v>
      </c>
      <c r="K331" s="8">
        <f t="shared" si="1933"/>
        <v>0</v>
      </c>
      <c r="L331">
        <f t="shared" si="1825"/>
        <v>0</v>
      </c>
      <c r="M331">
        <f t="shared" si="1826"/>
        <v>0</v>
      </c>
      <c r="N331">
        <f t="shared" si="1827"/>
        <v>0</v>
      </c>
      <c r="O331">
        <f t="shared" si="1828"/>
        <v>0</v>
      </c>
      <c r="P331">
        <f t="shared" si="1829"/>
        <v>0</v>
      </c>
      <c r="Q331">
        <f t="shared" si="1830"/>
        <v>0</v>
      </c>
      <c r="R331">
        <f t="shared" si="1831"/>
        <v>0</v>
      </c>
      <c r="S331">
        <f t="shared" si="1832"/>
        <v>0</v>
      </c>
      <c r="T331">
        <f t="shared" si="1833"/>
        <v>0</v>
      </c>
      <c r="U331">
        <f t="shared" si="1834"/>
        <v>0</v>
      </c>
      <c r="V331">
        <f>IF(V$230,LandEmiss!AF226,0)</f>
        <v>0</v>
      </c>
      <c r="W331">
        <f>IF(W$230,LandEmiss!AG226,0)</f>
        <v>0</v>
      </c>
      <c r="X331">
        <f>IF(X$230,LandEmiss!AH226,0)</f>
        <v>0</v>
      </c>
      <c r="Y331">
        <f>IF(Y$230,LandEmiss!AI226,0)</f>
        <v>0</v>
      </c>
      <c r="Z331">
        <f>IF(Z$230,LandEmiss!AJ226,0)</f>
        <v>0</v>
      </c>
      <c r="AA331">
        <f>IF(AA$230,LandEmiss!AK226,0)</f>
        <v>0</v>
      </c>
      <c r="AB331">
        <f>IF(AB$230,LandEmiss!AL226,0)</f>
        <v>0</v>
      </c>
      <c r="AC331">
        <f>IF(AC$230,LandEmiss!AM226,0)</f>
        <v>0</v>
      </c>
      <c r="AD331">
        <f>IF(AD$230,LandEmiss!AN226,0)</f>
        <v>0</v>
      </c>
      <c r="AE331">
        <f>IF(AE$230,LandEmiss!AO226,0)</f>
        <v>0</v>
      </c>
      <c r="AF331">
        <f t="shared" ref="AF331:AO331" si="2089">IF(AF$230,AF226,0)</f>
        <v>0</v>
      </c>
      <c r="AG331">
        <f t="shared" si="2089"/>
        <v>0</v>
      </c>
      <c r="AH331">
        <f t="shared" si="2089"/>
        <v>0</v>
      </c>
      <c r="AI331">
        <f t="shared" si="2089"/>
        <v>0</v>
      </c>
      <c r="AJ331">
        <f t="shared" si="2089"/>
        <v>0</v>
      </c>
      <c r="AK331">
        <f t="shared" si="2089"/>
        <v>0</v>
      </c>
      <c r="AL331">
        <f t="shared" si="2089"/>
        <v>0</v>
      </c>
      <c r="AM331">
        <f t="shared" si="2089"/>
        <v>0</v>
      </c>
      <c r="AN331">
        <f t="shared" si="2089"/>
        <v>0</v>
      </c>
      <c r="AO331">
        <f t="shared" si="2089"/>
        <v>0</v>
      </c>
      <c r="AP331">
        <f t="shared" si="1836"/>
        <v>0</v>
      </c>
      <c r="AQ331">
        <f t="shared" si="1837"/>
        <v>0</v>
      </c>
      <c r="AR331">
        <f t="shared" si="1838"/>
        <v>0</v>
      </c>
      <c r="AS331">
        <f t="shared" si="1839"/>
        <v>0</v>
      </c>
      <c r="AT331">
        <f t="shared" si="1840"/>
        <v>0</v>
      </c>
      <c r="AU331">
        <f t="shared" si="1841"/>
        <v>0</v>
      </c>
      <c r="AV331">
        <f t="shared" si="1842"/>
        <v>0</v>
      </c>
      <c r="AW331">
        <f t="shared" si="1843"/>
        <v>0</v>
      </c>
      <c r="AX331">
        <f t="shared" si="1844"/>
        <v>0</v>
      </c>
      <c r="AY331">
        <f t="shared" si="1845"/>
        <v>0</v>
      </c>
      <c r="AZ331">
        <f t="shared" si="1846"/>
        <v>0</v>
      </c>
      <c r="BA331">
        <f t="shared" si="1847"/>
        <v>0</v>
      </c>
      <c r="BB331">
        <f t="shared" si="1848"/>
        <v>0</v>
      </c>
      <c r="BC331">
        <f t="shared" si="1849"/>
        <v>0</v>
      </c>
      <c r="BD331">
        <f t="shared" si="1850"/>
        <v>0</v>
      </c>
      <c r="BE331">
        <f t="shared" si="1851"/>
        <v>0</v>
      </c>
      <c r="BF331">
        <f t="shared" si="1852"/>
        <v>0</v>
      </c>
      <c r="BG331">
        <f t="shared" si="1853"/>
        <v>0</v>
      </c>
      <c r="BH331">
        <f t="shared" si="1990"/>
        <v>0</v>
      </c>
      <c r="BI331">
        <f t="shared" si="1889"/>
        <v>0</v>
      </c>
      <c r="BJ331" s="8" t="str">
        <f>Hidden!$CC102</f>
        <v/>
      </c>
      <c r="BK331">
        <f t="shared" ref="BK331:BT331" si="2090">IF(BK$230,CP226,0)</f>
        <v>0</v>
      </c>
      <c r="BL331">
        <f t="shared" si="2090"/>
        <v>0</v>
      </c>
      <c r="BM331">
        <f t="shared" si="2090"/>
        <v>0</v>
      </c>
      <c r="BN331">
        <f t="shared" si="2090"/>
        <v>0</v>
      </c>
      <c r="BO331">
        <f t="shared" si="2090"/>
        <v>0</v>
      </c>
      <c r="BP331">
        <f t="shared" si="2090"/>
        <v>0</v>
      </c>
      <c r="BQ331">
        <f t="shared" si="2090"/>
        <v>0</v>
      </c>
      <c r="BR331">
        <f t="shared" si="2090"/>
        <v>0</v>
      </c>
      <c r="BS331">
        <f t="shared" si="2090"/>
        <v>0</v>
      </c>
      <c r="BT331">
        <f t="shared" si="2090"/>
        <v>0</v>
      </c>
      <c r="BU331">
        <f t="shared" ref="BU331:CD331" si="2091">IF(BU$230,CP226,0)</f>
        <v>0</v>
      </c>
      <c r="BV331">
        <f t="shared" si="2091"/>
        <v>0</v>
      </c>
      <c r="BW331">
        <f t="shared" si="2091"/>
        <v>0</v>
      </c>
      <c r="BX331">
        <f t="shared" si="2091"/>
        <v>0</v>
      </c>
      <c r="BY331">
        <f t="shared" si="2091"/>
        <v>0</v>
      </c>
      <c r="BZ331">
        <f t="shared" si="2091"/>
        <v>0</v>
      </c>
      <c r="CA331">
        <f t="shared" si="2091"/>
        <v>0</v>
      </c>
      <c r="CB331">
        <f t="shared" si="2091"/>
        <v>0</v>
      </c>
      <c r="CC331">
        <f t="shared" si="2091"/>
        <v>0</v>
      </c>
      <c r="CD331">
        <f t="shared" si="2091"/>
        <v>0</v>
      </c>
      <c r="CE331">
        <f t="shared" si="1856"/>
        <v>0</v>
      </c>
      <c r="CF331">
        <f t="shared" si="1857"/>
        <v>0</v>
      </c>
      <c r="CG331">
        <f t="shared" si="1858"/>
        <v>0</v>
      </c>
      <c r="CH331">
        <f t="shared" si="1859"/>
        <v>0</v>
      </c>
      <c r="CI331">
        <f t="shared" si="1860"/>
        <v>0</v>
      </c>
      <c r="CJ331">
        <f t="shared" si="1993"/>
        <v>0</v>
      </c>
      <c r="CK331">
        <f t="shared" si="1892"/>
        <v>0</v>
      </c>
      <c r="CL331">
        <f t="shared" si="1861"/>
        <v>0</v>
      </c>
      <c r="CM331">
        <f t="shared" si="1862"/>
        <v>0</v>
      </c>
      <c r="CN331">
        <f t="shared" si="1863"/>
        <v>0</v>
      </c>
      <c r="CO331">
        <f t="shared" ref="CO331:CX331" si="2092">IF(CO$230,CP226,0)</f>
        <v>0</v>
      </c>
      <c r="CP331">
        <f t="shared" si="2092"/>
        <v>0</v>
      </c>
      <c r="CQ331">
        <f t="shared" si="2092"/>
        <v>0</v>
      </c>
      <c r="CR331">
        <f t="shared" si="2092"/>
        <v>0</v>
      </c>
      <c r="CS331">
        <f t="shared" si="2092"/>
        <v>0</v>
      </c>
      <c r="CT331">
        <f t="shared" si="2092"/>
        <v>0</v>
      </c>
      <c r="CU331">
        <f t="shared" si="2092"/>
        <v>0</v>
      </c>
      <c r="CV331">
        <f t="shared" si="2092"/>
        <v>0</v>
      </c>
      <c r="CW331">
        <f t="shared" si="2092"/>
        <v>0</v>
      </c>
      <c r="CX331">
        <f t="shared" si="2092"/>
        <v>0</v>
      </c>
      <c r="CY331">
        <f t="shared" si="1865"/>
        <v>0</v>
      </c>
      <c r="CZ331">
        <f t="shared" si="1866"/>
        <v>0</v>
      </c>
      <c r="DA331">
        <f t="shared" si="1867"/>
        <v>0</v>
      </c>
      <c r="DB331">
        <f t="shared" si="1868"/>
        <v>0</v>
      </c>
      <c r="DC331">
        <f t="shared" si="1869"/>
        <v>0</v>
      </c>
      <c r="DD331">
        <f t="shared" si="1870"/>
        <v>0</v>
      </c>
      <c r="DE331">
        <f t="shared" si="1871"/>
        <v>0</v>
      </c>
      <c r="DF331">
        <f t="shared" si="1872"/>
        <v>0</v>
      </c>
      <c r="DG331">
        <f t="shared" si="1873"/>
        <v>0</v>
      </c>
      <c r="DH331">
        <f t="shared" si="1874"/>
        <v>0</v>
      </c>
      <c r="DI331">
        <f t="shared" si="1875"/>
        <v>0</v>
      </c>
      <c r="DJ331">
        <f t="shared" si="1876"/>
        <v>0</v>
      </c>
      <c r="DK331">
        <f t="shared" si="1877"/>
        <v>0</v>
      </c>
      <c r="DL331">
        <f t="shared" si="1878"/>
        <v>0</v>
      </c>
      <c r="DM331">
        <f t="shared" si="1879"/>
        <v>0</v>
      </c>
      <c r="DN331">
        <f t="shared" si="1880"/>
        <v>0</v>
      </c>
      <c r="DO331">
        <f t="shared" si="1881"/>
        <v>0</v>
      </c>
      <c r="DP331">
        <f t="shared" si="1882"/>
        <v>0</v>
      </c>
      <c r="DQ331">
        <f t="shared" si="1883"/>
        <v>0</v>
      </c>
      <c r="DR331">
        <f t="shared" si="1884"/>
        <v>0</v>
      </c>
      <c r="DT331" s="77"/>
      <c r="DU331" s="8" t="str">
        <f>Hidden!$CG11</f>
        <v/>
      </c>
      <c r="DV331">
        <f t="shared" si="2053"/>
        <v>0</v>
      </c>
      <c r="DW331">
        <f t="shared" si="2054"/>
        <v>0</v>
      </c>
      <c r="DX331">
        <f t="shared" si="2055"/>
        <v>0</v>
      </c>
      <c r="DY331">
        <f t="shared" si="2056"/>
        <v>0</v>
      </c>
      <c r="DZ331">
        <f t="shared" si="2057"/>
        <v>0</v>
      </c>
      <c r="EA331">
        <f t="shared" si="2058"/>
        <v>0</v>
      </c>
      <c r="EB331">
        <f t="shared" si="2059"/>
        <v>0</v>
      </c>
      <c r="EC331">
        <f t="shared" si="2060"/>
        <v>0</v>
      </c>
      <c r="ED331">
        <f t="shared" si="2061"/>
        <v>0</v>
      </c>
      <c r="EE331">
        <f t="shared" si="2062"/>
        <v>0</v>
      </c>
      <c r="EF331">
        <f t="shared" si="2063"/>
        <v>0</v>
      </c>
      <c r="EG331">
        <f t="shared" si="2064"/>
        <v>0</v>
      </c>
    </row>
    <row r="332" spans="1:137" ht="15.75" thickBot="1" x14ac:dyDescent="0.25">
      <c r="A332" s="479" t="s">
        <v>9756</v>
      </c>
      <c r="B332" s="479"/>
      <c r="C332" s="479"/>
      <c r="D332" s="479"/>
      <c r="E332" s="479"/>
      <c r="F332" s="479"/>
      <c r="G332" s="479"/>
      <c r="H332" s="479"/>
      <c r="I332" s="479"/>
      <c r="J332" s="479"/>
      <c r="K332" s="479"/>
      <c r="L332" s="479"/>
      <c r="M332" s="479"/>
      <c r="N332" s="479"/>
      <c r="O332" s="479"/>
      <c r="P332" s="479"/>
      <c r="Q332" s="479"/>
      <c r="R332" s="479"/>
      <c r="S332" s="479"/>
      <c r="T332" s="479"/>
      <c r="U332" s="479"/>
      <c r="V332" s="479"/>
      <c r="W332" s="479"/>
      <c r="X332" s="479"/>
      <c r="Y332" s="479"/>
      <c r="Z332" s="479"/>
      <c r="AA332" s="479"/>
      <c r="AB332" s="479"/>
      <c r="AC332" s="479"/>
      <c r="AD332" s="479"/>
      <c r="AE332" s="479"/>
      <c r="AF332" s="479"/>
      <c r="AG332" s="479"/>
      <c r="AH332" s="479"/>
      <c r="AI332" s="479"/>
      <c r="AJ332" s="479"/>
      <c r="AK332" s="479"/>
      <c r="AL332" s="479"/>
      <c r="AM332" s="479"/>
      <c r="AN332" s="479"/>
      <c r="AO332" s="479"/>
      <c r="AP332" s="479"/>
      <c r="AQ332" s="479"/>
      <c r="AR332" s="479"/>
      <c r="AS332" s="479"/>
      <c r="AT332" s="479"/>
      <c r="AU332" s="479"/>
      <c r="AV332" s="479"/>
      <c r="AW332" s="479"/>
      <c r="AX332" s="479"/>
      <c r="AY332" s="479"/>
      <c r="AZ332" s="479"/>
      <c r="BA332" s="479"/>
      <c r="BB332" s="479"/>
      <c r="BC332" s="479"/>
      <c r="BD332" s="479"/>
      <c r="BE332" s="479"/>
      <c r="BF332" s="479"/>
      <c r="BG332" s="479"/>
      <c r="BH332" s="479"/>
      <c r="BI332" s="479"/>
      <c r="BJ332" s="479" t="s">
        <v>9976</v>
      </c>
      <c r="BK332" s="479"/>
      <c r="BL332" s="479"/>
      <c r="BM332" s="479"/>
      <c r="BN332" s="479"/>
      <c r="BO332" s="479"/>
      <c r="BP332" s="479"/>
      <c r="BQ332" s="479"/>
      <c r="BR332" s="479"/>
      <c r="BS332" s="479"/>
      <c r="BT332" s="479"/>
      <c r="BU332" s="479"/>
      <c r="BV332" s="479"/>
      <c r="BW332" s="479"/>
      <c r="BX332" s="479"/>
      <c r="BY332" s="479"/>
      <c r="BZ332" s="479"/>
      <c r="CA332" s="479"/>
      <c r="CB332" s="479"/>
      <c r="CC332" s="479"/>
      <c r="CD332" s="479"/>
      <c r="CE332" s="479"/>
      <c r="CF332" s="479"/>
      <c r="DT332" s="77"/>
      <c r="DU332" s="8" t="str">
        <f>Hidden!$CG12</f>
        <v/>
      </c>
      <c r="DV332">
        <f t="shared" si="2053"/>
        <v>0</v>
      </c>
      <c r="DW332">
        <f t="shared" si="2054"/>
        <v>0</v>
      </c>
      <c r="DX332">
        <f t="shared" si="2055"/>
        <v>0</v>
      </c>
      <c r="DY332">
        <f t="shared" si="2056"/>
        <v>0</v>
      </c>
      <c r="DZ332">
        <f t="shared" si="2057"/>
        <v>0</v>
      </c>
      <c r="EA332">
        <f t="shared" si="2058"/>
        <v>0</v>
      </c>
      <c r="EB332">
        <f t="shared" si="2059"/>
        <v>0</v>
      </c>
      <c r="EC332">
        <f t="shared" si="2060"/>
        <v>0</v>
      </c>
      <c r="ED332">
        <f t="shared" si="2061"/>
        <v>0</v>
      </c>
      <c r="EE332">
        <f t="shared" si="2062"/>
        <v>0</v>
      </c>
      <c r="EF332">
        <f t="shared" si="2063"/>
        <v>0</v>
      </c>
      <c r="EG332">
        <f t="shared" si="2064"/>
        <v>0</v>
      </c>
    </row>
    <row r="333" spans="1:137" ht="28.5" x14ac:dyDescent="0.2">
      <c r="B333" t="s">
        <v>9749</v>
      </c>
      <c r="D333" t="s">
        <v>9750</v>
      </c>
      <c r="F333" t="s">
        <v>9751</v>
      </c>
      <c r="H333" t="s">
        <v>9757</v>
      </c>
      <c r="J333" t="s">
        <v>9280</v>
      </c>
      <c r="L333" t="s">
        <v>9758</v>
      </c>
      <c r="BJ333" s="8"/>
      <c r="BK333" t="s">
        <v>9749</v>
      </c>
      <c r="BM333" t="s">
        <v>9750</v>
      </c>
      <c r="BO333" t="s">
        <v>9751</v>
      </c>
      <c r="BQ333" t="s">
        <v>9757</v>
      </c>
      <c r="BS333" t="s">
        <v>9280</v>
      </c>
      <c r="BU333" t="s">
        <v>9758</v>
      </c>
      <c r="DT333" s="77"/>
      <c r="DU333" s="8" t="str">
        <f>Hidden!$CG13</f>
        <v/>
      </c>
      <c r="DV333">
        <f t="shared" si="2053"/>
        <v>0</v>
      </c>
      <c r="DW333">
        <f t="shared" si="2054"/>
        <v>0</v>
      </c>
      <c r="DX333">
        <f t="shared" si="2055"/>
        <v>0</v>
      </c>
      <c r="DY333">
        <f t="shared" si="2056"/>
        <v>0</v>
      </c>
      <c r="DZ333">
        <f t="shared" si="2057"/>
        <v>0</v>
      </c>
      <c r="EA333">
        <f t="shared" si="2058"/>
        <v>0</v>
      </c>
      <c r="EB333">
        <f t="shared" si="2059"/>
        <v>0</v>
      </c>
      <c r="EC333">
        <f t="shared" si="2060"/>
        <v>0</v>
      </c>
      <c r="ED333">
        <f t="shared" si="2061"/>
        <v>0</v>
      </c>
      <c r="EE333">
        <f t="shared" si="2062"/>
        <v>0</v>
      </c>
      <c r="EF333">
        <f t="shared" si="2063"/>
        <v>0</v>
      </c>
      <c r="EG333">
        <f t="shared" si="2064"/>
        <v>0</v>
      </c>
    </row>
    <row r="334" spans="1:137" x14ac:dyDescent="0.2">
      <c r="A334" t="s">
        <v>9203</v>
      </c>
      <c r="B334" t="s">
        <v>8741</v>
      </c>
      <c r="C334" t="s">
        <v>8742</v>
      </c>
      <c r="D334" t="s">
        <v>8741</v>
      </c>
      <c r="E334" t="s">
        <v>8742</v>
      </c>
      <c r="F334" t="s">
        <v>8741</v>
      </c>
      <c r="G334" t="s">
        <v>8742</v>
      </c>
      <c r="H334" t="s">
        <v>8741</v>
      </c>
      <c r="I334" t="s">
        <v>8742</v>
      </c>
      <c r="J334" t="s">
        <v>8741</v>
      </c>
      <c r="K334" t="s">
        <v>8742</v>
      </c>
      <c r="L334" t="s">
        <v>8741</v>
      </c>
      <c r="M334" t="s">
        <v>8742</v>
      </c>
      <c r="BJ334" s="8" t="s">
        <v>9203</v>
      </c>
      <c r="BK334" t="s">
        <v>8741</v>
      </c>
      <c r="BL334" t="s">
        <v>8742</v>
      </c>
      <c r="BM334" t="s">
        <v>8741</v>
      </c>
      <c r="BN334" t="s">
        <v>8742</v>
      </c>
      <c r="BO334" t="s">
        <v>8741</v>
      </c>
      <c r="BP334" t="s">
        <v>8742</v>
      </c>
      <c r="BQ334" t="s">
        <v>8741</v>
      </c>
      <c r="BR334" t="s">
        <v>8742</v>
      </c>
      <c r="BS334" t="s">
        <v>8741</v>
      </c>
      <c r="BT334" t="s">
        <v>8742</v>
      </c>
      <c r="BU334" t="s">
        <v>8741</v>
      </c>
      <c r="BV334" t="s">
        <v>8742</v>
      </c>
      <c r="DT334" s="77"/>
      <c r="DU334" s="8" t="str">
        <f>Hidden!$CG14</f>
        <v/>
      </c>
      <c r="DV334">
        <f t="shared" si="2053"/>
        <v>0</v>
      </c>
      <c r="DW334">
        <f t="shared" si="2054"/>
        <v>0</v>
      </c>
      <c r="DX334">
        <f t="shared" si="2055"/>
        <v>0</v>
      </c>
      <c r="DY334">
        <f t="shared" si="2056"/>
        <v>0</v>
      </c>
      <c r="DZ334">
        <f t="shared" si="2057"/>
        <v>0</v>
      </c>
      <c r="EA334">
        <f t="shared" si="2058"/>
        <v>0</v>
      </c>
      <c r="EB334">
        <f t="shared" si="2059"/>
        <v>0</v>
      </c>
      <c r="EC334">
        <f t="shared" si="2060"/>
        <v>0</v>
      </c>
      <c r="ED334">
        <f t="shared" si="2061"/>
        <v>0</v>
      </c>
      <c r="EE334">
        <f t="shared" si="2062"/>
        <v>0</v>
      </c>
      <c r="EF334">
        <f t="shared" si="2063"/>
        <v>0</v>
      </c>
      <c r="EG334">
        <f t="shared" si="2064"/>
        <v>0</v>
      </c>
    </row>
    <row r="335" spans="1:137" x14ac:dyDescent="0.2">
      <c r="A335" s="8" t="str">
        <f>$AE20</f>
        <v/>
      </c>
      <c r="B335">
        <f>MAX($B232:$F232)</f>
        <v>0</v>
      </c>
      <c r="C335">
        <f>SUM($G232:$K232)</f>
        <v>0</v>
      </c>
      <c r="D335">
        <f>MAX($L232:$P232)</f>
        <v>0</v>
      </c>
      <c r="E335">
        <f>SUM($Q232:$U232)</f>
        <v>0</v>
      </c>
      <c r="F335">
        <f>MAX($V232:$Z232)</f>
        <v>0</v>
      </c>
      <c r="G335">
        <f>SUM($AA232:$AE232)</f>
        <v>0</v>
      </c>
      <c r="H335">
        <f>MAX($AF232:$AJ232)</f>
        <v>0</v>
      </c>
      <c r="I335">
        <f>SUM($AK232:$AO232)</f>
        <v>0</v>
      </c>
      <c r="J335">
        <f>MAX($AP232:$AT232)</f>
        <v>0</v>
      </c>
      <c r="K335">
        <f>SUM($AU232:$AY232)</f>
        <v>0</v>
      </c>
      <c r="L335">
        <f>MAX($AZ232:$BD232)</f>
        <v>0</v>
      </c>
      <c r="M335">
        <f>SUM($BE232:$BI232)</f>
        <v>0</v>
      </c>
      <c r="BJ335" s="8" t="str">
        <f>Hidden!$CC3</f>
        <v/>
      </c>
      <c r="BK335">
        <f>MAX($BK232:$BO232)</f>
        <v>0</v>
      </c>
      <c r="BL335">
        <f>SUM($BP232:$BT232)</f>
        <v>0</v>
      </c>
      <c r="BM335">
        <f>MAX($BU232:$BY232)</f>
        <v>0</v>
      </c>
      <c r="BN335">
        <f>SUM($BZ232:$CD232)</f>
        <v>0</v>
      </c>
      <c r="BO335">
        <f>MAX($CE232:$CI232)</f>
        <v>0</v>
      </c>
      <c r="BP335">
        <f>SUM($CJ232:$CN232)</f>
        <v>0</v>
      </c>
      <c r="BQ335">
        <f>MAX($CO232:$CS232)</f>
        <v>0</v>
      </c>
      <c r="BR335">
        <f>SUM($CT232:$CX232)</f>
        <v>0</v>
      </c>
      <c r="BS335">
        <f>MAX($CY232:$DC232)</f>
        <v>0</v>
      </c>
      <c r="BT335">
        <f>SUM($DD232:$DH232)</f>
        <v>0</v>
      </c>
      <c r="BU335">
        <f>MAX($DI232:$DM232)</f>
        <v>0</v>
      </c>
      <c r="BV335">
        <f>SUM($DN232:$DR232)</f>
        <v>0</v>
      </c>
      <c r="DT335" s="77"/>
      <c r="DU335" s="8" t="str">
        <f>Hidden!$CG15</f>
        <v/>
      </c>
      <c r="DV335">
        <f t="shared" si="2053"/>
        <v>0</v>
      </c>
      <c r="DW335">
        <f t="shared" si="2054"/>
        <v>0</v>
      </c>
      <c r="DX335">
        <f t="shared" si="2055"/>
        <v>0</v>
      </c>
      <c r="DY335">
        <f t="shared" si="2056"/>
        <v>0</v>
      </c>
      <c r="DZ335">
        <f t="shared" si="2057"/>
        <v>0</v>
      </c>
      <c r="EA335">
        <f t="shared" si="2058"/>
        <v>0</v>
      </c>
      <c r="EB335">
        <f t="shared" si="2059"/>
        <v>0</v>
      </c>
      <c r="EC335">
        <f t="shared" si="2060"/>
        <v>0</v>
      </c>
      <c r="ED335">
        <f t="shared" si="2061"/>
        <v>0</v>
      </c>
      <c r="EE335">
        <f t="shared" si="2062"/>
        <v>0</v>
      </c>
      <c r="EF335">
        <f t="shared" si="2063"/>
        <v>0</v>
      </c>
      <c r="EG335">
        <f t="shared" si="2064"/>
        <v>0</v>
      </c>
    </row>
    <row r="336" spans="1:137" x14ac:dyDescent="0.2">
      <c r="A336" s="8" t="str">
        <f t="shared" ref="A336:A399" si="2093">$AE21</f>
        <v/>
      </c>
      <c r="B336">
        <f t="shared" ref="B336:B399" si="2094">MAX($B233:$F233)</f>
        <v>0</v>
      </c>
      <c r="C336">
        <f t="shared" ref="C336:C399" si="2095">SUM($G233:$K233)</f>
        <v>0</v>
      </c>
      <c r="D336">
        <f t="shared" ref="D336:D399" si="2096">MAX($L233:$P233)</f>
        <v>0</v>
      </c>
      <c r="E336">
        <f t="shared" ref="E336:E399" si="2097">SUM($Q233:$U233)</f>
        <v>0</v>
      </c>
      <c r="F336">
        <f t="shared" ref="F336:F399" si="2098">MAX($V233:$Z233)</f>
        <v>0</v>
      </c>
      <c r="G336">
        <f t="shared" ref="G336:G399" si="2099">SUM($AA233:$AE233)</f>
        <v>0</v>
      </c>
      <c r="H336">
        <f t="shared" ref="H336:H399" si="2100">MAX($AF233:$AJ233)</f>
        <v>0</v>
      </c>
      <c r="I336">
        <f t="shared" ref="I336:I399" si="2101">SUM($AK233:$AO233)</f>
        <v>0</v>
      </c>
      <c r="J336">
        <f t="shared" ref="J336:J399" si="2102">MAX($AP233:$AT233)</f>
        <v>0</v>
      </c>
      <c r="K336">
        <f t="shared" ref="K336:K399" si="2103">SUM($AU233:$AY233)</f>
        <v>0</v>
      </c>
      <c r="L336">
        <f t="shared" ref="L336:L399" si="2104">MAX($AZ233:$BD233)</f>
        <v>0</v>
      </c>
      <c r="M336">
        <f t="shared" ref="M336:M399" si="2105">SUM($BE233:$BI233)</f>
        <v>0</v>
      </c>
      <c r="BJ336" s="8" t="str">
        <f>Hidden!$CC4</f>
        <v/>
      </c>
      <c r="BK336">
        <f t="shared" ref="BK336:BK399" si="2106">MAX($BK233:$BO233)</f>
        <v>0</v>
      </c>
      <c r="BL336">
        <f t="shared" ref="BL336:BL399" si="2107">SUM($BP233:$BT233)</f>
        <v>0</v>
      </c>
      <c r="BM336">
        <f t="shared" ref="BM336:BM399" si="2108">MAX($BU233:$BY233)</f>
        <v>0</v>
      </c>
      <c r="BN336">
        <f t="shared" ref="BN336:BN399" si="2109">SUM($BZ233:$CD233)</f>
        <v>0</v>
      </c>
      <c r="BO336">
        <f t="shared" ref="BO336:BO399" si="2110">MAX($CE233:$CI233)</f>
        <v>0</v>
      </c>
      <c r="BP336">
        <f t="shared" ref="BP336:BP399" si="2111">SUM($CJ233:$CN233)</f>
        <v>0</v>
      </c>
      <c r="BQ336">
        <f t="shared" ref="BQ336:BQ399" si="2112">MAX($CO233:$CS233)</f>
        <v>0</v>
      </c>
      <c r="BR336">
        <f t="shared" ref="BR336:BR399" si="2113">SUM($CT233:$CX233)</f>
        <v>0</v>
      </c>
      <c r="BS336">
        <f t="shared" ref="BS336:BS399" si="2114">MAX($CY233:$DC233)</f>
        <v>0</v>
      </c>
      <c r="BT336">
        <f t="shared" ref="BT336:BT399" si="2115">SUM($DD233:$DH233)</f>
        <v>0</v>
      </c>
      <c r="BU336">
        <f t="shared" ref="BU336:BU399" si="2116">MAX($DI233:$DM233)</f>
        <v>0</v>
      </c>
      <c r="BV336">
        <f t="shared" ref="BV336:BV399" si="2117">SUM($DN233:$DR233)</f>
        <v>0</v>
      </c>
      <c r="DT336" s="77"/>
      <c r="DU336" s="8" t="str">
        <f>Hidden!$CG16</f>
        <v/>
      </c>
      <c r="DV336">
        <f t="shared" si="2053"/>
        <v>0</v>
      </c>
      <c r="DW336">
        <f t="shared" si="2054"/>
        <v>0</v>
      </c>
      <c r="DX336">
        <f t="shared" si="2055"/>
        <v>0</v>
      </c>
      <c r="DY336">
        <f t="shared" si="2056"/>
        <v>0</v>
      </c>
      <c r="DZ336">
        <f t="shared" si="2057"/>
        <v>0</v>
      </c>
      <c r="EA336">
        <f t="shared" si="2058"/>
        <v>0</v>
      </c>
      <c r="EB336">
        <f t="shared" si="2059"/>
        <v>0</v>
      </c>
      <c r="EC336">
        <f t="shared" si="2060"/>
        <v>0</v>
      </c>
      <c r="ED336">
        <f t="shared" si="2061"/>
        <v>0</v>
      </c>
      <c r="EE336">
        <f t="shared" si="2062"/>
        <v>0</v>
      </c>
      <c r="EF336">
        <f t="shared" si="2063"/>
        <v>0</v>
      </c>
      <c r="EG336">
        <f t="shared" si="2064"/>
        <v>0</v>
      </c>
    </row>
    <row r="337" spans="1:137" x14ac:dyDescent="0.2">
      <c r="A337" s="8" t="str">
        <f t="shared" si="2093"/>
        <v/>
      </c>
      <c r="B337">
        <f t="shared" si="2094"/>
        <v>0</v>
      </c>
      <c r="C337">
        <f t="shared" si="2095"/>
        <v>0</v>
      </c>
      <c r="D337">
        <f t="shared" si="2096"/>
        <v>0</v>
      </c>
      <c r="E337">
        <f t="shared" si="2097"/>
        <v>0</v>
      </c>
      <c r="F337">
        <f t="shared" si="2098"/>
        <v>0</v>
      </c>
      <c r="G337">
        <f t="shared" si="2099"/>
        <v>0</v>
      </c>
      <c r="H337">
        <f t="shared" si="2100"/>
        <v>0</v>
      </c>
      <c r="I337">
        <f t="shared" si="2101"/>
        <v>0</v>
      </c>
      <c r="J337">
        <f t="shared" si="2102"/>
        <v>0</v>
      </c>
      <c r="K337">
        <f t="shared" si="2103"/>
        <v>0</v>
      </c>
      <c r="L337">
        <f t="shared" si="2104"/>
        <v>0</v>
      </c>
      <c r="M337">
        <f t="shared" si="2105"/>
        <v>0</v>
      </c>
      <c r="BJ337" s="8" t="str">
        <f>Hidden!$CC5</f>
        <v/>
      </c>
      <c r="BK337">
        <f t="shared" si="2106"/>
        <v>0</v>
      </c>
      <c r="BL337">
        <f t="shared" si="2107"/>
        <v>0</v>
      </c>
      <c r="BM337">
        <f t="shared" si="2108"/>
        <v>0</v>
      </c>
      <c r="BN337">
        <f t="shared" si="2109"/>
        <v>0</v>
      </c>
      <c r="BO337">
        <f t="shared" si="2110"/>
        <v>0</v>
      </c>
      <c r="BP337">
        <f t="shared" si="2111"/>
        <v>0</v>
      </c>
      <c r="BQ337">
        <f t="shared" si="2112"/>
        <v>0</v>
      </c>
      <c r="BR337">
        <f t="shared" si="2113"/>
        <v>0</v>
      </c>
      <c r="BS337">
        <f t="shared" si="2114"/>
        <v>0</v>
      </c>
      <c r="BT337">
        <f t="shared" si="2115"/>
        <v>0</v>
      </c>
      <c r="BU337">
        <f t="shared" si="2116"/>
        <v>0</v>
      </c>
      <c r="BV337">
        <f t="shared" si="2117"/>
        <v>0</v>
      </c>
      <c r="DT337" s="77"/>
      <c r="DU337" s="8" t="str">
        <f>Hidden!$CG17</f>
        <v/>
      </c>
      <c r="DV337">
        <f t="shared" si="2053"/>
        <v>0</v>
      </c>
      <c r="DW337">
        <f t="shared" si="2054"/>
        <v>0</v>
      </c>
      <c r="DX337">
        <f t="shared" si="2055"/>
        <v>0</v>
      </c>
      <c r="DY337">
        <f t="shared" si="2056"/>
        <v>0</v>
      </c>
      <c r="DZ337">
        <f t="shared" si="2057"/>
        <v>0</v>
      </c>
      <c r="EA337">
        <f t="shared" si="2058"/>
        <v>0</v>
      </c>
      <c r="EB337">
        <f t="shared" si="2059"/>
        <v>0</v>
      </c>
      <c r="EC337">
        <f t="shared" si="2060"/>
        <v>0</v>
      </c>
      <c r="ED337">
        <f t="shared" si="2061"/>
        <v>0</v>
      </c>
      <c r="EE337">
        <f t="shared" si="2062"/>
        <v>0</v>
      </c>
      <c r="EF337">
        <f t="shared" si="2063"/>
        <v>0</v>
      </c>
      <c r="EG337">
        <f t="shared" si="2064"/>
        <v>0</v>
      </c>
    </row>
    <row r="338" spans="1:137" x14ac:dyDescent="0.2">
      <c r="A338" s="8" t="str">
        <f t="shared" si="2093"/>
        <v/>
      </c>
      <c r="B338">
        <f t="shared" si="2094"/>
        <v>0</v>
      </c>
      <c r="C338">
        <f t="shared" si="2095"/>
        <v>0</v>
      </c>
      <c r="D338">
        <f t="shared" si="2096"/>
        <v>0</v>
      </c>
      <c r="E338">
        <f t="shared" si="2097"/>
        <v>0</v>
      </c>
      <c r="F338">
        <f t="shared" si="2098"/>
        <v>0</v>
      </c>
      <c r="G338">
        <f t="shared" si="2099"/>
        <v>0</v>
      </c>
      <c r="H338">
        <f t="shared" si="2100"/>
        <v>0</v>
      </c>
      <c r="I338">
        <f t="shared" si="2101"/>
        <v>0</v>
      </c>
      <c r="J338">
        <f t="shared" si="2102"/>
        <v>0</v>
      </c>
      <c r="K338">
        <f t="shared" si="2103"/>
        <v>0</v>
      </c>
      <c r="L338">
        <f t="shared" si="2104"/>
        <v>0</v>
      </c>
      <c r="M338">
        <f t="shared" si="2105"/>
        <v>0</v>
      </c>
      <c r="BJ338" s="8" t="str">
        <f>Hidden!$CC6</f>
        <v/>
      </c>
      <c r="BK338">
        <f t="shared" si="2106"/>
        <v>0</v>
      </c>
      <c r="BL338">
        <f t="shared" si="2107"/>
        <v>0</v>
      </c>
      <c r="BM338">
        <f t="shared" si="2108"/>
        <v>0</v>
      </c>
      <c r="BN338">
        <f t="shared" si="2109"/>
        <v>0</v>
      </c>
      <c r="BO338">
        <f t="shared" si="2110"/>
        <v>0</v>
      </c>
      <c r="BP338">
        <f t="shared" si="2111"/>
        <v>0</v>
      </c>
      <c r="BQ338">
        <f t="shared" si="2112"/>
        <v>0</v>
      </c>
      <c r="BR338">
        <f t="shared" si="2113"/>
        <v>0</v>
      </c>
      <c r="BS338">
        <f t="shared" si="2114"/>
        <v>0</v>
      </c>
      <c r="BT338">
        <f t="shared" si="2115"/>
        <v>0</v>
      </c>
      <c r="BU338">
        <f t="shared" si="2116"/>
        <v>0</v>
      </c>
      <c r="BV338">
        <f t="shared" si="2117"/>
        <v>0</v>
      </c>
      <c r="DT338" s="77"/>
      <c r="DU338" s="8" t="str">
        <f>Hidden!$CG18</f>
        <v/>
      </c>
      <c r="DV338">
        <f t="shared" si="2053"/>
        <v>0</v>
      </c>
      <c r="DW338">
        <f t="shared" si="2054"/>
        <v>0</v>
      </c>
      <c r="DX338">
        <f t="shared" si="2055"/>
        <v>0</v>
      </c>
      <c r="DY338">
        <f t="shared" si="2056"/>
        <v>0</v>
      </c>
      <c r="DZ338">
        <f t="shared" si="2057"/>
        <v>0</v>
      </c>
      <c r="EA338">
        <f t="shared" si="2058"/>
        <v>0</v>
      </c>
      <c r="EB338">
        <f t="shared" si="2059"/>
        <v>0</v>
      </c>
      <c r="EC338">
        <f t="shared" si="2060"/>
        <v>0</v>
      </c>
      <c r="ED338">
        <f t="shared" si="2061"/>
        <v>0</v>
      </c>
      <c r="EE338">
        <f t="shared" si="2062"/>
        <v>0</v>
      </c>
      <c r="EF338">
        <f t="shared" si="2063"/>
        <v>0</v>
      </c>
      <c r="EG338">
        <f t="shared" si="2064"/>
        <v>0</v>
      </c>
    </row>
    <row r="339" spans="1:137" x14ac:dyDescent="0.2">
      <c r="A339" s="8" t="str">
        <f t="shared" si="2093"/>
        <v/>
      </c>
      <c r="B339">
        <f t="shared" si="2094"/>
        <v>0</v>
      </c>
      <c r="C339">
        <f t="shared" si="2095"/>
        <v>0</v>
      </c>
      <c r="D339">
        <f t="shared" si="2096"/>
        <v>0</v>
      </c>
      <c r="E339">
        <f t="shared" si="2097"/>
        <v>0</v>
      </c>
      <c r="F339">
        <f t="shared" si="2098"/>
        <v>0</v>
      </c>
      <c r="G339">
        <f t="shared" si="2099"/>
        <v>0</v>
      </c>
      <c r="H339">
        <f t="shared" si="2100"/>
        <v>0</v>
      </c>
      <c r="I339">
        <f t="shared" si="2101"/>
        <v>0</v>
      </c>
      <c r="J339">
        <f t="shared" si="2102"/>
        <v>0</v>
      </c>
      <c r="K339">
        <f t="shared" si="2103"/>
        <v>0</v>
      </c>
      <c r="L339">
        <f t="shared" si="2104"/>
        <v>0</v>
      </c>
      <c r="M339">
        <f t="shared" si="2105"/>
        <v>0</v>
      </c>
      <c r="BJ339" s="8" t="str">
        <f>Hidden!$CC7</f>
        <v/>
      </c>
      <c r="BK339">
        <f t="shared" si="2106"/>
        <v>0</v>
      </c>
      <c r="BL339">
        <f t="shared" si="2107"/>
        <v>0</v>
      </c>
      <c r="BM339">
        <f t="shared" si="2108"/>
        <v>0</v>
      </c>
      <c r="BN339">
        <f t="shared" si="2109"/>
        <v>0</v>
      </c>
      <c r="BO339">
        <f t="shared" si="2110"/>
        <v>0</v>
      </c>
      <c r="BP339">
        <f t="shared" si="2111"/>
        <v>0</v>
      </c>
      <c r="BQ339">
        <f t="shared" si="2112"/>
        <v>0</v>
      </c>
      <c r="BR339">
        <f t="shared" si="2113"/>
        <v>0</v>
      </c>
      <c r="BS339">
        <f t="shared" si="2114"/>
        <v>0</v>
      </c>
      <c r="BT339">
        <f t="shared" si="2115"/>
        <v>0</v>
      </c>
      <c r="BU339">
        <f t="shared" si="2116"/>
        <v>0</v>
      </c>
      <c r="BV339">
        <f t="shared" si="2117"/>
        <v>0</v>
      </c>
      <c r="DT339" s="77"/>
      <c r="DU339" s="8" t="str">
        <f>Hidden!$CG19</f>
        <v/>
      </c>
      <c r="DV339">
        <f t="shared" si="2053"/>
        <v>0</v>
      </c>
      <c r="DW339">
        <f t="shared" si="2054"/>
        <v>0</v>
      </c>
      <c r="DX339">
        <f t="shared" si="2055"/>
        <v>0</v>
      </c>
      <c r="DY339">
        <f t="shared" si="2056"/>
        <v>0</v>
      </c>
      <c r="DZ339">
        <f t="shared" si="2057"/>
        <v>0</v>
      </c>
      <c r="EA339">
        <f t="shared" si="2058"/>
        <v>0</v>
      </c>
      <c r="EB339">
        <f t="shared" si="2059"/>
        <v>0</v>
      </c>
      <c r="EC339">
        <f t="shared" si="2060"/>
        <v>0</v>
      </c>
      <c r="ED339">
        <f t="shared" si="2061"/>
        <v>0</v>
      </c>
      <c r="EE339">
        <f t="shared" si="2062"/>
        <v>0</v>
      </c>
      <c r="EF339">
        <f t="shared" si="2063"/>
        <v>0</v>
      </c>
      <c r="EG339">
        <f t="shared" si="2064"/>
        <v>0</v>
      </c>
    </row>
    <row r="340" spans="1:137" x14ac:dyDescent="0.2">
      <c r="A340" s="8" t="str">
        <f t="shared" si="2093"/>
        <v/>
      </c>
      <c r="B340">
        <f t="shared" si="2094"/>
        <v>0</v>
      </c>
      <c r="C340">
        <f t="shared" si="2095"/>
        <v>0</v>
      </c>
      <c r="D340">
        <f t="shared" si="2096"/>
        <v>0</v>
      </c>
      <c r="E340">
        <f t="shared" si="2097"/>
        <v>0</v>
      </c>
      <c r="F340">
        <f t="shared" si="2098"/>
        <v>0</v>
      </c>
      <c r="G340">
        <f t="shared" si="2099"/>
        <v>0</v>
      </c>
      <c r="H340">
        <f t="shared" si="2100"/>
        <v>0</v>
      </c>
      <c r="I340">
        <f t="shared" si="2101"/>
        <v>0</v>
      </c>
      <c r="J340">
        <f t="shared" si="2102"/>
        <v>0</v>
      </c>
      <c r="K340">
        <f t="shared" si="2103"/>
        <v>0</v>
      </c>
      <c r="L340">
        <f t="shared" si="2104"/>
        <v>0</v>
      </c>
      <c r="M340">
        <f t="shared" si="2105"/>
        <v>0</v>
      </c>
      <c r="BJ340" s="8" t="str">
        <f>Hidden!$CC8</f>
        <v/>
      </c>
      <c r="BK340">
        <f t="shared" si="2106"/>
        <v>0</v>
      </c>
      <c r="BL340">
        <f t="shared" si="2107"/>
        <v>0</v>
      </c>
      <c r="BM340">
        <f t="shared" si="2108"/>
        <v>0</v>
      </c>
      <c r="BN340">
        <f t="shared" si="2109"/>
        <v>0</v>
      </c>
      <c r="BO340">
        <f t="shared" si="2110"/>
        <v>0</v>
      </c>
      <c r="BP340">
        <f t="shared" si="2111"/>
        <v>0</v>
      </c>
      <c r="BQ340">
        <f t="shared" si="2112"/>
        <v>0</v>
      </c>
      <c r="BR340">
        <f t="shared" si="2113"/>
        <v>0</v>
      </c>
      <c r="BS340">
        <f t="shared" si="2114"/>
        <v>0</v>
      </c>
      <c r="BT340">
        <f t="shared" si="2115"/>
        <v>0</v>
      </c>
      <c r="BU340">
        <f t="shared" si="2116"/>
        <v>0</v>
      </c>
      <c r="BV340">
        <f t="shared" si="2117"/>
        <v>0</v>
      </c>
      <c r="DT340" s="77"/>
      <c r="DU340" s="8" t="str">
        <f>Hidden!$CG20</f>
        <v/>
      </c>
      <c r="DV340">
        <f t="shared" si="2053"/>
        <v>0</v>
      </c>
      <c r="DW340">
        <f t="shared" si="2054"/>
        <v>0</v>
      </c>
      <c r="DX340">
        <f t="shared" si="2055"/>
        <v>0</v>
      </c>
      <c r="DY340">
        <f t="shared" si="2056"/>
        <v>0</v>
      </c>
      <c r="DZ340">
        <f t="shared" si="2057"/>
        <v>0</v>
      </c>
      <c r="EA340">
        <f t="shared" si="2058"/>
        <v>0</v>
      </c>
      <c r="EB340">
        <f t="shared" si="2059"/>
        <v>0</v>
      </c>
      <c r="EC340">
        <f t="shared" si="2060"/>
        <v>0</v>
      </c>
      <c r="ED340">
        <f t="shared" si="2061"/>
        <v>0</v>
      </c>
      <c r="EE340">
        <f t="shared" si="2062"/>
        <v>0</v>
      </c>
      <c r="EF340">
        <f t="shared" si="2063"/>
        <v>0</v>
      </c>
      <c r="EG340">
        <f t="shared" si="2064"/>
        <v>0</v>
      </c>
    </row>
    <row r="341" spans="1:137" x14ac:dyDescent="0.2">
      <c r="A341" s="8" t="str">
        <f t="shared" si="2093"/>
        <v/>
      </c>
      <c r="B341">
        <f t="shared" si="2094"/>
        <v>0</v>
      </c>
      <c r="C341">
        <f t="shared" si="2095"/>
        <v>0</v>
      </c>
      <c r="D341">
        <f t="shared" si="2096"/>
        <v>0</v>
      </c>
      <c r="E341">
        <f t="shared" si="2097"/>
        <v>0</v>
      </c>
      <c r="F341">
        <f t="shared" si="2098"/>
        <v>0</v>
      </c>
      <c r="G341">
        <f t="shared" si="2099"/>
        <v>0</v>
      </c>
      <c r="H341">
        <f t="shared" si="2100"/>
        <v>0</v>
      </c>
      <c r="I341">
        <f t="shared" si="2101"/>
        <v>0</v>
      </c>
      <c r="J341">
        <f t="shared" si="2102"/>
        <v>0</v>
      </c>
      <c r="K341">
        <f t="shared" si="2103"/>
        <v>0</v>
      </c>
      <c r="L341">
        <f t="shared" si="2104"/>
        <v>0</v>
      </c>
      <c r="M341">
        <f t="shared" si="2105"/>
        <v>0</v>
      </c>
      <c r="BJ341" s="8" t="str">
        <f>Hidden!$CC9</f>
        <v/>
      </c>
      <c r="BK341">
        <f t="shared" si="2106"/>
        <v>0</v>
      </c>
      <c r="BL341">
        <f t="shared" si="2107"/>
        <v>0</v>
      </c>
      <c r="BM341">
        <f t="shared" si="2108"/>
        <v>0</v>
      </c>
      <c r="BN341">
        <f t="shared" si="2109"/>
        <v>0</v>
      </c>
      <c r="BO341">
        <f t="shared" si="2110"/>
        <v>0</v>
      </c>
      <c r="BP341">
        <f t="shared" si="2111"/>
        <v>0</v>
      </c>
      <c r="BQ341">
        <f t="shared" si="2112"/>
        <v>0</v>
      </c>
      <c r="BR341">
        <f t="shared" si="2113"/>
        <v>0</v>
      </c>
      <c r="BS341">
        <f t="shared" si="2114"/>
        <v>0</v>
      </c>
      <c r="BT341">
        <f t="shared" si="2115"/>
        <v>0</v>
      </c>
      <c r="BU341">
        <f t="shared" si="2116"/>
        <v>0</v>
      </c>
      <c r="BV341">
        <f t="shared" si="2117"/>
        <v>0</v>
      </c>
      <c r="DT341" s="77"/>
      <c r="DU341" s="8" t="str">
        <f>Hidden!$CG21</f>
        <v/>
      </c>
      <c r="DV341">
        <f t="shared" si="2053"/>
        <v>0</v>
      </c>
      <c r="DW341">
        <f t="shared" si="2054"/>
        <v>0</v>
      </c>
      <c r="DX341">
        <f t="shared" si="2055"/>
        <v>0</v>
      </c>
      <c r="DY341">
        <f t="shared" si="2056"/>
        <v>0</v>
      </c>
      <c r="DZ341">
        <f t="shared" si="2057"/>
        <v>0</v>
      </c>
      <c r="EA341">
        <f t="shared" si="2058"/>
        <v>0</v>
      </c>
      <c r="EB341">
        <f t="shared" si="2059"/>
        <v>0</v>
      </c>
      <c r="EC341">
        <f t="shared" si="2060"/>
        <v>0</v>
      </c>
      <c r="ED341">
        <f t="shared" si="2061"/>
        <v>0</v>
      </c>
      <c r="EE341">
        <f t="shared" si="2062"/>
        <v>0</v>
      </c>
      <c r="EF341">
        <f t="shared" si="2063"/>
        <v>0</v>
      </c>
      <c r="EG341">
        <f t="shared" si="2064"/>
        <v>0</v>
      </c>
    </row>
    <row r="342" spans="1:137" x14ac:dyDescent="0.2">
      <c r="A342" s="8" t="str">
        <f t="shared" si="2093"/>
        <v/>
      </c>
      <c r="B342">
        <f t="shared" si="2094"/>
        <v>0</v>
      </c>
      <c r="C342">
        <f t="shared" si="2095"/>
        <v>0</v>
      </c>
      <c r="D342">
        <f t="shared" si="2096"/>
        <v>0</v>
      </c>
      <c r="E342">
        <f t="shared" si="2097"/>
        <v>0</v>
      </c>
      <c r="F342">
        <f t="shared" si="2098"/>
        <v>0</v>
      </c>
      <c r="G342">
        <f t="shared" si="2099"/>
        <v>0</v>
      </c>
      <c r="H342">
        <f t="shared" si="2100"/>
        <v>0</v>
      </c>
      <c r="I342">
        <f t="shared" si="2101"/>
        <v>0</v>
      </c>
      <c r="J342">
        <f t="shared" si="2102"/>
        <v>0</v>
      </c>
      <c r="K342">
        <f t="shared" si="2103"/>
        <v>0</v>
      </c>
      <c r="L342">
        <f t="shared" si="2104"/>
        <v>0</v>
      </c>
      <c r="M342">
        <f t="shared" si="2105"/>
        <v>0</v>
      </c>
      <c r="BJ342" s="8" t="str">
        <f>Hidden!$CC10</f>
        <v/>
      </c>
      <c r="BK342">
        <f t="shared" si="2106"/>
        <v>0</v>
      </c>
      <c r="BL342">
        <f t="shared" si="2107"/>
        <v>0</v>
      </c>
      <c r="BM342">
        <f t="shared" si="2108"/>
        <v>0</v>
      </c>
      <c r="BN342">
        <f t="shared" si="2109"/>
        <v>0</v>
      </c>
      <c r="BO342">
        <f t="shared" si="2110"/>
        <v>0</v>
      </c>
      <c r="BP342">
        <f t="shared" si="2111"/>
        <v>0</v>
      </c>
      <c r="BQ342">
        <f t="shared" si="2112"/>
        <v>0</v>
      </c>
      <c r="BR342">
        <f t="shared" si="2113"/>
        <v>0</v>
      </c>
      <c r="BS342">
        <f t="shared" si="2114"/>
        <v>0</v>
      </c>
      <c r="BT342">
        <f t="shared" si="2115"/>
        <v>0</v>
      </c>
      <c r="BU342">
        <f t="shared" si="2116"/>
        <v>0</v>
      </c>
      <c r="BV342">
        <f t="shared" si="2117"/>
        <v>0</v>
      </c>
      <c r="DT342" s="77"/>
      <c r="DU342" s="8" t="str">
        <f>Hidden!$CG22</f>
        <v/>
      </c>
      <c r="DV342">
        <f t="shared" si="2053"/>
        <v>0</v>
      </c>
      <c r="DW342">
        <f t="shared" si="2054"/>
        <v>0</v>
      </c>
      <c r="DX342">
        <f t="shared" si="2055"/>
        <v>0</v>
      </c>
      <c r="DY342">
        <f t="shared" si="2056"/>
        <v>0</v>
      </c>
      <c r="DZ342">
        <f t="shared" si="2057"/>
        <v>0</v>
      </c>
      <c r="EA342">
        <f t="shared" si="2058"/>
        <v>0</v>
      </c>
      <c r="EB342">
        <f t="shared" si="2059"/>
        <v>0</v>
      </c>
      <c r="EC342">
        <f t="shared" si="2060"/>
        <v>0</v>
      </c>
      <c r="ED342">
        <f t="shared" si="2061"/>
        <v>0</v>
      </c>
      <c r="EE342">
        <f t="shared" si="2062"/>
        <v>0</v>
      </c>
      <c r="EF342">
        <f t="shared" si="2063"/>
        <v>0</v>
      </c>
      <c r="EG342">
        <f t="shared" si="2064"/>
        <v>0</v>
      </c>
    </row>
    <row r="343" spans="1:137" x14ac:dyDescent="0.2">
      <c r="A343" s="8" t="str">
        <f t="shared" si="2093"/>
        <v/>
      </c>
      <c r="B343">
        <f t="shared" si="2094"/>
        <v>0</v>
      </c>
      <c r="C343">
        <f t="shared" si="2095"/>
        <v>0</v>
      </c>
      <c r="D343">
        <f t="shared" si="2096"/>
        <v>0</v>
      </c>
      <c r="E343">
        <f t="shared" si="2097"/>
        <v>0</v>
      </c>
      <c r="F343">
        <f t="shared" si="2098"/>
        <v>0</v>
      </c>
      <c r="G343">
        <f t="shared" si="2099"/>
        <v>0</v>
      </c>
      <c r="H343">
        <f t="shared" si="2100"/>
        <v>0</v>
      </c>
      <c r="I343">
        <f t="shared" si="2101"/>
        <v>0</v>
      </c>
      <c r="J343">
        <f t="shared" si="2102"/>
        <v>0</v>
      </c>
      <c r="K343">
        <f t="shared" si="2103"/>
        <v>0</v>
      </c>
      <c r="L343">
        <f t="shared" si="2104"/>
        <v>0</v>
      </c>
      <c r="M343">
        <f t="shared" si="2105"/>
        <v>0</v>
      </c>
      <c r="BJ343" s="8" t="str">
        <f>Hidden!$CC11</f>
        <v/>
      </c>
      <c r="BK343">
        <f t="shared" si="2106"/>
        <v>0</v>
      </c>
      <c r="BL343">
        <f t="shared" si="2107"/>
        <v>0</v>
      </c>
      <c r="BM343">
        <f t="shared" si="2108"/>
        <v>0</v>
      </c>
      <c r="BN343">
        <f t="shared" si="2109"/>
        <v>0</v>
      </c>
      <c r="BO343">
        <f t="shared" si="2110"/>
        <v>0</v>
      </c>
      <c r="BP343">
        <f t="shared" si="2111"/>
        <v>0</v>
      </c>
      <c r="BQ343">
        <f t="shared" si="2112"/>
        <v>0</v>
      </c>
      <c r="BR343">
        <f t="shared" si="2113"/>
        <v>0</v>
      </c>
      <c r="BS343">
        <f t="shared" si="2114"/>
        <v>0</v>
      </c>
      <c r="BT343">
        <f t="shared" si="2115"/>
        <v>0</v>
      </c>
      <c r="BU343">
        <f t="shared" si="2116"/>
        <v>0</v>
      </c>
      <c r="BV343">
        <f t="shared" si="2117"/>
        <v>0</v>
      </c>
      <c r="DT343" s="77"/>
      <c r="DU343" s="8" t="str">
        <f>Hidden!$CG23</f>
        <v/>
      </c>
      <c r="DV343">
        <f t="shared" si="2053"/>
        <v>0</v>
      </c>
      <c r="DW343">
        <f t="shared" si="2054"/>
        <v>0</v>
      </c>
      <c r="DX343">
        <f t="shared" si="2055"/>
        <v>0</v>
      </c>
      <c r="DY343">
        <f t="shared" si="2056"/>
        <v>0</v>
      </c>
      <c r="DZ343">
        <f t="shared" si="2057"/>
        <v>0</v>
      </c>
      <c r="EA343">
        <f t="shared" si="2058"/>
        <v>0</v>
      </c>
      <c r="EB343">
        <f t="shared" si="2059"/>
        <v>0</v>
      </c>
      <c r="EC343">
        <f t="shared" si="2060"/>
        <v>0</v>
      </c>
      <c r="ED343">
        <f t="shared" si="2061"/>
        <v>0</v>
      </c>
      <c r="EE343">
        <f t="shared" si="2062"/>
        <v>0</v>
      </c>
      <c r="EF343">
        <f t="shared" si="2063"/>
        <v>0</v>
      </c>
      <c r="EG343">
        <f t="shared" si="2064"/>
        <v>0</v>
      </c>
    </row>
    <row r="344" spans="1:137" x14ac:dyDescent="0.2">
      <c r="A344" s="8" t="str">
        <f t="shared" si="2093"/>
        <v/>
      </c>
      <c r="B344">
        <f t="shared" si="2094"/>
        <v>0</v>
      </c>
      <c r="C344">
        <f t="shared" si="2095"/>
        <v>0</v>
      </c>
      <c r="D344">
        <f t="shared" si="2096"/>
        <v>0</v>
      </c>
      <c r="E344">
        <f t="shared" si="2097"/>
        <v>0</v>
      </c>
      <c r="F344">
        <f t="shared" si="2098"/>
        <v>0</v>
      </c>
      <c r="G344">
        <f t="shared" si="2099"/>
        <v>0</v>
      </c>
      <c r="H344">
        <f t="shared" si="2100"/>
        <v>0</v>
      </c>
      <c r="I344">
        <f t="shared" si="2101"/>
        <v>0</v>
      </c>
      <c r="J344">
        <f t="shared" si="2102"/>
        <v>0</v>
      </c>
      <c r="K344">
        <f t="shared" si="2103"/>
        <v>0</v>
      </c>
      <c r="L344">
        <f t="shared" si="2104"/>
        <v>0</v>
      </c>
      <c r="M344">
        <f t="shared" si="2105"/>
        <v>0</v>
      </c>
      <c r="BJ344" s="8" t="str">
        <f>Hidden!$CC12</f>
        <v/>
      </c>
      <c r="BK344">
        <f t="shared" si="2106"/>
        <v>0</v>
      </c>
      <c r="BL344">
        <f t="shared" si="2107"/>
        <v>0</v>
      </c>
      <c r="BM344">
        <f t="shared" si="2108"/>
        <v>0</v>
      </c>
      <c r="BN344">
        <f t="shared" si="2109"/>
        <v>0</v>
      </c>
      <c r="BO344">
        <f t="shared" si="2110"/>
        <v>0</v>
      </c>
      <c r="BP344">
        <f t="shared" si="2111"/>
        <v>0</v>
      </c>
      <c r="BQ344">
        <f t="shared" si="2112"/>
        <v>0</v>
      </c>
      <c r="BR344">
        <f t="shared" si="2113"/>
        <v>0</v>
      </c>
      <c r="BS344">
        <f t="shared" si="2114"/>
        <v>0</v>
      </c>
      <c r="BT344">
        <f t="shared" si="2115"/>
        <v>0</v>
      </c>
      <c r="BU344">
        <f t="shared" si="2116"/>
        <v>0</v>
      </c>
      <c r="BV344">
        <f t="shared" si="2117"/>
        <v>0</v>
      </c>
      <c r="DT344" s="77"/>
      <c r="DU344" s="8" t="str">
        <f>Hidden!$CG24</f>
        <v/>
      </c>
      <c r="DV344">
        <f t="shared" si="2053"/>
        <v>0</v>
      </c>
      <c r="DW344">
        <f t="shared" si="2054"/>
        <v>0</v>
      </c>
      <c r="DX344">
        <f t="shared" si="2055"/>
        <v>0</v>
      </c>
      <c r="DY344">
        <f t="shared" si="2056"/>
        <v>0</v>
      </c>
      <c r="DZ344">
        <f t="shared" si="2057"/>
        <v>0</v>
      </c>
      <c r="EA344">
        <f t="shared" si="2058"/>
        <v>0</v>
      </c>
      <c r="EB344">
        <f t="shared" si="2059"/>
        <v>0</v>
      </c>
      <c r="EC344">
        <f t="shared" si="2060"/>
        <v>0</v>
      </c>
      <c r="ED344">
        <f t="shared" si="2061"/>
        <v>0</v>
      </c>
      <c r="EE344">
        <f t="shared" si="2062"/>
        <v>0</v>
      </c>
      <c r="EF344">
        <f t="shared" si="2063"/>
        <v>0</v>
      </c>
      <c r="EG344">
        <f t="shared" si="2064"/>
        <v>0</v>
      </c>
    </row>
    <row r="345" spans="1:137" x14ac:dyDescent="0.2">
      <c r="A345" s="8" t="str">
        <f t="shared" si="2093"/>
        <v/>
      </c>
      <c r="B345">
        <f t="shared" si="2094"/>
        <v>0</v>
      </c>
      <c r="C345">
        <f t="shared" si="2095"/>
        <v>0</v>
      </c>
      <c r="D345">
        <f t="shared" si="2096"/>
        <v>0</v>
      </c>
      <c r="E345">
        <f t="shared" si="2097"/>
        <v>0</v>
      </c>
      <c r="F345">
        <f t="shared" si="2098"/>
        <v>0</v>
      </c>
      <c r="G345">
        <f t="shared" si="2099"/>
        <v>0</v>
      </c>
      <c r="H345">
        <f t="shared" si="2100"/>
        <v>0</v>
      </c>
      <c r="I345">
        <f t="shared" si="2101"/>
        <v>0</v>
      </c>
      <c r="J345">
        <f t="shared" si="2102"/>
        <v>0</v>
      </c>
      <c r="K345">
        <f t="shared" si="2103"/>
        <v>0</v>
      </c>
      <c r="L345">
        <f t="shared" si="2104"/>
        <v>0</v>
      </c>
      <c r="M345">
        <f t="shared" si="2105"/>
        <v>0</v>
      </c>
      <c r="BJ345" s="8" t="str">
        <f>Hidden!$CC13</f>
        <v/>
      </c>
      <c r="BK345">
        <f t="shared" si="2106"/>
        <v>0</v>
      </c>
      <c r="BL345">
        <f t="shared" si="2107"/>
        <v>0</v>
      </c>
      <c r="BM345">
        <f t="shared" si="2108"/>
        <v>0</v>
      </c>
      <c r="BN345">
        <f t="shared" si="2109"/>
        <v>0</v>
      </c>
      <c r="BO345">
        <f t="shared" si="2110"/>
        <v>0</v>
      </c>
      <c r="BP345">
        <f t="shared" si="2111"/>
        <v>0</v>
      </c>
      <c r="BQ345">
        <f t="shared" si="2112"/>
        <v>0</v>
      </c>
      <c r="BR345">
        <f t="shared" si="2113"/>
        <v>0</v>
      </c>
      <c r="BS345">
        <f t="shared" si="2114"/>
        <v>0</v>
      </c>
      <c r="BT345">
        <f t="shared" si="2115"/>
        <v>0</v>
      </c>
      <c r="BU345">
        <f t="shared" si="2116"/>
        <v>0</v>
      </c>
      <c r="BV345">
        <f t="shared" si="2117"/>
        <v>0</v>
      </c>
      <c r="DT345" s="77"/>
      <c r="DU345" s="8" t="str">
        <f>Hidden!$CG25</f>
        <v/>
      </c>
      <c r="DV345">
        <f t="shared" si="2053"/>
        <v>0</v>
      </c>
      <c r="DW345">
        <f t="shared" si="2054"/>
        <v>0</v>
      </c>
      <c r="DX345">
        <f t="shared" si="2055"/>
        <v>0</v>
      </c>
      <c r="DY345">
        <f t="shared" si="2056"/>
        <v>0</v>
      </c>
      <c r="DZ345">
        <f t="shared" si="2057"/>
        <v>0</v>
      </c>
      <c r="EA345">
        <f t="shared" si="2058"/>
        <v>0</v>
      </c>
      <c r="EB345">
        <f t="shared" si="2059"/>
        <v>0</v>
      </c>
      <c r="EC345">
        <f t="shared" si="2060"/>
        <v>0</v>
      </c>
      <c r="ED345">
        <f t="shared" si="2061"/>
        <v>0</v>
      </c>
      <c r="EE345">
        <f t="shared" si="2062"/>
        <v>0</v>
      </c>
      <c r="EF345">
        <f t="shared" si="2063"/>
        <v>0</v>
      </c>
      <c r="EG345">
        <f t="shared" si="2064"/>
        <v>0</v>
      </c>
    </row>
    <row r="346" spans="1:137" x14ac:dyDescent="0.2">
      <c r="A346" s="8" t="str">
        <f t="shared" si="2093"/>
        <v/>
      </c>
      <c r="B346">
        <f t="shared" si="2094"/>
        <v>0</v>
      </c>
      <c r="C346">
        <f t="shared" si="2095"/>
        <v>0</v>
      </c>
      <c r="D346">
        <f t="shared" si="2096"/>
        <v>0</v>
      </c>
      <c r="E346">
        <f t="shared" si="2097"/>
        <v>0</v>
      </c>
      <c r="F346">
        <f t="shared" si="2098"/>
        <v>0</v>
      </c>
      <c r="G346">
        <f t="shared" si="2099"/>
        <v>0</v>
      </c>
      <c r="H346">
        <f t="shared" si="2100"/>
        <v>0</v>
      </c>
      <c r="I346">
        <f t="shared" si="2101"/>
        <v>0</v>
      </c>
      <c r="J346">
        <f t="shared" si="2102"/>
        <v>0</v>
      </c>
      <c r="K346">
        <f t="shared" si="2103"/>
        <v>0</v>
      </c>
      <c r="L346">
        <f t="shared" si="2104"/>
        <v>0</v>
      </c>
      <c r="M346">
        <f t="shared" si="2105"/>
        <v>0</v>
      </c>
      <c r="BJ346" s="8" t="str">
        <f>Hidden!$CC14</f>
        <v/>
      </c>
      <c r="BK346">
        <f t="shared" si="2106"/>
        <v>0</v>
      </c>
      <c r="BL346">
        <f t="shared" si="2107"/>
        <v>0</v>
      </c>
      <c r="BM346">
        <f t="shared" si="2108"/>
        <v>0</v>
      </c>
      <c r="BN346">
        <f t="shared" si="2109"/>
        <v>0</v>
      </c>
      <c r="BO346">
        <f t="shared" si="2110"/>
        <v>0</v>
      </c>
      <c r="BP346">
        <f t="shared" si="2111"/>
        <v>0</v>
      </c>
      <c r="BQ346">
        <f t="shared" si="2112"/>
        <v>0</v>
      </c>
      <c r="BR346">
        <f t="shared" si="2113"/>
        <v>0</v>
      </c>
      <c r="BS346">
        <f t="shared" si="2114"/>
        <v>0</v>
      </c>
      <c r="BT346">
        <f t="shared" si="2115"/>
        <v>0</v>
      </c>
      <c r="BU346">
        <f t="shared" si="2116"/>
        <v>0</v>
      </c>
      <c r="BV346">
        <f t="shared" si="2117"/>
        <v>0</v>
      </c>
      <c r="DT346" s="77"/>
      <c r="DU346" s="8" t="str">
        <f>Hidden!$CG26</f>
        <v/>
      </c>
      <c r="DV346">
        <f t="shared" si="2053"/>
        <v>0</v>
      </c>
      <c r="DW346">
        <f t="shared" si="2054"/>
        <v>0</v>
      </c>
      <c r="DX346">
        <f t="shared" si="2055"/>
        <v>0</v>
      </c>
      <c r="DY346">
        <f t="shared" si="2056"/>
        <v>0</v>
      </c>
      <c r="DZ346">
        <f t="shared" si="2057"/>
        <v>0</v>
      </c>
      <c r="EA346">
        <f t="shared" si="2058"/>
        <v>0</v>
      </c>
      <c r="EB346">
        <f t="shared" si="2059"/>
        <v>0</v>
      </c>
      <c r="EC346">
        <f t="shared" si="2060"/>
        <v>0</v>
      </c>
      <c r="ED346">
        <f t="shared" si="2061"/>
        <v>0</v>
      </c>
      <c r="EE346">
        <f t="shared" si="2062"/>
        <v>0</v>
      </c>
      <c r="EF346">
        <f t="shared" si="2063"/>
        <v>0</v>
      </c>
      <c r="EG346">
        <f t="shared" si="2064"/>
        <v>0</v>
      </c>
    </row>
    <row r="347" spans="1:137" x14ac:dyDescent="0.2">
      <c r="A347" s="8" t="str">
        <f t="shared" si="2093"/>
        <v/>
      </c>
      <c r="B347">
        <f t="shared" si="2094"/>
        <v>0</v>
      </c>
      <c r="C347">
        <f t="shared" si="2095"/>
        <v>0</v>
      </c>
      <c r="D347">
        <f t="shared" si="2096"/>
        <v>0</v>
      </c>
      <c r="E347">
        <f t="shared" si="2097"/>
        <v>0</v>
      </c>
      <c r="F347">
        <f t="shared" si="2098"/>
        <v>0</v>
      </c>
      <c r="G347">
        <f t="shared" si="2099"/>
        <v>0</v>
      </c>
      <c r="H347">
        <f t="shared" si="2100"/>
        <v>0</v>
      </c>
      <c r="I347">
        <f t="shared" si="2101"/>
        <v>0</v>
      </c>
      <c r="J347">
        <f t="shared" si="2102"/>
        <v>0</v>
      </c>
      <c r="K347">
        <f t="shared" si="2103"/>
        <v>0</v>
      </c>
      <c r="L347">
        <f t="shared" si="2104"/>
        <v>0</v>
      </c>
      <c r="M347">
        <f t="shared" si="2105"/>
        <v>0</v>
      </c>
      <c r="BJ347" s="8" t="str">
        <f>Hidden!$CC15</f>
        <v/>
      </c>
      <c r="BK347">
        <f t="shared" si="2106"/>
        <v>0</v>
      </c>
      <c r="BL347">
        <f t="shared" si="2107"/>
        <v>0</v>
      </c>
      <c r="BM347">
        <f t="shared" si="2108"/>
        <v>0</v>
      </c>
      <c r="BN347">
        <f t="shared" si="2109"/>
        <v>0</v>
      </c>
      <c r="BO347">
        <f t="shared" si="2110"/>
        <v>0</v>
      </c>
      <c r="BP347">
        <f t="shared" si="2111"/>
        <v>0</v>
      </c>
      <c r="BQ347">
        <f t="shared" si="2112"/>
        <v>0</v>
      </c>
      <c r="BR347">
        <f t="shared" si="2113"/>
        <v>0</v>
      </c>
      <c r="BS347">
        <f t="shared" si="2114"/>
        <v>0</v>
      </c>
      <c r="BT347">
        <f t="shared" si="2115"/>
        <v>0</v>
      </c>
      <c r="BU347">
        <f t="shared" si="2116"/>
        <v>0</v>
      </c>
      <c r="BV347">
        <f t="shared" si="2117"/>
        <v>0</v>
      </c>
      <c r="DT347" s="77"/>
      <c r="DU347" s="8" t="str">
        <f>Hidden!$CG27</f>
        <v/>
      </c>
      <c r="DV347">
        <f t="shared" si="2053"/>
        <v>0</v>
      </c>
      <c r="DW347">
        <f t="shared" si="2054"/>
        <v>0</v>
      </c>
      <c r="DX347">
        <f t="shared" si="2055"/>
        <v>0</v>
      </c>
      <c r="DY347">
        <f t="shared" si="2056"/>
        <v>0</v>
      </c>
      <c r="DZ347">
        <f t="shared" si="2057"/>
        <v>0</v>
      </c>
      <c r="EA347">
        <f t="shared" si="2058"/>
        <v>0</v>
      </c>
      <c r="EB347">
        <f t="shared" si="2059"/>
        <v>0</v>
      </c>
      <c r="EC347">
        <f t="shared" si="2060"/>
        <v>0</v>
      </c>
      <c r="ED347">
        <f t="shared" si="2061"/>
        <v>0</v>
      </c>
      <c r="EE347">
        <f t="shared" si="2062"/>
        <v>0</v>
      </c>
      <c r="EF347">
        <f t="shared" si="2063"/>
        <v>0</v>
      </c>
      <c r="EG347">
        <f t="shared" si="2064"/>
        <v>0</v>
      </c>
    </row>
    <row r="348" spans="1:137" x14ac:dyDescent="0.2">
      <c r="A348" s="8" t="str">
        <f t="shared" si="2093"/>
        <v/>
      </c>
      <c r="B348">
        <f t="shared" si="2094"/>
        <v>0</v>
      </c>
      <c r="C348">
        <f t="shared" si="2095"/>
        <v>0</v>
      </c>
      <c r="D348">
        <f t="shared" si="2096"/>
        <v>0</v>
      </c>
      <c r="E348">
        <f t="shared" si="2097"/>
        <v>0</v>
      </c>
      <c r="F348">
        <f t="shared" si="2098"/>
        <v>0</v>
      </c>
      <c r="G348">
        <f t="shared" si="2099"/>
        <v>0</v>
      </c>
      <c r="H348">
        <f t="shared" si="2100"/>
        <v>0</v>
      </c>
      <c r="I348">
        <f t="shared" si="2101"/>
        <v>0</v>
      </c>
      <c r="J348">
        <f t="shared" si="2102"/>
        <v>0</v>
      </c>
      <c r="K348">
        <f t="shared" si="2103"/>
        <v>0</v>
      </c>
      <c r="L348">
        <f t="shared" si="2104"/>
        <v>0</v>
      </c>
      <c r="M348">
        <f t="shared" si="2105"/>
        <v>0</v>
      </c>
      <c r="BJ348" s="8" t="str">
        <f>Hidden!$CC16</f>
        <v/>
      </c>
      <c r="BK348">
        <f t="shared" si="2106"/>
        <v>0</v>
      </c>
      <c r="BL348">
        <f t="shared" si="2107"/>
        <v>0</v>
      </c>
      <c r="BM348">
        <f t="shared" si="2108"/>
        <v>0</v>
      </c>
      <c r="BN348">
        <f t="shared" si="2109"/>
        <v>0</v>
      </c>
      <c r="BO348">
        <f t="shared" si="2110"/>
        <v>0</v>
      </c>
      <c r="BP348">
        <f t="shared" si="2111"/>
        <v>0</v>
      </c>
      <c r="BQ348">
        <f t="shared" si="2112"/>
        <v>0</v>
      </c>
      <c r="BR348">
        <f t="shared" si="2113"/>
        <v>0</v>
      </c>
      <c r="BS348">
        <f t="shared" si="2114"/>
        <v>0</v>
      </c>
      <c r="BT348">
        <f t="shared" si="2115"/>
        <v>0</v>
      </c>
      <c r="BU348">
        <f t="shared" si="2116"/>
        <v>0</v>
      </c>
      <c r="BV348">
        <f t="shared" si="2117"/>
        <v>0</v>
      </c>
      <c r="DT348" s="77"/>
      <c r="DU348" s="8" t="str">
        <f>Hidden!$CG28</f>
        <v/>
      </c>
      <c r="DV348">
        <f t="shared" si="2053"/>
        <v>0</v>
      </c>
      <c r="DW348">
        <f t="shared" si="2054"/>
        <v>0</v>
      </c>
      <c r="DX348">
        <f t="shared" si="2055"/>
        <v>0</v>
      </c>
      <c r="DY348">
        <f t="shared" si="2056"/>
        <v>0</v>
      </c>
      <c r="DZ348">
        <f t="shared" si="2057"/>
        <v>0</v>
      </c>
      <c r="EA348">
        <f t="shared" si="2058"/>
        <v>0</v>
      </c>
      <c r="EB348">
        <f t="shared" si="2059"/>
        <v>0</v>
      </c>
      <c r="EC348">
        <f t="shared" si="2060"/>
        <v>0</v>
      </c>
      <c r="ED348">
        <f t="shared" si="2061"/>
        <v>0</v>
      </c>
      <c r="EE348">
        <f t="shared" si="2062"/>
        <v>0</v>
      </c>
      <c r="EF348">
        <f t="shared" si="2063"/>
        <v>0</v>
      </c>
      <c r="EG348">
        <f t="shared" si="2064"/>
        <v>0</v>
      </c>
    </row>
    <row r="349" spans="1:137" x14ac:dyDescent="0.2">
      <c r="A349" s="8" t="str">
        <f t="shared" si="2093"/>
        <v/>
      </c>
      <c r="B349">
        <f t="shared" si="2094"/>
        <v>0</v>
      </c>
      <c r="C349">
        <f t="shared" si="2095"/>
        <v>0</v>
      </c>
      <c r="D349">
        <f t="shared" si="2096"/>
        <v>0</v>
      </c>
      <c r="E349">
        <f t="shared" si="2097"/>
        <v>0</v>
      </c>
      <c r="F349">
        <f t="shared" si="2098"/>
        <v>0</v>
      </c>
      <c r="G349">
        <f t="shared" si="2099"/>
        <v>0</v>
      </c>
      <c r="H349">
        <f t="shared" si="2100"/>
        <v>0</v>
      </c>
      <c r="I349">
        <f t="shared" si="2101"/>
        <v>0</v>
      </c>
      <c r="J349">
        <f t="shared" si="2102"/>
        <v>0</v>
      </c>
      <c r="K349">
        <f t="shared" si="2103"/>
        <v>0</v>
      </c>
      <c r="L349">
        <f t="shared" si="2104"/>
        <v>0</v>
      </c>
      <c r="M349">
        <f t="shared" si="2105"/>
        <v>0</v>
      </c>
      <c r="BJ349" s="8" t="str">
        <f>Hidden!$CC17</f>
        <v/>
      </c>
      <c r="BK349">
        <f t="shared" si="2106"/>
        <v>0</v>
      </c>
      <c r="BL349">
        <f t="shared" si="2107"/>
        <v>0</v>
      </c>
      <c r="BM349">
        <f t="shared" si="2108"/>
        <v>0</v>
      </c>
      <c r="BN349">
        <f t="shared" si="2109"/>
        <v>0</v>
      </c>
      <c r="BO349">
        <f t="shared" si="2110"/>
        <v>0</v>
      </c>
      <c r="BP349">
        <f t="shared" si="2111"/>
        <v>0</v>
      </c>
      <c r="BQ349">
        <f t="shared" si="2112"/>
        <v>0</v>
      </c>
      <c r="BR349">
        <f t="shared" si="2113"/>
        <v>0</v>
      </c>
      <c r="BS349">
        <f t="shared" si="2114"/>
        <v>0</v>
      </c>
      <c r="BT349">
        <f t="shared" si="2115"/>
        <v>0</v>
      </c>
      <c r="BU349">
        <f t="shared" si="2116"/>
        <v>0</v>
      </c>
      <c r="BV349">
        <f t="shared" si="2117"/>
        <v>0</v>
      </c>
      <c r="DT349" s="77"/>
      <c r="DU349" s="8" t="str">
        <f>Hidden!$CG29</f>
        <v/>
      </c>
      <c r="DV349">
        <f t="shared" si="2053"/>
        <v>0</v>
      </c>
      <c r="DW349">
        <f t="shared" si="2054"/>
        <v>0</v>
      </c>
      <c r="DX349">
        <f t="shared" si="2055"/>
        <v>0</v>
      </c>
      <c r="DY349">
        <f t="shared" si="2056"/>
        <v>0</v>
      </c>
      <c r="DZ349">
        <f t="shared" si="2057"/>
        <v>0</v>
      </c>
      <c r="EA349">
        <f t="shared" si="2058"/>
        <v>0</v>
      </c>
      <c r="EB349">
        <f t="shared" si="2059"/>
        <v>0</v>
      </c>
      <c r="EC349">
        <f t="shared" si="2060"/>
        <v>0</v>
      </c>
      <c r="ED349">
        <f t="shared" si="2061"/>
        <v>0</v>
      </c>
      <c r="EE349">
        <f t="shared" si="2062"/>
        <v>0</v>
      </c>
      <c r="EF349">
        <f t="shared" si="2063"/>
        <v>0</v>
      </c>
      <c r="EG349">
        <f t="shared" si="2064"/>
        <v>0</v>
      </c>
    </row>
    <row r="350" spans="1:137" x14ac:dyDescent="0.2">
      <c r="A350" s="8" t="str">
        <f t="shared" si="2093"/>
        <v/>
      </c>
      <c r="B350">
        <f t="shared" si="2094"/>
        <v>0</v>
      </c>
      <c r="C350">
        <f t="shared" si="2095"/>
        <v>0</v>
      </c>
      <c r="D350">
        <f t="shared" si="2096"/>
        <v>0</v>
      </c>
      <c r="E350">
        <f t="shared" si="2097"/>
        <v>0</v>
      </c>
      <c r="F350">
        <f t="shared" si="2098"/>
        <v>0</v>
      </c>
      <c r="G350">
        <f t="shared" si="2099"/>
        <v>0</v>
      </c>
      <c r="H350">
        <f t="shared" si="2100"/>
        <v>0</v>
      </c>
      <c r="I350">
        <f t="shared" si="2101"/>
        <v>0</v>
      </c>
      <c r="J350">
        <f t="shared" si="2102"/>
        <v>0</v>
      </c>
      <c r="K350">
        <f t="shared" si="2103"/>
        <v>0</v>
      </c>
      <c r="L350">
        <f t="shared" si="2104"/>
        <v>0</v>
      </c>
      <c r="M350">
        <f t="shared" si="2105"/>
        <v>0</v>
      </c>
      <c r="BJ350" s="8" t="str">
        <f>Hidden!$CC18</f>
        <v/>
      </c>
      <c r="BK350">
        <f t="shared" si="2106"/>
        <v>0</v>
      </c>
      <c r="BL350">
        <f t="shared" si="2107"/>
        <v>0</v>
      </c>
      <c r="BM350">
        <f t="shared" si="2108"/>
        <v>0</v>
      </c>
      <c r="BN350">
        <f t="shared" si="2109"/>
        <v>0</v>
      </c>
      <c r="BO350">
        <f t="shared" si="2110"/>
        <v>0</v>
      </c>
      <c r="BP350">
        <f t="shared" si="2111"/>
        <v>0</v>
      </c>
      <c r="BQ350">
        <f t="shared" si="2112"/>
        <v>0</v>
      </c>
      <c r="BR350">
        <f t="shared" si="2113"/>
        <v>0</v>
      </c>
      <c r="BS350">
        <f t="shared" si="2114"/>
        <v>0</v>
      </c>
      <c r="BT350">
        <f t="shared" si="2115"/>
        <v>0</v>
      </c>
      <c r="BU350">
        <f t="shared" si="2116"/>
        <v>0</v>
      </c>
      <c r="BV350">
        <f t="shared" si="2117"/>
        <v>0</v>
      </c>
      <c r="DT350" s="77"/>
      <c r="DU350" s="8" t="str">
        <f>Hidden!$CG30</f>
        <v/>
      </c>
      <c r="DV350">
        <f t="shared" si="2053"/>
        <v>0</v>
      </c>
      <c r="DW350">
        <f t="shared" si="2054"/>
        <v>0</v>
      </c>
      <c r="DX350">
        <f t="shared" si="2055"/>
        <v>0</v>
      </c>
      <c r="DY350">
        <f t="shared" si="2056"/>
        <v>0</v>
      </c>
      <c r="DZ350">
        <f t="shared" si="2057"/>
        <v>0</v>
      </c>
      <c r="EA350">
        <f t="shared" si="2058"/>
        <v>0</v>
      </c>
      <c r="EB350">
        <f t="shared" si="2059"/>
        <v>0</v>
      </c>
      <c r="EC350">
        <f t="shared" si="2060"/>
        <v>0</v>
      </c>
      <c r="ED350">
        <f t="shared" si="2061"/>
        <v>0</v>
      </c>
      <c r="EE350">
        <f t="shared" si="2062"/>
        <v>0</v>
      </c>
      <c r="EF350">
        <f t="shared" si="2063"/>
        <v>0</v>
      </c>
      <c r="EG350">
        <f t="shared" si="2064"/>
        <v>0</v>
      </c>
    </row>
    <row r="351" spans="1:137" x14ac:dyDescent="0.2">
      <c r="A351" s="8" t="str">
        <f t="shared" si="2093"/>
        <v/>
      </c>
      <c r="B351">
        <f t="shared" si="2094"/>
        <v>0</v>
      </c>
      <c r="C351">
        <f t="shared" si="2095"/>
        <v>0</v>
      </c>
      <c r="D351">
        <f t="shared" si="2096"/>
        <v>0</v>
      </c>
      <c r="E351">
        <f t="shared" si="2097"/>
        <v>0</v>
      </c>
      <c r="F351">
        <f t="shared" si="2098"/>
        <v>0</v>
      </c>
      <c r="G351">
        <f t="shared" si="2099"/>
        <v>0</v>
      </c>
      <c r="H351">
        <f t="shared" si="2100"/>
        <v>0</v>
      </c>
      <c r="I351">
        <f t="shared" si="2101"/>
        <v>0</v>
      </c>
      <c r="J351">
        <f t="shared" si="2102"/>
        <v>0</v>
      </c>
      <c r="K351">
        <f t="shared" si="2103"/>
        <v>0</v>
      </c>
      <c r="L351">
        <f t="shared" si="2104"/>
        <v>0</v>
      </c>
      <c r="M351">
        <f t="shared" si="2105"/>
        <v>0</v>
      </c>
      <c r="BJ351" s="8" t="str">
        <f>Hidden!$CC19</f>
        <v/>
      </c>
      <c r="BK351">
        <f t="shared" si="2106"/>
        <v>0</v>
      </c>
      <c r="BL351">
        <f t="shared" si="2107"/>
        <v>0</v>
      </c>
      <c r="BM351">
        <f t="shared" si="2108"/>
        <v>0</v>
      </c>
      <c r="BN351">
        <f t="shared" si="2109"/>
        <v>0</v>
      </c>
      <c r="BO351">
        <f t="shared" si="2110"/>
        <v>0</v>
      </c>
      <c r="BP351">
        <f t="shared" si="2111"/>
        <v>0</v>
      </c>
      <c r="BQ351">
        <f t="shared" si="2112"/>
        <v>0</v>
      </c>
      <c r="BR351">
        <f t="shared" si="2113"/>
        <v>0</v>
      </c>
      <c r="BS351">
        <f t="shared" si="2114"/>
        <v>0</v>
      </c>
      <c r="BT351">
        <f t="shared" si="2115"/>
        <v>0</v>
      </c>
      <c r="BU351">
        <f t="shared" si="2116"/>
        <v>0</v>
      </c>
      <c r="BV351">
        <f t="shared" si="2117"/>
        <v>0</v>
      </c>
      <c r="DT351" s="77"/>
      <c r="DU351" s="8" t="str">
        <f>Hidden!$CG31</f>
        <v/>
      </c>
      <c r="DV351">
        <f t="shared" si="2053"/>
        <v>0</v>
      </c>
      <c r="DW351">
        <f t="shared" si="2054"/>
        <v>0</v>
      </c>
      <c r="DX351">
        <f t="shared" si="2055"/>
        <v>0</v>
      </c>
      <c r="DY351">
        <f t="shared" si="2056"/>
        <v>0</v>
      </c>
      <c r="DZ351">
        <f t="shared" si="2057"/>
        <v>0</v>
      </c>
      <c r="EA351">
        <f t="shared" si="2058"/>
        <v>0</v>
      </c>
      <c r="EB351">
        <f t="shared" si="2059"/>
        <v>0</v>
      </c>
      <c r="EC351">
        <f t="shared" si="2060"/>
        <v>0</v>
      </c>
      <c r="ED351">
        <f t="shared" si="2061"/>
        <v>0</v>
      </c>
      <c r="EE351">
        <f t="shared" si="2062"/>
        <v>0</v>
      </c>
      <c r="EF351">
        <f t="shared" si="2063"/>
        <v>0</v>
      </c>
      <c r="EG351">
        <f t="shared" si="2064"/>
        <v>0</v>
      </c>
    </row>
    <row r="352" spans="1:137" x14ac:dyDescent="0.2">
      <c r="A352" s="8" t="str">
        <f t="shared" si="2093"/>
        <v/>
      </c>
      <c r="B352">
        <f t="shared" si="2094"/>
        <v>0</v>
      </c>
      <c r="C352">
        <f t="shared" si="2095"/>
        <v>0</v>
      </c>
      <c r="D352">
        <f t="shared" si="2096"/>
        <v>0</v>
      </c>
      <c r="E352">
        <f t="shared" si="2097"/>
        <v>0</v>
      </c>
      <c r="F352">
        <f t="shared" si="2098"/>
        <v>0</v>
      </c>
      <c r="G352">
        <f t="shared" si="2099"/>
        <v>0</v>
      </c>
      <c r="H352">
        <f t="shared" si="2100"/>
        <v>0</v>
      </c>
      <c r="I352">
        <f t="shared" si="2101"/>
        <v>0</v>
      </c>
      <c r="J352">
        <f t="shared" si="2102"/>
        <v>0</v>
      </c>
      <c r="K352">
        <f t="shared" si="2103"/>
        <v>0</v>
      </c>
      <c r="L352">
        <f t="shared" si="2104"/>
        <v>0</v>
      </c>
      <c r="M352">
        <f t="shared" si="2105"/>
        <v>0</v>
      </c>
      <c r="BJ352" s="8" t="str">
        <f>Hidden!$CC20</f>
        <v/>
      </c>
      <c r="BK352">
        <f t="shared" si="2106"/>
        <v>0</v>
      </c>
      <c r="BL352">
        <f t="shared" si="2107"/>
        <v>0</v>
      </c>
      <c r="BM352">
        <f t="shared" si="2108"/>
        <v>0</v>
      </c>
      <c r="BN352">
        <f t="shared" si="2109"/>
        <v>0</v>
      </c>
      <c r="BO352">
        <f t="shared" si="2110"/>
        <v>0</v>
      </c>
      <c r="BP352">
        <f t="shared" si="2111"/>
        <v>0</v>
      </c>
      <c r="BQ352">
        <f t="shared" si="2112"/>
        <v>0</v>
      </c>
      <c r="BR352">
        <f t="shared" si="2113"/>
        <v>0</v>
      </c>
      <c r="BS352">
        <f t="shared" si="2114"/>
        <v>0</v>
      </c>
      <c r="BT352">
        <f t="shared" si="2115"/>
        <v>0</v>
      </c>
      <c r="BU352">
        <f t="shared" si="2116"/>
        <v>0</v>
      </c>
      <c r="BV352">
        <f t="shared" si="2117"/>
        <v>0</v>
      </c>
      <c r="DT352" s="77"/>
      <c r="DU352" s="8" t="str">
        <f>Hidden!$CG32</f>
        <v/>
      </c>
      <c r="DV352">
        <f t="shared" si="2053"/>
        <v>0</v>
      </c>
      <c r="DW352">
        <f t="shared" si="2054"/>
        <v>0</v>
      </c>
      <c r="DX352">
        <f t="shared" si="2055"/>
        <v>0</v>
      </c>
      <c r="DY352">
        <f t="shared" si="2056"/>
        <v>0</v>
      </c>
      <c r="DZ352">
        <f t="shared" si="2057"/>
        <v>0</v>
      </c>
      <c r="EA352">
        <f t="shared" si="2058"/>
        <v>0</v>
      </c>
      <c r="EB352">
        <f t="shared" si="2059"/>
        <v>0</v>
      </c>
      <c r="EC352">
        <f t="shared" si="2060"/>
        <v>0</v>
      </c>
      <c r="ED352">
        <f t="shared" si="2061"/>
        <v>0</v>
      </c>
      <c r="EE352">
        <f t="shared" si="2062"/>
        <v>0</v>
      </c>
      <c r="EF352">
        <f t="shared" si="2063"/>
        <v>0</v>
      </c>
      <c r="EG352">
        <f t="shared" si="2064"/>
        <v>0</v>
      </c>
    </row>
    <row r="353" spans="1:137" x14ac:dyDescent="0.2">
      <c r="A353" s="8" t="str">
        <f t="shared" si="2093"/>
        <v/>
      </c>
      <c r="B353">
        <f t="shared" si="2094"/>
        <v>0</v>
      </c>
      <c r="C353">
        <f t="shared" si="2095"/>
        <v>0</v>
      </c>
      <c r="D353">
        <f t="shared" si="2096"/>
        <v>0</v>
      </c>
      <c r="E353">
        <f t="shared" si="2097"/>
        <v>0</v>
      </c>
      <c r="F353">
        <f t="shared" si="2098"/>
        <v>0</v>
      </c>
      <c r="G353">
        <f t="shared" si="2099"/>
        <v>0</v>
      </c>
      <c r="H353">
        <f t="shared" si="2100"/>
        <v>0</v>
      </c>
      <c r="I353">
        <f t="shared" si="2101"/>
        <v>0</v>
      </c>
      <c r="J353">
        <f t="shared" si="2102"/>
        <v>0</v>
      </c>
      <c r="K353">
        <f t="shared" si="2103"/>
        <v>0</v>
      </c>
      <c r="L353">
        <f t="shared" si="2104"/>
        <v>0</v>
      </c>
      <c r="M353">
        <f t="shared" si="2105"/>
        <v>0</v>
      </c>
      <c r="BJ353" s="8" t="str">
        <f>Hidden!$CC21</f>
        <v/>
      </c>
      <c r="BK353">
        <f t="shared" si="2106"/>
        <v>0</v>
      </c>
      <c r="BL353">
        <f t="shared" si="2107"/>
        <v>0</v>
      </c>
      <c r="BM353">
        <f t="shared" si="2108"/>
        <v>0</v>
      </c>
      <c r="BN353">
        <f t="shared" si="2109"/>
        <v>0</v>
      </c>
      <c r="BO353">
        <f t="shared" si="2110"/>
        <v>0</v>
      </c>
      <c r="BP353">
        <f t="shared" si="2111"/>
        <v>0</v>
      </c>
      <c r="BQ353">
        <f t="shared" si="2112"/>
        <v>0</v>
      </c>
      <c r="BR353">
        <f t="shared" si="2113"/>
        <v>0</v>
      </c>
      <c r="BS353">
        <f t="shared" si="2114"/>
        <v>0</v>
      </c>
      <c r="BT353">
        <f t="shared" si="2115"/>
        <v>0</v>
      </c>
      <c r="BU353">
        <f t="shared" si="2116"/>
        <v>0</v>
      </c>
      <c r="BV353">
        <f t="shared" si="2117"/>
        <v>0</v>
      </c>
      <c r="DT353" s="77"/>
      <c r="DU353" s="8" t="str">
        <f>Hidden!$CG33</f>
        <v/>
      </c>
      <c r="DV353">
        <f t="shared" si="2053"/>
        <v>0</v>
      </c>
      <c r="DW353">
        <f t="shared" si="2054"/>
        <v>0</v>
      </c>
      <c r="DX353">
        <f t="shared" si="2055"/>
        <v>0</v>
      </c>
      <c r="DY353">
        <f t="shared" si="2056"/>
        <v>0</v>
      </c>
      <c r="DZ353">
        <f t="shared" si="2057"/>
        <v>0</v>
      </c>
      <c r="EA353">
        <f t="shared" si="2058"/>
        <v>0</v>
      </c>
      <c r="EB353">
        <f t="shared" si="2059"/>
        <v>0</v>
      </c>
      <c r="EC353">
        <f t="shared" si="2060"/>
        <v>0</v>
      </c>
      <c r="ED353">
        <f t="shared" si="2061"/>
        <v>0</v>
      </c>
      <c r="EE353">
        <f t="shared" si="2062"/>
        <v>0</v>
      </c>
      <c r="EF353">
        <f t="shared" si="2063"/>
        <v>0</v>
      </c>
      <c r="EG353">
        <f t="shared" si="2064"/>
        <v>0</v>
      </c>
    </row>
    <row r="354" spans="1:137" x14ac:dyDescent="0.2">
      <c r="A354" s="8" t="str">
        <f t="shared" si="2093"/>
        <v/>
      </c>
      <c r="B354">
        <f t="shared" si="2094"/>
        <v>0</v>
      </c>
      <c r="C354">
        <f t="shared" si="2095"/>
        <v>0</v>
      </c>
      <c r="D354">
        <f t="shared" si="2096"/>
        <v>0</v>
      </c>
      <c r="E354">
        <f t="shared" si="2097"/>
        <v>0</v>
      </c>
      <c r="F354">
        <f t="shared" si="2098"/>
        <v>0</v>
      </c>
      <c r="G354">
        <f t="shared" si="2099"/>
        <v>0</v>
      </c>
      <c r="H354">
        <f t="shared" si="2100"/>
        <v>0</v>
      </c>
      <c r="I354">
        <f t="shared" si="2101"/>
        <v>0</v>
      </c>
      <c r="J354">
        <f t="shared" si="2102"/>
        <v>0</v>
      </c>
      <c r="K354">
        <f t="shared" si="2103"/>
        <v>0</v>
      </c>
      <c r="L354">
        <f t="shared" si="2104"/>
        <v>0</v>
      </c>
      <c r="M354">
        <f t="shared" si="2105"/>
        <v>0</v>
      </c>
      <c r="BJ354" s="8" t="str">
        <f>Hidden!$CC22</f>
        <v/>
      </c>
      <c r="BK354">
        <f t="shared" si="2106"/>
        <v>0</v>
      </c>
      <c r="BL354">
        <f t="shared" si="2107"/>
        <v>0</v>
      </c>
      <c r="BM354">
        <f t="shared" si="2108"/>
        <v>0</v>
      </c>
      <c r="BN354">
        <f t="shared" si="2109"/>
        <v>0</v>
      </c>
      <c r="BO354">
        <f t="shared" si="2110"/>
        <v>0</v>
      </c>
      <c r="BP354">
        <f t="shared" si="2111"/>
        <v>0</v>
      </c>
      <c r="BQ354">
        <f t="shared" si="2112"/>
        <v>0</v>
      </c>
      <c r="BR354">
        <f t="shared" si="2113"/>
        <v>0</v>
      </c>
      <c r="BS354">
        <f t="shared" si="2114"/>
        <v>0</v>
      </c>
      <c r="BT354">
        <f t="shared" si="2115"/>
        <v>0</v>
      </c>
      <c r="BU354">
        <f t="shared" si="2116"/>
        <v>0</v>
      </c>
      <c r="BV354">
        <f t="shared" si="2117"/>
        <v>0</v>
      </c>
      <c r="DT354" s="77"/>
      <c r="DU354" s="8" t="str">
        <f>Hidden!$CG34</f>
        <v/>
      </c>
      <c r="DV354">
        <f t="shared" si="2053"/>
        <v>0</v>
      </c>
      <c r="DW354">
        <f t="shared" si="2054"/>
        <v>0</v>
      </c>
      <c r="DX354">
        <f t="shared" si="2055"/>
        <v>0</v>
      </c>
      <c r="DY354">
        <f t="shared" si="2056"/>
        <v>0</v>
      </c>
      <c r="DZ354">
        <f t="shared" si="2057"/>
        <v>0</v>
      </c>
      <c r="EA354">
        <f t="shared" si="2058"/>
        <v>0</v>
      </c>
      <c r="EB354">
        <f t="shared" si="2059"/>
        <v>0</v>
      </c>
      <c r="EC354">
        <f t="shared" si="2060"/>
        <v>0</v>
      </c>
      <c r="ED354">
        <f t="shared" si="2061"/>
        <v>0</v>
      </c>
      <c r="EE354">
        <f t="shared" si="2062"/>
        <v>0</v>
      </c>
      <c r="EF354">
        <f t="shared" si="2063"/>
        <v>0</v>
      </c>
      <c r="EG354">
        <f t="shared" si="2064"/>
        <v>0</v>
      </c>
    </row>
    <row r="355" spans="1:137" x14ac:dyDescent="0.2">
      <c r="A355" s="8" t="str">
        <f t="shared" si="2093"/>
        <v/>
      </c>
      <c r="B355">
        <f t="shared" si="2094"/>
        <v>0</v>
      </c>
      <c r="C355">
        <f t="shared" si="2095"/>
        <v>0</v>
      </c>
      <c r="D355">
        <f t="shared" si="2096"/>
        <v>0</v>
      </c>
      <c r="E355">
        <f t="shared" si="2097"/>
        <v>0</v>
      </c>
      <c r="F355">
        <f t="shared" si="2098"/>
        <v>0</v>
      </c>
      <c r="G355">
        <f t="shared" si="2099"/>
        <v>0</v>
      </c>
      <c r="H355">
        <f t="shared" si="2100"/>
        <v>0</v>
      </c>
      <c r="I355">
        <f t="shared" si="2101"/>
        <v>0</v>
      </c>
      <c r="J355">
        <f t="shared" si="2102"/>
        <v>0</v>
      </c>
      <c r="K355">
        <f t="shared" si="2103"/>
        <v>0</v>
      </c>
      <c r="L355">
        <f t="shared" si="2104"/>
        <v>0</v>
      </c>
      <c r="M355">
        <f t="shared" si="2105"/>
        <v>0</v>
      </c>
      <c r="BJ355" s="8" t="str">
        <f>Hidden!$CC23</f>
        <v/>
      </c>
      <c r="BK355">
        <f t="shared" si="2106"/>
        <v>0</v>
      </c>
      <c r="BL355">
        <f t="shared" si="2107"/>
        <v>0</v>
      </c>
      <c r="BM355">
        <f t="shared" si="2108"/>
        <v>0</v>
      </c>
      <c r="BN355">
        <f t="shared" si="2109"/>
        <v>0</v>
      </c>
      <c r="BO355">
        <f t="shared" si="2110"/>
        <v>0</v>
      </c>
      <c r="BP355">
        <f t="shared" si="2111"/>
        <v>0</v>
      </c>
      <c r="BQ355">
        <f t="shared" si="2112"/>
        <v>0</v>
      </c>
      <c r="BR355">
        <f t="shared" si="2113"/>
        <v>0</v>
      </c>
      <c r="BS355">
        <f t="shared" si="2114"/>
        <v>0</v>
      </c>
      <c r="BT355">
        <f t="shared" si="2115"/>
        <v>0</v>
      </c>
      <c r="BU355">
        <f t="shared" si="2116"/>
        <v>0</v>
      </c>
      <c r="BV355">
        <f t="shared" si="2117"/>
        <v>0</v>
      </c>
      <c r="DT355" s="77"/>
      <c r="DU355" s="8" t="str">
        <f>Hidden!$CG35</f>
        <v/>
      </c>
      <c r="DV355">
        <f t="shared" si="2053"/>
        <v>0</v>
      </c>
      <c r="DW355">
        <f t="shared" si="2054"/>
        <v>0</v>
      </c>
      <c r="DX355">
        <f t="shared" si="2055"/>
        <v>0</v>
      </c>
      <c r="DY355">
        <f t="shared" si="2056"/>
        <v>0</v>
      </c>
      <c r="DZ355">
        <f t="shared" si="2057"/>
        <v>0</v>
      </c>
      <c r="EA355">
        <f t="shared" si="2058"/>
        <v>0</v>
      </c>
      <c r="EB355">
        <f t="shared" si="2059"/>
        <v>0</v>
      </c>
      <c r="EC355">
        <f t="shared" si="2060"/>
        <v>0</v>
      </c>
      <c r="ED355">
        <f t="shared" si="2061"/>
        <v>0</v>
      </c>
      <c r="EE355">
        <f t="shared" si="2062"/>
        <v>0</v>
      </c>
      <c r="EF355">
        <f t="shared" si="2063"/>
        <v>0</v>
      </c>
      <c r="EG355">
        <f t="shared" si="2064"/>
        <v>0</v>
      </c>
    </row>
    <row r="356" spans="1:137" x14ac:dyDescent="0.2">
      <c r="A356" s="8" t="str">
        <f t="shared" si="2093"/>
        <v/>
      </c>
      <c r="B356">
        <f t="shared" si="2094"/>
        <v>0</v>
      </c>
      <c r="C356">
        <f t="shared" si="2095"/>
        <v>0</v>
      </c>
      <c r="D356">
        <f t="shared" si="2096"/>
        <v>0</v>
      </c>
      <c r="E356">
        <f t="shared" si="2097"/>
        <v>0</v>
      </c>
      <c r="F356">
        <f t="shared" si="2098"/>
        <v>0</v>
      </c>
      <c r="G356">
        <f t="shared" si="2099"/>
        <v>0</v>
      </c>
      <c r="H356">
        <f t="shared" si="2100"/>
        <v>0</v>
      </c>
      <c r="I356">
        <f t="shared" si="2101"/>
        <v>0</v>
      </c>
      <c r="J356">
        <f t="shared" si="2102"/>
        <v>0</v>
      </c>
      <c r="K356">
        <f t="shared" si="2103"/>
        <v>0</v>
      </c>
      <c r="L356">
        <f t="shared" si="2104"/>
        <v>0</v>
      </c>
      <c r="M356">
        <f t="shared" si="2105"/>
        <v>0</v>
      </c>
      <c r="BJ356" s="8" t="str">
        <f>Hidden!$CC24</f>
        <v/>
      </c>
      <c r="BK356">
        <f t="shared" si="2106"/>
        <v>0</v>
      </c>
      <c r="BL356">
        <f t="shared" si="2107"/>
        <v>0</v>
      </c>
      <c r="BM356">
        <f t="shared" si="2108"/>
        <v>0</v>
      </c>
      <c r="BN356">
        <f t="shared" si="2109"/>
        <v>0</v>
      </c>
      <c r="BO356">
        <f t="shared" si="2110"/>
        <v>0</v>
      </c>
      <c r="BP356">
        <f t="shared" si="2111"/>
        <v>0</v>
      </c>
      <c r="BQ356">
        <f t="shared" si="2112"/>
        <v>0</v>
      </c>
      <c r="BR356">
        <f t="shared" si="2113"/>
        <v>0</v>
      </c>
      <c r="BS356">
        <f t="shared" si="2114"/>
        <v>0</v>
      </c>
      <c r="BT356">
        <f t="shared" si="2115"/>
        <v>0</v>
      </c>
      <c r="BU356">
        <f t="shared" si="2116"/>
        <v>0</v>
      </c>
      <c r="BV356">
        <f t="shared" si="2117"/>
        <v>0</v>
      </c>
      <c r="DT356" s="77"/>
      <c r="DU356" s="8" t="str">
        <f>Hidden!$CG36</f>
        <v/>
      </c>
      <c r="DV356">
        <f t="shared" si="2053"/>
        <v>0</v>
      </c>
      <c r="DW356">
        <f t="shared" si="2054"/>
        <v>0</v>
      </c>
      <c r="DX356">
        <f t="shared" si="2055"/>
        <v>0</v>
      </c>
      <c r="DY356">
        <f t="shared" si="2056"/>
        <v>0</v>
      </c>
      <c r="DZ356">
        <f t="shared" si="2057"/>
        <v>0</v>
      </c>
      <c r="EA356">
        <f t="shared" si="2058"/>
        <v>0</v>
      </c>
      <c r="EB356">
        <f t="shared" si="2059"/>
        <v>0</v>
      </c>
      <c r="EC356">
        <f t="shared" si="2060"/>
        <v>0</v>
      </c>
      <c r="ED356">
        <f t="shared" si="2061"/>
        <v>0</v>
      </c>
      <c r="EE356">
        <f t="shared" si="2062"/>
        <v>0</v>
      </c>
      <c r="EF356">
        <f t="shared" si="2063"/>
        <v>0</v>
      </c>
      <c r="EG356">
        <f t="shared" si="2064"/>
        <v>0</v>
      </c>
    </row>
    <row r="357" spans="1:137" x14ac:dyDescent="0.2">
      <c r="A357" s="8" t="str">
        <f t="shared" si="2093"/>
        <v/>
      </c>
      <c r="B357">
        <f t="shared" si="2094"/>
        <v>0</v>
      </c>
      <c r="C357">
        <f t="shared" si="2095"/>
        <v>0</v>
      </c>
      <c r="D357">
        <f t="shared" si="2096"/>
        <v>0</v>
      </c>
      <c r="E357">
        <f t="shared" si="2097"/>
        <v>0</v>
      </c>
      <c r="F357">
        <f t="shared" si="2098"/>
        <v>0</v>
      </c>
      <c r="G357">
        <f t="shared" si="2099"/>
        <v>0</v>
      </c>
      <c r="H357">
        <f t="shared" si="2100"/>
        <v>0</v>
      </c>
      <c r="I357">
        <f t="shared" si="2101"/>
        <v>0</v>
      </c>
      <c r="J357">
        <f t="shared" si="2102"/>
        <v>0</v>
      </c>
      <c r="K357">
        <f t="shared" si="2103"/>
        <v>0</v>
      </c>
      <c r="L357">
        <f t="shared" si="2104"/>
        <v>0</v>
      </c>
      <c r="M357">
        <f t="shared" si="2105"/>
        <v>0</v>
      </c>
      <c r="BJ357" s="8" t="str">
        <f>Hidden!$CC25</f>
        <v/>
      </c>
      <c r="BK357">
        <f t="shared" si="2106"/>
        <v>0</v>
      </c>
      <c r="BL357">
        <f t="shared" si="2107"/>
        <v>0</v>
      </c>
      <c r="BM357">
        <f t="shared" si="2108"/>
        <v>0</v>
      </c>
      <c r="BN357">
        <f t="shared" si="2109"/>
        <v>0</v>
      </c>
      <c r="BO357">
        <f t="shared" si="2110"/>
        <v>0</v>
      </c>
      <c r="BP357">
        <f t="shared" si="2111"/>
        <v>0</v>
      </c>
      <c r="BQ357">
        <f t="shared" si="2112"/>
        <v>0</v>
      </c>
      <c r="BR357">
        <f t="shared" si="2113"/>
        <v>0</v>
      </c>
      <c r="BS357">
        <f t="shared" si="2114"/>
        <v>0</v>
      </c>
      <c r="BT357">
        <f t="shared" si="2115"/>
        <v>0</v>
      </c>
      <c r="BU357">
        <f t="shared" si="2116"/>
        <v>0</v>
      </c>
      <c r="BV357">
        <f t="shared" si="2117"/>
        <v>0</v>
      </c>
      <c r="DT357" s="77"/>
      <c r="DU357" s="8" t="str">
        <f>Hidden!$CG37</f>
        <v/>
      </c>
      <c r="DV357">
        <f t="shared" si="2053"/>
        <v>0</v>
      </c>
      <c r="DW357">
        <f t="shared" si="2054"/>
        <v>0</v>
      </c>
      <c r="DX357">
        <f t="shared" si="2055"/>
        <v>0</v>
      </c>
      <c r="DY357">
        <f t="shared" si="2056"/>
        <v>0</v>
      </c>
      <c r="DZ357">
        <f t="shared" si="2057"/>
        <v>0</v>
      </c>
      <c r="EA357">
        <f t="shared" si="2058"/>
        <v>0</v>
      </c>
      <c r="EB357">
        <f t="shared" si="2059"/>
        <v>0</v>
      </c>
      <c r="EC357">
        <f t="shared" si="2060"/>
        <v>0</v>
      </c>
      <c r="ED357">
        <f t="shared" si="2061"/>
        <v>0</v>
      </c>
      <c r="EE357">
        <f t="shared" si="2062"/>
        <v>0</v>
      </c>
      <c r="EF357">
        <f t="shared" si="2063"/>
        <v>0</v>
      </c>
      <c r="EG357">
        <f t="shared" si="2064"/>
        <v>0</v>
      </c>
    </row>
    <row r="358" spans="1:137" x14ac:dyDescent="0.2">
      <c r="A358" s="8" t="str">
        <f t="shared" si="2093"/>
        <v/>
      </c>
      <c r="B358">
        <f t="shared" si="2094"/>
        <v>0</v>
      </c>
      <c r="C358">
        <f t="shared" si="2095"/>
        <v>0</v>
      </c>
      <c r="D358">
        <f t="shared" si="2096"/>
        <v>0</v>
      </c>
      <c r="E358">
        <f t="shared" si="2097"/>
        <v>0</v>
      </c>
      <c r="F358">
        <f t="shared" si="2098"/>
        <v>0</v>
      </c>
      <c r="G358">
        <f t="shared" si="2099"/>
        <v>0</v>
      </c>
      <c r="H358">
        <f t="shared" si="2100"/>
        <v>0</v>
      </c>
      <c r="I358">
        <f t="shared" si="2101"/>
        <v>0</v>
      </c>
      <c r="J358">
        <f t="shared" si="2102"/>
        <v>0</v>
      </c>
      <c r="K358">
        <f t="shared" si="2103"/>
        <v>0</v>
      </c>
      <c r="L358">
        <f t="shared" si="2104"/>
        <v>0</v>
      </c>
      <c r="M358">
        <f t="shared" si="2105"/>
        <v>0</v>
      </c>
      <c r="BJ358" s="8" t="str">
        <f>Hidden!$CC26</f>
        <v/>
      </c>
      <c r="BK358">
        <f t="shared" si="2106"/>
        <v>0</v>
      </c>
      <c r="BL358">
        <f t="shared" si="2107"/>
        <v>0</v>
      </c>
      <c r="BM358">
        <f t="shared" si="2108"/>
        <v>0</v>
      </c>
      <c r="BN358">
        <f t="shared" si="2109"/>
        <v>0</v>
      </c>
      <c r="BO358">
        <f t="shared" si="2110"/>
        <v>0</v>
      </c>
      <c r="BP358">
        <f t="shared" si="2111"/>
        <v>0</v>
      </c>
      <c r="BQ358">
        <f t="shared" si="2112"/>
        <v>0</v>
      </c>
      <c r="BR358">
        <f t="shared" si="2113"/>
        <v>0</v>
      </c>
      <c r="BS358">
        <f t="shared" si="2114"/>
        <v>0</v>
      </c>
      <c r="BT358">
        <f t="shared" si="2115"/>
        <v>0</v>
      </c>
      <c r="BU358">
        <f t="shared" si="2116"/>
        <v>0</v>
      </c>
      <c r="BV358">
        <f t="shared" si="2117"/>
        <v>0</v>
      </c>
      <c r="DT358" s="77"/>
      <c r="DU358" s="8" t="str">
        <f>Hidden!$CG38</f>
        <v/>
      </c>
      <c r="DV358">
        <f t="shared" si="2053"/>
        <v>0</v>
      </c>
      <c r="DW358">
        <f t="shared" si="2054"/>
        <v>0</v>
      </c>
      <c r="DX358">
        <f t="shared" si="2055"/>
        <v>0</v>
      </c>
      <c r="DY358">
        <f t="shared" si="2056"/>
        <v>0</v>
      </c>
      <c r="DZ358">
        <f t="shared" si="2057"/>
        <v>0</v>
      </c>
      <c r="EA358">
        <f t="shared" si="2058"/>
        <v>0</v>
      </c>
      <c r="EB358">
        <f t="shared" si="2059"/>
        <v>0</v>
      </c>
      <c r="EC358">
        <f t="shared" si="2060"/>
        <v>0</v>
      </c>
      <c r="ED358">
        <f t="shared" si="2061"/>
        <v>0</v>
      </c>
      <c r="EE358">
        <f t="shared" si="2062"/>
        <v>0</v>
      </c>
      <c r="EF358">
        <f t="shared" si="2063"/>
        <v>0</v>
      </c>
      <c r="EG358">
        <f t="shared" si="2064"/>
        <v>0</v>
      </c>
    </row>
    <row r="359" spans="1:137" x14ac:dyDescent="0.2">
      <c r="A359" s="8" t="str">
        <f t="shared" si="2093"/>
        <v/>
      </c>
      <c r="B359">
        <f t="shared" si="2094"/>
        <v>0</v>
      </c>
      <c r="C359">
        <f t="shared" si="2095"/>
        <v>0</v>
      </c>
      <c r="D359">
        <f t="shared" si="2096"/>
        <v>0</v>
      </c>
      <c r="E359">
        <f t="shared" si="2097"/>
        <v>0</v>
      </c>
      <c r="F359">
        <f t="shared" si="2098"/>
        <v>0</v>
      </c>
      <c r="G359">
        <f t="shared" si="2099"/>
        <v>0</v>
      </c>
      <c r="H359">
        <f t="shared" si="2100"/>
        <v>0</v>
      </c>
      <c r="I359">
        <f t="shared" si="2101"/>
        <v>0</v>
      </c>
      <c r="J359">
        <f t="shared" si="2102"/>
        <v>0</v>
      </c>
      <c r="K359">
        <f t="shared" si="2103"/>
        <v>0</v>
      </c>
      <c r="L359">
        <f t="shared" si="2104"/>
        <v>0</v>
      </c>
      <c r="M359">
        <f t="shared" si="2105"/>
        <v>0</v>
      </c>
      <c r="BJ359" s="8" t="str">
        <f>Hidden!$CC27</f>
        <v/>
      </c>
      <c r="BK359">
        <f t="shared" si="2106"/>
        <v>0</v>
      </c>
      <c r="BL359">
        <f t="shared" si="2107"/>
        <v>0</v>
      </c>
      <c r="BM359">
        <f t="shared" si="2108"/>
        <v>0</v>
      </c>
      <c r="BN359">
        <f t="shared" si="2109"/>
        <v>0</v>
      </c>
      <c r="BO359">
        <f t="shared" si="2110"/>
        <v>0</v>
      </c>
      <c r="BP359">
        <f t="shared" si="2111"/>
        <v>0</v>
      </c>
      <c r="BQ359">
        <f t="shared" si="2112"/>
        <v>0</v>
      </c>
      <c r="BR359">
        <f t="shared" si="2113"/>
        <v>0</v>
      </c>
      <c r="BS359">
        <f t="shared" si="2114"/>
        <v>0</v>
      </c>
      <c r="BT359">
        <f t="shared" si="2115"/>
        <v>0</v>
      </c>
      <c r="BU359">
        <f t="shared" si="2116"/>
        <v>0</v>
      </c>
      <c r="BV359">
        <f t="shared" si="2117"/>
        <v>0</v>
      </c>
      <c r="DT359" s="77"/>
      <c r="DU359" s="8" t="str">
        <f>Hidden!$CG39</f>
        <v/>
      </c>
      <c r="DV359">
        <f t="shared" si="2053"/>
        <v>0</v>
      </c>
      <c r="DW359">
        <f t="shared" si="2054"/>
        <v>0</v>
      </c>
      <c r="DX359">
        <f t="shared" si="2055"/>
        <v>0</v>
      </c>
      <c r="DY359">
        <f t="shared" si="2056"/>
        <v>0</v>
      </c>
      <c r="DZ359">
        <f t="shared" si="2057"/>
        <v>0</v>
      </c>
      <c r="EA359">
        <f t="shared" si="2058"/>
        <v>0</v>
      </c>
      <c r="EB359">
        <f t="shared" si="2059"/>
        <v>0</v>
      </c>
      <c r="EC359">
        <f t="shared" si="2060"/>
        <v>0</v>
      </c>
      <c r="ED359">
        <f t="shared" si="2061"/>
        <v>0</v>
      </c>
      <c r="EE359">
        <f t="shared" si="2062"/>
        <v>0</v>
      </c>
      <c r="EF359">
        <f t="shared" si="2063"/>
        <v>0</v>
      </c>
      <c r="EG359">
        <f t="shared" si="2064"/>
        <v>0</v>
      </c>
    </row>
    <row r="360" spans="1:137" x14ac:dyDescent="0.2">
      <c r="A360" s="8" t="str">
        <f t="shared" si="2093"/>
        <v/>
      </c>
      <c r="B360">
        <f t="shared" si="2094"/>
        <v>0</v>
      </c>
      <c r="C360">
        <f t="shared" si="2095"/>
        <v>0</v>
      </c>
      <c r="D360">
        <f t="shared" si="2096"/>
        <v>0</v>
      </c>
      <c r="E360">
        <f t="shared" si="2097"/>
        <v>0</v>
      </c>
      <c r="F360">
        <f t="shared" si="2098"/>
        <v>0</v>
      </c>
      <c r="G360">
        <f t="shared" si="2099"/>
        <v>0</v>
      </c>
      <c r="H360">
        <f t="shared" si="2100"/>
        <v>0</v>
      </c>
      <c r="I360">
        <f t="shared" si="2101"/>
        <v>0</v>
      </c>
      <c r="J360">
        <f t="shared" si="2102"/>
        <v>0</v>
      </c>
      <c r="K360">
        <f t="shared" si="2103"/>
        <v>0</v>
      </c>
      <c r="L360">
        <f t="shared" si="2104"/>
        <v>0</v>
      </c>
      <c r="M360">
        <f t="shared" si="2105"/>
        <v>0</v>
      </c>
      <c r="BJ360" s="8" t="str">
        <f>Hidden!$CC28</f>
        <v/>
      </c>
      <c r="BK360">
        <f t="shared" si="2106"/>
        <v>0</v>
      </c>
      <c r="BL360">
        <f t="shared" si="2107"/>
        <v>0</v>
      </c>
      <c r="BM360">
        <f t="shared" si="2108"/>
        <v>0</v>
      </c>
      <c r="BN360">
        <f t="shared" si="2109"/>
        <v>0</v>
      </c>
      <c r="BO360">
        <f t="shared" si="2110"/>
        <v>0</v>
      </c>
      <c r="BP360">
        <f t="shared" si="2111"/>
        <v>0</v>
      </c>
      <c r="BQ360">
        <f t="shared" si="2112"/>
        <v>0</v>
      </c>
      <c r="BR360">
        <f t="shared" si="2113"/>
        <v>0</v>
      </c>
      <c r="BS360">
        <f t="shared" si="2114"/>
        <v>0</v>
      </c>
      <c r="BT360">
        <f t="shared" si="2115"/>
        <v>0</v>
      </c>
      <c r="BU360">
        <f t="shared" si="2116"/>
        <v>0</v>
      </c>
      <c r="BV360">
        <f t="shared" si="2117"/>
        <v>0</v>
      </c>
      <c r="DT360" s="77"/>
      <c r="DU360" s="8" t="str">
        <f>Hidden!$CG40</f>
        <v/>
      </c>
      <c r="DV360">
        <f t="shared" si="2053"/>
        <v>0</v>
      </c>
      <c r="DW360">
        <f t="shared" si="2054"/>
        <v>0</v>
      </c>
      <c r="DX360">
        <f t="shared" si="2055"/>
        <v>0</v>
      </c>
      <c r="DY360">
        <f t="shared" si="2056"/>
        <v>0</v>
      </c>
      <c r="DZ360">
        <f t="shared" si="2057"/>
        <v>0</v>
      </c>
      <c r="EA360">
        <f t="shared" si="2058"/>
        <v>0</v>
      </c>
      <c r="EB360">
        <f t="shared" si="2059"/>
        <v>0</v>
      </c>
      <c r="EC360">
        <f t="shared" si="2060"/>
        <v>0</v>
      </c>
      <c r="ED360">
        <f t="shared" si="2061"/>
        <v>0</v>
      </c>
      <c r="EE360">
        <f t="shared" si="2062"/>
        <v>0</v>
      </c>
      <c r="EF360">
        <f t="shared" si="2063"/>
        <v>0</v>
      </c>
      <c r="EG360">
        <f t="shared" si="2064"/>
        <v>0</v>
      </c>
    </row>
    <row r="361" spans="1:137" x14ac:dyDescent="0.2">
      <c r="A361" s="8" t="str">
        <f t="shared" si="2093"/>
        <v/>
      </c>
      <c r="B361">
        <f t="shared" si="2094"/>
        <v>0</v>
      </c>
      <c r="C361">
        <f t="shared" si="2095"/>
        <v>0</v>
      </c>
      <c r="D361">
        <f t="shared" si="2096"/>
        <v>0</v>
      </c>
      <c r="E361">
        <f t="shared" si="2097"/>
        <v>0</v>
      </c>
      <c r="F361">
        <f t="shared" si="2098"/>
        <v>0</v>
      </c>
      <c r="G361">
        <f t="shared" si="2099"/>
        <v>0</v>
      </c>
      <c r="H361">
        <f t="shared" si="2100"/>
        <v>0</v>
      </c>
      <c r="I361">
        <f t="shared" si="2101"/>
        <v>0</v>
      </c>
      <c r="J361">
        <f t="shared" si="2102"/>
        <v>0</v>
      </c>
      <c r="K361">
        <f t="shared" si="2103"/>
        <v>0</v>
      </c>
      <c r="L361">
        <f t="shared" si="2104"/>
        <v>0</v>
      </c>
      <c r="M361">
        <f t="shared" si="2105"/>
        <v>0</v>
      </c>
      <c r="BJ361" s="8" t="str">
        <f>Hidden!$CC29</f>
        <v/>
      </c>
      <c r="BK361">
        <f t="shared" si="2106"/>
        <v>0</v>
      </c>
      <c r="BL361">
        <f t="shared" si="2107"/>
        <v>0</v>
      </c>
      <c r="BM361">
        <f t="shared" si="2108"/>
        <v>0</v>
      </c>
      <c r="BN361">
        <f t="shared" si="2109"/>
        <v>0</v>
      </c>
      <c r="BO361">
        <f t="shared" si="2110"/>
        <v>0</v>
      </c>
      <c r="BP361">
        <f t="shared" si="2111"/>
        <v>0</v>
      </c>
      <c r="BQ361">
        <f t="shared" si="2112"/>
        <v>0</v>
      </c>
      <c r="BR361">
        <f t="shared" si="2113"/>
        <v>0</v>
      </c>
      <c r="BS361">
        <f t="shared" si="2114"/>
        <v>0</v>
      </c>
      <c r="BT361">
        <f t="shared" si="2115"/>
        <v>0</v>
      </c>
      <c r="BU361">
        <f t="shared" si="2116"/>
        <v>0</v>
      </c>
      <c r="BV361">
        <f t="shared" si="2117"/>
        <v>0</v>
      </c>
      <c r="DT361" s="77"/>
      <c r="DU361" s="8" t="str">
        <f>Hidden!$CG41</f>
        <v/>
      </c>
      <c r="DV361">
        <f t="shared" si="2053"/>
        <v>0</v>
      </c>
      <c r="DW361">
        <f t="shared" si="2054"/>
        <v>0</v>
      </c>
      <c r="DX361">
        <f t="shared" si="2055"/>
        <v>0</v>
      </c>
      <c r="DY361">
        <f t="shared" si="2056"/>
        <v>0</v>
      </c>
      <c r="DZ361">
        <f t="shared" si="2057"/>
        <v>0</v>
      </c>
      <c r="EA361">
        <f t="shared" si="2058"/>
        <v>0</v>
      </c>
      <c r="EB361">
        <f t="shared" si="2059"/>
        <v>0</v>
      </c>
      <c r="EC361">
        <f t="shared" si="2060"/>
        <v>0</v>
      </c>
      <c r="ED361">
        <f t="shared" si="2061"/>
        <v>0</v>
      </c>
      <c r="EE361">
        <f t="shared" si="2062"/>
        <v>0</v>
      </c>
      <c r="EF361">
        <f t="shared" si="2063"/>
        <v>0</v>
      </c>
      <c r="EG361">
        <f t="shared" si="2064"/>
        <v>0</v>
      </c>
    </row>
    <row r="362" spans="1:137" x14ac:dyDescent="0.2">
      <c r="A362" s="8" t="str">
        <f t="shared" si="2093"/>
        <v/>
      </c>
      <c r="B362">
        <f t="shared" si="2094"/>
        <v>0</v>
      </c>
      <c r="C362">
        <f t="shared" si="2095"/>
        <v>0</v>
      </c>
      <c r="D362">
        <f t="shared" si="2096"/>
        <v>0</v>
      </c>
      <c r="E362">
        <f t="shared" si="2097"/>
        <v>0</v>
      </c>
      <c r="F362">
        <f t="shared" si="2098"/>
        <v>0</v>
      </c>
      <c r="G362">
        <f t="shared" si="2099"/>
        <v>0</v>
      </c>
      <c r="H362">
        <f t="shared" si="2100"/>
        <v>0</v>
      </c>
      <c r="I362">
        <f t="shared" si="2101"/>
        <v>0</v>
      </c>
      <c r="J362">
        <f t="shared" si="2102"/>
        <v>0</v>
      </c>
      <c r="K362">
        <f t="shared" si="2103"/>
        <v>0</v>
      </c>
      <c r="L362">
        <f t="shared" si="2104"/>
        <v>0</v>
      </c>
      <c r="M362">
        <f t="shared" si="2105"/>
        <v>0</v>
      </c>
      <c r="BJ362" s="8" t="str">
        <f>Hidden!$CC30</f>
        <v/>
      </c>
      <c r="BK362">
        <f t="shared" si="2106"/>
        <v>0</v>
      </c>
      <c r="BL362">
        <f t="shared" si="2107"/>
        <v>0</v>
      </c>
      <c r="BM362">
        <f t="shared" si="2108"/>
        <v>0</v>
      </c>
      <c r="BN362">
        <f t="shared" si="2109"/>
        <v>0</v>
      </c>
      <c r="BO362">
        <f t="shared" si="2110"/>
        <v>0</v>
      </c>
      <c r="BP362">
        <f t="shared" si="2111"/>
        <v>0</v>
      </c>
      <c r="BQ362">
        <f t="shared" si="2112"/>
        <v>0</v>
      </c>
      <c r="BR362">
        <f t="shared" si="2113"/>
        <v>0</v>
      </c>
      <c r="BS362">
        <f t="shared" si="2114"/>
        <v>0</v>
      </c>
      <c r="BT362">
        <f t="shared" si="2115"/>
        <v>0</v>
      </c>
      <c r="BU362">
        <f t="shared" si="2116"/>
        <v>0</v>
      </c>
      <c r="BV362">
        <f t="shared" si="2117"/>
        <v>0</v>
      </c>
      <c r="DT362" s="77"/>
      <c r="DU362" s="8" t="str">
        <f>Hidden!$CG42</f>
        <v/>
      </c>
      <c r="DV362">
        <f t="shared" si="2053"/>
        <v>0</v>
      </c>
      <c r="DW362">
        <f t="shared" si="2054"/>
        <v>0</v>
      </c>
      <c r="DX362">
        <f t="shared" si="2055"/>
        <v>0</v>
      </c>
      <c r="DY362">
        <f t="shared" si="2056"/>
        <v>0</v>
      </c>
      <c r="DZ362">
        <f t="shared" si="2057"/>
        <v>0</v>
      </c>
      <c r="EA362">
        <f t="shared" si="2058"/>
        <v>0</v>
      </c>
      <c r="EB362">
        <f t="shared" si="2059"/>
        <v>0</v>
      </c>
      <c r="EC362">
        <f t="shared" si="2060"/>
        <v>0</v>
      </c>
      <c r="ED362">
        <f t="shared" si="2061"/>
        <v>0</v>
      </c>
      <c r="EE362">
        <f t="shared" si="2062"/>
        <v>0</v>
      </c>
      <c r="EF362">
        <f t="shared" si="2063"/>
        <v>0</v>
      </c>
      <c r="EG362">
        <f t="shared" si="2064"/>
        <v>0</v>
      </c>
    </row>
    <row r="363" spans="1:137" x14ac:dyDescent="0.2">
      <c r="A363" s="8" t="str">
        <f t="shared" si="2093"/>
        <v/>
      </c>
      <c r="B363">
        <f t="shared" si="2094"/>
        <v>0</v>
      </c>
      <c r="C363">
        <f t="shared" si="2095"/>
        <v>0</v>
      </c>
      <c r="D363">
        <f t="shared" si="2096"/>
        <v>0</v>
      </c>
      <c r="E363">
        <f t="shared" si="2097"/>
        <v>0</v>
      </c>
      <c r="F363">
        <f t="shared" si="2098"/>
        <v>0</v>
      </c>
      <c r="G363">
        <f t="shared" si="2099"/>
        <v>0</v>
      </c>
      <c r="H363">
        <f t="shared" si="2100"/>
        <v>0</v>
      </c>
      <c r="I363">
        <f t="shared" si="2101"/>
        <v>0</v>
      </c>
      <c r="J363">
        <f t="shared" si="2102"/>
        <v>0</v>
      </c>
      <c r="K363">
        <f t="shared" si="2103"/>
        <v>0</v>
      </c>
      <c r="L363">
        <f t="shared" si="2104"/>
        <v>0</v>
      </c>
      <c r="M363">
        <f t="shared" si="2105"/>
        <v>0</v>
      </c>
      <c r="BJ363" s="8" t="str">
        <f>Hidden!$CC31</f>
        <v/>
      </c>
      <c r="BK363">
        <f t="shared" si="2106"/>
        <v>0</v>
      </c>
      <c r="BL363">
        <f t="shared" si="2107"/>
        <v>0</v>
      </c>
      <c r="BM363">
        <f t="shared" si="2108"/>
        <v>0</v>
      </c>
      <c r="BN363">
        <f t="shared" si="2109"/>
        <v>0</v>
      </c>
      <c r="BO363">
        <f t="shared" si="2110"/>
        <v>0</v>
      </c>
      <c r="BP363">
        <f t="shared" si="2111"/>
        <v>0</v>
      </c>
      <c r="BQ363">
        <f t="shared" si="2112"/>
        <v>0</v>
      </c>
      <c r="BR363">
        <f t="shared" si="2113"/>
        <v>0</v>
      </c>
      <c r="BS363">
        <f t="shared" si="2114"/>
        <v>0</v>
      </c>
      <c r="BT363">
        <f t="shared" si="2115"/>
        <v>0</v>
      </c>
      <c r="BU363">
        <f t="shared" si="2116"/>
        <v>0</v>
      </c>
      <c r="BV363">
        <f t="shared" si="2117"/>
        <v>0</v>
      </c>
      <c r="DT363" s="77"/>
      <c r="DU363" s="8" t="str">
        <f>Hidden!$CG43</f>
        <v/>
      </c>
      <c r="DV363">
        <f t="shared" si="2053"/>
        <v>0</v>
      </c>
      <c r="DW363">
        <f t="shared" si="2054"/>
        <v>0</v>
      </c>
      <c r="DX363">
        <f t="shared" si="2055"/>
        <v>0</v>
      </c>
      <c r="DY363">
        <f t="shared" si="2056"/>
        <v>0</v>
      </c>
      <c r="DZ363">
        <f t="shared" si="2057"/>
        <v>0</v>
      </c>
      <c r="EA363">
        <f t="shared" si="2058"/>
        <v>0</v>
      </c>
      <c r="EB363">
        <f t="shared" si="2059"/>
        <v>0</v>
      </c>
      <c r="EC363">
        <f t="shared" si="2060"/>
        <v>0</v>
      </c>
      <c r="ED363">
        <f t="shared" si="2061"/>
        <v>0</v>
      </c>
      <c r="EE363">
        <f t="shared" si="2062"/>
        <v>0</v>
      </c>
      <c r="EF363">
        <f t="shared" si="2063"/>
        <v>0</v>
      </c>
      <c r="EG363">
        <f t="shared" si="2064"/>
        <v>0</v>
      </c>
    </row>
    <row r="364" spans="1:137" x14ac:dyDescent="0.2">
      <c r="A364" s="8" t="str">
        <f t="shared" si="2093"/>
        <v/>
      </c>
      <c r="B364">
        <f t="shared" si="2094"/>
        <v>0</v>
      </c>
      <c r="C364">
        <f t="shared" si="2095"/>
        <v>0</v>
      </c>
      <c r="D364">
        <f t="shared" si="2096"/>
        <v>0</v>
      </c>
      <c r="E364">
        <f t="shared" si="2097"/>
        <v>0</v>
      </c>
      <c r="F364">
        <f t="shared" si="2098"/>
        <v>0</v>
      </c>
      <c r="G364">
        <f t="shared" si="2099"/>
        <v>0</v>
      </c>
      <c r="H364">
        <f t="shared" si="2100"/>
        <v>0</v>
      </c>
      <c r="I364">
        <f t="shared" si="2101"/>
        <v>0</v>
      </c>
      <c r="J364">
        <f t="shared" si="2102"/>
        <v>0</v>
      </c>
      <c r="K364">
        <f t="shared" si="2103"/>
        <v>0</v>
      </c>
      <c r="L364">
        <f t="shared" si="2104"/>
        <v>0</v>
      </c>
      <c r="M364">
        <f t="shared" si="2105"/>
        <v>0</v>
      </c>
      <c r="BJ364" s="8" t="str">
        <f>Hidden!$CC32</f>
        <v/>
      </c>
      <c r="BK364">
        <f t="shared" si="2106"/>
        <v>0</v>
      </c>
      <c r="BL364">
        <f t="shared" si="2107"/>
        <v>0</v>
      </c>
      <c r="BM364">
        <f t="shared" si="2108"/>
        <v>0</v>
      </c>
      <c r="BN364">
        <f t="shared" si="2109"/>
        <v>0</v>
      </c>
      <c r="BO364">
        <f t="shared" si="2110"/>
        <v>0</v>
      </c>
      <c r="BP364">
        <f t="shared" si="2111"/>
        <v>0</v>
      </c>
      <c r="BQ364">
        <f t="shared" si="2112"/>
        <v>0</v>
      </c>
      <c r="BR364">
        <f t="shared" si="2113"/>
        <v>0</v>
      </c>
      <c r="BS364">
        <f t="shared" si="2114"/>
        <v>0</v>
      </c>
      <c r="BT364">
        <f t="shared" si="2115"/>
        <v>0</v>
      </c>
      <c r="BU364">
        <f t="shared" si="2116"/>
        <v>0</v>
      </c>
      <c r="BV364">
        <f t="shared" si="2117"/>
        <v>0</v>
      </c>
      <c r="DT364" s="77"/>
      <c r="DU364" s="8" t="str">
        <f>Hidden!$CG44</f>
        <v/>
      </c>
      <c r="DV364">
        <f t="shared" si="2053"/>
        <v>0</v>
      </c>
      <c r="DW364">
        <f t="shared" si="2054"/>
        <v>0</v>
      </c>
      <c r="DX364">
        <f t="shared" si="2055"/>
        <v>0</v>
      </c>
      <c r="DY364">
        <f t="shared" si="2056"/>
        <v>0</v>
      </c>
      <c r="DZ364">
        <f t="shared" si="2057"/>
        <v>0</v>
      </c>
      <c r="EA364">
        <f t="shared" si="2058"/>
        <v>0</v>
      </c>
      <c r="EB364">
        <f t="shared" si="2059"/>
        <v>0</v>
      </c>
      <c r="EC364">
        <f t="shared" si="2060"/>
        <v>0</v>
      </c>
      <c r="ED364">
        <f t="shared" si="2061"/>
        <v>0</v>
      </c>
      <c r="EE364">
        <f t="shared" si="2062"/>
        <v>0</v>
      </c>
      <c r="EF364">
        <f t="shared" si="2063"/>
        <v>0</v>
      </c>
      <c r="EG364">
        <f t="shared" si="2064"/>
        <v>0</v>
      </c>
    </row>
    <row r="365" spans="1:137" x14ac:dyDescent="0.2">
      <c r="A365" s="8" t="str">
        <f t="shared" si="2093"/>
        <v/>
      </c>
      <c r="B365">
        <f t="shared" si="2094"/>
        <v>0</v>
      </c>
      <c r="C365">
        <f t="shared" si="2095"/>
        <v>0</v>
      </c>
      <c r="D365">
        <f t="shared" si="2096"/>
        <v>0</v>
      </c>
      <c r="E365">
        <f t="shared" si="2097"/>
        <v>0</v>
      </c>
      <c r="F365">
        <f t="shared" si="2098"/>
        <v>0</v>
      </c>
      <c r="G365">
        <f t="shared" si="2099"/>
        <v>0</v>
      </c>
      <c r="H365">
        <f t="shared" si="2100"/>
        <v>0</v>
      </c>
      <c r="I365">
        <f t="shared" si="2101"/>
        <v>0</v>
      </c>
      <c r="J365">
        <f t="shared" si="2102"/>
        <v>0</v>
      </c>
      <c r="K365">
        <f t="shared" si="2103"/>
        <v>0</v>
      </c>
      <c r="L365">
        <f t="shared" si="2104"/>
        <v>0</v>
      </c>
      <c r="M365">
        <f t="shared" si="2105"/>
        <v>0</v>
      </c>
      <c r="BJ365" s="8" t="str">
        <f>Hidden!$CC33</f>
        <v/>
      </c>
      <c r="BK365">
        <f t="shared" si="2106"/>
        <v>0</v>
      </c>
      <c r="BL365">
        <f t="shared" si="2107"/>
        <v>0</v>
      </c>
      <c r="BM365">
        <f t="shared" si="2108"/>
        <v>0</v>
      </c>
      <c r="BN365">
        <f t="shared" si="2109"/>
        <v>0</v>
      </c>
      <c r="BO365">
        <f t="shared" si="2110"/>
        <v>0</v>
      </c>
      <c r="BP365">
        <f t="shared" si="2111"/>
        <v>0</v>
      </c>
      <c r="BQ365">
        <f t="shared" si="2112"/>
        <v>0</v>
      </c>
      <c r="BR365">
        <f t="shared" si="2113"/>
        <v>0</v>
      </c>
      <c r="BS365">
        <f t="shared" si="2114"/>
        <v>0</v>
      </c>
      <c r="BT365">
        <f t="shared" si="2115"/>
        <v>0</v>
      </c>
      <c r="BU365">
        <f t="shared" si="2116"/>
        <v>0</v>
      </c>
      <c r="BV365">
        <f t="shared" si="2117"/>
        <v>0</v>
      </c>
      <c r="DT365" s="77"/>
      <c r="DU365" s="8" t="str">
        <f>Hidden!$CG45</f>
        <v/>
      </c>
      <c r="DV365">
        <f t="shared" si="2053"/>
        <v>0</v>
      </c>
      <c r="DW365">
        <f t="shared" si="2054"/>
        <v>0</v>
      </c>
      <c r="DX365">
        <f t="shared" si="2055"/>
        <v>0</v>
      </c>
      <c r="DY365">
        <f t="shared" si="2056"/>
        <v>0</v>
      </c>
      <c r="DZ365">
        <f t="shared" si="2057"/>
        <v>0</v>
      </c>
      <c r="EA365">
        <f t="shared" si="2058"/>
        <v>0</v>
      </c>
      <c r="EB365">
        <f t="shared" si="2059"/>
        <v>0</v>
      </c>
      <c r="EC365">
        <f t="shared" si="2060"/>
        <v>0</v>
      </c>
      <c r="ED365">
        <f t="shared" si="2061"/>
        <v>0</v>
      </c>
      <c r="EE365">
        <f t="shared" si="2062"/>
        <v>0</v>
      </c>
      <c r="EF365">
        <f t="shared" si="2063"/>
        <v>0</v>
      </c>
      <c r="EG365">
        <f t="shared" si="2064"/>
        <v>0</v>
      </c>
    </row>
    <row r="366" spans="1:137" x14ac:dyDescent="0.2">
      <c r="A366" s="8" t="str">
        <f t="shared" si="2093"/>
        <v/>
      </c>
      <c r="B366">
        <f t="shared" si="2094"/>
        <v>0</v>
      </c>
      <c r="C366">
        <f t="shared" si="2095"/>
        <v>0</v>
      </c>
      <c r="D366">
        <f t="shared" si="2096"/>
        <v>0</v>
      </c>
      <c r="E366">
        <f t="shared" si="2097"/>
        <v>0</v>
      </c>
      <c r="F366">
        <f t="shared" si="2098"/>
        <v>0</v>
      </c>
      <c r="G366">
        <f t="shared" si="2099"/>
        <v>0</v>
      </c>
      <c r="H366">
        <f t="shared" si="2100"/>
        <v>0</v>
      </c>
      <c r="I366">
        <f t="shared" si="2101"/>
        <v>0</v>
      </c>
      <c r="J366">
        <f t="shared" si="2102"/>
        <v>0</v>
      </c>
      <c r="K366">
        <f t="shared" si="2103"/>
        <v>0</v>
      </c>
      <c r="L366">
        <f t="shared" si="2104"/>
        <v>0</v>
      </c>
      <c r="M366">
        <f t="shared" si="2105"/>
        <v>0</v>
      </c>
      <c r="BJ366" s="8" t="str">
        <f>Hidden!$CC34</f>
        <v/>
      </c>
      <c r="BK366">
        <f t="shared" si="2106"/>
        <v>0</v>
      </c>
      <c r="BL366">
        <f t="shared" si="2107"/>
        <v>0</v>
      </c>
      <c r="BM366">
        <f t="shared" si="2108"/>
        <v>0</v>
      </c>
      <c r="BN366">
        <f t="shared" si="2109"/>
        <v>0</v>
      </c>
      <c r="BO366">
        <f t="shared" si="2110"/>
        <v>0</v>
      </c>
      <c r="BP366">
        <f t="shared" si="2111"/>
        <v>0</v>
      </c>
      <c r="BQ366">
        <f t="shared" si="2112"/>
        <v>0</v>
      </c>
      <c r="BR366">
        <f t="shared" si="2113"/>
        <v>0</v>
      </c>
      <c r="BS366">
        <f t="shared" si="2114"/>
        <v>0</v>
      </c>
      <c r="BT366">
        <f t="shared" si="2115"/>
        <v>0</v>
      </c>
      <c r="BU366">
        <f t="shared" si="2116"/>
        <v>0</v>
      </c>
      <c r="BV366">
        <f t="shared" si="2117"/>
        <v>0</v>
      </c>
      <c r="DT366" s="77"/>
      <c r="DU366" s="8" t="str">
        <f>Hidden!$CG46</f>
        <v/>
      </c>
      <c r="DV366">
        <f t="shared" si="2053"/>
        <v>0</v>
      </c>
      <c r="DW366">
        <f t="shared" si="2054"/>
        <v>0</v>
      </c>
      <c r="DX366">
        <f t="shared" si="2055"/>
        <v>0</v>
      </c>
      <c r="DY366">
        <f t="shared" si="2056"/>
        <v>0</v>
      </c>
      <c r="DZ366">
        <f t="shared" si="2057"/>
        <v>0</v>
      </c>
      <c r="EA366">
        <f t="shared" si="2058"/>
        <v>0</v>
      </c>
      <c r="EB366">
        <f t="shared" si="2059"/>
        <v>0</v>
      </c>
      <c r="EC366">
        <f t="shared" si="2060"/>
        <v>0</v>
      </c>
      <c r="ED366">
        <f t="shared" si="2061"/>
        <v>0</v>
      </c>
      <c r="EE366">
        <f t="shared" si="2062"/>
        <v>0</v>
      </c>
      <c r="EF366">
        <f t="shared" si="2063"/>
        <v>0</v>
      </c>
      <c r="EG366">
        <f t="shared" si="2064"/>
        <v>0</v>
      </c>
    </row>
    <row r="367" spans="1:137" x14ac:dyDescent="0.2">
      <c r="A367" s="8" t="str">
        <f t="shared" si="2093"/>
        <v/>
      </c>
      <c r="B367">
        <f t="shared" si="2094"/>
        <v>0</v>
      </c>
      <c r="C367">
        <f t="shared" si="2095"/>
        <v>0</v>
      </c>
      <c r="D367">
        <f t="shared" si="2096"/>
        <v>0</v>
      </c>
      <c r="E367">
        <f t="shared" si="2097"/>
        <v>0</v>
      </c>
      <c r="F367">
        <f t="shared" si="2098"/>
        <v>0</v>
      </c>
      <c r="G367">
        <f t="shared" si="2099"/>
        <v>0</v>
      </c>
      <c r="H367">
        <f t="shared" si="2100"/>
        <v>0</v>
      </c>
      <c r="I367">
        <f t="shared" si="2101"/>
        <v>0</v>
      </c>
      <c r="J367">
        <f t="shared" si="2102"/>
        <v>0</v>
      </c>
      <c r="K367">
        <f t="shared" si="2103"/>
        <v>0</v>
      </c>
      <c r="L367">
        <f t="shared" si="2104"/>
        <v>0</v>
      </c>
      <c r="M367">
        <f t="shared" si="2105"/>
        <v>0</v>
      </c>
      <c r="BJ367" s="8" t="str">
        <f>Hidden!$CC35</f>
        <v/>
      </c>
      <c r="BK367">
        <f t="shared" si="2106"/>
        <v>0</v>
      </c>
      <c r="BL367">
        <f t="shared" si="2107"/>
        <v>0</v>
      </c>
      <c r="BM367">
        <f t="shared" si="2108"/>
        <v>0</v>
      </c>
      <c r="BN367">
        <f t="shared" si="2109"/>
        <v>0</v>
      </c>
      <c r="BO367">
        <f t="shared" si="2110"/>
        <v>0</v>
      </c>
      <c r="BP367">
        <f t="shared" si="2111"/>
        <v>0</v>
      </c>
      <c r="BQ367">
        <f t="shared" si="2112"/>
        <v>0</v>
      </c>
      <c r="BR367">
        <f t="shared" si="2113"/>
        <v>0</v>
      </c>
      <c r="BS367">
        <f t="shared" si="2114"/>
        <v>0</v>
      </c>
      <c r="BT367">
        <f t="shared" si="2115"/>
        <v>0</v>
      </c>
      <c r="BU367">
        <f t="shared" si="2116"/>
        <v>0</v>
      </c>
      <c r="BV367">
        <f t="shared" si="2117"/>
        <v>0</v>
      </c>
      <c r="DT367" s="77"/>
      <c r="DU367" s="8" t="str">
        <f>Hidden!$CG47</f>
        <v/>
      </c>
      <c r="DV367">
        <f t="shared" si="2053"/>
        <v>0</v>
      </c>
      <c r="DW367">
        <f t="shared" si="2054"/>
        <v>0</v>
      </c>
      <c r="DX367">
        <f t="shared" si="2055"/>
        <v>0</v>
      </c>
      <c r="DY367">
        <f t="shared" si="2056"/>
        <v>0</v>
      </c>
      <c r="DZ367">
        <f t="shared" si="2057"/>
        <v>0</v>
      </c>
      <c r="EA367">
        <f t="shared" si="2058"/>
        <v>0</v>
      </c>
      <c r="EB367">
        <f t="shared" si="2059"/>
        <v>0</v>
      </c>
      <c r="EC367">
        <f t="shared" si="2060"/>
        <v>0</v>
      </c>
      <c r="ED367">
        <f t="shared" si="2061"/>
        <v>0</v>
      </c>
      <c r="EE367">
        <f t="shared" si="2062"/>
        <v>0</v>
      </c>
      <c r="EF367">
        <f t="shared" si="2063"/>
        <v>0</v>
      </c>
      <c r="EG367">
        <f t="shared" si="2064"/>
        <v>0</v>
      </c>
    </row>
    <row r="368" spans="1:137" x14ac:dyDescent="0.2">
      <c r="A368" s="8" t="str">
        <f t="shared" si="2093"/>
        <v/>
      </c>
      <c r="B368">
        <f t="shared" si="2094"/>
        <v>0</v>
      </c>
      <c r="C368">
        <f t="shared" si="2095"/>
        <v>0</v>
      </c>
      <c r="D368">
        <f t="shared" si="2096"/>
        <v>0</v>
      </c>
      <c r="E368">
        <f t="shared" si="2097"/>
        <v>0</v>
      </c>
      <c r="F368">
        <f t="shared" si="2098"/>
        <v>0</v>
      </c>
      <c r="G368">
        <f t="shared" si="2099"/>
        <v>0</v>
      </c>
      <c r="H368">
        <f t="shared" si="2100"/>
        <v>0</v>
      </c>
      <c r="I368">
        <f t="shared" si="2101"/>
        <v>0</v>
      </c>
      <c r="J368">
        <f t="shared" si="2102"/>
        <v>0</v>
      </c>
      <c r="K368">
        <f t="shared" si="2103"/>
        <v>0</v>
      </c>
      <c r="L368">
        <f t="shared" si="2104"/>
        <v>0</v>
      </c>
      <c r="M368">
        <f t="shared" si="2105"/>
        <v>0</v>
      </c>
      <c r="BJ368" s="8" t="str">
        <f>Hidden!$CC36</f>
        <v/>
      </c>
      <c r="BK368">
        <f t="shared" si="2106"/>
        <v>0</v>
      </c>
      <c r="BL368">
        <f t="shared" si="2107"/>
        <v>0</v>
      </c>
      <c r="BM368">
        <f t="shared" si="2108"/>
        <v>0</v>
      </c>
      <c r="BN368">
        <f t="shared" si="2109"/>
        <v>0</v>
      </c>
      <c r="BO368">
        <f t="shared" si="2110"/>
        <v>0</v>
      </c>
      <c r="BP368">
        <f t="shared" si="2111"/>
        <v>0</v>
      </c>
      <c r="BQ368">
        <f t="shared" si="2112"/>
        <v>0</v>
      </c>
      <c r="BR368">
        <f t="shared" si="2113"/>
        <v>0</v>
      </c>
      <c r="BS368">
        <f t="shared" si="2114"/>
        <v>0</v>
      </c>
      <c r="BT368">
        <f t="shared" si="2115"/>
        <v>0</v>
      </c>
      <c r="BU368">
        <f t="shared" si="2116"/>
        <v>0</v>
      </c>
      <c r="BV368">
        <f t="shared" si="2117"/>
        <v>0</v>
      </c>
      <c r="DT368" s="77"/>
      <c r="DU368" s="8" t="str">
        <f>Hidden!$CG48</f>
        <v/>
      </c>
      <c r="DV368">
        <f t="shared" si="2053"/>
        <v>0</v>
      </c>
      <c r="DW368">
        <f t="shared" si="2054"/>
        <v>0</v>
      </c>
      <c r="DX368">
        <f t="shared" si="2055"/>
        <v>0</v>
      </c>
      <c r="DY368">
        <f t="shared" si="2056"/>
        <v>0</v>
      </c>
      <c r="DZ368">
        <f t="shared" si="2057"/>
        <v>0</v>
      </c>
      <c r="EA368">
        <f t="shared" si="2058"/>
        <v>0</v>
      </c>
      <c r="EB368">
        <f t="shared" si="2059"/>
        <v>0</v>
      </c>
      <c r="EC368">
        <f t="shared" si="2060"/>
        <v>0</v>
      </c>
      <c r="ED368">
        <f t="shared" si="2061"/>
        <v>0</v>
      </c>
      <c r="EE368">
        <f t="shared" si="2062"/>
        <v>0</v>
      </c>
      <c r="EF368">
        <f t="shared" si="2063"/>
        <v>0</v>
      </c>
      <c r="EG368">
        <f t="shared" si="2064"/>
        <v>0</v>
      </c>
    </row>
    <row r="369" spans="1:137" x14ac:dyDescent="0.2">
      <c r="A369" s="8" t="str">
        <f t="shared" si="2093"/>
        <v/>
      </c>
      <c r="B369">
        <f t="shared" si="2094"/>
        <v>0</v>
      </c>
      <c r="C369">
        <f t="shared" si="2095"/>
        <v>0</v>
      </c>
      <c r="D369">
        <f t="shared" si="2096"/>
        <v>0</v>
      </c>
      <c r="E369">
        <f t="shared" si="2097"/>
        <v>0</v>
      </c>
      <c r="F369">
        <f t="shared" si="2098"/>
        <v>0</v>
      </c>
      <c r="G369">
        <f t="shared" si="2099"/>
        <v>0</v>
      </c>
      <c r="H369">
        <f t="shared" si="2100"/>
        <v>0</v>
      </c>
      <c r="I369">
        <f t="shared" si="2101"/>
        <v>0</v>
      </c>
      <c r="J369">
        <f t="shared" si="2102"/>
        <v>0</v>
      </c>
      <c r="K369">
        <f t="shared" si="2103"/>
        <v>0</v>
      </c>
      <c r="L369">
        <f t="shared" si="2104"/>
        <v>0</v>
      </c>
      <c r="M369">
        <f t="shared" si="2105"/>
        <v>0</v>
      </c>
      <c r="BJ369" s="8" t="str">
        <f>Hidden!$CC37</f>
        <v/>
      </c>
      <c r="BK369">
        <f t="shared" si="2106"/>
        <v>0</v>
      </c>
      <c r="BL369">
        <f t="shared" si="2107"/>
        <v>0</v>
      </c>
      <c r="BM369">
        <f t="shared" si="2108"/>
        <v>0</v>
      </c>
      <c r="BN369">
        <f t="shared" si="2109"/>
        <v>0</v>
      </c>
      <c r="BO369">
        <f t="shared" si="2110"/>
        <v>0</v>
      </c>
      <c r="BP369">
        <f t="shared" si="2111"/>
        <v>0</v>
      </c>
      <c r="BQ369">
        <f t="shared" si="2112"/>
        <v>0</v>
      </c>
      <c r="BR369">
        <f t="shared" si="2113"/>
        <v>0</v>
      </c>
      <c r="BS369">
        <f t="shared" si="2114"/>
        <v>0</v>
      </c>
      <c r="BT369">
        <f t="shared" si="2115"/>
        <v>0</v>
      </c>
      <c r="BU369">
        <f t="shared" si="2116"/>
        <v>0</v>
      </c>
      <c r="BV369">
        <f t="shared" si="2117"/>
        <v>0</v>
      </c>
      <c r="DT369" s="77"/>
      <c r="DU369" s="8" t="str">
        <f>Hidden!$CG49</f>
        <v/>
      </c>
      <c r="DV369">
        <f t="shared" si="2053"/>
        <v>0</v>
      </c>
      <c r="DW369">
        <f t="shared" si="2054"/>
        <v>0</v>
      </c>
      <c r="DX369">
        <f t="shared" si="2055"/>
        <v>0</v>
      </c>
      <c r="DY369">
        <f t="shared" si="2056"/>
        <v>0</v>
      </c>
      <c r="DZ369">
        <f t="shared" si="2057"/>
        <v>0</v>
      </c>
      <c r="EA369">
        <f t="shared" si="2058"/>
        <v>0</v>
      </c>
      <c r="EB369">
        <f t="shared" si="2059"/>
        <v>0</v>
      </c>
      <c r="EC369">
        <f t="shared" si="2060"/>
        <v>0</v>
      </c>
      <c r="ED369">
        <f t="shared" si="2061"/>
        <v>0</v>
      </c>
      <c r="EE369">
        <f t="shared" si="2062"/>
        <v>0</v>
      </c>
      <c r="EF369">
        <f t="shared" si="2063"/>
        <v>0</v>
      </c>
      <c r="EG369">
        <f t="shared" si="2064"/>
        <v>0</v>
      </c>
    </row>
    <row r="370" spans="1:137" x14ac:dyDescent="0.2">
      <c r="A370" s="8" t="str">
        <f t="shared" si="2093"/>
        <v/>
      </c>
      <c r="B370">
        <f t="shared" si="2094"/>
        <v>0</v>
      </c>
      <c r="C370">
        <f t="shared" si="2095"/>
        <v>0</v>
      </c>
      <c r="D370">
        <f t="shared" si="2096"/>
        <v>0</v>
      </c>
      <c r="E370">
        <f t="shared" si="2097"/>
        <v>0</v>
      </c>
      <c r="F370">
        <f t="shared" si="2098"/>
        <v>0</v>
      </c>
      <c r="G370">
        <f t="shared" si="2099"/>
        <v>0</v>
      </c>
      <c r="H370">
        <f t="shared" si="2100"/>
        <v>0</v>
      </c>
      <c r="I370">
        <f t="shared" si="2101"/>
        <v>0</v>
      </c>
      <c r="J370">
        <f t="shared" si="2102"/>
        <v>0</v>
      </c>
      <c r="K370">
        <f t="shared" si="2103"/>
        <v>0</v>
      </c>
      <c r="L370">
        <f t="shared" si="2104"/>
        <v>0</v>
      </c>
      <c r="M370">
        <f t="shared" si="2105"/>
        <v>0</v>
      </c>
      <c r="BJ370" s="8" t="str">
        <f>Hidden!$CC38</f>
        <v/>
      </c>
      <c r="BK370">
        <f t="shared" si="2106"/>
        <v>0</v>
      </c>
      <c r="BL370">
        <f t="shared" si="2107"/>
        <v>0</v>
      </c>
      <c r="BM370">
        <f t="shared" si="2108"/>
        <v>0</v>
      </c>
      <c r="BN370">
        <f t="shared" si="2109"/>
        <v>0</v>
      </c>
      <c r="BO370">
        <f t="shared" si="2110"/>
        <v>0</v>
      </c>
      <c r="BP370">
        <f t="shared" si="2111"/>
        <v>0</v>
      </c>
      <c r="BQ370">
        <f t="shared" si="2112"/>
        <v>0</v>
      </c>
      <c r="BR370">
        <f t="shared" si="2113"/>
        <v>0</v>
      </c>
      <c r="BS370">
        <f t="shared" si="2114"/>
        <v>0</v>
      </c>
      <c r="BT370">
        <f t="shared" si="2115"/>
        <v>0</v>
      </c>
      <c r="BU370">
        <f t="shared" si="2116"/>
        <v>0</v>
      </c>
      <c r="BV370">
        <f t="shared" si="2117"/>
        <v>0</v>
      </c>
      <c r="DT370" s="77"/>
      <c r="DU370" s="8" t="str">
        <f>Hidden!$CG50</f>
        <v/>
      </c>
      <c r="DV370">
        <f t="shared" si="2053"/>
        <v>0</v>
      </c>
      <c r="DW370">
        <f t="shared" si="2054"/>
        <v>0</v>
      </c>
      <c r="DX370">
        <f t="shared" si="2055"/>
        <v>0</v>
      </c>
      <c r="DY370">
        <f t="shared" si="2056"/>
        <v>0</v>
      </c>
      <c r="DZ370">
        <f t="shared" si="2057"/>
        <v>0</v>
      </c>
      <c r="EA370">
        <f t="shared" si="2058"/>
        <v>0</v>
      </c>
      <c r="EB370">
        <f t="shared" si="2059"/>
        <v>0</v>
      </c>
      <c r="EC370">
        <f t="shared" si="2060"/>
        <v>0</v>
      </c>
      <c r="ED370">
        <f t="shared" si="2061"/>
        <v>0</v>
      </c>
      <c r="EE370">
        <f t="shared" si="2062"/>
        <v>0</v>
      </c>
      <c r="EF370">
        <f t="shared" si="2063"/>
        <v>0</v>
      </c>
      <c r="EG370">
        <f t="shared" si="2064"/>
        <v>0</v>
      </c>
    </row>
    <row r="371" spans="1:137" x14ac:dyDescent="0.2">
      <c r="A371" s="8" t="str">
        <f t="shared" si="2093"/>
        <v/>
      </c>
      <c r="B371">
        <f t="shared" si="2094"/>
        <v>0</v>
      </c>
      <c r="C371">
        <f t="shared" si="2095"/>
        <v>0</v>
      </c>
      <c r="D371">
        <f t="shared" si="2096"/>
        <v>0</v>
      </c>
      <c r="E371">
        <f t="shared" si="2097"/>
        <v>0</v>
      </c>
      <c r="F371">
        <f t="shared" si="2098"/>
        <v>0</v>
      </c>
      <c r="G371">
        <f t="shared" si="2099"/>
        <v>0</v>
      </c>
      <c r="H371">
        <f t="shared" si="2100"/>
        <v>0</v>
      </c>
      <c r="I371">
        <f t="shared" si="2101"/>
        <v>0</v>
      </c>
      <c r="J371">
        <f t="shared" si="2102"/>
        <v>0</v>
      </c>
      <c r="K371">
        <f t="shared" si="2103"/>
        <v>0</v>
      </c>
      <c r="L371">
        <f t="shared" si="2104"/>
        <v>0</v>
      </c>
      <c r="M371">
        <f t="shared" si="2105"/>
        <v>0</v>
      </c>
      <c r="BJ371" s="8" t="str">
        <f>Hidden!$CC39</f>
        <v/>
      </c>
      <c r="BK371">
        <f t="shared" si="2106"/>
        <v>0</v>
      </c>
      <c r="BL371">
        <f t="shared" si="2107"/>
        <v>0</v>
      </c>
      <c r="BM371">
        <f t="shared" si="2108"/>
        <v>0</v>
      </c>
      <c r="BN371">
        <f t="shared" si="2109"/>
        <v>0</v>
      </c>
      <c r="BO371">
        <f t="shared" si="2110"/>
        <v>0</v>
      </c>
      <c r="BP371">
        <f t="shared" si="2111"/>
        <v>0</v>
      </c>
      <c r="BQ371">
        <f t="shared" si="2112"/>
        <v>0</v>
      </c>
      <c r="BR371">
        <f t="shared" si="2113"/>
        <v>0</v>
      </c>
      <c r="BS371">
        <f t="shared" si="2114"/>
        <v>0</v>
      </c>
      <c r="BT371">
        <f t="shared" si="2115"/>
        <v>0</v>
      </c>
      <c r="BU371">
        <f t="shared" si="2116"/>
        <v>0</v>
      </c>
      <c r="BV371">
        <f t="shared" si="2117"/>
        <v>0</v>
      </c>
      <c r="DT371" s="77"/>
      <c r="DU371" s="8" t="str">
        <f>Hidden!$CG51</f>
        <v/>
      </c>
      <c r="DV371">
        <f t="shared" si="2053"/>
        <v>0</v>
      </c>
      <c r="DW371">
        <f t="shared" si="2054"/>
        <v>0</v>
      </c>
      <c r="DX371">
        <f t="shared" si="2055"/>
        <v>0</v>
      </c>
      <c r="DY371">
        <f t="shared" si="2056"/>
        <v>0</v>
      </c>
      <c r="DZ371">
        <f t="shared" si="2057"/>
        <v>0</v>
      </c>
      <c r="EA371">
        <f t="shared" si="2058"/>
        <v>0</v>
      </c>
      <c r="EB371">
        <f t="shared" si="2059"/>
        <v>0</v>
      </c>
      <c r="EC371">
        <f t="shared" si="2060"/>
        <v>0</v>
      </c>
      <c r="ED371">
        <f t="shared" si="2061"/>
        <v>0</v>
      </c>
      <c r="EE371">
        <f t="shared" si="2062"/>
        <v>0</v>
      </c>
      <c r="EF371">
        <f t="shared" si="2063"/>
        <v>0</v>
      </c>
      <c r="EG371">
        <f t="shared" si="2064"/>
        <v>0</v>
      </c>
    </row>
    <row r="372" spans="1:137" x14ac:dyDescent="0.2">
      <c r="A372" s="8" t="str">
        <f t="shared" si="2093"/>
        <v/>
      </c>
      <c r="B372">
        <f t="shared" si="2094"/>
        <v>0</v>
      </c>
      <c r="C372">
        <f t="shared" si="2095"/>
        <v>0</v>
      </c>
      <c r="D372">
        <f t="shared" si="2096"/>
        <v>0</v>
      </c>
      <c r="E372">
        <f t="shared" si="2097"/>
        <v>0</v>
      </c>
      <c r="F372">
        <f t="shared" si="2098"/>
        <v>0</v>
      </c>
      <c r="G372">
        <f t="shared" si="2099"/>
        <v>0</v>
      </c>
      <c r="H372">
        <f t="shared" si="2100"/>
        <v>0</v>
      </c>
      <c r="I372">
        <f t="shared" si="2101"/>
        <v>0</v>
      </c>
      <c r="J372">
        <f t="shared" si="2102"/>
        <v>0</v>
      </c>
      <c r="K372">
        <f t="shared" si="2103"/>
        <v>0</v>
      </c>
      <c r="L372">
        <f t="shared" si="2104"/>
        <v>0</v>
      </c>
      <c r="M372">
        <f t="shared" si="2105"/>
        <v>0</v>
      </c>
      <c r="BJ372" s="8" t="str">
        <f>Hidden!$CC40</f>
        <v/>
      </c>
      <c r="BK372">
        <f t="shared" si="2106"/>
        <v>0</v>
      </c>
      <c r="BL372">
        <f t="shared" si="2107"/>
        <v>0</v>
      </c>
      <c r="BM372">
        <f t="shared" si="2108"/>
        <v>0</v>
      </c>
      <c r="BN372">
        <f t="shared" si="2109"/>
        <v>0</v>
      </c>
      <c r="BO372">
        <f t="shared" si="2110"/>
        <v>0</v>
      </c>
      <c r="BP372">
        <f t="shared" si="2111"/>
        <v>0</v>
      </c>
      <c r="BQ372">
        <f t="shared" si="2112"/>
        <v>0</v>
      </c>
      <c r="BR372">
        <f t="shared" si="2113"/>
        <v>0</v>
      </c>
      <c r="BS372">
        <f t="shared" si="2114"/>
        <v>0</v>
      </c>
      <c r="BT372">
        <f t="shared" si="2115"/>
        <v>0</v>
      </c>
      <c r="BU372">
        <f t="shared" si="2116"/>
        <v>0</v>
      </c>
      <c r="BV372">
        <f t="shared" si="2117"/>
        <v>0</v>
      </c>
      <c r="DT372" s="77"/>
      <c r="DU372" s="8" t="str">
        <f>Hidden!$CG52</f>
        <v/>
      </c>
      <c r="DV372">
        <f t="shared" si="2053"/>
        <v>0</v>
      </c>
      <c r="DW372">
        <f t="shared" si="2054"/>
        <v>0</v>
      </c>
      <c r="DX372">
        <f t="shared" si="2055"/>
        <v>0</v>
      </c>
      <c r="DY372">
        <f t="shared" si="2056"/>
        <v>0</v>
      </c>
      <c r="DZ372">
        <f t="shared" si="2057"/>
        <v>0</v>
      </c>
      <c r="EA372">
        <f t="shared" si="2058"/>
        <v>0</v>
      </c>
      <c r="EB372">
        <f t="shared" si="2059"/>
        <v>0</v>
      </c>
      <c r="EC372">
        <f t="shared" si="2060"/>
        <v>0</v>
      </c>
      <c r="ED372">
        <f t="shared" si="2061"/>
        <v>0</v>
      </c>
      <c r="EE372">
        <f t="shared" si="2062"/>
        <v>0</v>
      </c>
      <c r="EF372">
        <f t="shared" si="2063"/>
        <v>0</v>
      </c>
      <c r="EG372">
        <f t="shared" si="2064"/>
        <v>0</v>
      </c>
    </row>
    <row r="373" spans="1:137" x14ac:dyDescent="0.2">
      <c r="A373" s="8" t="str">
        <f t="shared" si="2093"/>
        <v/>
      </c>
      <c r="B373">
        <f t="shared" si="2094"/>
        <v>0</v>
      </c>
      <c r="C373">
        <f t="shared" si="2095"/>
        <v>0</v>
      </c>
      <c r="D373">
        <f t="shared" si="2096"/>
        <v>0</v>
      </c>
      <c r="E373">
        <f t="shared" si="2097"/>
        <v>0</v>
      </c>
      <c r="F373">
        <f t="shared" si="2098"/>
        <v>0</v>
      </c>
      <c r="G373">
        <f t="shared" si="2099"/>
        <v>0</v>
      </c>
      <c r="H373">
        <f t="shared" si="2100"/>
        <v>0</v>
      </c>
      <c r="I373">
        <f t="shared" si="2101"/>
        <v>0</v>
      </c>
      <c r="J373">
        <f t="shared" si="2102"/>
        <v>0</v>
      </c>
      <c r="K373">
        <f t="shared" si="2103"/>
        <v>0</v>
      </c>
      <c r="L373">
        <f t="shared" si="2104"/>
        <v>0</v>
      </c>
      <c r="M373">
        <f t="shared" si="2105"/>
        <v>0</v>
      </c>
      <c r="BJ373" s="8" t="str">
        <f>Hidden!$CC41</f>
        <v/>
      </c>
      <c r="BK373">
        <f t="shared" si="2106"/>
        <v>0</v>
      </c>
      <c r="BL373">
        <f t="shared" si="2107"/>
        <v>0</v>
      </c>
      <c r="BM373">
        <f t="shared" si="2108"/>
        <v>0</v>
      </c>
      <c r="BN373">
        <f t="shared" si="2109"/>
        <v>0</v>
      </c>
      <c r="BO373">
        <f t="shared" si="2110"/>
        <v>0</v>
      </c>
      <c r="BP373">
        <f t="shared" si="2111"/>
        <v>0</v>
      </c>
      <c r="BQ373">
        <f t="shared" si="2112"/>
        <v>0</v>
      </c>
      <c r="BR373">
        <f t="shared" si="2113"/>
        <v>0</v>
      </c>
      <c r="BS373">
        <f t="shared" si="2114"/>
        <v>0</v>
      </c>
      <c r="BT373">
        <f t="shared" si="2115"/>
        <v>0</v>
      </c>
      <c r="BU373">
        <f t="shared" si="2116"/>
        <v>0</v>
      </c>
      <c r="BV373">
        <f t="shared" si="2117"/>
        <v>0</v>
      </c>
      <c r="DT373" s="77"/>
      <c r="DU373" s="8" t="str">
        <f>Hidden!$CG53</f>
        <v/>
      </c>
      <c r="DV373">
        <f t="shared" si="2053"/>
        <v>0</v>
      </c>
      <c r="DW373">
        <f t="shared" si="2054"/>
        <v>0</v>
      </c>
      <c r="DX373">
        <f t="shared" si="2055"/>
        <v>0</v>
      </c>
      <c r="DY373">
        <f t="shared" si="2056"/>
        <v>0</v>
      </c>
      <c r="DZ373">
        <f t="shared" si="2057"/>
        <v>0</v>
      </c>
      <c r="EA373">
        <f t="shared" si="2058"/>
        <v>0</v>
      </c>
      <c r="EB373">
        <f t="shared" si="2059"/>
        <v>0</v>
      </c>
      <c r="EC373">
        <f t="shared" si="2060"/>
        <v>0</v>
      </c>
      <c r="ED373">
        <f t="shared" si="2061"/>
        <v>0</v>
      </c>
      <c r="EE373">
        <f t="shared" si="2062"/>
        <v>0</v>
      </c>
      <c r="EF373">
        <f t="shared" si="2063"/>
        <v>0</v>
      </c>
      <c r="EG373">
        <f t="shared" si="2064"/>
        <v>0</v>
      </c>
    </row>
    <row r="374" spans="1:137" x14ac:dyDescent="0.2">
      <c r="A374" s="8" t="str">
        <f t="shared" si="2093"/>
        <v/>
      </c>
      <c r="B374">
        <f t="shared" si="2094"/>
        <v>0</v>
      </c>
      <c r="C374">
        <f t="shared" si="2095"/>
        <v>0</v>
      </c>
      <c r="D374">
        <f t="shared" si="2096"/>
        <v>0</v>
      </c>
      <c r="E374">
        <f t="shared" si="2097"/>
        <v>0</v>
      </c>
      <c r="F374">
        <f t="shared" si="2098"/>
        <v>0</v>
      </c>
      <c r="G374">
        <f t="shared" si="2099"/>
        <v>0</v>
      </c>
      <c r="H374">
        <f t="shared" si="2100"/>
        <v>0</v>
      </c>
      <c r="I374">
        <f t="shared" si="2101"/>
        <v>0</v>
      </c>
      <c r="J374">
        <f t="shared" si="2102"/>
        <v>0</v>
      </c>
      <c r="K374">
        <f t="shared" si="2103"/>
        <v>0</v>
      </c>
      <c r="L374">
        <f t="shared" si="2104"/>
        <v>0</v>
      </c>
      <c r="M374">
        <f t="shared" si="2105"/>
        <v>0</v>
      </c>
      <c r="BJ374" s="8" t="str">
        <f>Hidden!$CC42</f>
        <v/>
      </c>
      <c r="BK374">
        <f t="shared" si="2106"/>
        <v>0</v>
      </c>
      <c r="BL374">
        <f t="shared" si="2107"/>
        <v>0</v>
      </c>
      <c r="BM374">
        <f t="shared" si="2108"/>
        <v>0</v>
      </c>
      <c r="BN374">
        <f t="shared" si="2109"/>
        <v>0</v>
      </c>
      <c r="BO374">
        <f t="shared" si="2110"/>
        <v>0</v>
      </c>
      <c r="BP374">
        <f t="shared" si="2111"/>
        <v>0</v>
      </c>
      <c r="BQ374">
        <f t="shared" si="2112"/>
        <v>0</v>
      </c>
      <c r="BR374">
        <f t="shared" si="2113"/>
        <v>0</v>
      </c>
      <c r="BS374">
        <f t="shared" si="2114"/>
        <v>0</v>
      </c>
      <c r="BT374">
        <f t="shared" si="2115"/>
        <v>0</v>
      </c>
      <c r="BU374">
        <f t="shared" si="2116"/>
        <v>0</v>
      </c>
      <c r="BV374">
        <f t="shared" si="2117"/>
        <v>0</v>
      </c>
      <c r="DT374" s="77"/>
      <c r="DU374" s="8" t="str">
        <f>Hidden!$CG54</f>
        <v/>
      </c>
      <c r="DV374">
        <f t="shared" si="2053"/>
        <v>0</v>
      </c>
      <c r="DW374">
        <f t="shared" si="2054"/>
        <v>0</v>
      </c>
      <c r="DX374">
        <f t="shared" si="2055"/>
        <v>0</v>
      </c>
      <c r="DY374">
        <f t="shared" si="2056"/>
        <v>0</v>
      </c>
      <c r="DZ374">
        <f t="shared" si="2057"/>
        <v>0</v>
      </c>
      <c r="EA374">
        <f t="shared" si="2058"/>
        <v>0</v>
      </c>
      <c r="EB374">
        <f t="shared" si="2059"/>
        <v>0</v>
      </c>
      <c r="EC374">
        <f t="shared" si="2060"/>
        <v>0</v>
      </c>
      <c r="ED374">
        <f t="shared" si="2061"/>
        <v>0</v>
      </c>
      <c r="EE374">
        <f t="shared" si="2062"/>
        <v>0</v>
      </c>
      <c r="EF374">
        <f t="shared" si="2063"/>
        <v>0</v>
      </c>
      <c r="EG374">
        <f t="shared" si="2064"/>
        <v>0</v>
      </c>
    </row>
    <row r="375" spans="1:137" x14ac:dyDescent="0.2">
      <c r="A375" s="8" t="str">
        <f t="shared" si="2093"/>
        <v/>
      </c>
      <c r="B375">
        <f t="shared" si="2094"/>
        <v>0</v>
      </c>
      <c r="C375">
        <f t="shared" si="2095"/>
        <v>0</v>
      </c>
      <c r="D375">
        <f t="shared" si="2096"/>
        <v>0</v>
      </c>
      <c r="E375">
        <f t="shared" si="2097"/>
        <v>0</v>
      </c>
      <c r="F375">
        <f t="shared" si="2098"/>
        <v>0</v>
      </c>
      <c r="G375">
        <f t="shared" si="2099"/>
        <v>0</v>
      </c>
      <c r="H375">
        <f t="shared" si="2100"/>
        <v>0</v>
      </c>
      <c r="I375">
        <f t="shared" si="2101"/>
        <v>0</v>
      </c>
      <c r="J375">
        <f t="shared" si="2102"/>
        <v>0</v>
      </c>
      <c r="K375">
        <f t="shared" si="2103"/>
        <v>0</v>
      </c>
      <c r="L375">
        <f t="shared" si="2104"/>
        <v>0</v>
      </c>
      <c r="M375">
        <f t="shared" si="2105"/>
        <v>0</v>
      </c>
      <c r="BJ375" s="8" t="str">
        <f>Hidden!$CC43</f>
        <v/>
      </c>
      <c r="BK375">
        <f t="shared" si="2106"/>
        <v>0</v>
      </c>
      <c r="BL375">
        <f t="shared" si="2107"/>
        <v>0</v>
      </c>
      <c r="BM375">
        <f t="shared" si="2108"/>
        <v>0</v>
      </c>
      <c r="BN375">
        <f t="shared" si="2109"/>
        <v>0</v>
      </c>
      <c r="BO375">
        <f t="shared" si="2110"/>
        <v>0</v>
      </c>
      <c r="BP375">
        <f t="shared" si="2111"/>
        <v>0</v>
      </c>
      <c r="BQ375">
        <f t="shared" si="2112"/>
        <v>0</v>
      </c>
      <c r="BR375">
        <f t="shared" si="2113"/>
        <v>0</v>
      </c>
      <c r="BS375">
        <f t="shared" si="2114"/>
        <v>0</v>
      </c>
      <c r="BT375">
        <f t="shared" si="2115"/>
        <v>0</v>
      </c>
      <c r="BU375">
        <f t="shared" si="2116"/>
        <v>0</v>
      </c>
      <c r="BV375">
        <f t="shared" si="2117"/>
        <v>0</v>
      </c>
      <c r="DT375" s="77"/>
      <c r="DU375" s="8" t="str">
        <f>Hidden!$CG55</f>
        <v/>
      </c>
      <c r="DV375">
        <f t="shared" si="2053"/>
        <v>0</v>
      </c>
      <c r="DW375">
        <f t="shared" si="2054"/>
        <v>0</v>
      </c>
      <c r="DX375">
        <f t="shared" si="2055"/>
        <v>0</v>
      </c>
      <c r="DY375">
        <f t="shared" si="2056"/>
        <v>0</v>
      </c>
      <c r="DZ375">
        <f t="shared" si="2057"/>
        <v>0</v>
      </c>
      <c r="EA375">
        <f t="shared" si="2058"/>
        <v>0</v>
      </c>
      <c r="EB375">
        <f t="shared" si="2059"/>
        <v>0</v>
      </c>
      <c r="EC375">
        <f t="shared" si="2060"/>
        <v>0</v>
      </c>
      <c r="ED375">
        <f t="shared" si="2061"/>
        <v>0</v>
      </c>
      <c r="EE375">
        <f t="shared" si="2062"/>
        <v>0</v>
      </c>
      <c r="EF375">
        <f t="shared" si="2063"/>
        <v>0</v>
      </c>
      <c r="EG375">
        <f t="shared" si="2064"/>
        <v>0</v>
      </c>
    </row>
    <row r="376" spans="1:137" x14ac:dyDescent="0.2">
      <c r="A376" s="8" t="str">
        <f t="shared" si="2093"/>
        <v/>
      </c>
      <c r="B376">
        <f t="shared" si="2094"/>
        <v>0</v>
      </c>
      <c r="C376">
        <f t="shared" si="2095"/>
        <v>0</v>
      </c>
      <c r="D376">
        <f t="shared" si="2096"/>
        <v>0</v>
      </c>
      <c r="E376">
        <f t="shared" si="2097"/>
        <v>0</v>
      </c>
      <c r="F376">
        <f t="shared" si="2098"/>
        <v>0</v>
      </c>
      <c r="G376">
        <f t="shared" si="2099"/>
        <v>0</v>
      </c>
      <c r="H376">
        <f t="shared" si="2100"/>
        <v>0</v>
      </c>
      <c r="I376">
        <f t="shared" si="2101"/>
        <v>0</v>
      </c>
      <c r="J376">
        <f t="shared" si="2102"/>
        <v>0</v>
      </c>
      <c r="K376">
        <f t="shared" si="2103"/>
        <v>0</v>
      </c>
      <c r="L376">
        <f t="shared" si="2104"/>
        <v>0</v>
      </c>
      <c r="M376">
        <f t="shared" si="2105"/>
        <v>0</v>
      </c>
      <c r="BJ376" s="8" t="str">
        <f>Hidden!$CC44</f>
        <v/>
      </c>
      <c r="BK376">
        <f t="shared" si="2106"/>
        <v>0</v>
      </c>
      <c r="BL376">
        <f t="shared" si="2107"/>
        <v>0</v>
      </c>
      <c r="BM376">
        <f t="shared" si="2108"/>
        <v>0</v>
      </c>
      <c r="BN376">
        <f t="shared" si="2109"/>
        <v>0</v>
      </c>
      <c r="BO376">
        <f t="shared" si="2110"/>
        <v>0</v>
      </c>
      <c r="BP376">
        <f t="shared" si="2111"/>
        <v>0</v>
      </c>
      <c r="BQ376">
        <f t="shared" si="2112"/>
        <v>0</v>
      </c>
      <c r="BR376">
        <f t="shared" si="2113"/>
        <v>0</v>
      </c>
      <c r="BS376">
        <f t="shared" si="2114"/>
        <v>0</v>
      </c>
      <c r="BT376">
        <f t="shared" si="2115"/>
        <v>0</v>
      </c>
      <c r="BU376">
        <f t="shared" si="2116"/>
        <v>0</v>
      </c>
      <c r="BV376">
        <f t="shared" si="2117"/>
        <v>0</v>
      </c>
      <c r="DT376" s="77"/>
      <c r="DU376" s="8" t="str">
        <f>Hidden!$CG56</f>
        <v/>
      </c>
      <c r="DV376">
        <f t="shared" si="2053"/>
        <v>0</v>
      </c>
      <c r="DW376">
        <f t="shared" si="2054"/>
        <v>0</v>
      </c>
      <c r="DX376">
        <f t="shared" si="2055"/>
        <v>0</v>
      </c>
      <c r="DY376">
        <f t="shared" si="2056"/>
        <v>0</v>
      </c>
      <c r="DZ376">
        <f t="shared" si="2057"/>
        <v>0</v>
      </c>
      <c r="EA376">
        <f t="shared" si="2058"/>
        <v>0</v>
      </c>
      <c r="EB376">
        <f t="shared" si="2059"/>
        <v>0</v>
      </c>
      <c r="EC376">
        <f t="shared" si="2060"/>
        <v>0</v>
      </c>
      <c r="ED376">
        <f t="shared" si="2061"/>
        <v>0</v>
      </c>
      <c r="EE376">
        <f t="shared" si="2062"/>
        <v>0</v>
      </c>
      <c r="EF376">
        <f t="shared" si="2063"/>
        <v>0</v>
      </c>
      <c r="EG376">
        <f t="shared" si="2064"/>
        <v>0</v>
      </c>
    </row>
    <row r="377" spans="1:137" x14ac:dyDescent="0.2">
      <c r="A377" s="8" t="str">
        <f t="shared" si="2093"/>
        <v/>
      </c>
      <c r="B377">
        <f t="shared" si="2094"/>
        <v>0</v>
      </c>
      <c r="C377">
        <f t="shared" si="2095"/>
        <v>0</v>
      </c>
      <c r="D377">
        <f t="shared" si="2096"/>
        <v>0</v>
      </c>
      <c r="E377">
        <f t="shared" si="2097"/>
        <v>0</v>
      </c>
      <c r="F377">
        <f t="shared" si="2098"/>
        <v>0</v>
      </c>
      <c r="G377">
        <f t="shared" si="2099"/>
        <v>0</v>
      </c>
      <c r="H377">
        <f t="shared" si="2100"/>
        <v>0</v>
      </c>
      <c r="I377">
        <f t="shared" si="2101"/>
        <v>0</v>
      </c>
      <c r="J377">
        <f t="shared" si="2102"/>
        <v>0</v>
      </c>
      <c r="K377">
        <f t="shared" si="2103"/>
        <v>0</v>
      </c>
      <c r="L377">
        <f t="shared" si="2104"/>
        <v>0</v>
      </c>
      <c r="M377">
        <f t="shared" si="2105"/>
        <v>0</v>
      </c>
      <c r="BJ377" s="8" t="str">
        <f>Hidden!$CC45</f>
        <v/>
      </c>
      <c r="BK377">
        <f t="shared" si="2106"/>
        <v>0</v>
      </c>
      <c r="BL377">
        <f t="shared" si="2107"/>
        <v>0</v>
      </c>
      <c r="BM377">
        <f t="shared" si="2108"/>
        <v>0</v>
      </c>
      <c r="BN377">
        <f t="shared" si="2109"/>
        <v>0</v>
      </c>
      <c r="BO377">
        <f t="shared" si="2110"/>
        <v>0</v>
      </c>
      <c r="BP377">
        <f t="shared" si="2111"/>
        <v>0</v>
      </c>
      <c r="BQ377">
        <f t="shared" si="2112"/>
        <v>0</v>
      </c>
      <c r="BR377">
        <f t="shared" si="2113"/>
        <v>0</v>
      </c>
      <c r="BS377">
        <f t="shared" si="2114"/>
        <v>0</v>
      </c>
      <c r="BT377">
        <f t="shared" si="2115"/>
        <v>0</v>
      </c>
      <c r="BU377">
        <f t="shared" si="2116"/>
        <v>0</v>
      </c>
      <c r="BV377">
        <f t="shared" si="2117"/>
        <v>0</v>
      </c>
      <c r="DT377" s="77"/>
      <c r="DU377" s="8" t="str">
        <f>Hidden!$CG57</f>
        <v/>
      </c>
      <c r="DV377">
        <f t="shared" si="2053"/>
        <v>0</v>
      </c>
      <c r="DW377">
        <f t="shared" si="2054"/>
        <v>0</v>
      </c>
      <c r="DX377">
        <f t="shared" si="2055"/>
        <v>0</v>
      </c>
      <c r="DY377">
        <f t="shared" si="2056"/>
        <v>0</v>
      </c>
      <c r="DZ377">
        <f t="shared" si="2057"/>
        <v>0</v>
      </c>
      <c r="EA377">
        <f t="shared" si="2058"/>
        <v>0</v>
      </c>
      <c r="EB377">
        <f t="shared" si="2059"/>
        <v>0</v>
      </c>
      <c r="EC377">
        <f t="shared" si="2060"/>
        <v>0</v>
      </c>
      <c r="ED377">
        <f t="shared" si="2061"/>
        <v>0</v>
      </c>
      <c r="EE377">
        <f t="shared" si="2062"/>
        <v>0</v>
      </c>
      <c r="EF377">
        <f t="shared" si="2063"/>
        <v>0</v>
      </c>
      <c r="EG377">
        <f t="shared" si="2064"/>
        <v>0</v>
      </c>
    </row>
    <row r="378" spans="1:137" x14ac:dyDescent="0.2">
      <c r="A378" s="8" t="str">
        <f t="shared" si="2093"/>
        <v/>
      </c>
      <c r="B378">
        <f t="shared" si="2094"/>
        <v>0</v>
      </c>
      <c r="C378">
        <f t="shared" si="2095"/>
        <v>0</v>
      </c>
      <c r="D378">
        <f t="shared" si="2096"/>
        <v>0</v>
      </c>
      <c r="E378">
        <f t="shared" si="2097"/>
        <v>0</v>
      </c>
      <c r="F378">
        <f t="shared" si="2098"/>
        <v>0</v>
      </c>
      <c r="G378">
        <f t="shared" si="2099"/>
        <v>0</v>
      </c>
      <c r="H378">
        <f t="shared" si="2100"/>
        <v>0</v>
      </c>
      <c r="I378">
        <f t="shared" si="2101"/>
        <v>0</v>
      </c>
      <c r="J378">
        <f t="shared" si="2102"/>
        <v>0</v>
      </c>
      <c r="K378">
        <f t="shared" si="2103"/>
        <v>0</v>
      </c>
      <c r="L378">
        <f t="shared" si="2104"/>
        <v>0</v>
      </c>
      <c r="M378">
        <f t="shared" si="2105"/>
        <v>0</v>
      </c>
      <c r="BJ378" s="8" t="str">
        <f>Hidden!$CC46</f>
        <v/>
      </c>
      <c r="BK378">
        <f t="shared" si="2106"/>
        <v>0</v>
      </c>
      <c r="BL378">
        <f t="shared" si="2107"/>
        <v>0</v>
      </c>
      <c r="BM378">
        <f t="shared" si="2108"/>
        <v>0</v>
      </c>
      <c r="BN378">
        <f t="shared" si="2109"/>
        <v>0</v>
      </c>
      <c r="BO378">
        <f t="shared" si="2110"/>
        <v>0</v>
      </c>
      <c r="BP378">
        <f t="shared" si="2111"/>
        <v>0</v>
      </c>
      <c r="BQ378">
        <f t="shared" si="2112"/>
        <v>0</v>
      </c>
      <c r="BR378">
        <f t="shared" si="2113"/>
        <v>0</v>
      </c>
      <c r="BS378">
        <f t="shared" si="2114"/>
        <v>0</v>
      </c>
      <c r="BT378">
        <f t="shared" si="2115"/>
        <v>0</v>
      </c>
      <c r="BU378">
        <f t="shared" si="2116"/>
        <v>0</v>
      </c>
      <c r="BV378">
        <f t="shared" si="2117"/>
        <v>0</v>
      </c>
      <c r="DT378" s="77"/>
      <c r="DU378" s="8" t="str">
        <f>Hidden!$CG58</f>
        <v/>
      </c>
      <c r="DV378">
        <f t="shared" si="2053"/>
        <v>0</v>
      </c>
      <c r="DW378">
        <f t="shared" si="2054"/>
        <v>0</v>
      </c>
      <c r="DX378">
        <f t="shared" si="2055"/>
        <v>0</v>
      </c>
      <c r="DY378">
        <f t="shared" si="2056"/>
        <v>0</v>
      </c>
      <c r="DZ378">
        <f t="shared" si="2057"/>
        <v>0</v>
      </c>
      <c r="EA378">
        <f t="shared" si="2058"/>
        <v>0</v>
      </c>
      <c r="EB378">
        <f t="shared" si="2059"/>
        <v>0</v>
      </c>
      <c r="EC378">
        <f t="shared" si="2060"/>
        <v>0</v>
      </c>
      <c r="ED378">
        <f t="shared" si="2061"/>
        <v>0</v>
      </c>
      <c r="EE378">
        <f t="shared" si="2062"/>
        <v>0</v>
      </c>
      <c r="EF378">
        <f t="shared" si="2063"/>
        <v>0</v>
      </c>
      <c r="EG378">
        <f t="shared" si="2064"/>
        <v>0</v>
      </c>
    </row>
    <row r="379" spans="1:137" x14ac:dyDescent="0.2">
      <c r="A379" s="8" t="str">
        <f t="shared" si="2093"/>
        <v/>
      </c>
      <c r="B379">
        <f t="shared" si="2094"/>
        <v>0</v>
      </c>
      <c r="C379">
        <f t="shared" si="2095"/>
        <v>0</v>
      </c>
      <c r="D379">
        <f t="shared" si="2096"/>
        <v>0</v>
      </c>
      <c r="E379">
        <f t="shared" si="2097"/>
        <v>0</v>
      </c>
      <c r="F379">
        <f t="shared" si="2098"/>
        <v>0</v>
      </c>
      <c r="G379">
        <f t="shared" si="2099"/>
        <v>0</v>
      </c>
      <c r="H379">
        <f t="shared" si="2100"/>
        <v>0</v>
      </c>
      <c r="I379">
        <f t="shared" si="2101"/>
        <v>0</v>
      </c>
      <c r="J379">
        <f t="shared" si="2102"/>
        <v>0</v>
      </c>
      <c r="K379">
        <f t="shared" si="2103"/>
        <v>0</v>
      </c>
      <c r="L379">
        <f t="shared" si="2104"/>
        <v>0</v>
      </c>
      <c r="M379">
        <f t="shared" si="2105"/>
        <v>0</v>
      </c>
      <c r="BJ379" s="8" t="str">
        <f>Hidden!$CC47</f>
        <v/>
      </c>
      <c r="BK379">
        <f t="shared" si="2106"/>
        <v>0</v>
      </c>
      <c r="BL379">
        <f t="shared" si="2107"/>
        <v>0</v>
      </c>
      <c r="BM379">
        <f t="shared" si="2108"/>
        <v>0</v>
      </c>
      <c r="BN379">
        <f t="shared" si="2109"/>
        <v>0</v>
      </c>
      <c r="BO379">
        <f t="shared" si="2110"/>
        <v>0</v>
      </c>
      <c r="BP379">
        <f t="shared" si="2111"/>
        <v>0</v>
      </c>
      <c r="BQ379">
        <f t="shared" si="2112"/>
        <v>0</v>
      </c>
      <c r="BR379">
        <f t="shared" si="2113"/>
        <v>0</v>
      </c>
      <c r="BS379">
        <f t="shared" si="2114"/>
        <v>0</v>
      </c>
      <c r="BT379">
        <f t="shared" si="2115"/>
        <v>0</v>
      </c>
      <c r="BU379">
        <f t="shared" si="2116"/>
        <v>0</v>
      </c>
      <c r="BV379">
        <f t="shared" si="2117"/>
        <v>0</v>
      </c>
      <c r="DT379" s="77"/>
      <c r="DU379" s="8" t="str">
        <f>Hidden!$CG59</f>
        <v/>
      </c>
      <c r="DV379">
        <f t="shared" si="2053"/>
        <v>0</v>
      </c>
      <c r="DW379">
        <f t="shared" si="2054"/>
        <v>0</v>
      </c>
      <c r="DX379">
        <f t="shared" si="2055"/>
        <v>0</v>
      </c>
      <c r="DY379">
        <f t="shared" si="2056"/>
        <v>0</v>
      </c>
      <c r="DZ379">
        <f t="shared" si="2057"/>
        <v>0</v>
      </c>
      <c r="EA379">
        <f t="shared" si="2058"/>
        <v>0</v>
      </c>
      <c r="EB379">
        <f t="shared" si="2059"/>
        <v>0</v>
      </c>
      <c r="EC379">
        <f t="shared" si="2060"/>
        <v>0</v>
      </c>
      <c r="ED379">
        <f t="shared" si="2061"/>
        <v>0</v>
      </c>
      <c r="EE379">
        <f t="shared" si="2062"/>
        <v>0</v>
      </c>
      <c r="EF379">
        <f t="shared" si="2063"/>
        <v>0</v>
      </c>
      <c r="EG379">
        <f t="shared" si="2064"/>
        <v>0</v>
      </c>
    </row>
    <row r="380" spans="1:137" x14ac:dyDescent="0.2">
      <c r="A380" s="8" t="str">
        <f t="shared" si="2093"/>
        <v/>
      </c>
      <c r="B380">
        <f t="shared" si="2094"/>
        <v>0</v>
      </c>
      <c r="C380">
        <f t="shared" si="2095"/>
        <v>0</v>
      </c>
      <c r="D380">
        <f t="shared" si="2096"/>
        <v>0</v>
      </c>
      <c r="E380">
        <f t="shared" si="2097"/>
        <v>0</v>
      </c>
      <c r="F380">
        <f t="shared" si="2098"/>
        <v>0</v>
      </c>
      <c r="G380">
        <f t="shared" si="2099"/>
        <v>0</v>
      </c>
      <c r="H380">
        <f t="shared" si="2100"/>
        <v>0</v>
      </c>
      <c r="I380">
        <f t="shared" si="2101"/>
        <v>0</v>
      </c>
      <c r="J380">
        <f t="shared" si="2102"/>
        <v>0</v>
      </c>
      <c r="K380">
        <f t="shared" si="2103"/>
        <v>0</v>
      </c>
      <c r="L380">
        <f t="shared" si="2104"/>
        <v>0</v>
      </c>
      <c r="M380">
        <f t="shared" si="2105"/>
        <v>0</v>
      </c>
      <c r="BJ380" s="8" t="str">
        <f>Hidden!$CC48</f>
        <v/>
      </c>
      <c r="BK380">
        <f t="shared" si="2106"/>
        <v>0</v>
      </c>
      <c r="BL380">
        <f t="shared" si="2107"/>
        <v>0</v>
      </c>
      <c r="BM380">
        <f t="shared" si="2108"/>
        <v>0</v>
      </c>
      <c r="BN380">
        <f t="shared" si="2109"/>
        <v>0</v>
      </c>
      <c r="BO380">
        <f t="shared" si="2110"/>
        <v>0</v>
      </c>
      <c r="BP380">
        <f t="shared" si="2111"/>
        <v>0</v>
      </c>
      <c r="BQ380">
        <f t="shared" si="2112"/>
        <v>0</v>
      </c>
      <c r="BR380">
        <f t="shared" si="2113"/>
        <v>0</v>
      </c>
      <c r="BS380">
        <f t="shared" si="2114"/>
        <v>0</v>
      </c>
      <c r="BT380">
        <f t="shared" si="2115"/>
        <v>0</v>
      </c>
      <c r="BU380">
        <f t="shared" si="2116"/>
        <v>0</v>
      </c>
      <c r="BV380">
        <f t="shared" si="2117"/>
        <v>0</v>
      </c>
      <c r="DT380" s="77"/>
      <c r="DU380" s="8" t="str">
        <f>Hidden!$CG60</f>
        <v/>
      </c>
      <c r="DV380">
        <f t="shared" si="2053"/>
        <v>0</v>
      </c>
      <c r="DW380">
        <f t="shared" si="2054"/>
        <v>0</v>
      </c>
      <c r="DX380">
        <f t="shared" si="2055"/>
        <v>0</v>
      </c>
      <c r="DY380">
        <f t="shared" si="2056"/>
        <v>0</v>
      </c>
      <c r="DZ380">
        <f t="shared" si="2057"/>
        <v>0</v>
      </c>
      <c r="EA380">
        <f t="shared" si="2058"/>
        <v>0</v>
      </c>
      <c r="EB380">
        <f t="shared" si="2059"/>
        <v>0</v>
      </c>
      <c r="EC380">
        <f t="shared" si="2060"/>
        <v>0</v>
      </c>
      <c r="ED380">
        <f t="shared" si="2061"/>
        <v>0</v>
      </c>
      <c r="EE380">
        <f t="shared" si="2062"/>
        <v>0</v>
      </c>
      <c r="EF380">
        <f t="shared" si="2063"/>
        <v>0</v>
      </c>
      <c r="EG380">
        <f t="shared" si="2064"/>
        <v>0</v>
      </c>
    </row>
    <row r="381" spans="1:137" x14ac:dyDescent="0.2">
      <c r="A381" s="8" t="str">
        <f t="shared" si="2093"/>
        <v/>
      </c>
      <c r="B381">
        <f t="shared" si="2094"/>
        <v>0</v>
      </c>
      <c r="C381">
        <f t="shared" si="2095"/>
        <v>0</v>
      </c>
      <c r="D381">
        <f t="shared" si="2096"/>
        <v>0</v>
      </c>
      <c r="E381">
        <f t="shared" si="2097"/>
        <v>0</v>
      </c>
      <c r="F381">
        <f t="shared" si="2098"/>
        <v>0</v>
      </c>
      <c r="G381">
        <f t="shared" si="2099"/>
        <v>0</v>
      </c>
      <c r="H381">
        <f t="shared" si="2100"/>
        <v>0</v>
      </c>
      <c r="I381">
        <f t="shared" si="2101"/>
        <v>0</v>
      </c>
      <c r="J381">
        <f t="shared" si="2102"/>
        <v>0</v>
      </c>
      <c r="K381">
        <f t="shared" si="2103"/>
        <v>0</v>
      </c>
      <c r="L381">
        <f t="shared" si="2104"/>
        <v>0</v>
      </c>
      <c r="M381">
        <f t="shared" si="2105"/>
        <v>0</v>
      </c>
      <c r="BJ381" s="8" t="str">
        <f>Hidden!$CC49</f>
        <v/>
      </c>
      <c r="BK381">
        <f t="shared" si="2106"/>
        <v>0</v>
      </c>
      <c r="BL381">
        <f t="shared" si="2107"/>
        <v>0</v>
      </c>
      <c r="BM381">
        <f t="shared" si="2108"/>
        <v>0</v>
      </c>
      <c r="BN381">
        <f t="shared" si="2109"/>
        <v>0</v>
      </c>
      <c r="BO381">
        <f t="shared" si="2110"/>
        <v>0</v>
      </c>
      <c r="BP381">
        <f t="shared" si="2111"/>
        <v>0</v>
      </c>
      <c r="BQ381">
        <f t="shared" si="2112"/>
        <v>0</v>
      </c>
      <c r="BR381">
        <f t="shared" si="2113"/>
        <v>0</v>
      </c>
      <c r="BS381">
        <f t="shared" si="2114"/>
        <v>0</v>
      </c>
      <c r="BT381">
        <f t="shared" si="2115"/>
        <v>0</v>
      </c>
      <c r="BU381">
        <f t="shared" si="2116"/>
        <v>0</v>
      </c>
      <c r="BV381">
        <f t="shared" si="2117"/>
        <v>0</v>
      </c>
      <c r="DT381" s="77"/>
      <c r="DU381" s="8" t="str">
        <f>Hidden!$CG61</f>
        <v/>
      </c>
      <c r="DV381">
        <f t="shared" si="2053"/>
        <v>0</v>
      </c>
      <c r="DW381">
        <f t="shared" si="2054"/>
        <v>0</v>
      </c>
      <c r="DX381">
        <f t="shared" si="2055"/>
        <v>0</v>
      </c>
      <c r="DY381">
        <f t="shared" si="2056"/>
        <v>0</v>
      </c>
      <c r="DZ381">
        <f t="shared" si="2057"/>
        <v>0</v>
      </c>
      <c r="EA381">
        <f t="shared" si="2058"/>
        <v>0</v>
      </c>
      <c r="EB381">
        <f t="shared" si="2059"/>
        <v>0</v>
      </c>
      <c r="EC381">
        <f t="shared" si="2060"/>
        <v>0</v>
      </c>
      <c r="ED381">
        <f t="shared" si="2061"/>
        <v>0</v>
      </c>
      <c r="EE381">
        <f t="shared" si="2062"/>
        <v>0</v>
      </c>
      <c r="EF381">
        <f t="shared" si="2063"/>
        <v>0</v>
      </c>
      <c r="EG381">
        <f t="shared" si="2064"/>
        <v>0</v>
      </c>
    </row>
    <row r="382" spans="1:137" x14ac:dyDescent="0.2">
      <c r="A382" s="8" t="str">
        <f t="shared" si="2093"/>
        <v/>
      </c>
      <c r="B382">
        <f t="shared" si="2094"/>
        <v>0</v>
      </c>
      <c r="C382">
        <f t="shared" si="2095"/>
        <v>0</v>
      </c>
      <c r="D382">
        <f t="shared" si="2096"/>
        <v>0</v>
      </c>
      <c r="E382">
        <f t="shared" si="2097"/>
        <v>0</v>
      </c>
      <c r="F382">
        <f t="shared" si="2098"/>
        <v>0</v>
      </c>
      <c r="G382">
        <f t="shared" si="2099"/>
        <v>0</v>
      </c>
      <c r="H382">
        <f t="shared" si="2100"/>
        <v>0</v>
      </c>
      <c r="I382">
        <f t="shared" si="2101"/>
        <v>0</v>
      </c>
      <c r="J382">
        <f t="shared" si="2102"/>
        <v>0</v>
      </c>
      <c r="K382">
        <f t="shared" si="2103"/>
        <v>0</v>
      </c>
      <c r="L382">
        <f t="shared" si="2104"/>
        <v>0</v>
      </c>
      <c r="M382">
        <f t="shared" si="2105"/>
        <v>0</v>
      </c>
      <c r="BJ382" s="8" t="str">
        <f>Hidden!$CC50</f>
        <v/>
      </c>
      <c r="BK382">
        <f t="shared" si="2106"/>
        <v>0</v>
      </c>
      <c r="BL382">
        <f t="shared" si="2107"/>
        <v>0</v>
      </c>
      <c r="BM382">
        <f t="shared" si="2108"/>
        <v>0</v>
      </c>
      <c r="BN382">
        <f t="shared" si="2109"/>
        <v>0</v>
      </c>
      <c r="BO382">
        <f t="shared" si="2110"/>
        <v>0</v>
      </c>
      <c r="BP382">
        <f t="shared" si="2111"/>
        <v>0</v>
      </c>
      <c r="BQ382">
        <f t="shared" si="2112"/>
        <v>0</v>
      </c>
      <c r="BR382">
        <f t="shared" si="2113"/>
        <v>0</v>
      </c>
      <c r="BS382">
        <f t="shared" si="2114"/>
        <v>0</v>
      </c>
      <c r="BT382">
        <f t="shared" si="2115"/>
        <v>0</v>
      </c>
      <c r="BU382">
        <f t="shared" si="2116"/>
        <v>0</v>
      </c>
      <c r="BV382">
        <f t="shared" si="2117"/>
        <v>0</v>
      </c>
      <c r="DT382" s="77"/>
      <c r="DU382" s="8" t="str">
        <f>Hidden!$CG62</f>
        <v/>
      </c>
      <c r="DV382">
        <f t="shared" si="2053"/>
        <v>0</v>
      </c>
      <c r="DW382">
        <f t="shared" si="2054"/>
        <v>0</v>
      </c>
      <c r="DX382">
        <f t="shared" si="2055"/>
        <v>0</v>
      </c>
      <c r="DY382">
        <f t="shared" si="2056"/>
        <v>0</v>
      </c>
      <c r="DZ382">
        <f t="shared" si="2057"/>
        <v>0</v>
      </c>
      <c r="EA382">
        <f t="shared" si="2058"/>
        <v>0</v>
      </c>
      <c r="EB382">
        <f t="shared" si="2059"/>
        <v>0</v>
      </c>
      <c r="EC382">
        <f t="shared" si="2060"/>
        <v>0</v>
      </c>
      <c r="ED382">
        <f t="shared" si="2061"/>
        <v>0</v>
      </c>
      <c r="EE382">
        <f t="shared" si="2062"/>
        <v>0</v>
      </c>
      <c r="EF382">
        <f t="shared" si="2063"/>
        <v>0</v>
      </c>
      <c r="EG382">
        <f t="shared" si="2064"/>
        <v>0</v>
      </c>
    </row>
    <row r="383" spans="1:137" x14ac:dyDescent="0.2">
      <c r="A383" s="8" t="str">
        <f t="shared" si="2093"/>
        <v/>
      </c>
      <c r="B383">
        <f t="shared" si="2094"/>
        <v>0</v>
      </c>
      <c r="C383">
        <f t="shared" si="2095"/>
        <v>0</v>
      </c>
      <c r="D383">
        <f t="shared" si="2096"/>
        <v>0</v>
      </c>
      <c r="E383">
        <f t="shared" si="2097"/>
        <v>0</v>
      </c>
      <c r="F383">
        <f t="shared" si="2098"/>
        <v>0</v>
      </c>
      <c r="G383">
        <f t="shared" si="2099"/>
        <v>0</v>
      </c>
      <c r="H383">
        <f t="shared" si="2100"/>
        <v>0</v>
      </c>
      <c r="I383">
        <f t="shared" si="2101"/>
        <v>0</v>
      </c>
      <c r="J383">
        <f t="shared" si="2102"/>
        <v>0</v>
      </c>
      <c r="K383">
        <f t="shared" si="2103"/>
        <v>0</v>
      </c>
      <c r="L383">
        <f t="shared" si="2104"/>
        <v>0</v>
      </c>
      <c r="M383">
        <f t="shared" si="2105"/>
        <v>0</v>
      </c>
      <c r="BJ383" s="8" t="str">
        <f>Hidden!$CC51</f>
        <v/>
      </c>
      <c r="BK383">
        <f t="shared" si="2106"/>
        <v>0</v>
      </c>
      <c r="BL383">
        <f t="shared" si="2107"/>
        <v>0</v>
      </c>
      <c r="BM383">
        <f t="shared" si="2108"/>
        <v>0</v>
      </c>
      <c r="BN383">
        <f t="shared" si="2109"/>
        <v>0</v>
      </c>
      <c r="BO383">
        <f t="shared" si="2110"/>
        <v>0</v>
      </c>
      <c r="BP383">
        <f t="shared" si="2111"/>
        <v>0</v>
      </c>
      <c r="BQ383">
        <f t="shared" si="2112"/>
        <v>0</v>
      </c>
      <c r="BR383">
        <f t="shared" si="2113"/>
        <v>0</v>
      </c>
      <c r="BS383">
        <f t="shared" si="2114"/>
        <v>0</v>
      </c>
      <c r="BT383">
        <f t="shared" si="2115"/>
        <v>0</v>
      </c>
      <c r="BU383">
        <f t="shared" si="2116"/>
        <v>0</v>
      </c>
      <c r="BV383">
        <f t="shared" si="2117"/>
        <v>0</v>
      </c>
      <c r="DT383" s="77"/>
      <c r="DU383" s="8" t="str">
        <f>Hidden!$CG63</f>
        <v/>
      </c>
      <c r="DV383">
        <f t="shared" si="2053"/>
        <v>0</v>
      </c>
      <c r="DW383">
        <f t="shared" si="2054"/>
        <v>0</v>
      </c>
      <c r="DX383">
        <f t="shared" si="2055"/>
        <v>0</v>
      </c>
      <c r="DY383">
        <f t="shared" si="2056"/>
        <v>0</v>
      </c>
      <c r="DZ383">
        <f t="shared" si="2057"/>
        <v>0</v>
      </c>
      <c r="EA383">
        <f t="shared" si="2058"/>
        <v>0</v>
      </c>
      <c r="EB383">
        <f t="shared" si="2059"/>
        <v>0</v>
      </c>
      <c r="EC383">
        <f t="shared" si="2060"/>
        <v>0</v>
      </c>
      <c r="ED383">
        <f t="shared" si="2061"/>
        <v>0</v>
      </c>
      <c r="EE383">
        <f t="shared" si="2062"/>
        <v>0</v>
      </c>
      <c r="EF383">
        <f t="shared" si="2063"/>
        <v>0</v>
      </c>
      <c r="EG383">
        <f t="shared" si="2064"/>
        <v>0</v>
      </c>
    </row>
    <row r="384" spans="1:137" x14ac:dyDescent="0.2">
      <c r="A384" s="8" t="str">
        <f t="shared" si="2093"/>
        <v/>
      </c>
      <c r="B384">
        <f t="shared" si="2094"/>
        <v>0</v>
      </c>
      <c r="C384">
        <f t="shared" si="2095"/>
        <v>0</v>
      </c>
      <c r="D384">
        <f t="shared" si="2096"/>
        <v>0</v>
      </c>
      <c r="E384">
        <f t="shared" si="2097"/>
        <v>0</v>
      </c>
      <c r="F384">
        <f t="shared" si="2098"/>
        <v>0</v>
      </c>
      <c r="G384">
        <f t="shared" si="2099"/>
        <v>0</v>
      </c>
      <c r="H384">
        <f t="shared" si="2100"/>
        <v>0</v>
      </c>
      <c r="I384">
        <f t="shared" si="2101"/>
        <v>0</v>
      </c>
      <c r="J384">
        <f t="shared" si="2102"/>
        <v>0</v>
      </c>
      <c r="K384">
        <f t="shared" si="2103"/>
        <v>0</v>
      </c>
      <c r="L384">
        <f t="shared" si="2104"/>
        <v>0</v>
      </c>
      <c r="M384">
        <f t="shared" si="2105"/>
        <v>0</v>
      </c>
      <c r="BJ384" s="8" t="str">
        <f>Hidden!$CC52</f>
        <v/>
      </c>
      <c r="BK384">
        <f t="shared" si="2106"/>
        <v>0</v>
      </c>
      <c r="BL384">
        <f t="shared" si="2107"/>
        <v>0</v>
      </c>
      <c r="BM384">
        <f t="shared" si="2108"/>
        <v>0</v>
      </c>
      <c r="BN384">
        <f t="shared" si="2109"/>
        <v>0</v>
      </c>
      <c r="BO384">
        <f t="shared" si="2110"/>
        <v>0</v>
      </c>
      <c r="BP384">
        <f t="shared" si="2111"/>
        <v>0</v>
      </c>
      <c r="BQ384">
        <f t="shared" si="2112"/>
        <v>0</v>
      </c>
      <c r="BR384">
        <f t="shared" si="2113"/>
        <v>0</v>
      </c>
      <c r="BS384">
        <f t="shared" si="2114"/>
        <v>0</v>
      </c>
      <c r="BT384">
        <f t="shared" si="2115"/>
        <v>0</v>
      </c>
      <c r="BU384">
        <f t="shared" si="2116"/>
        <v>0</v>
      </c>
      <c r="BV384">
        <f t="shared" si="2117"/>
        <v>0</v>
      </c>
      <c r="DT384" s="77"/>
      <c r="DU384" s="8" t="str">
        <f>Hidden!$CG64</f>
        <v/>
      </c>
      <c r="DV384">
        <f t="shared" si="2053"/>
        <v>0</v>
      </c>
      <c r="DW384">
        <f t="shared" si="2054"/>
        <v>0</v>
      </c>
      <c r="DX384">
        <f t="shared" si="2055"/>
        <v>0</v>
      </c>
      <c r="DY384">
        <f t="shared" si="2056"/>
        <v>0</v>
      </c>
      <c r="DZ384">
        <f t="shared" si="2057"/>
        <v>0</v>
      </c>
      <c r="EA384">
        <f t="shared" si="2058"/>
        <v>0</v>
      </c>
      <c r="EB384">
        <f t="shared" si="2059"/>
        <v>0</v>
      </c>
      <c r="EC384">
        <f t="shared" si="2060"/>
        <v>0</v>
      </c>
      <c r="ED384">
        <f t="shared" si="2061"/>
        <v>0</v>
      </c>
      <c r="EE384">
        <f t="shared" si="2062"/>
        <v>0</v>
      </c>
      <c r="EF384">
        <f t="shared" si="2063"/>
        <v>0</v>
      </c>
      <c r="EG384">
        <f t="shared" si="2064"/>
        <v>0</v>
      </c>
    </row>
    <row r="385" spans="1:137" x14ac:dyDescent="0.2">
      <c r="A385" s="8" t="str">
        <f t="shared" si="2093"/>
        <v/>
      </c>
      <c r="B385">
        <f t="shared" si="2094"/>
        <v>0</v>
      </c>
      <c r="C385">
        <f t="shared" si="2095"/>
        <v>0</v>
      </c>
      <c r="D385">
        <f t="shared" si="2096"/>
        <v>0</v>
      </c>
      <c r="E385">
        <f t="shared" si="2097"/>
        <v>0</v>
      </c>
      <c r="F385">
        <f t="shared" si="2098"/>
        <v>0</v>
      </c>
      <c r="G385">
        <f t="shared" si="2099"/>
        <v>0</v>
      </c>
      <c r="H385">
        <f t="shared" si="2100"/>
        <v>0</v>
      </c>
      <c r="I385">
        <f t="shared" si="2101"/>
        <v>0</v>
      </c>
      <c r="J385">
        <f t="shared" si="2102"/>
        <v>0</v>
      </c>
      <c r="K385">
        <f t="shared" si="2103"/>
        <v>0</v>
      </c>
      <c r="L385">
        <f t="shared" si="2104"/>
        <v>0</v>
      </c>
      <c r="M385">
        <f t="shared" si="2105"/>
        <v>0</v>
      </c>
      <c r="BJ385" s="8" t="str">
        <f>Hidden!$CC53</f>
        <v/>
      </c>
      <c r="BK385">
        <f t="shared" si="2106"/>
        <v>0</v>
      </c>
      <c r="BL385">
        <f t="shared" si="2107"/>
        <v>0</v>
      </c>
      <c r="BM385">
        <f t="shared" si="2108"/>
        <v>0</v>
      </c>
      <c r="BN385">
        <f t="shared" si="2109"/>
        <v>0</v>
      </c>
      <c r="BO385">
        <f t="shared" si="2110"/>
        <v>0</v>
      </c>
      <c r="BP385">
        <f t="shared" si="2111"/>
        <v>0</v>
      </c>
      <c r="BQ385">
        <f t="shared" si="2112"/>
        <v>0</v>
      </c>
      <c r="BR385">
        <f t="shared" si="2113"/>
        <v>0</v>
      </c>
      <c r="BS385">
        <f t="shared" si="2114"/>
        <v>0</v>
      </c>
      <c r="BT385">
        <f t="shared" si="2115"/>
        <v>0</v>
      </c>
      <c r="BU385">
        <f t="shared" si="2116"/>
        <v>0</v>
      </c>
      <c r="BV385">
        <f t="shared" si="2117"/>
        <v>0</v>
      </c>
      <c r="DT385" s="77"/>
      <c r="DU385" s="8" t="str">
        <f>Hidden!$CG65</f>
        <v/>
      </c>
      <c r="DV385">
        <f t="shared" si="2053"/>
        <v>0</v>
      </c>
      <c r="DW385">
        <f t="shared" si="2054"/>
        <v>0</v>
      </c>
      <c r="DX385">
        <f t="shared" si="2055"/>
        <v>0</v>
      </c>
      <c r="DY385">
        <f t="shared" si="2056"/>
        <v>0</v>
      </c>
      <c r="DZ385">
        <f t="shared" si="2057"/>
        <v>0</v>
      </c>
      <c r="EA385">
        <f t="shared" si="2058"/>
        <v>0</v>
      </c>
      <c r="EB385">
        <f t="shared" si="2059"/>
        <v>0</v>
      </c>
      <c r="EC385">
        <f t="shared" si="2060"/>
        <v>0</v>
      </c>
      <c r="ED385">
        <f t="shared" si="2061"/>
        <v>0</v>
      </c>
      <c r="EE385">
        <f t="shared" si="2062"/>
        <v>0</v>
      </c>
      <c r="EF385">
        <f t="shared" si="2063"/>
        <v>0</v>
      </c>
      <c r="EG385">
        <f t="shared" si="2064"/>
        <v>0</v>
      </c>
    </row>
    <row r="386" spans="1:137" x14ac:dyDescent="0.2">
      <c r="A386" s="8" t="str">
        <f t="shared" si="2093"/>
        <v/>
      </c>
      <c r="B386">
        <f t="shared" si="2094"/>
        <v>0</v>
      </c>
      <c r="C386">
        <f t="shared" si="2095"/>
        <v>0</v>
      </c>
      <c r="D386">
        <f t="shared" si="2096"/>
        <v>0</v>
      </c>
      <c r="E386">
        <f t="shared" si="2097"/>
        <v>0</v>
      </c>
      <c r="F386">
        <f t="shared" si="2098"/>
        <v>0</v>
      </c>
      <c r="G386">
        <f t="shared" si="2099"/>
        <v>0</v>
      </c>
      <c r="H386">
        <f t="shared" si="2100"/>
        <v>0</v>
      </c>
      <c r="I386">
        <f t="shared" si="2101"/>
        <v>0</v>
      </c>
      <c r="J386">
        <f t="shared" si="2102"/>
        <v>0</v>
      </c>
      <c r="K386">
        <f t="shared" si="2103"/>
        <v>0</v>
      </c>
      <c r="L386">
        <f t="shared" si="2104"/>
        <v>0</v>
      </c>
      <c r="M386">
        <f t="shared" si="2105"/>
        <v>0</v>
      </c>
      <c r="BJ386" s="8" t="str">
        <f>Hidden!$CC54</f>
        <v/>
      </c>
      <c r="BK386">
        <f t="shared" si="2106"/>
        <v>0</v>
      </c>
      <c r="BL386">
        <f t="shared" si="2107"/>
        <v>0</v>
      </c>
      <c r="BM386">
        <f t="shared" si="2108"/>
        <v>0</v>
      </c>
      <c r="BN386">
        <f t="shared" si="2109"/>
        <v>0</v>
      </c>
      <c r="BO386">
        <f t="shared" si="2110"/>
        <v>0</v>
      </c>
      <c r="BP386">
        <f t="shared" si="2111"/>
        <v>0</v>
      </c>
      <c r="BQ386">
        <f t="shared" si="2112"/>
        <v>0</v>
      </c>
      <c r="BR386">
        <f t="shared" si="2113"/>
        <v>0</v>
      </c>
      <c r="BS386">
        <f t="shared" si="2114"/>
        <v>0</v>
      </c>
      <c r="BT386">
        <f t="shared" si="2115"/>
        <v>0</v>
      </c>
      <c r="BU386">
        <f t="shared" si="2116"/>
        <v>0</v>
      </c>
      <c r="BV386">
        <f t="shared" si="2117"/>
        <v>0</v>
      </c>
      <c r="DT386" s="77"/>
      <c r="DU386" s="8" t="str">
        <f>Hidden!$CG66</f>
        <v/>
      </c>
      <c r="DV386">
        <f t="shared" si="2053"/>
        <v>0</v>
      </c>
      <c r="DW386">
        <f t="shared" si="2054"/>
        <v>0</v>
      </c>
      <c r="DX386">
        <f t="shared" si="2055"/>
        <v>0</v>
      </c>
      <c r="DY386">
        <f t="shared" si="2056"/>
        <v>0</v>
      </c>
      <c r="DZ386">
        <f t="shared" si="2057"/>
        <v>0</v>
      </c>
      <c r="EA386">
        <f t="shared" si="2058"/>
        <v>0</v>
      </c>
      <c r="EB386">
        <f t="shared" si="2059"/>
        <v>0</v>
      </c>
      <c r="EC386">
        <f t="shared" si="2060"/>
        <v>0</v>
      </c>
      <c r="ED386">
        <f t="shared" si="2061"/>
        <v>0</v>
      </c>
      <c r="EE386">
        <f t="shared" si="2062"/>
        <v>0</v>
      </c>
      <c r="EF386">
        <f t="shared" si="2063"/>
        <v>0</v>
      </c>
      <c r="EG386">
        <f t="shared" si="2064"/>
        <v>0</v>
      </c>
    </row>
    <row r="387" spans="1:137" x14ac:dyDescent="0.2">
      <c r="A387" s="8" t="str">
        <f t="shared" si="2093"/>
        <v/>
      </c>
      <c r="B387">
        <f t="shared" si="2094"/>
        <v>0</v>
      </c>
      <c r="C387">
        <f t="shared" si="2095"/>
        <v>0</v>
      </c>
      <c r="D387">
        <f t="shared" si="2096"/>
        <v>0</v>
      </c>
      <c r="E387">
        <f t="shared" si="2097"/>
        <v>0</v>
      </c>
      <c r="F387">
        <f t="shared" si="2098"/>
        <v>0</v>
      </c>
      <c r="G387">
        <f t="shared" si="2099"/>
        <v>0</v>
      </c>
      <c r="H387">
        <f t="shared" si="2100"/>
        <v>0</v>
      </c>
      <c r="I387">
        <f t="shared" si="2101"/>
        <v>0</v>
      </c>
      <c r="J387">
        <f t="shared" si="2102"/>
        <v>0</v>
      </c>
      <c r="K387">
        <f t="shared" si="2103"/>
        <v>0</v>
      </c>
      <c r="L387">
        <f t="shared" si="2104"/>
        <v>0</v>
      </c>
      <c r="M387">
        <f t="shared" si="2105"/>
        <v>0</v>
      </c>
      <c r="BJ387" s="8" t="str">
        <f>Hidden!$CC55</f>
        <v/>
      </c>
      <c r="BK387">
        <f t="shared" si="2106"/>
        <v>0</v>
      </c>
      <c r="BL387">
        <f t="shared" si="2107"/>
        <v>0</v>
      </c>
      <c r="BM387">
        <f t="shared" si="2108"/>
        <v>0</v>
      </c>
      <c r="BN387">
        <f t="shared" si="2109"/>
        <v>0</v>
      </c>
      <c r="BO387">
        <f t="shared" si="2110"/>
        <v>0</v>
      </c>
      <c r="BP387">
        <f t="shared" si="2111"/>
        <v>0</v>
      </c>
      <c r="BQ387">
        <f t="shared" si="2112"/>
        <v>0</v>
      </c>
      <c r="BR387">
        <f t="shared" si="2113"/>
        <v>0</v>
      </c>
      <c r="BS387">
        <f t="shared" si="2114"/>
        <v>0</v>
      </c>
      <c r="BT387">
        <f t="shared" si="2115"/>
        <v>0</v>
      </c>
      <c r="BU387">
        <f t="shared" si="2116"/>
        <v>0</v>
      </c>
      <c r="BV387">
        <f t="shared" si="2117"/>
        <v>0</v>
      </c>
      <c r="DT387" s="77"/>
      <c r="DU387" s="8" t="str">
        <f>Hidden!$CG67</f>
        <v/>
      </c>
      <c r="DV387">
        <f t="shared" si="2053"/>
        <v>0</v>
      </c>
      <c r="DW387">
        <f t="shared" si="2054"/>
        <v>0</v>
      </c>
      <c r="DX387">
        <f t="shared" si="2055"/>
        <v>0</v>
      </c>
      <c r="DY387">
        <f t="shared" si="2056"/>
        <v>0</v>
      </c>
      <c r="DZ387">
        <f t="shared" si="2057"/>
        <v>0</v>
      </c>
      <c r="EA387">
        <f t="shared" si="2058"/>
        <v>0</v>
      </c>
      <c r="EB387">
        <f t="shared" si="2059"/>
        <v>0</v>
      </c>
      <c r="EC387">
        <f t="shared" si="2060"/>
        <v>0</v>
      </c>
      <c r="ED387">
        <f t="shared" si="2061"/>
        <v>0</v>
      </c>
      <c r="EE387">
        <f t="shared" si="2062"/>
        <v>0</v>
      </c>
      <c r="EF387">
        <f t="shared" si="2063"/>
        <v>0</v>
      </c>
      <c r="EG387">
        <f t="shared" si="2064"/>
        <v>0</v>
      </c>
    </row>
    <row r="388" spans="1:137" x14ac:dyDescent="0.2">
      <c r="A388" s="8" t="str">
        <f t="shared" si="2093"/>
        <v/>
      </c>
      <c r="B388">
        <f t="shared" si="2094"/>
        <v>0</v>
      </c>
      <c r="C388">
        <f t="shared" si="2095"/>
        <v>0</v>
      </c>
      <c r="D388">
        <f t="shared" si="2096"/>
        <v>0</v>
      </c>
      <c r="E388">
        <f t="shared" si="2097"/>
        <v>0</v>
      </c>
      <c r="F388">
        <f t="shared" si="2098"/>
        <v>0</v>
      </c>
      <c r="G388">
        <f t="shared" si="2099"/>
        <v>0</v>
      </c>
      <c r="H388">
        <f t="shared" si="2100"/>
        <v>0</v>
      </c>
      <c r="I388">
        <f t="shared" si="2101"/>
        <v>0</v>
      </c>
      <c r="J388">
        <f t="shared" si="2102"/>
        <v>0</v>
      </c>
      <c r="K388">
        <f t="shared" si="2103"/>
        <v>0</v>
      </c>
      <c r="L388">
        <f t="shared" si="2104"/>
        <v>0</v>
      </c>
      <c r="M388">
        <f t="shared" si="2105"/>
        <v>0</v>
      </c>
      <c r="BJ388" s="8" t="str">
        <f>Hidden!$CC56</f>
        <v/>
      </c>
      <c r="BK388">
        <f t="shared" si="2106"/>
        <v>0</v>
      </c>
      <c r="BL388">
        <f t="shared" si="2107"/>
        <v>0</v>
      </c>
      <c r="BM388">
        <f t="shared" si="2108"/>
        <v>0</v>
      </c>
      <c r="BN388">
        <f t="shared" si="2109"/>
        <v>0</v>
      </c>
      <c r="BO388">
        <f t="shared" si="2110"/>
        <v>0</v>
      </c>
      <c r="BP388">
        <f t="shared" si="2111"/>
        <v>0</v>
      </c>
      <c r="BQ388">
        <f t="shared" si="2112"/>
        <v>0</v>
      </c>
      <c r="BR388">
        <f t="shared" si="2113"/>
        <v>0</v>
      </c>
      <c r="BS388">
        <f t="shared" si="2114"/>
        <v>0</v>
      </c>
      <c r="BT388">
        <f t="shared" si="2115"/>
        <v>0</v>
      </c>
      <c r="BU388">
        <f t="shared" si="2116"/>
        <v>0</v>
      </c>
      <c r="BV388">
        <f t="shared" si="2117"/>
        <v>0</v>
      </c>
      <c r="DT388" s="77"/>
      <c r="DU388" s="8" t="str">
        <f>Hidden!$CG68</f>
        <v/>
      </c>
      <c r="DV388">
        <f t="shared" ref="DV388:DV422" si="2118">MAX($DV285:$DZ285)</f>
        <v>0</v>
      </c>
      <c r="DW388">
        <f t="shared" ref="DW388:DW422" si="2119">SUM($EA285:$EE285)</f>
        <v>0</v>
      </c>
      <c r="DX388">
        <f t="shared" ref="DX388:DX422" si="2120">MAX($EF285:$EJ285)</f>
        <v>0</v>
      </c>
      <c r="DY388">
        <f t="shared" ref="DY388:DY422" si="2121">SUM($EK285:$EO285)</f>
        <v>0</v>
      </c>
      <c r="DZ388">
        <f t="shared" ref="DZ388:DZ422" si="2122">MAX($EP285:$ET285)</f>
        <v>0</v>
      </c>
      <c r="EA388">
        <f t="shared" ref="EA388:EA422" si="2123">SUM($EU285:$EY285)</f>
        <v>0</v>
      </c>
      <c r="EB388">
        <f t="shared" ref="EB388:EB422" si="2124">MAX($EZ285:$FD285)</f>
        <v>0</v>
      </c>
      <c r="EC388">
        <f t="shared" ref="EC388:EC422" si="2125">SUM($FE285:$FI285)</f>
        <v>0</v>
      </c>
      <c r="ED388">
        <f t="shared" ref="ED388:ED422" si="2126">MAX($FJ285:$FN285)</f>
        <v>0</v>
      </c>
      <c r="EE388">
        <f t="shared" ref="EE388:EE422" si="2127">SUM($FO285:$FS285)</f>
        <v>0</v>
      </c>
      <c r="EF388">
        <f t="shared" ref="EF388:EF422" si="2128">MAX($FT285:$FX285)</f>
        <v>0</v>
      </c>
      <c r="EG388">
        <f t="shared" ref="EG388:EG422" si="2129">SUM($FY285:$GC285)</f>
        <v>0</v>
      </c>
    </row>
    <row r="389" spans="1:137" x14ac:dyDescent="0.2">
      <c r="A389" s="8" t="str">
        <f t="shared" si="2093"/>
        <v/>
      </c>
      <c r="B389">
        <f t="shared" si="2094"/>
        <v>0</v>
      </c>
      <c r="C389">
        <f t="shared" si="2095"/>
        <v>0</v>
      </c>
      <c r="D389">
        <f t="shared" si="2096"/>
        <v>0</v>
      </c>
      <c r="E389">
        <f t="shared" si="2097"/>
        <v>0</v>
      </c>
      <c r="F389">
        <f t="shared" si="2098"/>
        <v>0</v>
      </c>
      <c r="G389">
        <f t="shared" si="2099"/>
        <v>0</v>
      </c>
      <c r="H389">
        <f t="shared" si="2100"/>
        <v>0</v>
      </c>
      <c r="I389">
        <f t="shared" si="2101"/>
        <v>0</v>
      </c>
      <c r="J389">
        <f t="shared" si="2102"/>
        <v>0</v>
      </c>
      <c r="K389">
        <f t="shared" si="2103"/>
        <v>0</v>
      </c>
      <c r="L389">
        <f t="shared" si="2104"/>
        <v>0</v>
      </c>
      <c r="M389">
        <f t="shared" si="2105"/>
        <v>0</v>
      </c>
      <c r="BJ389" s="8" t="str">
        <f>Hidden!$CC57</f>
        <v/>
      </c>
      <c r="BK389">
        <f t="shared" si="2106"/>
        <v>0</v>
      </c>
      <c r="BL389">
        <f t="shared" si="2107"/>
        <v>0</v>
      </c>
      <c r="BM389">
        <f t="shared" si="2108"/>
        <v>0</v>
      </c>
      <c r="BN389">
        <f t="shared" si="2109"/>
        <v>0</v>
      </c>
      <c r="BO389">
        <f t="shared" si="2110"/>
        <v>0</v>
      </c>
      <c r="BP389">
        <f t="shared" si="2111"/>
        <v>0</v>
      </c>
      <c r="BQ389">
        <f t="shared" si="2112"/>
        <v>0</v>
      </c>
      <c r="BR389">
        <f t="shared" si="2113"/>
        <v>0</v>
      </c>
      <c r="BS389">
        <f t="shared" si="2114"/>
        <v>0</v>
      </c>
      <c r="BT389">
        <f t="shared" si="2115"/>
        <v>0</v>
      </c>
      <c r="BU389">
        <f t="shared" si="2116"/>
        <v>0</v>
      </c>
      <c r="BV389">
        <f t="shared" si="2117"/>
        <v>0</v>
      </c>
      <c r="DT389" s="77"/>
      <c r="DU389" s="8" t="str">
        <f>Hidden!$CG69</f>
        <v/>
      </c>
      <c r="DV389">
        <f t="shared" si="2118"/>
        <v>0</v>
      </c>
      <c r="DW389">
        <f t="shared" si="2119"/>
        <v>0</v>
      </c>
      <c r="DX389">
        <f t="shared" si="2120"/>
        <v>0</v>
      </c>
      <c r="DY389">
        <f t="shared" si="2121"/>
        <v>0</v>
      </c>
      <c r="DZ389">
        <f t="shared" si="2122"/>
        <v>0</v>
      </c>
      <c r="EA389">
        <f t="shared" si="2123"/>
        <v>0</v>
      </c>
      <c r="EB389">
        <f t="shared" si="2124"/>
        <v>0</v>
      </c>
      <c r="EC389">
        <f t="shared" si="2125"/>
        <v>0</v>
      </c>
      <c r="ED389">
        <f t="shared" si="2126"/>
        <v>0</v>
      </c>
      <c r="EE389">
        <f t="shared" si="2127"/>
        <v>0</v>
      </c>
      <c r="EF389">
        <f t="shared" si="2128"/>
        <v>0</v>
      </c>
      <c r="EG389">
        <f t="shared" si="2129"/>
        <v>0</v>
      </c>
    </row>
    <row r="390" spans="1:137" x14ac:dyDescent="0.2">
      <c r="A390" s="8" t="str">
        <f t="shared" si="2093"/>
        <v/>
      </c>
      <c r="B390">
        <f t="shared" si="2094"/>
        <v>0</v>
      </c>
      <c r="C390">
        <f t="shared" si="2095"/>
        <v>0</v>
      </c>
      <c r="D390">
        <f t="shared" si="2096"/>
        <v>0</v>
      </c>
      <c r="E390">
        <f t="shared" si="2097"/>
        <v>0</v>
      </c>
      <c r="F390">
        <f t="shared" si="2098"/>
        <v>0</v>
      </c>
      <c r="G390">
        <f t="shared" si="2099"/>
        <v>0</v>
      </c>
      <c r="H390">
        <f t="shared" si="2100"/>
        <v>0</v>
      </c>
      <c r="I390">
        <f t="shared" si="2101"/>
        <v>0</v>
      </c>
      <c r="J390">
        <f t="shared" si="2102"/>
        <v>0</v>
      </c>
      <c r="K390">
        <f t="shared" si="2103"/>
        <v>0</v>
      </c>
      <c r="L390">
        <f t="shared" si="2104"/>
        <v>0</v>
      </c>
      <c r="M390">
        <f t="shared" si="2105"/>
        <v>0</v>
      </c>
      <c r="BJ390" s="8" t="str">
        <f>Hidden!$CC58</f>
        <v/>
      </c>
      <c r="BK390">
        <f t="shared" si="2106"/>
        <v>0</v>
      </c>
      <c r="BL390">
        <f t="shared" si="2107"/>
        <v>0</v>
      </c>
      <c r="BM390">
        <f t="shared" si="2108"/>
        <v>0</v>
      </c>
      <c r="BN390">
        <f t="shared" si="2109"/>
        <v>0</v>
      </c>
      <c r="BO390">
        <f t="shared" si="2110"/>
        <v>0</v>
      </c>
      <c r="BP390">
        <f t="shared" si="2111"/>
        <v>0</v>
      </c>
      <c r="BQ390">
        <f t="shared" si="2112"/>
        <v>0</v>
      </c>
      <c r="BR390">
        <f t="shared" si="2113"/>
        <v>0</v>
      </c>
      <c r="BS390">
        <f t="shared" si="2114"/>
        <v>0</v>
      </c>
      <c r="BT390">
        <f t="shared" si="2115"/>
        <v>0</v>
      </c>
      <c r="BU390">
        <f t="shared" si="2116"/>
        <v>0</v>
      </c>
      <c r="BV390">
        <f t="shared" si="2117"/>
        <v>0</v>
      </c>
      <c r="DT390" s="77"/>
      <c r="DU390" s="8" t="str">
        <f>Hidden!$CG70</f>
        <v/>
      </c>
      <c r="DV390">
        <f t="shared" si="2118"/>
        <v>0</v>
      </c>
      <c r="DW390">
        <f t="shared" si="2119"/>
        <v>0</v>
      </c>
      <c r="DX390">
        <f t="shared" si="2120"/>
        <v>0</v>
      </c>
      <c r="DY390">
        <f t="shared" si="2121"/>
        <v>0</v>
      </c>
      <c r="DZ390">
        <f t="shared" si="2122"/>
        <v>0</v>
      </c>
      <c r="EA390">
        <f t="shared" si="2123"/>
        <v>0</v>
      </c>
      <c r="EB390">
        <f t="shared" si="2124"/>
        <v>0</v>
      </c>
      <c r="EC390">
        <f t="shared" si="2125"/>
        <v>0</v>
      </c>
      <c r="ED390">
        <f t="shared" si="2126"/>
        <v>0</v>
      </c>
      <c r="EE390">
        <f t="shared" si="2127"/>
        <v>0</v>
      </c>
      <c r="EF390">
        <f t="shared" si="2128"/>
        <v>0</v>
      </c>
      <c r="EG390">
        <f t="shared" si="2129"/>
        <v>0</v>
      </c>
    </row>
    <row r="391" spans="1:137" x14ac:dyDescent="0.2">
      <c r="A391" s="8" t="str">
        <f t="shared" si="2093"/>
        <v/>
      </c>
      <c r="B391">
        <f t="shared" si="2094"/>
        <v>0</v>
      </c>
      <c r="C391">
        <f t="shared" si="2095"/>
        <v>0</v>
      </c>
      <c r="D391">
        <f t="shared" si="2096"/>
        <v>0</v>
      </c>
      <c r="E391">
        <f t="shared" si="2097"/>
        <v>0</v>
      </c>
      <c r="F391">
        <f t="shared" si="2098"/>
        <v>0</v>
      </c>
      <c r="G391">
        <f t="shared" si="2099"/>
        <v>0</v>
      </c>
      <c r="H391">
        <f t="shared" si="2100"/>
        <v>0</v>
      </c>
      <c r="I391">
        <f t="shared" si="2101"/>
        <v>0</v>
      </c>
      <c r="J391">
        <f t="shared" si="2102"/>
        <v>0</v>
      </c>
      <c r="K391">
        <f t="shared" si="2103"/>
        <v>0</v>
      </c>
      <c r="L391">
        <f t="shared" si="2104"/>
        <v>0</v>
      </c>
      <c r="M391">
        <f t="shared" si="2105"/>
        <v>0</v>
      </c>
      <c r="BJ391" s="8" t="str">
        <f>Hidden!$CC59</f>
        <v/>
      </c>
      <c r="BK391">
        <f t="shared" si="2106"/>
        <v>0</v>
      </c>
      <c r="BL391">
        <f t="shared" si="2107"/>
        <v>0</v>
      </c>
      <c r="BM391">
        <f t="shared" si="2108"/>
        <v>0</v>
      </c>
      <c r="BN391">
        <f t="shared" si="2109"/>
        <v>0</v>
      </c>
      <c r="BO391">
        <f t="shared" si="2110"/>
        <v>0</v>
      </c>
      <c r="BP391">
        <f t="shared" si="2111"/>
        <v>0</v>
      </c>
      <c r="BQ391">
        <f t="shared" si="2112"/>
        <v>0</v>
      </c>
      <c r="BR391">
        <f t="shared" si="2113"/>
        <v>0</v>
      </c>
      <c r="BS391">
        <f t="shared" si="2114"/>
        <v>0</v>
      </c>
      <c r="BT391">
        <f t="shared" si="2115"/>
        <v>0</v>
      </c>
      <c r="BU391">
        <f t="shared" si="2116"/>
        <v>0</v>
      </c>
      <c r="BV391">
        <f t="shared" si="2117"/>
        <v>0</v>
      </c>
      <c r="DT391" s="77"/>
      <c r="DU391" s="8" t="str">
        <f>Hidden!$CG71</f>
        <v/>
      </c>
      <c r="DV391">
        <f t="shared" si="2118"/>
        <v>0</v>
      </c>
      <c r="DW391">
        <f t="shared" si="2119"/>
        <v>0</v>
      </c>
      <c r="DX391">
        <f t="shared" si="2120"/>
        <v>0</v>
      </c>
      <c r="DY391">
        <f t="shared" si="2121"/>
        <v>0</v>
      </c>
      <c r="DZ391">
        <f t="shared" si="2122"/>
        <v>0</v>
      </c>
      <c r="EA391">
        <f t="shared" si="2123"/>
        <v>0</v>
      </c>
      <c r="EB391">
        <f t="shared" si="2124"/>
        <v>0</v>
      </c>
      <c r="EC391">
        <f t="shared" si="2125"/>
        <v>0</v>
      </c>
      <c r="ED391">
        <f t="shared" si="2126"/>
        <v>0</v>
      </c>
      <c r="EE391">
        <f t="shared" si="2127"/>
        <v>0</v>
      </c>
      <c r="EF391">
        <f t="shared" si="2128"/>
        <v>0</v>
      </c>
      <c r="EG391">
        <f t="shared" si="2129"/>
        <v>0</v>
      </c>
    </row>
    <row r="392" spans="1:137" x14ac:dyDescent="0.2">
      <c r="A392" s="8" t="str">
        <f t="shared" si="2093"/>
        <v/>
      </c>
      <c r="B392">
        <f t="shared" si="2094"/>
        <v>0</v>
      </c>
      <c r="C392">
        <f t="shared" si="2095"/>
        <v>0</v>
      </c>
      <c r="D392">
        <f t="shared" si="2096"/>
        <v>0</v>
      </c>
      <c r="E392">
        <f t="shared" si="2097"/>
        <v>0</v>
      </c>
      <c r="F392">
        <f t="shared" si="2098"/>
        <v>0</v>
      </c>
      <c r="G392">
        <f t="shared" si="2099"/>
        <v>0</v>
      </c>
      <c r="H392">
        <f t="shared" si="2100"/>
        <v>0</v>
      </c>
      <c r="I392">
        <f t="shared" si="2101"/>
        <v>0</v>
      </c>
      <c r="J392">
        <f t="shared" si="2102"/>
        <v>0</v>
      </c>
      <c r="K392">
        <f t="shared" si="2103"/>
        <v>0</v>
      </c>
      <c r="L392">
        <f t="shared" si="2104"/>
        <v>0</v>
      </c>
      <c r="M392">
        <f t="shared" si="2105"/>
        <v>0</v>
      </c>
      <c r="BJ392" s="8" t="str">
        <f>Hidden!$CC60</f>
        <v/>
      </c>
      <c r="BK392">
        <f t="shared" si="2106"/>
        <v>0</v>
      </c>
      <c r="BL392">
        <f t="shared" si="2107"/>
        <v>0</v>
      </c>
      <c r="BM392">
        <f t="shared" si="2108"/>
        <v>0</v>
      </c>
      <c r="BN392">
        <f t="shared" si="2109"/>
        <v>0</v>
      </c>
      <c r="BO392">
        <f t="shared" si="2110"/>
        <v>0</v>
      </c>
      <c r="BP392">
        <f t="shared" si="2111"/>
        <v>0</v>
      </c>
      <c r="BQ392">
        <f t="shared" si="2112"/>
        <v>0</v>
      </c>
      <c r="BR392">
        <f t="shared" si="2113"/>
        <v>0</v>
      </c>
      <c r="BS392">
        <f t="shared" si="2114"/>
        <v>0</v>
      </c>
      <c r="BT392">
        <f t="shared" si="2115"/>
        <v>0</v>
      </c>
      <c r="BU392">
        <f t="shared" si="2116"/>
        <v>0</v>
      </c>
      <c r="BV392">
        <f t="shared" si="2117"/>
        <v>0</v>
      </c>
      <c r="DT392" s="77"/>
      <c r="DU392" s="8" t="str">
        <f>Hidden!$CG72</f>
        <v/>
      </c>
      <c r="DV392">
        <f t="shared" si="2118"/>
        <v>0</v>
      </c>
      <c r="DW392">
        <f t="shared" si="2119"/>
        <v>0</v>
      </c>
      <c r="DX392">
        <f t="shared" si="2120"/>
        <v>0</v>
      </c>
      <c r="DY392">
        <f t="shared" si="2121"/>
        <v>0</v>
      </c>
      <c r="DZ392">
        <f t="shared" si="2122"/>
        <v>0</v>
      </c>
      <c r="EA392">
        <f t="shared" si="2123"/>
        <v>0</v>
      </c>
      <c r="EB392">
        <f t="shared" si="2124"/>
        <v>0</v>
      </c>
      <c r="EC392">
        <f t="shared" si="2125"/>
        <v>0</v>
      </c>
      <c r="ED392">
        <f t="shared" si="2126"/>
        <v>0</v>
      </c>
      <c r="EE392">
        <f t="shared" si="2127"/>
        <v>0</v>
      </c>
      <c r="EF392">
        <f t="shared" si="2128"/>
        <v>0</v>
      </c>
      <c r="EG392">
        <f t="shared" si="2129"/>
        <v>0</v>
      </c>
    </row>
    <row r="393" spans="1:137" x14ac:dyDescent="0.2">
      <c r="A393" s="8" t="str">
        <f t="shared" si="2093"/>
        <v/>
      </c>
      <c r="B393">
        <f t="shared" si="2094"/>
        <v>0</v>
      </c>
      <c r="C393">
        <f t="shared" si="2095"/>
        <v>0</v>
      </c>
      <c r="D393">
        <f t="shared" si="2096"/>
        <v>0</v>
      </c>
      <c r="E393">
        <f t="shared" si="2097"/>
        <v>0</v>
      </c>
      <c r="F393">
        <f t="shared" si="2098"/>
        <v>0</v>
      </c>
      <c r="G393">
        <f t="shared" si="2099"/>
        <v>0</v>
      </c>
      <c r="H393">
        <f t="shared" si="2100"/>
        <v>0</v>
      </c>
      <c r="I393">
        <f t="shared" si="2101"/>
        <v>0</v>
      </c>
      <c r="J393">
        <f t="shared" si="2102"/>
        <v>0</v>
      </c>
      <c r="K393">
        <f t="shared" si="2103"/>
        <v>0</v>
      </c>
      <c r="L393">
        <f t="shared" si="2104"/>
        <v>0</v>
      </c>
      <c r="M393">
        <f t="shared" si="2105"/>
        <v>0</v>
      </c>
      <c r="BJ393" s="8" t="str">
        <f>Hidden!$CC61</f>
        <v/>
      </c>
      <c r="BK393">
        <f t="shared" si="2106"/>
        <v>0</v>
      </c>
      <c r="BL393">
        <f t="shared" si="2107"/>
        <v>0</v>
      </c>
      <c r="BM393">
        <f t="shared" si="2108"/>
        <v>0</v>
      </c>
      <c r="BN393">
        <f t="shared" si="2109"/>
        <v>0</v>
      </c>
      <c r="BO393">
        <f t="shared" si="2110"/>
        <v>0</v>
      </c>
      <c r="BP393">
        <f t="shared" si="2111"/>
        <v>0</v>
      </c>
      <c r="BQ393">
        <f t="shared" si="2112"/>
        <v>0</v>
      </c>
      <c r="BR393">
        <f t="shared" si="2113"/>
        <v>0</v>
      </c>
      <c r="BS393">
        <f t="shared" si="2114"/>
        <v>0</v>
      </c>
      <c r="BT393">
        <f t="shared" si="2115"/>
        <v>0</v>
      </c>
      <c r="BU393">
        <f t="shared" si="2116"/>
        <v>0</v>
      </c>
      <c r="BV393">
        <f t="shared" si="2117"/>
        <v>0</v>
      </c>
      <c r="DT393" s="77"/>
      <c r="DU393" s="8" t="str">
        <f>Hidden!$CG73</f>
        <v/>
      </c>
      <c r="DV393">
        <f t="shared" si="2118"/>
        <v>0</v>
      </c>
      <c r="DW393">
        <f t="shared" si="2119"/>
        <v>0</v>
      </c>
      <c r="DX393">
        <f t="shared" si="2120"/>
        <v>0</v>
      </c>
      <c r="DY393">
        <f t="shared" si="2121"/>
        <v>0</v>
      </c>
      <c r="DZ393">
        <f t="shared" si="2122"/>
        <v>0</v>
      </c>
      <c r="EA393">
        <f t="shared" si="2123"/>
        <v>0</v>
      </c>
      <c r="EB393">
        <f t="shared" si="2124"/>
        <v>0</v>
      </c>
      <c r="EC393">
        <f t="shared" si="2125"/>
        <v>0</v>
      </c>
      <c r="ED393">
        <f t="shared" si="2126"/>
        <v>0</v>
      </c>
      <c r="EE393">
        <f t="shared" si="2127"/>
        <v>0</v>
      </c>
      <c r="EF393">
        <f t="shared" si="2128"/>
        <v>0</v>
      </c>
      <c r="EG393">
        <f t="shared" si="2129"/>
        <v>0</v>
      </c>
    </row>
    <row r="394" spans="1:137" x14ac:dyDescent="0.2">
      <c r="A394" s="8" t="str">
        <f t="shared" si="2093"/>
        <v/>
      </c>
      <c r="B394">
        <f t="shared" si="2094"/>
        <v>0</v>
      </c>
      <c r="C394">
        <f t="shared" si="2095"/>
        <v>0</v>
      </c>
      <c r="D394">
        <f t="shared" si="2096"/>
        <v>0</v>
      </c>
      <c r="E394">
        <f t="shared" si="2097"/>
        <v>0</v>
      </c>
      <c r="F394">
        <f t="shared" si="2098"/>
        <v>0</v>
      </c>
      <c r="G394">
        <f t="shared" si="2099"/>
        <v>0</v>
      </c>
      <c r="H394">
        <f t="shared" si="2100"/>
        <v>0</v>
      </c>
      <c r="I394">
        <f t="shared" si="2101"/>
        <v>0</v>
      </c>
      <c r="J394">
        <f t="shared" si="2102"/>
        <v>0</v>
      </c>
      <c r="K394">
        <f t="shared" si="2103"/>
        <v>0</v>
      </c>
      <c r="L394">
        <f t="shared" si="2104"/>
        <v>0</v>
      </c>
      <c r="M394">
        <f t="shared" si="2105"/>
        <v>0</v>
      </c>
      <c r="BJ394" s="8" t="str">
        <f>Hidden!$CC62</f>
        <v/>
      </c>
      <c r="BK394">
        <f t="shared" si="2106"/>
        <v>0</v>
      </c>
      <c r="BL394">
        <f t="shared" si="2107"/>
        <v>0</v>
      </c>
      <c r="BM394">
        <f t="shared" si="2108"/>
        <v>0</v>
      </c>
      <c r="BN394">
        <f t="shared" si="2109"/>
        <v>0</v>
      </c>
      <c r="BO394">
        <f t="shared" si="2110"/>
        <v>0</v>
      </c>
      <c r="BP394">
        <f t="shared" si="2111"/>
        <v>0</v>
      </c>
      <c r="BQ394">
        <f t="shared" si="2112"/>
        <v>0</v>
      </c>
      <c r="BR394">
        <f t="shared" si="2113"/>
        <v>0</v>
      </c>
      <c r="BS394">
        <f t="shared" si="2114"/>
        <v>0</v>
      </c>
      <c r="BT394">
        <f t="shared" si="2115"/>
        <v>0</v>
      </c>
      <c r="BU394">
        <f t="shared" si="2116"/>
        <v>0</v>
      </c>
      <c r="BV394">
        <f t="shared" si="2117"/>
        <v>0</v>
      </c>
      <c r="DT394" s="77"/>
      <c r="DU394" s="8" t="str">
        <f>Hidden!$CG74</f>
        <v/>
      </c>
      <c r="DV394">
        <f t="shared" si="2118"/>
        <v>0</v>
      </c>
      <c r="DW394">
        <f t="shared" si="2119"/>
        <v>0</v>
      </c>
      <c r="DX394">
        <f t="shared" si="2120"/>
        <v>0</v>
      </c>
      <c r="DY394">
        <f t="shared" si="2121"/>
        <v>0</v>
      </c>
      <c r="DZ394">
        <f t="shared" si="2122"/>
        <v>0</v>
      </c>
      <c r="EA394">
        <f t="shared" si="2123"/>
        <v>0</v>
      </c>
      <c r="EB394">
        <f t="shared" si="2124"/>
        <v>0</v>
      </c>
      <c r="EC394">
        <f t="shared" si="2125"/>
        <v>0</v>
      </c>
      <c r="ED394">
        <f t="shared" si="2126"/>
        <v>0</v>
      </c>
      <c r="EE394">
        <f t="shared" si="2127"/>
        <v>0</v>
      </c>
      <c r="EF394">
        <f t="shared" si="2128"/>
        <v>0</v>
      </c>
      <c r="EG394">
        <f t="shared" si="2129"/>
        <v>0</v>
      </c>
    </row>
    <row r="395" spans="1:137" x14ac:dyDescent="0.2">
      <c r="A395" s="8" t="str">
        <f t="shared" si="2093"/>
        <v/>
      </c>
      <c r="B395">
        <f t="shared" si="2094"/>
        <v>0</v>
      </c>
      <c r="C395">
        <f t="shared" si="2095"/>
        <v>0</v>
      </c>
      <c r="D395">
        <f t="shared" si="2096"/>
        <v>0</v>
      </c>
      <c r="E395">
        <f t="shared" si="2097"/>
        <v>0</v>
      </c>
      <c r="F395">
        <f t="shared" si="2098"/>
        <v>0</v>
      </c>
      <c r="G395">
        <f t="shared" si="2099"/>
        <v>0</v>
      </c>
      <c r="H395">
        <f t="shared" si="2100"/>
        <v>0</v>
      </c>
      <c r="I395">
        <f t="shared" si="2101"/>
        <v>0</v>
      </c>
      <c r="J395">
        <f t="shared" si="2102"/>
        <v>0</v>
      </c>
      <c r="K395">
        <f t="shared" si="2103"/>
        <v>0</v>
      </c>
      <c r="L395">
        <f t="shared" si="2104"/>
        <v>0</v>
      </c>
      <c r="M395">
        <f t="shared" si="2105"/>
        <v>0</v>
      </c>
      <c r="BJ395" s="8" t="str">
        <f>Hidden!$CC63</f>
        <v/>
      </c>
      <c r="BK395">
        <f t="shared" si="2106"/>
        <v>0</v>
      </c>
      <c r="BL395">
        <f t="shared" si="2107"/>
        <v>0</v>
      </c>
      <c r="BM395">
        <f t="shared" si="2108"/>
        <v>0</v>
      </c>
      <c r="BN395">
        <f t="shared" si="2109"/>
        <v>0</v>
      </c>
      <c r="BO395">
        <f t="shared" si="2110"/>
        <v>0</v>
      </c>
      <c r="BP395">
        <f t="shared" si="2111"/>
        <v>0</v>
      </c>
      <c r="BQ395">
        <f t="shared" si="2112"/>
        <v>0</v>
      </c>
      <c r="BR395">
        <f t="shared" si="2113"/>
        <v>0</v>
      </c>
      <c r="BS395">
        <f t="shared" si="2114"/>
        <v>0</v>
      </c>
      <c r="BT395">
        <f t="shared" si="2115"/>
        <v>0</v>
      </c>
      <c r="BU395">
        <f t="shared" si="2116"/>
        <v>0</v>
      </c>
      <c r="BV395">
        <f t="shared" si="2117"/>
        <v>0</v>
      </c>
      <c r="DT395" s="77"/>
      <c r="DU395" s="8" t="str">
        <f>Hidden!$CG75</f>
        <v/>
      </c>
      <c r="DV395">
        <f t="shared" si="2118"/>
        <v>0</v>
      </c>
      <c r="DW395">
        <f t="shared" si="2119"/>
        <v>0</v>
      </c>
      <c r="DX395">
        <f t="shared" si="2120"/>
        <v>0</v>
      </c>
      <c r="DY395">
        <f t="shared" si="2121"/>
        <v>0</v>
      </c>
      <c r="DZ395">
        <f t="shared" si="2122"/>
        <v>0</v>
      </c>
      <c r="EA395">
        <f t="shared" si="2123"/>
        <v>0</v>
      </c>
      <c r="EB395">
        <f t="shared" si="2124"/>
        <v>0</v>
      </c>
      <c r="EC395">
        <f t="shared" si="2125"/>
        <v>0</v>
      </c>
      <c r="ED395">
        <f t="shared" si="2126"/>
        <v>0</v>
      </c>
      <c r="EE395">
        <f t="shared" si="2127"/>
        <v>0</v>
      </c>
      <c r="EF395">
        <f t="shared" si="2128"/>
        <v>0</v>
      </c>
      <c r="EG395">
        <f t="shared" si="2129"/>
        <v>0</v>
      </c>
    </row>
    <row r="396" spans="1:137" x14ac:dyDescent="0.2">
      <c r="A396" s="8" t="str">
        <f t="shared" si="2093"/>
        <v/>
      </c>
      <c r="B396">
        <f t="shared" si="2094"/>
        <v>0</v>
      </c>
      <c r="C396">
        <f t="shared" si="2095"/>
        <v>0</v>
      </c>
      <c r="D396">
        <f t="shared" si="2096"/>
        <v>0</v>
      </c>
      <c r="E396">
        <f t="shared" si="2097"/>
        <v>0</v>
      </c>
      <c r="F396">
        <f t="shared" si="2098"/>
        <v>0</v>
      </c>
      <c r="G396">
        <f t="shared" si="2099"/>
        <v>0</v>
      </c>
      <c r="H396">
        <f t="shared" si="2100"/>
        <v>0</v>
      </c>
      <c r="I396">
        <f t="shared" si="2101"/>
        <v>0</v>
      </c>
      <c r="J396">
        <f t="shared" si="2102"/>
        <v>0</v>
      </c>
      <c r="K396">
        <f t="shared" si="2103"/>
        <v>0</v>
      </c>
      <c r="L396">
        <f t="shared" si="2104"/>
        <v>0</v>
      </c>
      <c r="M396">
        <f t="shared" si="2105"/>
        <v>0</v>
      </c>
      <c r="BJ396" s="8" t="str">
        <f>Hidden!$CC64</f>
        <v/>
      </c>
      <c r="BK396">
        <f t="shared" si="2106"/>
        <v>0</v>
      </c>
      <c r="BL396">
        <f t="shared" si="2107"/>
        <v>0</v>
      </c>
      <c r="BM396">
        <f t="shared" si="2108"/>
        <v>0</v>
      </c>
      <c r="BN396">
        <f t="shared" si="2109"/>
        <v>0</v>
      </c>
      <c r="BO396">
        <f t="shared" si="2110"/>
        <v>0</v>
      </c>
      <c r="BP396">
        <f t="shared" si="2111"/>
        <v>0</v>
      </c>
      <c r="BQ396">
        <f t="shared" si="2112"/>
        <v>0</v>
      </c>
      <c r="BR396">
        <f t="shared" si="2113"/>
        <v>0</v>
      </c>
      <c r="BS396">
        <f t="shared" si="2114"/>
        <v>0</v>
      </c>
      <c r="BT396">
        <f t="shared" si="2115"/>
        <v>0</v>
      </c>
      <c r="BU396">
        <f t="shared" si="2116"/>
        <v>0</v>
      </c>
      <c r="BV396">
        <f t="shared" si="2117"/>
        <v>0</v>
      </c>
      <c r="DT396" s="77"/>
      <c r="DU396" s="8" t="str">
        <f>Hidden!$CG76</f>
        <v/>
      </c>
      <c r="DV396">
        <f t="shared" si="2118"/>
        <v>0</v>
      </c>
      <c r="DW396">
        <f t="shared" si="2119"/>
        <v>0</v>
      </c>
      <c r="DX396">
        <f t="shared" si="2120"/>
        <v>0</v>
      </c>
      <c r="DY396">
        <f t="shared" si="2121"/>
        <v>0</v>
      </c>
      <c r="DZ396">
        <f t="shared" si="2122"/>
        <v>0</v>
      </c>
      <c r="EA396">
        <f t="shared" si="2123"/>
        <v>0</v>
      </c>
      <c r="EB396">
        <f t="shared" si="2124"/>
        <v>0</v>
      </c>
      <c r="EC396">
        <f t="shared" si="2125"/>
        <v>0</v>
      </c>
      <c r="ED396">
        <f t="shared" si="2126"/>
        <v>0</v>
      </c>
      <c r="EE396">
        <f t="shared" si="2127"/>
        <v>0</v>
      </c>
      <c r="EF396">
        <f t="shared" si="2128"/>
        <v>0</v>
      </c>
      <c r="EG396">
        <f t="shared" si="2129"/>
        <v>0</v>
      </c>
    </row>
    <row r="397" spans="1:137" x14ac:dyDescent="0.2">
      <c r="A397" s="8" t="str">
        <f t="shared" si="2093"/>
        <v/>
      </c>
      <c r="B397">
        <f t="shared" si="2094"/>
        <v>0</v>
      </c>
      <c r="C397">
        <f t="shared" si="2095"/>
        <v>0</v>
      </c>
      <c r="D397">
        <f t="shared" si="2096"/>
        <v>0</v>
      </c>
      <c r="E397">
        <f t="shared" si="2097"/>
        <v>0</v>
      </c>
      <c r="F397">
        <f t="shared" si="2098"/>
        <v>0</v>
      </c>
      <c r="G397">
        <f t="shared" si="2099"/>
        <v>0</v>
      </c>
      <c r="H397">
        <f t="shared" si="2100"/>
        <v>0</v>
      </c>
      <c r="I397">
        <f t="shared" si="2101"/>
        <v>0</v>
      </c>
      <c r="J397">
        <f t="shared" si="2102"/>
        <v>0</v>
      </c>
      <c r="K397">
        <f t="shared" si="2103"/>
        <v>0</v>
      </c>
      <c r="L397">
        <f t="shared" si="2104"/>
        <v>0</v>
      </c>
      <c r="M397">
        <f t="shared" si="2105"/>
        <v>0</v>
      </c>
      <c r="BJ397" s="8" t="str">
        <f>Hidden!$CC65</f>
        <v/>
      </c>
      <c r="BK397">
        <f t="shared" si="2106"/>
        <v>0</v>
      </c>
      <c r="BL397">
        <f t="shared" si="2107"/>
        <v>0</v>
      </c>
      <c r="BM397">
        <f t="shared" si="2108"/>
        <v>0</v>
      </c>
      <c r="BN397">
        <f t="shared" si="2109"/>
        <v>0</v>
      </c>
      <c r="BO397">
        <f t="shared" si="2110"/>
        <v>0</v>
      </c>
      <c r="BP397">
        <f t="shared" si="2111"/>
        <v>0</v>
      </c>
      <c r="BQ397">
        <f t="shared" si="2112"/>
        <v>0</v>
      </c>
      <c r="BR397">
        <f t="shared" si="2113"/>
        <v>0</v>
      </c>
      <c r="BS397">
        <f t="shared" si="2114"/>
        <v>0</v>
      </c>
      <c r="BT397">
        <f t="shared" si="2115"/>
        <v>0</v>
      </c>
      <c r="BU397">
        <f t="shared" si="2116"/>
        <v>0</v>
      </c>
      <c r="BV397">
        <f t="shared" si="2117"/>
        <v>0</v>
      </c>
      <c r="DT397" s="77"/>
      <c r="DU397" s="8" t="str">
        <f>Hidden!$CG77</f>
        <v/>
      </c>
      <c r="DV397">
        <f t="shared" si="2118"/>
        <v>0</v>
      </c>
      <c r="DW397">
        <f t="shared" si="2119"/>
        <v>0</v>
      </c>
      <c r="DX397">
        <f t="shared" si="2120"/>
        <v>0</v>
      </c>
      <c r="DY397">
        <f t="shared" si="2121"/>
        <v>0</v>
      </c>
      <c r="DZ397">
        <f t="shared" si="2122"/>
        <v>0</v>
      </c>
      <c r="EA397">
        <f t="shared" si="2123"/>
        <v>0</v>
      </c>
      <c r="EB397">
        <f t="shared" si="2124"/>
        <v>0</v>
      </c>
      <c r="EC397">
        <f t="shared" si="2125"/>
        <v>0</v>
      </c>
      <c r="ED397">
        <f t="shared" si="2126"/>
        <v>0</v>
      </c>
      <c r="EE397">
        <f t="shared" si="2127"/>
        <v>0</v>
      </c>
      <c r="EF397">
        <f t="shared" si="2128"/>
        <v>0</v>
      </c>
      <c r="EG397">
        <f t="shared" si="2129"/>
        <v>0</v>
      </c>
    </row>
    <row r="398" spans="1:137" x14ac:dyDescent="0.2">
      <c r="A398" s="8" t="str">
        <f t="shared" si="2093"/>
        <v/>
      </c>
      <c r="B398">
        <f t="shared" si="2094"/>
        <v>0</v>
      </c>
      <c r="C398">
        <f t="shared" si="2095"/>
        <v>0</v>
      </c>
      <c r="D398">
        <f t="shared" si="2096"/>
        <v>0</v>
      </c>
      <c r="E398">
        <f t="shared" si="2097"/>
        <v>0</v>
      </c>
      <c r="F398">
        <f t="shared" si="2098"/>
        <v>0</v>
      </c>
      <c r="G398">
        <f t="shared" si="2099"/>
        <v>0</v>
      </c>
      <c r="H398">
        <f t="shared" si="2100"/>
        <v>0</v>
      </c>
      <c r="I398">
        <f t="shared" si="2101"/>
        <v>0</v>
      </c>
      <c r="J398">
        <f t="shared" si="2102"/>
        <v>0</v>
      </c>
      <c r="K398">
        <f t="shared" si="2103"/>
        <v>0</v>
      </c>
      <c r="L398">
        <f t="shared" si="2104"/>
        <v>0</v>
      </c>
      <c r="M398">
        <f t="shared" si="2105"/>
        <v>0</v>
      </c>
      <c r="BJ398" s="8" t="str">
        <f>Hidden!$CC66</f>
        <v/>
      </c>
      <c r="BK398">
        <f t="shared" si="2106"/>
        <v>0</v>
      </c>
      <c r="BL398">
        <f t="shared" si="2107"/>
        <v>0</v>
      </c>
      <c r="BM398">
        <f t="shared" si="2108"/>
        <v>0</v>
      </c>
      <c r="BN398">
        <f t="shared" si="2109"/>
        <v>0</v>
      </c>
      <c r="BO398">
        <f t="shared" si="2110"/>
        <v>0</v>
      </c>
      <c r="BP398">
        <f t="shared" si="2111"/>
        <v>0</v>
      </c>
      <c r="BQ398">
        <f t="shared" si="2112"/>
        <v>0</v>
      </c>
      <c r="BR398">
        <f t="shared" si="2113"/>
        <v>0</v>
      </c>
      <c r="BS398">
        <f t="shared" si="2114"/>
        <v>0</v>
      </c>
      <c r="BT398">
        <f t="shared" si="2115"/>
        <v>0</v>
      </c>
      <c r="BU398">
        <f t="shared" si="2116"/>
        <v>0</v>
      </c>
      <c r="BV398">
        <f t="shared" si="2117"/>
        <v>0</v>
      </c>
      <c r="DT398" s="77"/>
      <c r="DU398" s="8" t="str">
        <f>Hidden!$CG78</f>
        <v/>
      </c>
      <c r="DV398">
        <f t="shared" si="2118"/>
        <v>0</v>
      </c>
      <c r="DW398">
        <f t="shared" si="2119"/>
        <v>0</v>
      </c>
      <c r="DX398">
        <f t="shared" si="2120"/>
        <v>0</v>
      </c>
      <c r="DY398">
        <f t="shared" si="2121"/>
        <v>0</v>
      </c>
      <c r="DZ398">
        <f t="shared" si="2122"/>
        <v>0</v>
      </c>
      <c r="EA398">
        <f t="shared" si="2123"/>
        <v>0</v>
      </c>
      <c r="EB398">
        <f t="shared" si="2124"/>
        <v>0</v>
      </c>
      <c r="EC398">
        <f t="shared" si="2125"/>
        <v>0</v>
      </c>
      <c r="ED398">
        <f t="shared" si="2126"/>
        <v>0</v>
      </c>
      <c r="EE398">
        <f t="shared" si="2127"/>
        <v>0</v>
      </c>
      <c r="EF398">
        <f t="shared" si="2128"/>
        <v>0</v>
      </c>
      <c r="EG398">
        <f t="shared" si="2129"/>
        <v>0</v>
      </c>
    </row>
    <row r="399" spans="1:137" x14ac:dyDescent="0.2">
      <c r="A399" s="8" t="str">
        <f t="shared" si="2093"/>
        <v/>
      </c>
      <c r="B399">
        <f t="shared" si="2094"/>
        <v>0</v>
      </c>
      <c r="C399">
        <f t="shared" si="2095"/>
        <v>0</v>
      </c>
      <c r="D399">
        <f t="shared" si="2096"/>
        <v>0</v>
      </c>
      <c r="E399">
        <f t="shared" si="2097"/>
        <v>0</v>
      </c>
      <c r="F399">
        <f t="shared" si="2098"/>
        <v>0</v>
      </c>
      <c r="G399">
        <f t="shared" si="2099"/>
        <v>0</v>
      </c>
      <c r="H399">
        <f t="shared" si="2100"/>
        <v>0</v>
      </c>
      <c r="I399">
        <f t="shared" si="2101"/>
        <v>0</v>
      </c>
      <c r="J399">
        <f t="shared" si="2102"/>
        <v>0</v>
      </c>
      <c r="K399">
        <f t="shared" si="2103"/>
        <v>0</v>
      </c>
      <c r="L399">
        <f t="shared" si="2104"/>
        <v>0</v>
      </c>
      <c r="M399">
        <f t="shared" si="2105"/>
        <v>0</v>
      </c>
      <c r="BJ399" s="8" t="str">
        <f>Hidden!$CC67</f>
        <v/>
      </c>
      <c r="BK399">
        <f t="shared" si="2106"/>
        <v>0</v>
      </c>
      <c r="BL399">
        <f t="shared" si="2107"/>
        <v>0</v>
      </c>
      <c r="BM399">
        <f t="shared" si="2108"/>
        <v>0</v>
      </c>
      <c r="BN399">
        <f t="shared" si="2109"/>
        <v>0</v>
      </c>
      <c r="BO399">
        <f t="shared" si="2110"/>
        <v>0</v>
      </c>
      <c r="BP399">
        <f t="shared" si="2111"/>
        <v>0</v>
      </c>
      <c r="BQ399">
        <f t="shared" si="2112"/>
        <v>0</v>
      </c>
      <c r="BR399">
        <f t="shared" si="2113"/>
        <v>0</v>
      </c>
      <c r="BS399">
        <f t="shared" si="2114"/>
        <v>0</v>
      </c>
      <c r="BT399">
        <f t="shared" si="2115"/>
        <v>0</v>
      </c>
      <c r="BU399">
        <f t="shared" si="2116"/>
        <v>0</v>
      </c>
      <c r="BV399">
        <f t="shared" si="2117"/>
        <v>0</v>
      </c>
      <c r="DT399" s="77"/>
      <c r="DU399" s="8" t="str">
        <f>Hidden!$CG79</f>
        <v/>
      </c>
      <c r="DV399">
        <f t="shared" si="2118"/>
        <v>0</v>
      </c>
      <c r="DW399">
        <f t="shared" si="2119"/>
        <v>0</v>
      </c>
      <c r="DX399">
        <f t="shared" si="2120"/>
        <v>0</v>
      </c>
      <c r="DY399">
        <f t="shared" si="2121"/>
        <v>0</v>
      </c>
      <c r="DZ399">
        <f t="shared" si="2122"/>
        <v>0</v>
      </c>
      <c r="EA399">
        <f t="shared" si="2123"/>
        <v>0</v>
      </c>
      <c r="EB399">
        <f t="shared" si="2124"/>
        <v>0</v>
      </c>
      <c r="EC399">
        <f t="shared" si="2125"/>
        <v>0</v>
      </c>
      <c r="ED399">
        <f t="shared" si="2126"/>
        <v>0</v>
      </c>
      <c r="EE399">
        <f t="shared" si="2127"/>
        <v>0</v>
      </c>
      <c r="EF399">
        <f t="shared" si="2128"/>
        <v>0</v>
      </c>
      <c r="EG399">
        <f t="shared" si="2129"/>
        <v>0</v>
      </c>
    </row>
    <row r="400" spans="1:137" x14ac:dyDescent="0.2">
      <c r="A400" s="8" t="str">
        <f t="shared" ref="A400:A434" si="2130">$AE85</f>
        <v/>
      </c>
      <c r="B400">
        <f t="shared" ref="B400:B434" si="2131">MAX($B297:$F297)</f>
        <v>0</v>
      </c>
      <c r="C400">
        <f t="shared" ref="C400:C434" si="2132">SUM($G297:$K297)</f>
        <v>0</v>
      </c>
      <c r="D400">
        <f t="shared" ref="D400:D434" si="2133">MAX($L297:$P297)</f>
        <v>0</v>
      </c>
      <c r="E400">
        <f t="shared" ref="E400:E434" si="2134">SUM($Q297:$U297)</f>
        <v>0</v>
      </c>
      <c r="F400">
        <f t="shared" ref="F400:F434" si="2135">MAX($V297:$Z297)</f>
        <v>0</v>
      </c>
      <c r="G400">
        <f t="shared" ref="G400:G434" si="2136">SUM($AA297:$AE297)</f>
        <v>0</v>
      </c>
      <c r="H400">
        <f t="shared" ref="H400:H434" si="2137">MAX($AF297:$AJ297)</f>
        <v>0</v>
      </c>
      <c r="I400">
        <f t="shared" ref="I400:I434" si="2138">SUM($AK297:$AO297)</f>
        <v>0</v>
      </c>
      <c r="J400">
        <f t="shared" ref="J400:J434" si="2139">MAX($AP297:$AT297)</f>
        <v>0</v>
      </c>
      <c r="K400">
        <f t="shared" ref="K400:K434" si="2140">SUM($AU297:$AY297)</f>
        <v>0</v>
      </c>
      <c r="L400">
        <f t="shared" ref="L400:L434" si="2141">MAX($AZ297:$BD297)</f>
        <v>0</v>
      </c>
      <c r="M400">
        <f t="shared" ref="M400:M434" si="2142">SUM($BE297:$BI297)</f>
        <v>0</v>
      </c>
      <c r="BJ400" s="8" t="str">
        <f>Hidden!$CC68</f>
        <v/>
      </c>
      <c r="BK400">
        <f t="shared" ref="BK400:BK434" si="2143">MAX($BK297:$BO297)</f>
        <v>0</v>
      </c>
      <c r="BL400">
        <f t="shared" ref="BL400:BL434" si="2144">SUM($BP297:$BT297)</f>
        <v>0</v>
      </c>
      <c r="BM400">
        <f t="shared" ref="BM400:BM434" si="2145">MAX($BU297:$BY297)</f>
        <v>0</v>
      </c>
      <c r="BN400">
        <f t="shared" ref="BN400:BN434" si="2146">SUM($BZ297:$CD297)</f>
        <v>0</v>
      </c>
      <c r="BO400">
        <f t="shared" ref="BO400:BO434" si="2147">MAX($CE297:$CI297)</f>
        <v>0</v>
      </c>
      <c r="BP400">
        <f t="shared" ref="BP400:BP434" si="2148">SUM($CJ297:$CN297)</f>
        <v>0</v>
      </c>
      <c r="BQ400">
        <f t="shared" ref="BQ400:BQ434" si="2149">MAX($CO297:$CS297)</f>
        <v>0</v>
      </c>
      <c r="BR400">
        <f t="shared" ref="BR400:BR434" si="2150">SUM($CT297:$CX297)</f>
        <v>0</v>
      </c>
      <c r="BS400">
        <f t="shared" ref="BS400:BS434" si="2151">MAX($CY297:$DC297)</f>
        <v>0</v>
      </c>
      <c r="BT400">
        <f t="shared" ref="BT400:BT434" si="2152">SUM($DD297:$DH297)</f>
        <v>0</v>
      </c>
      <c r="BU400">
        <f t="shared" ref="BU400:BU434" si="2153">MAX($DI297:$DM297)</f>
        <v>0</v>
      </c>
      <c r="BV400">
        <f t="shared" ref="BV400:BV434" si="2154">SUM($DN297:$DR297)</f>
        <v>0</v>
      </c>
      <c r="DT400" s="77"/>
      <c r="DU400" s="8" t="str">
        <f>Hidden!$CG80</f>
        <v/>
      </c>
      <c r="DV400">
        <f t="shared" si="2118"/>
        <v>0</v>
      </c>
      <c r="DW400">
        <f t="shared" si="2119"/>
        <v>0</v>
      </c>
      <c r="DX400">
        <f t="shared" si="2120"/>
        <v>0</v>
      </c>
      <c r="DY400">
        <f t="shared" si="2121"/>
        <v>0</v>
      </c>
      <c r="DZ400">
        <f t="shared" si="2122"/>
        <v>0</v>
      </c>
      <c r="EA400">
        <f t="shared" si="2123"/>
        <v>0</v>
      </c>
      <c r="EB400">
        <f t="shared" si="2124"/>
        <v>0</v>
      </c>
      <c r="EC400">
        <f t="shared" si="2125"/>
        <v>0</v>
      </c>
      <c r="ED400">
        <f t="shared" si="2126"/>
        <v>0</v>
      </c>
      <c r="EE400">
        <f t="shared" si="2127"/>
        <v>0</v>
      </c>
      <c r="EF400">
        <f t="shared" si="2128"/>
        <v>0</v>
      </c>
      <c r="EG400">
        <f t="shared" si="2129"/>
        <v>0</v>
      </c>
    </row>
    <row r="401" spans="1:137" x14ac:dyDescent="0.2">
      <c r="A401" s="8" t="str">
        <f t="shared" si="2130"/>
        <v/>
      </c>
      <c r="B401">
        <f t="shared" si="2131"/>
        <v>0</v>
      </c>
      <c r="C401">
        <f t="shared" si="2132"/>
        <v>0</v>
      </c>
      <c r="D401">
        <f t="shared" si="2133"/>
        <v>0</v>
      </c>
      <c r="E401">
        <f t="shared" si="2134"/>
        <v>0</v>
      </c>
      <c r="F401">
        <f t="shared" si="2135"/>
        <v>0</v>
      </c>
      <c r="G401">
        <f t="shared" si="2136"/>
        <v>0</v>
      </c>
      <c r="H401">
        <f t="shared" si="2137"/>
        <v>0</v>
      </c>
      <c r="I401">
        <f t="shared" si="2138"/>
        <v>0</v>
      </c>
      <c r="J401">
        <f t="shared" si="2139"/>
        <v>0</v>
      </c>
      <c r="K401">
        <f t="shared" si="2140"/>
        <v>0</v>
      </c>
      <c r="L401">
        <f t="shared" si="2141"/>
        <v>0</v>
      </c>
      <c r="M401">
        <f t="shared" si="2142"/>
        <v>0</v>
      </c>
      <c r="BJ401" s="8" t="str">
        <f>Hidden!$CC69</f>
        <v/>
      </c>
      <c r="BK401">
        <f t="shared" si="2143"/>
        <v>0</v>
      </c>
      <c r="BL401">
        <f t="shared" si="2144"/>
        <v>0</v>
      </c>
      <c r="BM401">
        <f t="shared" si="2145"/>
        <v>0</v>
      </c>
      <c r="BN401">
        <f t="shared" si="2146"/>
        <v>0</v>
      </c>
      <c r="BO401">
        <f t="shared" si="2147"/>
        <v>0</v>
      </c>
      <c r="BP401">
        <f t="shared" si="2148"/>
        <v>0</v>
      </c>
      <c r="BQ401">
        <f t="shared" si="2149"/>
        <v>0</v>
      </c>
      <c r="BR401">
        <f t="shared" si="2150"/>
        <v>0</v>
      </c>
      <c r="BS401">
        <f t="shared" si="2151"/>
        <v>0</v>
      </c>
      <c r="BT401">
        <f t="shared" si="2152"/>
        <v>0</v>
      </c>
      <c r="BU401">
        <f t="shared" si="2153"/>
        <v>0</v>
      </c>
      <c r="BV401">
        <f t="shared" si="2154"/>
        <v>0</v>
      </c>
      <c r="DT401" s="77"/>
      <c r="DU401" s="8" t="str">
        <f>Hidden!$CG81</f>
        <v/>
      </c>
      <c r="DV401">
        <f t="shared" si="2118"/>
        <v>0</v>
      </c>
      <c r="DW401">
        <f t="shared" si="2119"/>
        <v>0</v>
      </c>
      <c r="DX401">
        <f t="shared" si="2120"/>
        <v>0</v>
      </c>
      <c r="DY401">
        <f t="shared" si="2121"/>
        <v>0</v>
      </c>
      <c r="DZ401">
        <f t="shared" si="2122"/>
        <v>0</v>
      </c>
      <c r="EA401">
        <f t="shared" si="2123"/>
        <v>0</v>
      </c>
      <c r="EB401">
        <f t="shared" si="2124"/>
        <v>0</v>
      </c>
      <c r="EC401">
        <f t="shared" si="2125"/>
        <v>0</v>
      </c>
      <c r="ED401">
        <f t="shared" si="2126"/>
        <v>0</v>
      </c>
      <c r="EE401">
        <f t="shared" si="2127"/>
        <v>0</v>
      </c>
      <c r="EF401">
        <f t="shared" si="2128"/>
        <v>0</v>
      </c>
      <c r="EG401">
        <f t="shared" si="2129"/>
        <v>0</v>
      </c>
    </row>
    <row r="402" spans="1:137" x14ac:dyDescent="0.2">
      <c r="A402" s="8" t="str">
        <f t="shared" si="2130"/>
        <v/>
      </c>
      <c r="B402">
        <f t="shared" si="2131"/>
        <v>0</v>
      </c>
      <c r="C402">
        <f t="shared" si="2132"/>
        <v>0</v>
      </c>
      <c r="D402">
        <f t="shared" si="2133"/>
        <v>0</v>
      </c>
      <c r="E402">
        <f t="shared" si="2134"/>
        <v>0</v>
      </c>
      <c r="F402">
        <f t="shared" si="2135"/>
        <v>0</v>
      </c>
      <c r="G402">
        <f t="shared" si="2136"/>
        <v>0</v>
      </c>
      <c r="H402">
        <f t="shared" si="2137"/>
        <v>0</v>
      </c>
      <c r="I402">
        <f t="shared" si="2138"/>
        <v>0</v>
      </c>
      <c r="J402">
        <f t="shared" si="2139"/>
        <v>0</v>
      </c>
      <c r="K402">
        <f t="shared" si="2140"/>
        <v>0</v>
      </c>
      <c r="L402">
        <f t="shared" si="2141"/>
        <v>0</v>
      </c>
      <c r="M402">
        <f t="shared" si="2142"/>
        <v>0</v>
      </c>
      <c r="BJ402" s="8" t="str">
        <f>Hidden!$CC70</f>
        <v/>
      </c>
      <c r="BK402">
        <f t="shared" si="2143"/>
        <v>0</v>
      </c>
      <c r="BL402">
        <f t="shared" si="2144"/>
        <v>0</v>
      </c>
      <c r="BM402">
        <f t="shared" si="2145"/>
        <v>0</v>
      </c>
      <c r="BN402">
        <f t="shared" si="2146"/>
        <v>0</v>
      </c>
      <c r="BO402">
        <f t="shared" si="2147"/>
        <v>0</v>
      </c>
      <c r="BP402">
        <f t="shared" si="2148"/>
        <v>0</v>
      </c>
      <c r="BQ402">
        <f t="shared" si="2149"/>
        <v>0</v>
      </c>
      <c r="BR402">
        <f t="shared" si="2150"/>
        <v>0</v>
      </c>
      <c r="BS402">
        <f t="shared" si="2151"/>
        <v>0</v>
      </c>
      <c r="BT402">
        <f t="shared" si="2152"/>
        <v>0</v>
      </c>
      <c r="BU402">
        <f t="shared" si="2153"/>
        <v>0</v>
      </c>
      <c r="BV402">
        <f t="shared" si="2154"/>
        <v>0</v>
      </c>
      <c r="DT402" s="77"/>
      <c r="DU402" s="8" t="str">
        <f>Hidden!$CG82</f>
        <v/>
      </c>
      <c r="DV402">
        <f t="shared" si="2118"/>
        <v>0</v>
      </c>
      <c r="DW402">
        <f t="shared" si="2119"/>
        <v>0</v>
      </c>
      <c r="DX402">
        <f t="shared" si="2120"/>
        <v>0</v>
      </c>
      <c r="DY402">
        <f t="shared" si="2121"/>
        <v>0</v>
      </c>
      <c r="DZ402">
        <f t="shared" si="2122"/>
        <v>0</v>
      </c>
      <c r="EA402">
        <f t="shared" si="2123"/>
        <v>0</v>
      </c>
      <c r="EB402">
        <f t="shared" si="2124"/>
        <v>0</v>
      </c>
      <c r="EC402">
        <f t="shared" si="2125"/>
        <v>0</v>
      </c>
      <c r="ED402">
        <f t="shared" si="2126"/>
        <v>0</v>
      </c>
      <c r="EE402">
        <f t="shared" si="2127"/>
        <v>0</v>
      </c>
      <c r="EF402">
        <f t="shared" si="2128"/>
        <v>0</v>
      </c>
      <c r="EG402">
        <f t="shared" si="2129"/>
        <v>0</v>
      </c>
    </row>
    <row r="403" spans="1:137" x14ac:dyDescent="0.2">
      <c r="A403" s="8" t="str">
        <f t="shared" si="2130"/>
        <v/>
      </c>
      <c r="B403">
        <f t="shared" si="2131"/>
        <v>0</v>
      </c>
      <c r="C403">
        <f t="shared" si="2132"/>
        <v>0</v>
      </c>
      <c r="D403">
        <f t="shared" si="2133"/>
        <v>0</v>
      </c>
      <c r="E403">
        <f t="shared" si="2134"/>
        <v>0</v>
      </c>
      <c r="F403">
        <f t="shared" si="2135"/>
        <v>0</v>
      </c>
      <c r="G403">
        <f t="shared" si="2136"/>
        <v>0</v>
      </c>
      <c r="H403">
        <f t="shared" si="2137"/>
        <v>0</v>
      </c>
      <c r="I403">
        <f t="shared" si="2138"/>
        <v>0</v>
      </c>
      <c r="J403">
        <f t="shared" si="2139"/>
        <v>0</v>
      </c>
      <c r="K403">
        <f t="shared" si="2140"/>
        <v>0</v>
      </c>
      <c r="L403">
        <f t="shared" si="2141"/>
        <v>0</v>
      </c>
      <c r="M403">
        <f t="shared" si="2142"/>
        <v>0</v>
      </c>
      <c r="BJ403" s="8" t="str">
        <f>Hidden!$CC71</f>
        <v/>
      </c>
      <c r="BK403">
        <f t="shared" si="2143"/>
        <v>0</v>
      </c>
      <c r="BL403">
        <f t="shared" si="2144"/>
        <v>0</v>
      </c>
      <c r="BM403">
        <f t="shared" si="2145"/>
        <v>0</v>
      </c>
      <c r="BN403">
        <f t="shared" si="2146"/>
        <v>0</v>
      </c>
      <c r="BO403">
        <f t="shared" si="2147"/>
        <v>0</v>
      </c>
      <c r="BP403">
        <f t="shared" si="2148"/>
        <v>0</v>
      </c>
      <c r="BQ403">
        <f t="shared" si="2149"/>
        <v>0</v>
      </c>
      <c r="BR403">
        <f t="shared" si="2150"/>
        <v>0</v>
      </c>
      <c r="BS403">
        <f t="shared" si="2151"/>
        <v>0</v>
      </c>
      <c r="BT403">
        <f t="shared" si="2152"/>
        <v>0</v>
      </c>
      <c r="BU403">
        <f t="shared" si="2153"/>
        <v>0</v>
      </c>
      <c r="BV403">
        <f t="shared" si="2154"/>
        <v>0</v>
      </c>
      <c r="DT403" s="77"/>
      <c r="DU403" s="8" t="str">
        <f>Hidden!$CG83</f>
        <v/>
      </c>
      <c r="DV403">
        <f t="shared" si="2118"/>
        <v>0</v>
      </c>
      <c r="DW403">
        <f t="shared" si="2119"/>
        <v>0</v>
      </c>
      <c r="DX403">
        <f t="shared" si="2120"/>
        <v>0</v>
      </c>
      <c r="DY403">
        <f t="shared" si="2121"/>
        <v>0</v>
      </c>
      <c r="DZ403">
        <f t="shared" si="2122"/>
        <v>0</v>
      </c>
      <c r="EA403">
        <f t="shared" si="2123"/>
        <v>0</v>
      </c>
      <c r="EB403">
        <f t="shared" si="2124"/>
        <v>0</v>
      </c>
      <c r="EC403">
        <f t="shared" si="2125"/>
        <v>0</v>
      </c>
      <c r="ED403">
        <f t="shared" si="2126"/>
        <v>0</v>
      </c>
      <c r="EE403">
        <f t="shared" si="2127"/>
        <v>0</v>
      </c>
      <c r="EF403">
        <f t="shared" si="2128"/>
        <v>0</v>
      </c>
      <c r="EG403">
        <f t="shared" si="2129"/>
        <v>0</v>
      </c>
    </row>
    <row r="404" spans="1:137" x14ac:dyDescent="0.2">
      <c r="A404" s="8" t="str">
        <f t="shared" si="2130"/>
        <v/>
      </c>
      <c r="B404">
        <f t="shared" si="2131"/>
        <v>0</v>
      </c>
      <c r="C404">
        <f t="shared" si="2132"/>
        <v>0</v>
      </c>
      <c r="D404">
        <f t="shared" si="2133"/>
        <v>0</v>
      </c>
      <c r="E404">
        <f t="shared" si="2134"/>
        <v>0</v>
      </c>
      <c r="F404">
        <f t="shared" si="2135"/>
        <v>0</v>
      </c>
      <c r="G404">
        <f t="shared" si="2136"/>
        <v>0</v>
      </c>
      <c r="H404">
        <f t="shared" si="2137"/>
        <v>0</v>
      </c>
      <c r="I404">
        <f t="shared" si="2138"/>
        <v>0</v>
      </c>
      <c r="J404">
        <f t="shared" si="2139"/>
        <v>0</v>
      </c>
      <c r="K404">
        <f t="shared" si="2140"/>
        <v>0</v>
      </c>
      <c r="L404">
        <f t="shared" si="2141"/>
        <v>0</v>
      </c>
      <c r="M404">
        <f t="shared" si="2142"/>
        <v>0</v>
      </c>
      <c r="BJ404" s="8" t="str">
        <f>Hidden!$CC72</f>
        <v/>
      </c>
      <c r="BK404">
        <f t="shared" si="2143"/>
        <v>0</v>
      </c>
      <c r="BL404">
        <f t="shared" si="2144"/>
        <v>0</v>
      </c>
      <c r="BM404">
        <f t="shared" si="2145"/>
        <v>0</v>
      </c>
      <c r="BN404">
        <f t="shared" si="2146"/>
        <v>0</v>
      </c>
      <c r="BO404">
        <f t="shared" si="2147"/>
        <v>0</v>
      </c>
      <c r="BP404">
        <f t="shared" si="2148"/>
        <v>0</v>
      </c>
      <c r="BQ404">
        <f t="shared" si="2149"/>
        <v>0</v>
      </c>
      <c r="BR404">
        <f t="shared" si="2150"/>
        <v>0</v>
      </c>
      <c r="BS404">
        <f t="shared" si="2151"/>
        <v>0</v>
      </c>
      <c r="BT404">
        <f t="shared" si="2152"/>
        <v>0</v>
      </c>
      <c r="BU404">
        <f t="shared" si="2153"/>
        <v>0</v>
      </c>
      <c r="BV404">
        <f t="shared" si="2154"/>
        <v>0</v>
      </c>
      <c r="DT404" s="77"/>
      <c r="DU404" s="8" t="str">
        <f>Hidden!$CG84</f>
        <v/>
      </c>
      <c r="DV404">
        <f t="shared" si="2118"/>
        <v>0</v>
      </c>
      <c r="DW404">
        <f t="shared" si="2119"/>
        <v>0</v>
      </c>
      <c r="DX404">
        <f t="shared" si="2120"/>
        <v>0</v>
      </c>
      <c r="DY404">
        <f t="shared" si="2121"/>
        <v>0</v>
      </c>
      <c r="DZ404">
        <f t="shared" si="2122"/>
        <v>0</v>
      </c>
      <c r="EA404">
        <f t="shared" si="2123"/>
        <v>0</v>
      </c>
      <c r="EB404">
        <f t="shared" si="2124"/>
        <v>0</v>
      </c>
      <c r="EC404">
        <f t="shared" si="2125"/>
        <v>0</v>
      </c>
      <c r="ED404">
        <f t="shared" si="2126"/>
        <v>0</v>
      </c>
      <c r="EE404">
        <f t="shared" si="2127"/>
        <v>0</v>
      </c>
      <c r="EF404">
        <f t="shared" si="2128"/>
        <v>0</v>
      </c>
      <c r="EG404">
        <f t="shared" si="2129"/>
        <v>0</v>
      </c>
    </row>
    <row r="405" spans="1:137" x14ac:dyDescent="0.2">
      <c r="A405" s="8" t="str">
        <f t="shared" si="2130"/>
        <v/>
      </c>
      <c r="B405">
        <f t="shared" si="2131"/>
        <v>0</v>
      </c>
      <c r="C405">
        <f t="shared" si="2132"/>
        <v>0</v>
      </c>
      <c r="D405">
        <f t="shared" si="2133"/>
        <v>0</v>
      </c>
      <c r="E405">
        <f t="shared" si="2134"/>
        <v>0</v>
      </c>
      <c r="F405">
        <f t="shared" si="2135"/>
        <v>0</v>
      </c>
      <c r="G405">
        <f t="shared" si="2136"/>
        <v>0</v>
      </c>
      <c r="H405">
        <f t="shared" si="2137"/>
        <v>0</v>
      </c>
      <c r="I405">
        <f t="shared" si="2138"/>
        <v>0</v>
      </c>
      <c r="J405">
        <f t="shared" si="2139"/>
        <v>0</v>
      </c>
      <c r="K405">
        <f t="shared" si="2140"/>
        <v>0</v>
      </c>
      <c r="L405">
        <f t="shared" si="2141"/>
        <v>0</v>
      </c>
      <c r="M405">
        <f t="shared" si="2142"/>
        <v>0</v>
      </c>
      <c r="BJ405" s="8" t="str">
        <f>Hidden!$CC73</f>
        <v/>
      </c>
      <c r="BK405">
        <f t="shared" si="2143"/>
        <v>0</v>
      </c>
      <c r="BL405">
        <f t="shared" si="2144"/>
        <v>0</v>
      </c>
      <c r="BM405">
        <f t="shared" si="2145"/>
        <v>0</v>
      </c>
      <c r="BN405">
        <f t="shared" si="2146"/>
        <v>0</v>
      </c>
      <c r="BO405">
        <f t="shared" si="2147"/>
        <v>0</v>
      </c>
      <c r="BP405">
        <f t="shared" si="2148"/>
        <v>0</v>
      </c>
      <c r="BQ405">
        <f t="shared" si="2149"/>
        <v>0</v>
      </c>
      <c r="BR405">
        <f t="shared" si="2150"/>
        <v>0</v>
      </c>
      <c r="BS405">
        <f t="shared" si="2151"/>
        <v>0</v>
      </c>
      <c r="BT405">
        <f t="shared" si="2152"/>
        <v>0</v>
      </c>
      <c r="BU405">
        <f t="shared" si="2153"/>
        <v>0</v>
      </c>
      <c r="BV405">
        <f t="shared" si="2154"/>
        <v>0</v>
      </c>
      <c r="DT405" s="77"/>
      <c r="DU405" s="8" t="str">
        <f>Hidden!$CG85</f>
        <v/>
      </c>
      <c r="DV405">
        <f t="shared" si="2118"/>
        <v>0</v>
      </c>
      <c r="DW405">
        <f t="shared" si="2119"/>
        <v>0</v>
      </c>
      <c r="DX405">
        <f t="shared" si="2120"/>
        <v>0</v>
      </c>
      <c r="DY405">
        <f t="shared" si="2121"/>
        <v>0</v>
      </c>
      <c r="DZ405">
        <f t="shared" si="2122"/>
        <v>0</v>
      </c>
      <c r="EA405">
        <f t="shared" si="2123"/>
        <v>0</v>
      </c>
      <c r="EB405">
        <f t="shared" si="2124"/>
        <v>0</v>
      </c>
      <c r="EC405">
        <f t="shared" si="2125"/>
        <v>0</v>
      </c>
      <c r="ED405">
        <f t="shared" si="2126"/>
        <v>0</v>
      </c>
      <c r="EE405">
        <f t="shared" si="2127"/>
        <v>0</v>
      </c>
      <c r="EF405">
        <f t="shared" si="2128"/>
        <v>0</v>
      </c>
      <c r="EG405">
        <f t="shared" si="2129"/>
        <v>0</v>
      </c>
    </row>
    <row r="406" spans="1:137" x14ac:dyDescent="0.2">
      <c r="A406" s="8" t="str">
        <f t="shared" si="2130"/>
        <v/>
      </c>
      <c r="B406">
        <f t="shared" si="2131"/>
        <v>0</v>
      </c>
      <c r="C406">
        <f t="shared" si="2132"/>
        <v>0</v>
      </c>
      <c r="D406">
        <f t="shared" si="2133"/>
        <v>0</v>
      </c>
      <c r="E406">
        <f t="shared" si="2134"/>
        <v>0</v>
      </c>
      <c r="F406">
        <f t="shared" si="2135"/>
        <v>0</v>
      </c>
      <c r="G406">
        <f t="shared" si="2136"/>
        <v>0</v>
      </c>
      <c r="H406">
        <f t="shared" si="2137"/>
        <v>0</v>
      </c>
      <c r="I406">
        <f t="shared" si="2138"/>
        <v>0</v>
      </c>
      <c r="J406">
        <f t="shared" si="2139"/>
        <v>0</v>
      </c>
      <c r="K406">
        <f t="shared" si="2140"/>
        <v>0</v>
      </c>
      <c r="L406">
        <f t="shared" si="2141"/>
        <v>0</v>
      </c>
      <c r="M406">
        <f t="shared" si="2142"/>
        <v>0</v>
      </c>
      <c r="BJ406" s="8" t="str">
        <f>Hidden!$CC74</f>
        <v/>
      </c>
      <c r="BK406">
        <f t="shared" si="2143"/>
        <v>0</v>
      </c>
      <c r="BL406">
        <f t="shared" si="2144"/>
        <v>0</v>
      </c>
      <c r="BM406">
        <f t="shared" si="2145"/>
        <v>0</v>
      </c>
      <c r="BN406">
        <f t="shared" si="2146"/>
        <v>0</v>
      </c>
      <c r="BO406">
        <f t="shared" si="2147"/>
        <v>0</v>
      </c>
      <c r="BP406">
        <f t="shared" si="2148"/>
        <v>0</v>
      </c>
      <c r="BQ406">
        <f t="shared" si="2149"/>
        <v>0</v>
      </c>
      <c r="BR406">
        <f t="shared" si="2150"/>
        <v>0</v>
      </c>
      <c r="BS406">
        <f t="shared" si="2151"/>
        <v>0</v>
      </c>
      <c r="BT406">
        <f t="shared" si="2152"/>
        <v>0</v>
      </c>
      <c r="BU406">
        <f t="shared" si="2153"/>
        <v>0</v>
      </c>
      <c r="BV406">
        <f t="shared" si="2154"/>
        <v>0</v>
      </c>
      <c r="DT406" s="77"/>
      <c r="DU406" s="8" t="str">
        <f>Hidden!$CG86</f>
        <v/>
      </c>
      <c r="DV406">
        <f t="shared" si="2118"/>
        <v>0</v>
      </c>
      <c r="DW406">
        <f t="shared" si="2119"/>
        <v>0</v>
      </c>
      <c r="DX406">
        <f t="shared" si="2120"/>
        <v>0</v>
      </c>
      <c r="DY406">
        <f t="shared" si="2121"/>
        <v>0</v>
      </c>
      <c r="DZ406">
        <f t="shared" si="2122"/>
        <v>0</v>
      </c>
      <c r="EA406">
        <f t="shared" si="2123"/>
        <v>0</v>
      </c>
      <c r="EB406">
        <f t="shared" si="2124"/>
        <v>0</v>
      </c>
      <c r="EC406">
        <f t="shared" si="2125"/>
        <v>0</v>
      </c>
      <c r="ED406">
        <f t="shared" si="2126"/>
        <v>0</v>
      </c>
      <c r="EE406">
        <f t="shared" si="2127"/>
        <v>0</v>
      </c>
      <c r="EF406">
        <f t="shared" si="2128"/>
        <v>0</v>
      </c>
      <c r="EG406">
        <f t="shared" si="2129"/>
        <v>0</v>
      </c>
    </row>
    <row r="407" spans="1:137" x14ac:dyDescent="0.2">
      <c r="A407" s="8" t="str">
        <f t="shared" si="2130"/>
        <v/>
      </c>
      <c r="B407">
        <f t="shared" si="2131"/>
        <v>0</v>
      </c>
      <c r="C407">
        <f t="shared" si="2132"/>
        <v>0</v>
      </c>
      <c r="D407">
        <f t="shared" si="2133"/>
        <v>0</v>
      </c>
      <c r="E407">
        <f t="shared" si="2134"/>
        <v>0</v>
      </c>
      <c r="F407">
        <f t="shared" si="2135"/>
        <v>0</v>
      </c>
      <c r="G407">
        <f t="shared" si="2136"/>
        <v>0</v>
      </c>
      <c r="H407">
        <f t="shared" si="2137"/>
        <v>0</v>
      </c>
      <c r="I407">
        <f t="shared" si="2138"/>
        <v>0</v>
      </c>
      <c r="J407">
        <f t="shared" si="2139"/>
        <v>0</v>
      </c>
      <c r="K407">
        <f t="shared" si="2140"/>
        <v>0</v>
      </c>
      <c r="L407">
        <f t="shared" si="2141"/>
        <v>0</v>
      </c>
      <c r="M407">
        <f t="shared" si="2142"/>
        <v>0</v>
      </c>
      <c r="BJ407" s="8" t="str">
        <f>Hidden!$CC75</f>
        <v/>
      </c>
      <c r="BK407">
        <f t="shared" si="2143"/>
        <v>0</v>
      </c>
      <c r="BL407">
        <f t="shared" si="2144"/>
        <v>0</v>
      </c>
      <c r="BM407">
        <f t="shared" si="2145"/>
        <v>0</v>
      </c>
      <c r="BN407">
        <f t="shared" si="2146"/>
        <v>0</v>
      </c>
      <c r="BO407">
        <f t="shared" si="2147"/>
        <v>0</v>
      </c>
      <c r="BP407">
        <f t="shared" si="2148"/>
        <v>0</v>
      </c>
      <c r="BQ407">
        <f t="shared" si="2149"/>
        <v>0</v>
      </c>
      <c r="BR407">
        <f t="shared" si="2150"/>
        <v>0</v>
      </c>
      <c r="BS407">
        <f t="shared" si="2151"/>
        <v>0</v>
      </c>
      <c r="BT407">
        <f t="shared" si="2152"/>
        <v>0</v>
      </c>
      <c r="BU407">
        <f t="shared" si="2153"/>
        <v>0</v>
      </c>
      <c r="BV407">
        <f t="shared" si="2154"/>
        <v>0</v>
      </c>
      <c r="DT407" s="77"/>
      <c r="DU407" s="8" t="str">
        <f>Hidden!$CG87</f>
        <v/>
      </c>
      <c r="DV407">
        <f t="shared" si="2118"/>
        <v>0</v>
      </c>
      <c r="DW407">
        <f t="shared" si="2119"/>
        <v>0</v>
      </c>
      <c r="DX407">
        <f t="shared" si="2120"/>
        <v>0</v>
      </c>
      <c r="DY407">
        <f t="shared" si="2121"/>
        <v>0</v>
      </c>
      <c r="DZ407">
        <f t="shared" si="2122"/>
        <v>0</v>
      </c>
      <c r="EA407">
        <f t="shared" si="2123"/>
        <v>0</v>
      </c>
      <c r="EB407">
        <f t="shared" si="2124"/>
        <v>0</v>
      </c>
      <c r="EC407">
        <f t="shared" si="2125"/>
        <v>0</v>
      </c>
      <c r="ED407">
        <f t="shared" si="2126"/>
        <v>0</v>
      </c>
      <c r="EE407">
        <f t="shared" si="2127"/>
        <v>0</v>
      </c>
      <c r="EF407">
        <f t="shared" si="2128"/>
        <v>0</v>
      </c>
      <c r="EG407">
        <f t="shared" si="2129"/>
        <v>0</v>
      </c>
    </row>
    <row r="408" spans="1:137" x14ac:dyDescent="0.2">
      <c r="A408" s="8" t="str">
        <f t="shared" si="2130"/>
        <v/>
      </c>
      <c r="B408">
        <f t="shared" si="2131"/>
        <v>0</v>
      </c>
      <c r="C408">
        <f t="shared" si="2132"/>
        <v>0</v>
      </c>
      <c r="D408">
        <f t="shared" si="2133"/>
        <v>0</v>
      </c>
      <c r="E408">
        <f t="shared" si="2134"/>
        <v>0</v>
      </c>
      <c r="F408">
        <f t="shared" si="2135"/>
        <v>0</v>
      </c>
      <c r="G408">
        <f t="shared" si="2136"/>
        <v>0</v>
      </c>
      <c r="H408">
        <f t="shared" si="2137"/>
        <v>0</v>
      </c>
      <c r="I408">
        <f t="shared" si="2138"/>
        <v>0</v>
      </c>
      <c r="J408">
        <f t="shared" si="2139"/>
        <v>0</v>
      </c>
      <c r="K408">
        <f t="shared" si="2140"/>
        <v>0</v>
      </c>
      <c r="L408">
        <f t="shared" si="2141"/>
        <v>0</v>
      </c>
      <c r="M408">
        <f t="shared" si="2142"/>
        <v>0</v>
      </c>
      <c r="BJ408" s="8" t="str">
        <f>Hidden!$CC76</f>
        <v/>
      </c>
      <c r="BK408">
        <f t="shared" si="2143"/>
        <v>0</v>
      </c>
      <c r="BL408">
        <f t="shared" si="2144"/>
        <v>0</v>
      </c>
      <c r="BM408">
        <f t="shared" si="2145"/>
        <v>0</v>
      </c>
      <c r="BN408">
        <f t="shared" si="2146"/>
        <v>0</v>
      </c>
      <c r="BO408">
        <f t="shared" si="2147"/>
        <v>0</v>
      </c>
      <c r="BP408">
        <f t="shared" si="2148"/>
        <v>0</v>
      </c>
      <c r="BQ408">
        <f t="shared" si="2149"/>
        <v>0</v>
      </c>
      <c r="BR408">
        <f t="shared" si="2150"/>
        <v>0</v>
      </c>
      <c r="BS408">
        <f t="shared" si="2151"/>
        <v>0</v>
      </c>
      <c r="BT408">
        <f t="shared" si="2152"/>
        <v>0</v>
      </c>
      <c r="BU408">
        <f t="shared" si="2153"/>
        <v>0</v>
      </c>
      <c r="BV408">
        <f t="shared" si="2154"/>
        <v>0</v>
      </c>
      <c r="DT408" s="77"/>
      <c r="DU408" s="8" t="str">
        <f>Hidden!$CG88</f>
        <v/>
      </c>
      <c r="DV408">
        <f t="shared" si="2118"/>
        <v>0</v>
      </c>
      <c r="DW408">
        <f t="shared" si="2119"/>
        <v>0</v>
      </c>
      <c r="DX408">
        <f t="shared" si="2120"/>
        <v>0</v>
      </c>
      <c r="DY408">
        <f t="shared" si="2121"/>
        <v>0</v>
      </c>
      <c r="DZ408">
        <f t="shared" si="2122"/>
        <v>0</v>
      </c>
      <c r="EA408">
        <f t="shared" si="2123"/>
        <v>0</v>
      </c>
      <c r="EB408">
        <f t="shared" si="2124"/>
        <v>0</v>
      </c>
      <c r="EC408">
        <f t="shared" si="2125"/>
        <v>0</v>
      </c>
      <c r="ED408">
        <f t="shared" si="2126"/>
        <v>0</v>
      </c>
      <c r="EE408">
        <f t="shared" si="2127"/>
        <v>0</v>
      </c>
      <c r="EF408">
        <f t="shared" si="2128"/>
        <v>0</v>
      </c>
      <c r="EG408">
        <f t="shared" si="2129"/>
        <v>0</v>
      </c>
    </row>
    <row r="409" spans="1:137" x14ac:dyDescent="0.2">
      <c r="A409" s="8" t="str">
        <f t="shared" si="2130"/>
        <v/>
      </c>
      <c r="B409">
        <f t="shared" si="2131"/>
        <v>0</v>
      </c>
      <c r="C409">
        <f t="shared" si="2132"/>
        <v>0</v>
      </c>
      <c r="D409">
        <f t="shared" si="2133"/>
        <v>0</v>
      </c>
      <c r="E409">
        <f t="shared" si="2134"/>
        <v>0</v>
      </c>
      <c r="F409">
        <f t="shared" si="2135"/>
        <v>0</v>
      </c>
      <c r="G409">
        <f t="shared" si="2136"/>
        <v>0</v>
      </c>
      <c r="H409">
        <f t="shared" si="2137"/>
        <v>0</v>
      </c>
      <c r="I409">
        <f t="shared" si="2138"/>
        <v>0</v>
      </c>
      <c r="J409">
        <f t="shared" si="2139"/>
        <v>0</v>
      </c>
      <c r="K409">
        <f t="shared" si="2140"/>
        <v>0</v>
      </c>
      <c r="L409">
        <f t="shared" si="2141"/>
        <v>0</v>
      </c>
      <c r="M409">
        <f t="shared" si="2142"/>
        <v>0</v>
      </c>
      <c r="BJ409" s="8" t="str">
        <f>Hidden!$CC77</f>
        <v/>
      </c>
      <c r="BK409">
        <f t="shared" si="2143"/>
        <v>0</v>
      </c>
      <c r="BL409">
        <f t="shared" si="2144"/>
        <v>0</v>
      </c>
      <c r="BM409">
        <f t="shared" si="2145"/>
        <v>0</v>
      </c>
      <c r="BN409">
        <f t="shared" si="2146"/>
        <v>0</v>
      </c>
      <c r="BO409">
        <f t="shared" si="2147"/>
        <v>0</v>
      </c>
      <c r="BP409">
        <f t="shared" si="2148"/>
        <v>0</v>
      </c>
      <c r="BQ409">
        <f t="shared" si="2149"/>
        <v>0</v>
      </c>
      <c r="BR409">
        <f t="shared" si="2150"/>
        <v>0</v>
      </c>
      <c r="BS409">
        <f t="shared" si="2151"/>
        <v>0</v>
      </c>
      <c r="BT409">
        <f t="shared" si="2152"/>
        <v>0</v>
      </c>
      <c r="BU409">
        <f t="shared" si="2153"/>
        <v>0</v>
      </c>
      <c r="BV409">
        <f t="shared" si="2154"/>
        <v>0</v>
      </c>
      <c r="DT409" s="77"/>
      <c r="DU409" s="8" t="str">
        <f>Hidden!$CG89</f>
        <v/>
      </c>
      <c r="DV409">
        <f t="shared" si="2118"/>
        <v>0</v>
      </c>
      <c r="DW409">
        <f t="shared" si="2119"/>
        <v>0</v>
      </c>
      <c r="DX409">
        <f t="shared" si="2120"/>
        <v>0</v>
      </c>
      <c r="DY409">
        <f t="shared" si="2121"/>
        <v>0</v>
      </c>
      <c r="DZ409">
        <f t="shared" si="2122"/>
        <v>0</v>
      </c>
      <c r="EA409">
        <f t="shared" si="2123"/>
        <v>0</v>
      </c>
      <c r="EB409">
        <f t="shared" si="2124"/>
        <v>0</v>
      </c>
      <c r="EC409">
        <f t="shared" si="2125"/>
        <v>0</v>
      </c>
      <c r="ED409">
        <f t="shared" si="2126"/>
        <v>0</v>
      </c>
      <c r="EE409">
        <f t="shared" si="2127"/>
        <v>0</v>
      </c>
      <c r="EF409">
        <f t="shared" si="2128"/>
        <v>0</v>
      </c>
      <c r="EG409">
        <f t="shared" si="2129"/>
        <v>0</v>
      </c>
    </row>
    <row r="410" spans="1:137" x14ac:dyDescent="0.2">
      <c r="A410" s="8" t="str">
        <f t="shared" si="2130"/>
        <v/>
      </c>
      <c r="B410">
        <f t="shared" si="2131"/>
        <v>0</v>
      </c>
      <c r="C410">
        <f t="shared" si="2132"/>
        <v>0</v>
      </c>
      <c r="D410">
        <f t="shared" si="2133"/>
        <v>0</v>
      </c>
      <c r="E410">
        <f t="shared" si="2134"/>
        <v>0</v>
      </c>
      <c r="F410">
        <f t="shared" si="2135"/>
        <v>0</v>
      </c>
      <c r="G410">
        <f t="shared" si="2136"/>
        <v>0</v>
      </c>
      <c r="H410">
        <f t="shared" si="2137"/>
        <v>0</v>
      </c>
      <c r="I410">
        <f t="shared" si="2138"/>
        <v>0</v>
      </c>
      <c r="J410">
        <f t="shared" si="2139"/>
        <v>0</v>
      </c>
      <c r="K410">
        <f t="shared" si="2140"/>
        <v>0</v>
      </c>
      <c r="L410">
        <f t="shared" si="2141"/>
        <v>0</v>
      </c>
      <c r="M410">
        <f t="shared" si="2142"/>
        <v>0</v>
      </c>
      <c r="BJ410" s="8" t="str">
        <f>Hidden!$CC78</f>
        <v/>
      </c>
      <c r="BK410">
        <f t="shared" si="2143"/>
        <v>0</v>
      </c>
      <c r="BL410">
        <f t="shared" si="2144"/>
        <v>0</v>
      </c>
      <c r="BM410">
        <f t="shared" si="2145"/>
        <v>0</v>
      </c>
      <c r="BN410">
        <f t="shared" si="2146"/>
        <v>0</v>
      </c>
      <c r="BO410">
        <f t="shared" si="2147"/>
        <v>0</v>
      </c>
      <c r="BP410">
        <f t="shared" si="2148"/>
        <v>0</v>
      </c>
      <c r="BQ410">
        <f t="shared" si="2149"/>
        <v>0</v>
      </c>
      <c r="BR410">
        <f t="shared" si="2150"/>
        <v>0</v>
      </c>
      <c r="BS410">
        <f t="shared" si="2151"/>
        <v>0</v>
      </c>
      <c r="BT410">
        <f t="shared" si="2152"/>
        <v>0</v>
      </c>
      <c r="BU410">
        <f t="shared" si="2153"/>
        <v>0</v>
      </c>
      <c r="BV410">
        <f t="shared" si="2154"/>
        <v>0</v>
      </c>
      <c r="DT410" s="77"/>
      <c r="DU410" s="8" t="str">
        <f>Hidden!$CG90</f>
        <v/>
      </c>
      <c r="DV410">
        <f t="shared" si="2118"/>
        <v>0</v>
      </c>
      <c r="DW410">
        <f t="shared" si="2119"/>
        <v>0</v>
      </c>
      <c r="DX410">
        <f t="shared" si="2120"/>
        <v>0</v>
      </c>
      <c r="DY410">
        <f t="shared" si="2121"/>
        <v>0</v>
      </c>
      <c r="DZ410">
        <f t="shared" si="2122"/>
        <v>0</v>
      </c>
      <c r="EA410">
        <f t="shared" si="2123"/>
        <v>0</v>
      </c>
      <c r="EB410">
        <f t="shared" si="2124"/>
        <v>0</v>
      </c>
      <c r="EC410">
        <f t="shared" si="2125"/>
        <v>0</v>
      </c>
      <c r="ED410">
        <f t="shared" si="2126"/>
        <v>0</v>
      </c>
      <c r="EE410">
        <f t="shared" si="2127"/>
        <v>0</v>
      </c>
      <c r="EF410">
        <f t="shared" si="2128"/>
        <v>0</v>
      </c>
      <c r="EG410">
        <f t="shared" si="2129"/>
        <v>0</v>
      </c>
    </row>
    <row r="411" spans="1:137" x14ac:dyDescent="0.2">
      <c r="A411" s="8" t="str">
        <f t="shared" si="2130"/>
        <v/>
      </c>
      <c r="B411">
        <f t="shared" si="2131"/>
        <v>0</v>
      </c>
      <c r="C411">
        <f t="shared" si="2132"/>
        <v>0</v>
      </c>
      <c r="D411">
        <f t="shared" si="2133"/>
        <v>0</v>
      </c>
      <c r="E411">
        <f t="shared" si="2134"/>
        <v>0</v>
      </c>
      <c r="F411">
        <f t="shared" si="2135"/>
        <v>0</v>
      </c>
      <c r="G411">
        <f t="shared" si="2136"/>
        <v>0</v>
      </c>
      <c r="H411">
        <f t="shared" si="2137"/>
        <v>0</v>
      </c>
      <c r="I411">
        <f t="shared" si="2138"/>
        <v>0</v>
      </c>
      <c r="J411">
        <f t="shared" si="2139"/>
        <v>0</v>
      </c>
      <c r="K411">
        <f t="shared" si="2140"/>
        <v>0</v>
      </c>
      <c r="L411">
        <f t="shared" si="2141"/>
        <v>0</v>
      </c>
      <c r="M411">
        <f t="shared" si="2142"/>
        <v>0</v>
      </c>
      <c r="BJ411" s="8" t="str">
        <f>Hidden!$CC79</f>
        <v/>
      </c>
      <c r="BK411">
        <f t="shared" si="2143"/>
        <v>0</v>
      </c>
      <c r="BL411">
        <f t="shared" si="2144"/>
        <v>0</v>
      </c>
      <c r="BM411">
        <f t="shared" si="2145"/>
        <v>0</v>
      </c>
      <c r="BN411">
        <f t="shared" si="2146"/>
        <v>0</v>
      </c>
      <c r="BO411">
        <f t="shared" si="2147"/>
        <v>0</v>
      </c>
      <c r="BP411">
        <f t="shared" si="2148"/>
        <v>0</v>
      </c>
      <c r="BQ411">
        <f t="shared" si="2149"/>
        <v>0</v>
      </c>
      <c r="BR411">
        <f t="shared" si="2150"/>
        <v>0</v>
      </c>
      <c r="BS411">
        <f t="shared" si="2151"/>
        <v>0</v>
      </c>
      <c r="BT411">
        <f t="shared" si="2152"/>
        <v>0</v>
      </c>
      <c r="BU411">
        <f t="shared" si="2153"/>
        <v>0</v>
      </c>
      <c r="BV411">
        <f t="shared" si="2154"/>
        <v>0</v>
      </c>
      <c r="DT411" s="77"/>
      <c r="DU411" s="8" t="str">
        <f>Hidden!$CG91</f>
        <v/>
      </c>
      <c r="DV411">
        <f t="shared" si="2118"/>
        <v>0</v>
      </c>
      <c r="DW411">
        <f t="shared" si="2119"/>
        <v>0</v>
      </c>
      <c r="DX411">
        <f t="shared" si="2120"/>
        <v>0</v>
      </c>
      <c r="DY411">
        <f t="shared" si="2121"/>
        <v>0</v>
      </c>
      <c r="DZ411">
        <f t="shared" si="2122"/>
        <v>0</v>
      </c>
      <c r="EA411">
        <f t="shared" si="2123"/>
        <v>0</v>
      </c>
      <c r="EB411">
        <f t="shared" si="2124"/>
        <v>0</v>
      </c>
      <c r="EC411">
        <f t="shared" si="2125"/>
        <v>0</v>
      </c>
      <c r="ED411">
        <f t="shared" si="2126"/>
        <v>0</v>
      </c>
      <c r="EE411">
        <f t="shared" si="2127"/>
        <v>0</v>
      </c>
      <c r="EF411">
        <f t="shared" si="2128"/>
        <v>0</v>
      </c>
      <c r="EG411">
        <f t="shared" si="2129"/>
        <v>0</v>
      </c>
    </row>
    <row r="412" spans="1:137" x14ac:dyDescent="0.2">
      <c r="A412" s="8" t="str">
        <f t="shared" si="2130"/>
        <v/>
      </c>
      <c r="B412">
        <f t="shared" si="2131"/>
        <v>0</v>
      </c>
      <c r="C412">
        <f t="shared" si="2132"/>
        <v>0</v>
      </c>
      <c r="D412">
        <f t="shared" si="2133"/>
        <v>0</v>
      </c>
      <c r="E412">
        <f t="shared" si="2134"/>
        <v>0</v>
      </c>
      <c r="F412">
        <f t="shared" si="2135"/>
        <v>0</v>
      </c>
      <c r="G412">
        <f t="shared" si="2136"/>
        <v>0</v>
      </c>
      <c r="H412">
        <f t="shared" si="2137"/>
        <v>0</v>
      </c>
      <c r="I412">
        <f t="shared" si="2138"/>
        <v>0</v>
      </c>
      <c r="J412">
        <f t="shared" si="2139"/>
        <v>0</v>
      </c>
      <c r="K412">
        <f t="shared" si="2140"/>
        <v>0</v>
      </c>
      <c r="L412">
        <f t="shared" si="2141"/>
        <v>0</v>
      </c>
      <c r="M412">
        <f t="shared" si="2142"/>
        <v>0</v>
      </c>
      <c r="BJ412" s="8" t="str">
        <f>Hidden!$CC80</f>
        <v/>
      </c>
      <c r="BK412">
        <f t="shared" si="2143"/>
        <v>0</v>
      </c>
      <c r="BL412">
        <f t="shared" si="2144"/>
        <v>0</v>
      </c>
      <c r="BM412">
        <f t="shared" si="2145"/>
        <v>0</v>
      </c>
      <c r="BN412">
        <f t="shared" si="2146"/>
        <v>0</v>
      </c>
      <c r="BO412">
        <f t="shared" si="2147"/>
        <v>0</v>
      </c>
      <c r="BP412">
        <f t="shared" si="2148"/>
        <v>0</v>
      </c>
      <c r="BQ412">
        <f t="shared" si="2149"/>
        <v>0</v>
      </c>
      <c r="BR412">
        <f t="shared" si="2150"/>
        <v>0</v>
      </c>
      <c r="BS412">
        <f t="shared" si="2151"/>
        <v>0</v>
      </c>
      <c r="BT412">
        <f t="shared" si="2152"/>
        <v>0</v>
      </c>
      <c r="BU412">
        <f t="shared" si="2153"/>
        <v>0</v>
      </c>
      <c r="BV412">
        <f t="shared" si="2154"/>
        <v>0</v>
      </c>
      <c r="DT412" s="77"/>
      <c r="DU412" s="8" t="str">
        <f>Hidden!$CG92</f>
        <v/>
      </c>
      <c r="DV412">
        <f t="shared" si="2118"/>
        <v>0</v>
      </c>
      <c r="DW412">
        <f t="shared" si="2119"/>
        <v>0</v>
      </c>
      <c r="DX412">
        <f t="shared" si="2120"/>
        <v>0</v>
      </c>
      <c r="DY412">
        <f t="shared" si="2121"/>
        <v>0</v>
      </c>
      <c r="DZ412">
        <f t="shared" si="2122"/>
        <v>0</v>
      </c>
      <c r="EA412">
        <f t="shared" si="2123"/>
        <v>0</v>
      </c>
      <c r="EB412">
        <f t="shared" si="2124"/>
        <v>0</v>
      </c>
      <c r="EC412">
        <f t="shared" si="2125"/>
        <v>0</v>
      </c>
      <c r="ED412">
        <f t="shared" si="2126"/>
        <v>0</v>
      </c>
      <c r="EE412">
        <f t="shared" si="2127"/>
        <v>0</v>
      </c>
      <c r="EF412">
        <f t="shared" si="2128"/>
        <v>0</v>
      </c>
      <c r="EG412">
        <f t="shared" si="2129"/>
        <v>0</v>
      </c>
    </row>
    <row r="413" spans="1:137" x14ac:dyDescent="0.2">
      <c r="A413" s="8" t="str">
        <f t="shared" si="2130"/>
        <v/>
      </c>
      <c r="B413">
        <f t="shared" si="2131"/>
        <v>0</v>
      </c>
      <c r="C413">
        <f t="shared" si="2132"/>
        <v>0</v>
      </c>
      <c r="D413">
        <f t="shared" si="2133"/>
        <v>0</v>
      </c>
      <c r="E413">
        <f t="shared" si="2134"/>
        <v>0</v>
      </c>
      <c r="F413">
        <f t="shared" si="2135"/>
        <v>0</v>
      </c>
      <c r="G413">
        <f t="shared" si="2136"/>
        <v>0</v>
      </c>
      <c r="H413">
        <f t="shared" si="2137"/>
        <v>0</v>
      </c>
      <c r="I413">
        <f t="shared" si="2138"/>
        <v>0</v>
      </c>
      <c r="J413">
        <f t="shared" si="2139"/>
        <v>0</v>
      </c>
      <c r="K413">
        <f t="shared" si="2140"/>
        <v>0</v>
      </c>
      <c r="L413">
        <f t="shared" si="2141"/>
        <v>0</v>
      </c>
      <c r="M413">
        <f t="shared" si="2142"/>
        <v>0</v>
      </c>
      <c r="BJ413" s="8" t="str">
        <f>Hidden!$CC81</f>
        <v/>
      </c>
      <c r="BK413">
        <f t="shared" si="2143"/>
        <v>0</v>
      </c>
      <c r="BL413">
        <f t="shared" si="2144"/>
        <v>0</v>
      </c>
      <c r="BM413">
        <f t="shared" si="2145"/>
        <v>0</v>
      </c>
      <c r="BN413">
        <f t="shared" si="2146"/>
        <v>0</v>
      </c>
      <c r="BO413">
        <f t="shared" si="2147"/>
        <v>0</v>
      </c>
      <c r="BP413">
        <f t="shared" si="2148"/>
        <v>0</v>
      </c>
      <c r="BQ413">
        <f t="shared" si="2149"/>
        <v>0</v>
      </c>
      <c r="BR413">
        <f t="shared" si="2150"/>
        <v>0</v>
      </c>
      <c r="BS413">
        <f t="shared" si="2151"/>
        <v>0</v>
      </c>
      <c r="BT413">
        <f t="shared" si="2152"/>
        <v>0</v>
      </c>
      <c r="BU413">
        <f t="shared" si="2153"/>
        <v>0</v>
      </c>
      <c r="BV413">
        <f t="shared" si="2154"/>
        <v>0</v>
      </c>
      <c r="DT413" s="77"/>
      <c r="DU413" s="8" t="str">
        <f>Hidden!$CG93</f>
        <v/>
      </c>
      <c r="DV413">
        <f t="shared" si="2118"/>
        <v>0</v>
      </c>
      <c r="DW413">
        <f t="shared" si="2119"/>
        <v>0</v>
      </c>
      <c r="DX413">
        <f t="shared" si="2120"/>
        <v>0</v>
      </c>
      <c r="DY413">
        <f t="shared" si="2121"/>
        <v>0</v>
      </c>
      <c r="DZ413">
        <f t="shared" si="2122"/>
        <v>0</v>
      </c>
      <c r="EA413">
        <f t="shared" si="2123"/>
        <v>0</v>
      </c>
      <c r="EB413">
        <f t="shared" si="2124"/>
        <v>0</v>
      </c>
      <c r="EC413">
        <f t="shared" si="2125"/>
        <v>0</v>
      </c>
      <c r="ED413">
        <f t="shared" si="2126"/>
        <v>0</v>
      </c>
      <c r="EE413">
        <f t="shared" si="2127"/>
        <v>0</v>
      </c>
      <c r="EF413">
        <f t="shared" si="2128"/>
        <v>0</v>
      </c>
      <c r="EG413">
        <f t="shared" si="2129"/>
        <v>0</v>
      </c>
    </row>
    <row r="414" spans="1:137" x14ac:dyDescent="0.2">
      <c r="A414" s="8" t="str">
        <f t="shared" si="2130"/>
        <v/>
      </c>
      <c r="B414">
        <f t="shared" si="2131"/>
        <v>0</v>
      </c>
      <c r="C414">
        <f t="shared" si="2132"/>
        <v>0</v>
      </c>
      <c r="D414">
        <f t="shared" si="2133"/>
        <v>0</v>
      </c>
      <c r="E414">
        <f t="shared" si="2134"/>
        <v>0</v>
      </c>
      <c r="F414">
        <f t="shared" si="2135"/>
        <v>0</v>
      </c>
      <c r="G414">
        <f t="shared" si="2136"/>
        <v>0</v>
      </c>
      <c r="H414">
        <f t="shared" si="2137"/>
        <v>0</v>
      </c>
      <c r="I414">
        <f t="shared" si="2138"/>
        <v>0</v>
      </c>
      <c r="J414">
        <f t="shared" si="2139"/>
        <v>0</v>
      </c>
      <c r="K414">
        <f t="shared" si="2140"/>
        <v>0</v>
      </c>
      <c r="L414">
        <f t="shared" si="2141"/>
        <v>0</v>
      </c>
      <c r="M414">
        <f t="shared" si="2142"/>
        <v>0</v>
      </c>
      <c r="BJ414" s="8" t="str">
        <f>Hidden!$CC82</f>
        <v/>
      </c>
      <c r="BK414">
        <f t="shared" si="2143"/>
        <v>0</v>
      </c>
      <c r="BL414">
        <f t="shared" si="2144"/>
        <v>0</v>
      </c>
      <c r="BM414">
        <f t="shared" si="2145"/>
        <v>0</v>
      </c>
      <c r="BN414">
        <f t="shared" si="2146"/>
        <v>0</v>
      </c>
      <c r="BO414">
        <f t="shared" si="2147"/>
        <v>0</v>
      </c>
      <c r="BP414">
        <f t="shared" si="2148"/>
        <v>0</v>
      </c>
      <c r="BQ414">
        <f t="shared" si="2149"/>
        <v>0</v>
      </c>
      <c r="BR414">
        <f t="shared" si="2150"/>
        <v>0</v>
      </c>
      <c r="BS414">
        <f t="shared" si="2151"/>
        <v>0</v>
      </c>
      <c r="BT414">
        <f t="shared" si="2152"/>
        <v>0</v>
      </c>
      <c r="BU414">
        <f t="shared" si="2153"/>
        <v>0</v>
      </c>
      <c r="BV414">
        <f t="shared" si="2154"/>
        <v>0</v>
      </c>
      <c r="DT414" s="77"/>
      <c r="DU414" s="8" t="str">
        <f>Hidden!$CG94</f>
        <v/>
      </c>
      <c r="DV414">
        <f t="shared" si="2118"/>
        <v>0</v>
      </c>
      <c r="DW414">
        <f t="shared" si="2119"/>
        <v>0</v>
      </c>
      <c r="DX414">
        <f t="shared" si="2120"/>
        <v>0</v>
      </c>
      <c r="DY414">
        <f t="shared" si="2121"/>
        <v>0</v>
      </c>
      <c r="DZ414">
        <f t="shared" si="2122"/>
        <v>0</v>
      </c>
      <c r="EA414">
        <f t="shared" si="2123"/>
        <v>0</v>
      </c>
      <c r="EB414">
        <f t="shared" si="2124"/>
        <v>0</v>
      </c>
      <c r="EC414">
        <f t="shared" si="2125"/>
        <v>0</v>
      </c>
      <c r="ED414">
        <f t="shared" si="2126"/>
        <v>0</v>
      </c>
      <c r="EE414">
        <f t="shared" si="2127"/>
        <v>0</v>
      </c>
      <c r="EF414">
        <f t="shared" si="2128"/>
        <v>0</v>
      </c>
      <c r="EG414">
        <f t="shared" si="2129"/>
        <v>0</v>
      </c>
    </row>
    <row r="415" spans="1:137" x14ac:dyDescent="0.2">
      <c r="A415" s="8" t="str">
        <f t="shared" si="2130"/>
        <v/>
      </c>
      <c r="B415">
        <f t="shared" si="2131"/>
        <v>0</v>
      </c>
      <c r="C415">
        <f t="shared" si="2132"/>
        <v>0</v>
      </c>
      <c r="D415">
        <f t="shared" si="2133"/>
        <v>0</v>
      </c>
      <c r="E415">
        <f t="shared" si="2134"/>
        <v>0</v>
      </c>
      <c r="F415">
        <f t="shared" si="2135"/>
        <v>0</v>
      </c>
      <c r="G415">
        <f t="shared" si="2136"/>
        <v>0</v>
      </c>
      <c r="H415">
        <f t="shared" si="2137"/>
        <v>0</v>
      </c>
      <c r="I415">
        <f t="shared" si="2138"/>
        <v>0</v>
      </c>
      <c r="J415">
        <f t="shared" si="2139"/>
        <v>0</v>
      </c>
      <c r="K415">
        <f t="shared" si="2140"/>
        <v>0</v>
      </c>
      <c r="L415">
        <f t="shared" si="2141"/>
        <v>0</v>
      </c>
      <c r="M415">
        <f t="shared" si="2142"/>
        <v>0</v>
      </c>
      <c r="BJ415" s="8" t="str">
        <f>Hidden!$CC83</f>
        <v/>
      </c>
      <c r="BK415">
        <f t="shared" si="2143"/>
        <v>0</v>
      </c>
      <c r="BL415">
        <f t="shared" si="2144"/>
        <v>0</v>
      </c>
      <c r="BM415">
        <f t="shared" si="2145"/>
        <v>0</v>
      </c>
      <c r="BN415">
        <f t="shared" si="2146"/>
        <v>0</v>
      </c>
      <c r="BO415">
        <f t="shared" si="2147"/>
        <v>0</v>
      </c>
      <c r="BP415">
        <f t="shared" si="2148"/>
        <v>0</v>
      </c>
      <c r="BQ415">
        <f t="shared" si="2149"/>
        <v>0</v>
      </c>
      <c r="BR415">
        <f t="shared" si="2150"/>
        <v>0</v>
      </c>
      <c r="BS415">
        <f t="shared" si="2151"/>
        <v>0</v>
      </c>
      <c r="BT415">
        <f t="shared" si="2152"/>
        <v>0</v>
      </c>
      <c r="BU415">
        <f t="shared" si="2153"/>
        <v>0</v>
      </c>
      <c r="BV415">
        <f t="shared" si="2154"/>
        <v>0</v>
      </c>
      <c r="DT415" s="77"/>
      <c r="DU415" s="8" t="str">
        <f>Hidden!$CG95</f>
        <v/>
      </c>
      <c r="DV415">
        <f t="shared" si="2118"/>
        <v>0</v>
      </c>
      <c r="DW415">
        <f t="shared" si="2119"/>
        <v>0</v>
      </c>
      <c r="DX415">
        <f t="shared" si="2120"/>
        <v>0</v>
      </c>
      <c r="DY415">
        <f t="shared" si="2121"/>
        <v>0</v>
      </c>
      <c r="DZ415">
        <f t="shared" si="2122"/>
        <v>0</v>
      </c>
      <c r="EA415">
        <f t="shared" si="2123"/>
        <v>0</v>
      </c>
      <c r="EB415">
        <f t="shared" si="2124"/>
        <v>0</v>
      </c>
      <c r="EC415">
        <f t="shared" si="2125"/>
        <v>0</v>
      </c>
      <c r="ED415">
        <f t="shared" si="2126"/>
        <v>0</v>
      </c>
      <c r="EE415">
        <f t="shared" si="2127"/>
        <v>0</v>
      </c>
      <c r="EF415">
        <f t="shared" si="2128"/>
        <v>0</v>
      </c>
      <c r="EG415">
        <f t="shared" si="2129"/>
        <v>0</v>
      </c>
    </row>
    <row r="416" spans="1:137" x14ac:dyDescent="0.2">
      <c r="A416" s="8" t="str">
        <f t="shared" si="2130"/>
        <v/>
      </c>
      <c r="B416">
        <f t="shared" si="2131"/>
        <v>0</v>
      </c>
      <c r="C416">
        <f t="shared" si="2132"/>
        <v>0</v>
      </c>
      <c r="D416">
        <f t="shared" si="2133"/>
        <v>0</v>
      </c>
      <c r="E416">
        <f t="shared" si="2134"/>
        <v>0</v>
      </c>
      <c r="F416">
        <f t="shared" si="2135"/>
        <v>0</v>
      </c>
      <c r="G416">
        <f t="shared" si="2136"/>
        <v>0</v>
      </c>
      <c r="H416">
        <f t="shared" si="2137"/>
        <v>0</v>
      </c>
      <c r="I416">
        <f t="shared" si="2138"/>
        <v>0</v>
      </c>
      <c r="J416">
        <f t="shared" si="2139"/>
        <v>0</v>
      </c>
      <c r="K416">
        <f t="shared" si="2140"/>
        <v>0</v>
      </c>
      <c r="L416">
        <f t="shared" si="2141"/>
        <v>0</v>
      </c>
      <c r="M416">
        <f t="shared" si="2142"/>
        <v>0</v>
      </c>
      <c r="BJ416" s="8" t="str">
        <f>Hidden!$CC84</f>
        <v/>
      </c>
      <c r="BK416">
        <f t="shared" si="2143"/>
        <v>0</v>
      </c>
      <c r="BL416">
        <f t="shared" si="2144"/>
        <v>0</v>
      </c>
      <c r="BM416">
        <f t="shared" si="2145"/>
        <v>0</v>
      </c>
      <c r="BN416">
        <f t="shared" si="2146"/>
        <v>0</v>
      </c>
      <c r="BO416">
        <f t="shared" si="2147"/>
        <v>0</v>
      </c>
      <c r="BP416">
        <f t="shared" si="2148"/>
        <v>0</v>
      </c>
      <c r="BQ416">
        <f t="shared" si="2149"/>
        <v>0</v>
      </c>
      <c r="BR416">
        <f t="shared" si="2150"/>
        <v>0</v>
      </c>
      <c r="BS416">
        <f t="shared" si="2151"/>
        <v>0</v>
      </c>
      <c r="BT416">
        <f t="shared" si="2152"/>
        <v>0</v>
      </c>
      <c r="BU416">
        <f t="shared" si="2153"/>
        <v>0</v>
      </c>
      <c r="BV416">
        <f t="shared" si="2154"/>
        <v>0</v>
      </c>
      <c r="DT416" s="77"/>
      <c r="DU416" s="8" t="str">
        <f>Hidden!$CG96</f>
        <v/>
      </c>
      <c r="DV416">
        <f t="shared" si="2118"/>
        <v>0</v>
      </c>
      <c r="DW416">
        <f t="shared" si="2119"/>
        <v>0</v>
      </c>
      <c r="DX416">
        <f t="shared" si="2120"/>
        <v>0</v>
      </c>
      <c r="DY416">
        <f t="shared" si="2121"/>
        <v>0</v>
      </c>
      <c r="DZ416">
        <f t="shared" si="2122"/>
        <v>0</v>
      </c>
      <c r="EA416">
        <f t="shared" si="2123"/>
        <v>0</v>
      </c>
      <c r="EB416">
        <f t="shared" si="2124"/>
        <v>0</v>
      </c>
      <c r="EC416">
        <f t="shared" si="2125"/>
        <v>0</v>
      </c>
      <c r="ED416">
        <f t="shared" si="2126"/>
        <v>0</v>
      </c>
      <c r="EE416">
        <f t="shared" si="2127"/>
        <v>0</v>
      </c>
      <c r="EF416">
        <f t="shared" si="2128"/>
        <v>0</v>
      </c>
      <c r="EG416">
        <f t="shared" si="2129"/>
        <v>0</v>
      </c>
    </row>
    <row r="417" spans="1:152" x14ac:dyDescent="0.2">
      <c r="A417" s="8" t="str">
        <f t="shared" si="2130"/>
        <v/>
      </c>
      <c r="B417">
        <f t="shared" si="2131"/>
        <v>0</v>
      </c>
      <c r="C417">
        <f t="shared" si="2132"/>
        <v>0</v>
      </c>
      <c r="D417">
        <f t="shared" si="2133"/>
        <v>0</v>
      </c>
      <c r="E417">
        <f t="shared" si="2134"/>
        <v>0</v>
      </c>
      <c r="F417">
        <f t="shared" si="2135"/>
        <v>0</v>
      </c>
      <c r="G417">
        <f t="shared" si="2136"/>
        <v>0</v>
      </c>
      <c r="H417">
        <f t="shared" si="2137"/>
        <v>0</v>
      </c>
      <c r="I417">
        <f t="shared" si="2138"/>
        <v>0</v>
      </c>
      <c r="J417">
        <f t="shared" si="2139"/>
        <v>0</v>
      </c>
      <c r="K417">
        <f t="shared" si="2140"/>
        <v>0</v>
      </c>
      <c r="L417">
        <f t="shared" si="2141"/>
        <v>0</v>
      </c>
      <c r="M417">
        <f t="shared" si="2142"/>
        <v>0</v>
      </c>
      <c r="BJ417" s="8" t="str">
        <f>Hidden!$CC85</f>
        <v/>
      </c>
      <c r="BK417">
        <f t="shared" si="2143"/>
        <v>0</v>
      </c>
      <c r="BL417">
        <f t="shared" si="2144"/>
        <v>0</v>
      </c>
      <c r="BM417">
        <f t="shared" si="2145"/>
        <v>0</v>
      </c>
      <c r="BN417">
        <f t="shared" si="2146"/>
        <v>0</v>
      </c>
      <c r="BO417">
        <f t="shared" si="2147"/>
        <v>0</v>
      </c>
      <c r="BP417">
        <f t="shared" si="2148"/>
        <v>0</v>
      </c>
      <c r="BQ417">
        <f t="shared" si="2149"/>
        <v>0</v>
      </c>
      <c r="BR417">
        <f t="shared" si="2150"/>
        <v>0</v>
      </c>
      <c r="BS417">
        <f t="shared" si="2151"/>
        <v>0</v>
      </c>
      <c r="BT417">
        <f t="shared" si="2152"/>
        <v>0</v>
      </c>
      <c r="BU417">
        <f t="shared" si="2153"/>
        <v>0</v>
      </c>
      <c r="BV417">
        <f t="shared" si="2154"/>
        <v>0</v>
      </c>
      <c r="DT417" s="77"/>
      <c r="DU417" s="8" t="str">
        <f>Hidden!$CG97</f>
        <v/>
      </c>
      <c r="DV417">
        <f t="shared" si="2118"/>
        <v>0</v>
      </c>
      <c r="DW417">
        <f t="shared" si="2119"/>
        <v>0</v>
      </c>
      <c r="DX417">
        <f t="shared" si="2120"/>
        <v>0</v>
      </c>
      <c r="DY417">
        <f t="shared" si="2121"/>
        <v>0</v>
      </c>
      <c r="DZ417">
        <f t="shared" si="2122"/>
        <v>0</v>
      </c>
      <c r="EA417">
        <f t="shared" si="2123"/>
        <v>0</v>
      </c>
      <c r="EB417">
        <f t="shared" si="2124"/>
        <v>0</v>
      </c>
      <c r="EC417">
        <f t="shared" si="2125"/>
        <v>0</v>
      </c>
      <c r="ED417">
        <f t="shared" si="2126"/>
        <v>0</v>
      </c>
      <c r="EE417">
        <f t="shared" si="2127"/>
        <v>0</v>
      </c>
      <c r="EF417">
        <f t="shared" si="2128"/>
        <v>0</v>
      </c>
      <c r="EG417">
        <f t="shared" si="2129"/>
        <v>0</v>
      </c>
    </row>
    <row r="418" spans="1:152" x14ac:dyDescent="0.2">
      <c r="A418" s="8" t="str">
        <f t="shared" si="2130"/>
        <v/>
      </c>
      <c r="B418">
        <f t="shared" si="2131"/>
        <v>0</v>
      </c>
      <c r="C418">
        <f t="shared" si="2132"/>
        <v>0</v>
      </c>
      <c r="D418">
        <f t="shared" si="2133"/>
        <v>0</v>
      </c>
      <c r="E418">
        <f t="shared" si="2134"/>
        <v>0</v>
      </c>
      <c r="F418">
        <f t="shared" si="2135"/>
        <v>0</v>
      </c>
      <c r="G418">
        <f t="shared" si="2136"/>
        <v>0</v>
      </c>
      <c r="H418">
        <f t="shared" si="2137"/>
        <v>0</v>
      </c>
      <c r="I418">
        <f t="shared" si="2138"/>
        <v>0</v>
      </c>
      <c r="J418">
        <f t="shared" si="2139"/>
        <v>0</v>
      </c>
      <c r="K418">
        <f t="shared" si="2140"/>
        <v>0</v>
      </c>
      <c r="L418">
        <f t="shared" si="2141"/>
        <v>0</v>
      </c>
      <c r="M418">
        <f t="shared" si="2142"/>
        <v>0</v>
      </c>
      <c r="BJ418" s="8" t="str">
        <f>Hidden!$CC86</f>
        <v/>
      </c>
      <c r="BK418">
        <f t="shared" si="2143"/>
        <v>0</v>
      </c>
      <c r="BL418">
        <f t="shared" si="2144"/>
        <v>0</v>
      </c>
      <c r="BM418">
        <f t="shared" si="2145"/>
        <v>0</v>
      </c>
      <c r="BN418">
        <f t="shared" si="2146"/>
        <v>0</v>
      </c>
      <c r="BO418">
        <f t="shared" si="2147"/>
        <v>0</v>
      </c>
      <c r="BP418">
        <f t="shared" si="2148"/>
        <v>0</v>
      </c>
      <c r="BQ418">
        <f t="shared" si="2149"/>
        <v>0</v>
      </c>
      <c r="BR418">
        <f t="shared" si="2150"/>
        <v>0</v>
      </c>
      <c r="BS418">
        <f t="shared" si="2151"/>
        <v>0</v>
      </c>
      <c r="BT418">
        <f t="shared" si="2152"/>
        <v>0</v>
      </c>
      <c r="BU418">
        <f t="shared" si="2153"/>
        <v>0</v>
      </c>
      <c r="BV418">
        <f t="shared" si="2154"/>
        <v>0</v>
      </c>
      <c r="DT418" s="77"/>
      <c r="DU418" s="8" t="str">
        <f>Hidden!$CG98</f>
        <v/>
      </c>
      <c r="DV418">
        <f t="shared" si="2118"/>
        <v>0</v>
      </c>
      <c r="DW418">
        <f t="shared" si="2119"/>
        <v>0</v>
      </c>
      <c r="DX418">
        <f t="shared" si="2120"/>
        <v>0</v>
      </c>
      <c r="DY418">
        <f t="shared" si="2121"/>
        <v>0</v>
      </c>
      <c r="DZ418">
        <f t="shared" si="2122"/>
        <v>0</v>
      </c>
      <c r="EA418">
        <f t="shared" si="2123"/>
        <v>0</v>
      </c>
      <c r="EB418">
        <f t="shared" si="2124"/>
        <v>0</v>
      </c>
      <c r="EC418">
        <f t="shared" si="2125"/>
        <v>0</v>
      </c>
      <c r="ED418">
        <f t="shared" si="2126"/>
        <v>0</v>
      </c>
      <c r="EE418">
        <f t="shared" si="2127"/>
        <v>0</v>
      </c>
      <c r="EF418">
        <f t="shared" si="2128"/>
        <v>0</v>
      </c>
      <c r="EG418">
        <f t="shared" si="2129"/>
        <v>0</v>
      </c>
    </row>
    <row r="419" spans="1:152" x14ac:dyDescent="0.2">
      <c r="A419" s="8" t="str">
        <f t="shared" si="2130"/>
        <v/>
      </c>
      <c r="B419">
        <f t="shared" si="2131"/>
        <v>0</v>
      </c>
      <c r="C419">
        <f t="shared" si="2132"/>
        <v>0</v>
      </c>
      <c r="D419">
        <f t="shared" si="2133"/>
        <v>0</v>
      </c>
      <c r="E419">
        <f t="shared" si="2134"/>
        <v>0</v>
      </c>
      <c r="F419">
        <f t="shared" si="2135"/>
        <v>0</v>
      </c>
      <c r="G419">
        <f t="shared" si="2136"/>
        <v>0</v>
      </c>
      <c r="H419">
        <f t="shared" si="2137"/>
        <v>0</v>
      </c>
      <c r="I419">
        <f t="shared" si="2138"/>
        <v>0</v>
      </c>
      <c r="J419">
        <f t="shared" si="2139"/>
        <v>0</v>
      </c>
      <c r="K419">
        <f t="shared" si="2140"/>
        <v>0</v>
      </c>
      <c r="L419">
        <f t="shared" si="2141"/>
        <v>0</v>
      </c>
      <c r="M419">
        <f t="shared" si="2142"/>
        <v>0</v>
      </c>
      <c r="BJ419" s="8" t="str">
        <f>Hidden!$CC87</f>
        <v/>
      </c>
      <c r="BK419">
        <f t="shared" si="2143"/>
        <v>0</v>
      </c>
      <c r="BL419">
        <f t="shared" si="2144"/>
        <v>0</v>
      </c>
      <c r="BM419">
        <f t="shared" si="2145"/>
        <v>0</v>
      </c>
      <c r="BN419">
        <f t="shared" si="2146"/>
        <v>0</v>
      </c>
      <c r="BO419">
        <f t="shared" si="2147"/>
        <v>0</v>
      </c>
      <c r="BP419">
        <f t="shared" si="2148"/>
        <v>0</v>
      </c>
      <c r="BQ419">
        <f t="shared" si="2149"/>
        <v>0</v>
      </c>
      <c r="BR419">
        <f t="shared" si="2150"/>
        <v>0</v>
      </c>
      <c r="BS419">
        <f t="shared" si="2151"/>
        <v>0</v>
      </c>
      <c r="BT419">
        <f t="shared" si="2152"/>
        <v>0</v>
      </c>
      <c r="BU419">
        <f t="shared" si="2153"/>
        <v>0</v>
      </c>
      <c r="BV419">
        <f t="shared" si="2154"/>
        <v>0</v>
      </c>
      <c r="DT419" s="77"/>
      <c r="DU419" s="8" t="str">
        <f>Hidden!$CG99</f>
        <v/>
      </c>
      <c r="DV419">
        <f t="shared" si="2118"/>
        <v>0</v>
      </c>
      <c r="DW419">
        <f t="shared" si="2119"/>
        <v>0</v>
      </c>
      <c r="DX419">
        <f t="shared" si="2120"/>
        <v>0</v>
      </c>
      <c r="DY419">
        <f t="shared" si="2121"/>
        <v>0</v>
      </c>
      <c r="DZ419">
        <f t="shared" si="2122"/>
        <v>0</v>
      </c>
      <c r="EA419">
        <f t="shared" si="2123"/>
        <v>0</v>
      </c>
      <c r="EB419">
        <f t="shared" si="2124"/>
        <v>0</v>
      </c>
      <c r="EC419">
        <f t="shared" si="2125"/>
        <v>0</v>
      </c>
      <c r="ED419">
        <f t="shared" si="2126"/>
        <v>0</v>
      </c>
      <c r="EE419">
        <f t="shared" si="2127"/>
        <v>0</v>
      </c>
      <c r="EF419">
        <f t="shared" si="2128"/>
        <v>0</v>
      </c>
      <c r="EG419">
        <f t="shared" si="2129"/>
        <v>0</v>
      </c>
    </row>
    <row r="420" spans="1:152" x14ac:dyDescent="0.2">
      <c r="A420" s="8" t="str">
        <f t="shared" si="2130"/>
        <v/>
      </c>
      <c r="B420">
        <f t="shared" si="2131"/>
        <v>0</v>
      </c>
      <c r="C420">
        <f t="shared" si="2132"/>
        <v>0</v>
      </c>
      <c r="D420">
        <f t="shared" si="2133"/>
        <v>0</v>
      </c>
      <c r="E420">
        <f t="shared" si="2134"/>
        <v>0</v>
      </c>
      <c r="F420">
        <f t="shared" si="2135"/>
        <v>0</v>
      </c>
      <c r="G420">
        <f t="shared" si="2136"/>
        <v>0</v>
      </c>
      <c r="H420">
        <f t="shared" si="2137"/>
        <v>0</v>
      </c>
      <c r="I420">
        <f t="shared" si="2138"/>
        <v>0</v>
      </c>
      <c r="J420">
        <f t="shared" si="2139"/>
        <v>0</v>
      </c>
      <c r="K420">
        <f t="shared" si="2140"/>
        <v>0</v>
      </c>
      <c r="L420">
        <f t="shared" si="2141"/>
        <v>0</v>
      </c>
      <c r="M420">
        <f t="shared" si="2142"/>
        <v>0</v>
      </c>
      <c r="BJ420" s="8" t="str">
        <f>Hidden!$CC88</f>
        <v/>
      </c>
      <c r="BK420">
        <f t="shared" si="2143"/>
        <v>0</v>
      </c>
      <c r="BL420">
        <f t="shared" si="2144"/>
        <v>0</v>
      </c>
      <c r="BM420">
        <f t="shared" si="2145"/>
        <v>0</v>
      </c>
      <c r="BN420">
        <f t="shared" si="2146"/>
        <v>0</v>
      </c>
      <c r="BO420">
        <f t="shared" si="2147"/>
        <v>0</v>
      </c>
      <c r="BP420">
        <f t="shared" si="2148"/>
        <v>0</v>
      </c>
      <c r="BQ420">
        <f t="shared" si="2149"/>
        <v>0</v>
      </c>
      <c r="BR420">
        <f t="shared" si="2150"/>
        <v>0</v>
      </c>
      <c r="BS420">
        <f t="shared" si="2151"/>
        <v>0</v>
      </c>
      <c r="BT420">
        <f t="shared" si="2152"/>
        <v>0</v>
      </c>
      <c r="BU420">
        <f t="shared" si="2153"/>
        <v>0</v>
      </c>
      <c r="BV420">
        <f t="shared" si="2154"/>
        <v>0</v>
      </c>
      <c r="DT420" s="77"/>
      <c r="DU420" s="8" t="str">
        <f>Hidden!$CG100</f>
        <v/>
      </c>
      <c r="DV420">
        <f t="shared" si="2118"/>
        <v>0</v>
      </c>
      <c r="DW420">
        <f t="shared" si="2119"/>
        <v>0</v>
      </c>
      <c r="DX420">
        <f t="shared" si="2120"/>
        <v>0</v>
      </c>
      <c r="DY420">
        <f t="shared" si="2121"/>
        <v>0</v>
      </c>
      <c r="DZ420">
        <f t="shared" si="2122"/>
        <v>0</v>
      </c>
      <c r="EA420">
        <f t="shared" si="2123"/>
        <v>0</v>
      </c>
      <c r="EB420">
        <f t="shared" si="2124"/>
        <v>0</v>
      </c>
      <c r="EC420">
        <f t="shared" si="2125"/>
        <v>0</v>
      </c>
      <c r="ED420">
        <f t="shared" si="2126"/>
        <v>0</v>
      </c>
      <c r="EE420">
        <f t="shared" si="2127"/>
        <v>0</v>
      </c>
      <c r="EF420">
        <f t="shared" si="2128"/>
        <v>0</v>
      </c>
      <c r="EG420">
        <f t="shared" si="2129"/>
        <v>0</v>
      </c>
    </row>
    <row r="421" spans="1:152" x14ac:dyDescent="0.2">
      <c r="A421" s="8" t="str">
        <f t="shared" si="2130"/>
        <v/>
      </c>
      <c r="B421">
        <f t="shared" si="2131"/>
        <v>0</v>
      </c>
      <c r="C421">
        <f t="shared" si="2132"/>
        <v>0</v>
      </c>
      <c r="D421">
        <f t="shared" si="2133"/>
        <v>0</v>
      </c>
      <c r="E421">
        <f t="shared" si="2134"/>
        <v>0</v>
      </c>
      <c r="F421">
        <f t="shared" si="2135"/>
        <v>0</v>
      </c>
      <c r="G421">
        <f t="shared" si="2136"/>
        <v>0</v>
      </c>
      <c r="H421">
        <f t="shared" si="2137"/>
        <v>0</v>
      </c>
      <c r="I421">
        <f t="shared" si="2138"/>
        <v>0</v>
      </c>
      <c r="J421">
        <f t="shared" si="2139"/>
        <v>0</v>
      </c>
      <c r="K421">
        <f t="shared" si="2140"/>
        <v>0</v>
      </c>
      <c r="L421">
        <f t="shared" si="2141"/>
        <v>0</v>
      </c>
      <c r="M421">
        <f t="shared" si="2142"/>
        <v>0</v>
      </c>
      <c r="BJ421" s="8" t="str">
        <f>Hidden!$CC89</f>
        <v/>
      </c>
      <c r="BK421">
        <f t="shared" si="2143"/>
        <v>0</v>
      </c>
      <c r="BL421">
        <f t="shared" si="2144"/>
        <v>0</v>
      </c>
      <c r="BM421">
        <f t="shared" si="2145"/>
        <v>0</v>
      </c>
      <c r="BN421">
        <f t="shared" si="2146"/>
        <v>0</v>
      </c>
      <c r="BO421">
        <f t="shared" si="2147"/>
        <v>0</v>
      </c>
      <c r="BP421">
        <f t="shared" si="2148"/>
        <v>0</v>
      </c>
      <c r="BQ421">
        <f t="shared" si="2149"/>
        <v>0</v>
      </c>
      <c r="BR421">
        <f t="shared" si="2150"/>
        <v>0</v>
      </c>
      <c r="BS421">
        <f t="shared" si="2151"/>
        <v>0</v>
      </c>
      <c r="BT421">
        <f t="shared" si="2152"/>
        <v>0</v>
      </c>
      <c r="BU421">
        <f t="shared" si="2153"/>
        <v>0</v>
      </c>
      <c r="BV421">
        <f t="shared" si="2154"/>
        <v>0</v>
      </c>
      <c r="DT421" s="77"/>
      <c r="DU421" s="8" t="str">
        <f>Hidden!$CG101</f>
        <v/>
      </c>
      <c r="DV421">
        <f t="shared" si="2118"/>
        <v>0</v>
      </c>
      <c r="DW421">
        <f t="shared" si="2119"/>
        <v>0</v>
      </c>
      <c r="DX421">
        <f t="shared" si="2120"/>
        <v>0</v>
      </c>
      <c r="DY421">
        <f t="shared" si="2121"/>
        <v>0</v>
      </c>
      <c r="DZ421">
        <f t="shared" si="2122"/>
        <v>0</v>
      </c>
      <c r="EA421">
        <f t="shared" si="2123"/>
        <v>0</v>
      </c>
      <c r="EB421">
        <f t="shared" si="2124"/>
        <v>0</v>
      </c>
      <c r="EC421">
        <f t="shared" si="2125"/>
        <v>0</v>
      </c>
      <c r="ED421">
        <f t="shared" si="2126"/>
        <v>0</v>
      </c>
      <c r="EE421">
        <f t="shared" si="2127"/>
        <v>0</v>
      </c>
      <c r="EF421">
        <f t="shared" si="2128"/>
        <v>0</v>
      </c>
      <c r="EG421">
        <f t="shared" si="2129"/>
        <v>0</v>
      </c>
    </row>
    <row r="422" spans="1:152" ht="15" thickBot="1" x14ac:dyDescent="0.25">
      <c r="A422" s="8" t="str">
        <f t="shared" si="2130"/>
        <v/>
      </c>
      <c r="B422">
        <f t="shared" si="2131"/>
        <v>0</v>
      </c>
      <c r="C422">
        <f t="shared" si="2132"/>
        <v>0</v>
      </c>
      <c r="D422">
        <f t="shared" si="2133"/>
        <v>0</v>
      </c>
      <c r="E422">
        <f t="shared" si="2134"/>
        <v>0</v>
      </c>
      <c r="F422">
        <f t="shared" si="2135"/>
        <v>0</v>
      </c>
      <c r="G422">
        <f t="shared" si="2136"/>
        <v>0</v>
      </c>
      <c r="H422">
        <f t="shared" si="2137"/>
        <v>0</v>
      </c>
      <c r="I422">
        <f t="shared" si="2138"/>
        <v>0</v>
      </c>
      <c r="J422">
        <f t="shared" si="2139"/>
        <v>0</v>
      </c>
      <c r="K422">
        <f t="shared" si="2140"/>
        <v>0</v>
      </c>
      <c r="L422">
        <f t="shared" si="2141"/>
        <v>0</v>
      </c>
      <c r="M422">
        <f t="shared" si="2142"/>
        <v>0</v>
      </c>
      <c r="BJ422" s="8" t="str">
        <f>Hidden!$CC90</f>
        <v/>
      </c>
      <c r="BK422">
        <f t="shared" si="2143"/>
        <v>0</v>
      </c>
      <c r="BL422">
        <f t="shared" si="2144"/>
        <v>0</v>
      </c>
      <c r="BM422">
        <f t="shared" si="2145"/>
        <v>0</v>
      </c>
      <c r="BN422">
        <f t="shared" si="2146"/>
        <v>0</v>
      </c>
      <c r="BO422">
        <f t="shared" si="2147"/>
        <v>0</v>
      </c>
      <c r="BP422">
        <f t="shared" si="2148"/>
        <v>0</v>
      </c>
      <c r="BQ422">
        <f t="shared" si="2149"/>
        <v>0</v>
      </c>
      <c r="BR422">
        <f t="shared" si="2150"/>
        <v>0</v>
      </c>
      <c r="BS422">
        <f t="shared" si="2151"/>
        <v>0</v>
      </c>
      <c r="BT422">
        <f t="shared" si="2152"/>
        <v>0</v>
      </c>
      <c r="BU422">
        <f t="shared" si="2153"/>
        <v>0</v>
      </c>
      <c r="BV422">
        <f t="shared" si="2154"/>
        <v>0</v>
      </c>
      <c r="DT422" s="77"/>
      <c r="DU422" s="8" t="str">
        <f>Hidden!$CG102</f>
        <v/>
      </c>
      <c r="DV422">
        <f t="shared" si="2118"/>
        <v>0</v>
      </c>
      <c r="DW422">
        <f t="shared" si="2119"/>
        <v>0</v>
      </c>
      <c r="DX422">
        <f t="shared" si="2120"/>
        <v>0</v>
      </c>
      <c r="DY422">
        <f t="shared" si="2121"/>
        <v>0</v>
      </c>
      <c r="DZ422">
        <f t="shared" si="2122"/>
        <v>0</v>
      </c>
      <c r="EA422">
        <f t="shared" si="2123"/>
        <v>0</v>
      </c>
      <c r="EB422">
        <f t="shared" si="2124"/>
        <v>0</v>
      </c>
      <c r="EC422">
        <f t="shared" si="2125"/>
        <v>0</v>
      </c>
      <c r="ED422">
        <f t="shared" si="2126"/>
        <v>0</v>
      </c>
      <c r="EE422">
        <f t="shared" si="2127"/>
        <v>0</v>
      </c>
      <c r="EF422">
        <f t="shared" si="2128"/>
        <v>0</v>
      </c>
      <c r="EG422">
        <f t="shared" si="2129"/>
        <v>0</v>
      </c>
    </row>
    <row r="423" spans="1:152" ht="15.75" thickBot="1" x14ac:dyDescent="0.25">
      <c r="A423" s="8" t="str">
        <f t="shared" si="2130"/>
        <v/>
      </c>
      <c r="B423">
        <f t="shared" si="2131"/>
        <v>0</v>
      </c>
      <c r="C423">
        <f t="shared" si="2132"/>
        <v>0</v>
      </c>
      <c r="D423">
        <f t="shared" si="2133"/>
        <v>0</v>
      </c>
      <c r="E423">
        <f t="shared" si="2134"/>
        <v>0</v>
      </c>
      <c r="F423">
        <f t="shared" si="2135"/>
        <v>0</v>
      </c>
      <c r="G423">
        <f t="shared" si="2136"/>
        <v>0</v>
      </c>
      <c r="H423">
        <f t="shared" si="2137"/>
        <v>0</v>
      </c>
      <c r="I423">
        <f t="shared" si="2138"/>
        <v>0</v>
      </c>
      <c r="J423">
        <f t="shared" si="2139"/>
        <v>0</v>
      </c>
      <c r="K423">
        <f t="shared" si="2140"/>
        <v>0</v>
      </c>
      <c r="L423">
        <f t="shared" si="2141"/>
        <v>0</v>
      </c>
      <c r="M423">
        <f t="shared" si="2142"/>
        <v>0</v>
      </c>
      <c r="BJ423" s="8" t="str">
        <f>Hidden!$CC91</f>
        <v/>
      </c>
      <c r="BK423">
        <f t="shared" si="2143"/>
        <v>0</v>
      </c>
      <c r="BL423">
        <f t="shared" si="2144"/>
        <v>0</v>
      </c>
      <c r="BM423">
        <f t="shared" si="2145"/>
        <v>0</v>
      </c>
      <c r="BN423">
        <f t="shared" si="2146"/>
        <v>0</v>
      </c>
      <c r="BO423">
        <f t="shared" si="2147"/>
        <v>0</v>
      </c>
      <c r="BP423">
        <f t="shared" si="2148"/>
        <v>0</v>
      </c>
      <c r="BQ423">
        <f t="shared" si="2149"/>
        <v>0</v>
      </c>
      <c r="BR423">
        <f t="shared" si="2150"/>
        <v>0</v>
      </c>
      <c r="BS423">
        <f t="shared" si="2151"/>
        <v>0</v>
      </c>
      <c r="BT423">
        <f t="shared" si="2152"/>
        <v>0</v>
      </c>
      <c r="BU423">
        <f t="shared" si="2153"/>
        <v>0</v>
      </c>
      <c r="BV423">
        <f t="shared" si="2154"/>
        <v>0</v>
      </c>
      <c r="DT423" s="77"/>
      <c r="DU423" s="479" t="s">
        <v>9995</v>
      </c>
      <c r="DV423" s="479"/>
      <c r="DW423" s="479"/>
      <c r="DX423" s="479"/>
      <c r="DY423" s="479"/>
      <c r="DZ423" s="479"/>
      <c r="EA423" s="479"/>
      <c r="EB423" s="479"/>
      <c r="EC423" s="479"/>
      <c r="ED423" s="479"/>
      <c r="EE423" s="479"/>
      <c r="EF423" s="479"/>
      <c r="EG423" s="479"/>
      <c r="EH423" s="479"/>
      <c r="EI423" s="479"/>
      <c r="EJ423" s="479"/>
      <c r="EK423" s="479"/>
      <c r="EL423" s="479"/>
      <c r="EM423" s="479"/>
      <c r="EN423" s="479"/>
      <c r="EO423" s="479"/>
      <c r="EP423" s="479"/>
      <c r="EQ423" s="479"/>
      <c r="ER423" s="479"/>
      <c r="ES423" s="479"/>
      <c r="ET423" s="479"/>
      <c r="EU423" s="479"/>
      <c r="EV423" s="479"/>
    </row>
    <row r="424" spans="1:152" x14ac:dyDescent="0.2">
      <c r="A424" s="8" t="str">
        <f t="shared" si="2130"/>
        <v/>
      </c>
      <c r="B424">
        <f t="shared" si="2131"/>
        <v>0</v>
      </c>
      <c r="C424">
        <f t="shared" si="2132"/>
        <v>0</v>
      </c>
      <c r="D424">
        <f t="shared" si="2133"/>
        <v>0</v>
      </c>
      <c r="E424">
        <f t="shared" si="2134"/>
        <v>0</v>
      </c>
      <c r="F424">
        <f t="shared" si="2135"/>
        <v>0</v>
      </c>
      <c r="G424">
        <f t="shared" si="2136"/>
        <v>0</v>
      </c>
      <c r="H424">
        <f t="shared" si="2137"/>
        <v>0</v>
      </c>
      <c r="I424">
        <f t="shared" si="2138"/>
        <v>0</v>
      </c>
      <c r="J424">
        <f t="shared" si="2139"/>
        <v>0</v>
      </c>
      <c r="K424">
        <f t="shared" si="2140"/>
        <v>0</v>
      </c>
      <c r="L424">
        <f t="shared" si="2141"/>
        <v>0</v>
      </c>
      <c r="M424">
        <f t="shared" si="2142"/>
        <v>0</v>
      </c>
      <c r="BJ424" s="8" t="str">
        <f>Hidden!$CC92</f>
        <v/>
      </c>
      <c r="BK424">
        <f t="shared" si="2143"/>
        <v>0</v>
      </c>
      <c r="BL424">
        <f t="shared" si="2144"/>
        <v>0</v>
      </c>
      <c r="BM424">
        <f t="shared" si="2145"/>
        <v>0</v>
      </c>
      <c r="BN424">
        <f t="shared" si="2146"/>
        <v>0</v>
      </c>
      <c r="BO424">
        <f t="shared" si="2147"/>
        <v>0</v>
      </c>
      <c r="BP424">
        <f t="shared" si="2148"/>
        <v>0</v>
      </c>
      <c r="BQ424">
        <f t="shared" si="2149"/>
        <v>0</v>
      </c>
      <c r="BR424">
        <f t="shared" si="2150"/>
        <v>0</v>
      </c>
      <c r="BS424">
        <f t="shared" si="2151"/>
        <v>0</v>
      </c>
      <c r="BT424">
        <f t="shared" si="2152"/>
        <v>0</v>
      </c>
      <c r="BU424">
        <f t="shared" si="2153"/>
        <v>0</v>
      </c>
      <c r="BV424">
        <f t="shared" si="2154"/>
        <v>0</v>
      </c>
      <c r="DT424" s="77"/>
      <c r="DV424" t="s">
        <v>8741</v>
      </c>
      <c r="DW424" t="s">
        <v>8742</v>
      </c>
    </row>
    <row r="425" spans="1:152" x14ac:dyDescent="0.2">
      <c r="A425" s="8" t="str">
        <f t="shared" si="2130"/>
        <v/>
      </c>
      <c r="B425">
        <f t="shared" si="2131"/>
        <v>0</v>
      </c>
      <c r="C425">
        <f t="shared" si="2132"/>
        <v>0</v>
      </c>
      <c r="D425">
        <f t="shared" si="2133"/>
        <v>0</v>
      </c>
      <c r="E425">
        <f t="shared" si="2134"/>
        <v>0</v>
      </c>
      <c r="F425">
        <f t="shared" si="2135"/>
        <v>0</v>
      </c>
      <c r="G425">
        <f t="shared" si="2136"/>
        <v>0</v>
      </c>
      <c r="H425">
        <f t="shared" si="2137"/>
        <v>0</v>
      </c>
      <c r="I425">
        <f t="shared" si="2138"/>
        <v>0</v>
      </c>
      <c r="J425">
        <f t="shared" si="2139"/>
        <v>0</v>
      </c>
      <c r="K425">
        <f t="shared" si="2140"/>
        <v>0</v>
      </c>
      <c r="L425">
        <f t="shared" si="2141"/>
        <v>0</v>
      </c>
      <c r="M425">
        <f t="shared" si="2142"/>
        <v>0</v>
      </c>
      <c r="BJ425" s="8" t="str">
        <f>Hidden!$CC93</f>
        <v/>
      </c>
      <c r="BK425">
        <f t="shared" si="2143"/>
        <v>0</v>
      </c>
      <c r="BL425">
        <f t="shared" si="2144"/>
        <v>0</v>
      </c>
      <c r="BM425">
        <f t="shared" si="2145"/>
        <v>0</v>
      </c>
      <c r="BN425">
        <f t="shared" si="2146"/>
        <v>0</v>
      </c>
      <c r="BO425">
        <f t="shared" si="2147"/>
        <v>0</v>
      </c>
      <c r="BP425">
        <f t="shared" si="2148"/>
        <v>0</v>
      </c>
      <c r="BQ425">
        <f t="shared" si="2149"/>
        <v>0</v>
      </c>
      <c r="BR425">
        <f t="shared" si="2150"/>
        <v>0</v>
      </c>
      <c r="BS425">
        <f t="shared" si="2151"/>
        <v>0</v>
      </c>
      <c r="BT425">
        <f t="shared" si="2152"/>
        <v>0</v>
      </c>
      <c r="BU425">
        <f t="shared" si="2153"/>
        <v>0</v>
      </c>
      <c r="BV425">
        <f t="shared" si="2154"/>
        <v>0</v>
      </c>
      <c r="DT425" s="77"/>
      <c r="DU425" t="s">
        <v>261</v>
      </c>
      <c r="DV425" s="156">
        <f>TankMSS!$C167</f>
        <v>0</v>
      </c>
      <c r="DW425" s="156">
        <f>TankMSS!$D167</f>
        <v>0</v>
      </c>
    </row>
    <row r="426" spans="1:152" x14ac:dyDescent="0.2">
      <c r="A426" s="8" t="str">
        <f t="shared" si="2130"/>
        <v/>
      </c>
      <c r="B426">
        <f t="shared" si="2131"/>
        <v>0</v>
      </c>
      <c r="C426">
        <f t="shared" si="2132"/>
        <v>0</v>
      </c>
      <c r="D426">
        <f t="shared" si="2133"/>
        <v>0</v>
      </c>
      <c r="E426">
        <f t="shared" si="2134"/>
        <v>0</v>
      </c>
      <c r="F426">
        <f t="shared" si="2135"/>
        <v>0</v>
      </c>
      <c r="G426">
        <f t="shared" si="2136"/>
        <v>0</v>
      </c>
      <c r="H426">
        <f t="shared" si="2137"/>
        <v>0</v>
      </c>
      <c r="I426">
        <f t="shared" si="2138"/>
        <v>0</v>
      </c>
      <c r="J426">
        <f t="shared" si="2139"/>
        <v>0</v>
      </c>
      <c r="K426">
        <f t="shared" si="2140"/>
        <v>0</v>
      </c>
      <c r="L426">
        <f t="shared" si="2141"/>
        <v>0</v>
      </c>
      <c r="M426">
        <f t="shared" si="2142"/>
        <v>0</v>
      </c>
      <c r="BJ426" s="8" t="str">
        <f>Hidden!$CC94</f>
        <v/>
      </c>
      <c r="BK426">
        <f t="shared" si="2143"/>
        <v>0</v>
      </c>
      <c r="BL426">
        <f t="shared" si="2144"/>
        <v>0</v>
      </c>
      <c r="BM426">
        <f t="shared" si="2145"/>
        <v>0</v>
      </c>
      <c r="BN426">
        <f t="shared" si="2146"/>
        <v>0</v>
      </c>
      <c r="BO426">
        <f t="shared" si="2147"/>
        <v>0</v>
      </c>
      <c r="BP426">
        <f t="shared" si="2148"/>
        <v>0</v>
      </c>
      <c r="BQ426">
        <f t="shared" si="2149"/>
        <v>0</v>
      </c>
      <c r="BR426">
        <f t="shared" si="2150"/>
        <v>0</v>
      </c>
      <c r="BS426">
        <f t="shared" si="2151"/>
        <v>0</v>
      </c>
      <c r="BT426">
        <f t="shared" si="2152"/>
        <v>0</v>
      </c>
      <c r="BU426">
        <f t="shared" si="2153"/>
        <v>0</v>
      </c>
      <c r="BV426">
        <f t="shared" si="2154"/>
        <v>0</v>
      </c>
      <c r="DT426" s="77"/>
      <c r="DU426" t="s">
        <v>262</v>
      </c>
      <c r="DV426" s="156">
        <f>TankMSS!$C168</f>
        <v>0</v>
      </c>
      <c r="DW426" s="156">
        <f>TankMSS!$D168</f>
        <v>0</v>
      </c>
    </row>
    <row r="427" spans="1:152" x14ac:dyDescent="0.2">
      <c r="A427" s="8" t="str">
        <f t="shared" si="2130"/>
        <v/>
      </c>
      <c r="B427">
        <f t="shared" si="2131"/>
        <v>0</v>
      </c>
      <c r="C427">
        <f t="shared" si="2132"/>
        <v>0</v>
      </c>
      <c r="D427">
        <f t="shared" si="2133"/>
        <v>0</v>
      </c>
      <c r="E427">
        <f t="shared" si="2134"/>
        <v>0</v>
      </c>
      <c r="F427">
        <f t="shared" si="2135"/>
        <v>0</v>
      </c>
      <c r="G427">
        <f t="shared" si="2136"/>
        <v>0</v>
      </c>
      <c r="H427">
        <f t="shared" si="2137"/>
        <v>0</v>
      </c>
      <c r="I427">
        <f t="shared" si="2138"/>
        <v>0</v>
      </c>
      <c r="J427">
        <f t="shared" si="2139"/>
        <v>0</v>
      </c>
      <c r="K427">
        <f t="shared" si="2140"/>
        <v>0</v>
      </c>
      <c r="L427">
        <f t="shared" si="2141"/>
        <v>0</v>
      </c>
      <c r="M427">
        <f t="shared" si="2142"/>
        <v>0</v>
      </c>
      <c r="BJ427" s="8" t="str">
        <f>Hidden!$CC95</f>
        <v/>
      </c>
      <c r="BK427">
        <f t="shared" si="2143"/>
        <v>0</v>
      </c>
      <c r="BL427">
        <f t="shared" si="2144"/>
        <v>0</v>
      </c>
      <c r="BM427">
        <f t="shared" si="2145"/>
        <v>0</v>
      </c>
      <c r="BN427">
        <f t="shared" si="2146"/>
        <v>0</v>
      </c>
      <c r="BO427">
        <f t="shared" si="2147"/>
        <v>0</v>
      </c>
      <c r="BP427">
        <f t="shared" si="2148"/>
        <v>0</v>
      </c>
      <c r="BQ427">
        <f t="shared" si="2149"/>
        <v>0</v>
      </c>
      <c r="BR427">
        <f t="shared" si="2150"/>
        <v>0</v>
      </c>
      <c r="BS427">
        <f t="shared" si="2151"/>
        <v>0</v>
      </c>
      <c r="BT427">
        <f t="shared" si="2152"/>
        <v>0</v>
      </c>
      <c r="BU427">
        <f t="shared" si="2153"/>
        <v>0</v>
      </c>
      <c r="BV427">
        <f t="shared" si="2154"/>
        <v>0</v>
      </c>
      <c r="DT427" s="77"/>
      <c r="DU427" t="s">
        <v>263</v>
      </c>
      <c r="DV427" s="156">
        <f>TankMSS!$C169</f>
        <v>0</v>
      </c>
      <c r="DW427" s="156">
        <f>TankMSS!$D169</f>
        <v>0</v>
      </c>
    </row>
    <row r="428" spans="1:152" x14ac:dyDescent="0.2">
      <c r="A428" s="8" t="str">
        <f t="shared" si="2130"/>
        <v/>
      </c>
      <c r="B428">
        <f t="shared" si="2131"/>
        <v>0</v>
      </c>
      <c r="C428">
        <f t="shared" si="2132"/>
        <v>0</v>
      </c>
      <c r="D428">
        <f t="shared" si="2133"/>
        <v>0</v>
      </c>
      <c r="E428">
        <f t="shared" si="2134"/>
        <v>0</v>
      </c>
      <c r="F428">
        <f t="shared" si="2135"/>
        <v>0</v>
      </c>
      <c r="G428">
        <f t="shared" si="2136"/>
        <v>0</v>
      </c>
      <c r="H428">
        <f t="shared" si="2137"/>
        <v>0</v>
      </c>
      <c r="I428">
        <f t="shared" si="2138"/>
        <v>0</v>
      </c>
      <c r="J428">
        <f t="shared" si="2139"/>
        <v>0</v>
      </c>
      <c r="K428">
        <f t="shared" si="2140"/>
        <v>0</v>
      </c>
      <c r="L428">
        <f t="shared" si="2141"/>
        <v>0</v>
      </c>
      <c r="M428">
        <f t="shared" si="2142"/>
        <v>0</v>
      </c>
      <c r="BJ428" s="8" t="str">
        <f>Hidden!$CC96</f>
        <v/>
      </c>
      <c r="BK428">
        <f t="shared" si="2143"/>
        <v>0</v>
      </c>
      <c r="BL428">
        <f t="shared" si="2144"/>
        <v>0</v>
      </c>
      <c r="BM428">
        <f t="shared" si="2145"/>
        <v>0</v>
      </c>
      <c r="BN428">
        <f t="shared" si="2146"/>
        <v>0</v>
      </c>
      <c r="BO428">
        <f t="shared" si="2147"/>
        <v>0</v>
      </c>
      <c r="BP428">
        <f t="shared" si="2148"/>
        <v>0</v>
      </c>
      <c r="BQ428">
        <f t="shared" si="2149"/>
        <v>0</v>
      </c>
      <c r="BR428">
        <f t="shared" si="2150"/>
        <v>0</v>
      </c>
      <c r="BS428">
        <f t="shared" si="2151"/>
        <v>0</v>
      </c>
      <c r="BT428">
        <f t="shared" si="2152"/>
        <v>0</v>
      </c>
      <c r="BU428">
        <f t="shared" si="2153"/>
        <v>0</v>
      </c>
      <c r="BV428">
        <f t="shared" si="2154"/>
        <v>0</v>
      </c>
      <c r="DT428" s="77"/>
      <c r="DU428" t="s">
        <v>264</v>
      </c>
      <c r="DV428" s="156">
        <f>TankMSS!$C170</f>
        <v>0</v>
      </c>
      <c r="DW428" s="156">
        <f>TankMSS!$D170</f>
        <v>0</v>
      </c>
    </row>
    <row r="429" spans="1:152" x14ac:dyDescent="0.2">
      <c r="A429" s="8" t="str">
        <f t="shared" si="2130"/>
        <v/>
      </c>
      <c r="B429">
        <f t="shared" si="2131"/>
        <v>0</v>
      </c>
      <c r="C429">
        <f t="shared" si="2132"/>
        <v>0</v>
      </c>
      <c r="D429">
        <f t="shared" si="2133"/>
        <v>0</v>
      </c>
      <c r="E429">
        <f t="shared" si="2134"/>
        <v>0</v>
      </c>
      <c r="F429">
        <f t="shared" si="2135"/>
        <v>0</v>
      </c>
      <c r="G429">
        <f t="shared" si="2136"/>
        <v>0</v>
      </c>
      <c r="H429">
        <f t="shared" si="2137"/>
        <v>0</v>
      </c>
      <c r="I429">
        <f t="shared" si="2138"/>
        <v>0</v>
      </c>
      <c r="J429">
        <f t="shared" si="2139"/>
        <v>0</v>
      </c>
      <c r="K429">
        <f t="shared" si="2140"/>
        <v>0</v>
      </c>
      <c r="L429">
        <f t="shared" si="2141"/>
        <v>0</v>
      </c>
      <c r="M429">
        <f t="shared" si="2142"/>
        <v>0</v>
      </c>
      <c r="BJ429" s="8" t="str">
        <f>Hidden!$CC97</f>
        <v/>
      </c>
      <c r="BK429">
        <f t="shared" si="2143"/>
        <v>0</v>
      </c>
      <c r="BL429">
        <f t="shared" si="2144"/>
        <v>0</v>
      </c>
      <c r="BM429">
        <f t="shared" si="2145"/>
        <v>0</v>
      </c>
      <c r="BN429">
        <f t="shared" si="2146"/>
        <v>0</v>
      </c>
      <c r="BO429">
        <f t="shared" si="2147"/>
        <v>0</v>
      </c>
      <c r="BP429">
        <f t="shared" si="2148"/>
        <v>0</v>
      </c>
      <c r="BQ429">
        <f t="shared" si="2149"/>
        <v>0</v>
      </c>
      <c r="BR429">
        <f t="shared" si="2150"/>
        <v>0</v>
      </c>
      <c r="BS429">
        <f t="shared" si="2151"/>
        <v>0</v>
      </c>
      <c r="BT429">
        <f t="shared" si="2152"/>
        <v>0</v>
      </c>
      <c r="BU429">
        <f t="shared" si="2153"/>
        <v>0</v>
      </c>
      <c r="BV429">
        <f t="shared" si="2154"/>
        <v>0</v>
      </c>
      <c r="DT429" s="77"/>
      <c r="DU429" t="s">
        <v>265</v>
      </c>
      <c r="DV429" s="156">
        <f>TankMSS!$C171</f>
        <v>0</v>
      </c>
      <c r="DW429" s="156">
        <f>TankMSS!$D171</f>
        <v>0</v>
      </c>
    </row>
    <row r="430" spans="1:152" x14ac:dyDescent="0.2">
      <c r="A430" s="8" t="str">
        <f t="shared" si="2130"/>
        <v/>
      </c>
      <c r="B430">
        <f t="shared" si="2131"/>
        <v>0</v>
      </c>
      <c r="C430">
        <f t="shared" si="2132"/>
        <v>0</v>
      </c>
      <c r="D430">
        <f t="shared" si="2133"/>
        <v>0</v>
      </c>
      <c r="E430">
        <f t="shared" si="2134"/>
        <v>0</v>
      </c>
      <c r="F430">
        <f t="shared" si="2135"/>
        <v>0</v>
      </c>
      <c r="G430">
        <f t="shared" si="2136"/>
        <v>0</v>
      </c>
      <c r="H430">
        <f t="shared" si="2137"/>
        <v>0</v>
      </c>
      <c r="I430">
        <f t="shared" si="2138"/>
        <v>0</v>
      </c>
      <c r="J430">
        <f t="shared" si="2139"/>
        <v>0</v>
      </c>
      <c r="K430">
        <f t="shared" si="2140"/>
        <v>0</v>
      </c>
      <c r="L430">
        <f t="shared" si="2141"/>
        <v>0</v>
      </c>
      <c r="M430">
        <f t="shared" si="2142"/>
        <v>0</v>
      </c>
      <c r="BJ430" s="8" t="str">
        <f>Hidden!$CC98</f>
        <v/>
      </c>
      <c r="BK430">
        <f t="shared" si="2143"/>
        <v>0</v>
      </c>
      <c r="BL430">
        <f t="shared" si="2144"/>
        <v>0</v>
      </c>
      <c r="BM430">
        <f t="shared" si="2145"/>
        <v>0</v>
      </c>
      <c r="BN430">
        <f t="shared" si="2146"/>
        <v>0</v>
      </c>
      <c r="BO430">
        <f t="shared" si="2147"/>
        <v>0</v>
      </c>
      <c r="BP430">
        <f t="shared" si="2148"/>
        <v>0</v>
      </c>
      <c r="BQ430">
        <f t="shared" si="2149"/>
        <v>0</v>
      </c>
      <c r="BR430">
        <f t="shared" si="2150"/>
        <v>0</v>
      </c>
      <c r="BS430">
        <f t="shared" si="2151"/>
        <v>0</v>
      </c>
      <c r="BT430">
        <f t="shared" si="2152"/>
        <v>0</v>
      </c>
      <c r="BU430">
        <f t="shared" si="2153"/>
        <v>0</v>
      </c>
      <c r="BV430">
        <f t="shared" si="2154"/>
        <v>0</v>
      </c>
      <c r="DT430" s="77"/>
      <c r="DU430" t="s">
        <v>266</v>
      </c>
      <c r="DV430" s="156">
        <f>TankMSS!$C172</f>
        <v>0</v>
      </c>
      <c r="DW430" s="156">
        <f>TankMSS!$D172</f>
        <v>0</v>
      </c>
    </row>
    <row r="431" spans="1:152" ht="15" thickBot="1" x14ac:dyDescent="0.25">
      <c r="A431" s="8" t="str">
        <f t="shared" si="2130"/>
        <v/>
      </c>
      <c r="B431">
        <f t="shared" si="2131"/>
        <v>0</v>
      </c>
      <c r="C431">
        <f t="shared" si="2132"/>
        <v>0</v>
      </c>
      <c r="D431">
        <f t="shared" si="2133"/>
        <v>0</v>
      </c>
      <c r="E431">
        <f t="shared" si="2134"/>
        <v>0</v>
      </c>
      <c r="F431">
        <f t="shared" si="2135"/>
        <v>0</v>
      </c>
      <c r="G431">
        <f t="shared" si="2136"/>
        <v>0</v>
      </c>
      <c r="H431">
        <f t="shared" si="2137"/>
        <v>0</v>
      </c>
      <c r="I431">
        <f t="shared" si="2138"/>
        <v>0</v>
      </c>
      <c r="J431">
        <f t="shared" si="2139"/>
        <v>0</v>
      </c>
      <c r="K431">
        <f t="shared" si="2140"/>
        <v>0</v>
      </c>
      <c r="L431">
        <f t="shared" si="2141"/>
        <v>0</v>
      </c>
      <c r="M431">
        <f t="shared" si="2142"/>
        <v>0</v>
      </c>
      <c r="BJ431" s="8" t="str">
        <f>Hidden!$CC99</f>
        <v/>
      </c>
      <c r="BK431">
        <f t="shared" si="2143"/>
        <v>0</v>
      </c>
      <c r="BL431">
        <f t="shared" si="2144"/>
        <v>0</v>
      </c>
      <c r="BM431">
        <f t="shared" si="2145"/>
        <v>0</v>
      </c>
      <c r="BN431">
        <f t="shared" si="2146"/>
        <v>0</v>
      </c>
      <c r="BO431">
        <f t="shared" si="2147"/>
        <v>0</v>
      </c>
      <c r="BP431">
        <f t="shared" si="2148"/>
        <v>0</v>
      </c>
      <c r="BQ431">
        <f t="shared" si="2149"/>
        <v>0</v>
      </c>
      <c r="BR431">
        <f t="shared" si="2150"/>
        <v>0</v>
      </c>
      <c r="BS431">
        <f t="shared" si="2151"/>
        <v>0</v>
      </c>
      <c r="BT431">
        <f t="shared" si="2152"/>
        <v>0</v>
      </c>
      <c r="BU431">
        <f t="shared" si="2153"/>
        <v>0</v>
      </c>
      <c r="BV431">
        <f t="shared" si="2154"/>
        <v>0</v>
      </c>
      <c r="DT431" s="77"/>
      <c r="DU431" t="s">
        <v>267</v>
      </c>
      <c r="DV431" s="156">
        <f>TankMSS!$C173</f>
        <v>0</v>
      </c>
      <c r="DW431" s="156">
        <f>TankMSS!$D173</f>
        <v>0</v>
      </c>
    </row>
    <row r="432" spans="1:152" ht="15.75" thickBot="1" x14ac:dyDescent="0.25">
      <c r="A432" s="8" t="str">
        <f t="shared" si="2130"/>
        <v/>
      </c>
      <c r="B432">
        <f t="shared" si="2131"/>
        <v>0</v>
      </c>
      <c r="C432">
        <f t="shared" si="2132"/>
        <v>0</v>
      </c>
      <c r="D432">
        <f t="shared" si="2133"/>
        <v>0</v>
      </c>
      <c r="E432">
        <f t="shared" si="2134"/>
        <v>0</v>
      </c>
      <c r="F432">
        <f t="shared" si="2135"/>
        <v>0</v>
      </c>
      <c r="G432">
        <f t="shared" si="2136"/>
        <v>0</v>
      </c>
      <c r="H432">
        <f t="shared" si="2137"/>
        <v>0</v>
      </c>
      <c r="I432">
        <f t="shared" si="2138"/>
        <v>0</v>
      </c>
      <c r="J432">
        <f t="shared" si="2139"/>
        <v>0</v>
      </c>
      <c r="K432">
        <f t="shared" si="2140"/>
        <v>0</v>
      </c>
      <c r="L432">
        <f t="shared" si="2141"/>
        <v>0</v>
      </c>
      <c r="M432">
        <f t="shared" si="2142"/>
        <v>0</v>
      </c>
      <c r="BJ432" s="8" t="str">
        <f>Hidden!$CC100</f>
        <v/>
      </c>
      <c r="BK432">
        <f t="shared" si="2143"/>
        <v>0</v>
      </c>
      <c r="BL432">
        <f t="shared" si="2144"/>
        <v>0</v>
      </c>
      <c r="BM432">
        <f t="shared" si="2145"/>
        <v>0</v>
      </c>
      <c r="BN432">
        <f t="shared" si="2146"/>
        <v>0</v>
      </c>
      <c r="BO432">
        <f t="shared" si="2147"/>
        <v>0</v>
      </c>
      <c r="BP432">
        <f t="shared" si="2148"/>
        <v>0</v>
      </c>
      <c r="BQ432">
        <f t="shared" si="2149"/>
        <v>0</v>
      </c>
      <c r="BR432">
        <f t="shared" si="2150"/>
        <v>0</v>
      </c>
      <c r="BS432">
        <f t="shared" si="2151"/>
        <v>0</v>
      </c>
      <c r="BT432">
        <f t="shared" si="2152"/>
        <v>0</v>
      </c>
      <c r="BU432">
        <f t="shared" si="2153"/>
        <v>0</v>
      </c>
      <c r="BV432">
        <f t="shared" si="2154"/>
        <v>0</v>
      </c>
      <c r="DT432" s="77"/>
      <c r="DU432" s="479" t="s">
        <v>9996</v>
      </c>
      <c r="DV432" s="479"/>
      <c r="DW432" s="479"/>
      <c r="DX432" s="479"/>
      <c r="DY432" s="479"/>
      <c r="DZ432" s="479"/>
      <c r="EA432" s="479"/>
      <c r="EB432" s="479"/>
      <c r="EC432" s="479"/>
      <c r="ED432" s="479"/>
      <c r="EE432" s="479"/>
      <c r="EF432" s="479"/>
      <c r="EG432" s="479"/>
      <c r="EH432" s="479"/>
      <c r="EI432" s="479"/>
      <c r="EJ432" s="479"/>
      <c r="EK432" s="479"/>
      <c r="EL432" s="479"/>
      <c r="EM432" s="479"/>
      <c r="EN432" s="479"/>
      <c r="EO432" s="479"/>
      <c r="EP432" s="479"/>
      <c r="EQ432" s="479"/>
      <c r="ER432" s="479"/>
      <c r="ES432" s="479"/>
      <c r="ET432" s="479"/>
      <c r="EU432" s="479"/>
      <c r="EV432" s="479"/>
    </row>
    <row r="433" spans="1:185" ht="42.75" x14ac:dyDescent="0.2">
      <c r="A433" s="8" t="str">
        <f t="shared" si="2130"/>
        <v/>
      </c>
      <c r="B433">
        <f t="shared" si="2131"/>
        <v>0</v>
      </c>
      <c r="C433">
        <f t="shared" si="2132"/>
        <v>0</v>
      </c>
      <c r="D433">
        <f t="shared" si="2133"/>
        <v>0</v>
      </c>
      <c r="E433">
        <f t="shared" si="2134"/>
        <v>0</v>
      </c>
      <c r="F433">
        <f t="shared" si="2135"/>
        <v>0</v>
      </c>
      <c r="G433">
        <f t="shared" si="2136"/>
        <v>0</v>
      </c>
      <c r="H433">
        <f t="shared" si="2137"/>
        <v>0</v>
      </c>
      <c r="I433">
        <f t="shared" si="2138"/>
        <v>0</v>
      </c>
      <c r="J433">
        <f t="shared" si="2139"/>
        <v>0</v>
      </c>
      <c r="K433">
        <f t="shared" si="2140"/>
        <v>0</v>
      </c>
      <c r="L433">
        <f t="shared" si="2141"/>
        <v>0</v>
      </c>
      <c r="M433">
        <f t="shared" si="2142"/>
        <v>0</v>
      </c>
      <c r="BJ433" s="8" t="str">
        <f>Hidden!$CC101</f>
        <v/>
      </c>
      <c r="BK433">
        <f t="shared" si="2143"/>
        <v>0</v>
      </c>
      <c r="BL433">
        <f t="shared" si="2144"/>
        <v>0</v>
      </c>
      <c r="BM433">
        <f t="shared" si="2145"/>
        <v>0</v>
      </c>
      <c r="BN433">
        <f t="shared" si="2146"/>
        <v>0</v>
      </c>
      <c r="BO433">
        <f t="shared" si="2147"/>
        <v>0</v>
      </c>
      <c r="BP433">
        <f t="shared" si="2148"/>
        <v>0</v>
      </c>
      <c r="BQ433">
        <f t="shared" si="2149"/>
        <v>0</v>
      </c>
      <c r="BR433">
        <f t="shared" si="2150"/>
        <v>0</v>
      </c>
      <c r="BS433">
        <f t="shared" si="2151"/>
        <v>0</v>
      </c>
      <c r="BT433">
        <f t="shared" si="2152"/>
        <v>0</v>
      </c>
      <c r="BU433">
        <f t="shared" si="2153"/>
        <v>0</v>
      </c>
      <c r="BV433">
        <f t="shared" si="2154"/>
        <v>0</v>
      </c>
      <c r="DT433" s="77"/>
      <c r="DV433" t="s">
        <v>9749</v>
      </c>
      <c r="EF433" t="s">
        <v>9750</v>
      </c>
      <c r="EP433" t="s">
        <v>9751</v>
      </c>
      <c r="EZ433" t="s">
        <v>9752</v>
      </c>
      <c r="FJ433" t="s">
        <v>9280</v>
      </c>
      <c r="FT433" t="s">
        <v>9753</v>
      </c>
    </row>
    <row r="434" spans="1:185" ht="15" thickBot="1" x14ac:dyDescent="0.25">
      <c r="A434" s="8" t="str">
        <f t="shared" si="2130"/>
        <v/>
      </c>
      <c r="B434">
        <f t="shared" si="2131"/>
        <v>0</v>
      </c>
      <c r="C434">
        <f t="shared" si="2132"/>
        <v>0</v>
      </c>
      <c r="D434">
        <f t="shared" si="2133"/>
        <v>0</v>
      </c>
      <c r="E434">
        <f t="shared" si="2134"/>
        <v>0</v>
      </c>
      <c r="F434">
        <f t="shared" si="2135"/>
        <v>0</v>
      </c>
      <c r="G434">
        <f t="shared" si="2136"/>
        <v>0</v>
      </c>
      <c r="H434">
        <f t="shared" si="2137"/>
        <v>0</v>
      </c>
      <c r="I434">
        <f t="shared" si="2138"/>
        <v>0</v>
      </c>
      <c r="J434">
        <f t="shared" si="2139"/>
        <v>0</v>
      </c>
      <c r="K434">
        <f t="shared" si="2140"/>
        <v>0</v>
      </c>
      <c r="L434">
        <f t="shared" si="2141"/>
        <v>0</v>
      </c>
      <c r="M434">
        <f t="shared" si="2142"/>
        <v>0</v>
      </c>
      <c r="BJ434" s="8" t="str">
        <f>Hidden!$CC102</f>
        <v/>
      </c>
      <c r="BK434">
        <f t="shared" si="2143"/>
        <v>0</v>
      </c>
      <c r="BL434">
        <f t="shared" si="2144"/>
        <v>0</v>
      </c>
      <c r="BM434">
        <f t="shared" si="2145"/>
        <v>0</v>
      </c>
      <c r="BN434">
        <f t="shared" si="2146"/>
        <v>0</v>
      </c>
      <c r="BO434">
        <f t="shared" si="2147"/>
        <v>0</v>
      </c>
      <c r="BP434">
        <f t="shared" si="2148"/>
        <v>0</v>
      </c>
      <c r="BQ434">
        <f t="shared" si="2149"/>
        <v>0</v>
      </c>
      <c r="BR434">
        <f t="shared" si="2150"/>
        <v>0</v>
      </c>
      <c r="BS434">
        <f t="shared" si="2151"/>
        <v>0</v>
      </c>
      <c r="BT434">
        <f t="shared" si="2152"/>
        <v>0</v>
      </c>
      <c r="BU434">
        <f t="shared" si="2153"/>
        <v>0</v>
      </c>
      <c r="BV434">
        <f t="shared" si="2154"/>
        <v>0</v>
      </c>
      <c r="DT434" s="77"/>
      <c r="DV434" t="s">
        <v>165</v>
      </c>
      <c r="DW434" t="s">
        <v>323</v>
      </c>
      <c r="DX434" t="s">
        <v>324</v>
      </c>
      <c r="DY434" t="s">
        <v>325</v>
      </c>
      <c r="DZ434" t="s">
        <v>326</v>
      </c>
      <c r="EA434" t="s">
        <v>165</v>
      </c>
      <c r="EB434" t="s">
        <v>323</v>
      </c>
      <c r="EC434" t="s">
        <v>324</v>
      </c>
      <c r="ED434" t="s">
        <v>325</v>
      </c>
      <c r="EE434" t="s">
        <v>326</v>
      </c>
      <c r="EF434" t="s">
        <v>165</v>
      </c>
      <c r="EG434" t="s">
        <v>323</v>
      </c>
      <c r="EH434" t="s">
        <v>324</v>
      </c>
      <c r="EI434" t="s">
        <v>325</v>
      </c>
      <c r="EJ434" t="s">
        <v>326</v>
      </c>
      <c r="EK434" t="s">
        <v>165</v>
      </c>
      <c r="EL434" t="s">
        <v>323</v>
      </c>
      <c r="EM434" t="s">
        <v>324</v>
      </c>
      <c r="EN434" t="s">
        <v>325</v>
      </c>
      <c r="EO434" t="s">
        <v>326</v>
      </c>
      <c r="EP434" t="s">
        <v>165</v>
      </c>
      <c r="EQ434" t="s">
        <v>323</v>
      </c>
      <c r="ER434" t="s">
        <v>324</v>
      </c>
      <c r="ES434" t="s">
        <v>325</v>
      </c>
      <c r="ET434" t="s">
        <v>326</v>
      </c>
      <c r="EU434" t="s">
        <v>165</v>
      </c>
      <c r="EV434" t="s">
        <v>323</v>
      </c>
      <c r="EW434" t="s">
        <v>324</v>
      </c>
      <c r="EX434" t="s">
        <v>325</v>
      </c>
      <c r="EY434" t="s">
        <v>326</v>
      </c>
      <c r="EZ434" t="s">
        <v>165</v>
      </c>
      <c r="FA434" t="s">
        <v>323</v>
      </c>
      <c r="FB434" t="s">
        <v>324</v>
      </c>
      <c r="FC434" t="s">
        <v>325</v>
      </c>
      <c r="FD434" t="s">
        <v>326</v>
      </c>
      <c r="FE434" t="s">
        <v>165</v>
      </c>
      <c r="FF434" t="s">
        <v>323</v>
      </c>
      <c r="FG434" t="s">
        <v>324</v>
      </c>
      <c r="FH434" t="s">
        <v>325</v>
      </c>
      <c r="FI434" t="s">
        <v>326</v>
      </c>
      <c r="FJ434" t="s">
        <v>165</v>
      </c>
      <c r="FK434" t="s">
        <v>323</v>
      </c>
      <c r="FL434" t="s">
        <v>324</v>
      </c>
      <c r="FM434" t="s">
        <v>325</v>
      </c>
      <c r="FN434" t="s">
        <v>326</v>
      </c>
      <c r="FO434" t="s">
        <v>165</v>
      </c>
      <c r="FP434" t="s">
        <v>323</v>
      </c>
      <c r="FQ434" t="s">
        <v>324</v>
      </c>
      <c r="FR434" t="s">
        <v>325</v>
      </c>
      <c r="FS434" t="s">
        <v>326</v>
      </c>
      <c r="FT434" t="s">
        <v>165</v>
      </c>
      <c r="FU434" t="s">
        <v>323</v>
      </c>
      <c r="FV434" t="s">
        <v>324</v>
      </c>
      <c r="FW434" t="s">
        <v>325</v>
      </c>
      <c r="FX434" t="s">
        <v>326</v>
      </c>
      <c r="FY434" t="s">
        <v>165</v>
      </c>
      <c r="FZ434" t="s">
        <v>323</v>
      </c>
      <c r="GA434" t="s">
        <v>324</v>
      </c>
      <c r="GB434" t="s">
        <v>325</v>
      </c>
      <c r="GC434" t="s">
        <v>326</v>
      </c>
    </row>
    <row r="435" spans="1:185" ht="29.25" thickBot="1" x14ac:dyDescent="0.25">
      <c r="A435" s="479" t="s">
        <v>9994</v>
      </c>
      <c r="B435" s="479"/>
      <c r="C435" s="479"/>
      <c r="D435" s="479"/>
      <c r="E435" s="479"/>
      <c r="F435" s="479"/>
      <c r="G435" s="479"/>
      <c r="H435" s="479"/>
      <c r="I435" s="479"/>
      <c r="J435" s="479"/>
      <c r="K435" s="479"/>
      <c r="L435" s="479"/>
      <c r="M435" s="479"/>
      <c r="N435" s="479"/>
      <c r="O435" s="479"/>
      <c r="P435" s="479"/>
      <c r="Q435" s="479"/>
      <c r="R435" s="479"/>
      <c r="S435" s="479"/>
      <c r="T435" s="479"/>
      <c r="U435" s="479"/>
      <c r="V435" s="479"/>
      <c r="W435" s="479"/>
      <c r="X435" s="479"/>
      <c r="Y435" s="479"/>
      <c r="Z435" s="479"/>
      <c r="BJ435" s="479" t="s">
        <v>9978</v>
      </c>
      <c r="BK435" s="479"/>
      <c r="BL435" s="479"/>
      <c r="BM435" s="479"/>
      <c r="BN435" s="479"/>
      <c r="BO435" s="479"/>
      <c r="BP435" s="479"/>
      <c r="BQ435" s="479"/>
      <c r="BR435" s="479"/>
      <c r="BS435" s="479"/>
      <c r="BT435" s="479"/>
      <c r="BU435" s="479"/>
      <c r="BV435" s="479"/>
      <c r="BW435" s="479"/>
      <c r="BX435" s="479"/>
      <c r="BY435" s="479"/>
      <c r="BZ435" s="479"/>
      <c r="CA435" s="479"/>
      <c r="CB435" s="479"/>
      <c r="CC435" s="479"/>
      <c r="CD435" s="479"/>
      <c r="CE435" s="479"/>
      <c r="CF435" s="479"/>
      <c r="CG435" s="479"/>
      <c r="CH435" s="479"/>
      <c r="CI435" s="479"/>
      <c r="CJ435" s="479"/>
      <c r="CK435" s="479"/>
      <c r="CL435" s="479"/>
      <c r="CM435" s="479"/>
      <c r="CN435" s="479"/>
      <c r="CO435" s="479"/>
      <c r="CP435" s="479"/>
      <c r="CQ435" s="479"/>
      <c r="CR435" s="479"/>
      <c r="CS435" s="479"/>
      <c r="CT435" s="479"/>
      <c r="CU435" s="479"/>
      <c r="CV435" s="479"/>
      <c r="CW435" s="479"/>
      <c r="CX435" s="479"/>
      <c r="CY435" s="479"/>
      <c r="CZ435" s="479"/>
      <c r="DA435" s="479"/>
      <c r="DB435" s="479"/>
      <c r="DC435" s="479"/>
      <c r="DD435" s="479"/>
      <c r="DE435" s="479"/>
      <c r="DF435" s="479"/>
      <c r="DG435" s="479"/>
      <c r="DH435" s="479"/>
      <c r="DI435" s="479"/>
      <c r="DJ435" s="479"/>
      <c r="DK435" s="479"/>
      <c r="DL435" s="479"/>
      <c r="DM435" s="479"/>
      <c r="DN435" s="479"/>
      <c r="DO435" s="479"/>
      <c r="DP435" s="479"/>
      <c r="DQ435" s="479"/>
      <c r="DR435" s="479"/>
      <c r="DT435" s="77"/>
      <c r="DU435" t="s">
        <v>9754</v>
      </c>
      <c r="DV435" t="b">
        <f>IF(TankMSS!$C107="permanent flare",TRUE,FALSE)</f>
        <v>0</v>
      </c>
      <c r="DW435" t="b">
        <f>IF(TankMSS!$C108="permanent flare",TRUE,FALSE)</f>
        <v>0</v>
      </c>
      <c r="DX435" t="b">
        <f>IF(TankMSS!$C109="permanent flare",TRUE,FALSE)</f>
        <v>0</v>
      </c>
      <c r="DY435" t="b">
        <f>IF(TankMSS!$C110="permanent flare",TRUE,FALSE)</f>
        <v>0</v>
      </c>
      <c r="DZ435" t="b">
        <f>IF(TankMSS!$C111="permanent flare",TRUE,FALSE)</f>
        <v>0</v>
      </c>
      <c r="EA435" t="b">
        <f>DV$435</f>
        <v>0</v>
      </c>
      <c r="EB435" t="b">
        <f t="shared" ref="EB435:EE435" si="2155">DW$435</f>
        <v>0</v>
      </c>
      <c r="EC435" t="b">
        <f t="shared" si="2155"/>
        <v>0</v>
      </c>
      <c r="ED435" t="b">
        <f t="shared" si="2155"/>
        <v>0</v>
      </c>
      <c r="EE435" t="b">
        <f t="shared" si="2155"/>
        <v>0</v>
      </c>
      <c r="EF435" t="b">
        <f>IF(TankMSS!$C107="permanent vcu",TRUE,FALSE)</f>
        <v>0</v>
      </c>
      <c r="EG435" t="b">
        <f>IF(TankMSS!$C108="permanent vcu",TRUE,FALSE)</f>
        <v>0</v>
      </c>
      <c r="EH435" t="b">
        <f>IF(TankMSS!$C109="permanent vcu",TRUE,FALSE)</f>
        <v>0</v>
      </c>
      <c r="EI435" t="b">
        <f>IF(TankMSS!$C110="permanent vcu",TRUE,FALSE)</f>
        <v>0</v>
      </c>
      <c r="EJ435" t="b">
        <f>IF(TankMSS!$C111="permanent vcu",TRUE,FALSE)</f>
        <v>0</v>
      </c>
      <c r="EK435" t="b">
        <f>EF$435</f>
        <v>0</v>
      </c>
      <c r="EL435" t="b">
        <f t="shared" ref="EL435:EO435" si="2156">EG$435</f>
        <v>0</v>
      </c>
      <c r="EM435" t="b">
        <f t="shared" si="2156"/>
        <v>0</v>
      </c>
      <c r="EN435" t="b">
        <f t="shared" si="2156"/>
        <v>0</v>
      </c>
      <c r="EO435" t="b">
        <f t="shared" si="2156"/>
        <v>0</v>
      </c>
      <c r="EP435" t="b">
        <f>IF(TankMSS!$C107="permanent thermal oxidizer",TRUE,FALSE)</f>
        <v>0</v>
      </c>
      <c r="EQ435" t="b">
        <f>IF(TankMSS!$C108="permanent thermal oxidizer",TRUE,FALSE)</f>
        <v>0</v>
      </c>
      <c r="ER435" t="b">
        <f>IF(TankMSS!$C109="permanent thermal oxidizer",TRUE,FALSE)</f>
        <v>0</v>
      </c>
      <c r="ES435" t="b">
        <f>IF(TankMSS!$C110="permanent thermal oxidizer",TRUE,FALSE)</f>
        <v>0</v>
      </c>
      <c r="ET435" t="b">
        <f>IF(TankMSS!$C111="permanent thermal oxidizer",TRUE,FALSE)</f>
        <v>0</v>
      </c>
      <c r="EU435" t="b">
        <f>EP$435</f>
        <v>0</v>
      </c>
      <c r="EV435" t="b">
        <f t="shared" ref="EV435:EY435" si="2157">EQ$435</f>
        <v>0</v>
      </c>
      <c r="EW435" t="b">
        <f t="shared" si="2157"/>
        <v>0</v>
      </c>
      <c r="EX435" t="b">
        <f t="shared" si="2157"/>
        <v>0</v>
      </c>
      <c r="EY435" t="b">
        <f t="shared" si="2157"/>
        <v>0</v>
      </c>
      <c r="EZ435" t="b">
        <f>IF(TankMSS!$C107="temporary flare",TRUE,FALSE)</f>
        <v>0</v>
      </c>
      <c r="FA435" t="b">
        <f>IF(TankMSS!$C108="temporary flare",TRUE,FALSE)</f>
        <v>0</v>
      </c>
      <c r="FB435" t="b">
        <f>IF(TankMSS!$C109="temporary flare",TRUE,FALSE)</f>
        <v>0</v>
      </c>
      <c r="FC435" t="b">
        <f>IF(TankMSS!$C110="temporary flare",TRUE,FALSE)</f>
        <v>0</v>
      </c>
      <c r="FD435" t="b">
        <f>IF(TankMSS!$C111="temporary flare",TRUE,FALSE)</f>
        <v>0</v>
      </c>
      <c r="FE435" t="b">
        <f>EZ$435</f>
        <v>0</v>
      </c>
      <c r="FF435" t="b">
        <f t="shared" ref="FF435:FI435" si="2158">FA$435</f>
        <v>0</v>
      </c>
      <c r="FG435" t="b">
        <f t="shared" si="2158"/>
        <v>0</v>
      </c>
      <c r="FH435" t="b">
        <f t="shared" si="2158"/>
        <v>0</v>
      </c>
      <c r="FI435" t="b">
        <f t="shared" si="2158"/>
        <v>0</v>
      </c>
      <c r="FJ435" t="b">
        <f>IF(TankMSS!$C107="temporary vcu",TRUE,FALSE)</f>
        <v>0</v>
      </c>
      <c r="FK435" t="b">
        <f>IF(TankMSS!$C108="temporary vcu",TRUE,FALSE)</f>
        <v>0</v>
      </c>
      <c r="FL435" t="b">
        <f>IF(TankMSS!$C109="temporary vcu",TRUE,FALSE)</f>
        <v>0</v>
      </c>
      <c r="FM435" t="b">
        <f>IF(TankMSS!$C110="temporary vcu",TRUE,FALSE)</f>
        <v>0</v>
      </c>
      <c r="FN435" t="b">
        <f>IF(TankMSS!$C111="temporary vcu",TRUE,FALSE)</f>
        <v>0</v>
      </c>
      <c r="FO435" t="b">
        <f>FJ$435</f>
        <v>0</v>
      </c>
      <c r="FP435" t="b">
        <f t="shared" ref="FP435:FS435" si="2159">FK$435</f>
        <v>0</v>
      </c>
      <c r="FQ435" t="b">
        <f t="shared" si="2159"/>
        <v>0</v>
      </c>
      <c r="FR435" t="b">
        <f t="shared" si="2159"/>
        <v>0</v>
      </c>
      <c r="FS435" t="b">
        <f t="shared" si="2159"/>
        <v>0</v>
      </c>
      <c r="FT435" t="b">
        <f>IF(TankMSS!$C107="temporary vapor oxidizer",TRUE,FALSE)</f>
        <v>0</v>
      </c>
      <c r="FU435" t="b">
        <f>IF(TankMSS!$C108="temporary vapor oxidizer",TRUE,FALSE)</f>
        <v>0</v>
      </c>
      <c r="FV435" t="b">
        <f>IF(TankMSS!$C109="temporary vapor oxidizer",TRUE,FALSE)</f>
        <v>0</v>
      </c>
      <c r="FW435" t="b">
        <f>IF(TankMSS!$C110="temporary vapor oxidizer",TRUE,FALSE)</f>
        <v>0</v>
      </c>
      <c r="FX435" t="b">
        <f>IF(TankMSS!$C111="temporary vapor oxidizer",TRUE,FALSE)</f>
        <v>0</v>
      </c>
      <c r="FY435" t="b">
        <f>FT$435</f>
        <v>0</v>
      </c>
      <c r="FZ435" t="b">
        <f t="shared" ref="FZ435:GC435" si="2160">FU$435</f>
        <v>0</v>
      </c>
      <c r="GA435" t="b">
        <f t="shared" si="2160"/>
        <v>0</v>
      </c>
      <c r="GB435" t="b">
        <f t="shared" si="2160"/>
        <v>0</v>
      </c>
      <c r="GC435" t="b">
        <f t="shared" si="2160"/>
        <v>0</v>
      </c>
    </row>
    <row r="436" spans="1:185" ht="42.75" x14ac:dyDescent="0.2">
      <c r="A436" s="8" t="s">
        <v>178</v>
      </c>
      <c r="B436" t="s">
        <v>165</v>
      </c>
      <c r="C436" t="s">
        <v>323</v>
      </c>
      <c r="D436" t="s">
        <v>324</v>
      </c>
      <c r="E436" t="s">
        <v>325</v>
      </c>
      <c r="F436" t="s">
        <v>326</v>
      </c>
      <c r="G436" t="s">
        <v>165</v>
      </c>
      <c r="H436" t="s">
        <v>323</v>
      </c>
      <c r="I436" t="s">
        <v>324</v>
      </c>
      <c r="J436" t="s">
        <v>325</v>
      </c>
      <c r="K436" t="s">
        <v>326</v>
      </c>
      <c r="BJ436" s="8"/>
      <c r="BK436" t="s">
        <v>9749</v>
      </c>
      <c r="BU436" t="s">
        <v>9750</v>
      </c>
      <c r="CE436" t="s">
        <v>9751</v>
      </c>
      <c r="CO436" t="s">
        <v>9752</v>
      </c>
      <c r="CY436" t="s">
        <v>9280</v>
      </c>
      <c r="DI436" t="s">
        <v>9753</v>
      </c>
      <c r="DT436" s="77"/>
      <c r="DV436" t="s">
        <v>8741</v>
      </c>
      <c r="DW436" t="s">
        <v>8741</v>
      </c>
      <c r="DX436" t="s">
        <v>8741</v>
      </c>
      <c r="DY436" t="s">
        <v>8741</v>
      </c>
      <c r="DZ436" t="s">
        <v>8741</v>
      </c>
      <c r="EA436" t="s">
        <v>8742</v>
      </c>
      <c r="EB436" t="s">
        <v>8742</v>
      </c>
      <c r="EC436" t="s">
        <v>8742</v>
      </c>
      <c r="ED436" t="s">
        <v>8742</v>
      </c>
      <c r="EE436" t="s">
        <v>8742</v>
      </c>
      <c r="EF436" t="s">
        <v>8741</v>
      </c>
      <c r="EG436" t="s">
        <v>8741</v>
      </c>
      <c r="EH436" t="s">
        <v>8741</v>
      </c>
      <c r="EI436" t="s">
        <v>8741</v>
      </c>
      <c r="EJ436" t="s">
        <v>8741</v>
      </c>
      <c r="EK436" t="s">
        <v>8742</v>
      </c>
      <c r="EL436" t="s">
        <v>8742</v>
      </c>
      <c r="EM436" t="s">
        <v>8742</v>
      </c>
      <c r="EN436" t="s">
        <v>8742</v>
      </c>
      <c r="EO436" t="s">
        <v>8742</v>
      </c>
      <c r="EP436" t="s">
        <v>8741</v>
      </c>
      <c r="EQ436" t="s">
        <v>8741</v>
      </c>
      <c r="ER436" t="s">
        <v>8741</v>
      </c>
      <c r="ES436" t="s">
        <v>8741</v>
      </c>
      <c r="ET436" t="s">
        <v>8741</v>
      </c>
      <c r="EU436" t="s">
        <v>8742</v>
      </c>
      <c r="EV436" t="s">
        <v>8742</v>
      </c>
      <c r="EW436" t="s">
        <v>8742</v>
      </c>
      <c r="EX436" t="s">
        <v>8742</v>
      </c>
      <c r="EY436" t="s">
        <v>8742</v>
      </c>
      <c r="EZ436" t="s">
        <v>8741</v>
      </c>
      <c r="FA436" t="s">
        <v>8741</v>
      </c>
      <c r="FB436" t="s">
        <v>8741</v>
      </c>
      <c r="FC436" t="s">
        <v>8741</v>
      </c>
      <c r="FD436" t="s">
        <v>8741</v>
      </c>
      <c r="FE436" t="s">
        <v>8742</v>
      </c>
      <c r="FF436" t="s">
        <v>8742</v>
      </c>
      <c r="FG436" t="s">
        <v>8742</v>
      </c>
      <c r="FH436" t="s">
        <v>8742</v>
      </c>
      <c r="FI436" t="s">
        <v>8742</v>
      </c>
      <c r="FJ436" t="s">
        <v>8741</v>
      </c>
      <c r="FK436" t="s">
        <v>8741</v>
      </c>
      <c r="FL436" t="s">
        <v>8741</v>
      </c>
      <c r="FM436" t="s">
        <v>8741</v>
      </c>
      <c r="FN436" t="s">
        <v>8741</v>
      </c>
      <c r="FO436" t="s">
        <v>8742</v>
      </c>
      <c r="FP436" t="s">
        <v>8742</v>
      </c>
      <c r="FQ436" t="s">
        <v>8742</v>
      </c>
      <c r="FR436" t="s">
        <v>8742</v>
      </c>
      <c r="FS436" t="s">
        <v>8742</v>
      </c>
      <c r="FT436" t="s">
        <v>8741</v>
      </c>
      <c r="FU436" t="s">
        <v>8741</v>
      </c>
      <c r="FV436" t="s">
        <v>8741</v>
      </c>
      <c r="FW436" t="s">
        <v>8741</v>
      </c>
      <c r="FX436" t="s">
        <v>8741</v>
      </c>
      <c r="FY436" t="s">
        <v>8742</v>
      </c>
      <c r="FZ436" t="s">
        <v>8742</v>
      </c>
      <c r="GA436" t="s">
        <v>8742</v>
      </c>
      <c r="GB436" t="s">
        <v>8742</v>
      </c>
      <c r="GC436" t="s">
        <v>8742</v>
      </c>
    </row>
    <row r="437" spans="1:185" x14ac:dyDescent="0.2">
      <c r="A437" s="8"/>
      <c r="B437" t="s">
        <v>8741</v>
      </c>
      <c r="C437" t="s">
        <v>8741</v>
      </c>
      <c r="D437" t="s">
        <v>8741</v>
      </c>
      <c r="E437" t="s">
        <v>8741</v>
      </c>
      <c r="F437" t="s">
        <v>8741</v>
      </c>
      <c r="G437" t="s">
        <v>8742</v>
      </c>
      <c r="H437" t="s">
        <v>8742</v>
      </c>
      <c r="I437" t="s">
        <v>8742</v>
      </c>
      <c r="J437" t="s">
        <v>8742</v>
      </c>
      <c r="K437" t="s">
        <v>8742</v>
      </c>
      <c r="BJ437" s="8"/>
      <c r="BK437" t="s">
        <v>165</v>
      </c>
      <c r="BL437" t="s">
        <v>323</v>
      </c>
      <c r="BM437" t="s">
        <v>324</v>
      </c>
      <c r="BN437" t="s">
        <v>325</v>
      </c>
      <c r="BO437" t="s">
        <v>326</v>
      </c>
      <c r="BP437" t="s">
        <v>165</v>
      </c>
      <c r="BQ437" t="s">
        <v>323</v>
      </c>
      <c r="BR437" t="s">
        <v>324</v>
      </c>
      <c r="BS437" t="s">
        <v>325</v>
      </c>
      <c r="BT437" t="s">
        <v>326</v>
      </c>
      <c r="BU437" t="s">
        <v>165</v>
      </c>
      <c r="BV437" t="s">
        <v>323</v>
      </c>
      <c r="BW437" t="s">
        <v>324</v>
      </c>
      <c r="BX437" t="s">
        <v>325</v>
      </c>
      <c r="BY437" t="s">
        <v>326</v>
      </c>
      <c r="BZ437" t="s">
        <v>165</v>
      </c>
      <c r="CA437" t="s">
        <v>323</v>
      </c>
      <c r="CB437" t="s">
        <v>324</v>
      </c>
      <c r="CC437" t="s">
        <v>325</v>
      </c>
      <c r="CD437" t="s">
        <v>326</v>
      </c>
      <c r="CE437" t="s">
        <v>165</v>
      </c>
      <c r="CF437" t="s">
        <v>323</v>
      </c>
      <c r="CG437" t="s">
        <v>324</v>
      </c>
      <c r="CH437" t="s">
        <v>325</v>
      </c>
      <c r="CI437" t="s">
        <v>326</v>
      </c>
      <c r="CJ437" t="s">
        <v>165</v>
      </c>
      <c r="CK437" t="s">
        <v>323</v>
      </c>
      <c r="CL437" t="s">
        <v>324</v>
      </c>
      <c r="CM437" t="s">
        <v>325</v>
      </c>
      <c r="CN437" t="s">
        <v>326</v>
      </c>
      <c r="CO437" t="s">
        <v>165</v>
      </c>
      <c r="CP437" t="s">
        <v>323</v>
      </c>
      <c r="CQ437" t="s">
        <v>324</v>
      </c>
      <c r="CR437" t="s">
        <v>325</v>
      </c>
      <c r="CS437" t="s">
        <v>326</v>
      </c>
      <c r="CT437" t="s">
        <v>165</v>
      </c>
      <c r="CU437" t="s">
        <v>323</v>
      </c>
      <c r="CV437" t="s">
        <v>324</v>
      </c>
      <c r="CW437" t="s">
        <v>325</v>
      </c>
      <c r="CX437" t="s">
        <v>326</v>
      </c>
      <c r="CY437" t="s">
        <v>165</v>
      </c>
      <c r="CZ437" t="s">
        <v>323</v>
      </c>
      <c r="DA437" t="s">
        <v>324</v>
      </c>
      <c r="DB437" t="s">
        <v>325</v>
      </c>
      <c r="DC437" t="s">
        <v>326</v>
      </c>
      <c r="DD437" t="s">
        <v>165</v>
      </c>
      <c r="DE437" t="s">
        <v>323</v>
      </c>
      <c r="DF437" t="s">
        <v>324</v>
      </c>
      <c r="DG437" t="s">
        <v>325</v>
      </c>
      <c r="DH437" t="s">
        <v>326</v>
      </c>
      <c r="DI437" t="s">
        <v>165</v>
      </c>
      <c r="DJ437" t="s">
        <v>323</v>
      </c>
      <c r="DK437" t="s">
        <v>324</v>
      </c>
      <c r="DL437" t="s">
        <v>325</v>
      </c>
      <c r="DM437" t="s">
        <v>326</v>
      </c>
      <c r="DN437" t="s">
        <v>165</v>
      </c>
      <c r="DO437" t="s">
        <v>323</v>
      </c>
      <c r="DP437" t="s">
        <v>324</v>
      </c>
      <c r="DQ437" t="s">
        <v>325</v>
      </c>
      <c r="DR437" t="s">
        <v>326</v>
      </c>
      <c r="DT437" s="77"/>
      <c r="DU437" t="s">
        <v>261</v>
      </c>
      <c r="DV437">
        <f>IF(DV$435,$DV425,0)</f>
        <v>0</v>
      </c>
      <c r="DW437">
        <f t="shared" ref="DW437:DZ437" si="2161">IF(DW$435,$DV425,0)</f>
        <v>0</v>
      </c>
      <c r="DX437">
        <f t="shared" si="2161"/>
        <v>0</v>
      </c>
      <c r="DY437">
        <f t="shared" si="2161"/>
        <v>0</v>
      </c>
      <c r="DZ437">
        <f t="shared" si="2161"/>
        <v>0</v>
      </c>
      <c r="EA437">
        <f>IF(EA$435,$DW425,0)</f>
        <v>0</v>
      </c>
      <c r="EB437">
        <f t="shared" ref="EB437:EE437" si="2162">IF(EB$435,$DW425,0)</f>
        <v>0</v>
      </c>
      <c r="EC437">
        <f t="shared" si="2162"/>
        <v>0</v>
      </c>
      <c r="ED437">
        <f t="shared" si="2162"/>
        <v>0</v>
      </c>
      <c r="EE437">
        <f t="shared" si="2162"/>
        <v>0</v>
      </c>
      <c r="EF437">
        <f>IF(EF$435,$DV425,0)</f>
        <v>0</v>
      </c>
      <c r="EG437">
        <f t="shared" ref="EG437:EJ437" si="2163">IF(EG$435,$DV425,0)</f>
        <v>0</v>
      </c>
      <c r="EH437">
        <f t="shared" si="2163"/>
        <v>0</v>
      </c>
      <c r="EI437">
        <f t="shared" si="2163"/>
        <v>0</v>
      </c>
      <c r="EJ437">
        <f t="shared" si="2163"/>
        <v>0</v>
      </c>
      <c r="EK437">
        <f>IF(EK$435,$DW425,0)</f>
        <v>0</v>
      </c>
      <c r="EL437">
        <f t="shared" ref="EL437:EO437" si="2164">IF(EL$435,$DW425,0)</f>
        <v>0</v>
      </c>
      <c r="EM437">
        <f t="shared" si="2164"/>
        <v>0</v>
      </c>
      <c r="EN437">
        <f t="shared" si="2164"/>
        <v>0</v>
      </c>
      <c r="EO437">
        <f t="shared" si="2164"/>
        <v>0</v>
      </c>
      <c r="EP437">
        <f>IF(EP$435,$DV425,0)</f>
        <v>0</v>
      </c>
      <c r="EQ437">
        <f t="shared" ref="EQ437:ET437" si="2165">IF(EQ$435,$DV425,0)</f>
        <v>0</v>
      </c>
      <c r="ER437">
        <f t="shared" si="2165"/>
        <v>0</v>
      </c>
      <c r="ES437">
        <f t="shared" si="2165"/>
        <v>0</v>
      </c>
      <c r="ET437">
        <f t="shared" si="2165"/>
        <v>0</v>
      </c>
      <c r="EU437">
        <f>IF(EU$435,$DW425,0)</f>
        <v>0</v>
      </c>
      <c r="EV437">
        <f t="shared" ref="EV437:EY437" si="2166">IF(EV$435,$DW425,0)</f>
        <v>0</v>
      </c>
      <c r="EW437">
        <f t="shared" si="2166"/>
        <v>0</v>
      </c>
      <c r="EX437">
        <f t="shared" si="2166"/>
        <v>0</v>
      </c>
      <c r="EY437">
        <f t="shared" si="2166"/>
        <v>0</v>
      </c>
      <c r="EZ437">
        <f>IF(EZ$435,$DV425,0)</f>
        <v>0</v>
      </c>
      <c r="FA437">
        <f t="shared" ref="FA437:FD437" si="2167">IF(FA$435,$DV425,0)</f>
        <v>0</v>
      </c>
      <c r="FB437">
        <f t="shared" si="2167"/>
        <v>0</v>
      </c>
      <c r="FC437">
        <f t="shared" si="2167"/>
        <v>0</v>
      </c>
      <c r="FD437">
        <f t="shared" si="2167"/>
        <v>0</v>
      </c>
      <c r="FE437">
        <f>IF(FE$435,$DW425,0)</f>
        <v>0</v>
      </c>
      <c r="FF437">
        <f t="shared" ref="FF437:FI437" si="2168">IF(FF$435,$DW425,0)</f>
        <v>0</v>
      </c>
      <c r="FG437">
        <f t="shared" si="2168"/>
        <v>0</v>
      </c>
      <c r="FH437">
        <f t="shared" si="2168"/>
        <v>0</v>
      </c>
      <c r="FI437">
        <f t="shared" si="2168"/>
        <v>0</v>
      </c>
      <c r="FJ437">
        <f>IF(FJ$435,$DV425,0)</f>
        <v>0</v>
      </c>
      <c r="FK437">
        <f t="shared" ref="FK437:FN437" si="2169">IF(FK$435,$DV425,0)</f>
        <v>0</v>
      </c>
      <c r="FL437">
        <f t="shared" si="2169"/>
        <v>0</v>
      </c>
      <c r="FM437">
        <f t="shared" si="2169"/>
        <v>0</v>
      </c>
      <c r="FN437">
        <f t="shared" si="2169"/>
        <v>0</v>
      </c>
      <c r="FO437">
        <f>IF(FO$435,$DW425,0)</f>
        <v>0</v>
      </c>
      <c r="FP437">
        <f t="shared" ref="FP437:FS437" si="2170">IF(FP$435,$DW425,0)</f>
        <v>0</v>
      </c>
      <c r="FQ437">
        <f t="shared" si="2170"/>
        <v>0</v>
      </c>
      <c r="FR437">
        <f t="shared" si="2170"/>
        <v>0</v>
      </c>
      <c r="FS437">
        <f t="shared" si="2170"/>
        <v>0</v>
      </c>
      <c r="FT437">
        <f>IF(FT$435,$DV425,0)</f>
        <v>0</v>
      </c>
      <c r="FU437">
        <f t="shared" ref="FU437:FX437" si="2171">IF(FU$435,$DV425,0)</f>
        <v>0</v>
      </c>
      <c r="FV437">
        <f t="shared" si="2171"/>
        <v>0</v>
      </c>
      <c r="FW437">
        <f t="shared" si="2171"/>
        <v>0</v>
      </c>
      <c r="FX437">
        <f t="shared" si="2171"/>
        <v>0</v>
      </c>
      <c r="FY437">
        <f>IF(FY$435,$DW425,0)</f>
        <v>0</v>
      </c>
      <c r="FZ437">
        <f t="shared" ref="FZ437:GC437" si="2172">IF(FZ$435,$DW425,0)</f>
        <v>0</v>
      </c>
      <c r="GA437">
        <f t="shared" si="2172"/>
        <v>0</v>
      </c>
      <c r="GB437">
        <f t="shared" si="2172"/>
        <v>0</v>
      </c>
      <c r="GC437">
        <f t="shared" si="2172"/>
        <v>0</v>
      </c>
    </row>
    <row r="438" spans="1:185" x14ac:dyDescent="0.2">
      <c r="A438" s="8" t="s">
        <v>261</v>
      </c>
      <c r="B438">
        <f>ConvenienceLand!F20</f>
        <v>0</v>
      </c>
      <c r="C438">
        <f>ConvenienceLand!F37</f>
        <v>0</v>
      </c>
      <c r="D438">
        <f>ConvenienceLand!F54</f>
        <v>0</v>
      </c>
      <c r="E438">
        <f>ConvenienceLand!F71</f>
        <v>0</v>
      </c>
      <c r="F438">
        <f>ConvenienceLand!F88</f>
        <v>0</v>
      </c>
      <c r="G438">
        <f>ConvenienceLand!H20</f>
        <v>0</v>
      </c>
      <c r="H438">
        <f>ConvenienceLand!H37</f>
        <v>0</v>
      </c>
      <c r="I438">
        <f>ConvenienceLand!H54</f>
        <v>0</v>
      </c>
      <c r="J438">
        <f>ConvenienceLand!H71</f>
        <v>0</v>
      </c>
      <c r="K438">
        <f>ConvenienceLand!H88</f>
        <v>0</v>
      </c>
      <c r="BJ438" s="8" t="s">
        <v>9754</v>
      </c>
      <c r="BK438" t="b">
        <f>IF(TankMSS!$C$14="permanent flare",TRUE,FALSE)</f>
        <v>0</v>
      </c>
      <c r="BL438" t="b">
        <f>IF(TankMSS!$C$15="permanent flare",TRUE,FALSE)</f>
        <v>0</v>
      </c>
      <c r="BM438" t="b">
        <f>IF(TankMSS!$C$16="permanent flare",TRUE,FALSE)</f>
        <v>0</v>
      </c>
      <c r="BN438" t="b">
        <f>IF(TankMSS!$C$17="permanent flare",TRUE,FALSE)</f>
        <v>0</v>
      </c>
      <c r="BO438" t="b">
        <f>IF(TankMSS!$C$18="permanent flare",TRUE,FALSE)</f>
        <v>0</v>
      </c>
      <c r="BP438" t="b">
        <f>BK$438</f>
        <v>0</v>
      </c>
      <c r="BQ438" t="b">
        <f t="shared" ref="BQ438:BT438" si="2173">BL$438</f>
        <v>0</v>
      </c>
      <c r="BR438" t="b">
        <f t="shared" si="2173"/>
        <v>0</v>
      </c>
      <c r="BS438" t="b">
        <f t="shared" si="2173"/>
        <v>0</v>
      </c>
      <c r="BT438" t="b">
        <f t="shared" si="2173"/>
        <v>0</v>
      </c>
      <c r="BU438" t="b">
        <f>IF(TankMSS!$C$14="permanent vcu",TRUE,FALSE)</f>
        <v>0</v>
      </c>
      <c r="BV438" t="b">
        <f>IF(TankMSS!$C$15="permanent vcu",TRUE,FALSE)</f>
        <v>0</v>
      </c>
      <c r="BW438" t="b">
        <f>IF(TankMSS!$C$16="permanent vcu",TRUE,FALSE)</f>
        <v>0</v>
      </c>
      <c r="BX438" t="b">
        <f>IF(TankMSS!$C$17="permanent vcu",TRUE,FALSE)</f>
        <v>0</v>
      </c>
      <c r="BY438" t="b">
        <f>IF(TankMSS!$C$18="permanent vcu",TRUE,FALSE)</f>
        <v>0</v>
      </c>
      <c r="BZ438" t="b">
        <f>BU$438</f>
        <v>0</v>
      </c>
      <c r="CA438" t="b">
        <f t="shared" ref="CA438:CC438" si="2174">BV$438</f>
        <v>0</v>
      </c>
      <c r="CB438" t="b">
        <f t="shared" si="2174"/>
        <v>0</v>
      </c>
      <c r="CC438" t="b">
        <f t="shared" si="2174"/>
        <v>0</v>
      </c>
      <c r="CD438" t="b">
        <f>BY$438</f>
        <v>0</v>
      </c>
      <c r="CE438" t="b">
        <f>IF(TankMSS!$C$14="permanent vapor oxidizer",TRUE,FALSE)</f>
        <v>0</v>
      </c>
      <c r="CF438" t="b">
        <f>IF(TankMSS!$C$15="permanent vapor oxidizer",TRUE,FALSE)</f>
        <v>0</v>
      </c>
      <c r="CG438" t="b">
        <f>IF(TankMSS!$C$16="permanent vapor oxidizer",TRUE,FALSE)</f>
        <v>0</v>
      </c>
      <c r="CH438" t="b">
        <f>IF(TankMSS!$C$17="permanent vapor oxidizer",TRUE,FALSE)</f>
        <v>0</v>
      </c>
      <c r="CI438" t="b">
        <f>IF(TankMSS!$C$18="permanent vapor oxidizer",TRUE,FALSE)</f>
        <v>0</v>
      </c>
      <c r="CJ438" t="b">
        <f>CE$438</f>
        <v>0</v>
      </c>
      <c r="CK438" t="b">
        <f>CF$438</f>
        <v>0</v>
      </c>
      <c r="CL438" t="b">
        <f t="shared" ref="CL438:CN438" si="2175">CG$438</f>
        <v>0</v>
      </c>
      <c r="CM438" t="b">
        <f t="shared" si="2175"/>
        <v>0</v>
      </c>
      <c r="CN438" t="b">
        <f t="shared" si="2175"/>
        <v>0</v>
      </c>
      <c r="CO438" t="b">
        <f>IF(TankMSS!$C$14="temporary flare",TRUE,FALSE)</f>
        <v>0</v>
      </c>
      <c r="CP438" t="b">
        <f>IF(TankMSS!$C$15="temporary flare",TRUE,FALSE)</f>
        <v>0</v>
      </c>
      <c r="CQ438" t="b">
        <f>IF(TankMSS!$C$16="temporary flare",TRUE,FALSE)</f>
        <v>0</v>
      </c>
      <c r="CR438" t="b">
        <f>IF(TankMSS!$C$17="temporary flare",TRUE,FALSE)</f>
        <v>0</v>
      </c>
      <c r="CS438" t="b">
        <f>IF(TankMSS!$C$18="temporary flare",TRUE,FALSE)</f>
        <v>0</v>
      </c>
      <c r="CT438" t="b">
        <f>CO$438</f>
        <v>0</v>
      </c>
      <c r="CU438" t="b">
        <f t="shared" ref="CU438:CW438" si="2176">CP$438</f>
        <v>0</v>
      </c>
      <c r="CV438" t="b">
        <f t="shared" si="2176"/>
        <v>0</v>
      </c>
      <c r="CW438" t="b">
        <f t="shared" si="2176"/>
        <v>0</v>
      </c>
      <c r="CX438" t="b">
        <f>CS$438</f>
        <v>0</v>
      </c>
      <c r="CY438" t="b">
        <f>IF(TankMSS!$C$14="temporary vcu",TRUE,FALSE)</f>
        <v>0</v>
      </c>
      <c r="CZ438" t="b">
        <f>IF(TankMSS!$C$15="temporary vcu",TRUE,FALSE)</f>
        <v>0</v>
      </c>
      <c r="DA438" t="b">
        <f>IF(TankMSS!$C$16="temporary vcu",TRUE,FALSE)</f>
        <v>0</v>
      </c>
      <c r="DB438" t="b">
        <f>IF(TankMSS!$C$17="temporary vcu",TRUE,FALSE)</f>
        <v>0</v>
      </c>
      <c r="DC438" t="b">
        <f>IF(TankMSS!$C$18="temporary vcu",TRUE,FALSE)</f>
        <v>0</v>
      </c>
      <c r="DD438" t="b">
        <f>CY$438</f>
        <v>0</v>
      </c>
      <c r="DE438" t="b">
        <f t="shared" ref="DE438:DF438" si="2177">CZ$438</f>
        <v>0</v>
      </c>
      <c r="DF438" t="b">
        <f t="shared" si="2177"/>
        <v>0</v>
      </c>
      <c r="DG438" t="b">
        <f>DB$438</f>
        <v>0</v>
      </c>
      <c r="DH438" t="b">
        <f>DC$438</f>
        <v>0</v>
      </c>
      <c r="DI438" t="b">
        <f>IF(TankMSS!$C$14="temporary thermal oxidizer",TRUE,FALSE)</f>
        <v>0</v>
      </c>
      <c r="DJ438" t="b">
        <f>IF(TankMSS!$C$15="temporary thermal oxidizer",TRUE,FALSE)</f>
        <v>0</v>
      </c>
      <c r="DK438" t="b">
        <f>IF(TankMSS!$C$16="temporary thermal oxidizer",TRUE,FALSE)</f>
        <v>0</v>
      </c>
      <c r="DL438" t="b">
        <f>IF(TankMSS!$C$17="temporary thermal oxidizer",TRUE,FALSE)</f>
        <v>0</v>
      </c>
      <c r="DM438" t="b">
        <f>IF(TankMSS!$C$18="temporary thermal oxidizer",TRUE,FALSE)</f>
        <v>0</v>
      </c>
      <c r="DN438" t="b">
        <f>DI$438</f>
        <v>0</v>
      </c>
      <c r="DO438" t="b">
        <f t="shared" ref="DO438:DR438" si="2178">DJ$438</f>
        <v>0</v>
      </c>
      <c r="DP438" t="b">
        <f t="shared" si="2178"/>
        <v>0</v>
      </c>
      <c r="DQ438" t="b">
        <f t="shared" si="2178"/>
        <v>0</v>
      </c>
      <c r="DR438" t="b">
        <f t="shared" si="2178"/>
        <v>0</v>
      </c>
      <c r="DT438" s="77"/>
      <c r="DU438" t="s">
        <v>262</v>
      </c>
      <c r="DV438">
        <f t="shared" ref="DV438:DZ438" si="2179">IF(DV$435,$DV426,0)</f>
        <v>0</v>
      </c>
      <c r="DW438">
        <f t="shared" si="2179"/>
        <v>0</v>
      </c>
      <c r="DX438">
        <f t="shared" si="2179"/>
        <v>0</v>
      </c>
      <c r="DY438">
        <f t="shared" si="2179"/>
        <v>0</v>
      </c>
      <c r="DZ438">
        <f t="shared" si="2179"/>
        <v>0</v>
      </c>
      <c r="EA438">
        <f t="shared" ref="EA438:EE438" si="2180">IF(EA$435,$DW426,0)</f>
        <v>0</v>
      </c>
      <c r="EB438">
        <f t="shared" si="2180"/>
        <v>0</v>
      </c>
      <c r="EC438">
        <f t="shared" si="2180"/>
        <v>0</v>
      </c>
      <c r="ED438">
        <f t="shared" si="2180"/>
        <v>0</v>
      </c>
      <c r="EE438">
        <f t="shared" si="2180"/>
        <v>0</v>
      </c>
      <c r="EF438">
        <f t="shared" ref="EF438:EJ438" si="2181">IF(EF$435,$DV426,0)</f>
        <v>0</v>
      </c>
      <c r="EG438">
        <f t="shared" si="2181"/>
        <v>0</v>
      </c>
      <c r="EH438">
        <f t="shared" si="2181"/>
        <v>0</v>
      </c>
      <c r="EI438">
        <f t="shared" si="2181"/>
        <v>0</v>
      </c>
      <c r="EJ438">
        <f t="shared" si="2181"/>
        <v>0</v>
      </c>
      <c r="EK438">
        <f t="shared" ref="EK438:EO438" si="2182">IF(EK$435,$DW426,0)</f>
        <v>0</v>
      </c>
      <c r="EL438">
        <f t="shared" si="2182"/>
        <v>0</v>
      </c>
      <c r="EM438">
        <f t="shared" si="2182"/>
        <v>0</v>
      </c>
      <c r="EN438">
        <f t="shared" si="2182"/>
        <v>0</v>
      </c>
      <c r="EO438">
        <f t="shared" si="2182"/>
        <v>0</v>
      </c>
      <c r="EP438">
        <f t="shared" ref="EP438:ET438" si="2183">IF(EP$435,$DV426,0)</f>
        <v>0</v>
      </c>
      <c r="EQ438">
        <f t="shared" si="2183"/>
        <v>0</v>
      </c>
      <c r="ER438">
        <f t="shared" si="2183"/>
        <v>0</v>
      </c>
      <c r="ES438">
        <f t="shared" si="2183"/>
        <v>0</v>
      </c>
      <c r="ET438">
        <f t="shared" si="2183"/>
        <v>0</v>
      </c>
      <c r="EU438">
        <f t="shared" ref="EU438:EY438" si="2184">IF(EU$435,$DW426,0)</f>
        <v>0</v>
      </c>
      <c r="EV438">
        <f t="shared" si="2184"/>
        <v>0</v>
      </c>
      <c r="EW438">
        <f t="shared" si="2184"/>
        <v>0</v>
      </c>
      <c r="EX438">
        <f t="shared" si="2184"/>
        <v>0</v>
      </c>
      <c r="EY438">
        <f t="shared" si="2184"/>
        <v>0</v>
      </c>
      <c r="EZ438">
        <f t="shared" ref="EZ438:FD438" si="2185">IF(EZ$435,$DV426,0)</f>
        <v>0</v>
      </c>
      <c r="FA438">
        <f t="shared" si="2185"/>
        <v>0</v>
      </c>
      <c r="FB438">
        <f t="shared" si="2185"/>
        <v>0</v>
      </c>
      <c r="FC438">
        <f t="shared" si="2185"/>
        <v>0</v>
      </c>
      <c r="FD438">
        <f t="shared" si="2185"/>
        <v>0</v>
      </c>
      <c r="FE438">
        <f t="shared" ref="FE438:FI438" si="2186">IF(FE$435,$DW426,0)</f>
        <v>0</v>
      </c>
      <c r="FF438">
        <f t="shared" si="2186"/>
        <v>0</v>
      </c>
      <c r="FG438">
        <f t="shared" si="2186"/>
        <v>0</v>
      </c>
      <c r="FH438">
        <f t="shared" si="2186"/>
        <v>0</v>
      </c>
      <c r="FI438">
        <f t="shared" si="2186"/>
        <v>0</v>
      </c>
      <c r="FJ438">
        <f t="shared" ref="FJ438:FN438" si="2187">IF(FJ$435,$DV426,0)</f>
        <v>0</v>
      </c>
      <c r="FK438">
        <f t="shared" si="2187"/>
        <v>0</v>
      </c>
      <c r="FL438">
        <f t="shared" si="2187"/>
        <v>0</v>
      </c>
      <c r="FM438">
        <f t="shared" si="2187"/>
        <v>0</v>
      </c>
      <c r="FN438">
        <f t="shared" si="2187"/>
        <v>0</v>
      </c>
      <c r="FO438">
        <f t="shared" ref="FO438:FS438" si="2188">IF(FO$435,$DW426,0)</f>
        <v>0</v>
      </c>
      <c r="FP438">
        <f t="shared" si="2188"/>
        <v>0</v>
      </c>
      <c r="FQ438">
        <f t="shared" si="2188"/>
        <v>0</v>
      </c>
      <c r="FR438">
        <f t="shared" si="2188"/>
        <v>0</v>
      </c>
      <c r="FS438">
        <f t="shared" si="2188"/>
        <v>0</v>
      </c>
      <c r="FT438">
        <f t="shared" ref="FT438:FX438" si="2189">IF(FT$435,$DV426,0)</f>
        <v>0</v>
      </c>
      <c r="FU438">
        <f t="shared" si="2189"/>
        <v>0</v>
      </c>
      <c r="FV438">
        <f t="shared" si="2189"/>
        <v>0</v>
      </c>
      <c r="FW438">
        <f t="shared" si="2189"/>
        <v>0</v>
      </c>
      <c r="FX438">
        <f t="shared" si="2189"/>
        <v>0</v>
      </c>
      <c r="FY438">
        <f t="shared" ref="FY438:GC438" si="2190">IF(FY$435,$DW426,0)</f>
        <v>0</v>
      </c>
      <c r="FZ438">
        <f t="shared" si="2190"/>
        <v>0</v>
      </c>
      <c r="GA438">
        <f t="shared" si="2190"/>
        <v>0</v>
      </c>
      <c r="GB438">
        <f t="shared" si="2190"/>
        <v>0</v>
      </c>
      <c r="GC438">
        <f t="shared" si="2190"/>
        <v>0</v>
      </c>
    </row>
    <row r="439" spans="1:185" x14ac:dyDescent="0.2">
      <c r="A439" s="8" t="s">
        <v>262</v>
      </c>
      <c r="B439">
        <f>ConvenienceLand!F21</f>
        <v>0</v>
      </c>
      <c r="C439">
        <f>ConvenienceLand!F38</f>
        <v>0</v>
      </c>
      <c r="D439">
        <f>ConvenienceLand!F55</f>
        <v>0</v>
      </c>
      <c r="E439">
        <f>ConvenienceLand!F72</f>
        <v>0</v>
      </c>
      <c r="F439">
        <f>ConvenienceLand!F89</f>
        <v>0</v>
      </c>
      <c r="G439">
        <f>ConvenienceLand!H21</f>
        <v>0</v>
      </c>
      <c r="H439">
        <f>ConvenienceLand!H38</f>
        <v>0</v>
      </c>
      <c r="I439">
        <f>ConvenienceLand!H55</f>
        <v>0</v>
      </c>
      <c r="J439">
        <f>ConvenienceLand!H72</f>
        <v>0</v>
      </c>
      <c r="K439">
        <f>ConvenienceLand!H89</f>
        <v>0</v>
      </c>
      <c r="BJ439" s="8"/>
      <c r="BK439" t="s">
        <v>8741</v>
      </c>
      <c r="BL439" t="s">
        <v>8741</v>
      </c>
      <c r="BM439" t="s">
        <v>8741</v>
      </c>
      <c r="BN439" t="s">
        <v>8741</v>
      </c>
      <c r="BO439" t="s">
        <v>8741</v>
      </c>
      <c r="BP439" t="s">
        <v>8742</v>
      </c>
      <c r="BQ439" t="s">
        <v>8742</v>
      </c>
      <c r="BR439" t="s">
        <v>8742</v>
      </c>
      <c r="BS439" t="s">
        <v>8742</v>
      </c>
      <c r="BT439" t="s">
        <v>8742</v>
      </c>
      <c r="BU439" t="s">
        <v>8741</v>
      </c>
      <c r="BV439" t="s">
        <v>8741</v>
      </c>
      <c r="BW439" t="s">
        <v>8741</v>
      </c>
      <c r="BX439" t="s">
        <v>8741</v>
      </c>
      <c r="BY439" t="s">
        <v>8741</v>
      </c>
      <c r="BZ439" t="s">
        <v>8742</v>
      </c>
      <c r="CA439" t="s">
        <v>8742</v>
      </c>
      <c r="CB439" t="s">
        <v>8742</v>
      </c>
      <c r="CC439" t="s">
        <v>8742</v>
      </c>
      <c r="CD439" t="s">
        <v>8742</v>
      </c>
      <c r="CE439" t="s">
        <v>8741</v>
      </c>
      <c r="CF439" t="s">
        <v>8741</v>
      </c>
      <c r="CG439" t="s">
        <v>8741</v>
      </c>
      <c r="CH439" t="s">
        <v>8741</v>
      </c>
      <c r="CI439" t="s">
        <v>8741</v>
      </c>
      <c r="CJ439" t="s">
        <v>8742</v>
      </c>
      <c r="CK439" t="s">
        <v>8742</v>
      </c>
      <c r="CL439" t="s">
        <v>8742</v>
      </c>
      <c r="CM439" t="s">
        <v>8742</v>
      </c>
      <c r="CN439" t="s">
        <v>8742</v>
      </c>
      <c r="CO439" t="s">
        <v>8741</v>
      </c>
      <c r="CP439" t="s">
        <v>8741</v>
      </c>
      <c r="CQ439" t="s">
        <v>8741</v>
      </c>
      <c r="CR439" t="s">
        <v>8741</v>
      </c>
      <c r="CS439" t="s">
        <v>8741</v>
      </c>
      <c r="CT439" t="s">
        <v>8742</v>
      </c>
      <c r="CU439" t="s">
        <v>8742</v>
      </c>
      <c r="CV439" t="s">
        <v>8742</v>
      </c>
      <c r="CW439" t="s">
        <v>8742</v>
      </c>
      <c r="CX439" t="s">
        <v>8742</v>
      </c>
      <c r="CY439" t="s">
        <v>8741</v>
      </c>
      <c r="CZ439" t="s">
        <v>8741</v>
      </c>
      <c r="DA439" t="s">
        <v>8741</v>
      </c>
      <c r="DB439" t="s">
        <v>8741</v>
      </c>
      <c r="DC439" t="s">
        <v>8741</v>
      </c>
      <c r="DD439" t="s">
        <v>8742</v>
      </c>
      <c r="DE439" t="s">
        <v>8742</v>
      </c>
      <c r="DF439" t="s">
        <v>8742</v>
      </c>
      <c r="DG439" t="s">
        <v>8742</v>
      </c>
      <c r="DH439" t="s">
        <v>8742</v>
      </c>
      <c r="DI439" t="s">
        <v>8741</v>
      </c>
      <c r="DJ439" t="s">
        <v>8741</v>
      </c>
      <c r="DK439" t="s">
        <v>8741</v>
      </c>
      <c r="DL439" t="s">
        <v>8741</v>
      </c>
      <c r="DM439" t="s">
        <v>8741</v>
      </c>
      <c r="DN439" t="s">
        <v>8742</v>
      </c>
      <c r="DO439" t="s">
        <v>8742</v>
      </c>
      <c r="DP439" t="s">
        <v>8742</v>
      </c>
      <c r="DQ439" t="s">
        <v>8742</v>
      </c>
      <c r="DR439" t="s">
        <v>8742</v>
      </c>
      <c r="DT439" s="77"/>
      <c r="DU439" t="s">
        <v>263</v>
      </c>
      <c r="DV439">
        <f t="shared" ref="DV439:DZ439" si="2191">IF(DV$435,$DV427,0)</f>
        <v>0</v>
      </c>
      <c r="DW439">
        <f t="shared" si="2191"/>
        <v>0</v>
      </c>
      <c r="DX439">
        <f t="shared" si="2191"/>
        <v>0</v>
      </c>
      <c r="DY439">
        <f t="shared" si="2191"/>
        <v>0</v>
      </c>
      <c r="DZ439">
        <f t="shared" si="2191"/>
        <v>0</v>
      </c>
      <c r="EA439">
        <f t="shared" ref="EA439:EE439" si="2192">IF(EA$435,$DW427,0)</f>
        <v>0</v>
      </c>
      <c r="EB439">
        <f t="shared" si="2192"/>
        <v>0</v>
      </c>
      <c r="EC439">
        <f t="shared" si="2192"/>
        <v>0</v>
      </c>
      <c r="ED439">
        <f t="shared" si="2192"/>
        <v>0</v>
      </c>
      <c r="EE439">
        <f t="shared" si="2192"/>
        <v>0</v>
      </c>
      <c r="EF439">
        <f t="shared" ref="EF439:EJ439" si="2193">IF(EF$435,$DV427,0)</f>
        <v>0</v>
      </c>
      <c r="EG439">
        <f t="shared" si="2193"/>
        <v>0</v>
      </c>
      <c r="EH439">
        <f t="shared" si="2193"/>
        <v>0</v>
      </c>
      <c r="EI439">
        <f t="shared" si="2193"/>
        <v>0</v>
      </c>
      <c r="EJ439">
        <f t="shared" si="2193"/>
        <v>0</v>
      </c>
      <c r="EK439">
        <f t="shared" ref="EK439:EO439" si="2194">IF(EK$435,$DW427,0)</f>
        <v>0</v>
      </c>
      <c r="EL439">
        <f t="shared" si="2194"/>
        <v>0</v>
      </c>
      <c r="EM439">
        <f t="shared" si="2194"/>
        <v>0</v>
      </c>
      <c r="EN439">
        <f t="shared" si="2194"/>
        <v>0</v>
      </c>
      <c r="EO439">
        <f t="shared" si="2194"/>
        <v>0</v>
      </c>
      <c r="EP439">
        <f t="shared" ref="EP439:ET439" si="2195">IF(EP$435,$DV427,0)</f>
        <v>0</v>
      </c>
      <c r="EQ439">
        <f t="shared" si="2195"/>
        <v>0</v>
      </c>
      <c r="ER439">
        <f t="shared" si="2195"/>
        <v>0</v>
      </c>
      <c r="ES439">
        <f t="shared" si="2195"/>
        <v>0</v>
      </c>
      <c r="ET439">
        <f t="shared" si="2195"/>
        <v>0</v>
      </c>
      <c r="EU439">
        <f t="shared" ref="EU439:EY439" si="2196">IF(EU$435,$DW427,0)</f>
        <v>0</v>
      </c>
      <c r="EV439">
        <f t="shared" si="2196"/>
        <v>0</v>
      </c>
      <c r="EW439">
        <f t="shared" si="2196"/>
        <v>0</v>
      </c>
      <c r="EX439">
        <f t="shared" si="2196"/>
        <v>0</v>
      </c>
      <c r="EY439">
        <f t="shared" si="2196"/>
        <v>0</v>
      </c>
      <c r="EZ439">
        <f t="shared" ref="EZ439:FD439" si="2197">IF(EZ$435,$DV427,0)</f>
        <v>0</v>
      </c>
      <c r="FA439">
        <f t="shared" si="2197"/>
        <v>0</v>
      </c>
      <c r="FB439">
        <f t="shared" si="2197"/>
        <v>0</v>
      </c>
      <c r="FC439">
        <f t="shared" si="2197"/>
        <v>0</v>
      </c>
      <c r="FD439">
        <f t="shared" si="2197"/>
        <v>0</v>
      </c>
      <c r="FE439">
        <f t="shared" ref="FE439:FI439" si="2198">IF(FE$435,$DW427,0)</f>
        <v>0</v>
      </c>
      <c r="FF439">
        <f t="shared" si="2198"/>
        <v>0</v>
      </c>
      <c r="FG439">
        <f t="shared" si="2198"/>
        <v>0</v>
      </c>
      <c r="FH439">
        <f t="shared" si="2198"/>
        <v>0</v>
      </c>
      <c r="FI439">
        <f t="shared" si="2198"/>
        <v>0</v>
      </c>
      <c r="FJ439">
        <f t="shared" ref="FJ439:FN439" si="2199">IF(FJ$435,$DV427,0)</f>
        <v>0</v>
      </c>
      <c r="FK439">
        <f t="shared" si="2199"/>
        <v>0</v>
      </c>
      <c r="FL439">
        <f t="shared" si="2199"/>
        <v>0</v>
      </c>
      <c r="FM439">
        <f t="shared" si="2199"/>
        <v>0</v>
      </c>
      <c r="FN439">
        <f t="shared" si="2199"/>
        <v>0</v>
      </c>
      <c r="FO439">
        <f t="shared" ref="FO439:FS439" si="2200">IF(FO$435,$DW427,0)</f>
        <v>0</v>
      </c>
      <c r="FP439">
        <f t="shared" si="2200"/>
        <v>0</v>
      </c>
      <c r="FQ439">
        <f t="shared" si="2200"/>
        <v>0</v>
      </c>
      <c r="FR439">
        <f t="shared" si="2200"/>
        <v>0</v>
      </c>
      <c r="FS439">
        <f t="shared" si="2200"/>
        <v>0</v>
      </c>
      <c r="FT439">
        <f t="shared" ref="FT439:FX439" si="2201">IF(FT$435,$DV427,0)</f>
        <v>0</v>
      </c>
      <c r="FU439">
        <f t="shared" si="2201"/>
        <v>0</v>
      </c>
      <c r="FV439">
        <f t="shared" si="2201"/>
        <v>0</v>
      </c>
      <c r="FW439">
        <f t="shared" si="2201"/>
        <v>0</v>
      </c>
      <c r="FX439">
        <f t="shared" si="2201"/>
        <v>0</v>
      </c>
      <c r="FY439">
        <f t="shared" ref="FY439:GC439" si="2202">IF(FY$435,$DW427,0)</f>
        <v>0</v>
      </c>
      <c r="FZ439">
        <f t="shared" si="2202"/>
        <v>0</v>
      </c>
      <c r="GA439">
        <f t="shared" si="2202"/>
        <v>0</v>
      </c>
      <c r="GB439">
        <f t="shared" si="2202"/>
        <v>0</v>
      </c>
      <c r="GC439">
        <f t="shared" si="2202"/>
        <v>0</v>
      </c>
    </row>
    <row r="440" spans="1:185" x14ac:dyDescent="0.2">
      <c r="A440" s="8" t="s">
        <v>263</v>
      </c>
      <c r="B440">
        <f>ConvenienceLand!F22</f>
        <v>0</v>
      </c>
      <c r="C440">
        <f>ConvenienceLand!F39</f>
        <v>0</v>
      </c>
      <c r="D440">
        <f>ConvenienceLand!F56</f>
        <v>0</v>
      </c>
      <c r="E440">
        <f>ConvenienceLand!F73</f>
        <v>0</v>
      </c>
      <c r="F440">
        <f>ConvenienceLand!F90</f>
        <v>0</v>
      </c>
      <c r="G440">
        <f>ConvenienceLand!H22</f>
        <v>0</v>
      </c>
      <c r="H440">
        <f>ConvenienceLand!H39</f>
        <v>0</v>
      </c>
      <c r="I440">
        <f>ConvenienceLand!H56</f>
        <v>0</v>
      </c>
      <c r="J440">
        <f>ConvenienceLand!H73</f>
        <v>0</v>
      </c>
      <c r="K440">
        <f>ConvenienceLand!H90</f>
        <v>0</v>
      </c>
      <c r="BJ440" s="8" t="s">
        <v>261</v>
      </c>
      <c r="BK440">
        <f>IF(BK$438,TankMSS!$C96,0)</f>
        <v>0</v>
      </c>
      <c r="BL440">
        <f>IF(BL$438,TankMSS!$C96,0)</f>
        <v>0</v>
      </c>
      <c r="BM440">
        <f>IF(BM$438,TankMSS!$C96,0)</f>
        <v>0</v>
      </c>
      <c r="BN440">
        <f>IF(BN$438,TankMSS!$C96,0)</f>
        <v>0</v>
      </c>
      <c r="BO440">
        <f>IF(BO$438,TankMSS!$C96,0)</f>
        <v>0</v>
      </c>
      <c r="BP440" s="156">
        <f>IF(BP$438,TankMSS!$D96,0)</f>
        <v>0</v>
      </c>
      <c r="BQ440" s="156">
        <f>IF(BQ$438,TankMSS!$D96,0)</f>
        <v>0</v>
      </c>
      <c r="BR440" s="156">
        <f>IF(BR$438,TankMSS!$D96,0)</f>
        <v>0</v>
      </c>
      <c r="BS440" s="156">
        <f>IF(BS$438,TankMSS!$D96,0)</f>
        <v>0</v>
      </c>
      <c r="BT440" s="156">
        <f>IF(BT$438,TankMSS!$D96,0)</f>
        <v>0</v>
      </c>
      <c r="BU440">
        <f>IF(BU$438,TankMSS!$C96,0)</f>
        <v>0</v>
      </c>
      <c r="BV440">
        <f>IF(BV$438,TankMSS!$C96,0)</f>
        <v>0</v>
      </c>
      <c r="BW440">
        <f>IF(BW$438,TankMSS!$C96,0)</f>
        <v>0</v>
      </c>
      <c r="BX440">
        <f>IF(BX$438,TankMSS!$C96,0)</f>
        <v>0</v>
      </c>
      <c r="BY440">
        <f>IF(BY$438,TankMSS!$C96,0)</f>
        <v>0</v>
      </c>
      <c r="BZ440">
        <f>IF(BZ$438,TankMSS!$D96,0)</f>
        <v>0</v>
      </c>
      <c r="CA440">
        <f>IF(CA$438,TankMSS!$D96,0)</f>
        <v>0</v>
      </c>
      <c r="CB440">
        <f>IF(CB$438,TankMSS!$D96,0)</f>
        <v>0</v>
      </c>
      <c r="CC440">
        <f>IF(CC$438,TankMSS!$D96,0)</f>
        <v>0</v>
      </c>
      <c r="CD440">
        <f>IF(CD$438,TankMSS!$D96,0)</f>
        <v>0</v>
      </c>
      <c r="CE440">
        <f>IF(CE$438,TankMSS!$C96,0)</f>
        <v>0</v>
      </c>
      <c r="CF440">
        <f>IF(CF$438,TankMSS!$C96,0)</f>
        <v>0</v>
      </c>
      <c r="CG440">
        <f>IF(CG$438,TankMSS!$C96,0)</f>
        <v>0</v>
      </c>
      <c r="CH440">
        <f>IF(CH$438,TankMSS!$C96,0)</f>
        <v>0</v>
      </c>
      <c r="CI440">
        <f>IF(CI$438,TankMSS!$C96,0)</f>
        <v>0</v>
      </c>
      <c r="CJ440">
        <f>IF(CJ$438,TankMSS!$D96,0)</f>
        <v>0</v>
      </c>
      <c r="CK440">
        <f>IF(CK$438,TankMSS!$D96,0)</f>
        <v>0</v>
      </c>
      <c r="CL440">
        <f>IF(CL$438,TankMSS!$D96,0)</f>
        <v>0</v>
      </c>
      <c r="CM440">
        <f>IF(CM$438,TankMSS!$D96,0)</f>
        <v>0</v>
      </c>
      <c r="CN440">
        <f>IF(CN$438,TankMSS!$D96,0)</f>
        <v>0</v>
      </c>
      <c r="CO440">
        <f>IF(CO$438,TankMSS!$C96,0)</f>
        <v>0</v>
      </c>
      <c r="CP440">
        <f>IF(CP$438,TankMSS!$C96,0)</f>
        <v>0</v>
      </c>
      <c r="CQ440">
        <f>IF(CQ$438,TankMSS!$C96,0)</f>
        <v>0</v>
      </c>
      <c r="CR440">
        <f>IF(CR$438,TankMSS!$C96,0)</f>
        <v>0</v>
      </c>
      <c r="CS440">
        <f>IF(CS$438,TankMSS!$C96,0)</f>
        <v>0</v>
      </c>
      <c r="CT440">
        <f>IF(CT$438,TankMSS!$D96,0)</f>
        <v>0</v>
      </c>
      <c r="CU440">
        <f>IF(CU$438,TankMSS!$D96,0)</f>
        <v>0</v>
      </c>
      <c r="CV440">
        <f>IF(CV$438,TankMSS!$D96,0)</f>
        <v>0</v>
      </c>
      <c r="CW440">
        <f>IF(CW$438,TankMSS!$D96,0)</f>
        <v>0</v>
      </c>
      <c r="CX440">
        <f>IF(CX$438,TankMSS!$D96,0)</f>
        <v>0</v>
      </c>
      <c r="CY440">
        <f>IF(CY$438,TankMSS!$C96,0)</f>
        <v>0</v>
      </c>
      <c r="CZ440">
        <f>IF(CZ$438,TankMSS!$C96,0)</f>
        <v>0</v>
      </c>
      <c r="DA440">
        <f>IF(DA$438,TankMSS!$C96,0)</f>
        <v>0</v>
      </c>
      <c r="DB440">
        <f>IF(DB$438,TankMSS!$C96,0)</f>
        <v>0</v>
      </c>
      <c r="DC440">
        <f>IF(DC$438,TankMSS!$C96,0)</f>
        <v>0</v>
      </c>
      <c r="DD440">
        <f>IF(DD$438,TankMSS!$D96,0)</f>
        <v>0</v>
      </c>
      <c r="DE440">
        <f>IF(DE$438,TankMSS!$D96,0)</f>
        <v>0</v>
      </c>
      <c r="DF440">
        <f>IF(DF$438,TankMSS!$D96,0)</f>
        <v>0</v>
      </c>
      <c r="DG440">
        <f>IF(DG$438,TankMSS!$D96,0)</f>
        <v>0</v>
      </c>
      <c r="DH440">
        <f>IF(DH$438,TankMSS!$D96,0)</f>
        <v>0</v>
      </c>
      <c r="DI440">
        <f>IF(DI$438,TankMSS!$C96,0)</f>
        <v>0</v>
      </c>
      <c r="DJ440">
        <f>IF(DJ$438,TankMSS!$C96,0)</f>
        <v>0</v>
      </c>
      <c r="DK440">
        <f>IF(DK$438,TankMSS!$C96,0)</f>
        <v>0</v>
      </c>
      <c r="DL440">
        <f>IF(DL$438,TankMSS!$C96,0)</f>
        <v>0</v>
      </c>
      <c r="DM440">
        <f>IF(DM$438,TankMSS!$C96,0)</f>
        <v>0</v>
      </c>
      <c r="DN440">
        <f>IF(DN$438,TankMSS!$D96,0)</f>
        <v>0</v>
      </c>
      <c r="DO440">
        <f>IF(DO$438,TankMSS!$D96,0)</f>
        <v>0</v>
      </c>
      <c r="DP440">
        <f>IF(DP$438,TankMSS!$D96,0)</f>
        <v>0</v>
      </c>
      <c r="DQ440">
        <f>IF(DQ$438,TankMSS!$D96,0)</f>
        <v>0</v>
      </c>
      <c r="DR440">
        <f>IF(DR$438,TankMSS!$D96,0)</f>
        <v>0</v>
      </c>
      <c r="DT440" s="77"/>
      <c r="DU440" t="s">
        <v>264</v>
      </c>
      <c r="DV440">
        <f t="shared" ref="DV440:DZ440" si="2203">IF(DV$435,$DV428,0)</f>
        <v>0</v>
      </c>
      <c r="DW440">
        <f t="shared" si="2203"/>
        <v>0</v>
      </c>
      <c r="DX440">
        <f t="shared" si="2203"/>
        <v>0</v>
      </c>
      <c r="DY440">
        <f t="shared" si="2203"/>
        <v>0</v>
      </c>
      <c r="DZ440">
        <f t="shared" si="2203"/>
        <v>0</v>
      </c>
      <c r="EA440">
        <f t="shared" ref="EA440:EE440" si="2204">IF(EA$435,$DW428,0)</f>
        <v>0</v>
      </c>
      <c r="EB440">
        <f t="shared" si="2204"/>
        <v>0</v>
      </c>
      <c r="EC440">
        <f t="shared" si="2204"/>
        <v>0</v>
      </c>
      <c r="ED440">
        <f t="shared" si="2204"/>
        <v>0</v>
      </c>
      <c r="EE440">
        <f t="shared" si="2204"/>
        <v>0</v>
      </c>
      <c r="EF440">
        <f t="shared" ref="EF440:EJ440" si="2205">IF(EF$435,$DV428,0)</f>
        <v>0</v>
      </c>
      <c r="EG440">
        <f t="shared" si="2205"/>
        <v>0</v>
      </c>
      <c r="EH440">
        <f t="shared" si="2205"/>
        <v>0</v>
      </c>
      <c r="EI440">
        <f t="shared" si="2205"/>
        <v>0</v>
      </c>
      <c r="EJ440">
        <f t="shared" si="2205"/>
        <v>0</v>
      </c>
      <c r="EK440">
        <f t="shared" ref="EK440:EO440" si="2206">IF(EK$435,$DW428,0)</f>
        <v>0</v>
      </c>
      <c r="EL440">
        <f t="shared" si="2206"/>
        <v>0</v>
      </c>
      <c r="EM440">
        <f t="shared" si="2206"/>
        <v>0</v>
      </c>
      <c r="EN440">
        <f t="shared" si="2206"/>
        <v>0</v>
      </c>
      <c r="EO440">
        <f t="shared" si="2206"/>
        <v>0</v>
      </c>
      <c r="EP440">
        <f t="shared" ref="EP440:ET440" si="2207">IF(EP$435,$DV428,0)</f>
        <v>0</v>
      </c>
      <c r="EQ440">
        <f t="shared" si="2207"/>
        <v>0</v>
      </c>
      <c r="ER440">
        <f t="shared" si="2207"/>
        <v>0</v>
      </c>
      <c r="ES440">
        <f t="shared" si="2207"/>
        <v>0</v>
      </c>
      <c r="ET440">
        <f t="shared" si="2207"/>
        <v>0</v>
      </c>
      <c r="EU440">
        <f t="shared" ref="EU440:EY440" si="2208">IF(EU$435,$DW428,0)</f>
        <v>0</v>
      </c>
      <c r="EV440">
        <f t="shared" si="2208"/>
        <v>0</v>
      </c>
      <c r="EW440">
        <f t="shared" si="2208"/>
        <v>0</v>
      </c>
      <c r="EX440">
        <f t="shared" si="2208"/>
        <v>0</v>
      </c>
      <c r="EY440">
        <f t="shared" si="2208"/>
        <v>0</v>
      </c>
      <c r="EZ440">
        <f t="shared" ref="EZ440:FD440" si="2209">IF(EZ$435,$DV428,0)</f>
        <v>0</v>
      </c>
      <c r="FA440">
        <f t="shared" si="2209"/>
        <v>0</v>
      </c>
      <c r="FB440">
        <f t="shared" si="2209"/>
        <v>0</v>
      </c>
      <c r="FC440">
        <f t="shared" si="2209"/>
        <v>0</v>
      </c>
      <c r="FD440">
        <f t="shared" si="2209"/>
        <v>0</v>
      </c>
      <c r="FE440">
        <f t="shared" ref="FE440:FI440" si="2210">IF(FE$435,$DW428,0)</f>
        <v>0</v>
      </c>
      <c r="FF440">
        <f t="shared" si="2210"/>
        <v>0</v>
      </c>
      <c r="FG440">
        <f t="shared" si="2210"/>
        <v>0</v>
      </c>
      <c r="FH440">
        <f t="shared" si="2210"/>
        <v>0</v>
      </c>
      <c r="FI440">
        <f t="shared" si="2210"/>
        <v>0</v>
      </c>
      <c r="FJ440">
        <f t="shared" ref="FJ440:FN440" si="2211">IF(FJ$435,$DV428,0)</f>
        <v>0</v>
      </c>
      <c r="FK440">
        <f t="shared" si="2211"/>
        <v>0</v>
      </c>
      <c r="FL440">
        <f t="shared" si="2211"/>
        <v>0</v>
      </c>
      <c r="FM440">
        <f t="shared" si="2211"/>
        <v>0</v>
      </c>
      <c r="FN440">
        <f t="shared" si="2211"/>
        <v>0</v>
      </c>
      <c r="FO440">
        <f t="shared" ref="FO440:FS440" si="2212">IF(FO$435,$DW428,0)</f>
        <v>0</v>
      </c>
      <c r="FP440">
        <f t="shared" si="2212"/>
        <v>0</v>
      </c>
      <c r="FQ440">
        <f t="shared" si="2212"/>
        <v>0</v>
      </c>
      <c r="FR440">
        <f t="shared" si="2212"/>
        <v>0</v>
      </c>
      <c r="FS440">
        <f t="shared" si="2212"/>
        <v>0</v>
      </c>
      <c r="FT440">
        <f t="shared" ref="FT440:FX440" si="2213">IF(FT$435,$DV428,0)</f>
        <v>0</v>
      </c>
      <c r="FU440">
        <f t="shared" si="2213"/>
        <v>0</v>
      </c>
      <c r="FV440">
        <f t="shared" si="2213"/>
        <v>0</v>
      </c>
      <c r="FW440">
        <f t="shared" si="2213"/>
        <v>0</v>
      </c>
      <c r="FX440">
        <f t="shared" si="2213"/>
        <v>0</v>
      </c>
      <c r="FY440">
        <f t="shared" ref="FY440:GC440" si="2214">IF(FY$435,$DW428,0)</f>
        <v>0</v>
      </c>
      <c r="FZ440">
        <f t="shared" si="2214"/>
        <v>0</v>
      </c>
      <c r="GA440">
        <f t="shared" si="2214"/>
        <v>0</v>
      </c>
      <c r="GB440">
        <f t="shared" si="2214"/>
        <v>0</v>
      </c>
      <c r="GC440">
        <f t="shared" si="2214"/>
        <v>0</v>
      </c>
    </row>
    <row r="441" spans="1:185" x14ac:dyDescent="0.2">
      <c r="A441" s="8" t="s">
        <v>264</v>
      </c>
      <c r="B441">
        <f>ConvenienceLand!F23</f>
        <v>0</v>
      </c>
      <c r="C441">
        <f>ConvenienceLand!F40</f>
        <v>0</v>
      </c>
      <c r="D441">
        <f>ConvenienceLand!F57</f>
        <v>0</v>
      </c>
      <c r="E441">
        <f>ConvenienceLand!F74</f>
        <v>0</v>
      </c>
      <c r="F441">
        <f>ConvenienceLand!F91</f>
        <v>0</v>
      </c>
      <c r="G441">
        <f>ConvenienceLand!H23</f>
        <v>0</v>
      </c>
      <c r="H441">
        <f>ConvenienceLand!H40</f>
        <v>0</v>
      </c>
      <c r="I441">
        <f>ConvenienceLand!H57</f>
        <v>0</v>
      </c>
      <c r="J441">
        <f>ConvenienceLand!H74</f>
        <v>0</v>
      </c>
      <c r="K441">
        <f>ConvenienceLand!H91</f>
        <v>0</v>
      </c>
      <c r="BJ441" t="s">
        <v>262</v>
      </c>
      <c r="BK441">
        <f>IF(BK$438,TankMSS!$C97,0)</f>
        <v>0</v>
      </c>
      <c r="BL441">
        <f>IF(BL$438,TankMSS!$C97,0)</f>
        <v>0</v>
      </c>
      <c r="BM441">
        <f>IF(BM$438,TankMSS!$C97,0)</f>
        <v>0</v>
      </c>
      <c r="BN441">
        <f>IF(BN$438,TankMSS!$C97,0)</f>
        <v>0</v>
      </c>
      <c r="BO441">
        <f>IF(BO$438,TankMSS!$C97,0)</f>
        <v>0</v>
      </c>
      <c r="BP441" s="156">
        <f>IF(BP$438,TankMSS!$D97,0)</f>
        <v>0</v>
      </c>
      <c r="BQ441" s="156">
        <f>IF(BQ$438,TankMSS!$D97,0)</f>
        <v>0</v>
      </c>
      <c r="BR441" s="156">
        <f>IF(BR$438,TankMSS!$D97,0)</f>
        <v>0</v>
      </c>
      <c r="BS441" s="156">
        <f>IF(BS$438,TankMSS!$D97,0)</f>
        <v>0</v>
      </c>
      <c r="BT441" s="156">
        <f>IF(BT$438,TankMSS!$D97,0)</f>
        <v>0</v>
      </c>
      <c r="BU441">
        <f>IF(BU$438,TankMSS!$C97,0)</f>
        <v>0</v>
      </c>
      <c r="BV441">
        <f>IF(BV$438,TankMSS!$C97,0)</f>
        <v>0</v>
      </c>
      <c r="BW441">
        <f>IF(BW$438,TankMSS!$C97,0)</f>
        <v>0</v>
      </c>
      <c r="BX441">
        <f>IF(BX$438,TankMSS!$C97,0)</f>
        <v>0</v>
      </c>
      <c r="BY441">
        <f>IF(BY$438,TankMSS!$C97,0)</f>
        <v>0</v>
      </c>
      <c r="BZ441">
        <f>IF(BZ$438,TankMSS!$D97,0)</f>
        <v>0</v>
      </c>
      <c r="CA441">
        <f>IF(CA$438,TankMSS!$D97,0)</f>
        <v>0</v>
      </c>
      <c r="CB441">
        <f>IF(CB$438,TankMSS!$D97,0)</f>
        <v>0</v>
      </c>
      <c r="CC441">
        <f>IF(CC$438,TankMSS!$D97,0)</f>
        <v>0</v>
      </c>
      <c r="CD441">
        <f>IF(CD$438,TankMSS!$D97,0)</f>
        <v>0</v>
      </c>
      <c r="CE441">
        <f>IF(CE$438,TankMSS!$C97,0)</f>
        <v>0</v>
      </c>
      <c r="CF441">
        <f>IF(CF$438,TankMSS!$C97,0)</f>
        <v>0</v>
      </c>
      <c r="CG441">
        <f>IF(CG$438,TankMSS!$C97,0)</f>
        <v>0</v>
      </c>
      <c r="CH441">
        <f>IF(CH$438,TankMSS!$C97,0)</f>
        <v>0</v>
      </c>
      <c r="CI441">
        <f>IF(CI$438,TankMSS!$C97,0)</f>
        <v>0</v>
      </c>
      <c r="CJ441">
        <f>IF(CJ$438,TankMSS!$D97,0)</f>
        <v>0</v>
      </c>
      <c r="CK441">
        <f>IF(CK$438,TankMSS!$D97,0)</f>
        <v>0</v>
      </c>
      <c r="CL441">
        <f>IF(CL$438,TankMSS!$D97,0)</f>
        <v>0</v>
      </c>
      <c r="CM441">
        <f>IF(CM$438,TankMSS!$D97,0)</f>
        <v>0</v>
      </c>
      <c r="CN441">
        <f>IF(CN$438,TankMSS!$D97,0)</f>
        <v>0</v>
      </c>
      <c r="CO441">
        <f>IF(CO$438,TankMSS!$C97,0)</f>
        <v>0</v>
      </c>
      <c r="CP441">
        <f>IF(CP$438,TankMSS!$C97,0)</f>
        <v>0</v>
      </c>
      <c r="CQ441">
        <f>IF(CQ$438,TankMSS!$C97,0)</f>
        <v>0</v>
      </c>
      <c r="CR441">
        <f>IF(CR$438,TankMSS!$C97,0)</f>
        <v>0</v>
      </c>
      <c r="CS441">
        <f>IF(CS$438,TankMSS!$C97,0)</f>
        <v>0</v>
      </c>
      <c r="CT441">
        <f>IF(CT$438,TankMSS!$D97,0)</f>
        <v>0</v>
      </c>
      <c r="CU441">
        <f>IF(CU$438,TankMSS!$D97,0)</f>
        <v>0</v>
      </c>
      <c r="CV441">
        <f>IF(CV$438,TankMSS!$D97,0)</f>
        <v>0</v>
      </c>
      <c r="CW441">
        <f>IF(CW$438,TankMSS!$D97,0)</f>
        <v>0</v>
      </c>
      <c r="CX441">
        <f>IF(CX$438,TankMSS!$D97,0)</f>
        <v>0</v>
      </c>
      <c r="CY441">
        <f>IF(CY$438,TankMSS!$C97,0)</f>
        <v>0</v>
      </c>
      <c r="CZ441">
        <f>IF(CZ$438,TankMSS!$C97,0)</f>
        <v>0</v>
      </c>
      <c r="DA441">
        <f>IF(DA$438,TankMSS!$C97,0)</f>
        <v>0</v>
      </c>
      <c r="DB441">
        <f>IF(DB$438,TankMSS!$C97,0)</f>
        <v>0</v>
      </c>
      <c r="DC441">
        <f>IF(DC$438,TankMSS!$C97,0)</f>
        <v>0</v>
      </c>
      <c r="DD441">
        <f>IF(DD$438,TankMSS!$D97,0)</f>
        <v>0</v>
      </c>
      <c r="DE441">
        <f>IF(DE$438,TankMSS!$D97,0)</f>
        <v>0</v>
      </c>
      <c r="DF441">
        <f>IF(DF$438,TankMSS!$D97,0)</f>
        <v>0</v>
      </c>
      <c r="DG441">
        <f>IF(DG$438,TankMSS!$D97,0)</f>
        <v>0</v>
      </c>
      <c r="DH441">
        <f>IF(DH$438,TankMSS!$D97,0)</f>
        <v>0</v>
      </c>
      <c r="DI441">
        <f>IF(DI$438,TankMSS!$C97,0)</f>
        <v>0</v>
      </c>
      <c r="DJ441">
        <f>IF(DJ$438,TankMSS!$C97,0)</f>
        <v>0</v>
      </c>
      <c r="DK441">
        <f>IF(DK$438,TankMSS!$C97,0)</f>
        <v>0</v>
      </c>
      <c r="DL441">
        <f>IF(DL$438,TankMSS!$C97,0)</f>
        <v>0</v>
      </c>
      <c r="DM441">
        <f>IF(DM$438,TankMSS!$C97,0)</f>
        <v>0</v>
      </c>
      <c r="DN441">
        <f>IF(DN$438,TankMSS!$D97,0)</f>
        <v>0</v>
      </c>
      <c r="DO441">
        <f>IF(DO$438,TankMSS!$D97,0)</f>
        <v>0</v>
      </c>
      <c r="DP441">
        <f>IF(DP$438,TankMSS!$D97,0)</f>
        <v>0</v>
      </c>
      <c r="DQ441">
        <f>IF(DQ$438,TankMSS!$D97,0)</f>
        <v>0</v>
      </c>
      <c r="DR441">
        <f>IF(DR$438,TankMSS!$D97,0)</f>
        <v>0</v>
      </c>
      <c r="DT441" s="77"/>
      <c r="DU441" t="s">
        <v>265</v>
      </c>
      <c r="DV441">
        <f t="shared" ref="DV441:DZ441" si="2215">IF(DV$435,$DV429,0)</f>
        <v>0</v>
      </c>
      <c r="DW441">
        <f t="shared" si="2215"/>
        <v>0</v>
      </c>
      <c r="DX441">
        <f t="shared" si="2215"/>
        <v>0</v>
      </c>
      <c r="DY441">
        <f t="shared" si="2215"/>
        <v>0</v>
      </c>
      <c r="DZ441">
        <f t="shared" si="2215"/>
        <v>0</v>
      </c>
      <c r="EA441">
        <f t="shared" ref="EA441:EE441" si="2216">IF(EA$435,$DW429,0)</f>
        <v>0</v>
      </c>
      <c r="EB441">
        <f t="shared" si="2216"/>
        <v>0</v>
      </c>
      <c r="EC441">
        <f t="shared" si="2216"/>
        <v>0</v>
      </c>
      <c r="ED441">
        <f t="shared" si="2216"/>
        <v>0</v>
      </c>
      <c r="EE441">
        <f t="shared" si="2216"/>
        <v>0</v>
      </c>
      <c r="EF441">
        <f t="shared" ref="EF441:EJ441" si="2217">IF(EF$435,$DV429,0)</f>
        <v>0</v>
      </c>
      <c r="EG441">
        <f t="shared" si="2217"/>
        <v>0</v>
      </c>
      <c r="EH441">
        <f t="shared" si="2217"/>
        <v>0</v>
      </c>
      <c r="EI441">
        <f t="shared" si="2217"/>
        <v>0</v>
      </c>
      <c r="EJ441">
        <f t="shared" si="2217"/>
        <v>0</v>
      </c>
      <c r="EK441">
        <f t="shared" ref="EK441:EO441" si="2218">IF(EK$435,$DW429,0)</f>
        <v>0</v>
      </c>
      <c r="EL441">
        <f t="shared" si="2218"/>
        <v>0</v>
      </c>
      <c r="EM441">
        <f t="shared" si="2218"/>
        <v>0</v>
      </c>
      <c r="EN441">
        <f t="shared" si="2218"/>
        <v>0</v>
      </c>
      <c r="EO441">
        <f t="shared" si="2218"/>
        <v>0</v>
      </c>
      <c r="EP441">
        <f t="shared" ref="EP441:ET441" si="2219">IF(EP$435,$DV429,0)</f>
        <v>0</v>
      </c>
      <c r="EQ441">
        <f t="shared" si="2219"/>
        <v>0</v>
      </c>
      <c r="ER441">
        <f t="shared" si="2219"/>
        <v>0</v>
      </c>
      <c r="ES441">
        <f t="shared" si="2219"/>
        <v>0</v>
      </c>
      <c r="ET441">
        <f t="shared" si="2219"/>
        <v>0</v>
      </c>
      <c r="EU441">
        <f t="shared" ref="EU441:EY441" si="2220">IF(EU$435,$DW429,0)</f>
        <v>0</v>
      </c>
      <c r="EV441">
        <f t="shared" si="2220"/>
        <v>0</v>
      </c>
      <c r="EW441">
        <f t="shared" si="2220"/>
        <v>0</v>
      </c>
      <c r="EX441">
        <f t="shared" si="2220"/>
        <v>0</v>
      </c>
      <c r="EY441">
        <f t="shared" si="2220"/>
        <v>0</v>
      </c>
      <c r="EZ441">
        <f t="shared" ref="EZ441:FD441" si="2221">IF(EZ$435,$DV429,0)</f>
        <v>0</v>
      </c>
      <c r="FA441">
        <f t="shared" si="2221"/>
        <v>0</v>
      </c>
      <c r="FB441">
        <f t="shared" si="2221"/>
        <v>0</v>
      </c>
      <c r="FC441">
        <f t="shared" si="2221"/>
        <v>0</v>
      </c>
      <c r="FD441">
        <f t="shared" si="2221"/>
        <v>0</v>
      </c>
      <c r="FE441">
        <f t="shared" ref="FE441:FI441" si="2222">IF(FE$435,$DW429,0)</f>
        <v>0</v>
      </c>
      <c r="FF441">
        <f t="shared" si="2222"/>
        <v>0</v>
      </c>
      <c r="FG441">
        <f t="shared" si="2222"/>
        <v>0</v>
      </c>
      <c r="FH441">
        <f t="shared" si="2222"/>
        <v>0</v>
      </c>
      <c r="FI441">
        <f t="shared" si="2222"/>
        <v>0</v>
      </c>
      <c r="FJ441">
        <f t="shared" ref="FJ441:FN441" si="2223">IF(FJ$435,$DV429,0)</f>
        <v>0</v>
      </c>
      <c r="FK441">
        <f t="shared" si="2223"/>
        <v>0</v>
      </c>
      <c r="FL441">
        <f t="shared" si="2223"/>
        <v>0</v>
      </c>
      <c r="FM441">
        <f t="shared" si="2223"/>
        <v>0</v>
      </c>
      <c r="FN441">
        <f t="shared" si="2223"/>
        <v>0</v>
      </c>
      <c r="FO441">
        <f t="shared" ref="FO441:FS441" si="2224">IF(FO$435,$DW429,0)</f>
        <v>0</v>
      </c>
      <c r="FP441">
        <f t="shared" si="2224"/>
        <v>0</v>
      </c>
      <c r="FQ441">
        <f t="shared" si="2224"/>
        <v>0</v>
      </c>
      <c r="FR441">
        <f t="shared" si="2224"/>
        <v>0</v>
      </c>
      <c r="FS441">
        <f t="shared" si="2224"/>
        <v>0</v>
      </c>
      <c r="FT441">
        <f t="shared" ref="FT441:FX441" si="2225">IF(FT$435,$DV429,0)</f>
        <v>0</v>
      </c>
      <c r="FU441">
        <f t="shared" si="2225"/>
        <v>0</v>
      </c>
      <c r="FV441">
        <f t="shared" si="2225"/>
        <v>0</v>
      </c>
      <c r="FW441">
        <f t="shared" si="2225"/>
        <v>0</v>
      </c>
      <c r="FX441">
        <f t="shared" si="2225"/>
        <v>0</v>
      </c>
      <c r="FY441">
        <f t="shared" ref="FY441:GC441" si="2226">IF(FY$435,$DW429,0)</f>
        <v>0</v>
      </c>
      <c r="FZ441">
        <f t="shared" si="2226"/>
        <v>0</v>
      </c>
      <c r="GA441">
        <f t="shared" si="2226"/>
        <v>0</v>
      </c>
      <c r="GB441">
        <f t="shared" si="2226"/>
        <v>0</v>
      </c>
      <c r="GC441">
        <f t="shared" si="2226"/>
        <v>0</v>
      </c>
    </row>
    <row r="442" spans="1:185" x14ac:dyDescent="0.2">
      <c r="A442" s="8" t="s">
        <v>265</v>
      </c>
      <c r="B442">
        <f>ConvenienceLand!F24</f>
        <v>0</v>
      </c>
      <c r="C442">
        <f>ConvenienceLand!F41</f>
        <v>0</v>
      </c>
      <c r="D442">
        <f>ConvenienceLand!F58</f>
        <v>0</v>
      </c>
      <c r="E442">
        <f>ConvenienceLand!F75</f>
        <v>0</v>
      </c>
      <c r="F442">
        <f>ConvenienceLand!F92</f>
        <v>0</v>
      </c>
      <c r="G442">
        <f>ConvenienceLand!H24</f>
        <v>0</v>
      </c>
      <c r="H442">
        <f>ConvenienceLand!H41</f>
        <v>0</v>
      </c>
      <c r="I442">
        <f>ConvenienceLand!H58</f>
        <v>0</v>
      </c>
      <c r="J442">
        <f>ConvenienceLand!H75</f>
        <v>0</v>
      </c>
      <c r="K442">
        <f>ConvenienceLand!H92</f>
        <v>0</v>
      </c>
      <c r="BJ442" t="s">
        <v>263</v>
      </c>
      <c r="BK442">
        <f>IF(BK$438,TankMSS!$C98,0)</f>
        <v>0</v>
      </c>
      <c r="BL442">
        <f>IF(BL$438,TankMSS!$C98,0)</f>
        <v>0</v>
      </c>
      <c r="BM442">
        <f>IF(BM$438,TankMSS!$C98,0)</f>
        <v>0</v>
      </c>
      <c r="BN442">
        <f>IF(BN$438,TankMSS!$C98,0)</f>
        <v>0</v>
      </c>
      <c r="BO442">
        <f>IF(BO$438,TankMSS!$C98,0)</f>
        <v>0</v>
      </c>
      <c r="BP442" s="156">
        <f>IF(BP$438,TankMSS!$D98,0)</f>
        <v>0</v>
      </c>
      <c r="BQ442" s="156">
        <f>IF(BQ$438,TankMSS!$D98,0)</f>
        <v>0</v>
      </c>
      <c r="BR442" s="156">
        <f>IF(BR$438,TankMSS!$D98,0)</f>
        <v>0</v>
      </c>
      <c r="BS442" s="156">
        <f>IF(BS$438,TankMSS!$D98,0)</f>
        <v>0</v>
      </c>
      <c r="BT442" s="156">
        <f>IF(BT$438,TankMSS!$D98,0)</f>
        <v>0</v>
      </c>
      <c r="BU442">
        <f>IF(BU$438,TankMSS!$C98,0)</f>
        <v>0</v>
      </c>
      <c r="BV442">
        <f>IF(BV$438,TankMSS!$C98,0)</f>
        <v>0</v>
      </c>
      <c r="BW442">
        <f>IF(BW$438,TankMSS!$C98,0)</f>
        <v>0</v>
      </c>
      <c r="BX442">
        <f>IF(BX$438,TankMSS!$C98,0)</f>
        <v>0</v>
      </c>
      <c r="BY442">
        <f>IF(BY$438,TankMSS!$C98,0)</f>
        <v>0</v>
      </c>
      <c r="BZ442">
        <f>IF(BZ$438,TankMSS!$D98,0)</f>
        <v>0</v>
      </c>
      <c r="CA442">
        <f>IF(CA$438,TankMSS!$D98,0)</f>
        <v>0</v>
      </c>
      <c r="CB442">
        <f>IF(CB$438,TankMSS!$D98,0)</f>
        <v>0</v>
      </c>
      <c r="CC442">
        <f>IF(CC$438,TankMSS!$D98,0)</f>
        <v>0</v>
      </c>
      <c r="CD442">
        <f>IF(CD$438,TankMSS!$D98,0)</f>
        <v>0</v>
      </c>
      <c r="CE442">
        <f>IF(CE$438,TankMSS!$C98,0)</f>
        <v>0</v>
      </c>
      <c r="CF442">
        <f>IF(CF$438,TankMSS!$C98,0)</f>
        <v>0</v>
      </c>
      <c r="CG442">
        <f>IF(CG$438,TankMSS!$C98,0)</f>
        <v>0</v>
      </c>
      <c r="CH442">
        <f>IF(CH$438,TankMSS!$C98,0)</f>
        <v>0</v>
      </c>
      <c r="CI442">
        <f>IF(CI$438,TankMSS!$C98,0)</f>
        <v>0</v>
      </c>
      <c r="CJ442">
        <f>IF(CJ$438,TankMSS!$D98,0)</f>
        <v>0</v>
      </c>
      <c r="CK442">
        <f>IF(CK$438,TankMSS!$D98,0)</f>
        <v>0</v>
      </c>
      <c r="CL442">
        <f>IF(CL$438,TankMSS!$D98,0)</f>
        <v>0</v>
      </c>
      <c r="CM442">
        <f>IF(CM$438,TankMSS!$D98,0)</f>
        <v>0</v>
      </c>
      <c r="CN442">
        <f>IF(CN$438,TankMSS!$D98,0)</f>
        <v>0</v>
      </c>
      <c r="CO442">
        <f>IF(CO$438,TankMSS!$C98,0)</f>
        <v>0</v>
      </c>
      <c r="CP442">
        <f>IF(CP$438,TankMSS!$C98,0)</f>
        <v>0</v>
      </c>
      <c r="CQ442">
        <f>IF(CQ$438,TankMSS!$C98,0)</f>
        <v>0</v>
      </c>
      <c r="CR442">
        <f>IF(CR$438,TankMSS!$C98,0)</f>
        <v>0</v>
      </c>
      <c r="CS442">
        <f>IF(CS$438,TankMSS!$C98,0)</f>
        <v>0</v>
      </c>
      <c r="CT442">
        <f>IF(CT$438,TankMSS!$D98,0)</f>
        <v>0</v>
      </c>
      <c r="CU442">
        <f>IF(CU$438,TankMSS!$D98,0)</f>
        <v>0</v>
      </c>
      <c r="CV442">
        <f>IF(CV$438,TankMSS!$D98,0)</f>
        <v>0</v>
      </c>
      <c r="CW442">
        <f>IF(CW$438,TankMSS!$D98,0)</f>
        <v>0</v>
      </c>
      <c r="CX442">
        <f>IF(CX$438,TankMSS!$D98,0)</f>
        <v>0</v>
      </c>
      <c r="CY442">
        <f>IF(CY$438,TankMSS!$C98,0)</f>
        <v>0</v>
      </c>
      <c r="CZ442">
        <f>IF(CZ$438,TankMSS!$C98,0)</f>
        <v>0</v>
      </c>
      <c r="DA442">
        <f>IF(DA$438,TankMSS!$C98,0)</f>
        <v>0</v>
      </c>
      <c r="DB442">
        <f>IF(DB$438,TankMSS!$C98,0)</f>
        <v>0</v>
      </c>
      <c r="DC442">
        <f>IF(DC$438,TankMSS!$C98,0)</f>
        <v>0</v>
      </c>
      <c r="DD442">
        <f>IF(DD$438,TankMSS!$D98,0)</f>
        <v>0</v>
      </c>
      <c r="DE442">
        <f>IF(DE$438,TankMSS!$D98,0)</f>
        <v>0</v>
      </c>
      <c r="DF442">
        <f>IF(DF$438,TankMSS!$D98,0)</f>
        <v>0</v>
      </c>
      <c r="DG442">
        <f>IF(DG$438,TankMSS!$D98,0)</f>
        <v>0</v>
      </c>
      <c r="DH442">
        <f>IF(DH$438,TankMSS!$D98,0)</f>
        <v>0</v>
      </c>
      <c r="DI442">
        <f>IF(DI$438,TankMSS!$C98,0)</f>
        <v>0</v>
      </c>
      <c r="DJ442">
        <f>IF(DJ$438,TankMSS!$C98,0)</f>
        <v>0</v>
      </c>
      <c r="DK442">
        <f>IF(DK$438,TankMSS!$C98,0)</f>
        <v>0</v>
      </c>
      <c r="DL442">
        <f>IF(DL$438,TankMSS!$C98,0)</f>
        <v>0</v>
      </c>
      <c r="DM442">
        <f>IF(DM$438,TankMSS!$C98,0)</f>
        <v>0</v>
      </c>
      <c r="DN442">
        <f>IF(DN$438,TankMSS!$D98,0)</f>
        <v>0</v>
      </c>
      <c r="DO442">
        <f>IF(DO$438,TankMSS!$D98,0)</f>
        <v>0</v>
      </c>
      <c r="DP442">
        <f>IF(DP$438,TankMSS!$D98,0)</f>
        <v>0</v>
      </c>
      <c r="DQ442">
        <f>IF(DQ$438,TankMSS!$D98,0)</f>
        <v>0</v>
      </c>
      <c r="DR442">
        <f>IF(DR$438,TankMSS!$D98,0)</f>
        <v>0</v>
      </c>
      <c r="DT442" s="77"/>
      <c r="DU442" t="s">
        <v>266</v>
      </c>
      <c r="DV442">
        <f t="shared" ref="DV442:DZ442" si="2227">IF(DV$435,$DV430,0)</f>
        <v>0</v>
      </c>
      <c r="DW442">
        <f t="shared" si="2227"/>
        <v>0</v>
      </c>
      <c r="DX442">
        <f t="shared" si="2227"/>
        <v>0</v>
      </c>
      <c r="DY442">
        <f t="shared" si="2227"/>
        <v>0</v>
      </c>
      <c r="DZ442">
        <f t="shared" si="2227"/>
        <v>0</v>
      </c>
      <c r="EA442">
        <f t="shared" ref="EA442:EE442" si="2228">IF(EA$435,$DW430,0)</f>
        <v>0</v>
      </c>
      <c r="EB442">
        <f t="shared" si="2228"/>
        <v>0</v>
      </c>
      <c r="EC442">
        <f t="shared" si="2228"/>
        <v>0</v>
      </c>
      <c r="ED442">
        <f t="shared" si="2228"/>
        <v>0</v>
      </c>
      <c r="EE442">
        <f t="shared" si="2228"/>
        <v>0</v>
      </c>
      <c r="EF442">
        <f t="shared" ref="EF442:EJ442" si="2229">IF(EF$435,$DV430,0)</f>
        <v>0</v>
      </c>
      <c r="EG442">
        <f t="shared" si="2229"/>
        <v>0</v>
      </c>
      <c r="EH442">
        <f t="shared" si="2229"/>
        <v>0</v>
      </c>
      <c r="EI442">
        <f t="shared" si="2229"/>
        <v>0</v>
      </c>
      <c r="EJ442">
        <f t="shared" si="2229"/>
        <v>0</v>
      </c>
      <c r="EK442">
        <f t="shared" ref="EK442:EO442" si="2230">IF(EK$435,$DW430,0)</f>
        <v>0</v>
      </c>
      <c r="EL442">
        <f t="shared" si="2230"/>
        <v>0</v>
      </c>
      <c r="EM442">
        <f t="shared" si="2230"/>
        <v>0</v>
      </c>
      <c r="EN442">
        <f t="shared" si="2230"/>
        <v>0</v>
      </c>
      <c r="EO442">
        <f t="shared" si="2230"/>
        <v>0</v>
      </c>
      <c r="EP442">
        <f t="shared" ref="EP442:ET442" si="2231">IF(EP$435,$DV430,0)</f>
        <v>0</v>
      </c>
      <c r="EQ442">
        <f t="shared" si="2231"/>
        <v>0</v>
      </c>
      <c r="ER442">
        <f t="shared" si="2231"/>
        <v>0</v>
      </c>
      <c r="ES442">
        <f t="shared" si="2231"/>
        <v>0</v>
      </c>
      <c r="ET442">
        <f t="shared" si="2231"/>
        <v>0</v>
      </c>
      <c r="EU442">
        <f t="shared" ref="EU442:EY442" si="2232">IF(EU$435,$DW430,0)</f>
        <v>0</v>
      </c>
      <c r="EV442">
        <f t="shared" si="2232"/>
        <v>0</v>
      </c>
      <c r="EW442">
        <f t="shared" si="2232"/>
        <v>0</v>
      </c>
      <c r="EX442">
        <f t="shared" si="2232"/>
        <v>0</v>
      </c>
      <c r="EY442">
        <f t="shared" si="2232"/>
        <v>0</v>
      </c>
      <c r="EZ442">
        <f t="shared" ref="EZ442:FD442" si="2233">IF(EZ$435,$DV430,0)</f>
        <v>0</v>
      </c>
      <c r="FA442">
        <f t="shared" si="2233"/>
        <v>0</v>
      </c>
      <c r="FB442">
        <f t="shared" si="2233"/>
        <v>0</v>
      </c>
      <c r="FC442">
        <f t="shared" si="2233"/>
        <v>0</v>
      </c>
      <c r="FD442">
        <f t="shared" si="2233"/>
        <v>0</v>
      </c>
      <c r="FE442">
        <f t="shared" ref="FE442:FI442" si="2234">IF(FE$435,$DW430,0)</f>
        <v>0</v>
      </c>
      <c r="FF442">
        <f t="shared" si="2234"/>
        <v>0</v>
      </c>
      <c r="FG442">
        <f t="shared" si="2234"/>
        <v>0</v>
      </c>
      <c r="FH442">
        <f t="shared" si="2234"/>
        <v>0</v>
      </c>
      <c r="FI442">
        <f t="shared" si="2234"/>
        <v>0</v>
      </c>
      <c r="FJ442">
        <f t="shared" ref="FJ442:FN442" si="2235">IF(FJ$435,$DV430,0)</f>
        <v>0</v>
      </c>
      <c r="FK442">
        <f t="shared" si="2235"/>
        <v>0</v>
      </c>
      <c r="FL442">
        <f t="shared" si="2235"/>
        <v>0</v>
      </c>
      <c r="FM442">
        <f t="shared" si="2235"/>
        <v>0</v>
      </c>
      <c r="FN442">
        <f t="shared" si="2235"/>
        <v>0</v>
      </c>
      <c r="FO442">
        <f t="shared" ref="FO442:FS442" si="2236">IF(FO$435,$DW430,0)</f>
        <v>0</v>
      </c>
      <c r="FP442">
        <f t="shared" si="2236"/>
        <v>0</v>
      </c>
      <c r="FQ442">
        <f t="shared" si="2236"/>
        <v>0</v>
      </c>
      <c r="FR442">
        <f t="shared" si="2236"/>
        <v>0</v>
      </c>
      <c r="FS442">
        <f t="shared" si="2236"/>
        <v>0</v>
      </c>
      <c r="FT442">
        <f t="shared" ref="FT442:FX442" si="2237">IF(FT$435,$DV430,0)</f>
        <v>0</v>
      </c>
      <c r="FU442">
        <f t="shared" si="2237"/>
        <v>0</v>
      </c>
      <c r="FV442">
        <f t="shared" si="2237"/>
        <v>0</v>
      </c>
      <c r="FW442">
        <f t="shared" si="2237"/>
        <v>0</v>
      </c>
      <c r="FX442">
        <f t="shared" si="2237"/>
        <v>0</v>
      </c>
      <c r="FY442">
        <f t="shared" ref="FY442:GC442" si="2238">IF(FY$435,$DW430,0)</f>
        <v>0</v>
      </c>
      <c r="FZ442">
        <f t="shared" si="2238"/>
        <v>0</v>
      </c>
      <c r="GA442">
        <f t="shared" si="2238"/>
        <v>0</v>
      </c>
      <c r="GB442">
        <f t="shared" si="2238"/>
        <v>0</v>
      </c>
      <c r="GC442">
        <f t="shared" si="2238"/>
        <v>0</v>
      </c>
    </row>
    <row r="443" spans="1:185" ht="15" thickBot="1" x14ac:dyDescent="0.25">
      <c r="A443" s="8" t="s">
        <v>266</v>
      </c>
      <c r="B443">
        <f>ConvenienceLand!F25</f>
        <v>0</v>
      </c>
      <c r="C443">
        <f>ConvenienceLand!F42</f>
        <v>0</v>
      </c>
      <c r="D443">
        <f>ConvenienceLand!F59</f>
        <v>0</v>
      </c>
      <c r="E443">
        <f>ConvenienceLand!F76</f>
        <v>0</v>
      </c>
      <c r="F443">
        <f>ConvenienceLand!F93</f>
        <v>0</v>
      </c>
      <c r="G443">
        <f>ConvenienceLand!H25</f>
        <v>0</v>
      </c>
      <c r="H443">
        <f>ConvenienceLand!H42</f>
        <v>0</v>
      </c>
      <c r="I443">
        <f>ConvenienceLand!H59</f>
        <v>0</v>
      </c>
      <c r="J443">
        <f>ConvenienceLand!H76</f>
        <v>0</v>
      </c>
      <c r="K443">
        <f>ConvenienceLand!H93</f>
        <v>0</v>
      </c>
      <c r="BJ443" t="s">
        <v>264</v>
      </c>
      <c r="BK443">
        <f>IF(BK$438,TankMSS!$C99,0)</f>
        <v>0</v>
      </c>
      <c r="BL443">
        <f>IF(BL$438,TankMSS!$C99,0)</f>
        <v>0</v>
      </c>
      <c r="BM443">
        <f>IF(BM$438,TankMSS!$C99,0)</f>
        <v>0</v>
      </c>
      <c r="BN443">
        <f>IF(BN$438,TankMSS!$C99,0)</f>
        <v>0</v>
      </c>
      <c r="BO443">
        <f>IF(BO$438,TankMSS!$C99,0)</f>
        <v>0</v>
      </c>
      <c r="BP443" s="156">
        <f>IF(BP$438,TankMSS!$D99,0)</f>
        <v>0</v>
      </c>
      <c r="BQ443" s="156">
        <f>IF(BQ$438,TankMSS!$D99,0)</f>
        <v>0</v>
      </c>
      <c r="BR443" s="156">
        <f>IF(BR$438,TankMSS!$D99,0)</f>
        <v>0</v>
      </c>
      <c r="BS443" s="156">
        <f>IF(BS$438,TankMSS!$D99,0)</f>
        <v>0</v>
      </c>
      <c r="BT443" s="156">
        <f>IF(BT$438,TankMSS!$D99,0)</f>
        <v>0</v>
      </c>
      <c r="BU443">
        <f>IF(BU$438,TankMSS!$C99,0)</f>
        <v>0</v>
      </c>
      <c r="BV443">
        <f>IF(BV$438,TankMSS!$C99,0)</f>
        <v>0</v>
      </c>
      <c r="BW443">
        <f>IF(BW$438,TankMSS!$C99,0)</f>
        <v>0</v>
      </c>
      <c r="BX443">
        <f>IF(BX$438,TankMSS!$C99,0)</f>
        <v>0</v>
      </c>
      <c r="BY443">
        <f>IF(BY$438,TankMSS!$C99,0)</f>
        <v>0</v>
      </c>
      <c r="BZ443">
        <f>IF(BZ$438,TankMSS!$D99,0)</f>
        <v>0</v>
      </c>
      <c r="CA443">
        <f>IF(CA$438,TankMSS!$D99,0)</f>
        <v>0</v>
      </c>
      <c r="CB443">
        <f>IF(CB$438,TankMSS!$D99,0)</f>
        <v>0</v>
      </c>
      <c r="CC443">
        <f>IF(CC$438,TankMSS!$D99,0)</f>
        <v>0</v>
      </c>
      <c r="CD443">
        <f>IF(CD$438,TankMSS!$D99,0)</f>
        <v>0</v>
      </c>
      <c r="CE443">
        <f>IF(CE$438,TankMSS!$C99,0)</f>
        <v>0</v>
      </c>
      <c r="CF443">
        <f>IF(CF$438,TankMSS!$C99,0)</f>
        <v>0</v>
      </c>
      <c r="CG443">
        <f>IF(CG$438,TankMSS!$C99,0)</f>
        <v>0</v>
      </c>
      <c r="CH443">
        <f>IF(CH$438,TankMSS!$C99,0)</f>
        <v>0</v>
      </c>
      <c r="CI443">
        <f>IF(CI$438,TankMSS!$C99,0)</f>
        <v>0</v>
      </c>
      <c r="CJ443">
        <f>IF(CJ$438,TankMSS!$D99,0)</f>
        <v>0</v>
      </c>
      <c r="CK443">
        <f>IF(CK$438,TankMSS!$D99,0)</f>
        <v>0</v>
      </c>
      <c r="CL443">
        <f>IF(CL$438,TankMSS!$D99,0)</f>
        <v>0</v>
      </c>
      <c r="CM443">
        <f>IF(CM$438,TankMSS!$D99,0)</f>
        <v>0</v>
      </c>
      <c r="CN443">
        <f>IF(CN$438,TankMSS!$D99,0)</f>
        <v>0</v>
      </c>
      <c r="CO443">
        <f>IF(CO$438,TankMSS!$C99,0)</f>
        <v>0</v>
      </c>
      <c r="CP443">
        <f>IF(CP$438,TankMSS!$C99,0)</f>
        <v>0</v>
      </c>
      <c r="CQ443">
        <f>IF(CQ$438,TankMSS!$C99,0)</f>
        <v>0</v>
      </c>
      <c r="CR443">
        <f>IF(CR$438,TankMSS!$C99,0)</f>
        <v>0</v>
      </c>
      <c r="CS443">
        <f>IF(CS$438,TankMSS!$C99,0)</f>
        <v>0</v>
      </c>
      <c r="CT443">
        <f>IF(CT$438,TankMSS!$D99,0)</f>
        <v>0</v>
      </c>
      <c r="CU443">
        <f>IF(CU$438,TankMSS!$D99,0)</f>
        <v>0</v>
      </c>
      <c r="CV443">
        <f>IF(CV$438,TankMSS!$D99,0)</f>
        <v>0</v>
      </c>
      <c r="CW443">
        <f>IF(CW$438,TankMSS!$D99,0)</f>
        <v>0</v>
      </c>
      <c r="CX443">
        <f>IF(CX$438,TankMSS!$D99,0)</f>
        <v>0</v>
      </c>
      <c r="CY443">
        <f>IF(CY$438,TankMSS!$C99,0)</f>
        <v>0</v>
      </c>
      <c r="CZ443">
        <f>IF(CZ$438,TankMSS!$C99,0)</f>
        <v>0</v>
      </c>
      <c r="DA443">
        <f>IF(DA$438,TankMSS!$C99,0)</f>
        <v>0</v>
      </c>
      <c r="DB443">
        <f>IF(DB$438,TankMSS!$C99,0)</f>
        <v>0</v>
      </c>
      <c r="DC443">
        <f>IF(DC$438,TankMSS!$C99,0)</f>
        <v>0</v>
      </c>
      <c r="DD443">
        <f>IF(DD$438,TankMSS!$D99,0)</f>
        <v>0</v>
      </c>
      <c r="DE443">
        <f>IF(DE$438,TankMSS!$D99,0)</f>
        <v>0</v>
      </c>
      <c r="DF443">
        <f>IF(DF$438,TankMSS!$D99,0)</f>
        <v>0</v>
      </c>
      <c r="DG443">
        <f>IF(DG$438,TankMSS!$D99,0)</f>
        <v>0</v>
      </c>
      <c r="DH443">
        <f>IF(DH$438,TankMSS!$D99,0)</f>
        <v>0</v>
      </c>
      <c r="DI443">
        <f>IF(DI$438,TankMSS!$C99,0)</f>
        <v>0</v>
      </c>
      <c r="DJ443">
        <f>IF(DJ$438,TankMSS!$C99,0)</f>
        <v>0</v>
      </c>
      <c r="DK443">
        <f>IF(DK$438,TankMSS!$C99,0)</f>
        <v>0</v>
      </c>
      <c r="DL443">
        <f>IF(DL$438,TankMSS!$C99,0)</f>
        <v>0</v>
      </c>
      <c r="DM443">
        <f>IF(DM$438,TankMSS!$C99,0)</f>
        <v>0</v>
      </c>
      <c r="DN443">
        <f>IF(DN$438,TankMSS!$D99,0)</f>
        <v>0</v>
      </c>
      <c r="DO443">
        <f>IF(DO$438,TankMSS!$D99,0)</f>
        <v>0</v>
      </c>
      <c r="DP443">
        <f>IF(DP$438,TankMSS!$D99,0)</f>
        <v>0</v>
      </c>
      <c r="DQ443">
        <f>IF(DQ$438,TankMSS!$D99,0)</f>
        <v>0</v>
      </c>
      <c r="DR443">
        <f>IF(DR$438,TankMSS!$D99,0)</f>
        <v>0</v>
      </c>
      <c r="DT443" s="77"/>
      <c r="DU443" t="s">
        <v>267</v>
      </c>
      <c r="DV443">
        <f t="shared" ref="DV443:DZ443" si="2239">IF(DV$435,$DV431,0)</f>
        <v>0</v>
      </c>
      <c r="DW443">
        <f t="shared" si="2239"/>
        <v>0</v>
      </c>
      <c r="DX443">
        <f t="shared" si="2239"/>
        <v>0</v>
      </c>
      <c r="DY443">
        <f t="shared" si="2239"/>
        <v>0</v>
      </c>
      <c r="DZ443">
        <f t="shared" si="2239"/>
        <v>0</v>
      </c>
      <c r="EA443">
        <f t="shared" ref="EA443:EE443" si="2240">IF(EA$435,$DW431,0)</f>
        <v>0</v>
      </c>
      <c r="EB443">
        <f t="shared" si="2240"/>
        <v>0</v>
      </c>
      <c r="EC443">
        <f t="shared" si="2240"/>
        <v>0</v>
      </c>
      <c r="ED443">
        <f t="shared" si="2240"/>
        <v>0</v>
      </c>
      <c r="EE443">
        <f t="shared" si="2240"/>
        <v>0</v>
      </c>
      <c r="EF443">
        <f t="shared" ref="EF443:EJ443" si="2241">IF(EF$435,$DV431,0)</f>
        <v>0</v>
      </c>
      <c r="EG443">
        <f t="shared" si="2241"/>
        <v>0</v>
      </c>
      <c r="EH443">
        <f t="shared" si="2241"/>
        <v>0</v>
      </c>
      <c r="EI443">
        <f t="shared" si="2241"/>
        <v>0</v>
      </c>
      <c r="EJ443">
        <f t="shared" si="2241"/>
        <v>0</v>
      </c>
      <c r="EK443">
        <f t="shared" ref="EK443:EO443" si="2242">IF(EK$435,$DW431,0)</f>
        <v>0</v>
      </c>
      <c r="EL443">
        <f t="shared" si="2242"/>
        <v>0</v>
      </c>
      <c r="EM443">
        <f t="shared" si="2242"/>
        <v>0</v>
      </c>
      <c r="EN443">
        <f t="shared" si="2242"/>
        <v>0</v>
      </c>
      <c r="EO443">
        <f t="shared" si="2242"/>
        <v>0</v>
      </c>
      <c r="EP443">
        <f t="shared" ref="EP443:ET443" si="2243">IF(EP$435,$DV431,0)</f>
        <v>0</v>
      </c>
      <c r="EQ443">
        <f t="shared" si="2243"/>
        <v>0</v>
      </c>
      <c r="ER443">
        <f t="shared" si="2243"/>
        <v>0</v>
      </c>
      <c r="ES443">
        <f t="shared" si="2243"/>
        <v>0</v>
      </c>
      <c r="ET443">
        <f t="shared" si="2243"/>
        <v>0</v>
      </c>
      <c r="EU443">
        <f t="shared" ref="EU443:EY443" si="2244">IF(EU$435,$DW431,0)</f>
        <v>0</v>
      </c>
      <c r="EV443">
        <f t="shared" si="2244"/>
        <v>0</v>
      </c>
      <c r="EW443">
        <f t="shared" si="2244"/>
        <v>0</v>
      </c>
      <c r="EX443">
        <f t="shared" si="2244"/>
        <v>0</v>
      </c>
      <c r="EY443">
        <f t="shared" si="2244"/>
        <v>0</v>
      </c>
      <c r="EZ443">
        <f t="shared" ref="EZ443:FD443" si="2245">IF(EZ$435,$DV431,0)</f>
        <v>0</v>
      </c>
      <c r="FA443">
        <f t="shared" si="2245"/>
        <v>0</v>
      </c>
      <c r="FB443">
        <f t="shared" si="2245"/>
        <v>0</v>
      </c>
      <c r="FC443">
        <f t="shared" si="2245"/>
        <v>0</v>
      </c>
      <c r="FD443">
        <f t="shared" si="2245"/>
        <v>0</v>
      </c>
      <c r="FE443">
        <f t="shared" ref="FE443:FI443" si="2246">IF(FE$435,$DW431,0)</f>
        <v>0</v>
      </c>
      <c r="FF443">
        <f t="shared" si="2246"/>
        <v>0</v>
      </c>
      <c r="FG443">
        <f t="shared" si="2246"/>
        <v>0</v>
      </c>
      <c r="FH443">
        <f t="shared" si="2246"/>
        <v>0</v>
      </c>
      <c r="FI443">
        <f t="shared" si="2246"/>
        <v>0</v>
      </c>
      <c r="FJ443">
        <f t="shared" ref="FJ443:FN443" si="2247">IF(FJ$435,$DV431,0)</f>
        <v>0</v>
      </c>
      <c r="FK443">
        <f t="shared" si="2247"/>
        <v>0</v>
      </c>
      <c r="FL443">
        <f t="shared" si="2247"/>
        <v>0</v>
      </c>
      <c r="FM443">
        <f t="shared" si="2247"/>
        <v>0</v>
      </c>
      <c r="FN443">
        <f t="shared" si="2247"/>
        <v>0</v>
      </c>
      <c r="FO443">
        <f t="shared" ref="FO443:FS443" si="2248">IF(FO$435,$DW431,0)</f>
        <v>0</v>
      </c>
      <c r="FP443">
        <f t="shared" si="2248"/>
        <v>0</v>
      </c>
      <c r="FQ443">
        <f t="shared" si="2248"/>
        <v>0</v>
      </c>
      <c r="FR443">
        <f t="shared" si="2248"/>
        <v>0</v>
      </c>
      <c r="FS443">
        <f t="shared" si="2248"/>
        <v>0</v>
      </c>
      <c r="FT443">
        <f t="shared" ref="FT443:FX443" si="2249">IF(FT$435,$DV431,0)</f>
        <v>0</v>
      </c>
      <c r="FU443">
        <f t="shared" si="2249"/>
        <v>0</v>
      </c>
      <c r="FV443">
        <f t="shared" si="2249"/>
        <v>0</v>
      </c>
      <c r="FW443">
        <f t="shared" si="2249"/>
        <v>0</v>
      </c>
      <c r="FX443">
        <f t="shared" si="2249"/>
        <v>0</v>
      </c>
      <c r="FY443">
        <f t="shared" ref="FY443:GC443" si="2250">IF(FY$435,$DW431,0)</f>
        <v>0</v>
      </c>
      <c r="FZ443">
        <f t="shared" si="2250"/>
        <v>0</v>
      </c>
      <c r="GA443">
        <f t="shared" si="2250"/>
        <v>0</v>
      </c>
      <c r="GB443">
        <f t="shared" si="2250"/>
        <v>0</v>
      </c>
      <c r="GC443">
        <f t="shared" si="2250"/>
        <v>0</v>
      </c>
    </row>
    <row r="444" spans="1:185" ht="15.75" thickBot="1" x14ac:dyDescent="0.25">
      <c r="A444" s="8" t="s">
        <v>267</v>
      </c>
      <c r="B444">
        <f>ConvenienceLand!F26</f>
        <v>0</v>
      </c>
      <c r="C444">
        <f>ConvenienceLand!F43</f>
        <v>0</v>
      </c>
      <c r="D444">
        <f>ConvenienceLand!F60</f>
        <v>0</v>
      </c>
      <c r="E444">
        <f>ConvenienceLand!F77</f>
        <v>0</v>
      </c>
      <c r="F444">
        <f>ConvenienceLand!F94</f>
        <v>0</v>
      </c>
      <c r="G444">
        <f>ConvenienceLand!H26</f>
        <v>0</v>
      </c>
      <c r="H444">
        <f>ConvenienceLand!H43</f>
        <v>0</v>
      </c>
      <c r="I444">
        <f>ConvenienceLand!H60</f>
        <v>0</v>
      </c>
      <c r="J444">
        <f>ConvenienceLand!H77</f>
        <v>0</v>
      </c>
      <c r="K444">
        <f>ConvenienceLand!H94</f>
        <v>0</v>
      </c>
      <c r="BJ444" t="s">
        <v>265</v>
      </c>
      <c r="BK444">
        <f>IF(BK$438,TankMSS!$C100,0)</f>
        <v>0</v>
      </c>
      <c r="BL444">
        <f>IF(BL$438,TankMSS!$C100,0)</f>
        <v>0</v>
      </c>
      <c r="BM444">
        <f>IF(BM$438,TankMSS!$C100,0)</f>
        <v>0</v>
      </c>
      <c r="BN444">
        <f>IF(BN$438,TankMSS!$C100,0)</f>
        <v>0</v>
      </c>
      <c r="BO444">
        <f>IF(BO$438,TankMSS!$C100,0)</f>
        <v>0</v>
      </c>
      <c r="BP444" s="156">
        <f>IF(BP$438,TankMSS!$D100,0)</f>
        <v>0</v>
      </c>
      <c r="BQ444" s="156">
        <f>IF(BQ$438,TankMSS!$D100,0)</f>
        <v>0</v>
      </c>
      <c r="BR444" s="156">
        <f>IF(BR$438,TankMSS!$D100,0)</f>
        <v>0</v>
      </c>
      <c r="BS444" s="156">
        <f>IF(BS$438,TankMSS!$D100,0)</f>
        <v>0</v>
      </c>
      <c r="BT444" s="156">
        <f>IF(BT$438,TankMSS!$D100,0)</f>
        <v>0</v>
      </c>
      <c r="BU444">
        <f>IF(BU$438,TankMSS!$C100,0)</f>
        <v>0</v>
      </c>
      <c r="BV444">
        <f>IF(BV$438,TankMSS!$C100,0)</f>
        <v>0</v>
      </c>
      <c r="BW444">
        <f>IF(BW$438,TankMSS!$C100,0)</f>
        <v>0</v>
      </c>
      <c r="BX444">
        <f>IF(BX$438,TankMSS!$C100,0)</f>
        <v>0</v>
      </c>
      <c r="BY444">
        <f>IF(BY$438,TankMSS!$C100,0)</f>
        <v>0</v>
      </c>
      <c r="BZ444">
        <f>IF(BZ$438,TankMSS!$D100,0)</f>
        <v>0</v>
      </c>
      <c r="CA444">
        <f>IF(CA$438,TankMSS!$D100,0)</f>
        <v>0</v>
      </c>
      <c r="CB444">
        <f>IF(CB$438,TankMSS!$D100,0)</f>
        <v>0</v>
      </c>
      <c r="CC444">
        <f>IF(CC$438,TankMSS!$D100,0)</f>
        <v>0</v>
      </c>
      <c r="CD444">
        <f>IF(CD$438,TankMSS!$D100,0)</f>
        <v>0</v>
      </c>
      <c r="CE444">
        <f>IF(CE$438,TankMSS!$C100,0)</f>
        <v>0</v>
      </c>
      <c r="CF444">
        <f>IF(CF$438,TankMSS!$C100,0)</f>
        <v>0</v>
      </c>
      <c r="CG444">
        <f>IF(CG$438,TankMSS!$C100,0)</f>
        <v>0</v>
      </c>
      <c r="CH444">
        <f>IF(CH$438,TankMSS!$C100,0)</f>
        <v>0</v>
      </c>
      <c r="CI444">
        <f>IF(CI$438,TankMSS!$C100,0)</f>
        <v>0</v>
      </c>
      <c r="CJ444">
        <f>IF(CJ$438,TankMSS!$D100,0)</f>
        <v>0</v>
      </c>
      <c r="CK444">
        <f>IF(CK$438,TankMSS!$D100,0)</f>
        <v>0</v>
      </c>
      <c r="CL444">
        <f>IF(CL$438,TankMSS!$D100,0)</f>
        <v>0</v>
      </c>
      <c r="CM444">
        <f>IF(CM$438,TankMSS!$D100,0)</f>
        <v>0</v>
      </c>
      <c r="CN444">
        <f>IF(CN$438,TankMSS!$D100,0)</f>
        <v>0</v>
      </c>
      <c r="CO444">
        <f>IF(CO$438,TankMSS!$C100,0)</f>
        <v>0</v>
      </c>
      <c r="CP444">
        <f>IF(CP$438,TankMSS!$C100,0)</f>
        <v>0</v>
      </c>
      <c r="CQ444">
        <f>IF(CQ$438,TankMSS!$C100,0)</f>
        <v>0</v>
      </c>
      <c r="CR444">
        <f>IF(CR$438,TankMSS!$C100,0)</f>
        <v>0</v>
      </c>
      <c r="CS444">
        <f>IF(CS$438,TankMSS!$C100,0)</f>
        <v>0</v>
      </c>
      <c r="CT444">
        <f>IF(CT$438,TankMSS!$D100,0)</f>
        <v>0</v>
      </c>
      <c r="CU444">
        <f>IF(CU$438,TankMSS!$D100,0)</f>
        <v>0</v>
      </c>
      <c r="CV444">
        <f>IF(CV$438,TankMSS!$D100,0)</f>
        <v>0</v>
      </c>
      <c r="CW444">
        <f>IF(CW$438,TankMSS!$D100,0)</f>
        <v>0</v>
      </c>
      <c r="CX444">
        <f>IF(CX$438,TankMSS!$D100,0)</f>
        <v>0</v>
      </c>
      <c r="CY444">
        <f>IF(CY$438,TankMSS!$C100,0)</f>
        <v>0</v>
      </c>
      <c r="CZ444">
        <f>IF(CZ$438,TankMSS!$C100,0)</f>
        <v>0</v>
      </c>
      <c r="DA444">
        <f>IF(DA$438,TankMSS!$C100,0)</f>
        <v>0</v>
      </c>
      <c r="DB444">
        <f>IF(DB$438,TankMSS!$C100,0)</f>
        <v>0</v>
      </c>
      <c r="DC444">
        <f>IF(DC$438,TankMSS!$C100,0)</f>
        <v>0</v>
      </c>
      <c r="DD444">
        <f>IF(DD$438,TankMSS!$D100,0)</f>
        <v>0</v>
      </c>
      <c r="DE444">
        <f>IF(DE$438,TankMSS!$D100,0)</f>
        <v>0</v>
      </c>
      <c r="DF444">
        <f>IF(DF$438,TankMSS!$D100,0)</f>
        <v>0</v>
      </c>
      <c r="DG444">
        <f>IF(DG$438,TankMSS!$D100,0)</f>
        <v>0</v>
      </c>
      <c r="DH444">
        <f>IF(DH$438,TankMSS!$D100,0)</f>
        <v>0</v>
      </c>
      <c r="DI444">
        <f>IF(DI$438,TankMSS!$C100,0)</f>
        <v>0</v>
      </c>
      <c r="DJ444">
        <f>IF(DJ$438,TankMSS!$C100,0)</f>
        <v>0</v>
      </c>
      <c r="DK444">
        <f>IF(DK$438,TankMSS!$C100,0)</f>
        <v>0</v>
      </c>
      <c r="DL444">
        <f>IF(DL$438,TankMSS!$C100,0)</f>
        <v>0</v>
      </c>
      <c r="DM444">
        <f>IF(DM$438,TankMSS!$C100,0)</f>
        <v>0</v>
      </c>
      <c r="DN444">
        <f>IF(DN$438,TankMSS!$D100,0)</f>
        <v>0</v>
      </c>
      <c r="DO444">
        <f>IF(DO$438,TankMSS!$D100,0)</f>
        <v>0</v>
      </c>
      <c r="DP444">
        <f>IF(DP$438,TankMSS!$D100,0)</f>
        <v>0</v>
      </c>
      <c r="DQ444">
        <f>IF(DQ$438,TankMSS!$D100,0)</f>
        <v>0</v>
      </c>
      <c r="DR444">
        <f>IF(DR$438,TankMSS!$D100,0)</f>
        <v>0</v>
      </c>
      <c r="DT444" s="77"/>
      <c r="DU444" s="479" t="s">
        <v>9997</v>
      </c>
      <c r="DV444" s="479"/>
      <c r="DW444" s="479"/>
      <c r="DX444" s="479"/>
      <c r="DY444" s="479"/>
      <c r="DZ444" s="479"/>
      <c r="EA444" s="479"/>
      <c r="EB444" s="479"/>
      <c r="EC444" s="479"/>
      <c r="ED444" s="479"/>
      <c r="EE444" s="479"/>
      <c r="EF444" s="479"/>
      <c r="EG444" s="479"/>
      <c r="EH444" s="479"/>
      <c r="EI444" s="479"/>
      <c r="EJ444" s="479"/>
      <c r="EK444" s="479"/>
      <c r="EL444" s="479"/>
      <c r="EM444" s="479"/>
      <c r="EN444" s="479"/>
      <c r="EO444" s="479"/>
      <c r="EP444" s="479"/>
      <c r="EQ444" s="479"/>
      <c r="ER444" s="479"/>
      <c r="ES444" s="479"/>
      <c r="ET444" s="479"/>
      <c r="EU444" s="479"/>
      <c r="EV444" s="479"/>
    </row>
    <row r="445" spans="1:185" ht="29.25" thickBot="1" x14ac:dyDescent="0.25">
      <c r="A445" s="479" t="s">
        <v>9979</v>
      </c>
      <c r="B445" s="479"/>
      <c r="C445" s="479"/>
      <c r="D445" s="479"/>
      <c r="E445" s="479"/>
      <c r="F445" s="479"/>
      <c r="G445" s="479"/>
      <c r="H445" s="479"/>
      <c r="I445" s="479"/>
      <c r="J445" s="479"/>
      <c r="K445" s="479"/>
      <c r="L445" s="479"/>
      <c r="M445" s="479"/>
      <c r="N445" s="479"/>
      <c r="O445" s="479"/>
      <c r="P445" s="479"/>
      <c r="Q445" s="479"/>
      <c r="R445" s="479"/>
      <c r="S445" s="479"/>
      <c r="T445" s="479"/>
      <c r="U445" s="479"/>
      <c r="V445" s="479"/>
      <c r="W445" s="479"/>
      <c r="X445" s="479"/>
      <c r="Y445" s="479"/>
      <c r="Z445" s="479"/>
      <c r="AA445" s="479"/>
      <c r="AB445" s="479"/>
      <c r="AC445" s="479"/>
      <c r="AD445" s="479"/>
      <c r="AE445" s="479"/>
      <c r="AF445" s="479"/>
      <c r="AG445" s="479"/>
      <c r="AH445" s="479"/>
      <c r="AI445" s="479"/>
      <c r="AJ445" s="479"/>
      <c r="AK445" s="479"/>
      <c r="AL445" s="479"/>
      <c r="AM445" s="479"/>
      <c r="AN445" s="479"/>
      <c r="AO445" s="479"/>
      <c r="AP445" s="479"/>
      <c r="AQ445" s="479"/>
      <c r="AR445" s="479"/>
      <c r="AS445" s="479"/>
      <c r="AT445" s="479"/>
      <c r="AU445" s="479"/>
      <c r="AV445" s="479"/>
      <c r="AW445" s="479"/>
      <c r="AX445" s="479"/>
      <c r="AY445" s="479"/>
      <c r="AZ445" s="479"/>
      <c r="BA445" s="479"/>
      <c r="BB445" s="479"/>
      <c r="BC445" s="479"/>
      <c r="BD445" s="479"/>
      <c r="BE445" s="479"/>
      <c r="BF445" s="479"/>
      <c r="BG445" s="479"/>
      <c r="BH445" s="479"/>
      <c r="BI445" s="479"/>
      <c r="BJ445" t="s">
        <v>266</v>
      </c>
      <c r="BK445">
        <f>IF(BK$438,TankMSS!$C101,0)</f>
        <v>0</v>
      </c>
      <c r="BL445">
        <f>IF(BL$438,TankMSS!$C101,0)</f>
        <v>0</v>
      </c>
      <c r="BM445">
        <f>IF(BM$438,TankMSS!$C101,0)</f>
        <v>0</v>
      </c>
      <c r="BN445">
        <f>IF(BN$438,TankMSS!$C101,0)</f>
        <v>0</v>
      </c>
      <c r="BO445">
        <f>IF(BO$438,TankMSS!$C101,0)</f>
        <v>0</v>
      </c>
      <c r="BP445" s="156">
        <f>IF(BP$438,TankMSS!$D101,0)</f>
        <v>0</v>
      </c>
      <c r="BQ445" s="156">
        <f>IF(BQ$438,TankMSS!$D101,0)</f>
        <v>0</v>
      </c>
      <c r="BR445" s="156">
        <f>IF(BR$438,TankMSS!$D101,0)</f>
        <v>0</v>
      </c>
      <c r="BS445" s="156">
        <f>IF(BS$438,TankMSS!$D101,0)</f>
        <v>0</v>
      </c>
      <c r="BT445" s="156">
        <f>IF(BT$438,TankMSS!$D101,0)</f>
        <v>0</v>
      </c>
      <c r="BU445">
        <f>IF(BU$438,TankMSS!$C101,0)</f>
        <v>0</v>
      </c>
      <c r="BV445">
        <f>IF(BV$438,TankMSS!$C101,0)</f>
        <v>0</v>
      </c>
      <c r="BW445">
        <f>IF(BW$438,TankMSS!$C101,0)</f>
        <v>0</v>
      </c>
      <c r="BX445">
        <f>IF(BX$438,TankMSS!$C101,0)</f>
        <v>0</v>
      </c>
      <c r="BY445">
        <f>IF(BY$438,TankMSS!$C101,0)</f>
        <v>0</v>
      </c>
      <c r="BZ445">
        <f>IF(BZ$438,TankMSS!$D101,0)</f>
        <v>0</v>
      </c>
      <c r="CA445">
        <f>IF(CA$438,TankMSS!$D101,0)</f>
        <v>0</v>
      </c>
      <c r="CB445">
        <f>IF(CB$438,TankMSS!$D101,0)</f>
        <v>0</v>
      </c>
      <c r="CC445">
        <f>IF(CC$438,TankMSS!$D101,0)</f>
        <v>0</v>
      </c>
      <c r="CD445">
        <f>IF(CD$438,TankMSS!$D101,0)</f>
        <v>0</v>
      </c>
      <c r="CE445">
        <f>IF(CE$438,TankMSS!$C101,0)</f>
        <v>0</v>
      </c>
      <c r="CF445">
        <f>IF(CF$438,TankMSS!$C101,0)</f>
        <v>0</v>
      </c>
      <c r="CG445">
        <f>IF(CG$438,TankMSS!$C101,0)</f>
        <v>0</v>
      </c>
      <c r="CH445">
        <f>IF(CH$438,TankMSS!$C101,0)</f>
        <v>0</v>
      </c>
      <c r="CI445">
        <f>IF(CI$438,TankMSS!$C101,0)</f>
        <v>0</v>
      </c>
      <c r="CJ445">
        <f>IF(CJ$438,TankMSS!$D101,0)</f>
        <v>0</v>
      </c>
      <c r="CK445">
        <f>IF(CK$438,TankMSS!$D101,0)</f>
        <v>0</v>
      </c>
      <c r="CL445">
        <f>IF(CL$438,TankMSS!$D101,0)</f>
        <v>0</v>
      </c>
      <c r="CM445">
        <f>IF(CM$438,TankMSS!$D101,0)</f>
        <v>0</v>
      </c>
      <c r="CN445">
        <f>IF(CN$438,TankMSS!$D101,0)</f>
        <v>0</v>
      </c>
      <c r="CO445">
        <f>IF(CO$438,TankMSS!$C101,0)</f>
        <v>0</v>
      </c>
      <c r="CP445">
        <f>IF(CP$438,TankMSS!$C101,0)</f>
        <v>0</v>
      </c>
      <c r="CQ445">
        <f>IF(CQ$438,TankMSS!$C101,0)</f>
        <v>0</v>
      </c>
      <c r="CR445">
        <f>IF(CR$438,TankMSS!$C101,0)</f>
        <v>0</v>
      </c>
      <c r="CS445">
        <f>IF(CS$438,TankMSS!$C101,0)</f>
        <v>0</v>
      </c>
      <c r="CT445">
        <f>IF(CT$438,TankMSS!$D101,0)</f>
        <v>0</v>
      </c>
      <c r="CU445">
        <f>IF(CU$438,TankMSS!$D101,0)</f>
        <v>0</v>
      </c>
      <c r="CV445">
        <f>IF(CV$438,TankMSS!$D101,0)</f>
        <v>0</v>
      </c>
      <c r="CW445">
        <f>IF(CW$438,TankMSS!$D101,0)</f>
        <v>0</v>
      </c>
      <c r="CX445">
        <f>IF(CX$438,TankMSS!$D101,0)</f>
        <v>0</v>
      </c>
      <c r="CY445">
        <f>IF(CY$438,TankMSS!$C101,0)</f>
        <v>0</v>
      </c>
      <c r="CZ445">
        <f>IF(CZ$438,TankMSS!$C101,0)</f>
        <v>0</v>
      </c>
      <c r="DA445">
        <f>IF(DA$438,TankMSS!$C101,0)</f>
        <v>0</v>
      </c>
      <c r="DB445">
        <f>IF(DB$438,TankMSS!$C101,0)</f>
        <v>0</v>
      </c>
      <c r="DC445">
        <f>IF(DC$438,TankMSS!$C101,0)</f>
        <v>0</v>
      </c>
      <c r="DD445">
        <f>IF(DD$438,TankMSS!$D101,0)</f>
        <v>0</v>
      </c>
      <c r="DE445">
        <f>IF(DE$438,TankMSS!$D101,0)</f>
        <v>0</v>
      </c>
      <c r="DF445">
        <f>IF(DF$438,TankMSS!$D101,0)</f>
        <v>0</v>
      </c>
      <c r="DG445">
        <f>IF(DG$438,TankMSS!$D101,0)</f>
        <v>0</v>
      </c>
      <c r="DH445">
        <f>IF(DH$438,TankMSS!$D101,0)</f>
        <v>0</v>
      </c>
      <c r="DI445">
        <f>IF(DI$438,TankMSS!$C101,0)</f>
        <v>0</v>
      </c>
      <c r="DJ445">
        <f>IF(DJ$438,TankMSS!$C101,0)</f>
        <v>0</v>
      </c>
      <c r="DK445">
        <f>IF(DK$438,TankMSS!$C101,0)</f>
        <v>0</v>
      </c>
      <c r="DL445">
        <f>IF(DL$438,TankMSS!$C101,0)</f>
        <v>0</v>
      </c>
      <c r="DM445">
        <f>IF(DM$438,TankMSS!$C101,0)</f>
        <v>0</v>
      </c>
      <c r="DN445">
        <f>IF(DN$438,TankMSS!$D101,0)</f>
        <v>0</v>
      </c>
      <c r="DO445">
        <f>IF(DO$438,TankMSS!$D101,0)</f>
        <v>0</v>
      </c>
      <c r="DP445">
        <f>IF(DP$438,TankMSS!$D101,0)</f>
        <v>0</v>
      </c>
      <c r="DQ445">
        <f>IF(DQ$438,TankMSS!$D101,0)</f>
        <v>0</v>
      </c>
      <c r="DR445">
        <f>IF(DR$438,TankMSS!$D101,0)</f>
        <v>0</v>
      </c>
      <c r="DT445" s="77"/>
      <c r="DV445" t="s">
        <v>9749</v>
      </c>
      <c r="DX445" t="s">
        <v>9750</v>
      </c>
      <c r="DZ445" t="s">
        <v>9751</v>
      </c>
      <c r="EB445" t="s">
        <v>9757</v>
      </c>
      <c r="ED445" t="s">
        <v>9280</v>
      </c>
      <c r="EF445" t="s">
        <v>9758</v>
      </c>
    </row>
    <row r="446" spans="1:185" ht="43.5" thickBot="1" x14ac:dyDescent="0.25">
      <c r="A446" s="8"/>
      <c r="B446" t="s">
        <v>9749</v>
      </c>
      <c r="L446" t="s">
        <v>9750</v>
      </c>
      <c r="V446" t="s">
        <v>9751</v>
      </c>
      <c r="AF446" t="s">
        <v>9752</v>
      </c>
      <c r="AP446" t="s">
        <v>9280</v>
      </c>
      <c r="AZ446" t="s">
        <v>9753</v>
      </c>
      <c r="BJ446" t="s">
        <v>267</v>
      </c>
      <c r="BK446">
        <f>IF(BK$438,TankMSS!$C102,0)</f>
        <v>0</v>
      </c>
      <c r="BL446">
        <f>IF(BL$438,TankMSS!$C102,0)</f>
        <v>0</v>
      </c>
      <c r="BM446">
        <f>IF(BM$438,TankMSS!$C102,0)</f>
        <v>0</v>
      </c>
      <c r="BN446">
        <f>IF(BN$438,TankMSS!$C102,0)</f>
        <v>0</v>
      </c>
      <c r="BO446">
        <f>IF(BO$438,TankMSS!$C102,0)</f>
        <v>0</v>
      </c>
      <c r="BP446" s="156">
        <f>IF(BP$438,TankMSS!$D102,0)</f>
        <v>0</v>
      </c>
      <c r="BQ446" s="156">
        <f>IF(BQ$438,TankMSS!$D102,0)</f>
        <v>0</v>
      </c>
      <c r="BR446" s="156">
        <f>IF(BR$438,TankMSS!$D102,0)</f>
        <v>0</v>
      </c>
      <c r="BS446" s="156">
        <f>IF(BS$438,TankMSS!$D102,0)</f>
        <v>0</v>
      </c>
      <c r="BT446" s="156">
        <f>IF(BT$438,TankMSS!$D102,0)</f>
        <v>0</v>
      </c>
      <c r="BU446">
        <f>IF(BU$438,TankMSS!$C102,0)</f>
        <v>0</v>
      </c>
      <c r="BV446">
        <f>IF(BV$438,TankMSS!$C102,0)</f>
        <v>0</v>
      </c>
      <c r="BW446">
        <f>IF(BW$438,TankMSS!$C102,0)</f>
        <v>0</v>
      </c>
      <c r="BX446">
        <f>IF(BX$438,TankMSS!$C102,0)</f>
        <v>0</v>
      </c>
      <c r="BY446">
        <f>IF(BY$438,TankMSS!$C102,0)</f>
        <v>0</v>
      </c>
      <c r="BZ446">
        <f>IF(BZ$438,TankMSS!$D102,0)</f>
        <v>0</v>
      </c>
      <c r="CA446">
        <f>IF(CA$438,TankMSS!$D102,0)</f>
        <v>0</v>
      </c>
      <c r="CB446">
        <f>IF(CB$438,TankMSS!$D102,0)</f>
        <v>0</v>
      </c>
      <c r="CC446">
        <f>IF(CC$438,TankMSS!$D102,0)</f>
        <v>0</v>
      </c>
      <c r="CD446">
        <f>IF(CD$438,TankMSS!$D102,0)</f>
        <v>0</v>
      </c>
      <c r="CE446">
        <f>IF(CE$438,TankMSS!$C102,0)</f>
        <v>0</v>
      </c>
      <c r="CF446">
        <f>IF(CF$438,TankMSS!$C102,0)</f>
        <v>0</v>
      </c>
      <c r="CG446">
        <f>IF(CG$438,TankMSS!$C102,0)</f>
        <v>0</v>
      </c>
      <c r="CH446">
        <f>IF(CH$438,TankMSS!$C102,0)</f>
        <v>0</v>
      </c>
      <c r="CI446">
        <f>IF(CI$438,TankMSS!$C102,0)</f>
        <v>0</v>
      </c>
      <c r="CJ446">
        <f>IF(CJ$438,TankMSS!$D102,0)</f>
        <v>0</v>
      </c>
      <c r="CK446">
        <f>IF(CK$438,TankMSS!$D102,0)</f>
        <v>0</v>
      </c>
      <c r="CL446">
        <f>IF(CL$438,TankMSS!$D102,0)</f>
        <v>0</v>
      </c>
      <c r="CM446">
        <f>IF(CM$438,TankMSS!$D102,0)</f>
        <v>0</v>
      </c>
      <c r="CN446">
        <f>IF(CN$438,TankMSS!$D102,0)</f>
        <v>0</v>
      </c>
      <c r="CO446">
        <f>IF(CO$438,TankMSS!$C102,0)</f>
        <v>0</v>
      </c>
      <c r="CP446">
        <f>IF(CP$438,TankMSS!$C102,0)</f>
        <v>0</v>
      </c>
      <c r="CQ446">
        <f>IF(CQ$438,TankMSS!$C102,0)</f>
        <v>0</v>
      </c>
      <c r="CR446">
        <f>IF(CR$438,TankMSS!$C102,0)</f>
        <v>0</v>
      </c>
      <c r="CS446">
        <f>IF(CS$438,TankMSS!$C102,0)</f>
        <v>0</v>
      </c>
      <c r="CT446">
        <f>IF(CT$438,TankMSS!$D102,0)</f>
        <v>0</v>
      </c>
      <c r="CU446">
        <f>IF(CU$438,TankMSS!$D102,0)</f>
        <v>0</v>
      </c>
      <c r="CV446">
        <f>IF(CV$438,TankMSS!$D102,0)</f>
        <v>0</v>
      </c>
      <c r="CW446">
        <f>IF(CW$438,TankMSS!$D102,0)</f>
        <v>0</v>
      </c>
      <c r="CX446">
        <f>IF(CX$438,TankMSS!$D102,0)</f>
        <v>0</v>
      </c>
      <c r="CY446">
        <f>IF(CY$438,TankMSS!$C102,0)</f>
        <v>0</v>
      </c>
      <c r="CZ446">
        <f>IF(CZ$438,TankMSS!$C102,0)</f>
        <v>0</v>
      </c>
      <c r="DA446">
        <f>IF(DA$438,TankMSS!$C102,0)</f>
        <v>0</v>
      </c>
      <c r="DB446">
        <f>IF(DB$438,TankMSS!$C102,0)</f>
        <v>0</v>
      </c>
      <c r="DC446">
        <f>IF(DC$438,TankMSS!$C102,0)</f>
        <v>0</v>
      </c>
      <c r="DD446">
        <f>IF(DD$438,TankMSS!$D102,0)</f>
        <v>0</v>
      </c>
      <c r="DE446">
        <f>IF(DE$438,TankMSS!$D102,0)</f>
        <v>0</v>
      </c>
      <c r="DF446">
        <f>IF(DF$438,TankMSS!$D102,0)</f>
        <v>0</v>
      </c>
      <c r="DG446">
        <f>IF(DG$438,TankMSS!$D102,0)</f>
        <v>0</v>
      </c>
      <c r="DH446">
        <f>IF(DH$438,TankMSS!$D102,0)</f>
        <v>0</v>
      </c>
      <c r="DI446">
        <f>IF(DI$438,TankMSS!$C102,0)</f>
        <v>0</v>
      </c>
      <c r="DJ446">
        <f>IF(DJ$438,TankMSS!$C102,0)</f>
        <v>0</v>
      </c>
      <c r="DK446">
        <f>IF(DK$438,TankMSS!$C102,0)</f>
        <v>0</v>
      </c>
      <c r="DL446">
        <f>IF(DL$438,TankMSS!$C102,0)</f>
        <v>0</v>
      </c>
      <c r="DM446">
        <f>IF(DM$438,TankMSS!$C102,0)</f>
        <v>0</v>
      </c>
      <c r="DN446">
        <f>IF(DN$438,TankMSS!$D102,0)</f>
        <v>0</v>
      </c>
      <c r="DO446">
        <f>IF(DO$438,TankMSS!$D102,0)</f>
        <v>0</v>
      </c>
      <c r="DP446">
        <f>IF(DP$438,TankMSS!$D102,0)</f>
        <v>0</v>
      </c>
      <c r="DQ446">
        <f>IF(DQ$438,TankMSS!$D102,0)</f>
        <v>0</v>
      </c>
      <c r="DR446">
        <f>IF(DR$438,TankMSS!$D102,0)</f>
        <v>0</v>
      </c>
      <c r="DT446" s="77"/>
      <c r="DV446" t="s">
        <v>8741</v>
      </c>
      <c r="DW446" t="s">
        <v>8742</v>
      </c>
      <c r="DX446" t="s">
        <v>8741</v>
      </c>
      <c r="DY446" t="s">
        <v>8742</v>
      </c>
      <c r="DZ446" t="s">
        <v>8741</v>
      </c>
      <c r="EA446" t="s">
        <v>8742</v>
      </c>
      <c r="EB446" t="s">
        <v>8741</v>
      </c>
      <c r="EC446" t="s">
        <v>8742</v>
      </c>
      <c r="ED446" t="s">
        <v>8741</v>
      </c>
      <c r="EE446" t="s">
        <v>8742</v>
      </c>
      <c r="EF446" t="s">
        <v>8741</v>
      </c>
      <c r="EG446" t="s">
        <v>8742</v>
      </c>
    </row>
    <row r="447" spans="1:185" ht="15.75" thickBot="1" x14ac:dyDescent="0.25">
      <c r="A447" s="8"/>
      <c r="B447" t="s">
        <v>165</v>
      </c>
      <c r="C447" t="s">
        <v>323</v>
      </c>
      <c r="D447" t="s">
        <v>324</v>
      </c>
      <c r="E447" t="s">
        <v>325</v>
      </c>
      <c r="F447" t="s">
        <v>326</v>
      </c>
      <c r="G447" t="s">
        <v>165</v>
      </c>
      <c r="H447" t="s">
        <v>323</v>
      </c>
      <c r="I447" t="s">
        <v>324</v>
      </c>
      <c r="J447" t="s">
        <v>325</v>
      </c>
      <c r="K447" t="s">
        <v>326</v>
      </c>
      <c r="L447" t="s">
        <v>165</v>
      </c>
      <c r="M447" t="s">
        <v>323</v>
      </c>
      <c r="N447" t="s">
        <v>324</v>
      </c>
      <c r="O447" t="s">
        <v>325</v>
      </c>
      <c r="P447" t="s">
        <v>326</v>
      </c>
      <c r="Q447" t="s">
        <v>165</v>
      </c>
      <c r="R447" t="s">
        <v>323</v>
      </c>
      <c r="S447" t="s">
        <v>324</v>
      </c>
      <c r="T447" t="s">
        <v>325</v>
      </c>
      <c r="U447" t="s">
        <v>326</v>
      </c>
      <c r="V447" t="s">
        <v>165</v>
      </c>
      <c r="W447" t="s">
        <v>323</v>
      </c>
      <c r="X447" t="s">
        <v>324</v>
      </c>
      <c r="Y447" t="s">
        <v>325</v>
      </c>
      <c r="Z447" t="s">
        <v>326</v>
      </c>
      <c r="AA447" t="s">
        <v>165</v>
      </c>
      <c r="AB447" t="s">
        <v>323</v>
      </c>
      <c r="AC447" t="s">
        <v>324</v>
      </c>
      <c r="AD447" t="s">
        <v>325</v>
      </c>
      <c r="AE447" t="s">
        <v>326</v>
      </c>
      <c r="AF447" t="s">
        <v>165</v>
      </c>
      <c r="AG447" t="s">
        <v>323</v>
      </c>
      <c r="AH447" t="s">
        <v>324</v>
      </c>
      <c r="AI447" t="s">
        <v>325</v>
      </c>
      <c r="AJ447" t="s">
        <v>326</v>
      </c>
      <c r="AK447" t="s">
        <v>165</v>
      </c>
      <c r="AL447" t="s">
        <v>323</v>
      </c>
      <c r="AM447" t="s">
        <v>324</v>
      </c>
      <c r="AN447" t="s">
        <v>325</v>
      </c>
      <c r="AO447" t="s">
        <v>326</v>
      </c>
      <c r="AP447" t="s">
        <v>165</v>
      </c>
      <c r="AQ447" t="s">
        <v>323</v>
      </c>
      <c r="AR447" t="s">
        <v>324</v>
      </c>
      <c r="AS447" t="s">
        <v>325</v>
      </c>
      <c r="AT447" t="s">
        <v>326</v>
      </c>
      <c r="AU447" t="s">
        <v>165</v>
      </c>
      <c r="AV447" t="s">
        <v>323</v>
      </c>
      <c r="AW447" t="s">
        <v>324</v>
      </c>
      <c r="AX447" t="s">
        <v>325</v>
      </c>
      <c r="AY447" t="s">
        <v>326</v>
      </c>
      <c r="AZ447" t="s">
        <v>165</v>
      </c>
      <c r="BA447" t="s">
        <v>323</v>
      </c>
      <c r="BB447" t="s">
        <v>324</v>
      </c>
      <c r="BC447" t="s">
        <v>325</v>
      </c>
      <c r="BD447" t="s">
        <v>326</v>
      </c>
      <c r="BE447" t="s">
        <v>165</v>
      </c>
      <c r="BF447" t="s">
        <v>323</v>
      </c>
      <c r="BG447" t="s">
        <v>324</v>
      </c>
      <c r="BH447" t="s">
        <v>325</v>
      </c>
      <c r="BI447" t="s">
        <v>326</v>
      </c>
      <c r="BJ447" s="479" t="s">
        <v>9980</v>
      </c>
      <c r="BK447" s="479"/>
      <c r="BL447" s="479"/>
      <c r="BM447" s="479"/>
      <c r="BN447" s="479"/>
      <c r="BO447" s="479"/>
      <c r="BP447" s="479"/>
      <c r="BQ447" s="479"/>
      <c r="BR447" s="479"/>
      <c r="BS447" s="479"/>
      <c r="BT447" s="479"/>
      <c r="BU447" s="479"/>
      <c r="BV447" s="479"/>
      <c r="BW447" s="479"/>
      <c r="BX447" s="479"/>
      <c r="BY447" s="479"/>
      <c r="BZ447" s="479"/>
      <c r="CA447" s="479"/>
      <c r="CB447" s="479"/>
      <c r="CC447" s="479"/>
      <c r="CD447" s="479"/>
      <c r="CE447" s="479"/>
      <c r="DT447" s="77"/>
      <c r="DU447" t="s">
        <v>261</v>
      </c>
      <c r="DV447">
        <f>MAX($DV437:$DZ437)</f>
        <v>0</v>
      </c>
      <c r="DW447">
        <f>SUM($EA437:$EE437)</f>
        <v>0</v>
      </c>
      <c r="DX447">
        <f>MAX($EF437:$EJ437)</f>
        <v>0</v>
      </c>
      <c r="DY447">
        <f>SUM($EK437:$EO437)</f>
        <v>0</v>
      </c>
      <c r="DZ447">
        <f>MAX($EP437:$ET437)</f>
        <v>0</v>
      </c>
      <c r="EA447">
        <f>SUM($EU437:$EY437)</f>
        <v>0</v>
      </c>
      <c r="EB447">
        <f>MAX($EZ437:$FD437)</f>
        <v>0</v>
      </c>
      <c r="EC447">
        <f>SUM($FE437:$FI437)</f>
        <v>0</v>
      </c>
      <c r="ED447">
        <f>MAX($FJ437:$FN437)</f>
        <v>0</v>
      </c>
      <c r="EE447">
        <f>SUM($FO437:$FS437)</f>
        <v>0</v>
      </c>
      <c r="EF447">
        <f>MAX($FT437:$FX437)</f>
        <v>0</v>
      </c>
      <c r="EG447">
        <f>SUM($FY437:$GC437)</f>
        <v>0</v>
      </c>
    </row>
    <row r="448" spans="1:185" ht="28.5" x14ac:dyDescent="0.2">
      <c r="A448" s="8" t="s">
        <v>9754</v>
      </c>
      <c r="B448" t="b">
        <f>IF(ConvenienceLand!$D$14="permanent flare",TRUE,FALSE)</f>
        <v>0</v>
      </c>
      <c r="C448" t="b">
        <f>IF(ConvenienceLand!$D$31="permanent flare",TRUE,FALSE)</f>
        <v>0</v>
      </c>
      <c r="D448" t="b">
        <f>IF(ConvenienceLand!$D$48="permanent flare",TRUE,FALSE)</f>
        <v>0</v>
      </c>
      <c r="E448" t="b">
        <f>IF(ConvenienceLand!$D$65="permanent flare",TRUE,FALSE)</f>
        <v>0</v>
      </c>
      <c r="F448" t="b">
        <f>IF(ConvenienceLand!$D$82="permanent flare",TRUE,FALSE)</f>
        <v>0</v>
      </c>
      <c r="G448" t="b">
        <f>B448</f>
        <v>0</v>
      </c>
      <c r="H448" t="b">
        <f t="shared" ref="H448:K448" si="2251">C448</f>
        <v>0</v>
      </c>
      <c r="I448" t="b">
        <f t="shared" si="2251"/>
        <v>0</v>
      </c>
      <c r="J448" t="b">
        <f t="shared" si="2251"/>
        <v>0</v>
      </c>
      <c r="K448" t="b">
        <f t="shared" si="2251"/>
        <v>0</v>
      </c>
      <c r="L448" t="b">
        <f>IF(ConvenienceLand!$D$14="permanent vcu",TRUE,FALSE)</f>
        <v>0</v>
      </c>
      <c r="M448" t="b">
        <f>IF(ConvenienceLand!$D$31="permanent vcu",TRUE,FALSE)</f>
        <v>0</v>
      </c>
      <c r="N448" t="b">
        <f>IF(ConvenienceLand!$D$48="permanent vcu",TRUE,FALSE)</f>
        <v>0</v>
      </c>
      <c r="O448" t="b">
        <f>IF(ConvenienceLand!$D$65="permanent vcu",TRUE,FALSE)</f>
        <v>0</v>
      </c>
      <c r="P448" t="b">
        <f>IF(ConvenienceLand!$D$82="permanent vcu",TRUE,FALSE)</f>
        <v>0</v>
      </c>
      <c r="Q448" t="b">
        <f>L448</f>
        <v>0</v>
      </c>
      <c r="R448" t="b">
        <f t="shared" ref="R448:U448" si="2252">M448</f>
        <v>0</v>
      </c>
      <c r="S448" t="b">
        <f t="shared" si="2252"/>
        <v>0</v>
      </c>
      <c r="T448" t="b">
        <f t="shared" si="2252"/>
        <v>0</v>
      </c>
      <c r="U448" t="b">
        <f t="shared" si="2252"/>
        <v>0</v>
      </c>
      <c r="V448" t="b">
        <f>IF(ConvenienceLand!$D$14="permanent vapor oxidizer",TRUE,FALSE)</f>
        <v>0</v>
      </c>
      <c r="W448" t="b">
        <f>IF(ConvenienceLand!$D$31="permanent vapor oxidizer",TRUE,FALSE)</f>
        <v>0</v>
      </c>
      <c r="X448" t="b">
        <f>IF(ConvenienceLand!$D$48="permanent vapor oxidizer",TRUE,FALSE)</f>
        <v>0</v>
      </c>
      <c r="Y448" t="b">
        <f>IF(ConvenienceLand!$D$65="permanent vapor oxidizer",TRUE,FALSE)</f>
        <v>0</v>
      </c>
      <c r="Z448" t="b">
        <f>IF(ConvenienceLand!$D$82="permanent vapor oxidizer",TRUE,FALSE)</f>
        <v>0</v>
      </c>
      <c r="AA448" t="b">
        <f>V448</f>
        <v>0</v>
      </c>
      <c r="AB448" t="b">
        <f t="shared" ref="AB448:AE448" si="2253">W448</f>
        <v>0</v>
      </c>
      <c r="AC448" t="b">
        <f t="shared" si="2253"/>
        <v>0</v>
      </c>
      <c r="AD448" t="b">
        <f t="shared" si="2253"/>
        <v>0</v>
      </c>
      <c r="AE448" t="b">
        <f t="shared" si="2253"/>
        <v>0</v>
      </c>
      <c r="AF448" t="b">
        <f>IF(ConvenienceLand!$D$14="temporary flare",TRUE,FALSE)</f>
        <v>0</v>
      </c>
      <c r="AG448" t="b">
        <f>IF(ConvenienceLand!$D$31="temporary flare",TRUE,FALSE)</f>
        <v>0</v>
      </c>
      <c r="AH448" t="b">
        <f>IF(ConvenienceLand!$D$48="temporary flare",TRUE,FALSE)</f>
        <v>0</v>
      </c>
      <c r="AI448" t="b">
        <f>IF(ConvenienceLand!$D$65="temporary flare",TRUE,FALSE)</f>
        <v>0</v>
      </c>
      <c r="AJ448" t="b">
        <f>IF(ConvenienceLand!$D$82="temporary flare",TRUE,FALSE)</f>
        <v>0</v>
      </c>
      <c r="AK448" t="b">
        <f>AF448</f>
        <v>0</v>
      </c>
      <c r="AL448" t="b">
        <f t="shared" ref="AL448:AN448" si="2254">AG448</f>
        <v>0</v>
      </c>
      <c r="AM448" t="b">
        <f t="shared" si="2254"/>
        <v>0</v>
      </c>
      <c r="AN448" t="b">
        <f t="shared" si="2254"/>
        <v>0</v>
      </c>
      <c r="AO448" t="b">
        <f>AJ448</f>
        <v>0</v>
      </c>
      <c r="AP448" t="b">
        <f>IF(ConvenienceLand!$D$14="temporary vcu",TRUE,FALSE)</f>
        <v>0</v>
      </c>
      <c r="AQ448" t="b">
        <f>IF(ConvenienceLand!$D$31="temporary vcu",TRUE,FALSE)</f>
        <v>0</v>
      </c>
      <c r="AR448" t="b">
        <f>IF(ConvenienceLand!$D$48="temporary vcu",TRUE,FALSE)</f>
        <v>0</v>
      </c>
      <c r="AS448" t="b">
        <f>IF(ConvenienceLand!$D$65="temporary vcu",TRUE,FALSE)</f>
        <v>0</v>
      </c>
      <c r="AT448" t="b">
        <f>IF(ConvenienceLand!$D$82="temporary vcu",TRUE,FALSE)</f>
        <v>0</v>
      </c>
      <c r="AU448" t="b">
        <f>AP448</f>
        <v>0</v>
      </c>
      <c r="AV448" t="b">
        <f t="shared" ref="AV448:AY448" si="2255">AQ448</f>
        <v>0</v>
      </c>
      <c r="AW448" t="b">
        <f t="shared" si="2255"/>
        <v>0</v>
      </c>
      <c r="AX448" t="b">
        <f t="shared" si="2255"/>
        <v>0</v>
      </c>
      <c r="AY448" t="b">
        <f t="shared" si="2255"/>
        <v>0</v>
      </c>
      <c r="AZ448" t="b">
        <f>IF(ConvenienceLand!$D$14="temporary thermal oxidizer",TRUE,FALSE)</f>
        <v>0</v>
      </c>
      <c r="BA448" t="b">
        <f>IF(ConvenienceLand!$D$31="temporary thermal oxidizer",TRUE,FALSE)</f>
        <v>0</v>
      </c>
      <c r="BB448" t="b">
        <f>IF(ConvenienceLand!$D$48="temporary thermal oxidizer",TRUE,FALSE)</f>
        <v>0</v>
      </c>
      <c r="BC448" t="b">
        <f>IF(ConvenienceLand!$D$65="temporary thermal oxidizer",TRUE,FALSE)</f>
        <v>0</v>
      </c>
      <c r="BD448" t="b">
        <f>IF(ConvenienceLand!$D$82="temporary thermal oxidizer",TRUE,FALSE)</f>
        <v>0</v>
      </c>
      <c r="BE448" t="b">
        <f>AZ448</f>
        <v>0</v>
      </c>
      <c r="BF448" t="b">
        <f t="shared" ref="BF448:BI448" si="2256">BA448</f>
        <v>0</v>
      </c>
      <c r="BG448" t="b">
        <f t="shared" si="2256"/>
        <v>0</v>
      </c>
      <c r="BH448" t="b">
        <f t="shared" si="2256"/>
        <v>0</v>
      </c>
      <c r="BI448" t="b">
        <f t="shared" si="2256"/>
        <v>0</v>
      </c>
      <c r="BK448" t="s">
        <v>9749</v>
      </c>
      <c r="BM448" t="s">
        <v>9750</v>
      </c>
      <c r="BO448" t="s">
        <v>9751</v>
      </c>
      <c r="BQ448" t="s">
        <v>9757</v>
      </c>
      <c r="BS448" t="s">
        <v>9280</v>
      </c>
      <c r="BU448" t="s">
        <v>9758</v>
      </c>
      <c r="DT448" s="77"/>
      <c r="DU448" t="s">
        <v>262</v>
      </c>
      <c r="DV448">
        <f t="shared" ref="DV448:DV453" si="2257">MAX($DV438:$DZ438)</f>
        <v>0</v>
      </c>
      <c r="DW448">
        <f t="shared" ref="DW448:DW453" si="2258">SUM($EA438:$EE438)</f>
        <v>0</v>
      </c>
      <c r="DX448">
        <f t="shared" ref="DX448:DX453" si="2259">MAX($EF438:$EJ438)</f>
        <v>0</v>
      </c>
      <c r="DY448">
        <f t="shared" ref="DY448:DY453" si="2260">SUM($EK438:$EO438)</f>
        <v>0</v>
      </c>
      <c r="DZ448">
        <f t="shared" ref="DZ448:DZ453" si="2261">MAX($EP438:$ET438)</f>
        <v>0</v>
      </c>
      <c r="EA448">
        <f t="shared" ref="EA448:EA453" si="2262">SUM($EU438:$EY438)</f>
        <v>0</v>
      </c>
      <c r="EB448">
        <f t="shared" ref="EB448:EB453" si="2263">MAX($EZ438:$FD438)</f>
        <v>0</v>
      </c>
      <c r="EC448">
        <f t="shared" ref="EC448:EC452" si="2264">SUM($FE438:$FI438)</f>
        <v>0</v>
      </c>
      <c r="ED448">
        <f t="shared" ref="ED448:ED453" si="2265">MAX($FJ438:$FN438)</f>
        <v>0</v>
      </c>
      <c r="EE448">
        <f t="shared" ref="EE448:EE453" si="2266">SUM($FO438:$FS438)</f>
        <v>0</v>
      </c>
      <c r="EF448">
        <f t="shared" ref="EF448:EF453" si="2267">MAX($FT438:$FX438)</f>
        <v>0</v>
      </c>
      <c r="EG448">
        <f t="shared" ref="EG448:EG453" si="2268">SUM($FY438:$GC438)</f>
        <v>0</v>
      </c>
    </row>
    <row r="449" spans="1:137" x14ac:dyDescent="0.2">
      <c r="A449" s="8"/>
      <c r="B449" t="s">
        <v>8741</v>
      </c>
      <c r="C449" t="s">
        <v>8741</v>
      </c>
      <c r="D449" t="s">
        <v>8741</v>
      </c>
      <c r="E449" t="s">
        <v>8741</v>
      </c>
      <c r="F449" t="s">
        <v>8741</v>
      </c>
      <c r="G449" t="s">
        <v>8742</v>
      </c>
      <c r="H449" t="s">
        <v>8742</v>
      </c>
      <c r="I449" t="s">
        <v>8742</v>
      </c>
      <c r="J449" t="s">
        <v>8742</v>
      </c>
      <c r="K449" t="s">
        <v>8742</v>
      </c>
      <c r="L449" t="s">
        <v>8741</v>
      </c>
      <c r="M449" t="s">
        <v>8741</v>
      </c>
      <c r="N449" t="s">
        <v>8741</v>
      </c>
      <c r="O449" t="s">
        <v>8741</v>
      </c>
      <c r="P449" t="s">
        <v>8741</v>
      </c>
      <c r="Q449" t="s">
        <v>8742</v>
      </c>
      <c r="R449" t="s">
        <v>8742</v>
      </c>
      <c r="S449" t="s">
        <v>8742</v>
      </c>
      <c r="T449" t="s">
        <v>8742</v>
      </c>
      <c r="U449" t="s">
        <v>8742</v>
      </c>
      <c r="V449" t="s">
        <v>8741</v>
      </c>
      <c r="W449" t="s">
        <v>8741</v>
      </c>
      <c r="X449" t="s">
        <v>8741</v>
      </c>
      <c r="Y449" t="s">
        <v>8741</v>
      </c>
      <c r="Z449" t="s">
        <v>8741</v>
      </c>
      <c r="AA449" t="s">
        <v>8742</v>
      </c>
      <c r="AB449" t="s">
        <v>8742</v>
      </c>
      <c r="AC449" t="s">
        <v>8742</v>
      </c>
      <c r="AD449" t="s">
        <v>8742</v>
      </c>
      <c r="AE449" t="s">
        <v>8742</v>
      </c>
      <c r="AF449" t="s">
        <v>8741</v>
      </c>
      <c r="AG449" t="s">
        <v>8741</v>
      </c>
      <c r="AH449" t="s">
        <v>8741</v>
      </c>
      <c r="AI449" t="s">
        <v>8741</v>
      </c>
      <c r="AJ449" t="s">
        <v>8741</v>
      </c>
      <c r="AK449" t="s">
        <v>8742</v>
      </c>
      <c r="AL449" t="s">
        <v>8742</v>
      </c>
      <c r="AM449" t="s">
        <v>8742</v>
      </c>
      <c r="AN449" t="s">
        <v>8742</v>
      </c>
      <c r="AO449" t="s">
        <v>8742</v>
      </c>
      <c r="AP449" t="s">
        <v>8741</v>
      </c>
      <c r="AQ449" t="s">
        <v>8741</v>
      </c>
      <c r="AR449" t="s">
        <v>8741</v>
      </c>
      <c r="AS449" t="s">
        <v>8741</v>
      </c>
      <c r="AT449" t="s">
        <v>8741</v>
      </c>
      <c r="AU449" t="s">
        <v>8742</v>
      </c>
      <c r="AV449" t="s">
        <v>8742</v>
      </c>
      <c r="AW449" t="s">
        <v>8742</v>
      </c>
      <c r="AX449" t="s">
        <v>8742</v>
      </c>
      <c r="AY449" t="s">
        <v>8742</v>
      </c>
      <c r="AZ449" t="s">
        <v>8741</v>
      </c>
      <c r="BA449" t="s">
        <v>8741</v>
      </c>
      <c r="BB449" t="s">
        <v>8741</v>
      </c>
      <c r="BC449" t="s">
        <v>8741</v>
      </c>
      <c r="BD449" t="s">
        <v>8741</v>
      </c>
      <c r="BE449" t="s">
        <v>8742</v>
      </c>
      <c r="BF449" t="s">
        <v>8742</v>
      </c>
      <c r="BG449" t="s">
        <v>8742</v>
      </c>
      <c r="BH449" t="s">
        <v>8742</v>
      </c>
      <c r="BI449" t="s">
        <v>8742</v>
      </c>
      <c r="BK449" t="s">
        <v>8741</v>
      </c>
      <c r="BL449" t="s">
        <v>8742</v>
      </c>
      <c r="BM449" t="s">
        <v>8741</v>
      </c>
      <c r="BN449" t="s">
        <v>8742</v>
      </c>
      <c r="BO449" t="s">
        <v>8741</v>
      </c>
      <c r="BP449" t="s">
        <v>8742</v>
      </c>
      <c r="BQ449" t="s">
        <v>8741</v>
      </c>
      <c r="BR449" t="s">
        <v>8742</v>
      </c>
      <c r="BS449" t="s">
        <v>8741</v>
      </c>
      <c r="BT449" t="s">
        <v>8742</v>
      </c>
      <c r="BU449" t="s">
        <v>8741</v>
      </c>
      <c r="BV449" t="s">
        <v>8742</v>
      </c>
      <c r="DT449" s="77"/>
      <c r="DU449" t="s">
        <v>263</v>
      </c>
      <c r="DV449">
        <f t="shared" si="2257"/>
        <v>0</v>
      </c>
      <c r="DW449">
        <f t="shared" si="2258"/>
        <v>0</v>
      </c>
      <c r="DX449">
        <f t="shared" si="2259"/>
        <v>0</v>
      </c>
      <c r="DY449">
        <f t="shared" si="2260"/>
        <v>0</v>
      </c>
      <c r="DZ449">
        <f t="shared" si="2261"/>
        <v>0</v>
      </c>
      <c r="EA449">
        <f t="shared" si="2262"/>
        <v>0</v>
      </c>
      <c r="EB449">
        <f t="shared" si="2263"/>
        <v>0</v>
      </c>
      <c r="EC449">
        <f t="shared" si="2264"/>
        <v>0</v>
      </c>
      <c r="ED449">
        <f t="shared" si="2265"/>
        <v>0</v>
      </c>
      <c r="EE449">
        <f t="shared" si="2266"/>
        <v>0</v>
      </c>
      <c r="EF449">
        <f t="shared" si="2267"/>
        <v>0</v>
      </c>
      <c r="EG449">
        <f t="shared" si="2268"/>
        <v>0</v>
      </c>
    </row>
    <row r="450" spans="1:137" x14ac:dyDescent="0.2">
      <c r="A450" s="8" t="s">
        <v>261</v>
      </c>
      <c r="B450">
        <f t="shared" ref="B450:K450" si="2269">IF(B$448,B438,0)</f>
        <v>0</v>
      </c>
      <c r="C450">
        <f t="shared" si="2269"/>
        <v>0</v>
      </c>
      <c r="D450">
        <f t="shared" si="2269"/>
        <v>0</v>
      </c>
      <c r="E450">
        <f t="shared" si="2269"/>
        <v>0</v>
      </c>
      <c r="F450">
        <f t="shared" si="2269"/>
        <v>0</v>
      </c>
      <c r="G450">
        <f t="shared" si="2269"/>
        <v>0</v>
      </c>
      <c r="H450">
        <f t="shared" si="2269"/>
        <v>0</v>
      </c>
      <c r="I450">
        <f t="shared" si="2269"/>
        <v>0</v>
      </c>
      <c r="J450">
        <f t="shared" si="2269"/>
        <v>0</v>
      </c>
      <c r="K450">
        <f t="shared" si="2269"/>
        <v>0</v>
      </c>
      <c r="L450">
        <f t="shared" ref="L450:L456" si="2270">IF(L$448,B438,0)</f>
        <v>0</v>
      </c>
      <c r="M450">
        <f t="shared" ref="M450:U450" si="2271">IF(M$448,C438,0)</f>
        <v>0</v>
      </c>
      <c r="N450">
        <f t="shared" si="2271"/>
        <v>0</v>
      </c>
      <c r="O450">
        <f t="shared" si="2271"/>
        <v>0</v>
      </c>
      <c r="P450">
        <f t="shared" si="2271"/>
        <v>0</v>
      </c>
      <c r="Q450">
        <f t="shared" si="2271"/>
        <v>0</v>
      </c>
      <c r="R450">
        <f t="shared" si="2271"/>
        <v>0</v>
      </c>
      <c r="S450">
        <f t="shared" si="2271"/>
        <v>0</v>
      </c>
      <c r="T450">
        <f t="shared" si="2271"/>
        <v>0</v>
      </c>
      <c r="U450">
        <f t="shared" si="2271"/>
        <v>0</v>
      </c>
      <c r="V450">
        <f t="shared" ref="V450:V456" si="2272">IF(V$448,B438,0)</f>
        <v>0</v>
      </c>
      <c r="W450">
        <f t="shared" ref="W450:AE450" si="2273">IF(W$448,C438,0)</f>
        <v>0</v>
      </c>
      <c r="X450">
        <f t="shared" si="2273"/>
        <v>0</v>
      </c>
      <c r="Y450">
        <f t="shared" si="2273"/>
        <v>0</v>
      </c>
      <c r="Z450">
        <f t="shared" si="2273"/>
        <v>0</v>
      </c>
      <c r="AA450">
        <f t="shared" si="2273"/>
        <v>0</v>
      </c>
      <c r="AB450">
        <f t="shared" si="2273"/>
        <v>0</v>
      </c>
      <c r="AC450">
        <f t="shared" si="2273"/>
        <v>0</v>
      </c>
      <c r="AD450">
        <f t="shared" si="2273"/>
        <v>0</v>
      </c>
      <c r="AE450">
        <f t="shared" si="2273"/>
        <v>0</v>
      </c>
      <c r="AF450">
        <f t="shared" ref="AF450:AF456" si="2274">IF(AF$448,B438,0)</f>
        <v>0</v>
      </c>
      <c r="AG450">
        <f t="shared" ref="AG450:AO450" si="2275">IF(AG$448,C438,0)</f>
        <v>0</v>
      </c>
      <c r="AH450">
        <f t="shared" si="2275"/>
        <v>0</v>
      </c>
      <c r="AI450">
        <f t="shared" si="2275"/>
        <v>0</v>
      </c>
      <c r="AJ450">
        <f t="shared" si="2275"/>
        <v>0</v>
      </c>
      <c r="AK450">
        <f t="shared" si="2275"/>
        <v>0</v>
      </c>
      <c r="AL450">
        <f t="shared" si="2275"/>
        <v>0</v>
      </c>
      <c r="AM450">
        <f t="shared" si="2275"/>
        <v>0</v>
      </c>
      <c r="AN450">
        <f t="shared" si="2275"/>
        <v>0</v>
      </c>
      <c r="AO450">
        <f t="shared" si="2275"/>
        <v>0</v>
      </c>
      <c r="AP450">
        <f t="shared" ref="AP450:AP456" si="2276">IF(AP$448,B438,0)</f>
        <v>0</v>
      </c>
      <c r="AQ450">
        <f t="shared" ref="AQ450:AY450" si="2277">IF(AQ$448,C438,0)</f>
        <v>0</v>
      </c>
      <c r="AR450">
        <f t="shared" si="2277"/>
        <v>0</v>
      </c>
      <c r="AS450">
        <f t="shared" si="2277"/>
        <v>0</v>
      </c>
      <c r="AT450">
        <f t="shared" si="2277"/>
        <v>0</v>
      </c>
      <c r="AU450">
        <f t="shared" si="2277"/>
        <v>0</v>
      </c>
      <c r="AV450">
        <f t="shared" si="2277"/>
        <v>0</v>
      </c>
      <c r="AW450">
        <f t="shared" si="2277"/>
        <v>0</v>
      </c>
      <c r="AX450">
        <f t="shared" si="2277"/>
        <v>0</v>
      </c>
      <c r="AY450">
        <f t="shared" si="2277"/>
        <v>0</v>
      </c>
      <c r="AZ450">
        <f t="shared" ref="AZ450:AZ456" si="2278">IF(AZ$448,B438,0)</f>
        <v>0</v>
      </c>
      <c r="BA450">
        <f t="shared" ref="BA450:BI450" si="2279">IF(BA$448,C438,0)</f>
        <v>0</v>
      </c>
      <c r="BB450">
        <f t="shared" si="2279"/>
        <v>0</v>
      </c>
      <c r="BC450">
        <f t="shared" si="2279"/>
        <v>0</v>
      </c>
      <c r="BD450">
        <f t="shared" si="2279"/>
        <v>0</v>
      </c>
      <c r="BE450">
        <f t="shared" si="2279"/>
        <v>0</v>
      </c>
      <c r="BF450">
        <f t="shared" si="2279"/>
        <v>0</v>
      </c>
      <c r="BG450">
        <f t="shared" si="2279"/>
        <v>0</v>
      </c>
      <c r="BH450">
        <f t="shared" si="2279"/>
        <v>0</v>
      </c>
      <c r="BI450">
        <f t="shared" si="2279"/>
        <v>0</v>
      </c>
      <c r="BJ450" t="s">
        <v>261</v>
      </c>
      <c r="BK450">
        <f>MAX($BK440:$BO440)</f>
        <v>0</v>
      </c>
      <c r="BL450" s="198">
        <f>SUM($BP440:$BT440)</f>
        <v>0</v>
      </c>
      <c r="BM450">
        <f>MAX($BU440:$BY440)</f>
        <v>0</v>
      </c>
      <c r="BN450">
        <f>SUM($BZ440:$CD440)</f>
        <v>0</v>
      </c>
      <c r="BO450">
        <f>MAX($CE440:$CI440)</f>
        <v>0</v>
      </c>
      <c r="BP450">
        <f>SUM($CJ440:$CN440)</f>
        <v>0</v>
      </c>
      <c r="BQ450">
        <f>MAX($CO440:$CS440)</f>
        <v>0</v>
      </c>
      <c r="BR450">
        <f>SUM($CT440:$CX440)</f>
        <v>0</v>
      </c>
      <c r="BS450">
        <f>MAX($CY440:$DC440)</f>
        <v>0</v>
      </c>
      <c r="BT450">
        <f>SUM($DD440:$DH440)</f>
        <v>0</v>
      </c>
      <c r="BU450">
        <f>MAX($DI440:$DM440)</f>
        <v>0</v>
      </c>
      <c r="BV450">
        <f>SUM($DN440:$DR440)</f>
        <v>0</v>
      </c>
      <c r="DT450" s="77"/>
      <c r="DU450" t="s">
        <v>264</v>
      </c>
      <c r="DV450">
        <f t="shared" si="2257"/>
        <v>0</v>
      </c>
      <c r="DW450">
        <f t="shared" si="2258"/>
        <v>0</v>
      </c>
      <c r="DX450">
        <f t="shared" si="2259"/>
        <v>0</v>
      </c>
      <c r="DY450">
        <f t="shared" si="2260"/>
        <v>0</v>
      </c>
      <c r="DZ450">
        <f t="shared" si="2261"/>
        <v>0</v>
      </c>
      <c r="EA450">
        <f t="shared" si="2262"/>
        <v>0</v>
      </c>
      <c r="EB450">
        <f t="shared" si="2263"/>
        <v>0</v>
      </c>
      <c r="EC450">
        <f t="shared" si="2264"/>
        <v>0</v>
      </c>
      <c r="ED450">
        <f t="shared" si="2265"/>
        <v>0</v>
      </c>
      <c r="EE450">
        <f t="shared" si="2266"/>
        <v>0</v>
      </c>
      <c r="EF450">
        <f t="shared" si="2267"/>
        <v>0</v>
      </c>
      <c r="EG450">
        <f t="shared" si="2268"/>
        <v>0</v>
      </c>
    </row>
    <row r="451" spans="1:137" x14ac:dyDescent="0.2">
      <c r="A451" s="8" t="s">
        <v>262</v>
      </c>
      <c r="B451">
        <f t="shared" ref="B451:K451" si="2280">IF(B$448,B439,0)</f>
        <v>0</v>
      </c>
      <c r="C451">
        <f t="shared" si="2280"/>
        <v>0</v>
      </c>
      <c r="D451">
        <f t="shared" si="2280"/>
        <v>0</v>
      </c>
      <c r="E451">
        <f t="shared" si="2280"/>
        <v>0</v>
      </c>
      <c r="F451">
        <f t="shared" si="2280"/>
        <v>0</v>
      </c>
      <c r="G451">
        <f t="shared" si="2280"/>
        <v>0</v>
      </c>
      <c r="H451">
        <f t="shared" si="2280"/>
        <v>0</v>
      </c>
      <c r="I451">
        <f t="shared" si="2280"/>
        <v>0</v>
      </c>
      <c r="J451">
        <f t="shared" si="2280"/>
        <v>0</v>
      </c>
      <c r="K451">
        <f t="shared" si="2280"/>
        <v>0</v>
      </c>
      <c r="L451">
        <f t="shared" si="2270"/>
        <v>0</v>
      </c>
      <c r="M451">
        <f t="shared" ref="M451:U456" si="2281">IF(M$448,C439,0)</f>
        <v>0</v>
      </c>
      <c r="N451">
        <f t="shared" si="2281"/>
        <v>0</v>
      </c>
      <c r="O451">
        <f t="shared" si="2281"/>
        <v>0</v>
      </c>
      <c r="P451">
        <f t="shared" si="2281"/>
        <v>0</v>
      </c>
      <c r="Q451">
        <f t="shared" si="2281"/>
        <v>0</v>
      </c>
      <c r="R451">
        <f t="shared" si="2281"/>
        <v>0</v>
      </c>
      <c r="S451">
        <f t="shared" si="2281"/>
        <v>0</v>
      </c>
      <c r="T451">
        <f t="shared" si="2281"/>
        <v>0</v>
      </c>
      <c r="U451">
        <f t="shared" si="2281"/>
        <v>0</v>
      </c>
      <c r="V451">
        <f t="shared" si="2272"/>
        <v>0</v>
      </c>
      <c r="W451">
        <f t="shared" ref="W451:AE456" si="2282">IF(W$448,C439,0)</f>
        <v>0</v>
      </c>
      <c r="X451">
        <f t="shared" si="2282"/>
        <v>0</v>
      </c>
      <c r="Y451">
        <f t="shared" si="2282"/>
        <v>0</v>
      </c>
      <c r="Z451">
        <f t="shared" si="2282"/>
        <v>0</v>
      </c>
      <c r="AA451">
        <f t="shared" si="2282"/>
        <v>0</v>
      </c>
      <c r="AB451">
        <f t="shared" si="2282"/>
        <v>0</v>
      </c>
      <c r="AC451">
        <f t="shared" si="2282"/>
        <v>0</v>
      </c>
      <c r="AD451">
        <f t="shared" si="2282"/>
        <v>0</v>
      </c>
      <c r="AE451">
        <f t="shared" si="2282"/>
        <v>0</v>
      </c>
      <c r="AF451">
        <f t="shared" si="2274"/>
        <v>0</v>
      </c>
      <c r="AG451">
        <f t="shared" ref="AG451:AO456" si="2283">IF(AG$448,C439,0)</f>
        <v>0</v>
      </c>
      <c r="AH451">
        <f t="shared" si="2283"/>
        <v>0</v>
      </c>
      <c r="AI451">
        <f t="shared" si="2283"/>
        <v>0</v>
      </c>
      <c r="AJ451">
        <f t="shared" si="2283"/>
        <v>0</v>
      </c>
      <c r="AK451">
        <f t="shared" si="2283"/>
        <v>0</v>
      </c>
      <c r="AL451">
        <f t="shared" si="2283"/>
        <v>0</v>
      </c>
      <c r="AM451">
        <f t="shared" si="2283"/>
        <v>0</v>
      </c>
      <c r="AN451">
        <f t="shared" si="2283"/>
        <v>0</v>
      </c>
      <c r="AO451">
        <f t="shared" si="2283"/>
        <v>0</v>
      </c>
      <c r="AP451">
        <f t="shared" si="2276"/>
        <v>0</v>
      </c>
      <c r="AQ451">
        <f t="shared" ref="AQ451:AY456" si="2284">IF(AQ$448,C439,0)</f>
        <v>0</v>
      </c>
      <c r="AR451">
        <f t="shared" si="2284"/>
        <v>0</v>
      </c>
      <c r="AS451">
        <f t="shared" si="2284"/>
        <v>0</v>
      </c>
      <c r="AT451">
        <f t="shared" si="2284"/>
        <v>0</v>
      </c>
      <c r="AU451">
        <f t="shared" si="2284"/>
        <v>0</v>
      </c>
      <c r="AV451">
        <f t="shared" si="2284"/>
        <v>0</v>
      </c>
      <c r="AW451">
        <f t="shared" si="2284"/>
        <v>0</v>
      </c>
      <c r="AX451">
        <f t="shared" si="2284"/>
        <v>0</v>
      </c>
      <c r="AY451">
        <f t="shared" si="2284"/>
        <v>0</v>
      </c>
      <c r="AZ451">
        <f t="shared" si="2278"/>
        <v>0</v>
      </c>
      <c r="BA451">
        <f t="shared" ref="BA451:BI456" si="2285">IF(BA$448,C439,0)</f>
        <v>0</v>
      </c>
      <c r="BB451">
        <f t="shared" si="2285"/>
        <v>0</v>
      </c>
      <c r="BC451">
        <f t="shared" si="2285"/>
        <v>0</v>
      </c>
      <c r="BD451">
        <f t="shared" si="2285"/>
        <v>0</v>
      </c>
      <c r="BE451">
        <f t="shared" si="2285"/>
        <v>0</v>
      </c>
      <c r="BF451">
        <f t="shared" si="2285"/>
        <v>0</v>
      </c>
      <c r="BG451">
        <f t="shared" si="2285"/>
        <v>0</v>
      </c>
      <c r="BH451">
        <f t="shared" si="2285"/>
        <v>0</v>
      </c>
      <c r="BI451">
        <f t="shared" si="2285"/>
        <v>0</v>
      </c>
      <c r="BJ451" t="s">
        <v>262</v>
      </c>
      <c r="BK451">
        <f t="shared" ref="BK451:BK456" si="2286">MAX($BK441:$BO441)</f>
        <v>0</v>
      </c>
      <c r="BL451" s="198">
        <f t="shared" ref="BL451:BL456" si="2287">SUM($BP441:$BT441)</f>
        <v>0</v>
      </c>
      <c r="BM451">
        <f t="shared" ref="BM451:BM456" si="2288">MAX($BU441:$BY441)</f>
        <v>0</v>
      </c>
      <c r="BN451">
        <f t="shared" ref="BN451:BN455" si="2289">SUM($BZ441:$CD441)</f>
        <v>0</v>
      </c>
      <c r="BO451">
        <f t="shared" ref="BO451:BO456" si="2290">MAX($CE441:$CI441)</f>
        <v>0</v>
      </c>
      <c r="BP451">
        <f t="shared" ref="BP451:BP456" si="2291">SUM($CJ441:$CN441)</f>
        <v>0</v>
      </c>
      <c r="BQ451">
        <f t="shared" ref="BQ451:BQ456" si="2292">MAX($CO441:$CS441)</f>
        <v>0</v>
      </c>
      <c r="BR451">
        <f t="shared" ref="BR451:BR456" si="2293">SUM($CT441:$CX441)</f>
        <v>0</v>
      </c>
      <c r="BS451">
        <f t="shared" ref="BS451:BS456" si="2294">MAX($CY441:$DC441)</f>
        <v>0</v>
      </c>
      <c r="BT451">
        <f t="shared" ref="BT451:BT456" si="2295">SUM($DD441:$DH441)</f>
        <v>0</v>
      </c>
      <c r="BU451">
        <f t="shared" ref="BU451:BU456" si="2296">MAX($DI441:$DM441)</f>
        <v>0</v>
      </c>
      <c r="BV451">
        <f t="shared" ref="BV451:BV456" si="2297">SUM($DN441:$DR441)</f>
        <v>0</v>
      </c>
      <c r="DT451" s="77"/>
      <c r="DU451" t="s">
        <v>265</v>
      </c>
      <c r="DV451">
        <f t="shared" si="2257"/>
        <v>0</v>
      </c>
      <c r="DW451">
        <f t="shared" si="2258"/>
        <v>0</v>
      </c>
      <c r="DX451">
        <f t="shared" si="2259"/>
        <v>0</v>
      </c>
      <c r="DY451">
        <f t="shared" si="2260"/>
        <v>0</v>
      </c>
      <c r="DZ451">
        <f t="shared" si="2261"/>
        <v>0</v>
      </c>
      <c r="EA451">
        <f t="shared" si="2262"/>
        <v>0</v>
      </c>
      <c r="EB451">
        <f t="shared" si="2263"/>
        <v>0</v>
      </c>
      <c r="EC451">
        <f t="shared" si="2264"/>
        <v>0</v>
      </c>
      <c r="ED451">
        <f t="shared" si="2265"/>
        <v>0</v>
      </c>
      <c r="EE451">
        <f t="shared" si="2266"/>
        <v>0</v>
      </c>
      <c r="EF451">
        <f t="shared" si="2267"/>
        <v>0</v>
      </c>
      <c r="EG451">
        <f t="shared" si="2268"/>
        <v>0</v>
      </c>
    </row>
    <row r="452" spans="1:137" x14ac:dyDescent="0.2">
      <c r="A452" s="8" t="s">
        <v>263</v>
      </c>
      <c r="B452">
        <f t="shared" ref="B452:K452" si="2298">IF(B$448,B440,0)</f>
        <v>0</v>
      </c>
      <c r="C452">
        <f t="shared" si="2298"/>
        <v>0</v>
      </c>
      <c r="D452">
        <f t="shared" si="2298"/>
        <v>0</v>
      </c>
      <c r="E452">
        <f t="shared" si="2298"/>
        <v>0</v>
      </c>
      <c r="F452">
        <f t="shared" si="2298"/>
        <v>0</v>
      </c>
      <c r="G452">
        <f t="shared" si="2298"/>
        <v>0</v>
      </c>
      <c r="H452">
        <f t="shared" si="2298"/>
        <v>0</v>
      </c>
      <c r="I452">
        <f t="shared" si="2298"/>
        <v>0</v>
      </c>
      <c r="J452">
        <f t="shared" si="2298"/>
        <v>0</v>
      </c>
      <c r="K452">
        <f t="shared" si="2298"/>
        <v>0</v>
      </c>
      <c r="L452">
        <f t="shared" si="2270"/>
        <v>0</v>
      </c>
      <c r="M452">
        <f t="shared" si="2281"/>
        <v>0</v>
      </c>
      <c r="N452">
        <f t="shared" si="2281"/>
        <v>0</v>
      </c>
      <c r="O452">
        <f t="shared" si="2281"/>
        <v>0</v>
      </c>
      <c r="P452">
        <f t="shared" si="2281"/>
        <v>0</v>
      </c>
      <c r="Q452">
        <f t="shared" si="2281"/>
        <v>0</v>
      </c>
      <c r="R452">
        <f t="shared" si="2281"/>
        <v>0</v>
      </c>
      <c r="S452">
        <f t="shared" si="2281"/>
        <v>0</v>
      </c>
      <c r="T452">
        <f t="shared" si="2281"/>
        <v>0</v>
      </c>
      <c r="U452">
        <f t="shared" si="2281"/>
        <v>0</v>
      </c>
      <c r="V452">
        <f t="shared" si="2272"/>
        <v>0</v>
      </c>
      <c r="W452">
        <f t="shared" si="2282"/>
        <v>0</v>
      </c>
      <c r="X452">
        <f t="shared" si="2282"/>
        <v>0</v>
      </c>
      <c r="Y452">
        <f t="shared" si="2282"/>
        <v>0</v>
      </c>
      <c r="Z452">
        <f t="shared" si="2282"/>
        <v>0</v>
      </c>
      <c r="AA452">
        <f t="shared" si="2282"/>
        <v>0</v>
      </c>
      <c r="AB452">
        <f t="shared" si="2282"/>
        <v>0</v>
      </c>
      <c r="AC452">
        <f t="shared" si="2282"/>
        <v>0</v>
      </c>
      <c r="AD452">
        <f t="shared" si="2282"/>
        <v>0</v>
      </c>
      <c r="AE452">
        <f t="shared" si="2282"/>
        <v>0</v>
      </c>
      <c r="AF452">
        <f t="shared" si="2274"/>
        <v>0</v>
      </c>
      <c r="AG452">
        <f t="shared" si="2283"/>
        <v>0</v>
      </c>
      <c r="AH452">
        <f t="shared" si="2283"/>
        <v>0</v>
      </c>
      <c r="AI452">
        <f t="shared" si="2283"/>
        <v>0</v>
      </c>
      <c r="AJ452">
        <f t="shared" si="2283"/>
        <v>0</v>
      </c>
      <c r="AK452">
        <f t="shared" si="2283"/>
        <v>0</v>
      </c>
      <c r="AL452">
        <f t="shared" si="2283"/>
        <v>0</v>
      </c>
      <c r="AM452">
        <f t="shared" si="2283"/>
        <v>0</v>
      </c>
      <c r="AN452">
        <f t="shared" si="2283"/>
        <v>0</v>
      </c>
      <c r="AO452">
        <f t="shared" si="2283"/>
        <v>0</v>
      </c>
      <c r="AP452">
        <f t="shared" si="2276"/>
        <v>0</v>
      </c>
      <c r="AQ452">
        <f t="shared" si="2284"/>
        <v>0</v>
      </c>
      <c r="AR452">
        <f t="shared" si="2284"/>
        <v>0</v>
      </c>
      <c r="AS452">
        <f t="shared" si="2284"/>
        <v>0</v>
      </c>
      <c r="AT452">
        <f t="shared" si="2284"/>
        <v>0</v>
      </c>
      <c r="AU452">
        <f t="shared" si="2284"/>
        <v>0</v>
      </c>
      <c r="AV452">
        <f t="shared" si="2284"/>
        <v>0</v>
      </c>
      <c r="AW452">
        <f t="shared" si="2284"/>
        <v>0</v>
      </c>
      <c r="AX452">
        <f t="shared" si="2284"/>
        <v>0</v>
      </c>
      <c r="AY452">
        <f t="shared" si="2284"/>
        <v>0</v>
      </c>
      <c r="AZ452">
        <f t="shared" si="2278"/>
        <v>0</v>
      </c>
      <c r="BA452">
        <f t="shared" si="2285"/>
        <v>0</v>
      </c>
      <c r="BB452">
        <f t="shared" si="2285"/>
        <v>0</v>
      </c>
      <c r="BC452">
        <f t="shared" si="2285"/>
        <v>0</v>
      </c>
      <c r="BD452">
        <f t="shared" si="2285"/>
        <v>0</v>
      </c>
      <c r="BE452">
        <f t="shared" si="2285"/>
        <v>0</v>
      </c>
      <c r="BF452">
        <f t="shared" si="2285"/>
        <v>0</v>
      </c>
      <c r="BG452">
        <f t="shared" si="2285"/>
        <v>0</v>
      </c>
      <c r="BH452">
        <f t="shared" si="2285"/>
        <v>0</v>
      </c>
      <c r="BI452">
        <f t="shared" si="2285"/>
        <v>0</v>
      </c>
      <c r="BJ452" t="s">
        <v>263</v>
      </c>
      <c r="BK452">
        <f t="shared" si="2286"/>
        <v>0</v>
      </c>
      <c r="BL452" s="198">
        <f t="shared" si="2287"/>
        <v>0</v>
      </c>
      <c r="BM452">
        <f t="shared" si="2288"/>
        <v>0</v>
      </c>
      <c r="BN452">
        <f t="shared" si="2289"/>
        <v>0</v>
      </c>
      <c r="BO452">
        <f t="shared" si="2290"/>
        <v>0</v>
      </c>
      <c r="BP452">
        <f t="shared" si="2291"/>
        <v>0</v>
      </c>
      <c r="BQ452">
        <f t="shared" si="2292"/>
        <v>0</v>
      </c>
      <c r="BR452">
        <f t="shared" si="2293"/>
        <v>0</v>
      </c>
      <c r="BS452">
        <f t="shared" si="2294"/>
        <v>0</v>
      </c>
      <c r="BT452">
        <f t="shared" si="2295"/>
        <v>0</v>
      </c>
      <c r="BU452">
        <f t="shared" si="2296"/>
        <v>0</v>
      </c>
      <c r="BV452">
        <f t="shared" si="2297"/>
        <v>0</v>
      </c>
      <c r="DT452" s="77"/>
      <c r="DU452" t="s">
        <v>266</v>
      </c>
      <c r="DV452">
        <f t="shared" si="2257"/>
        <v>0</v>
      </c>
      <c r="DW452">
        <f t="shared" si="2258"/>
        <v>0</v>
      </c>
      <c r="DX452">
        <f t="shared" si="2259"/>
        <v>0</v>
      </c>
      <c r="DY452">
        <f t="shared" si="2260"/>
        <v>0</v>
      </c>
      <c r="DZ452">
        <f t="shared" si="2261"/>
        <v>0</v>
      </c>
      <c r="EA452">
        <f t="shared" si="2262"/>
        <v>0</v>
      </c>
      <c r="EB452">
        <f t="shared" si="2263"/>
        <v>0</v>
      </c>
      <c r="EC452">
        <f t="shared" si="2264"/>
        <v>0</v>
      </c>
      <c r="ED452">
        <f t="shared" si="2265"/>
        <v>0</v>
      </c>
      <c r="EE452">
        <f t="shared" si="2266"/>
        <v>0</v>
      </c>
      <c r="EF452">
        <f t="shared" si="2267"/>
        <v>0</v>
      </c>
      <c r="EG452">
        <f t="shared" si="2268"/>
        <v>0</v>
      </c>
    </row>
    <row r="453" spans="1:137" x14ac:dyDescent="0.2">
      <c r="A453" s="8" t="s">
        <v>264</v>
      </c>
      <c r="B453">
        <f t="shared" ref="B453:K453" si="2299">IF(B$448,B441,0)</f>
        <v>0</v>
      </c>
      <c r="C453">
        <f t="shared" si="2299"/>
        <v>0</v>
      </c>
      <c r="D453">
        <f t="shared" si="2299"/>
        <v>0</v>
      </c>
      <c r="E453">
        <f t="shared" si="2299"/>
        <v>0</v>
      </c>
      <c r="F453">
        <f t="shared" si="2299"/>
        <v>0</v>
      </c>
      <c r="G453">
        <f t="shared" si="2299"/>
        <v>0</v>
      </c>
      <c r="H453">
        <f t="shared" si="2299"/>
        <v>0</v>
      </c>
      <c r="I453">
        <f t="shared" si="2299"/>
        <v>0</v>
      </c>
      <c r="J453">
        <f t="shared" si="2299"/>
        <v>0</v>
      </c>
      <c r="K453">
        <f t="shared" si="2299"/>
        <v>0</v>
      </c>
      <c r="L453">
        <f t="shared" si="2270"/>
        <v>0</v>
      </c>
      <c r="M453">
        <f t="shared" si="2281"/>
        <v>0</v>
      </c>
      <c r="N453">
        <f t="shared" si="2281"/>
        <v>0</v>
      </c>
      <c r="O453">
        <f t="shared" si="2281"/>
        <v>0</v>
      </c>
      <c r="P453">
        <f t="shared" si="2281"/>
        <v>0</v>
      </c>
      <c r="Q453">
        <f t="shared" si="2281"/>
        <v>0</v>
      </c>
      <c r="R453">
        <f t="shared" si="2281"/>
        <v>0</v>
      </c>
      <c r="S453">
        <f t="shared" si="2281"/>
        <v>0</v>
      </c>
      <c r="T453">
        <f t="shared" si="2281"/>
        <v>0</v>
      </c>
      <c r="U453">
        <f t="shared" si="2281"/>
        <v>0</v>
      </c>
      <c r="V453">
        <f t="shared" si="2272"/>
        <v>0</v>
      </c>
      <c r="W453">
        <f t="shared" si="2282"/>
        <v>0</v>
      </c>
      <c r="X453">
        <f t="shared" si="2282"/>
        <v>0</v>
      </c>
      <c r="Y453">
        <f t="shared" si="2282"/>
        <v>0</v>
      </c>
      <c r="Z453">
        <f t="shared" si="2282"/>
        <v>0</v>
      </c>
      <c r="AA453">
        <f t="shared" si="2282"/>
        <v>0</v>
      </c>
      <c r="AB453">
        <f t="shared" si="2282"/>
        <v>0</v>
      </c>
      <c r="AC453">
        <f t="shared" si="2282"/>
        <v>0</v>
      </c>
      <c r="AD453">
        <f t="shared" si="2282"/>
        <v>0</v>
      </c>
      <c r="AE453">
        <f t="shared" si="2282"/>
        <v>0</v>
      </c>
      <c r="AF453">
        <f t="shared" si="2274"/>
        <v>0</v>
      </c>
      <c r="AG453">
        <f t="shared" si="2283"/>
        <v>0</v>
      </c>
      <c r="AH453">
        <f t="shared" si="2283"/>
        <v>0</v>
      </c>
      <c r="AI453">
        <f t="shared" si="2283"/>
        <v>0</v>
      </c>
      <c r="AJ453">
        <f t="shared" si="2283"/>
        <v>0</v>
      </c>
      <c r="AK453">
        <f t="shared" si="2283"/>
        <v>0</v>
      </c>
      <c r="AL453">
        <f t="shared" si="2283"/>
        <v>0</v>
      </c>
      <c r="AM453">
        <f t="shared" si="2283"/>
        <v>0</v>
      </c>
      <c r="AN453">
        <f t="shared" si="2283"/>
        <v>0</v>
      </c>
      <c r="AO453">
        <f t="shared" si="2283"/>
        <v>0</v>
      </c>
      <c r="AP453">
        <f t="shared" si="2276"/>
        <v>0</v>
      </c>
      <c r="AQ453">
        <f t="shared" si="2284"/>
        <v>0</v>
      </c>
      <c r="AR453">
        <f t="shared" si="2284"/>
        <v>0</v>
      </c>
      <c r="AS453">
        <f t="shared" si="2284"/>
        <v>0</v>
      </c>
      <c r="AT453">
        <f t="shared" si="2284"/>
        <v>0</v>
      </c>
      <c r="AU453">
        <f t="shared" si="2284"/>
        <v>0</v>
      </c>
      <c r="AV453">
        <f t="shared" si="2284"/>
        <v>0</v>
      </c>
      <c r="AW453">
        <f t="shared" si="2284"/>
        <v>0</v>
      </c>
      <c r="AX453">
        <f t="shared" si="2284"/>
        <v>0</v>
      </c>
      <c r="AY453">
        <f t="shared" si="2284"/>
        <v>0</v>
      </c>
      <c r="AZ453">
        <f t="shared" si="2278"/>
        <v>0</v>
      </c>
      <c r="BA453">
        <f t="shared" si="2285"/>
        <v>0</v>
      </c>
      <c r="BB453">
        <f t="shared" si="2285"/>
        <v>0</v>
      </c>
      <c r="BC453">
        <f t="shared" si="2285"/>
        <v>0</v>
      </c>
      <c r="BD453">
        <f t="shared" si="2285"/>
        <v>0</v>
      </c>
      <c r="BE453">
        <f t="shared" si="2285"/>
        <v>0</v>
      </c>
      <c r="BF453">
        <f t="shared" si="2285"/>
        <v>0</v>
      </c>
      <c r="BG453">
        <f t="shared" si="2285"/>
        <v>0</v>
      </c>
      <c r="BH453">
        <f t="shared" si="2285"/>
        <v>0</v>
      </c>
      <c r="BI453">
        <f t="shared" si="2285"/>
        <v>0</v>
      </c>
      <c r="BJ453" t="s">
        <v>264</v>
      </c>
      <c r="BK453">
        <f t="shared" si="2286"/>
        <v>0</v>
      </c>
      <c r="BL453" s="198">
        <f t="shared" si="2287"/>
        <v>0</v>
      </c>
      <c r="BM453">
        <f t="shared" si="2288"/>
        <v>0</v>
      </c>
      <c r="BN453">
        <f t="shared" si="2289"/>
        <v>0</v>
      </c>
      <c r="BO453">
        <f t="shared" si="2290"/>
        <v>0</v>
      </c>
      <c r="BP453">
        <f t="shared" si="2291"/>
        <v>0</v>
      </c>
      <c r="BQ453">
        <f t="shared" si="2292"/>
        <v>0</v>
      </c>
      <c r="BR453">
        <f t="shared" si="2293"/>
        <v>0</v>
      </c>
      <c r="BS453">
        <f t="shared" si="2294"/>
        <v>0</v>
      </c>
      <c r="BT453">
        <f t="shared" si="2295"/>
        <v>0</v>
      </c>
      <c r="BU453">
        <f t="shared" si="2296"/>
        <v>0</v>
      </c>
      <c r="BV453">
        <f t="shared" si="2297"/>
        <v>0</v>
      </c>
      <c r="DT453" s="77"/>
      <c r="DU453" t="s">
        <v>267</v>
      </c>
      <c r="DV453">
        <f t="shared" si="2257"/>
        <v>0</v>
      </c>
      <c r="DW453">
        <f t="shared" si="2258"/>
        <v>0</v>
      </c>
      <c r="DX453">
        <f t="shared" si="2259"/>
        <v>0</v>
      </c>
      <c r="DY453">
        <f t="shared" si="2260"/>
        <v>0</v>
      </c>
      <c r="DZ453">
        <f t="shared" si="2261"/>
        <v>0</v>
      </c>
      <c r="EA453">
        <f t="shared" si="2262"/>
        <v>0</v>
      </c>
      <c r="EB453">
        <f t="shared" si="2263"/>
        <v>0</v>
      </c>
      <c r="EC453">
        <f>SUM($FE443:$FI443)</f>
        <v>0</v>
      </c>
      <c r="ED453">
        <f t="shared" si="2265"/>
        <v>0</v>
      </c>
      <c r="EE453">
        <f t="shared" si="2266"/>
        <v>0</v>
      </c>
      <c r="EF453">
        <f t="shared" si="2267"/>
        <v>0</v>
      </c>
      <c r="EG453">
        <f t="shared" si="2268"/>
        <v>0</v>
      </c>
    </row>
    <row r="454" spans="1:137" x14ac:dyDescent="0.2">
      <c r="A454" s="8" t="s">
        <v>265</v>
      </c>
      <c r="B454">
        <f t="shared" ref="B454:K454" si="2300">IF(B$448,B442,0)</f>
        <v>0</v>
      </c>
      <c r="C454">
        <f t="shared" si="2300"/>
        <v>0</v>
      </c>
      <c r="D454">
        <f t="shared" si="2300"/>
        <v>0</v>
      </c>
      <c r="E454">
        <f t="shared" si="2300"/>
        <v>0</v>
      </c>
      <c r="F454">
        <f t="shared" si="2300"/>
        <v>0</v>
      </c>
      <c r="G454">
        <f t="shared" si="2300"/>
        <v>0</v>
      </c>
      <c r="H454">
        <f t="shared" si="2300"/>
        <v>0</v>
      </c>
      <c r="I454">
        <f t="shared" si="2300"/>
        <v>0</v>
      </c>
      <c r="J454">
        <f t="shared" si="2300"/>
        <v>0</v>
      </c>
      <c r="K454">
        <f t="shared" si="2300"/>
        <v>0</v>
      </c>
      <c r="L454">
        <f t="shared" si="2270"/>
        <v>0</v>
      </c>
      <c r="M454">
        <f t="shared" si="2281"/>
        <v>0</v>
      </c>
      <c r="N454">
        <f t="shared" si="2281"/>
        <v>0</v>
      </c>
      <c r="O454">
        <f t="shared" si="2281"/>
        <v>0</v>
      </c>
      <c r="P454">
        <f t="shared" si="2281"/>
        <v>0</v>
      </c>
      <c r="Q454">
        <f t="shared" si="2281"/>
        <v>0</v>
      </c>
      <c r="R454">
        <f t="shared" si="2281"/>
        <v>0</v>
      </c>
      <c r="S454">
        <f t="shared" si="2281"/>
        <v>0</v>
      </c>
      <c r="T454">
        <f t="shared" si="2281"/>
        <v>0</v>
      </c>
      <c r="U454">
        <f t="shared" si="2281"/>
        <v>0</v>
      </c>
      <c r="V454">
        <f t="shared" si="2272"/>
        <v>0</v>
      </c>
      <c r="W454">
        <f t="shared" si="2282"/>
        <v>0</v>
      </c>
      <c r="X454">
        <f t="shared" si="2282"/>
        <v>0</v>
      </c>
      <c r="Y454">
        <f t="shared" si="2282"/>
        <v>0</v>
      </c>
      <c r="Z454">
        <f t="shared" si="2282"/>
        <v>0</v>
      </c>
      <c r="AA454">
        <f t="shared" si="2282"/>
        <v>0</v>
      </c>
      <c r="AB454">
        <f t="shared" si="2282"/>
        <v>0</v>
      </c>
      <c r="AC454">
        <f t="shared" si="2282"/>
        <v>0</v>
      </c>
      <c r="AD454">
        <f t="shared" si="2282"/>
        <v>0</v>
      </c>
      <c r="AE454">
        <f t="shared" si="2282"/>
        <v>0</v>
      </c>
      <c r="AF454">
        <f t="shared" si="2274"/>
        <v>0</v>
      </c>
      <c r="AG454">
        <f t="shared" si="2283"/>
        <v>0</v>
      </c>
      <c r="AH454">
        <f t="shared" si="2283"/>
        <v>0</v>
      </c>
      <c r="AI454">
        <f t="shared" si="2283"/>
        <v>0</v>
      </c>
      <c r="AJ454">
        <f t="shared" si="2283"/>
        <v>0</v>
      </c>
      <c r="AK454">
        <f t="shared" si="2283"/>
        <v>0</v>
      </c>
      <c r="AL454">
        <f t="shared" si="2283"/>
        <v>0</v>
      </c>
      <c r="AM454">
        <f t="shared" si="2283"/>
        <v>0</v>
      </c>
      <c r="AN454">
        <f t="shared" si="2283"/>
        <v>0</v>
      </c>
      <c r="AO454">
        <f t="shared" si="2283"/>
        <v>0</v>
      </c>
      <c r="AP454">
        <f t="shared" si="2276"/>
        <v>0</v>
      </c>
      <c r="AQ454">
        <f t="shared" si="2284"/>
        <v>0</v>
      </c>
      <c r="AR454">
        <f t="shared" si="2284"/>
        <v>0</v>
      </c>
      <c r="AS454">
        <f t="shared" si="2284"/>
        <v>0</v>
      </c>
      <c r="AT454">
        <f t="shared" si="2284"/>
        <v>0</v>
      </c>
      <c r="AU454">
        <f t="shared" si="2284"/>
        <v>0</v>
      </c>
      <c r="AV454">
        <f t="shared" si="2284"/>
        <v>0</v>
      </c>
      <c r="AW454">
        <f t="shared" si="2284"/>
        <v>0</v>
      </c>
      <c r="AX454">
        <f t="shared" si="2284"/>
        <v>0</v>
      </c>
      <c r="AY454">
        <f t="shared" si="2284"/>
        <v>0</v>
      </c>
      <c r="AZ454">
        <f t="shared" si="2278"/>
        <v>0</v>
      </c>
      <c r="BA454">
        <f t="shared" si="2285"/>
        <v>0</v>
      </c>
      <c r="BB454">
        <f t="shared" si="2285"/>
        <v>0</v>
      </c>
      <c r="BC454">
        <f t="shared" si="2285"/>
        <v>0</v>
      </c>
      <c r="BD454">
        <f t="shared" si="2285"/>
        <v>0</v>
      </c>
      <c r="BE454">
        <f t="shared" si="2285"/>
        <v>0</v>
      </c>
      <c r="BF454">
        <f t="shared" si="2285"/>
        <v>0</v>
      </c>
      <c r="BG454">
        <f t="shared" si="2285"/>
        <v>0</v>
      </c>
      <c r="BH454">
        <f t="shared" si="2285"/>
        <v>0</v>
      </c>
      <c r="BI454">
        <f t="shared" si="2285"/>
        <v>0</v>
      </c>
      <c r="BJ454" t="s">
        <v>265</v>
      </c>
      <c r="BK454">
        <f t="shared" si="2286"/>
        <v>0</v>
      </c>
      <c r="BL454" s="198">
        <f t="shared" si="2287"/>
        <v>0</v>
      </c>
      <c r="BM454">
        <f t="shared" si="2288"/>
        <v>0</v>
      </c>
      <c r="BN454">
        <f t="shared" si="2289"/>
        <v>0</v>
      </c>
      <c r="BO454">
        <f t="shared" si="2290"/>
        <v>0</v>
      </c>
      <c r="BP454">
        <f t="shared" si="2291"/>
        <v>0</v>
      </c>
      <c r="BQ454">
        <f t="shared" si="2292"/>
        <v>0</v>
      </c>
      <c r="BR454">
        <f t="shared" si="2293"/>
        <v>0</v>
      </c>
      <c r="BS454">
        <f t="shared" si="2294"/>
        <v>0</v>
      </c>
      <c r="BT454">
        <f t="shared" si="2295"/>
        <v>0</v>
      </c>
      <c r="BU454">
        <f t="shared" si="2296"/>
        <v>0</v>
      </c>
      <c r="BV454">
        <f t="shared" si="2297"/>
        <v>0</v>
      </c>
      <c r="DT454" s="77"/>
    </row>
    <row r="455" spans="1:137" x14ac:dyDescent="0.2">
      <c r="A455" s="8" t="s">
        <v>266</v>
      </c>
      <c r="B455">
        <f t="shared" ref="B455:K456" si="2301">IF(B$448,B443,0)</f>
        <v>0</v>
      </c>
      <c r="C455">
        <f t="shared" si="2301"/>
        <v>0</v>
      </c>
      <c r="D455">
        <f t="shared" si="2301"/>
        <v>0</v>
      </c>
      <c r="E455">
        <f t="shared" si="2301"/>
        <v>0</v>
      </c>
      <c r="F455">
        <f t="shared" si="2301"/>
        <v>0</v>
      </c>
      <c r="G455">
        <f t="shared" si="2301"/>
        <v>0</v>
      </c>
      <c r="H455">
        <f t="shared" si="2301"/>
        <v>0</v>
      </c>
      <c r="I455">
        <f t="shared" si="2301"/>
        <v>0</v>
      </c>
      <c r="J455">
        <f t="shared" si="2301"/>
        <v>0</v>
      </c>
      <c r="K455">
        <f t="shared" si="2301"/>
        <v>0</v>
      </c>
      <c r="L455">
        <f t="shared" si="2270"/>
        <v>0</v>
      </c>
      <c r="M455">
        <f t="shared" si="2281"/>
        <v>0</v>
      </c>
      <c r="N455">
        <f t="shared" si="2281"/>
        <v>0</v>
      </c>
      <c r="O455">
        <f t="shared" si="2281"/>
        <v>0</v>
      </c>
      <c r="P455">
        <f t="shared" si="2281"/>
        <v>0</v>
      </c>
      <c r="Q455">
        <f t="shared" si="2281"/>
        <v>0</v>
      </c>
      <c r="R455">
        <f t="shared" si="2281"/>
        <v>0</v>
      </c>
      <c r="S455">
        <f t="shared" si="2281"/>
        <v>0</v>
      </c>
      <c r="T455">
        <f t="shared" si="2281"/>
        <v>0</v>
      </c>
      <c r="U455">
        <f t="shared" si="2281"/>
        <v>0</v>
      </c>
      <c r="V455">
        <f t="shared" si="2272"/>
        <v>0</v>
      </c>
      <c r="W455">
        <f t="shared" si="2282"/>
        <v>0</v>
      </c>
      <c r="X455">
        <f t="shared" si="2282"/>
        <v>0</v>
      </c>
      <c r="Y455">
        <f t="shared" si="2282"/>
        <v>0</v>
      </c>
      <c r="Z455">
        <f t="shared" si="2282"/>
        <v>0</v>
      </c>
      <c r="AA455">
        <f t="shared" si="2282"/>
        <v>0</v>
      </c>
      <c r="AB455">
        <f t="shared" si="2282"/>
        <v>0</v>
      </c>
      <c r="AC455">
        <f t="shared" si="2282"/>
        <v>0</v>
      </c>
      <c r="AD455">
        <f t="shared" si="2282"/>
        <v>0</v>
      </c>
      <c r="AE455">
        <f t="shared" si="2282"/>
        <v>0</v>
      </c>
      <c r="AF455">
        <f t="shared" si="2274"/>
        <v>0</v>
      </c>
      <c r="AG455">
        <f t="shared" si="2283"/>
        <v>0</v>
      </c>
      <c r="AH455">
        <f t="shared" si="2283"/>
        <v>0</v>
      </c>
      <c r="AI455">
        <f t="shared" si="2283"/>
        <v>0</v>
      </c>
      <c r="AJ455">
        <f t="shared" si="2283"/>
        <v>0</v>
      </c>
      <c r="AK455">
        <f t="shared" si="2283"/>
        <v>0</v>
      </c>
      <c r="AL455">
        <f t="shared" si="2283"/>
        <v>0</v>
      </c>
      <c r="AM455">
        <f t="shared" si="2283"/>
        <v>0</v>
      </c>
      <c r="AN455">
        <f t="shared" si="2283"/>
        <v>0</v>
      </c>
      <c r="AO455">
        <f t="shared" si="2283"/>
        <v>0</v>
      </c>
      <c r="AP455">
        <f t="shared" si="2276"/>
        <v>0</v>
      </c>
      <c r="AQ455">
        <f t="shared" si="2284"/>
        <v>0</v>
      </c>
      <c r="AR455">
        <f t="shared" si="2284"/>
        <v>0</v>
      </c>
      <c r="AS455">
        <f t="shared" si="2284"/>
        <v>0</v>
      </c>
      <c r="AT455">
        <f t="shared" si="2284"/>
        <v>0</v>
      </c>
      <c r="AU455">
        <f t="shared" si="2284"/>
        <v>0</v>
      </c>
      <c r="AV455">
        <f t="shared" si="2284"/>
        <v>0</v>
      </c>
      <c r="AW455">
        <f t="shared" si="2284"/>
        <v>0</v>
      </c>
      <c r="AX455">
        <f t="shared" si="2284"/>
        <v>0</v>
      </c>
      <c r="AY455">
        <f t="shared" si="2284"/>
        <v>0</v>
      </c>
      <c r="AZ455">
        <f t="shared" si="2278"/>
        <v>0</v>
      </c>
      <c r="BA455">
        <f t="shared" si="2285"/>
        <v>0</v>
      </c>
      <c r="BB455">
        <f t="shared" si="2285"/>
        <v>0</v>
      </c>
      <c r="BC455">
        <f t="shared" si="2285"/>
        <v>0</v>
      </c>
      <c r="BD455">
        <f t="shared" si="2285"/>
        <v>0</v>
      </c>
      <c r="BE455">
        <f t="shared" si="2285"/>
        <v>0</v>
      </c>
      <c r="BF455">
        <f t="shared" si="2285"/>
        <v>0</v>
      </c>
      <c r="BG455">
        <f t="shared" si="2285"/>
        <v>0</v>
      </c>
      <c r="BH455">
        <f t="shared" si="2285"/>
        <v>0</v>
      </c>
      <c r="BI455">
        <f t="shared" si="2285"/>
        <v>0</v>
      </c>
      <c r="BJ455" t="s">
        <v>266</v>
      </c>
      <c r="BK455">
        <f t="shared" si="2286"/>
        <v>0</v>
      </c>
      <c r="BL455" s="198">
        <f t="shared" si="2287"/>
        <v>0</v>
      </c>
      <c r="BM455">
        <f t="shared" si="2288"/>
        <v>0</v>
      </c>
      <c r="BN455">
        <f t="shared" si="2289"/>
        <v>0</v>
      </c>
      <c r="BO455">
        <f t="shared" si="2290"/>
        <v>0</v>
      </c>
      <c r="BP455">
        <f t="shared" si="2291"/>
        <v>0</v>
      </c>
      <c r="BQ455">
        <f t="shared" si="2292"/>
        <v>0</v>
      </c>
      <c r="BR455">
        <f t="shared" si="2293"/>
        <v>0</v>
      </c>
      <c r="BS455">
        <f t="shared" si="2294"/>
        <v>0</v>
      </c>
      <c r="BT455">
        <f t="shared" si="2295"/>
        <v>0</v>
      </c>
      <c r="BU455">
        <f t="shared" si="2296"/>
        <v>0</v>
      </c>
      <c r="BV455">
        <f t="shared" si="2297"/>
        <v>0</v>
      </c>
      <c r="DT455" s="77"/>
    </row>
    <row r="456" spans="1:137" ht="15" thickBot="1" x14ac:dyDescent="0.25">
      <c r="A456" s="8" t="s">
        <v>267</v>
      </c>
      <c r="B456">
        <f t="shared" si="2301"/>
        <v>0</v>
      </c>
      <c r="C456">
        <f t="shared" si="2301"/>
        <v>0</v>
      </c>
      <c r="D456">
        <f t="shared" si="2301"/>
        <v>0</v>
      </c>
      <c r="E456">
        <f t="shared" si="2301"/>
        <v>0</v>
      </c>
      <c r="F456">
        <f t="shared" si="2301"/>
        <v>0</v>
      </c>
      <c r="G456">
        <f t="shared" si="2301"/>
        <v>0</v>
      </c>
      <c r="H456">
        <f>IF(H$448,H444,0)</f>
        <v>0</v>
      </c>
      <c r="I456">
        <f t="shared" si="2301"/>
        <v>0</v>
      </c>
      <c r="J456">
        <f t="shared" si="2301"/>
        <v>0</v>
      </c>
      <c r="K456">
        <f t="shared" si="2301"/>
        <v>0</v>
      </c>
      <c r="L456">
        <f t="shared" si="2270"/>
        <v>0</v>
      </c>
      <c r="M456">
        <f t="shared" si="2281"/>
        <v>0</v>
      </c>
      <c r="N456">
        <f t="shared" si="2281"/>
        <v>0</v>
      </c>
      <c r="O456">
        <f t="shared" si="2281"/>
        <v>0</v>
      </c>
      <c r="P456">
        <f t="shared" si="2281"/>
        <v>0</v>
      </c>
      <c r="Q456">
        <f t="shared" si="2281"/>
        <v>0</v>
      </c>
      <c r="R456">
        <f t="shared" si="2281"/>
        <v>0</v>
      </c>
      <c r="S456">
        <f t="shared" si="2281"/>
        <v>0</v>
      </c>
      <c r="T456">
        <f t="shared" si="2281"/>
        <v>0</v>
      </c>
      <c r="U456">
        <f t="shared" si="2281"/>
        <v>0</v>
      </c>
      <c r="V456">
        <f t="shared" si="2272"/>
        <v>0</v>
      </c>
      <c r="W456">
        <f t="shared" si="2282"/>
        <v>0</v>
      </c>
      <c r="X456">
        <f t="shared" si="2282"/>
        <v>0</v>
      </c>
      <c r="Y456">
        <f t="shared" si="2282"/>
        <v>0</v>
      </c>
      <c r="Z456">
        <f t="shared" si="2282"/>
        <v>0</v>
      </c>
      <c r="AA456">
        <f t="shared" si="2282"/>
        <v>0</v>
      </c>
      <c r="AB456">
        <f t="shared" si="2282"/>
        <v>0</v>
      </c>
      <c r="AC456">
        <f t="shared" si="2282"/>
        <v>0</v>
      </c>
      <c r="AD456">
        <f t="shared" si="2282"/>
        <v>0</v>
      </c>
      <c r="AE456">
        <f t="shared" si="2282"/>
        <v>0</v>
      </c>
      <c r="AF456">
        <f t="shared" si="2274"/>
        <v>0</v>
      </c>
      <c r="AG456">
        <f t="shared" si="2283"/>
        <v>0</v>
      </c>
      <c r="AH456">
        <f t="shared" si="2283"/>
        <v>0</v>
      </c>
      <c r="AI456">
        <f t="shared" si="2283"/>
        <v>0</v>
      </c>
      <c r="AJ456">
        <f t="shared" si="2283"/>
        <v>0</v>
      </c>
      <c r="AK456">
        <f t="shared" si="2283"/>
        <v>0</v>
      </c>
      <c r="AL456">
        <f t="shared" si="2283"/>
        <v>0</v>
      </c>
      <c r="AM456">
        <f t="shared" si="2283"/>
        <v>0</v>
      </c>
      <c r="AN456">
        <f t="shared" si="2283"/>
        <v>0</v>
      </c>
      <c r="AO456">
        <f t="shared" si="2283"/>
        <v>0</v>
      </c>
      <c r="AP456">
        <f t="shared" si="2276"/>
        <v>0</v>
      </c>
      <c r="AQ456">
        <f t="shared" si="2284"/>
        <v>0</v>
      </c>
      <c r="AR456">
        <f t="shared" si="2284"/>
        <v>0</v>
      </c>
      <c r="AS456">
        <f t="shared" si="2284"/>
        <v>0</v>
      </c>
      <c r="AT456">
        <f t="shared" si="2284"/>
        <v>0</v>
      </c>
      <c r="AU456">
        <f t="shared" si="2284"/>
        <v>0</v>
      </c>
      <c r="AV456">
        <f t="shared" si="2284"/>
        <v>0</v>
      </c>
      <c r="AW456">
        <f t="shared" si="2284"/>
        <v>0</v>
      </c>
      <c r="AX456">
        <f t="shared" si="2284"/>
        <v>0</v>
      </c>
      <c r="AY456">
        <f t="shared" si="2284"/>
        <v>0</v>
      </c>
      <c r="AZ456">
        <f t="shared" si="2278"/>
        <v>0</v>
      </c>
      <c r="BA456">
        <f t="shared" si="2285"/>
        <v>0</v>
      </c>
      <c r="BB456">
        <f t="shared" si="2285"/>
        <v>0</v>
      </c>
      <c r="BC456">
        <f t="shared" si="2285"/>
        <v>0</v>
      </c>
      <c r="BD456">
        <f t="shared" si="2285"/>
        <v>0</v>
      </c>
      <c r="BE456">
        <f t="shared" si="2285"/>
        <v>0</v>
      </c>
      <c r="BF456">
        <f t="shared" si="2285"/>
        <v>0</v>
      </c>
      <c r="BG456">
        <f t="shared" si="2285"/>
        <v>0</v>
      </c>
      <c r="BH456">
        <f t="shared" si="2285"/>
        <v>0</v>
      </c>
      <c r="BI456">
        <f t="shared" si="2285"/>
        <v>0</v>
      </c>
      <c r="BJ456" t="s">
        <v>267</v>
      </c>
      <c r="BK456">
        <f t="shared" si="2286"/>
        <v>0</v>
      </c>
      <c r="BL456" s="198">
        <f t="shared" si="2287"/>
        <v>0</v>
      </c>
      <c r="BM456">
        <f t="shared" si="2288"/>
        <v>0</v>
      </c>
      <c r="BN456">
        <f>SUM($BZ446:$CD446)</f>
        <v>0</v>
      </c>
      <c r="BO456">
        <f t="shared" si="2290"/>
        <v>0</v>
      </c>
      <c r="BP456">
        <f t="shared" si="2291"/>
        <v>0</v>
      </c>
      <c r="BQ456">
        <f t="shared" si="2292"/>
        <v>0</v>
      </c>
      <c r="BR456">
        <f t="shared" si="2293"/>
        <v>0</v>
      </c>
      <c r="BS456">
        <f t="shared" si="2294"/>
        <v>0</v>
      </c>
      <c r="BT456">
        <f t="shared" si="2295"/>
        <v>0</v>
      </c>
      <c r="BU456">
        <f t="shared" si="2296"/>
        <v>0</v>
      </c>
      <c r="BV456">
        <f t="shared" si="2297"/>
        <v>0</v>
      </c>
      <c r="DT456" s="77"/>
    </row>
    <row r="457" spans="1:137" ht="15.75" thickBot="1" x14ac:dyDescent="0.25">
      <c r="A457" s="479" t="s">
        <v>9977</v>
      </c>
      <c r="B457" s="479"/>
      <c r="C457" s="479"/>
      <c r="D457" s="479"/>
      <c r="E457" s="479"/>
      <c r="F457" s="479"/>
      <c r="G457" s="479"/>
      <c r="H457" s="479"/>
      <c r="I457" s="479"/>
      <c r="J457" s="479"/>
      <c r="K457" s="479"/>
      <c r="L457" s="479"/>
      <c r="M457" s="479"/>
      <c r="N457" s="479"/>
      <c r="O457" s="479"/>
      <c r="P457" s="479"/>
      <c r="Q457" s="479"/>
      <c r="R457" s="479"/>
      <c r="S457" s="479"/>
      <c r="T457" s="479"/>
      <c r="U457" s="479"/>
      <c r="V457" s="479"/>
      <c r="DT457" s="77"/>
    </row>
    <row r="458" spans="1:137" ht="28.5" x14ac:dyDescent="0.2">
      <c r="A458" s="8"/>
      <c r="B458" t="s">
        <v>9749</v>
      </c>
      <c r="D458" t="s">
        <v>9750</v>
      </c>
      <c r="F458" t="s">
        <v>9751</v>
      </c>
      <c r="H458" t="s">
        <v>9757</v>
      </c>
      <c r="J458" t="s">
        <v>9280</v>
      </c>
      <c r="L458" t="s">
        <v>9758</v>
      </c>
      <c r="DT458" s="77"/>
    </row>
    <row r="459" spans="1:137" x14ac:dyDescent="0.2">
      <c r="A459" s="8"/>
      <c r="B459" t="s">
        <v>8741</v>
      </c>
      <c r="C459" t="s">
        <v>8742</v>
      </c>
      <c r="D459" t="s">
        <v>8741</v>
      </c>
      <c r="E459" t="s">
        <v>8742</v>
      </c>
      <c r="F459" t="s">
        <v>8741</v>
      </c>
      <c r="G459" t="s">
        <v>8742</v>
      </c>
      <c r="H459" t="s">
        <v>8741</v>
      </c>
      <c r="I459" t="s">
        <v>8742</v>
      </c>
      <c r="J459" t="s">
        <v>8741</v>
      </c>
      <c r="K459" t="s">
        <v>8742</v>
      </c>
      <c r="L459" t="s">
        <v>8741</v>
      </c>
      <c r="M459" t="s">
        <v>8742</v>
      </c>
      <c r="DT459" s="77"/>
    </row>
    <row r="460" spans="1:137" x14ac:dyDescent="0.2">
      <c r="A460" s="8" t="s">
        <v>261</v>
      </c>
      <c r="B460">
        <f>MAX($B450:$F450)</f>
        <v>0</v>
      </c>
      <c r="C460">
        <f>SUM($G450:$K450)</f>
        <v>0</v>
      </c>
      <c r="D460">
        <f>MAX($L450:$P450)</f>
        <v>0</v>
      </c>
      <c r="E460">
        <f>SUM($Q450:$U450)</f>
        <v>0</v>
      </c>
      <c r="F460">
        <f>MAX($V450:$Z450)</f>
        <v>0</v>
      </c>
      <c r="G460">
        <f>SUM($AA450:$AE450)</f>
        <v>0</v>
      </c>
      <c r="H460">
        <f>MAX($AF450:$AJ450)</f>
        <v>0</v>
      </c>
      <c r="I460">
        <f>SUM($AK450:$AO450)</f>
        <v>0</v>
      </c>
      <c r="J460">
        <f>MAX($AP450:$AT450)</f>
        <v>0</v>
      </c>
      <c r="K460">
        <f>SUM($AU450:$AY450)</f>
        <v>0</v>
      </c>
      <c r="L460">
        <f>MAX($AZ450:$BD450)</f>
        <v>0</v>
      </c>
      <c r="M460">
        <f>SUM($BE450:$BI450)</f>
        <v>0</v>
      </c>
      <c r="DT460" s="77"/>
    </row>
    <row r="461" spans="1:137" x14ac:dyDescent="0.2">
      <c r="A461" s="8" t="s">
        <v>262</v>
      </c>
      <c r="B461">
        <f t="shared" ref="B461:B466" si="2302">MAX($B451:$F451)</f>
        <v>0</v>
      </c>
      <c r="C461">
        <f t="shared" ref="C461:C466" si="2303">SUM($G451:$K451)</f>
        <v>0</v>
      </c>
      <c r="D461">
        <f t="shared" ref="D461:D464" si="2304">MAX($L451:$P451)</f>
        <v>0</v>
      </c>
      <c r="E461">
        <f t="shared" ref="E461:E464" si="2305">SUM($Q451:$U451)</f>
        <v>0</v>
      </c>
      <c r="F461">
        <f t="shared" ref="F461:F464" si="2306">MAX($V451:$Z451)</f>
        <v>0</v>
      </c>
      <c r="G461">
        <f t="shared" ref="G461:G464" si="2307">SUM($AA451:$AE451)</f>
        <v>0</v>
      </c>
      <c r="H461">
        <f t="shared" ref="H461:H466" si="2308">MAX($AF451:$AJ451)</f>
        <v>0</v>
      </c>
      <c r="I461">
        <f t="shared" ref="I461:I466" si="2309">SUM($AK451:$AO451)</f>
        <v>0</v>
      </c>
      <c r="J461">
        <f t="shared" ref="J461:J466" si="2310">MAX($AP451:$AT451)</f>
        <v>0</v>
      </c>
      <c r="K461">
        <f t="shared" ref="K461:K466" si="2311">SUM($AU451:$AY451)</f>
        <v>0</v>
      </c>
      <c r="L461">
        <f t="shared" ref="L461:L466" si="2312">MAX($AZ451:$BD451)</f>
        <v>0</v>
      </c>
      <c r="M461">
        <f t="shared" ref="M461:M466" si="2313">SUM($BE451:$BI451)</f>
        <v>0</v>
      </c>
      <c r="DT461" s="77"/>
    </row>
    <row r="462" spans="1:137" x14ac:dyDescent="0.2">
      <c r="A462" s="8" t="s">
        <v>263</v>
      </c>
      <c r="B462">
        <f t="shared" si="2302"/>
        <v>0</v>
      </c>
      <c r="C462">
        <f t="shared" si="2303"/>
        <v>0</v>
      </c>
      <c r="D462">
        <f t="shared" si="2304"/>
        <v>0</v>
      </c>
      <c r="E462">
        <f t="shared" si="2305"/>
        <v>0</v>
      </c>
      <c r="F462">
        <f t="shared" si="2306"/>
        <v>0</v>
      </c>
      <c r="G462">
        <f t="shared" si="2307"/>
        <v>0</v>
      </c>
      <c r="H462">
        <f t="shared" si="2308"/>
        <v>0</v>
      </c>
      <c r="I462">
        <f t="shared" si="2309"/>
        <v>0</v>
      </c>
      <c r="J462">
        <f t="shared" si="2310"/>
        <v>0</v>
      </c>
      <c r="K462">
        <f t="shared" si="2311"/>
        <v>0</v>
      </c>
      <c r="L462">
        <f t="shared" si="2312"/>
        <v>0</v>
      </c>
      <c r="M462">
        <f t="shared" si="2313"/>
        <v>0</v>
      </c>
      <c r="DT462" s="77"/>
    </row>
    <row r="463" spans="1:137" x14ac:dyDescent="0.2">
      <c r="A463" s="8" t="s">
        <v>264</v>
      </c>
      <c r="B463">
        <f t="shared" si="2302"/>
        <v>0</v>
      </c>
      <c r="C463">
        <f t="shared" si="2303"/>
        <v>0</v>
      </c>
      <c r="D463">
        <f t="shared" si="2304"/>
        <v>0</v>
      </c>
      <c r="E463">
        <f t="shared" si="2305"/>
        <v>0</v>
      </c>
      <c r="F463">
        <f t="shared" si="2306"/>
        <v>0</v>
      </c>
      <c r="G463">
        <f t="shared" si="2307"/>
        <v>0</v>
      </c>
      <c r="H463">
        <f t="shared" si="2308"/>
        <v>0</v>
      </c>
      <c r="I463">
        <f t="shared" si="2309"/>
        <v>0</v>
      </c>
      <c r="J463">
        <f t="shared" si="2310"/>
        <v>0</v>
      </c>
      <c r="K463">
        <f t="shared" si="2311"/>
        <v>0</v>
      </c>
      <c r="L463">
        <f t="shared" si="2312"/>
        <v>0</v>
      </c>
      <c r="M463">
        <f t="shared" si="2313"/>
        <v>0</v>
      </c>
      <c r="DT463" s="77"/>
    </row>
    <row r="464" spans="1:137" x14ac:dyDescent="0.2">
      <c r="A464" s="8" t="s">
        <v>265</v>
      </c>
      <c r="B464">
        <f t="shared" si="2302"/>
        <v>0</v>
      </c>
      <c r="C464">
        <f t="shared" si="2303"/>
        <v>0</v>
      </c>
      <c r="D464">
        <f t="shared" si="2304"/>
        <v>0</v>
      </c>
      <c r="E464">
        <f t="shared" si="2305"/>
        <v>0</v>
      </c>
      <c r="F464">
        <f t="shared" si="2306"/>
        <v>0</v>
      </c>
      <c r="G464">
        <f t="shared" si="2307"/>
        <v>0</v>
      </c>
      <c r="H464">
        <f t="shared" si="2308"/>
        <v>0</v>
      </c>
      <c r="I464">
        <f t="shared" si="2309"/>
        <v>0</v>
      </c>
      <c r="J464">
        <f t="shared" si="2310"/>
        <v>0</v>
      </c>
      <c r="K464">
        <f t="shared" si="2311"/>
        <v>0</v>
      </c>
      <c r="L464">
        <f t="shared" si="2312"/>
        <v>0</v>
      </c>
      <c r="M464">
        <f t="shared" si="2313"/>
        <v>0</v>
      </c>
      <c r="DT464" s="77"/>
    </row>
    <row r="465" spans="1:124" x14ac:dyDescent="0.2">
      <c r="A465" s="8" t="s">
        <v>266</v>
      </c>
      <c r="B465">
        <f t="shared" si="2302"/>
        <v>0</v>
      </c>
      <c r="C465">
        <f t="shared" si="2303"/>
        <v>0</v>
      </c>
      <c r="D465">
        <f>MAX($L455:$P455)</f>
        <v>0</v>
      </c>
      <c r="E465">
        <f>SUM($Q455:$U455)</f>
        <v>0</v>
      </c>
      <c r="F465">
        <f>MAX($V455:$Z455)</f>
        <v>0</v>
      </c>
      <c r="G465">
        <f>SUM($AA455:$AE455)</f>
        <v>0</v>
      </c>
      <c r="H465">
        <f t="shared" si="2308"/>
        <v>0</v>
      </c>
      <c r="I465">
        <f t="shared" si="2309"/>
        <v>0</v>
      </c>
      <c r="J465">
        <f t="shared" si="2310"/>
        <v>0</v>
      </c>
      <c r="K465">
        <f t="shared" si="2311"/>
        <v>0</v>
      </c>
      <c r="L465">
        <f t="shared" si="2312"/>
        <v>0</v>
      </c>
      <c r="M465">
        <f t="shared" si="2313"/>
        <v>0</v>
      </c>
      <c r="DT465" s="77"/>
    </row>
    <row r="466" spans="1:124" x14ac:dyDescent="0.2">
      <c r="A466" s="8" t="s">
        <v>267</v>
      </c>
      <c r="B466">
        <f t="shared" si="2302"/>
        <v>0</v>
      </c>
      <c r="C466">
        <f t="shared" si="2303"/>
        <v>0</v>
      </c>
      <c r="D466">
        <f>MAX($L456:$P456)</f>
        <v>0</v>
      </c>
      <c r="E466">
        <f>SUM($Q456:$U456)</f>
        <v>0</v>
      </c>
      <c r="F466">
        <f>MAX($V456:$Z456)</f>
        <v>0</v>
      </c>
      <c r="G466">
        <f>SUM($AA456:$AE456)</f>
        <v>0</v>
      </c>
      <c r="H466">
        <f t="shared" si="2308"/>
        <v>0</v>
      </c>
      <c r="I466">
        <f t="shared" si="2309"/>
        <v>0</v>
      </c>
      <c r="J466">
        <f t="shared" si="2310"/>
        <v>0</v>
      </c>
      <c r="K466">
        <f t="shared" si="2311"/>
        <v>0</v>
      </c>
      <c r="L466">
        <f t="shared" si="2312"/>
        <v>0</v>
      </c>
      <c r="M466">
        <f t="shared" si="2313"/>
        <v>0</v>
      </c>
      <c r="DT466" s="77"/>
    </row>
  </sheetData>
  <sheetProtection algorithmName="SHA-512" hashValue="EsGWZ8jf+ZfuDG63vgmJ8D+1GblNxGR4zRIrSLqBeJ6r/tZkNTmZrwpzqof0+yeNtegTx1bfs9rgTp+mIG0VZw==" saltValue="UsmSSmBoBH+MNiUPS8MeqA==" spinCount="100000" sheet="1" objects="1" scenarios="1" formatColumns="0" formatRows="0"/>
  <mergeCells count="23">
    <mergeCell ref="DU1:EL1"/>
    <mergeCell ref="DU3:FD3"/>
    <mergeCell ref="DU109:FI109"/>
    <mergeCell ref="DU215:FI215"/>
    <mergeCell ref="BJ1:BR1"/>
    <mergeCell ref="BJ14:CL14"/>
    <mergeCell ref="BJ121:CY121"/>
    <mergeCell ref="A435:Z435"/>
    <mergeCell ref="A445:BI445"/>
    <mergeCell ref="A457:V457"/>
    <mergeCell ref="A2:A12"/>
    <mergeCell ref="A14:AO14"/>
    <mergeCell ref="A121:AO121"/>
    <mergeCell ref="A227:BI227"/>
    <mergeCell ref="A332:BI332"/>
    <mergeCell ref="BJ227:CY227"/>
    <mergeCell ref="BJ332:CF332"/>
    <mergeCell ref="BJ435:DR435"/>
    <mergeCell ref="BJ447:CE447"/>
    <mergeCell ref="DU320:GE320"/>
    <mergeCell ref="DU423:EV423"/>
    <mergeCell ref="DU432:EV432"/>
    <mergeCell ref="DU444:EV444"/>
  </mergeCells>
  <phoneticPr fontId="2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1E6334-C454-44C9-AB2E-5FD11CF5A7E7}">
  <sheetPr codeName="Sheet35">
    <tabColor theme="1"/>
  </sheetPr>
  <dimension ref="A1:BL171"/>
  <sheetViews>
    <sheetView zoomScaleNormal="100" workbookViewId="0">
      <selection sqref="A1:H1"/>
    </sheetView>
  </sheetViews>
  <sheetFormatPr defaultRowHeight="14.25" x14ac:dyDescent="0.2"/>
  <cols>
    <col min="22" max="48" width="9" customWidth="1"/>
  </cols>
  <sheetData>
    <row r="1" spans="1:64" ht="15" x14ac:dyDescent="0.2">
      <c r="A1" s="539" t="s">
        <v>10571</v>
      </c>
      <c r="B1" s="540"/>
      <c r="C1" s="540"/>
      <c r="D1" s="540"/>
      <c r="E1" s="540"/>
      <c r="F1" s="540"/>
      <c r="G1" s="540"/>
      <c r="H1" s="541"/>
      <c r="I1" s="539" t="s">
        <v>10572</v>
      </c>
      <c r="J1" s="540"/>
      <c r="K1" s="540"/>
      <c r="L1" s="540"/>
      <c r="M1" s="540"/>
      <c r="N1" s="540"/>
      <c r="O1" s="540"/>
      <c r="P1" s="541"/>
      <c r="Q1" s="539" t="s">
        <v>10573</v>
      </c>
      <c r="R1" s="540"/>
      <c r="S1" s="540"/>
      <c r="T1" s="540"/>
      <c r="U1" s="540"/>
      <c r="V1" s="540"/>
      <c r="W1" s="540"/>
      <c r="X1" s="541"/>
      <c r="Y1" s="539" t="s">
        <v>10574</v>
      </c>
      <c r="Z1" s="540"/>
      <c r="AA1" s="540"/>
      <c r="AB1" s="540"/>
      <c r="AC1" s="540"/>
      <c r="AD1" s="540"/>
      <c r="AE1" s="540"/>
      <c r="AF1" s="541"/>
      <c r="AG1" s="539" t="s">
        <v>10576</v>
      </c>
      <c r="AH1" s="540"/>
      <c r="AI1" s="540"/>
      <c r="AJ1" s="540"/>
      <c r="AK1" s="540"/>
      <c r="AL1" s="540"/>
      <c r="AM1" s="540"/>
      <c r="AN1" s="541"/>
      <c r="AO1" s="539" t="s">
        <v>10575</v>
      </c>
      <c r="AP1" s="540"/>
      <c r="AQ1" s="540"/>
      <c r="AR1" s="540"/>
      <c r="AS1" s="540"/>
      <c r="AT1" s="540"/>
      <c r="AU1" s="540"/>
      <c r="AV1" s="541"/>
      <c r="AW1" s="539" t="s">
        <v>10577</v>
      </c>
      <c r="AX1" s="540"/>
      <c r="AY1" s="540"/>
      <c r="AZ1" s="540"/>
      <c r="BA1" s="540"/>
      <c r="BB1" s="540"/>
      <c r="BC1" s="540"/>
      <c r="BD1" s="541"/>
      <c r="BE1" s="539" t="s">
        <v>10578</v>
      </c>
      <c r="BF1" s="540"/>
      <c r="BG1" s="540"/>
      <c r="BH1" s="540"/>
      <c r="BI1" s="540"/>
      <c r="BJ1" s="540"/>
      <c r="BK1" s="540"/>
      <c r="BL1" s="541"/>
    </row>
    <row r="2" spans="1:64" ht="75.75" thickBot="1" x14ac:dyDescent="0.25">
      <c r="A2" s="278" t="s">
        <v>10563</v>
      </c>
      <c r="B2" s="162" t="s">
        <v>9387</v>
      </c>
      <c r="C2" s="162" t="s">
        <v>9388</v>
      </c>
      <c r="D2" s="162" t="s">
        <v>9408</v>
      </c>
      <c r="E2" s="162" t="s">
        <v>9409</v>
      </c>
      <c r="F2" s="162" t="s">
        <v>9389</v>
      </c>
      <c r="G2" s="162" t="s">
        <v>9401</v>
      </c>
      <c r="H2" s="163" t="s">
        <v>9402</v>
      </c>
      <c r="I2" s="278" t="s">
        <v>10563</v>
      </c>
      <c r="J2" s="162" t="s">
        <v>9387</v>
      </c>
      <c r="K2" s="162" t="s">
        <v>9388</v>
      </c>
      <c r="L2" s="162" t="s">
        <v>9408</v>
      </c>
      <c r="M2" s="162" t="s">
        <v>9409</v>
      </c>
      <c r="N2" s="162" t="s">
        <v>9389</v>
      </c>
      <c r="O2" s="162" t="s">
        <v>9401</v>
      </c>
      <c r="P2" s="163" t="s">
        <v>9402</v>
      </c>
      <c r="Q2" s="278" t="s">
        <v>10563</v>
      </c>
      <c r="R2" s="162" t="s">
        <v>9398</v>
      </c>
      <c r="S2" s="162" t="s">
        <v>9399</v>
      </c>
      <c r="T2" s="162" t="s">
        <v>9405</v>
      </c>
      <c r="U2" s="162" t="s">
        <v>9404</v>
      </c>
      <c r="V2" s="162" t="s">
        <v>9400</v>
      </c>
      <c r="W2" s="162" t="s">
        <v>9406</v>
      </c>
      <c r="X2" s="163" t="s">
        <v>9407</v>
      </c>
      <c r="Y2" s="278" t="s">
        <v>10563</v>
      </c>
      <c r="Z2" s="162" t="s">
        <v>9398</v>
      </c>
      <c r="AA2" s="162" t="s">
        <v>9399</v>
      </c>
      <c r="AB2" s="162" t="s">
        <v>9405</v>
      </c>
      <c r="AC2" s="162" t="s">
        <v>9404</v>
      </c>
      <c r="AD2" s="162" t="s">
        <v>9400</v>
      </c>
      <c r="AE2" s="162" t="s">
        <v>9406</v>
      </c>
      <c r="AF2" s="163" t="s">
        <v>9407</v>
      </c>
      <c r="AG2" s="278" t="s">
        <v>10563</v>
      </c>
      <c r="AH2" s="162" t="s">
        <v>9410</v>
      </c>
      <c r="AI2" s="162" t="s">
        <v>9411</v>
      </c>
      <c r="AJ2" s="162" t="s">
        <v>9412</v>
      </c>
      <c r="AK2" s="162" t="s">
        <v>9413</v>
      </c>
      <c r="AL2" s="162" t="s">
        <v>9414</v>
      </c>
      <c r="AM2" s="162" t="s">
        <v>9415</v>
      </c>
      <c r="AN2" s="163" t="s">
        <v>9416</v>
      </c>
      <c r="AO2" s="278" t="s">
        <v>10563</v>
      </c>
      <c r="AP2" s="162" t="s">
        <v>9410</v>
      </c>
      <c r="AQ2" s="162" t="s">
        <v>9411</v>
      </c>
      <c r="AR2" s="162" t="s">
        <v>9412</v>
      </c>
      <c r="AS2" s="162" t="s">
        <v>9413</v>
      </c>
      <c r="AT2" s="162" t="s">
        <v>9414</v>
      </c>
      <c r="AU2" s="162" t="s">
        <v>9415</v>
      </c>
      <c r="AV2" s="163" t="s">
        <v>9416</v>
      </c>
      <c r="AW2" s="278" t="s">
        <v>10563</v>
      </c>
      <c r="AX2" s="162" t="s">
        <v>9384</v>
      </c>
      <c r="AY2" s="162" t="s">
        <v>9385</v>
      </c>
      <c r="AZ2" s="162" t="s">
        <v>10567</v>
      </c>
      <c r="BA2" s="162" t="s">
        <v>10568</v>
      </c>
      <c r="BB2" s="162" t="s">
        <v>9386</v>
      </c>
      <c r="BC2" s="162" t="s">
        <v>10569</v>
      </c>
      <c r="BD2" s="163" t="s">
        <v>10570</v>
      </c>
      <c r="BE2" s="278" t="s">
        <v>10563</v>
      </c>
      <c r="BF2" s="162" t="s">
        <v>9384</v>
      </c>
      <c r="BG2" s="162" t="s">
        <v>9385</v>
      </c>
      <c r="BH2" s="162" t="s">
        <v>10567</v>
      </c>
      <c r="BI2" s="162" t="s">
        <v>10568</v>
      </c>
      <c r="BJ2" s="162" t="s">
        <v>9386</v>
      </c>
      <c r="BK2" s="162" t="s">
        <v>10569</v>
      </c>
      <c r="BL2" s="163" t="s">
        <v>10570</v>
      </c>
    </row>
    <row r="3" spans="1:64" x14ac:dyDescent="0.2">
      <c r="A3" s="86" t="s">
        <v>8706</v>
      </c>
      <c r="B3" s="87">
        <f>IF(OR(C3=0,ISNUMBER(MATCH(C3,$C$2:C2,0))),0,MAX($B$2:B2)+1)</f>
        <v>0</v>
      </c>
      <c r="C3" s="87">
        <f>IF('PI-1-MarineLoading'!$G$115&lt;1,0,IF('PI-1-MarineLoading'!$G$121&lt;&gt;"Yes",0,IF(Tank1!$D$22&lt;&gt;"flare",0,Tank1!$A$32)))</f>
        <v>0</v>
      </c>
      <c r="D3" s="87">
        <f>IF($C3=0,0,VLOOKUP($C3,Tank1!$A$32:$H$141,7,FALSE))</f>
        <v>0</v>
      </c>
      <c r="E3" s="87">
        <f>IF($C3=0,0,VLOOKUP($C3,Tank1!$A$32:$H$141,8,FALSE))</f>
        <v>0</v>
      </c>
      <c r="F3" s="87" t="str">
        <f>IFERROR(VLOOKUP(ROW(A1),$B$3:$C$52,2,FALSE),"")</f>
        <v/>
      </c>
      <c r="G3" s="87">
        <f>SUMIF($C$3:$C$52,$F3,$D$3:$D$52)</f>
        <v>0</v>
      </c>
      <c r="H3" s="88">
        <f>SUMIF($C$3:$C$52,$F3,$E$3:$E$52)</f>
        <v>0</v>
      </c>
      <c r="I3" s="279" t="s">
        <v>10564</v>
      </c>
      <c r="J3" s="87"/>
      <c r="K3" s="87"/>
      <c r="L3" s="87"/>
      <c r="M3" s="87"/>
      <c r="N3" s="87"/>
      <c r="O3" s="87"/>
      <c r="P3" s="88"/>
      <c r="Q3" s="86" t="s">
        <v>8706</v>
      </c>
      <c r="R3" s="87">
        <f>IF(OR(S3=0,ISNUMBER(MATCH(S3,$S$2:S2,0))),0,MAX($R$2:R2)+1)</f>
        <v>0</v>
      </c>
      <c r="S3" s="87">
        <f>IF('PI-1-MarineLoading'!$G$115&lt;1,0,IF('PI-1-MarineLoading'!$G$122&lt;&gt;"Yes",0,IF(Tank1!$D$22&lt;&gt;"VCU",0,Tank1!$A$32)))</f>
        <v>0</v>
      </c>
      <c r="T3" s="87">
        <f>IF($S3=0,0,VLOOKUP($S3,Tank1!$A$32:$H$141,7,FALSE))</f>
        <v>0</v>
      </c>
      <c r="U3" s="87">
        <f>IF($S3=0,0,VLOOKUP($S3,Tank1!$A$32:$H$141,8,FALSE))</f>
        <v>0</v>
      </c>
      <c r="V3" s="87" t="str">
        <f>IFERROR(VLOOKUP(ROW(A1),$R$3:$S$52,2,FALSE),"")</f>
        <v/>
      </c>
      <c r="W3" s="87">
        <f>SUMIF($S$3:$S$52,$V3,$T$3:$T$52)</f>
        <v>0</v>
      </c>
      <c r="X3" s="88">
        <f>SUMIF($S$3:$S$52,$V3,$U$3:$U$52)</f>
        <v>0</v>
      </c>
      <c r="Y3" s="279" t="s">
        <v>10564</v>
      </c>
      <c r="Z3" s="87"/>
      <c r="AA3" s="87"/>
      <c r="AB3" s="87"/>
      <c r="AC3" s="87"/>
      <c r="AD3" s="87"/>
      <c r="AE3" s="87"/>
      <c r="AF3" s="88"/>
      <c r="AG3" s="86" t="s">
        <v>8706</v>
      </c>
      <c r="AH3" s="87">
        <f>IF(OR(AI3=0,ISNUMBER(MATCH(AI3,$AI$2:AI2,0))),0,MAX($AH$2:AH2)+1)</f>
        <v>0</v>
      </c>
      <c r="AI3" s="87">
        <f>IF('PI-1-MarineLoading'!$G$115&lt;1,0,IF('PI-1-MarineLoading'!$G$123&lt;&gt;"Yes",0,IF(Tank1!$D$22&lt;&gt;"vapor oxidizer",0,Tank1!$A$32)))</f>
        <v>0</v>
      </c>
      <c r="AJ3" s="87">
        <f>IF($AI3=0,0,VLOOKUP($AI3,Tank1!$A$32:$H$141,7,FALSE))</f>
        <v>0</v>
      </c>
      <c r="AK3" s="87">
        <f>IF($AI3=0,0,VLOOKUP($AI3,Tank1!$A$32:$H$141,8,FALSE))</f>
        <v>0</v>
      </c>
      <c r="AL3" s="87" t="str">
        <f>IFERROR(VLOOKUP(ROW(A1),$AH$3:$AI$52,2,FALSE),"")</f>
        <v/>
      </c>
      <c r="AM3" s="87">
        <f>SUMIF($AI$3:$AI$52,$AL3,$AJ$3:$AJ$52)</f>
        <v>0</v>
      </c>
      <c r="AN3" s="88">
        <f>SUMIF($AI$3:$AI$52,$AL3,$AK$3:$AK$52)</f>
        <v>0</v>
      </c>
      <c r="AO3" s="279" t="s">
        <v>10564</v>
      </c>
      <c r="AP3" s="87"/>
      <c r="AQ3" s="87"/>
      <c r="AR3" s="87"/>
      <c r="AS3" s="87"/>
      <c r="AT3" s="87"/>
      <c r="AU3" s="87"/>
      <c r="AV3" s="88"/>
      <c r="AW3" s="86" t="s">
        <v>8706</v>
      </c>
      <c r="AX3" s="87">
        <f>IF(OR(AY3=0,ISNUMBER(MATCH(AY3,$AY$2:AY2,0))),0,MAX($AX$2:AX2)+1)</f>
        <v>0</v>
      </c>
      <c r="AY3" s="87">
        <f>IF('PI-1-MarineLoading'!$G$115&lt;1,0,IF('PI-1-MarineLoading'!$G$124&lt;&gt;"Yes",0,IF(Tank1!$D$22&lt;&gt;"CAS",0,Tank1!$A$32)))</f>
        <v>0</v>
      </c>
      <c r="AZ3" s="87">
        <f>IF($AY3=0,0,VLOOKUP($AY3,Tank1!$A$32:$H$141,7,FALSE))</f>
        <v>0</v>
      </c>
      <c r="BA3" s="87">
        <f>IF($AY3=0,0,VLOOKUP($AY3,Tank1!$A$32:$H$141,8,FALSE))</f>
        <v>0</v>
      </c>
      <c r="BB3" s="87" t="str">
        <f>IFERROR(VLOOKUP(ROW(A1),$AX$3:$AY$52,2,FALSE),"")</f>
        <v/>
      </c>
      <c r="BC3" s="87">
        <f>SUMIF($AY$3:$AY$52,$BB3,$AZ$3:$AZ$52)</f>
        <v>0</v>
      </c>
      <c r="BD3" s="88">
        <f>SUMIF($AY$3:$AY$52,$BB3,$BA$3:$BA$52)</f>
        <v>0</v>
      </c>
      <c r="BE3" s="279" t="s">
        <v>10564</v>
      </c>
      <c r="BF3" s="87"/>
      <c r="BG3" s="87"/>
      <c r="BH3" s="87"/>
      <c r="BI3" s="87"/>
      <c r="BJ3" s="87"/>
      <c r="BK3" s="87"/>
      <c r="BL3" s="88"/>
    </row>
    <row r="4" spans="1:64" x14ac:dyDescent="0.2">
      <c r="A4" s="89"/>
      <c r="B4">
        <f>IF(OR(C4=0,ISNUMBER(MATCH(C4,$C$2:C3,0))),0,MAX($B$2:B3)+1)</f>
        <v>0</v>
      </c>
      <c r="C4">
        <f>IF('PI-1-MarineLoading'!$G$115&lt;1,0,IF('PI-1-MarineLoading'!$G$121&lt;&gt;"Yes",0,IF(Tank1!$D$22&lt;&gt;"flare",0,Tank1!$A$43)))</f>
        <v>0</v>
      </c>
      <c r="D4">
        <f>IF($C4=0,0,VLOOKUP($C4,Tank1!$A$32:$H$141,7,FALSE))</f>
        <v>0</v>
      </c>
      <c r="E4">
        <f>IF($C4=0,0,VLOOKUP($C4,Tank1!$A$32:$H$141,8,FALSE))</f>
        <v>0</v>
      </c>
      <c r="F4" t="str">
        <f t="shared" ref="F4:F12" si="0">IFERROR(VLOOKUP(ROW(A2),$B$3:$C$52,2,FALSE),"")</f>
        <v/>
      </c>
      <c r="G4">
        <f t="shared" ref="G4:G12" si="1">SUMIF($C$3:$C$52,$F4,$D$3:$D$52)</f>
        <v>0</v>
      </c>
      <c r="H4" s="90">
        <f t="shared" ref="H4:H12" si="2">SUMIF($C$3:$C$52,$F4,$E$3:$E$52)</f>
        <v>0</v>
      </c>
      <c r="I4" s="89"/>
      <c r="P4" s="90"/>
      <c r="Q4" s="89"/>
      <c r="R4">
        <f>IF(OR(S4=0,ISNUMBER(MATCH(S4,$S$2:S3,0))),0,MAX($R$2:R3)+1)</f>
        <v>0</v>
      </c>
      <c r="S4">
        <f>IF('PI-1-MarineLoading'!$G$115&lt;1,0,IF('PI-1-MarineLoading'!$G$122&lt;&gt;"Yes",0,IF(Tank1!$D$22&lt;&gt;"VCU",0,Tank1!$A$43)))</f>
        <v>0</v>
      </c>
      <c r="T4">
        <f>IF($S4=0,0,VLOOKUP($S4,Tank1!$A$32:$H$141,7,FALSE))</f>
        <v>0</v>
      </c>
      <c r="U4">
        <f>IF($S4=0,0,VLOOKUP($S4,Tank1!$A$32:$H$141,8,FALSE))</f>
        <v>0</v>
      </c>
      <c r="V4" t="str">
        <f t="shared" ref="V4:V12" si="3">IFERROR(VLOOKUP(ROW(A2),$R$3:$S$52,2,FALSE),"")</f>
        <v/>
      </c>
      <c r="W4">
        <f t="shared" ref="W4:W12" si="4">SUMIF($S$3:$S$52,$V4,$T$3:$T$52)</f>
        <v>0</v>
      </c>
      <c r="X4" s="90">
        <f t="shared" ref="X4:X12" si="5">SUMIF($S$3:$S$52,$V4,$U$3:$U$52)</f>
        <v>0</v>
      </c>
      <c r="Y4" s="89"/>
      <c r="AF4" s="90"/>
      <c r="AG4" s="89"/>
      <c r="AH4">
        <f>IF(OR(AI4=0,ISNUMBER(MATCH(AI4,$AI$2:AI3,0))),0,MAX($AH$2:AH3)+1)</f>
        <v>0</v>
      </c>
      <c r="AI4">
        <f>IF('PI-1-MarineLoading'!$G$115&lt;1,0,IF('PI-1-MarineLoading'!$G$123&lt;&gt;"Yes",0,IF(Tank1!$D$22&lt;&gt;"vapor oxidizer",0,Tank1!$A$43)))</f>
        <v>0</v>
      </c>
      <c r="AJ4">
        <f>IF($AI4=0,0,VLOOKUP($AI4,Tank1!$A$32:$H$141,7,FALSE))</f>
        <v>0</v>
      </c>
      <c r="AK4">
        <f>IF($AI4=0,0,VLOOKUP($AI4,Tank1!$A$32:$H$141,8,FALSE))</f>
        <v>0</v>
      </c>
      <c r="AL4" t="str">
        <f t="shared" ref="AL4:AL12" si="6">IFERROR(VLOOKUP(ROW(A2),$AH$3:$AI$52,2,FALSE),"")</f>
        <v/>
      </c>
      <c r="AM4">
        <f t="shared" ref="AM4:AM12" si="7">SUMIF($AI$3:$AI$52,$AL4,$AJ$3:$AJ$52)</f>
        <v>0</v>
      </c>
      <c r="AN4" s="90">
        <f t="shared" ref="AN4:AN12" si="8">SUMIF($AI$3:$AI$52,$AL4,$AK$3:$AK$52)</f>
        <v>0</v>
      </c>
      <c r="AO4" s="89"/>
      <c r="AV4" s="90"/>
      <c r="AW4" s="89"/>
      <c r="AX4">
        <f>IF(OR(AY4=0,ISNUMBER(MATCH(AY4,$AY$2:AY3,0))),0,MAX($AX$2:AX3)+1)</f>
        <v>0</v>
      </c>
      <c r="AY4">
        <f>IF('PI-1-MarineLoading'!$G$115&lt;1,0,IF('PI-1-MarineLoading'!$G$124&lt;&gt;"Yes",0,IF(Tank1!$D$22&lt;&gt;"CAS",0,Tank1!$A$43)))</f>
        <v>0</v>
      </c>
      <c r="AZ4">
        <f>IF($AY4=0,0,VLOOKUP($AY4,Tank1!$A$32:$H$141,7,FALSE))</f>
        <v>0</v>
      </c>
      <c r="BA4">
        <f>IF($AY4=0,0,VLOOKUP($AY4,Tank1!$A$32:$H$141,8,FALSE))</f>
        <v>0</v>
      </c>
      <c r="BB4" t="str">
        <f t="shared" ref="BB4:BB12" si="9">IFERROR(VLOOKUP(ROW(A2),$AX$3:$AY$52,2,FALSE),"")</f>
        <v/>
      </c>
      <c r="BC4">
        <f t="shared" ref="BC4:BC12" si="10">SUMIF($AY$3:$AY$52,$BB4,$AZ$3:$AZ$52)</f>
        <v>0</v>
      </c>
      <c r="BD4" s="90">
        <f t="shared" ref="BD4:BD12" si="11">SUMIF($AY$3:$AY$52,$BB4,$BA$3:$BA$52)</f>
        <v>0</v>
      </c>
      <c r="BE4" s="89"/>
      <c r="BL4" s="90"/>
    </row>
    <row r="5" spans="1:64" x14ac:dyDescent="0.2">
      <c r="A5" s="89"/>
      <c r="B5">
        <f>IF(OR(C5=0,ISNUMBER(MATCH(C5,$C$2:C4,0))),0,MAX($B$2:B4)+1)</f>
        <v>0</v>
      </c>
      <c r="C5">
        <f>IF('PI-1-MarineLoading'!$G$115&lt;1,0,IF('PI-1-MarineLoading'!$G$121&lt;&gt;"Yes",0,IF(Tank1!$D$22&lt;&gt;"flare",0,Tank1!$A$54)))</f>
        <v>0</v>
      </c>
      <c r="D5">
        <f>IF($C5=0,0,VLOOKUP($C5,Tank1!$A$32:$H$141,7,FALSE))</f>
        <v>0</v>
      </c>
      <c r="E5">
        <f>IF($C5=0,0,VLOOKUP($C5,Tank1!$A$32:$H$141,8,FALSE))</f>
        <v>0</v>
      </c>
      <c r="F5" t="str">
        <f t="shared" si="0"/>
        <v/>
      </c>
      <c r="G5">
        <f t="shared" si="1"/>
        <v>0</v>
      </c>
      <c r="H5" s="90">
        <f t="shared" si="2"/>
        <v>0</v>
      </c>
      <c r="I5" s="89"/>
      <c r="P5" s="90"/>
      <c r="Q5" s="89"/>
      <c r="R5">
        <f>IF(OR(S5=0,ISNUMBER(MATCH(S5,$S$2:S4,0))),0,MAX($R$2:R4)+1)</f>
        <v>0</v>
      </c>
      <c r="S5">
        <f>IF('PI-1-MarineLoading'!$G$115&lt;1,0,IF('PI-1-MarineLoading'!$G$122&lt;&gt;"Yes",0,IF(Tank1!$D$22&lt;&gt;"VCU",0,Tank1!$A$54)))</f>
        <v>0</v>
      </c>
      <c r="T5">
        <f>IF($S5=0,0,VLOOKUP($S5,Tank1!$A$32:$H$141,7,FALSE))</f>
        <v>0</v>
      </c>
      <c r="U5">
        <f>IF($S5=0,0,VLOOKUP($S5,Tank1!$A$32:$H$141,8,FALSE))</f>
        <v>0</v>
      </c>
      <c r="V5" t="str">
        <f t="shared" si="3"/>
        <v/>
      </c>
      <c r="W5">
        <f t="shared" si="4"/>
        <v>0</v>
      </c>
      <c r="X5" s="90">
        <f t="shared" si="5"/>
        <v>0</v>
      </c>
      <c r="Y5" s="89"/>
      <c r="AF5" s="90"/>
      <c r="AG5" s="89"/>
      <c r="AH5">
        <f>IF(OR(AI5=0,ISNUMBER(MATCH(AI5,$AI$2:AI4,0))),0,MAX($AH$2:AH4)+1)</f>
        <v>0</v>
      </c>
      <c r="AI5">
        <f>IF('PI-1-MarineLoading'!$G$115&lt;1,0,IF('PI-1-MarineLoading'!$G$123&lt;&gt;"Yes",0,IF(Tank1!$D$22&lt;&gt;"vapor oxidizer",0,Tank1!$A$54)))</f>
        <v>0</v>
      </c>
      <c r="AJ5">
        <f>IF($AI5=0,0,VLOOKUP($AI5,Tank1!$A$32:$H$141,7,FALSE))</f>
        <v>0</v>
      </c>
      <c r="AK5">
        <f>IF($AI5=0,0,VLOOKUP($AI5,Tank1!$A$32:$H$141,8,FALSE))</f>
        <v>0</v>
      </c>
      <c r="AL5" t="str">
        <f t="shared" si="6"/>
        <v/>
      </c>
      <c r="AM5">
        <f t="shared" si="7"/>
        <v>0</v>
      </c>
      <c r="AN5" s="90">
        <f t="shared" si="8"/>
        <v>0</v>
      </c>
      <c r="AO5" s="89"/>
      <c r="AV5" s="90"/>
      <c r="AW5" s="89"/>
      <c r="AX5">
        <f>IF(OR(AY5=0,ISNUMBER(MATCH(AY5,$AY$2:AY4,0))),0,MAX($AX$2:AX4)+1)</f>
        <v>0</v>
      </c>
      <c r="AY5">
        <f>IF('PI-1-MarineLoading'!$G$115&lt;1,0,IF('PI-1-MarineLoading'!$G$124&lt;&gt;"Yes",0,IF(Tank1!$D$22&lt;&gt;"CAS",0,Tank1!$A$54)))</f>
        <v>0</v>
      </c>
      <c r="AZ5">
        <f>IF($AY5=0,0,VLOOKUP($AY5,Tank1!$A$32:$H$141,7,FALSE))</f>
        <v>0</v>
      </c>
      <c r="BA5">
        <f>IF($AY5=0,0,VLOOKUP($AY5,Tank1!$A$32:$H$141,8,FALSE))</f>
        <v>0</v>
      </c>
      <c r="BB5" t="str">
        <f t="shared" si="9"/>
        <v/>
      </c>
      <c r="BC5">
        <f t="shared" si="10"/>
        <v>0</v>
      </c>
      <c r="BD5" s="90">
        <f t="shared" si="11"/>
        <v>0</v>
      </c>
      <c r="BE5" s="89"/>
      <c r="BL5" s="90"/>
    </row>
    <row r="6" spans="1:64" x14ac:dyDescent="0.2">
      <c r="A6" s="89"/>
      <c r="B6">
        <f>IF(OR(C6=0,ISNUMBER(MATCH(C6,$C$2:C5,0))),0,MAX($B$2:B5)+1)</f>
        <v>0</v>
      </c>
      <c r="C6">
        <f>IF('PI-1-MarineLoading'!$G$115&lt;1,0,IF('PI-1-MarineLoading'!$G$121&lt;&gt;"Yes",0,IF(Tank1!$D$22&lt;&gt;"flare",0,Tank1!$A$65)))</f>
        <v>0</v>
      </c>
      <c r="D6">
        <f>IF($C6=0,0,VLOOKUP($C6,Tank1!$A$32:$H$141,7,FALSE))</f>
        <v>0</v>
      </c>
      <c r="E6">
        <f>IF($C6=0,0,VLOOKUP($C6,Tank1!$A$32:$H$141,8,FALSE))</f>
        <v>0</v>
      </c>
      <c r="F6" t="str">
        <f t="shared" si="0"/>
        <v/>
      </c>
      <c r="G6">
        <f t="shared" si="1"/>
        <v>0</v>
      </c>
      <c r="H6" s="90">
        <f t="shared" si="2"/>
        <v>0</v>
      </c>
      <c r="I6" s="89"/>
      <c r="P6" s="90"/>
      <c r="Q6" s="89"/>
      <c r="R6">
        <f>IF(OR(S6=0,ISNUMBER(MATCH(S6,$S$2:S5,0))),0,MAX($R$2:R5)+1)</f>
        <v>0</v>
      </c>
      <c r="S6">
        <f>IF('PI-1-MarineLoading'!$G$115&lt;1,0,IF('PI-1-MarineLoading'!$G$122&lt;&gt;"Yes",0,IF(Tank1!$D$22&lt;&gt;"VCU",0,Tank1!$A$65)))</f>
        <v>0</v>
      </c>
      <c r="T6">
        <f>IF($S6=0,0,VLOOKUP($S6,Tank1!$A$32:$H$141,7,FALSE))</f>
        <v>0</v>
      </c>
      <c r="U6">
        <f>IF($S6=0,0,VLOOKUP($S6,Tank1!$A$32:$H$141,8,FALSE))</f>
        <v>0</v>
      </c>
      <c r="V6" t="str">
        <f t="shared" si="3"/>
        <v/>
      </c>
      <c r="W6">
        <f t="shared" si="4"/>
        <v>0</v>
      </c>
      <c r="X6" s="90">
        <f t="shared" si="5"/>
        <v>0</v>
      </c>
      <c r="Y6" s="89"/>
      <c r="AF6" s="90"/>
      <c r="AG6" s="89"/>
      <c r="AH6">
        <f>IF(OR(AI6=0,ISNUMBER(MATCH(AI6,$AI$2:AI5,0))),0,MAX($AH$2:AH5)+1)</f>
        <v>0</v>
      </c>
      <c r="AI6">
        <f>IF('PI-1-MarineLoading'!$G$115&lt;1,0,IF('PI-1-MarineLoading'!$G$123&lt;&gt;"Yes",0,IF(Tank1!$D$22&lt;&gt;"vapor oxidizer",0,Tank1!$A$65)))</f>
        <v>0</v>
      </c>
      <c r="AJ6">
        <f>IF($AI6=0,0,VLOOKUP($AI6,Tank1!$A$32:$H$141,7,FALSE))</f>
        <v>0</v>
      </c>
      <c r="AK6">
        <f>IF($AI6=0,0,VLOOKUP($AI6,Tank1!$A$32:$H$141,8,FALSE))</f>
        <v>0</v>
      </c>
      <c r="AL6" t="str">
        <f t="shared" si="6"/>
        <v/>
      </c>
      <c r="AM6">
        <f t="shared" si="7"/>
        <v>0</v>
      </c>
      <c r="AN6" s="90">
        <f t="shared" si="8"/>
        <v>0</v>
      </c>
      <c r="AO6" s="89"/>
      <c r="AV6" s="90"/>
      <c r="AW6" s="89"/>
      <c r="AX6">
        <f>IF(OR(AY6=0,ISNUMBER(MATCH(AY6,$AY$2:AY5,0))),0,MAX($AX$2:AX5)+1)</f>
        <v>0</v>
      </c>
      <c r="AY6">
        <f>IF('PI-1-MarineLoading'!$G$115&lt;1,0,IF('PI-1-MarineLoading'!$G$124&lt;&gt;"Yes",0,IF(Tank1!$D$22&lt;&gt;"CAS",0,Tank1!$A$65)))</f>
        <v>0</v>
      </c>
      <c r="AZ6">
        <f>IF($AY6=0,0,VLOOKUP($AY6,Tank1!$A$32:$H$141,7,FALSE))</f>
        <v>0</v>
      </c>
      <c r="BA6">
        <f>IF($AY6=0,0,VLOOKUP($AY6,Tank1!$A$32:$H$141,8,FALSE))</f>
        <v>0</v>
      </c>
      <c r="BB6" t="str">
        <f t="shared" si="9"/>
        <v/>
      </c>
      <c r="BC6">
        <f t="shared" si="10"/>
        <v>0</v>
      </c>
      <c r="BD6" s="90">
        <f t="shared" si="11"/>
        <v>0</v>
      </c>
      <c r="BE6" s="89"/>
      <c r="BL6" s="90"/>
    </row>
    <row r="7" spans="1:64" x14ac:dyDescent="0.2">
      <c r="A7" s="89"/>
      <c r="B7">
        <f>IF(OR(C7=0,ISNUMBER(MATCH(C7,$C$2:C6,0))),0,MAX($B$2:B6)+1)</f>
        <v>0</v>
      </c>
      <c r="C7">
        <f>IF('PI-1-MarineLoading'!$G$115&lt;1,0,IF('PI-1-MarineLoading'!$G$121&lt;&gt;"Yes",0,IF(Tank1!$D$22&lt;&gt;"flare",0,Tank1!$A$76)))</f>
        <v>0</v>
      </c>
      <c r="D7">
        <f>IF($C7=0,0,VLOOKUP($C7,Tank1!$A$32:$H$141,7,FALSE))</f>
        <v>0</v>
      </c>
      <c r="E7">
        <f>IF($C7=0,0,VLOOKUP($C7,Tank1!$A$32:$H$141,8,FALSE))</f>
        <v>0</v>
      </c>
      <c r="F7" t="str">
        <f t="shared" si="0"/>
        <v/>
      </c>
      <c r="G7">
        <f t="shared" si="1"/>
        <v>0</v>
      </c>
      <c r="H7" s="90">
        <f t="shared" si="2"/>
        <v>0</v>
      </c>
      <c r="I7" s="89"/>
      <c r="P7" s="90"/>
      <c r="Q7" s="89"/>
      <c r="R7">
        <f>IF(OR(S7=0,ISNUMBER(MATCH(S7,$S$2:S6,0))),0,MAX($R$2:R6)+1)</f>
        <v>0</v>
      </c>
      <c r="S7">
        <f>IF('PI-1-MarineLoading'!$G$115&lt;1,0,IF('PI-1-MarineLoading'!$G$122&lt;&gt;"Yes",0,IF(Tank1!$D$22&lt;&gt;"VCU",0,Tank1!$A$76)))</f>
        <v>0</v>
      </c>
      <c r="T7">
        <f>IF($S7=0,0,VLOOKUP($S7,Tank1!$A$32:$H$141,7,FALSE))</f>
        <v>0</v>
      </c>
      <c r="U7">
        <f>IF($S7=0,0,VLOOKUP($S7,Tank1!$A$32:$H$141,8,FALSE))</f>
        <v>0</v>
      </c>
      <c r="V7" t="str">
        <f t="shared" si="3"/>
        <v/>
      </c>
      <c r="W7">
        <f t="shared" si="4"/>
        <v>0</v>
      </c>
      <c r="X7" s="90">
        <f t="shared" si="5"/>
        <v>0</v>
      </c>
      <c r="Y7" s="89"/>
      <c r="AF7" s="90"/>
      <c r="AG7" s="89"/>
      <c r="AH7">
        <f>IF(OR(AI7=0,ISNUMBER(MATCH(AI7,$AI$2:AI6,0))),0,MAX($AH$2:AH6)+1)</f>
        <v>0</v>
      </c>
      <c r="AI7">
        <f>IF('PI-1-MarineLoading'!$G$115&lt;1,0,IF('PI-1-MarineLoading'!$G$123&lt;&gt;"Yes",0,IF(Tank1!$D$22&lt;&gt;"vapor oxidizer",0,Tank1!$A$76)))</f>
        <v>0</v>
      </c>
      <c r="AJ7">
        <f>IF($AI7=0,0,VLOOKUP($AI7,Tank1!$A$32:$H$141,7,FALSE))</f>
        <v>0</v>
      </c>
      <c r="AK7">
        <f>IF($AI7=0,0,VLOOKUP($AI7,Tank1!$A$32:$H$141,8,FALSE))</f>
        <v>0</v>
      </c>
      <c r="AL7" t="str">
        <f t="shared" si="6"/>
        <v/>
      </c>
      <c r="AM7">
        <f>SUMIF($AI$3:$AI$52,$AL7,$AJ$3:$AJ$52)</f>
        <v>0</v>
      </c>
      <c r="AN7" s="90">
        <f>SUMIF($AI$3:$AI$52,$AL7,$AK$3:$AK$52)</f>
        <v>0</v>
      </c>
      <c r="AO7" s="89"/>
      <c r="AV7" s="90"/>
      <c r="AW7" s="89"/>
      <c r="AX7">
        <f>IF(OR(AY7=0,ISNUMBER(MATCH(AY7,$AY$2:AY6,0))),0,MAX($AX$2:AX6)+1)</f>
        <v>0</v>
      </c>
      <c r="AY7">
        <f>IF('PI-1-MarineLoading'!$G$115&lt;1,0,IF('PI-1-MarineLoading'!$G$124&lt;&gt;"Yes",0,IF(Tank1!$D$22&lt;&gt;"CAS",0,Tank1!$A$76)))</f>
        <v>0</v>
      </c>
      <c r="AZ7">
        <f>IF($AY7=0,0,VLOOKUP($AY7,Tank1!$A$32:$H$141,7,FALSE))</f>
        <v>0</v>
      </c>
      <c r="BA7">
        <f>IF($AY7=0,0,VLOOKUP($AY7,Tank1!$A$32:$H$141,8,FALSE))</f>
        <v>0</v>
      </c>
      <c r="BB7" t="str">
        <f t="shared" si="9"/>
        <v/>
      </c>
      <c r="BC7">
        <f t="shared" si="10"/>
        <v>0</v>
      </c>
      <c r="BD7" s="90">
        <f t="shared" si="11"/>
        <v>0</v>
      </c>
      <c r="BE7" s="89"/>
      <c r="BL7" s="90"/>
    </row>
    <row r="8" spans="1:64" x14ac:dyDescent="0.2">
      <c r="A8" s="89"/>
      <c r="B8">
        <f>IF(OR(C8=0,ISNUMBER(MATCH(C8,$C$2:C7,0))),0,MAX($B$2:B7)+1)</f>
        <v>0</v>
      </c>
      <c r="C8">
        <f>IF('PI-1-MarineLoading'!$G$115&lt;1,0,IF('PI-1-MarineLoading'!$G$121&lt;&gt;"Yes",0,IF(Tank1!$D$22&lt;&gt;"flare",0,Tank1!$A$87)))</f>
        <v>0</v>
      </c>
      <c r="D8">
        <f>IF($C8=0,0,VLOOKUP($C8,Tank1!$A$32:$H$141,7,FALSE))</f>
        <v>0</v>
      </c>
      <c r="E8">
        <f>IF($C8=0,0,VLOOKUP($C8,Tank1!$A$32:$H$141,8,FALSE))</f>
        <v>0</v>
      </c>
      <c r="F8" t="str">
        <f t="shared" si="0"/>
        <v/>
      </c>
      <c r="G8">
        <f>SUMIF($C$3:$C$52,$F8,$D$3:$D$52)</f>
        <v>0</v>
      </c>
      <c r="H8" s="90">
        <f t="shared" si="2"/>
        <v>0</v>
      </c>
      <c r="I8" s="89"/>
      <c r="P8" s="90"/>
      <c r="Q8" s="89"/>
      <c r="R8">
        <f>IF(OR(S8=0,ISNUMBER(MATCH(S8,$S$2:S7,0))),0,MAX($R$2:R7)+1)</f>
        <v>0</v>
      </c>
      <c r="S8">
        <f>IF('PI-1-MarineLoading'!$G$115&lt;1,0,IF('PI-1-MarineLoading'!$G$122&lt;&gt;"Yes",0,IF(Tank1!$D$22&lt;&gt;"VCU",0,Tank1!$A$87)))</f>
        <v>0</v>
      </c>
      <c r="T8">
        <f>IF($S8=0,0,VLOOKUP($S8,Tank1!$A$32:$H$141,7,FALSE))</f>
        <v>0</v>
      </c>
      <c r="U8">
        <f>IF($S8=0,0,VLOOKUP($S8,Tank1!$A$32:$H$141,8,FALSE))</f>
        <v>0</v>
      </c>
      <c r="V8" t="str">
        <f t="shared" si="3"/>
        <v/>
      </c>
      <c r="W8">
        <f>SUMIF($S$3:$S$52,$V8,$T$3:$T$52)</f>
        <v>0</v>
      </c>
      <c r="X8" s="90">
        <f t="shared" si="5"/>
        <v>0</v>
      </c>
      <c r="Y8" s="89"/>
      <c r="AF8" s="90"/>
      <c r="AG8" s="89"/>
      <c r="AH8">
        <f>IF(OR(AI8=0,ISNUMBER(MATCH(AI8,$AI$2:AI7,0))),0,MAX($AH$2:AH7)+1)</f>
        <v>0</v>
      </c>
      <c r="AI8">
        <f>IF('PI-1-MarineLoading'!$G$115&lt;1,0,IF('PI-1-MarineLoading'!$G$123&lt;&gt;"Yes",0,IF(Tank1!$D$22&lt;&gt;"vapor oxidizer",0,Tank1!$A$87)))</f>
        <v>0</v>
      </c>
      <c r="AJ8">
        <f>IF($AI8=0,0,VLOOKUP($AI8,Tank1!$A$32:$H$141,7,FALSE))</f>
        <v>0</v>
      </c>
      <c r="AK8">
        <f>IF($AI8=0,0,VLOOKUP($AI8,Tank1!$A$32:$H$141,8,FALSE))</f>
        <v>0</v>
      </c>
      <c r="AL8" t="str">
        <f t="shared" si="6"/>
        <v/>
      </c>
      <c r="AM8">
        <f t="shared" si="7"/>
        <v>0</v>
      </c>
      <c r="AN8" s="90">
        <f t="shared" si="8"/>
        <v>0</v>
      </c>
      <c r="AO8" s="89"/>
      <c r="AV8" s="90"/>
      <c r="AW8" s="89"/>
      <c r="AX8">
        <f>IF(OR(AY8=0,ISNUMBER(MATCH(AY8,$AY$2:AY7,0))),0,MAX($AX$2:AX7)+1)</f>
        <v>0</v>
      </c>
      <c r="AY8">
        <f>IF('PI-1-MarineLoading'!$G$115&lt;1,0,IF('PI-1-MarineLoading'!$G$124&lt;&gt;"Yes",0,IF(Tank1!$D$22&lt;&gt;"CAS",0,Tank1!$A$87)))</f>
        <v>0</v>
      </c>
      <c r="AZ8">
        <f>IF($AY8=0,0,VLOOKUP($AY8,Tank1!$A$32:$H$141,7,FALSE))</f>
        <v>0</v>
      </c>
      <c r="BA8">
        <f>IF($AY8=0,0,VLOOKUP($AY8,Tank1!$A$32:$H$141,8,FALSE))</f>
        <v>0</v>
      </c>
      <c r="BB8" t="str">
        <f t="shared" si="9"/>
        <v/>
      </c>
      <c r="BC8">
        <f>SUMIF($AY$3:$AY$52,$BB8,$AZ$3:$AZ$52)</f>
        <v>0</v>
      </c>
      <c r="BD8" s="90">
        <f>SUMIF($AY$3:$AY$52,$BB8,$BA$3:$BA$52)</f>
        <v>0</v>
      </c>
      <c r="BE8" s="89"/>
      <c r="BL8" s="90"/>
    </row>
    <row r="9" spans="1:64" x14ac:dyDescent="0.2">
      <c r="A9" s="89"/>
      <c r="B9">
        <f>IF(OR(C9=0,ISNUMBER(MATCH(C9,$C$2:C8,0))),0,MAX($B$2:B8)+1)</f>
        <v>0</v>
      </c>
      <c r="C9">
        <f>IF('PI-1-MarineLoading'!$G$115&lt;1,0,IF('PI-1-MarineLoading'!$G$121&lt;&gt;"Yes",0,IF(Tank1!$D$22&lt;&gt;"flare",0,Tank1!$A$98)))</f>
        <v>0</v>
      </c>
      <c r="D9">
        <f>IF($C9=0,0,VLOOKUP($C9,Tank1!$A$32:$H$141,7,FALSE))</f>
        <v>0</v>
      </c>
      <c r="E9">
        <f>IF($C9=0,0,VLOOKUP($C9,Tank1!$A$32:$H$141,8,FALSE))</f>
        <v>0</v>
      </c>
      <c r="F9" t="str">
        <f t="shared" si="0"/>
        <v/>
      </c>
      <c r="G9">
        <f t="shared" si="1"/>
        <v>0</v>
      </c>
      <c r="H9" s="90">
        <f t="shared" si="2"/>
        <v>0</v>
      </c>
      <c r="I9" s="89"/>
      <c r="P9" s="90"/>
      <c r="Q9" s="89"/>
      <c r="R9">
        <f>IF(OR(S9=0,ISNUMBER(MATCH(S9,$S$2:S8,0))),0,MAX($R$2:R8)+1)</f>
        <v>0</v>
      </c>
      <c r="S9">
        <f>IF('PI-1-MarineLoading'!$G$115&lt;1,0,IF('PI-1-MarineLoading'!$G$122&lt;&gt;"Yes",0,IF(Tank1!$D$22&lt;&gt;"VCU",0,Tank1!$A$98)))</f>
        <v>0</v>
      </c>
      <c r="T9">
        <f>IF($S9=0,0,VLOOKUP($S9,Tank1!$A$32:$H$141,7,FALSE))</f>
        <v>0</v>
      </c>
      <c r="U9">
        <f>IF($S9=0,0,VLOOKUP($S9,Tank1!$A$32:$H$141,8,FALSE))</f>
        <v>0</v>
      </c>
      <c r="V9" t="str">
        <f t="shared" si="3"/>
        <v/>
      </c>
      <c r="W9">
        <f t="shared" si="4"/>
        <v>0</v>
      </c>
      <c r="X9" s="90">
        <f t="shared" si="5"/>
        <v>0</v>
      </c>
      <c r="Y9" s="89"/>
      <c r="AF9" s="90"/>
      <c r="AG9" s="89"/>
      <c r="AH9">
        <f>IF(OR(AI9=0,ISNUMBER(MATCH(AI9,$AI$2:AI8,0))),0,MAX($AH$2:AH8)+1)</f>
        <v>0</v>
      </c>
      <c r="AI9">
        <f>IF('PI-1-MarineLoading'!$G$115&lt;1,0,IF('PI-1-MarineLoading'!$G$123&lt;&gt;"Yes",0,IF(Tank1!$D$22&lt;&gt;"vapor oxidizer",0,Tank1!$A$98)))</f>
        <v>0</v>
      </c>
      <c r="AJ9">
        <f>IF($AI9=0,0,VLOOKUP($AI9,Tank1!$A$32:$H$141,7,FALSE))</f>
        <v>0</v>
      </c>
      <c r="AK9">
        <f>IF($AI9=0,0,VLOOKUP($AI9,Tank1!$A$32:$H$141,8,FALSE))</f>
        <v>0</v>
      </c>
      <c r="AL9" t="str">
        <f t="shared" si="6"/>
        <v/>
      </c>
      <c r="AM9">
        <f t="shared" si="7"/>
        <v>0</v>
      </c>
      <c r="AN9" s="90">
        <f t="shared" si="8"/>
        <v>0</v>
      </c>
      <c r="AO9" s="89"/>
      <c r="AV9" s="90"/>
      <c r="AW9" s="89"/>
      <c r="AX9">
        <f>IF(OR(AY9=0,ISNUMBER(MATCH(AY9,$AY$2:AY8,0))),0,MAX($AX$2:AX8)+1)</f>
        <v>0</v>
      </c>
      <c r="AY9">
        <f>IF('PI-1-MarineLoading'!$G$115&lt;1,0,IF('PI-1-MarineLoading'!$G$124&lt;&gt;"Yes",0,IF(Tank1!$D$22&lt;&gt;"CAS",0,Tank1!$A$98)))</f>
        <v>0</v>
      </c>
      <c r="AZ9">
        <f>IF($AY9=0,0,VLOOKUP($AY9,Tank1!$A$32:$H$141,7,FALSE))</f>
        <v>0</v>
      </c>
      <c r="BA9">
        <f>IF($AY9=0,0,VLOOKUP($AY9,Tank1!$A$32:$H$141,8,FALSE))</f>
        <v>0</v>
      </c>
      <c r="BB9" t="str">
        <f t="shared" si="9"/>
        <v/>
      </c>
      <c r="BC9">
        <f t="shared" si="10"/>
        <v>0</v>
      </c>
      <c r="BD9" s="90">
        <f t="shared" si="11"/>
        <v>0</v>
      </c>
      <c r="BE9" s="89"/>
      <c r="BL9" s="90"/>
    </row>
    <row r="10" spans="1:64" x14ac:dyDescent="0.2">
      <c r="A10" s="89"/>
      <c r="B10">
        <f>IF(OR(C10=0,ISNUMBER(MATCH(C10,$C$2:C9,0))),0,MAX($B$2:B9)+1)</f>
        <v>0</v>
      </c>
      <c r="C10">
        <f>IF('PI-1-MarineLoading'!$G$115&lt;1,0,IF('PI-1-MarineLoading'!$G$121&lt;&gt;"Yes",0,IF(Tank1!$D$22&lt;&gt;"flare",0,Tank1!$A$109)))</f>
        <v>0</v>
      </c>
      <c r="D10">
        <f>IF($C10=0,0,VLOOKUP($C10,Tank1!$A$32:$H$141,7,FALSE))</f>
        <v>0</v>
      </c>
      <c r="E10">
        <f>IF($C10=0,0,VLOOKUP($C10,Tank1!$A$32:$H$141,8,FALSE))</f>
        <v>0</v>
      </c>
      <c r="F10" t="str">
        <f t="shared" si="0"/>
        <v/>
      </c>
      <c r="G10">
        <f t="shared" si="1"/>
        <v>0</v>
      </c>
      <c r="H10" s="90">
        <f t="shared" si="2"/>
        <v>0</v>
      </c>
      <c r="I10" s="89"/>
      <c r="P10" s="90"/>
      <c r="Q10" s="89"/>
      <c r="R10">
        <f>IF(OR(S10=0,ISNUMBER(MATCH(S10,$S$2:S9,0))),0,MAX($R$2:R9)+1)</f>
        <v>0</v>
      </c>
      <c r="S10">
        <f>IF('PI-1-MarineLoading'!$G$115&lt;1,0,IF('PI-1-MarineLoading'!$G$122&lt;&gt;"Yes",0,IF(Tank1!$D$22&lt;&gt;"VCU",0,Tank1!$A$109)))</f>
        <v>0</v>
      </c>
      <c r="T10">
        <f>IF($S10=0,0,VLOOKUP($S10,Tank1!$A$32:$H$141,7,FALSE))</f>
        <v>0</v>
      </c>
      <c r="U10">
        <f>IF($S10=0,0,VLOOKUP($S10,Tank1!$A$32:$H$141,8,FALSE))</f>
        <v>0</v>
      </c>
      <c r="V10" t="str">
        <f t="shared" si="3"/>
        <v/>
      </c>
      <c r="W10">
        <f t="shared" si="4"/>
        <v>0</v>
      </c>
      <c r="X10" s="90">
        <f t="shared" si="5"/>
        <v>0</v>
      </c>
      <c r="Y10" s="89"/>
      <c r="AF10" s="90"/>
      <c r="AG10" s="89"/>
      <c r="AH10">
        <f>IF(OR(AI10=0,ISNUMBER(MATCH(AI10,$AI$2:AI9,0))),0,MAX($AH$2:AH9)+1)</f>
        <v>0</v>
      </c>
      <c r="AI10">
        <f>IF('PI-1-MarineLoading'!$G$115&lt;1,0,IF('PI-1-MarineLoading'!$G$123&lt;&gt;"Yes",0,IF(Tank1!$D$22&lt;&gt;"vapor oxidizer",0,Tank1!$A$109)))</f>
        <v>0</v>
      </c>
      <c r="AJ10">
        <f>IF($AI10=0,0,VLOOKUP($AI10,Tank1!$A$32:$H$141,7,FALSE))</f>
        <v>0</v>
      </c>
      <c r="AK10">
        <f>IF($AI10=0,0,VLOOKUP($AI10,Tank1!$A$32:$H$141,8,FALSE))</f>
        <v>0</v>
      </c>
      <c r="AL10" t="str">
        <f t="shared" si="6"/>
        <v/>
      </c>
      <c r="AM10">
        <f t="shared" si="7"/>
        <v>0</v>
      </c>
      <c r="AN10" s="90">
        <f t="shared" si="8"/>
        <v>0</v>
      </c>
      <c r="AO10" s="89"/>
      <c r="AV10" s="90"/>
      <c r="AW10" s="89"/>
      <c r="AX10">
        <f>IF(OR(AY10=0,ISNUMBER(MATCH(AY10,$AY$2:AY9,0))),0,MAX($AX$2:AX9)+1)</f>
        <v>0</v>
      </c>
      <c r="AY10">
        <f>IF('PI-1-MarineLoading'!$G$115&lt;1,0,IF('PI-1-MarineLoading'!$G$124&lt;&gt;"Yes",0,IF(Tank1!$D$22&lt;&gt;"CAS",0,Tank1!$A$109)))</f>
        <v>0</v>
      </c>
      <c r="AZ10">
        <f>IF($AY10=0,0,VLOOKUP($AY10,Tank1!$A$32:$H$141,7,FALSE))</f>
        <v>0</v>
      </c>
      <c r="BA10">
        <f>IF($AY10=0,0,VLOOKUP($AY10,Tank1!$A$32:$H$141,8,FALSE))</f>
        <v>0</v>
      </c>
      <c r="BB10" t="str">
        <f t="shared" si="9"/>
        <v/>
      </c>
      <c r="BC10">
        <f t="shared" si="10"/>
        <v>0</v>
      </c>
      <c r="BD10" s="90">
        <f t="shared" si="11"/>
        <v>0</v>
      </c>
      <c r="BE10" s="89"/>
      <c r="BL10" s="90"/>
    </row>
    <row r="11" spans="1:64" x14ac:dyDescent="0.2">
      <c r="A11" s="89"/>
      <c r="B11">
        <f>IF(OR(C11=0,ISNUMBER(MATCH(C11,$C$2:C10,0))),0,MAX($B$2:B10)+1)</f>
        <v>0</v>
      </c>
      <c r="C11">
        <f>IF('PI-1-MarineLoading'!$G$115&lt;1,0,IF('PI-1-MarineLoading'!$G$121&lt;&gt;"Yes",0,IF(Tank1!$D$22&lt;&gt;"flare",0,Tank1!$A$120)))</f>
        <v>0</v>
      </c>
      <c r="D11">
        <f>IF($C11=0,0,VLOOKUP($C11,Tank1!$A$32:$H$141,7,FALSE))</f>
        <v>0</v>
      </c>
      <c r="E11">
        <f>IF($C11=0,0,VLOOKUP($C11,Tank1!$A$32:$H$141,8,FALSE))</f>
        <v>0</v>
      </c>
      <c r="F11" t="str">
        <f t="shared" si="0"/>
        <v/>
      </c>
      <c r="G11">
        <f t="shared" si="1"/>
        <v>0</v>
      </c>
      <c r="H11" s="90">
        <f t="shared" si="2"/>
        <v>0</v>
      </c>
      <c r="I11" s="89"/>
      <c r="P11" s="90"/>
      <c r="Q11" s="89"/>
      <c r="R11">
        <f>IF(OR(S11=0,ISNUMBER(MATCH(S11,$S$2:S10,0))),0,MAX($R$2:R10)+1)</f>
        <v>0</v>
      </c>
      <c r="S11">
        <f>IF('PI-1-MarineLoading'!$G$115&lt;1,0,IF('PI-1-MarineLoading'!$G$122&lt;&gt;"Yes",0,IF(Tank1!$D$22&lt;&gt;"VCU",0,Tank1!$A$120)))</f>
        <v>0</v>
      </c>
      <c r="T11">
        <f>IF($S11=0,0,VLOOKUP($S11,Tank1!$A$32:$H$141,7,FALSE))</f>
        <v>0</v>
      </c>
      <c r="U11">
        <f>IF($S11=0,0,VLOOKUP($S11,Tank1!$A$32:$H$141,8,FALSE))</f>
        <v>0</v>
      </c>
      <c r="V11" t="str">
        <f t="shared" si="3"/>
        <v/>
      </c>
      <c r="W11">
        <f t="shared" si="4"/>
        <v>0</v>
      </c>
      <c r="X11" s="90">
        <f t="shared" si="5"/>
        <v>0</v>
      </c>
      <c r="Y11" s="89"/>
      <c r="AF11" s="90"/>
      <c r="AG11" s="89"/>
      <c r="AH11">
        <f>IF(OR(AI11=0,ISNUMBER(MATCH(AI11,$AI$2:AI10,0))),0,MAX($AH$2:AH10)+1)</f>
        <v>0</v>
      </c>
      <c r="AI11">
        <f>IF('PI-1-MarineLoading'!$G$115&lt;1,0,IF('PI-1-MarineLoading'!$G$123&lt;&gt;"Yes",0,IF(Tank1!$D$22&lt;&gt;"vapor oxidizer",0,Tank1!$A$120)))</f>
        <v>0</v>
      </c>
      <c r="AJ11">
        <f>IF($AI11=0,0,VLOOKUP($AI11,Tank1!$A$32:$H$141,7,FALSE))</f>
        <v>0</v>
      </c>
      <c r="AK11">
        <f>IF($AI11=0,0,VLOOKUP($AI11,Tank1!$A$32:$H$141,8,FALSE))</f>
        <v>0</v>
      </c>
      <c r="AL11" t="str">
        <f t="shared" si="6"/>
        <v/>
      </c>
      <c r="AM11">
        <f t="shared" si="7"/>
        <v>0</v>
      </c>
      <c r="AN11" s="90">
        <f t="shared" si="8"/>
        <v>0</v>
      </c>
      <c r="AO11" s="89"/>
      <c r="AV11" s="90"/>
      <c r="AW11" s="89"/>
      <c r="AX11">
        <f>IF(OR(AY11=0,ISNUMBER(MATCH(AY11,$AY$2:AY10,0))),0,MAX($AX$2:AX10)+1)</f>
        <v>0</v>
      </c>
      <c r="AY11">
        <f>IF('PI-1-MarineLoading'!$G$115&lt;1,0,IF('PI-1-MarineLoading'!$G$124&lt;&gt;"Yes",0,IF(Tank1!$D$22&lt;&gt;"CAS",0,Tank1!$A$120)))</f>
        <v>0</v>
      </c>
      <c r="AZ11">
        <f>IF($AY11=0,0,VLOOKUP($AY11,Tank1!$A$32:$H$141,7,FALSE))</f>
        <v>0</v>
      </c>
      <c r="BA11">
        <f>IF($AY11=0,0,VLOOKUP($AY11,Tank1!$A$32:$H$141,8,FALSE))</f>
        <v>0</v>
      </c>
      <c r="BB11" t="str">
        <f t="shared" si="9"/>
        <v/>
      </c>
      <c r="BC11">
        <f t="shared" si="10"/>
        <v>0</v>
      </c>
      <c r="BD11" s="90">
        <f t="shared" si="11"/>
        <v>0</v>
      </c>
      <c r="BE11" s="89"/>
      <c r="BL11" s="90"/>
    </row>
    <row r="12" spans="1:64" ht="15" thickBot="1" x14ac:dyDescent="0.25">
      <c r="A12" s="91"/>
      <c r="B12" s="92">
        <f>IF(OR(C12=0,ISNUMBER(MATCH(C12,$C$2:C11,0))),0,MAX($B$2:B11)+1)</f>
        <v>0</v>
      </c>
      <c r="C12" s="92">
        <f>IF('PI-1-MarineLoading'!$G$115&lt;1,0,IF('PI-1-MarineLoading'!$G$121&lt;&gt;"Yes",0,IF(Tank1!$D$22&lt;&gt;"flare",0,Tank1!$A$131)))</f>
        <v>0</v>
      </c>
      <c r="D12" s="92">
        <f>IF($C12=0,0,VLOOKUP($C12,Tank1!$A$32:$H$141,7,FALSE))</f>
        <v>0</v>
      </c>
      <c r="E12" s="92">
        <f>IF($C12=0,0,VLOOKUP($C12,Tank1!$A$32:$H$141,8,FALSE))</f>
        <v>0</v>
      </c>
      <c r="F12" s="92" t="str">
        <f t="shared" si="0"/>
        <v/>
      </c>
      <c r="G12" s="92">
        <f t="shared" si="1"/>
        <v>0</v>
      </c>
      <c r="H12" s="50">
        <f t="shared" si="2"/>
        <v>0</v>
      </c>
      <c r="I12" s="91"/>
      <c r="J12" s="92"/>
      <c r="K12" s="92"/>
      <c r="L12" s="92"/>
      <c r="M12" s="92"/>
      <c r="N12" s="92"/>
      <c r="O12" s="92"/>
      <c r="P12" s="50"/>
      <c r="Q12" s="91"/>
      <c r="R12" s="92">
        <f>IF(OR(S12=0,ISNUMBER(MATCH(S12,$S$2:S11,0))),0,MAX($R$2:R11)+1)</f>
        <v>0</v>
      </c>
      <c r="S12" s="92">
        <f>IF('PI-1-MarineLoading'!$G$115&lt;1,0,IF('PI-1-MarineLoading'!$G$122&lt;&gt;"Yes",0,IF(Tank1!$D$22&lt;&gt;"VCU",0,Tank1!$A$131)))</f>
        <v>0</v>
      </c>
      <c r="T12" s="92">
        <f>IF($S12=0,0,VLOOKUP($S12,Tank1!$A$32:$H$141,7,FALSE))</f>
        <v>0</v>
      </c>
      <c r="U12" s="92">
        <f>IF($S12=0,0,VLOOKUP($S12,Tank1!$A$32:$H$141,8,FALSE))</f>
        <v>0</v>
      </c>
      <c r="V12" s="92" t="str">
        <f t="shared" si="3"/>
        <v/>
      </c>
      <c r="W12" s="92">
        <f t="shared" si="4"/>
        <v>0</v>
      </c>
      <c r="X12" s="50">
        <f t="shared" si="5"/>
        <v>0</v>
      </c>
      <c r="Y12" s="91"/>
      <c r="Z12" s="92"/>
      <c r="AA12" s="92"/>
      <c r="AB12" s="92"/>
      <c r="AC12" s="92"/>
      <c r="AD12" s="92"/>
      <c r="AE12" s="92"/>
      <c r="AF12" s="50"/>
      <c r="AG12" s="91"/>
      <c r="AH12" s="92">
        <f>IF(OR(AI12=0,ISNUMBER(MATCH(AI12,$AI$2:AI11,0))),0,MAX($AH$2:AH11)+1)</f>
        <v>0</v>
      </c>
      <c r="AI12" s="92">
        <f>IF('PI-1-MarineLoading'!$G$115&lt;1,0,IF('PI-1-MarineLoading'!$G$123&lt;&gt;"Yes",0,IF(Tank1!$D$22&lt;&gt;"vapor oxidizer",0,Tank1!$A$131)))</f>
        <v>0</v>
      </c>
      <c r="AJ12" s="92">
        <f>IF($AI12=0,0,VLOOKUP($AI12,Tank1!$A$32:$H$141,7,FALSE))</f>
        <v>0</v>
      </c>
      <c r="AK12" s="92">
        <f>IF($AI12=0,0,VLOOKUP($AI12,Tank1!$A$32:$H$141,8,FALSE))</f>
        <v>0</v>
      </c>
      <c r="AL12" s="92" t="str">
        <f t="shared" si="6"/>
        <v/>
      </c>
      <c r="AM12" s="92">
        <f t="shared" si="7"/>
        <v>0</v>
      </c>
      <c r="AN12" s="50">
        <f t="shared" si="8"/>
        <v>0</v>
      </c>
      <c r="AO12" s="91"/>
      <c r="AP12" s="92"/>
      <c r="AQ12" s="92"/>
      <c r="AR12" s="92"/>
      <c r="AS12" s="92"/>
      <c r="AT12" s="92"/>
      <c r="AU12" s="92"/>
      <c r="AV12" s="50"/>
      <c r="AW12" s="91"/>
      <c r="AX12" s="92">
        <f>IF(OR(AY12=0,ISNUMBER(MATCH(AY12,$AY$2:AY11,0))),0,MAX($AX$2:AX11)+1)</f>
        <v>0</v>
      </c>
      <c r="AY12" s="92">
        <f>IF('PI-1-MarineLoading'!$G$115&lt;1,0,IF('PI-1-MarineLoading'!$G$124&lt;&gt;"Yes",0,IF(Tank1!$D$22&lt;&gt;"CAS",0,Tank1!$A$131)))</f>
        <v>0</v>
      </c>
      <c r="AZ12" s="92">
        <f>IF($AY12=0,0,VLOOKUP($AY12,Tank1!$A$32:$H$141,7,FALSE))</f>
        <v>0</v>
      </c>
      <c r="BA12" s="92">
        <f>IF($AY12=0,0,VLOOKUP($AY12,Tank1!$A$32:$H$141,8,FALSE))</f>
        <v>0</v>
      </c>
      <c r="BB12" s="92" t="str">
        <f t="shared" si="9"/>
        <v/>
      </c>
      <c r="BC12" s="92">
        <f t="shared" si="10"/>
        <v>0</v>
      </c>
      <c r="BD12" s="50">
        <f t="shared" si="11"/>
        <v>0</v>
      </c>
      <c r="BE12" s="91"/>
      <c r="BF12" s="92"/>
      <c r="BG12" s="92"/>
      <c r="BH12" s="92"/>
      <c r="BI12" s="92"/>
      <c r="BJ12" s="92"/>
      <c r="BK12" s="92"/>
      <c r="BL12" s="50"/>
    </row>
    <row r="13" spans="1:64" x14ac:dyDescent="0.2">
      <c r="A13" s="86" t="s">
        <v>8707</v>
      </c>
      <c r="B13" s="87">
        <f>IF(OR(C13=0,ISNUMBER(MATCH(C13,$C$2:C12,0))),0,MAX($B$2:B12)+1)</f>
        <v>0</v>
      </c>
      <c r="C13" s="87">
        <f>IF('PI-1-MarineLoading'!$G$115&lt;2,0,IF('PI-1-MarineLoading'!$G$121&lt;&gt;"Yes",0,IF(Tank2!$D$22&lt;&gt;"flare",0,Tank2!$A$32)))</f>
        <v>0</v>
      </c>
      <c r="D13" s="87">
        <f>IF($C13=0,0,VLOOKUP($C13,Tank2!$A$32:$H$141,7,FALSE))</f>
        <v>0</v>
      </c>
      <c r="E13" s="87">
        <f>IF($C13=0,0,VLOOKUP($C13,Tank2!$A$32:$H$141,8,FALSE))</f>
        <v>0</v>
      </c>
      <c r="F13" s="280"/>
      <c r="G13" s="280"/>
      <c r="H13" s="283"/>
      <c r="I13" s="86" t="s">
        <v>10158</v>
      </c>
      <c r="J13" s="87"/>
      <c r="K13" s="87"/>
      <c r="L13" s="87"/>
      <c r="M13" s="87"/>
      <c r="N13" s="87"/>
      <c r="O13" s="87"/>
      <c r="P13" s="88"/>
      <c r="Q13" s="86" t="s">
        <v>8707</v>
      </c>
      <c r="R13" s="87">
        <f>IF(OR(S13=0,ISNUMBER(MATCH(S13,$S$2:S12,0))),0,MAX($R$2:R12)+1)</f>
        <v>0</v>
      </c>
      <c r="S13" s="87">
        <f>IF('PI-1-MarineLoading'!$G$115&lt;2,0,IF('PI-1-MarineLoading'!$G$122&lt;&gt;"Yes",0,IF(Tank2!$D$22&lt;&gt;"VCU",0,Tank2!$A$32)))</f>
        <v>0</v>
      </c>
      <c r="T13" s="87">
        <f>IF($S13=0,0,VLOOKUP($S13,Tank2!$A$32:$H$141,7,FALSE))</f>
        <v>0</v>
      </c>
      <c r="U13" s="87">
        <f>IF($S13=0,0,VLOOKUP($S13,Tank2!$A$32:$H$141,8,FALSE))</f>
        <v>0</v>
      </c>
      <c r="V13" s="280"/>
      <c r="W13" s="280"/>
      <c r="X13" s="283"/>
      <c r="Y13" s="86" t="s">
        <v>10158</v>
      </c>
      <c r="Z13" s="87"/>
      <c r="AA13" s="87"/>
      <c r="AB13" s="87"/>
      <c r="AC13" s="87"/>
      <c r="AD13" s="87"/>
      <c r="AE13" s="87"/>
      <c r="AF13" s="88"/>
      <c r="AG13" s="86" t="s">
        <v>8707</v>
      </c>
      <c r="AH13" s="87">
        <f>IF(OR(AI13=0,ISNUMBER(MATCH(AI13,$AI$2:AI12,0))),0,MAX($AH$2:AH12)+1)</f>
        <v>0</v>
      </c>
      <c r="AI13" s="87">
        <f>IF('PI-1-MarineLoading'!$G$115&lt;2,0,IF('PI-1-MarineLoading'!$G$123&lt;&gt;"Yes",0,IF(Tank2!$D$22&lt;&gt;"vapor oxidizer",0,Tank2!$A$32)))</f>
        <v>0</v>
      </c>
      <c r="AJ13" s="87">
        <f>IF($AI13=0,0,VLOOKUP($AI13,Tank2!$A$32:$H$141,7,FALSE))</f>
        <v>0</v>
      </c>
      <c r="AK13" s="87">
        <f>IF($AI13=0,0,VLOOKUP($AI13,Tank2!$A$32:$H$141,8,FALSE))</f>
        <v>0</v>
      </c>
      <c r="AL13" s="280"/>
      <c r="AM13" s="280"/>
      <c r="AN13" s="283"/>
      <c r="AO13" s="86" t="s">
        <v>10158</v>
      </c>
      <c r="AP13" s="87"/>
      <c r="AQ13" s="87"/>
      <c r="AR13" s="87"/>
      <c r="AS13" s="87"/>
      <c r="AT13" s="87"/>
      <c r="AU13" s="87"/>
      <c r="AV13" s="88"/>
      <c r="AW13" s="86" t="s">
        <v>8707</v>
      </c>
      <c r="AX13" s="87">
        <f>IF(OR(AY13=0,ISNUMBER(MATCH(AY13,$AY$2:AY12,0))),0,MAX($AX$2:AX12)+1)</f>
        <v>0</v>
      </c>
      <c r="AY13" s="87">
        <f>IF('PI-1-MarineLoading'!$G$115&lt;2,0,IF('PI-1-MarineLoading'!$G$124&lt;&gt;"Yes",0,IF(Tank2!$D$22&lt;&gt;"CAS",0,Tank2!$A$32)))</f>
        <v>0</v>
      </c>
      <c r="AZ13" s="87">
        <f>IF($AY13=0,0,VLOOKUP($AY13,Tank2!$A$32:$H$141,7,FALSE))</f>
        <v>0</v>
      </c>
      <c r="BA13" s="87">
        <f>IF($AY13=0,0,VLOOKUP($AY13,Tank2!$A$32:$H$141,8,FALSE))</f>
        <v>0</v>
      </c>
      <c r="BB13" s="280"/>
      <c r="BC13" s="280"/>
      <c r="BD13" s="283"/>
      <c r="BE13" s="86" t="s">
        <v>10158</v>
      </c>
      <c r="BF13" s="87"/>
      <c r="BG13" s="87"/>
      <c r="BH13" s="87"/>
      <c r="BI13" s="87"/>
      <c r="BJ13" s="87"/>
      <c r="BK13" s="87"/>
      <c r="BL13" s="88"/>
    </row>
    <row r="14" spans="1:64" x14ac:dyDescent="0.2">
      <c r="A14" s="89"/>
      <c r="B14">
        <f>IF(OR(C14=0,ISNUMBER(MATCH(C14,$C$2:C13,0))),0,MAX($B$2:B13)+1)</f>
        <v>0</v>
      </c>
      <c r="C14">
        <f>IF('PI-1-MarineLoading'!$G$115&lt;2,0,IF('PI-1-MarineLoading'!$G$121&lt;&gt;"Yes",0,IF(Tank2!$D$22&lt;&gt;"flare",0,Tank2!$A$43)))</f>
        <v>0</v>
      </c>
      <c r="D14">
        <f>IF($C14=0,0,VLOOKUP($C14,Tank2!$A$32:$H$141,7,FALSE))</f>
        <v>0</v>
      </c>
      <c r="E14">
        <f>IF($C14=0,0,VLOOKUP($C14,Tank2!$A$32:$H$141,8,FALSE))</f>
        <v>0</v>
      </c>
      <c r="F14" s="281"/>
      <c r="G14" s="281"/>
      <c r="H14" s="284"/>
      <c r="I14" s="89"/>
      <c r="P14" s="90"/>
      <c r="Q14" s="89"/>
      <c r="R14">
        <f>IF(OR(S14=0,ISNUMBER(MATCH(S14,$S$2:S13,0))),0,MAX($R$2:R13)+1)</f>
        <v>0</v>
      </c>
      <c r="S14">
        <f>IF('PI-1-MarineLoading'!$G$115&lt;2,0,IF('PI-1-MarineLoading'!$G$122&lt;&gt;"Yes",0,IF(Tank2!$D$22&lt;&gt;"VCU",0,Tank2!$A$43)))</f>
        <v>0</v>
      </c>
      <c r="T14">
        <f>IF($S14=0,0,VLOOKUP($S14,Tank2!$A$32:$H$141,7,FALSE))</f>
        <v>0</v>
      </c>
      <c r="U14">
        <f>IF($S14=0,0,VLOOKUP($S14,Tank2!$A$32:$H$141,8,FALSE))</f>
        <v>0</v>
      </c>
      <c r="V14" s="281"/>
      <c r="W14" s="281"/>
      <c r="X14" s="284"/>
      <c r="Y14" s="89"/>
      <c r="AF14" s="90"/>
      <c r="AG14" s="89"/>
      <c r="AH14">
        <f>IF(OR(AI14=0,ISNUMBER(MATCH(AI14,$AI$2:AI13,0))),0,MAX($AH$2:AH13)+1)</f>
        <v>0</v>
      </c>
      <c r="AI14">
        <f>IF('PI-1-MarineLoading'!$G$115&lt;2,0,IF('PI-1-MarineLoading'!$G$123&lt;&gt;"Yes",0,IF(Tank2!$D$22&lt;&gt;"vapor oxidizer",0,Tank2!$A$43)))</f>
        <v>0</v>
      </c>
      <c r="AJ14">
        <f>IF($AI14=0,0,VLOOKUP($AI14,Tank2!$A$32:$H$141,7,FALSE))</f>
        <v>0</v>
      </c>
      <c r="AK14">
        <f>IF($AI14=0,0,VLOOKUP($AI14,Tank2!$A$32:$H$141,8,FALSE))</f>
        <v>0</v>
      </c>
      <c r="AL14" s="281"/>
      <c r="AM14" s="281"/>
      <c r="AN14" s="284"/>
      <c r="AO14" s="89"/>
      <c r="AV14" s="90"/>
      <c r="AW14" s="89"/>
      <c r="AX14">
        <f>IF(OR(AY14=0,ISNUMBER(MATCH(AY14,$AY$2:AY13,0))),0,MAX($AX$2:AX13)+1)</f>
        <v>0</v>
      </c>
      <c r="AY14">
        <f>IF('PI-1-MarineLoading'!$G$115&lt;2,0,IF('PI-1-MarineLoading'!$G$124&lt;&gt;"Yes",0,IF(Tank2!$D$22&lt;&gt;"CAS",0,Tank2!$A$43)))</f>
        <v>0</v>
      </c>
      <c r="AZ14">
        <f>IF($AY14=0,0,VLOOKUP($AY14,Tank2!$A$32:$H$141,7,FALSE))</f>
        <v>0</v>
      </c>
      <c r="BA14">
        <f>IF($AY14=0,0,VLOOKUP($AY14,Tank2!$A$32:$H$141,8,FALSE))</f>
        <v>0</v>
      </c>
      <c r="BB14" s="281"/>
      <c r="BC14" s="281"/>
      <c r="BD14" s="284"/>
      <c r="BE14" s="89"/>
      <c r="BL14" s="90"/>
    </row>
    <row r="15" spans="1:64" x14ac:dyDescent="0.2">
      <c r="A15" s="89"/>
      <c r="B15">
        <f>IF(OR(C15=0,ISNUMBER(MATCH(C15,$C$2:C14,0))),0,MAX($B$2:B14)+1)</f>
        <v>0</v>
      </c>
      <c r="C15">
        <f>IF('PI-1-MarineLoading'!$G$115&lt;2,0,IF('PI-1-MarineLoading'!$G$121&lt;&gt;"Yes",0,IF(Tank2!$D$22&lt;&gt;"flare",0,Tank2!$A$54)))</f>
        <v>0</v>
      </c>
      <c r="D15">
        <f>IF($C15=0,0,VLOOKUP($C15,Tank2!$A$32:$H$141,7,FALSE))</f>
        <v>0</v>
      </c>
      <c r="E15">
        <f>IF($C15=0,0,VLOOKUP($C15,Tank2!$A$32:$H$141,8,FALSE))</f>
        <v>0</v>
      </c>
      <c r="F15" s="281"/>
      <c r="G15" s="281"/>
      <c r="H15" s="284"/>
      <c r="I15" s="89"/>
      <c r="P15" s="90"/>
      <c r="Q15" s="89"/>
      <c r="R15">
        <f>IF(OR(S15=0,ISNUMBER(MATCH(S15,$S$2:S14,0))),0,MAX($R$2:R14)+1)</f>
        <v>0</v>
      </c>
      <c r="S15">
        <f>IF('PI-1-MarineLoading'!$G$115&lt;2,0,IF('PI-1-MarineLoading'!$G$122&lt;&gt;"Yes",0,IF(Tank2!$D$22&lt;&gt;"VCU",0,Tank2!$A$54)))</f>
        <v>0</v>
      </c>
      <c r="T15">
        <f>IF($S15=0,0,VLOOKUP($S15,Tank2!$A$32:$H$141,7,FALSE))</f>
        <v>0</v>
      </c>
      <c r="U15">
        <f>IF($S15=0,0,VLOOKUP($S15,Tank2!$A$32:$H$141,8,FALSE))</f>
        <v>0</v>
      </c>
      <c r="V15" s="281"/>
      <c r="W15" s="281"/>
      <c r="X15" s="284"/>
      <c r="Y15" s="89"/>
      <c r="AF15" s="90"/>
      <c r="AG15" s="89"/>
      <c r="AH15">
        <f>IF(OR(AI15=0,ISNUMBER(MATCH(AI15,$AI$2:AI14,0))),0,MAX($AH$2:AH14)+1)</f>
        <v>0</v>
      </c>
      <c r="AI15">
        <f>IF('PI-1-MarineLoading'!$G$115&lt;2,0,IF('PI-1-MarineLoading'!$G$123&lt;&gt;"Yes",0,IF(Tank2!$D$22&lt;&gt;"vapor oxidizer",0,Tank2!$A$54)))</f>
        <v>0</v>
      </c>
      <c r="AJ15">
        <f>IF($AI15=0,0,VLOOKUP($AI15,Tank2!$A$32:$H$141,7,FALSE))</f>
        <v>0</v>
      </c>
      <c r="AK15">
        <f>IF($AI15=0,0,VLOOKUP($AI15,Tank2!$A$32:$H$141,8,FALSE))</f>
        <v>0</v>
      </c>
      <c r="AL15" s="281"/>
      <c r="AM15" s="281"/>
      <c r="AN15" s="284"/>
      <c r="AO15" s="89"/>
      <c r="AV15" s="90"/>
      <c r="AW15" s="89"/>
      <c r="AX15">
        <f>IF(OR(AY15=0,ISNUMBER(MATCH(AY15,$AY$2:AY14,0))),0,MAX($AX$2:AX14)+1)</f>
        <v>0</v>
      </c>
      <c r="AY15">
        <f>IF('PI-1-MarineLoading'!$G$115&lt;2,0,IF('PI-1-MarineLoading'!$G$124&lt;&gt;"Yes",0,IF(Tank2!$D$22&lt;&gt;"CAS",0,Tank2!$A$54)))</f>
        <v>0</v>
      </c>
      <c r="AZ15">
        <f>IF($AY15=0,0,VLOOKUP($AY15,Tank2!$A$32:$H$141,7,FALSE))</f>
        <v>0</v>
      </c>
      <c r="BA15">
        <f>IF($AY15=0,0,VLOOKUP($AY15,Tank2!$A$32:$H$141,8,FALSE))</f>
        <v>0</v>
      </c>
      <c r="BB15" s="281"/>
      <c r="BC15" s="281"/>
      <c r="BD15" s="284"/>
      <c r="BE15" s="89"/>
      <c r="BL15" s="90"/>
    </row>
    <row r="16" spans="1:64" x14ac:dyDescent="0.2">
      <c r="A16" s="89"/>
      <c r="B16">
        <f>IF(OR(C16=0,ISNUMBER(MATCH(C16,$C$2:C15,0))),0,MAX($B$2:B15)+1)</f>
        <v>0</v>
      </c>
      <c r="C16">
        <f>IF('PI-1-MarineLoading'!$G$115&lt;2,0,IF('PI-1-MarineLoading'!$G$121&lt;&gt;"Yes",0,IF(Tank2!$D$22&lt;&gt;"flare",0,Tank2!$A$65)))</f>
        <v>0</v>
      </c>
      <c r="D16">
        <f>IF($C16=0,0,VLOOKUP($C16,Tank2!$A$32:$H$141,7,FALSE))</f>
        <v>0</v>
      </c>
      <c r="E16">
        <f>IF($C16=0,0,VLOOKUP($C16,Tank2!$A$32:$H$141,8,FALSE))</f>
        <v>0</v>
      </c>
      <c r="F16" s="281"/>
      <c r="G16" s="281"/>
      <c r="H16" s="284"/>
      <c r="I16" s="89"/>
      <c r="P16" s="90"/>
      <c r="Q16" s="89"/>
      <c r="R16">
        <f>IF(OR(S16=0,ISNUMBER(MATCH(S16,$S$2:S15,0))),0,MAX($R$2:R15)+1)</f>
        <v>0</v>
      </c>
      <c r="S16">
        <f>IF('PI-1-MarineLoading'!$G$115&lt;2,0,IF('PI-1-MarineLoading'!$G$122&lt;&gt;"Yes",0,IF(Tank2!$D$22&lt;&gt;"VCU",0,Tank2!$A$65)))</f>
        <v>0</v>
      </c>
      <c r="T16">
        <f>IF($S16=0,0,VLOOKUP($S16,Tank2!$A$32:$H$141,7,FALSE))</f>
        <v>0</v>
      </c>
      <c r="U16">
        <f>IF($S16=0,0,VLOOKUP($S16,Tank2!$A$32:$H$141,8,FALSE))</f>
        <v>0</v>
      </c>
      <c r="V16" s="281"/>
      <c r="W16" s="281"/>
      <c r="X16" s="284"/>
      <c r="Y16" s="89"/>
      <c r="AF16" s="90"/>
      <c r="AG16" s="89"/>
      <c r="AH16">
        <f>IF(OR(AI16=0,ISNUMBER(MATCH(AI16,$AI$2:AI15,0))),0,MAX($AH$2:AH15)+1)</f>
        <v>0</v>
      </c>
      <c r="AI16">
        <f>IF('PI-1-MarineLoading'!$G$115&lt;2,0,IF('PI-1-MarineLoading'!$G$123&lt;&gt;"Yes",0,IF(Tank2!$D$22&lt;&gt;"vapor oxidizer",0,Tank2!$A$65)))</f>
        <v>0</v>
      </c>
      <c r="AJ16">
        <f>IF($AI16=0,0,VLOOKUP($AI16,Tank2!$A$32:$H$141,7,FALSE))</f>
        <v>0</v>
      </c>
      <c r="AK16">
        <f>IF($AI16=0,0,VLOOKUP($AI16,Tank2!$A$32:$H$141,8,FALSE))</f>
        <v>0</v>
      </c>
      <c r="AL16" s="281"/>
      <c r="AM16" s="281"/>
      <c r="AN16" s="284"/>
      <c r="AO16" s="89"/>
      <c r="AV16" s="90"/>
      <c r="AW16" s="89"/>
      <c r="AX16">
        <f>IF(OR(AY16=0,ISNUMBER(MATCH(AY16,$AY$2:AY15,0))),0,MAX($AX$2:AX15)+1)</f>
        <v>0</v>
      </c>
      <c r="AY16">
        <f>IF('PI-1-MarineLoading'!$G$115&lt;2,0,IF('PI-1-MarineLoading'!$G$124&lt;&gt;"Yes",0,IF(Tank2!$D$22&lt;&gt;"CAS",0,Tank2!$A$65)))</f>
        <v>0</v>
      </c>
      <c r="AZ16">
        <f>IF($AY16=0,0,VLOOKUP($AY16,Tank2!$A$32:$H$141,7,FALSE))</f>
        <v>0</v>
      </c>
      <c r="BA16">
        <f>IF($AY16=0,0,VLOOKUP($AY16,Tank2!$A$32:$H$141,8,FALSE))</f>
        <v>0</v>
      </c>
      <c r="BB16" s="281"/>
      <c r="BC16" s="281"/>
      <c r="BD16" s="284"/>
      <c r="BE16" s="89"/>
      <c r="BL16" s="90"/>
    </row>
    <row r="17" spans="1:64" x14ac:dyDescent="0.2">
      <c r="A17" s="89"/>
      <c r="B17">
        <f>IF(OR(C17=0,ISNUMBER(MATCH(C17,$C$2:C16,0))),0,MAX($B$2:B16)+1)</f>
        <v>0</v>
      </c>
      <c r="C17">
        <f>IF('PI-1-MarineLoading'!$G$115&lt;2,0,IF('PI-1-MarineLoading'!$G$121&lt;&gt;"Yes",0,IF(Tank2!$D$22&lt;&gt;"flare",0,Tank2!$A$76)))</f>
        <v>0</v>
      </c>
      <c r="D17">
        <f>IF($C17=0,0,VLOOKUP($C17,Tank2!$A$32:$H$141,7,FALSE))</f>
        <v>0</v>
      </c>
      <c r="E17">
        <f>IF($C17=0,0,VLOOKUP($C17,Tank2!$A$32:$H$141,8,FALSE))</f>
        <v>0</v>
      </c>
      <c r="F17" s="281"/>
      <c r="G17" s="281"/>
      <c r="H17" s="284"/>
      <c r="I17" s="89"/>
      <c r="P17" s="90"/>
      <c r="Q17" s="89"/>
      <c r="R17">
        <f>IF(OR(S17=0,ISNUMBER(MATCH(S17,$S$2:S16,0))),0,MAX($R$2:R16)+1)</f>
        <v>0</v>
      </c>
      <c r="S17">
        <f>IF('PI-1-MarineLoading'!$G$115&lt;2,0,IF('PI-1-MarineLoading'!$G$122&lt;&gt;"Yes",0,IF(Tank2!$D$22&lt;&gt;"VCU",0,Tank2!$A$76)))</f>
        <v>0</v>
      </c>
      <c r="T17">
        <f>IF($S17=0,0,VLOOKUP($S17,Tank2!$A$32:$H$141,7,FALSE))</f>
        <v>0</v>
      </c>
      <c r="U17">
        <f>IF($S17=0,0,VLOOKUP($S17,Tank2!$A$32:$H$141,8,FALSE))</f>
        <v>0</v>
      </c>
      <c r="V17" s="281"/>
      <c r="W17" s="281"/>
      <c r="X17" s="284"/>
      <c r="Y17" s="89"/>
      <c r="AF17" s="90"/>
      <c r="AG17" s="89"/>
      <c r="AH17">
        <f>IF(OR(AI17=0,ISNUMBER(MATCH(AI17,$AI$2:AI16,0))),0,MAX($AH$2:AH16)+1)</f>
        <v>0</v>
      </c>
      <c r="AI17">
        <f>IF('PI-1-MarineLoading'!$G$115&lt;2,0,IF('PI-1-MarineLoading'!$G$123&lt;&gt;"Yes",0,IF(Tank2!$D$22&lt;&gt;"vapor oxidizer",0,Tank2!$A$76)))</f>
        <v>0</v>
      </c>
      <c r="AJ17">
        <f>IF($AI17=0,0,VLOOKUP($AI17,Tank2!$A$32:$H$141,7,FALSE))</f>
        <v>0</v>
      </c>
      <c r="AK17">
        <f>IF($AI17=0,0,VLOOKUP($AI17,Tank2!$A$32:$H$141,8,FALSE))</f>
        <v>0</v>
      </c>
      <c r="AL17" s="281"/>
      <c r="AM17" s="281"/>
      <c r="AN17" s="284"/>
      <c r="AO17" s="89"/>
      <c r="AV17" s="90"/>
      <c r="AW17" s="89"/>
      <c r="AX17">
        <f>IF(OR(AY17=0,ISNUMBER(MATCH(AY17,$AY$2:AY16,0))),0,MAX($AX$2:AX16)+1)</f>
        <v>0</v>
      </c>
      <c r="AY17">
        <f>IF('PI-1-MarineLoading'!$G$115&lt;2,0,IF('PI-1-MarineLoading'!$G$124&lt;&gt;"Yes",0,IF(Tank2!$D$22&lt;&gt;"CAS",0,Tank2!$A$76)))</f>
        <v>0</v>
      </c>
      <c r="AZ17">
        <f>IF($AY17=0,0,VLOOKUP($AY17,Tank2!$A$32:$H$141,7,FALSE))</f>
        <v>0</v>
      </c>
      <c r="BA17">
        <f>IF($AY17=0,0,VLOOKUP($AY17,Tank2!$A$32:$H$141,8,FALSE))</f>
        <v>0</v>
      </c>
      <c r="BB17" s="281"/>
      <c r="BC17" s="281"/>
      <c r="BD17" s="284"/>
      <c r="BE17" s="89"/>
      <c r="BL17" s="90"/>
    </row>
    <row r="18" spans="1:64" x14ac:dyDescent="0.2">
      <c r="A18" s="89"/>
      <c r="B18">
        <f>IF(OR(C18=0,ISNUMBER(MATCH(C18,$C$2:C17,0))),0,MAX($B$2:B17)+1)</f>
        <v>0</v>
      </c>
      <c r="C18">
        <f>IF('PI-1-MarineLoading'!$G$115&lt;2,0,IF('PI-1-MarineLoading'!$G$121&lt;&gt;"Yes",0,IF(Tank2!$D$22&lt;&gt;"flare",0,Tank2!$A$87)))</f>
        <v>0</v>
      </c>
      <c r="D18">
        <f>IF($C18=0,0,VLOOKUP($C18,Tank2!$A$32:$H$141,7,FALSE))</f>
        <v>0</v>
      </c>
      <c r="E18">
        <f>IF($C18=0,0,VLOOKUP($C18,Tank2!$A$32:$H$141,8,FALSE))</f>
        <v>0</v>
      </c>
      <c r="F18" s="281"/>
      <c r="G18" s="281"/>
      <c r="H18" s="284"/>
      <c r="I18" s="89"/>
      <c r="P18" s="90"/>
      <c r="Q18" s="89"/>
      <c r="R18">
        <f>IF(OR(S18=0,ISNUMBER(MATCH(S18,$S$2:S17,0))),0,MAX($R$2:R17)+1)</f>
        <v>0</v>
      </c>
      <c r="S18">
        <f>IF('PI-1-MarineLoading'!$G$115&lt;2,0,IF('PI-1-MarineLoading'!$G$122&lt;&gt;"Yes",0,IF(Tank2!$D$22&lt;&gt;"VCU",0,Tank2!$A$87)))</f>
        <v>0</v>
      </c>
      <c r="T18">
        <f>IF($S18=0,0,VLOOKUP($S18,Tank2!$A$32:$H$141,7,FALSE))</f>
        <v>0</v>
      </c>
      <c r="U18">
        <f>IF($S18=0,0,VLOOKUP($S18,Tank2!$A$32:$H$141,8,FALSE))</f>
        <v>0</v>
      </c>
      <c r="V18" s="281"/>
      <c r="W18" s="281"/>
      <c r="X18" s="284"/>
      <c r="Y18" s="89"/>
      <c r="AF18" s="90"/>
      <c r="AG18" s="89"/>
      <c r="AH18">
        <f>IF(OR(AI18=0,ISNUMBER(MATCH(AI18,$AI$2:AI17,0))),0,MAX($AH$2:AH17)+1)</f>
        <v>0</v>
      </c>
      <c r="AI18">
        <f>IF('PI-1-MarineLoading'!$G$115&lt;2,0,IF('PI-1-MarineLoading'!$G$123&lt;&gt;"Yes",0,IF(Tank2!$D$22&lt;&gt;"vapor oxidizer",0,Tank2!$A$87)))</f>
        <v>0</v>
      </c>
      <c r="AJ18">
        <f>IF($AI18=0,0,VLOOKUP($AI18,Tank2!$A$32:$H$141,7,FALSE))</f>
        <v>0</v>
      </c>
      <c r="AK18">
        <f>IF($AI18=0,0,VLOOKUP($AI18,Tank2!$A$32:$H$141,8,FALSE))</f>
        <v>0</v>
      </c>
      <c r="AL18" s="281"/>
      <c r="AM18" s="281"/>
      <c r="AN18" s="284"/>
      <c r="AO18" s="89"/>
      <c r="AV18" s="90"/>
      <c r="AW18" s="89"/>
      <c r="AX18">
        <f>IF(OR(AY18=0,ISNUMBER(MATCH(AY18,$AY$2:AY17,0))),0,MAX($AX$2:AX17)+1)</f>
        <v>0</v>
      </c>
      <c r="AY18">
        <f>IF('PI-1-MarineLoading'!$G$115&lt;2,0,IF('PI-1-MarineLoading'!$G$124&lt;&gt;"Yes",0,IF(Tank2!$D$22&lt;&gt;"CAS",0,Tank2!$A$87)))</f>
        <v>0</v>
      </c>
      <c r="AZ18">
        <f>IF($AY18=0,0,VLOOKUP($AY18,Tank2!$A$32:$H$141,7,FALSE))</f>
        <v>0</v>
      </c>
      <c r="BA18">
        <f>IF($AY18=0,0,VLOOKUP($AY18,Tank2!$A$32:$H$141,8,FALSE))</f>
        <v>0</v>
      </c>
      <c r="BB18" s="281"/>
      <c r="BC18" s="281"/>
      <c r="BD18" s="284"/>
      <c r="BE18" s="89"/>
      <c r="BL18" s="90"/>
    </row>
    <row r="19" spans="1:64" x14ac:dyDescent="0.2">
      <c r="A19" s="89"/>
      <c r="B19">
        <f>IF(OR(C19=0,ISNUMBER(MATCH(C19,$C$2:C18,0))),0,MAX($B$2:B18)+1)</f>
        <v>0</v>
      </c>
      <c r="C19">
        <f>IF('PI-1-MarineLoading'!$G$115&lt;2,0,IF('PI-1-MarineLoading'!$G$121&lt;&gt;"Yes",0,IF(Tank2!$D$22&lt;&gt;"flare",0,Tank2!$A$98)))</f>
        <v>0</v>
      </c>
      <c r="D19">
        <f>IF($C19=0,0,VLOOKUP($C19,Tank2!$A$32:$H$141,7,FALSE))</f>
        <v>0</v>
      </c>
      <c r="E19">
        <f>IF($C19=0,0,VLOOKUP($C19,Tank2!$A$32:$H$141,8,FALSE))</f>
        <v>0</v>
      </c>
      <c r="F19" s="281"/>
      <c r="G19" s="281"/>
      <c r="H19" s="284"/>
      <c r="I19" s="89"/>
      <c r="P19" s="90"/>
      <c r="Q19" s="89"/>
      <c r="R19">
        <f>IF(OR(S19=0,ISNUMBER(MATCH(S19,$S$2:S18,0))),0,MAX($R$2:R18)+1)</f>
        <v>0</v>
      </c>
      <c r="S19">
        <f>IF('PI-1-MarineLoading'!$G$115&lt;2,0,IF('PI-1-MarineLoading'!$G$122&lt;&gt;"Yes",0,IF(Tank2!$D$22&lt;&gt;"VCU",0,Tank2!$A$98)))</f>
        <v>0</v>
      </c>
      <c r="T19">
        <f>IF($S19=0,0,VLOOKUP($S19,Tank2!$A$32:$H$141,7,FALSE))</f>
        <v>0</v>
      </c>
      <c r="U19">
        <f>IF($S19=0,0,VLOOKUP($S19,Tank2!$A$32:$H$141,8,FALSE))</f>
        <v>0</v>
      </c>
      <c r="V19" s="281"/>
      <c r="W19" s="281"/>
      <c r="X19" s="284"/>
      <c r="Y19" s="89"/>
      <c r="AF19" s="90"/>
      <c r="AG19" s="89"/>
      <c r="AH19">
        <f>IF(OR(AI19=0,ISNUMBER(MATCH(AI19,$AI$2:AI18,0))),0,MAX($AH$2:AH18)+1)</f>
        <v>0</v>
      </c>
      <c r="AI19">
        <f>IF('PI-1-MarineLoading'!$G$115&lt;2,0,IF('PI-1-MarineLoading'!$G$123&lt;&gt;"Yes",0,IF(Tank2!$D$22&lt;&gt;"vapor oxidizer",0,Tank2!$A$98)))</f>
        <v>0</v>
      </c>
      <c r="AJ19">
        <f>IF($AI19=0,0,VLOOKUP($AI19,Tank2!$A$32:$H$141,7,FALSE))</f>
        <v>0</v>
      </c>
      <c r="AK19">
        <f>IF($AI19=0,0,VLOOKUP($AI19,Tank2!$A$32:$H$141,8,FALSE))</f>
        <v>0</v>
      </c>
      <c r="AL19" s="281"/>
      <c r="AM19" s="281"/>
      <c r="AN19" s="284"/>
      <c r="AO19" s="89"/>
      <c r="AV19" s="90"/>
      <c r="AW19" s="89"/>
      <c r="AX19">
        <f>IF(OR(AY19=0,ISNUMBER(MATCH(AY19,$AY$2:AY18,0))),0,MAX($AX$2:AX18)+1)</f>
        <v>0</v>
      </c>
      <c r="AY19">
        <f>IF('PI-1-MarineLoading'!$G$115&lt;2,0,IF('PI-1-MarineLoading'!$G$124&lt;&gt;"Yes",0,IF(Tank2!$D$22&lt;&gt;"CAS",0,Tank2!$A$98)))</f>
        <v>0</v>
      </c>
      <c r="AZ19">
        <f>IF($AY19=0,0,VLOOKUP($AY19,Tank2!$A$32:$H$141,7,FALSE))</f>
        <v>0</v>
      </c>
      <c r="BA19">
        <f>IF($AY19=0,0,VLOOKUP($AY19,Tank2!$A$32:$H$141,8,FALSE))</f>
        <v>0</v>
      </c>
      <c r="BB19" s="281"/>
      <c r="BC19" s="281"/>
      <c r="BD19" s="284"/>
      <c r="BE19" s="89"/>
      <c r="BL19" s="90"/>
    </row>
    <row r="20" spans="1:64" x14ac:dyDescent="0.2">
      <c r="A20" s="89"/>
      <c r="B20">
        <f>IF(OR(C20=0,ISNUMBER(MATCH(C20,$C$2:C19,0))),0,MAX($B$2:B19)+1)</f>
        <v>0</v>
      </c>
      <c r="C20">
        <f>IF('PI-1-MarineLoading'!$G$115&lt;2,0,IF('PI-1-MarineLoading'!$G$121&lt;&gt;"Yes",0,IF(Tank2!$D$22&lt;&gt;"flare",0,Tank2!$A$109)))</f>
        <v>0</v>
      </c>
      <c r="D20">
        <f>IF($C20=0,0,VLOOKUP($C20,Tank2!$A$32:$H$141,7,FALSE))</f>
        <v>0</v>
      </c>
      <c r="E20">
        <f>IF($C20=0,0,VLOOKUP($C20,Tank2!$A$32:$H$141,8,FALSE))</f>
        <v>0</v>
      </c>
      <c r="F20" s="281"/>
      <c r="G20" s="281"/>
      <c r="H20" s="284"/>
      <c r="I20" s="89"/>
      <c r="P20" s="90"/>
      <c r="Q20" s="89"/>
      <c r="R20">
        <f>IF(OR(S20=0,ISNUMBER(MATCH(S20,$S$2:S19,0))),0,MAX($R$2:R19)+1)</f>
        <v>0</v>
      </c>
      <c r="S20">
        <f>IF('PI-1-MarineLoading'!$G$115&lt;2,0,IF('PI-1-MarineLoading'!$G$122&lt;&gt;"Yes",0,IF(Tank2!$D$22&lt;&gt;"VCU",0,Tank2!$A$109)))</f>
        <v>0</v>
      </c>
      <c r="T20">
        <f>IF($S20=0,0,VLOOKUP($S20,Tank2!$A$32:$H$141,7,FALSE))</f>
        <v>0</v>
      </c>
      <c r="U20">
        <f>IF($S20=0,0,VLOOKUP($S20,Tank2!$A$32:$H$141,8,FALSE))</f>
        <v>0</v>
      </c>
      <c r="V20" s="281"/>
      <c r="W20" s="281"/>
      <c r="X20" s="284"/>
      <c r="Y20" s="89"/>
      <c r="AF20" s="90"/>
      <c r="AG20" s="89"/>
      <c r="AH20">
        <f>IF(OR(AI20=0,ISNUMBER(MATCH(AI20,$AI$2:AI19,0))),0,MAX($AH$2:AH19)+1)</f>
        <v>0</v>
      </c>
      <c r="AI20">
        <f>IF('PI-1-MarineLoading'!$G$115&lt;2,0,IF('PI-1-MarineLoading'!$G$123&lt;&gt;"Yes",0,IF(Tank2!$D$22&lt;&gt;"vapor oxidizer",0,Tank2!$A$109)))</f>
        <v>0</v>
      </c>
      <c r="AJ20">
        <f>IF($AI20=0,0,VLOOKUP($AI20,Tank2!$A$32:$H$141,7,FALSE))</f>
        <v>0</v>
      </c>
      <c r="AK20">
        <f>IF($AI20=0,0,VLOOKUP($AI20,Tank2!$A$32:$H$141,8,FALSE))</f>
        <v>0</v>
      </c>
      <c r="AL20" s="281"/>
      <c r="AM20" s="281"/>
      <c r="AN20" s="284"/>
      <c r="AO20" s="89"/>
      <c r="AV20" s="90"/>
      <c r="AW20" s="89"/>
      <c r="AX20">
        <f>IF(OR(AY20=0,ISNUMBER(MATCH(AY20,$AY$2:AY19,0))),0,MAX($AX$2:AX19)+1)</f>
        <v>0</v>
      </c>
      <c r="AY20">
        <f>IF('PI-1-MarineLoading'!$G$115&lt;2,0,IF('PI-1-MarineLoading'!$G$124&lt;&gt;"Yes",0,IF(Tank2!$D$22&lt;&gt;"CAS",0,Tank2!$A$109)))</f>
        <v>0</v>
      </c>
      <c r="AZ20">
        <f>IF($AY20=0,0,VLOOKUP($AY20,Tank2!$A$32:$H$141,7,FALSE))</f>
        <v>0</v>
      </c>
      <c r="BA20">
        <f>IF($AY20=0,0,VLOOKUP($AY20,Tank2!$A$32:$H$141,8,FALSE))</f>
        <v>0</v>
      </c>
      <c r="BB20" s="281"/>
      <c r="BC20" s="281"/>
      <c r="BD20" s="284"/>
      <c r="BE20" s="89"/>
      <c r="BL20" s="90"/>
    </row>
    <row r="21" spans="1:64" x14ac:dyDescent="0.2">
      <c r="A21" s="89"/>
      <c r="B21">
        <f>IF(OR(C21=0,ISNUMBER(MATCH(C21,$C$2:C20,0))),0,MAX($B$2:B20)+1)</f>
        <v>0</v>
      </c>
      <c r="C21">
        <f>IF('PI-1-MarineLoading'!$G$115&lt;2,0,IF('PI-1-MarineLoading'!$G$121&lt;&gt;"Yes",0,IF(Tank2!$D$22&lt;&gt;"flare",0,Tank2!$A$120)))</f>
        <v>0</v>
      </c>
      <c r="D21">
        <f>IF($C21=0,0,VLOOKUP($C21,Tank2!$A$32:$H$141,7,FALSE))</f>
        <v>0</v>
      </c>
      <c r="E21">
        <f>IF($C21=0,0,VLOOKUP($C21,Tank2!$A$32:$H$141,8,FALSE))</f>
        <v>0</v>
      </c>
      <c r="F21" s="281"/>
      <c r="G21" s="281"/>
      <c r="H21" s="284"/>
      <c r="I21" s="89"/>
      <c r="P21" s="90"/>
      <c r="Q21" s="89"/>
      <c r="R21">
        <f>IF(OR(S21=0,ISNUMBER(MATCH(S21,$S$2:S20,0))),0,MAX($R$2:R20)+1)</f>
        <v>0</v>
      </c>
      <c r="S21">
        <f>IF('PI-1-MarineLoading'!$G$115&lt;2,0,IF('PI-1-MarineLoading'!$G$122&lt;&gt;"Yes",0,IF(Tank2!$D$22&lt;&gt;"VCU",0,Tank2!$A$120)))</f>
        <v>0</v>
      </c>
      <c r="T21">
        <f>IF($S21=0,0,VLOOKUP($S21,Tank2!$A$32:$H$141,7,FALSE))</f>
        <v>0</v>
      </c>
      <c r="U21">
        <f>IF($S21=0,0,VLOOKUP($S21,Tank2!$A$32:$H$141,8,FALSE))</f>
        <v>0</v>
      </c>
      <c r="V21" s="281"/>
      <c r="W21" s="281"/>
      <c r="X21" s="284"/>
      <c r="Y21" s="89"/>
      <c r="AF21" s="90"/>
      <c r="AG21" s="89"/>
      <c r="AH21">
        <f>IF(OR(AI21=0,ISNUMBER(MATCH(AI21,$AI$2:AI20,0))),0,MAX($AH$2:AH20)+1)</f>
        <v>0</v>
      </c>
      <c r="AI21">
        <f>IF('PI-1-MarineLoading'!$G$115&lt;2,0,IF('PI-1-MarineLoading'!$G$123&lt;&gt;"Yes",0,IF(Tank2!$D$22&lt;&gt;"vapor oxidizer",0,Tank2!$A$120)))</f>
        <v>0</v>
      </c>
      <c r="AJ21">
        <f>IF($AI21=0,0,VLOOKUP($AI21,Tank2!$A$32:$H$141,7,FALSE))</f>
        <v>0</v>
      </c>
      <c r="AK21">
        <f>IF($AI21=0,0,VLOOKUP($AI21,Tank2!$A$32:$H$141,8,FALSE))</f>
        <v>0</v>
      </c>
      <c r="AL21" s="281"/>
      <c r="AM21" s="281"/>
      <c r="AN21" s="284"/>
      <c r="AO21" s="89"/>
      <c r="AV21" s="90"/>
      <c r="AW21" s="89"/>
      <c r="AX21">
        <f>IF(OR(AY21=0,ISNUMBER(MATCH(AY21,$AY$2:AY20,0))),0,MAX($AX$2:AX20)+1)</f>
        <v>0</v>
      </c>
      <c r="AY21">
        <f>IF('PI-1-MarineLoading'!$G$115&lt;2,0,IF('PI-1-MarineLoading'!$G$124&lt;&gt;"Yes",0,IF(Tank2!$D$22&lt;&gt;"CAS",0,Tank2!$A$120)))</f>
        <v>0</v>
      </c>
      <c r="AZ21">
        <f>IF($AY21=0,0,VLOOKUP($AY21,Tank2!$A$32:$H$141,7,FALSE))</f>
        <v>0</v>
      </c>
      <c r="BA21">
        <f>IF($AY21=0,0,VLOOKUP($AY21,Tank2!$A$32:$H$141,8,FALSE))</f>
        <v>0</v>
      </c>
      <c r="BB21" s="281"/>
      <c r="BC21" s="281"/>
      <c r="BD21" s="284"/>
      <c r="BE21" s="89"/>
      <c r="BL21" s="90"/>
    </row>
    <row r="22" spans="1:64" ht="15" thickBot="1" x14ac:dyDescent="0.25">
      <c r="A22" s="91"/>
      <c r="B22" s="92">
        <f>IF(OR(C22=0,ISNUMBER(MATCH(C22,$C$2:C21,0))),0,MAX($B$2:B21)+1)</f>
        <v>0</v>
      </c>
      <c r="C22" s="92">
        <f>IF('PI-1-MarineLoading'!$G$115&lt;2,0,IF('PI-1-MarineLoading'!$G$121&lt;&gt;"Yes",0,IF(Tank2!$D$22&lt;&gt;"flare",0,Tank2!$A$131)))</f>
        <v>0</v>
      </c>
      <c r="D22" s="92">
        <f>IF($C22=0,0,VLOOKUP($C22,Tank2!$A$32:$H$141,7,FALSE))</f>
        <v>0</v>
      </c>
      <c r="E22" s="92">
        <f>IF($C22=0,0,VLOOKUP($C22,Tank2!$A$32:$H$141,8,FALSE))</f>
        <v>0</v>
      </c>
      <c r="F22" s="282"/>
      <c r="G22" s="282"/>
      <c r="H22" s="285"/>
      <c r="I22" s="91"/>
      <c r="J22" s="92"/>
      <c r="K22" s="92"/>
      <c r="L22" s="92"/>
      <c r="M22" s="92"/>
      <c r="N22" s="92"/>
      <c r="O22" s="92"/>
      <c r="P22" s="50"/>
      <c r="Q22" s="91"/>
      <c r="R22" s="92">
        <f>IF(OR(S22=0,ISNUMBER(MATCH(S22,$S$2:S21,0))),0,MAX($R$2:R21)+1)</f>
        <v>0</v>
      </c>
      <c r="S22" s="92">
        <f>IF('PI-1-MarineLoading'!$G$115&lt;2,0,IF('PI-1-MarineLoading'!$G$122&lt;&gt;"Yes",0,IF(Tank2!$D$22&lt;&gt;"VCU",0,Tank2!$A$131)))</f>
        <v>0</v>
      </c>
      <c r="T22" s="92">
        <f>IF($S22=0,0,VLOOKUP($S22,Tank2!$A$32:$H$141,7,FALSE))</f>
        <v>0</v>
      </c>
      <c r="U22" s="92">
        <f>IF($S22=0,0,VLOOKUP($S22,Tank2!$A$32:$H$141,8,FALSE))</f>
        <v>0</v>
      </c>
      <c r="V22" s="282"/>
      <c r="W22" s="282"/>
      <c r="X22" s="285"/>
      <c r="Y22" s="91"/>
      <c r="Z22" s="92"/>
      <c r="AA22" s="92"/>
      <c r="AB22" s="92"/>
      <c r="AC22" s="92"/>
      <c r="AD22" s="92"/>
      <c r="AE22" s="92"/>
      <c r="AF22" s="50"/>
      <c r="AG22" s="91"/>
      <c r="AH22" s="92">
        <f>IF(OR(AI22=0,ISNUMBER(MATCH(AI22,$AI$2:AI21,0))),0,MAX($AH$2:AH21)+1)</f>
        <v>0</v>
      </c>
      <c r="AI22" s="92">
        <f>IF('PI-1-MarineLoading'!$G$115&lt;2,0,IF('PI-1-MarineLoading'!$G$123&lt;&gt;"Yes",0,IF(Tank2!$D$22&lt;&gt;"vapor oxidizer",0,Tank2!$A$131)))</f>
        <v>0</v>
      </c>
      <c r="AJ22" s="92">
        <f>IF($AI22=0,0,VLOOKUP($AI22,Tank2!$A$32:$H$141,7,FALSE))</f>
        <v>0</v>
      </c>
      <c r="AK22" s="92">
        <f>IF($AI22=0,0,VLOOKUP($AI22,Tank2!$A$32:$H$141,8,FALSE))</f>
        <v>0</v>
      </c>
      <c r="AL22" s="282"/>
      <c r="AM22" s="282"/>
      <c r="AN22" s="285"/>
      <c r="AO22" s="91"/>
      <c r="AP22" s="92"/>
      <c r="AQ22" s="92"/>
      <c r="AR22" s="92"/>
      <c r="AS22" s="92"/>
      <c r="AT22" s="92"/>
      <c r="AU22" s="92"/>
      <c r="AV22" s="50"/>
      <c r="AW22" s="91"/>
      <c r="AX22" s="92">
        <f>IF(OR(AY22=0,ISNUMBER(MATCH(AY22,$AY$2:AY21,0))),0,MAX($AX$2:AX21)+1)</f>
        <v>0</v>
      </c>
      <c r="AY22" s="92">
        <f>IF('PI-1-MarineLoading'!$G$115&lt;2,0,IF('PI-1-MarineLoading'!$G$124&lt;&gt;"Yes",0,IF(Tank2!$D$22&lt;&gt;"CAS",0,Tank2!$A$131)))</f>
        <v>0</v>
      </c>
      <c r="AZ22" s="92">
        <f>IF($AY22=0,0,VLOOKUP($AY22,Tank2!$A$32:$H$141,7,FALSE))</f>
        <v>0</v>
      </c>
      <c r="BA22" s="92">
        <f>IF($AY22=0,0,VLOOKUP($AY22,Tank2!$A$32:$H$141,8,FALSE))</f>
        <v>0</v>
      </c>
      <c r="BB22" s="282"/>
      <c r="BC22" s="282"/>
      <c r="BD22" s="285"/>
      <c r="BE22" s="91"/>
      <c r="BF22" s="92"/>
      <c r="BG22" s="92"/>
      <c r="BH22" s="92"/>
      <c r="BI22" s="92"/>
      <c r="BJ22" s="92"/>
      <c r="BK22" s="92"/>
      <c r="BL22" s="50"/>
    </row>
    <row r="23" spans="1:64" x14ac:dyDescent="0.2">
      <c r="A23" s="86" t="s">
        <v>8708</v>
      </c>
      <c r="B23" s="87">
        <f>IF(OR(C23=0,ISNUMBER(MATCH(C23,$C$2:C22,0))),0,MAX($B$2:B22)+1)</f>
        <v>0</v>
      </c>
      <c r="C23" s="87">
        <f>IF('PI-1-MarineLoading'!$G$115&lt;3,0,IF('PI-1-MarineLoading'!$G$121&lt;&gt;"Yes",0,IF(Tank3!$D$22&lt;&gt;"flare",0,Tank3!$A$32)))</f>
        <v>0</v>
      </c>
      <c r="D23" s="87">
        <f>IF($C23=0,0,VLOOKUP($C23,Tank3!$A$32:$H$141,7,FALSE))</f>
        <v>0</v>
      </c>
      <c r="E23" s="87">
        <f>IF($C23=0,0,VLOOKUP($C23,Tank3!$A$32:$H$141,8,FALSE))</f>
        <v>0</v>
      </c>
      <c r="F23" s="280"/>
      <c r="G23" s="280"/>
      <c r="H23" s="283"/>
      <c r="I23" s="86" t="s">
        <v>10159</v>
      </c>
      <c r="J23" s="87"/>
      <c r="K23" s="87"/>
      <c r="L23" s="87"/>
      <c r="M23" s="87"/>
      <c r="N23" s="87"/>
      <c r="O23" s="87"/>
      <c r="P23" s="88"/>
      <c r="Q23" s="86" t="s">
        <v>8708</v>
      </c>
      <c r="R23" s="87">
        <f>IF(OR(S23=0,ISNUMBER(MATCH(S23,$S$2:S22,0))),0,MAX($R$2:R22)+1)</f>
        <v>0</v>
      </c>
      <c r="S23" s="87">
        <f>IF('PI-1-MarineLoading'!$G$115&lt;3,0,IF('PI-1-MarineLoading'!$G$122&lt;&gt;"Yes",0,IF(Tank3!$D$22&lt;&gt;"VCU",0,Tank3!$A$32)))</f>
        <v>0</v>
      </c>
      <c r="T23" s="87">
        <f>IF($S23=0,0,VLOOKUP($S23,Tank3!$A$32:$H$141,7,FALSE))</f>
        <v>0</v>
      </c>
      <c r="U23" s="87">
        <f>IF($S23=0,0,VLOOKUP($S23,Tank3!$A$32:$H$141,8,FALSE))</f>
        <v>0</v>
      </c>
      <c r="V23" s="280"/>
      <c r="W23" s="280"/>
      <c r="X23" s="283"/>
      <c r="Y23" s="86" t="s">
        <v>10159</v>
      </c>
      <c r="Z23" s="87"/>
      <c r="AA23" s="87"/>
      <c r="AB23" s="87"/>
      <c r="AC23" s="87"/>
      <c r="AD23" s="87"/>
      <c r="AE23" s="87"/>
      <c r="AF23" s="88"/>
      <c r="AG23" s="86" t="s">
        <v>8708</v>
      </c>
      <c r="AH23" s="87">
        <f>IF(OR(AI23=0,ISNUMBER(MATCH(AI23,$AI$2:AI22,0))),0,MAX($AH$2:AH22)+1)</f>
        <v>0</v>
      </c>
      <c r="AI23" s="87">
        <f>IF('PI-1-MarineLoading'!$G$115&lt;3,0,IF('PI-1-MarineLoading'!$G$123&lt;&gt;"Yes",0,IF(Tank3!$D$22&lt;&gt;"vapor oxidizer",0,Tank3!$A$32)))</f>
        <v>0</v>
      </c>
      <c r="AJ23" s="87">
        <f>IF($AI23=0,0,VLOOKUP($AI23,Tank3!$A$32:$H$141,7,FALSE))</f>
        <v>0</v>
      </c>
      <c r="AK23" s="87">
        <f>IF($AI23=0,0,VLOOKUP($AI23,Tank3!$A$32:$H$141,8,FALSE))</f>
        <v>0</v>
      </c>
      <c r="AL23" s="280"/>
      <c r="AM23" s="280"/>
      <c r="AN23" s="283"/>
      <c r="AO23" s="86" t="s">
        <v>10159</v>
      </c>
      <c r="AP23" s="87"/>
      <c r="AQ23" s="87"/>
      <c r="AR23" s="87"/>
      <c r="AS23" s="87"/>
      <c r="AT23" s="87"/>
      <c r="AU23" s="87"/>
      <c r="AV23" s="88"/>
      <c r="AW23" s="86" t="s">
        <v>8708</v>
      </c>
      <c r="AX23" s="87">
        <f>IF(OR(AY23=0,ISNUMBER(MATCH(AY23,$AY$2:AY22,0))),0,MAX($AX$2:AX22)+1)</f>
        <v>0</v>
      </c>
      <c r="AY23" s="87">
        <f>IF('PI-1-MarineLoading'!$G$115&lt;3,0,IF('PI-1-MarineLoading'!$G$124&lt;&gt;"Yes",0,IF(Tank3!$D$22&lt;&gt;"CAS",0,Tank3!$A$32)))</f>
        <v>0</v>
      </c>
      <c r="AZ23" s="87">
        <f>IF($AY23=0,0,VLOOKUP($AY23,Tank3!$A$32:$H$141,7,FALSE))</f>
        <v>0</v>
      </c>
      <c r="BA23" s="87">
        <f>IF($AY23=0,0,VLOOKUP($AY23,Tank3!$A$32:$H$141,8,FALSE))</f>
        <v>0</v>
      </c>
      <c r="BB23" s="280"/>
      <c r="BC23" s="280"/>
      <c r="BD23" s="283"/>
      <c r="BE23" s="86" t="s">
        <v>10159</v>
      </c>
      <c r="BF23" s="87"/>
      <c r="BG23" s="87"/>
      <c r="BH23" s="87"/>
      <c r="BI23" s="87"/>
      <c r="BJ23" s="87"/>
      <c r="BK23" s="87"/>
      <c r="BL23" s="88"/>
    </row>
    <row r="24" spans="1:64" x14ac:dyDescent="0.2">
      <c r="A24" s="89"/>
      <c r="B24">
        <f>IF(OR(C24=0,ISNUMBER(MATCH(C24,$C$2:C23,0))),0,MAX($B$2:B23)+1)</f>
        <v>0</v>
      </c>
      <c r="C24">
        <f>IF('PI-1-MarineLoading'!$G$115&lt;3,0,IF('PI-1-MarineLoading'!$G$121&lt;&gt;"Yes",0,IF(Tank3!$D$22&lt;&gt;"flare",0,Tank3!$A$43)))</f>
        <v>0</v>
      </c>
      <c r="D24">
        <f>IF($C24=0,0,VLOOKUP($C24,Tank3!$A$32:$H$141,7,FALSE))</f>
        <v>0</v>
      </c>
      <c r="E24">
        <f>IF($C24=0,0,VLOOKUP($C24,Tank3!$A$32:$H$141,8,FALSE))</f>
        <v>0</v>
      </c>
      <c r="F24" s="281"/>
      <c r="G24" s="281"/>
      <c r="H24" s="284"/>
      <c r="I24" s="89"/>
      <c r="P24" s="90"/>
      <c r="Q24" s="89"/>
      <c r="R24">
        <f>IF(OR(S24=0,ISNUMBER(MATCH(S24,$S$2:S23,0))),0,MAX($R$2:R23)+1)</f>
        <v>0</v>
      </c>
      <c r="S24">
        <f>IF('PI-1-MarineLoading'!$G$115&lt;3,0,IF('PI-1-MarineLoading'!$G$122&lt;&gt;"Yes",0,IF(Tank3!$D$22&lt;&gt;"VCU",0,Tank3!$A$43)))</f>
        <v>0</v>
      </c>
      <c r="T24">
        <f>IF($S24=0,0,VLOOKUP($S24,Tank3!$A$32:$H$141,7,FALSE))</f>
        <v>0</v>
      </c>
      <c r="U24">
        <f>IF($S24=0,0,VLOOKUP($S24,Tank3!$A$32:$H$141,8,FALSE))</f>
        <v>0</v>
      </c>
      <c r="V24" s="281"/>
      <c r="W24" s="281"/>
      <c r="X24" s="284"/>
      <c r="Y24" s="89"/>
      <c r="AF24" s="90"/>
      <c r="AG24" s="89"/>
      <c r="AH24">
        <f>IF(OR(AI24=0,ISNUMBER(MATCH(AI24,$AI$2:AI23,0))),0,MAX($AH$2:AH23)+1)</f>
        <v>0</v>
      </c>
      <c r="AI24">
        <f>IF('PI-1-MarineLoading'!$G$115&lt;3,0,IF('PI-1-MarineLoading'!$G$123&lt;&gt;"Yes",0,IF(Tank3!$D$22&lt;&gt;"vapor oxidizer",0,Tank3!$A$43)))</f>
        <v>0</v>
      </c>
      <c r="AJ24">
        <f>IF($AI24=0,0,VLOOKUP($AI24,Tank3!$A$32:$H$141,7,FALSE))</f>
        <v>0</v>
      </c>
      <c r="AK24">
        <f>IF($AI24=0,0,VLOOKUP($AI24,Tank3!$A$32:$H$141,8,FALSE))</f>
        <v>0</v>
      </c>
      <c r="AL24" s="281"/>
      <c r="AM24" s="281"/>
      <c r="AN24" s="284"/>
      <c r="AO24" s="89"/>
      <c r="AV24" s="90"/>
      <c r="AW24" s="89"/>
      <c r="AX24">
        <f>IF(OR(AY24=0,ISNUMBER(MATCH(AY24,$AY$2:AY23,0))),0,MAX($AX$2:AX23)+1)</f>
        <v>0</v>
      </c>
      <c r="AY24">
        <f>IF('PI-1-MarineLoading'!$G$115&lt;3,0,IF('PI-1-MarineLoading'!$G$124&lt;&gt;"Yes",0,IF(Tank3!$D$22&lt;&gt;"CAS",0,Tank3!$A$43)))</f>
        <v>0</v>
      </c>
      <c r="AZ24">
        <f>IF($AY24=0,0,VLOOKUP($AY24,Tank3!$A$32:$H$141,7,FALSE))</f>
        <v>0</v>
      </c>
      <c r="BA24">
        <f>IF($AY24=0,0,VLOOKUP($AY24,Tank3!$A$32:$H$141,8,FALSE))</f>
        <v>0</v>
      </c>
      <c r="BB24" s="281"/>
      <c r="BC24" s="281"/>
      <c r="BD24" s="284"/>
      <c r="BE24" s="89"/>
      <c r="BL24" s="90"/>
    </row>
    <row r="25" spans="1:64" x14ac:dyDescent="0.2">
      <c r="A25" s="89"/>
      <c r="B25">
        <f>IF(OR(C25=0,ISNUMBER(MATCH(C25,$C$2:C24,0))),0,MAX($B$2:B24)+1)</f>
        <v>0</v>
      </c>
      <c r="C25">
        <f>IF('PI-1-MarineLoading'!$G$115&lt;3,0,IF('PI-1-MarineLoading'!$G$121&lt;&gt;"Yes",0,IF(Tank3!$D$22&lt;&gt;"flare",0,Tank3!$A$54)))</f>
        <v>0</v>
      </c>
      <c r="D25">
        <f>IF($C25=0,0,VLOOKUP($C25,Tank3!$A$32:$H$141,7,FALSE))</f>
        <v>0</v>
      </c>
      <c r="E25">
        <f>IF($C25=0,0,VLOOKUP($C25,Tank3!$A$32:$H$141,8,FALSE))</f>
        <v>0</v>
      </c>
      <c r="F25" s="281"/>
      <c r="G25" s="281"/>
      <c r="H25" s="284"/>
      <c r="I25" s="89"/>
      <c r="P25" s="90"/>
      <c r="Q25" s="89"/>
      <c r="R25">
        <f>IF(OR(S25=0,ISNUMBER(MATCH(S25,$S$2:S24,0))),0,MAX($R$2:R24)+1)</f>
        <v>0</v>
      </c>
      <c r="S25">
        <f>IF('PI-1-MarineLoading'!$G$115&lt;3,0,IF('PI-1-MarineLoading'!$G$122&lt;&gt;"Yes",0,IF(Tank3!$D$22&lt;&gt;"VCU",0,Tank3!$A$54)))</f>
        <v>0</v>
      </c>
      <c r="T25">
        <f>IF($S25=0,0,VLOOKUP($S25,Tank3!$A$32:$H$141,7,FALSE))</f>
        <v>0</v>
      </c>
      <c r="U25">
        <f>IF($S25=0,0,VLOOKUP($S25,Tank3!$A$32:$H$141,8,FALSE))</f>
        <v>0</v>
      </c>
      <c r="V25" s="281"/>
      <c r="W25" s="281"/>
      <c r="X25" s="284"/>
      <c r="Y25" s="89"/>
      <c r="AF25" s="90"/>
      <c r="AG25" s="89"/>
      <c r="AH25">
        <f>IF(OR(AI25=0,ISNUMBER(MATCH(AI25,$AI$2:AI24,0))),0,MAX($AH$2:AH24)+1)</f>
        <v>0</v>
      </c>
      <c r="AI25">
        <f>IF('PI-1-MarineLoading'!$G$115&lt;3,0,IF('PI-1-MarineLoading'!$G$123&lt;&gt;"Yes",0,IF(Tank3!$D$22&lt;&gt;"vapor oxidizer",0,Tank3!$A$54)))</f>
        <v>0</v>
      </c>
      <c r="AJ25">
        <f>IF($AI25=0,0,VLOOKUP($AI25,Tank3!$A$32:$H$141,7,FALSE))</f>
        <v>0</v>
      </c>
      <c r="AK25">
        <f>IF($AI25=0,0,VLOOKUP($AI25,Tank3!$A$32:$H$141,8,FALSE))</f>
        <v>0</v>
      </c>
      <c r="AL25" s="281"/>
      <c r="AM25" s="281"/>
      <c r="AN25" s="284"/>
      <c r="AO25" s="89"/>
      <c r="AV25" s="90"/>
      <c r="AW25" s="89"/>
      <c r="AX25">
        <f>IF(OR(AY25=0,ISNUMBER(MATCH(AY25,$AY$2:AY24,0))),0,MAX($AX$2:AX24)+1)</f>
        <v>0</v>
      </c>
      <c r="AY25">
        <f>IF('PI-1-MarineLoading'!$G$115&lt;3,0,IF('PI-1-MarineLoading'!$G$124&lt;&gt;"Yes",0,IF(Tank3!$D$22&lt;&gt;"CAS",0,Tank3!$A$54)))</f>
        <v>0</v>
      </c>
      <c r="AZ25">
        <f>IF($AY25=0,0,VLOOKUP($AY25,Tank3!$A$32:$H$141,7,FALSE))</f>
        <v>0</v>
      </c>
      <c r="BA25">
        <f>IF($AY25=0,0,VLOOKUP($AY25,Tank3!$A$32:$H$141,8,FALSE))</f>
        <v>0</v>
      </c>
      <c r="BB25" s="281"/>
      <c r="BC25" s="281"/>
      <c r="BD25" s="284"/>
      <c r="BE25" s="89"/>
      <c r="BL25" s="90"/>
    </row>
    <row r="26" spans="1:64" x14ac:dyDescent="0.2">
      <c r="A26" s="89"/>
      <c r="B26">
        <f>IF(OR(C26=0,ISNUMBER(MATCH(C26,$C$2:C25,0))),0,MAX($B$2:B25)+1)</f>
        <v>0</v>
      </c>
      <c r="C26">
        <f>IF('PI-1-MarineLoading'!$G$115&lt;3,0,IF('PI-1-MarineLoading'!$G$121&lt;&gt;"Yes",0,IF(Tank3!$D$22&lt;&gt;"flare",0,Tank3!$A$65)))</f>
        <v>0</v>
      </c>
      <c r="D26">
        <f>IF($C26=0,0,VLOOKUP($C26,Tank3!$A$32:$H$141,7,FALSE))</f>
        <v>0</v>
      </c>
      <c r="E26">
        <f>IF($C26=0,0,VLOOKUP($C26,Tank3!$A$32:$H$141,8,FALSE))</f>
        <v>0</v>
      </c>
      <c r="F26" s="281"/>
      <c r="G26" s="281"/>
      <c r="H26" s="284"/>
      <c r="I26" s="89"/>
      <c r="P26" s="90"/>
      <c r="Q26" s="89"/>
      <c r="R26">
        <f>IF(OR(S26=0,ISNUMBER(MATCH(S26,$S$2:S25,0))),0,MAX($R$2:R25)+1)</f>
        <v>0</v>
      </c>
      <c r="S26">
        <f>IF('PI-1-MarineLoading'!$G$115&lt;3,0,IF('PI-1-MarineLoading'!$G$122&lt;&gt;"Yes",0,IF(Tank3!$D$22&lt;&gt;"VCU",0,Tank3!$A$65)))</f>
        <v>0</v>
      </c>
      <c r="T26">
        <f>IF($S26=0,0,VLOOKUP($S26,Tank3!$A$32:$H$141,7,FALSE))</f>
        <v>0</v>
      </c>
      <c r="U26">
        <f>IF($S26=0,0,VLOOKUP($S26,Tank3!$A$32:$H$141,8,FALSE))</f>
        <v>0</v>
      </c>
      <c r="V26" s="281"/>
      <c r="W26" s="281"/>
      <c r="X26" s="284"/>
      <c r="Y26" s="89"/>
      <c r="AF26" s="90"/>
      <c r="AG26" s="89"/>
      <c r="AH26">
        <f>IF(OR(AI26=0,ISNUMBER(MATCH(AI26,$AI$2:AI25,0))),0,MAX($AH$2:AH25)+1)</f>
        <v>0</v>
      </c>
      <c r="AI26">
        <f>IF('PI-1-MarineLoading'!$G$115&lt;3,0,IF('PI-1-MarineLoading'!$G$123&lt;&gt;"Yes",0,IF(Tank3!$D$22&lt;&gt;"vapor oxidizer",0,Tank3!$A$65)))</f>
        <v>0</v>
      </c>
      <c r="AJ26">
        <f>IF($AI26=0,0,VLOOKUP($AI26,Tank3!$A$32:$H$141,7,FALSE))</f>
        <v>0</v>
      </c>
      <c r="AK26">
        <f>IF($AI26=0,0,VLOOKUP($AI26,Tank3!$A$32:$H$141,8,FALSE))</f>
        <v>0</v>
      </c>
      <c r="AL26" s="281"/>
      <c r="AM26" s="281"/>
      <c r="AN26" s="284"/>
      <c r="AO26" s="89"/>
      <c r="AV26" s="90"/>
      <c r="AW26" s="89"/>
      <c r="AX26">
        <f>IF(OR(AY26=0,ISNUMBER(MATCH(AY26,$AY$2:AY25,0))),0,MAX($AX$2:AX25)+1)</f>
        <v>0</v>
      </c>
      <c r="AY26">
        <f>IF('PI-1-MarineLoading'!$G$115&lt;3,0,IF('PI-1-MarineLoading'!$G$124&lt;&gt;"Yes",0,IF(Tank3!$D$22&lt;&gt;"CAS",0,Tank3!$A$65)))</f>
        <v>0</v>
      </c>
      <c r="AZ26">
        <f>IF($AY26=0,0,VLOOKUP($AY26,Tank3!$A$32:$H$141,7,FALSE))</f>
        <v>0</v>
      </c>
      <c r="BA26">
        <f>IF($AY26=0,0,VLOOKUP($AY26,Tank3!$A$32:$H$141,8,FALSE))</f>
        <v>0</v>
      </c>
      <c r="BB26" s="281"/>
      <c r="BC26" s="281"/>
      <c r="BD26" s="284"/>
      <c r="BE26" s="89"/>
      <c r="BL26" s="90"/>
    </row>
    <row r="27" spans="1:64" x14ac:dyDescent="0.2">
      <c r="A27" s="89"/>
      <c r="B27">
        <f>IF(OR(C27=0,ISNUMBER(MATCH(C27,$C$2:C26,0))),0,MAX($B$2:B26)+1)</f>
        <v>0</v>
      </c>
      <c r="C27">
        <f>IF('PI-1-MarineLoading'!$G$115&lt;3,0,IF('PI-1-MarineLoading'!$G$121&lt;&gt;"Yes",0,IF(Tank3!$D$22&lt;&gt;"flare",0,Tank3!$A$76)))</f>
        <v>0</v>
      </c>
      <c r="D27">
        <f>IF($C27=0,0,VLOOKUP($C27,Tank3!$A$32:$H$141,7,FALSE))</f>
        <v>0</v>
      </c>
      <c r="E27">
        <f>IF($C27=0,0,VLOOKUP($C27,Tank3!$A$32:$H$141,8,FALSE))</f>
        <v>0</v>
      </c>
      <c r="F27" s="281"/>
      <c r="G27" s="281"/>
      <c r="H27" s="284"/>
      <c r="I27" s="89"/>
      <c r="P27" s="90"/>
      <c r="Q27" s="89"/>
      <c r="R27">
        <f>IF(OR(S27=0,ISNUMBER(MATCH(S27,$S$2:S26,0))),0,MAX($R$2:R26)+1)</f>
        <v>0</v>
      </c>
      <c r="S27">
        <f>IF('PI-1-MarineLoading'!$G$115&lt;3,0,IF('PI-1-MarineLoading'!$G$122&lt;&gt;"Yes",0,IF(Tank3!$D$22&lt;&gt;"VCU",0,Tank3!$A$76)))</f>
        <v>0</v>
      </c>
      <c r="T27">
        <f>IF($S27=0,0,VLOOKUP($S27,Tank3!$A$32:$H$141,7,FALSE))</f>
        <v>0</v>
      </c>
      <c r="U27">
        <f>IF($S27=0,0,VLOOKUP($S27,Tank3!$A$32:$H$141,8,FALSE))</f>
        <v>0</v>
      </c>
      <c r="V27" s="281"/>
      <c r="W27" s="281"/>
      <c r="X27" s="284"/>
      <c r="Y27" s="89"/>
      <c r="AF27" s="90"/>
      <c r="AG27" s="89"/>
      <c r="AH27">
        <f>IF(OR(AI27=0,ISNUMBER(MATCH(AI27,$AI$2:AI26,0))),0,MAX($AH$2:AH26)+1)</f>
        <v>0</v>
      </c>
      <c r="AI27">
        <f>IF('PI-1-MarineLoading'!$G$115&lt;3,0,IF('PI-1-MarineLoading'!$G$123&lt;&gt;"Yes",0,IF(Tank3!$D$22&lt;&gt;"vapor oxidizer",0,Tank3!$A$76)))</f>
        <v>0</v>
      </c>
      <c r="AJ27">
        <f>IF($AI27=0,0,VLOOKUP($AI27,Tank3!$A$32:$H$141,7,FALSE))</f>
        <v>0</v>
      </c>
      <c r="AK27">
        <f>IF($AI27=0,0,VLOOKUP($AI27,Tank3!$A$32:$H$141,8,FALSE))</f>
        <v>0</v>
      </c>
      <c r="AL27" s="281"/>
      <c r="AM27" s="281"/>
      <c r="AN27" s="284"/>
      <c r="AO27" s="89"/>
      <c r="AV27" s="90"/>
      <c r="AW27" s="89"/>
      <c r="AX27">
        <f>IF(OR(AY27=0,ISNUMBER(MATCH(AY27,$AY$2:AY26,0))),0,MAX($AX$2:AX26)+1)</f>
        <v>0</v>
      </c>
      <c r="AY27">
        <f>IF('PI-1-MarineLoading'!$G$115&lt;3,0,IF('PI-1-MarineLoading'!$G$124&lt;&gt;"Yes",0,IF(Tank3!$D$22&lt;&gt;"CAS",0,Tank3!$A$76)))</f>
        <v>0</v>
      </c>
      <c r="AZ27">
        <f>IF($AY27=0,0,VLOOKUP($AY27,Tank3!$A$32:$H$141,7,FALSE))</f>
        <v>0</v>
      </c>
      <c r="BA27">
        <f>IF($AY27=0,0,VLOOKUP($AY27,Tank3!$A$32:$H$141,8,FALSE))</f>
        <v>0</v>
      </c>
      <c r="BB27" s="281"/>
      <c r="BC27" s="281"/>
      <c r="BD27" s="284"/>
      <c r="BE27" s="89"/>
      <c r="BL27" s="90"/>
    </row>
    <row r="28" spans="1:64" x14ac:dyDescent="0.2">
      <c r="A28" s="89"/>
      <c r="B28">
        <f>IF(OR(C28=0,ISNUMBER(MATCH(C28,$C$2:C27,0))),0,MAX($B$2:B27)+1)</f>
        <v>0</v>
      </c>
      <c r="C28">
        <f>IF('PI-1-MarineLoading'!$G$115&lt;3,0,IF('PI-1-MarineLoading'!$G$121&lt;&gt;"Yes",0,IF(Tank3!$D$22&lt;&gt;"flare",0,Tank3!$A$87)))</f>
        <v>0</v>
      </c>
      <c r="D28">
        <f>IF($C28=0,0,VLOOKUP($C28,Tank3!$A$32:$H$141,7,FALSE))</f>
        <v>0</v>
      </c>
      <c r="E28">
        <f>IF($C28=0,0,VLOOKUP($C28,Tank3!$A$32:$H$141,8,FALSE))</f>
        <v>0</v>
      </c>
      <c r="F28" s="281"/>
      <c r="G28" s="281"/>
      <c r="H28" s="284"/>
      <c r="I28" s="89"/>
      <c r="P28" s="90"/>
      <c r="Q28" s="89"/>
      <c r="R28">
        <f>IF(OR(S28=0,ISNUMBER(MATCH(S28,$S$2:S27,0))),0,MAX($R$2:R27)+1)</f>
        <v>0</v>
      </c>
      <c r="S28">
        <f>IF('PI-1-MarineLoading'!$G$115&lt;3,0,IF('PI-1-MarineLoading'!$G$122&lt;&gt;"Yes",0,IF(Tank3!$D$22&lt;&gt;"VCU",0,Tank3!$A$87)))</f>
        <v>0</v>
      </c>
      <c r="T28">
        <f>IF($S28=0,0,VLOOKUP($S28,Tank3!$A$32:$H$141,7,FALSE))</f>
        <v>0</v>
      </c>
      <c r="U28">
        <f>IF($S28=0,0,VLOOKUP($S28,Tank3!$A$32:$H$141,8,FALSE))</f>
        <v>0</v>
      </c>
      <c r="V28" s="281"/>
      <c r="W28" s="281"/>
      <c r="X28" s="284"/>
      <c r="Y28" s="89"/>
      <c r="AF28" s="90"/>
      <c r="AG28" s="89"/>
      <c r="AH28">
        <f>IF(OR(AI28=0,ISNUMBER(MATCH(AI28,$AI$2:AI27,0))),0,MAX($AH$2:AH27)+1)</f>
        <v>0</v>
      </c>
      <c r="AI28">
        <f>IF('PI-1-MarineLoading'!$G$115&lt;3,0,IF('PI-1-MarineLoading'!$G$123&lt;&gt;"Yes",0,IF(Tank3!$D$22&lt;&gt;"vapor oxidizer",0,Tank3!$A$87)))</f>
        <v>0</v>
      </c>
      <c r="AJ28">
        <f>IF($AI28=0,0,VLOOKUP($AI28,Tank3!$A$32:$H$141,7,FALSE))</f>
        <v>0</v>
      </c>
      <c r="AK28">
        <f>IF($AI28=0,0,VLOOKUP($AI28,Tank3!$A$32:$H$141,8,FALSE))</f>
        <v>0</v>
      </c>
      <c r="AL28" s="281"/>
      <c r="AM28" s="281"/>
      <c r="AN28" s="284"/>
      <c r="AO28" s="89"/>
      <c r="AV28" s="90"/>
      <c r="AW28" s="89"/>
      <c r="AX28">
        <f>IF(OR(AY28=0,ISNUMBER(MATCH(AY28,$AY$2:AY27,0))),0,MAX($AX$2:AX27)+1)</f>
        <v>0</v>
      </c>
      <c r="AY28">
        <f>IF('PI-1-MarineLoading'!$G$115&lt;3,0,IF('PI-1-MarineLoading'!$G$124&lt;&gt;"Yes",0,IF(Tank3!$D$22&lt;&gt;"CAS",0,Tank3!$A$87)))</f>
        <v>0</v>
      </c>
      <c r="AZ28">
        <f>IF($AY28=0,0,VLOOKUP($AY28,Tank3!$A$32:$H$141,7,FALSE))</f>
        <v>0</v>
      </c>
      <c r="BA28">
        <f>IF($AY28=0,0,VLOOKUP($AY28,Tank3!$A$32:$H$141,8,FALSE))</f>
        <v>0</v>
      </c>
      <c r="BB28" s="281"/>
      <c r="BC28" s="281"/>
      <c r="BD28" s="284"/>
      <c r="BE28" s="89"/>
      <c r="BL28" s="90"/>
    </row>
    <row r="29" spans="1:64" x14ac:dyDescent="0.2">
      <c r="A29" s="89"/>
      <c r="B29">
        <f>IF(OR(C29=0,ISNUMBER(MATCH(C29,$C$2:C28,0))),0,MAX($B$2:B28)+1)</f>
        <v>0</v>
      </c>
      <c r="C29">
        <f>IF('PI-1-MarineLoading'!$G$115&lt;3,0,IF('PI-1-MarineLoading'!$G$121&lt;&gt;"Yes",0,IF(Tank3!$D$22&lt;&gt;"flare",0,Tank3!$A$98)))</f>
        <v>0</v>
      </c>
      <c r="D29">
        <f>IF($C29=0,0,VLOOKUP($C29,Tank3!$A$32:$H$141,7,FALSE))</f>
        <v>0</v>
      </c>
      <c r="E29">
        <f>IF($C29=0,0,VLOOKUP($C29,Tank3!$A$32:$H$141,8,FALSE))</f>
        <v>0</v>
      </c>
      <c r="F29" s="281"/>
      <c r="G29" s="281"/>
      <c r="H29" s="284"/>
      <c r="I29" s="89"/>
      <c r="P29" s="90"/>
      <c r="Q29" s="89"/>
      <c r="R29">
        <f>IF(OR(S29=0,ISNUMBER(MATCH(S29,$S$2:S28,0))),0,MAX($R$2:R28)+1)</f>
        <v>0</v>
      </c>
      <c r="S29">
        <f>IF('PI-1-MarineLoading'!$G$115&lt;3,0,IF('PI-1-MarineLoading'!$G$122&lt;&gt;"Yes",0,IF(Tank3!$D$22&lt;&gt;"VCU",0,Tank3!$A$98)))</f>
        <v>0</v>
      </c>
      <c r="T29">
        <f>IF($S29=0,0,VLOOKUP($S29,Tank3!$A$32:$H$141,7,FALSE))</f>
        <v>0</v>
      </c>
      <c r="U29">
        <f>IF($S29=0,0,VLOOKUP($S29,Tank3!$A$32:$H$141,8,FALSE))</f>
        <v>0</v>
      </c>
      <c r="V29" s="281"/>
      <c r="W29" s="281"/>
      <c r="X29" s="284"/>
      <c r="Y29" s="89"/>
      <c r="AF29" s="90"/>
      <c r="AG29" s="89"/>
      <c r="AH29">
        <f>IF(OR(AI29=0,ISNUMBER(MATCH(AI29,$AI$2:AI28,0))),0,MAX($AH$2:AH28)+1)</f>
        <v>0</v>
      </c>
      <c r="AI29">
        <f>IF('PI-1-MarineLoading'!$G$115&lt;3,0,IF('PI-1-MarineLoading'!$G$123&lt;&gt;"Yes",0,IF(Tank3!$D$22&lt;&gt;"vapor oxidizer",0,Tank3!$A$98)))</f>
        <v>0</v>
      </c>
      <c r="AJ29">
        <f>IF($AI29=0,0,VLOOKUP($AI29,Tank3!$A$32:$H$141,7,FALSE))</f>
        <v>0</v>
      </c>
      <c r="AK29">
        <f>IF($AI29=0,0,VLOOKUP($AI29,Tank3!$A$32:$H$141,8,FALSE))</f>
        <v>0</v>
      </c>
      <c r="AL29" s="281"/>
      <c r="AM29" s="281"/>
      <c r="AN29" s="284"/>
      <c r="AO29" s="89"/>
      <c r="AV29" s="90"/>
      <c r="AW29" s="89"/>
      <c r="AX29">
        <f>IF(OR(AY29=0,ISNUMBER(MATCH(AY29,$AY$2:AY28,0))),0,MAX($AX$2:AX28)+1)</f>
        <v>0</v>
      </c>
      <c r="AY29">
        <f>IF('PI-1-MarineLoading'!$G$115&lt;3,0,IF('PI-1-MarineLoading'!$G$124&lt;&gt;"Yes",0,IF(Tank3!$D$22&lt;&gt;"CAS",0,Tank3!$A$98)))</f>
        <v>0</v>
      </c>
      <c r="AZ29">
        <f>IF($AY29=0,0,VLOOKUP($AY29,Tank3!$A$32:$H$141,7,FALSE))</f>
        <v>0</v>
      </c>
      <c r="BA29">
        <f>IF($AY29=0,0,VLOOKUP($AY29,Tank3!$A$32:$H$141,8,FALSE))</f>
        <v>0</v>
      </c>
      <c r="BB29" s="281"/>
      <c r="BC29" s="281"/>
      <c r="BD29" s="284"/>
      <c r="BE29" s="89"/>
      <c r="BL29" s="90"/>
    </row>
    <row r="30" spans="1:64" x14ac:dyDescent="0.2">
      <c r="A30" s="89"/>
      <c r="B30">
        <f>IF(OR(C30=0,ISNUMBER(MATCH(C30,$C$2:C29,0))),0,MAX($B$2:B29)+1)</f>
        <v>0</v>
      </c>
      <c r="C30">
        <f>IF('PI-1-MarineLoading'!$G$115&lt;3,0,IF('PI-1-MarineLoading'!$G$121&lt;&gt;"Yes",0,IF(Tank3!$D$22&lt;&gt;"flare",0,Tank3!$A$109)))</f>
        <v>0</v>
      </c>
      <c r="D30">
        <f>IF($C30=0,0,VLOOKUP($C30,Tank3!$A$32:$H$141,7,FALSE))</f>
        <v>0</v>
      </c>
      <c r="E30">
        <f>IF($C30=0,0,VLOOKUP($C30,Tank3!$A$32:$H$141,8,FALSE))</f>
        <v>0</v>
      </c>
      <c r="F30" s="281"/>
      <c r="G30" s="281"/>
      <c r="H30" s="284"/>
      <c r="I30" s="89"/>
      <c r="P30" s="90"/>
      <c r="Q30" s="89"/>
      <c r="R30">
        <f>IF(OR(S30=0,ISNUMBER(MATCH(S30,$S$2:S29,0))),0,MAX($R$2:R29)+1)</f>
        <v>0</v>
      </c>
      <c r="S30">
        <f>IF('PI-1-MarineLoading'!$G$115&lt;3,0,IF('PI-1-MarineLoading'!$G$122&lt;&gt;"Yes",0,IF(Tank3!$D$22&lt;&gt;"VCU",0,Tank3!$A$109)))</f>
        <v>0</v>
      </c>
      <c r="T30">
        <f>IF($S30=0,0,VLOOKUP($S30,Tank3!$A$32:$H$141,7,FALSE))</f>
        <v>0</v>
      </c>
      <c r="U30">
        <f>IF($S30=0,0,VLOOKUP($S30,Tank3!$A$32:$H$141,8,FALSE))</f>
        <v>0</v>
      </c>
      <c r="V30" s="281"/>
      <c r="W30" s="281"/>
      <c r="X30" s="284"/>
      <c r="Y30" s="89"/>
      <c r="AF30" s="90"/>
      <c r="AG30" s="89"/>
      <c r="AH30">
        <f>IF(OR(AI30=0,ISNUMBER(MATCH(AI30,$AI$2:AI29,0))),0,MAX($AH$2:AH29)+1)</f>
        <v>0</v>
      </c>
      <c r="AI30">
        <f>IF('PI-1-MarineLoading'!$G$115&lt;3,0,IF('PI-1-MarineLoading'!$G$123&lt;&gt;"Yes",0,IF(Tank3!$D$22&lt;&gt;"vapor oxidizer",0,Tank3!$A$109)))</f>
        <v>0</v>
      </c>
      <c r="AJ30">
        <f>IF($AI30=0,0,VLOOKUP($AI30,Tank3!$A$32:$H$141,7,FALSE))</f>
        <v>0</v>
      </c>
      <c r="AK30">
        <f>IF($AI30=0,0,VLOOKUP($AI30,Tank3!$A$32:$H$141,8,FALSE))</f>
        <v>0</v>
      </c>
      <c r="AL30" s="281"/>
      <c r="AM30" s="281"/>
      <c r="AN30" s="284"/>
      <c r="AO30" s="89"/>
      <c r="AV30" s="90"/>
      <c r="AW30" s="89"/>
      <c r="AX30">
        <f>IF(OR(AY30=0,ISNUMBER(MATCH(AY30,$AY$2:AY29,0))),0,MAX($AX$2:AX29)+1)</f>
        <v>0</v>
      </c>
      <c r="AY30">
        <f>IF('PI-1-MarineLoading'!$G$115&lt;3,0,IF('PI-1-MarineLoading'!$G$124&lt;&gt;"Yes",0,IF(Tank3!$D$22&lt;&gt;"CAS",0,Tank3!$A$109)))</f>
        <v>0</v>
      </c>
      <c r="AZ30">
        <f>IF($AY30=0,0,VLOOKUP($AY30,Tank3!$A$32:$H$141,7,FALSE))</f>
        <v>0</v>
      </c>
      <c r="BA30">
        <f>IF($AY30=0,0,VLOOKUP($AY30,Tank3!$A$32:$H$141,8,FALSE))</f>
        <v>0</v>
      </c>
      <c r="BB30" s="281"/>
      <c r="BC30" s="281"/>
      <c r="BD30" s="284"/>
      <c r="BE30" s="89"/>
      <c r="BL30" s="90"/>
    </row>
    <row r="31" spans="1:64" x14ac:dyDescent="0.2">
      <c r="A31" s="89"/>
      <c r="B31">
        <f>IF(OR(C31=0,ISNUMBER(MATCH(C31,$C$2:C30,0))),0,MAX($B$2:B30)+1)</f>
        <v>0</v>
      </c>
      <c r="C31">
        <f>IF('PI-1-MarineLoading'!$G$115&lt;3,0,IF('PI-1-MarineLoading'!$G$121&lt;&gt;"Yes",0,IF(Tank3!$D$22&lt;&gt;"flare",0,Tank3!$A$120)))</f>
        <v>0</v>
      </c>
      <c r="D31">
        <f>IF($C31=0,0,VLOOKUP($C31,Tank3!$A$32:$H$141,7,FALSE))</f>
        <v>0</v>
      </c>
      <c r="E31">
        <f>IF($C31=0,0,VLOOKUP($C31,Tank3!$A$32:$H$141,8,FALSE))</f>
        <v>0</v>
      </c>
      <c r="F31" s="281"/>
      <c r="G31" s="281"/>
      <c r="H31" s="284"/>
      <c r="I31" s="89"/>
      <c r="P31" s="90"/>
      <c r="Q31" s="89"/>
      <c r="R31">
        <f>IF(OR(S31=0,ISNUMBER(MATCH(S31,$S$2:S30,0))),0,MAX($R$2:R30)+1)</f>
        <v>0</v>
      </c>
      <c r="S31">
        <f>IF('PI-1-MarineLoading'!$G$115&lt;3,0,IF('PI-1-MarineLoading'!$G$122&lt;&gt;"Yes",0,IF(Tank3!$D$22&lt;&gt;"VCU",0,Tank3!$A$120)))</f>
        <v>0</v>
      </c>
      <c r="T31">
        <f>IF($S31=0,0,VLOOKUP($S31,Tank3!$A$32:$H$141,7,FALSE))</f>
        <v>0</v>
      </c>
      <c r="U31">
        <f>IF($S31=0,0,VLOOKUP($S31,Tank3!$A$32:$H$141,8,FALSE))</f>
        <v>0</v>
      </c>
      <c r="V31" s="281"/>
      <c r="W31" s="281"/>
      <c r="X31" s="284"/>
      <c r="Y31" s="89"/>
      <c r="AF31" s="90"/>
      <c r="AG31" s="89"/>
      <c r="AH31">
        <f>IF(OR(AI31=0,ISNUMBER(MATCH(AI31,$AI$2:AI30,0))),0,MAX($AH$2:AH30)+1)</f>
        <v>0</v>
      </c>
      <c r="AI31">
        <f>IF('PI-1-MarineLoading'!$G$115&lt;3,0,IF('PI-1-MarineLoading'!$G$123&lt;&gt;"Yes",0,IF(Tank3!$D$22&lt;&gt;"vapor oxidizer",0,Tank3!$A$120)))</f>
        <v>0</v>
      </c>
      <c r="AJ31">
        <f>IF($AI31=0,0,VLOOKUP($AI31,Tank3!$A$32:$H$141,7,FALSE))</f>
        <v>0</v>
      </c>
      <c r="AK31">
        <f>IF($AI31=0,0,VLOOKUP($AI31,Tank3!$A$32:$H$141,8,FALSE))</f>
        <v>0</v>
      </c>
      <c r="AL31" s="281"/>
      <c r="AM31" s="281"/>
      <c r="AN31" s="284"/>
      <c r="AO31" s="89"/>
      <c r="AV31" s="90"/>
      <c r="AW31" s="89"/>
      <c r="AX31">
        <f>IF(OR(AY31=0,ISNUMBER(MATCH(AY31,$AY$2:AY30,0))),0,MAX($AX$2:AX30)+1)</f>
        <v>0</v>
      </c>
      <c r="AY31">
        <f>IF('PI-1-MarineLoading'!$G$115&lt;3,0,IF('PI-1-MarineLoading'!$G$124&lt;&gt;"Yes",0,IF(Tank3!$D$22&lt;&gt;"CAS",0,Tank3!$A$120)))</f>
        <v>0</v>
      </c>
      <c r="AZ31">
        <f>IF($AY31=0,0,VLOOKUP($AY31,Tank3!$A$32:$H$141,7,FALSE))</f>
        <v>0</v>
      </c>
      <c r="BA31">
        <f>IF($AY31=0,0,VLOOKUP($AY31,Tank3!$A$32:$H$141,8,FALSE))</f>
        <v>0</v>
      </c>
      <c r="BB31" s="281"/>
      <c r="BC31" s="281"/>
      <c r="BD31" s="284"/>
      <c r="BE31" s="89"/>
      <c r="BL31" s="90"/>
    </row>
    <row r="32" spans="1:64" ht="15" thickBot="1" x14ac:dyDescent="0.25">
      <c r="A32" s="91"/>
      <c r="B32" s="92">
        <f>IF(OR(C32=0,ISNUMBER(MATCH(C32,$C$2:C31,0))),0,MAX($B$2:B31)+1)</f>
        <v>0</v>
      </c>
      <c r="C32" s="92">
        <f>IF('PI-1-MarineLoading'!$G$115&lt;3,0,IF('PI-1-MarineLoading'!$G$121&lt;&gt;"Yes",0,IF(Tank3!$D$22&lt;&gt;"flare",0,Tank3!$A$131)))</f>
        <v>0</v>
      </c>
      <c r="D32" s="92">
        <f>IF($C32=0,0,VLOOKUP($C32,Tank3!$A$32:$H$141,7,FALSE))</f>
        <v>0</v>
      </c>
      <c r="E32" s="92">
        <f>IF($C32=0,0,VLOOKUP($C32,Tank3!$A$32:$H$141,8,FALSE))</f>
        <v>0</v>
      </c>
      <c r="F32" s="282"/>
      <c r="G32" s="282"/>
      <c r="H32" s="285"/>
      <c r="I32" s="91"/>
      <c r="J32" s="92"/>
      <c r="K32" s="92"/>
      <c r="L32" s="92"/>
      <c r="M32" s="92"/>
      <c r="N32" s="92"/>
      <c r="O32" s="92"/>
      <c r="P32" s="50"/>
      <c r="Q32" s="91"/>
      <c r="R32" s="92">
        <f>IF(OR(S32=0,ISNUMBER(MATCH(S32,$S$2:S31,0))),0,MAX($R$2:R31)+1)</f>
        <v>0</v>
      </c>
      <c r="S32" s="92">
        <f>IF('PI-1-MarineLoading'!$G$115&lt;3,0,IF('PI-1-MarineLoading'!$G$122&lt;&gt;"Yes",0,IF(Tank3!$D$22&lt;&gt;"VCU",0,Tank3!$A$131)))</f>
        <v>0</v>
      </c>
      <c r="T32" s="92">
        <f>IF($S32=0,0,VLOOKUP($S32,Tank3!$A$32:$H$141,7,FALSE))</f>
        <v>0</v>
      </c>
      <c r="U32" s="92">
        <f>IF($S32=0,0,VLOOKUP($S32,Tank3!$A$32:$H$141,8,FALSE))</f>
        <v>0</v>
      </c>
      <c r="V32" s="282"/>
      <c r="W32" s="282"/>
      <c r="X32" s="285"/>
      <c r="Y32" s="91"/>
      <c r="Z32" s="92"/>
      <c r="AA32" s="92"/>
      <c r="AB32" s="92"/>
      <c r="AC32" s="92"/>
      <c r="AD32" s="92"/>
      <c r="AE32" s="92"/>
      <c r="AF32" s="50"/>
      <c r="AG32" s="91"/>
      <c r="AH32" s="92">
        <f>IF(OR(AI32=0,ISNUMBER(MATCH(AI32,$AI$2:AI31,0))),0,MAX($AH$2:AH31)+1)</f>
        <v>0</v>
      </c>
      <c r="AI32" s="92">
        <f>IF('PI-1-MarineLoading'!$G$115&lt;3,0,IF('PI-1-MarineLoading'!$G$123&lt;&gt;"Yes",0,IF(Tank3!$D$22&lt;&gt;"vapor oxidizer",0,Tank3!$A$131)))</f>
        <v>0</v>
      </c>
      <c r="AJ32" s="92">
        <f>IF($AI32=0,0,VLOOKUP($AI32,Tank3!$A$32:$H$141,7,FALSE))</f>
        <v>0</v>
      </c>
      <c r="AK32" s="92">
        <f>IF($AI32=0,0,VLOOKUP($AI32,Tank3!$A$32:$H$141,8,FALSE))</f>
        <v>0</v>
      </c>
      <c r="AL32" s="282"/>
      <c r="AM32" s="282"/>
      <c r="AN32" s="285"/>
      <c r="AO32" s="91"/>
      <c r="AP32" s="92"/>
      <c r="AQ32" s="92"/>
      <c r="AR32" s="92"/>
      <c r="AS32" s="92"/>
      <c r="AT32" s="92"/>
      <c r="AU32" s="92"/>
      <c r="AV32" s="50"/>
      <c r="AW32" s="91"/>
      <c r="AX32" s="92">
        <f>IF(OR(AY32=0,ISNUMBER(MATCH(AY32,$AY$2:AY31,0))),0,MAX($AX$2:AX31)+1)</f>
        <v>0</v>
      </c>
      <c r="AY32" s="92">
        <f>IF('PI-1-MarineLoading'!$G$115&lt;3,0,IF('PI-1-MarineLoading'!$G$124&lt;&gt;"Yes",0,IF(Tank3!$D$22&lt;&gt;"CAS",0,Tank3!$A$131)))</f>
        <v>0</v>
      </c>
      <c r="AZ32" s="92">
        <f>IF($AY32=0,0,VLOOKUP($AY32,Tank3!$A$32:$H$141,7,FALSE))</f>
        <v>0</v>
      </c>
      <c r="BA32" s="92">
        <f>IF($AY32=0,0,VLOOKUP($AY32,Tank3!$A$32:$H$141,8,FALSE))</f>
        <v>0</v>
      </c>
      <c r="BB32" s="282"/>
      <c r="BC32" s="282"/>
      <c r="BD32" s="285"/>
      <c r="BE32" s="91"/>
      <c r="BF32" s="92"/>
      <c r="BG32" s="92"/>
      <c r="BH32" s="92"/>
      <c r="BI32" s="92"/>
      <c r="BJ32" s="92"/>
      <c r="BK32" s="92"/>
      <c r="BL32" s="50"/>
    </row>
    <row r="33" spans="1:64" x14ac:dyDescent="0.2">
      <c r="A33" s="86" t="s">
        <v>8709</v>
      </c>
      <c r="B33" s="87">
        <f>IF(OR(C33=0,ISNUMBER(MATCH(C33,$C$2:C32,0))),0,MAX($B$2:B32)+1)</f>
        <v>0</v>
      </c>
      <c r="C33" s="87">
        <f>IF('PI-1-MarineLoading'!$G$115&lt;4,0,IF('PI-1-MarineLoading'!$G$121&lt;&gt;"Yes",0,IF(Tank4!$D$22&lt;&gt;"flare",0,Tank4!$A$32)))</f>
        <v>0</v>
      </c>
      <c r="D33" s="87">
        <f>IF($C33=0,0,VLOOKUP($C33,Tank4!$A$32:$H$141,7,FALSE))</f>
        <v>0</v>
      </c>
      <c r="E33" s="87">
        <f>IF($C33=0,0,VLOOKUP($C33,Tank4!$A$32:$H$141,8,FALSE))</f>
        <v>0</v>
      </c>
      <c r="F33" s="280"/>
      <c r="G33" s="280"/>
      <c r="H33" s="283"/>
      <c r="I33" s="279" t="s">
        <v>10565</v>
      </c>
      <c r="J33" s="87"/>
      <c r="K33" s="87"/>
      <c r="L33" s="87"/>
      <c r="M33" s="87"/>
      <c r="N33" s="87"/>
      <c r="O33" s="87"/>
      <c r="P33" s="88"/>
      <c r="Q33" s="86" t="s">
        <v>8709</v>
      </c>
      <c r="R33" s="87">
        <f>IF(OR(S33=0,ISNUMBER(MATCH(S33,$S$2:S32,0))),0,MAX($R$2:R32)+1)</f>
        <v>0</v>
      </c>
      <c r="S33" s="87">
        <f>IF('PI-1-MarineLoading'!$G$115&lt;4,0,IF('PI-1-MarineLoading'!$G$122&lt;&gt;"Yes",0,IF(Tank4!$D$22&lt;&gt;"VCU",0,Tank4!$A$32)))</f>
        <v>0</v>
      </c>
      <c r="T33" s="87">
        <f>IF($S33=0,0,VLOOKUP($S33,Tank4!$A$32:$H$141,7,FALSE))</f>
        <v>0</v>
      </c>
      <c r="U33" s="87">
        <f>IF($S33=0,0,VLOOKUP($S33,Tank4!$A$32:$H$141,8,FALSE))</f>
        <v>0</v>
      </c>
      <c r="V33" s="280"/>
      <c r="W33" s="280"/>
      <c r="X33" s="283"/>
      <c r="Y33" s="279" t="s">
        <v>10565</v>
      </c>
      <c r="Z33" s="87"/>
      <c r="AA33" s="87"/>
      <c r="AB33" s="87"/>
      <c r="AC33" s="87"/>
      <c r="AD33" s="87"/>
      <c r="AE33" s="87"/>
      <c r="AF33" s="88"/>
      <c r="AG33" s="86" t="s">
        <v>8709</v>
      </c>
      <c r="AH33" s="87">
        <f>IF(OR(AI33=0,ISNUMBER(MATCH(AI33,$AI$2:AI32,0))),0,MAX($AH$2:AH32)+1)</f>
        <v>0</v>
      </c>
      <c r="AI33" s="87">
        <f>IF('PI-1-MarineLoading'!$G$115&lt;4,0,IF('PI-1-MarineLoading'!$G$123&lt;&gt;"Yes",0,IF(Tank4!$D$22&lt;&gt;"vapor oxidizer",0,Tank4!$A$32)))</f>
        <v>0</v>
      </c>
      <c r="AJ33" s="87">
        <f>IF($AI33=0,0,VLOOKUP($AI33,Tank4!$A$32:$H$141,7,FALSE))</f>
        <v>0</v>
      </c>
      <c r="AK33" s="87">
        <f>IF($AI33=0,0,VLOOKUP($AI33,Tank4!$A$32:$H$141,8,FALSE))</f>
        <v>0</v>
      </c>
      <c r="AL33" s="280"/>
      <c r="AM33" s="280"/>
      <c r="AN33" s="283"/>
      <c r="AO33" s="279" t="s">
        <v>10565</v>
      </c>
      <c r="AP33" s="87"/>
      <c r="AQ33" s="87"/>
      <c r="AR33" s="87"/>
      <c r="AS33" s="87"/>
      <c r="AT33" s="87"/>
      <c r="AU33" s="87"/>
      <c r="AV33" s="88"/>
      <c r="AW33" s="86" t="s">
        <v>8709</v>
      </c>
      <c r="AX33" s="87">
        <f>IF(OR(AY33=0,ISNUMBER(MATCH(AY33,$AY$2:AY32,0))),0,MAX($AX$2:AX32)+1)</f>
        <v>0</v>
      </c>
      <c r="AY33" s="87">
        <f>IF('PI-1-MarineLoading'!$G$115&lt;4,0,IF('PI-1-MarineLoading'!$G$124&lt;&gt;"Yes",0,IF(Tank4!$D$22&lt;&gt;"CAS",0,Tank4!$A$32)))</f>
        <v>0</v>
      </c>
      <c r="AZ33" s="87">
        <f>IF($AY33=0,0,VLOOKUP($AY33,Tank4!$A$32:$H$141,7,FALSE))</f>
        <v>0</v>
      </c>
      <c r="BA33" s="87">
        <f>IF($AY33=0,0,VLOOKUP($AY33,Tank4!$A$32:$H$141,8,FALSE))</f>
        <v>0</v>
      </c>
      <c r="BB33" s="280"/>
      <c r="BC33" s="280"/>
      <c r="BD33" s="283"/>
      <c r="BE33" s="279" t="s">
        <v>10565</v>
      </c>
      <c r="BF33" s="87"/>
      <c r="BG33" s="87"/>
      <c r="BH33" s="87"/>
      <c r="BI33" s="87"/>
      <c r="BJ33" s="87"/>
      <c r="BK33" s="87"/>
      <c r="BL33" s="88"/>
    </row>
    <row r="34" spans="1:64" x14ac:dyDescent="0.2">
      <c r="A34" s="89"/>
      <c r="B34">
        <f>IF(OR(C34=0,ISNUMBER(MATCH(C34,$C$2:C33,0))),0,MAX($B$2:B33)+1)</f>
        <v>0</v>
      </c>
      <c r="C34">
        <f>IF('PI-1-MarineLoading'!$G$115&lt;4,0,IF('PI-1-MarineLoading'!$G$121&lt;&gt;"Yes",0,IF(Tank4!$D$22&lt;&gt;"flare",0,Tank4!$A$43)))</f>
        <v>0</v>
      </c>
      <c r="D34">
        <f>IF($C34=0,0,VLOOKUP($C34,Tank4!$A$32:$H$141,7,FALSE))</f>
        <v>0</v>
      </c>
      <c r="E34">
        <f>IF($C34=0,0,VLOOKUP($C34,Tank4!$A$32:$H$141,8,FALSE))</f>
        <v>0</v>
      </c>
      <c r="F34" s="281"/>
      <c r="G34" s="281"/>
      <c r="H34" s="284"/>
      <c r="I34" s="89"/>
      <c r="P34" s="90"/>
      <c r="Q34" s="89"/>
      <c r="R34">
        <f>IF(OR(S34=0,ISNUMBER(MATCH(S34,$S$2:S33,0))),0,MAX($R$2:R33)+1)</f>
        <v>0</v>
      </c>
      <c r="S34">
        <f>IF('PI-1-MarineLoading'!$G$115&lt;4,0,IF('PI-1-MarineLoading'!$G$122&lt;&gt;"Yes",0,IF(Tank4!$D$22&lt;&gt;"VCU",0,Tank4!$A$43)))</f>
        <v>0</v>
      </c>
      <c r="T34">
        <f>IF($S34=0,0,VLOOKUP($S34,Tank4!$A$32:$H$141,7,FALSE))</f>
        <v>0</v>
      </c>
      <c r="U34">
        <f>IF($S34=0,0,VLOOKUP($S34,Tank4!$A$32:$H$141,8,FALSE))</f>
        <v>0</v>
      </c>
      <c r="V34" s="281"/>
      <c r="W34" s="281"/>
      <c r="X34" s="284"/>
      <c r="Y34" s="89"/>
      <c r="AF34" s="90"/>
      <c r="AG34" s="89"/>
      <c r="AH34">
        <f>IF(OR(AI34=0,ISNUMBER(MATCH(AI34,$AI$2:AI33,0))),0,MAX($AH$2:AH33)+1)</f>
        <v>0</v>
      </c>
      <c r="AI34">
        <f>IF('PI-1-MarineLoading'!$G$115&lt;4,0,IF('PI-1-MarineLoading'!$G$123&lt;&gt;"Yes",0,IF(Tank4!$D$22&lt;&gt;"vapor oxidizer",0,Tank4!$A$43)))</f>
        <v>0</v>
      </c>
      <c r="AJ34">
        <f>IF($AI34=0,0,VLOOKUP($AI34,Tank4!$A$32:$H$141,7,FALSE))</f>
        <v>0</v>
      </c>
      <c r="AK34">
        <f>IF($AI34=0,0,VLOOKUP($AI34,Tank4!$A$32:$H$141,8,FALSE))</f>
        <v>0</v>
      </c>
      <c r="AL34" s="281"/>
      <c r="AM34" s="281"/>
      <c r="AN34" s="284"/>
      <c r="AO34" s="89"/>
      <c r="AV34" s="90"/>
      <c r="AW34" s="89"/>
      <c r="AX34">
        <f>IF(OR(AY34=0,ISNUMBER(MATCH(AY34,$AY$2:AY33,0))),0,MAX($AX$2:AX33)+1)</f>
        <v>0</v>
      </c>
      <c r="AY34">
        <f>IF('PI-1-MarineLoading'!$G$115&lt;4,0,IF('PI-1-MarineLoading'!$G$124&lt;&gt;"Yes",0,IF(Tank4!$D$22&lt;&gt;"CAS",0,Tank4!$A$43)))</f>
        <v>0</v>
      </c>
      <c r="AZ34">
        <f>IF($AY34=0,0,VLOOKUP($AY34,Tank4!$A$32:$H$141,7,FALSE))</f>
        <v>0</v>
      </c>
      <c r="BA34">
        <f>IF($AY34=0,0,VLOOKUP($AY34,Tank4!$A$32:$H$141,8,FALSE))</f>
        <v>0</v>
      </c>
      <c r="BB34" s="281"/>
      <c r="BC34" s="281"/>
      <c r="BD34" s="284"/>
      <c r="BE34" s="89"/>
      <c r="BL34" s="90"/>
    </row>
    <row r="35" spans="1:64" x14ac:dyDescent="0.2">
      <c r="A35" s="89"/>
      <c r="B35">
        <f>IF(OR(C35=0,ISNUMBER(MATCH(C35,$C$2:C34,0))),0,MAX($B$2:B34)+1)</f>
        <v>0</v>
      </c>
      <c r="C35">
        <f>IF('PI-1-MarineLoading'!$G$115&lt;4,0,IF('PI-1-MarineLoading'!$G$121&lt;&gt;"Yes",0,IF(Tank4!$D$22&lt;&gt;"flare",0,Tank4!$A$54)))</f>
        <v>0</v>
      </c>
      <c r="D35">
        <f>IF($C35=0,0,VLOOKUP($C35,Tank4!$A$32:$H$141,7,FALSE))</f>
        <v>0</v>
      </c>
      <c r="E35">
        <f>IF($C35=0,0,VLOOKUP($C35,Tank4!$A$32:$H$141,8,FALSE))</f>
        <v>0</v>
      </c>
      <c r="F35" s="281"/>
      <c r="G35" s="281"/>
      <c r="H35" s="284"/>
      <c r="I35" s="89"/>
      <c r="P35" s="90"/>
      <c r="Q35" s="89"/>
      <c r="R35">
        <f>IF(OR(S35=0,ISNUMBER(MATCH(S35,$S$2:S34,0))),0,MAX($R$2:R34)+1)</f>
        <v>0</v>
      </c>
      <c r="S35">
        <f>IF('PI-1-MarineLoading'!$G$115&lt;4,0,IF('PI-1-MarineLoading'!$G$122&lt;&gt;"Yes",0,IF(Tank4!$D$22&lt;&gt;"VCU",0,Tank4!$A$54)))</f>
        <v>0</v>
      </c>
      <c r="T35">
        <f>IF($S35=0,0,VLOOKUP($S35,Tank4!$A$32:$H$141,7,FALSE))</f>
        <v>0</v>
      </c>
      <c r="U35">
        <f>IF($S35=0,0,VLOOKUP($S35,Tank4!$A$32:$H$141,8,FALSE))</f>
        <v>0</v>
      </c>
      <c r="V35" s="281"/>
      <c r="W35" s="281"/>
      <c r="X35" s="284"/>
      <c r="Y35" s="89"/>
      <c r="AF35" s="90"/>
      <c r="AG35" s="89"/>
      <c r="AH35">
        <f>IF(OR(AI35=0,ISNUMBER(MATCH(AI35,$AI$2:AI34,0))),0,MAX($AH$2:AH34)+1)</f>
        <v>0</v>
      </c>
      <c r="AI35">
        <f>IF('PI-1-MarineLoading'!$G$115&lt;4,0,IF('PI-1-MarineLoading'!$G$123&lt;&gt;"Yes",0,IF(Tank4!$D$22&lt;&gt;"vapor oxidizer",0,Tank4!$A$54)))</f>
        <v>0</v>
      </c>
      <c r="AJ35">
        <f>IF($AI35=0,0,VLOOKUP($AI35,Tank4!$A$32:$H$141,7,FALSE))</f>
        <v>0</v>
      </c>
      <c r="AK35">
        <f>IF($AI35=0,0,VLOOKUP($AI35,Tank4!$A$32:$H$141,8,FALSE))</f>
        <v>0</v>
      </c>
      <c r="AL35" s="281"/>
      <c r="AM35" s="281"/>
      <c r="AN35" s="284"/>
      <c r="AO35" s="89"/>
      <c r="AV35" s="90"/>
      <c r="AW35" s="89"/>
      <c r="AX35">
        <f>IF(OR(AY35=0,ISNUMBER(MATCH(AY35,$AY$2:AY34,0))),0,MAX($AX$2:AX34)+1)</f>
        <v>0</v>
      </c>
      <c r="AY35">
        <f>IF('PI-1-MarineLoading'!$G$115&lt;4,0,IF('PI-1-MarineLoading'!$G$124&lt;&gt;"Yes",0,IF(Tank4!$D$22&lt;&gt;"CAS",0,Tank4!$A$54)))</f>
        <v>0</v>
      </c>
      <c r="AZ35">
        <f>IF($AY35=0,0,VLOOKUP($AY35,Tank4!$A$32:$H$141,7,FALSE))</f>
        <v>0</v>
      </c>
      <c r="BA35">
        <f>IF($AY35=0,0,VLOOKUP($AY35,Tank4!$A$32:$H$141,8,FALSE))</f>
        <v>0</v>
      </c>
      <c r="BB35" s="281"/>
      <c r="BC35" s="281"/>
      <c r="BD35" s="284"/>
      <c r="BE35" s="89"/>
      <c r="BL35" s="90"/>
    </row>
    <row r="36" spans="1:64" x14ac:dyDescent="0.2">
      <c r="A36" s="89"/>
      <c r="B36">
        <f>IF(OR(C36=0,ISNUMBER(MATCH(C36,$C$2:C35,0))),0,MAX($B$2:B35)+1)</f>
        <v>0</v>
      </c>
      <c r="C36">
        <f>IF('PI-1-MarineLoading'!$G$115&lt;4,0,IF('PI-1-MarineLoading'!$G$121&lt;&gt;"Yes",0,IF(Tank4!$D$22&lt;&gt;"flare",0,Tank4!$A$65)))</f>
        <v>0</v>
      </c>
      <c r="D36">
        <f>IF($C36=0,0,VLOOKUP($C36,Tank4!$A$32:$H$141,7,FALSE))</f>
        <v>0</v>
      </c>
      <c r="E36">
        <f>IF($C36=0,0,VLOOKUP($C36,Tank4!$A$32:$H$141,8,FALSE))</f>
        <v>0</v>
      </c>
      <c r="F36" s="281"/>
      <c r="G36" s="281"/>
      <c r="H36" s="284"/>
      <c r="I36" s="89"/>
      <c r="P36" s="90"/>
      <c r="Q36" s="89"/>
      <c r="R36">
        <f>IF(OR(S36=0,ISNUMBER(MATCH(S36,$S$2:S35,0))),0,MAX($R$2:R35)+1)</f>
        <v>0</v>
      </c>
      <c r="S36">
        <f>IF('PI-1-MarineLoading'!$G$115&lt;4,0,IF('PI-1-MarineLoading'!$G$122&lt;&gt;"Yes",0,IF(Tank4!$D$22&lt;&gt;"VCU",0,Tank4!$A$65)))</f>
        <v>0</v>
      </c>
      <c r="T36">
        <f>IF($S36=0,0,VLOOKUP($S36,Tank4!$A$32:$H$141,7,FALSE))</f>
        <v>0</v>
      </c>
      <c r="U36">
        <f>IF($S36=0,0,VLOOKUP($S36,Tank4!$A$32:$H$141,8,FALSE))</f>
        <v>0</v>
      </c>
      <c r="V36" s="281"/>
      <c r="W36" s="281"/>
      <c r="X36" s="284"/>
      <c r="Y36" s="89"/>
      <c r="AF36" s="90"/>
      <c r="AG36" s="89"/>
      <c r="AH36">
        <f>IF(OR(AI36=0,ISNUMBER(MATCH(AI36,$AI$2:AI35,0))),0,MAX($AH$2:AH35)+1)</f>
        <v>0</v>
      </c>
      <c r="AI36">
        <f>IF('PI-1-MarineLoading'!$G$115&lt;4,0,IF('PI-1-MarineLoading'!$G$123&lt;&gt;"Yes",0,IF(Tank4!$D$22&lt;&gt;"vapor oxidizer",0,Tank4!$A$65)))</f>
        <v>0</v>
      </c>
      <c r="AJ36">
        <f>IF($AI36=0,0,VLOOKUP($AI36,Tank4!$A$32:$H$141,7,FALSE))</f>
        <v>0</v>
      </c>
      <c r="AK36">
        <f>IF($AI36=0,0,VLOOKUP($AI36,Tank4!$A$32:$H$141,8,FALSE))</f>
        <v>0</v>
      </c>
      <c r="AL36" s="281"/>
      <c r="AM36" s="281"/>
      <c r="AN36" s="284"/>
      <c r="AO36" s="89"/>
      <c r="AV36" s="90"/>
      <c r="AW36" s="89"/>
      <c r="AX36">
        <f>IF(OR(AY36=0,ISNUMBER(MATCH(AY36,$AY$2:AY35,0))),0,MAX($AX$2:AX35)+1)</f>
        <v>0</v>
      </c>
      <c r="AY36">
        <f>IF('PI-1-MarineLoading'!$G$115&lt;4,0,IF('PI-1-MarineLoading'!$G$124&lt;&gt;"Yes",0,IF(Tank4!$D$22&lt;&gt;"CAS",0,Tank4!$A$65)))</f>
        <v>0</v>
      </c>
      <c r="AZ36">
        <f>IF($AY36=0,0,VLOOKUP($AY36,Tank4!$A$32:$H$141,7,FALSE))</f>
        <v>0</v>
      </c>
      <c r="BA36">
        <f>IF($AY36=0,0,VLOOKUP($AY36,Tank4!$A$32:$H$141,8,FALSE))</f>
        <v>0</v>
      </c>
      <c r="BB36" s="281"/>
      <c r="BC36" s="281"/>
      <c r="BD36" s="284"/>
      <c r="BE36" s="89"/>
      <c r="BL36" s="90"/>
    </row>
    <row r="37" spans="1:64" x14ac:dyDescent="0.2">
      <c r="A37" s="89"/>
      <c r="B37">
        <f>IF(OR(C37=0,ISNUMBER(MATCH(C37,$C$2:C36,0))),0,MAX($B$2:B36)+1)</f>
        <v>0</v>
      </c>
      <c r="C37">
        <f>IF('PI-1-MarineLoading'!$G$115&lt;4,0,IF('PI-1-MarineLoading'!$G$121&lt;&gt;"Yes",0,IF(Tank4!$D$22&lt;&gt;"flare",0,Tank4!$A$76)))</f>
        <v>0</v>
      </c>
      <c r="D37">
        <f>IF($C37=0,0,VLOOKUP($C37,Tank4!$A$32:$H$141,7,FALSE))</f>
        <v>0</v>
      </c>
      <c r="E37">
        <f>IF($C37=0,0,VLOOKUP($C37,Tank4!$A$32:$H$141,8,FALSE))</f>
        <v>0</v>
      </c>
      <c r="F37" s="281"/>
      <c r="G37" s="281"/>
      <c r="H37" s="284"/>
      <c r="I37" s="89"/>
      <c r="P37" s="90"/>
      <c r="Q37" s="89"/>
      <c r="R37">
        <f>IF(OR(S37=0,ISNUMBER(MATCH(S37,$S$2:S36,0))),0,MAX($R$2:R36)+1)</f>
        <v>0</v>
      </c>
      <c r="S37">
        <f>IF('PI-1-MarineLoading'!$G$115&lt;4,0,IF('PI-1-MarineLoading'!$G$122&lt;&gt;"Yes",0,IF(Tank4!$D$22&lt;&gt;"VCU",0,Tank4!$A$76)))</f>
        <v>0</v>
      </c>
      <c r="T37">
        <f>IF($S37=0,0,VLOOKUP($S37,Tank4!$A$32:$H$141,7,FALSE))</f>
        <v>0</v>
      </c>
      <c r="U37">
        <f>IF($S37=0,0,VLOOKUP($S37,Tank4!$A$32:$H$141,8,FALSE))</f>
        <v>0</v>
      </c>
      <c r="V37" s="281"/>
      <c r="W37" s="281"/>
      <c r="X37" s="284"/>
      <c r="Y37" s="89"/>
      <c r="AF37" s="90"/>
      <c r="AG37" s="89"/>
      <c r="AH37">
        <f>IF(OR(AI37=0,ISNUMBER(MATCH(AI37,$AI$2:AI36,0))),0,MAX($AH$2:AH36)+1)</f>
        <v>0</v>
      </c>
      <c r="AI37">
        <f>IF('PI-1-MarineLoading'!$G$115&lt;4,0,IF('PI-1-MarineLoading'!$G$123&lt;&gt;"Yes",0,IF(Tank4!$D$22&lt;&gt;"vapor oxidizer",0,Tank4!$A$76)))</f>
        <v>0</v>
      </c>
      <c r="AJ37">
        <f>IF($AI37=0,0,VLOOKUP($AI37,Tank4!$A$32:$H$141,7,FALSE))</f>
        <v>0</v>
      </c>
      <c r="AK37">
        <f>IF($AI37=0,0,VLOOKUP($AI37,Tank4!$A$32:$H$141,8,FALSE))</f>
        <v>0</v>
      </c>
      <c r="AL37" s="281"/>
      <c r="AM37" s="281"/>
      <c r="AN37" s="284"/>
      <c r="AO37" s="89"/>
      <c r="AV37" s="90"/>
      <c r="AW37" s="89"/>
      <c r="AX37">
        <f>IF(OR(AY37=0,ISNUMBER(MATCH(AY37,$AY$2:AY36,0))),0,MAX($AX$2:AX36)+1)</f>
        <v>0</v>
      </c>
      <c r="AY37">
        <f>IF('PI-1-MarineLoading'!$G$115&lt;4,0,IF('PI-1-MarineLoading'!$G$124&lt;&gt;"Yes",0,IF(Tank4!$D$22&lt;&gt;"CAS",0,Tank4!$A$76)))</f>
        <v>0</v>
      </c>
      <c r="AZ37">
        <f>IF($AY37=0,0,VLOOKUP($AY37,Tank4!$A$32:$H$141,7,FALSE))</f>
        <v>0</v>
      </c>
      <c r="BA37">
        <f>IF($AY37=0,0,VLOOKUP($AY37,Tank4!$A$32:$H$141,8,FALSE))</f>
        <v>0</v>
      </c>
      <c r="BB37" s="281"/>
      <c r="BC37" s="281"/>
      <c r="BD37" s="284"/>
      <c r="BE37" s="89"/>
      <c r="BL37" s="90"/>
    </row>
    <row r="38" spans="1:64" x14ac:dyDescent="0.2">
      <c r="A38" s="89"/>
      <c r="B38">
        <f>IF(OR(C38=0,ISNUMBER(MATCH(C38,$C$2:C37,0))),0,MAX($B$2:B37)+1)</f>
        <v>0</v>
      </c>
      <c r="C38">
        <f>IF('PI-1-MarineLoading'!$G$115&lt;4,0,IF('PI-1-MarineLoading'!$G$121&lt;&gt;"Yes",0,IF(Tank4!$D$22&lt;&gt;"flare",0,Tank4!$A$87)))</f>
        <v>0</v>
      </c>
      <c r="D38">
        <f>IF($C38=0,0,VLOOKUP($C38,Tank4!$A$32:$H$141,7,FALSE))</f>
        <v>0</v>
      </c>
      <c r="E38">
        <f>IF($C38=0,0,VLOOKUP($C38,Tank4!$A$32:$H$141,8,FALSE))</f>
        <v>0</v>
      </c>
      <c r="F38" s="281"/>
      <c r="G38" s="281"/>
      <c r="H38" s="284"/>
      <c r="I38" s="89"/>
      <c r="P38" s="90"/>
      <c r="Q38" s="89"/>
      <c r="R38">
        <f>IF(OR(S38=0,ISNUMBER(MATCH(S38,$S$2:S37,0))),0,MAX($R$2:R37)+1)</f>
        <v>0</v>
      </c>
      <c r="S38">
        <f>IF('PI-1-MarineLoading'!$G$115&lt;4,0,IF('PI-1-MarineLoading'!$G$122&lt;&gt;"Yes",0,IF(Tank4!$D$22&lt;&gt;"VCU",0,Tank4!$A$87)))</f>
        <v>0</v>
      </c>
      <c r="T38">
        <f>IF($S38=0,0,VLOOKUP($S38,Tank4!$A$32:$H$141,7,FALSE))</f>
        <v>0</v>
      </c>
      <c r="U38">
        <f>IF($S38=0,0,VLOOKUP($S38,Tank4!$A$32:$H$141,8,FALSE))</f>
        <v>0</v>
      </c>
      <c r="V38" s="281"/>
      <c r="W38" s="281"/>
      <c r="X38" s="284"/>
      <c r="Y38" s="89"/>
      <c r="AF38" s="90"/>
      <c r="AG38" s="89"/>
      <c r="AH38">
        <f>IF(OR(AI38=0,ISNUMBER(MATCH(AI38,$AI$2:AI37,0))),0,MAX($AH$2:AH37)+1)</f>
        <v>0</v>
      </c>
      <c r="AI38">
        <f>IF('PI-1-MarineLoading'!$G$115&lt;4,0,IF('PI-1-MarineLoading'!$G$123&lt;&gt;"Yes",0,IF(Tank4!$D$22&lt;&gt;"vapor oxidizer",0,Tank4!$A$87)))</f>
        <v>0</v>
      </c>
      <c r="AJ38">
        <f>IF($AI38=0,0,VLOOKUP($AI38,Tank4!$A$32:$H$141,7,FALSE))</f>
        <v>0</v>
      </c>
      <c r="AK38">
        <f>IF($AI38=0,0,VLOOKUP($AI38,Tank4!$A$32:$H$141,8,FALSE))</f>
        <v>0</v>
      </c>
      <c r="AL38" s="281"/>
      <c r="AM38" s="281"/>
      <c r="AN38" s="284"/>
      <c r="AO38" s="89"/>
      <c r="AV38" s="90"/>
      <c r="AW38" s="89"/>
      <c r="AX38">
        <f>IF(OR(AY38=0,ISNUMBER(MATCH(AY38,$AY$2:AY37,0))),0,MAX($AX$2:AX37)+1)</f>
        <v>0</v>
      </c>
      <c r="AY38">
        <f>IF('PI-1-MarineLoading'!$G$115&lt;4,0,IF('PI-1-MarineLoading'!$G$124&lt;&gt;"Yes",0,IF(Tank4!$D$22&lt;&gt;"CAS",0,Tank4!$A$87)))</f>
        <v>0</v>
      </c>
      <c r="AZ38">
        <f>IF($AY38=0,0,VLOOKUP($AY38,Tank4!$A$32:$H$141,7,FALSE))</f>
        <v>0</v>
      </c>
      <c r="BA38">
        <f>IF($AY38=0,0,VLOOKUP($AY38,Tank4!$A$32:$H$141,8,FALSE))</f>
        <v>0</v>
      </c>
      <c r="BB38" s="281"/>
      <c r="BC38" s="281"/>
      <c r="BD38" s="284"/>
      <c r="BE38" s="89"/>
      <c r="BL38" s="90"/>
    </row>
    <row r="39" spans="1:64" x14ac:dyDescent="0.2">
      <c r="A39" s="89"/>
      <c r="B39">
        <f>IF(OR(C39=0,ISNUMBER(MATCH(C39,$C$2:C38,0))),0,MAX($B$2:B38)+1)</f>
        <v>0</v>
      </c>
      <c r="C39">
        <f>IF('PI-1-MarineLoading'!$G$115&lt;4,0,IF('PI-1-MarineLoading'!$G$121&lt;&gt;"Yes",0,IF(Tank4!$D$22&lt;&gt;"flare",0,Tank4!$A$98)))</f>
        <v>0</v>
      </c>
      <c r="D39">
        <f>IF($C39=0,0,VLOOKUP($C39,Tank4!$A$32:$H$141,7,FALSE))</f>
        <v>0</v>
      </c>
      <c r="E39">
        <f>IF($C39=0,0,VLOOKUP($C39,Tank4!$A$32:$H$141,8,FALSE))</f>
        <v>0</v>
      </c>
      <c r="F39" s="281"/>
      <c r="G39" s="281"/>
      <c r="H39" s="284"/>
      <c r="I39" s="89"/>
      <c r="P39" s="90"/>
      <c r="Q39" s="89"/>
      <c r="R39">
        <f>IF(OR(S39=0,ISNUMBER(MATCH(S39,$S$2:S38,0))),0,MAX($R$2:R38)+1)</f>
        <v>0</v>
      </c>
      <c r="S39">
        <f>IF('PI-1-MarineLoading'!$G$115&lt;4,0,IF('PI-1-MarineLoading'!$G$122&lt;&gt;"Yes",0,IF(Tank4!$D$22&lt;&gt;"VCU",0,Tank4!$A$98)))</f>
        <v>0</v>
      </c>
      <c r="T39">
        <f>IF($S39=0,0,VLOOKUP($S39,Tank4!$A$32:$H$141,7,FALSE))</f>
        <v>0</v>
      </c>
      <c r="U39">
        <f>IF($S39=0,0,VLOOKUP($S39,Tank4!$A$32:$H$141,8,FALSE))</f>
        <v>0</v>
      </c>
      <c r="V39" s="281"/>
      <c r="W39" s="281"/>
      <c r="X39" s="284"/>
      <c r="Y39" s="89"/>
      <c r="AF39" s="90"/>
      <c r="AG39" s="89"/>
      <c r="AH39">
        <f>IF(OR(AI39=0,ISNUMBER(MATCH(AI39,$AI$2:AI38,0))),0,MAX($AH$2:AH38)+1)</f>
        <v>0</v>
      </c>
      <c r="AI39">
        <f>IF('PI-1-MarineLoading'!$G$115&lt;4,0,IF('PI-1-MarineLoading'!$G$123&lt;&gt;"Yes",0,IF(Tank4!$D$22&lt;&gt;"vapor oxidizer",0,Tank4!$A$98)))</f>
        <v>0</v>
      </c>
      <c r="AJ39">
        <f>IF($AI39=0,0,VLOOKUP($AI39,Tank4!$A$32:$H$141,7,FALSE))</f>
        <v>0</v>
      </c>
      <c r="AK39">
        <f>IF($AI39=0,0,VLOOKUP($AI39,Tank4!$A$32:$H$141,8,FALSE))</f>
        <v>0</v>
      </c>
      <c r="AL39" s="281"/>
      <c r="AM39" s="281"/>
      <c r="AN39" s="284"/>
      <c r="AO39" s="89"/>
      <c r="AV39" s="90"/>
      <c r="AW39" s="89"/>
      <c r="AX39">
        <f>IF(OR(AY39=0,ISNUMBER(MATCH(AY39,$AY$2:AY38,0))),0,MAX($AX$2:AX38)+1)</f>
        <v>0</v>
      </c>
      <c r="AY39">
        <f>IF('PI-1-MarineLoading'!$G$115&lt;4,0,IF('PI-1-MarineLoading'!$G$124&lt;&gt;"Yes",0,IF(Tank4!$D$22&lt;&gt;"CAS",0,Tank4!$A$98)))</f>
        <v>0</v>
      </c>
      <c r="AZ39">
        <f>IF($AY39=0,0,VLOOKUP($AY39,Tank4!$A$32:$H$141,7,FALSE))</f>
        <v>0</v>
      </c>
      <c r="BA39">
        <f>IF($AY39=0,0,VLOOKUP($AY39,Tank4!$A$32:$H$141,8,FALSE))</f>
        <v>0</v>
      </c>
      <c r="BB39" s="281"/>
      <c r="BC39" s="281"/>
      <c r="BD39" s="284"/>
      <c r="BE39" s="89"/>
      <c r="BL39" s="90"/>
    </row>
    <row r="40" spans="1:64" x14ac:dyDescent="0.2">
      <c r="A40" s="89"/>
      <c r="B40">
        <f>IF(OR(C40=0,ISNUMBER(MATCH(C40,$C$2:C39,0))),0,MAX($B$2:B39)+1)</f>
        <v>0</v>
      </c>
      <c r="C40">
        <f>IF('PI-1-MarineLoading'!$G$115&lt;4,0,IF('PI-1-MarineLoading'!$G$121&lt;&gt;"Yes",0,IF(Tank4!$D$22&lt;&gt;"flare",0,Tank4!$A$109)))</f>
        <v>0</v>
      </c>
      <c r="D40">
        <f>IF($C40=0,0,VLOOKUP($C40,Tank4!$A$32:$H$141,7,FALSE))</f>
        <v>0</v>
      </c>
      <c r="E40">
        <f>IF($C40=0,0,VLOOKUP($C40,Tank4!$A$32:$H$141,8,FALSE))</f>
        <v>0</v>
      </c>
      <c r="F40" s="281"/>
      <c r="G40" s="281"/>
      <c r="H40" s="284"/>
      <c r="I40" s="89"/>
      <c r="P40" s="90"/>
      <c r="Q40" s="89"/>
      <c r="R40">
        <f>IF(OR(S40=0,ISNUMBER(MATCH(S40,$S$2:S39,0))),0,MAX($R$2:R39)+1)</f>
        <v>0</v>
      </c>
      <c r="S40">
        <f>IF('PI-1-MarineLoading'!$G$115&lt;4,0,IF('PI-1-MarineLoading'!$G$122&lt;&gt;"Yes",0,IF(Tank4!$D$22&lt;&gt;"VCU",0,Tank4!$A$109)))</f>
        <v>0</v>
      </c>
      <c r="T40">
        <f>IF($S40=0,0,VLOOKUP($S40,Tank4!$A$32:$H$141,7,FALSE))</f>
        <v>0</v>
      </c>
      <c r="U40">
        <f>IF($S40=0,0,VLOOKUP($S40,Tank4!$A$32:$H$141,8,FALSE))</f>
        <v>0</v>
      </c>
      <c r="V40" s="281"/>
      <c r="W40" s="281"/>
      <c r="X40" s="284"/>
      <c r="Y40" s="89"/>
      <c r="AF40" s="90"/>
      <c r="AG40" s="89"/>
      <c r="AH40">
        <f>IF(OR(AI40=0,ISNUMBER(MATCH(AI40,$AI$2:AI39,0))),0,MAX($AH$2:AH39)+1)</f>
        <v>0</v>
      </c>
      <c r="AI40">
        <f>IF('PI-1-MarineLoading'!$G$115&lt;4,0,IF('PI-1-MarineLoading'!$G$123&lt;&gt;"Yes",0,IF(Tank4!$D$22&lt;&gt;"vapor oxidizer",0,Tank4!$A$109)))</f>
        <v>0</v>
      </c>
      <c r="AJ40">
        <f>IF($AI40=0,0,VLOOKUP($AI40,Tank4!$A$32:$H$141,7,FALSE))</f>
        <v>0</v>
      </c>
      <c r="AK40">
        <f>IF($AI40=0,0,VLOOKUP($AI40,Tank4!$A$32:$H$141,8,FALSE))</f>
        <v>0</v>
      </c>
      <c r="AL40" s="281"/>
      <c r="AM40" s="281"/>
      <c r="AN40" s="284"/>
      <c r="AO40" s="89"/>
      <c r="AV40" s="90"/>
      <c r="AW40" s="89"/>
      <c r="AX40">
        <f>IF(OR(AY40=0,ISNUMBER(MATCH(AY40,$AY$2:AY39,0))),0,MAX($AX$2:AX39)+1)</f>
        <v>0</v>
      </c>
      <c r="AY40">
        <f>IF('PI-1-MarineLoading'!$G$115&lt;4,0,IF('PI-1-MarineLoading'!$G$124&lt;&gt;"Yes",0,IF(Tank4!$D$22&lt;&gt;"CAS",0,Tank4!$A$109)))</f>
        <v>0</v>
      </c>
      <c r="AZ40">
        <f>IF($AY40=0,0,VLOOKUP($AY40,Tank4!$A$32:$H$141,7,FALSE))</f>
        <v>0</v>
      </c>
      <c r="BA40">
        <f>IF($AY40=0,0,VLOOKUP($AY40,Tank4!$A$32:$H$141,8,FALSE))</f>
        <v>0</v>
      </c>
      <c r="BB40" s="281"/>
      <c r="BC40" s="281"/>
      <c r="BD40" s="284"/>
      <c r="BE40" s="89"/>
      <c r="BL40" s="90"/>
    </row>
    <row r="41" spans="1:64" x14ac:dyDescent="0.2">
      <c r="A41" s="89"/>
      <c r="B41">
        <f>IF(OR(C41=0,ISNUMBER(MATCH(C41,$C$2:C40,0))),0,MAX($B$2:B40)+1)</f>
        <v>0</v>
      </c>
      <c r="C41">
        <f>IF('PI-1-MarineLoading'!$G$115&lt;4,0,IF('PI-1-MarineLoading'!$G$121&lt;&gt;"Yes",0,IF(Tank4!$D$22&lt;&gt;"flare",0,Tank4!$A$120)))</f>
        <v>0</v>
      </c>
      <c r="D41">
        <f>IF($C41=0,0,VLOOKUP($C41,Tank4!$A$32:$H$141,7,FALSE))</f>
        <v>0</v>
      </c>
      <c r="E41">
        <f>IF($C41=0,0,VLOOKUP($C41,Tank4!$A$32:$H$141,8,FALSE))</f>
        <v>0</v>
      </c>
      <c r="F41" s="281"/>
      <c r="G41" s="281"/>
      <c r="H41" s="284"/>
      <c r="I41" s="89"/>
      <c r="P41" s="90"/>
      <c r="Q41" s="89"/>
      <c r="R41">
        <f>IF(OR(S41=0,ISNUMBER(MATCH(S41,$S$2:S40,0))),0,MAX($R$2:R40)+1)</f>
        <v>0</v>
      </c>
      <c r="S41">
        <f>IF('PI-1-MarineLoading'!$G$115&lt;4,0,IF('PI-1-MarineLoading'!$G$122&lt;&gt;"Yes",0,IF(Tank4!$D$22&lt;&gt;"VCU",0,Tank4!$A$120)))</f>
        <v>0</v>
      </c>
      <c r="T41">
        <f>IF($S41=0,0,VLOOKUP($S41,Tank4!$A$32:$H$141,7,FALSE))</f>
        <v>0</v>
      </c>
      <c r="U41">
        <f>IF($S41=0,0,VLOOKUP($S41,Tank4!$A$32:$H$141,8,FALSE))</f>
        <v>0</v>
      </c>
      <c r="V41" s="281"/>
      <c r="W41" s="281"/>
      <c r="X41" s="284"/>
      <c r="Y41" s="89"/>
      <c r="AF41" s="90"/>
      <c r="AG41" s="89"/>
      <c r="AH41">
        <f>IF(OR(AI41=0,ISNUMBER(MATCH(AI41,$AI$2:AI40,0))),0,MAX($AH$2:AH40)+1)</f>
        <v>0</v>
      </c>
      <c r="AI41">
        <f>IF('PI-1-MarineLoading'!$G$115&lt;4,0,IF('PI-1-MarineLoading'!$G$123&lt;&gt;"Yes",0,IF(Tank4!$D$22&lt;&gt;"vapor oxidizer",0,Tank4!$A$120)))</f>
        <v>0</v>
      </c>
      <c r="AJ41">
        <f>IF($AI41=0,0,VLOOKUP($AI41,Tank4!$A$32:$H$141,7,FALSE))</f>
        <v>0</v>
      </c>
      <c r="AK41">
        <f>IF($AI41=0,0,VLOOKUP($AI41,Tank4!$A$32:$H$141,8,FALSE))</f>
        <v>0</v>
      </c>
      <c r="AL41" s="281"/>
      <c r="AM41" s="281"/>
      <c r="AN41" s="284"/>
      <c r="AO41" s="89"/>
      <c r="AV41" s="90"/>
      <c r="AW41" s="89"/>
      <c r="AX41">
        <f>IF(OR(AY41=0,ISNUMBER(MATCH(AY41,$AY$2:AY40,0))),0,MAX($AX$2:AX40)+1)</f>
        <v>0</v>
      </c>
      <c r="AY41">
        <f>IF('PI-1-MarineLoading'!$G$115&lt;4,0,IF('PI-1-MarineLoading'!$G$124&lt;&gt;"Yes",0,IF(Tank4!$D$22&lt;&gt;"CAS",0,Tank4!$A$120)))</f>
        <v>0</v>
      </c>
      <c r="AZ41">
        <f>IF($AY41=0,0,VLOOKUP($AY41,Tank4!$A$32:$H$141,7,FALSE))</f>
        <v>0</v>
      </c>
      <c r="BA41">
        <f>IF($AY41=0,0,VLOOKUP($AY41,Tank4!$A$32:$H$141,8,FALSE))</f>
        <v>0</v>
      </c>
      <c r="BB41" s="281"/>
      <c r="BC41" s="281"/>
      <c r="BD41" s="284"/>
      <c r="BE41" s="89"/>
      <c r="BL41" s="90"/>
    </row>
    <row r="42" spans="1:64" ht="15" thickBot="1" x14ac:dyDescent="0.25">
      <c r="A42" s="91"/>
      <c r="B42" s="92">
        <f>IF(OR(C42=0,ISNUMBER(MATCH(C42,$C$2:C41,0))),0,MAX($B$2:B41)+1)</f>
        <v>0</v>
      </c>
      <c r="C42" s="92">
        <f>IF('PI-1-MarineLoading'!$G$115&lt;4,0,IF('PI-1-MarineLoading'!$G$121&lt;&gt;"Yes",0,IF(Tank4!$D$22&lt;&gt;"flare",0,Tank4!$A$131)))</f>
        <v>0</v>
      </c>
      <c r="D42" s="92">
        <f>IF($C42=0,0,VLOOKUP($C42,Tank4!$A$32:$H$141,7,FALSE))</f>
        <v>0</v>
      </c>
      <c r="E42" s="92">
        <f>IF($C42=0,0,VLOOKUP($C42,Tank4!$A$32:$H$141,8,FALSE))</f>
        <v>0</v>
      </c>
      <c r="F42" s="282"/>
      <c r="G42" s="282"/>
      <c r="H42" s="285"/>
      <c r="I42" s="91"/>
      <c r="J42" s="92"/>
      <c r="K42" s="92"/>
      <c r="L42" s="92"/>
      <c r="M42" s="92"/>
      <c r="N42" s="92"/>
      <c r="O42" s="92"/>
      <c r="P42" s="50"/>
      <c r="Q42" s="91"/>
      <c r="R42" s="92">
        <f>IF(OR(S42=0,ISNUMBER(MATCH(S42,$S$2:S41,0))),0,MAX($R$2:R41)+1)</f>
        <v>0</v>
      </c>
      <c r="S42" s="92">
        <f>IF('PI-1-MarineLoading'!$G$115&lt;4,0,IF('PI-1-MarineLoading'!$G$122&lt;&gt;"Yes",0,IF(Tank4!$D$22&lt;&gt;"VCU",0,Tank4!$A$131)))</f>
        <v>0</v>
      </c>
      <c r="T42" s="92">
        <f>IF($S42=0,0,VLOOKUP($S42,Tank4!$A$32:$H$141,7,FALSE))</f>
        <v>0</v>
      </c>
      <c r="U42" s="92">
        <f>IF($S42=0,0,VLOOKUP($S42,Tank4!$A$32:$H$141,8,FALSE))</f>
        <v>0</v>
      </c>
      <c r="V42" s="282"/>
      <c r="W42" s="282"/>
      <c r="X42" s="285"/>
      <c r="Y42" s="91"/>
      <c r="Z42" s="92"/>
      <c r="AA42" s="92"/>
      <c r="AB42" s="92"/>
      <c r="AC42" s="92"/>
      <c r="AD42" s="92"/>
      <c r="AE42" s="92"/>
      <c r="AF42" s="50"/>
      <c r="AG42" s="91"/>
      <c r="AH42" s="92">
        <f>IF(OR(AI42=0,ISNUMBER(MATCH(AI42,$AI$2:AI41,0))),0,MAX($AH$2:AH41)+1)</f>
        <v>0</v>
      </c>
      <c r="AI42" s="92">
        <f>IF('PI-1-MarineLoading'!$G$115&lt;4,0,IF('PI-1-MarineLoading'!$G$123&lt;&gt;"Yes",0,IF(Tank4!$D$22&lt;&gt;"vapor oxidizer",0,Tank4!$A$131)))</f>
        <v>0</v>
      </c>
      <c r="AJ42" s="92">
        <f>IF($AI42=0,0,VLOOKUP($AI42,Tank4!$A$32:$H$141,7,FALSE))</f>
        <v>0</v>
      </c>
      <c r="AK42" s="92">
        <f>IF($AI42=0,0,VLOOKUP($AI42,Tank4!$A$32:$H$141,8,FALSE))</f>
        <v>0</v>
      </c>
      <c r="AL42" s="282"/>
      <c r="AM42" s="282"/>
      <c r="AN42" s="285"/>
      <c r="AO42" s="91"/>
      <c r="AP42" s="92"/>
      <c r="AQ42" s="92"/>
      <c r="AR42" s="92"/>
      <c r="AS42" s="92"/>
      <c r="AT42" s="92"/>
      <c r="AU42" s="92"/>
      <c r="AV42" s="50"/>
      <c r="AW42" s="91"/>
      <c r="AX42" s="92">
        <f>IF(OR(AY42=0,ISNUMBER(MATCH(AY42,$AY$2:AY41,0))),0,MAX($AX$2:AX41)+1)</f>
        <v>0</v>
      </c>
      <c r="AY42" s="92">
        <f>IF('PI-1-MarineLoading'!$G$115&lt;4,0,IF('PI-1-MarineLoading'!$G$124&lt;&gt;"Yes",0,IF(Tank4!$D$22&lt;&gt;"CAS",0,Tank4!$A$131)))</f>
        <v>0</v>
      </c>
      <c r="AZ42" s="92">
        <f>IF($AY42=0,0,VLOOKUP($AY42,Tank4!$A$32:$H$141,7,FALSE))</f>
        <v>0</v>
      </c>
      <c r="BA42" s="92">
        <f>IF($AY42=0,0,VLOOKUP($AY42,Tank4!$A$32:$H$141,8,FALSE))</f>
        <v>0</v>
      </c>
      <c r="BB42" s="282"/>
      <c r="BC42" s="282"/>
      <c r="BD42" s="285"/>
      <c r="BE42" s="91"/>
      <c r="BF42" s="92"/>
      <c r="BG42" s="92"/>
      <c r="BH42" s="92"/>
      <c r="BI42" s="92"/>
      <c r="BJ42" s="92"/>
      <c r="BK42" s="92"/>
      <c r="BL42" s="50"/>
    </row>
    <row r="43" spans="1:64" x14ac:dyDescent="0.2">
      <c r="A43" s="86" t="s">
        <v>8710</v>
      </c>
      <c r="B43" s="87">
        <f>IF(OR(C43=0,ISNUMBER(MATCH(C43,$C$2:C42,0))),0,MAX($B$2:B42)+1)</f>
        <v>0</v>
      </c>
      <c r="C43" s="87">
        <f>IF('PI-1-MarineLoading'!$G$115&lt;5,0,IF('PI-1-MarineLoading'!$G$121&lt;&gt;"Yes",0,IF(Tank5!$D$22&lt;&gt;"flare",0,Tank5!$A$32)))</f>
        <v>0</v>
      </c>
      <c r="D43" s="87">
        <f>IF($C43=0,0,VLOOKUP($C43,Tank5!$A$32:$H$141,7,FALSE))</f>
        <v>0</v>
      </c>
      <c r="E43" s="87">
        <f>IF($C43=0,0,VLOOKUP($C43,Tank5!$A$32:$H$141,8,FALSE))</f>
        <v>0</v>
      </c>
      <c r="F43" s="280"/>
      <c r="G43" s="280"/>
      <c r="H43" s="283"/>
      <c r="I43" s="279" t="s">
        <v>10566</v>
      </c>
      <c r="J43" s="87"/>
      <c r="K43" s="87"/>
      <c r="L43" s="87"/>
      <c r="M43" s="87"/>
      <c r="N43" s="87"/>
      <c r="O43" s="87"/>
      <c r="P43" s="88"/>
      <c r="Q43" s="86" t="s">
        <v>8710</v>
      </c>
      <c r="R43" s="87">
        <f>IF(OR(S43=0,ISNUMBER(MATCH(S43,$S$2:S42,0))),0,MAX($R$2:R42)+1)</f>
        <v>0</v>
      </c>
      <c r="S43" s="87">
        <f>IF('PI-1-MarineLoading'!$G$115&lt;5,0,IF('PI-1-MarineLoading'!$G$122&lt;&gt;"Yes",0,IF(Tank5!$D$22&lt;&gt;"VCU",0,Tank5!$A$32)))</f>
        <v>0</v>
      </c>
      <c r="T43" s="87">
        <f>IF($S43=0,0,VLOOKUP($S43,Tank5!$A$32:$H$141,7,FALSE))</f>
        <v>0</v>
      </c>
      <c r="U43" s="87">
        <f>IF($S43=0,0,VLOOKUP($S43,Tank5!$A$32:$H$141,8,FALSE))</f>
        <v>0</v>
      </c>
      <c r="V43" s="280"/>
      <c r="W43" s="280"/>
      <c r="X43" s="283"/>
      <c r="Y43" s="279" t="s">
        <v>10566</v>
      </c>
      <c r="Z43" s="87"/>
      <c r="AA43" s="87"/>
      <c r="AB43" s="87"/>
      <c r="AC43" s="87"/>
      <c r="AD43" s="87"/>
      <c r="AE43" s="87"/>
      <c r="AF43" s="88"/>
      <c r="AG43" s="86" t="s">
        <v>8710</v>
      </c>
      <c r="AH43" s="87">
        <f>IF(OR(AI43=0,ISNUMBER(MATCH(AI43,$AI$2:AI42,0))),0,MAX($AH$2:AH42)+1)</f>
        <v>0</v>
      </c>
      <c r="AI43" s="87">
        <f>IF('PI-1-MarineLoading'!$G$115&lt;5,0,IF('PI-1-MarineLoading'!$G$123&lt;&gt;"Yes",0,IF(Tank5!$D$22&lt;&gt;"vapor oxidizer",0,Tank5!$A$32)))</f>
        <v>0</v>
      </c>
      <c r="AJ43" s="87">
        <f>IF($AI43=0,0,VLOOKUP($AI43,Tank5!$A$32:$H$141,7,FALSE))</f>
        <v>0</v>
      </c>
      <c r="AK43" s="87">
        <f>IF($AI43=0,0,VLOOKUP($AI43,Tank5!$A$32:$H$141,8,FALSE))</f>
        <v>0</v>
      </c>
      <c r="AL43" s="280"/>
      <c r="AM43" s="280"/>
      <c r="AN43" s="283"/>
      <c r="AO43" s="279" t="s">
        <v>10566</v>
      </c>
      <c r="AP43" s="87"/>
      <c r="AQ43" s="87"/>
      <c r="AR43" s="87"/>
      <c r="AS43" s="87"/>
      <c r="AT43" s="87"/>
      <c r="AU43" s="87"/>
      <c r="AV43" s="88"/>
      <c r="AW43" s="86" t="s">
        <v>8710</v>
      </c>
      <c r="AX43" s="87">
        <f>IF(OR(AY43=0,ISNUMBER(MATCH(AY43,$AY$2:AY42,0))),0,MAX($AX$2:AX42)+1)</f>
        <v>0</v>
      </c>
      <c r="AY43" s="87">
        <f>IF('PI-1-MarineLoading'!$G$115&lt;5,0,IF('PI-1-MarineLoading'!$G$124&lt;&gt;"Yes",0,IF(Tank5!$D$22&lt;&gt;"CAS",0,Tank5!$A$32)))</f>
        <v>0</v>
      </c>
      <c r="AZ43" s="87">
        <f>IF($AY43=0,0,VLOOKUP($AY43,Tank5!$A$32:$H$141,7,FALSE))</f>
        <v>0</v>
      </c>
      <c r="BA43" s="87">
        <f>IF($AY43=0,0,VLOOKUP($AY43,Tank5!$A$32:$H$141,8,FALSE))</f>
        <v>0</v>
      </c>
      <c r="BB43" s="280"/>
      <c r="BC43" s="280"/>
      <c r="BD43" s="283"/>
      <c r="BE43" s="279" t="s">
        <v>10566</v>
      </c>
      <c r="BF43" s="87"/>
      <c r="BG43" s="87"/>
      <c r="BH43" s="87"/>
      <c r="BI43" s="87"/>
      <c r="BJ43" s="87"/>
      <c r="BK43" s="87"/>
      <c r="BL43" s="88"/>
    </row>
    <row r="44" spans="1:64" x14ac:dyDescent="0.2">
      <c r="A44" s="89"/>
      <c r="B44">
        <f>IF(OR(C44=0,ISNUMBER(MATCH(C44,$C$2:C43,0))),0,MAX($B$2:B43)+1)</f>
        <v>0</v>
      </c>
      <c r="C44">
        <f>IF('PI-1-MarineLoading'!$G$115&lt;5,0,IF('PI-1-MarineLoading'!$G$121&lt;&gt;"Yes",0,IF(Tank5!$D$22&lt;&gt;"flare",0,Tank5!$A$43)))</f>
        <v>0</v>
      </c>
      <c r="D44">
        <f>IF($C44=0,0,VLOOKUP($C44,Tank5!$A$32:$H$141,7,FALSE))</f>
        <v>0</v>
      </c>
      <c r="E44">
        <f>IF($C44=0,0,VLOOKUP($C44,Tank5!$A$32:$H$141,8,FALSE))</f>
        <v>0</v>
      </c>
      <c r="F44" s="281"/>
      <c r="G44" s="281"/>
      <c r="H44" s="284"/>
      <c r="I44" s="89"/>
      <c r="P44" s="90"/>
      <c r="Q44" s="89"/>
      <c r="R44">
        <f>IF(OR(S44=0,ISNUMBER(MATCH(S44,$S$2:S43,0))),0,MAX($R$2:R43)+1)</f>
        <v>0</v>
      </c>
      <c r="S44">
        <f>IF('PI-1-MarineLoading'!$G$115&lt;5,0,IF('PI-1-MarineLoading'!$G$122&lt;&gt;"Yes",0,IF(Tank5!$D$22&lt;&gt;"VCU",0,Tank5!$A$43)))</f>
        <v>0</v>
      </c>
      <c r="T44">
        <f>IF($S44=0,0,VLOOKUP($S44,Tank5!$A$32:$H$141,7,FALSE))</f>
        <v>0</v>
      </c>
      <c r="U44">
        <f>IF($S44=0,0,VLOOKUP($S44,Tank5!$A$32:$H$141,8,FALSE))</f>
        <v>0</v>
      </c>
      <c r="V44" s="281"/>
      <c r="W44" s="281"/>
      <c r="X44" s="284"/>
      <c r="Y44" s="89"/>
      <c r="AF44" s="90"/>
      <c r="AG44" s="89"/>
      <c r="AH44">
        <f>IF(OR(AI44=0,ISNUMBER(MATCH(AI44,$AI$2:AI43,0))),0,MAX($AH$2:AH43)+1)</f>
        <v>0</v>
      </c>
      <c r="AI44">
        <f>IF('PI-1-MarineLoading'!$G$115&lt;5,0,IF('PI-1-MarineLoading'!$G$123&lt;&gt;"Yes",0,IF(Tank5!$D$22&lt;&gt;"vapor oxidizer",0,Tank5!$A$43)))</f>
        <v>0</v>
      </c>
      <c r="AJ44">
        <f>IF($AI44=0,0,VLOOKUP($AI44,Tank5!$A$32:$H$141,7,FALSE))</f>
        <v>0</v>
      </c>
      <c r="AK44">
        <f>IF($AI44=0,0,VLOOKUP($AI44,Tank5!$A$32:$H$141,8,FALSE))</f>
        <v>0</v>
      </c>
      <c r="AL44" s="281"/>
      <c r="AM44" s="281"/>
      <c r="AN44" s="284"/>
      <c r="AO44" s="89"/>
      <c r="AV44" s="90"/>
      <c r="AW44" s="89"/>
      <c r="AX44">
        <f>IF(OR(AY44=0,ISNUMBER(MATCH(AY44,$AY$2:AY43,0))),0,MAX($AX$2:AX43)+1)</f>
        <v>0</v>
      </c>
      <c r="AY44">
        <f>IF('PI-1-MarineLoading'!$G$115&lt;5,0,IF('PI-1-MarineLoading'!$G$124&lt;&gt;"Yes",0,IF(Tank5!$D$22&lt;&gt;"CAS",0,Tank5!$A$43)))</f>
        <v>0</v>
      </c>
      <c r="AZ44">
        <f>IF($AY44=0,0,VLOOKUP($AY44,Tank5!$A$32:$H$141,7,FALSE))</f>
        <v>0</v>
      </c>
      <c r="BA44">
        <f>IF($AY44=0,0,VLOOKUP($AY44,Tank5!$A$32:$H$141,8,FALSE))</f>
        <v>0</v>
      </c>
      <c r="BB44" s="281"/>
      <c r="BC44" s="281"/>
      <c r="BD44" s="284"/>
      <c r="BE44" s="89"/>
      <c r="BL44" s="90"/>
    </row>
    <row r="45" spans="1:64" x14ac:dyDescent="0.2">
      <c r="A45" s="89"/>
      <c r="B45">
        <f>IF(OR(C45=0,ISNUMBER(MATCH(C45,$C$2:C44,0))),0,MAX($B$2:B44)+1)</f>
        <v>0</v>
      </c>
      <c r="C45">
        <f>IF('PI-1-MarineLoading'!$G$115&lt;5,0,IF('PI-1-MarineLoading'!$G$121&lt;&gt;"Yes",0,IF(Tank5!$D$22&lt;&gt;"flare",0,Tank5!$A$54)))</f>
        <v>0</v>
      </c>
      <c r="D45">
        <f>IF($C45=0,0,VLOOKUP($C45,Tank5!$A$32:$H$141,7,FALSE))</f>
        <v>0</v>
      </c>
      <c r="E45">
        <f>IF($C45=0,0,VLOOKUP($C45,Tank5!$A$32:$H$141,8,FALSE))</f>
        <v>0</v>
      </c>
      <c r="F45" s="281"/>
      <c r="G45" s="281"/>
      <c r="H45" s="284"/>
      <c r="I45" s="89"/>
      <c r="P45" s="90"/>
      <c r="Q45" s="89"/>
      <c r="R45">
        <f>IF(OR(S45=0,ISNUMBER(MATCH(S45,$S$2:S44,0))),0,MAX($R$2:R44)+1)</f>
        <v>0</v>
      </c>
      <c r="S45">
        <f>IF('PI-1-MarineLoading'!$G$115&lt;5,0,IF('PI-1-MarineLoading'!$G$122&lt;&gt;"Yes",0,IF(Tank5!$D$22&lt;&gt;"VCU",0,Tank5!$A$54)))</f>
        <v>0</v>
      </c>
      <c r="T45">
        <f>IF($S45=0,0,VLOOKUP($S45,Tank5!$A$32:$H$141,7,FALSE))</f>
        <v>0</v>
      </c>
      <c r="U45">
        <f>IF($S45=0,0,VLOOKUP($S45,Tank5!$A$32:$H$141,8,FALSE))</f>
        <v>0</v>
      </c>
      <c r="V45" s="281"/>
      <c r="W45" s="281"/>
      <c r="X45" s="284"/>
      <c r="Y45" s="89"/>
      <c r="AF45" s="90"/>
      <c r="AG45" s="89"/>
      <c r="AH45">
        <f>IF(OR(AI45=0,ISNUMBER(MATCH(AI45,$AI$2:AI44,0))),0,MAX($AH$2:AH44)+1)</f>
        <v>0</v>
      </c>
      <c r="AI45">
        <f>IF('PI-1-MarineLoading'!$G$115&lt;5,0,IF('PI-1-MarineLoading'!$G$123&lt;&gt;"Yes",0,IF(Tank5!$D$22&lt;&gt;"vapor oxidizer",0,Tank5!$A$54)))</f>
        <v>0</v>
      </c>
      <c r="AJ45">
        <f>IF($AI45=0,0,VLOOKUP($AI45,Tank5!$A$32:$H$141,7,FALSE))</f>
        <v>0</v>
      </c>
      <c r="AK45">
        <f>IF($AI45=0,0,VLOOKUP($AI45,Tank5!$A$32:$H$141,8,FALSE))</f>
        <v>0</v>
      </c>
      <c r="AL45" s="281"/>
      <c r="AM45" s="281"/>
      <c r="AN45" s="284"/>
      <c r="AO45" s="89"/>
      <c r="AV45" s="90"/>
      <c r="AW45" s="89"/>
      <c r="AX45">
        <f>IF(OR(AY45=0,ISNUMBER(MATCH(AY45,$AY$2:AY44,0))),0,MAX($AX$2:AX44)+1)</f>
        <v>0</v>
      </c>
      <c r="AY45">
        <f>IF('PI-1-MarineLoading'!$G$115&lt;5,0,IF('PI-1-MarineLoading'!$G$124&lt;&gt;"Yes",0,IF(Tank5!$D$22&lt;&gt;"CAS",0,Tank5!$A$54)))</f>
        <v>0</v>
      </c>
      <c r="AZ45">
        <f>IF($AY45=0,0,VLOOKUP($AY45,Tank5!$A$32:$H$141,7,FALSE))</f>
        <v>0</v>
      </c>
      <c r="BA45">
        <f>IF($AY45=0,0,VLOOKUP($AY45,Tank5!$A$32:$H$141,8,FALSE))</f>
        <v>0</v>
      </c>
      <c r="BB45" s="281"/>
      <c r="BC45" s="281"/>
      <c r="BD45" s="284"/>
      <c r="BE45" s="89"/>
      <c r="BL45" s="90"/>
    </row>
    <row r="46" spans="1:64" x14ac:dyDescent="0.2">
      <c r="A46" s="89"/>
      <c r="B46">
        <f>IF(OR(C46=0,ISNUMBER(MATCH(C46,$C$2:C45,0))),0,MAX($B$2:B45)+1)</f>
        <v>0</v>
      </c>
      <c r="C46">
        <f>IF('PI-1-MarineLoading'!$G$115&lt;5,0,IF('PI-1-MarineLoading'!$G$121&lt;&gt;"Yes",0,IF(Tank5!$D$22&lt;&gt;"flare",0,Tank5!$A$65)))</f>
        <v>0</v>
      </c>
      <c r="D46">
        <f>IF($C46=0,0,VLOOKUP($C46,Tank5!$A$32:$H$141,7,FALSE))</f>
        <v>0</v>
      </c>
      <c r="E46">
        <f>IF($C46=0,0,VLOOKUP($C46,Tank5!$A$32:$H$141,8,FALSE))</f>
        <v>0</v>
      </c>
      <c r="F46" s="281"/>
      <c r="G46" s="281"/>
      <c r="H46" s="284"/>
      <c r="I46" s="89"/>
      <c r="P46" s="90"/>
      <c r="Q46" s="89"/>
      <c r="R46">
        <f>IF(OR(S46=0,ISNUMBER(MATCH(S46,$S$2:S45,0))),0,MAX($R$2:R45)+1)</f>
        <v>0</v>
      </c>
      <c r="S46">
        <f>IF('PI-1-MarineLoading'!$G$115&lt;5,0,IF('PI-1-MarineLoading'!$G$122&lt;&gt;"Yes",0,IF(Tank5!$D$22&lt;&gt;"VCU",0,Tank5!$A$65)))</f>
        <v>0</v>
      </c>
      <c r="T46">
        <f>IF($S46=0,0,VLOOKUP($S46,Tank5!$A$32:$H$141,7,FALSE))</f>
        <v>0</v>
      </c>
      <c r="U46">
        <f>IF($S46=0,0,VLOOKUP($S46,Tank5!$A$32:$H$141,8,FALSE))</f>
        <v>0</v>
      </c>
      <c r="V46" s="281"/>
      <c r="W46" s="281"/>
      <c r="X46" s="284"/>
      <c r="Y46" s="89"/>
      <c r="AF46" s="90"/>
      <c r="AG46" s="89"/>
      <c r="AH46">
        <f>IF(OR(AI46=0,ISNUMBER(MATCH(AI46,$AI$2:AI45,0))),0,MAX($AH$2:AH45)+1)</f>
        <v>0</v>
      </c>
      <c r="AI46">
        <f>IF('PI-1-MarineLoading'!$G$115&lt;5,0,IF('PI-1-MarineLoading'!$G$123&lt;&gt;"Yes",0,IF(Tank5!$D$22&lt;&gt;"vapor oxidizer",0,Tank5!$A$65)))</f>
        <v>0</v>
      </c>
      <c r="AJ46">
        <f>IF($AI46=0,0,VLOOKUP($AI46,Tank5!$A$32:$H$141,7,FALSE))</f>
        <v>0</v>
      </c>
      <c r="AK46">
        <f>IF($AI46=0,0,VLOOKUP($AI46,Tank5!$A$32:$H$141,8,FALSE))</f>
        <v>0</v>
      </c>
      <c r="AL46" s="281"/>
      <c r="AM46" s="281"/>
      <c r="AN46" s="284"/>
      <c r="AO46" s="89"/>
      <c r="AV46" s="90"/>
      <c r="AW46" s="89"/>
      <c r="AX46">
        <f>IF(OR(AY46=0,ISNUMBER(MATCH(AY46,$AY$2:AY45,0))),0,MAX($AX$2:AX45)+1)</f>
        <v>0</v>
      </c>
      <c r="AY46">
        <f>IF('PI-1-MarineLoading'!$G$115&lt;5,0,IF('PI-1-MarineLoading'!$G$124&lt;&gt;"Yes",0,IF(Tank5!$D$22&lt;&gt;"CAS",0,Tank5!$A$65)))</f>
        <v>0</v>
      </c>
      <c r="AZ46">
        <f>IF($AY46=0,0,VLOOKUP($AY46,Tank5!$A$32:$H$141,7,FALSE))</f>
        <v>0</v>
      </c>
      <c r="BA46">
        <f>IF($AY46=0,0,VLOOKUP($AY46,Tank5!$A$32:$H$141,8,FALSE))</f>
        <v>0</v>
      </c>
      <c r="BB46" s="281"/>
      <c r="BC46" s="281"/>
      <c r="BD46" s="284"/>
      <c r="BE46" s="89"/>
      <c r="BL46" s="90"/>
    </row>
    <row r="47" spans="1:64" x14ac:dyDescent="0.2">
      <c r="A47" s="89"/>
      <c r="B47">
        <f>IF(OR(C47=0,ISNUMBER(MATCH(C47,$C$2:C46,0))),0,MAX($B$2:B46)+1)</f>
        <v>0</v>
      </c>
      <c r="C47">
        <f>IF('PI-1-MarineLoading'!$G$115&lt;5,0,IF('PI-1-MarineLoading'!$G$121&lt;&gt;"Yes",0,IF(Tank5!$D$22&lt;&gt;"flare",0,Tank5!$A$76)))</f>
        <v>0</v>
      </c>
      <c r="D47">
        <f>IF($C47=0,0,VLOOKUP($C47,Tank5!$A$32:$H$141,7,FALSE))</f>
        <v>0</v>
      </c>
      <c r="E47">
        <f>IF($C47=0,0,VLOOKUP($C47,Tank5!$A$32:$H$141,8,FALSE))</f>
        <v>0</v>
      </c>
      <c r="F47" s="281"/>
      <c r="G47" s="281"/>
      <c r="H47" s="284"/>
      <c r="I47" s="89"/>
      <c r="P47" s="90"/>
      <c r="Q47" s="89"/>
      <c r="R47">
        <f>IF(OR(S47=0,ISNUMBER(MATCH(S47,$S$2:S46,0))),0,MAX($R$2:R46)+1)</f>
        <v>0</v>
      </c>
      <c r="S47">
        <f>IF('PI-1-MarineLoading'!$G$115&lt;5,0,IF('PI-1-MarineLoading'!$G$122&lt;&gt;"Yes",0,IF(Tank5!$D$22&lt;&gt;"VCU",0,Tank5!$A$76)))</f>
        <v>0</v>
      </c>
      <c r="T47">
        <f>IF($S47=0,0,VLOOKUP($S47,Tank5!$A$32:$H$141,7,FALSE))</f>
        <v>0</v>
      </c>
      <c r="U47">
        <f>IF($S47=0,0,VLOOKUP($S47,Tank5!$A$32:$H$141,8,FALSE))</f>
        <v>0</v>
      </c>
      <c r="V47" s="281"/>
      <c r="W47" s="281"/>
      <c r="X47" s="284"/>
      <c r="Y47" s="89"/>
      <c r="AF47" s="90"/>
      <c r="AG47" s="89"/>
      <c r="AH47">
        <f>IF(OR(AI47=0,ISNUMBER(MATCH(AI47,$AI$2:AI46,0))),0,MAX($AH$2:AH46)+1)</f>
        <v>0</v>
      </c>
      <c r="AI47">
        <f>IF('PI-1-MarineLoading'!$G$115&lt;5,0,IF('PI-1-MarineLoading'!$G$123&lt;&gt;"Yes",0,IF(Tank5!$D$22&lt;&gt;"vapor oxidizer",0,Tank5!$A$76)))</f>
        <v>0</v>
      </c>
      <c r="AJ47">
        <f>IF($AI47=0,0,VLOOKUP($AI47,Tank5!$A$32:$H$141,7,FALSE))</f>
        <v>0</v>
      </c>
      <c r="AK47">
        <f>IF($AI47=0,0,VLOOKUP($AI47,Tank5!$A$32:$H$141,8,FALSE))</f>
        <v>0</v>
      </c>
      <c r="AL47" s="281"/>
      <c r="AM47" s="281"/>
      <c r="AN47" s="284"/>
      <c r="AO47" s="89"/>
      <c r="AV47" s="90"/>
      <c r="AW47" s="89"/>
      <c r="AX47">
        <f>IF(OR(AY47=0,ISNUMBER(MATCH(AY47,$AY$2:AY46,0))),0,MAX($AX$2:AX46)+1)</f>
        <v>0</v>
      </c>
      <c r="AY47">
        <f>IF('PI-1-MarineLoading'!$G$115&lt;5,0,IF('PI-1-MarineLoading'!$G$124&lt;&gt;"Yes",0,IF(Tank5!$D$22&lt;&gt;"CAS",0,Tank5!$A$76)))</f>
        <v>0</v>
      </c>
      <c r="AZ47">
        <f>IF($AY47=0,0,VLOOKUP($AY47,Tank5!$A$32:$H$141,7,FALSE))</f>
        <v>0</v>
      </c>
      <c r="BA47">
        <f>IF($AY47=0,0,VLOOKUP($AY47,Tank5!$A$32:$H$141,8,FALSE))</f>
        <v>0</v>
      </c>
      <c r="BB47" s="281"/>
      <c r="BC47" s="281"/>
      <c r="BD47" s="284"/>
      <c r="BE47" s="89"/>
      <c r="BL47" s="90"/>
    </row>
    <row r="48" spans="1:64" x14ac:dyDescent="0.2">
      <c r="A48" s="89"/>
      <c r="B48">
        <f>IF(OR(C48=0,ISNUMBER(MATCH(C48,$C$2:C47,0))),0,MAX($B$2:B47)+1)</f>
        <v>0</v>
      </c>
      <c r="C48">
        <f>IF('PI-1-MarineLoading'!$G$115&lt;5,0,IF('PI-1-MarineLoading'!$G$121&lt;&gt;"Yes",0,IF(Tank5!$D$22&lt;&gt;"flare",0,Tank5!$A$87)))</f>
        <v>0</v>
      </c>
      <c r="D48">
        <f>IF($C48=0,0,VLOOKUP($C48,Tank5!$A$32:$H$141,7,FALSE))</f>
        <v>0</v>
      </c>
      <c r="E48">
        <f>IF($C48=0,0,VLOOKUP($C48,Tank5!$A$32:$H$141,8,FALSE))</f>
        <v>0</v>
      </c>
      <c r="F48" s="281"/>
      <c r="G48" s="281"/>
      <c r="H48" s="284"/>
      <c r="I48" s="89"/>
      <c r="P48" s="90"/>
      <c r="Q48" s="89"/>
      <c r="R48">
        <f>IF(OR(S48=0,ISNUMBER(MATCH(S48,$S$2:S47,0))),0,MAX($R$2:R47)+1)</f>
        <v>0</v>
      </c>
      <c r="S48">
        <f>IF('PI-1-MarineLoading'!$G$115&lt;5,0,IF('PI-1-MarineLoading'!$G$122&lt;&gt;"Yes",0,IF(Tank5!$D$22&lt;&gt;"VCU",0,Tank5!$A$87)))</f>
        <v>0</v>
      </c>
      <c r="T48">
        <f>IF($S48=0,0,VLOOKUP($S48,Tank5!$A$32:$H$141,7,FALSE))</f>
        <v>0</v>
      </c>
      <c r="U48">
        <f>IF($S48=0,0,VLOOKUP($S48,Tank5!$A$32:$H$141,8,FALSE))</f>
        <v>0</v>
      </c>
      <c r="V48" s="281"/>
      <c r="W48" s="281"/>
      <c r="X48" s="284"/>
      <c r="Y48" s="89"/>
      <c r="AF48" s="90"/>
      <c r="AG48" s="89"/>
      <c r="AH48">
        <f>IF(OR(AI48=0,ISNUMBER(MATCH(AI48,$AI$2:AI47,0))),0,MAX($AH$2:AH47)+1)</f>
        <v>0</v>
      </c>
      <c r="AI48">
        <f>IF('PI-1-MarineLoading'!$G$115&lt;5,0,IF('PI-1-MarineLoading'!$G$123&lt;&gt;"Yes",0,IF(Tank5!$D$22&lt;&gt;"vapor oxidizer",0,Tank5!$A$87)))</f>
        <v>0</v>
      </c>
      <c r="AJ48">
        <f>IF($AI48=0,0,VLOOKUP($AI48,Tank5!$A$32:$H$141,7,FALSE))</f>
        <v>0</v>
      </c>
      <c r="AK48">
        <f>IF($AI48=0,0,VLOOKUP($AI48,Tank5!$A$32:$H$141,8,FALSE))</f>
        <v>0</v>
      </c>
      <c r="AL48" s="281"/>
      <c r="AM48" s="281"/>
      <c r="AN48" s="284"/>
      <c r="AO48" s="89"/>
      <c r="AV48" s="90"/>
      <c r="AW48" s="89"/>
      <c r="AX48">
        <f>IF(OR(AY48=0,ISNUMBER(MATCH(AY48,$AY$2:AY47,0))),0,MAX($AX$2:AX47)+1)</f>
        <v>0</v>
      </c>
      <c r="AY48">
        <f>IF('PI-1-MarineLoading'!$G$115&lt;5,0,IF('PI-1-MarineLoading'!$G$124&lt;&gt;"Yes",0,IF(Tank5!$D$22&lt;&gt;"CAS",0,Tank5!$A$87)))</f>
        <v>0</v>
      </c>
      <c r="AZ48">
        <f>IF($AY48=0,0,VLOOKUP($AY48,Tank5!$A$32:$H$141,7,FALSE))</f>
        <v>0</v>
      </c>
      <c r="BA48">
        <f>IF($AY48=0,0,VLOOKUP($AY48,Tank5!$A$32:$H$141,8,FALSE))</f>
        <v>0</v>
      </c>
      <c r="BB48" s="281"/>
      <c r="BC48" s="281"/>
      <c r="BD48" s="284"/>
      <c r="BE48" s="89"/>
      <c r="BL48" s="90"/>
    </row>
    <row r="49" spans="1:64" x14ac:dyDescent="0.2">
      <c r="A49" s="89"/>
      <c r="B49">
        <f>IF(OR(C49=0,ISNUMBER(MATCH(C49,$C$2:C48,0))),0,MAX($B$2:B48)+1)</f>
        <v>0</v>
      </c>
      <c r="C49">
        <f>IF('PI-1-MarineLoading'!$G$115&lt;5,0,IF('PI-1-MarineLoading'!$G$121&lt;&gt;"Yes",0,IF(Tank5!$D$22&lt;&gt;"flare",0,Tank5!$A$98)))</f>
        <v>0</v>
      </c>
      <c r="D49">
        <f>IF($C49=0,0,VLOOKUP($C49,Tank5!$A$32:$H$141,7,FALSE))</f>
        <v>0</v>
      </c>
      <c r="E49">
        <f>IF($C49=0,0,VLOOKUP($C49,Tank5!$A$32:$H$141,8,FALSE))</f>
        <v>0</v>
      </c>
      <c r="F49" s="281"/>
      <c r="G49" s="281"/>
      <c r="H49" s="284"/>
      <c r="I49" s="89"/>
      <c r="P49" s="90"/>
      <c r="Q49" s="89"/>
      <c r="R49">
        <f>IF(OR(S49=0,ISNUMBER(MATCH(S49,$S$2:S48,0))),0,MAX($R$2:R48)+1)</f>
        <v>0</v>
      </c>
      <c r="S49">
        <f>IF('PI-1-MarineLoading'!$G$115&lt;5,0,IF('PI-1-MarineLoading'!$G$122&lt;&gt;"Yes",0,IF(Tank5!$D$22&lt;&gt;"VCU",0,Tank5!$A$98)))</f>
        <v>0</v>
      </c>
      <c r="T49">
        <f>IF($S49=0,0,VLOOKUP($S49,Tank5!$A$32:$H$141,7,FALSE))</f>
        <v>0</v>
      </c>
      <c r="U49">
        <f>IF($S49=0,0,VLOOKUP($S49,Tank5!$A$32:$H$141,8,FALSE))</f>
        <v>0</v>
      </c>
      <c r="V49" s="281"/>
      <c r="W49" s="281"/>
      <c r="X49" s="284"/>
      <c r="Y49" s="89"/>
      <c r="AF49" s="90"/>
      <c r="AG49" s="89"/>
      <c r="AH49">
        <f>IF(OR(AI49=0,ISNUMBER(MATCH(AI49,$AI$2:AI48,0))),0,MAX($AH$2:AH48)+1)</f>
        <v>0</v>
      </c>
      <c r="AI49">
        <f>IF('PI-1-MarineLoading'!$G$115&lt;5,0,IF('PI-1-MarineLoading'!$G$123&lt;&gt;"Yes",0,IF(Tank5!$D$22&lt;&gt;"vapor oxidizer",0,Tank5!$A$98)))</f>
        <v>0</v>
      </c>
      <c r="AJ49">
        <f>IF($AI49=0,0,VLOOKUP($AI49,Tank5!$A$32:$H$141,7,FALSE))</f>
        <v>0</v>
      </c>
      <c r="AK49">
        <f>IF($AI49=0,0,VLOOKUP($AI49,Tank5!$A$32:$H$141,8,FALSE))</f>
        <v>0</v>
      </c>
      <c r="AL49" s="281"/>
      <c r="AM49" s="281"/>
      <c r="AN49" s="284"/>
      <c r="AO49" s="89"/>
      <c r="AV49" s="90"/>
      <c r="AW49" s="89"/>
      <c r="AX49">
        <f>IF(OR(AY49=0,ISNUMBER(MATCH(AY49,$AY$2:AY48,0))),0,MAX($AX$2:AX48)+1)</f>
        <v>0</v>
      </c>
      <c r="AY49">
        <f>IF('PI-1-MarineLoading'!$G$115&lt;5,0,IF('PI-1-MarineLoading'!$G$124&lt;&gt;"Yes",0,IF(Tank5!$D$22&lt;&gt;"CAS",0,Tank5!$A$98)))</f>
        <v>0</v>
      </c>
      <c r="AZ49">
        <f>IF($AY49=0,0,VLOOKUP($AY49,Tank5!$A$32:$H$141,7,FALSE))</f>
        <v>0</v>
      </c>
      <c r="BA49">
        <f>IF($AY49=0,0,VLOOKUP($AY49,Tank5!$A$32:$H$141,8,FALSE))</f>
        <v>0</v>
      </c>
      <c r="BB49" s="281"/>
      <c r="BC49" s="281"/>
      <c r="BD49" s="284"/>
      <c r="BE49" s="89"/>
      <c r="BL49" s="90"/>
    </row>
    <row r="50" spans="1:64" x14ac:dyDescent="0.2">
      <c r="A50" s="89"/>
      <c r="B50">
        <f>IF(OR(C50=0,ISNUMBER(MATCH(C50,$C$2:C49,0))),0,MAX($B$2:B49)+1)</f>
        <v>0</v>
      </c>
      <c r="C50">
        <f>IF('PI-1-MarineLoading'!$G$115&lt;5,0,IF('PI-1-MarineLoading'!$G$121&lt;&gt;"Yes",0,IF(Tank5!$D$22&lt;&gt;"flare",0,Tank5!$A$109)))</f>
        <v>0</v>
      </c>
      <c r="D50">
        <f>IF($C50=0,0,VLOOKUP($C50,Tank5!$A$32:$H$141,7,FALSE))</f>
        <v>0</v>
      </c>
      <c r="E50">
        <f>IF($C50=0,0,VLOOKUP($C50,Tank5!$A$32:$H$141,8,FALSE))</f>
        <v>0</v>
      </c>
      <c r="F50" s="281"/>
      <c r="G50" s="281"/>
      <c r="H50" s="284"/>
      <c r="I50" s="89"/>
      <c r="P50" s="90"/>
      <c r="Q50" s="89"/>
      <c r="R50">
        <f>IF(OR(S50=0,ISNUMBER(MATCH(S50,$S$2:S49,0))),0,MAX($R$2:R49)+1)</f>
        <v>0</v>
      </c>
      <c r="S50">
        <f>IF('PI-1-MarineLoading'!$G$115&lt;5,0,IF('PI-1-MarineLoading'!$G$122&lt;&gt;"Yes",0,IF(Tank5!$D$22&lt;&gt;"VCU",0,Tank5!$A$109)))</f>
        <v>0</v>
      </c>
      <c r="T50">
        <f>IF($S50=0,0,VLOOKUP($S50,Tank5!$A$32:$H$141,7,FALSE))</f>
        <v>0</v>
      </c>
      <c r="U50">
        <f>IF($S50=0,0,VLOOKUP($S50,Tank5!$A$32:$H$141,8,FALSE))</f>
        <v>0</v>
      </c>
      <c r="V50" s="281"/>
      <c r="W50" s="281"/>
      <c r="X50" s="284"/>
      <c r="Y50" s="89"/>
      <c r="AF50" s="90"/>
      <c r="AG50" s="89"/>
      <c r="AH50">
        <f>IF(OR(AI50=0,ISNUMBER(MATCH(AI50,$AI$2:AI49,0))),0,MAX($AH$2:AH49)+1)</f>
        <v>0</v>
      </c>
      <c r="AI50">
        <f>IF('PI-1-MarineLoading'!$G$115&lt;5,0,IF('PI-1-MarineLoading'!$G$123&lt;&gt;"Yes",0,IF(Tank5!$D$22&lt;&gt;"vapor oxidizer",0,Tank5!$A$109)))</f>
        <v>0</v>
      </c>
      <c r="AJ50">
        <f>IF($AI50=0,0,VLOOKUP($AI50,Tank5!$A$32:$H$141,7,FALSE))</f>
        <v>0</v>
      </c>
      <c r="AK50">
        <f>IF($AI50=0,0,VLOOKUP($AI50,Tank5!$A$32:$H$141,8,FALSE))</f>
        <v>0</v>
      </c>
      <c r="AL50" s="281"/>
      <c r="AM50" s="281"/>
      <c r="AN50" s="284"/>
      <c r="AO50" s="89"/>
      <c r="AV50" s="90"/>
      <c r="AW50" s="89"/>
      <c r="AX50">
        <f>IF(OR(AY50=0,ISNUMBER(MATCH(AY50,$AY$2:AY49,0))),0,MAX($AX$2:AX49)+1)</f>
        <v>0</v>
      </c>
      <c r="AY50">
        <f>IF('PI-1-MarineLoading'!$G$115&lt;5,0,IF('PI-1-MarineLoading'!$G$124&lt;&gt;"Yes",0,IF(Tank5!$D$22&lt;&gt;"CAS",0,Tank5!$A$109)))</f>
        <v>0</v>
      </c>
      <c r="AZ50">
        <f>IF($AY50=0,0,VLOOKUP($AY50,Tank5!$A$32:$H$141,7,FALSE))</f>
        <v>0</v>
      </c>
      <c r="BA50">
        <f>IF($AY50=0,0,VLOOKUP($AY50,Tank5!$A$32:$H$141,8,FALSE))</f>
        <v>0</v>
      </c>
      <c r="BB50" s="281"/>
      <c r="BC50" s="281"/>
      <c r="BD50" s="284"/>
      <c r="BE50" s="89"/>
      <c r="BL50" s="90"/>
    </row>
    <row r="51" spans="1:64" x14ac:dyDescent="0.2">
      <c r="A51" s="89"/>
      <c r="B51">
        <f>IF(OR(C51=0,ISNUMBER(MATCH(C51,$C$2:C50,0))),0,MAX($B$2:B50)+1)</f>
        <v>0</v>
      </c>
      <c r="C51">
        <f>IF('PI-1-MarineLoading'!$G$115&lt;5,0,IF('PI-1-MarineLoading'!$G$121&lt;&gt;"Yes",0,IF(Tank5!$D$22&lt;&gt;"flare",0,Tank5!$A$120)))</f>
        <v>0</v>
      </c>
      <c r="D51">
        <f>IF($C51=0,0,VLOOKUP($C51,Tank5!$A$32:$H$141,7,FALSE))</f>
        <v>0</v>
      </c>
      <c r="E51">
        <f>IF($C51=0,0,VLOOKUP($C51,Tank5!$A$32:$H$141,8,FALSE))</f>
        <v>0</v>
      </c>
      <c r="F51" s="281"/>
      <c r="G51" s="281"/>
      <c r="H51" s="284"/>
      <c r="I51" s="89"/>
      <c r="P51" s="90"/>
      <c r="Q51" s="89"/>
      <c r="R51">
        <f>IF(OR(S51=0,ISNUMBER(MATCH(S51,$S$2:S50,0))),0,MAX($R$2:R50)+1)</f>
        <v>0</v>
      </c>
      <c r="S51">
        <f>IF('PI-1-MarineLoading'!$G$115&lt;5,0,IF('PI-1-MarineLoading'!$G$122&lt;&gt;"Yes",0,IF(Tank5!$D$22&lt;&gt;"VCU",0,Tank5!$A$120)))</f>
        <v>0</v>
      </c>
      <c r="T51">
        <f>IF($S51=0,0,VLOOKUP($S51,Tank5!$A$32:$H$141,7,FALSE))</f>
        <v>0</v>
      </c>
      <c r="U51">
        <f>IF($S51=0,0,VLOOKUP($S51,Tank5!$A$32:$H$141,8,FALSE))</f>
        <v>0</v>
      </c>
      <c r="V51" s="281"/>
      <c r="W51" s="281"/>
      <c r="X51" s="284"/>
      <c r="Y51" s="89"/>
      <c r="AF51" s="90"/>
      <c r="AG51" s="89"/>
      <c r="AH51">
        <f>IF(OR(AI51=0,ISNUMBER(MATCH(AI51,$AI$2:AI50,0))),0,MAX($AH$2:AH50)+1)</f>
        <v>0</v>
      </c>
      <c r="AI51">
        <f>IF('PI-1-MarineLoading'!$G$115&lt;5,0,IF('PI-1-MarineLoading'!$G$123&lt;&gt;"Yes",0,IF(Tank5!$D$22&lt;&gt;"vapor oxidizer",0,Tank5!$A$120)))</f>
        <v>0</v>
      </c>
      <c r="AJ51">
        <f>IF($AI51=0,0,VLOOKUP($AI51,Tank5!$A$32:$H$141,7,FALSE))</f>
        <v>0</v>
      </c>
      <c r="AK51">
        <f>IF($AI51=0,0,VLOOKUP($AI51,Tank5!$A$32:$H$141,8,FALSE))</f>
        <v>0</v>
      </c>
      <c r="AL51" s="281"/>
      <c r="AM51" s="281"/>
      <c r="AN51" s="284"/>
      <c r="AO51" s="89"/>
      <c r="AV51" s="90"/>
      <c r="AW51" s="89"/>
      <c r="AX51">
        <f>IF(OR(AY51=0,ISNUMBER(MATCH(AY51,$AY$2:AY50,0))),0,MAX($AX$2:AX50)+1)</f>
        <v>0</v>
      </c>
      <c r="AY51">
        <f>IF('PI-1-MarineLoading'!$G$115&lt;5,0,IF('PI-1-MarineLoading'!$G$124&lt;&gt;"Yes",0,IF(Tank5!$D$22&lt;&gt;"CAS",0,Tank5!$A$120)))</f>
        <v>0</v>
      </c>
      <c r="AZ51">
        <f>IF($AY51=0,0,VLOOKUP($AY51,Tank5!$A$32:$H$141,7,FALSE))</f>
        <v>0</v>
      </c>
      <c r="BA51">
        <f>IF($AY51=0,0,VLOOKUP($AY51,Tank5!$A$32:$H$141,8,FALSE))</f>
        <v>0</v>
      </c>
      <c r="BB51" s="281"/>
      <c r="BC51" s="281"/>
      <c r="BD51" s="284"/>
      <c r="BE51" s="89"/>
      <c r="BL51" s="90"/>
    </row>
    <row r="52" spans="1:64" ht="15" thickBot="1" x14ac:dyDescent="0.25">
      <c r="A52" s="91"/>
      <c r="B52" s="92">
        <f>IF(OR(C52=0,ISNUMBER(MATCH(C52,$C$2:C51,0))),0,MAX($B$2:B51)+1)</f>
        <v>0</v>
      </c>
      <c r="C52" s="92">
        <f>IF('PI-1-MarineLoading'!$G$115&lt;5,0,IF('PI-1-MarineLoading'!$G$121&lt;&gt;"Yes",0,IF(Tank5!$D$22&lt;&gt;"flare",0,Tank5!$A$131)))</f>
        <v>0</v>
      </c>
      <c r="D52" s="92">
        <f>IF($C52=0,0,VLOOKUP($C52,Tank5!$A$32:$H$141,7,FALSE))</f>
        <v>0</v>
      </c>
      <c r="E52" s="92">
        <f>IF($C52=0,0,VLOOKUP($C52,Tank5!$A$32:$H$141,8,FALSE))</f>
        <v>0</v>
      </c>
      <c r="F52" s="282"/>
      <c r="G52" s="282"/>
      <c r="H52" s="285"/>
      <c r="I52" s="91"/>
      <c r="J52" s="92"/>
      <c r="K52" s="92"/>
      <c r="L52" s="92"/>
      <c r="M52" s="92"/>
      <c r="N52" s="92"/>
      <c r="O52" s="92"/>
      <c r="P52" s="50"/>
      <c r="Q52" s="91"/>
      <c r="R52" s="92">
        <f>IF(OR(S52=0,ISNUMBER(MATCH(S52,$S$2:S51,0))),0,MAX($R$2:R51)+1)</f>
        <v>0</v>
      </c>
      <c r="S52" s="92">
        <f>IF('PI-1-MarineLoading'!$G$115&lt;5,0,IF('PI-1-MarineLoading'!$G$122&lt;&gt;"Yes",0,IF(Tank5!$D$22&lt;&gt;"VCU",0,Tank5!$A$131)))</f>
        <v>0</v>
      </c>
      <c r="T52" s="92">
        <f>IF($S52=0,0,VLOOKUP($S52,Tank5!$A$32:$H$141,7,FALSE))</f>
        <v>0</v>
      </c>
      <c r="U52" s="92">
        <f>IF($S52=0,0,VLOOKUP($S52,Tank5!$A$32:$H$141,8,FALSE))</f>
        <v>0</v>
      </c>
      <c r="V52" s="282"/>
      <c r="W52" s="282"/>
      <c r="X52" s="285"/>
      <c r="Y52" s="91"/>
      <c r="Z52" s="92"/>
      <c r="AA52" s="92"/>
      <c r="AB52" s="92"/>
      <c r="AC52" s="92"/>
      <c r="AD52" s="92"/>
      <c r="AE52" s="92"/>
      <c r="AF52" s="50"/>
      <c r="AG52" s="91"/>
      <c r="AH52" s="92">
        <f>IF(OR(AI52=0,ISNUMBER(MATCH(AI52,$AI$2:AI51,0))),0,MAX($AH$2:AH51)+1)</f>
        <v>0</v>
      </c>
      <c r="AI52" s="92">
        <f>IF('PI-1-MarineLoading'!$G$115&lt;5,0,IF('PI-1-MarineLoading'!$G$123&lt;&gt;"Yes",0,IF(Tank5!$D$22&lt;&gt;"vapor oxidizer",0,Tank5!$A$131)))</f>
        <v>0</v>
      </c>
      <c r="AJ52" s="92">
        <f>IF($AI52=0,0,VLOOKUP($AI52,Tank5!$A$32:$H$141,7,FALSE))</f>
        <v>0</v>
      </c>
      <c r="AK52" s="92">
        <f>IF($AI52=0,0,VLOOKUP($AI52,Tank5!$A$32:$H$141,8,FALSE))</f>
        <v>0</v>
      </c>
      <c r="AL52" s="282"/>
      <c r="AM52" s="282"/>
      <c r="AN52" s="285"/>
      <c r="AO52" s="91"/>
      <c r="AP52" s="92"/>
      <c r="AQ52" s="92"/>
      <c r="AR52" s="92"/>
      <c r="AS52" s="92"/>
      <c r="AT52" s="92"/>
      <c r="AU52" s="92"/>
      <c r="AV52" s="50"/>
      <c r="AW52" s="91"/>
      <c r="AX52" s="92">
        <f>IF(OR(AY52=0,ISNUMBER(MATCH(AY52,$AY$2:AY51,0))),0,MAX($AX$2:AX51)+1)</f>
        <v>0</v>
      </c>
      <c r="AY52" s="92">
        <f>IF('PI-1-MarineLoading'!$G$115&lt;5,0,IF('PI-1-MarineLoading'!$G$124&lt;&gt;"Yes",0,IF(Tank5!$D$22&lt;&gt;"CAS",0,Tank5!$A$131)))</f>
        <v>0</v>
      </c>
      <c r="AZ52" s="92">
        <f>IF($AY52=0,0,VLOOKUP($AY52,Tank5!$A$32:$H$141,7,FALSE))</f>
        <v>0</v>
      </c>
      <c r="BA52" s="92">
        <f>IF($AY52=0,0,VLOOKUP($AY52,Tank5!$A$32:$H$141,8,FALSE))</f>
        <v>0</v>
      </c>
      <c r="BB52" s="282"/>
      <c r="BC52" s="282"/>
      <c r="BD52" s="285"/>
      <c r="BE52" s="91"/>
      <c r="BF52" s="92"/>
      <c r="BG52" s="92"/>
      <c r="BH52" s="92"/>
      <c r="BI52" s="92"/>
      <c r="BJ52" s="92"/>
      <c r="BK52" s="92"/>
      <c r="BL52" s="50"/>
    </row>
    <row r="53" spans="1:64" ht="15" thickBot="1" x14ac:dyDescent="0.25"/>
    <row r="54" spans="1:64" ht="15" customHeight="1" thickBot="1" x14ac:dyDescent="0.25">
      <c r="A54" s="903" t="s">
        <v>10580</v>
      </c>
      <c r="B54" s="904"/>
      <c r="C54" s="904"/>
      <c r="D54" s="904"/>
      <c r="E54" s="854"/>
      <c r="F54" s="854"/>
      <c r="G54" s="854"/>
      <c r="H54" s="854"/>
      <c r="I54" s="854"/>
      <c r="J54" s="854"/>
      <c r="K54" s="854"/>
      <c r="L54" s="854"/>
      <c r="M54" s="854"/>
      <c r="N54" s="854"/>
      <c r="O54" s="854"/>
      <c r="P54" s="793"/>
      <c r="Q54" s="1146" t="s">
        <v>10581</v>
      </c>
      <c r="R54" s="1146"/>
      <c r="S54" s="1146"/>
      <c r="T54" s="1146"/>
      <c r="U54" s="540"/>
      <c r="V54" s="540"/>
      <c r="W54" s="540"/>
      <c r="X54" s="540"/>
      <c r="Y54" s="540"/>
      <c r="Z54" s="540"/>
      <c r="AA54" s="540"/>
      <c r="AB54" s="540"/>
      <c r="AC54" s="540"/>
      <c r="AD54" s="540"/>
      <c r="AE54" s="540"/>
      <c r="AF54" s="540"/>
      <c r="AG54" s="1146" t="s">
        <v>10582</v>
      </c>
      <c r="AH54" s="1146"/>
      <c r="AI54" s="1146"/>
      <c r="AJ54" s="1146"/>
      <c r="AK54" s="540"/>
      <c r="AL54" s="540"/>
      <c r="AM54" s="540"/>
      <c r="AN54" s="540"/>
      <c r="AO54" s="540"/>
      <c r="AP54" s="540"/>
      <c r="AQ54" s="540"/>
      <c r="AR54" s="540"/>
      <c r="AS54" s="540"/>
      <c r="AT54" s="540"/>
      <c r="AU54" s="540"/>
      <c r="AV54" s="540"/>
      <c r="AW54" s="1146" t="s">
        <v>10583</v>
      </c>
      <c r="AX54" s="1146"/>
      <c r="AY54" s="1146"/>
      <c r="AZ54" s="1146"/>
      <c r="BA54" s="540"/>
      <c r="BB54" s="540"/>
      <c r="BC54" s="540"/>
      <c r="BD54" s="540"/>
      <c r="BE54" s="540"/>
      <c r="BF54" s="540"/>
      <c r="BG54" s="540"/>
      <c r="BH54" s="540"/>
      <c r="BI54" s="540"/>
      <c r="BJ54" s="540"/>
      <c r="BK54" s="540"/>
      <c r="BL54" s="541"/>
    </row>
    <row r="55" spans="1:64" ht="60" x14ac:dyDescent="0.2">
      <c r="A55" s="48" t="s">
        <v>236</v>
      </c>
      <c r="B55" s="49" t="s">
        <v>282</v>
      </c>
      <c r="C55" s="49" t="s">
        <v>8741</v>
      </c>
      <c r="D55" s="117" t="s">
        <v>8742</v>
      </c>
      <c r="F55" s="79" t="s">
        <v>10592</v>
      </c>
      <c r="G55" s="79" t="s">
        <v>282</v>
      </c>
      <c r="H55" s="79" t="s">
        <v>10593</v>
      </c>
      <c r="I55" s="79" t="s">
        <v>8741</v>
      </c>
      <c r="J55" s="79" t="s">
        <v>8742</v>
      </c>
      <c r="Q55" s="48" t="s">
        <v>236</v>
      </c>
      <c r="R55" s="49" t="s">
        <v>282</v>
      </c>
      <c r="S55" s="49" t="s">
        <v>8741</v>
      </c>
      <c r="T55" s="117" t="s">
        <v>8742</v>
      </c>
      <c r="U55" s="306" t="s">
        <v>10592</v>
      </c>
      <c r="V55" s="79" t="s">
        <v>282</v>
      </c>
      <c r="W55" s="79" t="s">
        <v>10593</v>
      </c>
      <c r="X55" s="79" t="s">
        <v>8741</v>
      </c>
      <c r="Y55" s="79" t="s">
        <v>8742</v>
      </c>
      <c r="AG55" s="48" t="s">
        <v>236</v>
      </c>
      <c r="AH55" s="49" t="s">
        <v>282</v>
      </c>
      <c r="AI55" s="49" t="s">
        <v>8741</v>
      </c>
      <c r="AJ55" s="117" t="s">
        <v>8742</v>
      </c>
      <c r="AK55" s="306" t="s">
        <v>10592</v>
      </c>
      <c r="AL55" s="79" t="s">
        <v>282</v>
      </c>
      <c r="AM55" s="79" t="s">
        <v>10593</v>
      </c>
      <c r="AN55" s="79" t="s">
        <v>8741</v>
      </c>
      <c r="AO55" s="79" t="s">
        <v>8742</v>
      </c>
      <c r="AW55" s="48" t="s">
        <v>236</v>
      </c>
      <c r="AX55" s="49" t="s">
        <v>282</v>
      </c>
      <c r="AY55" s="49" t="s">
        <v>8741</v>
      </c>
      <c r="AZ55" s="117" t="s">
        <v>8742</v>
      </c>
      <c r="BA55" s="306" t="s">
        <v>10592</v>
      </c>
      <c r="BB55" s="79" t="s">
        <v>282</v>
      </c>
      <c r="BC55" s="79" t="s">
        <v>10593</v>
      </c>
      <c r="BD55" s="79" t="s">
        <v>8741</v>
      </c>
      <c r="BE55" s="79" t="s">
        <v>8742</v>
      </c>
      <c r="BL55" s="90"/>
    </row>
    <row r="56" spans="1:64" ht="28.5" x14ac:dyDescent="0.2">
      <c r="A56" s="303" t="str">
        <f>$F3</f>
        <v/>
      </c>
      <c r="B56" s="304" t="s">
        <v>291</v>
      </c>
      <c r="C56" s="304">
        <f>VLOOKUP($A56,$F$3:$H$12,2,FALSE)</f>
        <v>0</v>
      </c>
      <c r="D56" s="305">
        <f>VLOOKUP($A56,$F$3:$H$12,3,FALSE)</f>
        <v>0</v>
      </c>
      <c r="F56">
        <f>IF(OR(G56=0,ISNUMBER(MATCH(G56,$G$55:G55,0))),0,MAX($F$55:F55)+1)</f>
        <v>1</v>
      </c>
      <c r="G56" t="str">
        <f>IFERROR($B56,0)</f>
        <v>Total VOC</v>
      </c>
      <c r="H56" t="str">
        <f>IFERROR(VLOOKUP(ROW(A1),$F$56:$G$165,2,FALSE),0)</f>
        <v>Total VOC</v>
      </c>
      <c r="I56" s="281"/>
      <c r="J56" s="281"/>
      <c r="Q56" s="303" t="str">
        <f>$V3</f>
        <v/>
      </c>
      <c r="R56" s="304" t="s">
        <v>291</v>
      </c>
      <c r="S56" s="304">
        <f>VLOOKUP($Q56,$V$3:$X$12,2,FALSE)</f>
        <v>0</v>
      </c>
      <c r="T56" s="305">
        <f>VLOOKUP($Q56,$V$3:$X$12,3,FALSE)</f>
        <v>0</v>
      </c>
      <c r="U56">
        <f>IF(OR(V56=0,ISNUMBER(MATCH(V56,$V$55:V55,0))),0,MAX($U$55:U55)+1)</f>
        <v>1</v>
      </c>
      <c r="V56" t="str">
        <f>IFERROR($R56,0)</f>
        <v>Total VOC</v>
      </c>
      <c r="W56" t="str">
        <f>IFERROR(VLOOKUP(ROW(A1),$U$56:$V$165,2,FALSE),0)</f>
        <v>Total VOC</v>
      </c>
      <c r="X56" s="281"/>
      <c r="Y56" s="281"/>
      <c r="AG56" s="303" t="str">
        <f>$AL3</f>
        <v/>
      </c>
      <c r="AH56" s="304" t="s">
        <v>291</v>
      </c>
      <c r="AI56" s="304">
        <f>VLOOKUP($AG56,$AL$3:$AN$12,2,FALSE)</f>
        <v>0</v>
      </c>
      <c r="AJ56" s="305">
        <f>VLOOKUP($AG56,$AL$3:$AN$12,3,FALSE)</f>
        <v>0</v>
      </c>
      <c r="AK56">
        <f>IF(OR(AL56=0,ISNUMBER(MATCH(AL56,$AL$55:AL55,0))),0,MAX($AK$55:AK55)+1)</f>
        <v>1</v>
      </c>
      <c r="AL56" t="str">
        <f>IFERROR($AH56,0)</f>
        <v>Total VOC</v>
      </c>
      <c r="AM56" t="str">
        <f>IFERROR(VLOOKUP(ROW(A1),$AK$56:$AL$165,2,FALSE),0)</f>
        <v>Total VOC</v>
      </c>
      <c r="AN56" s="281"/>
      <c r="AO56" s="281"/>
      <c r="AW56" s="303" t="str">
        <f>$BB3</f>
        <v/>
      </c>
      <c r="AX56" s="304" t="s">
        <v>291</v>
      </c>
      <c r="AY56" s="304">
        <f>VLOOKUP($AW56,$BB$3:$BD$12,2,FALSE)</f>
        <v>0</v>
      </c>
      <c r="AZ56" s="305">
        <f>VLOOKUP($AW56,$BB$3:$BD$12,3,FALSE)</f>
        <v>0</v>
      </c>
      <c r="BA56">
        <f>IF(OR(BB56=0,ISNUMBER(MATCH(BB56,$BB$55:BB55,0))),0,MAX($BA$55:BA55)+1)</f>
        <v>1</v>
      </c>
      <c r="BB56" t="str">
        <f>IFERROR($AX56,0)</f>
        <v>Total VOC</v>
      </c>
      <c r="BC56" t="str">
        <f>IFERROR(VLOOKUP(ROW(A1),$BA$56:$BB$165,2,FALSE),0)</f>
        <v>Total VOC</v>
      </c>
      <c r="BD56" s="281"/>
      <c r="BE56" s="281"/>
      <c r="BL56" s="90"/>
    </row>
    <row r="57" spans="1:64" x14ac:dyDescent="0.2">
      <c r="A57" s="307" t="str">
        <f>A56&amp;"A"</f>
        <v>A</v>
      </c>
      <c r="B57" s="8">
        <f>IF($A$56="",0,VLOOKUP($A56,Products!$A$59:$E$158,5,FALSE))</f>
        <v>0</v>
      </c>
      <c r="C57" s="322">
        <f>IF($B57=0,0,C$56*VLOOKUP($A56,Products!$A$59:$H$158,8,FALSE))</f>
        <v>0</v>
      </c>
      <c r="D57" s="323">
        <f>IF($B57=0,0,D$56*VLOOKUP($A56,Products!$A$59:$H$158,8,FALSE))</f>
        <v>0</v>
      </c>
      <c r="E57" s="8"/>
      <c r="F57" s="8">
        <f>IF(OR(G57=0,ISNUMBER(MATCH(G57,$G$55:G56,0))),0,MAX($F$55:F56)+1)</f>
        <v>0</v>
      </c>
      <c r="G57" s="8">
        <f t="shared" ref="G57:G120" si="12">IFERROR($B57,0)</f>
        <v>0</v>
      </c>
      <c r="H57" s="8">
        <f t="shared" ref="H57:H120" si="13">IFERROR(VLOOKUP(ROW(A2),$F$56:$G$165,2,FALSE),0)</f>
        <v>0</v>
      </c>
      <c r="I57" s="8">
        <f>SUMIFS($C$56:$C$165,$B$56:$B$165,$H57)*(1-Flare!$D$18)</f>
        <v>0</v>
      </c>
      <c r="J57" s="8">
        <f>SUMIFS($D$56:$D$165,$B$56:$B$165,$H57)*(1-Flare!$D$18)</f>
        <v>0</v>
      </c>
      <c r="K57" s="8"/>
      <c r="L57" s="8"/>
      <c r="M57" s="8"/>
      <c r="N57" s="8"/>
      <c r="O57" s="8"/>
      <c r="P57" s="8"/>
      <c r="Q57" s="307" t="str">
        <f>Q56&amp;"A"</f>
        <v>A</v>
      </c>
      <c r="R57" s="8">
        <f>IF($Q$56="",0,VLOOKUP($Q56,Products!$A$59:$E$158,5,FALSE))</f>
        <v>0</v>
      </c>
      <c r="S57" s="322">
        <f>IF($R57=0,0,S$56*VLOOKUP($Q56,Products!$A$59:$H$158,8,FALSE))</f>
        <v>0</v>
      </c>
      <c r="T57" s="322">
        <f>IF($R57=0,0,T$56*VLOOKUP($Q56,Products!$A$59:$H$158,8,FALSE))</f>
        <v>0</v>
      </c>
      <c r="U57" s="8">
        <f>IF(OR(V57=0,ISNUMBER(MATCH(V57,$V$55:V56,0))),0,MAX($U$55:U56)+1)</f>
        <v>0</v>
      </c>
      <c r="V57" s="8">
        <f t="shared" ref="V57:V120" si="14">IFERROR($R57,0)</f>
        <v>0</v>
      </c>
      <c r="W57" s="8">
        <f>IFERROR(VLOOKUP(ROW(A2),$U$56:$V$165,2,FALSE),0)</f>
        <v>0</v>
      </c>
      <c r="X57" s="8">
        <f>SUMIFS($S$56:$S$165,$R$56:$R$165,$W57)*(1-VCU!$D$23)</f>
        <v>0</v>
      </c>
      <c r="Y57" s="8">
        <f>SUMIFS($T$56:$T$165,$R$56:$R$165,$W57)*(1-VCU!$D$23)</f>
        <v>0</v>
      </c>
      <c r="Z57" s="8"/>
      <c r="AA57" s="8"/>
      <c r="AB57" s="8"/>
      <c r="AC57" s="8"/>
      <c r="AD57" s="8"/>
      <c r="AE57" s="8"/>
      <c r="AF57" s="8"/>
      <c r="AG57" s="307" t="str">
        <f>AG56&amp;"A"</f>
        <v>A</v>
      </c>
      <c r="AH57" s="8">
        <f>IF($AG$56="",0,VLOOKUP($AG56,Products!$A$59:$E$158,5,FALSE))</f>
        <v>0</v>
      </c>
      <c r="AI57" s="322">
        <f>IF($AH57=0,0,AI$56*VLOOKUP($AG56,Products!$A$59:$H$158,8,FALSE))</f>
        <v>0</v>
      </c>
      <c r="AJ57" s="322">
        <f>IF($AH57=0,0,AJ$56*VLOOKUP($AG56,Products!$A$59:$H$158,8,FALSE))</f>
        <v>0</v>
      </c>
      <c r="AK57" s="8">
        <f>IF(OR(AL57=0,ISNUMBER(MATCH(AL57,$AL$55:AL56,0))),0,MAX($AK$55:AK56)+1)</f>
        <v>0</v>
      </c>
      <c r="AL57" s="8">
        <f t="shared" ref="AL57:AL120" si="15">IFERROR($AH57,0)</f>
        <v>0</v>
      </c>
      <c r="AM57" s="8">
        <f t="shared" ref="AM57:AM120" si="16">IFERROR(VLOOKUP(ROW(A2),$AK$56:$AL$165,2,FALSE),0)</f>
        <v>0</v>
      </c>
      <c r="AN57" s="8">
        <f>SUMIFS($AI$56:$AI$165,$AH$56:$AH$165,$AM57)*(1-VaporOxidizer!$D$23)</f>
        <v>0</v>
      </c>
      <c r="AO57" s="8">
        <f>SUMIFS($AJ$56:$AJ$165,$AH$56:$AH$165,$AM57)*(1-VaporOxidizer!$D$23)</f>
        <v>0</v>
      </c>
      <c r="AP57" s="8"/>
      <c r="AQ57" s="8"/>
      <c r="AR57" s="8"/>
      <c r="AS57" s="8"/>
      <c r="AT57" s="8"/>
      <c r="AU57" s="8"/>
      <c r="AV57" s="8"/>
      <c r="AW57" s="307" t="str">
        <f>AW56&amp;"A"</f>
        <v>A</v>
      </c>
      <c r="AX57" s="8">
        <f>IF($AW$56="",0,VLOOKUP($AW56,Products!$A$59:$E$158,5,FALSE))</f>
        <v>0</v>
      </c>
      <c r="AY57" s="322">
        <f>IF($AX57=0,0,AY$56*VLOOKUP($AW56,Products!$A$59:$H$158,8,FALSE))</f>
        <v>0</v>
      </c>
      <c r="AZ57" s="323">
        <f>IF($AX57=0,0,AZ$56*VLOOKUP($AW56,Products!$A$59:$H$158,8,FALSE))</f>
        <v>0</v>
      </c>
      <c r="BA57" s="8">
        <f>IF(OR(BB57=0,ISNUMBER(MATCH(BB57,$BB$55:BB56,0))),0,MAX($BA$55:BA56)+1)</f>
        <v>0</v>
      </c>
      <c r="BB57" s="8">
        <f t="shared" ref="BB57:BB120" si="17">IFERROR($AX57,0)</f>
        <v>0</v>
      </c>
      <c r="BC57" s="8">
        <f t="shared" ref="BC57:BC120" si="18">IFERROR(VLOOKUP(ROW(A2),$BA$56:$BB$165,2,FALSE),0)</f>
        <v>0</v>
      </c>
      <c r="BD57" s="8">
        <f>IF(OR($BC57="7783-06-4",$BC57="7446-09-5",$BC57="7664-93-9"),SUMIFS($AY$56:$AY$165,$AX$56:$AX$165,$BC57),SUMIFS($AY$56:$AY$165,$AX$56:$AX$165,$BC57)*(CAS!$D$19/1000000))</f>
        <v>0</v>
      </c>
      <c r="BE57" s="8">
        <f>IF(OR($BC57="7783-06-4",$BC57="7446-09-5",$BC57="7664-93-9"),SUMIFS($AZ$56:$AZ$165,$AX$56:$AX$165,$BC57),SUMIFS($AZ$56:$AZ$165,$AX$56:$AX$165,$BC57)*(CAS!$D$19/1000000))</f>
        <v>0</v>
      </c>
      <c r="BL57" s="90"/>
    </row>
    <row r="58" spans="1:64" x14ac:dyDescent="0.2">
      <c r="A58" s="307" t="str">
        <f t="shared" ref="A58:A66" si="19">A57&amp;"A"</f>
        <v>AA</v>
      </c>
      <c r="B58" s="8">
        <f>IF($A$56="",0,VLOOKUP($A57,Products!$A$59:$E$158,5,FALSE))</f>
        <v>0</v>
      </c>
      <c r="C58" s="322">
        <f>IF($B58=0,0,C$56*VLOOKUP($A57,Products!$A$59:$H$158,8,FALSE))</f>
        <v>0</v>
      </c>
      <c r="D58" s="323">
        <f>IF($B58=0,0,D$56*VLOOKUP($A57,Products!$A$59:$H$158,8,FALSE))</f>
        <v>0</v>
      </c>
      <c r="E58" s="8"/>
      <c r="F58" s="8">
        <f>IF(OR(G58=0,ISNUMBER(MATCH(G58,$G$55:G57,0))),0,MAX($F$55:F57)+1)</f>
        <v>0</v>
      </c>
      <c r="G58" s="8">
        <f t="shared" si="12"/>
        <v>0</v>
      </c>
      <c r="H58" s="8">
        <f t="shared" si="13"/>
        <v>0</v>
      </c>
      <c r="I58" s="8">
        <f>SUMIFS($C$56:$C$165,$B$56:$B$165,$H58)*(1-Flare!$D$18)</f>
        <v>0</v>
      </c>
      <c r="J58" s="8">
        <f>SUMIFS($D$56:$D$165,$B$56:$B$165,$H58)*(1-Flare!$D$18)</f>
        <v>0</v>
      </c>
      <c r="K58" s="8"/>
      <c r="L58" s="8"/>
      <c r="M58" s="8"/>
      <c r="N58" s="8"/>
      <c r="O58" s="8"/>
      <c r="P58" s="8"/>
      <c r="Q58" s="307" t="str">
        <f t="shared" ref="Q58:Q66" si="20">Q57&amp;"A"</f>
        <v>AA</v>
      </c>
      <c r="R58" s="8">
        <f>IF($Q$56="",0,VLOOKUP($Q57,Products!$A$59:$E$158,5,FALSE))</f>
        <v>0</v>
      </c>
      <c r="S58" s="322">
        <f>IF($R58=0,0,S$56*VLOOKUP($Q57,Products!$A$59:$H$158,8,FALSE))</f>
        <v>0</v>
      </c>
      <c r="T58" s="322">
        <f>IF($R58=0,0,T$56*VLOOKUP($Q57,Products!$A$59:$H$158,8,FALSE))</f>
        <v>0</v>
      </c>
      <c r="U58" s="8">
        <f>IF(OR(V58=0,ISNUMBER(MATCH(V58,$V$55:V57,0))),0,MAX($U$55:U57)+1)</f>
        <v>0</v>
      </c>
      <c r="V58" s="8">
        <f t="shared" si="14"/>
        <v>0</v>
      </c>
      <c r="W58" s="8">
        <f t="shared" ref="W58:W121" si="21">IFERROR(VLOOKUP(ROW(A3),$U$56:$V$165,2,FALSE),0)</f>
        <v>0</v>
      </c>
      <c r="X58" s="8">
        <f>SUMIFS($S$56:$S$165,$R$56:$R$165,$W58)*(1-VCU!$D$23)</f>
        <v>0</v>
      </c>
      <c r="Y58" s="8">
        <f>SUMIFS($T$56:$T$165,$R$56:$R$165,$W58)*(1-VCU!$D$23)</f>
        <v>0</v>
      </c>
      <c r="Z58" s="8"/>
      <c r="AA58" s="8"/>
      <c r="AB58" s="8"/>
      <c r="AC58" s="8"/>
      <c r="AD58" s="8"/>
      <c r="AE58" s="8"/>
      <c r="AF58" s="8"/>
      <c r="AG58" s="307" t="str">
        <f t="shared" ref="AG58:AG66" si="22">AG57&amp;"A"</f>
        <v>AA</v>
      </c>
      <c r="AH58" s="8">
        <f>IF($AG$56="",0,VLOOKUP($AG57,Products!$A$59:$E$158,5,FALSE))</f>
        <v>0</v>
      </c>
      <c r="AI58" s="322">
        <f>IF($AH58=0,0,AI$56*VLOOKUP($AG57,Products!$A$59:$H$158,8,FALSE))</f>
        <v>0</v>
      </c>
      <c r="AJ58" s="322">
        <f>IF($AH58=0,0,AJ$56*VLOOKUP($AG57,Products!$A$59:$H$158,8,FALSE))</f>
        <v>0</v>
      </c>
      <c r="AK58" s="8">
        <f>IF(OR(AL58=0,ISNUMBER(MATCH(AL58,$AL$55:AL57,0))),0,MAX($AK$55:AK57)+1)</f>
        <v>0</v>
      </c>
      <c r="AL58" s="8">
        <f t="shared" si="15"/>
        <v>0</v>
      </c>
      <c r="AM58" s="8">
        <f t="shared" si="16"/>
        <v>0</v>
      </c>
      <c r="AN58" s="8">
        <f>SUMIFS($AI$56:$AI$165,$AH$56:$AH$165,$AM58)*(1-VaporOxidizer!$D$23)</f>
        <v>0</v>
      </c>
      <c r="AO58" s="8">
        <f>SUMIFS($AJ$56:$AJ$165,$AH$56:$AH$165,$AM58)*(1-VaporOxidizer!$D$23)</f>
        <v>0</v>
      </c>
      <c r="AP58" s="8"/>
      <c r="AQ58" s="8"/>
      <c r="AR58" s="8"/>
      <c r="AS58" s="8"/>
      <c r="AT58" s="8"/>
      <c r="AU58" s="8"/>
      <c r="AV58" s="8"/>
      <c r="AW58" s="307" t="str">
        <f t="shared" ref="AW58:AW66" si="23">AW57&amp;"A"</f>
        <v>AA</v>
      </c>
      <c r="AX58" s="8">
        <f>IF($AW$56="",0,VLOOKUP($AW57,Products!$A$59:$E$158,5,FALSE))</f>
        <v>0</v>
      </c>
      <c r="AY58" s="322">
        <f>IF($AX58=0,0,AY$56*VLOOKUP($AW57,Products!$A$59:$H$158,8,FALSE))</f>
        <v>0</v>
      </c>
      <c r="AZ58" s="323">
        <f>IF($AX58=0,0,AZ$56*VLOOKUP($AW57,Products!$A$59:$H$158,8,FALSE))</f>
        <v>0</v>
      </c>
      <c r="BA58" s="8">
        <f>IF(OR(BB58=0,ISNUMBER(MATCH(BB58,$BB$55:BB57,0))),0,MAX($BA$55:BA57)+1)</f>
        <v>0</v>
      </c>
      <c r="BB58" s="8">
        <f t="shared" si="17"/>
        <v>0</v>
      </c>
      <c r="BC58" s="8">
        <f t="shared" si="18"/>
        <v>0</v>
      </c>
      <c r="BD58" s="8">
        <f>IF(OR($BC58="7783-06-4",$BC58="7446-09-5",$BC58="7664-93-9"),SUMIFS($AY$56:$AY$165,$AX$56:$AX$165,$BC58),SUMIFS($AY$56:$AY$165,$AX$56:$AX$165,$BC58)*(CAS!$D$19/1000000))</f>
        <v>0</v>
      </c>
      <c r="BE58" s="8">
        <f>IF(OR($BC58="7783-06-4",$BC58="7446-09-5",$BC58="7664-93-9"),SUMIFS($AZ$56:$AZ$165,$AX$56:$AX$165,$BC58),SUMIFS($AZ$56:$AZ$165,$AX$56:$AX$165,$BC58)*(CAS!$D$19/1000000))</f>
        <v>0</v>
      </c>
      <c r="BL58" s="90"/>
    </row>
    <row r="59" spans="1:64" x14ac:dyDescent="0.2">
      <c r="A59" s="307" t="str">
        <f t="shared" si="19"/>
        <v>AAA</v>
      </c>
      <c r="B59" s="8">
        <f>IF($A$56="",0,VLOOKUP($A58,Products!$A$59:$E$158,5,FALSE))</f>
        <v>0</v>
      </c>
      <c r="C59" s="322">
        <f>IF($B59=0,0,C$56*VLOOKUP($A58,Products!$A$59:$H$158,8,FALSE))</f>
        <v>0</v>
      </c>
      <c r="D59" s="323">
        <f>IF($B59=0,0,D$56*VLOOKUP($A58,Products!$A$59:$H$158,8,FALSE))</f>
        <v>0</v>
      </c>
      <c r="E59" s="8"/>
      <c r="F59" s="8">
        <f>IF(OR(G59=0,ISNUMBER(MATCH(G59,$G$55:G58,0))),0,MAX($F$55:F58)+1)</f>
        <v>0</v>
      </c>
      <c r="G59" s="8">
        <f t="shared" si="12"/>
        <v>0</v>
      </c>
      <c r="H59" s="8">
        <f t="shared" si="13"/>
        <v>0</v>
      </c>
      <c r="I59" s="8">
        <f>SUMIFS($C$56:$C$165,$B$56:$B$165,$H59)*(1-Flare!$D$18)</f>
        <v>0</v>
      </c>
      <c r="J59" s="8">
        <f>SUMIFS($D$56:$D$165,$B$56:$B$165,$H59)*(1-Flare!$D$18)</f>
        <v>0</v>
      </c>
      <c r="K59" s="8"/>
      <c r="L59" s="8"/>
      <c r="M59" s="8"/>
      <c r="N59" s="8"/>
      <c r="O59" s="8"/>
      <c r="P59" s="8"/>
      <c r="Q59" s="307" t="str">
        <f t="shared" si="20"/>
        <v>AAA</v>
      </c>
      <c r="R59" s="8">
        <f>IF($Q$56="",0,VLOOKUP($Q58,Products!$A$59:$E$158,5,FALSE))</f>
        <v>0</v>
      </c>
      <c r="S59" s="322">
        <f>IF($R59=0,0,S$56*VLOOKUP($Q58,Products!$A$59:$H$158,8,FALSE))</f>
        <v>0</v>
      </c>
      <c r="T59" s="322">
        <f>IF($R59=0,0,T$56*VLOOKUP($Q58,Products!$A$59:$H$158,8,FALSE))</f>
        <v>0</v>
      </c>
      <c r="U59" s="8">
        <f>IF(OR(V59=0,ISNUMBER(MATCH(V59,$V$55:V58,0))),0,MAX($U$55:U58)+1)</f>
        <v>0</v>
      </c>
      <c r="V59" s="8">
        <f t="shared" si="14"/>
        <v>0</v>
      </c>
      <c r="W59" s="8">
        <f t="shared" si="21"/>
        <v>0</v>
      </c>
      <c r="X59" s="8">
        <f>SUMIFS($S$56:$S$165,$R$56:$R$165,$W59)*(1-VCU!$D$23)</f>
        <v>0</v>
      </c>
      <c r="Y59" s="8">
        <f>SUMIFS($T$56:$T$165,$R$56:$R$165,$W59)*(1-VCU!$D$23)</f>
        <v>0</v>
      </c>
      <c r="Z59" s="8"/>
      <c r="AA59" s="8"/>
      <c r="AB59" s="8"/>
      <c r="AC59" s="8"/>
      <c r="AD59" s="8"/>
      <c r="AE59" s="8"/>
      <c r="AF59" s="8"/>
      <c r="AG59" s="307" t="str">
        <f t="shared" si="22"/>
        <v>AAA</v>
      </c>
      <c r="AH59" s="8">
        <f>IF($AG$56="",0,VLOOKUP($AG58,Products!$A$59:$E$158,5,FALSE))</f>
        <v>0</v>
      </c>
      <c r="AI59" s="322">
        <f>IF($AH59=0,0,AI$56*VLOOKUP($AG58,Products!$A$59:$H$158,8,FALSE))</f>
        <v>0</v>
      </c>
      <c r="AJ59" s="322">
        <f>IF($AH59=0,0,AJ$56*VLOOKUP($AG58,Products!$A$59:$H$158,8,FALSE))</f>
        <v>0</v>
      </c>
      <c r="AK59" s="8">
        <f>IF(OR(AL59=0,ISNUMBER(MATCH(AL59,$AL$55:AL58,0))),0,MAX($AK$55:AK58)+1)</f>
        <v>0</v>
      </c>
      <c r="AL59" s="8">
        <f t="shared" si="15"/>
        <v>0</v>
      </c>
      <c r="AM59" s="8">
        <f t="shared" si="16"/>
        <v>0</v>
      </c>
      <c r="AN59" s="8">
        <f>SUMIFS($AI$56:$AI$165,$AH$56:$AH$165,$AM59)*(1-VaporOxidizer!$D$23)</f>
        <v>0</v>
      </c>
      <c r="AO59" s="8">
        <f>SUMIFS($AJ$56:$AJ$165,$AH$56:$AH$165,$AM59)*(1-VaporOxidizer!$D$23)</f>
        <v>0</v>
      </c>
      <c r="AP59" s="8"/>
      <c r="AQ59" s="8"/>
      <c r="AR59" s="8"/>
      <c r="AS59" s="8"/>
      <c r="AT59" s="8"/>
      <c r="AU59" s="8"/>
      <c r="AV59" s="8"/>
      <c r="AW59" s="307" t="str">
        <f t="shared" si="23"/>
        <v>AAA</v>
      </c>
      <c r="AX59" s="8">
        <f>IF($AW$56="",0,VLOOKUP($AW58,Products!$A$59:$E$158,5,FALSE))</f>
        <v>0</v>
      </c>
      <c r="AY59" s="322">
        <f>IF($AX59=0,0,AY$56*VLOOKUP($AW58,Products!$A$59:$H$158,8,FALSE))</f>
        <v>0</v>
      </c>
      <c r="AZ59" s="323">
        <f>IF($AX59=0,0,AZ$56*VLOOKUP($AW58,Products!$A$59:$H$158,8,FALSE))</f>
        <v>0</v>
      </c>
      <c r="BA59" s="8">
        <f>IF(OR(BB59=0,ISNUMBER(MATCH(BB59,$BB$55:BB58,0))),0,MAX($BA$55:BA58)+1)</f>
        <v>0</v>
      </c>
      <c r="BB59" s="8">
        <f t="shared" si="17"/>
        <v>0</v>
      </c>
      <c r="BC59" s="8">
        <f t="shared" si="18"/>
        <v>0</v>
      </c>
      <c r="BD59" s="8">
        <f>IF(OR($BC59="7783-06-4",$BC59="7446-09-5",$BC59="7664-93-9"),SUMIFS($AY$56:$AY$165,$AX$56:$AX$165,$BC59),SUMIFS($AY$56:$AY$165,$AX$56:$AX$165,$BC59)*(CAS!$D$19/1000000))</f>
        <v>0</v>
      </c>
      <c r="BE59" s="8">
        <f>IF(OR($BC59="7783-06-4",$BC59="7446-09-5",$BC59="7664-93-9"),SUMIFS($AZ$56:$AZ$165,$AX$56:$AX$165,$BC59),SUMIFS($AZ$56:$AZ$165,$AX$56:$AX$165,$BC59)*(CAS!$D$19/1000000))</f>
        <v>0</v>
      </c>
      <c r="BL59" s="90"/>
    </row>
    <row r="60" spans="1:64" x14ac:dyDescent="0.2">
      <c r="A60" s="307" t="str">
        <f t="shared" si="19"/>
        <v>AAAA</v>
      </c>
      <c r="B60" s="8">
        <f>IF($A$56="",0,VLOOKUP($A59,Products!$A$59:$E$158,5,FALSE))</f>
        <v>0</v>
      </c>
      <c r="C60" s="322">
        <f>IF($B60=0,0,C$56*VLOOKUP($A59,Products!$A$59:$H$158,8,FALSE))</f>
        <v>0</v>
      </c>
      <c r="D60" s="323">
        <f>IF($B60=0,0,D$56*VLOOKUP($A59,Products!$A$59:$H$158,8,FALSE))</f>
        <v>0</v>
      </c>
      <c r="E60" s="8"/>
      <c r="F60" s="8">
        <f>IF(OR(G60=0,ISNUMBER(MATCH(G60,$G$55:G59,0))),0,MAX($F$55:F59)+1)</f>
        <v>0</v>
      </c>
      <c r="G60" s="8">
        <f t="shared" si="12"/>
        <v>0</v>
      </c>
      <c r="H60" s="8">
        <f t="shared" si="13"/>
        <v>0</v>
      </c>
      <c r="I60" s="8">
        <f>SUMIFS($C$56:$C$165,$B$56:$B$165,$H60)*(1-Flare!$D$18)</f>
        <v>0</v>
      </c>
      <c r="J60" s="8">
        <f>SUMIFS($D$56:$D$165,$B$56:$B$165,$H60)*(1-Flare!$D$18)</f>
        <v>0</v>
      </c>
      <c r="K60" s="8"/>
      <c r="L60" s="8"/>
      <c r="M60" s="8"/>
      <c r="N60" s="8"/>
      <c r="O60" s="8"/>
      <c r="P60" s="8"/>
      <c r="Q60" s="307" t="str">
        <f t="shared" si="20"/>
        <v>AAAA</v>
      </c>
      <c r="R60" s="8">
        <f>IF($Q$56="",0,VLOOKUP($Q59,Products!$A$59:$E$158,5,FALSE))</f>
        <v>0</v>
      </c>
      <c r="S60" s="322">
        <f>IF($R60=0,0,S$56*VLOOKUP($Q59,Products!$A$59:$H$158,8,FALSE))</f>
        <v>0</v>
      </c>
      <c r="T60" s="322">
        <f>IF($R60=0,0,T$56*VLOOKUP($Q59,Products!$A$59:$H$158,8,FALSE))</f>
        <v>0</v>
      </c>
      <c r="U60" s="8">
        <f>IF(OR(V60=0,ISNUMBER(MATCH(V60,$V$55:V59,0))),0,MAX($U$55:U59)+1)</f>
        <v>0</v>
      </c>
      <c r="V60" s="8">
        <f t="shared" si="14"/>
        <v>0</v>
      </c>
      <c r="W60" s="8">
        <f t="shared" si="21"/>
        <v>0</v>
      </c>
      <c r="X60" s="8">
        <f>SUMIFS($S$56:$S$165,$R$56:$R$165,$W60)*(1-VCU!$D$23)</f>
        <v>0</v>
      </c>
      <c r="Y60" s="8">
        <f>SUMIFS($T$56:$T$165,$R$56:$R$165,$W60)*(1-VCU!$D$23)</f>
        <v>0</v>
      </c>
      <c r="Z60" s="8"/>
      <c r="AA60" s="8"/>
      <c r="AB60" s="8"/>
      <c r="AC60" s="8"/>
      <c r="AD60" s="8"/>
      <c r="AE60" s="8"/>
      <c r="AF60" s="8"/>
      <c r="AG60" s="307" t="str">
        <f t="shared" si="22"/>
        <v>AAAA</v>
      </c>
      <c r="AH60" s="8">
        <f>IF($AG$56="",0,VLOOKUP($AG59,Products!$A$59:$E$158,5,FALSE))</f>
        <v>0</v>
      </c>
      <c r="AI60" s="322">
        <f>IF($AH60=0,0,AI$56*VLOOKUP($AG59,Products!$A$59:$H$158,8,FALSE))</f>
        <v>0</v>
      </c>
      <c r="AJ60" s="322">
        <f>IF($AH60=0,0,AJ$56*VLOOKUP($AG59,Products!$A$59:$H$158,8,FALSE))</f>
        <v>0</v>
      </c>
      <c r="AK60" s="8">
        <f>IF(OR(AL60=0,ISNUMBER(MATCH(AL60,$AL$55:AL59,0))),0,MAX($AK$55:AK59)+1)</f>
        <v>0</v>
      </c>
      <c r="AL60" s="8">
        <f t="shared" si="15"/>
        <v>0</v>
      </c>
      <c r="AM60" s="8">
        <f t="shared" si="16"/>
        <v>0</v>
      </c>
      <c r="AN60" s="8">
        <f>SUMIFS($AI$56:$AI$165,$AH$56:$AH$165,$AM60)*(1-VaporOxidizer!$D$23)</f>
        <v>0</v>
      </c>
      <c r="AO60" s="8">
        <f>SUMIFS($AJ$56:$AJ$165,$AH$56:$AH$165,$AM60)*(1-VaporOxidizer!$D$23)</f>
        <v>0</v>
      </c>
      <c r="AP60" s="8"/>
      <c r="AQ60" s="8"/>
      <c r="AR60" s="8"/>
      <c r="AS60" s="8"/>
      <c r="AT60" s="8"/>
      <c r="AU60" s="8"/>
      <c r="AV60" s="8"/>
      <c r="AW60" s="307" t="str">
        <f t="shared" si="23"/>
        <v>AAAA</v>
      </c>
      <c r="AX60" s="8">
        <f>IF($AW$56="",0,VLOOKUP($AW59,Products!$A$59:$E$158,5,FALSE))</f>
        <v>0</v>
      </c>
      <c r="AY60" s="322">
        <f>IF($AX60=0,0,AY$56*VLOOKUP($AW59,Products!$A$59:$H$158,8,FALSE))</f>
        <v>0</v>
      </c>
      <c r="AZ60" s="323">
        <f>IF($AX60=0,0,AZ$56*VLOOKUP($AW59,Products!$A$59:$H$158,8,FALSE))</f>
        <v>0</v>
      </c>
      <c r="BA60" s="8">
        <f>IF(OR(BB60=0,ISNUMBER(MATCH(BB60,$BB$55:BB59,0))),0,MAX($BA$55:BA59)+1)</f>
        <v>0</v>
      </c>
      <c r="BB60" s="8">
        <f t="shared" si="17"/>
        <v>0</v>
      </c>
      <c r="BC60" s="8">
        <f t="shared" si="18"/>
        <v>0</v>
      </c>
      <c r="BD60" s="8">
        <f>IF(OR($BC60="7783-06-4",$BC60="7446-09-5",$BC60="7664-93-9"),SUMIFS($AY$56:$AY$165,$AX$56:$AX$165,$BC60),SUMIFS($AY$56:$AY$165,$AX$56:$AX$165,$BC60)*(CAS!$D$19/1000000))</f>
        <v>0</v>
      </c>
      <c r="BE60" s="8">
        <f>IF(OR($BC60="7783-06-4",$BC60="7446-09-5",$BC60="7664-93-9"),SUMIFS($AZ$56:$AZ$165,$AX$56:$AX$165,$BC60),SUMIFS($AZ$56:$AZ$165,$AX$56:$AX$165,$BC60)*(CAS!$D$19/1000000))</f>
        <v>0</v>
      </c>
      <c r="BL60" s="90"/>
    </row>
    <row r="61" spans="1:64" x14ac:dyDescent="0.2">
      <c r="A61" s="307" t="str">
        <f t="shared" si="19"/>
        <v>AAAAA</v>
      </c>
      <c r="B61" s="8">
        <f>IF($A$56="",0,VLOOKUP($A60,Products!$A$59:$E$158,5,FALSE))</f>
        <v>0</v>
      </c>
      <c r="C61" s="322">
        <f>IF($B61=0,0,C$56*VLOOKUP($A60,Products!$A$59:$H$158,8,FALSE))</f>
        <v>0</v>
      </c>
      <c r="D61" s="323">
        <f>IF($B61=0,0,D$56*VLOOKUP($A60,Products!$A$59:$H$158,8,FALSE))</f>
        <v>0</v>
      </c>
      <c r="E61" s="8"/>
      <c r="F61" s="8">
        <f>IF(OR(G61=0,ISNUMBER(MATCH(G61,$G$55:G60,0))),0,MAX($F$55:F60)+1)</f>
        <v>0</v>
      </c>
      <c r="G61" s="8">
        <f t="shared" si="12"/>
        <v>0</v>
      </c>
      <c r="H61" s="8">
        <f t="shared" si="13"/>
        <v>0</v>
      </c>
      <c r="I61" s="8">
        <f>SUMIFS($C$56:$C$165,$B$56:$B$165,$H61)*(1-Flare!$D$18)</f>
        <v>0</v>
      </c>
      <c r="J61" s="8">
        <f>SUMIFS($D$56:$D$165,$B$56:$B$165,$H61)*(1-Flare!$D$18)</f>
        <v>0</v>
      </c>
      <c r="K61" s="8"/>
      <c r="L61" s="8"/>
      <c r="M61" s="8"/>
      <c r="N61" s="8"/>
      <c r="O61" s="8"/>
      <c r="P61" s="8"/>
      <c r="Q61" s="307" t="str">
        <f t="shared" si="20"/>
        <v>AAAAA</v>
      </c>
      <c r="R61" s="8">
        <f>IF($Q$56="",0,VLOOKUP($Q60,Products!$A$59:$E$158,5,FALSE))</f>
        <v>0</v>
      </c>
      <c r="S61" s="322">
        <f>IF($R61=0,0,S$56*VLOOKUP($Q60,Products!$A$59:$H$158,8,FALSE))</f>
        <v>0</v>
      </c>
      <c r="T61" s="322">
        <f>IF($R61=0,0,T$56*VLOOKUP($Q60,Products!$A$59:$H$158,8,FALSE))</f>
        <v>0</v>
      </c>
      <c r="U61" s="8">
        <f>IF(OR(V61=0,ISNUMBER(MATCH(V61,$V$55:V60,0))),0,MAX($U$55:U60)+1)</f>
        <v>0</v>
      </c>
      <c r="V61" s="8">
        <f t="shared" si="14"/>
        <v>0</v>
      </c>
      <c r="W61" s="8">
        <f t="shared" si="21"/>
        <v>0</v>
      </c>
      <c r="X61" s="8">
        <f>SUMIFS($S$56:$S$165,$R$56:$R$165,$W61)*(1-VCU!$D$23)</f>
        <v>0</v>
      </c>
      <c r="Y61" s="8">
        <f>SUMIFS($T$56:$T$165,$R$56:$R$165,$W61)*(1-VCU!$D$23)</f>
        <v>0</v>
      </c>
      <c r="Z61" s="8"/>
      <c r="AA61" s="8"/>
      <c r="AB61" s="8"/>
      <c r="AC61" s="8"/>
      <c r="AD61" s="8"/>
      <c r="AE61" s="8"/>
      <c r="AF61" s="8"/>
      <c r="AG61" s="307" t="str">
        <f t="shared" si="22"/>
        <v>AAAAA</v>
      </c>
      <c r="AH61" s="8">
        <f>IF($AG$56="",0,VLOOKUP($AG60,Products!$A$59:$E$158,5,FALSE))</f>
        <v>0</v>
      </c>
      <c r="AI61" s="322">
        <f>IF($AH61=0,0,AI$56*VLOOKUP($AG60,Products!$A$59:$H$158,8,FALSE))</f>
        <v>0</v>
      </c>
      <c r="AJ61" s="322">
        <f>IF($AH61=0,0,AJ$56*VLOOKUP($AG60,Products!$A$59:$H$158,8,FALSE))</f>
        <v>0</v>
      </c>
      <c r="AK61" s="8">
        <f>IF(OR(AL61=0,ISNUMBER(MATCH(AL61,$AL$55:AL60,0))),0,MAX($AK$55:AK60)+1)</f>
        <v>0</v>
      </c>
      <c r="AL61" s="8">
        <f t="shared" si="15"/>
        <v>0</v>
      </c>
      <c r="AM61" s="8">
        <f t="shared" si="16"/>
        <v>0</v>
      </c>
      <c r="AN61" s="8">
        <f>SUMIFS($AI$56:$AI$165,$AH$56:$AH$165,$AM61)*(1-VaporOxidizer!$D$23)</f>
        <v>0</v>
      </c>
      <c r="AO61" s="8">
        <f>SUMIFS($AJ$56:$AJ$165,$AH$56:$AH$165,$AM61)*(1-VaporOxidizer!$D$23)</f>
        <v>0</v>
      </c>
      <c r="AP61" s="8"/>
      <c r="AQ61" s="8"/>
      <c r="AR61" s="8"/>
      <c r="AS61" s="8"/>
      <c r="AT61" s="8"/>
      <c r="AU61" s="8"/>
      <c r="AV61" s="8"/>
      <c r="AW61" s="307" t="str">
        <f t="shared" si="23"/>
        <v>AAAAA</v>
      </c>
      <c r="AX61" s="8">
        <f>IF($AW$56="",0,VLOOKUP($AW60,Products!$A$59:$E$158,5,FALSE))</f>
        <v>0</v>
      </c>
      <c r="AY61" s="322">
        <f>IF($AX61=0,0,AY$56*VLOOKUP($AW60,Products!$A$59:$H$158,8,FALSE))</f>
        <v>0</v>
      </c>
      <c r="AZ61" s="323">
        <f>IF($AX61=0,0,AZ$56*VLOOKUP($AW60,Products!$A$59:$H$158,8,FALSE))</f>
        <v>0</v>
      </c>
      <c r="BA61" s="8">
        <f>IF(OR(BB61=0,ISNUMBER(MATCH(BB61,$BB$55:BB60,0))),0,MAX($BA$55:BA60)+1)</f>
        <v>0</v>
      </c>
      <c r="BB61" s="8">
        <f t="shared" si="17"/>
        <v>0</v>
      </c>
      <c r="BC61" s="8">
        <f t="shared" si="18"/>
        <v>0</v>
      </c>
      <c r="BD61" s="8">
        <f>IF(OR($BC61="7783-06-4",$BC61="7446-09-5",$BC61="7664-93-9"),SUMIFS($AY$56:$AY$165,$AX$56:$AX$165,$BC61),SUMIFS($AY$56:$AY$165,$AX$56:$AX$165,$BC61)*(CAS!$D$19/1000000))</f>
        <v>0</v>
      </c>
      <c r="BE61" s="8">
        <f>IF(OR($BC61="7783-06-4",$BC61="7446-09-5",$BC61="7664-93-9"),SUMIFS($AZ$56:$AZ$165,$AX$56:$AX$165,$BC61),SUMIFS($AZ$56:$AZ$165,$AX$56:$AX$165,$BC61)*(CAS!$D$19/1000000))</f>
        <v>0</v>
      </c>
      <c r="BL61" s="90"/>
    </row>
    <row r="62" spans="1:64" x14ac:dyDescent="0.2">
      <c r="A62" s="307" t="str">
        <f t="shared" si="19"/>
        <v>AAAAAA</v>
      </c>
      <c r="B62" s="8">
        <f>IF($A$56="",0,VLOOKUP($A61,Products!$A$59:$E$158,5,FALSE))</f>
        <v>0</v>
      </c>
      <c r="C62" s="322">
        <f>IF($B62=0,0,C$56*VLOOKUP($A61,Products!$A$59:$H$158,8,FALSE))</f>
        <v>0</v>
      </c>
      <c r="D62" s="323">
        <f>IF($B62=0,0,D$56*VLOOKUP($A61,Products!$A$59:$H$158,8,FALSE))</f>
        <v>0</v>
      </c>
      <c r="E62" s="8"/>
      <c r="F62" s="8">
        <f>IF(OR(G62=0,ISNUMBER(MATCH(G62,$G$55:G61,0))),0,MAX($F$55:F61)+1)</f>
        <v>0</v>
      </c>
      <c r="G62" s="8">
        <f t="shared" si="12"/>
        <v>0</v>
      </c>
      <c r="H62" s="8">
        <f t="shared" si="13"/>
        <v>0</v>
      </c>
      <c r="I62" s="8">
        <f>SUMIFS($C$56:$C$165,$B$56:$B$165,$H62)*(1-Flare!$D$18)</f>
        <v>0</v>
      </c>
      <c r="J62" s="8">
        <f>SUMIFS($D$56:$D$165,$B$56:$B$165,$H62)*(1-Flare!$D$18)</f>
        <v>0</v>
      </c>
      <c r="K62" s="8"/>
      <c r="L62" s="8"/>
      <c r="M62" s="8"/>
      <c r="N62" s="8"/>
      <c r="O62" s="8"/>
      <c r="P62" s="8"/>
      <c r="Q62" s="307" t="str">
        <f t="shared" si="20"/>
        <v>AAAAAA</v>
      </c>
      <c r="R62" s="8">
        <f>IF($Q$56="",0,VLOOKUP($Q61,Products!$A$59:$E$158,5,FALSE))</f>
        <v>0</v>
      </c>
      <c r="S62" s="322">
        <f>IF($R62=0,0,S$56*VLOOKUP($Q61,Products!$A$59:$H$158,8,FALSE))</f>
        <v>0</v>
      </c>
      <c r="T62" s="322">
        <f>IF($R62=0,0,T$56*VLOOKUP($Q61,Products!$A$59:$H$158,8,FALSE))</f>
        <v>0</v>
      </c>
      <c r="U62" s="8">
        <f>IF(OR(V62=0,ISNUMBER(MATCH(V62,$V$55:V61,0))),0,MAX($U$55:U61)+1)</f>
        <v>0</v>
      </c>
      <c r="V62" s="8">
        <f t="shared" si="14"/>
        <v>0</v>
      </c>
      <c r="W62" s="8">
        <f t="shared" si="21"/>
        <v>0</v>
      </c>
      <c r="X62" s="8">
        <f>SUMIFS($S$56:$S$165,$R$56:$R$165,$W62)*(1-VCU!$D$23)</f>
        <v>0</v>
      </c>
      <c r="Y62" s="8">
        <f>SUMIFS($T$56:$T$165,$R$56:$R$165,$W62)*(1-VCU!$D$23)</f>
        <v>0</v>
      </c>
      <c r="Z62" s="8"/>
      <c r="AA62" s="8"/>
      <c r="AB62" s="8"/>
      <c r="AC62" s="8"/>
      <c r="AD62" s="8"/>
      <c r="AE62" s="8"/>
      <c r="AF62" s="8"/>
      <c r="AG62" s="307" t="str">
        <f t="shared" si="22"/>
        <v>AAAAAA</v>
      </c>
      <c r="AH62" s="8">
        <f>IF($AG$56="",0,VLOOKUP($AG61,Products!$A$59:$E$158,5,FALSE))</f>
        <v>0</v>
      </c>
      <c r="AI62" s="322">
        <f>IF($AH62=0,0,AI$56*VLOOKUP($AG61,Products!$A$59:$H$158,8,FALSE))</f>
        <v>0</v>
      </c>
      <c r="AJ62" s="322">
        <f>IF($AH62=0,0,AJ$56*VLOOKUP($AG61,Products!$A$59:$H$158,8,FALSE))</f>
        <v>0</v>
      </c>
      <c r="AK62" s="8">
        <f>IF(OR(AL62=0,ISNUMBER(MATCH(AL62,$AL$55:AL61,0))),0,MAX($AK$55:AK61)+1)</f>
        <v>0</v>
      </c>
      <c r="AL62" s="8">
        <f t="shared" si="15"/>
        <v>0</v>
      </c>
      <c r="AM62" s="8">
        <f t="shared" si="16"/>
        <v>0</v>
      </c>
      <c r="AN62" s="8">
        <f>SUMIFS($AI$56:$AI$165,$AH$56:$AH$165,$AM62)*(1-VaporOxidizer!$D$23)</f>
        <v>0</v>
      </c>
      <c r="AO62" s="8">
        <f>SUMIFS($AJ$56:$AJ$165,$AH$56:$AH$165,$AM62)*(1-VaporOxidizer!$D$23)</f>
        <v>0</v>
      </c>
      <c r="AP62" s="8"/>
      <c r="AQ62" s="8"/>
      <c r="AR62" s="8"/>
      <c r="AS62" s="8"/>
      <c r="AT62" s="8"/>
      <c r="AU62" s="8"/>
      <c r="AV62" s="8"/>
      <c r="AW62" s="307" t="str">
        <f t="shared" si="23"/>
        <v>AAAAAA</v>
      </c>
      <c r="AX62" s="8">
        <f>IF($AW$56="",0,VLOOKUP($AW61,Products!$A$59:$E$158,5,FALSE))</f>
        <v>0</v>
      </c>
      <c r="AY62" s="322">
        <f>IF($AX62=0,0,AY$56*VLOOKUP($AW61,Products!$A$59:$H$158,8,FALSE))</f>
        <v>0</v>
      </c>
      <c r="AZ62" s="323">
        <f>IF($AX62=0,0,AZ$56*VLOOKUP($AW61,Products!$A$59:$H$158,8,FALSE))</f>
        <v>0</v>
      </c>
      <c r="BA62" s="8">
        <f>IF(OR(BB62=0,ISNUMBER(MATCH(BB62,$BB$55:BB61,0))),0,MAX($BA$55:BA61)+1)</f>
        <v>0</v>
      </c>
      <c r="BB62" s="8">
        <f t="shared" si="17"/>
        <v>0</v>
      </c>
      <c r="BC62" s="8">
        <f t="shared" si="18"/>
        <v>0</v>
      </c>
      <c r="BD62" s="8">
        <f>IF(OR($BC62="7783-06-4",$BC62="7446-09-5",$BC62="7664-93-9"),SUMIFS($AY$56:$AY$165,$AX$56:$AX$165,$BC62),SUMIFS($AY$56:$AY$165,$AX$56:$AX$165,$BC62)*(CAS!$D$19/1000000))</f>
        <v>0</v>
      </c>
      <c r="BE62" s="8">
        <f>IF(OR($BC62="7783-06-4",$BC62="7446-09-5",$BC62="7664-93-9"),SUMIFS($AZ$56:$AZ$165,$AX$56:$AX$165,$BC62),SUMIFS($AZ$56:$AZ$165,$AX$56:$AX$165,$BC62)*(CAS!$D$19/1000000))</f>
        <v>0</v>
      </c>
      <c r="BL62" s="90"/>
    </row>
    <row r="63" spans="1:64" x14ac:dyDescent="0.2">
      <c r="A63" s="307" t="str">
        <f t="shared" si="19"/>
        <v>AAAAAAA</v>
      </c>
      <c r="B63" s="8">
        <f>IF($A$56="",0,VLOOKUP($A62,Products!$A$59:$E$158,5,FALSE))</f>
        <v>0</v>
      </c>
      <c r="C63" s="322">
        <f>IF($B63=0,0,C$56*VLOOKUP($A62,Products!$A$59:$H$158,8,FALSE))</f>
        <v>0</v>
      </c>
      <c r="D63" s="323">
        <f>IF($B63=0,0,D$56*VLOOKUP($A62,Products!$A$59:$H$158,8,FALSE))</f>
        <v>0</v>
      </c>
      <c r="E63" s="8"/>
      <c r="F63" s="8">
        <f>IF(OR(G63=0,ISNUMBER(MATCH(G63,$G$55:G62,0))),0,MAX($F$55:F62)+1)</f>
        <v>0</v>
      </c>
      <c r="G63" s="8">
        <f t="shared" si="12"/>
        <v>0</v>
      </c>
      <c r="H63" s="8">
        <f t="shared" si="13"/>
        <v>0</v>
      </c>
      <c r="I63" s="8">
        <f>SUMIFS($C$56:$C$165,$B$56:$B$165,$H63)*(1-Flare!$D$18)</f>
        <v>0</v>
      </c>
      <c r="J63" s="8">
        <f>SUMIFS($D$56:$D$165,$B$56:$B$165,$H63)*(1-Flare!$D$18)</f>
        <v>0</v>
      </c>
      <c r="K63" s="8"/>
      <c r="L63" s="8"/>
      <c r="M63" s="8"/>
      <c r="N63" s="8"/>
      <c r="O63" s="8"/>
      <c r="P63" s="8"/>
      <c r="Q63" s="307" t="str">
        <f t="shared" si="20"/>
        <v>AAAAAAA</v>
      </c>
      <c r="R63" s="8">
        <f>IF($Q$56="",0,VLOOKUP($Q62,Products!$A$59:$E$158,5,FALSE))</f>
        <v>0</v>
      </c>
      <c r="S63" s="322">
        <f>IF($R63=0,0,S$56*VLOOKUP($Q62,Products!$A$59:$H$158,8,FALSE))</f>
        <v>0</v>
      </c>
      <c r="T63" s="322">
        <f>IF($R63=0,0,T$56*VLOOKUP($Q62,Products!$A$59:$H$158,8,FALSE))</f>
        <v>0</v>
      </c>
      <c r="U63" s="8">
        <f>IF(OR(V63=0,ISNUMBER(MATCH(V63,$V$55:V62,0))),0,MAX($U$55:U62)+1)</f>
        <v>0</v>
      </c>
      <c r="V63" s="8">
        <f t="shared" si="14"/>
        <v>0</v>
      </c>
      <c r="W63" s="8">
        <f t="shared" si="21"/>
        <v>0</v>
      </c>
      <c r="X63" s="8">
        <f>SUMIFS($S$56:$S$165,$R$56:$R$165,$W63)*(1-VCU!$D$23)</f>
        <v>0</v>
      </c>
      <c r="Y63" s="8">
        <f>SUMIFS($T$56:$T$165,$R$56:$R$165,$W63)*(1-VCU!$D$23)</f>
        <v>0</v>
      </c>
      <c r="Z63" s="8"/>
      <c r="AA63" s="8"/>
      <c r="AB63" s="8"/>
      <c r="AC63" s="8"/>
      <c r="AD63" s="8"/>
      <c r="AE63" s="8"/>
      <c r="AF63" s="8"/>
      <c r="AG63" s="307" t="str">
        <f t="shared" si="22"/>
        <v>AAAAAAA</v>
      </c>
      <c r="AH63" s="8">
        <f>IF($AG$56="",0,VLOOKUP($AG62,Products!$A$59:$E$158,5,FALSE))</f>
        <v>0</v>
      </c>
      <c r="AI63" s="322">
        <f>IF($AH63=0,0,AI$56*VLOOKUP($AG62,Products!$A$59:$H$158,8,FALSE))</f>
        <v>0</v>
      </c>
      <c r="AJ63" s="322">
        <f>IF($AH63=0,0,AJ$56*VLOOKUP($AG62,Products!$A$59:$H$158,8,FALSE))</f>
        <v>0</v>
      </c>
      <c r="AK63" s="8">
        <f>IF(OR(AL63=0,ISNUMBER(MATCH(AL63,$AL$55:AL62,0))),0,MAX($AK$55:AK62)+1)</f>
        <v>0</v>
      </c>
      <c r="AL63" s="8">
        <f t="shared" si="15"/>
        <v>0</v>
      </c>
      <c r="AM63" s="8">
        <f t="shared" si="16"/>
        <v>0</v>
      </c>
      <c r="AN63" s="8">
        <f>SUMIFS($AI$56:$AI$165,$AH$56:$AH$165,$AM63)*(1-VaporOxidizer!$D$23)</f>
        <v>0</v>
      </c>
      <c r="AO63" s="8">
        <f>SUMIFS($AJ$56:$AJ$165,$AH$56:$AH$165,$AM63)*(1-VaporOxidizer!$D$23)</f>
        <v>0</v>
      </c>
      <c r="AP63" s="8"/>
      <c r="AQ63" s="8"/>
      <c r="AR63" s="8"/>
      <c r="AS63" s="8"/>
      <c r="AT63" s="8"/>
      <c r="AU63" s="8"/>
      <c r="AV63" s="8"/>
      <c r="AW63" s="307" t="str">
        <f t="shared" si="23"/>
        <v>AAAAAAA</v>
      </c>
      <c r="AX63" s="8">
        <f>IF($AW$56="",0,VLOOKUP($AW62,Products!$A$59:$E$158,5,FALSE))</f>
        <v>0</v>
      </c>
      <c r="AY63" s="322">
        <f>IF($AX63=0,0,AY$56*VLOOKUP($AW62,Products!$A$59:$H$158,8,FALSE))</f>
        <v>0</v>
      </c>
      <c r="AZ63" s="323">
        <f>IF($AX63=0,0,AZ$56*VLOOKUP($AW62,Products!$A$59:$H$158,8,FALSE))</f>
        <v>0</v>
      </c>
      <c r="BA63" s="8">
        <f>IF(OR(BB63=0,ISNUMBER(MATCH(BB63,$BB$55:BB62,0))),0,MAX($BA$55:BA62)+1)</f>
        <v>0</v>
      </c>
      <c r="BB63" s="8">
        <f t="shared" si="17"/>
        <v>0</v>
      </c>
      <c r="BC63" s="8">
        <f t="shared" si="18"/>
        <v>0</v>
      </c>
      <c r="BD63" s="8">
        <f>IF(OR($BC63="7783-06-4",$BC63="7446-09-5",$BC63="7664-93-9"),SUMIFS($AY$56:$AY$165,$AX$56:$AX$165,$BC63),SUMIFS($AY$56:$AY$165,$AX$56:$AX$165,$BC63)*(CAS!$D$19/1000000))</f>
        <v>0</v>
      </c>
      <c r="BE63" s="8">
        <f>IF(OR($BC63="7783-06-4",$BC63="7446-09-5",$BC63="7664-93-9"),SUMIFS($AZ$56:$AZ$165,$AX$56:$AX$165,$BC63),SUMIFS($AZ$56:$AZ$165,$AX$56:$AX$165,$BC63)*(CAS!$D$19/1000000))</f>
        <v>0</v>
      </c>
      <c r="BL63" s="90"/>
    </row>
    <row r="64" spans="1:64" x14ac:dyDescent="0.2">
      <c r="A64" s="307" t="str">
        <f t="shared" si="19"/>
        <v>AAAAAAAA</v>
      </c>
      <c r="B64" s="8">
        <f>IF($A$56="",0,VLOOKUP($A63,Products!$A$59:$E$158,5,FALSE))</f>
        <v>0</v>
      </c>
      <c r="C64" s="322">
        <f>IF($B64=0,0,C$56*VLOOKUP($A63,Products!$A$59:$H$158,8,FALSE))</f>
        <v>0</v>
      </c>
      <c r="D64" s="323">
        <f>IF($B64=0,0,D$56*VLOOKUP($A63,Products!$A$59:$H$158,8,FALSE))</f>
        <v>0</v>
      </c>
      <c r="E64" s="8"/>
      <c r="F64" s="8">
        <f>IF(OR(G64=0,ISNUMBER(MATCH(G64,$G$55:G63,0))),0,MAX($F$55:F63)+1)</f>
        <v>0</v>
      </c>
      <c r="G64" s="8">
        <f t="shared" si="12"/>
        <v>0</v>
      </c>
      <c r="H64" s="8">
        <f t="shared" si="13"/>
        <v>0</v>
      </c>
      <c r="I64" s="8">
        <f>SUMIFS($C$56:$C$165,$B$56:$B$165,$H64)*(1-Flare!$D$18)</f>
        <v>0</v>
      </c>
      <c r="J64" s="8">
        <f>SUMIFS($D$56:$D$165,$B$56:$B$165,$H64)*(1-Flare!$D$18)</f>
        <v>0</v>
      </c>
      <c r="K64" s="8"/>
      <c r="L64" s="8"/>
      <c r="M64" s="8"/>
      <c r="N64" s="8"/>
      <c r="O64" s="8"/>
      <c r="P64" s="8"/>
      <c r="Q64" s="307" t="str">
        <f t="shared" si="20"/>
        <v>AAAAAAAA</v>
      </c>
      <c r="R64" s="8">
        <f>IF($Q$56="",0,VLOOKUP($Q63,Products!$A$59:$E$158,5,FALSE))</f>
        <v>0</v>
      </c>
      <c r="S64" s="322">
        <f>IF($R64=0,0,S$56*VLOOKUP($Q63,Products!$A$59:$H$158,8,FALSE))</f>
        <v>0</v>
      </c>
      <c r="T64" s="322">
        <f>IF($R64=0,0,T$56*VLOOKUP($Q63,Products!$A$59:$H$158,8,FALSE))</f>
        <v>0</v>
      </c>
      <c r="U64" s="8">
        <f>IF(OR(V64=0,ISNUMBER(MATCH(V64,$V$55:V63,0))),0,MAX($U$55:U63)+1)</f>
        <v>0</v>
      </c>
      <c r="V64" s="8">
        <f t="shared" si="14"/>
        <v>0</v>
      </c>
      <c r="W64" s="8">
        <f t="shared" si="21"/>
        <v>0</v>
      </c>
      <c r="X64" s="8">
        <f>SUMIFS($S$56:$S$165,$R$56:$R$165,$W64)*(1-VCU!$D$23)</f>
        <v>0</v>
      </c>
      <c r="Y64" s="8">
        <f>SUMIFS($T$56:$T$165,$R$56:$R$165,$W64)*(1-VCU!$D$23)</f>
        <v>0</v>
      </c>
      <c r="Z64" s="8"/>
      <c r="AA64" s="8"/>
      <c r="AB64" s="8"/>
      <c r="AC64" s="8"/>
      <c r="AD64" s="8"/>
      <c r="AE64" s="8"/>
      <c r="AF64" s="8"/>
      <c r="AG64" s="307" t="str">
        <f t="shared" si="22"/>
        <v>AAAAAAAA</v>
      </c>
      <c r="AH64" s="8">
        <f>IF($AG$56="",0,VLOOKUP($AG63,Products!$A$59:$E$158,5,FALSE))</f>
        <v>0</v>
      </c>
      <c r="AI64" s="322">
        <f>IF($AH64=0,0,AI$56*VLOOKUP($AG63,Products!$A$59:$H$158,8,FALSE))</f>
        <v>0</v>
      </c>
      <c r="AJ64" s="322">
        <f>IF($AH64=0,0,AJ$56*VLOOKUP($AG63,Products!$A$59:$H$158,8,FALSE))</f>
        <v>0</v>
      </c>
      <c r="AK64" s="8">
        <f>IF(OR(AL64=0,ISNUMBER(MATCH(AL64,$AL$55:AL63,0))),0,MAX($AK$55:AK63)+1)</f>
        <v>0</v>
      </c>
      <c r="AL64" s="8">
        <f t="shared" si="15"/>
        <v>0</v>
      </c>
      <c r="AM64" s="8">
        <f t="shared" si="16"/>
        <v>0</v>
      </c>
      <c r="AN64" s="8">
        <f>SUMIFS($AI$56:$AI$165,$AH$56:$AH$165,$AM64)*(1-VaporOxidizer!$D$23)</f>
        <v>0</v>
      </c>
      <c r="AO64" s="8">
        <f>SUMIFS($AJ$56:$AJ$165,$AH$56:$AH$165,$AM64)*(1-VaporOxidizer!$D$23)</f>
        <v>0</v>
      </c>
      <c r="AP64" s="8"/>
      <c r="AQ64" s="8"/>
      <c r="AR64" s="8"/>
      <c r="AS64" s="8"/>
      <c r="AT64" s="8"/>
      <c r="AU64" s="8"/>
      <c r="AV64" s="8"/>
      <c r="AW64" s="307" t="str">
        <f t="shared" si="23"/>
        <v>AAAAAAAA</v>
      </c>
      <c r="AX64" s="8">
        <f>IF($AW$56="",0,VLOOKUP($AW63,Products!$A$59:$E$158,5,FALSE))</f>
        <v>0</v>
      </c>
      <c r="AY64" s="322">
        <f>IF($AX64=0,0,AY$56*VLOOKUP($AW63,Products!$A$59:$H$158,8,FALSE))</f>
        <v>0</v>
      </c>
      <c r="AZ64" s="323">
        <f>IF($AX64=0,0,AZ$56*VLOOKUP($AW63,Products!$A$59:$H$158,8,FALSE))</f>
        <v>0</v>
      </c>
      <c r="BA64" s="8">
        <f>IF(OR(BB64=0,ISNUMBER(MATCH(BB64,$BB$55:BB63,0))),0,MAX($BA$55:BA63)+1)</f>
        <v>0</v>
      </c>
      <c r="BB64" s="8">
        <f t="shared" si="17"/>
        <v>0</v>
      </c>
      <c r="BC64" s="8">
        <f t="shared" si="18"/>
        <v>0</v>
      </c>
      <c r="BD64" s="8">
        <f>IF(OR($BC64="7783-06-4",$BC64="7446-09-5",$BC64="7664-93-9"),SUMIFS($AY$56:$AY$165,$AX$56:$AX$165,$BC64),SUMIFS($AY$56:$AY$165,$AX$56:$AX$165,$BC64)*(CAS!$D$19/1000000))</f>
        <v>0</v>
      </c>
      <c r="BE64" s="8">
        <f>IF(OR($BC64="7783-06-4",$BC64="7446-09-5",$BC64="7664-93-9"),SUMIFS($AZ$56:$AZ$165,$AX$56:$AX$165,$BC64),SUMIFS($AZ$56:$AZ$165,$AX$56:$AX$165,$BC64)*(CAS!$D$19/1000000))</f>
        <v>0</v>
      </c>
      <c r="BL64" s="90"/>
    </row>
    <row r="65" spans="1:64" x14ac:dyDescent="0.2">
      <c r="A65" s="307" t="str">
        <f t="shared" si="19"/>
        <v>AAAAAAAAA</v>
      </c>
      <c r="B65" s="8">
        <f>IF($A$56="",0,VLOOKUP($A64,Products!$A$59:$E$158,5,FALSE))</f>
        <v>0</v>
      </c>
      <c r="C65" s="322">
        <f>IF($B65=0,0,C$56*VLOOKUP($A64,Products!$A$59:$H$158,8,FALSE))</f>
        <v>0</v>
      </c>
      <c r="D65" s="323">
        <f>IF($B65=0,0,D$56*VLOOKUP($A64,Products!$A$59:$H$158,8,FALSE))</f>
        <v>0</v>
      </c>
      <c r="E65" s="8"/>
      <c r="F65" s="8">
        <f>IF(OR(G65=0,ISNUMBER(MATCH(G65,$G$55:G64,0))),0,MAX($F$55:F64)+1)</f>
        <v>0</v>
      </c>
      <c r="G65" s="8">
        <f t="shared" si="12"/>
        <v>0</v>
      </c>
      <c r="H65" s="8">
        <f t="shared" si="13"/>
        <v>0</v>
      </c>
      <c r="I65" s="8">
        <f>SUMIFS($C$56:$C$165,$B$56:$B$165,$H65)*(1-Flare!$D$18)</f>
        <v>0</v>
      </c>
      <c r="J65" s="8">
        <f>SUMIFS($D$56:$D$165,$B$56:$B$165,$H65)*(1-Flare!$D$18)</f>
        <v>0</v>
      </c>
      <c r="K65" s="8"/>
      <c r="L65" s="8"/>
      <c r="M65" s="8"/>
      <c r="N65" s="8"/>
      <c r="O65" s="8"/>
      <c r="P65" s="8"/>
      <c r="Q65" s="307" t="str">
        <f t="shared" si="20"/>
        <v>AAAAAAAAA</v>
      </c>
      <c r="R65" s="8">
        <f>IF($Q$56="",0,VLOOKUP($Q64,Products!$A$59:$E$158,5,FALSE))</f>
        <v>0</v>
      </c>
      <c r="S65" s="322">
        <f>IF($R65=0,0,S$56*VLOOKUP($Q64,Products!$A$59:$H$158,8,FALSE))</f>
        <v>0</v>
      </c>
      <c r="T65" s="322">
        <f>IF($R65=0,0,T$56*VLOOKUP($Q64,Products!$A$59:$H$158,8,FALSE))</f>
        <v>0</v>
      </c>
      <c r="U65" s="8">
        <f>IF(OR(V65=0,ISNUMBER(MATCH(V65,$V$55:V64,0))),0,MAX($U$55:U64)+1)</f>
        <v>0</v>
      </c>
      <c r="V65" s="8">
        <f t="shared" si="14"/>
        <v>0</v>
      </c>
      <c r="W65" s="8">
        <f t="shared" si="21"/>
        <v>0</v>
      </c>
      <c r="X65" s="8">
        <f>SUMIFS($S$56:$S$165,$R$56:$R$165,$W65)*(1-VCU!$D$23)</f>
        <v>0</v>
      </c>
      <c r="Y65" s="8">
        <f>SUMIFS($T$56:$T$165,$R$56:$R$165,$W65)*(1-VCU!$D$23)</f>
        <v>0</v>
      </c>
      <c r="Z65" s="8"/>
      <c r="AA65" s="8"/>
      <c r="AB65" s="8"/>
      <c r="AC65" s="8"/>
      <c r="AD65" s="8"/>
      <c r="AE65" s="8"/>
      <c r="AF65" s="8"/>
      <c r="AG65" s="307" t="str">
        <f t="shared" si="22"/>
        <v>AAAAAAAAA</v>
      </c>
      <c r="AH65" s="8">
        <f>IF($AG$56="",0,VLOOKUP($AG64,Products!$A$59:$E$158,5,FALSE))</f>
        <v>0</v>
      </c>
      <c r="AI65" s="322">
        <f>IF($AH65=0,0,AI$56*VLOOKUP($AG64,Products!$A$59:$H$158,8,FALSE))</f>
        <v>0</v>
      </c>
      <c r="AJ65" s="322">
        <f>IF($AH65=0,0,AJ$56*VLOOKUP($AG64,Products!$A$59:$H$158,8,FALSE))</f>
        <v>0</v>
      </c>
      <c r="AK65" s="8">
        <f>IF(OR(AL65=0,ISNUMBER(MATCH(AL65,$AL$55:AL64,0))),0,MAX($AK$55:AK64)+1)</f>
        <v>0</v>
      </c>
      <c r="AL65" s="8">
        <f t="shared" si="15"/>
        <v>0</v>
      </c>
      <c r="AM65" s="8">
        <f t="shared" si="16"/>
        <v>0</v>
      </c>
      <c r="AN65" s="8">
        <f>SUMIFS($AI$56:$AI$165,$AH$56:$AH$165,$AM65)*(1-VaporOxidizer!$D$23)</f>
        <v>0</v>
      </c>
      <c r="AO65" s="8">
        <f>SUMIFS($AJ$56:$AJ$165,$AH$56:$AH$165,$AM65)*(1-VaporOxidizer!$D$23)</f>
        <v>0</v>
      </c>
      <c r="AP65" s="8"/>
      <c r="AQ65" s="8"/>
      <c r="AR65" s="8"/>
      <c r="AS65" s="8"/>
      <c r="AT65" s="8"/>
      <c r="AU65" s="8"/>
      <c r="AV65" s="8"/>
      <c r="AW65" s="307" t="str">
        <f t="shared" si="23"/>
        <v>AAAAAAAAA</v>
      </c>
      <c r="AX65" s="8">
        <f>IF($AW$56="",0,VLOOKUP($AW64,Products!$A$59:$E$158,5,FALSE))</f>
        <v>0</v>
      </c>
      <c r="AY65" s="322">
        <f>IF($AX65=0,0,AY$56*VLOOKUP($AW64,Products!$A$59:$H$158,8,FALSE))</f>
        <v>0</v>
      </c>
      <c r="AZ65" s="323">
        <f>IF($AX65=0,0,AZ$56*VLOOKUP($AW64,Products!$A$59:$H$158,8,FALSE))</f>
        <v>0</v>
      </c>
      <c r="BA65" s="8">
        <f>IF(OR(BB65=0,ISNUMBER(MATCH(BB65,$BB$55:BB64,0))),0,MAX($BA$55:BA64)+1)</f>
        <v>0</v>
      </c>
      <c r="BB65" s="8">
        <f t="shared" si="17"/>
        <v>0</v>
      </c>
      <c r="BC65" s="8">
        <f t="shared" si="18"/>
        <v>0</v>
      </c>
      <c r="BD65" s="8">
        <f>IF(OR($BC65="7783-06-4",$BC65="7446-09-5",$BC65="7664-93-9"),SUMIFS($AY$56:$AY$165,$AX$56:$AX$165,$BC65),SUMIFS($AY$56:$AY$165,$AX$56:$AX$165,$BC65)*(CAS!$D$19/1000000))</f>
        <v>0</v>
      </c>
      <c r="BE65" s="8">
        <f>IF(OR($BC65="7783-06-4",$BC65="7446-09-5",$BC65="7664-93-9"),SUMIFS($AZ$56:$AZ$165,$AX$56:$AX$165,$BC65),SUMIFS($AZ$56:$AZ$165,$AX$56:$AX$165,$BC65)*(CAS!$D$19/1000000))</f>
        <v>0</v>
      </c>
      <c r="BL65" s="90"/>
    </row>
    <row r="66" spans="1:64" x14ac:dyDescent="0.2">
      <c r="A66" s="307" t="str">
        <f t="shared" si="19"/>
        <v>AAAAAAAAAA</v>
      </c>
      <c r="B66" s="8">
        <f>IF($A$56="",0,VLOOKUP($A65,Products!$A$59:$E$158,5,FALSE))</f>
        <v>0</v>
      </c>
      <c r="C66" s="322">
        <f>IF($B66=0,0,C$56*VLOOKUP($A65,Products!$A$59:$H$158,8,FALSE))</f>
        <v>0</v>
      </c>
      <c r="D66" s="323">
        <f>IF($B66=0,0,D$56*VLOOKUP($A65,Products!$A$59:$H$158,8,FALSE))</f>
        <v>0</v>
      </c>
      <c r="E66" s="8"/>
      <c r="F66" s="8">
        <f>IF(OR(G66=0,ISNUMBER(MATCH(G66,$G$55:G65,0))),0,MAX($F$55:F65)+1)</f>
        <v>0</v>
      </c>
      <c r="G66" s="8">
        <f t="shared" si="12"/>
        <v>0</v>
      </c>
      <c r="H66" s="8">
        <f t="shared" si="13"/>
        <v>0</v>
      </c>
      <c r="I66" s="8">
        <f>SUMIFS($C$56:$C$165,$B$56:$B$165,$H66)*(1-Flare!$D$18)</f>
        <v>0</v>
      </c>
      <c r="J66" s="8">
        <f>SUMIFS($D$56:$D$165,$B$56:$B$165,$H66)*(1-Flare!$D$18)</f>
        <v>0</v>
      </c>
      <c r="K66" s="8"/>
      <c r="L66" s="8"/>
      <c r="M66" s="8"/>
      <c r="N66" s="8"/>
      <c r="O66" s="8"/>
      <c r="P66" s="8"/>
      <c r="Q66" s="307" t="str">
        <f t="shared" si="20"/>
        <v>AAAAAAAAAA</v>
      </c>
      <c r="R66" s="8">
        <f>IF($Q$56="",0,VLOOKUP($Q65,Products!$A$59:$E$158,5,FALSE))</f>
        <v>0</v>
      </c>
      <c r="S66" s="322">
        <f>IF($R66=0,0,S$56*VLOOKUP($Q65,Products!$A$59:$H$158,8,FALSE))</f>
        <v>0</v>
      </c>
      <c r="T66" s="322">
        <f>IF($R66=0,0,T$56*VLOOKUP($Q65,Products!$A$59:$H$158,8,FALSE))</f>
        <v>0</v>
      </c>
      <c r="U66" s="8">
        <f>IF(OR(V66=0,ISNUMBER(MATCH(V66,$V$55:V65,0))),0,MAX($U$55:U65)+1)</f>
        <v>0</v>
      </c>
      <c r="V66" s="8">
        <f t="shared" si="14"/>
        <v>0</v>
      </c>
      <c r="W66" s="8">
        <f t="shared" si="21"/>
        <v>0</v>
      </c>
      <c r="X66" s="8">
        <f>SUMIFS($S$56:$S$165,$R$56:$R$165,$W66)*(1-VCU!$D$23)</f>
        <v>0</v>
      </c>
      <c r="Y66" s="8">
        <f>SUMIFS($T$56:$T$165,$R$56:$R$165,$W66)*(1-VCU!$D$23)</f>
        <v>0</v>
      </c>
      <c r="Z66" s="8"/>
      <c r="AA66" s="8"/>
      <c r="AB66" s="8"/>
      <c r="AC66" s="8"/>
      <c r="AD66" s="8"/>
      <c r="AE66" s="8"/>
      <c r="AF66" s="8"/>
      <c r="AG66" s="307" t="str">
        <f t="shared" si="22"/>
        <v>AAAAAAAAAA</v>
      </c>
      <c r="AH66" s="8">
        <f>IF($AG$56="",0,VLOOKUP($AG65,Products!$A$59:$E$158,5,FALSE))</f>
        <v>0</v>
      </c>
      <c r="AI66" s="322">
        <f>IF($AH66=0,0,AI$56*VLOOKUP($AG65,Products!$A$59:$H$158,8,FALSE))</f>
        <v>0</v>
      </c>
      <c r="AJ66" s="322">
        <f>IF($AH66=0,0,AJ$56*VLOOKUP($AG65,Products!$A$59:$H$158,8,FALSE))</f>
        <v>0</v>
      </c>
      <c r="AK66" s="8">
        <f>IF(OR(AL66=0,ISNUMBER(MATCH(AL66,$AL$55:AL65,0))),0,MAX($AK$55:AK65)+1)</f>
        <v>0</v>
      </c>
      <c r="AL66" s="8">
        <f t="shared" si="15"/>
        <v>0</v>
      </c>
      <c r="AM66" s="8">
        <f t="shared" si="16"/>
        <v>0</v>
      </c>
      <c r="AN66" s="8">
        <f>SUMIFS($AI$56:$AI$165,$AH$56:$AH$165,$AM66)*(1-VaporOxidizer!$D$23)</f>
        <v>0</v>
      </c>
      <c r="AO66" s="8">
        <f>SUMIFS($AJ$56:$AJ$165,$AH$56:$AH$165,$AM66)*(1-VaporOxidizer!$D$23)</f>
        <v>0</v>
      </c>
      <c r="AP66" s="8"/>
      <c r="AQ66" s="8"/>
      <c r="AR66" s="8"/>
      <c r="AS66" s="8"/>
      <c r="AT66" s="8"/>
      <c r="AU66" s="8"/>
      <c r="AV66" s="8"/>
      <c r="AW66" s="307" t="str">
        <f t="shared" si="23"/>
        <v>AAAAAAAAAA</v>
      </c>
      <c r="AX66" s="8">
        <f>IF($AW$56="",0,VLOOKUP($AW65,Products!$A$59:$E$158,5,FALSE))</f>
        <v>0</v>
      </c>
      <c r="AY66" s="322">
        <f>IF($AX66=0,0,AY$56*VLOOKUP($AW65,Products!$A$59:$H$158,8,FALSE))</f>
        <v>0</v>
      </c>
      <c r="AZ66" s="323">
        <f>IF($AX66=0,0,AZ$56*VLOOKUP($AW65,Products!$A$59:$H$158,8,FALSE))</f>
        <v>0</v>
      </c>
      <c r="BA66" s="8">
        <f>IF(OR(BB66=0,ISNUMBER(MATCH(BB66,$BB$55:BB65,0))),0,MAX($BA$55:BA65)+1)</f>
        <v>0</v>
      </c>
      <c r="BB66" s="8">
        <f t="shared" si="17"/>
        <v>0</v>
      </c>
      <c r="BC66" s="8">
        <f t="shared" si="18"/>
        <v>0</v>
      </c>
      <c r="BD66" s="8">
        <f>IF(OR($BC66="7783-06-4",$BC66="7446-09-5",$BC66="7664-93-9"),SUMIFS($AY$56:$AY$165,$AX$56:$AX$165,$BC66),SUMIFS($AY$56:$AY$165,$AX$56:$AX$165,$BC66)*(CAS!$D$19/1000000))</f>
        <v>0</v>
      </c>
      <c r="BE66" s="8">
        <f>IF(OR($BC66="7783-06-4",$BC66="7446-09-5",$BC66="7664-93-9"),SUMIFS($AZ$56:$AZ$165,$AX$56:$AX$165,$BC66),SUMIFS($AZ$56:$AZ$165,$AX$56:$AX$165,$BC66)*(CAS!$D$19/1000000))</f>
        <v>0</v>
      </c>
      <c r="BL66" s="90"/>
    </row>
    <row r="67" spans="1:64" x14ac:dyDescent="0.2">
      <c r="A67" s="310" t="str">
        <f t="shared" ref="A67" si="24">$F4</f>
        <v/>
      </c>
      <c r="B67" s="311" t="s">
        <v>291</v>
      </c>
      <c r="C67" s="311">
        <f t="shared" ref="C67:C111" si="25">VLOOKUP($A67,$F$3:$H$12,2,FALSE)</f>
        <v>0</v>
      </c>
      <c r="D67" s="312">
        <f t="shared" ref="D67:D111" si="26">VLOOKUP($A67,$F$3:$H$12,3,FALSE)</f>
        <v>0</v>
      </c>
      <c r="E67" s="8"/>
      <c r="F67" s="8">
        <f>IF(OR(G67=0,ISNUMBER(MATCH(G67,$G$55:G66,0))),0,MAX($F$55:F66)+1)</f>
        <v>0</v>
      </c>
      <c r="G67" s="8" t="str">
        <f t="shared" si="12"/>
        <v>Total VOC</v>
      </c>
      <c r="H67" s="8">
        <f t="shared" si="13"/>
        <v>0</v>
      </c>
      <c r="I67" s="8">
        <f>SUMIFS($C$56:$C$165,$B$56:$B$165,$H67)*(1-Flare!$D$18)</f>
        <v>0</v>
      </c>
      <c r="J67" s="8">
        <f>SUMIFS($D$56:$D$165,$B$56:$B$165,$H67)*(1-Flare!$D$18)</f>
        <v>0</v>
      </c>
      <c r="K67" s="8"/>
      <c r="L67" s="8"/>
      <c r="M67" s="8"/>
      <c r="N67" s="8"/>
      <c r="O67" s="8"/>
      <c r="P67" s="8"/>
      <c r="Q67" s="310" t="str">
        <f t="shared" ref="Q67" si="27">$V4</f>
        <v/>
      </c>
      <c r="R67" s="311" t="s">
        <v>291</v>
      </c>
      <c r="S67" s="311">
        <f>VLOOKUP($Q67,$V$3:$X$12,2,FALSE)</f>
        <v>0</v>
      </c>
      <c r="T67" s="312">
        <f>VLOOKUP($Q67,$V$3:$X$12,3,FALSE)</f>
        <v>0</v>
      </c>
      <c r="U67" s="8">
        <f>IF(OR(V67=0,ISNUMBER(MATCH(V67,$V$55:V66,0))),0,MAX($U$55:U66)+1)</f>
        <v>0</v>
      </c>
      <c r="V67" s="8" t="str">
        <f t="shared" si="14"/>
        <v>Total VOC</v>
      </c>
      <c r="W67" s="8">
        <f t="shared" si="21"/>
        <v>0</v>
      </c>
      <c r="X67" s="8">
        <f>SUMIFS($S$56:$S$165,$R$56:$R$165,$W67)*(1-VCU!$D$23)</f>
        <v>0</v>
      </c>
      <c r="Y67" s="8">
        <f>SUMIFS($T$56:$T$165,$R$56:$R$165,$W67)*(1-VCU!$D$23)</f>
        <v>0</v>
      </c>
      <c r="Z67" s="8"/>
      <c r="AA67" s="8"/>
      <c r="AB67" s="8"/>
      <c r="AC67" s="8"/>
      <c r="AD67" s="8"/>
      <c r="AE67" s="8"/>
      <c r="AF67" s="8"/>
      <c r="AG67" s="310" t="str">
        <f t="shared" ref="AG67" si="28">$AL4</f>
        <v/>
      </c>
      <c r="AH67" s="311" t="s">
        <v>291</v>
      </c>
      <c r="AI67" s="311">
        <f>VLOOKUP($AG67,$AL$3:$AN$12,2,FALSE)</f>
        <v>0</v>
      </c>
      <c r="AJ67" s="312">
        <f>VLOOKUP($AG67,$AL$3:$AN$12,3,FALSE)</f>
        <v>0</v>
      </c>
      <c r="AK67" s="8">
        <f>IF(OR(AL67=0,ISNUMBER(MATCH(AL67,$AL$55:AL66,0))),0,MAX($AK$55:AK66)+1)</f>
        <v>0</v>
      </c>
      <c r="AL67" s="8" t="str">
        <f t="shared" si="15"/>
        <v>Total VOC</v>
      </c>
      <c r="AM67" s="8">
        <f t="shared" si="16"/>
        <v>0</v>
      </c>
      <c r="AN67" s="8">
        <f>SUMIFS($AI$56:$AI$165,$AH$56:$AH$165,$AM67)*(1-VaporOxidizer!$D$23)</f>
        <v>0</v>
      </c>
      <c r="AO67" s="8">
        <f>SUMIFS($AJ$56:$AJ$165,$AH$56:$AH$165,$AM67)*(1-VaporOxidizer!$D$23)</f>
        <v>0</v>
      </c>
      <c r="AP67" s="8"/>
      <c r="AQ67" s="8"/>
      <c r="AR67" s="8"/>
      <c r="AS67" s="8"/>
      <c r="AT67" s="8"/>
      <c r="AU67" s="8"/>
      <c r="AV67" s="8"/>
      <c r="AW67" s="310" t="str">
        <f t="shared" ref="AW67" si="29">$BB4</f>
        <v/>
      </c>
      <c r="AX67" s="311" t="s">
        <v>291</v>
      </c>
      <c r="AY67" s="311">
        <f>VLOOKUP($AW67,$BB$3:$BD$12,2,FALSE)</f>
        <v>0</v>
      </c>
      <c r="AZ67" s="312">
        <f>VLOOKUP($AW67,$BB$3:$BD$12,3,FALSE)</f>
        <v>0</v>
      </c>
      <c r="BA67" s="8">
        <f>IF(OR(BB67=0,ISNUMBER(MATCH(BB67,$BB$55:BB66,0))),0,MAX($BA$55:BA66)+1)</f>
        <v>0</v>
      </c>
      <c r="BB67" s="8" t="str">
        <f t="shared" si="17"/>
        <v>Total VOC</v>
      </c>
      <c r="BC67" s="8">
        <f t="shared" si="18"/>
        <v>0</v>
      </c>
      <c r="BD67" s="8">
        <f>IF(OR($BC67="7783-06-4",$BC67="7446-09-5",$BC67="7664-93-9"),SUMIFS($AY$56:$AY$165,$AX$56:$AX$165,$BC67),SUMIFS($AY$56:$AY$165,$AX$56:$AX$165,$BC67)*(CAS!$D$19/1000000))</f>
        <v>0</v>
      </c>
      <c r="BE67" s="8">
        <f>IF(OR($BC67="7783-06-4",$BC67="7446-09-5",$BC67="7664-93-9"),SUMIFS($AZ$56:$AZ$165,$AX$56:$AX$165,$BC67),SUMIFS($AZ$56:$AZ$165,$AX$56:$AX$165,$BC67)*(CAS!$D$19/1000000))</f>
        <v>0</v>
      </c>
      <c r="BL67" s="90"/>
    </row>
    <row r="68" spans="1:64" x14ac:dyDescent="0.2">
      <c r="A68" s="307" t="str">
        <f>A67&amp;"A"</f>
        <v>A</v>
      </c>
      <c r="B68" s="8">
        <f>IF($A$67="",0,VLOOKUP($A67,Products!$A$59:$E$158,5,FALSE))</f>
        <v>0</v>
      </c>
      <c r="C68" s="322">
        <f>IF($B68=0,0,C$67*VLOOKUP($A67,Products!$A$59:$H$158,8,FALSE))</f>
        <v>0</v>
      </c>
      <c r="D68" s="323">
        <f>IF($B68=0,0,D$67*VLOOKUP($A67,Products!$A$59:$H$158,8,FALSE))</f>
        <v>0</v>
      </c>
      <c r="E68" s="8"/>
      <c r="F68" s="8">
        <f>IF(OR(G68=0,ISNUMBER(MATCH(G68,$G$55:G67,0))),0,MAX($F$55:F67)+1)</f>
        <v>0</v>
      </c>
      <c r="G68" s="8">
        <f t="shared" si="12"/>
        <v>0</v>
      </c>
      <c r="H68" s="8">
        <f t="shared" si="13"/>
        <v>0</v>
      </c>
      <c r="I68" s="8">
        <f>SUMIFS($C$56:$C$165,$B$56:$B$165,$H68)*(1-Flare!$D$18)</f>
        <v>0</v>
      </c>
      <c r="J68" s="8">
        <f>SUMIFS($D$56:$D$165,$B$56:$B$165,$H68)*(1-Flare!$D$18)</f>
        <v>0</v>
      </c>
      <c r="K68" s="8"/>
      <c r="L68" s="8"/>
      <c r="M68" s="8"/>
      <c r="N68" s="8"/>
      <c r="O68" s="8"/>
      <c r="P68" s="8"/>
      <c r="Q68" s="307" t="str">
        <f>Q67&amp;"A"</f>
        <v>A</v>
      </c>
      <c r="R68" s="8">
        <f>IF($Q$67="",0,VLOOKUP($Q67,Products!$A$59:$E$158,5,FALSE))</f>
        <v>0</v>
      </c>
      <c r="S68" s="322">
        <f>IF($R68=0,0,S$67*VLOOKUP($Q67,Products!$A$59:$H$158,8,FALSE))</f>
        <v>0</v>
      </c>
      <c r="T68" s="322">
        <f>IF($R68=0,0,T$67*VLOOKUP($Q67,Products!$A$59:$H$158,8,FALSE))</f>
        <v>0</v>
      </c>
      <c r="U68" s="8">
        <f>IF(OR(V68=0,ISNUMBER(MATCH(V68,$V$55:V67,0))),0,MAX($U$55:U67)+1)</f>
        <v>0</v>
      </c>
      <c r="V68" s="8">
        <f t="shared" si="14"/>
        <v>0</v>
      </c>
      <c r="W68" s="8">
        <f t="shared" si="21"/>
        <v>0</v>
      </c>
      <c r="X68" s="8">
        <f>SUMIFS($S$56:$S$165,$R$56:$R$165,$W68)*(1-VCU!$D$23)</f>
        <v>0</v>
      </c>
      <c r="Y68" s="8">
        <f>SUMIFS($T$56:$T$165,$R$56:$R$165,$W68)*(1-VCU!$D$23)</f>
        <v>0</v>
      </c>
      <c r="Z68" s="8"/>
      <c r="AA68" s="8"/>
      <c r="AB68" s="8"/>
      <c r="AC68" s="8"/>
      <c r="AD68" s="8"/>
      <c r="AE68" s="8"/>
      <c r="AF68" s="8"/>
      <c r="AG68" s="307" t="str">
        <f>AG67&amp;"A"</f>
        <v>A</v>
      </c>
      <c r="AH68" s="8">
        <f>IF($AG$67="",0,VLOOKUP($AG67,Products!$A$59:$E$158,5,FALSE))</f>
        <v>0</v>
      </c>
      <c r="AI68" s="322">
        <f>IF($AH68=0,0,AI$67*VLOOKUP($AG67,Products!$A$59:$H$158,8,FALSE))</f>
        <v>0</v>
      </c>
      <c r="AJ68" s="322">
        <f>IF($AH68=0,0,AJ$67*VLOOKUP($AG67,Products!$A$59:$H$158,8,FALSE))</f>
        <v>0</v>
      </c>
      <c r="AK68" s="8">
        <f>IF(OR(AL68=0,ISNUMBER(MATCH(AL68,$AL$55:AL67,0))),0,MAX($AK$55:AK67)+1)</f>
        <v>0</v>
      </c>
      <c r="AL68" s="8">
        <f t="shared" si="15"/>
        <v>0</v>
      </c>
      <c r="AM68" s="8">
        <f t="shared" si="16"/>
        <v>0</v>
      </c>
      <c r="AN68" s="8">
        <f>SUMIFS($AI$56:$AI$165,$AH$56:$AH$165,$AM68)*(1-VaporOxidizer!$D$23)</f>
        <v>0</v>
      </c>
      <c r="AO68" s="8">
        <f>SUMIFS($AJ$56:$AJ$165,$AH$56:$AH$165,$AM68)*(1-VaporOxidizer!$D$23)</f>
        <v>0</v>
      </c>
      <c r="AP68" s="8"/>
      <c r="AQ68" s="8"/>
      <c r="AR68" s="8"/>
      <c r="AS68" s="8"/>
      <c r="AT68" s="8"/>
      <c r="AU68" s="8"/>
      <c r="AV68" s="8"/>
      <c r="AW68" s="307" t="str">
        <f>AW67&amp;"A"</f>
        <v>A</v>
      </c>
      <c r="AX68" s="8">
        <f>IF($AW$67="",0,VLOOKUP($AW67,Products!$A$59:$E$158,5,FALSE))</f>
        <v>0</v>
      </c>
      <c r="AY68" s="322">
        <f>IF($AX68=0,0,AY$67*VLOOKUP($AW67,Products!$A$59:$H$158,8,FALSE))</f>
        <v>0</v>
      </c>
      <c r="AZ68" s="323">
        <f>IF($AX68=0,0,AZ$67*VLOOKUP($AW67,Products!$A$59:$H$158,8,FALSE))</f>
        <v>0</v>
      </c>
      <c r="BA68" s="8">
        <f>IF(OR(BB68=0,ISNUMBER(MATCH(BB68,$BB$55:BB67,0))),0,MAX($BA$55:BA67)+1)</f>
        <v>0</v>
      </c>
      <c r="BB68" s="8">
        <f t="shared" si="17"/>
        <v>0</v>
      </c>
      <c r="BC68" s="8">
        <f t="shared" si="18"/>
        <v>0</v>
      </c>
      <c r="BD68" s="8">
        <f>IF(OR($BC68="7783-06-4",$BC68="7446-09-5",$BC68="7664-93-9"),SUMIFS($AY$56:$AY$165,$AX$56:$AX$165,$BC68),SUMIFS($AY$56:$AY$165,$AX$56:$AX$165,$BC68)*(CAS!$D$19/1000000))</f>
        <v>0</v>
      </c>
      <c r="BE68" s="8">
        <f>IF(OR($BC68="7783-06-4",$BC68="7446-09-5",$BC68="7664-93-9"),SUMIFS($AZ$56:$AZ$165,$AX$56:$AX$165,$BC68),SUMIFS($AZ$56:$AZ$165,$AX$56:$AX$165,$BC68)*(CAS!$D$19/1000000))</f>
        <v>0</v>
      </c>
      <c r="BL68" s="90"/>
    </row>
    <row r="69" spans="1:64" x14ac:dyDescent="0.2">
      <c r="A69" s="307" t="str">
        <f t="shared" ref="A69:A77" si="30">A68&amp;"A"</f>
        <v>AA</v>
      </c>
      <c r="B69" s="8">
        <f>IF($A$67="",0,VLOOKUP($A68,Products!$A$59:$E$158,5,FALSE))</f>
        <v>0</v>
      </c>
      <c r="C69" s="322">
        <f>IF($B69=0,0,C$67*VLOOKUP($A68,Products!$A$59:$H$158,8,FALSE))</f>
        <v>0</v>
      </c>
      <c r="D69" s="323">
        <f>IF($B69=0,0,D$67*VLOOKUP($A68,Products!$A$59:$H$158,8,FALSE))</f>
        <v>0</v>
      </c>
      <c r="E69" s="8"/>
      <c r="F69" s="8">
        <f>IF(OR(G69=0,ISNUMBER(MATCH(G69,$G$55:G68,0))),0,MAX($F$55:F68)+1)</f>
        <v>0</v>
      </c>
      <c r="G69" s="8">
        <f t="shared" si="12"/>
        <v>0</v>
      </c>
      <c r="H69" s="8">
        <f t="shared" si="13"/>
        <v>0</v>
      </c>
      <c r="I69" s="8">
        <f>SUMIFS($C$56:$C$165,$B$56:$B$165,$H69)*(1-Flare!$D$18)</f>
        <v>0</v>
      </c>
      <c r="J69" s="8">
        <f>SUMIFS($D$56:$D$165,$B$56:$B$165,$H69)*(1-Flare!$D$18)</f>
        <v>0</v>
      </c>
      <c r="K69" s="8"/>
      <c r="L69" s="8"/>
      <c r="M69" s="8"/>
      <c r="N69" s="8"/>
      <c r="O69" s="8"/>
      <c r="P69" s="8"/>
      <c r="Q69" s="307" t="str">
        <f t="shared" ref="Q69:Q77" si="31">Q68&amp;"A"</f>
        <v>AA</v>
      </c>
      <c r="R69" s="8">
        <f>IF($Q$67="",0,VLOOKUP($Q68,Products!$A$59:$E$158,5,FALSE))</f>
        <v>0</v>
      </c>
      <c r="S69" s="322">
        <f>IF($R69=0,0,S$67*VLOOKUP($Q68,Products!$A$59:$H$158,8,FALSE))</f>
        <v>0</v>
      </c>
      <c r="T69" s="322">
        <f>IF($R69=0,0,T$67*VLOOKUP($Q68,Products!$A$59:$H$158,8,FALSE))</f>
        <v>0</v>
      </c>
      <c r="U69" s="8">
        <f>IF(OR(V69=0,ISNUMBER(MATCH(V69,$V$55:V68,0))),0,MAX($U$55:U68)+1)</f>
        <v>0</v>
      </c>
      <c r="V69" s="8">
        <f t="shared" si="14"/>
        <v>0</v>
      </c>
      <c r="W69" s="8">
        <f t="shared" si="21"/>
        <v>0</v>
      </c>
      <c r="X69" s="8">
        <f>SUMIFS($S$56:$S$165,$R$56:$R$165,$W69)*(1-VCU!$D$23)</f>
        <v>0</v>
      </c>
      <c r="Y69" s="8">
        <f>SUMIFS($T$56:$T$165,$R$56:$R$165,$W69)*(1-VCU!$D$23)</f>
        <v>0</v>
      </c>
      <c r="Z69" s="8"/>
      <c r="AA69" s="8"/>
      <c r="AB69" s="8"/>
      <c r="AC69" s="8"/>
      <c r="AD69" s="8"/>
      <c r="AE69" s="8"/>
      <c r="AF69" s="8"/>
      <c r="AG69" s="307" t="str">
        <f t="shared" ref="AG69:AG77" si="32">AG68&amp;"A"</f>
        <v>AA</v>
      </c>
      <c r="AH69" s="8">
        <f>IF($AG$67="",0,VLOOKUP($AG68,Products!$A$59:$E$158,5,FALSE))</f>
        <v>0</v>
      </c>
      <c r="AI69" s="322">
        <f>IF($AH69=0,0,AI$67*VLOOKUP($AG68,Products!$A$59:$H$158,8,FALSE))</f>
        <v>0</v>
      </c>
      <c r="AJ69" s="322">
        <f>IF($AH69=0,0,AJ$67*VLOOKUP($AG68,Products!$A$59:$H$158,8,FALSE))</f>
        <v>0</v>
      </c>
      <c r="AK69" s="8">
        <f>IF(OR(AL69=0,ISNUMBER(MATCH(AL69,$AL$55:AL68,0))),0,MAX($AK$55:AK68)+1)</f>
        <v>0</v>
      </c>
      <c r="AL69" s="8">
        <f t="shared" si="15"/>
        <v>0</v>
      </c>
      <c r="AM69" s="8">
        <f t="shared" si="16"/>
        <v>0</v>
      </c>
      <c r="AN69" s="8">
        <f>SUMIFS($AI$56:$AI$165,$AH$56:$AH$165,$AM69)*(1-VaporOxidizer!$D$23)</f>
        <v>0</v>
      </c>
      <c r="AO69" s="8">
        <f>SUMIFS($AJ$56:$AJ$165,$AH$56:$AH$165,$AM69)*(1-VaporOxidizer!$D$23)</f>
        <v>0</v>
      </c>
      <c r="AP69" s="8"/>
      <c r="AQ69" s="8"/>
      <c r="AR69" s="8"/>
      <c r="AS69" s="8"/>
      <c r="AT69" s="8"/>
      <c r="AU69" s="8"/>
      <c r="AV69" s="8"/>
      <c r="AW69" s="307" t="str">
        <f t="shared" ref="AW69:AW77" si="33">AW68&amp;"A"</f>
        <v>AA</v>
      </c>
      <c r="AX69" s="8">
        <f>IF($AW$67="",0,VLOOKUP($AW68,Products!$A$59:$E$158,5,FALSE))</f>
        <v>0</v>
      </c>
      <c r="AY69" s="322">
        <f>IF($AX69=0,0,AY$67*VLOOKUP($AW68,Products!$A$59:$H$158,8,FALSE))</f>
        <v>0</v>
      </c>
      <c r="AZ69" s="323">
        <f>IF($AX69=0,0,AZ$67*VLOOKUP($AW68,Products!$A$59:$H$158,8,FALSE))</f>
        <v>0</v>
      </c>
      <c r="BA69" s="8">
        <f>IF(OR(BB69=0,ISNUMBER(MATCH(BB69,$BB$55:BB68,0))),0,MAX($BA$55:BA68)+1)</f>
        <v>0</v>
      </c>
      <c r="BB69" s="8">
        <f t="shared" si="17"/>
        <v>0</v>
      </c>
      <c r="BC69" s="8">
        <f t="shared" si="18"/>
        <v>0</v>
      </c>
      <c r="BD69" s="8">
        <f>IF(OR($BC69="7783-06-4",$BC69="7446-09-5",$BC69="7664-93-9"),SUMIFS($AY$56:$AY$165,$AX$56:$AX$165,$BC69),SUMIFS($AY$56:$AY$165,$AX$56:$AX$165,$BC69)*(CAS!$D$19/1000000))</f>
        <v>0</v>
      </c>
      <c r="BE69" s="8">
        <f>IF(OR($BC69="7783-06-4",$BC69="7446-09-5",$BC69="7664-93-9"),SUMIFS($AZ$56:$AZ$165,$AX$56:$AX$165,$BC69),SUMIFS($AZ$56:$AZ$165,$AX$56:$AX$165,$BC69)*(CAS!$D$19/1000000))</f>
        <v>0</v>
      </c>
      <c r="BL69" s="90"/>
    </row>
    <row r="70" spans="1:64" x14ac:dyDescent="0.2">
      <c r="A70" s="307" t="str">
        <f t="shared" si="30"/>
        <v>AAA</v>
      </c>
      <c r="B70" s="8">
        <f>IF($A$67="",0,VLOOKUP($A69,Products!$A$59:$E$158,5,FALSE))</f>
        <v>0</v>
      </c>
      <c r="C70" s="322">
        <f>IF($B70=0,0,C$67*VLOOKUP($A69,Products!$A$59:$H$158,8,FALSE))</f>
        <v>0</v>
      </c>
      <c r="D70" s="323">
        <f>IF($B70=0,0,D$67*VLOOKUP($A69,Products!$A$59:$H$158,8,FALSE))</f>
        <v>0</v>
      </c>
      <c r="E70" s="8"/>
      <c r="F70" s="8">
        <f>IF(OR(G70=0,ISNUMBER(MATCH(G70,$G$55:G69,0))),0,MAX($F$55:F69)+1)</f>
        <v>0</v>
      </c>
      <c r="G70" s="8">
        <f t="shared" si="12"/>
        <v>0</v>
      </c>
      <c r="H70" s="8">
        <f t="shared" si="13"/>
        <v>0</v>
      </c>
      <c r="I70" s="8">
        <f>SUMIFS($C$56:$C$165,$B$56:$B$165,$H70)*(1-Flare!$D$18)</f>
        <v>0</v>
      </c>
      <c r="J70" s="8">
        <f>SUMIFS($D$56:$D$165,$B$56:$B$165,$H70)*(1-Flare!$D$18)</f>
        <v>0</v>
      </c>
      <c r="K70" s="8"/>
      <c r="L70" s="8"/>
      <c r="M70" s="8"/>
      <c r="N70" s="8"/>
      <c r="O70" s="8"/>
      <c r="P70" s="8"/>
      <c r="Q70" s="307" t="str">
        <f t="shared" si="31"/>
        <v>AAA</v>
      </c>
      <c r="R70" s="8">
        <f>IF($Q$67="",0,VLOOKUP($Q69,Products!$A$59:$E$158,5,FALSE))</f>
        <v>0</v>
      </c>
      <c r="S70" s="322">
        <f>IF($R70=0,0,S$67*VLOOKUP($Q69,Products!$A$59:$H$158,8,FALSE))</f>
        <v>0</v>
      </c>
      <c r="T70" s="322">
        <f>IF($R70=0,0,T$67*VLOOKUP($Q69,Products!$A$59:$H$158,8,FALSE))</f>
        <v>0</v>
      </c>
      <c r="U70" s="8">
        <f>IF(OR(V70=0,ISNUMBER(MATCH(V70,$V$55:V69,0))),0,MAX($U$55:U69)+1)</f>
        <v>0</v>
      </c>
      <c r="V70" s="8">
        <f t="shared" si="14"/>
        <v>0</v>
      </c>
      <c r="W70" s="8">
        <f t="shared" si="21"/>
        <v>0</v>
      </c>
      <c r="X70" s="8">
        <f>SUMIFS($S$56:$S$165,$R$56:$R$165,$W70)*(1-VCU!$D$23)</f>
        <v>0</v>
      </c>
      <c r="Y70" s="8">
        <f>SUMIFS($T$56:$T$165,$R$56:$R$165,$W70)*(1-VCU!$D$23)</f>
        <v>0</v>
      </c>
      <c r="Z70" s="8"/>
      <c r="AA70" s="8"/>
      <c r="AB70" s="8"/>
      <c r="AC70" s="8"/>
      <c r="AD70" s="8"/>
      <c r="AE70" s="8"/>
      <c r="AF70" s="8"/>
      <c r="AG70" s="307" t="str">
        <f t="shared" si="32"/>
        <v>AAA</v>
      </c>
      <c r="AH70" s="8">
        <f>IF($AG$67="",0,VLOOKUP($AG69,Products!$A$59:$E$158,5,FALSE))</f>
        <v>0</v>
      </c>
      <c r="AI70" s="322">
        <f>IF($AH70=0,0,AI$67*VLOOKUP($AG69,Products!$A$59:$H$158,8,FALSE))</f>
        <v>0</v>
      </c>
      <c r="AJ70" s="322">
        <f>IF($AH70=0,0,AJ$67*VLOOKUP($AG69,Products!$A$59:$H$158,8,FALSE))</f>
        <v>0</v>
      </c>
      <c r="AK70" s="8">
        <f>IF(OR(AL70=0,ISNUMBER(MATCH(AL70,$AL$55:AL69,0))),0,MAX($AK$55:AK69)+1)</f>
        <v>0</v>
      </c>
      <c r="AL70" s="8">
        <f t="shared" si="15"/>
        <v>0</v>
      </c>
      <c r="AM70" s="8">
        <f t="shared" si="16"/>
        <v>0</v>
      </c>
      <c r="AN70" s="8">
        <f>SUMIFS($AI$56:$AI$165,$AH$56:$AH$165,$AM70)*(1-VaporOxidizer!$D$23)</f>
        <v>0</v>
      </c>
      <c r="AO70" s="8">
        <f>SUMIFS($AJ$56:$AJ$165,$AH$56:$AH$165,$AM70)*(1-VaporOxidizer!$D$23)</f>
        <v>0</v>
      </c>
      <c r="AP70" s="8"/>
      <c r="AQ70" s="8"/>
      <c r="AR70" s="8"/>
      <c r="AS70" s="8"/>
      <c r="AT70" s="8"/>
      <c r="AU70" s="8"/>
      <c r="AV70" s="8"/>
      <c r="AW70" s="307" t="str">
        <f t="shared" si="33"/>
        <v>AAA</v>
      </c>
      <c r="AX70" s="8">
        <f>IF($AW$67="",0,VLOOKUP($AW69,Products!$A$59:$E$158,5,FALSE))</f>
        <v>0</v>
      </c>
      <c r="AY70" s="322">
        <f>IF($AX70=0,0,AY$67*VLOOKUP($AW69,Products!$A$59:$H$158,8,FALSE))</f>
        <v>0</v>
      </c>
      <c r="AZ70" s="323">
        <f>IF($AX70=0,0,AZ$67*VLOOKUP($AW69,Products!$A$59:$H$158,8,FALSE))</f>
        <v>0</v>
      </c>
      <c r="BA70" s="8">
        <f>IF(OR(BB70=0,ISNUMBER(MATCH(BB70,$BB$55:BB69,0))),0,MAX($BA$55:BA69)+1)</f>
        <v>0</v>
      </c>
      <c r="BB70" s="8">
        <f t="shared" si="17"/>
        <v>0</v>
      </c>
      <c r="BC70" s="8">
        <f t="shared" si="18"/>
        <v>0</v>
      </c>
      <c r="BD70" s="8">
        <f>IF(OR($BC70="7783-06-4",$BC70="7446-09-5",$BC70="7664-93-9"),SUMIFS($AY$56:$AY$165,$AX$56:$AX$165,$BC70),SUMIFS($AY$56:$AY$165,$AX$56:$AX$165,$BC70)*(CAS!$D$19/1000000))</f>
        <v>0</v>
      </c>
      <c r="BE70" s="8">
        <f>IF(OR($BC70="7783-06-4",$BC70="7446-09-5",$BC70="7664-93-9"),SUMIFS($AZ$56:$AZ$165,$AX$56:$AX$165,$BC70),SUMIFS($AZ$56:$AZ$165,$AX$56:$AX$165,$BC70)*(CAS!$D$19/1000000))</f>
        <v>0</v>
      </c>
      <c r="BL70" s="90"/>
    </row>
    <row r="71" spans="1:64" x14ac:dyDescent="0.2">
      <c r="A71" s="307" t="str">
        <f t="shared" si="30"/>
        <v>AAAA</v>
      </c>
      <c r="B71" s="8">
        <f>IF($A$67="",0,VLOOKUP($A70,Products!$A$59:$E$158,5,FALSE))</f>
        <v>0</v>
      </c>
      <c r="C71" s="322">
        <f>IF($B71=0,0,C$67*VLOOKUP($A70,Products!$A$59:$H$158,8,FALSE))</f>
        <v>0</v>
      </c>
      <c r="D71" s="323">
        <f>IF($B71=0,0,D$67*VLOOKUP($A70,Products!$A$59:$H$158,8,FALSE))</f>
        <v>0</v>
      </c>
      <c r="E71" s="8"/>
      <c r="F71" s="8">
        <f>IF(OR(G71=0,ISNUMBER(MATCH(G71,$G$55:G70,0))),0,MAX($F$55:F70)+1)</f>
        <v>0</v>
      </c>
      <c r="G71" s="8">
        <f t="shared" si="12"/>
        <v>0</v>
      </c>
      <c r="H71" s="8">
        <f t="shared" si="13"/>
        <v>0</v>
      </c>
      <c r="I71" s="8">
        <f>SUMIFS($C$56:$C$165,$B$56:$B$165,$H71)*(1-Flare!$D$18)</f>
        <v>0</v>
      </c>
      <c r="J71" s="8">
        <f>SUMIFS($D$56:$D$165,$B$56:$B$165,$H71)*(1-Flare!$D$18)</f>
        <v>0</v>
      </c>
      <c r="K71" s="8"/>
      <c r="L71" s="8"/>
      <c r="M71" s="8"/>
      <c r="N71" s="8"/>
      <c r="O71" s="8"/>
      <c r="P71" s="8"/>
      <c r="Q71" s="307" t="str">
        <f t="shared" si="31"/>
        <v>AAAA</v>
      </c>
      <c r="R71" s="8">
        <f>IF($Q$67="",0,VLOOKUP($Q70,Products!$A$59:$E$158,5,FALSE))</f>
        <v>0</v>
      </c>
      <c r="S71" s="322">
        <f>IF($R71=0,0,S$67*VLOOKUP($Q70,Products!$A$59:$H$158,8,FALSE))</f>
        <v>0</v>
      </c>
      <c r="T71" s="322">
        <f>IF($R71=0,0,T$67*VLOOKUP($Q70,Products!$A$59:$H$158,8,FALSE))</f>
        <v>0</v>
      </c>
      <c r="U71" s="8">
        <f>IF(OR(V71=0,ISNUMBER(MATCH(V71,$V$55:V70,0))),0,MAX($U$55:U70)+1)</f>
        <v>0</v>
      </c>
      <c r="V71" s="8">
        <f t="shared" si="14"/>
        <v>0</v>
      </c>
      <c r="W71" s="8">
        <f t="shared" si="21"/>
        <v>0</v>
      </c>
      <c r="X71" s="8">
        <f>SUMIFS($S$56:$S$165,$R$56:$R$165,$W71)*(1-VCU!$D$23)</f>
        <v>0</v>
      </c>
      <c r="Y71" s="8">
        <f>SUMIFS($T$56:$T$165,$R$56:$R$165,$W71)*(1-VCU!$D$23)</f>
        <v>0</v>
      </c>
      <c r="Z71" s="8"/>
      <c r="AA71" s="8"/>
      <c r="AB71" s="8"/>
      <c r="AC71" s="8"/>
      <c r="AD71" s="8"/>
      <c r="AE71" s="8"/>
      <c r="AF71" s="8"/>
      <c r="AG71" s="307" t="str">
        <f t="shared" si="32"/>
        <v>AAAA</v>
      </c>
      <c r="AH71" s="8">
        <f>IF($AG$67="",0,VLOOKUP($AG70,Products!$A$59:$E$158,5,FALSE))</f>
        <v>0</v>
      </c>
      <c r="AI71" s="322">
        <f>IF($AH71=0,0,AI$67*VLOOKUP($AG70,Products!$A$59:$H$158,8,FALSE))</f>
        <v>0</v>
      </c>
      <c r="AJ71" s="322">
        <f>IF($AH71=0,0,AJ$67*VLOOKUP($AG70,Products!$A$59:$H$158,8,FALSE))</f>
        <v>0</v>
      </c>
      <c r="AK71" s="8">
        <f>IF(OR(AL71=0,ISNUMBER(MATCH(AL71,$AL$55:AL70,0))),0,MAX($AK$55:AK70)+1)</f>
        <v>0</v>
      </c>
      <c r="AL71" s="8">
        <f t="shared" si="15"/>
        <v>0</v>
      </c>
      <c r="AM71" s="8">
        <f t="shared" si="16"/>
        <v>0</v>
      </c>
      <c r="AN71" s="8">
        <f>SUMIFS($AI$56:$AI$165,$AH$56:$AH$165,$AM71)*(1-VaporOxidizer!$D$23)</f>
        <v>0</v>
      </c>
      <c r="AO71" s="8">
        <f>SUMIFS($AJ$56:$AJ$165,$AH$56:$AH$165,$AM71)*(1-VaporOxidizer!$D$23)</f>
        <v>0</v>
      </c>
      <c r="AP71" s="8"/>
      <c r="AQ71" s="8"/>
      <c r="AR71" s="8"/>
      <c r="AS71" s="8"/>
      <c r="AT71" s="8"/>
      <c r="AU71" s="8"/>
      <c r="AV71" s="8"/>
      <c r="AW71" s="307" t="str">
        <f t="shared" si="33"/>
        <v>AAAA</v>
      </c>
      <c r="AX71" s="8">
        <f>IF($AW$67="",0,VLOOKUP($AW70,Products!$A$59:$E$158,5,FALSE))</f>
        <v>0</v>
      </c>
      <c r="AY71" s="322">
        <f>IF($AX71=0,0,AY$67*VLOOKUP($AW70,Products!$A$59:$H$158,8,FALSE))</f>
        <v>0</v>
      </c>
      <c r="AZ71" s="323">
        <f>IF($AX71=0,0,AZ$67*VLOOKUP($AW70,Products!$A$59:$H$158,8,FALSE))</f>
        <v>0</v>
      </c>
      <c r="BA71" s="8">
        <f>IF(OR(BB71=0,ISNUMBER(MATCH(BB71,$BB$55:BB70,0))),0,MAX($BA$55:BA70)+1)</f>
        <v>0</v>
      </c>
      <c r="BB71" s="8">
        <f t="shared" si="17"/>
        <v>0</v>
      </c>
      <c r="BC71" s="8">
        <f t="shared" si="18"/>
        <v>0</v>
      </c>
      <c r="BD71" s="8">
        <f>IF(OR($BC71="7783-06-4",$BC71="7446-09-5",$BC71="7664-93-9"),SUMIFS($AY$56:$AY$165,$AX$56:$AX$165,$BC71),SUMIFS($AY$56:$AY$165,$AX$56:$AX$165,$BC71)*(CAS!$D$19/1000000))</f>
        <v>0</v>
      </c>
      <c r="BE71" s="8">
        <f>IF(OR($BC71="7783-06-4",$BC71="7446-09-5",$BC71="7664-93-9"),SUMIFS($AZ$56:$AZ$165,$AX$56:$AX$165,$BC71),SUMIFS($AZ$56:$AZ$165,$AX$56:$AX$165,$BC71)*(CAS!$D$19/1000000))</f>
        <v>0</v>
      </c>
      <c r="BL71" s="90"/>
    </row>
    <row r="72" spans="1:64" x14ac:dyDescent="0.2">
      <c r="A72" s="307" t="str">
        <f t="shared" si="30"/>
        <v>AAAAA</v>
      </c>
      <c r="B72" s="8">
        <f>IF($A$67="",0,VLOOKUP($A71,Products!$A$59:$E$158,5,FALSE))</f>
        <v>0</v>
      </c>
      <c r="C72" s="322">
        <f>IF($B72=0,0,C$67*VLOOKUP($A71,Products!$A$59:$H$158,8,FALSE))</f>
        <v>0</v>
      </c>
      <c r="D72" s="323">
        <f>IF($B72=0,0,D$67*VLOOKUP($A71,Products!$A$59:$H$158,8,FALSE))</f>
        <v>0</v>
      </c>
      <c r="E72" s="8"/>
      <c r="F72" s="8">
        <f>IF(OR(G72=0,ISNUMBER(MATCH(G72,$G$55:G71,0))),0,MAX($F$55:F71)+1)</f>
        <v>0</v>
      </c>
      <c r="G72" s="8">
        <f t="shared" si="12"/>
        <v>0</v>
      </c>
      <c r="H72" s="8">
        <f t="shared" si="13"/>
        <v>0</v>
      </c>
      <c r="I72" s="8">
        <f>SUMIFS($C$56:$C$165,$B$56:$B$165,$H72)*(1-Flare!$D$18)</f>
        <v>0</v>
      </c>
      <c r="J72" s="8">
        <f>SUMIFS($D$56:$D$165,$B$56:$B$165,$H72)*(1-Flare!$D$18)</f>
        <v>0</v>
      </c>
      <c r="K72" s="8"/>
      <c r="L72" s="8"/>
      <c r="M72" s="8"/>
      <c r="N72" s="8"/>
      <c r="O72" s="8"/>
      <c r="P72" s="8"/>
      <c r="Q72" s="307" t="str">
        <f t="shared" si="31"/>
        <v>AAAAA</v>
      </c>
      <c r="R72" s="8">
        <f>IF($Q$67="",0,VLOOKUP($Q71,Products!$A$59:$E$158,5,FALSE))</f>
        <v>0</v>
      </c>
      <c r="S72" s="322">
        <f>IF($R72=0,0,S$67*VLOOKUP($Q71,Products!$A$59:$H$158,8,FALSE))</f>
        <v>0</v>
      </c>
      <c r="T72" s="322">
        <f>IF($R72=0,0,T$67*VLOOKUP($Q71,Products!$A$59:$H$158,8,FALSE))</f>
        <v>0</v>
      </c>
      <c r="U72" s="8">
        <f>IF(OR(V72=0,ISNUMBER(MATCH(V72,$V$55:V71,0))),0,MAX($U$55:U71)+1)</f>
        <v>0</v>
      </c>
      <c r="V72" s="8">
        <f t="shared" si="14"/>
        <v>0</v>
      </c>
      <c r="W72" s="8">
        <f t="shared" si="21"/>
        <v>0</v>
      </c>
      <c r="X72" s="8">
        <f>SUMIFS($S$56:$S$165,$R$56:$R$165,$W72)*(1-VCU!$D$23)</f>
        <v>0</v>
      </c>
      <c r="Y72" s="8">
        <f>SUMIFS($T$56:$T$165,$R$56:$R$165,$W72)*(1-VCU!$D$23)</f>
        <v>0</v>
      </c>
      <c r="Z72" s="8"/>
      <c r="AA72" s="8"/>
      <c r="AB72" s="8"/>
      <c r="AC72" s="8"/>
      <c r="AD72" s="8"/>
      <c r="AE72" s="8"/>
      <c r="AF72" s="8"/>
      <c r="AG72" s="307" t="str">
        <f t="shared" si="32"/>
        <v>AAAAA</v>
      </c>
      <c r="AH72" s="8">
        <f>IF($AG$67="",0,VLOOKUP($AG71,Products!$A$59:$E$158,5,FALSE))</f>
        <v>0</v>
      </c>
      <c r="AI72" s="322">
        <f>IF($AH72=0,0,AI$67*VLOOKUP($AG71,Products!$A$59:$H$158,8,FALSE))</f>
        <v>0</v>
      </c>
      <c r="AJ72" s="322">
        <f>IF($AH72=0,0,AJ$67*VLOOKUP($AG71,Products!$A$59:$H$158,8,FALSE))</f>
        <v>0</v>
      </c>
      <c r="AK72" s="8">
        <f>IF(OR(AL72=0,ISNUMBER(MATCH(AL72,$AL$55:AL71,0))),0,MAX($AK$55:AK71)+1)</f>
        <v>0</v>
      </c>
      <c r="AL72" s="8">
        <f t="shared" si="15"/>
        <v>0</v>
      </c>
      <c r="AM72" s="8">
        <f t="shared" si="16"/>
        <v>0</v>
      </c>
      <c r="AN72" s="8">
        <f>SUMIFS($AI$56:$AI$165,$AH$56:$AH$165,$AM72)*(1-VaporOxidizer!$D$23)</f>
        <v>0</v>
      </c>
      <c r="AO72" s="8">
        <f>SUMIFS($AJ$56:$AJ$165,$AH$56:$AH$165,$AM72)*(1-VaporOxidizer!$D$23)</f>
        <v>0</v>
      </c>
      <c r="AP72" s="8"/>
      <c r="AQ72" s="8"/>
      <c r="AR72" s="8"/>
      <c r="AS72" s="8"/>
      <c r="AT72" s="8"/>
      <c r="AU72" s="8"/>
      <c r="AV72" s="8"/>
      <c r="AW72" s="307" t="str">
        <f t="shared" si="33"/>
        <v>AAAAA</v>
      </c>
      <c r="AX72" s="8">
        <f>IF($AW$67="",0,VLOOKUP($AW71,Products!$A$59:$E$158,5,FALSE))</f>
        <v>0</v>
      </c>
      <c r="AY72" s="322">
        <f>IF($AX72=0,0,AY$67*VLOOKUP($AW71,Products!$A$59:$H$158,8,FALSE))</f>
        <v>0</v>
      </c>
      <c r="AZ72" s="323">
        <f>IF($AX72=0,0,AZ$67*VLOOKUP($AW71,Products!$A$59:$H$158,8,FALSE))</f>
        <v>0</v>
      </c>
      <c r="BA72" s="8">
        <f>IF(OR(BB72=0,ISNUMBER(MATCH(BB72,$BB$55:BB71,0))),0,MAX($BA$55:BA71)+1)</f>
        <v>0</v>
      </c>
      <c r="BB72" s="8">
        <f t="shared" si="17"/>
        <v>0</v>
      </c>
      <c r="BC72" s="8">
        <f t="shared" si="18"/>
        <v>0</v>
      </c>
      <c r="BD72" s="8">
        <f>IF(OR($BC72="7783-06-4",$BC72="7446-09-5",$BC72="7664-93-9"),SUMIFS($AY$56:$AY$165,$AX$56:$AX$165,$BC72),SUMIFS($AY$56:$AY$165,$AX$56:$AX$165,$BC72)*(CAS!$D$19/1000000))</f>
        <v>0</v>
      </c>
      <c r="BE72" s="8">
        <f>IF(OR($BC72="7783-06-4",$BC72="7446-09-5",$BC72="7664-93-9"),SUMIFS($AZ$56:$AZ$165,$AX$56:$AX$165,$BC72),SUMIFS($AZ$56:$AZ$165,$AX$56:$AX$165,$BC72)*(CAS!$D$19/1000000))</f>
        <v>0</v>
      </c>
      <c r="BL72" s="90"/>
    </row>
    <row r="73" spans="1:64" x14ac:dyDescent="0.2">
      <c r="A73" s="307" t="str">
        <f t="shared" si="30"/>
        <v>AAAAAA</v>
      </c>
      <c r="B73" s="8">
        <f>IF($A$67="",0,VLOOKUP($A72,Products!$A$59:$E$158,5,FALSE))</f>
        <v>0</v>
      </c>
      <c r="C73" s="322">
        <f>IF($B73=0,0,C$67*VLOOKUP($A72,Products!$A$59:$H$158,8,FALSE))</f>
        <v>0</v>
      </c>
      <c r="D73" s="323">
        <f>IF($B73=0,0,D$67*VLOOKUP($A72,Products!$A$59:$H$158,8,FALSE))</f>
        <v>0</v>
      </c>
      <c r="E73" s="8"/>
      <c r="F73" s="8">
        <f>IF(OR(G73=0,ISNUMBER(MATCH(G73,$G$55:G72,0))),0,MAX($F$55:F72)+1)</f>
        <v>0</v>
      </c>
      <c r="G73" s="8">
        <f t="shared" si="12"/>
        <v>0</v>
      </c>
      <c r="H73" s="8">
        <f t="shared" si="13"/>
        <v>0</v>
      </c>
      <c r="I73" s="8">
        <f>SUMIFS($C$56:$C$165,$B$56:$B$165,$H73)*(1-Flare!$D$18)</f>
        <v>0</v>
      </c>
      <c r="J73" s="8">
        <f>SUMIFS($D$56:$D$165,$B$56:$B$165,$H73)*(1-Flare!$D$18)</f>
        <v>0</v>
      </c>
      <c r="K73" s="8"/>
      <c r="L73" s="8"/>
      <c r="M73" s="8"/>
      <c r="N73" s="8"/>
      <c r="O73" s="8"/>
      <c r="P73" s="8"/>
      <c r="Q73" s="307" t="str">
        <f t="shared" si="31"/>
        <v>AAAAAA</v>
      </c>
      <c r="R73" s="8">
        <f>IF($Q$67="",0,VLOOKUP($Q72,Products!$A$59:$E$158,5,FALSE))</f>
        <v>0</v>
      </c>
      <c r="S73" s="322">
        <f>IF($R73=0,0,S$67*VLOOKUP($Q72,Products!$A$59:$H$158,8,FALSE))</f>
        <v>0</v>
      </c>
      <c r="T73" s="322">
        <f>IF($R73=0,0,T$67*VLOOKUP($Q72,Products!$A$59:$H$158,8,FALSE))</f>
        <v>0</v>
      </c>
      <c r="U73" s="8">
        <f>IF(OR(V73=0,ISNUMBER(MATCH(V73,$V$55:V72,0))),0,MAX($U$55:U72)+1)</f>
        <v>0</v>
      </c>
      <c r="V73" s="8">
        <f t="shared" si="14"/>
        <v>0</v>
      </c>
      <c r="W73" s="8">
        <f t="shared" si="21"/>
        <v>0</v>
      </c>
      <c r="X73" s="8">
        <f>SUMIFS($S$56:$S$165,$R$56:$R$165,$W73)*(1-VCU!$D$23)</f>
        <v>0</v>
      </c>
      <c r="Y73" s="8">
        <f>SUMIFS($T$56:$T$165,$R$56:$R$165,$W73)*(1-VCU!$D$23)</f>
        <v>0</v>
      </c>
      <c r="Z73" s="8"/>
      <c r="AA73" s="8"/>
      <c r="AB73" s="8"/>
      <c r="AC73" s="8"/>
      <c r="AD73" s="8"/>
      <c r="AE73" s="8"/>
      <c r="AF73" s="8"/>
      <c r="AG73" s="307" t="str">
        <f t="shared" si="32"/>
        <v>AAAAAA</v>
      </c>
      <c r="AH73" s="8">
        <f>IF($AG$67="",0,VLOOKUP($AG72,Products!$A$59:$E$158,5,FALSE))</f>
        <v>0</v>
      </c>
      <c r="AI73" s="322">
        <f>IF($AH73=0,0,AI$67*VLOOKUP($AG72,Products!$A$59:$H$158,8,FALSE))</f>
        <v>0</v>
      </c>
      <c r="AJ73" s="322">
        <f>IF($AH73=0,0,AJ$67*VLOOKUP($AG72,Products!$A$59:$H$158,8,FALSE))</f>
        <v>0</v>
      </c>
      <c r="AK73" s="8">
        <f>IF(OR(AL73=0,ISNUMBER(MATCH(AL73,$AL$55:AL72,0))),0,MAX($AK$55:AK72)+1)</f>
        <v>0</v>
      </c>
      <c r="AL73" s="8">
        <f t="shared" si="15"/>
        <v>0</v>
      </c>
      <c r="AM73" s="8">
        <f t="shared" si="16"/>
        <v>0</v>
      </c>
      <c r="AN73" s="8">
        <f>SUMIFS($AI$56:$AI$165,$AH$56:$AH$165,$AM73)*(1-VaporOxidizer!$D$23)</f>
        <v>0</v>
      </c>
      <c r="AO73" s="8">
        <f>SUMIFS($AJ$56:$AJ$165,$AH$56:$AH$165,$AM73)*(1-VaporOxidizer!$D$23)</f>
        <v>0</v>
      </c>
      <c r="AP73" s="8"/>
      <c r="AQ73" s="8"/>
      <c r="AR73" s="8"/>
      <c r="AS73" s="8"/>
      <c r="AT73" s="8"/>
      <c r="AU73" s="8"/>
      <c r="AV73" s="8"/>
      <c r="AW73" s="307" t="str">
        <f t="shared" si="33"/>
        <v>AAAAAA</v>
      </c>
      <c r="AX73" s="8">
        <f>IF($AW$67="",0,VLOOKUP($AW72,Products!$A$59:$E$158,5,FALSE))</f>
        <v>0</v>
      </c>
      <c r="AY73" s="322">
        <f>IF($AX73=0,0,AY$67*VLOOKUP($AW72,Products!$A$59:$H$158,8,FALSE))</f>
        <v>0</v>
      </c>
      <c r="AZ73" s="323">
        <f>IF($AX73=0,0,AZ$67*VLOOKUP($AW72,Products!$A$59:$H$158,8,FALSE))</f>
        <v>0</v>
      </c>
      <c r="BA73" s="8">
        <f>IF(OR(BB73=0,ISNUMBER(MATCH(BB73,$BB$55:BB72,0))),0,MAX($BA$55:BA72)+1)</f>
        <v>0</v>
      </c>
      <c r="BB73" s="8">
        <f t="shared" si="17"/>
        <v>0</v>
      </c>
      <c r="BC73" s="8">
        <f t="shared" si="18"/>
        <v>0</v>
      </c>
      <c r="BD73" s="8">
        <f>IF(OR($BC73="7783-06-4",$BC73="7446-09-5",$BC73="7664-93-9"),SUMIFS($AY$56:$AY$165,$AX$56:$AX$165,$BC73),SUMIFS($AY$56:$AY$165,$AX$56:$AX$165,$BC73)*(CAS!$D$19/1000000))</f>
        <v>0</v>
      </c>
      <c r="BE73" s="8">
        <f>IF(OR($BC73="7783-06-4",$BC73="7446-09-5",$BC73="7664-93-9"),SUMIFS($AZ$56:$AZ$165,$AX$56:$AX$165,$BC73),SUMIFS($AZ$56:$AZ$165,$AX$56:$AX$165,$BC73)*(CAS!$D$19/1000000))</f>
        <v>0</v>
      </c>
      <c r="BL73" s="90"/>
    </row>
    <row r="74" spans="1:64" x14ac:dyDescent="0.2">
      <c r="A74" s="307" t="str">
        <f t="shared" si="30"/>
        <v>AAAAAAA</v>
      </c>
      <c r="B74" s="8">
        <f>IF($A$67="",0,VLOOKUP($A73,Products!$A$59:$E$158,5,FALSE))</f>
        <v>0</v>
      </c>
      <c r="C74" s="322">
        <f>IF($B74=0,0,C$67*VLOOKUP($A73,Products!$A$59:$H$158,8,FALSE))</f>
        <v>0</v>
      </c>
      <c r="D74" s="323">
        <f>IF($B74=0,0,D$67*VLOOKUP($A73,Products!$A$59:$H$158,8,FALSE))</f>
        <v>0</v>
      </c>
      <c r="E74" s="8"/>
      <c r="F74" s="8">
        <f>IF(OR(G74=0,ISNUMBER(MATCH(G74,$G$55:G73,0))),0,MAX($F$55:F73)+1)</f>
        <v>0</v>
      </c>
      <c r="G74" s="8">
        <f t="shared" si="12"/>
        <v>0</v>
      </c>
      <c r="H74" s="8">
        <f t="shared" si="13"/>
        <v>0</v>
      </c>
      <c r="I74" s="8">
        <f>SUMIFS($C$56:$C$165,$B$56:$B$165,$H74)*(1-Flare!$D$18)</f>
        <v>0</v>
      </c>
      <c r="J74" s="8">
        <f>SUMIFS($D$56:$D$165,$B$56:$B$165,$H74)*(1-Flare!$D$18)</f>
        <v>0</v>
      </c>
      <c r="K74" s="8"/>
      <c r="L74" s="8"/>
      <c r="M74" s="8"/>
      <c r="N74" s="8"/>
      <c r="O74" s="8"/>
      <c r="P74" s="8"/>
      <c r="Q74" s="307" t="str">
        <f t="shared" si="31"/>
        <v>AAAAAAA</v>
      </c>
      <c r="R74" s="8">
        <f>IF($Q$67="",0,VLOOKUP($Q73,Products!$A$59:$E$158,5,FALSE))</f>
        <v>0</v>
      </c>
      <c r="S74" s="322">
        <f>IF($R74=0,0,S$67*VLOOKUP($Q73,Products!$A$59:$H$158,8,FALSE))</f>
        <v>0</v>
      </c>
      <c r="T74" s="322">
        <f>IF($R74=0,0,T$67*VLOOKUP($Q73,Products!$A$59:$H$158,8,FALSE))</f>
        <v>0</v>
      </c>
      <c r="U74" s="8">
        <f>IF(OR(V74=0,ISNUMBER(MATCH(V74,$V$55:V73,0))),0,MAX($U$55:U73)+1)</f>
        <v>0</v>
      </c>
      <c r="V74" s="8">
        <f t="shared" si="14"/>
        <v>0</v>
      </c>
      <c r="W74" s="8">
        <f t="shared" si="21"/>
        <v>0</v>
      </c>
      <c r="X74" s="8">
        <f>SUMIFS($S$56:$S$165,$R$56:$R$165,$W74)*(1-VCU!$D$23)</f>
        <v>0</v>
      </c>
      <c r="Y74" s="8">
        <f>SUMIFS($T$56:$T$165,$R$56:$R$165,$W74)*(1-VCU!$D$23)</f>
        <v>0</v>
      </c>
      <c r="Z74" s="8"/>
      <c r="AA74" s="8"/>
      <c r="AB74" s="8"/>
      <c r="AC74" s="8"/>
      <c r="AD74" s="8"/>
      <c r="AE74" s="8"/>
      <c r="AF74" s="8"/>
      <c r="AG74" s="307" t="str">
        <f t="shared" si="32"/>
        <v>AAAAAAA</v>
      </c>
      <c r="AH74" s="8">
        <f>IF($AG$67="",0,VLOOKUP($AG73,Products!$A$59:$E$158,5,FALSE))</f>
        <v>0</v>
      </c>
      <c r="AI74" s="322">
        <f>IF($AH74=0,0,AI$67*VLOOKUP($AG73,Products!$A$59:$H$158,8,FALSE))</f>
        <v>0</v>
      </c>
      <c r="AJ74" s="322">
        <f>IF($AH74=0,0,AJ$67*VLOOKUP($AG73,Products!$A$59:$H$158,8,FALSE))</f>
        <v>0</v>
      </c>
      <c r="AK74" s="8">
        <f>IF(OR(AL74=0,ISNUMBER(MATCH(AL74,$AL$55:AL73,0))),0,MAX($AK$55:AK73)+1)</f>
        <v>0</v>
      </c>
      <c r="AL74" s="8">
        <f t="shared" si="15"/>
        <v>0</v>
      </c>
      <c r="AM74" s="8">
        <f t="shared" si="16"/>
        <v>0</v>
      </c>
      <c r="AN74" s="8">
        <f>SUMIFS($AI$56:$AI$165,$AH$56:$AH$165,$AM74)*(1-VaporOxidizer!$D$23)</f>
        <v>0</v>
      </c>
      <c r="AO74" s="8">
        <f>SUMIFS($AJ$56:$AJ$165,$AH$56:$AH$165,$AM74)*(1-VaporOxidizer!$D$23)</f>
        <v>0</v>
      </c>
      <c r="AP74" s="8"/>
      <c r="AQ74" s="8"/>
      <c r="AR74" s="8"/>
      <c r="AS74" s="8"/>
      <c r="AT74" s="8"/>
      <c r="AU74" s="8"/>
      <c r="AV74" s="8"/>
      <c r="AW74" s="307" t="str">
        <f t="shared" si="33"/>
        <v>AAAAAAA</v>
      </c>
      <c r="AX74" s="8">
        <f>IF($AW$67="",0,VLOOKUP($AW73,Products!$A$59:$E$158,5,FALSE))</f>
        <v>0</v>
      </c>
      <c r="AY74" s="322">
        <f>IF($AX74=0,0,AY$67*VLOOKUP($AW73,Products!$A$59:$H$158,8,FALSE))</f>
        <v>0</v>
      </c>
      <c r="AZ74" s="323">
        <f>IF($AX74=0,0,AZ$67*VLOOKUP($AW73,Products!$A$59:$H$158,8,FALSE))</f>
        <v>0</v>
      </c>
      <c r="BA74" s="8">
        <f>IF(OR(BB74=0,ISNUMBER(MATCH(BB74,$BB$55:BB73,0))),0,MAX($BA$55:BA73)+1)</f>
        <v>0</v>
      </c>
      <c r="BB74" s="8">
        <f t="shared" si="17"/>
        <v>0</v>
      </c>
      <c r="BC74" s="8">
        <f t="shared" si="18"/>
        <v>0</v>
      </c>
      <c r="BD74" s="8">
        <f>IF(OR($BC74="7783-06-4",$BC74="7446-09-5",$BC74="7664-93-9"),SUMIFS($AY$56:$AY$165,$AX$56:$AX$165,$BC74),SUMIFS($AY$56:$AY$165,$AX$56:$AX$165,$BC74)*(CAS!$D$19/1000000))</f>
        <v>0</v>
      </c>
      <c r="BE74" s="8">
        <f>IF(OR($BC74="7783-06-4",$BC74="7446-09-5",$BC74="7664-93-9"),SUMIFS($AZ$56:$AZ$165,$AX$56:$AX$165,$BC74),SUMIFS($AZ$56:$AZ$165,$AX$56:$AX$165,$BC74)*(CAS!$D$19/1000000))</f>
        <v>0</v>
      </c>
      <c r="BL74" s="90"/>
    </row>
    <row r="75" spans="1:64" x14ac:dyDescent="0.2">
      <c r="A75" s="307" t="str">
        <f t="shared" si="30"/>
        <v>AAAAAAAA</v>
      </c>
      <c r="B75" s="8">
        <f>IF($A$67="",0,VLOOKUP($A74,Products!$A$59:$E$158,5,FALSE))</f>
        <v>0</v>
      </c>
      <c r="C75" s="322">
        <f>IF($B75=0,0,C$67*VLOOKUP($A74,Products!$A$59:$H$158,8,FALSE))</f>
        <v>0</v>
      </c>
      <c r="D75" s="323">
        <f>IF($B75=0,0,D$67*VLOOKUP($A74,Products!$A$59:$H$158,8,FALSE))</f>
        <v>0</v>
      </c>
      <c r="E75" s="8"/>
      <c r="F75" s="8">
        <f>IF(OR(G75=0,ISNUMBER(MATCH(G75,$G$55:G74,0))),0,MAX($F$55:F74)+1)</f>
        <v>0</v>
      </c>
      <c r="G75" s="8">
        <f t="shared" si="12"/>
        <v>0</v>
      </c>
      <c r="H75" s="8">
        <f t="shared" si="13"/>
        <v>0</v>
      </c>
      <c r="I75" s="8">
        <f>SUMIFS($C$56:$C$165,$B$56:$B$165,$H75)*(1-Flare!$D$18)</f>
        <v>0</v>
      </c>
      <c r="J75" s="8">
        <f>SUMIFS($D$56:$D$165,$B$56:$B$165,$H75)*(1-Flare!$D$18)</f>
        <v>0</v>
      </c>
      <c r="K75" s="8"/>
      <c r="L75" s="8"/>
      <c r="M75" s="8"/>
      <c r="N75" s="8"/>
      <c r="O75" s="8"/>
      <c r="P75" s="8"/>
      <c r="Q75" s="307" t="str">
        <f t="shared" si="31"/>
        <v>AAAAAAAA</v>
      </c>
      <c r="R75" s="8">
        <f>IF($Q$67="",0,VLOOKUP($Q74,Products!$A$59:$E$158,5,FALSE))</f>
        <v>0</v>
      </c>
      <c r="S75" s="322">
        <f>IF($R75=0,0,S$67*VLOOKUP($Q74,Products!$A$59:$H$158,8,FALSE))</f>
        <v>0</v>
      </c>
      <c r="T75" s="322">
        <f>IF($R75=0,0,T$67*VLOOKUP($Q74,Products!$A$59:$H$158,8,FALSE))</f>
        <v>0</v>
      </c>
      <c r="U75" s="8">
        <f>IF(OR(V75=0,ISNUMBER(MATCH(V75,$V$55:V74,0))),0,MAX($U$55:U74)+1)</f>
        <v>0</v>
      </c>
      <c r="V75" s="8">
        <f t="shared" si="14"/>
        <v>0</v>
      </c>
      <c r="W75" s="8">
        <f t="shared" si="21"/>
        <v>0</v>
      </c>
      <c r="X75" s="8">
        <f>SUMIFS($S$56:$S$165,$R$56:$R$165,$W75)*(1-VCU!$D$23)</f>
        <v>0</v>
      </c>
      <c r="Y75" s="8">
        <f>SUMIFS($T$56:$T$165,$R$56:$R$165,$W75)*(1-VCU!$D$23)</f>
        <v>0</v>
      </c>
      <c r="Z75" s="8"/>
      <c r="AA75" s="8"/>
      <c r="AB75" s="8"/>
      <c r="AC75" s="8"/>
      <c r="AD75" s="8"/>
      <c r="AE75" s="8"/>
      <c r="AF75" s="8"/>
      <c r="AG75" s="307" t="str">
        <f t="shared" si="32"/>
        <v>AAAAAAAA</v>
      </c>
      <c r="AH75" s="8">
        <f>IF($AG$67="",0,VLOOKUP($AG74,Products!$A$59:$E$158,5,FALSE))</f>
        <v>0</v>
      </c>
      <c r="AI75" s="322">
        <f>IF($AH75=0,0,AI$67*VLOOKUP($AG74,Products!$A$59:$H$158,8,FALSE))</f>
        <v>0</v>
      </c>
      <c r="AJ75" s="322">
        <f>IF($AH75=0,0,AJ$67*VLOOKUP($AG74,Products!$A$59:$H$158,8,FALSE))</f>
        <v>0</v>
      </c>
      <c r="AK75" s="8">
        <f>IF(OR(AL75=0,ISNUMBER(MATCH(AL75,$AL$55:AL74,0))),0,MAX($AK$55:AK74)+1)</f>
        <v>0</v>
      </c>
      <c r="AL75" s="8">
        <f t="shared" si="15"/>
        <v>0</v>
      </c>
      <c r="AM75" s="8">
        <f t="shared" si="16"/>
        <v>0</v>
      </c>
      <c r="AN75" s="8">
        <f>SUMIFS($AI$56:$AI$165,$AH$56:$AH$165,$AM75)*(1-VaporOxidizer!$D$23)</f>
        <v>0</v>
      </c>
      <c r="AO75" s="8">
        <f>SUMIFS($AJ$56:$AJ$165,$AH$56:$AH$165,$AM75)*(1-VaporOxidizer!$D$23)</f>
        <v>0</v>
      </c>
      <c r="AP75" s="8"/>
      <c r="AQ75" s="8"/>
      <c r="AR75" s="8"/>
      <c r="AS75" s="8"/>
      <c r="AT75" s="8"/>
      <c r="AU75" s="8"/>
      <c r="AV75" s="8"/>
      <c r="AW75" s="307" t="str">
        <f t="shared" si="33"/>
        <v>AAAAAAAA</v>
      </c>
      <c r="AX75" s="8">
        <f>IF($AW$67="",0,VLOOKUP($AW74,Products!$A$59:$E$158,5,FALSE))</f>
        <v>0</v>
      </c>
      <c r="AY75" s="322">
        <f>IF($AX75=0,0,AY$67*VLOOKUP($AW74,Products!$A$59:$H$158,8,FALSE))</f>
        <v>0</v>
      </c>
      <c r="AZ75" s="323">
        <f>IF($AX75=0,0,AZ$67*VLOOKUP($AW74,Products!$A$59:$H$158,8,FALSE))</f>
        <v>0</v>
      </c>
      <c r="BA75" s="8">
        <f>IF(OR(BB75=0,ISNUMBER(MATCH(BB75,$BB$55:BB74,0))),0,MAX($BA$55:BA74)+1)</f>
        <v>0</v>
      </c>
      <c r="BB75" s="8">
        <f t="shared" si="17"/>
        <v>0</v>
      </c>
      <c r="BC75" s="8">
        <f t="shared" si="18"/>
        <v>0</v>
      </c>
      <c r="BD75" s="8">
        <f>IF(OR($BC75="7783-06-4",$BC75="7446-09-5",$BC75="7664-93-9"),SUMIFS($AY$56:$AY$165,$AX$56:$AX$165,$BC75),SUMIFS($AY$56:$AY$165,$AX$56:$AX$165,$BC75)*(CAS!$D$19/1000000))</f>
        <v>0</v>
      </c>
      <c r="BE75" s="8">
        <f>IF(OR($BC75="7783-06-4",$BC75="7446-09-5",$BC75="7664-93-9"),SUMIFS($AZ$56:$AZ$165,$AX$56:$AX$165,$BC75),SUMIFS($AZ$56:$AZ$165,$AX$56:$AX$165,$BC75)*(CAS!$D$19/1000000))</f>
        <v>0</v>
      </c>
      <c r="BL75" s="90"/>
    </row>
    <row r="76" spans="1:64" x14ac:dyDescent="0.2">
      <c r="A76" s="307" t="str">
        <f t="shared" si="30"/>
        <v>AAAAAAAAA</v>
      </c>
      <c r="B76" s="8">
        <f>IF($A$67="",0,VLOOKUP($A75,Products!$A$59:$E$158,5,FALSE))</f>
        <v>0</v>
      </c>
      <c r="C76" s="322">
        <f>IF($B76=0,0,C$67*VLOOKUP($A75,Products!$A$59:$H$158,8,FALSE))</f>
        <v>0</v>
      </c>
      <c r="D76" s="323">
        <f>IF($B76=0,0,D$67*VLOOKUP($A75,Products!$A$59:$H$158,8,FALSE))</f>
        <v>0</v>
      </c>
      <c r="E76" s="8"/>
      <c r="F76" s="8">
        <f>IF(OR(G76=0,ISNUMBER(MATCH(G76,$G$55:G75,0))),0,MAX($F$55:F75)+1)</f>
        <v>0</v>
      </c>
      <c r="G76" s="8">
        <f t="shared" si="12"/>
        <v>0</v>
      </c>
      <c r="H76" s="8">
        <f t="shared" si="13"/>
        <v>0</v>
      </c>
      <c r="I76" s="8">
        <f>SUMIFS($C$56:$C$165,$B$56:$B$165,$H76)*(1-Flare!$D$18)</f>
        <v>0</v>
      </c>
      <c r="J76" s="8">
        <f>SUMIFS($D$56:$D$165,$B$56:$B$165,$H76)*(1-Flare!$D$18)</f>
        <v>0</v>
      </c>
      <c r="K76" s="8"/>
      <c r="L76" s="8"/>
      <c r="M76" s="8"/>
      <c r="N76" s="8"/>
      <c r="O76" s="8"/>
      <c r="P76" s="8"/>
      <c r="Q76" s="307" t="str">
        <f t="shared" si="31"/>
        <v>AAAAAAAAA</v>
      </c>
      <c r="R76" s="8">
        <f>IF($Q$67="",0,VLOOKUP($Q75,Products!$A$59:$E$158,5,FALSE))</f>
        <v>0</v>
      </c>
      <c r="S76" s="322">
        <f>IF($R76=0,0,S$67*VLOOKUP($Q75,Products!$A$59:$H$158,8,FALSE))</f>
        <v>0</v>
      </c>
      <c r="T76" s="322">
        <f>IF($R76=0,0,T$67*VLOOKUP($Q75,Products!$A$59:$H$158,8,FALSE))</f>
        <v>0</v>
      </c>
      <c r="U76" s="8">
        <f>IF(OR(V76=0,ISNUMBER(MATCH(V76,$V$55:V75,0))),0,MAX($U$55:U75)+1)</f>
        <v>0</v>
      </c>
      <c r="V76" s="8">
        <f t="shared" si="14"/>
        <v>0</v>
      </c>
      <c r="W76" s="8">
        <f t="shared" si="21"/>
        <v>0</v>
      </c>
      <c r="X76" s="8">
        <f>SUMIFS($S$56:$S$165,$R$56:$R$165,$W76)*(1-VCU!$D$23)</f>
        <v>0</v>
      </c>
      <c r="Y76" s="8">
        <f>SUMIFS($T$56:$T$165,$R$56:$R$165,$W76)*(1-VCU!$D$23)</f>
        <v>0</v>
      </c>
      <c r="Z76" s="8"/>
      <c r="AA76" s="8"/>
      <c r="AB76" s="8"/>
      <c r="AC76" s="8"/>
      <c r="AD76" s="8"/>
      <c r="AE76" s="8"/>
      <c r="AF76" s="8"/>
      <c r="AG76" s="307" t="str">
        <f t="shared" si="32"/>
        <v>AAAAAAAAA</v>
      </c>
      <c r="AH76" s="8">
        <f>IF($AG$67="",0,VLOOKUP($AG75,Products!$A$59:$E$158,5,FALSE))</f>
        <v>0</v>
      </c>
      <c r="AI76" s="322">
        <f>IF($AH76=0,0,AI$67*VLOOKUP($AG75,Products!$A$59:$H$158,8,FALSE))</f>
        <v>0</v>
      </c>
      <c r="AJ76" s="322">
        <f>IF($AH76=0,0,AJ$67*VLOOKUP($AG75,Products!$A$59:$H$158,8,FALSE))</f>
        <v>0</v>
      </c>
      <c r="AK76" s="8">
        <f>IF(OR(AL76=0,ISNUMBER(MATCH(AL76,$AL$55:AL75,0))),0,MAX($AK$55:AK75)+1)</f>
        <v>0</v>
      </c>
      <c r="AL76" s="8">
        <f t="shared" si="15"/>
        <v>0</v>
      </c>
      <c r="AM76" s="8">
        <f t="shared" si="16"/>
        <v>0</v>
      </c>
      <c r="AN76" s="8">
        <f>SUMIFS($AI$56:$AI$165,$AH$56:$AH$165,$AM76)*(1-VaporOxidizer!$D$23)</f>
        <v>0</v>
      </c>
      <c r="AO76" s="8">
        <f>SUMIFS($AJ$56:$AJ$165,$AH$56:$AH$165,$AM76)*(1-VaporOxidizer!$D$23)</f>
        <v>0</v>
      </c>
      <c r="AP76" s="8"/>
      <c r="AQ76" s="8"/>
      <c r="AR76" s="8"/>
      <c r="AS76" s="8"/>
      <c r="AT76" s="8"/>
      <c r="AU76" s="8"/>
      <c r="AV76" s="8"/>
      <c r="AW76" s="307" t="str">
        <f t="shared" si="33"/>
        <v>AAAAAAAAA</v>
      </c>
      <c r="AX76" s="8">
        <f>IF($AW$67="",0,VLOOKUP($AW75,Products!$A$59:$E$158,5,FALSE))</f>
        <v>0</v>
      </c>
      <c r="AY76" s="322">
        <f>IF($AX76=0,0,AY$67*VLOOKUP($AW75,Products!$A$59:$H$158,8,FALSE))</f>
        <v>0</v>
      </c>
      <c r="AZ76" s="323">
        <f>IF($AX76=0,0,AZ$67*VLOOKUP($AW75,Products!$A$59:$H$158,8,FALSE))</f>
        <v>0</v>
      </c>
      <c r="BA76" s="8">
        <f>IF(OR(BB76=0,ISNUMBER(MATCH(BB76,$BB$55:BB75,0))),0,MAX($BA$55:BA75)+1)</f>
        <v>0</v>
      </c>
      <c r="BB76" s="8">
        <f t="shared" si="17"/>
        <v>0</v>
      </c>
      <c r="BC76" s="8">
        <f t="shared" si="18"/>
        <v>0</v>
      </c>
      <c r="BD76" s="8">
        <f>IF(OR($BC76="7783-06-4",$BC76="7446-09-5",$BC76="7664-93-9"),SUMIFS($AY$56:$AY$165,$AX$56:$AX$165,$BC76),SUMIFS($AY$56:$AY$165,$AX$56:$AX$165,$BC76)*(CAS!$D$19/1000000))</f>
        <v>0</v>
      </c>
      <c r="BE76" s="8">
        <f>IF(OR($BC76="7783-06-4",$BC76="7446-09-5",$BC76="7664-93-9"),SUMIFS($AZ$56:$AZ$165,$AX$56:$AX$165,$BC76),SUMIFS($AZ$56:$AZ$165,$AX$56:$AX$165,$BC76)*(CAS!$D$19/1000000))</f>
        <v>0</v>
      </c>
      <c r="BL76" s="90"/>
    </row>
    <row r="77" spans="1:64" x14ac:dyDescent="0.2">
      <c r="A77" s="307" t="str">
        <f t="shared" si="30"/>
        <v>AAAAAAAAAA</v>
      </c>
      <c r="B77" s="8">
        <f>IF($A$67="",0,VLOOKUP($A76,Products!$A$59:$E$158,5,FALSE))</f>
        <v>0</v>
      </c>
      <c r="C77" s="322">
        <f>IF($B77=0,0,C$67*VLOOKUP($A76,Products!$A$59:$H$158,8,FALSE))</f>
        <v>0</v>
      </c>
      <c r="D77" s="323">
        <f>IF($B77=0,0,D$67*VLOOKUP($A76,Products!$A$59:$H$158,8,FALSE))</f>
        <v>0</v>
      </c>
      <c r="E77" s="8"/>
      <c r="F77" s="8">
        <f>IF(OR(G77=0,ISNUMBER(MATCH(G77,$G$55:G76,0))),0,MAX($F$55:F76)+1)</f>
        <v>0</v>
      </c>
      <c r="G77" s="8">
        <f t="shared" si="12"/>
        <v>0</v>
      </c>
      <c r="H77" s="8">
        <f t="shared" si="13"/>
        <v>0</v>
      </c>
      <c r="I77" s="8">
        <f>SUMIFS($C$56:$C$165,$B$56:$B$165,$H77)*(1-Flare!$D$18)</f>
        <v>0</v>
      </c>
      <c r="J77" s="8">
        <f>SUMIFS($D$56:$D$165,$B$56:$B$165,$H77)*(1-Flare!$D$18)</f>
        <v>0</v>
      </c>
      <c r="K77" s="8"/>
      <c r="L77" s="8"/>
      <c r="M77" s="8"/>
      <c r="N77" s="8"/>
      <c r="O77" s="8"/>
      <c r="P77" s="8"/>
      <c r="Q77" s="307" t="str">
        <f t="shared" si="31"/>
        <v>AAAAAAAAAA</v>
      </c>
      <c r="R77" s="8">
        <f>IF($Q$67="",0,VLOOKUP($Q76,Products!$A$59:$E$158,5,FALSE))</f>
        <v>0</v>
      </c>
      <c r="S77" s="322">
        <f>IF($R77=0,0,S$67*VLOOKUP($Q76,Products!$A$59:$H$158,8,FALSE))</f>
        <v>0</v>
      </c>
      <c r="T77" s="322">
        <f>IF($R77=0,0,T$67*VLOOKUP($Q76,Products!$A$59:$H$158,8,FALSE))</f>
        <v>0</v>
      </c>
      <c r="U77" s="8">
        <f>IF(OR(V77=0,ISNUMBER(MATCH(V77,$V$55:V76,0))),0,MAX($U$55:U76)+1)</f>
        <v>0</v>
      </c>
      <c r="V77" s="8">
        <f t="shared" si="14"/>
        <v>0</v>
      </c>
      <c r="W77" s="8">
        <f t="shared" si="21"/>
        <v>0</v>
      </c>
      <c r="X77" s="8">
        <f>SUMIFS($S$56:$S$165,$R$56:$R$165,$W77)*(1-VCU!$D$23)</f>
        <v>0</v>
      </c>
      <c r="Y77" s="8">
        <f>SUMIFS($T$56:$T$165,$R$56:$R$165,$W77)*(1-VCU!$D$23)</f>
        <v>0</v>
      </c>
      <c r="Z77" s="8"/>
      <c r="AA77" s="8"/>
      <c r="AB77" s="8"/>
      <c r="AC77" s="8"/>
      <c r="AD77" s="8"/>
      <c r="AE77" s="8"/>
      <c r="AF77" s="8"/>
      <c r="AG77" s="307" t="str">
        <f t="shared" si="32"/>
        <v>AAAAAAAAAA</v>
      </c>
      <c r="AH77" s="8">
        <f>IF($AG$67="",0,VLOOKUP($AG76,Products!$A$59:$E$158,5,FALSE))</f>
        <v>0</v>
      </c>
      <c r="AI77" s="322">
        <f>IF($AH77=0,0,AI$67*VLOOKUP($AG76,Products!$A$59:$H$158,8,FALSE))</f>
        <v>0</v>
      </c>
      <c r="AJ77" s="322">
        <f>IF($AH77=0,0,AJ$67*VLOOKUP($AG76,Products!$A$59:$H$158,8,FALSE))</f>
        <v>0</v>
      </c>
      <c r="AK77" s="8">
        <f>IF(OR(AL77=0,ISNUMBER(MATCH(AL77,$AL$55:AL76,0))),0,MAX($AK$55:AK76)+1)</f>
        <v>0</v>
      </c>
      <c r="AL77" s="8">
        <f t="shared" si="15"/>
        <v>0</v>
      </c>
      <c r="AM77" s="8">
        <f t="shared" si="16"/>
        <v>0</v>
      </c>
      <c r="AN77" s="8">
        <f>SUMIFS($AI$56:$AI$165,$AH$56:$AH$165,$AM77)*(1-VaporOxidizer!$D$23)</f>
        <v>0</v>
      </c>
      <c r="AO77" s="8">
        <f>SUMIFS($AJ$56:$AJ$165,$AH$56:$AH$165,$AM77)*(1-VaporOxidizer!$D$23)</f>
        <v>0</v>
      </c>
      <c r="AP77" s="8"/>
      <c r="AQ77" s="8"/>
      <c r="AR77" s="8"/>
      <c r="AS77" s="8"/>
      <c r="AT77" s="8"/>
      <c r="AU77" s="8"/>
      <c r="AV77" s="8"/>
      <c r="AW77" s="307" t="str">
        <f t="shared" si="33"/>
        <v>AAAAAAAAAA</v>
      </c>
      <c r="AX77" s="8">
        <f>IF($AW$67="",0,VLOOKUP($AW76,Products!$A$59:$E$158,5,FALSE))</f>
        <v>0</v>
      </c>
      <c r="AY77" s="322">
        <f>IF($AX77=0,0,AY$67*VLOOKUP($AW76,Products!$A$59:$H$158,8,FALSE))</f>
        <v>0</v>
      </c>
      <c r="AZ77" s="323">
        <f>IF($AX77=0,0,AZ$67*VLOOKUP($AW76,Products!$A$59:$H$158,8,FALSE))</f>
        <v>0</v>
      </c>
      <c r="BA77" s="8">
        <f>IF(OR(BB77=0,ISNUMBER(MATCH(BB77,$BB$55:BB76,0))),0,MAX($BA$55:BA76)+1)</f>
        <v>0</v>
      </c>
      <c r="BB77" s="8">
        <f t="shared" si="17"/>
        <v>0</v>
      </c>
      <c r="BC77" s="8">
        <f t="shared" si="18"/>
        <v>0</v>
      </c>
      <c r="BD77" s="8">
        <f>IF(OR($BC77="7783-06-4",$BC77="7446-09-5",$BC77="7664-93-9"),SUMIFS($AY$56:$AY$165,$AX$56:$AX$165,$BC77),SUMIFS($AY$56:$AY$165,$AX$56:$AX$165,$BC77)*(CAS!$D$19/1000000))</f>
        <v>0</v>
      </c>
      <c r="BE77" s="8">
        <f>IF(OR($BC77="7783-06-4",$BC77="7446-09-5",$BC77="7664-93-9"),SUMIFS($AZ$56:$AZ$165,$AX$56:$AX$165,$BC77),SUMIFS($AZ$56:$AZ$165,$AX$56:$AX$165,$BC77)*(CAS!$D$19/1000000))</f>
        <v>0</v>
      </c>
      <c r="BL77" s="90"/>
    </row>
    <row r="78" spans="1:64" x14ac:dyDescent="0.2">
      <c r="A78" s="310" t="str">
        <f>$F5</f>
        <v/>
      </c>
      <c r="B78" s="311" t="s">
        <v>291</v>
      </c>
      <c r="C78" s="311">
        <f t="shared" si="25"/>
        <v>0</v>
      </c>
      <c r="D78" s="312">
        <f t="shared" si="26"/>
        <v>0</v>
      </c>
      <c r="E78" s="8"/>
      <c r="F78" s="8">
        <f>IF(OR(G78=0,ISNUMBER(MATCH(G78,$G$55:G77,0))),0,MAX($F$55:F77)+1)</f>
        <v>0</v>
      </c>
      <c r="G78" s="8" t="str">
        <f t="shared" si="12"/>
        <v>Total VOC</v>
      </c>
      <c r="H78" s="8">
        <f t="shared" si="13"/>
        <v>0</v>
      </c>
      <c r="I78" s="8">
        <f>SUMIFS($C$56:$C$165,$B$56:$B$165,$H78)*(1-Flare!$D$18)</f>
        <v>0</v>
      </c>
      <c r="J78" s="8">
        <f>SUMIFS($D$56:$D$165,$B$56:$B$165,$H78)*(1-Flare!$D$18)</f>
        <v>0</v>
      </c>
      <c r="K78" s="8"/>
      <c r="L78" s="8"/>
      <c r="M78" s="8"/>
      <c r="N78" s="8"/>
      <c r="O78" s="8"/>
      <c r="P78" s="8"/>
      <c r="Q78" s="310" t="str">
        <f>$V5</f>
        <v/>
      </c>
      <c r="R78" s="311" t="s">
        <v>291</v>
      </c>
      <c r="S78" s="311">
        <f>VLOOKUP($Q78,$V$3:$X$12,2,FALSE)</f>
        <v>0</v>
      </c>
      <c r="T78" s="312">
        <f>VLOOKUP($Q78,$V$3:$X$12,3,FALSE)</f>
        <v>0</v>
      </c>
      <c r="U78" s="8">
        <f>IF(OR(V78=0,ISNUMBER(MATCH(V78,$V$55:V77,0))),0,MAX($U$55:U77)+1)</f>
        <v>0</v>
      </c>
      <c r="V78" s="8" t="str">
        <f t="shared" si="14"/>
        <v>Total VOC</v>
      </c>
      <c r="W78" s="8">
        <f t="shared" si="21"/>
        <v>0</v>
      </c>
      <c r="X78" s="8">
        <f>SUMIFS($S$56:$S$165,$R$56:$R$165,$W78)*(1-VCU!$D$23)</f>
        <v>0</v>
      </c>
      <c r="Y78" s="8">
        <f>SUMIFS($T$56:$T$165,$R$56:$R$165,$W78)*(1-VCU!$D$23)</f>
        <v>0</v>
      </c>
      <c r="Z78" s="8"/>
      <c r="AA78" s="8"/>
      <c r="AB78" s="8"/>
      <c r="AC78" s="8"/>
      <c r="AD78" s="8"/>
      <c r="AE78" s="8"/>
      <c r="AF78" s="8"/>
      <c r="AG78" s="310" t="str">
        <f>$AL5</f>
        <v/>
      </c>
      <c r="AH78" s="311" t="s">
        <v>291</v>
      </c>
      <c r="AI78" s="311">
        <f>VLOOKUP($AG78,$AL$3:$AN$12,2,FALSE)</f>
        <v>0</v>
      </c>
      <c r="AJ78" s="312">
        <f>VLOOKUP($AG78,$AL$3:$AN$12,3,FALSE)</f>
        <v>0</v>
      </c>
      <c r="AK78" s="8">
        <f>IF(OR(AL78=0,ISNUMBER(MATCH(AL78,$AL$55:AL77,0))),0,MAX($AK$55:AK77)+1)</f>
        <v>0</v>
      </c>
      <c r="AL78" s="8" t="str">
        <f t="shared" si="15"/>
        <v>Total VOC</v>
      </c>
      <c r="AM78" s="8">
        <f t="shared" si="16"/>
        <v>0</v>
      </c>
      <c r="AN78" s="8">
        <f>SUMIFS($AI$56:$AI$165,$AH$56:$AH$165,$AM78)*(1-VaporOxidizer!$D$23)</f>
        <v>0</v>
      </c>
      <c r="AO78" s="8">
        <f>SUMIFS($AJ$56:$AJ$165,$AH$56:$AH$165,$AM78)*(1-VaporOxidizer!$D$23)</f>
        <v>0</v>
      </c>
      <c r="AP78" s="8"/>
      <c r="AQ78" s="8"/>
      <c r="AR78" s="8"/>
      <c r="AS78" s="8"/>
      <c r="AT78" s="8"/>
      <c r="AU78" s="8"/>
      <c r="AV78" s="8"/>
      <c r="AW78" s="310" t="str">
        <f>$BB5</f>
        <v/>
      </c>
      <c r="AX78" s="311" t="s">
        <v>291</v>
      </c>
      <c r="AY78" s="311">
        <f>VLOOKUP($AW78,$BB$3:$BD$12,2,FALSE)</f>
        <v>0</v>
      </c>
      <c r="AZ78" s="312">
        <f>VLOOKUP($AW78,$BB$3:$BD$12,3,FALSE)</f>
        <v>0</v>
      </c>
      <c r="BA78" s="8">
        <f>IF(OR(BB78=0,ISNUMBER(MATCH(BB78,$BB$55:BB77,0))),0,MAX($BA$55:BA77)+1)</f>
        <v>0</v>
      </c>
      <c r="BB78" s="8" t="str">
        <f t="shared" si="17"/>
        <v>Total VOC</v>
      </c>
      <c r="BC78" s="8">
        <f t="shared" si="18"/>
        <v>0</v>
      </c>
      <c r="BD78" s="8">
        <f>IF(OR($BC78="7783-06-4",$BC78="7446-09-5",$BC78="7664-93-9"),SUMIFS($AY$56:$AY$165,$AX$56:$AX$165,$BC78),SUMIFS($AY$56:$AY$165,$AX$56:$AX$165,$BC78)*(CAS!$D$19/1000000))</f>
        <v>0</v>
      </c>
      <c r="BE78" s="8">
        <f>IF(OR($BC78="7783-06-4",$BC78="7446-09-5",$BC78="7664-93-9"),SUMIFS($AZ$56:$AZ$165,$AX$56:$AX$165,$BC78),SUMIFS($AZ$56:$AZ$165,$AX$56:$AX$165,$BC78)*(CAS!$D$19/1000000))</f>
        <v>0</v>
      </c>
      <c r="BL78" s="90"/>
    </row>
    <row r="79" spans="1:64" x14ac:dyDescent="0.2">
      <c r="A79" s="307" t="str">
        <f>A78&amp;"A"</f>
        <v>A</v>
      </c>
      <c r="B79" s="8">
        <f>IF($A$78="",0,VLOOKUP($A78,Products!$A$59:$E$158,5,FALSE))</f>
        <v>0</v>
      </c>
      <c r="C79" s="322">
        <f>IF($B79=0,0,C$78*VLOOKUP($A78,Products!$A$59:$H$158,8,FALSE))</f>
        <v>0</v>
      </c>
      <c r="D79" s="323">
        <f>IF($B79=0,0,D$78*VLOOKUP($A78,Products!$A$59:$H$158,8,FALSE))</f>
        <v>0</v>
      </c>
      <c r="E79" s="8"/>
      <c r="F79" s="8">
        <f>IF(OR(G79=0,ISNUMBER(MATCH(G79,$G$55:G78,0))),0,MAX($F$55:F78)+1)</f>
        <v>0</v>
      </c>
      <c r="G79" s="8">
        <f t="shared" si="12"/>
        <v>0</v>
      </c>
      <c r="H79" s="8">
        <f t="shared" si="13"/>
        <v>0</v>
      </c>
      <c r="I79" s="8">
        <f>SUMIFS($C$56:$C$165,$B$56:$B$165,$H79)*(1-Flare!$D$18)</f>
        <v>0</v>
      </c>
      <c r="J79" s="8">
        <f>SUMIFS($D$56:$D$165,$B$56:$B$165,$H79)*(1-Flare!$D$18)</f>
        <v>0</v>
      </c>
      <c r="K79" s="8"/>
      <c r="L79" s="8"/>
      <c r="M79" s="8"/>
      <c r="N79" s="8"/>
      <c r="O79" s="8"/>
      <c r="P79" s="8"/>
      <c r="Q79" s="307" t="str">
        <f>Q78&amp;"A"</f>
        <v>A</v>
      </c>
      <c r="R79" s="8">
        <f>IF($Q$78="",0,VLOOKUP($Q78,Products!$A$59:$E$158,5,FALSE))</f>
        <v>0</v>
      </c>
      <c r="S79" s="322">
        <f>IF($R79=0,0,S$78*VLOOKUP($Q78,Products!$A$59:$H$158,8,FALSE))</f>
        <v>0</v>
      </c>
      <c r="T79" s="322">
        <f>IF($R79=0,0,T$78*VLOOKUP($Q78,Products!$A$59:$H$158,8,FALSE))</f>
        <v>0</v>
      </c>
      <c r="U79" s="8">
        <f>IF(OR(V79=0,ISNUMBER(MATCH(V79,$V$55:V78,0))),0,MAX($U$55:U78)+1)</f>
        <v>0</v>
      </c>
      <c r="V79" s="8">
        <f t="shared" si="14"/>
        <v>0</v>
      </c>
      <c r="W79" s="8">
        <f t="shared" si="21"/>
        <v>0</v>
      </c>
      <c r="X79" s="8">
        <f>SUMIFS($S$56:$S$165,$R$56:$R$165,$W79)*(1-VCU!$D$23)</f>
        <v>0</v>
      </c>
      <c r="Y79" s="8">
        <f>SUMIFS($T$56:$T$165,$R$56:$R$165,$W79)*(1-VCU!$D$23)</f>
        <v>0</v>
      </c>
      <c r="Z79" s="8"/>
      <c r="AA79" s="8"/>
      <c r="AB79" s="8"/>
      <c r="AC79" s="8"/>
      <c r="AD79" s="8"/>
      <c r="AE79" s="8"/>
      <c r="AF79" s="8"/>
      <c r="AG79" s="307" t="str">
        <f>AG78&amp;"A"</f>
        <v>A</v>
      </c>
      <c r="AH79" s="8">
        <f>IF($AG$78="",0,VLOOKUP($AG78,Products!$A$59:$E$158,5,FALSE))</f>
        <v>0</v>
      </c>
      <c r="AI79" s="322">
        <f>IF($AH79=0,0,AI$78*VLOOKUP($AG78,Products!$A$59:$H$158,8,FALSE))</f>
        <v>0</v>
      </c>
      <c r="AJ79" s="322">
        <f>IF($AH79=0,0,AJ$78*VLOOKUP($AG78,Products!$A$59:$H$158,8,FALSE))</f>
        <v>0</v>
      </c>
      <c r="AK79" s="8">
        <f>IF(OR(AL79=0,ISNUMBER(MATCH(AL79,$AL$55:AL78,0))),0,MAX($AK$55:AK78)+1)</f>
        <v>0</v>
      </c>
      <c r="AL79" s="8">
        <f t="shared" si="15"/>
        <v>0</v>
      </c>
      <c r="AM79" s="8">
        <f t="shared" si="16"/>
        <v>0</v>
      </c>
      <c r="AN79" s="8">
        <f>SUMIFS($AI$56:$AI$165,$AH$56:$AH$165,$AM79)*(1-VaporOxidizer!$D$23)</f>
        <v>0</v>
      </c>
      <c r="AO79" s="8">
        <f>SUMIFS($AJ$56:$AJ$165,$AH$56:$AH$165,$AM79)*(1-VaporOxidizer!$D$23)</f>
        <v>0</v>
      </c>
      <c r="AP79" s="8"/>
      <c r="AQ79" s="8"/>
      <c r="AR79" s="8"/>
      <c r="AS79" s="8"/>
      <c r="AT79" s="8"/>
      <c r="AU79" s="8"/>
      <c r="AV79" s="8"/>
      <c r="AW79" s="307" t="str">
        <f>AW78&amp;"A"</f>
        <v>A</v>
      </c>
      <c r="AX79" s="8">
        <f>IF($AW$78="",0,VLOOKUP($AW78,Products!$A$59:$E$158,5,FALSE))</f>
        <v>0</v>
      </c>
      <c r="AY79" s="322">
        <f>IF($AX79=0,0,AY$78*VLOOKUP($AW78,Products!$A$59:$H$158,8,FALSE))</f>
        <v>0</v>
      </c>
      <c r="AZ79" s="323">
        <f>IF($AX79=0,0,AZ$78*VLOOKUP($AW78,Products!$A$59:$H$158,8,FALSE))</f>
        <v>0</v>
      </c>
      <c r="BA79" s="8">
        <f>IF(OR(BB79=0,ISNUMBER(MATCH(BB79,$BB$55:BB78,0))),0,MAX($BA$55:BA78)+1)</f>
        <v>0</v>
      </c>
      <c r="BB79" s="8">
        <f t="shared" si="17"/>
        <v>0</v>
      </c>
      <c r="BC79" s="8">
        <f t="shared" si="18"/>
        <v>0</v>
      </c>
      <c r="BD79" s="8">
        <f>IF(OR($BC79="7783-06-4",$BC79="7446-09-5",$BC79="7664-93-9"),SUMIFS($AY$56:$AY$165,$AX$56:$AX$165,$BC79),SUMIFS($AY$56:$AY$165,$AX$56:$AX$165,$BC79)*(CAS!$D$19/1000000))</f>
        <v>0</v>
      </c>
      <c r="BE79" s="8">
        <f>IF(OR($BC79="7783-06-4",$BC79="7446-09-5",$BC79="7664-93-9"),SUMIFS($AZ$56:$AZ$165,$AX$56:$AX$165,$BC79),SUMIFS($AZ$56:$AZ$165,$AX$56:$AX$165,$BC79)*(CAS!$D$19/1000000))</f>
        <v>0</v>
      </c>
      <c r="BL79" s="90"/>
    </row>
    <row r="80" spans="1:64" x14ac:dyDescent="0.2">
      <c r="A80" s="307" t="str">
        <f t="shared" ref="A80:A88" si="34">A79&amp;"A"</f>
        <v>AA</v>
      </c>
      <c r="B80" s="8">
        <f>IF($A$78="",0,VLOOKUP($A79,Products!$A$59:$E$158,5,FALSE))</f>
        <v>0</v>
      </c>
      <c r="C80" s="322">
        <f>IF($B80=0,0,C$78*VLOOKUP($A79,Products!$A$59:$H$158,8,FALSE))</f>
        <v>0</v>
      </c>
      <c r="D80" s="323">
        <f>IF($B80=0,0,D$78*VLOOKUP($A79,Products!$A$59:$H$158,8,FALSE))</f>
        <v>0</v>
      </c>
      <c r="E80" s="8"/>
      <c r="F80" s="8">
        <f>IF(OR(G80=0,ISNUMBER(MATCH(G80,$G$55:G79,0))),0,MAX($F$55:F79)+1)</f>
        <v>0</v>
      </c>
      <c r="G80" s="8">
        <f t="shared" si="12"/>
        <v>0</v>
      </c>
      <c r="H80" s="8">
        <f t="shared" si="13"/>
        <v>0</v>
      </c>
      <c r="I80" s="8">
        <f>SUMIFS($C$56:$C$165,$B$56:$B$165,$H80)*(1-Flare!$D$18)</f>
        <v>0</v>
      </c>
      <c r="J80" s="8">
        <f>SUMIFS($D$56:$D$165,$B$56:$B$165,$H80)*(1-Flare!$D$18)</f>
        <v>0</v>
      </c>
      <c r="K80" s="8"/>
      <c r="L80" s="8"/>
      <c r="M80" s="8"/>
      <c r="N80" s="8"/>
      <c r="O80" s="8"/>
      <c r="P80" s="8"/>
      <c r="Q80" s="307" t="str">
        <f t="shared" ref="Q80:Q88" si="35">Q79&amp;"A"</f>
        <v>AA</v>
      </c>
      <c r="R80" s="8">
        <f>IF($Q$78="",0,VLOOKUP($Q79,Products!$A$59:$E$158,5,FALSE))</f>
        <v>0</v>
      </c>
      <c r="S80" s="322">
        <f>IF($R80=0,0,S$78*VLOOKUP($Q79,Products!$A$59:$H$158,8,FALSE))</f>
        <v>0</v>
      </c>
      <c r="T80" s="322">
        <f>IF($R80=0,0,T$78*VLOOKUP($Q79,Products!$A$59:$H$158,8,FALSE))</f>
        <v>0</v>
      </c>
      <c r="U80" s="8">
        <f>IF(OR(V80=0,ISNUMBER(MATCH(V80,$V$55:V79,0))),0,MAX($U$55:U79)+1)</f>
        <v>0</v>
      </c>
      <c r="V80" s="8">
        <f t="shared" si="14"/>
        <v>0</v>
      </c>
      <c r="W80" s="8">
        <f t="shared" si="21"/>
        <v>0</v>
      </c>
      <c r="X80" s="8">
        <f>SUMIFS($S$56:$S$165,$R$56:$R$165,$W80)*(1-VCU!$D$23)</f>
        <v>0</v>
      </c>
      <c r="Y80" s="8">
        <f>SUMIFS($T$56:$T$165,$R$56:$R$165,$W80)*(1-VCU!$D$23)</f>
        <v>0</v>
      </c>
      <c r="Z80" s="8"/>
      <c r="AA80" s="8"/>
      <c r="AB80" s="8"/>
      <c r="AC80" s="8"/>
      <c r="AD80" s="8"/>
      <c r="AE80" s="8"/>
      <c r="AF80" s="8"/>
      <c r="AG80" s="307" t="str">
        <f t="shared" ref="AG80:AG88" si="36">AG79&amp;"A"</f>
        <v>AA</v>
      </c>
      <c r="AH80" s="8">
        <f>IF($AG$78="",0,VLOOKUP($AG79,Products!$A$59:$E$158,5,FALSE))</f>
        <v>0</v>
      </c>
      <c r="AI80" s="322">
        <f>IF($AH80=0,0,AI$78*VLOOKUP($AG79,Products!$A$59:$H$158,8,FALSE))</f>
        <v>0</v>
      </c>
      <c r="AJ80" s="322">
        <f>IF($AH80=0,0,AJ$78*VLOOKUP($AG79,Products!$A$59:$H$158,8,FALSE))</f>
        <v>0</v>
      </c>
      <c r="AK80" s="8">
        <f>IF(OR(AL80=0,ISNUMBER(MATCH(AL80,$AL$55:AL79,0))),0,MAX($AK$55:AK79)+1)</f>
        <v>0</v>
      </c>
      <c r="AL80" s="8">
        <f t="shared" si="15"/>
        <v>0</v>
      </c>
      <c r="AM80" s="8">
        <f t="shared" si="16"/>
        <v>0</v>
      </c>
      <c r="AN80" s="8">
        <f>SUMIFS($AI$56:$AI$165,$AH$56:$AH$165,$AM80)*(1-VaporOxidizer!$D$23)</f>
        <v>0</v>
      </c>
      <c r="AO80" s="8">
        <f>SUMIFS($AJ$56:$AJ$165,$AH$56:$AH$165,$AM80)*(1-VaporOxidizer!$D$23)</f>
        <v>0</v>
      </c>
      <c r="AP80" s="8"/>
      <c r="AQ80" s="8"/>
      <c r="AR80" s="8"/>
      <c r="AS80" s="8"/>
      <c r="AT80" s="8"/>
      <c r="AU80" s="8"/>
      <c r="AV80" s="8"/>
      <c r="AW80" s="307" t="str">
        <f t="shared" ref="AW80:AW88" si="37">AW79&amp;"A"</f>
        <v>AA</v>
      </c>
      <c r="AX80" s="8">
        <f>IF($AW$78="",0,VLOOKUP($AW79,Products!$A$59:$E$158,5,FALSE))</f>
        <v>0</v>
      </c>
      <c r="AY80" s="322">
        <f>IF($AX80=0,0,AY$78*VLOOKUP($AW79,Products!$A$59:$H$158,8,FALSE))</f>
        <v>0</v>
      </c>
      <c r="AZ80" s="323">
        <f>IF($AX80=0,0,AZ$78*VLOOKUP($AW79,Products!$A$59:$H$158,8,FALSE))</f>
        <v>0</v>
      </c>
      <c r="BA80" s="8">
        <f>IF(OR(BB80=0,ISNUMBER(MATCH(BB80,$BB$55:BB79,0))),0,MAX($BA$55:BA79)+1)</f>
        <v>0</v>
      </c>
      <c r="BB80" s="8">
        <f t="shared" si="17"/>
        <v>0</v>
      </c>
      <c r="BC80" s="8">
        <f t="shared" si="18"/>
        <v>0</v>
      </c>
      <c r="BD80" s="8">
        <f>IF(OR($BC80="7783-06-4",$BC80="7446-09-5",$BC80="7664-93-9"),SUMIFS($AY$56:$AY$165,$AX$56:$AX$165,$BC80),SUMIFS($AY$56:$AY$165,$AX$56:$AX$165,$BC80)*(CAS!$D$19/1000000))</f>
        <v>0</v>
      </c>
      <c r="BE80" s="8">
        <f>IF(OR($BC80="7783-06-4",$BC80="7446-09-5",$BC80="7664-93-9"),SUMIFS($AZ$56:$AZ$165,$AX$56:$AX$165,$BC80),SUMIFS($AZ$56:$AZ$165,$AX$56:$AX$165,$BC80)*(CAS!$D$19/1000000))</f>
        <v>0</v>
      </c>
      <c r="BL80" s="90"/>
    </row>
    <row r="81" spans="1:64" x14ac:dyDescent="0.2">
      <c r="A81" s="307" t="str">
        <f t="shared" si="34"/>
        <v>AAA</v>
      </c>
      <c r="B81" s="8">
        <f>IF($A$78="",0,VLOOKUP($A80,Products!$A$59:$E$158,5,FALSE))</f>
        <v>0</v>
      </c>
      <c r="C81" s="322">
        <f>IF($B81=0,0,C$78*VLOOKUP($A80,Products!$A$59:$H$158,8,FALSE))</f>
        <v>0</v>
      </c>
      <c r="D81" s="323">
        <f>IF($B81=0,0,D$78*VLOOKUP($A80,Products!$A$59:$H$158,8,FALSE))</f>
        <v>0</v>
      </c>
      <c r="E81" s="8"/>
      <c r="F81" s="8">
        <f>IF(OR(G81=0,ISNUMBER(MATCH(G81,$G$55:G80,0))),0,MAX($F$55:F80)+1)</f>
        <v>0</v>
      </c>
      <c r="G81" s="8">
        <f t="shared" si="12"/>
        <v>0</v>
      </c>
      <c r="H81" s="8">
        <f t="shared" si="13"/>
        <v>0</v>
      </c>
      <c r="I81" s="8">
        <f>SUMIFS($C$56:$C$165,$B$56:$B$165,$H81)*(1-Flare!$D$18)</f>
        <v>0</v>
      </c>
      <c r="J81" s="8">
        <f>SUMIFS($D$56:$D$165,$B$56:$B$165,$H81)*(1-Flare!$D$18)</f>
        <v>0</v>
      </c>
      <c r="K81" s="8"/>
      <c r="L81" s="8"/>
      <c r="M81" s="8"/>
      <c r="N81" s="8"/>
      <c r="O81" s="8"/>
      <c r="P81" s="8"/>
      <c r="Q81" s="307" t="str">
        <f t="shared" si="35"/>
        <v>AAA</v>
      </c>
      <c r="R81" s="8">
        <f>IF($Q$78="",0,VLOOKUP($Q80,Products!$A$59:$E$158,5,FALSE))</f>
        <v>0</v>
      </c>
      <c r="S81" s="322">
        <f>IF($R81=0,0,S$78*VLOOKUP($Q80,Products!$A$59:$H$158,8,FALSE))</f>
        <v>0</v>
      </c>
      <c r="T81" s="322">
        <f>IF($R81=0,0,T$78*VLOOKUP($Q80,Products!$A$59:$H$158,8,FALSE))</f>
        <v>0</v>
      </c>
      <c r="U81" s="8">
        <f>IF(OR(V81=0,ISNUMBER(MATCH(V81,$V$55:V80,0))),0,MAX($U$55:U80)+1)</f>
        <v>0</v>
      </c>
      <c r="V81" s="8">
        <f t="shared" si="14"/>
        <v>0</v>
      </c>
      <c r="W81" s="8">
        <f t="shared" si="21"/>
        <v>0</v>
      </c>
      <c r="X81" s="8">
        <f>SUMIFS($S$56:$S$165,$R$56:$R$165,$W81)*(1-VCU!$D$23)</f>
        <v>0</v>
      </c>
      <c r="Y81" s="8">
        <f>SUMIFS($T$56:$T$165,$R$56:$R$165,$W81)*(1-VCU!$D$23)</f>
        <v>0</v>
      </c>
      <c r="Z81" s="8"/>
      <c r="AA81" s="8"/>
      <c r="AB81" s="8"/>
      <c r="AC81" s="8"/>
      <c r="AD81" s="8"/>
      <c r="AE81" s="8"/>
      <c r="AF81" s="8"/>
      <c r="AG81" s="307" t="str">
        <f t="shared" si="36"/>
        <v>AAA</v>
      </c>
      <c r="AH81" s="8">
        <f>IF($AG$78="",0,VLOOKUP($AG80,Products!$A$59:$E$158,5,FALSE))</f>
        <v>0</v>
      </c>
      <c r="AI81" s="322">
        <f>IF($AH81=0,0,AI$78*VLOOKUP($AG80,Products!$A$59:$H$158,8,FALSE))</f>
        <v>0</v>
      </c>
      <c r="AJ81" s="322">
        <f>IF($AH81=0,0,AJ$78*VLOOKUP($AG80,Products!$A$59:$H$158,8,FALSE))</f>
        <v>0</v>
      </c>
      <c r="AK81" s="8">
        <f>IF(OR(AL81=0,ISNUMBER(MATCH(AL81,$AL$55:AL80,0))),0,MAX($AK$55:AK80)+1)</f>
        <v>0</v>
      </c>
      <c r="AL81" s="8">
        <f t="shared" si="15"/>
        <v>0</v>
      </c>
      <c r="AM81" s="8">
        <f t="shared" si="16"/>
        <v>0</v>
      </c>
      <c r="AN81" s="8">
        <f>SUMIFS($AI$56:$AI$165,$AH$56:$AH$165,$AM81)*(1-VaporOxidizer!$D$23)</f>
        <v>0</v>
      </c>
      <c r="AO81" s="8">
        <f>SUMIFS($AJ$56:$AJ$165,$AH$56:$AH$165,$AM81)*(1-VaporOxidizer!$D$23)</f>
        <v>0</v>
      </c>
      <c r="AP81" s="8"/>
      <c r="AQ81" s="8"/>
      <c r="AR81" s="8"/>
      <c r="AS81" s="8"/>
      <c r="AT81" s="8"/>
      <c r="AU81" s="8"/>
      <c r="AV81" s="8"/>
      <c r="AW81" s="307" t="str">
        <f t="shared" si="37"/>
        <v>AAA</v>
      </c>
      <c r="AX81" s="8">
        <f>IF($AW$78="",0,VLOOKUP($AW80,Products!$A$59:$E$158,5,FALSE))</f>
        <v>0</v>
      </c>
      <c r="AY81" s="322">
        <f>IF($AX81=0,0,AY$78*VLOOKUP($AW80,Products!$A$59:$H$158,8,FALSE))</f>
        <v>0</v>
      </c>
      <c r="AZ81" s="323">
        <f>IF($AX81=0,0,AZ$78*VLOOKUP($AW80,Products!$A$59:$H$158,8,FALSE))</f>
        <v>0</v>
      </c>
      <c r="BA81" s="8">
        <f>IF(OR(BB81=0,ISNUMBER(MATCH(BB81,$BB$55:BB80,0))),0,MAX($BA$55:BA80)+1)</f>
        <v>0</v>
      </c>
      <c r="BB81" s="8">
        <f t="shared" si="17"/>
        <v>0</v>
      </c>
      <c r="BC81" s="8">
        <f t="shared" si="18"/>
        <v>0</v>
      </c>
      <c r="BD81" s="8">
        <f>IF(OR($BC81="7783-06-4",$BC81="7446-09-5",$BC81="7664-93-9"),SUMIFS($AY$56:$AY$165,$AX$56:$AX$165,$BC81),SUMIFS($AY$56:$AY$165,$AX$56:$AX$165,$BC81)*(CAS!$D$19/1000000))</f>
        <v>0</v>
      </c>
      <c r="BE81" s="8">
        <f>IF(OR($BC81="7783-06-4",$BC81="7446-09-5",$BC81="7664-93-9"),SUMIFS($AZ$56:$AZ$165,$AX$56:$AX$165,$BC81),SUMIFS($AZ$56:$AZ$165,$AX$56:$AX$165,$BC81)*(CAS!$D$19/1000000))</f>
        <v>0</v>
      </c>
      <c r="BL81" s="90"/>
    </row>
    <row r="82" spans="1:64" x14ac:dyDescent="0.2">
      <c r="A82" s="307" t="str">
        <f t="shared" si="34"/>
        <v>AAAA</v>
      </c>
      <c r="B82" s="8">
        <f>IF($A$78="",0,VLOOKUP($A81,Products!$A$59:$E$158,5,FALSE))</f>
        <v>0</v>
      </c>
      <c r="C82" s="322">
        <f>IF($B82=0,0,C$78*VLOOKUP($A81,Products!$A$59:$H$158,8,FALSE))</f>
        <v>0</v>
      </c>
      <c r="D82" s="323">
        <f>IF($B82=0,0,D$78*VLOOKUP($A81,Products!$A$59:$H$158,8,FALSE))</f>
        <v>0</v>
      </c>
      <c r="E82" s="8"/>
      <c r="F82" s="8">
        <f>IF(OR(G82=0,ISNUMBER(MATCH(G82,$G$55:G81,0))),0,MAX($F$55:F81)+1)</f>
        <v>0</v>
      </c>
      <c r="G82" s="8">
        <f t="shared" si="12"/>
        <v>0</v>
      </c>
      <c r="H82" s="8">
        <f t="shared" si="13"/>
        <v>0</v>
      </c>
      <c r="I82" s="8">
        <f>SUMIFS($C$56:$C$165,$B$56:$B$165,$H82)*(1-Flare!$D$18)</f>
        <v>0</v>
      </c>
      <c r="J82" s="8">
        <f>SUMIFS($D$56:$D$165,$B$56:$B$165,$H82)*(1-Flare!$D$18)</f>
        <v>0</v>
      </c>
      <c r="K82" s="8"/>
      <c r="L82" s="8"/>
      <c r="M82" s="8"/>
      <c r="N82" s="8"/>
      <c r="O82" s="8"/>
      <c r="P82" s="8"/>
      <c r="Q82" s="307" t="str">
        <f t="shared" si="35"/>
        <v>AAAA</v>
      </c>
      <c r="R82" s="8">
        <f>IF($Q$78="",0,VLOOKUP($Q81,Products!$A$59:$E$158,5,FALSE))</f>
        <v>0</v>
      </c>
      <c r="S82" s="322">
        <f>IF($R82=0,0,S$78*VLOOKUP($Q81,Products!$A$59:$H$158,8,FALSE))</f>
        <v>0</v>
      </c>
      <c r="T82" s="322">
        <f>IF($R82=0,0,T$78*VLOOKUP($Q81,Products!$A$59:$H$158,8,FALSE))</f>
        <v>0</v>
      </c>
      <c r="U82" s="8">
        <f>IF(OR(V82=0,ISNUMBER(MATCH(V82,$V$55:V81,0))),0,MAX($U$55:U81)+1)</f>
        <v>0</v>
      </c>
      <c r="V82" s="8">
        <f t="shared" si="14"/>
        <v>0</v>
      </c>
      <c r="W82" s="8">
        <f t="shared" si="21"/>
        <v>0</v>
      </c>
      <c r="X82" s="8">
        <f>SUMIFS($S$56:$S$165,$R$56:$R$165,$W82)*(1-VCU!$D$23)</f>
        <v>0</v>
      </c>
      <c r="Y82" s="8">
        <f>SUMIFS($T$56:$T$165,$R$56:$R$165,$W82)*(1-VCU!$D$23)</f>
        <v>0</v>
      </c>
      <c r="Z82" s="8"/>
      <c r="AA82" s="8"/>
      <c r="AB82" s="8"/>
      <c r="AC82" s="8"/>
      <c r="AD82" s="8"/>
      <c r="AE82" s="8"/>
      <c r="AF82" s="8"/>
      <c r="AG82" s="307" t="str">
        <f t="shared" si="36"/>
        <v>AAAA</v>
      </c>
      <c r="AH82" s="8">
        <f>IF($AG$78="",0,VLOOKUP($AG81,Products!$A$59:$E$158,5,FALSE))</f>
        <v>0</v>
      </c>
      <c r="AI82" s="322">
        <f>IF($AH82=0,0,AI$78*VLOOKUP($AG81,Products!$A$59:$H$158,8,FALSE))</f>
        <v>0</v>
      </c>
      <c r="AJ82" s="322">
        <f>IF($AH82=0,0,AJ$78*VLOOKUP($AG81,Products!$A$59:$H$158,8,FALSE))</f>
        <v>0</v>
      </c>
      <c r="AK82" s="8">
        <f>IF(OR(AL82=0,ISNUMBER(MATCH(AL82,$AL$55:AL81,0))),0,MAX($AK$55:AK81)+1)</f>
        <v>0</v>
      </c>
      <c r="AL82" s="8">
        <f t="shared" si="15"/>
        <v>0</v>
      </c>
      <c r="AM82" s="8">
        <f t="shared" si="16"/>
        <v>0</v>
      </c>
      <c r="AN82" s="8">
        <f>SUMIFS($AI$56:$AI$165,$AH$56:$AH$165,$AM82)*(1-VaporOxidizer!$D$23)</f>
        <v>0</v>
      </c>
      <c r="AO82" s="8">
        <f>SUMIFS($AJ$56:$AJ$165,$AH$56:$AH$165,$AM82)*(1-VaporOxidizer!$D$23)</f>
        <v>0</v>
      </c>
      <c r="AP82" s="8"/>
      <c r="AQ82" s="8"/>
      <c r="AR82" s="8"/>
      <c r="AS82" s="8"/>
      <c r="AT82" s="8"/>
      <c r="AU82" s="8"/>
      <c r="AV82" s="8"/>
      <c r="AW82" s="307" t="str">
        <f t="shared" si="37"/>
        <v>AAAA</v>
      </c>
      <c r="AX82" s="8">
        <f>IF($AW$78="",0,VLOOKUP($AW81,Products!$A$59:$E$158,5,FALSE))</f>
        <v>0</v>
      </c>
      <c r="AY82" s="322">
        <f>IF($AX82=0,0,AY$78*VLOOKUP($AW81,Products!$A$59:$H$158,8,FALSE))</f>
        <v>0</v>
      </c>
      <c r="AZ82" s="323">
        <f>IF($AX82=0,0,AZ$78*VLOOKUP($AW81,Products!$A$59:$H$158,8,FALSE))</f>
        <v>0</v>
      </c>
      <c r="BA82" s="8">
        <f>IF(OR(BB82=0,ISNUMBER(MATCH(BB82,$BB$55:BB81,0))),0,MAX($BA$55:BA81)+1)</f>
        <v>0</v>
      </c>
      <c r="BB82" s="8">
        <f t="shared" si="17"/>
        <v>0</v>
      </c>
      <c r="BC82" s="8">
        <f t="shared" si="18"/>
        <v>0</v>
      </c>
      <c r="BD82" s="8">
        <f>IF(OR($BC82="7783-06-4",$BC82="7446-09-5",$BC82="7664-93-9"),SUMIFS($AY$56:$AY$165,$AX$56:$AX$165,$BC82),SUMIFS($AY$56:$AY$165,$AX$56:$AX$165,$BC82)*(CAS!$D$19/1000000))</f>
        <v>0</v>
      </c>
      <c r="BE82" s="8">
        <f>IF(OR($BC82="7783-06-4",$BC82="7446-09-5",$BC82="7664-93-9"),SUMIFS($AZ$56:$AZ$165,$AX$56:$AX$165,$BC82),SUMIFS($AZ$56:$AZ$165,$AX$56:$AX$165,$BC82)*(CAS!$D$19/1000000))</f>
        <v>0</v>
      </c>
      <c r="BL82" s="90"/>
    </row>
    <row r="83" spans="1:64" x14ac:dyDescent="0.2">
      <c r="A83" s="307" t="str">
        <f t="shared" si="34"/>
        <v>AAAAA</v>
      </c>
      <c r="B83" s="8">
        <f>IF($A$78="",0,VLOOKUP($A82,Products!$A$59:$E$158,5,FALSE))</f>
        <v>0</v>
      </c>
      <c r="C83" s="322">
        <f>IF($B83=0,0,C$78*VLOOKUP($A82,Products!$A$59:$H$158,8,FALSE))</f>
        <v>0</v>
      </c>
      <c r="D83" s="323">
        <f>IF($B83=0,0,D$78*VLOOKUP($A82,Products!$A$59:$H$158,8,FALSE))</f>
        <v>0</v>
      </c>
      <c r="E83" s="8"/>
      <c r="F83" s="8">
        <f>IF(OR(G83=0,ISNUMBER(MATCH(G83,$G$55:G82,0))),0,MAX($F$55:F82)+1)</f>
        <v>0</v>
      </c>
      <c r="G83" s="8">
        <f t="shared" si="12"/>
        <v>0</v>
      </c>
      <c r="H83" s="8">
        <f t="shared" si="13"/>
        <v>0</v>
      </c>
      <c r="I83" s="8">
        <f>SUMIFS($C$56:$C$165,$B$56:$B$165,$H83)*(1-Flare!$D$18)</f>
        <v>0</v>
      </c>
      <c r="J83" s="8">
        <f>SUMIFS($D$56:$D$165,$B$56:$B$165,$H83)*(1-Flare!$D$18)</f>
        <v>0</v>
      </c>
      <c r="K83" s="8"/>
      <c r="L83" s="8"/>
      <c r="M83" s="8"/>
      <c r="N83" s="8"/>
      <c r="O83" s="8"/>
      <c r="P83" s="8"/>
      <c r="Q83" s="307" t="str">
        <f t="shared" si="35"/>
        <v>AAAAA</v>
      </c>
      <c r="R83" s="8">
        <f>IF($Q$78="",0,VLOOKUP($Q82,Products!$A$59:$E$158,5,FALSE))</f>
        <v>0</v>
      </c>
      <c r="S83" s="322">
        <f>IF($R83=0,0,S$78*VLOOKUP($Q82,Products!$A$59:$H$158,8,FALSE))</f>
        <v>0</v>
      </c>
      <c r="T83" s="322">
        <f>IF($R83=0,0,T$78*VLOOKUP($Q82,Products!$A$59:$H$158,8,FALSE))</f>
        <v>0</v>
      </c>
      <c r="U83" s="8">
        <f>IF(OR(V83=0,ISNUMBER(MATCH(V83,$V$55:V82,0))),0,MAX($U$55:U82)+1)</f>
        <v>0</v>
      </c>
      <c r="V83" s="8">
        <f t="shared" si="14"/>
        <v>0</v>
      </c>
      <c r="W83" s="8">
        <f t="shared" si="21"/>
        <v>0</v>
      </c>
      <c r="X83" s="8">
        <f>SUMIFS($S$56:$S$165,$R$56:$R$165,$W83)*(1-VCU!$D$23)</f>
        <v>0</v>
      </c>
      <c r="Y83" s="8">
        <f>SUMIFS($T$56:$T$165,$R$56:$R$165,$W83)*(1-VCU!$D$23)</f>
        <v>0</v>
      </c>
      <c r="Z83" s="8"/>
      <c r="AA83" s="8"/>
      <c r="AB83" s="8"/>
      <c r="AC83" s="8"/>
      <c r="AD83" s="8"/>
      <c r="AE83" s="8"/>
      <c r="AF83" s="8"/>
      <c r="AG83" s="307" t="str">
        <f t="shared" si="36"/>
        <v>AAAAA</v>
      </c>
      <c r="AH83" s="8">
        <f>IF($AG$78="",0,VLOOKUP($AG82,Products!$A$59:$E$158,5,FALSE))</f>
        <v>0</v>
      </c>
      <c r="AI83" s="322">
        <f>IF($AH83=0,0,AI$78*VLOOKUP($AG82,Products!$A$59:$H$158,8,FALSE))</f>
        <v>0</v>
      </c>
      <c r="AJ83" s="322">
        <f>IF($AH83=0,0,AJ$78*VLOOKUP($AG82,Products!$A$59:$H$158,8,FALSE))</f>
        <v>0</v>
      </c>
      <c r="AK83" s="8">
        <f>IF(OR(AL83=0,ISNUMBER(MATCH(AL83,$AL$55:AL82,0))),0,MAX($AK$55:AK82)+1)</f>
        <v>0</v>
      </c>
      <c r="AL83" s="8">
        <f t="shared" si="15"/>
        <v>0</v>
      </c>
      <c r="AM83" s="8">
        <f t="shared" si="16"/>
        <v>0</v>
      </c>
      <c r="AN83" s="8">
        <f>SUMIFS($AI$56:$AI$165,$AH$56:$AH$165,$AM83)*(1-VaporOxidizer!$D$23)</f>
        <v>0</v>
      </c>
      <c r="AO83" s="8">
        <f>SUMIFS($AJ$56:$AJ$165,$AH$56:$AH$165,$AM83)*(1-VaporOxidizer!$D$23)</f>
        <v>0</v>
      </c>
      <c r="AP83" s="8"/>
      <c r="AQ83" s="8"/>
      <c r="AR83" s="8"/>
      <c r="AS83" s="8"/>
      <c r="AT83" s="8"/>
      <c r="AU83" s="8"/>
      <c r="AV83" s="8"/>
      <c r="AW83" s="307" t="str">
        <f t="shared" si="37"/>
        <v>AAAAA</v>
      </c>
      <c r="AX83" s="8">
        <f>IF($AW$78="",0,VLOOKUP($AW82,Products!$A$59:$E$158,5,FALSE))</f>
        <v>0</v>
      </c>
      <c r="AY83" s="322">
        <f>IF($AX83=0,0,AY$78*VLOOKUP($AW82,Products!$A$59:$H$158,8,FALSE))</f>
        <v>0</v>
      </c>
      <c r="AZ83" s="323">
        <f>IF($AX83=0,0,AZ$78*VLOOKUP($AW82,Products!$A$59:$H$158,8,FALSE))</f>
        <v>0</v>
      </c>
      <c r="BA83" s="8">
        <f>IF(OR(BB83=0,ISNUMBER(MATCH(BB83,$BB$55:BB82,0))),0,MAX($BA$55:BA82)+1)</f>
        <v>0</v>
      </c>
      <c r="BB83" s="8">
        <f t="shared" si="17"/>
        <v>0</v>
      </c>
      <c r="BC83" s="8">
        <f t="shared" si="18"/>
        <v>0</v>
      </c>
      <c r="BD83" s="8">
        <f>IF(OR($BC83="7783-06-4",$BC83="7446-09-5",$BC83="7664-93-9"),SUMIFS($AY$56:$AY$165,$AX$56:$AX$165,$BC83),SUMIFS($AY$56:$AY$165,$AX$56:$AX$165,$BC83)*(CAS!$D$19/1000000))</f>
        <v>0</v>
      </c>
      <c r="BE83" s="8">
        <f>IF(OR($BC83="7783-06-4",$BC83="7446-09-5",$BC83="7664-93-9"),SUMIFS($AZ$56:$AZ$165,$AX$56:$AX$165,$BC83),SUMIFS($AZ$56:$AZ$165,$AX$56:$AX$165,$BC83)*(CAS!$D$19/1000000))</f>
        <v>0</v>
      </c>
      <c r="BL83" s="90"/>
    </row>
    <row r="84" spans="1:64" x14ac:dyDescent="0.2">
      <c r="A84" s="307" t="str">
        <f t="shared" si="34"/>
        <v>AAAAAA</v>
      </c>
      <c r="B84" s="8">
        <f>IF($A$78="",0,VLOOKUP($A83,Products!$A$59:$E$158,5,FALSE))</f>
        <v>0</v>
      </c>
      <c r="C84" s="322">
        <f>IF($B84=0,0,C$78*VLOOKUP($A83,Products!$A$59:$H$158,8,FALSE))</f>
        <v>0</v>
      </c>
      <c r="D84" s="323">
        <f>IF($B84=0,0,D$78*VLOOKUP($A83,Products!$A$59:$H$158,8,FALSE))</f>
        <v>0</v>
      </c>
      <c r="E84" s="8"/>
      <c r="F84" s="8">
        <f>IF(OR(G84=0,ISNUMBER(MATCH(G84,$G$55:G83,0))),0,MAX($F$55:F83)+1)</f>
        <v>0</v>
      </c>
      <c r="G84" s="8">
        <f t="shared" si="12"/>
        <v>0</v>
      </c>
      <c r="H84" s="8">
        <f t="shared" si="13"/>
        <v>0</v>
      </c>
      <c r="I84" s="8">
        <f>SUMIFS($C$56:$C$165,$B$56:$B$165,$H84)*(1-Flare!$D$18)</f>
        <v>0</v>
      </c>
      <c r="J84" s="8">
        <f>SUMIFS($D$56:$D$165,$B$56:$B$165,$H84)*(1-Flare!$D$18)</f>
        <v>0</v>
      </c>
      <c r="K84" s="8"/>
      <c r="L84" s="8"/>
      <c r="M84" s="8"/>
      <c r="N84" s="8"/>
      <c r="O84" s="8"/>
      <c r="P84" s="8"/>
      <c r="Q84" s="307" t="str">
        <f t="shared" si="35"/>
        <v>AAAAAA</v>
      </c>
      <c r="R84" s="8">
        <f>IF($Q$78="",0,VLOOKUP($Q83,Products!$A$59:$E$158,5,FALSE))</f>
        <v>0</v>
      </c>
      <c r="S84" s="322">
        <f>IF($R84=0,0,S$78*VLOOKUP($Q83,Products!$A$59:$H$158,8,FALSE))</f>
        <v>0</v>
      </c>
      <c r="T84" s="322">
        <f>IF($R84=0,0,T$78*VLOOKUP($Q83,Products!$A$59:$H$158,8,FALSE))</f>
        <v>0</v>
      </c>
      <c r="U84" s="8">
        <f>IF(OR(V84=0,ISNUMBER(MATCH(V84,$V$55:V83,0))),0,MAX($U$55:U83)+1)</f>
        <v>0</v>
      </c>
      <c r="V84" s="8">
        <f t="shared" si="14"/>
        <v>0</v>
      </c>
      <c r="W84" s="8">
        <f t="shared" si="21"/>
        <v>0</v>
      </c>
      <c r="X84" s="8">
        <f>SUMIFS($S$56:$S$165,$R$56:$R$165,$W84)*(1-VCU!$D$23)</f>
        <v>0</v>
      </c>
      <c r="Y84" s="8">
        <f>SUMIFS($T$56:$T$165,$R$56:$R$165,$W84)*(1-VCU!$D$23)</f>
        <v>0</v>
      </c>
      <c r="Z84" s="8"/>
      <c r="AA84" s="8"/>
      <c r="AB84" s="8"/>
      <c r="AC84" s="8"/>
      <c r="AD84" s="8"/>
      <c r="AE84" s="8"/>
      <c r="AF84" s="8"/>
      <c r="AG84" s="307" t="str">
        <f t="shared" si="36"/>
        <v>AAAAAA</v>
      </c>
      <c r="AH84" s="8">
        <f>IF($AG$78="",0,VLOOKUP($AG83,Products!$A$59:$E$158,5,FALSE))</f>
        <v>0</v>
      </c>
      <c r="AI84" s="322">
        <f>IF($AH84=0,0,AI$78*VLOOKUP($AG83,Products!$A$59:$H$158,8,FALSE))</f>
        <v>0</v>
      </c>
      <c r="AJ84" s="322">
        <f>IF($AH84=0,0,AJ$78*VLOOKUP($AG83,Products!$A$59:$H$158,8,FALSE))</f>
        <v>0</v>
      </c>
      <c r="AK84" s="8">
        <f>IF(OR(AL84=0,ISNUMBER(MATCH(AL84,$AL$55:AL83,0))),0,MAX($AK$55:AK83)+1)</f>
        <v>0</v>
      </c>
      <c r="AL84" s="8">
        <f t="shared" si="15"/>
        <v>0</v>
      </c>
      <c r="AM84" s="8">
        <f t="shared" si="16"/>
        <v>0</v>
      </c>
      <c r="AN84" s="8">
        <f>SUMIFS($AI$56:$AI$165,$AH$56:$AH$165,$AM84)*(1-VaporOxidizer!$D$23)</f>
        <v>0</v>
      </c>
      <c r="AO84" s="8">
        <f>SUMIFS($AJ$56:$AJ$165,$AH$56:$AH$165,$AM84)*(1-VaporOxidizer!$D$23)</f>
        <v>0</v>
      </c>
      <c r="AP84" s="8"/>
      <c r="AQ84" s="8"/>
      <c r="AR84" s="8"/>
      <c r="AS84" s="8"/>
      <c r="AT84" s="8"/>
      <c r="AU84" s="8"/>
      <c r="AV84" s="8"/>
      <c r="AW84" s="307" t="str">
        <f t="shared" si="37"/>
        <v>AAAAAA</v>
      </c>
      <c r="AX84" s="8">
        <f>IF($AW$78="",0,VLOOKUP($AW83,Products!$A$59:$E$158,5,FALSE))</f>
        <v>0</v>
      </c>
      <c r="AY84" s="322">
        <f>IF($AX84=0,0,AY$78*VLOOKUP($AW83,Products!$A$59:$H$158,8,FALSE))</f>
        <v>0</v>
      </c>
      <c r="AZ84" s="323">
        <f>IF($AX84=0,0,AZ$78*VLOOKUP($AW83,Products!$A$59:$H$158,8,FALSE))</f>
        <v>0</v>
      </c>
      <c r="BA84" s="8">
        <f>IF(OR(BB84=0,ISNUMBER(MATCH(BB84,$BB$55:BB83,0))),0,MAX($BA$55:BA83)+1)</f>
        <v>0</v>
      </c>
      <c r="BB84" s="8">
        <f t="shared" si="17"/>
        <v>0</v>
      </c>
      <c r="BC84" s="8">
        <f t="shared" si="18"/>
        <v>0</v>
      </c>
      <c r="BD84" s="8">
        <f>IF(OR($BC84="7783-06-4",$BC84="7446-09-5",$BC84="7664-93-9"),SUMIFS($AY$56:$AY$165,$AX$56:$AX$165,$BC84),SUMIFS($AY$56:$AY$165,$AX$56:$AX$165,$BC84)*(CAS!$D$19/1000000))</f>
        <v>0</v>
      </c>
      <c r="BE84" s="8">
        <f>IF(OR($BC84="7783-06-4",$BC84="7446-09-5",$BC84="7664-93-9"),SUMIFS($AZ$56:$AZ$165,$AX$56:$AX$165,$BC84),SUMIFS($AZ$56:$AZ$165,$AX$56:$AX$165,$BC84)*(CAS!$D$19/1000000))</f>
        <v>0</v>
      </c>
      <c r="BL84" s="90"/>
    </row>
    <row r="85" spans="1:64" x14ac:dyDescent="0.2">
      <c r="A85" s="307" t="str">
        <f t="shared" si="34"/>
        <v>AAAAAAA</v>
      </c>
      <c r="B85" s="8">
        <f>IF($A$78="",0,VLOOKUP($A84,Products!$A$59:$E$158,5,FALSE))</f>
        <v>0</v>
      </c>
      <c r="C85" s="322">
        <f>IF($B85=0,0,C$78*VLOOKUP($A84,Products!$A$59:$H$158,8,FALSE))</f>
        <v>0</v>
      </c>
      <c r="D85" s="323">
        <f>IF($B85=0,0,D$78*VLOOKUP($A84,Products!$A$59:$H$158,8,FALSE))</f>
        <v>0</v>
      </c>
      <c r="E85" s="8"/>
      <c r="F85" s="8">
        <f>IF(OR(G85=0,ISNUMBER(MATCH(G85,$G$55:G84,0))),0,MAX($F$55:F84)+1)</f>
        <v>0</v>
      </c>
      <c r="G85" s="8">
        <f t="shared" si="12"/>
        <v>0</v>
      </c>
      <c r="H85" s="8">
        <f t="shared" si="13"/>
        <v>0</v>
      </c>
      <c r="I85" s="8">
        <f>SUMIFS($C$56:$C$165,$B$56:$B$165,$H85)*(1-Flare!$D$18)</f>
        <v>0</v>
      </c>
      <c r="J85" s="8">
        <f>SUMIFS($D$56:$D$165,$B$56:$B$165,$H85)*(1-Flare!$D$18)</f>
        <v>0</v>
      </c>
      <c r="K85" s="8"/>
      <c r="L85" s="8"/>
      <c r="M85" s="8"/>
      <c r="N85" s="8"/>
      <c r="O85" s="8"/>
      <c r="P85" s="8"/>
      <c r="Q85" s="307" t="str">
        <f t="shared" si="35"/>
        <v>AAAAAAA</v>
      </c>
      <c r="R85" s="8">
        <f>IF($Q$78="",0,VLOOKUP($Q84,Products!$A$59:$E$158,5,FALSE))</f>
        <v>0</v>
      </c>
      <c r="S85" s="322">
        <f>IF($R85=0,0,S$78*VLOOKUP($Q84,Products!$A$59:$H$158,8,FALSE))</f>
        <v>0</v>
      </c>
      <c r="T85" s="322">
        <f>IF($R85=0,0,T$78*VLOOKUP($Q84,Products!$A$59:$H$158,8,FALSE))</f>
        <v>0</v>
      </c>
      <c r="U85" s="8">
        <f>IF(OR(V85=0,ISNUMBER(MATCH(V85,$V$55:V84,0))),0,MAX($U$55:U84)+1)</f>
        <v>0</v>
      </c>
      <c r="V85" s="8">
        <f t="shared" si="14"/>
        <v>0</v>
      </c>
      <c r="W85" s="8">
        <f t="shared" si="21"/>
        <v>0</v>
      </c>
      <c r="X85" s="8">
        <f>SUMIFS($S$56:$S$165,$R$56:$R$165,$W85)*(1-VCU!$D$23)</f>
        <v>0</v>
      </c>
      <c r="Y85" s="8">
        <f>SUMIFS($T$56:$T$165,$R$56:$R$165,$W85)*(1-VCU!$D$23)</f>
        <v>0</v>
      </c>
      <c r="Z85" s="8"/>
      <c r="AA85" s="8"/>
      <c r="AB85" s="8"/>
      <c r="AC85" s="8"/>
      <c r="AD85" s="8"/>
      <c r="AE85" s="8"/>
      <c r="AF85" s="8"/>
      <c r="AG85" s="307" t="str">
        <f t="shared" si="36"/>
        <v>AAAAAAA</v>
      </c>
      <c r="AH85" s="8">
        <f>IF($AG$78="",0,VLOOKUP($AG84,Products!$A$59:$E$158,5,FALSE))</f>
        <v>0</v>
      </c>
      <c r="AI85" s="322">
        <f>IF($AH85=0,0,AI$78*VLOOKUP($AG84,Products!$A$59:$H$158,8,FALSE))</f>
        <v>0</v>
      </c>
      <c r="AJ85" s="322">
        <f>IF($AH85=0,0,AJ$78*VLOOKUP($AG84,Products!$A$59:$H$158,8,FALSE))</f>
        <v>0</v>
      </c>
      <c r="AK85" s="8">
        <f>IF(OR(AL85=0,ISNUMBER(MATCH(AL85,$AL$55:AL84,0))),0,MAX($AK$55:AK84)+1)</f>
        <v>0</v>
      </c>
      <c r="AL85" s="8">
        <f t="shared" si="15"/>
        <v>0</v>
      </c>
      <c r="AM85" s="8">
        <f t="shared" si="16"/>
        <v>0</v>
      </c>
      <c r="AN85" s="8">
        <f>SUMIFS($AI$56:$AI$165,$AH$56:$AH$165,$AM85)*(1-VaporOxidizer!$D$23)</f>
        <v>0</v>
      </c>
      <c r="AO85" s="8">
        <f>SUMIFS($AJ$56:$AJ$165,$AH$56:$AH$165,$AM85)*(1-VaporOxidizer!$D$23)</f>
        <v>0</v>
      </c>
      <c r="AP85" s="8"/>
      <c r="AQ85" s="8"/>
      <c r="AR85" s="8"/>
      <c r="AS85" s="8"/>
      <c r="AT85" s="8"/>
      <c r="AU85" s="8"/>
      <c r="AV85" s="8"/>
      <c r="AW85" s="307" t="str">
        <f t="shared" si="37"/>
        <v>AAAAAAA</v>
      </c>
      <c r="AX85" s="8">
        <f>IF($AW$78="",0,VLOOKUP($AW84,Products!$A$59:$E$158,5,FALSE))</f>
        <v>0</v>
      </c>
      <c r="AY85" s="322">
        <f>IF($AX85=0,0,AY$78*VLOOKUP($AW84,Products!$A$59:$H$158,8,FALSE))</f>
        <v>0</v>
      </c>
      <c r="AZ85" s="323">
        <f>IF($AX85=0,0,AZ$78*VLOOKUP($AW84,Products!$A$59:$H$158,8,FALSE))</f>
        <v>0</v>
      </c>
      <c r="BA85" s="8">
        <f>IF(OR(BB85=0,ISNUMBER(MATCH(BB85,$BB$55:BB84,0))),0,MAX($BA$55:BA84)+1)</f>
        <v>0</v>
      </c>
      <c r="BB85" s="8">
        <f t="shared" si="17"/>
        <v>0</v>
      </c>
      <c r="BC85" s="8">
        <f t="shared" si="18"/>
        <v>0</v>
      </c>
      <c r="BD85" s="8">
        <f>IF(OR($BC85="7783-06-4",$BC85="7446-09-5",$BC85="7664-93-9"),SUMIFS($AY$56:$AY$165,$AX$56:$AX$165,$BC85),SUMIFS($AY$56:$AY$165,$AX$56:$AX$165,$BC85)*(CAS!$D$19/1000000))</f>
        <v>0</v>
      </c>
      <c r="BE85" s="8">
        <f>IF(OR($BC85="7783-06-4",$BC85="7446-09-5",$BC85="7664-93-9"),SUMIFS($AZ$56:$AZ$165,$AX$56:$AX$165,$BC85),SUMIFS($AZ$56:$AZ$165,$AX$56:$AX$165,$BC85)*(CAS!$D$19/1000000))</f>
        <v>0</v>
      </c>
      <c r="BL85" s="90"/>
    </row>
    <row r="86" spans="1:64" x14ac:dyDescent="0.2">
      <c r="A86" s="307" t="str">
        <f t="shared" si="34"/>
        <v>AAAAAAAA</v>
      </c>
      <c r="B86" s="8">
        <f>IF($A$78="",0,VLOOKUP($A85,Products!$A$59:$E$158,5,FALSE))</f>
        <v>0</v>
      </c>
      <c r="C86" s="322">
        <f>IF($B86=0,0,C$78*VLOOKUP($A85,Products!$A$59:$H$158,8,FALSE))</f>
        <v>0</v>
      </c>
      <c r="D86" s="323">
        <f>IF($B86=0,0,D$78*VLOOKUP($A85,Products!$A$59:$H$158,8,FALSE))</f>
        <v>0</v>
      </c>
      <c r="E86" s="8"/>
      <c r="F86" s="8">
        <f>IF(OR(G86=0,ISNUMBER(MATCH(G86,$G$55:G85,0))),0,MAX($F$55:F85)+1)</f>
        <v>0</v>
      </c>
      <c r="G86" s="8">
        <f t="shared" si="12"/>
        <v>0</v>
      </c>
      <c r="H86" s="8">
        <f t="shared" si="13"/>
        <v>0</v>
      </c>
      <c r="I86" s="8">
        <f>SUMIFS($C$56:$C$165,$B$56:$B$165,$H86)*(1-Flare!$D$18)</f>
        <v>0</v>
      </c>
      <c r="J86" s="8">
        <f>SUMIFS($D$56:$D$165,$B$56:$B$165,$H86)*(1-Flare!$D$18)</f>
        <v>0</v>
      </c>
      <c r="K86" s="8"/>
      <c r="L86" s="8"/>
      <c r="M86" s="8"/>
      <c r="N86" s="8"/>
      <c r="O86" s="8"/>
      <c r="P86" s="8"/>
      <c r="Q86" s="307" t="str">
        <f t="shared" si="35"/>
        <v>AAAAAAAA</v>
      </c>
      <c r="R86" s="8">
        <f>IF($Q$78="",0,VLOOKUP($Q85,Products!$A$59:$E$158,5,FALSE))</f>
        <v>0</v>
      </c>
      <c r="S86" s="322">
        <f>IF($R86=0,0,S$78*VLOOKUP($Q85,Products!$A$59:$H$158,8,FALSE))</f>
        <v>0</v>
      </c>
      <c r="T86" s="322">
        <f>IF($R86=0,0,T$78*VLOOKUP($Q85,Products!$A$59:$H$158,8,FALSE))</f>
        <v>0</v>
      </c>
      <c r="U86" s="8">
        <f>IF(OR(V86=0,ISNUMBER(MATCH(V86,$V$55:V85,0))),0,MAX($U$55:U85)+1)</f>
        <v>0</v>
      </c>
      <c r="V86" s="8">
        <f t="shared" si="14"/>
        <v>0</v>
      </c>
      <c r="W86" s="8">
        <f t="shared" si="21"/>
        <v>0</v>
      </c>
      <c r="X86" s="8">
        <f>SUMIFS($S$56:$S$165,$R$56:$R$165,$W86)*(1-VCU!$D$23)</f>
        <v>0</v>
      </c>
      <c r="Y86" s="8">
        <f>SUMIFS($T$56:$T$165,$R$56:$R$165,$W86)*(1-VCU!$D$23)</f>
        <v>0</v>
      </c>
      <c r="Z86" s="8"/>
      <c r="AA86" s="8"/>
      <c r="AB86" s="8"/>
      <c r="AC86" s="8"/>
      <c r="AD86" s="8"/>
      <c r="AE86" s="8"/>
      <c r="AF86" s="8"/>
      <c r="AG86" s="307" t="str">
        <f t="shared" si="36"/>
        <v>AAAAAAAA</v>
      </c>
      <c r="AH86" s="8">
        <f>IF($AG$78="",0,VLOOKUP($AG85,Products!$A$59:$E$158,5,FALSE))</f>
        <v>0</v>
      </c>
      <c r="AI86" s="322">
        <f>IF($AH86=0,0,AI$78*VLOOKUP($AG85,Products!$A$59:$H$158,8,FALSE))</f>
        <v>0</v>
      </c>
      <c r="AJ86" s="322">
        <f>IF($AH86=0,0,AJ$78*VLOOKUP($AG85,Products!$A$59:$H$158,8,FALSE))</f>
        <v>0</v>
      </c>
      <c r="AK86" s="8">
        <f>IF(OR(AL86=0,ISNUMBER(MATCH(AL86,$AL$55:AL85,0))),0,MAX($AK$55:AK85)+1)</f>
        <v>0</v>
      </c>
      <c r="AL86" s="8">
        <f t="shared" si="15"/>
        <v>0</v>
      </c>
      <c r="AM86" s="8">
        <f t="shared" si="16"/>
        <v>0</v>
      </c>
      <c r="AN86" s="8">
        <f>SUMIFS($AI$56:$AI$165,$AH$56:$AH$165,$AM86)*(1-VaporOxidizer!$D$23)</f>
        <v>0</v>
      </c>
      <c r="AO86" s="8">
        <f>SUMIFS($AJ$56:$AJ$165,$AH$56:$AH$165,$AM86)*(1-VaporOxidizer!$D$23)</f>
        <v>0</v>
      </c>
      <c r="AP86" s="8"/>
      <c r="AQ86" s="8"/>
      <c r="AR86" s="8"/>
      <c r="AS86" s="8"/>
      <c r="AT86" s="8"/>
      <c r="AU86" s="8"/>
      <c r="AV86" s="8"/>
      <c r="AW86" s="307" t="str">
        <f t="shared" si="37"/>
        <v>AAAAAAAA</v>
      </c>
      <c r="AX86" s="8">
        <f>IF($AW$78="",0,VLOOKUP($AW85,Products!$A$59:$E$158,5,FALSE))</f>
        <v>0</v>
      </c>
      <c r="AY86" s="322">
        <f>IF($AX86=0,0,AY$78*VLOOKUP($AW85,Products!$A$59:$H$158,8,FALSE))</f>
        <v>0</v>
      </c>
      <c r="AZ86" s="323">
        <f>IF($AX86=0,0,AZ$78*VLOOKUP($AW85,Products!$A$59:$H$158,8,FALSE))</f>
        <v>0</v>
      </c>
      <c r="BA86" s="8">
        <f>IF(OR(BB86=0,ISNUMBER(MATCH(BB86,$BB$55:BB85,0))),0,MAX($BA$55:BA85)+1)</f>
        <v>0</v>
      </c>
      <c r="BB86" s="8">
        <f t="shared" si="17"/>
        <v>0</v>
      </c>
      <c r="BC86" s="8">
        <f t="shared" si="18"/>
        <v>0</v>
      </c>
      <c r="BD86" s="8">
        <f>IF(OR($BC86="7783-06-4",$BC86="7446-09-5",$BC86="7664-93-9"),SUMIFS($AY$56:$AY$165,$AX$56:$AX$165,$BC86),SUMIFS($AY$56:$AY$165,$AX$56:$AX$165,$BC86)*(CAS!$D$19/1000000))</f>
        <v>0</v>
      </c>
      <c r="BE86" s="8">
        <f>IF(OR($BC86="7783-06-4",$BC86="7446-09-5",$BC86="7664-93-9"),SUMIFS($AZ$56:$AZ$165,$AX$56:$AX$165,$BC86),SUMIFS($AZ$56:$AZ$165,$AX$56:$AX$165,$BC86)*(CAS!$D$19/1000000))</f>
        <v>0</v>
      </c>
      <c r="BL86" s="90"/>
    </row>
    <row r="87" spans="1:64" x14ac:dyDescent="0.2">
      <c r="A87" s="307" t="str">
        <f t="shared" si="34"/>
        <v>AAAAAAAAA</v>
      </c>
      <c r="B87" s="8">
        <f>IF($A$78="",0,VLOOKUP($A86,Products!$A$59:$E$158,5,FALSE))</f>
        <v>0</v>
      </c>
      <c r="C87" s="322">
        <f>IF($B87=0,0,C$78*VLOOKUP($A86,Products!$A$59:$H$158,8,FALSE))</f>
        <v>0</v>
      </c>
      <c r="D87" s="323">
        <f>IF($B87=0,0,D$78*VLOOKUP($A86,Products!$A$59:$H$158,8,FALSE))</f>
        <v>0</v>
      </c>
      <c r="E87" s="8"/>
      <c r="F87" s="8">
        <f>IF(OR(G87=0,ISNUMBER(MATCH(G87,$G$55:G86,0))),0,MAX($F$55:F86)+1)</f>
        <v>0</v>
      </c>
      <c r="G87" s="8">
        <f t="shared" si="12"/>
        <v>0</v>
      </c>
      <c r="H87" s="8">
        <f t="shared" si="13"/>
        <v>0</v>
      </c>
      <c r="I87" s="8">
        <f>SUMIFS($C$56:$C$165,$B$56:$B$165,$H87)*(1-Flare!$D$18)</f>
        <v>0</v>
      </c>
      <c r="J87" s="8">
        <f>SUMIFS($D$56:$D$165,$B$56:$B$165,$H87)*(1-Flare!$D$18)</f>
        <v>0</v>
      </c>
      <c r="K87" s="8"/>
      <c r="L87" s="8"/>
      <c r="M87" s="8"/>
      <c r="N87" s="8"/>
      <c r="O87" s="8"/>
      <c r="P87" s="8"/>
      <c r="Q87" s="307" t="str">
        <f t="shared" si="35"/>
        <v>AAAAAAAAA</v>
      </c>
      <c r="R87" s="8">
        <f>IF($Q$78="",0,VLOOKUP($Q86,Products!$A$59:$E$158,5,FALSE))</f>
        <v>0</v>
      </c>
      <c r="S87" s="322">
        <f>IF($R87=0,0,S$78*VLOOKUP($Q86,Products!$A$59:$H$158,8,FALSE))</f>
        <v>0</v>
      </c>
      <c r="T87" s="322">
        <f>IF($R87=0,0,T$78*VLOOKUP($Q86,Products!$A$59:$H$158,8,FALSE))</f>
        <v>0</v>
      </c>
      <c r="U87" s="8">
        <f>IF(OR(V87=0,ISNUMBER(MATCH(V87,$V$55:V86,0))),0,MAX($U$55:U86)+1)</f>
        <v>0</v>
      </c>
      <c r="V87" s="8">
        <f t="shared" si="14"/>
        <v>0</v>
      </c>
      <c r="W87" s="8">
        <f t="shared" si="21"/>
        <v>0</v>
      </c>
      <c r="X87" s="8">
        <f>SUMIFS($S$56:$S$165,$R$56:$R$165,$W87)*(1-VCU!$D$23)</f>
        <v>0</v>
      </c>
      <c r="Y87" s="8">
        <f>SUMIFS($T$56:$T$165,$R$56:$R$165,$W87)*(1-VCU!$D$23)</f>
        <v>0</v>
      </c>
      <c r="Z87" s="8"/>
      <c r="AA87" s="8"/>
      <c r="AB87" s="8"/>
      <c r="AC87" s="8"/>
      <c r="AD87" s="8"/>
      <c r="AE87" s="8"/>
      <c r="AF87" s="8"/>
      <c r="AG87" s="307" t="str">
        <f t="shared" si="36"/>
        <v>AAAAAAAAA</v>
      </c>
      <c r="AH87" s="8">
        <f>IF($AG$78="",0,VLOOKUP($AG86,Products!$A$59:$E$158,5,FALSE))</f>
        <v>0</v>
      </c>
      <c r="AI87" s="322">
        <f>IF($AH87=0,0,AI$78*VLOOKUP($AG86,Products!$A$59:$H$158,8,FALSE))</f>
        <v>0</v>
      </c>
      <c r="AJ87" s="322">
        <f>IF($AH87=0,0,AJ$78*VLOOKUP($AG86,Products!$A$59:$H$158,8,FALSE))</f>
        <v>0</v>
      </c>
      <c r="AK87" s="8">
        <f>IF(OR(AL87=0,ISNUMBER(MATCH(AL87,$AL$55:AL86,0))),0,MAX($AK$55:AK86)+1)</f>
        <v>0</v>
      </c>
      <c r="AL87" s="8">
        <f t="shared" si="15"/>
        <v>0</v>
      </c>
      <c r="AM87" s="8">
        <f t="shared" si="16"/>
        <v>0</v>
      </c>
      <c r="AN87" s="8">
        <f>SUMIFS($AI$56:$AI$165,$AH$56:$AH$165,$AM87)*(1-VaporOxidizer!$D$23)</f>
        <v>0</v>
      </c>
      <c r="AO87" s="8">
        <f>SUMIFS($AJ$56:$AJ$165,$AH$56:$AH$165,$AM87)*(1-VaporOxidizer!$D$23)</f>
        <v>0</v>
      </c>
      <c r="AP87" s="8"/>
      <c r="AQ87" s="8"/>
      <c r="AR87" s="8"/>
      <c r="AS87" s="8"/>
      <c r="AT87" s="8"/>
      <c r="AU87" s="8"/>
      <c r="AV87" s="8"/>
      <c r="AW87" s="307" t="str">
        <f t="shared" si="37"/>
        <v>AAAAAAAAA</v>
      </c>
      <c r="AX87" s="8">
        <f>IF($AW$78="",0,VLOOKUP($AW86,Products!$A$59:$E$158,5,FALSE))</f>
        <v>0</v>
      </c>
      <c r="AY87" s="322">
        <f>IF($AX87=0,0,AY$78*VLOOKUP($AW86,Products!$A$59:$H$158,8,FALSE))</f>
        <v>0</v>
      </c>
      <c r="AZ87" s="323">
        <f>IF($AX87=0,0,AZ$78*VLOOKUP($AW86,Products!$A$59:$H$158,8,FALSE))</f>
        <v>0</v>
      </c>
      <c r="BA87" s="8">
        <f>IF(OR(BB87=0,ISNUMBER(MATCH(BB87,$BB$55:BB86,0))),0,MAX($BA$55:BA86)+1)</f>
        <v>0</v>
      </c>
      <c r="BB87" s="8">
        <f t="shared" si="17"/>
        <v>0</v>
      </c>
      <c r="BC87" s="8">
        <f t="shared" si="18"/>
        <v>0</v>
      </c>
      <c r="BD87" s="8">
        <f>IF(OR($BC87="7783-06-4",$BC87="7446-09-5",$BC87="7664-93-9"),SUMIFS($AY$56:$AY$165,$AX$56:$AX$165,$BC87),SUMIFS($AY$56:$AY$165,$AX$56:$AX$165,$BC87)*(CAS!$D$19/1000000))</f>
        <v>0</v>
      </c>
      <c r="BE87" s="8">
        <f>IF(OR($BC87="7783-06-4",$BC87="7446-09-5",$BC87="7664-93-9"),SUMIFS($AZ$56:$AZ$165,$AX$56:$AX$165,$BC87),SUMIFS($AZ$56:$AZ$165,$AX$56:$AX$165,$BC87)*(CAS!$D$19/1000000))</f>
        <v>0</v>
      </c>
      <c r="BL87" s="90"/>
    </row>
    <row r="88" spans="1:64" x14ac:dyDescent="0.2">
      <c r="A88" s="307" t="str">
        <f t="shared" si="34"/>
        <v>AAAAAAAAAA</v>
      </c>
      <c r="B88" s="8">
        <f>IF($A$78="",0,VLOOKUP($A87,Products!$A$59:$E$158,5,FALSE))</f>
        <v>0</v>
      </c>
      <c r="C88" s="322">
        <f>IF($B88=0,0,C$78*VLOOKUP($A87,Products!$A$59:$H$158,8,FALSE))</f>
        <v>0</v>
      </c>
      <c r="D88" s="323">
        <f>IF($B88=0,0,D$78*VLOOKUP($A87,Products!$A$59:$H$158,8,FALSE))</f>
        <v>0</v>
      </c>
      <c r="E88" s="8"/>
      <c r="F88" s="8">
        <f>IF(OR(G88=0,ISNUMBER(MATCH(G88,$G$55:G87,0))),0,MAX($F$55:F87)+1)</f>
        <v>0</v>
      </c>
      <c r="G88" s="8">
        <f t="shared" si="12"/>
        <v>0</v>
      </c>
      <c r="H88" s="8">
        <f t="shared" si="13"/>
        <v>0</v>
      </c>
      <c r="I88" s="8">
        <f>SUMIFS($C$56:$C$165,$B$56:$B$165,$H88)*(1-Flare!$D$18)</f>
        <v>0</v>
      </c>
      <c r="J88" s="8">
        <f>SUMIFS($D$56:$D$165,$B$56:$B$165,$H88)*(1-Flare!$D$18)</f>
        <v>0</v>
      </c>
      <c r="K88" s="8"/>
      <c r="L88" s="8"/>
      <c r="M88" s="8"/>
      <c r="N88" s="8"/>
      <c r="O88" s="8"/>
      <c r="P88" s="8"/>
      <c r="Q88" s="307" t="str">
        <f t="shared" si="35"/>
        <v>AAAAAAAAAA</v>
      </c>
      <c r="R88" s="8">
        <f>IF($Q$78="",0,VLOOKUP($Q87,Products!$A$59:$E$158,5,FALSE))</f>
        <v>0</v>
      </c>
      <c r="S88" s="322">
        <f>IF($R88=0,0,S$78*VLOOKUP($Q87,Products!$A$59:$H$158,8,FALSE))</f>
        <v>0</v>
      </c>
      <c r="T88" s="322">
        <f>IF($R88=0,0,T$78*VLOOKUP($Q87,Products!$A$59:$H$158,8,FALSE))</f>
        <v>0</v>
      </c>
      <c r="U88" s="8">
        <f>IF(OR(V88=0,ISNUMBER(MATCH(V88,$V$55:V87,0))),0,MAX($U$55:U87)+1)</f>
        <v>0</v>
      </c>
      <c r="V88" s="8">
        <f t="shared" si="14"/>
        <v>0</v>
      </c>
      <c r="W88" s="8">
        <f t="shared" si="21"/>
        <v>0</v>
      </c>
      <c r="X88" s="8">
        <f>SUMIFS($S$56:$S$165,$R$56:$R$165,$W88)*(1-VCU!$D$23)</f>
        <v>0</v>
      </c>
      <c r="Y88" s="8">
        <f>SUMIFS($T$56:$T$165,$R$56:$R$165,$W88)*(1-VCU!$D$23)</f>
        <v>0</v>
      </c>
      <c r="Z88" s="8"/>
      <c r="AA88" s="8"/>
      <c r="AB88" s="8"/>
      <c r="AC88" s="8"/>
      <c r="AD88" s="8"/>
      <c r="AE88" s="8"/>
      <c r="AF88" s="8"/>
      <c r="AG88" s="307" t="str">
        <f t="shared" si="36"/>
        <v>AAAAAAAAAA</v>
      </c>
      <c r="AH88" s="8">
        <f>IF($AG$78="",0,VLOOKUP($AG87,Products!$A$59:$E$158,5,FALSE))</f>
        <v>0</v>
      </c>
      <c r="AI88" s="322">
        <f>IF($AH88=0,0,AI$78*VLOOKUP($AG87,Products!$A$59:$H$158,8,FALSE))</f>
        <v>0</v>
      </c>
      <c r="AJ88" s="322">
        <f>IF($AH88=0,0,AJ$78*VLOOKUP($AG87,Products!$A$59:$H$158,8,FALSE))</f>
        <v>0</v>
      </c>
      <c r="AK88" s="8">
        <f>IF(OR(AL88=0,ISNUMBER(MATCH(AL88,$AL$55:AL87,0))),0,MAX($AK$55:AK87)+1)</f>
        <v>0</v>
      </c>
      <c r="AL88" s="8">
        <f t="shared" si="15"/>
        <v>0</v>
      </c>
      <c r="AM88" s="8">
        <f t="shared" si="16"/>
        <v>0</v>
      </c>
      <c r="AN88" s="8">
        <f>SUMIFS($AI$56:$AI$165,$AH$56:$AH$165,$AM88)*(1-VaporOxidizer!$D$23)</f>
        <v>0</v>
      </c>
      <c r="AO88" s="8">
        <f>SUMIFS($AJ$56:$AJ$165,$AH$56:$AH$165,$AM88)*(1-VaporOxidizer!$D$23)</f>
        <v>0</v>
      </c>
      <c r="AP88" s="8"/>
      <c r="AQ88" s="8"/>
      <c r="AR88" s="8"/>
      <c r="AS88" s="8"/>
      <c r="AT88" s="8"/>
      <c r="AU88" s="8"/>
      <c r="AV88" s="8"/>
      <c r="AW88" s="307" t="str">
        <f t="shared" si="37"/>
        <v>AAAAAAAAAA</v>
      </c>
      <c r="AX88" s="8">
        <f>IF($AW$78="",0,VLOOKUP($AW87,Products!$A$59:$E$158,5,FALSE))</f>
        <v>0</v>
      </c>
      <c r="AY88" s="322">
        <f>IF($AX88=0,0,AY$78*VLOOKUP($AW87,Products!$A$59:$H$158,8,FALSE))</f>
        <v>0</v>
      </c>
      <c r="AZ88" s="323">
        <f>IF($AX88=0,0,AZ$78*VLOOKUP($AW87,Products!$A$59:$H$158,8,FALSE))</f>
        <v>0</v>
      </c>
      <c r="BA88" s="8">
        <f>IF(OR(BB88=0,ISNUMBER(MATCH(BB88,$BB$55:BB87,0))),0,MAX($BA$55:BA87)+1)</f>
        <v>0</v>
      </c>
      <c r="BB88" s="8">
        <f t="shared" si="17"/>
        <v>0</v>
      </c>
      <c r="BC88" s="8">
        <f t="shared" si="18"/>
        <v>0</v>
      </c>
      <c r="BD88" s="8">
        <f>IF(OR($BC88="7783-06-4",$BC88="7446-09-5",$BC88="7664-93-9"),SUMIFS($AY$56:$AY$165,$AX$56:$AX$165,$BC88),SUMIFS($AY$56:$AY$165,$AX$56:$AX$165,$BC88)*(CAS!$D$19/1000000))</f>
        <v>0</v>
      </c>
      <c r="BE88" s="8">
        <f>IF(OR($BC88="7783-06-4",$BC88="7446-09-5",$BC88="7664-93-9"),SUMIFS($AZ$56:$AZ$165,$AX$56:$AX$165,$BC88),SUMIFS($AZ$56:$AZ$165,$AX$56:$AX$165,$BC88)*(CAS!$D$19/1000000))</f>
        <v>0</v>
      </c>
      <c r="BL88" s="90"/>
    </row>
    <row r="89" spans="1:64" x14ac:dyDescent="0.2">
      <c r="A89" s="310" t="str">
        <f>$F6</f>
        <v/>
      </c>
      <c r="B89" s="311" t="s">
        <v>291</v>
      </c>
      <c r="C89" s="311">
        <f t="shared" si="25"/>
        <v>0</v>
      </c>
      <c r="D89" s="312">
        <f t="shared" si="26"/>
        <v>0</v>
      </c>
      <c r="E89" s="8"/>
      <c r="F89" s="8">
        <f>IF(OR(G89=0,ISNUMBER(MATCH(G89,$G$55:G88,0))),0,MAX($F$55:F88)+1)</f>
        <v>0</v>
      </c>
      <c r="G89" s="8" t="str">
        <f t="shared" si="12"/>
        <v>Total VOC</v>
      </c>
      <c r="H89" s="8">
        <f t="shared" si="13"/>
        <v>0</v>
      </c>
      <c r="I89" s="8">
        <f>SUMIFS($C$56:$C$165,$B$56:$B$165,$H89)*(1-Flare!$D$18)</f>
        <v>0</v>
      </c>
      <c r="J89" s="8">
        <f>SUMIFS($D$56:$D$165,$B$56:$B$165,$H89)*(1-Flare!$D$18)</f>
        <v>0</v>
      </c>
      <c r="K89" s="8"/>
      <c r="L89" s="8"/>
      <c r="M89" s="8"/>
      <c r="N89" s="8"/>
      <c r="O89" s="8"/>
      <c r="P89" s="8"/>
      <c r="Q89" s="310" t="str">
        <f>$V6</f>
        <v/>
      </c>
      <c r="R89" s="311" t="s">
        <v>291</v>
      </c>
      <c r="S89" s="311">
        <f>VLOOKUP($Q89,$V$3:$X$12,2,FALSE)</f>
        <v>0</v>
      </c>
      <c r="T89" s="312">
        <f>VLOOKUP($Q89,$V$3:$X$12,3,FALSE)</f>
        <v>0</v>
      </c>
      <c r="U89" s="8">
        <f>IF(OR(V89=0,ISNUMBER(MATCH(V89,$V$55:V88,0))),0,MAX($U$55:U88)+1)</f>
        <v>0</v>
      </c>
      <c r="V89" s="8" t="str">
        <f t="shared" si="14"/>
        <v>Total VOC</v>
      </c>
      <c r="W89" s="8">
        <f t="shared" si="21"/>
        <v>0</v>
      </c>
      <c r="X89" s="8">
        <f>SUMIFS($S$56:$S$165,$R$56:$R$165,$W89)*(1-VCU!$D$23)</f>
        <v>0</v>
      </c>
      <c r="Y89" s="8">
        <f>SUMIFS($T$56:$T$165,$R$56:$R$165,$W89)*(1-VCU!$D$23)</f>
        <v>0</v>
      </c>
      <c r="Z89" s="8"/>
      <c r="AA89" s="8"/>
      <c r="AB89" s="8"/>
      <c r="AC89" s="8"/>
      <c r="AD89" s="8"/>
      <c r="AE89" s="8"/>
      <c r="AF89" s="8"/>
      <c r="AG89" s="310" t="str">
        <f>$AL6</f>
        <v/>
      </c>
      <c r="AH89" s="311" t="s">
        <v>291</v>
      </c>
      <c r="AI89" s="311">
        <f>VLOOKUP($AG89,$AL$3:$AN$12,2,FALSE)</f>
        <v>0</v>
      </c>
      <c r="AJ89" s="312">
        <f>VLOOKUP($AG89,$AL$3:$AN$12,3,FALSE)</f>
        <v>0</v>
      </c>
      <c r="AK89" s="8">
        <f>IF(OR(AL89=0,ISNUMBER(MATCH(AL89,$AL$55:AL88,0))),0,MAX($AK$55:AK88)+1)</f>
        <v>0</v>
      </c>
      <c r="AL89" s="8" t="str">
        <f t="shared" si="15"/>
        <v>Total VOC</v>
      </c>
      <c r="AM89" s="8">
        <f t="shared" si="16"/>
        <v>0</v>
      </c>
      <c r="AN89" s="8">
        <f>SUMIFS($AI$56:$AI$165,$AH$56:$AH$165,$AM89)*(1-VaporOxidizer!$D$23)</f>
        <v>0</v>
      </c>
      <c r="AO89" s="8">
        <f>SUMIFS($AJ$56:$AJ$165,$AH$56:$AH$165,$AM89)*(1-VaporOxidizer!$D$23)</f>
        <v>0</v>
      </c>
      <c r="AP89" s="8"/>
      <c r="AQ89" s="8"/>
      <c r="AR89" s="8"/>
      <c r="AS89" s="8"/>
      <c r="AT89" s="8"/>
      <c r="AU89" s="8"/>
      <c r="AV89" s="8"/>
      <c r="AW89" s="310" t="str">
        <f>$BB6</f>
        <v/>
      </c>
      <c r="AX89" s="311" t="s">
        <v>291</v>
      </c>
      <c r="AY89" s="311">
        <f>VLOOKUP($AW89,$BB$3:$BD$12,2,FALSE)</f>
        <v>0</v>
      </c>
      <c r="AZ89" s="312">
        <f>VLOOKUP($AW89,$BB$3:$BD$12,3,FALSE)</f>
        <v>0</v>
      </c>
      <c r="BA89" s="8">
        <f>IF(OR(BB89=0,ISNUMBER(MATCH(BB89,$BB$55:BB88,0))),0,MAX($BA$55:BA88)+1)</f>
        <v>0</v>
      </c>
      <c r="BB89" s="8" t="str">
        <f t="shared" si="17"/>
        <v>Total VOC</v>
      </c>
      <c r="BC89" s="8">
        <f t="shared" si="18"/>
        <v>0</v>
      </c>
      <c r="BD89" s="8">
        <f>IF(OR($BC89="7783-06-4",$BC89="7446-09-5",$BC89="7664-93-9"),SUMIFS($AY$56:$AY$165,$AX$56:$AX$165,$BC89),SUMIFS($AY$56:$AY$165,$AX$56:$AX$165,$BC89)*(CAS!$D$19/1000000))</f>
        <v>0</v>
      </c>
      <c r="BE89" s="8">
        <f>IF(OR($BC89="7783-06-4",$BC89="7446-09-5",$BC89="7664-93-9"),SUMIFS($AZ$56:$AZ$165,$AX$56:$AX$165,$BC89),SUMIFS($AZ$56:$AZ$165,$AX$56:$AX$165,$BC89)*(CAS!$D$19/1000000))</f>
        <v>0</v>
      </c>
      <c r="BL89" s="90"/>
    </row>
    <row r="90" spans="1:64" x14ac:dyDescent="0.2">
      <c r="A90" s="307" t="str">
        <f>A89&amp;"A"</f>
        <v>A</v>
      </c>
      <c r="B90" s="8">
        <f>IF($A$89="",0,VLOOKUP($A89,Products!$A$59:$E$158,5,FALSE))</f>
        <v>0</v>
      </c>
      <c r="C90" s="322">
        <f>IF($B90=0,0,C$89*VLOOKUP($A89,Products!$A$59:$H$158,8,FALSE))</f>
        <v>0</v>
      </c>
      <c r="D90" s="323">
        <f>IF($B90=0,0,D$89*VLOOKUP($A89,Products!$A$59:$H$158,8,FALSE))</f>
        <v>0</v>
      </c>
      <c r="E90" s="8"/>
      <c r="F90" s="8">
        <f>IF(OR(G90=0,ISNUMBER(MATCH(G90,$G$55:G89,0))),0,MAX($F$55:F89)+1)</f>
        <v>0</v>
      </c>
      <c r="G90" s="8">
        <f t="shared" si="12"/>
        <v>0</v>
      </c>
      <c r="H90" s="8">
        <f t="shared" si="13"/>
        <v>0</v>
      </c>
      <c r="I90" s="8">
        <f>SUMIFS($C$56:$C$165,$B$56:$B$165,$H90)*(1-Flare!$D$18)</f>
        <v>0</v>
      </c>
      <c r="J90" s="8">
        <f>SUMIFS($D$56:$D$165,$B$56:$B$165,$H90)*(1-Flare!$D$18)</f>
        <v>0</v>
      </c>
      <c r="K90" s="8"/>
      <c r="L90" s="8"/>
      <c r="M90" s="8"/>
      <c r="N90" s="8"/>
      <c r="O90" s="8"/>
      <c r="P90" s="8"/>
      <c r="Q90" s="307" t="str">
        <f>Q89&amp;"A"</f>
        <v>A</v>
      </c>
      <c r="R90" s="8">
        <f>IF($Q$89="",0,VLOOKUP($Q89,Products!$A$59:$E$158,5,FALSE))</f>
        <v>0</v>
      </c>
      <c r="S90" s="322">
        <f>IF($R90=0,0,S$89*VLOOKUP($Q89,Products!$A$59:$H$158,8,FALSE))</f>
        <v>0</v>
      </c>
      <c r="T90" s="322">
        <f>IF($R90=0,0,T$89*VLOOKUP($Q89,Products!$A$59:$H$158,8,FALSE))</f>
        <v>0</v>
      </c>
      <c r="U90" s="8">
        <f>IF(OR(V90=0,ISNUMBER(MATCH(V90,$V$55:V89,0))),0,MAX($U$55:U89)+1)</f>
        <v>0</v>
      </c>
      <c r="V90" s="8">
        <f t="shared" si="14"/>
        <v>0</v>
      </c>
      <c r="W90" s="8">
        <f t="shared" si="21"/>
        <v>0</v>
      </c>
      <c r="X90" s="8">
        <f>SUMIFS($S$56:$S$165,$R$56:$R$165,$W90)*(1-VCU!$D$23)</f>
        <v>0</v>
      </c>
      <c r="Y90" s="8">
        <f>SUMIFS($T$56:$T$165,$R$56:$R$165,$W90)*(1-VCU!$D$23)</f>
        <v>0</v>
      </c>
      <c r="Z90" s="8"/>
      <c r="AA90" s="8"/>
      <c r="AB90" s="8"/>
      <c r="AC90" s="8"/>
      <c r="AD90" s="8"/>
      <c r="AE90" s="8"/>
      <c r="AF90" s="8"/>
      <c r="AG90" s="307" t="str">
        <f>AG89&amp;"A"</f>
        <v>A</v>
      </c>
      <c r="AH90" s="8">
        <f>IF($AG$89="",0,VLOOKUP($AG89,Products!$A$59:$E$158,5,FALSE))</f>
        <v>0</v>
      </c>
      <c r="AI90" s="322">
        <f>IF($AH90=0,0,AI$89*VLOOKUP($AG89,Products!$A$59:$H$158,8,FALSE))</f>
        <v>0</v>
      </c>
      <c r="AJ90" s="322">
        <f>IF($AH90=0,0,AJ$89*VLOOKUP($AG89,Products!$A$59:$H$158,8,FALSE))</f>
        <v>0</v>
      </c>
      <c r="AK90" s="8">
        <f>IF(OR(AL90=0,ISNUMBER(MATCH(AL90,$AL$55:AL89,0))),0,MAX($AK$55:AK89)+1)</f>
        <v>0</v>
      </c>
      <c r="AL90" s="8">
        <f t="shared" si="15"/>
        <v>0</v>
      </c>
      <c r="AM90" s="8">
        <f t="shared" si="16"/>
        <v>0</v>
      </c>
      <c r="AN90" s="8">
        <f>SUMIFS($AI$56:$AI$165,$AH$56:$AH$165,$AM90)*(1-VaporOxidizer!$D$23)</f>
        <v>0</v>
      </c>
      <c r="AO90" s="8">
        <f>SUMIFS($AJ$56:$AJ$165,$AH$56:$AH$165,$AM90)*(1-VaporOxidizer!$D$23)</f>
        <v>0</v>
      </c>
      <c r="AP90" s="8"/>
      <c r="AQ90" s="8"/>
      <c r="AR90" s="8"/>
      <c r="AS90" s="8"/>
      <c r="AT90" s="8"/>
      <c r="AU90" s="8"/>
      <c r="AV90" s="8"/>
      <c r="AW90" s="307" t="str">
        <f>AW89&amp;"A"</f>
        <v>A</v>
      </c>
      <c r="AX90" s="8">
        <f>IF($AW$89="",0,VLOOKUP($AW89,Products!$A$59:$E$158,5,FALSE))</f>
        <v>0</v>
      </c>
      <c r="AY90" s="322">
        <f>IF($AX90=0,0,AY$89*VLOOKUP($AW89,Products!$A$59:$H$158,8,FALSE))</f>
        <v>0</v>
      </c>
      <c r="AZ90" s="323">
        <f>IF($AX90=0,0,AZ$89*VLOOKUP($AW89,Products!$A$59:$H$158,8,FALSE))</f>
        <v>0</v>
      </c>
      <c r="BA90" s="8">
        <f>IF(OR(BB90=0,ISNUMBER(MATCH(BB90,$BB$55:BB89,0))),0,MAX($BA$55:BA89)+1)</f>
        <v>0</v>
      </c>
      <c r="BB90" s="8">
        <f t="shared" si="17"/>
        <v>0</v>
      </c>
      <c r="BC90" s="8">
        <f t="shared" si="18"/>
        <v>0</v>
      </c>
      <c r="BD90" s="8">
        <f>IF(OR($BC90="7783-06-4",$BC90="7446-09-5",$BC90="7664-93-9"),SUMIFS($AY$56:$AY$165,$AX$56:$AX$165,$BC90),SUMIFS($AY$56:$AY$165,$AX$56:$AX$165,$BC90)*(CAS!$D$19/1000000))</f>
        <v>0</v>
      </c>
      <c r="BE90" s="8">
        <f>IF(OR($BC90="7783-06-4",$BC90="7446-09-5",$BC90="7664-93-9"),SUMIFS($AZ$56:$AZ$165,$AX$56:$AX$165,$BC90),SUMIFS($AZ$56:$AZ$165,$AX$56:$AX$165,$BC90)*(CAS!$D$19/1000000))</f>
        <v>0</v>
      </c>
      <c r="BL90" s="90"/>
    </row>
    <row r="91" spans="1:64" x14ac:dyDescent="0.2">
      <c r="A91" s="307" t="str">
        <f t="shared" ref="A91:A99" si="38">A90&amp;"A"</f>
        <v>AA</v>
      </c>
      <c r="B91" s="8">
        <f>IF($A$89="",0,VLOOKUP($A90,Products!$A$59:$E$158,5,FALSE))</f>
        <v>0</v>
      </c>
      <c r="C91" s="322">
        <f>IF($B91=0,0,C$89*VLOOKUP($A90,Products!$A$59:$H$158,8,FALSE))</f>
        <v>0</v>
      </c>
      <c r="D91" s="323">
        <f>IF($B91=0,0,D$89*VLOOKUP($A90,Products!$A$59:$H$158,8,FALSE))</f>
        <v>0</v>
      </c>
      <c r="E91" s="8"/>
      <c r="F91" s="8">
        <f>IF(OR(G91=0,ISNUMBER(MATCH(G91,$G$55:G90,0))),0,MAX($F$55:F90)+1)</f>
        <v>0</v>
      </c>
      <c r="G91" s="8">
        <f t="shared" si="12"/>
        <v>0</v>
      </c>
      <c r="H91" s="8">
        <f t="shared" si="13"/>
        <v>0</v>
      </c>
      <c r="I91" s="8">
        <f>SUMIFS($C$56:$C$165,$B$56:$B$165,$H91)*(1-Flare!$D$18)</f>
        <v>0</v>
      </c>
      <c r="J91" s="8">
        <f>SUMIFS($D$56:$D$165,$B$56:$B$165,$H91)*(1-Flare!$D$18)</f>
        <v>0</v>
      </c>
      <c r="K91" s="8"/>
      <c r="L91" s="8"/>
      <c r="M91" s="8"/>
      <c r="N91" s="8"/>
      <c r="O91" s="8"/>
      <c r="P91" s="8"/>
      <c r="Q91" s="307" t="str">
        <f t="shared" ref="Q91:Q99" si="39">Q90&amp;"A"</f>
        <v>AA</v>
      </c>
      <c r="R91" s="8">
        <f>IF($Q$89="",0,VLOOKUP($Q90,Products!$A$59:$E$158,5,FALSE))</f>
        <v>0</v>
      </c>
      <c r="S91" s="322">
        <f>IF($R91=0,0,S$89*VLOOKUP($Q90,Products!$A$59:$H$158,8,FALSE))</f>
        <v>0</v>
      </c>
      <c r="T91" s="322">
        <f>IF($R91=0,0,T$89*VLOOKUP($Q90,Products!$A$59:$H$158,8,FALSE))</f>
        <v>0</v>
      </c>
      <c r="U91" s="8">
        <f>IF(OR(V91=0,ISNUMBER(MATCH(V91,$V$55:V90,0))),0,MAX($U$55:U90)+1)</f>
        <v>0</v>
      </c>
      <c r="V91" s="8">
        <f t="shared" si="14"/>
        <v>0</v>
      </c>
      <c r="W91" s="8">
        <f t="shared" si="21"/>
        <v>0</v>
      </c>
      <c r="X91" s="8">
        <f>SUMIFS($S$56:$S$165,$R$56:$R$165,$W91)*(1-VCU!$D$23)</f>
        <v>0</v>
      </c>
      <c r="Y91" s="8">
        <f>SUMIFS($T$56:$T$165,$R$56:$R$165,$W91)*(1-VCU!$D$23)</f>
        <v>0</v>
      </c>
      <c r="Z91" s="8"/>
      <c r="AA91" s="8"/>
      <c r="AB91" s="8"/>
      <c r="AC91" s="8"/>
      <c r="AD91" s="8"/>
      <c r="AE91" s="8"/>
      <c r="AF91" s="8"/>
      <c r="AG91" s="307" t="str">
        <f t="shared" ref="AG91:AG99" si="40">AG90&amp;"A"</f>
        <v>AA</v>
      </c>
      <c r="AH91" s="8">
        <f>IF($AG$89="",0,VLOOKUP($AG90,Products!$A$59:$E$158,5,FALSE))</f>
        <v>0</v>
      </c>
      <c r="AI91" s="322">
        <f>IF($AH91=0,0,AI$89*VLOOKUP($AG90,Products!$A$59:$H$158,8,FALSE))</f>
        <v>0</v>
      </c>
      <c r="AJ91" s="322">
        <f>IF($AH91=0,0,AJ$89*VLOOKUP($AG90,Products!$A$59:$H$158,8,FALSE))</f>
        <v>0</v>
      </c>
      <c r="AK91" s="8">
        <f>IF(OR(AL91=0,ISNUMBER(MATCH(AL91,$AL$55:AL90,0))),0,MAX($AK$55:AK90)+1)</f>
        <v>0</v>
      </c>
      <c r="AL91" s="8">
        <f t="shared" si="15"/>
        <v>0</v>
      </c>
      <c r="AM91" s="8">
        <f t="shared" si="16"/>
        <v>0</v>
      </c>
      <c r="AN91" s="8">
        <f>SUMIFS($AI$56:$AI$165,$AH$56:$AH$165,$AM91)*(1-VaporOxidizer!$D$23)</f>
        <v>0</v>
      </c>
      <c r="AO91" s="8">
        <f>SUMIFS($AJ$56:$AJ$165,$AH$56:$AH$165,$AM91)*(1-VaporOxidizer!$D$23)</f>
        <v>0</v>
      </c>
      <c r="AP91" s="8"/>
      <c r="AQ91" s="8"/>
      <c r="AR91" s="8"/>
      <c r="AS91" s="8"/>
      <c r="AT91" s="8"/>
      <c r="AU91" s="8"/>
      <c r="AV91" s="8"/>
      <c r="AW91" s="307" t="str">
        <f t="shared" ref="AW91:AW99" si="41">AW90&amp;"A"</f>
        <v>AA</v>
      </c>
      <c r="AX91" s="8">
        <f>IF($AW$89="",0,VLOOKUP($AW90,Products!$A$59:$E$158,5,FALSE))</f>
        <v>0</v>
      </c>
      <c r="AY91" s="322">
        <f>IF($AX91=0,0,AY$89*VLOOKUP($AW90,Products!$A$59:$H$158,8,FALSE))</f>
        <v>0</v>
      </c>
      <c r="AZ91" s="323">
        <f>IF($AX91=0,0,AZ$89*VLOOKUP($AW90,Products!$A$59:$H$158,8,FALSE))</f>
        <v>0</v>
      </c>
      <c r="BA91" s="8">
        <f>IF(OR(BB91=0,ISNUMBER(MATCH(BB91,$BB$55:BB90,0))),0,MAX($BA$55:BA90)+1)</f>
        <v>0</v>
      </c>
      <c r="BB91" s="8">
        <f t="shared" si="17"/>
        <v>0</v>
      </c>
      <c r="BC91" s="8">
        <f t="shared" si="18"/>
        <v>0</v>
      </c>
      <c r="BD91" s="8">
        <f>IF(OR($BC91="7783-06-4",$BC91="7446-09-5",$BC91="7664-93-9"),SUMIFS($AY$56:$AY$165,$AX$56:$AX$165,$BC91),SUMIFS($AY$56:$AY$165,$AX$56:$AX$165,$BC91)*(CAS!$D$19/1000000))</f>
        <v>0</v>
      </c>
      <c r="BE91" s="8">
        <f>IF(OR($BC91="7783-06-4",$BC91="7446-09-5",$BC91="7664-93-9"),SUMIFS($AZ$56:$AZ$165,$AX$56:$AX$165,$BC91),SUMIFS($AZ$56:$AZ$165,$AX$56:$AX$165,$BC91)*(CAS!$D$19/1000000))</f>
        <v>0</v>
      </c>
      <c r="BL91" s="90"/>
    </row>
    <row r="92" spans="1:64" x14ac:dyDescent="0.2">
      <c r="A92" s="307" t="str">
        <f t="shared" si="38"/>
        <v>AAA</v>
      </c>
      <c r="B92" s="8">
        <f>IF($A$89="",0,VLOOKUP($A91,Products!$A$59:$E$158,5,FALSE))</f>
        <v>0</v>
      </c>
      <c r="C92" s="322">
        <f>IF($B92=0,0,C$89*VLOOKUP($A91,Products!$A$59:$H$158,8,FALSE))</f>
        <v>0</v>
      </c>
      <c r="D92" s="323">
        <f>IF($B92=0,0,D$89*VLOOKUP($A91,Products!$A$59:$H$158,8,FALSE))</f>
        <v>0</v>
      </c>
      <c r="E92" s="8"/>
      <c r="F92" s="8">
        <f>IF(OR(G92=0,ISNUMBER(MATCH(G92,$G$55:G91,0))),0,MAX($F$55:F91)+1)</f>
        <v>0</v>
      </c>
      <c r="G92" s="8">
        <f t="shared" si="12"/>
        <v>0</v>
      </c>
      <c r="H92" s="8">
        <f t="shared" si="13"/>
        <v>0</v>
      </c>
      <c r="I92" s="8">
        <f>SUMIFS($C$56:$C$165,$B$56:$B$165,$H92)*(1-Flare!$D$18)</f>
        <v>0</v>
      </c>
      <c r="J92" s="8">
        <f>SUMIFS($D$56:$D$165,$B$56:$B$165,$H92)*(1-Flare!$D$18)</f>
        <v>0</v>
      </c>
      <c r="K92" s="8"/>
      <c r="L92" s="8"/>
      <c r="M92" s="8"/>
      <c r="N92" s="8"/>
      <c r="O92" s="8"/>
      <c r="P92" s="8"/>
      <c r="Q92" s="307" t="str">
        <f t="shared" si="39"/>
        <v>AAA</v>
      </c>
      <c r="R92" s="8">
        <f>IF($Q$89="",0,VLOOKUP($Q91,Products!$A$59:$E$158,5,FALSE))</f>
        <v>0</v>
      </c>
      <c r="S92" s="322">
        <f>IF($R92=0,0,S$89*VLOOKUP($Q91,Products!$A$59:$H$158,8,FALSE))</f>
        <v>0</v>
      </c>
      <c r="T92" s="322">
        <f>IF($R92=0,0,T$89*VLOOKUP($Q91,Products!$A$59:$H$158,8,FALSE))</f>
        <v>0</v>
      </c>
      <c r="U92" s="8">
        <f>IF(OR(V92=0,ISNUMBER(MATCH(V92,$V$55:V91,0))),0,MAX($U$55:U91)+1)</f>
        <v>0</v>
      </c>
      <c r="V92" s="8">
        <f t="shared" si="14"/>
        <v>0</v>
      </c>
      <c r="W92" s="8">
        <f t="shared" si="21"/>
        <v>0</v>
      </c>
      <c r="X92" s="8">
        <f>SUMIFS($S$56:$S$165,$R$56:$R$165,$W92)*(1-VCU!$D$23)</f>
        <v>0</v>
      </c>
      <c r="Y92" s="8">
        <f>SUMIFS($T$56:$T$165,$R$56:$R$165,$W92)*(1-VCU!$D$23)</f>
        <v>0</v>
      </c>
      <c r="Z92" s="8"/>
      <c r="AA92" s="8"/>
      <c r="AB92" s="8"/>
      <c r="AC92" s="8"/>
      <c r="AD92" s="8"/>
      <c r="AE92" s="8"/>
      <c r="AF92" s="8"/>
      <c r="AG92" s="307" t="str">
        <f t="shared" si="40"/>
        <v>AAA</v>
      </c>
      <c r="AH92" s="8">
        <f>IF($AG$89="",0,VLOOKUP($AG91,Products!$A$59:$E$158,5,FALSE))</f>
        <v>0</v>
      </c>
      <c r="AI92" s="322">
        <f>IF($AH92=0,0,AI$89*VLOOKUP($AG91,Products!$A$59:$H$158,8,FALSE))</f>
        <v>0</v>
      </c>
      <c r="AJ92" s="322">
        <f>IF($AH92=0,0,AJ$89*VLOOKUP($AG91,Products!$A$59:$H$158,8,FALSE))</f>
        <v>0</v>
      </c>
      <c r="AK92" s="8">
        <f>IF(OR(AL92=0,ISNUMBER(MATCH(AL92,$AL$55:AL91,0))),0,MAX($AK$55:AK91)+1)</f>
        <v>0</v>
      </c>
      <c r="AL92" s="8">
        <f t="shared" si="15"/>
        <v>0</v>
      </c>
      <c r="AM92" s="8">
        <f t="shared" si="16"/>
        <v>0</v>
      </c>
      <c r="AN92" s="8">
        <f>SUMIFS($AI$56:$AI$165,$AH$56:$AH$165,$AM92)*(1-VaporOxidizer!$D$23)</f>
        <v>0</v>
      </c>
      <c r="AO92" s="8">
        <f>SUMIFS($AJ$56:$AJ$165,$AH$56:$AH$165,$AM92)*(1-VaporOxidizer!$D$23)</f>
        <v>0</v>
      </c>
      <c r="AP92" s="8"/>
      <c r="AQ92" s="8"/>
      <c r="AR92" s="8"/>
      <c r="AS92" s="8"/>
      <c r="AT92" s="8"/>
      <c r="AU92" s="8"/>
      <c r="AV92" s="8"/>
      <c r="AW92" s="307" t="str">
        <f t="shared" si="41"/>
        <v>AAA</v>
      </c>
      <c r="AX92" s="8">
        <f>IF($AW$89="",0,VLOOKUP($AW91,Products!$A$59:$E$158,5,FALSE))</f>
        <v>0</v>
      </c>
      <c r="AY92" s="322">
        <f>IF($AX92=0,0,AY$89*VLOOKUP($AW91,Products!$A$59:$H$158,8,FALSE))</f>
        <v>0</v>
      </c>
      <c r="AZ92" s="323">
        <f>IF($AX92=0,0,AZ$89*VLOOKUP($AW91,Products!$A$59:$H$158,8,FALSE))</f>
        <v>0</v>
      </c>
      <c r="BA92" s="8">
        <f>IF(OR(BB92=0,ISNUMBER(MATCH(BB92,$BB$55:BB91,0))),0,MAX($BA$55:BA91)+1)</f>
        <v>0</v>
      </c>
      <c r="BB92" s="8">
        <f t="shared" si="17"/>
        <v>0</v>
      </c>
      <c r="BC92" s="8">
        <f t="shared" si="18"/>
        <v>0</v>
      </c>
      <c r="BD92" s="8">
        <f>IF(OR($BC92="7783-06-4",$BC92="7446-09-5",$BC92="7664-93-9"),SUMIFS($AY$56:$AY$165,$AX$56:$AX$165,$BC92),SUMIFS($AY$56:$AY$165,$AX$56:$AX$165,$BC92)*(CAS!$D$19/1000000))</f>
        <v>0</v>
      </c>
      <c r="BE92" s="8">
        <f>IF(OR($BC92="7783-06-4",$BC92="7446-09-5",$BC92="7664-93-9"),SUMIFS($AZ$56:$AZ$165,$AX$56:$AX$165,$BC92),SUMIFS($AZ$56:$AZ$165,$AX$56:$AX$165,$BC92)*(CAS!$D$19/1000000))</f>
        <v>0</v>
      </c>
      <c r="BL92" s="90"/>
    </row>
    <row r="93" spans="1:64" x14ac:dyDescent="0.2">
      <c r="A93" s="307" t="str">
        <f t="shared" si="38"/>
        <v>AAAA</v>
      </c>
      <c r="B93" s="8">
        <f>IF($A$89="",0,VLOOKUP($A92,Products!$A$59:$E$158,5,FALSE))</f>
        <v>0</v>
      </c>
      <c r="C93" s="322">
        <f>IF($B93=0,0,C$89*VLOOKUP($A92,Products!$A$59:$H$158,8,FALSE))</f>
        <v>0</v>
      </c>
      <c r="D93" s="323">
        <f>IF($B93=0,0,D$89*VLOOKUP($A92,Products!$A$59:$H$158,8,FALSE))</f>
        <v>0</v>
      </c>
      <c r="E93" s="8"/>
      <c r="F93" s="8">
        <f>IF(OR(G93=0,ISNUMBER(MATCH(G93,$G$55:G92,0))),0,MAX($F$55:F92)+1)</f>
        <v>0</v>
      </c>
      <c r="G93" s="8">
        <f t="shared" si="12"/>
        <v>0</v>
      </c>
      <c r="H93" s="8">
        <f t="shared" si="13"/>
        <v>0</v>
      </c>
      <c r="I93" s="8">
        <f>SUMIFS($C$56:$C$165,$B$56:$B$165,$H93)*(1-Flare!$D$18)</f>
        <v>0</v>
      </c>
      <c r="J93" s="8">
        <f>SUMIFS($D$56:$D$165,$B$56:$B$165,$H93)*(1-Flare!$D$18)</f>
        <v>0</v>
      </c>
      <c r="K93" s="8"/>
      <c r="L93" s="8"/>
      <c r="M93" s="8"/>
      <c r="N93" s="8"/>
      <c r="O93" s="8"/>
      <c r="P93" s="8"/>
      <c r="Q93" s="307" t="str">
        <f t="shared" si="39"/>
        <v>AAAA</v>
      </c>
      <c r="R93" s="8">
        <f>IF($Q$89="",0,VLOOKUP($Q92,Products!$A$59:$E$158,5,FALSE))</f>
        <v>0</v>
      </c>
      <c r="S93" s="322">
        <f>IF($R93=0,0,S$89*VLOOKUP($Q92,Products!$A$59:$H$158,8,FALSE))</f>
        <v>0</v>
      </c>
      <c r="T93" s="322">
        <f>IF($R93=0,0,T$89*VLOOKUP($Q92,Products!$A$59:$H$158,8,FALSE))</f>
        <v>0</v>
      </c>
      <c r="U93" s="8">
        <f>IF(OR(V93=0,ISNUMBER(MATCH(V93,$V$55:V92,0))),0,MAX($U$55:U92)+1)</f>
        <v>0</v>
      </c>
      <c r="V93" s="8">
        <f t="shared" si="14"/>
        <v>0</v>
      </c>
      <c r="W93" s="8">
        <f t="shared" si="21"/>
        <v>0</v>
      </c>
      <c r="X93" s="8">
        <f>SUMIFS($S$56:$S$165,$R$56:$R$165,$W93)*(1-VCU!$D$23)</f>
        <v>0</v>
      </c>
      <c r="Y93" s="8">
        <f>SUMIFS($T$56:$T$165,$R$56:$R$165,$W93)*(1-VCU!$D$23)</f>
        <v>0</v>
      </c>
      <c r="Z93" s="8"/>
      <c r="AA93" s="8"/>
      <c r="AB93" s="8"/>
      <c r="AC93" s="8"/>
      <c r="AD93" s="8"/>
      <c r="AE93" s="8"/>
      <c r="AF93" s="8"/>
      <c r="AG93" s="307" t="str">
        <f t="shared" si="40"/>
        <v>AAAA</v>
      </c>
      <c r="AH93" s="8">
        <f>IF($AG$89="",0,VLOOKUP($AG92,Products!$A$59:$E$158,5,FALSE))</f>
        <v>0</v>
      </c>
      <c r="AI93" s="322">
        <f>IF($AH93=0,0,AI$89*VLOOKUP($AG92,Products!$A$59:$H$158,8,FALSE))</f>
        <v>0</v>
      </c>
      <c r="AJ93" s="322">
        <f>IF($AH93=0,0,AJ$89*VLOOKUP($AG92,Products!$A$59:$H$158,8,FALSE))</f>
        <v>0</v>
      </c>
      <c r="AK93" s="8">
        <f>IF(OR(AL93=0,ISNUMBER(MATCH(AL93,$AL$55:AL92,0))),0,MAX($AK$55:AK92)+1)</f>
        <v>0</v>
      </c>
      <c r="AL93" s="8">
        <f t="shared" si="15"/>
        <v>0</v>
      </c>
      <c r="AM93" s="8">
        <f t="shared" si="16"/>
        <v>0</v>
      </c>
      <c r="AN93" s="8">
        <f>SUMIFS($AI$56:$AI$165,$AH$56:$AH$165,$AM93)*(1-VaporOxidizer!$D$23)</f>
        <v>0</v>
      </c>
      <c r="AO93" s="8">
        <f>SUMIFS($AJ$56:$AJ$165,$AH$56:$AH$165,$AM93)*(1-VaporOxidizer!$D$23)</f>
        <v>0</v>
      </c>
      <c r="AP93" s="8"/>
      <c r="AQ93" s="8"/>
      <c r="AR93" s="8"/>
      <c r="AS93" s="8"/>
      <c r="AT93" s="8"/>
      <c r="AU93" s="8"/>
      <c r="AV93" s="8"/>
      <c r="AW93" s="307" t="str">
        <f t="shared" si="41"/>
        <v>AAAA</v>
      </c>
      <c r="AX93" s="8">
        <f>IF($AW$89="",0,VLOOKUP($AW92,Products!$A$59:$E$158,5,FALSE))</f>
        <v>0</v>
      </c>
      <c r="AY93" s="322">
        <f>IF($AX93=0,0,AY$89*VLOOKUP($AW92,Products!$A$59:$H$158,8,FALSE))</f>
        <v>0</v>
      </c>
      <c r="AZ93" s="323">
        <f>IF($AX93=0,0,AZ$89*VLOOKUP($AW92,Products!$A$59:$H$158,8,FALSE))</f>
        <v>0</v>
      </c>
      <c r="BA93" s="8">
        <f>IF(OR(BB93=0,ISNUMBER(MATCH(BB93,$BB$55:BB92,0))),0,MAX($BA$55:BA92)+1)</f>
        <v>0</v>
      </c>
      <c r="BB93" s="8">
        <f t="shared" si="17"/>
        <v>0</v>
      </c>
      <c r="BC93" s="8">
        <f t="shared" si="18"/>
        <v>0</v>
      </c>
      <c r="BD93" s="8">
        <f>IF(OR($BC93="7783-06-4",$BC93="7446-09-5",$BC93="7664-93-9"),SUMIFS($AY$56:$AY$165,$AX$56:$AX$165,$BC93),SUMIFS($AY$56:$AY$165,$AX$56:$AX$165,$BC93)*(CAS!$D$19/1000000))</f>
        <v>0</v>
      </c>
      <c r="BE93" s="8">
        <f>IF(OR($BC93="7783-06-4",$BC93="7446-09-5",$BC93="7664-93-9"),SUMIFS($AZ$56:$AZ$165,$AX$56:$AX$165,$BC93),SUMIFS($AZ$56:$AZ$165,$AX$56:$AX$165,$BC93)*(CAS!$D$19/1000000))</f>
        <v>0</v>
      </c>
      <c r="BL93" s="90"/>
    </row>
    <row r="94" spans="1:64" x14ac:dyDescent="0.2">
      <c r="A94" s="307" t="str">
        <f t="shared" si="38"/>
        <v>AAAAA</v>
      </c>
      <c r="B94" s="8">
        <f>IF($A$89="",0,VLOOKUP($A93,Products!$A$59:$E$158,5,FALSE))</f>
        <v>0</v>
      </c>
      <c r="C94" s="322">
        <f>IF($B94=0,0,C$89*VLOOKUP($A93,Products!$A$59:$H$158,8,FALSE))</f>
        <v>0</v>
      </c>
      <c r="D94" s="323">
        <f>IF($B94=0,0,D$89*VLOOKUP($A93,Products!$A$59:$H$158,8,FALSE))</f>
        <v>0</v>
      </c>
      <c r="E94" s="8"/>
      <c r="F94" s="8">
        <f>IF(OR(G94=0,ISNUMBER(MATCH(G94,$G$55:G93,0))),0,MAX($F$55:F93)+1)</f>
        <v>0</v>
      </c>
      <c r="G94" s="8">
        <f t="shared" si="12"/>
        <v>0</v>
      </c>
      <c r="H94" s="8">
        <f t="shared" si="13"/>
        <v>0</v>
      </c>
      <c r="I94" s="8">
        <f>SUMIFS($C$56:$C$165,$B$56:$B$165,$H94)*(1-Flare!$D$18)</f>
        <v>0</v>
      </c>
      <c r="J94" s="8">
        <f>SUMIFS($D$56:$D$165,$B$56:$B$165,$H94)*(1-Flare!$D$18)</f>
        <v>0</v>
      </c>
      <c r="K94" s="8"/>
      <c r="L94" s="8"/>
      <c r="M94" s="8"/>
      <c r="N94" s="8"/>
      <c r="O94" s="8"/>
      <c r="P94" s="8"/>
      <c r="Q94" s="307" t="str">
        <f t="shared" si="39"/>
        <v>AAAAA</v>
      </c>
      <c r="R94" s="8">
        <f>IF($Q$89="",0,VLOOKUP($Q93,Products!$A$59:$E$158,5,FALSE))</f>
        <v>0</v>
      </c>
      <c r="S94" s="322">
        <f>IF($R94=0,0,S$89*VLOOKUP($Q93,Products!$A$59:$H$158,8,FALSE))</f>
        <v>0</v>
      </c>
      <c r="T94" s="322">
        <f>IF($R94=0,0,T$89*VLOOKUP($Q93,Products!$A$59:$H$158,8,FALSE))</f>
        <v>0</v>
      </c>
      <c r="U94" s="8">
        <f>IF(OR(V94=0,ISNUMBER(MATCH(V94,$V$55:V93,0))),0,MAX($U$55:U93)+1)</f>
        <v>0</v>
      </c>
      <c r="V94" s="8">
        <f t="shared" si="14"/>
        <v>0</v>
      </c>
      <c r="W94" s="8">
        <f t="shared" si="21"/>
        <v>0</v>
      </c>
      <c r="X94" s="8">
        <f>SUMIFS($S$56:$S$165,$R$56:$R$165,$W94)*(1-VCU!$D$23)</f>
        <v>0</v>
      </c>
      <c r="Y94" s="8">
        <f>SUMIFS($T$56:$T$165,$R$56:$R$165,$W94)*(1-VCU!$D$23)</f>
        <v>0</v>
      </c>
      <c r="Z94" s="8"/>
      <c r="AA94" s="8"/>
      <c r="AB94" s="8"/>
      <c r="AC94" s="8"/>
      <c r="AD94" s="8"/>
      <c r="AE94" s="8"/>
      <c r="AF94" s="8"/>
      <c r="AG94" s="307" t="str">
        <f t="shared" si="40"/>
        <v>AAAAA</v>
      </c>
      <c r="AH94" s="8">
        <f>IF($AG$89="",0,VLOOKUP($AG93,Products!$A$59:$E$158,5,FALSE))</f>
        <v>0</v>
      </c>
      <c r="AI94" s="322">
        <f>IF($AH94=0,0,AI$89*VLOOKUP($AG93,Products!$A$59:$H$158,8,FALSE))</f>
        <v>0</v>
      </c>
      <c r="AJ94" s="322">
        <f>IF($AH94=0,0,AJ$89*VLOOKUP($AG93,Products!$A$59:$H$158,8,FALSE))</f>
        <v>0</v>
      </c>
      <c r="AK94" s="8">
        <f>IF(OR(AL94=0,ISNUMBER(MATCH(AL94,$AL$55:AL93,0))),0,MAX($AK$55:AK93)+1)</f>
        <v>0</v>
      </c>
      <c r="AL94" s="8">
        <f t="shared" si="15"/>
        <v>0</v>
      </c>
      <c r="AM94" s="8">
        <f t="shared" si="16"/>
        <v>0</v>
      </c>
      <c r="AN94" s="8">
        <f>SUMIFS($AI$56:$AI$165,$AH$56:$AH$165,$AM94)*(1-VaporOxidizer!$D$23)</f>
        <v>0</v>
      </c>
      <c r="AO94" s="8">
        <f>SUMIFS($AJ$56:$AJ$165,$AH$56:$AH$165,$AM94)*(1-VaporOxidizer!$D$23)</f>
        <v>0</v>
      </c>
      <c r="AP94" s="8"/>
      <c r="AQ94" s="8"/>
      <c r="AR94" s="8"/>
      <c r="AS94" s="8"/>
      <c r="AT94" s="8"/>
      <c r="AU94" s="8"/>
      <c r="AV94" s="8"/>
      <c r="AW94" s="307" t="str">
        <f t="shared" si="41"/>
        <v>AAAAA</v>
      </c>
      <c r="AX94" s="8">
        <f>IF($AW$89="",0,VLOOKUP($AW93,Products!$A$59:$E$158,5,FALSE))</f>
        <v>0</v>
      </c>
      <c r="AY94" s="322">
        <f>IF($AX94=0,0,AY$89*VLOOKUP($AW93,Products!$A$59:$H$158,8,FALSE))</f>
        <v>0</v>
      </c>
      <c r="AZ94" s="323">
        <f>IF($AX94=0,0,AZ$89*VLOOKUP($AW93,Products!$A$59:$H$158,8,FALSE))</f>
        <v>0</v>
      </c>
      <c r="BA94" s="8">
        <f>IF(OR(BB94=0,ISNUMBER(MATCH(BB94,$BB$55:BB93,0))),0,MAX($BA$55:BA93)+1)</f>
        <v>0</v>
      </c>
      <c r="BB94" s="8">
        <f t="shared" si="17"/>
        <v>0</v>
      </c>
      <c r="BC94" s="8">
        <f t="shared" si="18"/>
        <v>0</v>
      </c>
      <c r="BD94" s="8">
        <f>IF(OR($BC94="7783-06-4",$BC94="7446-09-5",$BC94="7664-93-9"),SUMIFS($AY$56:$AY$165,$AX$56:$AX$165,$BC94),SUMIFS($AY$56:$AY$165,$AX$56:$AX$165,$BC94)*(CAS!$D$19/1000000))</f>
        <v>0</v>
      </c>
      <c r="BE94" s="8">
        <f>IF(OR($BC94="7783-06-4",$BC94="7446-09-5",$BC94="7664-93-9"),SUMIFS($AZ$56:$AZ$165,$AX$56:$AX$165,$BC94),SUMIFS($AZ$56:$AZ$165,$AX$56:$AX$165,$BC94)*(CAS!$D$19/1000000))</f>
        <v>0</v>
      </c>
      <c r="BL94" s="90"/>
    </row>
    <row r="95" spans="1:64" x14ac:dyDescent="0.2">
      <c r="A95" s="307" t="str">
        <f t="shared" si="38"/>
        <v>AAAAAA</v>
      </c>
      <c r="B95" s="8">
        <f>IF($A$89="",0,VLOOKUP($A94,Products!$A$59:$E$158,5,FALSE))</f>
        <v>0</v>
      </c>
      <c r="C95" s="322">
        <f>IF($B95=0,0,C$89*VLOOKUP($A94,Products!$A$59:$H$158,8,FALSE))</f>
        <v>0</v>
      </c>
      <c r="D95" s="323">
        <f>IF($B95=0,0,D$89*VLOOKUP($A94,Products!$A$59:$H$158,8,FALSE))</f>
        <v>0</v>
      </c>
      <c r="E95" s="8"/>
      <c r="F95" s="8">
        <f>IF(OR(G95=0,ISNUMBER(MATCH(G95,$G$55:G94,0))),0,MAX($F$55:F94)+1)</f>
        <v>0</v>
      </c>
      <c r="G95" s="8">
        <f t="shared" si="12"/>
        <v>0</v>
      </c>
      <c r="H95" s="8">
        <f t="shared" si="13"/>
        <v>0</v>
      </c>
      <c r="I95" s="8">
        <f>SUMIFS($C$56:$C$165,$B$56:$B$165,$H95)*(1-Flare!$D$18)</f>
        <v>0</v>
      </c>
      <c r="J95" s="8">
        <f>SUMIFS($D$56:$D$165,$B$56:$B$165,$H95)*(1-Flare!$D$18)</f>
        <v>0</v>
      </c>
      <c r="K95" s="8"/>
      <c r="L95" s="8"/>
      <c r="M95" s="8"/>
      <c r="N95" s="8"/>
      <c r="O95" s="8"/>
      <c r="P95" s="8"/>
      <c r="Q95" s="307" t="str">
        <f t="shared" si="39"/>
        <v>AAAAAA</v>
      </c>
      <c r="R95" s="8">
        <f>IF($Q$89="",0,VLOOKUP($Q94,Products!$A$59:$E$158,5,FALSE))</f>
        <v>0</v>
      </c>
      <c r="S95" s="322">
        <f>IF($R95=0,0,S$89*VLOOKUP($Q94,Products!$A$59:$H$158,8,FALSE))</f>
        <v>0</v>
      </c>
      <c r="T95" s="322">
        <f>IF($R95=0,0,T$89*VLOOKUP($Q94,Products!$A$59:$H$158,8,FALSE))</f>
        <v>0</v>
      </c>
      <c r="U95" s="8">
        <f>IF(OR(V95=0,ISNUMBER(MATCH(V95,$V$55:V94,0))),0,MAX($U$55:U94)+1)</f>
        <v>0</v>
      </c>
      <c r="V95" s="8">
        <f t="shared" si="14"/>
        <v>0</v>
      </c>
      <c r="W95" s="8">
        <f t="shared" si="21"/>
        <v>0</v>
      </c>
      <c r="X95" s="8">
        <f>SUMIFS($S$56:$S$165,$R$56:$R$165,$W95)*(1-VCU!$D$23)</f>
        <v>0</v>
      </c>
      <c r="Y95" s="8">
        <f>SUMIFS($T$56:$T$165,$R$56:$R$165,$W95)*(1-VCU!$D$23)</f>
        <v>0</v>
      </c>
      <c r="Z95" s="8"/>
      <c r="AA95" s="8"/>
      <c r="AB95" s="8"/>
      <c r="AC95" s="8"/>
      <c r="AD95" s="8"/>
      <c r="AE95" s="8"/>
      <c r="AF95" s="8"/>
      <c r="AG95" s="307" t="str">
        <f t="shared" si="40"/>
        <v>AAAAAA</v>
      </c>
      <c r="AH95" s="8">
        <f>IF($AG$89="",0,VLOOKUP($AG94,Products!$A$59:$E$158,5,FALSE))</f>
        <v>0</v>
      </c>
      <c r="AI95" s="322">
        <f>IF($AH95=0,0,AI$89*VLOOKUP($AG94,Products!$A$59:$H$158,8,FALSE))</f>
        <v>0</v>
      </c>
      <c r="AJ95" s="322">
        <f>IF($AH95=0,0,AJ$89*VLOOKUP($AG94,Products!$A$59:$H$158,8,FALSE))</f>
        <v>0</v>
      </c>
      <c r="AK95" s="8">
        <f>IF(OR(AL95=0,ISNUMBER(MATCH(AL95,$AL$55:AL94,0))),0,MAX($AK$55:AK94)+1)</f>
        <v>0</v>
      </c>
      <c r="AL95" s="8">
        <f t="shared" si="15"/>
        <v>0</v>
      </c>
      <c r="AM95" s="8">
        <f t="shared" si="16"/>
        <v>0</v>
      </c>
      <c r="AN95" s="8">
        <f>SUMIFS($AI$56:$AI$165,$AH$56:$AH$165,$AM95)*(1-VaporOxidizer!$D$23)</f>
        <v>0</v>
      </c>
      <c r="AO95" s="8">
        <f>SUMIFS($AJ$56:$AJ$165,$AH$56:$AH$165,$AM95)*(1-VaporOxidizer!$D$23)</f>
        <v>0</v>
      </c>
      <c r="AP95" s="8"/>
      <c r="AQ95" s="8"/>
      <c r="AR95" s="8"/>
      <c r="AS95" s="8"/>
      <c r="AT95" s="8"/>
      <c r="AU95" s="8"/>
      <c r="AV95" s="8"/>
      <c r="AW95" s="307" t="str">
        <f t="shared" si="41"/>
        <v>AAAAAA</v>
      </c>
      <c r="AX95" s="8">
        <f>IF($AW$89="",0,VLOOKUP($AW94,Products!$A$59:$E$158,5,FALSE))</f>
        <v>0</v>
      </c>
      <c r="AY95" s="322">
        <f>IF($AX95=0,0,AY$89*VLOOKUP($AW94,Products!$A$59:$H$158,8,FALSE))</f>
        <v>0</v>
      </c>
      <c r="AZ95" s="323">
        <f>IF($AX95=0,0,AZ$89*VLOOKUP($AW94,Products!$A$59:$H$158,8,FALSE))</f>
        <v>0</v>
      </c>
      <c r="BA95" s="8">
        <f>IF(OR(BB95=0,ISNUMBER(MATCH(BB95,$BB$55:BB94,0))),0,MAX($BA$55:BA94)+1)</f>
        <v>0</v>
      </c>
      <c r="BB95" s="8">
        <f t="shared" si="17"/>
        <v>0</v>
      </c>
      <c r="BC95" s="8">
        <f t="shared" si="18"/>
        <v>0</v>
      </c>
      <c r="BD95" s="8">
        <f>IF(OR($BC95="7783-06-4",$BC95="7446-09-5",$BC95="7664-93-9"),SUMIFS($AY$56:$AY$165,$AX$56:$AX$165,$BC95),SUMIFS($AY$56:$AY$165,$AX$56:$AX$165,$BC95)*(CAS!$D$19/1000000))</f>
        <v>0</v>
      </c>
      <c r="BE95" s="8">
        <f>IF(OR($BC95="7783-06-4",$BC95="7446-09-5",$BC95="7664-93-9"),SUMIFS($AZ$56:$AZ$165,$AX$56:$AX$165,$BC95),SUMIFS($AZ$56:$AZ$165,$AX$56:$AX$165,$BC95)*(CAS!$D$19/1000000))</f>
        <v>0</v>
      </c>
      <c r="BL95" s="90"/>
    </row>
    <row r="96" spans="1:64" x14ac:dyDescent="0.2">
      <c r="A96" s="307" t="str">
        <f t="shared" si="38"/>
        <v>AAAAAAA</v>
      </c>
      <c r="B96" s="8">
        <f>IF($A$89="",0,VLOOKUP($A95,Products!$A$59:$E$158,5,FALSE))</f>
        <v>0</v>
      </c>
      <c r="C96" s="322">
        <f>IF($B96=0,0,C$89*VLOOKUP($A95,Products!$A$59:$H$158,8,FALSE))</f>
        <v>0</v>
      </c>
      <c r="D96" s="323">
        <f>IF($B96=0,0,D$89*VLOOKUP($A95,Products!$A$59:$H$158,8,FALSE))</f>
        <v>0</v>
      </c>
      <c r="E96" s="8"/>
      <c r="F96" s="8">
        <f>IF(OR(G96=0,ISNUMBER(MATCH(G96,$G$55:G95,0))),0,MAX($F$55:F95)+1)</f>
        <v>0</v>
      </c>
      <c r="G96" s="8">
        <f t="shared" si="12"/>
        <v>0</v>
      </c>
      <c r="H96" s="8">
        <f t="shared" si="13"/>
        <v>0</v>
      </c>
      <c r="I96" s="8">
        <f>SUMIFS($C$56:$C$165,$B$56:$B$165,$H96)*(1-Flare!$D$18)</f>
        <v>0</v>
      </c>
      <c r="J96" s="8">
        <f>SUMIFS($D$56:$D$165,$B$56:$B$165,$H96)*(1-Flare!$D$18)</f>
        <v>0</v>
      </c>
      <c r="K96" s="8"/>
      <c r="L96" s="8"/>
      <c r="M96" s="8"/>
      <c r="N96" s="8"/>
      <c r="O96" s="8"/>
      <c r="P96" s="8"/>
      <c r="Q96" s="307" t="str">
        <f t="shared" si="39"/>
        <v>AAAAAAA</v>
      </c>
      <c r="R96" s="8">
        <f>IF($Q$89="",0,VLOOKUP($Q95,Products!$A$59:$E$158,5,FALSE))</f>
        <v>0</v>
      </c>
      <c r="S96" s="322">
        <f>IF($R96=0,0,S$89*VLOOKUP($Q95,Products!$A$59:$H$158,8,FALSE))</f>
        <v>0</v>
      </c>
      <c r="T96" s="322">
        <f>IF($R96=0,0,T$89*VLOOKUP($Q95,Products!$A$59:$H$158,8,FALSE))</f>
        <v>0</v>
      </c>
      <c r="U96" s="8">
        <f>IF(OR(V96=0,ISNUMBER(MATCH(V96,$V$55:V95,0))),0,MAX($U$55:U95)+1)</f>
        <v>0</v>
      </c>
      <c r="V96" s="8">
        <f t="shared" si="14"/>
        <v>0</v>
      </c>
      <c r="W96" s="8">
        <f t="shared" si="21"/>
        <v>0</v>
      </c>
      <c r="X96" s="8">
        <f>SUMIFS($S$56:$S$165,$R$56:$R$165,$W96)*(1-VCU!$D$23)</f>
        <v>0</v>
      </c>
      <c r="Y96" s="8">
        <f>SUMIFS($T$56:$T$165,$R$56:$R$165,$W96)*(1-VCU!$D$23)</f>
        <v>0</v>
      </c>
      <c r="Z96" s="8"/>
      <c r="AA96" s="8"/>
      <c r="AB96" s="8"/>
      <c r="AC96" s="8"/>
      <c r="AD96" s="8"/>
      <c r="AE96" s="8"/>
      <c r="AF96" s="8"/>
      <c r="AG96" s="307" t="str">
        <f t="shared" si="40"/>
        <v>AAAAAAA</v>
      </c>
      <c r="AH96" s="8">
        <f>IF($AG$89="",0,VLOOKUP($AG95,Products!$A$59:$E$158,5,FALSE))</f>
        <v>0</v>
      </c>
      <c r="AI96" s="322">
        <f>IF($AH96=0,0,AI$89*VLOOKUP($AG95,Products!$A$59:$H$158,8,FALSE))</f>
        <v>0</v>
      </c>
      <c r="AJ96" s="322">
        <f>IF($AH96=0,0,AJ$89*VLOOKUP($AG95,Products!$A$59:$H$158,8,FALSE))</f>
        <v>0</v>
      </c>
      <c r="AK96" s="8">
        <f>IF(OR(AL96=0,ISNUMBER(MATCH(AL96,$AL$55:AL95,0))),0,MAX($AK$55:AK95)+1)</f>
        <v>0</v>
      </c>
      <c r="AL96" s="8">
        <f t="shared" si="15"/>
        <v>0</v>
      </c>
      <c r="AM96" s="8">
        <f t="shared" si="16"/>
        <v>0</v>
      </c>
      <c r="AN96" s="8">
        <f>SUMIFS($AI$56:$AI$165,$AH$56:$AH$165,$AM96)*(1-VaporOxidizer!$D$23)</f>
        <v>0</v>
      </c>
      <c r="AO96" s="8">
        <f>SUMIFS($AJ$56:$AJ$165,$AH$56:$AH$165,$AM96)*(1-VaporOxidizer!$D$23)</f>
        <v>0</v>
      </c>
      <c r="AP96" s="8"/>
      <c r="AQ96" s="8"/>
      <c r="AR96" s="8"/>
      <c r="AS96" s="8"/>
      <c r="AT96" s="8"/>
      <c r="AU96" s="8"/>
      <c r="AV96" s="8"/>
      <c r="AW96" s="307" t="str">
        <f t="shared" si="41"/>
        <v>AAAAAAA</v>
      </c>
      <c r="AX96" s="8">
        <f>IF($AW$89="",0,VLOOKUP($AW95,Products!$A$59:$E$158,5,FALSE))</f>
        <v>0</v>
      </c>
      <c r="AY96" s="322">
        <f>IF($AX96=0,0,AY$89*VLOOKUP($AW95,Products!$A$59:$H$158,8,FALSE))</f>
        <v>0</v>
      </c>
      <c r="AZ96" s="323">
        <f>IF($AX96=0,0,AZ$89*VLOOKUP($AW95,Products!$A$59:$H$158,8,FALSE))</f>
        <v>0</v>
      </c>
      <c r="BA96" s="8">
        <f>IF(OR(BB96=0,ISNUMBER(MATCH(BB96,$BB$55:BB95,0))),0,MAX($BA$55:BA95)+1)</f>
        <v>0</v>
      </c>
      <c r="BB96" s="8">
        <f t="shared" si="17"/>
        <v>0</v>
      </c>
      <c r="BC96" s="8">
        <f t="shared" si="18"/>
        <v>0</v>
      </c>
      <c r="BD96" s="8">
        <f>IF(OR($BC96="7783-06-4",$BC96="7446-09-5",$BC96="7664-93-9"),SUMIFS($AY$56:$AY$165,$AX$56:$AX$165,$BC96),SUMIFS($AY$56:$AY$165,$AX$56:$AX$165,$BC96)*(CAS!$D$19/1000000))</f>
        <v>0</v>
      </c>
      <c r="BE96" s="8">
        <f>IF(OR($BC96="7783-06-4",$BC96="7446-09-5",$BC96="7664-93-9"),SUMIFS($AZ$56:$AZ$165,$AX$56:$AX$165,$BC96),SUMIFS($AZ$56:$AZ$165,$AX$56:$AX$165,$BC96)*(CAS!$D$19/1000000))</f>
        <v>0</v>
      </c>
      <c r="BL96" s="90"/>
    </row>
    <row r="97" spans="1:64" x14ac:dyDescent="0.2">
      <c r="A97" s="307" t="str">
        <f t="shared" si="38"/>
        <v>AAAAAAAA</v>
      </c>
      <c r="B97" s="8">
        <f>IF($A$89="",0,VLOOKUP($A96,Products!$A$59:$E$158,5,FALSE))</f>
        <v>0</v>
      </c>
      <c r="C97" s="322">
        <f>IF($B97=0,0,C$89*VLOOKUP($A96,Products!$A$59:$H$158,8,FALSE))</f>
        <v>0</v>
      </c>
      <c r="D97" s="323">
        <f>IF($B97=0,0,D$89*VLOOKUP($A96,Products!$A$59:$H$158,8,FALSE))</f>
        <v>0</v>
      </c>
      <c r="E97" s="8"/>
      <c r="F97" s="8">
        <f>IF(OR(G97=0,ISNUMBER(MATCH(G97,$G$55:G96,0))),0,MAX($F$55:F96)+1)</f>
        <v>0</v>
      </c>
      <c r="G97" s="8">
        <f t="shared" si="12"/>
        <v>0</v>
      </c>
      <c r="H97" s="8">
        <f t="shared" si="13"/>
        <v>0</v>
      </c>
      <c r="I97" s="8">
        <f>SUMIFS($C$56:$C$165,$B$56:$B$165,$H97)*(1-Flare!$D$18)</f>
        <v>0</v>
      </c>
      <c r="J97" s="8">
        <f>SUMIFS($D$56:$D$165,$B$56:$B$165,$H97)*(1-Flare!$D$18)</f>
        <v>0</v>
      </c>
      <c r="K97" s="8"/>
      <c r="L97" s="8"/>
      <c r="M97" s="8"/>
      <c r="N97" s="8"/>
      <c r="O97" s="8"/>
      <c r="P97" s="8"/>
      <c r="Q97" s="307" t="str">
        <f t="shared" si="39"/>
        <v>AAAAAAAA</v>
      </c>
      <c r="R97" s="8">
        <f>IF($Q$89="",0,VLOOKUP($Q96,Products!$A$59:$E$158,5,FALSE))</f>
        <v>0</v>
      </c>
      <c r="S97" s="322">
        <f>IF($R97=0,0,S$89*VLOOKUP($Q96,Products!$A$59:$H$158,8,FALSE))</f>
        <v>0</v>
      </c>
      <c r="T97" s="322">
        <f>IF($R97=0,0,T$89*VLOOKUP($Q96,Products!$A$59:$H$158,8,FALSE))</f>
        <v>0</v>
      </c>
      <c r="U97" s="8">
        <f>IF(OR(V97=0,ISNUMBER(MATCH(V97,$V$55:V96,0))),0,MAX($U$55:U96)+1)</f>
        <v>0</v>
      </c>
      <c r="V97" s="8">
        <f t="shared" si="14"/>
        <v>0</v>
      </c>
      <c r="W97" s="8">
        <f t="shared" si="21"/>
        <v>0</v>
      </c>
      <c r="X97" s="8">
        <f>SUMIFS($S$56:$S$165,$R$56:$R$165,$W97)*(1-VCU!$D$23)</f>
        <v>0</v>
      </c>
      <c r="Y97" s="8">
        <f>SUMIFS($T$56:$T$165,$R$56:$R$165,$W97)*(1-VCU!$D$23)</f>
        <v>0</v>
      </c>
      <c r="Z97" s="8"/>
      <c r="AA97" s="8"/>
      <c r="AB97" s="8"/>
      <c r="AC97" s="8"/>
      <c r="AD97" s="8"/>
      <c r="AE97" s="8"/>
      <c r="AF97" s="8"/>
      <c r="AG97" s="307" t="str">
        <f t="shared" si="40"/>
        <v>AAAAAAAA</v>
      </c>
      <c r="AH97" s="8">
        <f>IF($AG$89="",0,VLOOKUP($AG96,Products!$A$59:$E$158,5,FALSE))</f>
        <v>0</v>
      </c>
      <c r="AI97" s="322">
        <f>IF($AH97=0,0,AI$89*VLOOKUP($AG96,Products!$A$59:$H$158,8,FALSE))</f>
        <v>0</v>
      </c>
      <c r="AJ97" s="322">
        <f>IF($AH97=0,0,AJ$89*VLOOKUP($AG96,Products!$A$59:$H$158,8,FALSE))</f>
        <v>0</v>
      </c>
      <c r="AK97" s="8">
        <f>IF(OR(AL97=0,ISNUMBER(MATCH(AL97,$AL$55:AL96,0))),0,MAX($AK$55:AK96)+1)</f>
        <v>0</v>
      </c>
      <c r="AL97" s="8">
        <f t="shared" si="15"/>
        <v>0</v>
      </c>
      <c r="AM97" s="8">
        <f t="shared" si="16"/>
        <v>0</v>
      </c>
      <c r="AN97" s="8">
        <f>SUMIFS($AI$56:$AI$165,$AH$56:$AH$165,$AM97)*(1-VaporOxidizer!$D$23)</f>
        <v>0</v>
      </c>
      <c r="AO97" s="8">
        <f>SUMIFS($AJ$56:$AJ$165,$AH$56:$AH$165,$AM97)*(1-VaporOxidizer!$D$23)</f>
        <v>0</v>
      </c>
      <c r="AP97" s="8"/>
      <c r="AQ97" s="8"/>
      <c r="AR97" s="8"/>
      <c r="AS97" s="8"/>
      <c r="AT97" s="8"/>
      <c r="AU97" s="8"/>
      <c r="AV97" s="8"/>
      <c r="AW97" s="307" t="str">
        <f t="shared" si="41"/>
        <v>AAAAAAAA</v>
      </c>
      <c r="AX97" s="8">
        <f>IF($AW$89="",0,VLOOKUP($AW96,Products!$A$59:$E$158,5,FALSE))</f>
        <v>0</v>
      </c>
      <c r="AY97" s="322">
        <f>IF($AX97=0,0,AY$89*VLOOKUP($AW96,Products!$A$59:$H$158,8,FALSE))</f>
        <v>0</v>
      </c>
      <c r="AZ97" s="323">
        <f>IF($AX97=0,0,AZ$89*VLOOKUP($AW96,Products!$A$59:$H$158,8,FALSE))</f>
        <v>0</v>
      </c>
      <c r="BA97" s="8">
        <f>IF(OR(BB97=0,ISNUMBER(MATCH(BB97,$BB$55:BB96,0))),0,MAX($BA$55:BA96)+1)</f>
        <v>0</v>
      </c>
      <c r="BB97" s="8">
        <f t="shared" si="17"/>
        <v>0</v>
      </c>
      <c r="BC97" s="8">
        <f t="shared" si="18"/>
        <v>0</v>
      </c>
      <c r="BD97" s="8">
        <f>IF(OR($BC97="7783-06-4",$BC97="7446-09-5",$BC97="7664-93-9"),SUMIFS($AY$56:$AY$165,$AX$56:$AX$165,$BC97),SUMIFS($AY$56:$AY$165,$AX$56:$AX$165,$BC97)*(CAS!$D$19/1000000))</f>
        <v>0</v>
      </c>
      <c r="BE97" s="8">
        <f>IF(OR($BC97="7783-06-4",$BC97="7446-09-5",$BC97="7664-93-9"),SUMIFS($AZ$56:$AZ$165,$AX$56:$AX$165,$BC97),SUMIFS($AZ$56:$AZ$165,$AX$56:$AX$165,$BC97)*(CAS!$D$19/1000000))</f>
        <v>0</v>
      </c>
      <c r="BL97" s="90"/>
    </row>
    <row r="98" spans="1:64" x14ac:dyDescent="0.2">
      <c r="A98" s="307" t="str">
        <f t="shared" si="38"/>
        <v>AAAAAAAAA</v>
      </c>
      <c r="B98" s="8">
        <f>IF($A$89="",0,VLOOKUP($A97,Products!$A$59:$E$158,5,FALSE))</f>
        <v>0</v>
      </c>
      <c r="C98" s="322">
        <f>IF($B98=0,0,C$89*VLOOKUP($A97,Products!$A$59:$H$158,8,FALSE))</f>
        <v>0</v>
      </c>
      <c r="D98" s="323">
        <f>IF($B98=0,0,D$89*VLOOKUP($A97,Products!$A$59:$H$158,8,FALSE))</f>
        <v>0</v>
      </c>
      <c r="E98" s="8"/>
      <c r="F98" s="8">
        <f>IF(OR(G98=0,ISNUMBER(MATCH(G98,$G$55:G97,0))),0,MAX($F$55:F97)+1)</f>
        <v>0</v>
      </c>
      <c r="G98" s="8">
        <f t="shared" si="12"/>
        <v>0</v>
      </c>
      <c r="H98" s="8">
        <f t="shared" si="13"/>
        <v>0</v>
      </c>
      <c r="I98" s="8">
        <f>SUMIFS($C$56:$C$165,$B$56:$B$165,$H98)*(1-Flare!$D$18)</f>
        <v>0</v>
      </c>
      <c r="J98" s="8">
        <f>SUMIFS($D$56:$D$165,$B$56:$B$165,$H98)*(1-Flare!$D$18)</f>
        <v>0</v>
      </c>
      <c r="K98" s="8"/>
      <c r="L98" s="8"/>
      <c r="M98" s="8"/>
      <c r="N98" s="8"/>
      <c r="O98" s="8"/>
      <c r="P98" s="8"/>
      <c r="Q98" s="307" t="str">
        <f t="shared" si="39"/>
        <v>AAAAAAAAA</v>
      </c>
      <c r="R98" s="8">
        <f>IF($Q$89="",0,VLOOKUP($Q97,Products!$A$59:$E$158,5,FALSE))</f>
        <v>0</v>
      </c>
      <c r="S98" s="322">
        <f>IF($R98=0,0,S$89*VLOOKUP($Q97,Products!$A$59:$H$158,8,FALSE))</f>
        <v>0</v>
      </c>
      <c r="T98" s="322">
        <f>IF($R98=0,0,T$89*VLOOKUP($Q97,Products!$A$59:$H$158,8,FALSE))</f>
        <v>0</v>
      </c>
      <c r="U98" s="8">
        <f>IF(OR(V98=0,ISNUMBER(MATCH(V98,$V$55:V97,0))),0,MAX($U$55:U97)+1)</f>
        <v>0</v>
      </c>
      <c r="V98" s="8">
        <f t="shared" si="14"/>
        <v>0</v>
      </c>
      <c r="W98" s="8">
        <f t="shared" si="21"/>
        <v>0</v>
      </c>
      <c r="X98" s="8">
        <f>SUMIFS($S$56:$S$165,$R$56:$R$165,$W98)*(1-VCU!$D$23)</f>
        <v>0</v>
      </c>
      <c r="Y98" s="8">
        <f>SUMIFS($T$56:$T$165,$R$56:$R$165,$W98)*(1-VCU!$D$23)</f>
        <v>0</v>
      </c>
      <c r="Z98" s="8"/>
      <c r="AA98" s="8"/>
      <c r="AB98" s="8"/>
      <c r="AC98" s="8"/>
      <c r="AD98" s="8"/>
      <c r="AE98" s="8"/>
      <c r="AF98" s="8"/>
      <c r="AG98" s="307" t="str">
        <f t="shared" si="40"/>
        <v>AAAAAAAAA</v>
      </c>
      <c r="AH98" s="8">
        <f>IF($AG$89="",0,VLOOKUP($AG97,Products!$A$59:$E$158,5,FALSE))</f>
        <v>0</v>
      </c>
      <c r="AI98" s="322">
        <f>IF($AH98=0,0,AI$89*VLOOKUP($AG97,Products!$A$59:$H$158,8,FALSE))</f>
        <v>0</v>
      </c>
      <c r="AJ98" s="322">
        <f>IF($AH98=0,0,AJ$89*VLOOKUP($AG97,Products!$A$59:$H$158,8,FALSE))</f>
        <v>0</v>
      </c>
      <c r="AK98" s="8">
        <f>IF(OR(AL98=0,ISNUMBER(MATCH(AL98,$AL$55:AL97,0))),0,MAX($AK$55:AK97)+1)</f>
        <v>0</v>
      </c>
      <c r="AL98" s="8">
        <f t="shared" si="15"/>
        <v>0</v>
      </c>
      <c r="AM98" s="8">
        <f t="shared" si="16"/>
        <v>0</v>
      </c>
      <c r="AN98" s="8">
        <f>SUMIFS($AI$56:$AI$165,$AH$56:$AH$165,$AM98)*(1-VaporOxidizer!$D$23)</f>
        <v>0</v>
      </c>
      <c r="AO98" s="8">
        <f>SUMIFS($AJ$56:$AJ$165,$AH$56:$AH$165,$AM98)*(1-VaporOxidizer!$D$23)</f>
        <v>0</v>
      </c>
      <c r="AP98" s="8"/>
      <c r="AQ98" s="8"/>
      <c r="AR98" s="8"/>
      <c r="AS98" s="8"/>
      <c r="AT98" s="8"/>
      <c r="AU98" s="8"/>
      <c r="AV98" s="8"/>
      <c r="AW98" s="307" t="str">
        <f t="shared" si="41"/>
        <v>AAAAAAAAA</v>
      </c>
      <c r="AX98" s="8">
        <f>IF($AW$89="",0,VLOOKUP($AW97,Products!$A$59:$E$158,5,FALSE))</f>
        <v>0</v>
      </c>
      <c r="AY98" s="322">
        <f>IF($AX98=0,0,AY$89*VLOOKUP($AW97,Products!$A$59:$H$158,8,FALSE))</f>
        <v>0</v>
      </c>
      <c r="AZ98" s="323">
        <f>IF($AX98=0,0,AZ$89*VLOOKUP($AW97,Products!$A$59:$H$158,8,FALSE))</f>
        <v>0</v>
      </c>
      <c r="BA98" s="8">
        <f>IF(OR(BB98=0,ISNUMBER(MATCH(BB98,$BB$55:BB97,0))),0,MAX($BA$55:BA97)+1)</f>
        <v>0</v>
      </c>
      <c r="BB98" s="8">
        <f t="shared" si="17"/>
        <v>0</v>
      </c>
      <c r="BC98" s="8">
        <f t="shared" si="18"/>
        <v>0</v>
      </c>
      <c r="BD98" s="8">
        <f>IF(OR($BC98="7783-06-4",$BC98="7446-09-5",$BC98="7664-93-9"),SUMIFS($AY$56:$AY$165,$AX$56:$AX$165,$BC98),SUMIFS($AY$56:$AY$165,$AX$56:$AX$165,$BC98)*(CAS!$D$19/1000000))</f>
        <v>0</v>
      </c>
      <c r="BE98" s="8">
        <f>IF(OR($BC98="7783-06-4",$BC98="7446-09-5",$BC98="7664-93-9"),SUMIFS($AZ$56:$AZ$165,$AX$56:$AX$165,$BC98),SUMIFS($AZ$56:$AZ$165,$AX$56:$AX$165,$BC98)*(CAS!$D$19/1000000))</f>
        <v>0</v>
      </c>
      <c r="BL98" s="90"/>
    </row>
    <row r="99" spans="1:64" x14ac:dyDescent="0.2">
      <c r="A99" s="307" t="str">
        <f t="shared" si="38"/>
        <v>AAAAAAAAAA</v>
      </c>
      <c r="B99" s="8">
        <f>IF($A$89="",0,VLOOKUP($A98,Products!$A$59:$E$158,5,FALSE))</f>
        <v>0</v>
      </c>
      <c r="C99" s="322">
        <f>IF($B99=0,0,C$89*VLOOKUP($A98,Products!$A$59:$H$158,8,FALSE))</f>
        <v>0</v>
      </c>
      <c r="D99" s="323">
        <f>IF($B99=0,0,D$89*VLOOKUP($A98,Products!$A$59:$H$158,8,FALSE))</f>
        <v>0</v>
      </c>
      <c r="E99" s="8"/>
      <c r="F99" s="8">
        <f>IF(OR(G99=0,ISNUMBER(MATCH(G99,$G$55:G98,0))),0,MAX($F$55:F98)+1)</f>
        <v>0</v>
      </c>
      <c r="G99" s="8">
        <f t="shared" si="12"/>
        <v>0</v>
      </c>
      <c r="H99" s="8">
        <f t="shared" si="13"/>
        <v>0</v>
      </c>
      <c r="I99" s="8">
        <f>SUMIFS($C$56:$C$165,$B$56:$B$165,$H99)*(1-Flare!$D$18)</f>
        <v>0</v>
      </c>
      <c r="J99" s="8">
        <f>SUMIFS($D$56:$D$165,$B$56:$B$165,$H99)*(1-Flare!$D$18)</f>
        <v>0</v>
      </c>
      <c r="K99" s="8"/>
      <c r="L99" s="8"/>
      <c r="M99" s="8"/>
      <c r="N99" s="8"/>
      <c r="O99" s="8"/>
      <c r="P99" s="8"/>
      <c r="Q99" s="307" t="str">
        <f t="shared" si="39"/>
        <v>AAAAAAAAAA</v>
      </c>
      <c r="R99" s="8">
        <f>IF($Q$89="",0,VLOOKUP($Q98,Products!$A$59:$E$158,5,FALSE))</f>
        <v>0</v>
      </c>
      <c r="S99" s="322">
        <f>IF($R99=0,0,S$89*VLOOKUP($Q98,Products!$A$59:$H$158,8,FALSE))</f>
        <v>0</v>
      </c>
      <c r="T99" s="322">
        <f>IF($R99=0,0,T$89*VLOOKUP($Q98,Products!$A$59:$H$158,8,FALSE))</f>
        <v>0</v>
      </c>
      <c r="U99" s="8">
        <f>IF(OR(V99=0,ISNUMBER(MATCH(V99,$V$55:V98,0))),0,MAX($U$55:U98)+1)</f>
        <v>0</v>
      </c>
      <c r="V99" s="8">
        <f t="shared" si="14"/>
        <v>0</v>
      </c>
      <c r="W99" s="8">
        <f t="shared" si="21"/>
        <v>0</v>
      </c>
      <c r="X99" s="8">
        <f>SUMIFS($S$56:$S$165,$R$56:$R$165,$W99)*(1-VCU!$D$23)</f>
        <v>0</v>
      </c>
      <c r="Y99" s="8">
        <f>SUMIFS($T$56:$T$165,$R$56:$R$165,$W99)*(1-VCU!$D$23)</f>
        <v>0</v>
      </c>
      <c r="Z99" s="8"/>
      <c r="AA99" s="8"/>
      <c r="AB99" s="8"/>
      <c r="AC99" s="8"/>
      <c r="AD99" s="8"/>
      <c r="AE99" s="8"/>
      <c r="AF99" s="8"/>
      <c r="AG99" s="307" t="str">
        <f t="shared" si="40"/>
        <v>AAAAAAAAAA</v>
      </c>
      <c r="AH99" s="8">
        <f>IF($AG$89="",0,VLOOKUP($AG98,Products!$A$59:$E$158,5,FALSE))</f>
        <v>0</v>
      </c>
      <c r="AI99" s="322">
        <f>IF($AH99=0,0,AI$89*VLOOKUP($AG98,Products!$A$59:$H$158,8,FALSE))</f>
        <v>0</v>
      </c>
      <c r="AJ99" s="322">
        <f>IF($AH99=0,0,AJ$89*VLOOKUP($AG98,Products!$A$59:$H$158,8,FALSE))</f>
        <v>0</v>
      </c>
      <c r="AK99" s="8">
        <f>IF(OR(AL99=0,ISNUMBER(MATCH(AL99,$AL$55:AL98,0))),0,MAX($AK$55:AK98)+1)</f>
        <v>0</v>
      </c>
      <c r="AL99" s="8">
        <f t="shared" si="15"/>
        <v>0</v>
      </c>
      <c r="AM99" s="8">
        <f t="shared" si="16"/>
        <v>0</v>
      </c>
      <c r="AN99" s="8">
        <f>SUMIFS($AI$56:$AI$165,$AH$56:$AH$165,$AM99)*(1-VaporOxidizer!$D$23)</f>
        <v>0</v>
      </c>
      <c r="AO99" s="8">
        <f>SUMIFS($AJ$56:$AJ$165,$AH$56:$AH$165,$AM99)*(1-VaporOxidizer!$D$23)</f>
        <v>0</v>
      </c>
      <c r="AP99" s="8"/>
      <c r="AQ99" s="8"/>
      <c r="AR99" s="8"/>
      <c r="AS99" s="8"/>
      <c r="AT99" s="8"/>
      <c r="AU99" s="8"/>
      <c r="AV99" s="8"/>
      <c r="AW99" s="307" t="str">
        <f t="shared" si="41"/>
        <v>AAAAAAAAAA</v>
      </c>
      <c r="AX99" s="8">
        <f>IF($AW$89="",0,VLOOKUP($AW98,Products!$A$59:$E$158,5,FALSE))</f>
        <v>0</v>
      </c>
      <c r="AY99" s="322">
        <f>IF($AX99=0,0,AY$89*VLOOKUP($AW98,Products!$A$59:$H$158,8,FALSE))</f>
        <v>0</v>
      </c>
      <c r="AZ99" s="323">
        <f>IF($AX99=0,0,AZ$89*VLOOKUP($AW98,Products!$A$59:$H$158,8,FALSE))</f>
        <v>0</v>
      </c>
      <c r="BA99" s="8">
        <f>IF(OR(BB99=0,ISNUMBER(MATCH(BB99,$BB$55:BB98,0))),0,MAX($BA$55:BA98)+1)</f>
        <v>0</v>
      </c>
      <c r="BB99" s="8">
        <f t="shared" si="17"/>
        <v>0</v>
      </c>
      <c r="BC99" s="8">
        <f t="shared" si="18"/>
        <v>0</v>
      </c>
      <c r="BD99" s="8">
        <f>IF(OR($BC99="7783-06-4",$BC99="7446-09-5",$BC99="7664-93-9"),SUMIFS($AY$56:$AY$165,$AX$56:$AX$165,$BC99),SUMIFS($AY$56:$AY$165,$AX$56:$AX$165,$BC99)*(CAS!$D$19/1000000))</f>
        <v>0</v>
      </c>
      <c r="BE99" s="8">
        <f>IF(OR($BC99="7783-06-4",$BC99="7446-09-5",$BC99="7664-93-9"),SUMIFS($AZ$56:$AZ$165,$AX$56:$AX$165,$BC99),SUMIFS($AZ$56:$AZ$165,$AX$56:$AX$165,$BC99)*(CAS!$D$19/1000000))</f>
        <v>0</v>
      </c>
      <c r="BL99" s="90"/>
    </row>
    <row r="100" spans="1:64" x14ac:dyDescent="0.2">
      <c r="A100" s="310" t="str">
        <f>$F7</f>
        <v/>
      </c>
      <c r="B100" s="311" t="s">
        <v>291</v>
      </c>
      <c r="C100" s="311">
        <f t="shared" si="25"/>
        <v>0</v>
      </c>
      <c r="D100" s="312">
        <f t="shared" si="26"/>
        <v>0</v>
      </c>
      <c r="E100" s="8"/>
      <c r="F100" s="8">
        <f>IF(OR(G100=0,ISNUMBER(MATCH(G100,$G$55:G99,0))),0,MAX($F$55:F99)+1)</f>
        <v>0</v>
      </c>
      <c r="G100" s="8" t="str">
        <f t="shared" si="12"/>
        <v>Total VOC</v>
      </c>
      <c r="H100" s="8">
        <f t="shared" si="13"/>
        <v>0</v>
      </c>
      <c r="I100" s="8">
        <f>SUMIFS($C$56:$C$165,$B$56:$B$165,$H100)*(1-Flare!$D$18)</f>
        <v>0</v>
      </c>
      <c r="J100" s="8">
        <f>SUMIFS($D$56:$D$165,$B$56:$B$165,$H100)*(1-Flare!$D$18)</f>
        <v>0</v>
      </c>
      <c r="K100" s="8"/>
      <c r="L100" s="8"/>
      <c r="M100" s="8"/>
      <c r="N100" s="8"/>
      <c r="O100" s="8"/>
      <c r="P100" s="8"/>
      <c r="Q100" s="310" t="str">
        <f>$V7</f>
        <v/>
      </c>
      <c r="R100" s="311" t="s">
        <v>291</v>
      </c>
      <c r="S100" s="311">
        <f>VLOOKUP($Q100,$V$3:$X$12,2,FALSE)</f>
        <v>0</v>
      </c>
      <c r="T100" s="312">
        <f>VLOOKUP($Q100,$V$3:$X$12,3,FALSE)</f>
        <v>0</v>
      </c>
      <c r="U100" s="8">
        <f>IF(OR(V100=0,ISNUMBER(MATCH(V100,$V$55:V99,0))),0,MAX($U$55:U99)+1)</f>
        <v>0</v>
      </c>
      <c r="V100" s="8" t="str">
        <f t="shared" si="14"/>
        <v>Total VOC</v>
      </c>
      <c r="W100" s="8">
        <f t="shared" si="21"/>
        <v>0</v>
      </c>
      <c r="X100" s="8">
        <f>SUMIFS($S$56:$S$165,$R$56:$R$165,$W100)*(1-VCU!$D$23)</f>
        <v>0</v>
      </c>
      <c r="Y100" s="8">
        <f>SUMIFS($T$56:$T$165,$R$56:$R$165,$W100)*(1-VCU!$D$23)</f>
        <v>0</v>
      </c>
      <c r="Z100" s="8"/>
      <c r="AA100" s="8"/>
      <c r="AB100" s="8"/>
      <c r="AC100" s="8"/>
      <c r="AD100" s="8"/>
      <c r="AE100" s="8"/>
      <c r="AF100" s="8"/>
      <c r="AG100" s="310" t="str">
        <f>$AL7</f>
        <v/>
      </c>
      <c r="AH100" s="311" t="s">
        <v>291</v>
      </c>
      <c r="AI100" s="311">
        <f>VLOOKUP($AG100,$AL$3:$AN$12,2,FALSE)</f>
        <v>0</v>
      </c>
      <c r="AJ100" s="312">
        <f>VLOOKUP($AG100,$AL$3:$AN$12,3,FALSE)</f>
        <v>0</v>
      </c>
      <c r="AK100" s="8">
        <f>IF(OR(AL100=0,ISNUMBER(MATCH(AL100,$AL$55:AL99,0))),0,MAX($AK$55:AK99)+1)</f>
        <v>0</v>
      </c>
      <c r="AL100" s="8" t="str">
        <f t="shared" si="15"/>
        <v>Total VOC</v>
      </c>
      <c r="AM100" s="8">
        <f t="shared" si="16"/>
        <v>0</v>
      </c>
      <c r="AN100" s="8">
        <f>SUMIFS($AI$56:$AI$165,$AH$56:$AH$165,$AM100)*(1-VaporOxidizer!$D$23)</f>
        <v>0</v>
      </c>
      <c r="AO100" s="8">
        <f>SUMIFS($AJ$56:$AJ$165,$AH$56:$AH$165,$AM100)*(1-VaporOxidizer!$D$23)</f>
        <v>0</v>
      </c>
      <c r="AP100" s="8"/>
      <c r="AQ100" s="8"/>
      <c r="AR100" s="8"/>
      <c r="AS100" s="8"/>
      <c r="AT100" s="8"/>
      <c r="AU100" s="8"/>
      <c r="AV100" s="8"/>
      <c r="AW100" s="310" t="str">
        <f>$BB7</f>
        <v/>
      </c>
      <c r="AX100" s="311" t="s">
        <v>291</v>
      </c>
      <c r="AY100" s="311">
        <f>VLOOKUP($AW100,$BB$3:$BD$12,2,FALSE)</f>
        <v>0</v>
      </c>
      <c r="AZ100" s="312">
        <f>VLOOKUP($AW100,$BB$3:$BD$12,3,FALSE)</f>
        <v>0</v>
      </c>
      <c r="BA100" s="8">
        <f>IF(OR(BB100=0,ISNUMBER(MATCH(BB100,$BB$55:BB99,0))),0,MAX($BA$55:BA99)+1)</f>
        <v>0</v>
      </c>
      <c r="BB100" s="8" t="str">
        <f t="shared" si="17"/>
        <v>Total VOC</v>
      </c>
      <c r="BC100" s="8">
        <f t="shared" si="18"/>
        <v>0</v>
      </c>
      <c r="BD100" s="8">
        <f>IF(OR($BC100="7783-06-4",$BC100="7446-09-5",$BC100="7664-93-9"),SUMIFS($AY$56:$AY$165,$AX$56:$AX$165,$BC100),SUMIFS($AY$56:$AY$165,$AX$56:$AX$165,$BC100)*(CAS!$D$19/1000000))</f>
        <v>0</v>
      </c>
      <c r="BE100" s="8">
        <f>IF(OR($BC100="7783-06-4",$BC100="7446-09-5",$BC100="7664-93-9"),SUMIFS($AZ$56:$AZ$165,$AX$56:$AX$165,$BC100),SUMIFS($AZ$56:$AZ$165,$AX$56:$AX$165,$BC100)*(CAS!$D$19/1000000))</f>
        <v>0</v>
      </c>
      <c r="BL100" s="90"/>
    </row>
    <row r="101" spans="1:64" x14ac:dyDescent="0.2">
      <c r="A101" s="307" t="str">
        <f>A100&amp;"A"</f>
        <v>A</v>
      </c>
      <c r="B101" s="8">
        <f>IF($A$100="",0,VLOOKUP($A100,Products!$A$59:$E$158,5,FALSE))</f>
        <v>0</v>
      </c>
      <c r="C101" s="322">
        <f>IF($B101=0,0,C$100*VLOOKUP($A100,Products!$A$59:$H$158,8,FALSE))</f>
        <v>0</v>
      </c>
      <c r="D101" s="323">
        <f>IF($B101=0,0,D$100*VLOOKUP($A100,Products!$A$59:$H$158,8,FALSE))</f>
        <v>0</v>
      </c>
      <c r="E101" s="8"/>
      <c r="F101" s="8">
        <f>IF(OR(G101=0,ISNUMBER(MATCH(G101,$G$55:G100,0))),0,MAX($F$55:F100)+1)</f>
        <v>0</v>
      </c>
      <c r="G101" s="8">
        <f t="shared" si="12"/>
        <v>0</v>
      </c>
      <c r="H101" s="8">
        <f t="shared" si="13"/>
        <v>0</v>
      </c>
      <c r="I101" s="8">
        <f>SUMIFS($C$56:$C$165,$B$56:$B$165,$H101)*(1-Flare!$D$18)</f>
        <v>0</v>
      </c>
      <c r="J101" s="8">
        <f>SUMIFS($D$56:$D$165,$B$56:$B$165,$H101)*(1-Flare!$D$18)</f>
        <v>0</v>
      </c>
      <c r="K101" s="8"/>
      <c r="L101" s="8"/>
      <c r="M101" s="8"/>
      <c r="N101" s="8"/>
      <c r="O101" s="8"/>
      <c r="P101" s="8"/>
      <c r="Q101" s="307" t="str">
        <f>Q100&amp;"A"</f>
        <v>A</v>
      </c>
      <c r="R101" s="8">
        <f>IF($Q$100="",0,VLOOKUP($Q100,Products!$A$59:$E$158,5,FALSE))</f>
        <v>0</v>
      </c>
      <c r="S101" s="322">
        <f>IF($R101=0,0,S$100*VLOOKUP($Q100,Products!$A$59:$H$158,8,FALSE))</f>
        <v>0</v>
      </c>
      <c r="T101" s="322">
        <f>IF($R101=0,0,T$100*VLOOKUP($Q100,Products!$A$59:$H$158,8,FALSE))</f>
        <v>0</v>
      </c>
      <c r="U101" s="8">
        <f>IF(OR(V101=0,ISNUMBER(MATCH(V101,$V$55:V100,0))),0,MAX($U$55:U100)+1)</f>
        <v>0</v>
      </c>
      <c r="V101" s="8">
        <f t="shared" si="14"/>
        <v>0</v>
      </c>
      <c r="W101" s="8">
        <f t="shared" si="21"/>
        <v>0</v>
      </c>
      <c r="X101" s="8">
        <f>SUMIFS($S$56:$S$165,$R$56:$R$165,$W101)*(1-VCU!$D$23)</f>
        <v>0</v>
      </c>
      <c r="Y101" s="8">
        <f>SUMIFS($T$56:$T$165,$R$56:$R$165,$W101)*(1-VCU!$D$23)</f>
        <v>0</v>
      </c>
      <c r="Z101" s="8"/>
      <c r="AA101" s="8"/>
      <c r="AB101" s="8"/>
      <c r="AC101" s="8"/>
      <c r="AD101" s="8"/>
      <c r="AE101" s="8"/>
      <c r="AF101" s="8"/>
      <c r="AG101" s="307" t="str">
        <f>AG100&amp;"A"</f>
        <v>A</v>
      </c>
      <c r="AH101" s="8">
        <f>IF($AG$100="",0,VLOOKUP($AG100,Products!$A$59:$E$158,5,FALSE))</f>
        <v>0</v>
      </c>
      <c r="AI101" s="322">
        <f>IF($AH101=0,0,AI$100*VLOOKUP($AG100,Products!$A$59:$H$158,8,FALSE))</f>
        <v>0</v>
      </c>
      <c r="AJ101" s="322">
        <f>IF($AH101=0,0,AJ$100*VLOOKUP($AG100,Products!$A$59:$H$158,8,FALSE))</f>
        <v>0</v>
      </c>
      <c r="AK101" s="8">
        <f>IF(OR(AL101=0,ISNUMBER(MATCH(AL101,$AL$55:AL100,0))),0,MAX($AK$55:AK100)+1)</f>
        <v>0</v>
      </c>
      <c r="AL101" s="8">
        <f t="shared" si="15"/>
        <v>0</v>
      </c>
      <c r="AM101" s="8">
        <f t="shared" si="16"/>
        <v>0</v>
      </c>
      <c r="AN101" s="8">
        <f>SUMIFS($AI$56:$AI$165,$AH$56:$AH$165,$AM101)*(1-VaporOxidizer!$D$23)</f>
        <v>0</v>
      </c>
      <c r="AO101" s="8">
        <f>SUMIFS($AJ$56:$AJ$165,$AH$56:$AH$165,$AM101)*(1-VaporOxidizer!$D$23)</f>
        <v>0</v>
      </c>
      <c r="AP101" s="8"/>
      <c r="AQ101" s="8"/>
      <c r="AR101" s="8"/>
      <c r="AS101" s="8"/>
      <c r="AT101" s="8"/>
      <c r="AU101" s="8"/>
      <c r="AV101" s="8"/>
      <c r="AW101" s="307" t="str">
        <f>AW100&amp;"A"</f>
        <v>A</v>
      </c>
      <c r="AX101" s="8">
        <f>IF($AW$100="",0,VLOOKUP($AW100,Products!$A$59:$E$158,5,FALSE))</f>
        <v>0</v>
      </c>
      <c r="AY101" s="322">
        <f>IF($AX101=0,0,AY$100*VLOOKUP($AW100,Products!$A$59:$H$158,8,FALSE))</f>
        <v>0</v>
      </c>
      <c r="AZ101" s="323">
        <f>IF($AX101=0,0,AZ$100*VLOOKUP($AW100,Products!$A$59:$H$158,8,FALSE))</f>
        <v>0</v>
      </c>
      <c r="BA101" s="8">
        <f>IF(OR(BB101=0,ISNUMBER(MATCH(BB101,$BB$55:BB100,0))),0,MAX($BA$55:BA100)+1)</f>
        <v>0</v>
      </c>
      <c r="BB101" s="8">
        <f t="shared" si="17"/>
        <v>0</v>
      </c>
      <c r="BC101" s="8">
        <f t="shared" si="18"/>
        <v>0</v>
      </c>
      <c r="BD101" s="8">
        <f>IF(OR($BC101="7783-06-4",$BC101="7446-09-5",$BC101="7664-93-9"),SUMIFS($AY$56:$AY$165,$AX$56:$AX$165,$BC101),SUMIFS($AY$56:$AY$165,$AX$56:$AX$165,$BC101)*(CAS!$D$19/1000000))</f>
        <v>0</v>
      </c>
      <c r="BE101" s="8">
        <f>IF(OR($BC101="7783-06-4",$BC101="7446-09-5",$BC101="7664-93-9"),SUMIFS($AZ$56:$AZ$165,$AX$56:$AX$165,$BC101),SUMIFS($AZ$56:$AZ$165,$AX$56:$AX$165,$BC101)*(CAS!$D$19/1000000))</f>
        <v>0</v>
      </c>
      <c r="BL101" s="90"/>
    </row>
    <row r="102" spans="1:64" x14ac:dyDescent="0.2">
      <c r="A102" s="307" t="str">
        <f t="shared" ref="A102:A110" si="42">A101&amp;"A"</f>
        <v>AA</v>
      </c>
      <c r="B102" s="8">
        <f>IF($A$100="",0,VLOOKUP($A101,Products!$A$59:$E$158,5,FALSE))</f>
        <v>0</v>
      </c>
      <c r="C102" s="322">
        <f>IF($B102=0,0,C$100*VLOOKUP($A101,Products!$A$59:$H$158,8,FALSE))</f>
        <v>0</v>
      </c>
      <c r="D102" s="323">
        <f>IF($B102=0,0,D$100*VLOOKUP($A101,Products!$A$59:$H$158,8,FALSE))</f>
        <v>0</v>
      </c>
      <c r="E102" s="8"/>
      <c r="F102" s="8">
        <f>IF(OR(G102=0,ISNUMBER(MATCH(G102,$G$55:G101,0))),0,MAX($F$55:F101)+1)</f>
        <v>0</v>
      </c>
      <c r="G102" s="8">
        <f t="shared" si="12"/>
        <v>0</v>
      </c>
      <c r="H102" s="8">
        <f t="shared" si="13"/>
        <v>0</v>
      </c>
      <c r="I102" s="8">
        <f>SUMIFS($C$56:$C$165,$B$56:$B$165,$H102)*(1-Flare!$D$18)</f>
        <v>0</v>
      </c>
      <c r="J102" s="8">
        <f>SUMIFS($D$56:$D$165,$B$56:$B$165,$H102)*(1-Flare!$D$18)</f>
        <v>0</v>
      </c>
      <c r="K102" s="8"/>
      <c r="L102" s="8"/>
      <c r="M102" s="8"/>
      <c r="N102" s="8"/>
      <c r="O102" s="8"/>
      <c r="P102" s="8"/>
      <c r="Q102" s="307" t="str">
        <f t="shared" ref="Q102:Q110" si="43">Q101&amp;"A"</f>
        <v>AA</v>
      </c>
      <c r="R102" s="8">
        <f>IF($Q$100="",0,VLOOKUP($Q101,Products!$A$59:$E$158,5,FALSE))</f>
        <v>0</v>
      </c>
      <c r="S102" s="322">
        <f>IF($R102=0,0,S$100*VLOOKUP($Q101,Products!$A$59:$H$158,8,FALSE))</f>
        <v>0</v>
      </c>
      <c r="T102" s="322">
        <f>IF($R102=0,0,T$100*VLOOKUP($Q101,Products!$A$59:$H$158,8,FALSE))</f>
        <v>0</v>
      </c>
      <c r="U102" s="8">
        <f>IF(OR(V102=0,ISNUMBER(MATCH(V102,$V$55:V101,0))),0,MAX($U$55:U101)+1)</f>
        <v>0</v>
      </c>
      <c r="V102" s="8">
        <f t="shared" si="14"/>
        <v>0</v>
      </c>
      <c r="W102" s="8">
        <f t="shared" si="21"/>
        <v>0</v>
      </c>
      <c r="X102" s="8">
        <f>SUMIFS($S$56:$S$165,$R$56:$R$165,$W102)*(1-VCU!$D$23)</f>
        <v>0</v>
      </c>
      <c r="Y102" s="8">
        <f>SUMIFS($T$56:$T$165,$R$56:$R$165,$W102)*(1-VCU!$D$23)</f>
        <v>0</v>
      </c>
      <c r="Z102" s="8"/>
      <c r="AA102" s="8"/>
      <c r="AB102" s="8"/>
      <c r="AC102" s="8"/>
      <c r="AD102" s="8"/>
      <c r="AE102" s="8"/>
      <c r="AF102" s="8"/>
      <c r="AG102" s="307" t="str">
        <f t="shared" ref="AG102:AG110" si="44">AG101&amp;"A"</f>
        <v>AA</v>
      </c>
      <c r="AH102" s="8">
        <f>IF($AG$100="",0,VLOOKUP($AG101,Products!$A$59:$E$158,5,FALSE))</f>
        <v>0</v>
      </c>
      <c r="AI102" s="322">
        <f>IF($AH102=0,0,AI$100*VLOOKUP($AG101,Products!$A$59:$H$158,8,FALSE))</f>
        <v>0</v>
      </c>
      <c r="AJ102" s="322">
        <f>IF($AH102=0,0,AJ$100*VLOOKUP($AG101,Products!$A$59:$H$158,8,FALSE))</f>
        <v>0</v>
      </c>
      <c r="AK102" s="8">
        <f>IF(OR(AL102=0,ISNUMBER(MATCH(AL102,$AL$55:AL101,0))),0,MAX($AK$55:AK101)+1)</f>
        <v>0</v>
      </c>
      <c r="AL102" s="8">
        <f t="shared" si="15"/>
        <v>0</v>
      </c>
      <c r="AM102" s="8">
        <f t="shared" si="16"/>
        <v>0</v>
      </c>
      <c r="AN102" s="8">
        <f>SUMIFS($AI$56:$AI$165,$AH$56:$AH$165,$AM102)*(1-VaporOxidizer!$D$23)</f>
        <v>0</v>
      </c>
      <c r="AO102" s="8">
        <f>SUMIFS($AJ$56:$AJ$165,$AH$56:$AH$165,$AM102)*(1-VaporOxidizer!$D$23)</f>
        <v>0</v>
      </c>
      <c r="AP102" s="8"/>
      <c r="AQ102" s="8"/>
      <c r="AR102" s="8"/>
      <c r="AS102" s="8"/>
      <c r="AT102" s="8"/>
      <c r="AU102" s="8"/>
      <c r="AV102" s="8"/>
      <c r="AW102" s="307" t="str">
        <f t="shared" ref="AW102:AW110" si="45">AW101&amp;"A"</f>
        <v>AA</v>
      </c>
      <c r="AX102" s="8">
        <f>IF($AW$100="",0,VLOOKUP($AW101,Products!$A$59:$E$158,5,FALSE))</f>
        <v>0</v>
      </c>
      <c r="AY102" s="322">
        <f>IF($AX102=0,0,AY$100*VLOOKUP($AW101,Products!$A$59:$H$158,8,FALSE))</f>
        <v>0</v>
      </c>
      <c r="AZ102" s="323">
        <f>IF($AX102=0,0,AZ$100*VLOOKUP($AW101,Products!$A$59:$H$158,8,FALSE))</f>
        <v>0</v>
      </c>
      <c r="BA102" s="8">
        <f>IF(OR(BB102=0,ISNUMBER(MATCH(BB102,$BB$55:BB101,0))),0,MAX($BA$55:BA101)+1)</f>
        <v>0</v>
      </c>
      <c r="BB102" s="8">
        <f t="shared" si="17"/>
        <v>0</v>
      </c>
      <c r="BC102" s="8">
        <f t="shared" si="18"/>
        <v>0</v>
      </c>
      <c r="BD102" s="8">
        <f>IF(OR($BC102="7783-06-4",$BC102="7446-09-5",$BC102="7664-93-9"),SUMIFS($AY$56:$AY$165,$AX$56:$AX$165,$BC102),SUMIFS($AY$56:$AY$165,$AX$56:$AX$165,$BC102)*(CAS!$D$19/1000000))</f>
        <v>0</v>
      </c>
      <c r="BE102" s="8">
        <f>IF(OR($BC102="7783-06-4",$BC102="7446-09-5",$BC102="7664-93-9"),SUMIFS($AZ$56:$AZ$165,$AX$56:$AX$165,$BC102),SUMIFS($AZ$56:$AZ$165,$AX$56:$AX$165,$BC102)*(CAS!$D$19/1000000))</f>
        <v>0</v>
      </c>
      <c r="BL102" s="90"/>
    </row>
    <row r="103" spans="1:64" x14ac:dyDescent="0.2">
      <c r="A103" s="307" t="str">
        <f t="shared" si="42"/>
        <v>AAA</v>
      </c>
      <c r="B103" s="8">
        <f>IF($A$100="",0,VLOOKUP($A102,Products!$A$59:$E$158,5,FALSE))</f>
        <v>0</v>
      </c>
      <c r="C103" s="322">
        <f>IF($B103=0,0,C$100*VLOOKUP($A102,Products!$A$59:$H$158,8,FALSE))</f>
        <v>0</v>
      </c>
      <c r="D103" s="323">
        <f>IF($B103=0,0,D$100*VLOOKUP($A102,Products!$A$59:$H$158,8,FALSE))</f>
        <v>0</v>
      </c>
      <c r="E103" s="8"/>
      <c r="F103" s="8">
        <f>IF(OR(G103=0,ISNUMBER(MATCH(G103,$G$55:G102,0))),0,MAX($F$55:F102)+1)</f>
        <v>0</v>
      </c>
      <c r="G103" s="8">
        <f t="shared" si="12"/>
        <v>0</v>
      </c>
      <c r="H103" s="8">
        <f t="shared" si="13"/>
        <v>0</v>
      </c>
      <c r="I103" s="8">
        <f>SUMIFS($C$56:$C$165,$B$56:$B$165,$H103)*(1-Flare!$D$18)</f>
        <v>0</v>
      </c>
      <c r="J103" s="8">
        <f>SUMIFS($D$56:$D$165,$B$56:$B$165,$H103)*(1-Flare!$D$18)</f>
        <v>0</v>
      </c>
      <c r="K103" s="8"/>
      <c r="L103" s="8"/>
      <c r="M103" s="8"/>
      <c r="N103" s="8"/>
      <c r="O103" s="8"/>
      <c r="P103" s="8"/>
      <c r="Q103" s="307" t="str">
        <f t="shared" si="43"/>
        <v>AAA</v>
      </c>
      <c r="R103" s="8">
        <f>IF($Q$100="",0,VLOOKUP($Q102,Products!$A$59:$E$158,5,FALSE))</f>
        <v>0</v>
      </c>
      <c r="S103" s="322">
        <f>IF($R103=0,0,S$100*VLOOKUP($Q102,Products!$A$59:$H$158,8,FALSE))</f>
        <v>0</v>
      </c>
      <c r="T103" s="322">
        <f>IF($R103=0,0,T$100*VLOOKUP($Q102,Products!$A$59:$H$158,8,FALSE))</f>
        <v>0</v>
      </c>
      <c r="U103" s="8">
        <f>IF(OR(V103=0,ISNUMBER(MATCH(V103,$V$55:V102,0))),0,MAX($U$55:U102)+1)</f>
        <v>0</v>
      </c>
      <c r="V103" s="8">
        <f t="shared" si="14"/>
        <v>0</v>
      </c>
      <c r="W103" s="8">
        <f t="shared" si="21"/>
        <v>0</v>
      </c>
      <c r="X103" s="8">
        <f>SUMIFS($S$56:$S$165,$R$56:$R$165,$W103)*(1-VCU!$D$23)</f>
        <v>0</v>
      </c>
      <c r="Y103" s="8">
        <f>SUMIFS($T$56:$T$165,$R$56:$R$165,$W103)*(1-VCU!$D$23)</f>
        <v>0</v>
      </c>
      <c r="Z103" s="8"/>
      <c r="AA103" s="8"/>
      <c r="AB103" s="8"/>
      <c r="AC103" s="8"/>
      <c r="AD103" s="8"/>
      <c r="AE103" s="8"/>
      <c r="AF103" s="8"/>
      <c r="AG103" s="307" t="str">
        <f t="shared" si="44"/>
        <v>AAA</v>
      </c>
      <c r="AH103" s="8">
        <f>IF($AG$100="",0,VLOOKUP($AG102,Products!$A$59:$E$158,5,FALSE))</f>
        <v>0</v>
      </c>
      <c r="AI103" s="322">
        <f>IF($AH103=0,0,AI$100*VLOOKUP($AG102,Products!$A$59:$H$158,8,FALSE))</f>
        <v>0</v>
      </c>
      <c r="AJ103" s="322">
        <f>IF($AH103=0,0,AJ$100*VLOOKUP($AG102,Products!$A$59:$H$158,8,FALSE))</f>
        <v>0</v>
      </c>
      <c r="AK103" s="8">
        <f>IF(OR(AL103=0,ISNUMBER(MATCH(AL103,$AL$55:AL102,0))),0,MAX($AK$55:AK102)+1)</f>
        <v>0</v>
      </c>
      <c r="AL103" s="8">
        <f t="shared" si="15"/>
        <v>0</v>
      </c>
      <c r="AM103" s="8">
        <f t="shared" si="16"/>
        <v>0</v>
      </c>
      <c r="AN103" s="8">
        <f>SUMIFS($AI$56:$AI$165,$AH$56:$AH$165,$AM103)*(1-VaporOxidizer!$D$23)</f>
        <v>0</v>
      </c>
      <c r="AO103" s="8">
        <f>SUMIFS($AJ$56:$AJ$165,$AH$56:$AH$165,$AM103)*(1-VaporOxidizer!$D$23)</f>
        <v>0</v>
      </c>
      <c r="AP103" s="8"/>
      <c r="AQ103" s="8"/>
      <c r="AR103" s="8"/>
      <c r="AS103" s="8"/>
      <c r="AT103" s="8"/>
      <c r="AU103" s="8"/>
      <c r="AV103" s="8"/>
      <c r="AW103" s="307" t="str">
        <f t="shared" si="45"/>
        <v>AAA</v>
      </c>
      <c r="AX103" s="8">
        <f>IF($AW$100="",0,VLOOKUP($AW102,Products!$A$59:$E$158,5,FALSE))</f>
        <v>0</v>
      </c>
      <c r="AY103" s="322">
        <f>IF($AX103=0,0,AY$100*VLOOKUP($AW102,Products!$A$59:$H$158,8,FALSE))</f>
        <v>0</v>
      </c>
      <c r="AZ103" s="323">
        <f>IF($AX103=0,0,AZ$100*VLOOKUP($AW102,Products!$A$59:$H$158,8,FALSE))</f>
        <v>0</v>
      </c>
      <c r="BA103" s="8">
        <f>IF(OR(BB103=0,ISNUMBER(MATCH(BB103,$BB$55:BB102,0))),0,MAX($BA$55:BA102)+1)</f>
        <v>0</v>
      </c>
      <c r="BB103" s="8">
        <f t="shared" si="17"/>
        <v>0</v>
      </c>
      <c r="BC103" s="8">
        <f t="shared" si="18"/>
        <v>0</v>
      </c>
      <c r="BD103" s="8">
        <f>IF(OR($BC103="7783-06-4",$BC103="7446-09-5",$BC103="7664-93-9"),SUMIFS($AY$56:$AY$165,$AX$56:$AX$165,$BC103),SUMIFS($AY$56:$AY$165,$AX$56:$AX$165,$BC103)*(CAS!$D$19/1000000))</f>
        <v>0</v>
      </c>
      <c r="BE103" s="8">
        <f>IF(OR($BC103="7783-06-4",$BC103="7446-09-5",$BC103="7664-93-9"),SUMIFS($AZ$56:$AZ$165,$AX$56:$AX$165,$BC103),SUMIFS($AZ$56:$AZ$165,$AX$56:$AX$165,$BC103)*(CAS!$D$19/1000000))</f>
        <v>0</v>
      </c>
      <c r="BL103" s="90"/>
    </row>
    <row r="104" spans="1:64" x14ac:dyDescent="0.2">
      <c r="A104" s="307" t="str">
        <f t="shared" si="42"/>
        <v>AAAA</v>
      </c>
      <c r="B104" s="8">
        <f>IF($A$100="",0,VLOOKUP($A103,Products!$A$59:$E$158,5,FALSE))</f>
        <v>0</v>
      </c>
      <c r="C104" s="322">
        <f>IF($B104=0,0,C$100*VLOOKUP($A103,Products!$A$59:$H$158,8,FALSE))</f>
        <v>0</v>
      </c>
      <c r="D104" s="323">
        <f>IF($B104=0,0,D$100*VLOOKUP($A103,Products!$A$59:$H$158,8,FALSE))</f>
        <v>0</v>
      </c>
      <c r="E104" s="8"/>
      <c r="F104" s="8">
        <f>IF(OR(G104=0,ISNUMBER(MATCH(G104,$G$55:G103,0))),0,MAX($F$55:F103)+1)</f>
        <v>0</v>
      </c>
      <c r="G104" s="8">
        <f t="shared" si="12"/>
        <v>0</v>
      </c>
      <c r="H104" s="8">
        <f t="shared" si="13"/>
        <v>0</v>
      </c>
      <c r="I104" s="8">
        <f>SUMIFS($C$56:$C$165,$B$56:$B$165,$H104)*(1-Flare!$D$18)</f>
        <v>0</v>
      </c>
      <c r="J104" s="8">
        <f>SUMIFS($D$56:$D$165,$B$56:$B$165,$H104)*(1-Flare!$D$18)</f>
        <v>0</v>
      </c>
      <c r="K104" s="8"/>
      <c r="L104" s="8"/>
      <c r="M104" s="8"/>
      <c r="N104" s="8"/>
      <c r="O104" s="8"/>
      <c r="P104" s="8"/>
      <c r="Q104" s="307" t="str">
        <f t="shared" si="43"/>
        <v>AAAA</v>
      </c>
      <c r="R104" s="8">
        <f>IF($Q$100="",0,VLOOKUP($Q103,Products!$A$59:$E$158,5,FALSE))</f>
        <v>0</v>
      </c>
      <c r="S104" s="322">
        <f>IF($R104=0,0,S$100*VLOOKUP($Q103,Products!$A$59:$H$158,8,FALSE))</f>
        <v>0</v>
      </c>
      <c r="T104" s="322">
        <f>IF($R104=0,0,T$100*VLOOKUP($Q103,Products!$A$59:$H$158,8,FALSE))</f>
        <v>0</v>
      </c>
      <c r="U104" s="8">
        <f>IF(OR(V104=0,ISNUMBER(MATCH(V104,$V$55:V103,0))),0,MAX($U$55:U103)+1)</f>
        <v>0</v>
      </c>
      <c r="V104" s="8">
        <f t="shared" si="14"/>
        <v>0</v>
      </c>
      <c r="W104" s="8">
        <f t="shared" si="21"/>
        <v>0</v>
      </c>
      <c r="X104" s="8">
        <f>SUMIFS($S$56:$S$165,$R$56:$R$165,$W104)*(1-VCU!$D$23)</f>
        <v>0</v>
      </c>
      <c r="Y104" s="8">
        <f>SUMIFS($T$56:$T$165,$R$56:$R$165,$W104)*(1-VCU!$D$23)</f>
        <v>0</v>
      </c>
      <c r="Z104" s="8"/>
      <c r="AA104" s="8"/>
      <c r="AB104" s="8"/>
      <c r="AC104" s="8"/>
      <c r="AD104" s="8"/>
      <c r="AE104" s="8"/>
      <c r="AF104" s="8"/>
      <c r="AG104" s="307" t="str">
        <f t="shared" si="44"/>
        <v>AAAA</v>
      </c>
      <c r="AH104" s="8">
        <f>IF($AG$100="",0,VLOOKUP($AG103,Products!$A$59:$E$158,5,FALSE))</f>
        <v>0</v>
      </c>
      <c r="AI104" s="322">
        <f>IF($AH104=0,0,AI$100*VLOOKUP($AG103,Products!$A$59:$H$158,8,FALSE))</f>
        <v>0</v>
      </c>
      <c r="AJ104" s="322">
        <f>IF($AH104=0,0,AJ$100*VLOOKUP($AG103,Products!$A$59:$H$158,8,FALSE))</f>
        <v>0</v>
      </c>
      <c r="AK104" s="8">
        <f>IF(OR(AL104=0,ISNUMBER(MATCH(AL104,$AL$55:AL103,0))),0,MAX($AK$55:AK103)+1)</f>
        <v>0</v>
      </c>
      <c r="AL104" s="8">
        <f t="shared" si="15"/>
        <v>0</v>
      </c>
      <c r="AM104" s="8">
        <f t="shared" si="16"/>
        <v>0</v>
      </c>
      <c r="AN104" s="8">
        <f>SUMIFS($AI$56:$AI$165,$AH$56:$AH$165,$AM104)*(1-VaporOxidizer!$D$23)</f>
        <v>0</v>
      </c>
      <c r="AO104" s="8">
        <f>SUMIFS($AJ$56:$AJ$165,$AH$56:$AH$165,$AM104)*(1-VaporOxidizer!$D$23)</f>
        <v>0</v>
      </c>
      <c r="AP104" s="8"/>
      <c r="AQ104" s="8"/>
      <c r="AR104" s="8"/>
      <c r="AS104" s="8"/>
      <c r="AT104" s="8"/>
      <c r="AU104" s="8"/>
      <c r="AV104" s="8"/>
      <c r="AW104" s="307" t="str">
        <f t="shared" si="45"/>
        <v>AAAA</v>
      </c>
      <c r="AX104" s="8">
        <f>IF($AW$100="",0,VLOOKUP($AW103,Products!$A$59:$E$158,5,FALSE))</f>
        <v>0</v>
      </c>
      <c r="AY104" s="322">
        <f>IF($AX104=0,0,AY$100*VLOOKUP($AW103,Products!$A$59:$H$158,8,FALSE))</f>
        <v>0</v>
      </c>
      <c r="AZ104" s="323">
        <f>IF($AX104=0,0,AZ$100*VLOOKUP($AW103,Products!$A$59:$H$158,8,FALSE))</f>
        <v>0</v>
      </c>
      <c r="BA104" s="8">
        <f>IF(OR(BB104=0,ISNUMBER(MATCH(BB104,$BB$55:BB103,0))),0,MAX($BA$55:BA103)+1)</f>
        <v>0</v>
      </c>
      <c r="BB104" s="8">
        <f t="shared" si="17"/>
        <v>0</v>
      </c>
      <c r="BC104" s="8">
        <f t="shared" si="18"/>
        <v>0</v>
      </c>
      <c r="BD104" s="8">
        <f>IF(OR($BC104="7783-06-4",$BC104="7446-09-5",$BC104="7664-93-9"),SUMIFS($AY$56:$AY$165,$AX$56:$AX$165,$BC104),SUMIFS($AY$56:$AY$165,$AX$56:$AX$165,$BC104)*(CAS!$D$19/1000000))</f>
        <v>0</v>
      </c>
      <c r="BE104" s="8">
        <f>IF(OR($BC104="7783-06-4",$BC104="7446-09-5",$BC104="7664-93-9"),SUMIFS($AZ$56:$AZ$165,$AX$56:$AX$165,$BC104),SUMIFS($AZ$56:$AZ$165,$AX$56:$AX$165,$BC104)*(CAS!$D$19/1000000))</f>
        <v>0</v>
      </c>
      <c r="BL104" s="90"/>
    </row>
    <row r="105" spans="1:64" x14ac:dyDescent="0.2">
      <c r="A105" s="307" t="str">
        <f t="shared" si="42"/>
        <v>AAAAA</v>
      </c>
      <c r="B105" s="8">
        <f>IF($A$100="",0,VLOOKUP($A104,Products!$A$59:$E$158,5,FALSE))</f>
        <v>0</v>
      </c>
      <c r="C105" s="322">
        <f>IF($B105=0,0,C$100*VLOOKUP($A104,Products!$A$59:$H$158,8,FALSE))</f>
        <v>0</v>
      </c>
      <c r="D105" s="323">
        <f>IF($B105=0,0,D$100*VLOOKUP($A104,Products!$A$59:$H$158,8,FALSE))</f>
        <v>0</v>
      </c>
      <c r="E105" s="8"/>
      <c r="F105" s="8">
        <f>IF(OR(G105=0,ISNUMBER(MATCH(G105,$G$55:G104,0))),0,MAX($F$55:F104)+1)</f>
        <v>0</v>
      </c>
      <c r="G105" s="8">
        <f t="shared" si="12"/>
        <v>0</v>
      </c>
      <c r="H105" s="8">
        <f t="shared" si="13"/>
        <v>0</v>
      </c>
      <c r="I105" s="8">
        <f>SUMIFS($C$56:$C$165,$B$56:$B$165,$H105)*(1-Flare!$D$18)</f>
        <v>0</v>
      </c>
      <c r="J105" s="8">
        <f>SUMIFS($D$56:$D$165,$B$56:$B$165,$H105)*(1-Flare!$D$18)</f>
        <v>0</v>
      </c>
      <c r="K105" s="8"/>
      <c r="L105" s="8"/>
      <c r="M105" s="8"/>
      <c r="N105" s="8"/>
      <c r="O105" s="8"/>
      <c r="P105" s="8"/>
      <c r="Q105" s="307" t="str">
        <f t="shared" si="43"/>
        <v>AAAAA</v>
      </c>
      <c r="R105" s="8">
        <f>IF($Q$100="",0,VLOOKUP($Q104,Products!$A$59:$E$158,5,FALSE))</f>
        <v>0</v>
      </c>
      <c r="S105" s="322">
        <f>IF($R105=0,0,S$100*VLOOKUP($Q104,Products!$A$59:$H$158,8,FALSE))</f>
        <v>0</v>
      </c>
      <c r="T105" s="322">
        <f>IF($R105=0,0,T$100*VLOOKUP($Q104,Products!$A$59:$H$158,8,FALSE))</f>
        <v>0</v>
      </c>
      <c r="U105" s="8">
        <f>IF(OR(V105=0,ISNUMBER(MATCH(V105,$V$55:V104,0))),0,MAX($U$55:U104)+1)</f>
        <v>0</v>
      </c>
      <c r="V105" s="8">
        <f t="shared" si="14"/>
        <v>0</v>
      </c>
      <c r="W105" s="8">
        <f t="shared" si="21"/>
        <v>0</v>
      </c>
      <c r="X105" s="8">
        <f>SUMIFS($S$56:$S$165,$R$56:$R$165,$W105)*(1-VCU!$D$23)</f>
        <v>0</v>
      </c>
      <c r="Y105" s="8">
        <f>SUMIFS($T$56:$T$165,$R$56:$R$165,$W105)*(1-VCU!$D$23)</f>
        <v>0</v>
      </c>
      <c r="Z105" s="8"/>
      <c r="AA105" s="8"/>
      <c r="AB105" s="8"/>
      <c r="AC105" s="8"/>
      <c r="AD105" s="8"/>
      <c r="AE105" s="8"/>
      <c r="AF105" s="8"/>
      <c r="AG105" s="307" t="str">
        <f t="shared" si="44"/>
        <v>AAAAA</v>
      </c>
      <c r="AH105" s="8">
        <f>IF($AG$100="",0,VLOOKUP($AG104,Products!$A$59:$E$158,5,FALSE))</f>
        <v>0</v>
      </c>
      <c r="AI105" s="322">
        <f>IF($AH105=0,0,AI$100*VLOOKUP($AG104,Products!$A$59:$H$158,8,FALSE))</f>
        <v>0</v>
      </c>
      <c r="AJ105" s="322">
        <f>IF($AH105=0,0,AJ$100*VLOOKUP($AG104,Products!$A$59:$H$158,8,FALSE))</f>
        <v>0</v>
      </c>
      <c r="AK105" s="8">
        <f>IF(OR(AL105=0,ISNUMBER(MATCH(AL105,$AL$55:AL104,0))),0,MAX($AK$55:AK104)+1)</f>
        <v>0</v>
      </c>
      <c r="AL105" s="8">
        <f t="shared" si="15"/>
        <v>0</v>
      </c>
      <c r="AM105" s="8">
        <f t="shared" si="16"/>
        <v>0</v>
      </c>
      <c r="AN105" s="8">
        <f>SUMIFS($AI$56:$AI$165,$AH$56:$AH$165,$AM105)*(1-VaporOxidizer!$D$23)</f>
        <v>0</v>
      </c>
      <c r="AO105" s="8">
        <f>SUMIFS($AJ$56:$AJ$165,$AH$56:$AH$165,$AM105)*(1-VaporOxidizer!$D$23)</f>
        <v>0</v>
      </c>
      <c r="AP105" s="8"/>
      <c r="AQ105" s="8"/>
      <c r="AR105" s="8"/>
      <c r="AS105" s="8"/>
      <c r="AT105" s="8"/>
      <c r="AU105" s="8"/>
      <c r="AV105" s="8"/>
      <c r="AW105" s="307" t="str">
        <f t="shared" si="45"/>
        <v>AAAAA</v>
      </c>
      <c r="AX105" s="8">
        <f>IF($AW$100="",0,VLOOKUP($AW104,Products!$A$59:$E$158,5,FALSE))</f>
        <v>0</v>
      </c>
      <c r="AY105" s="322">
        <f>IF($AX105=0,0,AY$100*VLOOKUP($AW104,Products!$A$59:$H$158,8,FALSE))</f>
        <v>0</v>
      </c>
      <c r="AZ105" s="323">
        <f>IF($AX105=0,0,AZ$100*VLOOKUP($AW104,Products!$A$59:$H$158,8,FALSE))</f>
        <v>0</v>
      </c>
      <c r="BA105" s="8">
        <f>IF(OR(BB105=0,ISNUMBER(MATCH(BB105,$BB$55:BB104,0))),0,MAX($BA$55:BA104)+1)</f>
        <v>0</v>
      </c>
      <c r="BB105" s="8">
        <f t="shared" si="17"/>
        <v>0</v>
      </c>
      <c r="BC105" s="8">
        <f t="shared" si="18"/>
        <v>0</v>
      </c>
      <c r="BD105" s="8">
        <f>IF(OR($BC105="7783-06-4",$BC105="7446-09-5",$BC105="7664-93-9"),SUMIFS($AY$56:$AY$165,$AX$56:$AX$165,$BC105),SUMIFS($AY$56:$AY$165,$AX$56:$AX$165,$BC105)*(CAS!$D$19/1000000))</f>
        <v>0</v>
      </c>
      <c r="BE105" s="8">
        <f>IF(OR($BC105="7783-06-4",$BC105="7446-09-5",$BC105="7664-93-9"),SUMIFS($AZ$56:$AZ$165,$AX$56:$AX$165,$BC105),SUMIFS($AZ$56:$AZ$165,$AX$56:$AX$165,$BC105)*(CAS!$D$19/1000000))</f>
        <v>0</v>
      </c>
      <c r="BL105" s="90"/>
    </row>
    <row r="106" spans="1:64" x14ac:dyDescent="0.2">
      <c r="A106" s="307" t="str">
        <f t="shared" si="42"/>
        <v>AAAAAA</v>
      </c>
      <c r="B106" s="8">
        <f>IF($A$100="",0,VLOOKUP($A105,Products!$A$59:$E$158,5,FALSE))</f>
        <v>0</v>
      </c>
      <c r="C106" s="322">
        <f>IF($B106=0,0,C$100*VLOOKUP($A105,Products!$A$59:$H$158,8,FALSE))</f>
        <v>0</v>
      </c>
      <c r="D106" s="323">
        <f>IF($B106=0,0,D$100*VLOOKUP($A105,Products!$A$59:$H$158,8,FALSE))</f>
        <v>0</v>
      </c>
      <c r="E106" s="8"/>
      <c r="F106" s="8">
        <f>IF(OR(G106=0,ISNUMBER(MATCH(G106,$G$55:G105,0))),0,MAX($F$55:F105)+1)</f>
        <v>0</v>
      </c>
      <c r="G106" s="8">
        <f t="shared" si="12"/>
        <v>0</v>
      </c>
      <c r="H106" s="8">
        <f t="shared" si="13"/>
        <v>0</v>
      </c>
      <c r="I106" s="8">
        <f>SUMIFS($C$56:$C$165,$B$56:$B$165,$H106)*(1-Flare!$D$18)</f>
        <v>0</v>
      </c>
      <c r="J106" s="8">
        <f>SUMIFS($D$56:$D$165,$B$56:$B$165,$H106)*(1-Flare!$D$18)</f>
        <v>0</v>
      </c>
      <c r="K106" s="8"/>
      <c r="L106" s="8"/>
      <c r="M106" s="8"/>
      <c r="N106" s="8"/>
      <c r="O106" s="8"/>
      <c r="P106" s="8"/>
      <c r="Q106" s="307" t="str">
        <f t="shared" si="43"/>
        <v>AAAAAA</v>
      </c>
      <c r="R106" s="8">
        <f>IF($Q$100="",0,VLOOKUP($Q105,Products!$A$59:$E$158,5,FALSE))</f>
        <v>0</v>
      </c>
      <c r="S106" s="322">
        <f>IF($R106=0,0,S$100*VLOOKUP($Q105,Products!$A$59:$H$158,8,FALSE))</f>
        <v>0</v>
      </c>
      <c r="T106" s="322">
        <f>IF($R106=0,0,T$100*VLOOKUP($Q105,Products!$A$59:$H$158,8,FALSE))</f>
        <v>0</v>
      </c>
      <c r="U106" s="8">
        <f>IF(OR(V106=0,ISNUMBER(MATCH(V106,$V$55:V105,0))),0,MAX($U$55:U105)+1)</f>
        <v>0</v>
      </c>
      <c r="V106" s="8">
        <f t="shared" si="14"/>
        <v>0</v>
      </c>
      <c r="W106" s="8">
        <f t="shared" si="21"/>
        <v>0</v>
      </c>
      <c r="X106" s="8">
        <f>SUMIFS($S$56:$S$165,$R$56:$R$165,$W106)*(1-VCU!$D$23)</f>
        <v>0</v>
      </c>
      <c r="Y106" s="8">
        <f>SUMIFS($T$56:$T$165,$R$56:$R$165,$W106)*(1-VCU!$D$23)</f>
        <v>0</v>
      </c>
      <c r="Z106" s="8"/>
      <c r="AA106" s="8"/>
      <c r="AB106" s="8"/>
      <c r="AC106" s="8"/>
      <c r="AD106" s="8"/>
      <c r="AE106" s="8"/>
      <c r="AF106" s="8"/>
      <c r="AG106" s="307" t="str">
        <f t="shared" si="44"/>
        <v>AAAAAA</v>
      </c>
      <c r="AH106" s="8">
        <f>IF($AG$100="",0,VLOOKUP($AG105,Products!$A$59:$E$158,5,FALSE))</f>
        <v>0</v>
      </c>
      <c r="AI106" s="322">
        <f>IF($AH106=0,0,AI$100*VLOOKUP($AG105,Products!$A$59:$H$158,8,FALSE))</f>
        <v>0</v>
      </c>
      <c r="AJ106" s="322">
        <f>IF($AH106=0,0,AJ$100*VLOOKUP($AG105,Products!$A$59:$H$158,8,FALSE))</f>
        <v>0</v>
      </c>
      <c r="AK106" s="8">
        <f>IF(OR(AL106=0,ISNUMBER(MATCH(AL106,$AL$55:AL105,0))),0,MAX($AK$55:AK105)+1)</f>
        <v>0</v>
      </c>
      <c r="AL106" s="8">
        <f t="shared" si="15"/>
        <v>0</v>
      </c>
      <c r="AM106" s="8">
        <f t="shared" si="16"/>
        <v>0</v>
      </c>
      <c r="AN106" s="8">
        <f>SUMIFS($AI$56:$AI$165,$AH$56:$AH$165,$AM106)*(1-VaporOxidizer!$D$23)</f>
        <v>0</v>
      </c>
      <c r="AO106" s="8">
        <f>SUMIFS($AJ$56:$AJ$165,$AH$56:$AH$165,$AM106)*(1-VaporOxidizer!$D$23)</f>
        <v>0</v>
      </c>
      <c r="AP106" s="8"/>
      <c r="AQ106" s="8"/>
      <c r="AR106" s="8"/>
      <c r="AS106" s="8"/>
      <c r="AT106" s="8"/>
      <c r="AU106" s="8"/>
      <c r="AV106" s="8"/>
      <c r="AW106" s="307" t="str">
        <f t="shared" si="45"/>
        <v>AAAAAA</v>
      </c>
      <c r="AX106" s="8">
        <f>IF($AW$100="",0,VLOOKUP($AW105,Products!$A$59:$E$158,5,FALSE))</f>
        <v>0</v>
      </c>
      <c r="AY106" s="322">
        <f>IF($AX106=0,0,AY$100*VLOOKUP($AW105,Products!$A$59:$H$158,8,FALSE))</f>
        <v>0</v>
      </c>
      <c r="AZ106" s="323">
        <f>IF($AX106=0,0,AZ$100*VLOOKUP($AW105,Products!$A$59:$H$158,8,FALSE))</f>
        <v>0</v>
      </c>
      <c r="BA106" s="8">
        <f>IF(OR(BB106=0,ISNUMBER(MATCH(BB106,$BB$55:BB105,0))),0,MAX($BA$55:BA105)+1)</f>
        <v>0</v>
      </c>
      <c r="BB106" s="8">
        <f t="shared" si="17"/>
        <v>0</v>
      </c>
      <c r="BC106" s="8">
        <f t="shared" si="18"/>
        <v>0</v>
      </c>
      <c r="BD106" s="8">
        <f>IF(OR($BC106="7783-06-4",$BC106="7446-09-5",$BC106="7664-93-9"),SUMIFS($AY$56:$AY$165,$AX$56:$AX$165,$BC106),SUMIFS($AY$56:$AY$165,$AX$56:$AX$165,$BC106)*(CAS!$D$19/1000000))</f>
        <v>0</v>
      </c>
      <c r="BE106" s="8">
        <f>IF(OR($BC106="7783-06-4",$BC106="7446-09-5",$BC106="7664-93-9"),SUMIFS($AZ$56:$AZ$165,$AX$56:$AX$165,$BC106),SUMIFS($AZ$56:$AZ$165,$AX$56:$AX$165,$BC106)*(CAS!$D$19/1000000))</f>
        <v>0</v>
      </c>
      <c r="BL106" s="90"/>
    </row>
    <row r="107" spans="1:64" x14ac:dyDescent="0.2">
      <c r="A107" s="307" t="str">
        <f t="shared" si="42"/>
        <v>AAAAAAA</v>
      </c>
      <c r="B107" s="8">
        <f>IF($A$100="",0,VLOOKUP($A106,Products!$A$59:$E$158,5,FALSE))</f>
        <v>0</v>
      </c>
      <c r="C107" s="322">
        <f>IF($B107=0,0,C$100*VLOOKUP($A106,Products!$A$59:$H$158,8,FALSE))</f>
        <v>0</v>
      </c>
      <c r="D107" s="323">
        <f>IF($B107=0,0,D$100*VLOOKUP($A106,Products!$A$59:$H$158,8,FALSE))</f>
        <v>0</v>
      </c>
      <c r="E107" s="8"/>
      <c r="F107" s="8">
        <f>IF(OR(G107=0,ISNUMBER(MATCH(G107,$G$55:G106,0))),0,MAX($F$55:F106)+1)</f>
        <v>0</v>
      </c>
      <c r="G107" s="8">
        <f t="shared" si="12"/>
        <v>0</v>
      </c>
      <c r="H107" s="8">
        <f t="shared" si="13"/>
        <v>0</v>
      </c>
      <c r="I107" s="8">
        <f>SUMIFS($C$56:$C$165,$B$56:$B$165,$H107)*(1-Flare!$D$18)</f>
        <v>0</v>
      </c>
      <c r="J107" s="8">
        <f>SUMIFS($D$56:$D$165,$B$56:$B$165,$H107)*(1-Flare!$D$18)</f>
        <v>0</v>
      </c>
      <c r="K107" s="8"/>
      <c r="L107" s="8"/>
      <c r="M107" s="8"/>
      <c r="N107" s="8"/>
      <c r="O107" s="8"/>
      <c r="P107" s="8"/>
      <c r="Q107" s="307" t="str">
        <f t="shared" si="43"/>
        <v>AAAAAAA</v>
      </c>
      <c r="R107" s="8">
        <f>IF($Q$100="",0,VLOOKUP($Q106,Products!$A$59:$E$158,5,FALSE))</f>
        <v>0</v>
      </c>
      <c r="S107" s="322">
        <f>IF($R107=0,0,S$100*VLOOKUP($Q106,Products!$A$59:$H$158,8,FALSE))</f>
        <v>0</v>
      </c>
      <c r="T107" s="322">
        <f>IF($R107=0,0,T$100*VLOOKUP($Q106,Products!$A$59:$H$158,8,FALSE))</f>
        <v>0</v>
      </c>
      <c r="U107" s="8">
        <f>IF(OR(V107=0,ISNUMBER(MATCH(V107,$V$55:V106,0))),0,MAX($U$55:U106)+1)</f>
        <v>0</v>
      </c>
      <c r="V107" s="8">
        <f t="shared" si="14"/>
        <v>0</v>
      </c>
      <c r="W107" s="8">
        <f t="shared" si="21"/>
        <v>0</v>
      </c>
      <c r="X107" s="8">
        <f>SUMIFS($S$56:$S$165,$R$56:$R$165,$W107)*(1-VCU!$D$23)</f>
        <v>0</v>
      </c>
      <c r="Y107" s="8">
        <f>SUMIFS($T$56:$T$165,$R$56:$R$165,$W107)*(1-VCU!$D$23)</f>
        <v>0</v>
      </c>
      <c r="Z107" s="8"/>
      <c r="AA107" s="8"/>
      <c r="AB107" s="8"/>
      <c r="AC107" s="8"/>
      <c r="AD107" s="8"/>
      <c r="AE107" s="8"/>
      <c r="AF107" s="8"/>
      <c r="AG107" s="307" t="str">
        <f t="shared" si="44"/>
        <v>AAAAAAA</v>
      </c>
      <c r="AH107" s="8">
        <f>IF($AG$100="",0,VLOOKUP($AG106,Products!$A$59:$E$158,5,FALSE))</f>
        <v>0</v>
      </c>
      <c r="AI107" s="322">
        <f>IF($AH107=0,0,AI$100*VLOOKUP($AG106,Products!$A$59:$H$158,8,FALSE))</f>
        <v>0</v>
      </c>
      <c r="AJ107" s="322">
        <f>IF($AH107=0,0,AJ$100*VLOOKUP($AG106,Products!$A$59:$H$158,8,FALSE))</f>
        <v>0</v>
      </c>
      <c r="AK107" s="8">
        <f>IF(OR(AL107=0,ISNUMBER(MATCH(AL107,$AL$55:AL106,0))),0,MAX($AK$55:AK106)+1)</f>
        <v>0</v>
      </c>
      <c r="AL107" s="8">
        <f t="shared" si="15"/>
        <v>0</v>
      </c>
      <c r="AM107" s="8">
        <f t="shared" si="16"/>
        <v>0</v>
      </c>
      <c r="AN107" s="8">
        <f>SUMIFS($AI$56:$AI$165,$AH$56:$AH$165,$AM107)*(1-VaporOxidizer!$D$23)</f>
        <v>0</v>
      </c>
      <c r="AO107" s="8">
        <f>SUMIFS($AJ$56:$AJ$165,$AH$56:$AH$165,$AM107)*(1-VaporOxidizer!$D$23)</f>
        <v>0</v>
      </c>
      <c r="AP107" s="8"/>
      <c r="AQ107" s="8"/>
      <c r="AR107" s="8"/>
      <c r="AS107" s="8"/>
      <c r="AT107" s="8"/>
      <c r="AU107" s="8"/>
      <c r="AV107" s="8"/>
      <c r="AW107" s="307" t="str">
        <f t="shared" si="45"/>
        <v>AAAAAAA</v>
      </c>
      <c r="AX107" s="8">
        <f>IF($AW$100="",0,VLOOKUP($AW106,Products!$A$59:$E$158,5,FALSE))</f>
        <v>0</v>
      </c>
      <c r="AY107" s="322">
        <f>IF($AX107=0,0,AY$100*VLOOKUP($AW106,Products!$A$59:$H$158,8,FALSE))</f>
        <v>0</v>
      </c>
      <c r="AZ107" s="323">
        <f>IF($AX107=0,0,AZ$100*VLOOKUP($AW106,Products!$A$59:$H$158,8,FALSE))</f>
        <v>0</v>
      </c>
      <c r="BA107" s="8">
        <f>IF(OR(BB107=0,ISNUMBER(MATCH(BB107,$BB$55:BB106,0))),0,MAX($BA$55:BA106)+1)</f>
        <v>0</v>
      </c>
      <c r="BB107" s="8">
        <f t="shared" si="17"/>
        <v>0</v>
      </c>
      <c r="BC107" s="8">
        <f t="shared" si="18"/>
        <v>0</v>
      </c>
      <c r="BD107" s="8">
        <f>IF(OR($BC107="7783-06-4",$BC107="7446-09-5",$BC107="7664-93-9"),SUMIFS($AY$56:$AY$165,$AX$56:$AX$165,$BC107),SUMIFS($AY$56:$AY$165,$AX$56:$AX$165,$BC107)*(CAS!$D$19/1000000))</f>
        <v>0</v>
      </c>
      <c r="BE107" s="8">
        <f>IF(OR($BC107="7783-06-4",$BC107="7446-09-5",$BC107="7664-93-9"),SUMIFS($AZ$56:$AZ$165,$AX$56:$AX$165,$BC107),SUMIFS($AZ$56:$AZ$165,$AX$56:$AX$165,$BC107)*(CAS!$D$19/1000000))</f>
        <v>0</v>
      </c>
      <c r="BL107" s="90"/>
    </row>
    <row r="108" spans="1:64" x14ac:dyDescent="0.2">
      <c r="A108" s="307" t="str">
        <f t="shared" si="42"/>
        <v>AAAAAAAA</v>
      </c>
      <c r="B108" s="8">
        <f>IF($A$100="",0,VLOOKUP($A107,Products!$A$59:$E$158,5,FALSE))</f>
        <v>0</v>
      </c>
      <c r="C108" s="322">
        <f>IF($B108=0,0,C$100*VLOOKUP($A107,Products!$A$59:$H$158,8,FALSE))</f>
        <v>0</v>
      </c>
      <c r="D108" s="323">
        <f>IF($B108=0,0,D$100*VLOOKUP($A107,Products!$A$59:$H$158,8,FALSE))</f>
        <v>0</v>
      </c>
      <c r="E108" s="8"/>
      <c r="F108" s="8">
        <f>IF(OR(G108=0,ISNUMBER(MATCH(G108,$G$55:G107,0))),0,MAX($F$55:F107)+1)</f>
        <v>0</v>
      </c>
      <c r="G108" s="8">
        <f t="shared" si="12"/>
        <v>0</v>
      </c>
      <c r="H108" s="8">
        <f t="shared" si="13"/>
        <v>0</v>
      </c>
      <c r="I108" s="8">
        <f>SUMIFS($C$56:$C$165,$B$56:$B$165,$H108)*(1-Flare!$D$18)</f>
        <v>0</v>
      </c>
      <c r="J108" s="8">
        <f>SUMIFS($D$56:$D$165,$B$56:$B$165,$H108)*(1-Flare!$D$18)</f>
        <v>0</v>
      </c>
      <c r="K108" s="8"/>
      <c r="L108" s="8"/>
      <c r="M108" s="8"/>
      <c r="N108" s="8"/>
      <c r="O108" s="8"/>
      <c r="P108" s="8"/>
      <c r="Q108" s="307" t="str">
        <f t="shared" si="43"/>
        <v>AAAAAAAA</v>
      </c>
      <c r="R108" s="8">
        <f>IF($Q$100="",0,VLOOKUP($Q107,Products!$A$59:$E$158,5,FALSE))</f>
        <v>0</v>
      </c>
      <c r="S108" s="322">
        <f>IF($R108=0,0,S$100*VLOOKUP($Q107,Products!$A$59:$H$158,8,FALSE))</f>
        <v>0</v>
      </c>
      <c r="T108" s="322">
        <f>IF($R108=0,0,T$100*VLOOKUP($Q107,Products!$A$59:$H$158,8,FALSE))</f>
        <v>0</v>
      </c>
      <c r="U108" s="8">
        <f>IF(OR(V108=0,ISNUMBER(MATCH(V108,$V$55:V107,0))),0,MAX($U$55:U107)+1)</f>
        <v>0</v>
      </c>
      <c r="V108" s="8">
        <f t="shared" si="14"/>
        <v>0</v>
      </c>
      <c r="W108" s="8">
        <f t="shared" si="21"/>
        <v>0</v>
      </c>
      <c r="X108" s="8">
        <f>SUMIFS($S$56:$S$165,$R$56:$R$165,$W108)*(1-VCU!$D$23)</f>
        <v>0</v>
      </c>
      <c r="Y108" s="8">
        <f>SUMIFS($T$56:$T$165,$R$56:$R$165,$W108)*(1-VCU!$D$23)</f>
        <v>0</v>
      </c>
      <c r="Z108" s="8"/>
      <c r="AA108" s="8"/>
      <c r="AB108" s="8"/>
      <c r="AC108" s="8"/>
      <c r="AD108" s="8"/>
      <c r="AE108" s="8"/>
      <c r="AF108" s="8"/>
      <c r="AG108" s="307" t="str">
        <f t="shared" si="44"/>
        <v>AAAAAAAA</v>
      </c>
      <c r="AH108" s="8">
        <f>IF($AG$100="",0,VLOOKUP($AG107,Products!$A$59:$E$158,5,FALSE))</f>
        <v>0</v>
      </c>
      <c r="AI108" s="322">
        <f>IF($AH108=0,0,AI$100*VLOOKUP($AG107,Products!$A$59:$H$158,8,FALSE))</f>
        <v>0</v>
      </c>
      <c r="AJ108" s="322">
        <f>IF($AH108=0,0,AJ$100*VLOOKUP($AG107,Products!$A$59:$H$158,8,FALSE))</f>
        <v>0</v>
      </c>
      <c r="AK108" s="8">
        <f>IF(OR(AL108=0,ISNUMBER(MATCH(AL108,$AL$55:AL107,0))),0,MAX($AK$55:AK107)+1)</f>
        <v>0</v>
      </c>
      <c r="AL108" s="8">
        <f t="shared" si="15"/>
        <v>0</v>
      </c>
      <c r="AM108" s="8">
        <f t="shared" si="16"/>
        <v>0</v>
      </c>
      <c r="AN108" s="8">
        <f>SUMIFS($AI$56:$AI$165,$AH$56:$AH$165,$AM108)*(1-VaporOxidizer!$D$23)</f>
        <v>0</v>
      </c>
      <c r="AO108" s="8">
        <f>SUMIFS($AJ$56:$AJ$165,$AH$56:$AH$165,$AM108)*(1-VaporOxidizer!$D$23)</f>
        <v>0</v>
      </c>
      <c r="AP108" s="8"/>
      <c r="AQ108" s="8"/>
      <c r="AR108" s="8"/>
      <c r="AS108" s="8"/>
      <c r="AT108" s="8"/>
      <c r="AU108" s="8"/>
      <c r="AV108" s="8"/>
      <c r="AW108" s="307" t="str">
        <f t="shared" si="45"/>
        <v>AAAAAAAA</v>
      </c>
      <c r="AX108" s="8">
        <f>IF($AW$100="",0,VLOOKUP($AW107,Products!$A$59:$E$158,5,FALSE))</f>
        <v>0</v>
      </c>
      <c r="AY108" s="322">
        <f>IF($AX108=0,0,AY$100*VLOOKUP($AW107,Products!$A$59:$H$158,8,FALSE))</f>
        <v>0</v>
      </c>
      <c r="AZ108" s="323">
        <f>IF($AX108=0,0,AZ$100*VLOOKUP($AW107,Products!$A$59:$H$158,8,FALSE))</f>
        <v>0</v>
      </c>
      <c r="BA108" s="8">
        <f>IF(OR(BB108=0,ISNUMBER(MATCH(BB108,$BB$55:BB107,0))),0,MAX($BA$55:BA107)+1)</f>
        <v>0</v>
      </c>
      <c r="BB108" s="8">
        <f t="shared" si="17"/>
        <v>0</v>
      </c>
      <c r="BC108" s="8">
        <f t="shared" si="18"/>
        <v>0</v>
      </c>
      <c r="BD108" s="8">
        <f>IF(OR($BC108="7783-06-4",$BC108="7446-09-5",$BC108="7664-93-9"),SUMIFS($AY$56:$AY$165,$AX$56:$AX$165,$BC108),SUMIFS($AY$56:$AY$165,$AX$56:$AX$165,$BC108)*(CAS!$D$19/1000000))</f>
        <v>0</v>
      </c>
      <c r="BE108" s="8">
        <f>IF(OR($BC108="7783-06-4",$BC108="7446-09-5",$BC108="7664-93-9"),SUMIFS($AZ$56:$AZ$165,$AX$56:$AX$165,$BC108),SUMIFS($AZ$56:$AZ$165,$AX$56:$AX$165,$BC108)*(CAS!$D$19/1000000))</f>
        <v>0</v>
      </c>
      <c r="BL108" s="90"/>
    </row>
    <row r="109" spans="1:64" x14ac:dyDescent="0.2">
      <c r="A109" s="307" t="str">
        <f t="shared" si="42"/>
        <v>AAAAAAAAA</v>
      </c>
      <c r="B109" s="8">
        <f>IF($A$100="",0,VLOOKUP($A108,Products!$A$59:$E$158,5,FALSE))</f>
        <v>0</v>
      </c>
      <c r="C109" s="322">
        <f>IF($B109=0,0,C$100*VLOOKUP($A108,Products!$A$59:$H$158,8,FALSE))</f>
        <v>0</v>
      </c>
      <c r="D109" s="323">
        <f>IF($B109=0,0,D$100*VLOOKUP($A108,Products!$A$59:$H$158,8,FALSE))</f>
        <v>0</v>
      </c>
      <c r="E109" s="8"/>
      <c r="F109" s="8">
        <f>IF(OR(G109=0,ISNUMBER(MATCH(G109,$G$55:G108,0))),0,MAX($F$55:F108)+1)</f>
        <v>0</v>
      </c>
      <c r="G109" s="8">
        <f t="shared" si="12"/>
        <v>0</v>
      </c>
      <c r="H109" s="8">
        <f t="shared" si="13"/>
        <v>0</v>
      </c>
      <c r="I109" s="8">
        <f>SUMIFS($C$56:$C$165,$B$56:$B$165,$H109)*(1-Flare!$D$18)</f>
        <v>0</v>
      </c>
      <c r="J109" s="8">
        <f>SUMIFS($D$56:$D$165,$B$56:$B$165,$H109)*(1-Flare!$D$18)</f>
        <v>0</v>
      </c>
      <c r="K109" s="8"/>
      <c r="L109" s="8"/>
      <c r="M109" s="8"/>
      <c r="N109" s="8"/>
      <c r="O109" s="8"/>
      <c r="P109" s="8"/>
      <c r="Q109" s="307" t="str">
        <f t="shared" si="43"/>
        <v>AAAAAAAAA</v>
      </c>
      <c r="R109" s="8">
        <f>IF($Q$100="",0,VLOOKUP($Q108,Products!$A$59:$E$158,5,FALSE))</f>
        <v>0</v>
      </c>
      <c r="S109" s="322">
        <f>IF($R109=0,0,S$100*VLOOKUP($Q108,Products!$A$59:$H$158,8,FALSE))</f>
        <v>0</v>
      </c>
      <c r="T109" s="322">
        <f>IF($R109=0,0,T$100*VLOOKUP($Q108,Products!$A$59:$H$158,8,FALSE))</f>
        <v>0</v>
      </c>
      <c r="U109" s="8">
        <f>IF(OR(V109=0,ISNUMBER(MATCH(V109,$V$55:V108,0))),0,MAX($U$55:U108)+1)</f>
        <v>0</v>
      </c>
      <c r="V109" s="8">
        <f t="shared" si="14"/>
        <v>0</v>
      </c>
      <c r="W109" s="8">
        <f t="shared" si="21"/>
        <v>0</v>
      </c>
      <c r="X109" s="8">
        <f>SUMIFS($S$56:$S$165,$R$56:$R$165,$W109)*(1-VCU!$D$23)</f>
        <v>0</v>
      </c>
      <c r="Y109" s="8">
        <f>SUMIFS($T$56:$T$165,$R$56:$R$165,$W109)*(1-VCU!$D$23)</f>
        <v>0</v>
      </c>
      <c r="Z109" s="8"/>
      <c r="AA109" s="8"/>
      <c r="AB109" s="8"/>
      <c r="AC109" s="8"/>
      <c r="AD109" s="8"/>
      <c r="AE109" s="8"/>
      <c r="AF109" s="8"/>
      <c r="AG109" s="307" t="str">
        <f t="shared" si="44"/>
        <v>AAAAAAAAA</v>
      </c>
      <c r="AH109" s="8">
        <f>IF($AG$100="",0,VLOOKUP($AG108,Products!$A$59:$E$158,5,FALSE))</f>
        <v>0</v>
      </c>
      <c r="AI109" s="322">
        <f>IF($AH109=0,0,AI$100*VLOOKUP($AG108,Products!$A$59:$H$158,8,FALSE))</f>
        <v>0</v>
      </c>
      <c r="AJ109" s="322">
        <f>IF($AH109=0,0,AJ$100*VLOOKUP($AG108,Products!$A$59:$H$158,8,FALSE))</f>
        <v>0</v>
      </c>
      <c r="AK109" s="8">
        <f>IF(OR(AL109=0,ISNUMBER(MATCH(AL109,$AL$55:AL108,0))),0,MAX($AK$55:AK108)+1)</f>
        <v>0</v>
      </c>
      <c r="AL109" s="8">
        <f t="shared" si="15"/>
        <v>0</v>
      </c>
      <c r="AM109" s="8">
        <f t="shared" si="16"/>
        <v>0</v>
      </c>
      <c r="AN109" s="8">
        <f>SUMIFS($AI$56:$AI$165,$AH$56:$AH$165,$AM109)*(1-VaporOxidizer!$D$23)</f>
        <v>0</v>
      </c>
      <c r="AO109" s="8">
        <f>SUMIFS($AJ$56:$AJ$165,$AH$56:$AH$165,$AM109)*(1-VaporOxidizer!$D$23)</f>
        <v>0</v>
      </c>
      <c r="AP109" s="8"/>
      <c r="AQ109" s="8"/>
      <c r="AR109" s="8"/>
      <c r="AS109" s="8"/>
      <c r="AT109" s="8"/>
      <c r="AU109" s="8"/>
      <c r="AV109" s="8"/>
      <c r="AW109" s="307" t="str">
        <f t="shared" si="45"/>
        <v>AAAAAAAAA</v>
      </c>
      <c r="AX109" s="8">
        <f>IF($AW$100="",0,VLOOKUP($AW108,Products!$A$59:$E$158,5,FALSE))</f>
        <v>0</v>
      </c>
      <c r="AY109" s="322">
        <f>IF($AX109=0,0,AY$100*VLOOKUP($AW108,Products!$A$59:$H$158,8,FALSE))</f>
        <v>0</v>
      </c>
      <c r="AZ109" s="323">
        <f>IF($AX109=0,0,AZ$100*VLOOKUP($AW108,Products!$A$59:$H$158,8,FALSE))</f>
        <v>0</v>
      </c>
      <c r="BA109" s="8">
        <f>IF(OR(BB109=0,ISNUMBER(MATCH(BB109,$BB$55:BB108,0))),0,MAX($BA$55:BA108)+1)</f>
        <v>0</v>
      </c>
      <c r="BB109" s="8">
        <f t="shared" si="17"/>
        <v>0</v>
      </c>
      <c r="BC109" s="8">
        <f t="shared" si="18"/>
        <v>0</v>
      </c>
      <c r="BD109" s="8">
        <f>IF(OR($BC109="7783-06-4",$BC109="7446-09-5",$BC109="7664-93-9"),SUMIFS($AY$56:$AY$165,$AX$56:$AX$165,$BC109),SUMIFS($AY$56:$AY$165,$AX$56:$AX$165,$BC109)*(CAS!$D$19/1000000))</f>
        <v>0</v>
      </c>
      <c r="BE109" s="8">
        <f>IF(OR($BC109="7783-06-4",$BC109="7446-09-5",$BC109="7664-93-9"),SUMIFS($AZ$56:$AZ$165,$AX$56:$AX$165,$BC109),SUMIFS($AZ$56:$AZ$165,$AX$56:$AX$165,$BC109)*(CAS!$D$19/1000000))</f>
        <v>0</v>
      </c>
      <c r="BL109" s="90"/>
    </row>
    <row r="110" spans="1:64" x14ac:dyDescent="0.2">
      <c r="A110" s="307" t="str">
        <f t="shared" si="42"/>
        <v>AAAAAAAAAA</v>
      </c>
      <c r="B110" s="8">
        <f>IF($A$100="",0,VLOOKUP($A109,Products!$A$59:$E$158,5,FALSE))</f>
        <v>0</v>
      </c>
      <c r="C110" s="322">
        <f>IF($B110=0,0,C$100*VLOOKUP($A109,Products!$A$59:$H$158,8,FALSE))</f>
        <v>0</v>
      </c>
      <c r="D110" s="323">
        <f>IF($B110=0,0,D$100*VLOOKUP($A109,Products!$A$59:$H$158,8,FALSE))</f>
        <v>0</v>
      </c>
      <c r="E110" s="8"/>
      <c r="F110" s="8">
        <f>IF(OR(G110=0,ISNUMBER(MATCH(G110,$G$55:G109,0))),0,MAX($F$55:F109)+1)</f>
        <v>0</v>
      </c>
      <c r="G110" s="8">
        <f t="shared" si="12"/>
        <v>0</v>
      </c>
      <c r="H110" s="8">
        <f t="shared" si="13"/>
        <v>0</v>
      </c>
      <c r="I110" s="8">
        <f>SUMIFS($C$56:$C$165,$B$56:$B$165,$H110)*(1-Flare!$D$18)</f>
        <v>0</v>
      </c>
      <c r="J110" s="8">
        <f>SUMIFS($D$56:$D$165,$B$56:$B$165,$H110)*(1-Flare!$D$18)</f>
        <v>0</v>
      </c>
      <c r="K110" s="8"/>
      <c r="L110" s="8"/>
      <c r="M110" s="8"/>
      <c r="N110" s="8"/>
      <c r="O110" s="8"/>
      <c r="P110" s="8"/>
      <c r="Q110" s="307" t="str">
        <f t="shared" si="43"/>
        <v>AAAAAAAAAA</v>
      </c>
      <c r="R110" s="8">
        <f>IF($Q$100="",0,VLOOKUP($Q109,Products!$A$59:$E$158,5,FALSE))</f>
        <v>0</v>
      </c>
      <c r="S110" s="322">
        <f>IF($R110=0,0,S$100*VLOOKUP($Q109,Products!$A$59:$H$158,8,FALSE))</f>
        <v>0</v>
      </c>
      <c r="T110" s="322">
        <f>IF($R110=0,0,T$100*VLOOKUP($Q109,Products!$A$59:$H$158,8,FALSE))</f>
        <v>0</v>
      </c>
      <c r="U110" s="8">
        <f>IF(OR(V110=0,ISNUMBER(MATCH(V110,$V$55:V109,0))),0,MAX($U$55:U109)+1)</f>
        <v>0</v>
      </c>
      <c r="V110" s="8">
        <f t="shared" si="14"/>
        <v>0</v>
      </c>
      <c r="W110" s="8">
        <f t="shared" si="21"/>
        <v>0</v>
      </c>
      <c r="X110" s="8">
        <f>SUMIFS($S$56:$S$165,$R$56:$R$165,$W110)*(1-VCU!$D$23)</f>
        <v>0</v>
      </c>
      <c r="Y110" s="8">
        <f>SUMIFS($T$56:$T$165,$R$56:$R$165,$W110)*(1-VCU!$D$23)</f>
        <v>0</v>
      </c>
      <c r="Z110" s="8"/>
      <c r="AA110" s="8"/>
      <c r="AB110" s="8"/>
      <c r="AC110" s="8"/>
      <c r="AD110" s="8"/>
      <c r="AE110" s="8"/>
      <c r="AF110" s="8"/>
      <c r="AG110" s="307" t="str">
        <f t="shared" si="44"/>
        <v>AAAAAAAAAA</v>
      </c>
      <c r="AH110" s="8">
        <f>IF($AG$100="",0,VLOOKUP($AG109,Products!$A$59:$E$158,5,FALSE))</f>
        <v>0</v>
      </c>
      <c r="AI110" s="322">
        <f>IF($AH110=0,0,AI$100*VLOOKUP($AG109,Products!$A$59:$H$158,8,FALSE))</f>
        <v>0</v>
      </c>
      <c r="AJ110" s="322">
        <f>IF($AH110=0,0,AJ$100*VLOOKUP($AG109,Products!$A$59:$H$158,8,FALSE))</f>
        <v>0</v>
      </c>
      <c r="AK110" s="8">
        <f>IF(OR(AL110=0,ISNUMBER(MATCH(AL110,$AL$55:AL109,0))),0,MAX($AK$55:AK109)+1)</f>
        <v>0</v>
      </c>
      <c r="AL110" s="8">
        <f t="shared" si="15"/>
        <v>0</v>
      </c>
      <c r="AM110" s="8">
        <f t="shared" si="16"/>
        <v>0</v>
      </c>
      <c r="AN110" s="8">
        <f>SUMIFS($AI$56:$AI$165,$AH$56:$AH$165,$AM110)*(1-VaporOxidizer!$D$23)</f>
        <v>0</v>
      </c>
      <c r="AO110" s="8">
        <f>SUMIFS($AJ$56:$AJ$165,$AH$56:$AH$165,$AM110)*(1-VaporOxidizer!$D$23)</f>
        <v>0</v>
      </c>
      <c r="AP110" s="8"/>
      <c r="AQ110" s="8"/>
      <c r="AR110" s="8"/>
      <c r="AS110" s="8"/>
      <c r="AT110" s="8"/>
      <c r="AU110" s="8"/>
      <c r="AV110" s="8"/>
      <c r="AW110" s="307" t="str">
        <f t="shared" si="45"/>
        <v>AAAAAAAAAA</v>
      </c>
      <c r="AX110" s="8">
        <f>IF($AW$100="",0,VLOOKUP($AW109,Products!$A$59:$E$158,5,FALSE))</f>
        <v>0</v>
      </c>
      <c r="AY110" s="322">
        <f>IF($AX110=0,0,AY$100*VLOOKUP($AW109,Products!$A$59:$H$158,8,FALSE))</f>
        <v>0</v>
      </c>
      <c r="AZ110" s="323">
        <f>IF($AX110=0,0,AZ$100*VLOOKUP($AW109,Products!$A$59:$H$158,8,FALSE))</f>
        <v>0</v>
      </c>
      <c r="BA110" s="8">
        <f>IF(OR(BB110=0,ISNUMBER(MATCH(BB110,$BB$55:BB109,0))),0,MAX($BA$55:BA109)+1)</f>
        <v>0</v>
      </c>
      <c r="BB110" s="8">
        <f t="shared" si="17"/>
        <v>0</v>
      </c>
      <c r="BC110" s="8">
        <f t="shared" si="18"/>
        <v>0</v>
      </c>
      <c r="BD110" s="8">
        <f>IF(OR($BC110="7783-06-4",$BC110="7446-09-5",$BC110="7664-93-9"),SUMIFS($AY$56:$AY$165,$AX$56:$AX$165,$BC110),SUMIFS($AY$56:$AY$165,$AX$56:$AX$165,$BC110)*(CAS!$D$19/1000000))</f>
        <v>0</v>
      </c>
      <c r="BE110" s="8">
        <f>IF(OR($BC110="7783-06-4",$BC110="7446-09-5",$BC110="7664-93-9"),SUMIFS($AZ$56:$AZ$165,$AX$56:$AX$165,$BC110),SUMIFS($AZ$56:$AZ$165,$AX$56:$AX$165,$BC110)*(CAS!$D$19/1000000))</f>
        <v>0</v>
      </c>
      <c r="BL110" s="90"/>
    </row>
    <row r="111" spans="1:64" x14ac:dyDescent="0.2">
      <c r="A111" s="310" t="str">
        <f>$F8</f>
        <v/>
      </c>
      <c r="B111" s="311" t="s">
        <v>291</v>
      </c>
      <c r="C111" s="311">
        <f t="shared" si="25"/>
        <v>0</v>
      </c>
      <c r="D111" s="312">
        <f t="shared" si="26"/>
        <v>0</v>
      </c>
      <c r="E111" s="8"/>
      <c r="F111" s="8">
        <f>IF(OR(G111=0,ISNUMBER(MATCH(G111,$G$55:G110,0))),0,MAX($F$55:F110)+1)</f>
        <v>0</v>
      </c>
      <c r="G111" s="8" t="str">
        <f t="shared" si="12"/>
        <v>Total VOC</v>
      </c>
      <c r="H111" s="8">
        <f t="shared" si="13"/>
        <v>0</v>
      </c>
      <c r="I111" s="8">
        <f>SUMIFS($C$56:$C$165,$B$56:$B$165,$H111)*(1-Flare!$D$18)</f>
        <v>0</v>
      </c>
      <c r="J111" s="8">
        <f>SUMIFS($D$56:$D$165,$B$56:$B$165,$H111)*(1-Flare!$D$18)</f>
        <v>0</v>
      </c>
      <c r="K111" s="8"/>
      <c r="L111" s="8"/>
      <c r="M111" s="8"/>
      <c r="N111" s="8"/>
      <c r="O111" s="8"/>
      <c r="P111" s="8"/>
      <c r="Q111" s="310" t="str">
        <f>$V8</f>
        <v/>
      </c>
      <c r="R111" s="311" t="s">
        <v>291</v>
      </c>
      <c r="S111" s="311">
        <f>VLOOKUP($Q111,$V$3:$X$12,2,FALSE)</f>
        <v>0</v>
      </c>
      <c r="T111" s="312">
        <f>VLOOKUP($Q111,$V$3:$X$12,3,FALSE)</f>
        <v>0</v>
      </c>
      <c r="U111" s="8">
        <f>IF(OR(V111=0,ISNUMBER(MATCH(V111,$V$55:V110,0))),0,MAX($U$55:U110)+1)</f>
        <v>0</v>
      </c>
      <c r="V111" s="8" t="str">
        <f t="shared" si="14"/>
        <v>Total VOC</v>
      </c>
      <c r="W111" s="8">
        <f t="shared" si="21"/>
        <v>0</v>
      </c>
      <c r="X111" s="8">
        <f>SUMIFS($S$56:$S$165,$R$56:$R$165,$W111)*(1-VCU!$D$23)</f>
        <v>0</v>
      </c>
      <c r="Y111" s="8">
        <f>SUMIFS($T$56:$T$165,$R$56:$R$165,$W111)*(1-VCU!$D$23)</f>
        <v>0</v>
      </c>
      <c r="Z111" s="8"/>
      <c r="AA111" s="8"/>
      <c r="AB111" s="8"/>
      <c r="AC111" s="8"/>
      <c r="AD111" s="8"/>
      <c r="AE111" s="8"/>
      <c r="AF111" s="8"/>
      <c r="AG111" s="310" t="str">
        <f>$AL8</f>
        <v/>
      </c>
      <c r="AH111" s="311" t="s">
        <v>291</v>
      </c>
      <c r="AI111" s="311">
        <f>VLOOKUP($AG111,$AL$3:$AN$12,2,FALSE)</f>
        <v>0</v>
      </c>
      <c r="AJ111" s="312">
        <f>VLOOKUP($AG111,$AL$3:$AN$12,3,FALSE)</f>
        <v>0</v>
      </c>
      <c r="AK111" s="8">
        <f>IF(OR(AL111=0,ISNUMBER(MATCH(AL111,$AL$55:AL110,0))),0,MAX($AK$55:AK110)+1)</f>
        <v>0</v>
      </c>
      <c r="AL111" s="8" t="str">
        <f t="shared" si="15"/>
        <v>Total VOC</v>
      </c>
      <c r="AM111" s="8">
        <f t="shared" si="16"/>
        <v>0</v>
      </c>
      <c r="AN111" s="8">
        <f>SUMIFS($AI$56:$AI$165,$AH$56:$AH$165,$AM111)*(1-VaporOxidizer!$D$23)</f>
        <v>0</v>
      </c>
      <c r="AO111" s="8">
        <f>SUMIFS($AJ$56:$AJ$165,$AH$56:$AH$165,$AM111)*(1-VaporOxidizer!$D$23)</f>
        <v>0</v>
      </c>
      <c r="AP111" s="8"/>
      <c r="AQ111" s="8"/>
      <c r="AR111" s="8"/>
      <c r="AS111" s="8"/>
      <c r="AT111" s="8"/>
      <c r="AU111" s="8"/>
      <c r="AV111" s="8"/>
      <c r="AW111" s="310" t="str">
        <f>$BB8</f>
        <v/>
      </c>
      <c r="AX111" s="311" t="s">
        <v>291</v>
      </c>
      <c r="AY111" s="311">
        <f>VLOOKUP($AW111,$BB$3:$BD$12,2,FALSE)</f>
        <v>0</v>
      </c>
      <c r="AZ111" s="312">
        <f>VLOOKUP($AW111,$BB$3:$BD$12,3,FALSE)</f>
        <v>0</v>
      </c>
      <c r="BA111" s="8">
        <f>IF(OR(BB111=0,ISNUMBER(MATCH(BB111,$BB$55:BB110,0))),0,MAX($BA$55:BA110)+1)</f>
        <v>0</v>
      </c>
      <c r="BB111" s="8" t="str">
        <f t="shared" si="17"/>
        <v>Total VOC</v>
      </c>
      <c r="BC111" s="8">
        <f t="shared" si="18"/>
        <v>0</v>
      </c>
      <c r="BD111" s="8">
        <f>IF(OR($BC111="7783-06-4",$BC111="7446-09-5",$BC111="7664-93-9"),SUMIFS($AY$56:$AY$165,$AX$56:$AX$165,$BC111),SUMIFS($AY$56:$AY$165,$AX$56:$AX$165,$BC111)*(CAS!$D$19/1000000))</f>
        <v>0</v>
      </c>
      <c r="BE111" s="8">
        <f>IF(OR($BC111="7783-06-4",$BC111="7446-09-5",$BC111="7664-93-9"),SUMIFS($AZ$56:$AZ$165,$AX$56:$AX$165,$BC111),SUMIFS($AZ$56:$AZ$165,$AX$56:$AX$165,$BC111)*(CAS!$D$19/1000000))</f>
        <v>0</v>
      </c>
      <c r="BL111" s="90"/>
    </row>
    <row r="112" spans="1:64" x14ac:dyDescent="0.2">
      <c r="A112" s="307" t="str">
        <f>A111&amp;"A"</f>
        <v>A</v>
      </c>
      <c r="B112" s="8">
        <f>IF($A$111="",0,VLOOKUP($A111,Products!$A$59:$E$158,5,FALSE))</f>
        <v>0</v>
      </c>
      <c r="C112" s="322">
        <f>IF($B112=0,0,C$111*VLOOKUP($A111,Products!$A$59:$H$158,8,FALSE))</f>
        <v>0</v>
      </c>
      <c r="D112" s="323">
        <f>IF($B112=0,0,D$111*VLOOKUP($A111,Products!$A$59:$H$158,8,FALSE))</f>
        <v>0</v>
      </c>
      <c r="E112" s="8"/>
      <c r="F112" s="8">
        <f>IF(OR(G112=0,ISNUMBER(MATCH(G112,$G$55:G111,0))),0,MAX($F$55:F111)+1)</f>
        <v>0</v>
      </c>
      <c r="G112" s="8">
        <f t="shared" si="12"/>
        <v>0</v>
      </c>
      <c r="H112" s="8">
        <f t="shared" si="13"/>
        <v>0</v>
      </c>
      <c r="I112" s="8">
        <f>SUMIFS($C$56:$C$165,$B$56:$B$165,$H112)*(1-Flare!$D$18)</f>
        <v>0</v>
      </c>
      <c r="J112" s="8">
        <f>SUMIFS($D$56:$D$165,$B$56:$B$165,$H112)*(1-Flare!$D$18)</f>
        <v>0</v>
      </c>
      <c r="K112" s="8"/>
      <c r="L112" s="8"/>
      <c r="M112" s="8"/>
      <c r="N112" s="8"/>
      <c r="O112" s="8"/>
      <c r="P112" s="8"/>
      <c r="Q112" s="307" t="str">
        <f>Q111&amp;"A"</f>
        <v>A</v>
      </c>
      <c r="R112" s="8">
        <f>IF($Q$111="",0,VLOOKUP($Q111,Products!$A$59:$E$158,5,FALSE))</f>
        <v>0</v>
      </c>
      <c r="S112" s="322">
        <f>IF($R112=0,0,S$111*VLOOKUP($Q111,Products!$A$59:$H$158,8,FALSE))</f>
        <v>0</v>
      </c>
      <c r="T112" s="322">
        <f>IF($R112=0,0,T$111*VLOOKUP($Q111,Products!$A$59:$H$158,8,FALSE))</f>
        <v>0</v>
      </c>
      <c r="U112" s="8">
        <f>IF(OR(V112=0,ISNUMBER(MATCH(V112,$V$55:V111,0))),0,MAX($U$55:U111)+1)</f>
        <v>0</v>
      </c>
      <c r="V112" s="8">
        <f t="shared" si="14"/>
        <v>0</v>
      </c>
      <c r="W112" s="8">
        <f t="shared" si="21"/>
        <v>0</v>
      </c>
      <c r="X112" s="8">
        <f>SUMIFS($S$56:$S$165,$R$56:$R$165,$W112)*(1-VCU!$D$23)</f>
        <v>0</v>
      </c>
      <c r="Y112" s="8">
        <f>SUMIFS($T$56:$T$165,$R$56:$R$165,$W112)*(1-VCU!$D$23)</f>
        <v>0</v>
      </c>
      <c r="Z112" s="8"/>
      <c r="AA112" s="8"/>
      <c r="AB112" s="8"/>
      <c r="AC112" s="8"/>
      <c r="AD112" s="8"/>
      <c r="AE112" s="8"/>
      <c r="AF112" s="8"/>
      <c r="AG112" s="307" t="str">
        <f>AG111&amp;"A"</f>
        <v>A</v>
      </c>
      <c r="AH112" s="8">
        <f>IF($AG$111="",0,VLOOKUP($AG111,Products!$A$59:$E$158,5,FALSE))</f>
        <v>0</v>
      </c>
      <c r="AI112" s="322">
        <f>IF($AH112=0,0,AI$111*VLOOKUP($AG111,Products!$A$59:$H$158,8,FALSE))</f>
        <v>0</v>
      </c>
      <c r="AJ112" s="322">
        <f>IF($AH112=0,0,AJ$111*VLOOKUP($AG111,Products!$A$59:$H$158,8,FALSE))</f>
        <v>0</v>
      </c>
      <c r="AK112" s="8">
        <f>IF(OR(AL112=0,ISNUMBER(MATCH(AL112,$AL$55:AL111,0))),0,MAX($AK$55:AK111)+1)</f>
        <v>0</v>
      </c>
      <c r="AL112" s="8">
        <f t="shared" si="15"/>
        <v>0</v>
      </c>
      <c r="AM112" s="8">
        <f t="shared" si="16"/>
        <v>0</v>
      </c>
      <c r="AN112" s="8">
        <f>SUMIFS($AI$56:$AI$165,$AH$56:$AH$165,$AM112)*(1-VaporOxidizer!$D$23)</f>
        <v>0</v>
      </c>
      <c r="AO112" s="8">
        <f>SUMIFS($AJ$56:$AJ$165,$AH$56:$AH$165,$AM112)*(1-VaporOxidizer!$D$23)</f>
        <v>0</v>
      </c>
      <c r="AP112" s="8"/>
      <c r="AQ112" s="8"/>
      <c r="AR112" s="8"/>
      <c r="AS112" s="8"/>
      <c r="AT112" s="8"/>
      <c r="AU112" s="8"/>
      <c r="AV112" s="8"/>
      <c r="AW112" s="307" t="str">
        <f>AW111&amp;"A"</f>
        <v>A</v>
      </c>
      <c r="AX112" s="8">
        <f>IF($AW$111="",0,VLOOKUP($AW111,Products!$A$59:$E$158,5,FALSE))</f>
        <v>0</v>
      </c>
      <c r="AY112" s="322">
        <f>IF($AX112=0,0,AY$111*VLOOKUP($AW111,Products!$A$59:$H$158,8,FALSE))</f>
        <v>0</v>
      </c>
      <c r="AZ112" s="323">
        <f>IF($AX112=0,0,AZ$111*VLOOKUP($AW111,Products!$A$59:$H$158,8,FALSE))</f>
        <v>0</v>
      </c>
      <c r="BA112" s="8">
        <f>IF(OR(BB112=0,ISNUMBER(MATCH(BB112,$BB$55:BB111,0))),0,MAX($BA$55:BA111)+1)</f>
        <v>0</v>
      </c>
      <c r="BB112" s="8">
        <f t="shared" si="17"/>
        <v>0</v>
      </c>
      <c r="BC112" s="8">
        <f t="shared" si="18"/>
        <v>0</v>
      </c>
      <c r="BD112" s="8">
        <f>IF(OR($BC112="7783-06-4",$BC112="7446-09-5",$BC112="7664-93-9"),SUMIFS($AY$56:$AY$165,$AX$56:$AX$165,$BC112),SUMIFS($AY$56:$AY$165,$AX$56:$AX$165,$BC112)*(CAS!$D$19/1000000))</f>
        <v>0</v>
      </c>
      <c r="BE112" s="8">
        <f>IF(OR($BC112="7783-06-4",$BC112="7446-09-5",$BC112="7664-93-9"),SUMIFS($AZ$56:$AZ$165,$AX$56:$AX$165,$BC112),SUMIFS($AZ$56:$AZ$165,$AX$56:$AX$165,$BC112)*(CAS!$D$19/1000000))</f>
        <v>0</v>
      </c>
      <c r="BL112" s="90"/>
    </row>
    <row r="113" spans="1:64" x14ac:dyDescent="0.2">
      <c r="A113" s="307" t="str">
        <f t="shared" ref="A113:A121" si="46">A112&amp;"A"</f>
        <v>AA</v>
      </c>
      <c r="B113" s="8">
        <f>IF($A$111="",0,VLOOKUP($A112,Products!$A$59:$E$158,5,FALSE))</f>
        <v>0</v>
      </c>
      <c r="C113" s="322">
        <f>IF($B113=0,0,C$111*VLOOKUP($A112,Products!$A$59:$H$158,8,FALSE))</f>
        <v>0</v>
      </c>
      <c r="D113" s="323">
        <f>IF($B113=0,0,D$111*VLOOKUP($A112,Products!$A$59:$H$158,8,FALSE))</f>
        <v>0</v>
      </c>
      <c r="E113" s="8"/>
      <c r="F113" s="8">
        <f>IF(OR(G113=0,ISNUMBER(MATCH(G113,$G$55:G112,0))),0,MAX($F$55:F112)+1)</f>
        <v>0</v>
      </c>
      <c r="G113" s="8">
        <f t="shared" si="12"/>
        <v>0</v>
      </c>
      <c r="H113" s="8">
        <f t="shared" si="13"/>
        <v>0</v>
      </c>
      <c r="I113" s="8">
        <f>SUMIFS($C$56:$C$165,$B$56:$B$165,$H113)*(1-Flare!$D$18)</f>
        <v>0</v>
      </c>
      <c r="J113" s="8">
        <f>SUMIFS($D$56:$D$165,$B$56:$B$165,$H113)*(1-Flare!$D$18)</f>
        <v>0</v>
      </c>
      <c r="K113" s="8"/>
      <c r="L113" s="8"/>
      <c r="M113" s="8"/>
      <c r="N113" s="8"/>
      <c r="O113" s="8"/>
      <c r="P113" s="8"/>
      <c r="Q113" s="307" t="str">
        <f t="shared" ref="Q113:Q121" si="47">Q112&amp;"A"</f>
        <v>AA</v>
      </c>
      <c r="R113" s="8">
        <f>IF($Q$111="",0,VLOOKUP($Q112,Products!$A$59:$E$158,5,FALSE))</f>
        <v>0</v>
      </c>
      <c r="S113" s="322">
        <f>IF($R113=0,0,S$111*VLOOKUP($Q112,Products!$A$59:$H$158,8,FALSE))</f>
        <v>0</v>
      </c>
      <c r="T113" s="322">
        <f>IF($R113=0,0,T$111*VLOOKUP($Q112,Products!$A$59:$H$158,8,FALSE))</f>
        <v>0</v>
      </c>
      <c r="U113" s="8">
        <f>IF(OR(V113=0,ISNUMBER(MATCH(V113,$V$55:V112,0))),0,MAX($U$55:U112)+1)</f>
        <v>0</v>
      </c>
      <c r="V113" s="8">
        <f t="shared" si="14"/>
        <v>0</v>
      </c>
      <c r="W113" s="8">
        <f t="shared" si="21"/>
        <v>0</v>
      </c>
      <c r="X113" s="8">
        <f>SUMIFS($S$56:$S$165,$R$56:$R$165,$W113)*(1-VCU!$D$23)</f>
        <v>0</v>
      </c>
      <c r="Y113" s="8">
        <f>SUMIFS($T$56:$T$165,$R$56:$R$165,$W113)*(1-VCU!$D$23)</f>
        <v>0</v>
      </c>
      <c r="Z113" s="8"/>
      <c r="AA113" s="8"/>
      <c r="AB113" s="8"/>
      <c r="AC113" s="8"/>
      <c r="AD113" s="8"/>
      <c r="AE113" s="8"/>
      <c r="AF113" s="8"/>
      <c r="AG113" s="307" t="str">
        <f t="shared" ref="AG113:AG121" si="48">AG112&amp;"A"</f>
        <v>AA</v>
      </c>
      <c r="AH113" s="8">
        <f>IF($AG$111="",0,VLOOKUP($AG112,Products!$A$59:$E$158,5,FALSE))</f>
        <v>0</v>
      </c>
      <c r="AI113" s="322">
        <f>IF($AH113=0,0,AI$111*VLOOKUP($AG112,Products!$A$59:$H$158,8,FALSE))</f>
        <v>0</v>
      </c>
      <c r="AJ113" s="322">
        <f>IF($AH113=0,0,AJ$111*VLOOKUP($AG112,Products!$A$59:$H$158,8,FALSE))</f>
        <v>0</v>
      </c>
      <c r="AK113" s="8">
        <f>IF(OR(AL113=0,ISNUMBER(MATCH(AL113,$AL$55:AL112,0))),0,MAX($AK$55:AK112)+1)</f>
        <v>0</v>
      </c>
      <c r="AL113" s="8">
        <f t="shared" si="15"/>
        <v>0</v>
      </c>
      <c r="AM113" s="8">
        <f t="shared" si="16"/>
        <v>0</v>
      </c>
      <c r="AN113" s="8">
        <f>SUMIFS($AI$56:$AI$165,$AH$56:$AH$165,$AM113)*(1-VaporOxidizer!$D$23)</f>
        <v>0</v>
      </c>
      <c r="AO113" s="8">
        <f>SUMIFS($AJ$56:$AJ$165,$AH$56:$AH$165,$AM113)*(1-VaporOxidizer!$D$23)</f>
        <v>0</v>
      </c>
      <c r="AP113" s="8"/>
      <c r="AQ113" s="8"/>
      <c r="AR113" s="8"/>
      <c r="AS113" s="8"/>
      <c r="AT113" s="8"/>
      <c r="AU113" s="8"/>
      <c r="AV113" s="8"/>
      <c r="AW113" s="307" t="str">
        <f t="shared" ref="AW113:AW121" si="49">AW112&amp;"A"</f>
        <v>AA</v>
      </c>
      <c r="AX113" s="8">
        <f>IF($AW$111="",0,VLOOKUP($AW112,Products!$A$59:$E$158,5,FALSE))</f>
        <v>0</v>
      </c>
      <c r="AY113" s="322">
        <f>IF($AX113=0,0,AY$111*VLOOKUP($AW112,Products!$A$59:$H$158,8,FALSE))</f>
        <v>0</v>
      </c>
      <c r="AZ113" s="323">
        <f>IF($AX113=0,0,AZ$111*VLOOKUP($AW112,Products!$A$59:$H$158,8,FALSE))</f>
        <v>0</v>
      </c>
      <c r="BA113" s="8">
        <f>IF(OR(BB113=0,ISNUMBER(MATCH(BB113,$BB$55:BB112,0))),0,MAX($BA$55:BA112)+1)</f>
        <v>0</v>
      </c>
      <c r="BB113" s="8">
        <f t="shared" si="17"/>
        <v>0</v>
      </c>
      <c r="BC113" s="8">
        <f t="shared" si="18"/>
        <v>0</v>
      </c>
      <c r="BD113" s="8">
        <f>IF(OR($BC113="7783-06-4",$BC113="7446-09-5",$BC113="7664-93-9"),SUMIFS($AY$56:$AY$165,$AX$56:$AX$165,$BC113),SUMIFS($AY$56:$AY$165,$AX$56:$AX$165,$BC113)*(CAS!$D$19/1000000))</f>
        <v>0</v>
      </c>
      <c r="BE113" s="8">
        <f>IF(OR($BC113="7783-06-4",$BC113="7446-09-5",$BC113="7664-93-9"),SUMIFS($AZ$56:$AZ$165,$AX$56:$AX$165,$BC113),SUMIFS($AZ$56:$AZ$165,$AX$56:$AX$165,$BC113)*(CAS!$D$19/1000000))</f>
        <v>0</v>
      </c>
      <c r="BL113" s="90"/>
    </row>
    <row r="114" spans="1:64" x14ac:dyDescent="0.2">
      <c r="A114" s="307" t="str">
        <f t="shared" si="46"/>
        <v>AAA</v>
      </c>
      <c r="B114" s="8">
        <f>IF($A$111="",0,VLOOKUP($A113,Products!$A$59:$E$158,5,FALSE))</f>
        <v>0</v>
      </c>
      <c r="C114" s="322">
        <f>IF($B114=0,0,C$111*VLOOKUP($A113,Products!$A$59:$H$158,8,FALSE))</f>
        <v>0</v>
      </c>
      <c r="D114" s="323">
        <f>IF($B114=0,0,D$111*VLOOKUP($A113,Products!$A$59:$H$158,8,FALSE))</f>
        <v>0</v>
      </c>
      <c r="E114" s="8"/>
      <c r="F114" s="8">
        <f>IF(OR(G114=0,ISNUMBER(MATCH(G114,$G$55:G113,0))),0,MAX($F$55:F113)+1)</f>
        <v>0</v>
      </c>
      <c r="G114" s="8">
        <f t="shared" si="12"/>
        <v>0</v>
      </c>
      <c r="H114" s="8">
        <f t="shared" si="13"/>
        <v>0</v>
      </c>
      <c r="I114" s="8">
        <f>SUMIFS($C$56:$C$165,$B$56:$B$165,$H114)*(1-Flare!$D$18)</f>
        <v>0</v>
      </c>
      <c r="J114" s="8">
        <f>SUMIFS($D$56:$D$165,$B$56:$B$165,$H114)*(1-Flare!$D$18)</f>
        <v>0</v>
      </c>
      <c r="K114" s="8"/>
      <c r="L114" s="8"/>
      <c r="M114" s="8"/>
      <c r="N114" s="8"/>
      <c r="O114" s="8"/>
      <c r="P114" s="8"/>
      <c r="Q114" s="307" t="str">
        <f t="shared" si="47"/>
        <v>AAA</v>
      </c>
      <c r="R114" s="8">
        <f>IF($Q$111="",0,VLOOKUP($Q113,Products!$A$59:$E$158,5,FALSE))</f>
        <v>0</v>
      </c>
      <c r="S114" s="322">
        <f>IF($R114=0,0,S$111*VLOOKUP($Q113,Products!$A$59:$H$158,8,FALSE))</f>
        <v>0</v>
      </c>
      <c r="T114" s="322">
        <f>IF($R114=0,0,T$111*VLOOKUP($Q113,Products!$A$59:$H$158,8,FALSE))</f>
        <v>0</v>
      </c>
      <c r="U114" s="8">
        <f>IF(OR(V114=0,ISNUMBER(MATCH(V114,$V$55:V113,0))),0,MAX($U$55:U113)+1)</f>
        <v>0</v>
      </c>
      <c r="V114" s="8">
        <f t="shared" si="14"/>
        <v>0</v>
      </c>
      <c r="W114" s="8">
        <f t="shared" si="21"/>
        <v>0</v>
      </c>
      <c r="X114" s="8">
        <f>SUMIFS($S$56:$S$165,$R$56:$R$165,$W114)*(1-VCU!$D$23)</f>
        <v>0</v>
      </c>
      <c r="Y114" s="8">
        <f>SUMIFS($T$56:$T$165,$R$56:$R$165,$W114)*(1-VCU!$D$23)</f>
        <v>0</v>
      </c>
      <c r="Z114" s="8"/>
      <c r="AA114" s="8"/>
      <c r="AB114" s="8"/>
      <c r="AC114" s="8"/>
      <c r="AD114" s="8"/>
      <c r="AE114" s="8"/>
      <c r="AF114" s="8"/>
      <c r="AG114" s="307" t="str">
        <f t="shared" si="48"/>
        <v>AAA</v>
      </c>
      <c r="AH114" s="8">
        <f>IF($AG$111="",0,VLOOKUP($AG113,Products!$A$59:$E$158,5,FALSE))</f>
        <v>0</v>
      </c>
      <c r="AI114" s="322">
        <f>IF($AH114=0,0,AI$111*VLOOKUP($AG113,Products!$A$59:$H$158,8,FALSE))</f>
        <v>0</v>
      </c>
      <c r="AJ114" s="322">
        <f>IF($AH114=0,0,AJ$111*VLOOKUP($AG113,Products!$A$59:$H$158,8,FALSE))</f>
        <v>0</v>
      </c>
      <c r="AK114" s="8">
        <f>IF(OR(AL114=0,ISNUMBER(MATCH(AL114,$AL$55:AL113,0))),0,MAX($AK$55:AK113)+1)</f>
        <v>0</v>
      </c>
      <c r="AL114" s="8">
        <f t="shared" si="15"/>
        <v>0</v>
      </c>
      <c r="AM114" s="8">
        <f t="shared" si="16"/>
        <v>0</v>
      </c>
      <c r="AN114" s="8">
        <f>SUMIFS($AI$56:$AI$165,$AH$56:$AH$165,$AM114)*(1-VaporOxidizer!$D$23)</f>
        <v>0</v>
      </c>
      <c r="AO114" s="8">
        <f>SUMIFS($AJ$56:$AJ$165,$AH$56:$AH$165,$AM114)*(1-VaporOxidizer!$D$23)</f>
        <v>0</v>
      </c>
      <c r="AP114" s="8"/>
      <c r="AQ114" s="8"/>
      <c r="AR114" s="8"/>
      <c r="AS114" s="8"/>
      <c r="AT114" s="8"/>
      <c r="AU114" s="8"/>
      <c r="AV114" s="8"/>
      <c r="AW114" s="307" t="str">
        <f t="shared" si="49"/>
        <v>AAA</v>
      </c>
      <c r="AX114" s="8">
        <f>IF($AW$111="",0,VLOOKUP($AW113,Products!$A$59:$E$158,5,FALSE))</f>
        <v>0</v>
      </c>
      <c r="AY114" s="322">
        <f>IF($AX114=0,0,AY$111*VLOOKUP($AW113,Products!$A$59:$H$158,8,FALSE))</f>
        <v>0</v>
      </c>
      <c r="AZ114" s="323">
        <f>IF($AX114=0,0,AZ$111*VLOOKUP($AW113,Products!$A$59:$H$158,8,FALSE))</f>
        <v>0</v>
      </c>
      <c r="BA114" s="8">
        <f>IF(OR(BB114=0,ISNUMBER(MATCH(BB114,$BB$55:BB113,0))),0,MAX($BA$55:BA113)+1)</f>
        <v>0</v>
      </c>
      <c r="BB114" s="8">
        <f t="shared" si="17"/>
        <v>0</v>
      </c>
      <c r="BC114" s="8">
        <f t="shared" si="18"/>
        <v>0</v>
      </c>
      <c r="BD114" s="8">
        <f>IF(OR($BC114="7783-06-4",$BC114="7446-09-5",$BC114="7664-93-9"),SUMIFS($AY$56:$AY$165,$AX$56:$AX$165,$BC114),SUMIFS($AY$56:$AY$165,$AX$56:$AX$165,$BC114)*(CAS!$D$19/1000000))</f>
        <v>0</v>
      </c>
      <c r="BE114" s="8">
        <f>IF(OR($BC114="7783-06-4",$BC114="7446-09-5",$BC114="7664-93-9"),SUMIFS($AZ$56:$AZ$165,$AX$56:$AX$165,$BC114),SUMIFS($AZ$56:$AZ$165,$AX$56:$AX$165,$BC114)*(CAS!$D$19/1000000))</f>
        <v>0</v>
      </c>
      <c r="BL114" s="90"/>
    </row>
    <row r="115" spans="1:64" x14ac:dyDescent="0.2">
      <c r="A115" s="307" t="str">
        <f t="shared" si="46"/>
        <v>AAAA</v>
      </c>
      <c r="B115" s="8">
        <f>IF($A$111="",0,VLOOKUP($A114,Products!$A$59:$E$158,5,FALSE))</f>
        <v>0</v>
      </c>
      <c r="C115" s="322">
        <f>IF($B115=0,0,C$111*VLOOKUP($A114,Products!$A$59:$H$158,8,FALSE))</f>
        <v>0</v>
      </c>
      <c r="D115" s="323">
        <f>IF($B115=0,0,D$111*VLOOKUP($A114,Products!$A$59:$H$158,8,FALSE))</f>
        <v>0</v>
      </c>
      <c r="E115" s="8"/>
      <c r="F115" s="8">
        <f>IF(OR(G115=0,ISNUMBER(MATCH(G115,$G$55:G114,0))),0,MAX($F$55:F114)+1)</f>
        <v>0</v>
      </c>
      <c r="G115" s="8">
        <f t="shared" si="12"/>
        <v>0</v>
      </c>
      <c r="H115" s="8">
        <f t="shared" si="13"/>
        <v>0</v>
      </c>
      <c r="I115" s="8">
        <f>SUMIFS($C$56:$C$165,$B$56:$B$165,$H115)*(1-Flare!$D$18)</f>
        <v>0</v>
      </c>
      <c r="J115" s="8">
        <f>SUMIFS($D$56:$D$165,$B$56:$B$165,$H115)*(1-Flare!$D$18)</f>
        <v>0</v>
      </c>
      <c r="K115" s="8"/>
      <c r="L115" s="8"/>
      <c r="M115" s="8"/>
      <c r="N115" s="8"/>
      <c r="O115" s="8"/>
      <c r="P115" s="8"/>
      <c r="Q115" s="307" t="str">
        <f t="shared" si="47"/>
        <v>AAAA</v>
      </c>
      <c r="R115" s="8">
        <f>IF($Q$111="",0,VLOOKUP($Q114,Products!$A$59:$E$158,5,FALSE))</f>
        <v>0</v>
      </c>
      <c r="S115" s="322">
        <f>IF($R115=0,0,S$111*VLOOKUP($Q114,Products!$A$59:$H$158,8,FALSE))</f>
        <v>0</v>
      </c>
      <c r="T115" s="322">
        <f>IF($R115=0,0,T$111*VLOOKUP($Q114,Products!$A$59:$H$158,8,FALSE))</f>
        <v>0</v>
      </c>
      <c r="U115" s="8">
        <f>IF(OR(V115=0,ISNUMBER(MATCH(V115,$V$55:V114,0))),0,MAX($U$55:U114)+1)</f>
        <v>0</v>
      </c>
      <c r="V115" s="8">
        <f t="shared" si="14"/>
        <v>0</v>
      </c>
      <c r="W115" s="8">
        <f t="shared" si="21"/>
        <v>0</v>
      </c>
      <c r="X115" s="8">
        <f>SUMIFS($S$56:$S$165,$R$56:$R$165,$W115)*(1-VCU!$D$23)</f>
        <v>0</v>
      </c>
      <c r="Y115" s="8">
        <f>SUMIFS($T$56:$T$165,$R$56:$R$165,$W115)*(1-VCU!$D$23)</f>
        <v>0</v>
      </c>
      <c r="Z115" s="8"/>
      <c r="AA115" s="8"/>
      <c r="AB115" s="8"/>
      <c r="AC115" s="8"/>
      <c r="AD115" s="8"/>
      <c r="AE115" s="8"/>
      <c r="AF115" s="8"/>
      <c r="AG115" s="307" t="str">
        <f t="shared" si="48"/>
        <v>AAAA</v>
      </c>
      <c r="AH115" s="8">
        <f>IF($AG$111="",0,VLOOKUP($AG114,Products!$A$59:$E$158,5,FALSE))</f>
        <v>0</v>
      </c>
      <c r="AI115" s="322">
        <f>IF($AH115=0,0,AI$111*VLOOKUP($AG114,Products!$A$59:$H$158,8,FALSE))</f>
        <v>0</v>
      </c>
      <c r="AJ115" s="322">
        <f>IF($AH115=0,0,AJ$111*VLOOKUP($AG114,Products!$A$59:$H$158,8,FALSE))</f>
        <v>0</v>
      </c>
      <c r="AK115" s="8">
        <f>IF(OR(AL115=0,ISNUMBER(MATCH(AL115,$AL$55:AL114,0))),0,MAX($AK$55:AK114)+1)</f>
        <v>0</v>
      </c>
      <c r="AL115" s="8">
        <f t="shared" si="15"/>
        <v>0</v>
      </c>
      <c r="AM115" s="8">
        <f t="shared" si="16"/>
        <v>0</v>
      </c>
      <c r="AN115" s="8">
        <f>SUMIFS($AI$56:$AI$165,$AH$56:$AH$165,$AM115)*(1-VaporOxidizer!$D$23)</f>
        <v>0</v>
      </c>
      <c r="AO115" s="8">
        <f>SUMIFS($AJ$56:$AJ$165,$AH$56:$AH$165,$AM115)*(1-VaporOxidizer!$D$23)</f>
        <v>0</v>
      </c>
      <c r="AP115" s="8"/>
      <c r="AQ115" s="8"/>
      <c r="AR115" s="8"/>
      <c r="AS115" s="8"/>
      <c r="AT115" s="8"/>
      <c r="AU115" s="8"/>
      <c r="AV115" s="8"/>
      <c r="AW115" s="307" t="str">
        <f t="shared" si="49"/>
        <v>AAAA</v>
      </c>
      <c r="AX115" s="8">
        <f>IF($AW$111="",0,VLOOKUP($AW114,Products!$A$59:$E$158,5,FALSE))</f>
        <v>0</v>
      </c>
      <c r="AY115" s="322">
        <f>IF($AX115=0,0,AY$111*VLOOKUP($AW114,Products!$A$59:$H$158,8,FALSE))</f>
        <v>0</v>
      </c>
      <c r="AZ115" s="323">
        <f>IF($AX115=0,0,AZ$111*VLOOKUP($AW114,Products!$A$59:$H$158,8,FALSE))</f>
        <v>0</v>
      </c>
      <c r="BA115" s="8">
        <f>IF(OR(BB115=0,ISNUMBER(MATCH(BB115,$BB$55:BB114,0))),0,MAX($BA$55:BA114)+1)</f>
        <v>0</v>
      </c>
      <c r="BB115" s="8">
        <f t="shared" si="17"/>
        <v>0</v>
      </c>
      <c r="BC115" s="8">
        <f t="shared" si="18"/>
        <v>0</v>
      </c>
      <c r="BD115" s="8">
        <f>IF(OR($BC115="7783-06-4",$BC115="7446-09-5",$BC115="7664-93-9"),SUMIFS($AY$56:$AY$165,$AX$56:$AX$165,$BC115),SUMIFS($AY$56:$AY$165,$AX$56:$AX$165,$BC115)*(CAS!$D$19/1000000))</f>
        <v>0</v>
      </c>
      <c r="BE115" s="8">
        <f>IF(OR($BC115="7783-06-4",$BC115="7446-09-5",$BC115="7664-93-9"),SUMIFS($AZ$56:$AZ$165,$AX$56:$AX$165,$BC115),SUMIFS($AZ$56:$AZ$165,$AX$56:$AX$165,$BC115)*(CAS!$D$19/1000000))</f>
        <v>0</v>
      </c>
      <c r="BL115" s="90"/>
    </row>
    <row r="116" spans="1:64" x14ac:dyDescent="0.2">
      <c r="A116" s="307" t="str">
        <f t="shared" si="46"/>
        <v>AAAAA</v>
      </c>
      <c r="B116" s="8">
        <f>IF($A$111="",0,VLOOKUP($A115,Products!$A$59:$E$158,5,FALSE))</f>
        <v>0</v>
      </c>
      <c r="C116" s="322">
        <f>IF($B116=0,0,C$111*VLOOKUP($A115,Products!$A$59:$H$158,8,FALSE))</f>
        <v>0</v>
      </c>
      <c r="D116" s="323">
        <f>IF($B116=0,0,D$111*VLOOKUP($A115,Products!$A$59:$H$158,8,FALSE))</f>
        <v>0</v>
      </c>
      <c r="E116" s="8"/>
      <c r="F116" s="8">
        <f>IF(OR(G116=0,ISNUMBER(MATCH(G116,$G$55:G115,0))),0,MAX($F$55:F115)+1)</f>
        <v>0</v>
      </c>
      <c r="G116" s="8">
        <f t="shared" si="12"/>
        <v>0</v>
      </c>
      <c r="H116" s="8">
        <f t="shared" si="13"/>
        <v>0</v>
      </c>
      <c r="I116" s="8">
        <f>SUMIFS($C$56:$C$165,$B$56:$B$165,$H116)*(1-Flare!$D$18)</f>
        <v>0</v>
      </c>
      <c r="J116" s="8">
        <f>SUMIFS($D$56:$D$165,$B$56:$B$165,$H116)*(1-Flare!$D$18)</f>
        <v>0</v>
      </c>
      <c r="K116" s="8"/>
      <c r="L116" s="8"/>
      <c r="M116" s="8"/>
      <c r="N116" s="8"/>
      <c r="O116" s="8"/>
      <c r="P116" s="8"/>
      <c r="Q116" s="307" t="str">
        <f t="shared" si="47"/>
        <v>AAAAA</v>
      </c>
      <c r="R116" s="8">
        <f>IF($Q$111="",0,VLOOKUP($Q115,Products!$A$59:$E$158,5,FALSE))</f>
        <v>0</v>
      </c>
      <c r="S116" s="322">
        <f>IF($R116=0,0,S$111*VLOOKUP($Q115,Products!$A$59:$H$158,8,FALSE))</f>
        <v>0</v>
      </c>
      <c r="T116" s="322">
        <f>IF($R116=0,0,T$111*VLOOKUP($Q115,Products!$A$59:$H$158,8,FALSE))</f>
        <v>0</v>
      </c>
      <c r="U116" s="8">
        <f>IF(OR(V116=0,ISNUMBER(MATCH(V116,$V$55:V115,0))),0,MAX($U$55:U115)+1)</f>
        <v>0</v>
      </c>
      <c r="V116" s="8">
        <f t="shared" si="14"/>
        <v>0</v>
      </c>
      <c r="W116" s="8">
        <f t="shared" si="21"/>
        <v>0</v>
      </c>
      <c r="X116" s="8">
        <f>SUMIFS($S$56:$S$165,$R$56:$R$165,$W116)*(1-VCU!$D$23)</f>
        <v>0</v>
      </c>
      <c r="Y116" s="8">
        <f>SUMIFS($T$56:$T$165,$R$56:$R$165,$W116)*(1-VCU!$D$23)</f>
        <v>0</v>
      </c>
      <c r="Z116" s="8"/>
      <c r="AA116" s="8"/>
      <c r="AB116" s="8"/>
      <c r="AC116" s="8"/>
      <c r="AD116" s="8"/>
      <c r="AE116" s="8"/>
      <c r="AF116" s="8"/>
      <c r="AG116" s="307" t="str">
        <f t="shared" si="48"/>
        <v>AAAAA</v>
      </c>
      <c r="AH116" s="8">
        <f>IF($AG$111="",0,VLOOKUP($AG115,Products!$A$59:$E$158,5,FALSE))</f>
        <v>0</v>
      </c>
      <c r="AI116" s="322">
        <f>IF($AH116=0,0,AI$111*VLOOKUP($AG115,Products!$A$59:$H$158,8,FALSE))</f>
        <v>0</v>
      </c>
      <c r="AJ116" s="322">
        <f>IF($AH116=0,0,AJ$111*VLOOKUP($AG115,Products!$A$59:$H$158,8,FALSE))</f>
        <v>0</v>
      </c>
      <c r="AK116" s="8">
        <f>IF(OR(AL116=0,ISNUMBER(MATCH(AL116,$AL$55:AL115,0))),0,MAX($AK$55:AK115)+1)</f>
        <v>0</v>
      </c>
      <c r="AL116" s="8">
        <f t="shared" si="15"/>
        <v>0</v>
      </c>
      <c r="AM116" s="8">
        <f t="shared" si="16"/>
        <v>0</v>
      </c>
      <c r="AN116" s="8">
        <f>SUMIFS($AI$56:$AI$165,$AH$56:$AH$165,$AM116)*(1-VaporOxidizer!$D$23)</f>
        <v>0</v>
      </c>
      <c r="AO116" s="8">
        <f>SUMIFS($AJ$56:$AJ$165,$AH$56:$AH$165,$AM116)*(1-VaporOxidizer!$D$23)</f>
        <v>0</v>
      </c>
      <c r="AP116" s="8"/>
      <c r="AQ116" s="8"/>
      <c r="AR116" s="8"/>
      <c r="AS116" s="8"/>
      <c r="AT116" s="8"/>
      <c r="AU116" s="8"/>
      <c r="AV116" s="8"/>
      <c r="AW116" s="307" t="str">
        <f t="shared" si="49"/>
        <v>AAAAA</v>
      </c>
      <c r="AX116" s="8">
        <f>IF($AW$111="",0,VLOOKUP($AW115,Products!$A$59:$E$158,5,FALSE))</f>
        <v>0</v>
      </c>
      <c r="AY116" s="322">
        <f>IF($AX116=0,0,AY$111*VLOOKUP($AW115,Products!$A$59:$H$158,8,FALSE))</f>
        <v>0</v>
      </c>
      <c r="AZ116" s="323">
        <f>IF($AX116=0,0,AZ$111*VLOOKUP($AW115,Products!$A$59:$H$158,8,FALSE))</f>
        <v>0</v>
      </c>
      <c r="BA116" s="8">
        <f>IF(OR(BB116=0,ISNUMBER(MATCH(BB116,$BB$55:BB115,0))),0,MAX($BA$55:BA115)+1)</f>
        <v>0</v>
      </c>
      <c r="BB116" s="8">
        <f t="shared" si="17"/>
        <v>0</v>
      </c>
      <c r="BC116" s="8">
        <f t="shared" si="18"/>
        <v>0</v>
      </c>
      <c r="BD116" s="8">
        <f>IF(OR($BC116="7783-06-4",$BC116="7446-09-5",$BC116="7664-93-9"),SUMIFS($AY$56:$AY$165,$AX$56:$AX$165,$BC116),SUMIFS($AY$56:$AY$165,$AX$56:$AX$165,$BC116)*(CAS!$D$19/1000000))</f>
        <v>0</v>
      </c>
      <c r="BE116" s="8">
        <f>IF(OR($BC116="7783-06-4",$BC116="7446-09-5",$BC116="7664-93-9"),SUMIFS($AZ$56:$AZ$165,$AX$56:$AX$165,$BC116),SUMIFS($AZ$56:$AZ$165,$AX$56:$AX$165,$BC116)*(CAS!$D$19/1000000))</f>
        <v>0</v>
      </c>
      <c r="BL116" s="90"/>
    </row>
    <row r="117" spans="1:64" x14ac:dyDescent="0.2">
      <c r="A117" s="307" t="str">
        <f t="shared" si="46"/>
        <v>AAAAAA</v>
      </c>
      <c r="B117" s="8">
        <f>IF($A$111="",0,VLOOKUP($A116,Products!$A$59:$E$158,5,FALSE))</f>
        <v>0</v>
      </c>
      <c r="C117" s="322">
        <f>IF($B117=0,0,C$111*VLOOKUP($A116,Products!$A$59:$H$158,8,FALSE))</f>
        <v>0</v>
      </c>
      <c r="D117" s="323">
        <f>IF($B117=0,0,D$111*VLOOKUP($A116,Products!$A$59:$H$158,8,FALSE))</f>
        <v>0</v>
      </c>
      <c r="E117" s="8"/>
      <c r="F117" s="8">
        <f>IF(OR(G117=0,ISNUMBER(MATCH(G117,$G$55:G116,0))),0,MAX($F$55:F116)+1)</f>
        <v>0</v>
      </c>
      <c r="G117" s="8">
        <f t="shared" si="12"/>
        <v>0</v>
      </c>
      <c r="H117" s="8">
        <f t="shared" si="13"/>
        <v>0</v>
      </c>
      <c r="I117" s="8">
        <f>SUMIFS($C$56:$C$165,$B$56:$B$165,$H117)*(1-Flare!$D$18)</f>
        <v>0</v>
      </c>
      <c r="J117" s="8">
        <f>SUMIFS($D$56:$D$165,$B$56:$B$165,$H117)*(1-Flare!$D$18)</f>
        <v>0</v>
      </c>
      <c r="K117" s="8"/>
      <c r="L117" s="8"/>
      <c r="M117" s="8"/>
      <c r="N117" s="8"/>
      <c r="O117" s="8"/>
      <c r="P117" s="8"/>
      <c r="Q117" s="307" t="str">
        <f t="shared" si="47"/>
        <v>AAAAAA</v>
      </c>
      <c r="R117" s="8">
        <f>IF($Q$111="",0,VLOOKUP($Q116,Products!$A$59:$E$158,5,FALSE))</f>
        <v>0</v>
      </c>
      <c r="S117" s="322">
        <f>IF($R117=0,0,S$111*VLOOKUP($Q116,Products!$A$59:$H$158,8,FALSE))</f>
        <v>0</v>
      </c>
      <c r="T117" s="322">
        <f>IF($R117=0,0,T$111*VLOOKUP($Q116,Products!$A$59:$H$158,8,FALSE))</f>
        <v>0</v>
      </c>
      <c r="U117" s="8">
        <f>IF(OR(V117=0,ISNUMBER(MATCH(V117,$V$55:V116,0))),0,MAX($U$55:U116)+1)</f>
        <v>0</v>
      </c>
      <c r="V117" s="8">
        <f t="shared" si="14"/>
        <v>0</v>
      </c>
      <c r="W117" s="8">
        <f t="shared" si="21"/>
        <v>0</v>
      </c>
      <c r="X117" s="8">
        <f>SUMIFS($S$56:$S$165,$R$56:$R$165,$W117)*(1-VCU!$D$23)</f>
        <v>0</v>
      </c>
      <c r="Y117" s="8">
        <f>SUMIFS($T$56:$T$165,$R$56:$R$165,$W117)*(1-VCU!$D$23)</f>
        <v>0</v>
      </c>
      <c r="Z117" s="8"/>
      <c r="AA117" s="8"/>
      <c r="AB117" s="8"/>
      <c r="AC117" s="8"/>
      <c r="AD117" s="8"/>
      <c r="AE117" s="8"/>
      <c r="AF117" s="8"/>
      <c r="AG117" s="307" t="str">
        <f t="shared" si="48"/>
        <v>AAAAAA</v>
      </c>
      <c r="AH117" s="8">
        <f>IF($AG$111="",0,VLOOKUP($AG116,Products!$A$59:$E$158,5,FALSE))</f>
        <v>0</v>
      </c>
      <c r="AI117" s="322">
        <f>IF($AH117=0,0,AI$111*VLOOKUP($AG116,Products!$A$59:$H$158,8,FALSE))</f>
        <v>0</v>
      </c>
      <c r="AJ117" s="322">
        <f>IF($AH117=0,0,AJ$111*VLOOKUP($AG116,Products!$A$59:$H$158,8,FALSE))</f>
        <v>0</v>
      </c>
      <c r="AK117" s="8">
        <f>IF(OR(AL117=0,ISNUMBER(MATCH(AL117,$AL$55:AL116,0))),0,MAX($AK$55:AK116)+1)</f>
        <v>0</v>
      </c>
      <c r="AL117" s="8">
        <f t="shared" si="15"/>
        <v>0</v>
      </c>
      <c r="AM117" s="8">
        <f t="shared" si="16"/>
        <v>0</v>
      </c>
      <c r="AN117" s="8">
        <f>SUMIFS($AI$56:$AI$165,$AH$56:$AH$165,$AM117)*(1-VaporOxidizer!$D$23)</f>
        <v>0</v>
      </c>
      <c r="AO117" s="8">
        <f>SUMIFS($AJ$56:$AJ$165,$AH$56:$AH$165,$AM117)*(1-VaporOxidizer!$D$23)</f>
        <v>0</v>
      </c>
      <c r="AP117" s="8"/>
      <c r="AQ117" s="8"/>
      <c r="AR117" s="8"/>
      <c r="AS117" s="8"/>
      <c r="AT117" s="8"/>
      <c r="AU117" s="8"/>
      <c r="AV117" s="8"/>
      <c r="AW117" s="307" t="str">
        <f t="shared" si="49"/>
        <v>AAAAAA</v>
      </c>
      <c r="AX117" s="8">
        <f>IF($AW$111="",0,VLOOKUP($AW116,Products!$A$59:$E$158,5,FALSE))</f>
        <v>0</v>
      </c>
      <c r="AY117" s="322">
        <f>IF($AX117=0,0,AY$111*VLOOKUP($AW116,Products!$A$59:$H$158,8,FALSE))</f>
        <v>0</v>
      </c>
      <c r="AZ117" s="323">
        <f>IF($AX117=0,0,AZ$111*VLOOKUP($AW116,Products!$A$59:$H$158,8,FALSE))</f>
        <v>0</v>
      </c>
      <c r="BA117" s="8">
        <f>IF(OR(BB117=0,ISNUMBER(MATCH(BB117,$BB$55:BB116,0))),0,MAX($BA$55:BA116)+1)</f>
        <v>0</v>
      </c>
      <c r="BB117" s="8">
        <f t="shared" si="17"/>
        <v>0</v>
      </c>
      <c r="BC117" s="8">
        <f t="shared" si="18"/>
        <v>0</v>
      </c>
      <c r="BD117" s="8">
        <f>IF(OR($BC117="7783-06-4",$BC117="7446-09-5",$BC117="7664-93-9"),SUMIFS($AY$56:$AY$165,$AX$56:$AX$165,$BC117),SUMIFS($AY$56:$AY$165,$AX$56:$AX$165,$BC117)*(CAS!$D$19/1000000))</f>
        <v>0</v>
      </c>
      <c r="BE117" s="8">
        <f>IF(OR($BC117="7783-06-4",$BC117="7446-09-5",$BC117="7664-93-9"),SUMIFS($AZ$56:$AZ$165,$AX$56:$AX$165,$BC117),SUMIFS($AZ$56:$AZ$165,$AX$56:$AX$165,$BC117)*(CAS!$D$19/1000000))</f>
        <v>0</v>
      </c>
      <c r="BL117" s="90"/>
    </row>
    <row r="118" spans="1:64" x14ac:dyDescent="0.2">
      <c r="A118" s="307" t="str">
        <f t="shared" si="46"/>
        <v>AAAAAAA</v>
      </c>
      <c r="B118" s="8">
        <f>IF($A$111="",0,VLOOKUP($A117,Products!$A$59:$E$158,5,FALSE))</f>
        <v>0</v>
      </c>
      <c r="C118" s="322">
        <f>IF($B118=0,0,C$111*VLOOKUP($A117,Products!$A$59:$H$158,8,FALSE))</f>
        <v>0</v>
      </c>
      <c r="D118" s="323">
        <f>IF($B118=0,0,D$111*VLOOKUP($A117,Products!$A$59:$H$158,8,FALSE))</f>
        <v>0</v>
      </c>
      <c r="E118" s="8"/>
      <c r="F118" s="8">
        <f>IF(OR(G118=0,ISNUMBER(MATCH(G118,$G$55:G117,0))),0,MAX($F$55:F117)+1)</f>
        <v>0</v>
      </c>
      <c r="G118" s="8">
        <f t="shared" si="12"/>
        <v>0</v>
      </c>
      <c r="H118" s="8">
        <f t="shared" si="13"/>
        <v>0</v>
      </c>
      <c r="I118" s="8">
        <f>SUMIFS($C$56:$C$165,$B$56:$B$165,$H118)*(1-Flare!$D$18)</f>
        <v>0</v>
      </c>
      <c r="J118" s="8">
        <f>SUMIFS($D$56:$D$165,$B$56:$B$165,$H118)*(1-Flare!$D$18)</f>
        <v>0</v>
      </c>
      <c r="K118" s="8"/>
      <c r="L118" s="8"/>
      <c r="M118" s="8"/>
      <c r="N118" s="8"/>
      <c r="O118" s="8"/>
      <c r="P118" s="8"/>
      <c r="Q118" s="307" t="str">
        <f t="shared" si="47"/>
        <v>AAAAAAA</v>
      </c>
      <c r="R118" s="8">
        <f>IF($Q$111="",0,VLOOKUP($Q117,Products!$A$59:$E$158,5,FALSE))</f>
        <v>0</v>
      </c>
      <c r="S118" s="322">
        <f>IF($R118=0,0,S$111*VLOOKUP($Q117,Products!$A$59:$H$158,8,FALSE))</f>
        <v>0</v>
      </c>
      <c r="T118" s="322">
        <f>IF($R118=0,0,T$111*VLOOKUP($Q117,Products!$A$59:$H$158,8,FALSE))</f>
        <v>0</v>
      </c>
      <c r="U118" s="8">
        <f>IF(OR(V118=0,ISNUMBER(MATCH(V118,$V$55:V117,0))),0,MAX($U$55:U117)+1)</f>
        <v>0</v>
      </c>
      <c r="V118" s="8">
        <f t="shared" si="14"/>
        <v>0</v>
      </c>
      <c r="W118" s="8">
        <f t="shared" si="21"/>
        <v>0</v>
      </c>
      <c r="X118" s="8">
        <f>SUMIFS($S$56:$S$165,$R$56:$R$165,$W118)*(1-VCU!$D$23)</f>
        <v>0</v>
      </c>
      <c r="Y118" s="8">
        <f>SUMIFS($T$56:$T$165,$R$56:$R$165,$W118)*(1-VCU!$D$23)</f>
        <v>0</v>
      </c>
      <c r="Z118" s="8"/>
      <c r="AA118" s="8"/>
      <c r="AB118" s="8"/>
      <c r="AC118" s="8"/>
      <c r="AD118" s="8"/>
      <c r="AE118" s="8"/>
      <c r="AF118" s="8"/>
      <c r="AG118" s="307" t="str">
        <f t="shared" si="48"/>
        <v>AAAAAAA</v>
      </c>
      <c r="AH118" s="8">
        <f>IF($AG$111="",0,VLOOKUP($AG117,Products!$A$59:$E$158,5,FALSE))</f>
        <v>0</v>
      </c>
      <c r="AI118" s="322">
        <f>IF($AH118=0,0,AI$111*VLOOKUP($AG117,Products!$A$59:$H$158,8,FALSE))</f>
        <v>0</v>
      </c>
      <c r="AJ118" s="322">
        <f>IF($AH118=0,0,AJ$111*VLOOKUP($AG117,Products!$A$59:$H$158,8,FALSE))</f>
        <v>0</v>
      </c>
      <c r="AK118" s="8">
        <f>IF(OR(AL118=0,ISNUMBER(MATCH(AL118,$AL$55:AL117,0))),0,MAX($AK$55:AK117)+1)</f>
        <v>0</v>
      </c>
      <c r="AL118" s="8">
        <f t="shared" si="15"/>
        <v>0</v>
      </c>
      <c r="AM118" s="8">
        <f t="shared" si="16"/>
        <v>0</v>
      </c>
      <c r="AN118" s="8">
        <f>SUMIFS($AI$56:$AI$165,$AH$56:$AH$165,$AM118)*(1-VaporOxidizer!$D$23)</f>
        <v>0</v>
      </c>
      <c r="AO118" s="8">
        <f>SUMIFS($AJ$56:$AJ$165,$AH$56:$AH$165,$AM118)*(1-VaporOxidizer!$D$23)</f>
        <v>0</v>
      </c>
      <c r="AP118" s="8"/>
      <c r="AQ118" s="8"/>
      <c r="AR118" s="8"/>
      <c r="AS118" s="8"/>
      <c r="AT118" s="8"/>
      <c r="AU118" s="8"/>
      <c r="AV118" s="8"/>
      <c r="AW118" s="307" t="str">
        <f t="shared" si="49"/>
        <v>AAAAAAA</v>
      </c>
      <c r="AX118" s="8">
        <f>IF($AW$111="",0,VLOOKUP($AW117,Products!$A$59:$E$158,5,FALSE))</f>
        <v>0</v>
      </c>
      <c r="AY118" s="322">
        <f>IF($AX118=0,0,AY$111*VLOOKUP($AW117,Products!$A$59:$H$158,8,FALSE))</f>
        <v>0</v>
      </c>
      <c r="AZ118" s="323">
        <f>IF($AX118=0,0,AZ$111*VLOOKUP($AW117,Products!$A$59:$H$158,8,FALSE))</f>
        <v>0</v>
      </c>
      <c r="BA118" s="8">
        <f>IF(OR(BB118=0,ISNUMBER(MATCH(BB118,$BB$55:BB117,0))),0,MAX($BA$55:BA117)+1)</f>
        <v>0</v>
      </c>
      <c r="BB118" s="8">
        <f t="shared" si="17"/>
        <v>0</v>
      </c>
      <c r="BC118" s="8">
        <f t="shared" si="18"/>
        <v>0</v>
      </c>
      <c r="BD118" s="8">
        <f>IF(OR($BC118="7783-06-4",$BC118="7446-09-5",$BC118="7664-93-9"),SUMIFS($AY$56:$AY$165,$AX$56:$AX$165,$BC118),SUMIFS($AY$56:$AY$165,$AX$56:$AX$165,$BC118)*(CAS!$D$19/1000000))</f>
        <v>0</v>
      </c>
      <c r="BE118" s="8">
        <f>IF(OR($BC118="7783-06-4",$BC118="7446-09-5",$BC118="7664-93-9"),SUMIFS($AZ$56:$AZ$165,$AX$56:$AX$165,$BC118),SUMIFS($AZ$56:$AZ$165,$AX$56:$AX$165,$BC118)*(CAS!$D$19/1000000))</f>
        <v>0</v>
      </c>
      <c r="BL118" s="90"/>
    </row>
    <row r="119" spans="1:64" x14ac:dyDescent="0.2">
      <c r="A119" s="307" t="str">
        <f t="shared" si="46"/>
        <v>AAAAAAAA</v>
      </c>
      <c r="B119" s="8">
        <f>IF($A$111="",0,VLOOKUP($A118,Products!$A$59:$E$158,5,FALSE))</f>
        <v>0</v>
      </c>
      <c r="C119" s="322">
        <f>IF($B119=0,0,C$111*VLOOKUP($A118,Products!$A$59:$H$158,8,FALSE))</f>
        <v>0</v>
      </c>
      <c r="D119" s="323">
        <f>IF($B119=0,0,D$111*VLOOKUP($A118,Products!$A$59:$H$158,8,FALSE))</f>
        <v>0</v>
      </c>
      <c r="E119" s="8"/>
      <c r="F119" s="8">
        <f>IF(OR(G119=0,ISNUMBER(MATCH(G119,$G$55:G118,0))),0,MAX($F$55:F118)+1)</f>
        <v>0</v>
      </c>
      <c r="G119" s="8">
        <f t="shared" si="12"/>
        <v>0</v>
      </c>
      <c r="H119" s="8">
        <f t="shared" si="13"/>
        <v>0</v>
      </c>
      <c r="I119" s="8">
        <f>SUMIFS($C$56:$C$165,$B$56:$B$165,$H119)*(1-Flare!$D$18)</f>
        <v>0</v>
      </c>
      <c r="J119" s="8">
        <f>SUMIFS($D$56:$D$165,$B$56:$B$165,$H119)*(1-Flare!$D$18)</f>
        <v>0</v>
      </c>
      <c r="K119" s="8"/>
      <c r="L119" s="8"/>
      <c r="M119" s="8"/>
      <c r="N119" s="8"/>
      <c r="O119" s="8"/>
      <c r="P119" s="8"/>
      <c r="Q119" s="307" t="str">
        <f t="shared" si="47"/>
        <v>AAAAAAAA</v>
      </c>
      <c r="R119" s="8">
        <f>IF($Q$111="",0,VLOOKUP($Q118,Products!$A$59:$E$158,5,FALSE))</f>
        <v>0</v>
      </c>
      <c r="S119" s="322">
        <f>IF($R119=0,0,S$111*VLOOKUP($Q118,Products!$A$59:$H$158,8,FALSE))</f>
        <v>0</v>
      </c>
      <c r="T119" s="322">
        <f>IF($R119=0,0,T$111*VLOOKUP($Q118,Products!$A$59:$H$158,8,FALSE))</f>
        <v>0</v>
      </c>
      <c r="U119" s="8">
        <f>IF(OR(V119=0,ISNUMBER(MATCH(V119,$V$55:V118,0))),0,MAX($U$55:U118)+1)</f>
        <v>0</v>
      </c>
      <c r="V119" s="8">
        <f t="shared" si="14"/>
        <v>0</v>
      </c>
      <c r="W119" s="8">
        <f t="shared" si="21"/>
        <v>0</v>
      </c>
      <c r="X119" s="8">
        <f>SUMIFS($S$56:$S$165,$R$56:$R$165,$W119)*(1-VCU!$D$23)</f>
        <v>0</v>
      </c>
      <c r="Y119" s="8">
        <f>SUMIFS($T$56:$T$165,$R$56:$R$165,$W119)*(1-VCU!$D$23)</f>
        <v>0</v>
      </c>
      <c r="Z119" s="8"/>
      <c r="AA119" s="8"/>
      <c r="AB119" s="8"/>
      <c r="AC119" s="8"/>
      <c r="AD119" s="8"/>
      <c r="AE119" s="8"/>
      <c r="AF119" s="8"/>
      <c r="AG119" s="307" t="str">
        <f t="shared" si="48"/>
        <v>AAAAAAAA</v>
      </c>
      <c r="AH119" s="8">
        <f>IF($AG$111="",0,VLOOKUP($AG118,Products!$A$59:$E$158,5,FALSE))</f>
        <v>0</v>
      </c>
      <c r="AI119" s="322">
        <f>IF($AH119=0,0,AI$111*VLOOKUP($AG118,Products!$A$59:$H$158,8,FALSE))</f>
        <v>0</v>
      </c>
      <c r="AJ119" s="322">
        <f>IF($AH119=0,0,AJ$111*VLOOKUP($AG118,Products!$A$59:$H$158,8,FALSE))</f>
        <v>0</v>
      </c>
      <c r="AK119" s="8">
        <f>IF(OR(AL119=0,ISNUMBER(MATCH(AL119,$AL$55:AL118,0))),0,MAX($AK$55:AK118)+1)</f>
        <v>0</v>
      </c>
      <c r="AL119" s="8">
        <f t="shared" si="15"/>
        <v>0</v>
      </c>
      <c r="AM119" s="8">
        <f t="shared" si="16"/>
        <v>0</v>
      </c>
      <c r="AN119" s="8">
        <f>SUMIFS($AI$56:$AI$165,$AH$56:$AH$165,$AM119)*(1-VaporOxidizer!$D$23)</f>
        <v>0</v>
      </c>
      <c r="AO119" s="8">
        <f>SUMIFS($AJ$56:$AJ$165,$AH$56:$AH$165,$AM119)*(1-VaporOxidizer!$D$23)</f>
        <v>0</v>
      </c>
      <c r="AP119" s="8"/>
      <c r="AQ119" s="8"/>
      <c r="AR119" s="8"/>
      <c r="AS119" s="8"/>
      <c r="AT119" s="8"/>
      <c r="AU119" s="8"/>
      <c r="AV119" s="8"/>
      <c r="AW119" s="307" t="str">
        <f t="shared" si="49"/>
        <v>AAAAAAAA</v>
      </c>
      <c r="AX119" s="8">
        <f>IF($AW$111="",0,VLOOKUP($AW118,Products!$A$59:$E$158,5,FALSE))</f>
        <v>0</v>
      </c>
      <c r="AY119" s="322">
        <f>IF($AX119=0,0,AY$111*VLOOKUP($AW118,Products!$A$59:$H$158,8,FALSE))</f>
        <v>0</v>
      </c>
      <c r="AZ119" s="323">
        <f>IF($AX119=0,0,AZ$111*VLOOKUP($AW118,Products!$A$59:$H$158,8,FALSE))</f>
        <v>0</v>
      </c>
      <c r="BA119" s="8">
        <f>IF(OR(BB119=0,ISNUMBER(MATCH(BB119,$BB$55:BB118,0))),0,MAX($BA$55:BA118)+1)</f>
        <v>0</v>
      </c>
      <c r="BB119" s="8">
        <f t="shared" si="17"/>
        <v>0</v>
      </c>
      <c r="BC119" s="8">
        <f t="shared" si="18"/>
        <v>0</v>
      </c>
      <c r="BD119" s="8">
        <f>IF(OR($BC119="7783-06-4",$BC119="7446-09-5",$BC119="7664-93-9"),SUMIFS($AY$56:$AY$165,$AX$56:$AX$165,$BC119),SUMIFS($AY$56:$AY$165,$AX$56:$AX$165,$BC119)*(CAS!$D$19/1000000))</f>
        <v>0</v>
      </c>
      <c r="BE119" s="8">
        <f>IF(OR($BC119="7783-06-4",$BC119="7446-09-5",$BC119="7664-93-9"),SUMIFS($AZ$56:$AZ$165,$AX$56:$AX$165,$BC119),SUMIFS($AZ$56:$AZ$165,$AX$56:$AX$165,$BC119)*(CAS!$D$19/1000000))</f>
        <v>0</v>
      </c>
      <c r="BL119" s="90"/>
    </row>
    <row r="120" spans="1:64" x14ac:dyDescent="0.2">
      <c r="A120" s="307" t="str">
        <f t="shared" si="46"/>
        <v>AAAAAAAAA</v>
      </c>
      <c r="B120" s="8">
        <f>IF($A$111="",0,VLOOKUP($A119,Products!$A$59:$E$158,5,FALSE))</f>
        <v>0</v>
      </c>
      <c r="C120" s="322">
        <f>IF($B120=0,0,C$111*VLOOKUP($A119,Products!$A$59:$H$158,8,FALSE))</f>
        <v>0</v>
      </c>
      <c r="D120" s="323">
        <f>IF($B120=0,0,D$111*VLOOKUP($A119,Products!$A$59:$H$158,8,FALSE))</f>
        <v>0</v>
      </c>
      <c r="E120" s="8"/>
      <c r="F120" s="8">
        <f>IF(OR(G120=0,ISNUMBER(MATCH(G120,$G$55:G119,0))),0,MAX($F$55:F119)+1)</f>
        <v>0</v>
      </c>
      <c r="G120" s="8">
        <f t="shared" si="12"/>
        <v>0</v>
      </c>
      <c r="H120" s="8">
        <f t="shared" si="13"/>
        <v>0</v>
      </c>
      <c r="I120" s="8">
        <f>SUMIFS($C$56:$C$165,$B$56:$B$165,$H120)*(1-Flare!$D$18)</f>
        <v>0</v>
      </c>
      <c r="J120" s="8">
        <f>SUMIFS($D$56:$D$165,$B$56:$B$165,$H120)*(1-Flare!$D$18)</f>
        <v>0</v>
      </c>
      <c r="K120" s="8"/>
      <c r="L120" s="8"/>
      <c r="M120" s="8"/>
      <c r="N120" s="8"/>
      <c r="O120" s="8"/>
      <c r="P120" s="8"/>
      <c r="Q120" s="307" t="str">
        <f t="shared" si="47"/>
        <v>AAAAAAAAA</v>
      </c>
      <c r="R120" s="8">
        <f>IF($Q$111="",0,VLOOKUP($Q119,Products!$A$59:$E$158,5,FALSE))</f>
        <v>0</v>
      </c>
      <c r="S120" s="322">
        <f>IF($R120=0,0,S$111*VLOOKUP($Q119,Products!$A$59:$H$158,8,FALSE))</f>
        <v>0</v>
      </c>
      <c r="T120" s="322">
        <f>IF($R120=0,0,T$111*VLOOKUP($Q119,Products!$A$59:$H$158,8,FALSE))</f>
        <v>0</v>
      </c>
      <c r="U120" s="8">
        <f>IF(OR(V120=0,ISNUMBER(MATCH(V120,$V$55:V119,0))),0,MAX($U$55:U119)+1)</f>
        <v>0</v>
      </c>
      <c r="V120" s="8">
        <f t="shared" si="14"/>
        <v>0</v>
      </c>
      <c r="W120" s="8">
        <f t="shared" si="21"/>
        <v>0</v>
      </c>
      <c r="X120" s="8">
        <f>SUMIFS($S$56:$S$165,$R$56:$R$165,$W120)*(1-VCU!$D$23)</f>
        <v>0</v>
      </c>
      <c r="Y120" s="8">
        <f>SUMIFS($T$56:$T$165,$R$56:$R$165,$W120)*(1-VCU!$D$23)</f>
        <v>0</v>
      </c>
      <c r="Z120" s="8"/>
      <c r="AA120" s="8"/>
      <c r="AB120" s="8"/>
      <c r="AC120" s="8"/>
      <c r="AD120" s="8"/>
      <c r="AE120" s="8"/>
      <c r="AF120" s="8"/>
      <c r="AG120" s="307" t="str">
        <f t="shared" si="48"/>
        <v>AAAAAAAAA</v>
      </c>
      <c r="AH120" s="8">
        <f>IF($AG$111="",0,VLOOKUP($AG119,Products!$A$59:$E$158,5,FALSE))</f>
        <v>0</v>
      </c>
      <c r="AI120" s="322">
        <f>IF($AH120=0,0,AI$111*VLOOKUP($AG119,Products!$A$59:$H$158,8,FALSE))</f>
        <v>0</v>
      </c>
      <c r="AJ120" s="322">
        <f>IF($AH120=0,0,AJ$111*VLOOKUP($AG119,Products!$A$59:$H$158,8,FALSE))</f>
        <v>0</v>
      </c>
      <c r="AK120" s="8">
        <f>IF(OR(AL120=0,ISNUMBER(MATCH(AL120,$AL$55:AL119,0))),0,MAX($AK$55:AK119)+1)</f>
        <v>0</v>
      </c>
      <c r="AL120" s="8">
        <f t="shared" si="15"/>
        <v>0</v>
      </c>
      <c r="AM120" s="8">
        <f t="shared" si="16"/>
        <v>0</v>
      </c>
      <c r="AN120" s="8">
        <f>SUMIFS($AI$56:$AI$165,$AH$56:$AH$165,$AM120)*(1-VaporOxidizer!$D$23)</f>
        <v>0</v>
      </c>
      <c r="AO120" s="8">
        <f>SUMIFS($AJ$56:$AJ$165,$AH$56:$AH$165,$AM120)*(1-VaporOxidizer!$D$23)</f>
        <v>0</v>
      </c>
      <c r="AP120" s="8"/>
      <c r="AQ120" s="8"/>
      <c r="AR120" s="8"/>
      <c r="AS120" s="8"/>
      <c r="AT120" s="8"/>
      <c r="AU120" s="8"/>
      <c r="AV120" s="8"/>
      <c r="AW120" s="307" t="str">
        <f t="shared" si="49"/>
        <v>AAAAAAAAA</v>
      </c>
      <c r="AX120" s="8">
        <f>IF($AW$111="",0,VLOOKUP($AW119,Products!$A$59:$E$158,5,FALSE))</f>
        <v>0</v>
      </c>
      <c r="AY120" s="322">
        <f>IF($AX120=0,0,AY$111*VLOOKUP($AW119,Products!$A$59:$H$158,8,FALSE))</f>
        <v>0</v>
      </c>
      <c r="AZ120" s="323">
        <f>IF($AX120=0,0,AZ$111*VLOOKUP($AW119,Products!$A$59:$H$158,8,FALSE))</f>
        <v>0</v>
      </c>
      <c r="BA120" s="8">
        <f>IF(OR(BB120=0,ISNUMBER(MATCH(BB120,$BB$55:BB119,0))),0,MAX($BA$55:BA119)+1)</f>
        <v>0</v>
      </c>
      <c r="BB120" s="8">
        <f t="shared" si="17"/>
        <v>0</v>
      </c>
      <c r="BC120" s="8">
        <f t="shared" si="18"/>
        <v>0</v>
      </c>
      <c r="BD120" s="8">
        <f>IF(OR($BC120="7783-06-4",$BC120="7446-09-5",$BC120="7664-93-9"),SUMIFS($AY$56:$AY$165,$AX$56:$AX$165,$BC120),SUMIFS($AY$56:$AY$165,$AX$56:$AX$165,$BC120)*(CAS!$D$19/1000000))</f>
        <v>0</v>
      </c>
      <c r="BE120" s="8">
        <f>IF(OR($BC120="7783-06-4",$BC120="7446-09-5",$BC120="7664-93-9"),SUMIFS($AZ$56:$AZ$165,$AX$56:$AX$165,$BC120),SUMIFS($AZ$56:$AZ$165,$AX$56:$AX$165,$BC120)*(CAS!$D$19/1000000))</f>
        <v>0</v>
      </c>
      <c r="BL120" s="90"/>
    </row>
    <row r="121" spans="1:64" x14ac:dyDescent="0.2">
      <c r="A121" s="307" t="str">
        <f t="shared" si="46"/>
        <v>AAAAAAAAAA</v>
      </c>
      <c r="B121" s="8">
        <f>IF($A$111="",0,VLOOKUP($A120,Products!$A$59:$E$158,5,FALSE))</f>
        <v>0</v>
      </c>
      <c r="C121" s="322">
        <f>IF($B121=0,0,C$111*VLOOKUP($A120,Products!$A$59:$H$158,8,FALSE))</f>
        <v>0</v>
      </c>
      <c r="D121" s="323">
        <f>IF($B121=0,0,D$111*VLOOKUP($A120,Products!$A$59:$H$158,8,FALSE))</f>
        <v>0</v>
      </c>
      <c r="E121" s="8"/>
      <c r="F121" s="8">
        <f>IF(OR(G121=0,ISNUMBER(MATCH(G121,$G$55:G120,0))),0,MAX($F$55:F120)+1)</f>
        <v>0</v>
      </c>
      <c r="G121" s="8">
        <f t="shared" ref="G121:G165" si="50">IFERROR($B121,0)</f>
        <v>0</v>
      </c>
      <c r="H121" s="8">
        <f t="shared" ref="H121:H156" si="51">IFERROR(VLOOKUP(ROW(A66),$F$56:$G$165,2,FALSE),0)</f>
        <v>0</v>
      </c>
      <c r="I121" s="8">
        <f>SUMIFS($C$56:$C$165,$B$56:$B$165,$H121)*(1-Flare!$D$18)</f>
        <v>0</v>
      </c>
      <c r="J121" s="8">
        <f>SUMIFS($D$56:$D$165,$B$56:$B$165,$H121)*(1-Flare!$D$18)</f>
        <v>0</v>
      </c>
      <c r="K121" s="8"/>
      <c r="L121" s="8"/>
      <c r="M121" s="8"/>
      <c r="N121" s="8"/>
      <c r="O121" s="8"/>
      <c r="P121" s="8"/>
      <c r="Q121" s="307" t="str">
        <f t="shared" si="47"/>
        <v>AAAAAAAAAA</v>
      </c>
      <c r="R121" s="8">
        <f>IF($Q$111="",0,VLOOKUP($Q120,Products!$A$59:$E$158,5,FALSE))</f>
        <v>0</v>
      </c>
      <c r="S121" s="322">
        <f>IF($R121=0,0,S$111*VLOOKUP($Q120,Products!$A$59:$H$158,8,FALSE))</f>
        <v>0</v>
      </c>
      <c r="T121" s="322">
        <f>IF($R121=0,0,T$111*VLOOKUP($Q120,Products!$A$59:$H$158,8,FALSE))</f>
        <v>0</v>
      </c>
      <c r="U121" s="8">
        <f>IF(OR(V121=0,ISNUMBER(MATCH(V121,$V$55:V120,0))),0,MAX($U$55:U120)+1)</f>
        <v>0</v>
      </c>
      <c r="V121" s="8">
        <f t="shared" ref="V121:V165" si="52">IFERROR($R121,0)</f>
        <v>0</v>
      </c>
      <c r="W121" s="8">
        <f t="shared" si="21"/>
        <v>0</v>
      </c>
      <c r="X121" s="8">
        <f>SUMIFS($S$56:$S$165,$R$56:$R$165,$W121)*(1-VCU!$D$23)</f>
        <v>0</v>
      </c>
      <c r="Y121" s="8">
        <f>SUMIFS($T$56:$T$165,$R$56:$R$165,$W121)*(1-VCU!$D$23)</f>
        <v>0</v>
      </c>
      <c r="Z121" s="8"/>
      <c r="AA121" s="8"/>
      <c r="AB121" s="8"/>
      <c r="AC121" s="8"/>
      <c r="AD121" s="8"/>
      <c r="AE121" s="8"/>
      <c r="AF121" s="8"/>
      <c r="AG121" s="307" t="str">
        <f t="shared" si="48"/>
        <v>AAAAAAAAAA</v>
      </c>
      <c r="AH121" s="8">
        <f>IF($AG$111="",0,VLOOKUP($AG120,Products!$A$59:$E$158,5,FALSE))</f>
        <v>0</v>
      </c>
      <c r="AI121" s="322">
        <f>IF($AH121=0,0,AI$111*VLOOKUP($AG120,Products!$A$59:$H$158,8,FALSE))</f>
        <v>0</v>
      </c>
      <c r="AJ121" s="322">
        <f>IF($AH121=0,0,AJ$111*VLOOKUP($AG120,Products!$A$59:$H$158,8,FALSE))</f>
        <v>0</v>
      </c>
      <c r="AK121" s="8">
        <f>IF(OR(AL121=0,ISNUMBER(MATCH(AL121,$AL$55:AL120,0))),0,MAX($AK$55:AK120)+1)</f>
        <v>0</v>
      </c>
      <c r="AL121" s="8">
        <f t="shared" ref="AL121:AL165" si="53">IFERROR($AH121,0)</f>
        <v>0</v>
      </c>
      <c r="AM121" s="8">
        <f t="shared" ref="AM121:AM156" si="54">IFERROR(VLOOKUP(ROW(A66),$AK$56:$AL$165,2,FALSE),0)</f>
        <v>0</v>
      </c>
      <c r="AN121" s="8">
        <f>SUMIFS($AI$56:$AI$165,$AH$56:$AH$165,$AM121)*(1-VaporOxidizer!$D$23)</f>
        <v>0</v>
      </c>
      <c r="AO121" s="8">
        <f>SUMIFS($AJ$56:$AJ$165,$AH$56:$AH$165,$AM121)*(1-VaporOxidizer!$D$23)</f>
        <v>0</v>
      </c>
      <c r="AP121" s="8"/>
      <c r="AQ121" s="8"/>
      <c r="AR121" s="8"/>
      <c r="AS121" s="8"/>
      <c r="AT121" s="8"/>
      <c r="AU121" s="8"/>
      <c r="AV121" s="8"/>
      <c r="AW121" s="307" t="str">
        <f t="shared" si="49"/>
        <v>AAAAAAAAAA</v>
      </c>
      <c r="AX121" s="8">
        <f>IF($AW$111="",0,VLOOKUP($AW120,Products!$A$59:$E$158,5,FALSE))</f>
        <v>0</v>
      </c>
      <c r="AY121" s="322">
        <f>IF($AX121=0,0,AY$111*VLOOKUP($AW120,Products!$A$59:$H$158,8,FALSE))</f>
        <v>0</v>
      </c>
      <c r="AZ121" s="323">
        <f>IF($AX121=0,0,AZ$111*VLOOKUP($AW120,Products!$A$59:$H$158,8,FALSE))</f>
        <v>0</v>
      </c>
      <c r="BA121" s="8">
        <f>IF(OR(BB121=0,ISNUMBER(MATCH(BB121,$BB$55:BB120,0))),0,MAX($BA$55:BA120)+1)</f>
        <v>0</v>
      </c>
      <c r="BB121" s="8">
        <f t="shared" ref="BB121:BB165" si="55">IFERROR($AX121,0)</f>
        <v>0</v>
      </c>
      <c r="BC121" s="8">
        <f t="shared" ref="BC121:BC156" si="56">IFERROR(VLOOKUP(ROW(A66),$BA$56:$BB$165,2,FALSE),0)</f>
        <v>0</v>
      </c>
      <c r="BD121" s="8">
        <f>IF(OR($BC121="7783-06-4",$BC121="7446-09-5",$BC121="7664-93-9"),SUMIFS($AY$56:$AY$165,$AX$56:$AX$165,$BC121),SUMIFS($AY$56:$AY$165,$AX$56:$AX$165,$BC121)*(CAS!$D$19/1000000))</f>
        <v>0</v>
      </c>
      <c r="BE121" s="8">
        <f>IF(OR($BC121="7783-06-4",$BC121="7446-09-5",$BC121="7664-93-9"),SUMIFS($AZ$56:$AZ$165,$AX$56:$AX$165,$BC121),SUMIFS($AZ$56:$AZ$165,$AX$56:$AX$165,$BC121)*(CAS!$D$19/1000000))</f>
        <v>0</v>
      </c>
      <c r="BL121" s="90"/>
    </row>
    <row r="122" spans="1:64" x14ac:dyDescent="0.2">
      <c r="A122" s="310" t="str">
        <f>$F9</f>
        <v/>
      </c>
      <c r="B122" s="311" t="s">
        <v>291</v>
      </c>
      <c r="C122" s="311">
        <f t="shared" ref="C122:C155" si="57">VLOOKUP($A122,$F$3:$H$12,2,FALSE)</f>
        <v>0</v>
      </c>
      <c r="D122" s="312">
        <f t="shared" ref="D122:D155" si="58">VLOOKUP($A122,$F$3:$H$12,3,FALSE)</f>
        <v>0</v>
      </c>
      <c r="E122" s="8"/>
      <c r="F122" s="8">
        <f>IF(OR(G122=0,ISNUMBER(MATCH(G122,$G$55:G121,0))),0,MAX($F$55:F121)+1)</f>
        <v>0</v>
      </c>
      <c r="G122" s="8" t="str">
        <f t="shared" si="50"/>
        <v>Total VOC</v>
      </c>
      <c r="H122" s="8">
        <f t="shared" si="51"/>
        <v>0</v>
      </c>
      <c r="I122" s="8">
        <f>SUMIFS($C$56:$C$165,$B$56:$B$165,$H122)*(1-Flare!$D$18)</f>
        <v>0</v>
      </c>
      <c r="J122" s="8">
        <f>SUMIFS($D$56:$D$165,$B$56:$B$165,$H122)*(1-Flare!$D$18)</f>
        <v>0</v>
      </c>
      <c r="K122" s="8"/>
      <c r="L122" s="8"/>
      <c r="M122" s="8"/>
      <c r="N122" s="8"/>
      <c r="O122" s="8"/>
      <c r="P122" s="8"/>
      <c r="Q122" s="310" t="str">
        <f>$V9</f>
        <v/>
      </c>
      <c r="R122" s="311" t="s">
        <v>291</v>
      </c>
      <c r="S122" s="311">
        <f>VLOOKUP($Q122,$V$3:$X$12,2,FALSE)</f>
        <v>0</v>
      </c>
      <c r="T122" s="312">
        <f>VLOOKUP($Q122,$V$3:$X$12,3,FALSE)</f>
        <v>0</v>
      </c>
      <c r="U122" s="8">
        <f>IF(OR(V122=0,ISNUMBER(MATCH(V122,$V$55:V121,0))),0,MAX($U$55:U121)+1)</f>
        <v>0</v>
      </c>
      <c r="V122" s="8" t="str">
        <f t="shared" si="52"/>
        <v>Total VOC</v>
      </c>
      <c r="W122" s="8">
        <f t="shared" ref="W122:W156" si="59">IFERROR(VLOOKUP(ROW(A67),$U$56:$V$165,2,FALSE),0)</f>
        <v>0</v>
      </c>
      <c r="X122" s="8">
        <f>SUMIFS($S$56:$S$165,$R$56:$R$165,$W122)*(1-VCU!$D$23)</f>
        <v>0</v>
      </c>
      <c r="Y122" s="8">
        <f>SUMIFS($T$56:$T$165,$R$56:$R$165,$W122)*(1-VCU!$D$23)</f>
        <v>0</v>
      </c>
      <c r="Z122" s="8"/>
      <c r="AA122" s="8"/>
      <c r="AB122" s="8"/>
      <c r="AC122" s="8"/>
      <c r="AD122" s="8"/>
      <c r="AE122" s="8"/>
      <c r="AF122" s="8"/>
      <c r="AG122" s="310" t="str">
        <f>$AL9</f>
        <v/>
      </c>
      <c r="AH122" s="311" t="s">
        <v>291</v>
      </c>
      <c r="AI122" s="311">
        <f>VLOOKUP($AG122,$AL$3:$AN$12,2,FALSE)</f>
        <v>0</v>
      </c>
      <c r="AJ122" s="312">
        <f>VLOOKUP($AG122,$AL$3:$AN$12,3,FALSE)</f>
        <v>0</v>
      </c>
      <c r="AK122" s="8">
        <f>IF(OR(AL122=0,ISNUMBER(MATCH(AL122,$AL$55:AL121,0))),0,MAX($AK$55:AK121)+1)</f>
        <v>0</v>
      </c>
      <c r="AL122" s="8" t="str">
        <f t="shared" si="53"/>
        <v>Total VOC</v>
      </c>
      <c r="AM122" s="8">
        <f t="shared" si="54"/>
        <v>0</v>
      </c>
      <c r="AN122" s="8">
        <f>SUMIFS($AI$56:$AI$165,$AH$56:$AH$165,$AM122)*(1-VaporOxidizer!$D$23)</f>
        <v>0</v>
      </c>
      <c r="AO122" s="8">
        <f>SUMIFS($AJ$56:$AJ$165,$AH$56:$AH$165,$AM122)*(1-VaporOxidizer!$D$23)</f>
        <v>0</v>
      </c>
      <c r="AP122" s="8"/>
      <c r="AQ122" s="8"/>
      <c r="AR122" s="8"/>
      <c r="AS122" s="8"/>
      <c r="AT122" s="8"/>
      <c r="AU122" s="8"/>
      <c r="AV122" s="8"/>
      <c r="AW122" s="310" t="str">
        <f>$BB9</f>
        <v/>
      </c>
      <c r="AX122" s="311" t="s">
        <v>291</v>
      </c>
      <c r="AY122" s="311">
        <f>VLOOKUP($AW122,$BB$3:$BD$12,2,FALSE)</f>
        <v>0</v>
      </c>
      <c r="AZ122" s="312">
        <f>VLOOKUP($AW122,$BB$3:$BD$12,3,FALSE)</f>
        <v>0</v>
      </c>
      <c r="BA122" s="8">
        <f>IF(OR(BB122=0,ISNUMBER(MATCH(BB122,$BB$55:BB121,0))),0,MAX($BA$55:BA121)+1)</f>
        <v>0</v>
      </c>
      <c r="BB122" s="8" t="str">
        <f t="shared" si="55"/>
        <v>Total VOC</v>
      </c>
      <c r="BC122" s="8">
        <f t="shared" si="56"/>
        <v>0</v>
      </c>
      <c r="BD122" s="8">
        <f>IF(OR($BC122="7783-06-4",$BC122="7446-09-5",$BC122="7664-93-9"),SUMIFS($AY$56:$AY$165,$AX$56:$AX$165,$BC122),SUMIFS($AY$56:$AY$165,$AX$56:$AX$165,$BC122)*(CAS!$D$19/1000000))</f>
        <v>0</v>
      </c>
      <c r="BE122" s="8">
        <f>IF(OR($BC122="7783-06-4",$BC122="7446-09-5",$BC122="7664-93-9"),SUMIFS($AZ$56:$AZ$165,$AX$56:$AX$165,$BC122),SUMIFS($AZ$56:$AZ$165,$AX$56:$AX$165,$BC122)*(CAS!$D$19/1000000))</f>
        <v>0</v>
      </c>
      <c r="BL122" s="90"/>
    </row>
    <row r="123" spans="1:64" x14ac:dyDescent="0.2">
      <c r="A123" s="307" t="str">
        <f>A122&amp;"A"</f>
        <v>A</v>
      </c>
      <c r="B123" s="8">
        <f>IF($A$122="",0,VLOOKUP($A122,Products!$A$59:$E$158,5,FALSE))</f>
        <v>0</v>
      </c>
      <c r="C123" s="322">
        <f>IF($B123=0,0,C$122*VLOOKUP($A122,Products!$A$59:$H$158,8,FALSE))</f>
        <v>0</v>
      </c>
      <c r="D123" s="323">
        <f>IF($B123=0,0,D$122*VLOOKUP($A122,Products!$A$59:$H$158,8,FALSE))</f>
        <v>0</v>
      </c>
      <c r="E123" s="8"/>
      <c r="F123" s="8">
        <f>IF(OR(G123=0,ISNUMBER(MATCH(G123,$G$55:G122,0))),0,MAX($F$55:F122)+1)</f>
        <v>0</v>
      </c>
      <c r="G123" s="8">
        <f t="shared" si="50"/>
        <v>0</v>
      </c>
      <c r="H123" s="8">
        <f t="shared" si="51"/>
        <v>0</v>
      </c>
      <c r="I123" s="8">
        <f>SUMIFS($C$56:$C$165,$B$56:$B$165,$H123)*(1-Flare!$D$18)</f>
        <v>0</v>
      </c>
      <c r="J123" s="8">
        <f>SUMIFS($D$56:$D$165,$B$56:$B$165,$H123)*(1-Flare!$D$18)</f>
        <v>0</v>
      </c>
      <c r="K123" s="8"/>
      <c r="L123" s="8"/>
      <c r="M123" s="8"/>
      <c r="N123" s="8"/>
      <c r="O123" s="8"/>
      <c r="P123" s="8"/>
      <c r="Q123" s="307" t="str">
        <f>Q122&amp;"A"</f>
        <v>A</v>
      </c>
      <c r="R123" s="8">
        <f>IF($Q$122="",0,VLOOKUP($Q122,Products!$A$59:$E$158,5,FALSE))</f>
        <v>0</v>
      </c>
      <c r="S123" s="322">
        <f>IF($R123=0,0,S$122*VLOOKUP($Q122,Products!$A$59:$H$158,8,FALSE))</f>
        <v>0</v>
      </c>
      <c r="T123" s="322">
        <f>IF($R123=0,0,T$122*VLOOKUP($Q122,Products!$A$59:$H$158,8,FALSE))</f>
        <v>0</v>
      </c>
      <c r="U123" s="8">
        <f>IF(OR(V123=0,ISNUMBER(MATCH(V123,$V$55:V122,0))),0,MAX($U$55:U122)+1)</f>
        <v>0</v>
      </c>
      <c r="V123" s="8">
        <f t="shared" si="52"/>
        <v>0</v>
      </c>
      <c r="W123" s="8">
        <f t="shared" si="59"/>
        <v>0</v>
      </c>
      <c r="X123" s="8">
        <f>SUMIFS($S$56:$S$165,$R$56:$R$165,$W123)*(1-VCU!$D$23)</f>
        <v>0</v>
      </c>
      <c r="Y123" s="8">
        <f>SUMIFS($T$56:$T$165,$R$56:$R$165,$W123)*(1-VCU!$D$23)</f>
        <v>0</v>
      </c>
      <c r="Z123" s="8"/>
      <c r="AA123" s="8"/>
      <c r="AB123" s="8"/>
      <c r="AC123" s="8"/>
      <c r="AD123" s="8"/>
      <c r="AE123" s="8"/>
      <c r="AF123" s="8"/>
      <c r="AG123" s="307" t="str">
        <f>AG122&amp;"A"</f>
        <v>A</v>
      </c>
      <c r="AH123" s="8">
        <f>IF($AG$122="",0,VLOOKUP($AG122,Products!$A$59:$E$158,5,FALSE))</f>
        <v>0</v>
      </c>
      <c r="AI123" s="322">
        <f>IF($AH123=0,0,AI$122*VLOOKUP($AG122,Products!$A$59:$H$158,8,FALSE))</f>
        <v>0</v>
      </c>
      <c r="AJ123" s="322">
        <f>IF($AH123=0,0,AJ$122*VLOOKUP($AG122,Products!$A$59:$H$158,8,FALSE))</f>
        <v>0</v>
      </c>
      <c r="AK123" s="8">
        <f>IF(OR(AL123=0,ISNUMBER(MATCH(AL123,$AL$55:AL122,0))),0,MAX($AK$55:AK122)+1)</f>
        <v>0</v>
      </c>
      <c r="AL123" s="8">
        <f t="shared" si="53"/>
        <v>0</v>
      </c>
      <c r="AM123" s="8">
        <f t="shared" si="54"/>
        <v>0</v>
      </c>
      <c r="AN123" s="8">
        <f>SUMIFS($AI$56:$AI$165,$AH$56:$AH$165,$AM123)*(1-VaporOxidizer!$D$23)</f>
        <v>0</v>
      </c>
      <c r="AO123" s="8">
        <f>SUMIFS($AJ$56:$AJ$165,$AH$56:$AH$165,$AM123)*(1-VaporOxidizer!$D$23)</f>
        <v>0</v>
      </c>
      <c r="AP123" s="8"/>
      <c r="AQ123" s="8"/>
      <c r="AR123" s="8"/>
      <c r="AS123" s="8"/>
      <c r="AT123" s="8"/>
      <c r="AU123" s="8"/>
      <c r="AV123" s="8"/>
      <c r="AW123" s="307" t="str">
        <f>AW122&amp;"A"</f>
        <v>A</v>
      </c>
      <c r="AX123" s="8">
        <f>IF($AW$122="",0,VLOOKUP($AW122,Products!$A$59:$E$158,5,FALSE))</f>
        <v>0</v>
      </c>
      <c r="AY123" s="322">
        <f>IF($AX123=0,0,AY$122*VLOOKUP($AW122,Products!$A$59:$H$158,8,FALSE))</f>
        <v>0</v>
      </c>
      <c r="AZ123" s="323">
        <f>IF($AX123=0,0,AZ$122*VLOOKUP($AW122,Products!$A$59:$H$158,8,FALSE))</f>
        <v>0</v>
      </c>
      <c r="BA123" s="8">
        <f>IF(OR(BB123=0,ISNUMBER(MATCH(BB123,$BB$55:BB122,0))),0,MAX($BA$55:BA122)+1)</f>
        <v>0</v>
      </c>
      <c r="BB123" s="8">
        <f t="shared" si="55"/>
        <v>0</v>
      </c>
      <c r="BC123" s="8">
        <f t="shared" si="56"/>
        <v>0</v>
      </c>
      <c r="BD123" s="8">
        <f>IF(OR($BC123="7783-06-4",$BC123="7446-09-5",$BC123="7664-93-9"),SUMIFS($AY$56:$AY$165,$AX$56:$AX$165,$BC123),SUMIFS($AY$56:$AY$165,$AX$56:$AX$165,$BC123)*(CAS!$D$19/1000000))</f>
        <v>0</v>
      </c>
      <c r="BE123" s="8">
        <f>IF(OR($BC123="7783-06-4",$BC123="7446-09-5",$BC123="7664-93-9"),SUMIFS($AZ$56:$AZ$165,$AX$56:$AX$165,$BC123),SUMIFS($AZ$56:$AZ$165,$AX$56:$AX$165,$BC123)*(CAS!$D$19/1000000))</f>
        <v>0</v>
      </c>
      <c r="BL123" s="90"/>
    </row>
    <row r="124" spans="1:64" x14ac:dyDescent="0.2">
      <c r="A124" s="307" t="str">
        <f t="shared" ref="A124:A132" si="60">A123&amp;"A"</f>
        <v>AA</v>
      </c>
      <c r="B124" s="8">
        <f>IF($A$122="",0,VLOOKUP($A123,Products!$A$59:$E$158,5,FALSE))</f>
        <v>0</v>
      </c>
      <c r="C124" s="322">
        <f>IF($B124=0,0,C$122*VLOOKUP($A123,Products!$A$59:$H$158,8,FALSE))</f>
        <v>0</v>
      </c>
      <c r="D124" s="323">
        <f>IF($B124=0,0,D$122*VLOOKUP($A123,Products!$A$59:$H$158,8,FALSE))</f>
        <v>0</v>
      </c>
      <c r="E124" s="8"/>
      <c r="F124" s="8">
        <f>IF(OR(G124=0,ISNUMBER(MATCH(G124,$G$55:G123,0))),0,MAX($F$55:F123)+1)</f>
        <v>0</v>
      </c>
      <c r="G124" s="8">
        <f t="shared" si="50"/>
        <v>0</v>
      </c>
      <c r="H124" s="8">
        <f t="shared" si="51"/>
        <v>0</v>
      </c>
      <c r="I124" s="8">
        <f>SUMIFS($C$56:$C$165,$B$56:$B$165,$H124)*(1-Flare!$D$18)</f>
        <v>0</v>
      </c>
      <c r="J124" s="8">
        <f>SUMIFS($D$56:$D$165,$B$56:$B$165,$H124)*(1-Flare!$D$18)</f>
        <v>0</v>
      </c>
      <c r="K124" s="8"/>
      <c r="L124" s="8"/>
      <c r="M124" s="8"/>
      <c r="N124" s="8"/>
      <c r="O124" s="8"/>
      <c r="P124" s="8"/>
      <c r="Q124" s="307" t="str">
        <f t="shared" ref="Q124:Q132" si="61">Q123&amp;"A"</f>
        <v>AA</v>
      </c>
      <c r="R124" s="8">
        <f>IF($Q$122="",0,VLOOKUP($Q123,Products!$A$59:$E$158,5,FALSE))</f>
        <v>0</v>
      </c>
      <c r="S124" s="322">
        <f>IF($R124=0,0,S$122*VLOOKUP($Q123,Products!$A$59:$H$158,8,FALSE))</f>
        <v>0</v>
      </c>
      <c r="T124" s="322">
        <f>IF($R124=0,0,T$122*VLOOKUP($Q123,Products!$A$59:$H$158,8,FALSE))</f>
        <v>0</v>
      </c>
      <c r="U124" s="8">
        <f>IF(OR(V124=0,ISNUMBER(MATCH(V124,$V$55:V123,0))),0,MAX($U$55:U123)+1)</f>
        <v>0</v>
      </c>
      <c r="V124" s="8">
        <f t="shared" si="52"/>
        <v>0</v>
      </c>
      <c r="W124" s="8">
        <f t="shared" si="59"/>
        <v>0</v>
      </c>
      <c r="X124" s="8">
        <f>SUMIFS($S$56:$S$165,$R$56:$R$165,$W124)*(1-VCU!$D$23)</f>
        <v>0</v>
      </c>
      <c r="Y124" s="8">
        <f>SUMIFS($T$56:$T$165,$R$56:$R$165,$W124)*(1-VCU!$D$23)</f>
        <v>0</v>
      </c>
      <c r="Z124" s="8"/>
      <c r="AA124" s="8"/>
      <c r="AB124" s="8"/>
      <c r="AC124" s="8"/>
      <c r="AD124" s="8"/>
      <c r="AE124" s="8"/>
      <c r="AF124" s="8"/>
      <c r="AG124" s="307" t="str">
        <f t="shared" ref="AG124:AG132" si="62">AG123&amp;"A"</f>
        <v>AA</v>
      </c>
      <c r="AH124" s="8">
        <f>IF($AG$122="",0,VLOOKUP($AG123,Products!$A$59:$E$158,5,FALSE))</f>
        <v>0</v>
      </c>
      <c r="AI124" s="322">
        <f>IF($AH124=0,0,AI$122*VLOOKUP($AG123,Products!$A$59:$H$158,8,FALSE))</f>
        <v>0</v>
      </c>
      <c r="AJ124" s="322">
        <f>IF($AH124=0,0,AJ$122*VLOOKUP($AG123,Products!$A$59:$H$158,8,FALSE))</f>
        <v>0</v>
      </c>
      <c r="AK124" s="8">
        <f>IF(OR(AL124=0,ISNUMBER(MATCH(AL124,$AL$55:AL123,0))),0,MAX($AK$55:AK123)+1)</f>
        <v>0</v>
      </c>
      <c r="AL124" s="8">
        <f t="shared" si="53"/>
        <v>0</v>
      </c>
      <c r="AM124" s="8">
        <f t="shared" si="54"/>
        <v>0</v>
      </c>
      <c r="AN124" s="8">
        <f>SUMIFS($AI$56:$AI$165,$AH$56:$AH$165,$AM124)*(1-VaporOxidizer!$D$23)</f>
        <v>0</v>
      </c>
      <c r="AO124" s="8">
        <f>SUMIFS($AJ$56:$AJ$165,$AH$56:$AH$165,$AM124)*(1-VaporOxidizer!$D$23)</f>
        <v>0</v>
      </c>
      <c r="AP124" s="8"/>
      <c r="AQ124" s="8"/>
      <c r="AR124" s="8"/>
      <c r="AS124" s="8"/>
      <c r="AT124" s="8"/>
      <c r="AU124" s="8"/>
      <c r="AV124" s="8"/>
      <c r="AW124" s="307" t="str">
        <f t="shared" ref="AW124:AW132" si="63">AW123&amp;"A"</f>
        <v>AA</v>
      </c>
      <c r="AX124" s="8">
        <f>IF($AW$122="",0,VLOOKUP($AW123,Products!$A$59:$E$158,5,FALSE))</f>
        <v>0</v>
      </c>
      <c r="AY124" s="322">
        <f>IF($AX124=0,0,AY$122*VLOOKUP($AW123,Products!$A$59:$H$158,8,FALSE))</f>
        <v>0</v>
      </c>
      <c r="AZ124" s="323">
        <f>IF($AX124=0,0,AZ$122*VLOOKUP($AW123,Products!$A$59:$H$158,8,FALSE))</f>
        <v>0</v>
      </c>
      <c r="BA124" s="8">
        <f>IF(OR(BB124=0,ISNUMBER(MATCH(BB124,$BB$55:BB123,0))),0,MAX($BA$55:BA123)+1)</f>
        <v>0</v>
      </c>
      <c r="BB124" s="8">
        <f t="shared" si="55"/>
        <v>0</v>
      </c>
      <c r="BC124" s="8">
        <f t="shared" si="56"/>
        <v>0</v>
      </c>
      <c r="BD124" s="8">
        <f>IF(OR($BC124="7783-06-4",$BC124="7446-09-5",$BC124="7664-93-9"),SUMIFS($AY$56:$AY$165,$AX$56:$AX$165,$BC124),SUMIFS($AY$56:$AY$165,$AX$56:$AX$165,$BC124)*(CAS!$D$19/1000000))</f>
        <v>0</v>
      </c>
      <c r="BE124" s="8">
        <f>IF(OR($BC124="7783-06-4",$BC124="7446-09-5",$BC124="7664-93-9"),SUMIFS($AZ$56:$AZ$165,$AX$56:$AX$165,$BC124),SUMIFS($AZ$56:$AZ$165,$AX$56:$AX$165,$BC124)*(CAS!$D$19/1000000))</f>
        <v>0</v>
      </c>
      <c r="BL124" s="90"/>
    </row>
    <row r="125" spans="1:64" x14ac:dyDescent="0.2">
      <c r="A125" s="307" t="str">
        <f t="shared" si="60"/>
        <v>AAA</v>
      </c>
      <c r="B125" s="8">
        <f>IF($A$122="",0,VLOOKUP($A124,Products!$A$59:$E$158,5,FALSE))</f>
        <v>0</v>
      </c>
      <c r="C125" s="322">
        <f>IF($B125=0,0,C$122*VLOOKUP($A124,Products!$A$59:$H$158,8,FALSE))</f>
        <v>0</v>
      </c>
      <c r="D125" s="323">
        <f>IF($B125=0,0,D$122*VLOOKUP($A124,Products!$A$59:$H$158,8,FALSE))</f>
        <v>0</v>
      </c>
      <c r="E125" s="8"/>
      <c r="F125" s="8">
        <f>IF(OR(G125=0,ISNUMBER(MATCH(G125,$G$55:G124,0))),0,MAX($F$55:F124)+1)</f>
        <v>0</v>
      </c>
      <c r="G125" s="8">
        <f t="shared" si="50"/>
        <v>0</v>
      </c>
      <c r="H125" s="8">
        <f t="shared" si="51"/>
        <v>0</v>
      </c>
      <c r="I125" s="8">
        <f>SUMIFS($C$56:$C$165,$B$56:$B$165,$H125)*(1-Flare!$D$18)</f>
        <v>0</v>
      </c>
      <c r="J125" s="8">
        <f>SUMIFS($D$56:$D$165,$B$56:$B$165,$H125)*(1-Flare!$D$18)</f>
        <v>0</v>
      </c>
      <c r="K125" s="8"/>
      <c r="L125" s="8"/>
      <c r="M125" s="8"/>
      <c r="N125" s="8"/>
      <c r="O125" s="8"/>
      <c r="P125" s="8"/>
      <c r="Q125" s="307" t="str">
        <f t="shared" si="61"/>
        <v>AAA</v>
      </c>
      <c r="R125" s="8">
        <f>IF($Q$122="",0,VLOOKUP($Q124,Products!$A$59:$E$158,5,FALSE))</f>
        <v>0</v>
      </c>
      <c r="S125" s="322">
        <f>IF($R125=0,0,S$122*VLOOKUP($Q124,Products!$A$59:$H$158,8,FALSE))</f>
        <v>0</v>
      </c>
      <c r="T125" s="322">
        <f>IF($R125=0,0,T$122*VLOOKUP($Q124,Products!$A$59:$H$158,8,FALSE))</f>
        <v>0</v>
      </c>
      <c r="U125" s="8">
        <f>IF(OR(V125=0,ISNUMBER(MATCH(V125,$V$55:V124,0))),0,MAX($U$55:U124)+1)</f>
        <v>0</v>
      </c>
      <c r="V125" s="8">
        <f t="shared" si="52"/>
        <v>0</v>
      </c>
      <c r="W125" s="8">
        <f t="shared" si="59"/>
        <v>0</v>
      </c>
      <c r="X125" s="8">
        <f>SUMIFS($S$56:$S$165,$R$56:$R$165,$W125)*(1-VCU!$D$23)</f>
        <v>0</v>
      </c>
      <c r="Y125" s="8">
        <f>SUMIFS($T$56:$T$165,$R$56:$R$165,$W125)*(1-VCU!$D$23)</f>
        <v>0</v>
      </c>
      <c r="Z125" s="8"/>
      <c r="AA125" s="8"/>
      <c r="AB125" s="8"/>
      <c r="AC125" s="8"/>
      <c r="AD125" s="8"/>
      <c r="AE125" s="8"/>
      <c r="AF125" s="8"/>
      <c r="AG125" s="307" t="str">
        <f t="shared" si="62"/>
        <v>AAA</v>
      </c>
      <c r="AH125" s="8">
        <f>IF($AG$122="",0,VLOOKUP($AG124,Products!$A$59:$E$158,5,FALSE))</f>
        <v>0</v>
      </c>
      <c r="AI125" s="322">
        <f>IF($AH125=0,0,AI$122*VLOOKUP($AG124,Products!$A$59:$H$158,8,FALSE))</f>
        <v>0</v>
      </c>
      <c r="AJ125" s="322">
        <f>IF($AH125=0,0,AJ$122*VLOOKUP($AG124,Products!$A$59:$H$158,8,FALSE))</f>
        <v>0</v>
      </c>
      <c r="AK125" s="8">
        <f>IF(OR(AL125=0,ISNUMBER(MATCH(AL125,$AL$55:AL124,0))),0,MAX($AK$55:AK124)+1)</f>
        <v>0</v>
      </c>
      <c r="AL125" s="8">
        <f t="shared" si="53"/>
        <v>0</v>
      </c>
      <c r="AM125" s="8">
        <f t="shared" si="54"/>
        <v>0</v>
      </c>
      <c r="AN125" s="8">
        <f>SUMIFS($AI$56:$AI$165,$AH$56:$AH$165,$AM125)*(1-VaporOxidizer!$D$23)</f>
        <v>0</v>
      </c>
      <c r="AO125" s="8">
        <f>SUMIFS($AJ$56:$AJ$165,$AH$56:$AH$165,$AM125)*(1-VaporOxidizer!$D$23)</f>
        <v>0</v>
      </c>
      <c r="AP125" s="8"/>
      <c r="AQ125" s="8"/>
      <c r="AR125" s="8"/>
      <c r="AS125" s="8"/>
      <c r="AT125" s="8"/>
      <c r="AU125" s="8"/>
      <c r="AV125" s="8"/>
      <c r="AW125" s="307" t="str">
        <f t="shared" si="63"/>
        <v>AAA</v>
      </c>
      <c r="AX125" s="8">
        <f>IF($AW$122="",0,VLOOKUP($AW124,Products!$A$59:$E$158,5,FALSE))</f>
        <v>0</v>
      </c>
      <c r="AY125" s="322">
        <f>IF($AX125=0,0,AY$122*VLOOKUP($AW124,Products!$A$59:$H$158,8,FALSE))</f>
        <v>0</v>
      </c>
      <c r="AZ125" s="323">
        <f>IF($AX125=0,0,AZ$122*VLOOKUP($AW124,Products!$A$59:$H$158,8,FALSE))</f>
        <v>0</v>
      </c>
      <c r="BA125" s="8">
        <f>IF(OR(BB125=0,ISNUMBER(MATCH(BB125,$BB$55:BB124,0))),0,MAX($BA$55:BA124)+1)</f>
        <v>0</v>
      </c>
      <c r="BB125" s="8">
        <f t="shared" si="55"/>
        <v>0</v>
      </c>
      <c r="BC125" s="8">
        <f t="shared" si="56"/>
        <v>0</v>
      </c>
      <c r="BD125" s="8">
        <f>IF(OR($BC125="7783-06-4",$BC125="7446-09-5",$BC125="7664-93-9"),SUMIFS($AY$56:$AY$165,$AX$56:$AX$165,$BC125),SUMIFS($AY$56:$AY$165,$AX$56:$AX$165,$BC125)*(CAS!$D$19/1000000))</f>
        <v>0</v>
      </c>
      <c r="BE125" s="8">
        <f>IF(OR($BC125="7783-06-4",$BC125="7446-09-5",$BC125="7664-93-9"),SUMIFS($AZ$56:$AZ$165,$AX$56:$AX$165,$BC125),SUMIFS($AZ$56:$AZ$165,$AX$56:$AX$165,$BC125)*(CAS!$D$19/1000000))</f>
        <v>0</v>
      </c>
      <c r="BL125" s="90"/>
    </row>
    <row r="126" spans="1:64" x14ac:dyDescent="0.2">
      <c r="A126" s="307" t="str">
        <f t="shared" si="60"/>
        <v>AAAA</v>
      </c>
      <c r="B126" s="8">
        <f>IF($A$122="",0,VLOOKUP($A125,Products!$A$59:$E$158,5,FALSE))</f>
        <v>0</v>
      </c>
      <c r="C126" s="322">
        <f>IF($B126=0,0,C$122*VLOOKUP($A125,Products!$A$59:$H$158,8,FALSE))</f>
        <v>0</v>
      </c>
      <c r="D126" s="323">
        <f>IF($B126=0,0,D$122*VLOOKUP($A125,Products!$A$59:$H$158,8,FALSE))</f>
        <v>0</v>
      </c>
      <c r="E126" s="8"/>
      <c r="F126" s="8">
        <f>IF(OR(G126=0,ISNUMBER(MATCH(G126,$G$55:G125,0))),0,MAX($F$55:F125)+1)</f>
        <v>0</v>
      </c>
      <c r="G126" s="8">
        <f t="shared" si="50"/>
        <v>0</v>
      </c>
      <c r="H126" s="8">
        <f t="shared" si="51"/>
        <v>0</v>
      </c>
      <c r="I126" s="8">
        <f>SUMIFS($C$56:$C$165,$B$56:$B$165,$H126)*(1-Flare!$D$18)</f>
        <v>0</v>
      </c>
      <c r="J126" s="8">
        <f>SUMIFS($D$56:$D$165,$B$56:$B$165,$H126)*(1-Flare!$D$18)</f>
        <v>0</v>
      </c>
      <c r="K126" s="8"/>
      <c r="L126" s="8"/>
      <c r="M126" s="8"/>
      <c r="N126" s="8"/>
      <c r="O126" s="8"/>
      <c r="P126" s="8"/>
      <c r="Q126" s="307" t="str">
        <f t="shared" si="61"/>
        <v>AAAA</v>
      </c>
      <c r="R126" s="8">
        <f>IF($Q$122="",0,VLOOKUP($Q125,Products!$A$59:$E$158,5,FALSE))</f>
        <v>0</v>
      </c>
      <c r="S126" s="322">
        <f>IF($R126=0,0,S$122*VLOOKUP($Q125,Products!$A$59:$H$158,8,FALSE))</f>
        <v>0</v>
      </c>
      <c r="T126" s="322">
        <f>IF($R126=0,0,T$122*VLOOKUP($Q125,Products!$A$59:$H$158,8,FALSE))</f>
        <v>0</v>
      </c>
      <c r="U126" s="8">
        <f>IF(OR(V126=0,ISNUMBER(MATCH(V126,$V$55:V125,0))),0,MAX($U$55:U125)+1)</f>
        <v>0</v>
      </c>
      <c r="V126" s="8">
        <f t="shared" si="52"/>
        <v>0</v>
      </c>
      <c r="W126" s="8">
        <f t="shared" si="59"/>
        <v>0</v>
      </c>
      <c r="X126" s="8">
        <f>SUMIFS($S$56:$S$165,$R$56:$R$165,$W126)*(1-VCU!$D$23)</f>
        <v>0</v>
      </c>
      <c r="Y126" s="8">
        <f>SUMIFS($T$56:$T$165,$R$56:$R$165,$W126)*(1-VCU!$D$23)</f>
        <v>0</v>
      </c>
      <c r="Z126" s="8"/>
      <c r="AA126" s="8"/>
      <c r="AB126" s="8"/>
      <c r="AC126" s="8"/>
      <c r="AD126" s="8"/>
      <c r="AE126" s="8"/>
      <c r="AF126" s="8"/>
      <c r="AG126" s="307" t="str">
        <f t="shared" si="62"/>
        <v>AAAA</v>
      </c>
      <c r="AH126" s="8">
        <f>IF($AG$122="",0,VLOOKUP($AG125,Products!$A$59:$E$158,5,FALSE))</f>
        <v>0</v>
      </c>
      <c r="AI126" s="322">
        <f>IF($AH126=0,0,AI$122*VLOOKUP($AG125,Products!$A$59:$H$158,8,FALSE))</f>
        <v>0</v>
      </c>
      <c r="AJ126" s="322">
        <f>IF($AH126=0,0,AJ$122*VLOOKUP($AG125,Products!$A$59:$H$158,8,FALSE))</f>
        <v>0</v>
      </c>
      <c r="AK126" s="8">
        <f>IF(OR(AL126=0,ISNUMBER(MATCH(AL126,$AL$55:AL125,0))),0,MAX($AK$55:AK125)+1)</f>
        <v>0</v>
      </c>
      <c r="AL126" s="8">
        <f t="shared" si="53"/>
        <v>0</v>
      </c>
      <c r="AM126" s="8">
        <f t="shared" si="54"/>
        <v>0</v>
      </c>
      <c r="AN126" s="8">
        <f>SUMIFS($AI$56:$AI$165,$AH$56:$AH$165,$AM126)*(1-VaporOxidizer!$D$23)</f>
        <v>0</v>
      </c>
      <c r="AO126" s="8">
        <f>SUMIFS($AJ$56:$AJ$165,$AH$56:$AH$165,$AM126)*(1-VaporOxidizer!$D$23)</f>
        <v>0</v>
      </c>
      <c r="AP126" s="8"/>
      <c r="AQ126" s="8"/>
      <c r="AR126" s="8"/>
      <c r="AS126" s="8"/>
      <c r="AT126" s="8"/>
      <c r="AU126" s="8"/>
      <c r="AV126" s="8"/>
      <c r="AW126" s="307" t="str">
        <f t="shared" si="63"/>
        <v>AAAA</v>
      </c>
      <c r="AX126" s="8">
        <f>IF($AW$122="",0,VLOOKUP($AW125,Products!$A$59:$E$158,5,FALSE))</f>
        <v>0</v>
      </c>
      <c r="AY126" s="322">
        <f>IF($AX126=0,0,AY$122*VLOOKUP($AW125,Products!$A$59:$H$158,8,FALSE))</f>
        <v>0</v>
      </c>
      <c r="AZ126" s="323">
        <f>IF($AX126=0,0,AZ$122*VLOOKUP($AW125,Products!$A$59:$H$158,8,FALSE))</f>
        <v>0</v>
      </c>
      <c r="BA126" s="8">
        <f>IF(OR(BB126=0,ISNUMBER(MATCH(BB126,$BB$55:BB125,0))),0,MAX($BA$55:BA125)+1)</f>
        <v>0</v>
      </c>
      <c r="BB126" s="8">
        <f t="shared" si="55"/>
        <v>0</v>
      </c>
      <c r="BC126" s="8">
        <f t="shared" si="56"/>
        <v>0</v>
      </c>
      <c r="BD126" s="8">
        <f>IF(OR($BC126="7783-06-4",$BC126="7446-09-5",$BC126="7664-93-9"),SUMIFS($AY$56:$AY$165,$AX$56:$AX$165,$BC126),SUMIFS($AY$56:$AY$165,$AX$56:$AX$165,$BC126)*(CAS!$D$19/1000000))</f>
        <v>0</v>
      </c>
      <c r="BE126" s="8">
        <f>IF(OR($BC126="7783-06-4",$BC126="7446-09-5",$BC126="7664-93-9"),SUMIFS($AZ$56:$AZ$165,$AX$56:$AX$165,$BC126),SUMIFS($AZ$56:$AZ$165,$AX$56:$AX$165,$BC126)*(CAS!$D$19/1000000))</f>
        <v>0</v>
      </c>
      <c r="BL126" s="90"/>
    </row>
    <row r="127" spans="1:64" x14ac:dyDescent="0.2">
      <c r="A127" s="307" t="str">
        <f t="shared" si="60"/>
        <v>AAAAA</v>
      </c>
      <c r="B127" s="8">
        <f>IF($A$122="",0,VLOOKUP($A126,Products!$A$59:$E$158,5,FALSE))</f>
        <v>0</v>
      </c>
      <c r="C127" s="322">
        <f>IF($B127=0,0,C$122*VLOOKUP($A126,Products!$A$59:$H$158,8,FALSE))</f>
        <v>0</v>
      </c>
      <c r="D127" s="323">
        <f>IF($B127=0,0,D$122*VLOOKUP($A126,Products!$A$59:$H$158,8,FALSE))</f>
        <v>0</v>
      </c>
      <c r="E127" s="8"/>
      <c r="F127" s="8">
        <f>IF(OR(G127=0,ISNUMBER(MATCH(G127,$G$55:G126,0))),0,MAX($F$55:F126)+1)</f>
        <v>0</v>
      </c>
      <c r="G127" s="8">
        <f t="shared" si="50"/>
        <v>0</v>
      </c>
      <c r="H127" s="8">
        <f t="shared" si="51"/>
        <v>0</v>
      </c>
      <c r="I127" s="8">
        <f>SUMIFS($C$56:$C$165,$B$56:$B$165,$H127)*(1-Flare!$D$18)</f>
        <v>0</v>
      </c>
      <c r="J127" s="8">
        <f>SUMIFS($D$56:$D$165,$B$56:$B$165,$H127)*(1-Flare!$D$18)</f>
        <v>0</v>
      </c>
      <c r="K127" s="8"/>
      <c r="L127" s="8"/>
      <c r="M127" s="8"/>
      <c r="N127" s="8"/>
      <c r="O127" s="8"/>
      <c r="P127" s="8"/>
      <c r="Q127" s="307" t="str">
        <f t="shared" si="61"/>
        <v>AAAAA</v>
      </c>
      <c r="R127" s="8">
        <f>IF($Q$122="",0,VLOOKUP($Q126,Products!$A$59:$E$158,5,FALSE))</f>
        <v>0</v>
      </c>
      <c r="S127" s="322">
        <f>IF($R127=0,0,S$122*VLOOKUP($Q126,Products!$A$59:$H$158,8,FALSE))</f>
        <v>0</v>
      </c>
      <c r="T127" s="322">
        <f>IF($R127=0,0,T$122*VLOOKUP($Q126,Products!$A$59:$H$158,8,FALSE))</f>
        <v>0</v>
      </c>
      <c r="U127" s="8">
        <f>IF(OR(V127=0,ISNUMBER(MATCH(V127,$V$55:V126,0))),0,MAX($U$55:U126)+1)</f>
        <v>0</v>
      </c>
      <c r="V127" s="8">
        <f t="shared" si="52"/>
        <v>0</v>
      </c>
      <c r="W127" s="8">
        <f t="shared" si="59"/>
        <v>0</v>
      </c>
      <c r="X127" s="8">
        <f>SUMIFS($S$56:$S$165,$R$56:$R$165,$W127)*(1-VCU!$D$23)</f>
        <v>0</v>
      </c>
      <c r="Y127" s="8">
        <f>SUMIFS($T$56:$T$165,$R$56:$R$165,$W127)*(1-VCU!$D$23)</f>
        <v>0</v>
      </c>
      <c r="Z127" s="8"/>
      <c r="AA127" s="8"/>
      <c r="AB127" s="8"/>
      <c r="AC127" s="8"/>
      <c r="AD127" s="8"/>
      <c r="AE127" s="8"/>
      <c r="AF127" s="8"/>
      <c r="AG127" s="307" t="str">
        <f t="shared" si="62"/>
        <v>AAAAA</v>
      </c>
      <c r="AH127" s="8">
        <f>IF($AG$122="",0,VLOOKUP($AG126,Products!$A$59:$E$158,5,FALSE))</f>
        <v>0</v>
      </c>
      <c r="AI127" s="322">
        <f>IF($AH127=0,0,AI$122*VLOOKUP($AG126,Products!$A$59:$H$158,8,FALSE))</f>
        <v>0</v>
      </c>
      <c r="AJ127" s="322">
        <f>IF($AH127=0,0,AJ$122*VLOOKUP($AG126,Products!$A$59:$H$158,8,FALSE))</f>
        <v>0</v>
      </c>
      <c r="AK127" s="8">
        <f>IF(OR(AL127=0,ISNUMBER(MATCH(AL127,$AL$55:AL126,0))),0,MAX($AK$55:AK126)+1)</f>
        <v>0</v>
      </c>
      <c r="AL127" s="8">
        <f t="shared" si="53"/>
        <v>0</v>
      </c>
      <c r="AM127" s="8">
        <f t="shared" si="54"/>
        <v>0</v>
      </c>
      <c r="AN127" s="8">
        <f>SUMIFS($AI$56:$AI$165,$AH$56:$AH$165,$AM127)*(1-VaporOxidizer!$D$23)</f>
        <v>0</v>
      </c>
      <c r="AO127" s="8">
        <f>SUMIFS($AJ$56:$AJ$165,$AH$56:$AH$165,$AM127)*(1-VaporOxidizer!$D$23)</f>
        <v>0</v>
      </c>
      <c r="AP127" s="8"/>
      <c r="AQ127" s="8"/>
      <c r="AR127" s="8"/>
      <c r="AS127" s="8"/>
      <c r="AT127" s="8"/>
      <c r="AU127" s="8"/>
      <c r="AV127" s="8"/>
      <c r="AW127" s="307" t="str">
        <f t="shared" si="63"/>
        <v>AAAAA</v>
      </c>
      <c r="AX127" s="8">
        <f>IF($AW$122="",0,VLOOKUP($AW126,Products!$A$59:$E$158,5,FALSE))</f>
        <v>0</v>
      </c>
      <c r="AY127" s="322">
        <f>IF($AX127=0,0,AY$122*VLOOKUP($AW126,Products!$A$59:$H$158,8,FALSE))</f>
        <v>0</v>
      </c>
      <c r="AZ127" s="323">
        <f>IF($AX127=0,0,AZ$122*VLOOKUP($AW126,Products!$A$59:$H$158,8,FALSE))</f>
        <v>0</v>
      </c>
      <c r="BA127" s="8">
        <f>IF(OR(BB127=0,ISNUMBER(MATCH(BB127,$BB$55:BB126,0))),0,MAX($BA$55:BA126)+1)</f>
        <v>0</v>
      </c>
      <c r="BB127" s="8">
        <f t="shared" si="55"/>
        <v>0</v>
      </c>
      <c r="BC127" s="8">
        <f t="shared" si="56"/>
        <v>0</v>
      </c>
      <c r="BD127" s="8">
        <f>IF(OR($BC127="7783-06-4",$BC127="7446-09-5",$BC127="7664-93-9"),SUMIFS($AY$56:$AY$165,$AX$56:$AX$165,$BC127),SUMIFS($AY$56:$AY$165,$AX$56:$AX$165,$BC127)*(CAS!$D$19/1000000))</f>
        <v>0</v>
      </c>
      <c r="BE127" s="8">
        <f>IF(OR($BC127="7783-06-4",$BC127="7446-09-5",$BC127="7664-93-9"),SUMIFS($AZ$56:$AZ$165,$AX$56:$AX$165,$BC127),SUMIFS($AZ$56:$AZ$165,$AX$56:$AX$165,$BC127)*(CAS!$D$19/1000000))</f>
        <v>0</v>
      </c>
      <c r="BL127" s="90"/>
    </row>
    <row r="128" spans="1:64" x14ac:dyDescent="0.2">
      <c r="A128" s="307" t="str">
        <f t="shared" si="60"/>
        <v>AAAAAA</v>
      </c>
      <c r="B128" s="8">
        <f>IF($A$122="",0,VLOOKUP($A127,Products!$A$59:$E$158,5,FALSE))</f>
        <v>0</v>
      </c>
      <c r="C128" s="322">
        <f>IF($B128=0,0,C$122*VLOOKUP($A127,Products!$A$59:$H$158,8,FALSE))</f>
        <v>0</v>
      </c>
      <c r="D128" s="323">
        <f>IF($B128=0,0,D$122*VLOOKUP($A127,Products!$A$59:$H$158,8,FALSE))</f>
        <v>0</v>
      </c>
      <c r="E128" s="8"/>
      <c r="F128" s="8">
        <f>IF(OR(G128=0,ISNUMBER(MATCH(G128,$G$55:G127,0))),0,MAX($F$55:F127)+1)</f>
        <v>0</v>
      </c>
      <c r="G128" s="8">
        <f t="shared" si="50"/>
        <v>0</v>
      </c>
      <c r="H128" s="8">
        <f t="shared" si="51"/>
        <v>0</v>
      </c>
      <c r="I128" s="8">
        <f>SUMIFS($C$56:$C$165,$B$56:$B$165,$H128)*(1-Flare!$D$18)</f>
        <v>0</v>
      </c>
      <c r="J128" s="8">
        <f>SUMIFS($D$56:$D$165,$B$56:$B$165,$H128)*(1-Flare!$D$18)</f>
        <v>0</v>
      </c>
      <c r="K128" s="8"/>
      <c r="L128" s="8"/>
      <c r="M128" s="8"/>
      <c r="N128" s="8"/>
      <c r="O128" s="8"/>
      <c r="P128" s="8"/>
      <c r="Q128" s="307" t="str">
        <f t="shared" si="61"/>
        <v>AAAAAA</v>
      </c>
      <c r="R128" s="8">
        <f>IF($Q$122="",0,VLOOKUP($Q127,Products!$A$59:$E$158,5,FALSE))</f>
        <v>0</v>
      </c>
      <c r="S128" s="322">
        <f>IF($R128=0,0,S$122*VLOOKUP($Q127,Products!$A$59:$H$158,8,FALSE))</f>
        <v>0</v>
      </c>
      <c r="T128" s="322">
        <f>IF($R128=0,0,T$122*VLOOKUP($Q127,Products!$A$59:$H$158,8,FALSE))</f>
        <v>0</v>
      </c>
      <c r="U128" s="8">
        <f>IF(OR(V128=0,ISNUMBER(MATCH(V128,$V$55:V127,0))),0,MAX($U$55:U127)+1)</f>
        <v>0</v>
      </c>
      <c r="V128" s="8">
        <f t="shared" si="52"/>
        <v>0</v>
      </c>
      <c r="W128" s="8">
        <f t="shared" si="59"/>
        <v>0</v>
      </c>
      <c r="X128" s="8">
        <f>SUMIFS($S$56:$S$165,$R$56:$R$165,$W128)*(1-VCU!$D$23)</f>
        <v>0</v>
      </c>
      <c r="Y128" s="8">
        <f>SUMIFS($T$56:$T$165,$R$56:$R$165,$W128)*(1-VCU!$D$23)</f>
        <v>0</v>
      </c>
      <c r="Z128" s="8"/>
      <c r="AA128" s="8"/>
      <c r="AB128" s="8"/>
      <c r="AC128" s="8"/>
      <c r="AD128" s="8"/>
      <c r="AE128" s="8"/>
      <c r="AF128" s="8"/>
      <c r="AG128" s="307" t="str">
        <f t="shared" si="62"/>
        <v>AAAAAA</v>
      </c>
      <c r="AH128" s="8">
        <f>IF($AG$122="",0,VLOOKUP($AG127,Products!$A$59:$E$158,5,FALSE))</f>
        <v>0</v>
      </c>
      <c r="AI128" s="322">
        <f>IF($AH128=0,0,AI$122*VLOOKUP($AG127,Products!$A$59:$H$158,8,FALSE))</f>
        <v>0</v>
      </c>
      <c r="AJ128" s="322">
        <f>IF($AH128=0,0,AJ$122*VLOOKUP($AG127,Products!$A$59:$H$158,8,FALSE))</f>
        <v>0</v>
      </c>
      <c r="AK128" s="8">
        <f>IF(OR(AL128=0,ISNUMBER(MATCH(AL128,$AL$55:AL127,0))),0,MAX($AK$55:AK127)+1)</f>
        <v>0</v>
      </c>
      <c r="AL128" s="8">
        <f t="shared" si="53"/>
        <v>0</v>
      </c>
      <c r="AM128" s="8">
        <f t="shared" si="54"/>
        <v>0</v>
      </c>
      <c r="AN128" s="8">
        <f>SUMIFS($AI$56:$AI$165,$AH$56:$AH$165,$AM128)*(1-VaporOxidizer!$D$23)</f>
        <v>0</v>
      </c>
      <c r="AO128" s="8">
        <f>SUMIFS($AJ$56:$AJ$165,$AH$56:$AH$165,$AM128)*(1-VaporOxidizer!$D$23)</f>
        <v>0</v>
      </c>
      <c r="AP128" s="8"/>
      <c r="AQ128" s="8"/>
      <c r="AR128" s="8"/>
      <c r="AS128" s="8"/>
      <c r="AT128" s="8"/>
      <c r="AU128" s="8"/>
      <c r="AV128" s="8"/>
      <c r="AW128" s="307" t="str">
        <f t="shared" si="63"/>
        <v>AAAAAA</v>
      </c>
      <c r="AX128" s="8">
        <f>IF($AW$122="",0,VLOOKUP($AW127,Products!$A$59:$E$158,5,FALSE))</f>
        <v>0</v>
      </c>
      <c r="AY128" s="322">
        <f>IF($AX128=0,0,AY$122*VLOOKUP($AW127,Products!$A$59:$H$158,8,FALSE))</f>
        <v>0</v>
      </c>
      <c r="AZ128" s="323">
        <f>IF($AX128=0,0,AZ$122*VLOOKUP($AW127,Products!$A$59:$H$158,8,FALSE))</f>
        <v>0</v>
      </c>
      <c r="BA128" s="8">
        <f>IF(OR(BB128=0,ISNUMBER(MATCH(BB128,$BB$55:BB127,0))),0,MAX($BA$55:BA127)+1)</f>
        <v>0</v>
      </c>
      <c r="BB128" s="8">
        <f t="shared" si="55"/>
        <v>0</v>
      </c>
      <c r="BC128" s="8">
        <f t="shared" si="56"/>
        <v>0</v>
      </c>
      <c r="BD128" s="8">
        <f>IF(OR($BC128="7783-06-4",$BC128="7446-09-5",$BC128="7664-93-9"),SUMIFS($AY$56:$AY$165,$AX$56:$AX$165,$BC128),SUMIFS($AY$56:$AY$165,$AX$56:$AX$165,$BC128)*(CAS!$D$19/1000000))</f>
        <v>0</v>
      </c>
      <c r="BE128" s="8">
        <f>IF(OR($BC128="7783-06-4",$BC128="7446-09-5",$BC128="7664-93-9"),SUMIFS($AZ$56:$AZ$165,$AX$56:$AX$165,$BC128),SUMIFS($AZ$56:$AZ$165,$AX$56:$AX$165,$BC128)*(CAS!$D$19/1000000))</f>
        <v>0</v>
      </c>
      <c r="BL128" s="90"/>
    </row>
    <row r="129" spans="1:64" x14ac:dyDescent="0.2">
      <c r="A129" s="307" t="str">
        <f t="shared" si="60"/>
        <v>AAAAAAA</v>
      </c>
      <c r="B129" s="8">
        <f>IF($A$122="",0,VLOOKUP($A128,Products!$A$59:$E$158,5,FALSE))</f>
        <v>0</v>
      </c>
      <c r="C129" s="322">
        <f>IF($B129=0,0,C$122*VLOOKUP($A128,Products!$A$59:$H$158,8,FALSE))</f>
        <v>0</v>
      </c>
      <c r="D129" s="323">
        <f>IF($B129=0,0,D$122*VLOOKUP($A128,Products!$A$59:$H$158,8,FALSE))</f>
        <v>0</v>
      </c>
      <c r="E129" s="8"/>
      <c r="F129" s="8">
        <f>IF(OR(G129=0,ISNUMBER(MATCH(G129,$G$55:G128,0))),0,MAX($F$55:F128)+1)</f>
        <v>0</v>
      </c>
      <c r="G129" s="8">
        <f t="shared" si="50"/>
        <v>0</v>
      </c>
      <c r="H129" s="8">
        <f t="shared" si="51"/>
        <v>0</v>
      </c>
      <c r="I129" s="8">
        <f>SUMIFS($C$56:$C$165,$B$56:$B$165,$H129)*(1-Flare!$D$18)</f>
        <v>0</v>
      </c>
      <c r="J129" s="8">
        <f>SUMIFS($D$56:$D$165,$B$56:$B$165,$H129)*(1-Flare!$D$18)</f>
        <v>0</v>
      </c>
      <c r="K129" s="8"/>
      <c r="L129" s="8"/>
      <c r="M129" s="8"/>
      <c r="N129" s="8"/>
      <c r="O129" s="8"/>
      <c r="P129" s="8"/>
      <c r="Q129" s="307" t="str">
        <f t="shared" si="61"/>
        <v>AAAAAAA</v>
      </c>
      <c r="R129" s="8">
        <f>IF($Q$122="",0,VLOOKUP($Q128,Products!$A$59:$E$158,5,FALSE))</f>
        <v>0</v>
      </c>
      <c r="S129" s="322">
        <f>IF($R129=0,0,S$122*VLOOKUP($Q128,Products!$A$59:$H$158,8,FALSE))</f>
        <v>0</v>
      </c>
      <c r="T129" s="322">
        <f>IF($R129=0,0,T$122*VLOOKUP($Q128,Products!$A$59:$H$158,8,FALSE))</f>
        <v>0</v>
      </c>
      <c r="U129" s="8">
        <f>IF(OR(V129=0,ISNUMBER(MATCH(V129,$V$55:V128,0))),0,MAX($U$55:U128)+1)</f>
        <v>0</v>
      </c>
      <c r="V129" s="8">
        <f t="shared" si="52"/>
        <v>0</v>
      </c>
      <c r="W129" s="8">
        <f t="shared" si="59"/>
        <v>0</v>
      </c>
      <c r="X129" s="8">
        <f>SUMIFS($S$56:$S$165,$R$56:$R$165,$W129)*(1-VCU!$D$23)</f>
        <v>0</v>
      </c>
      <c r="Y129" s="8">
        <f>SUMIFS($T$56:$T$165,$R$56:$R$165,$W129)*(1-VCU!$D$23)</f>
        <v>0</v>
      </c>
      <c r="Z129" s="8"/>
      <c r="AA129" s="8"/>
      <c r="AB129" s="8"/>
      <c r="AC129" s="8"/>
      <c r="AD129" s="8"/>
      <c r="AE129" s="8"/>
      <c r="AF129" s="8"/>
      <c r="AG129" s="307" t="str">
        <f t="shared" si="62"/>
        <v>AAAAAAA</v>
      </c>
      <c r="AH129" s="8">
        <f>IF($AG$122="",0,VLOOKUP($AG128,Products!$A$59:$E$158,5,FALSE))</f>
        <v>0</v>
      </c>
      <c r="AI129" s="322">
        <f>IF($AH129=0,0,AI$122*VLOOKUP($AG128,Products!$A$59:$H$158,8,FALSE))</f>
        <v>0</v>
      </c>
      <c r="AJ129" s="322">
        <f>IF($AH129=0,0,AJ$122*VLOOKUP($AG128,Products!$A$59:$H$158,8,FALSE))</f>
        <v>0</v>
      </c>
      <c r="AK129" s="8">
        <f>IF(OR(AL129=0,ISNUMBER(MATCH(AL129,$AL$55:AL128,0))),0,MAX($AK$55:AK128)+1)</f>
        <v>0</v>
      </c>
      <c r="AL129" s="8">
        <f t="shared" si="53"/>
        <v>0</v>
      </c>
      <c r="AM129" s="8">
        <f t="shared" si="54"/>
        <v>0</v>
      </c>
      <c r="AN129" s="8">
        <f>SUMIFS($AI$56:$AI$165,$AH$56:$AH$165,$AM129)*(1-VaporOxidizer!$D$23)</f>
        <v>0</v>
      </c>
      <c r="AO129" s="8">
        <f>SUMIFS($AJ$56:$AJ$165,$AH$56:$AH$165,$AM129)*(1-VaporOxidizer!$D$23)</f>
        <v>0</v>
      </c>
      <c r="AP129" s="8"/>
      <c r="AQ129" s="8"/>
      <c r="AR129" s="8"/>
      <c r="AS129" s="8"/>
      <c r="AT129" s="8"/>
      <c r="AU129" s="8"/>
      <c r="AV129" s="8"/>
      <c r="AW129" s="307" t="str">
        <f t="shared" si="63"/>
        <v>AAAAAAA</v>
      </c>
      <c r="AX129" s="8">
        <f>IF($AW$122="",0,VLOOKUP($AW128,Products!$A$59:$E$158,5,FALSE))</f>
        <v>0</v>
      </c>
      <c r="AY129" s="322">
        <f>IF($AX129=0,0,AY$122*VLOOKUP($AW128,Products!$A$59:$H$158,8,FALSE))</f>
        <v>0</v>
      </c>
      <c r="AZ129" s="323">
        <f>IF($AX129=0,0,AZ$122*VLOOKUP($AW128,Products!$A$59:$H$158,8,FALSE))</f>
        <v>0</v>
      </c>
      <c r="BA129" s="8">
        <f>IF(OR(BB129=0,ISNUMBER(MATCH(BB129,$BB$55:BB128,0))),0,MAX($BA$55:BA128)+1)</f>
        <v>0</v>
      </c>
      <c r="BB129" s="8">
        <f t="shared" si="55"/>
        <v>0</v>
      </c>
      <c r="BC129" s="8">
        <f t="shared" si="56"/>
        <v>0</v>
      </c>
      <c r="BD129" s="8">
        <f>IF(OR($BC129="7783-06-4",$BC129="7446-09-5",$BC129="7664-93-9"),SUMIFS($AY$56:$AY$165,$AX$56:$AX$165,$BC129),SUMIFS($AY$56:$AY$165,$AX$56:$AX$165,$BC129)*(CAS!$D$19/1000000))</f>
        <v>0</v>
      </c>
      <c r="BE129" s="8">
        <f>IF(OR($BC129="7783-06-4",$BC129="7446-09-5",$BC129="7664-93-9"),SUMIFS($AZ$56:$AZ$165,$AX$56:$AX$165,$BC129),SUMIFS($AZ$56:$AZ$165,$AX$56:$AX$165,$BC129)*(CAS!$D$19/1000000))</f>
        <v>0</v>
      </c>
      <c r="BL129" s="90"/>
    </row>
    <row r="130" spans="1:64" x14ac:dyDescent="0.2">
      <c r="A130" s="307" t="str">
        <f t="shared" si="60"/>
        <v>AAAAAAAA</v>
      </c>
      <c r="B130" s="8">
        <f>IF($A$122="",0,VLOOKUP($A129,Products!$A$59:$E$158,5,FALSE))</f>
        <v>0</v>
      </c>
      <c r="C130" s="322">
        <f>IF($B130=0,0,C$122*VLOOKUP($A129,Products!$A$59:$H$158,8,FALSE))</f>
        <v>0</v>
      </c>
      <c r="D130" s="323">
        <f>IF($B130=0,0,D$122*VLOOKUP($A129,Products!$A$59:$H$158,8,FALSE))</f>
        <v>0</v>
      </c>
      <c r="E130" s="8"/>
      <c r="F130" s="8">
        <f>IF(OR(G130=0,ISNUMBER(MATCH(G130,$G$55:G129,0))),0,MAX($F$55:F129)+1)</f>
        <v>0</v>
      </c>
      <c r="G130" s="8">
        <f t="shared" si="50"/>
        <v>0</v>
      </c>
      <c r="H130" s="8">
        <f t="shared" si="51"/>
        <v>0</v>
      </c>
      <c r="I130" s="8">
        <f>SUMIFS($C$56:$C$165,$B$56:$B$165,$H130)*(1-Flare!$D$18)</f>
        <v>0</v>
      </c>
      <c r="J130" s="8">
        <f>SUMIFS($D$56:$D$165,$B$56:$B$165,$H130)*(1-Flare!$D$18)</f>
        <v>0</v>
      </c>
      <c r="K130" s="8"/>
      <c r="L130" s="8"/>
      <c r="M130" s="8"/>
      <c r="N130" s="8"/>
      <c r="O130" s="8"/>
      <c r="P130" s="8"/>
      <c r="Q130" s="307" t="str">
        <f t="shared" si="61"/>
        <v>AAAAAAAA</v>
      </c>
      <c r="R130" s="8">
        <f>IF($Q$122="",0,VLOOKUP($Q129,Products!$A$59:$E$158,5,FALSE))</f>
        <v>0</v>
      </c>
      <c r="S130" s="322">
        <f>IF($R130=0,0,S$122*VLOOKUP($Q129,Products!$A$59:$H$158,8,FALSE))</f>
        <v>0</v>
      </c>
      <c r="T130" s="322">
        <f>IF($R130=0,0,T$122*VLOOKUP($Q129,Products!$A$59:$H$158,8,FALSE))</f>
        <v>0</v>
      </c>
      <c r="U130" s="8">
        <f>IF(OR(V130=0,ISNUMBER(MATCH(V130,$V$55:V129,0))),0,MAX($U$55:U129)+1)</f>
        <v>0</v>
      </c>
      <c r="V130" s="8">
        <f t="shared" si="52"/>
        <v>0</v>
      </c>
      <c r="W130" s="8">
        <f t="shared" si="59"/>
        <v>0</v>
      </c>
      <c r="X130" s="8">
        <f>SUMIFS($S$56:$S$165,$R$56:$R$165,$W130)*(1-VCU!$D$23)</f>
        <v>0</v>
      </c>
      <c r="Y130" s="8">
        <f>SUMIFS($T$56:$T$165,$R$56:$R$165,$W130)*(1-VCU!$D$23)</f>
        <v>0</v>
      </c>
      <c r="Z130" s="8"/>
      <c r="AA130" s="8"/>
      <c r="AB130" s="8"/>
      <c r="AC130" s="8"/>
      <c r="AD130" s="8"/>
      <c r="AE130" s="8"/>
      <c r="AF130" s="8"/>
      <c r="AG130" s="307" t="str">
        <f t="shared" si="62"/>
        <v>AAAAAAAA</v>
      </c>
      <c r="AH130" s="8">
        <f>IF($AG$122="",0,VLOOKUP($AG129,Products!$A$59:$E$158,5,FALSE))</f>
        <v>0</v>
      </c>
      <c r="AI130" s="322">
        <f>IF($AH130=0,0,AI$122*VLOOKUP($AG129,Products!$A$59:$H$158,8,FALSE))</f>
        <v>0</v>
      </c>
      <c r="AJ130" s="322">
        <f>IF($AH130=0,0,AJ$122*VLOOKUP($AG129,Products!$A$59:$H$158,8,FALSE))</f>
        <v>0</v>
      </c>
      <c r="AK130" s="8">
        <f>IF(OR(AL130=0,ISNUMBER(MATCH(AL130,$AL$55:AL129,0))),0,MAX($AK$55:AK129)+1)</f>
        <v>0</v>
      </c>
      <c r="AL130" s="8">
        <f t="shared" si="53"/>
        <v>0</v>
      </c>
      <c r="AM130" s="8">
        <f t="shared" si="54"/>
        <v>0</v>
      </c>
      <c r="AN130" s="8">
        <f>SUMIFS($AI$56:$AI$165,$AH$56:$AH$165,$AM130)*(1-VaporOxidizer!$D$23)</f>
        <v>0</v>
      </c>
      <c r="AO130" s="8">
        <f>SUMIFS($AJ$56:$AJ$165,$AH$56:$AH$165,$AM130)*(1-VaporOxidizer!$D$23)</f>
        <v>0</v>
      </c>
      <c r="AP130" s="8"/>
      <c r="AQ130" s="8"/>
      <c r="AR130" s="8"/>
      <c r="AS130" s="8"/>
      <c r="AT130" s="8"/>
      <c r="AU130" s="8"/>
      <c r="AV130" s="8"/>
      <c r="AW130" s="307" t="str">
        <f t="shared" si="63"/>
        <v>AAAAAAAA</v>
      </c>
      <c r="AX130" s="8">
        <f>IF($AW$122="",0,VLOOKUP($AW129,Products!$A$59:$E$158,5,FALSE))</f>
        <v>0</v>
      </c>
      <c r="AY130" s="322">
        <f>IF($AX130=0,0,AY$122*VLOOKUP($AW129,Products!$A$59:$H$158,8,FALSE))</f>
        <v>0</v>
      </c>
      <c r="AZ130" s="323">
        <f>IF($AX130=0,0,AZ$122*VLOOKUP($AW129,Products!$A$59:$H$158,8,FALSE))</f>
        <v>0</v>
      </c>
      <c r="BA130" s="8">
        <f>IF(OR(BB130=0,ISNUMBER(MATCH(BB130,$BB$55:BB129,0))),0,MAX($BA$55:BA129)+1)</f>
        <v>0</v>
      </c>
      <c r="BB130" s="8">
        <f t="shared" si="55"/>
        <v>0</v>
      </c>
      <c r="BC130" s="8">
        <f t="shared" si="56"/>
        <v>0</v>
      </c>
      <c r="BD130" s="8">
        <f>IF(OR($BC130="7783-06-4",$BC130="7446-09-5",$BC130="7664-93-9"),SUMIFS($AY$56:$AY$165,$AX$56:$AX$165,$BC130),SUMIFS($AY$56:$AY$165,$AX$56:$AX$165,$BC130)*(CAS!$D$19/1000000))</f>
        <v>0</v>
      </c>
      <c r="BE130" s="8">
        <f>IF(OR($BC130="7783-06-4",$BC130="7446-09-5",$BC130="7664-93-9"),SUMIFS($AZ$56:$AZ$165,$AX$56:$AX$165,$BC130),SUMIFS($AZ$56:$AZ$165,$AX$56:$AX$165,$BC130)*(CAS!$D$19/1000000))</f>
        <v>0</v>
      </c>
      <c r="BL130" s="90"/>
    </row>
    <row r="131" spans="1:64" x14ac:dyDescent="0.2">
      <c r="A131" s="307" t="str">
        <f t="shared" si="60"/>
        <v>AAAAAAAAA</v>
      </c>
      <c r="B131" s="8">
        <f>IF($A$122="",0,VLOOKUP($A130,Products!$A$59:$E$158,5,FALSE))</f>
        <v>0</v>
      </c>
      <c r="C131" s="322">
        <f>IF($B131=0,0,C$122*VLOOKUP($A130,Products!$A$59:$H$158,8,FALSE))</f>
        <v>0</v>
      </c>
      <c r="D131" s="323">
        <f>IF($B131=0,0,D$122*VLOOKUP($A130,Products!$A$59:$H$158,8,FALSE))</f>
        <v>0</v>
      </c>
      <c r="E131" s="8"/>
      <c r="F131" s="8">
        <f>IF(OR(G131=0,ISNUMBER(MATCH(G131,$G$55:G130,0))),0,MAX($F$55:F130)+1)</f>
        <v>0</v>
      </c>
      <c r="G131" s="8">
        <f t="shared" si="50"/>
        <v>0</v>
      </c>
      <c r="H131" s="8">
        <f t="shared" si="51"/>
        <v>0</v>
      </c>
      <c r="I131" s="8">
        <f>SUMIFS($C$56:$C$165,$B$56:$B$165,$H131)*(1-Flare!$D$18)</f>
        <v>0</v>
      </c>
      <c r="J131" s="8">
        <f>SUMIFS($D$56:$D$165,$B$56:$B$165,$H131)*(1-Flare!$D$18)</f>
        <v>0</v>
      </c>
      <c r="K131" s="8"/>
      <c r="L131" s="8"/>
      <c r="M131" s="8"/>
      <c r="N131" s="8"/>
      <c r="O131" s="8"/>
      <c r="P131" s="8"/>
      <c r="Q131" s="307" t="str">
        <f t="shared" si="61"/>
        <v>AAAAAAAAA</v>
      </c>
      <c r="R131" s="8">
        <f>IF($Q$122="",0,VLOOKUP($Q130,Products!$A$59:$E$158,5,FALSE))</f>
        <v>0</v>
      </c>
      <c r="S131" s="322">
        <f>IF($R131=0,0,S$122*VLOOKUP($Q130,Products!$A$59:$H$158,8,FALSE))</f>
        <v>0</v>
      </c>
      <c r="T131" s="322">
        <f>IF($R131=0,0,T$122*VLOOKUP($Q130,Products!$A$59:$H$158,8,FALSE))</f>
        <v>0</v>
      </c>
      <c r="U131" s="8">
        <f>IF(OR(V131=0,ISNUMBER(MATCH(V131,$V$55:V130,0))),0,MAX($U$55:U130)+1)</f>
        <v>0</v>
      </c>
      <c r="V131" s="8">
        <f t="shared" si="52"/>
        <v>0</v>
      </c>
      <c r="W131" s="8">
        <f t="shared" si="59"/>
        <v>0</v>
      </c>
      <c r="X131" s="8">
        <f>SUMIFS($S$56:$S$165,$R$56:$R$165,$W131)*(1-VCU!$D$23)</f>
        <v>0</v>
      </c>
      <c r="Y131" s="8">
        <f>SUMIFS($T$56:$T$165,$R$56:$R$165,$W131)*(1-VCU!$D$23)</f>
        <v>0</v>
      </c>
      <c r="Z131" s="8"/>
      <c r="AA131" s="8"/>
      <c r="AB131" s="8"/>
      <c r="AC131" s="8"/>
      <c r="AD131" s="8"/>
      <c r="AE131" s="8"/>
      <c r="AF131" s="8"/>
      <c r="AG131" s="307" t="str">
        <f t="shared" si="62"/>
        <v>AAAAAAAAA</v>
      </c>
      <c r="AH131" s="8">
        <f>IF($AG$122="",0,VLOOKUP($AG130,Products!$A$59:$E$158,5,FALSE))</f>
        <v>0</v>
      </c>
      <c r="AI131" s="322">
        <f>IF($AH131=0,0,AI$122*VLOOKUP($AG130,Products!$A$59:$H$158,8,FALSE))</f>
        <v>0</v>
      </c>
      <c r="AJ131" s="322">
        <f>IF($AH131=0,0,AJ$122*VLOOKUP($AG130,Products!$A$59:$H$158,8,FALSE))</f>
        <v>0</v>
      </c>
      <c r="AK131" s="8">
        <f>IF(OR(AL131=0,ISNUMBER(MATCH(AL131,$AL$55:AL130,0))),0,MAX($AK$55:AK130)+1)</f>
        <v>0</v>
      </c>
      <c r="AL131" s="8">
        <f t="shared" si="53"/>
        <v>0</v>
      </c>
      <c r="AM131" s="8">
        <f t="shared" si="54"/>
        <v>0</v>
      </c>
      <c r="AN131" s="8">
        <f>SUMIFS($AI$56:$AI$165,$AH$56:$AH$165,$AM131)*(1-VaporOxidizer!$D$23)</f>
        <v>0</v>
      </c>
      <c r="AO131" s="8">
        <f>SUMIFS($AJ$56:$AJ$165,$AH$56:$AH$165,$AM131)*(1-VaporOxidizer!$D$23)</f>
        <v>0</v>
      </c>
      <c r="AP131" s="8"/>
      <c r="AQ131" s="8"/>
      <c r="AR131" s="8"/>
      <c r="AS131" s="8"/>
      <c r="AT131" s="8"/>
      <c r="AU131" s="8"/>
      <c r="AV131" s="8"/>
      <c r="AW131" s="307" t="str">
        <f t="shared" si="63"/>
        <v>AAAAAAAAA</v>
      </c>
      <c r="AX131" s="8">
        <f>IF($AW$122="",0,VLOOKUP($AW130,Products!$A$59:$E$158,5,FALSE))</f>
        <v>0</v>
      </c>
      <c r="AY131" s="322">
        <f>IF($AX131=0,0,AY$122*VLOOKUP($AW130,Products!$A$59:$H$158,8,FALSE))</f>
        <v>0</v>
      </c>
      <c r="AZ131" s="323">
        <f>IF($AX131=0,0,AZ$122*VLOOKUP($AW130,Products!$A$59:$H$158,8,FALSE))</f>
        <v>0</v>
      </c>
      <c r="BA131" s="8">
        <f>IF(OR(BB131=0,ISNUMBER(MATCH(BB131,$BB$55:BB130,0))),0,MAX($BA$55:BA130)+1)</f>
        <v>0</v>
      </c>
      <c r="BB131" s="8">
        <f t="shared" si="55"/>
        <v>0</v>
      </c>
      <c r="BC131" s="8">
        <f t="shared" si="56"/>
        <v>0</v>
      </c>
      <c r="BD131" s="8">
        <f>IF(OR($BC131="7783-06-4",$BC131="7446-09-5",$BC131="7664-93-9"),SUMIFS($AY$56:$AY$165,$AX$56:$AX$165,$BC131),SUMIFS($AY$56:$AY$165,$AX$56:$AX$165,$BC131)*(CAS!$D$19/1000000))</f>
        <v>0</v>
      </c>
      <c r="BE131" s="8">
        <f>IF(OR($BC131="7783-06-4",$BC131="7446-09-5",$BC131="7664-93-9"),SUMIFS($AZ$56:$AZ$165,$AX$56:$AX$165,$BC131),SUMIFS($AZ$56:$AZ$165,$AX$56:$AX$165,$BC131)*(CAS!$D$19/1000000))</f>
        <v>0</v>
      </c>
      <c r="BL131" s="90"/>
    </row>
    <row r="132" spans="1:64" x14ac:dyDescent="0.2">
      <c r="A132" s="307" t="str">
        <f t="shared" si="60"/>
        <v>AAAAAAAAAA</v>
      </c>
      <c r="B132" s="8">
        <f>IF($A$122="",0,VLOOKUP($A131,Products!$A$59:$E$158,5,FALSE))</f>
        <v>0</v>
      </c>
      <c r="C132" s="322">
        <f>IF($B132=0,0,C$122*VLOOKUP($A131,Products!$A$59:$H$158,8,FALSE))</f>
        <v>0</v>
      </c>
      <c r="D132" s="323">
        <f>IF($B132=0,0,D$122*VLOOKUP($A131,Products!$A$59:$H$158,8,FALSE))</f>
        <v>0</v>
      </c>
      <c r="E132" s="8"/>
      <c r="F132" s="8">
        <f>IF(OR(G132=0,ISNUMBER(MATCH(G132,$G$55:G131,0))),0,MAX($F$55:F131)+1)</f>
        <v>0</v>
      </c>
      <c r="G132" s="8">
        <f t="shared" si="50"/>
        <v>0</v>
      </c>
      <c r="H132" s="8">
        <f t="shared" si="51"/>
        <v>0</v>
      </c>
      <c r="I132" s="8">
        <f>SUMIFS($C$56:$C$165,$B$56:$B$165,$H132)*(1-Flare!$D$18)</f>
        <v>0</v>
      </c>
      <c r="J132" s="8">
        <f>SUMIFS($D$56:$D$165,$B$56:$B$165,$H132)*(1-Flare!$D$18)</f>
        <v>0</v>
      </c>
      <c r="K132" s="8"/>
      <c r="L132" s="8"/>
      <c r="M132" s="8"/>
      <c r="N132" s="8"/>
      <c r="O132" s="8"/>
      <c r="P132" s="8"/>
      <c r="Q132" s="307" t="str">
        <f t="shared" si="61"/>
        <v>AAAAAAAAAA</v>
      </c>
      <c r="R132" s="8">
        <f>IF($Q$122="",0,VLOOKUP($Q131,Products!$A$59:$E$158,5,FALSE))</f>
        <v>0</v>
      </c>
      <c r="S132" s="322">
        <f>IF($R132=0,0,S$122*VLOOKUP($Q131,Products!$A$59:$H$158,8,FALSE))</f>
        <v>0</v>
      </c>
      <c r="T132" s="322">
        <f>IF($R132=0,0,T$122*VLOOKUP($Q131,Products!$A$59:$H$158,8,FALSE))</f>
        <v>0</v>
      </c>
      <c r="U132" s="8">
        <f>IF(OR(V132=0,ISNUMBER(MATCH(V132,$V$55:V131,0))),0,MAX($U$55:U131)+1)</f>
        <v>0</v>
      </c>
      <c r="V132" s="8">
        <f t="shared" si="52"/>
        <v>0</v>
      </c>
      <c r="W132" s="8">
        <f t="shared" si="59"/>
        <v>0</v>
      </c>
      <c r="X132" s="8">
        <f>SUMIFS($S$56:$S$165,$R$56:$R$165,$W132)*(1-VCU!$D$23)</f>
        <v>0</v>
      </c>
      <c r="Y132" s="8">
        <f>SUMIFS($T$56:$T$165,$R$56:$R$165,$W132)*(1-VCU!$D$23)</f>
        <v>0</v>
      </c>
      <c r="Z132" s="8"/>
      <c r="AA132" s="8"/>
      <c r="AB132" s="8"/>
      <c r="AC132" s="8"/>
      <c r="AD132" s="8"/>
      <c r="AE132" s="8"/>
      <c r="AF132" s="8"/>
      <c r="AG132" s="307" t="str">
        <f t="shared" si="62"/>
        <v>AAAAAAAAAA</v>
      </c>
      <c r="AH132" s="8">
        <f>IF($AG$122="",0,VLOOKUP($AG131,Products!$A$59:$E$158,5,FALSE))</f>
        <v>0</v>
      </c>
      <c r="AI132" s="322">
        <f>IF($AH132=0,0,AI$122*VLOOKUP($AG131,Products!$A$59:$H$158,8,FALSE))</f>
        <v>0</v>
      </c>
      <c r="AJ132" s="322">
        <f>IF($AH132=0,0,AJ$122*VLOOKUP($AG131,Products!$A$59:$H$158,8,FALSE))</f>
        <v>0</v>
      </c>
      <c r="AK132" s="8">
        <f>IF(OR(AL132=0,ISNUMBER(MATCH(AL132,$AL$55:AL131,0))),0,MAX($AK$55:AK131)+1)</f>
        <v>0</v>
      </c>
      <c r="AL132" s="8">
        <f t="shared" si="53"/>
        <v>0</v>
      </c>
      <c r="AM132" s="8">
        <f t="shared" si="54"/>
        <v>0</v>
      </c>
      <c r="AN132" s="8">
        <f>SUMIFS($AI$56:$AI$165,$AH$56:$AH$165,$AM132)*(1-VaporOxidizer!$D$23)</f>
        <v>0</v>
      </c>
      <c r="AO132" s="8">
        <f>SUMIFS($AJ$56:$AJ$165,$AH$56:$AH$165,$AM132)*(1-VaporOxidizer!$D$23)</f>
        <v>0</v>
      </c>
      <c r="AP132" s="8"/>
      <c r="AQ132" s="8"/>
      <c r="AR132" s="8"/>
      <c r="AS132" s="8"/>
      <c r="AT132" s="8"/>
      <c r="AU132" s="8"/>
      <c r="AV132" s="8"/>
      <c r="AW132" s="307" t="str">
        <f t="shared" si="63"/>
        <v>AAAAAAAAAA</v>
      </c>
      <c r="AX132" s="8">
        <f>IF($AW$122="",0,VLOOKUP($AW131,Products!$A$59:$E$158,5,FALSE))</f>
        <v>0</v>
      </c>
      <c r="AY132" s="322">
        <f>IF($AX132=0,0,AY$122*VLOOKUP($AW131,Products!$A$59:$H$158,8,FALSE))</f>
        <v>0</v>
      </c>
      <c r="AZ132" s="323">
        <f>IF($AX132=0,0,AZ$122*VLOOKUP($AW131,Products!$A$59:$H$158,8,FALSE))</f>
        <v>0</v>
      </c>
      <c r="BA132" s="8">
        <f>IF(OR(BB132=0,ISNUMBER(MATCH(BB132,$BB$55:BB131,0))),0,MAX($BA$55:BA131)+1)</f>
        <v>0</v>
      </c>
      <c r="BB132" s="8">
        <f t="shared" si="55"/>
        <v>0</v>
      </c>
      <c r="BC132" s="8">
        <f t="shared" si="56"/>
        <v>0</v>
      </c>
      <c r="BD132" s="8">
        <f>IF(OR($BC132="7783-06-4",$BC132="7446-09-5",$BC132="7664-93-9"),SUMIFS($AY$56:$AY$165,$AX$56:$AX$165,$BC132),SUMIFS($AY$56:$AY$165,$AX$56:$AX$165,$BC132)*(CAS!$D$19/1000000))</f>
        <v>0</v>
      </c>
      <c r="BE132" s="8">
        <f>IF(OR($BC132="7783-06-4",$BC132="7446-09-5",$BC132="7664-93-9"),SUMIFS($AZ$56:$AZ$165,$AX$56:$AX$165,$BC132),SUMIFS($AZ$56:$AZ$165,$AX$56:$AX$165,$BC132)*(CAS!$D$19/1000000))</f>
        <v>0</v>
      </c>
      <c r="BL132" s="90"/>
    </row>
    <row r="133" spans="1:64" x14ac:dyDescent="0.2">
      <c r="A133" s="310" t="str">
        <f>$F10</f>
        <v/>
      </c>
      <c r="B133" s="311" t="s">
        <v>291</v>
      </c>
      <c r="C133" s="311">
        <f t="shared" si="57"/>
        <v>0</v>
      </c>
      <c r="D133" s="312">
        <f t="shared" si="58"/>
        <v>0</v>
      </c>
      <c r="E133" s="8"/>
      <c r="F133" s="8">
        <f>IF(OR(G133=0,ISNUMBER(MATCH(G133,$G$55:G132,0))),0,MAX($F$55:F132)+1)</f>
        <v>0</v>
      </c>
      <c r="G133" s="8" t="str">
        <f t="shared" si="50"/>
        <v>Total VOC</v>
      </c>
      <c r="H133" s="8">
        <f t="shared" si="51"/>
        <v>0</v>
      </c>
      <c r="I133" s="8">
        <f>SUMIFS($C$56:$C$165,$B$56:$B$165,$H133)*(1-Flare!$D$18)</f>
        <v>0</v>
      </c>
      <c r="J133" s="8">
        <f>SUMIFS($D$56:$D$165,$B$56:$B$165,$H133)*(1-Flare!$D$18)</f>
        <v>0</v>
      </c>
      <c r="K133" s="8"/>
      <c r="L133" s="8"/>
      <c r="M133" s="8"/>
      <c r="N133" s="8"/>
      <c r="O133" s="8"/>
      <c r="P133" s="8"/>
      <c r="Q133" s="310" t="str">
        <f>$V10</f>
        <v/>
      </c>
      <c r="R133" s="311" t="s">
        <v>291</v>
      </c>
      <c r="S133" s="311">
        <f>VLOOKUP($Q133,$V$3:$X$12,2,FALSE)</f>
        <v>0</v>
      </c>
      <c r="T133" s="312">
        <f>VLOOKUP($Q133,$V$3:$X$12,3,FALSE)</f>
        <v>0</v>
      </c>
      <c r="U133" s="8">
        <f>IF(OR(V133=0,ISNUMBER(MATCH(V133,$V$55:V132,0))),0,MAX($U$55:U132)+1)</f>
        <v>0</v>
      </c>
      <c r="V133" s="8" t="str">
        <f t="shared" si="52"/>
        <v>Total VOC</v>
      </c>
      <c r="W133" s="8">
        <f t="shared" si="59"/>
        <v>0</v>
      </c>
      <c r="X133" s="8">
        <f>SUMIFS($S$56:$S$165,$R$56:$R$165,$W133)*(1-VCU!$D$23)</f>
        <v>0</v>
      </c>
      <c r="Y133" s="8">
        <f>SUMIFS($T$56:$T$165,$R$56:$R$165,$W133)*(1-VCU!$D$23)</f>
        <v>0</v>
      </c>
      <c r="Z133" s="8"/>
      <c r="AA133" s="8"/>
      <c r="AB133" s="8"/>
      <c r="AC133" s="8"/>
      <c r="AD133" s="8"/>
      <c r="AE133" s="8"/>
      <c r="AF133" s="8"/>
      <c r="AG133" s="310" t="str">
        <f>$AL10</f>
        <v/>
      </c>
      <c r="AH133" s="311" t="s">
        <v>291</v>
      </c>
      <c r="AI133" s="311">
        <f>VLOOKUP($AG133,$AL$3:$AN$12,2,FALSE)</f>
        <v>0</v>
      </c>
      <c r="AJ133" s="312">
        <f>VLOOKUP($AG133,$AL$3:$AN$12,3,FALSE)</f>
        <v>0</v>
      </c>
      <c r="AK133" s="8">
        <f>IF(OR(AL133=0,ISNUMBER(MATCH(AL133,$AL$55:AL132,0))),0,MAX($AK$55:AK132)+1)</f>
        <v>0</v>
      </c>
      <c r="AL133" s="8" t="str">
        <f t="shared" si="53"/>
        <v>Total VOC</v>
      </c>
      <c r="AM133" s="8">
        <f t="shared" si="54"/>
        <v>0</v>
      </c>
      <c r="AN133" s="8">
        <f>SUMIFS($AI$56:$AI$165,$AH$56:$AH$165,$AM133)*(1-VaporOxidizer!$D$23)</f>
        <v>0</v>
      </c>
      <c r="AO133" s="8">
        <f>SUMIFS($AJ$56:$AJ$165,$AH$56:$AH$165,$AM133)*(1-VaporOxidizer!$D$23)</f>
        <v>0</v>
      </c>
      <c r="AP133" s="8"/>
      <c r="AQ133" s="8"/>
      <c r="AR133" s="8"/>
      <c r="AS133" s="8"/>
      <c r="AT133" s="8"/>
      <c r="AU133" s="8"/>
      <c r="AV133" s="8"/>
      <c r="AW133" s="310" t="str">
        <f>$BB10</f>
        <v/>
      </c>
      <c r="AX133" s="311" t="s">
        <v>291</v>
      </c>
      <c r="AY133" s="311">
        <f>VLOOKUP($AW133,$BB$3:$BD$12,2,FALSE)</f>
        <v>0</v>
      </c>
      <c r="AZ133" s="312">
        <f>VLOOKUP($AW133,$BB$3:$BD$12,3,FALSE)</f>
        <v>0</v>
      </c>
      <c r="BA133" s="8">
        <f>IF(OR(BB133=0,ISNUMBER(MATCH(BB133,$BB$55:BB132,0))),0,MAX($BA$55:BA132)+1)</f>
        <v>0</v>
      </c>
      <c r="BB133" s="8" t="str">
        <f t="shared" si="55"/>
        <v>Total VOC</v>
      </c>
      <c r="BC133" s="8">
        <f t="shared" si="56"/>
        <v>0</v>
      </c>
      <c r="BD133" s="8">
        <f>IF(OR($BC133="7783-06-4",$BC133="7446-09-5",$BC133="7664-93-9"),SUMIFS($AY$56:$AY$165,$AX$56:$AX$165,$BC133),SUMIFS($AY$56:$AY$165,$AX$56:$AX$165,$BC133)*(CAS!$D$19/1000000))</f>
        <v>0</v>
      </c>
      <c r="BE133" s="8">
        <f>IF(OR($BC133="7783-06-4",$BC133="7446-09-5",$BC133="7664-93-9"),SUMIFS($AZ$56:$AZ$165,$AX$56:$AX$165,$BC133),SUMIFS($AZ$56:$AZ$165,$AX$56:$AX$165,$BC133)*(CAS!$D$19/1000000))</f>
        <v>0</v>
      </c>
      <c r="BL133" s="90"/>
    </row>
    <row r="134" spans="1:64" x14ac:dyDescent="0.2">
      <c r="A134" s="307" t="str">
        <f>A133&amp;"A"</f>
        <v>A</v>
      </c>
      <c r="B134" s="8">
        <f>IF($A$133="",0,VLOOKUP($A133,Products!$A$59:$E$158,5,FALSE))</f>
        <v>0</v>
      </c>
      <c r="C134" s="322">
        <f>IF($B134=0,0,C$133*VLOOKUP($A133,Products!$A$59:$H$158,8,FALSE))</f>
        <v>0</v>
      </c>
      <c r="D134" s="323">
        <f>IF($B134=0,0,D$133*VLOOKUP($A133,Products!$A$59:$H$158,8,FALSE))</f>
        <v>0</v>
      </c>
      <c r="E134" s="8"/>
      <c r="F134" s="8">
        <f>IF(OR(G134=0,ISNUMBER(MATCH(G134,$G$55:G133,0))),0,MAX($F$55:F133)+1)</f>
        <v>0</v>
      </c>
      <c r="G134" s="8">
        <f t="shared" si="50"/>
        <v>0</v>
      </c>
      <c r="H134" s="8">
        <f t="shared" si="51"/>
        <v>0</v>
      </c>
      <c r="I134" s="8">
        <f>SUMIFS($C$56:$C$165,$B$56:$B$165,$H134)*(1-Flare!$D$18)</f>
        <v>0</v>
      </c>
      <c r="J134" s="8">
        <f>SUMIFS($D$56:$D$165,$B$56:$B$165,$H134)*(1-Flare!$D$18)</f>
        <v>0</v>
      </c>
      <c r="K134" s="8"/>
      <c r="L134" s="8"/>
      <c r="M134" s="8"/>
      <c r="N134" s="8"/>
      <c r="O134" s="8"/>
      <c r="P134" s="8"/>
      <c r="Q134" s="307" t="str">
        <f>Q133&amp;"A"</f>
        <v>A</v>
      </c>
      <c r="R134" s="8">
        <f>IF($Q$133="",0,VLOOKUP($Q133,Products!$A$59:$E$158,5,FALSE))</f>
        <v>0</v>
      </c>
      <c r="S134" s="322">
        <f>IF($R134=0,0,S$133*VLOOKUP($Q133,Products!$A$59:$H$158,8,FALSE))</f>
        <v>0</v>
      </c>
      <c r="T134" s="322">
        <f>IF($R134=0,0,T$133*VLOOKUP($Q133,Products!$A$59:$H$158,8,FALSE))</f>
        <v>0</v>
      </c>
      <c r="U134" s="8">
        <f>IF(OR(V134=0,ISNUMBER(MATCH(V134,$V$55:V133,0))),0,MAX($U$55:U133)+1)</f>
        <v>0</v>
      </c>
      <c r="V134" s="8">
        <f t="shared" si="52"/>
        <v>0</v>
      </c>
      <c r="W134" s="8">
        <f t="shared" si="59"/>
        <v>0</v>
      </c>
      <c r="X134" s="8">
        <f>SUMIFS($S$56:$S$165,$R$56:$R$165,$W134)*(1-VCU!$D$23)</f>
        <v>0</v>
      </c>
      <c r="Y134" s="8">
        <f>SUMIFS($T$56:$T$165,$R$56:$R$165,$W134)*(1-VCU!$D$23)</f>
        <v>0</v>
      </c>
      <c r="Z134" s="8"/>
      <c r="AA134" s="8"/>
      <c r="AB134" s="8"/>
      <c r="AC134" s="8"/>
      <c r="AD134" s="8"/>
      <c r="AE134" s="8"/>
      <c r="AF134" s="8"/>
      <c r="AG134" s="307" t="str">
        <f>AG133&amp;"A"</f>
        <v>A</v>
      </c>
      <c r="AH134" s="8">
        <f>IF($AG$133="",0,VLOOKUP($AG133,Products!$A$59:$E$158,5,FALSE))</f>
        <v>0</v>
      </c>
      <c r="AI134" s="322">
        <f>IF($AH134=0,0,AI$133*VLOOKUP($AG133,Products!$A$59:$H$158,8,FALSE))</f>
        <v>0</v>
      </c>
      <c r="AJ134" s="322">
        <f>IF($AH134=0,0,AJ$133*VLOOKUP($AG133,Products!$A$59:$H$158,8,FALSE))</f>
        <v>0</v>
      </c>
      <c r="AK134" s="8">
        <f>IF(OR(AL134=0,ISNUMBER(MATCH(AL134,$AL$55:AL133,0))),0,MAX($AK$55:AK133)+1)</f>
        <v>0</v>
      </c>
      <c r="AL134" s="8">
        <f t="shared" si="53"/>
        <v>0</v>
      </c>
      <c r="AM134" s="8">
        <f t="shared" si="54"/>
        <v>0</v>
      </c>
      <c r="AN134" s="8">
        <f>SUMIFS($AI$56:$AI$165,$AH$56:$AH$165,$AM134)*(1-VaporOxidizer!$D$23)</f>
        <v>0</v>
      </c>
      <c r="AO134" s="8">
        <f>SUMIFS($AJ$56:$AJ$165,$AH$56:$AH$165,$AM134)*(1-VaporOxidizer!$D$23)</f>
        <v>0</v>
      </c>
      <c r="AP134" s="8"/>
      <c r="AQ134" s="8"/>
      <c r="AR134" s="8"/>
      <c r="AS134" s="8"/>
      <c r="AT134" s="8"/>
      <c r="AU134" s="8"/>
      <c r="AV134" s="8"/>
      <c r="AW134" s="307" t="str">
        <f>AW133&amp;"A"</f>
        <v>A</v>
      </c>
      <c r="AX134" s="8">
        <f>IF($AW$133="",0,VLOOKUP($AW133,Products!$A$59:$E$158,5,FALSE))</f>
        <v>0</v>
      </c>
      <c r="AY134" s="322">
        <f>IF($AX134=0,0,AY$133*VLOOKUP($AW133,Products!$A$59:$H$158,8,FALSE))</f>
        <v>0</v>
      </c>
      <c r="AZ134" s="323">
        <f>IF($AX134=0,0,AZ$133*VLOOKUP($AW133,Products!$A$59:$H$158,8,FALSE))</f>
        <v>0</v>
      </c>
      <c r="BA134" s="8">
        <f>IF(OR(BB134=0,ISNUMBER(MATCH(BB134,$BB$55:BB133,0))),0,MAX($BA$55:BA133)+1)</f>
        <v>0</v>
      </c>
      <c r="BB134" s="8">
        <f t="shared" si="55"/>
        <v>0</v>
      </c>
      <c r="BC134" s="8">
        <f t="shared" si="56"/>
        <v>0</v>
      </c>
      <c r="BD134" s="8">
        <f>IF(OR($BC134="7783-06-4",$BC134="7446-09-5",$BC134="7664-93-9"),SUMIFS($AY$56:$AY$165,$AX$56:$AX$165,$BC134),SUMIFS($AY$56:$AY$165,$AX$56:$AX$165,$BC134)*(CAS!$D$19/1000000))</f>
        <v>0</v>
      </c>
      <c r="BE134" s="8">
        <f>IF(OR($BC134="7783-06-4",$BC134="7446-09-5",$BC134="7664-93-9"),SUMIFS($AZ$56:$AZ$165,$AX$56:$AX$165,$BC134),SUMIFS($AZ$56:$AZ$165,$AX$56:$AX$165,$BC134)*(CAS!$D$19/1000000))</f>
        <v>0</v>
      </c>
      <c r="BL134" s="90"/>
    </row>
    <row r="135" spans="1:64" x14ac:dyDescent="0.2">
      <c r="A135" s="307" t="str">
        <f t="shared" ref="A135:A143" si="64">A134&amp;"A"</f>
        <v>AA</v>
      </c>
      <c r="B135" s="8">
        <f>IF($A$133="",0,VLOOKUP($A134,Products!$A$59:$E$158,5,FALSE))</f>
        <v>0</v>
      </c>
      <c r="C135" s="322">
        <f>IF($B135=0,0,C$133*VLOOKUP($A134,Products!$A$59:$H$158,8,FALSE))</f>
        <v>0</v>
      </c>
      <c r="D135" s="323">
        <f>IF($B135=0,0,D$133*VLOOKUP($A134,Products!$A$59:$H$158,8,FALSE))</f>
        <v>0</v>
      </c>
      <c r="E135" s="8"/>
      <c r="F135" s="8">
        <f>IF(OR(G135=0,ISNUMBER(MATCH(G135,$G$55:G134,0))),0,MAX($F$55:F134)+1)</f>
        <v>0</v>
      </c>
      <c r="G135" s="8">
        <f t="shared" si="50"/>
        <v>0</v>
      </c>
      <c r="H135" s="8">
        <f t="shared" si="51"/>
        <v>0</v>
      </c>
      <c r="I135" s="8">
        <f>SUMIFS($C$56:$C$165,$B$56:$B$165,$H135)*(1-Flare!$D$18)</f>
        <v>0</v>
      </c>
      <c r="J135" s="8">
        <f>SUMIFS($D$56:$D$165,$B$56:$B$165,$H135)*(1-Flare!$D$18)</f>
        <v>0</v>
      </c>
      <c r="K135" s="8"/>
      <c r="L135" s="8"/>
      <c r="M135" s="8"/>
      <c r="N135" s="8"/>
      <c r="O135" s="8"/>
      <c r="P135" s="8"/>
      <c r="Q135" s="307" t="str">
        <f t="shared" ref="Q135:Q143" si="65">Q134&amp;"A"</f>
        <v>AA</v>
      </c>
      <c r="R135" s="8">
        <f>IF($Q$133="",0,VLOOKUP($Q134,Products!$A$59:$E$158,5,FALSE))</f>
        <v>0</v>
      </c>
      <c r="S135" s="322">
        <f>IF($R135=0,0,S$133*VLOOKUP($Q134,Products!$A$59:$H$158,8,FALSE))</f>
        <v>0</v>
      </c>
      <c r="T135" s="322">
        <f>IF($R135=0,0,T$133*VLOOKUP($Q134,Products!$A$59:$H$158,8,FALSE))</f>
        <v>0</v>
      </c>
      <c r="U135" s="8">
        <f>IF(OR(V135=0,ISNUMBER(MATCH(V135,$V$55:V134,0))),0,MAX($U$55:U134)+1)</f>
        <v>0</v>
      </c>
      <c r="V135" s="8">
        <f t="shared" si="52"/>
        <v>0</v>
      </c>
      <c r="W135" s="8">
        <f t="shared" si="59"/>
        <v>0</v>
      </c>
      <c r="X135" s="8">
        <f>SUMIFS($S$56:$S$165,$R$56:$R$165,$W135)*(1-VCU!$D$23)</f>
        <v>0</v>
      </c>
      <c r="Y135" s="8">
        <f>SUMIFS($T$56:$T$165,$R$56:$R$165,$W135)*(1-VCU!$D$23)</f>
        <v>0</v>
      </c>
      <c r="Z135" s="8"/>
      <c r="AA135" s="8"/>
      <c r="AB135" s="8"/>
      <c r="AC135" s="8"/>
      <c r="AD135" s="8"/>
      <c r="AE135" s="8"/>
      <c r="AF135" s="8"/>
      <c r="AG135" s="307" t="str">
        <f t="shared" ref="AG135:AG143" si="66">AG134&amp;"A"</f>
        <v>AA</v>
      </c>
      <c r="AH135" s="8">
        <f>IF($AG$133="",0,VLOOKUP($AG134,Products!$A$59:$E$158,5,FALSE))</f>
        <v>0</v>
      </c>
      <c r="AI135" s="322">
        <f>IF($AH135=0,0,AI$133*VLOOKUP($AG134,Products!$A$59:$H$158,8,FALSE))</f>
        <v>0</v>
      </c>
      <c r="AJ135" s="322">
        <f>IF($AH135=0,0,AJ$133*VLOOKUP($AG134,Products!$A$59:$H$158,8,FALSE))</f>
        <v>0</v>
      </c>
      <c r="AK135" s="8">
        <f>IF(OR(AL135=0,ISNUMBER(MATCH(AL135,$AL$55:AL134,0))),0,MAX($AK$55:AK134)+1)</f>
        <v>0</v>
      </c>
      <c r="AL135" s="8">
        <f t="shared" si="53"/>
        <v>0</v>
      </c>
      <c r="AM135" s="8">
        <f t="shared" si="54"/>
        <v>0</v>
      </c>
      <c r="AN135" s="8">
        <f>SUMIFS($AI$56:$AI$165,$AH$56:$AH$165,$AM135)*(1-VaporOxidizer!$D$23)</f>
        <v>0</v>
      </c>
      <c r="AO135" s="8">
        <f>SUMIFS($AJ$56:$AJ$165,$AH$56:$AH$165,$AM135)*(1-VaporOxidizer!$D$23)</f>
        <v>0</v>
      </c>
      <c r="AP135" s="8"/>
      <c r="AQ135" s="8"/>
      <c r="AR135" s="8"/>
      <c r="AS135" s="8"/>
      <c r="AT135" s="8"/>
      <c r="AU135" s="8"/>
      <c r="AV135" s="8"/>
      <c r="AW135" s="307" t="str">
        <f t="shared" ref="AW135:AW143" si="67">AW134&amp;"A"</f>
        <v>AA</v>
      </c>
      <c r="AX135" s="8">
        <f>IF($AW$133="",0,VLOOKUP($AW134,Products!$A$59:$E$158,5,FALSE))</f>
        <v>0</v>
      </c>
      <c r="AY135" s="322">
        <f>IF($AX135=0,0,AY$133*VLOOKUP($AW134,Products!$A$59:$H$158,8,FALSE))</f>
        <v>0</v>
      </c>
      <c r="AZ135" s="323">
        <f>IF($AX135=0,0,AZ$133*VLOOKUP($AW134,Products!$A$59:$H$158,8,FALSE))</f>
        <v>0</v>
      </c>
      <c r="BA135" s="8">
        <f>IF(OR(BB135=0,ISNUMBER(MATCH(BB135,$BB$55:BB134,0))),0,MAX($BA$55:BA134)+1)</f>
        <v>0</v>
      </c>
      <c r="BB135" s="8">
        <f t="shared" si="55"/>
        <v>0</v>
      </c>
      <c r="BC135" s="8">
        <f t="shared" si="56"/>
        <v>0</v>
      </c>
      <c r="BD135" s="8">
        <f>IF(OR($BC135="7783-06-4",$BC135="7446-09-5",$BC135="7664-93-9"),SUMIFS($AY$56:$AY$165,$AX$56:$AX$165,$BC135),SUMIFS($AY$56:$AY$165,$AX$56:$AX$165,$BC135)*(CAS!$D$19/1000000))</f>
        <v>0</v>
      </c>
      <c r="BE135" s="8">
        <f>IF(OR($BC135="7783-06-4",$BC135="7446-09-5",$BC135="7664-93-9"),SUMIFS($AZ$56:$AZ$165,$AX$56:$AX$165,$BC135),SUMIFS($AZ$56:$AZ$165,$AX$56:$AX$165,$BC135)*(CAS!$D$19/1000000))</f>
        <v>0</v>
      </c>
      <c r="BL135" s="90"/>
    </row>
    <row r="136" spans="1:64" x14ac:dyDescent="0.2">
      <c r="A136" s="307" t="str">
        <f t="shared" si="64"/>
        <v>AAA</v>
      </c>
      <c r="B136" s="8">
        <f>IF($A$133="",0,VLOOKUP($A135,Products!$A$59:$E$158,5,FALSE))</f>
        <v>0</v>
      </c>
      <c r="C136" s="322">
        <f>IF($B136=0,0,C$133*VLOOKUP($A135,Products!$A$59:$H$158,8,FALSE))</f>
        <v>0</v>
      </c>
      <c r="D136" s="323">
        <f>IF($B136=0,0,D$133*VLOOKUP($A135,Products!$A$59:$H$158,8,FALSE))</f>
        <v>0</v>
      </c>
      <c r="E136" s="8"/>
      <c r="F136" s="8">
        <f>IF(OR(G136=0,ISNUMBER(MATCH(G136,$G$55:G135,0))),0,MAX($F$55:F135)+1)</f>
        <v>0</v>
      </c>
      <c r="G136" s="8">
        <f t="shared" si="50"/>
        <v>0</v>
      </c>
      <c r="H136" s="8">
        <f t="shared" si="51"/>
        <v>0</v>
      </c>
      <c r="I136" s="8">
        <f>SUMIFS($C$56:$C$165,$B$56:$B$165,$H136)*(1-Flare!$D$18)</f>
        <v>0</v>
      </c>
      <c r="J136" s="8">
        <f>SUMIFS($D$56:$D$165,$B$56:$B$165,$H136)*(1-Flare!$D$18)</f>
        <v>0</v>
      </c>
      <c r="K136" s="8"/>
      <c r="L136" s="8"/>
      <c r="M136" s="8"/>
      <c r="N136" s="8"/>
      <c r="O136" s="8"/>
      <c r="P136" s="8"/>
      <c r="Q136" s="307" t="str">
        <f t="shared" si="65"/>
        <v>AAA</v>
      </c>
      <c r="R136" s="8">
        <f>IF($Q$133="",0,VLOOKUP($Q135,Products!$A$59:$E$158,5,FALSE))</f>
        <v>0</v>
      </c>
      <c r="S136" s="322">
        <f>IF($R136=0,0,S$133*VLOOKUP($Q135,Products!$A$59:$H$158,8,FALSE))</f>
        <v>0</v>
      </c>
      <c r="T136" s="322">
        <f>IF($R136=0,0,T$133*VLOOKUP($Q135,Products!$A$59:$H$158,8,FALSE))</f>
        <v>0</v>
      </c>
      <c r="U136" s="8">
        <f>IF(OR(V136=0,ISNUMBER(MATCH(V136,$V$55:V135,0))),0,MAX($U$55:U135)+1)</f>
        <v>0</v>
      </c>
      <c r="V136" s="8">
        <f t="shared" si="52"/>
        <v>0</v>
      </c>
      <c r="W136" s="8">
        <f t="shared" si="59"/>
        <v>0</v>
      </c>
      <c r="X136" s="8">
        <f>SUMIFS($S$56:$S$165,$R$56:$R$165,$W136)*(1-VCU!$D$23)</f>
        <v>0</v>
      </c>
      <c r="Y136" s="8">
        <f>SUMIFS($T$56:$T$165,$R$56:$R$165,$W136)*(1-VCU!$D$23)</f>
        <v>0</v>
      </c>
      <c r="Z136" s="8"/>
      <c r="AA136" s="8"/>
      <c r="AB136" s="8"/>
      <c r="AC136" s="8"/>
      <c r="AD136" s="8"/>
      <c r="AE136" s="8"/>
      <c r="AF136" s="8"/>
      <c r="AG136" s="307" t="str">
        <f t="shared" si="66"/>
        <v>AAA</v>
      </c>
      <c r="AH136" s="8">
        <f>IF($AG$133="",0,VLOOKUP($AG135,Products!$A$59:$E$158,5,FALSE))</f>
        <v>0</v>
      </c>
      <c r="AI136" s="322">
        <f>IF($AH136=0,0,AI$133*VLOOKUP($AG135,Products!$A$59:$H$158,8,FALSE))</f>
        <v>0</v>
      </c>
      <c r="AJ136" s="322">
        <f>IF($AH136=0,0,AJ$133*VLOOKUP($AG135,Products!$A$59:$H$158,8,FALSE))</f>
        <v>0</v>
      </c>
      <c r="AK136" s="8">
        <f>IF(OR(AL136=0,ISNUMBER(MATCH(AL136,$AL$55:AL135,0))),0,MAX($AK$55:AK135)+1)</f>
        <v>0</v>
      </c>
      <c r="AL136" s="8">
        <f t="shared" si="53"/>
        <v>0</v>
      </c>
      <c r="AM136" s="8">
        <f t="shared" si="54"/>
        <v>0</v>
      </c>
      <c r="AN136" s="8">
        <f>SUMIFS($AI$56:$AI$165,$AH$56:$AH$165,$AM136)*(1-VaporOxidizer!$D$23)</f>
        <v>0</v>
      </c>
      <c r="AO136" s="8">
        <f>SUMIFS($AJ$56:$AJ$165,$AH$56:$AH$165,$AM136)*(1-VaporOxidizer!$D$23)</f>
        <v>0</v>
      </c>
      <c r="AP136" s="8"/>
      <c r="AQ136" s="8"/>
      <c r="AR136" s="8"/>
      <c r="AS136" s="8"/>
      <c r="AT136" s="8"/>
      <c r="AU136" s="8"/>
      <c r="AV136" s="8"/>
      <c r="AW136" s="307" t="str">
        <f t="shared" si="67"/>
        <v>AAA</v>
      </c>
      <c r="AX136" s="8">
        <f>IF($AW$133="",0,VLOOKUP($AW135,Products!$A$59:$E$158,5,FALSE))</f>
        <v>0</v>
      </c>
      <c r="AY136" s="322">
        <f>IF($AX136=0,0,AY$133*VLOOKUP($AW135,Products!$A$59:$H$158,8,FALSE))</f>
        <v>0</v>
      </c>
      <c r="AZ136" s="323">
        <f>IF($AX136=0,0,AZ$133*VLOOKUP($AW135,Products!$A$59:$H$158,8,FALSE))</f>
        <v>0</v>
      </c>
      <c r="BA136" s="8">
        <f>IF(OR(BB136=0,ISNUMBER(MATCH(BB136,$BB$55:BB135,0))),0,MAX($BA$55:BA135)+1)</f>
        <v>0</v>
      </c>
      <c r="BB136" s="8">
        <f t="shared" si="55"/>
        <v>0</v>
      </c>
      <c r="BC136" s="8">
        <f t="shared" si="56"/>
        <v>0</v>
      </c>
      <c r="BD136" s="8">
        <f>IF(OR($BC136="7783-06-4",$BC136="7446-09-5",$BC136="7664-93-9"),SUMIFS($AY$56:$AY$165,$AX$56:$AX$165,$BC136),SUMIFS($AY$56:$AY$165,$AX$56:$AX$165,$BC136)*(CAS!$D$19/1000000))</f>
        <v>0</v>
      </c>
      <c r="BE136" s="8">
        <f>IF(OR($BC136="7783-06-4",$BC136="7446-09-5",$BC136="7664-93-9"),SUMIFS($AZ$56:$AZ$165,$AX$56:$AX$165,$BC136),SUMIFS($AZ$56:$AZ$165,$AX$56:$AX$165,$BC136)*(CAS!$D$19/1000000))</f>
        <v>0</v>
      </c>
      <c r="BL136" s="90"/>
    </row>
    <row r="137" spans="1:64" x14ac:dyDescent="0.2">
      <c r="A137" s="307" t="str">
        <f t="shared" si="64"/>
        <v>AAAA</v>
      </c>
      <c r="B137" s="8">
        <f>IF($A$133="",0,VLOOKUP($A136,Products!$A$59:$E$158,5,FALSE))</f>
        <v>0</v>
      </c>
      <c r="C137" s="322">
        <f>IF($B137=0,0,C$133*VLOOKUP($A136,Products!$A$59:$H$158,8,FALSE))</f>
        <v>0</v>
      </c>
      <c r="D137" s="323">
        <f>IF($B137=0,0,D$133*VLOOKUP($A136,Products!$A$59:$H$158,8,FALSE))</f>
        <v>0</v>
      </c>
      <c r="E137" s="8"/>
      <c r="F137" s="8">
        <f>IF(OR(G137=0,ISNUMBER(MATCH(G137,$G$55:G136,0))),0,MAX($F$55:F136)+1)</f>
        <v>0</v>
      </c>
      <c r="G137" s="8">
        <f t="shared" si="50"/>
        <v>0</v>
      </c>
      <c r="H137" s="8">
        <f t="shared" si="51"/>
        <v>0</v>
      </c>
      <c r="I137" s="8">
        <f>SUMIFS($C$56:$C$165,$B$56:$B$165,$H137)*(1-Flare!$D$18)</f>
        <v>0</v>
      </c>
      <c r="J137" s="8">
        <f>SUMIFS($D$56:$D$165,$B$56:$B$165,$H137)*(1-Flare!$D$18)</f>
        <v>0</v>
      </c>
      <c r="K137" s="8"/>
      <c r="L137" s="8"/>
      <c r="M137" s="8"/>
      <c r="N137" s="8"/>
      <c r="O137" s="8"/>
      <c r="P137" s="8"/>
      <c r="Q137" s="307" t="str">
        <f t="shared" si="65"/>
        <v>AAAA</v>
      </c>
      <c r="R137" s="8">
        <f>IF($Q$133="",0,VLOOKUP($Q136,Products!$A$59:$E$158,5,FALSE))</f>
        <v>0</v>
      </c>
      <c r="S137" s="322">
        <f>IF($R137=0,0,S$133*VLOOKUP($Q136,Products!$A$59:$H$158,8,FALSE))</f>
        <v>0</v>
      </c>
      <c r="T137" s="322">
        <f>IF($R137=0,0,T$133*VLOOKUP($Q136,Products!$A$59:$H$158,8,FALSE))</f>
        <v>0</v>
      </c>
      <c r="U137" s="8">
        <f>IF(OR(V137=0,ISNUMBER(MATCH(V137,$V$55:V136,0))),0,MAX($U$55:U136)+1)</f>
        <v>0</v>
      </c>
      <c r="V137" s="8">
        <f t="shared" si="52"/>
        <v>0</v>
      </c>
      <c r="W137" s="8">
        <f t="shared" si="59"/>
        <v>0</v>
      </c>
      <c r="X137" s="8">
        <f>SUMIFS($S$56:$S$165,$R$56:$R$165,$W137)*(1-VCU!$D$23)</f>
        <v>0</v>
      </c>
      <c r="Y137" s="8">
        <f>SUMIFS($T$56:$T$165,$R$56:$R$165,$W137)*(1-VCU!$D$23)</f>
        <v>0</v>
      </c>
      <c r="Z137" s="8"/>
      <c r="AA137" s="8"/>
      <c r="AB137" s="8"/>
      <c r="AC137" s="8"/>
      <c r="AD137" s="8"/>
      <c r="AE137" s="8"/>
      <c r="AF137" s="8"/>
      <c r="AG137" s="307" t="str">
        <f t="shared" si="66"/>
        <v>AAAA</v>
      </c>
      <c r="AH137" s="8">
        <f>IF($AG$133="",0,VLOOKUP($AG136,Products!$A$59:$E$158,5,FALSE))</f>
        <v>0</v>
      </c>
      <c r="AI137" s="322">
        <f>IF($AH137=0,0,AI$133*VLOOKUP($AG136,Products!$A$59:$H$158,8,FALSE))</f>
        <v>0</v>
      </c>
      <c r="AJ137" s="322">
        <f>IF($AH137=0,0,AJ$133*VLOOKUP($AG136,Products!$A$59:$H$158,8,FALSE))</f>
        <v>0</v>
      </c>
      <c r="AK137" s="8">
        <f>IF(OR(AL137=0,ISNUMBER(MATCH(AL137,$AL$55:AL136,0))),0,MAX($AK$55:AK136)+1)</f>
        <v>0</v>
      </c>
      <c r="AL137" s="8">
        <f t="shared" si="53"/>
        <v>0</v>
      </c>
      <c r="AM137" s="8">
        <f t="shared" si="54"/>
        <v>0</v>
      </c>
      <c r="AN137" s="8">
        <f>SUMIFS($AI$56:$AI$165,$AH$56:$AH$165,$AM137)*(1-VaporOxidizer!$D$23)</f>
        <v>0</v>
      </c>
      <c r="AO137" s="8">
        <f>SUMIFS($AJ$56:$AJ$165,$AH$56:$AH$165,$AM137)*(1-VaporOxidizer!$D$23)</f>
        <v>0</v>
      </c>
      <c r="AP137" s="8"/>
      <c r="AQ137" s="8"/>
      <c r="AR137" s="8"/>
      <c r="AS137" s="8"/>
      <c r="AT137" s="8"/>
      <c r="AU137" s="8"/>
      <c r="AV137" s="8"/>
      <c r="AW137" s="307" t="str">
        <f t="shared" si="67"/>
        <v>AAAA</v>
      </c>
      <c r="AX137" s="8">
        <f>IF($AW$133="",0,VLOOKUP($AW136,Products!$A$59:$E$158,5,FALSE))</f>
        <v>0</v>
      </c>
      <c r="AY137" s="322">
        <f>IF($AX137=0,0,AY$133*VLOOKUP($AW136,Products!$A$59:$H$158,8,FALSE))</f>
        <v>0</v>
      </c>
      <c r="AZ137" s="323">
        <f>IF($AX137=0,0,AZ$133*VLOOKUP($AW136,Products!$A$59:$H$158,8,FALSE))</f>
        <v>0</v>
      </c>
      <c r="BA137" s="8">
        <f>IF(OR(BB137=0,ISNUMBER(MATCH(BB137,$BB$55:BB136,0))),0,MAX($BA$55:BA136)+1)</f>
        <v>0</v>
      </c>
      <c r="BB137" s="8">
        <f t="shared" si="55"/>
        <v>0</v>
      </c>
      <c r="BC137" s="8">
        <f t="shared" si="56"/>
        <v>0</v>
      </c>
      <c r="BD137" s="8">
        <f>IF(OR($BC137="7783-06-4",$BC137="7446-09-5",$BC137="7664-93-9"),SUMIFS($AY$56:$AY$165,$AX$56:$AX$165,$BC137),SUMIFS($AY$56:$AY$165,$AX$56:$AX$165,$BC137)*(CAS!$D$19/1000000))</f>
        <v>0</v>
      </c>
      <c r="BE137" s="8">
        <f>IF(OR($BC137="7783-06-4",$BC137="7446-09-5",$BC137="7664-93-9"),SUMIFS($AZ$56:$AZ$165,$AX$56:$AX$165,$BC137),SUMIFS($AZ$56:$AZ$165,$AX$56:$AX$165,$BC137)*(CAS!$D$19/1000000))</f>
        <v>0</v>
      </c>
      <c r="BL137" s="90"/>
    </row>
    <row r="138" spans="1:64" x14ac:dyDescent="0.2">
      <c r="A138" s="307" t="str">
        <f t="shared" si="64"/>
        <v>AAAAA</v>
      </c>
      <c r="B138" s="8">
        <f>IF($A$133="",0,VLOOKUP($A137,Products!$A$59:$E$158,5,FALSE))</f>
        <v>0</v>
      </c>
      <c r="C138" s="322">
        <f>IF($B138=0,0,C$133*VLOOKUP($A137,Products!$A$59:$H$158,8,FALSE))</f>
        <v>0</v>
      </c>
      <c r="D138" s="323">
        <f>IF($B138=0,0,D$133*VLOOKUP($A137,Products!$A$59:$H$158,8,FALSE))</f>
        <v>0</v>
      </c>
      <c r="E138" s="8"/>
      <c r="F138" s="8">
        <f>IF(OR(G138=0,ISNUMBER(MATCH(G138,$G$55:G137,0))),0,MAX($F$55:F137)+1)</f>
        <v>0</v>
      </c>
      <c r="G138" s="8">
        <f t="shared" si="50"/>
        <v>0</v>
      </c>
      <c r="H138" s="8">
        <f t="shared" si="51"/>
        <v>0</v>
      </c>
      <c r="I138" s="8">
        <f>SUMIFS($C$56:$C$165,$B$56:$B$165,$H138)*(1-Flare!$D$18)</f>
        <v>0</v>
      </c>
      <c r="J138" s="8">
        <f>SUMIFS($D$56:$D$165,$B$56:$B$165,$H138)*(1-Flare!$D$18)</f>
        <v>0</v>
      </c>
      <c r="K138" s="8"/>
      <c r="L138" s="8"/>
      <c r="M138" s="8"/>
      <c r="N138" s="8"/>
      <c r="O138" s="8"/>
      <c r="P138" s="8"/>
      <c r="Q138" s="307" t="str">
        <f t="shared" si="65"/>
        <v>AAAAA</v>
      </c>
      <c r="R138" s="8">
        <f>IF($Q$133="",0,VLOOKUP($Q137,Products!$A$59:$E$158,5,FALSE))</f>
        <v>0</v>
      </c>
      <c r="S138" s="322">
        <f>IF($R138=0,0,S$133*VLOOKUP($Q137,Products!$A$59:$H$158,8,FALSE))</f>
        <v>0</v>
      </c>
      <c r="T138" s="322">
        <f>IF($R138=0,0,T$133*VLOOKUP($Q137,Products!$A$59:$H$158,8,FALSE))</f>
        <v>0</v>
      </c>
      <c r="U138" s="8">
        <f>IF(OR(V138=0,ISNUMBER(MATCH(V138,$V$55:V137,0))),0,MAX($U$55:U137)+1)</f>
        <v>0</v>
      </c>
      <c r="V138" s="8">
        <f t="shared" si="52"/>
        <v>0</v>
      </c>
      <c r="W138" s="8">
        <f t="shared" si="59"/>
        <v>0</v>
      </c>
      <c r="X138" s="8">
        <f>SUMIFS($S$56:$S$165,$R$56:$R$165,$W138)*(1-VCU!$D$23)</f>
        <v>0</v>
      </c>
      <c r="Y138" s="8">
        <f>SUMIFS($T$56:$T$165,$R$56:$R$165,$W138)*(1-VCU!$D$23)</f>
        <v>0</v>
      </c>
      <c r="Z138" s="8"/>
      <c r="AA138" s="8"/>
      <c r="AB138" s="8"/>
      <c r="AC138" s="8"/>
      <c r="AD138" s="8"/>
      <c r="AE138" s="8"/>
      <c r="AF138" s="8"/>
      <c r="AG138" s="307" t="str">
        <f t="shared" si="66"/>
        <v>AAAAA</v>
      </c>
      <c r="AH138" s="8">
        <f>IF($AG$133="",0,VLOOKUP($AG137,Products!$A$59:$E$158,5,FALSE))</f>
        <v>0</v>
      </c>
      <c r="AI138" s="322">
        <f>IF($AH138=0,0,AI$133*VLOOKUP($AG137,Products!$A$59:$H$158,8,FALSE))</f>
        <v>0</v>
      </c>
      <c r="AJ138" s="322">
        <f>IF($AH138=0,0,AJ$133*VLOOKUP($AG137,Products!$A$59:$H$158,8,FALSE))</f>
        <v>0</v>
      </c>
      <c r="AK138" s="8">
        <f>IF(OR(AL138=0,ISNUMBER(MATCH(AL138,$AL$55:AL137,0))),0,MAX($AK$55:AK137)+1)</f>
        <v>0</v>
      </c>
      <c r="AL138" s="8">
        <f t="shared" si="53"/>
        <v>0</v>
      </c>
      <c r="AM138" s="8">
        <f t="shared" si="54"/>
        <v>0</v>
      </c>
      <c r="AN138" s="8">
        <f>SUMIFS($AI$56:$AI$165,$AH$56:$AH$165,$AM138)*(1-VaporOxidizer!$D$23)</f>
        <v>0</v>
      </c>
      <c r="AO138" s="8">
        <f>SUMIFS($AJ$56:$AJ$165,$AH$56:$AH$165,$AM138)*(1-VaporOxidizer!$D$23)</f>
        <v>0</v>
      </c>
      <c r="AP138" s="8"/>
      <c r="AQ138" s="8"/>
      <c r="AR138" s="8"/>
      <c r="AS138" s="8"/>
      <c r="AT138" s="8"/>
      <c r="AU138" s="8"/>
      <c r="AV138" s="8"/>
      <c r="AW138" s="307" t="str">
        <f t="shared" si="67"/>
        <v>AAAAA</v>
      </c>
      <c r="AX138" s="8">
        <f>IF($AW$133="",0,VLOOKUP($AW137,Products!$A$59:$E$158,5,FALSE))</f>
        <v>0</v>
      </c>
      <c r="AY138" s="322">
        <f>IF($AX138=0,0,AY$133*VLOOKUP($AW137,Products!$A$59:$H$158,8,FALSE))</f>
        <v>0</v>
      </c>
      <c r="AZ138" s="323">
        <f>IF($AX138=0,0,AZ$133*VLOOKUP($AW137,Products!$A$59:$H$158,8,FALSE))</f>
        <v>0</v>
      </c>
      <c r="BA138" s="8">
        <f>IF(OR(BB138=0,ISNUMBER(MATCH(BB138,$BB$55:BB137,0))),0,MAX($BA$55:BA137)+1)</f>
        <v>0</v>
      </c>
      <c r="BB138" s="8">
        <f t="shared" si="55"/>
        <v>0</v>
      </c>
      <c r="BC138" s="8">
        <f t="shared" si="56"/>
        <v>0</v>
      </c>
      <c r="BD138" s="8">
        <f>IF(OR($BC138="7783-06-4",$BC138="7446-09-5",$BC138="7664-93-9"),SUMIFS($AY$56:$AY$165,$AX$56:$AX$165,$BC138),SUMIFS($AY$56:$AY$165,$AX$56:$AX$165,$BC138)*(CAS!$D$19/1000000))</f>
        <v>0</v>
      </c>
      <c r="BE138" s="8">
        <f>IF(OR($BC138="7783-06-4",$BC138="7446-09-5",$BC138="7664-93-9"),SUMIFS($AZ$56:$AZ$165,$AX$56:$AX$165,$BC138),SUMIFS($AZ$56:$AZ$165,$AX$56:$AX$165,$BC138)*(CAS!$D$19/1000000))</f>
        <v>0</v>
      </c>
      <c r="BL138" s="90"/>
    </row>
    <row r="139" spans="1:64" x14ac:dyDescent="0.2">
      <c r="A139" s="307" t="str">
        <f t="shared" si="64"/>
        <v>AAAAAA</v>
      </c>
      <c r="B139" s="8">
        <f>IF($A$133="",0,VLOOKUP($A138,Products!$A$59:$E$158,5,FALSE))</f>
        <v>0</v>
      </c>
      <c r="C139" s="322">
        <f>IF($B139=0,0,C$133*VLOOKUP($A138,Products!$A$59:$H$158,8,FALSE))</f>
        <v>0</v>
      </c>
      <c r="D139" s="323">
        <f>IF($B139=0,0,D$133*VLOOKUP($A138,Products!$A$59:$H$158,8,FALSE))</f>
        <v>0</v>
      </c>
      <c r="E139" s="8"/>
      <c r="F139" s="8">
        <f>IF(OR(G139=0,ISNUMBER(MATCH(G139,$G$55:G138,0))),0,MAX($F$55:F138)+1)</f>
        <v>0</v>
      </c>
      <c r="G139" s="8">
        <f t="shared" si="50"/>
        <v>0</v>
      </c>
      <c r="H139" s="8">
        <f t="shared" si="51"/>
        <v>0</v>
      </c>
      <c r="I139" s="8">
        <f>SUMIFS($C$56:$C$165,$B$56:$B$165,$H139)*(1-Flare!$D$18)</f>
        <v>0</v>
      </c>
      <c r="J139" s="8">
        <f>SUMIFS($D$56:$D$165,$B$56:$B$165,$H139)*(1-Flare!$D$18)</f>
        <v>0</v>
      </c>
      <c r="K139" s="8"/>
      <c r="L139" s="8"/>
      <c r="M139" s="8"/>
      <c r="N139" s="8"/>
      <c r="O139" s="8"/>
      <c r="P139" s="8"/>
      <c r="Q139" s="307" t="str">
        <f t="shared" si="65"/>
        <v>AAAAAA</v>
      </c>
      <c r="R139" s="8">
        <f>IF($Q$133="",0,VLOOKUP($Q138,Products!$A$59:$E$158,5,FALSE))</f>
        <v>0</v>
      </c>
      <c r="S139" s="322">
        <f>IF($R139=0,0,S$133*VLOOKUP($Q138,Products!$A$59:$H$158,8,FALSE))</f>
        <v>0</v>
      </c>
      <c r="T139" s="322">
        <f>IF($R139=0,0,T$133*VLOOKUP($Q138,Products!$A$59:$H$158,8,FALSE))</f>
        <v>0</v>
      </c>
      <c r="U139" s="8">
        <f>IF(OR(V139=0,ISNUMBER(MATCH(V139,$V$55:V138,0))),0,MAX($U$55:U138)+1)</f>
        <v>0</v>
      </c>
      <c r="V139" s="8">
        <f t="shared" si="52"/>
        <v>0</v>
      </c>
      <c r="W139" s="8">
        <f t="shared" si="59"/>
        <v>0</v>
      </c>
      <c r="X139" s="8">
        <f>SUMIFS($S$56:$S$165,$R$56:$R$165,$W139)*(1-VCU!$D$23)</f>
        <v>0</v>
      </c>
      <c r="Y139" s="8">
        <f>SUMIFS($T$56:$T$165,$R$56:$R$165,$W139)*(1-VCU!$D$23)</f>
        <v>0</v>
      </c>
      <c r="Z139" s="8"/>
      <c r="AA139" s="8"/>
      <c r="AB139" s="8"/>
      <c r="AC139" s="8"/>
      <c r="AD139" s="8"/>
      <c r="AE139" s="8"/>
      <c r="AF139" s="8"/>
      <c r="AG139" s="307" t="str">
        <f t="shared" si="66"/>
        <v>AAAAAA</v>
      </c>
      <c r="AH139" s="8">
        <f>IF($AG$133="",0,VLOOKUP($AG138,Products!$A$59:$E$158,5,FALSE))</f>
        <v>0</v>
      </c>
      <c r="AI139" s="322">
        <f>IF($AH139=0,0,AI$133*VLOOKUP($AG138,Products!$A$59:$H$158,8,FALSE))</f>
        <v>0</v>
      </c>
      <c r="AJ139" s="322">
        <f>IF($AH139=0,0,AJ$133*VLOOKUP($AG138,Products!$A$59:$H$158,8,FALSE))</f>
        <v>0</v>
      </c>
      <c r="AK139" s="8">
        <f>IF(OR(AL139=0,ISNUMBER(MATCH(AL139,$AL$55:AL138,0))),0,MAX($AK$55:AK138)+1)</f>
        <v>0</v>
      </c>
      <c r="AL139" s="8">
        <f t="shared" si="53"/>
        <v>0</v>
      </c>
      <c r="AM139" s="8">
        <f t="shared" si="54"/>
        <v>0</v>
      </c>
      <c r="AN139" s="8">
        <f>SUMIFS($AI$56:$AI$165,$AH$56:$AH$165,$AM139)*(1-VaporOxidizer!$D$23)</f>
        <v>0</v>
      </c>
      <c r="AO139" s="8">
        <f>SUMIFS($AJ$56:$AJ$165,$AH$56:$AH$165,$AM139)*(1-VaporOxidizer!$D$23)</f>
        <v>0</v>
      </c>
      <c r="AP139" s="8"/>
      <c r="AQ139" s="8"/>
      <c r="AR139" s="8"/>
      <c r="AS139" s="8"/>
      <c r="AT139" s="8"/>
      <c r="AU139" s="8"/>
      <c r="AV139" s="8"/>
      <c r="AW139" s="307" t="str">
        <f t="shared" si="67"/>
        <v>AAAAAA</v>
      </c>
      <c r="AX139" s="8">
        <f>IF($AW$133="",0,VLOOKUP($AW138,Products!$A$59:$E$158,5,FALSE))</f>
        <v>0</v>
      </c>
      <c r="AY139" s="322">
        <f>IF($AX139=0,0,AY$133*VLOOKUP($AW138,Products!$A$59:$H$158,8,FALSE))</f>
        <v>0</v>
      </c>
      <c r="AZ139" s="323">
        <f>IF($AX139=0,0,AZ$133*VLOOKUP($AW138,Products!$A$59:$H$158,8,FALSE))</f>
        <v>0</v>
      </c>
      <c r="BA139" s="8">
        <f>IF(OR(BB139=0,ISNUMBER(MATCH(BB139,$BB$55:BB138,0))),0,MAX($BA$55:BA138)+1)</f>
        <v>0</v>
      </c>
      <c r="BB139" s="8">
        <f t="shared" si="55"/>
        <v>0</v>
      </c>
      <c r="BC139" s="8">
        <f t="shared" si="56"/>
        <v>0</v>
      </c>
      <c r="BD139" s="8">
        <f>IF(OR($BC139="7783-06-4",$BC139="7446-09-5",$BC139="7664-93-9"),SUMIFS($AY$56:$AY$165,$AX$56:$AX$165,$BC139),SUMIFS($AY$56:$AY$165,$AX$56:$AX$165,$BC139)*(CAS!$D$19/1000000))</f>
        <v>0</v>
      </c>
      <c r="BE139" s="8">
        <f>IF(OR($BC139="7783-06-4",$BC139="7446-09-5",$BC139="7664-93-9"),SUMIFS($AZ$56:$AZ$165,$AX$56:$AX$165,$BC139),SUMIFS($AZ$56:$AZ$165,$AX$56:$AX$165,$BC139)*(CAS!$D$19/1000000))</f>
        <v>0</v>
      </c>
      <c r="BL139" s="90"/>
    </row>
    <row r="140" spans="1:64" x14ac:dyDescent="0.2">
      <c r="A140" s="307" t="str">
        <f t="shared" si="64"/>
        <v>AAAAAAA</v>
      </c>
      <c r="B140" s="8">
        <f>IF($A$133="",0,VLOOKUP($A139,Products!$A$59:$E$158,5,FALSE))</f>
        <v>0</v>
      </c>
      <c r="C140" s="322">
        <f>IF($B140=0,0,C$133*VLOOKUP($A139,Products!$A$59:$H$158,8,FALSE))</f>
        <v>0</v>
      </c>
      <c r="D140" s="323">
        <f>IF($B140=0,0,D$133*VLOOKUP($A139,Products!$A$59:$H$158,8,FALSE))</f>
        <v>0</v>
      </c>
      <c r="E140" s="8"/>
      <c r="F140" s="8">
        <f>IF(OR(G140=0,ISNUMBER(MATCH(G140,$G$55:G139,0))),0,MAX($F$55:F139)+1)</f>
        <v>0</v>
      </c>
      <c r="G140" s="8">
        <f t="shared" si="50"/>
        <v>0</v>
      </c>
      <c r="H140" s="8">
        <f t="shared" si="51"/>
        <v>0</v>
      </c>
      <c r="I140" s="8">
        <f>SUMIFS($C$56:$C$165,$B$56:$B$165,$H140)*(1-Flare!$D$18)</f>
        <v>0</v>
      </c>
      <c r="J140" s="8">
        <f>SUMIFS($D$56:$D$165,$B$56:$B$165,$H140)*(1-Flare!$D$18)</f>
        <v>0</v>
      </c>
      <c r="K140" s="8"/>
      <c r="L140" s="8"/>
      <c r="M140" s="8"/>
      <c r="N140" s="8"/>
      <c r="O140" s="8"/>
      <c r="P140" s="8"/>
      <c r="Q140" s="307" t="str">
        <f t="shared" si="65"/>
        <v>AAAAAAA</v>
      </c>
      <c r="R140" s="8">
        <f>IF($Q$133="",0,VLOOKUP($Q139,Products!$A$59:$E$158,5,FALSE))</f>
        <v>0</v>
      </c>
      <c r="S140" s="322">
        <f>IF($R140=0,0,S$133*VLOOKUP($Q139,Products!$A$59:$H$158,8,FALSE))</f>
        <v>0</v>
      </c>
      <c r="T140" s="322">
        <f>IF($R140=0,0,T$133*VLOOKUP($Q139,Products!$A$59:$H$158,8,FALSE))</f>
        <v>0</v>
      </c>
      <c r="U140" s="8">
        <f>IF(OR(V140=0,ISNUMBER(MATCH(V140,$V$55:V139,0))),0,MAX($U$55:U139)+1)</f>
        <v>0</v>
      </c>
      <c r="V140" s="8">
        <f t="shared" si="52"/>
        <v>0</v>
      </c>
      <c r="W140" s="8">
        <f t="shared" si="59"/>
        <v>0</v>
      </c>
      <c r="X140" s="8">
        <f>SUMIFS($S$56:$S$165,$R$56:$R$165,$W140)*(1-VCU!$D$23)</f>
        <v>0</v>
      </c>
      <c r="Y140" s="8">
        <f>SUMIFS($T$56:$T$165,$R$56:$R$165,$W140)*(1-VCU!$D$23)</f>
        <v>0</v>
      </c>
      <c r="Z140" s="8"/>
      <c r="AA140" s="8"/>
      <c r="AB140" s="8"/>
      <c r="AC140" s="8"/>
      <c r="AD140" s="8"/>
      <c r="AE140" s="8"/>
      <c r="AF140" s="8"/>
      <c r="AG140" s="307" t="str">
        <f t="shared" si="66"/>
        <v>AAAAAAA</v>
      </c>
      <c r="AH140" s="8">
        <f>IF($AG$133="",0,VLOOKUP($AG139,Products!$A$59:$E$158,5,FALSE))</f>
        <v>0</v>
      </c>
      <c r="AI140" s="322">
        <f>IF($AH140=0,0,AI$133*VLOOKUP($AG139,Products!$A$59:$H$158,8,FALSE))</f>
        <v>0</v>
      </c>
      <c r="AJ140" s="322">
        <f>IF($AH140=0,0,AJ$133*VLOOKUP($AG139,Products!$A$59:$H$158,8,FALSE))</f>
        <v>0</v>
      </c>
      <c r="AK140" s="8">
        <f>IF(OR(AL140=0,ISNUMBER(MATCH(AL140,$AL$55:AL139,0))),0,MAX($AK$55:AK139)+1)</f>
        <v>0</v>
      </c>
      <c r="AL140" s="8">
        <f t="shared" si="53"/>
        <v>0</v>
      </c>
      <c r="AM140" s="8">
        <f t="shared" si="54"/>
        <v>0</v>
      </c>
      <c r="AN140" s="8">
        <f>SUMIFS($AI$56:$AI$165,$AH$56:$AH$165,$AM140)*(1-VaporOxidizer!$D$23)</f>
        <v>0</v>
      </c>
      <c r="AO140" s="8">
        <f>SUMIFS($AJ$56:$AJ$165,$AH$56:$AH$165,$AM140)*(1-VaporOxidizer!$D$23)</f>
        <v>0</v>
      </c>
      <c r="AP140" s="8"/>
      <c r="AQ140" s="8"/>
      <c r="AR140" s="8"/>
      <c r="AS140" s="8"/>
      <c r="AT140" s="8"/>
      <c r="AU140" s="8"/>
      <c r="AV140" s="8"/>
      <c r="AW140" s="307" t="str">
        <f t="shared" si="67"/>
        <v>AAAAAAA</v>
      </c>
      <c r="AX140" s="8">
        <f>IF($AW$133="",0,VLOOKUP($AW139,Products!$A$59:$E$158,5,FALSE))</f>
        <v>0</v>
      </c>
      <c r="AY140" s="322">
        <f>IF($AX140=0,0,AY$133*VLOOKUP($AW139,Products!$A$59:$H$158,8,FALSE))</f>
        <v>0</v>
      </c>
      <c r="AZ140" s="323">
        <f>IF($AX140=0,0,AZ$133*VLOOKUP($AW139,Products!$A$59:$H$158,8,FALSE))</f>
        <v>0</v>
      </c>
      <c r="BA140" s="8">
        <f>IF(OR(BB140=0,ISNUMBER(MATCH(BB140,$BB$55:BB139,0))),0,MAX($BA$55:BA139)+1)</f>
        <v>0</v>
      </c>
      <c r="BB140" s="8">
        <f t="shared" si="55"/>
        <v>0</v>
      </c>
      <c r="BC140" s="8">
        <f t="shared" si="56"/>
        <v>0</v>
      </c>
      <c r="BD140" s="8">
        <f>IF(OR($BC140="7783-06-4",$BC140="7446-09-5",$BC140="7664-93-9"),SUMIFS($AY$56:$AY$165,$AX$56:$AX$165,$BC140),SUMIFS($AY$56:$AY$165,$AX$56:$AX$165,$BC140)*(CAS!$D$19/1000000))</f>
        <v>0</v>
      </c>
      <c r="BE140" s="8">
        <f>IF(OR($BC140="7783-06-4",$BC140="7446-09-5",$BC140="7664-93-9"),SUMIFS($AZ$56:$AZ$165,$AX$56:$AX$165,$BC140),SUMIFS($AZ$56:$AZ$165,$AX$56:$AX$165,$BC140)*(CAS!$D$19/1000000))</f>
        <v>0</v>
      </c>
      <c r="BL140" s="90"/>
    </row>
    <row r="141" spans="1:64" x14ac:dyDescent="0.2">
      <c r="A141" s="307" t="str">
        <f t="shared" si="64"/>
        <v>AAAAAAAA</v>
      </c>
      <c r="B141" s="8">
        <f>IF($A$133="",0,VLOOKUP($A140,Products!$A$59:$E$158,5,FALSE))</f>
        <v>0</v>
      </c>
      <c r="C141" s="322">
        <f>IF($B141=0,0,C$133*VLOOKUP($A140,Products!$A$59:$H$158,8,FALSE))</f>
        <v>0</v>
      </c>
      <c r="D141" s="323">
        <f>IF($B141=0,0,D$133*VLOOKUP($A140,Products!$A$59:$H$158,8,FALSE))</f>
        <v>0</v>
      </c>
      <c r="E141" s="8"/>
      <c r="F141" s="8">
        <f>IF(OR(G141=0,ISNUMBER(MATCH(G141,$G$55:G140,0))),0,MAX($F$55:F140)+1)</f>
        <v>0</v>
      </c>
      <c r="G141" s="8">
        <f t="shared" si="50"/>
        <v>0</v>
      </c>
      <c r="H141" s="8">
        <f t="shared" si="51"/>
        <v>0</v>
      </c>
      <c r="I141" s="8">
        <f>SUMIFS($C$56:$C$165,$B$56:$B$165,$H141)*(1-Flare!$D$18)</f>
        <v>0</v>
      </c>
      <c r="J141" s="8">
        <f>SUMIFS($D$56:$D$165,$B$56:$B$165,$H141)*(1-Flare!$D$18)</f>
        <v>0</v>
      </c>
      <c r="K141" s="8"/>
      <c r="L141" s="8"/>
      <c r="M141" s="8"/>
      <c r="N141" s="8"/>
      <c r="O141" s="8"/>
      <c r="P141" s="8"/>
      <c r="Q141" s="307" t="str">
        <f t="shared" si="65"/>
        <v>AAAAAAAA</v>
      </c>
      <c r="R141" s="8">
        <f>IF($Q$133="",0,VLOOKUP($Q140,Products!$A$59:$E$158,5,FALSE))</f>
        <v>0</v>
      </c>
      <c r="S141" s="322">
        <f>IF($R141=0,0,S$133*VLOOKUP($Q140,Products!$A$59:$H$158,8,FALSE))</f>
        <v>0</v>
      </c>
      <c r="T141" s="322">
        <f>IF($R141=0,0,T$133*VLOOKUP($Q140,Products!$A$59:$H$158,8,FALSE))</f>
        <v>0</v>
      </c>
      <c r="U141" s="8">
        <f>IF(OR(V141=0,ISNUMBER(MATCH(V141,$V$55:V140,0))),0,MAX($U$55:U140)+1)</f>
        <v>0</v>
      </c>
      <c r="V141" s="8">
        <f t="shared" si="52"/>
        <v>0</v>
      </c>
      <c r="W141" s="8">
        <f t="shared" si="59"/>
        <v>0</v>
      </c>
      <c r="X141" s="8">
        <f>SUMIFS($S$56:$S$165,$R$56:$R$165,$W141)*(1-VCU!$D$23)</f>
        <v>0</v>
      </c>
      <c r="Y141" s="8">
        <f>SUMIFS($T$56:$T$165,$R$56:$R$165,$W141)*(1-VCU!$D$23)</f>
        <v>0</v>
      </c>
      <c r="Z141" s="8"/>
      <c r="AA141" s="8"/>
      <c r="AB141" s="8"/>
      <c r="AC141" s="8"/>
      <c r="AD141" s="8"/>
      <c r="AE141" s="8"/>
      <c r="AF141" s="8"/>
      <c r="AG141" s="307" t="str">
        <f t="shared" si="66"/>
        <v>AAAAAAAA</v>
      </c>
      <c r="AH141" s="8">
        <f>IF($AG$133="",0,VLOOKUP($AG140,Products!$A$59:$E$158,5,FALSE))</f>
        <v>0</v>
      </c>
      <c r="AI141" s="322">
        <f>IF($AH141=0,0,AI$133*VLOOKUP($AG140,Products!$A$59:$H$158,8,FALSE))</f>
        <v>0</v>
      </c>
      <c r="AJ141" s="322">
        <f>IF($AH141=0,0,AJ$133*VLOOKUP($AG140,Products!$A$59:$H$158,8,FALSE))</f>
        <v>0</v>
      </c>
      <c r="AK141" s="8">
        <f>IF(OR(AL141=0,ISNUMBER(MATCH(AL141,$AL$55:AL140,0))),0,MAX($AK$55:AK140)+1)</f>
        <v>0</v>
      </c>
      <c r="AL141" s="8">
        <f t="shared" si="53"/>
        <v>0</v>
      </c>
      <c r="AM141" s="8">
        <f t="shared" si="54"/>
        <v>0</v>
      </c>
      <c r="AN141" s="8">
        <f>SUMIFS($AI$56:$AI$165,$AH$56:$AH$165,$AM141)*(1-VaporOxidizer!$D$23)</f>
        <v>0</v>
      </c>
      <c r="AO141" s="8">
        <f>SUMIFS($AJ$56:$AJ$165,$AH$56:$AH$165,$AM141)*(1-VaporOxidizer!$D$23)</f>
        <v>0</v>
      </c>
      <c r="AP141" s="8"/>
      <c r="AQ141" s="8"/>
      <c r="AR141" s="8"/>
      <c r="AS141" s="8"/>
      <c r="AT141" s="8"/>
      <c r="AU141" s="8"/>
      <c r="AV141" s="8"/>
      <c r="AW141" s="307" t="str">
        <f t="shared" si="67"/>
        <v>AAAAAAAA</v>
      </c>
      <c r="AX141" s="8">
        <f>IF($AW$133="",0,VLOOKUP($AW140,Products!$A$59:$E$158,5,FALSE))</f>
        <v>0</v>
      </c>
      <c r="AY141" s="322">
        <f>IF($AX141=0,0,AY$133*VLOOKUP($AW140,Products!$A$59:$H$158,8,FALSE))</f>
        <v>0</v>
      </c>
      <c r="AZ141" s="323">
        <f>IF($AX141=0,0,AZ$133*VLOOKUP($AW140,Products!$A$59:$H$158,8,FALSE))</f>
        <v>0</v>
      </c>
      <c r="BA141" s="8">
        <f>IF(OR(BB141=0,ISNUMBER(MATCH(BB141,$BB$55:BB140,0))),0,MAX($BA$55:BA140)+1)</f>
        <v>0</v>
      </c>
      <c r="BB141" s="8">
        <f t="shared" si="55"/>
        <v>0</v>
      </c>
      <c r="BC141" s="8">
        <f t="shared" si="56"/>
        <v>0</v>
      </c>
      <c r="BD141" s="8">
        <f>IF(OR($BC141="7783-06-4",$BC141="7446-09-5",$BC141="7664-93-9"),SUMIFS($AY$56:$AY$165,$AX$56:$AX$165,$BC141),SUMIFS($AY$56:$AY$165,$AX$56:$AX$165,$BC141)*(CAS!$D$19/1000000))</f>
        <v>0</v>
      </c>
      <c r="BE141" s="8">
        <f>IF(OR($BC141="7783-06-4",$BC141="7446-09-5",$BC141="7664-93-9"),SUMIFS($AZ$56:$AZ$165,$AX$56:$AX$165,$BC141),SUMIFS($AZ$56:$AZ$165,$AX$56:$AX$165,$BC141)*(CAS!$D$19/1000000))</f>
        <v>0</v>
      </c>
      <c r="BL141" s="90"/>
    </row>
    <row r="142" spans="1:64" x14ac:dyDescent="0.2">
      <c r="A142" s="307" t="str">
        <f t="shared" si="64"/>
        <v>AAAAAAAAA</v>
      </c>
      <c r="B142" s="8">
        <f>IF($A$133="",0,VLOOKUP($A141,Products!$A$59:$E$158,5,FALSE))</f>
        <v>0</v>
      </c>
      <c r="C142" s="322">
        <f>IF($B142=0,0,C$133*VLOOKUP($A141,Products!$A$59:$H$158,8,FALSE))</f>
        <v>0</v>
      </c>
      <c r="D142" s="323">
        <f>IF($B142=0,0,D$133*VLOOKUP($A141,Products!$A$59:$H$158,8,FALSE))</f>
        <v>0</v>
      </c>
      <c r="E142" s="8"/>
      <c r="F142" s="8">
        <f>IF(OR(G142=0,ISNUMBER(MATCH(G142,$G$55:G141,0))),0,MAX($F$55:F141)+1)</f>
        <v>0</v>
      </c>
      <c r="G142" s="8">
        <f t="shared" si="50"/>
        <v>0</v>
      </c>
      <c r="H142" s="8">
        <f t="shared" si="51"/>
        <v>0</v>
      </c>
      <c r="I142" s="8">
        <f>SUMIFS($C$56:$C$165,$B$56:$B$165,$H142)*(1-Flare!$D$18)</f>
        <v>0</v>
      </c>
      <c r="J142" s="8">
        <f>SUMIFS($D$56:$D$165,$B$56:$B$165,$H142)*(1-Flare!$D$18)</f>
        <v>0</v>
      </c>
      <c r="K142" s="8"/>
      <c r="L142" s="8"/>
      <c r="M142" s="8"/>
      <c r="N142" s="8"/>
      <c r="O142" s="8"/>
      <c r="P142" s="8"/>
      <c r="Q142" s="307" t="str">
        <f t="shared" si="65"/>
        <v>AAAAAAAAA</v>
      </c>
      <c r="R142" s="8">
        <f>IF($Q$133="",0,VLOOKUP($Q141,Products!$A$59:$E$158,5,FALSE))</f>
        <v>0</v>
      </c>
      <c r="S142" s="322">
        <f>IF($R142=0,0,S$133*VLOOKUP($Q141,Products!$A$59:$H$158,8,FALSE))</f>
        <v>0</v>
      </c>
      <c r="T142" s="322">
        <f>IF($R142=0,0,T$133*VLOOKUP($Q141,Products!$A$59:$H$158,8,FALSE))</f>
        <v>0</v>
      </c>
      <c r="U142" s="8">
        <f>IF(OR(V142=0,ISNUMBER(MATCH(V142,$V$55:V141,0))),0,MAX($U$55:U141)+1)</f>
        <v>0</v>
      </c>
      <c r="V142" s="8">
        <f t="shared" si="52"/>
        <v>0</v>
      </c>
      <c r="W142" s="8">
        <f t="shared" si="59"/>
        <v>0</v>
      </c>
      <c r="X142" s="8">
        <f>SUMIFS($S$56:$S$165,$R$56:$R$165,$W142)*(1-VCU!$D$23)</f>
        <v>0</v>
      </c>
      <c r="Y142" s="8">
        <f>SUMIFS($T$56:$T$165,$R$56:$R$165,$W142)*(1-VCU!$D$23)</f>
        <v>0</v>
      </c>
      <c r="Z142" s="8"/>
      <c r="AA142" s="8"/>
      <c r="AB142" s="8"/>
      <c r="AC142" s="8"/>
      <c r="AD142" s="8"/>
      <c r="AE142" s="8"/>
      <c r="AF142" s="8"/>
      <c r="AG142" s="307" t="str">
        <f t="shared" si="66"/>
        <v>AAAAAAAAA</v>
      </c>
      <c r="AH142" s="8">
        <f>IF($AG$133="",0,VLOOKUP($AG141,Products!$A$59:$E$158,5,FALSE))</f>
        <v>0</v>
      </c>
      <c r="AI142" s="322">
        <f>IF($AH142=0,0,AI$133*VLOOKUP($AG141,Products!$A$59:$H$158,8,FALSE))</f>
        <v>0</v>
      </c>
      <c r="AJ142" s="322">
        <f>IF($AH142=0,0,AJ$133*VLOOKUP($AG141,Products!$A$59:$H$158,8,FALSE))</f>
        <v>0</v>
      </c>
      <c r="AK142" s="8">
        <f>IF(OR(AL142=0,ISNUMBER(MATCH(AL142,$AL$55:AL141,0))),0,MAX($AK$55:AK141)+1)</f>
        <v>0</v>
      </c>
      <c r="AL142" s="8">
        <f t="shared" si="53"/>
        <v>0</v>
      </c>
      <c r="AM142" s="8">
        <f t="shared" si="54"/>
        <v>0</v>
      </c>
      <c r="AN142" s="8">
        <f>SUMIFS($AI$56:$AI$165,$AH$56:$AH$165,$AM142)*(1-VaporOxidizer!$D$23)</f>
        <v>0</v>
      </c>
      <c r="AO142" s="8">
        <f>SUMIFS($AJ$56:$AJ$165,$AH$56:$AH$165,$AM142)*(1-VaporOxidizer!$D$23)</f>
        <v>0</v>
      </c>
      <c r="AP142" s="8"/>
      <c r="AQ142" s="8"/>
      <c r="AR142" s="8"/>
      <c r="AS142" s="8"/>
      <c r="AT142" s="8"/>
      <c r="AU142" s="8"/>
      <c r="AV142" s="8"/>
      <c r="AW142" s="307" t="str">
        <f t="shared" si="67"/>
        <v>AAAAAAAAA</v>
      </c>
      <c r="AX142" s="8">
        <f>IF($AW$133="",0,VLOOKUP($AW141,Products!$A$59:$E$158,5,FALSE))</f>
        <v>0</v>
      </c>
      <c r="AY142" s="322">
        <f>IF($AX142=0,0,AY$133*VLOOKUP($AW141,Products!$A$59:$H$158,8,FALSE))</f>
        <v>0</v>
      </c>
      <c r="AZ142" s="323">
        <f>IF($AX142=0,0,AZ$133*VLOOKUP($AW141,Products!$A$59:$H$158,8,FALSE))</f>
        <v>0</v>
      </c>
      <c r="BA142" s="8">
        <f>IF(OR(BB142=0,ISNUMBER(MATCH(BB142,$BB$55:BB141,0))),0,MAX($BA$55:BA141)+1)</f>
        <v>0</v>
      </c>
      <c r="BB142" s="8">
        <f t="shared" si="55"/>
        <v>0</v>
      </c>
      <c r="BC142" s="8">
        <f t="shared" si="56"/>
        <v>0</v>
      </c>
      <c r="BD142" s="8">
        <f>IF(OR($BC142="7783-06-4",$BC142="7446-09-5",$BC142="7664-93-9"),SUMIFS($AY$56:$AY$165,$AX$56:$AX$165,$BC142),SUMIFS($AY$56:$AY$165,$AX$56:$AX$165,$BC142)*(CAS!$D$19/1000000))</f>
        <v>0</v>
      </c>
      <c r="BE142" s="8">
        <f>IF(OR($BC142="7783-06-4",$BC142="7446-09-5",$BC142="7664-93-9"),SUMIFS($AZ$56:$AZ$165,$AX$56:$AX$165,$BC142),SUMIFS($AZ$56:$AZ$165,$AX$56:$AX$165,$BC142)*(CAS!$D$19/1000000))</f>
        <v>0</v>
      </c>
      <c r="BL142" s="90"/>
    </row>
    <row r="143" spans="1:64" x14ac:dyDescent="0.2">
      <c r="A143" s="307" t="str">
        <f t="shared" si="64"/>
        <v>AAAAAAAAAA</v>
      </c>
      <c r="B143" s="8">
        <f>IF($A$133="",0,VLOOKUP($A142,Products!$A$59:$E$158,5,FALSE))</f>
        <v>0</v>
      </c>
      <c r="C143" s="322">
        <f>IF($B143=0,0,C$133*VLOOKUP($A142,Products!$A$59:$H$158,8,FALSE))</f>
        <v>0</v>
      </c>
      <c r="D143" s="323">
        <f>IF($B143=0,0,D$133*VLOOKUP($A142,Products!$A$59:$H$158,8,FALSE))</f>
        <v>0</v>
      </c>
      <c r="E143" s="8"/>
      <c r="F143" s="8">
        <f>IF(OR(G143=0,ISNUMBER(MATCH(G143,$G$55:G142,0))),0,MAX($F$55:F142)+1)</f>
        <v>0</v>
      </c>
      <c r="G143" s="8">
        <f t="shared" si="50"/>
        <v>0</v>
      </c>
      <c r="H143" s="8">
        <f t="shared" si="51"/>
        <v>0</v>
      </c>
      <c r="I143" s="8">
        <f>SUMIFS($C$56:$C$165,$B$56:$B$165,$H143)*(1-Flare!$D$18)</f>
        <v>0</v>
      </c>
      <c r="J143" s="8">
        <f>SUMIFS($D$56:$D$165,$B$56:$B$165,$H143)*(1-Flare!$D$18)</f>
        <v>0</v>
      </c>
      <c r="K143" s="8"/>
      <c r="L143" s="8"/>
      <c r="M143" s="8"/>
      <c r="N143" s="8"/>
      <c r="O143" s="8"/>
      <c r="P143" s="8"/>
      <c r="Q143" s="307" t="str">
        <f t="shared" si="65"/>
        <v>AAAAAAAAAA</v>
      </c>
      <c r="R143" s="8">
        <f>IF($Q$133="",0,VLOOKUP($Q142,Products!$A$59:$E$158,5,FALSE))</f>
        <v>0</v>
      </c>
      <c r="S143" s="322">
        <f>IF($R143=0,0,S$133*VLOOKUP($Q142,Products!$A$59:$H$158,8,FALSE))</f>
        <v>0</v>
      </c>
      <c r="T143" s="322">
        <f>IF($R143=0,0,T$133*VLOOKUP($Q142,Products!$A$59:$H$158,8,FALSE))</f>
        <v>0</v>
      </c>
      <c r="U143" s="8">
        <f>IF(OR(V143=0,ISNUMBER(MATCH(V143,$V$55:V142,0))),0,MAX($U$55:U142)+1)</f>
        <v>0</v>
      </c>
      <c r="V143" s="8">
        <f t="shared" si="52"/>
        <v>0</v>
      </c>
      <c r="W143" s="8">
        <f t="shared" si="59"/>
        <v>0</v>
      </c>
      <c r="X143" s="8">
        <f>SUMIFS($S$56:$S$165,$R$56:$R$165,$W143)*(1-VCU!$D$23)</f>
        <v>0</v>
      </c>
      <c r="Y143" s="8">
        <f>SUMIFS($T$56:$T$165,$R$56:$R$165,$W143)*(1-VCU!$D$23)</f>
        <v>0</v>
      </c>
      <c r="Z143" s="8"/>
      <c r="AA143" s="8"/>
      <c r="AB143" s="8"/>
      <c r="AC143" s="8"/>
      <c r="AD143" s="8"/>
      <c r="AE143" s="8"/>
      <c r="AF143" s="8"/>
      <c r="AG143" s="307" t="str">
        <f t="shared" si="66"/>
        <v>AAAAAAAAAA</v>
      </c>
      <c r="AH143" s="8">
        <f>IF($AG$133="",0,VLOOKUP($AG142,Products!$A$59:$E$158,5,FALSE))</f>
        <v>0</v>
      </c>
      <c r="AI143" s="322">
        <f>IF($AH143=0,0,AI$133*VLOOKUP($AG142,Products!$A$59:$H$158,8,FALSE))</f>
        <v>0</v>
      </c>
      <c r="AJ143" s="322">
        <f>IF($AH143=0,0,AJ$133*VLOOKUP($AG142,Products!$A$59:$H$158,8,FALSE))</f>
        <v>0</v>
      </c>
      <c r="AK143" s="8">
        <f>IF(OR(AL143=0,ISNUMBER(MATCH(AL143,$AL$55:AL142,0))),0,MAX($AK$55:AK142)+1)</f>
        <v>0</v>
      </c>
      <c r="AL143" s="8">
        <f t="shared" si="53"/>
        <v>0</v>
      </c>
      <c r="AM143" s="8">
        <f t="shared" si="54"/>
        <v>0</v>
      </c>
      <c r="AN143" s="8">
        <f>SUMIFS($AI$56:$AI$165,$AH$56:$AH$165,$AM143)*(1-VaporOxidizer!$D$23)</f>
        <v>0</v>
      </c>
      <c r="AO143" s="8">
        <f>SUMIFS($AJ$56:$AJ$165,$AH$56:$AH$165,$AM143)*(1-VaporOxidizer!$D$23)</f>
        <v>0</v>
      </c>
      <c r="AP143" s="8"/>
      <c r="AQ143" s="8"/>
      <c r="AR143" s="8"/>
      <c r="AS143" s="8"/>
      <c r="AT143" s="8"/>
      <c r="AU143" s="8"/>
      <c r="AV143" s="8"/>
      <c r="AW143" s="307" t="str">
        <f t="shared" si="67"/>
        <v>AAAAAAAAAA</v>
      </c>
      <c r="AX143" s="8">
        <f>IF($AW$133="",0,VLOOKUP($AW142,Products!$A$59:$E$158,5,FALSE))</f>
        <v>0</v>
      </c>
      <c r="AY143" s="322">
        <f>IF($AX143=0,0,AY$133*VLOOKUP($AW142,Products!$A$59:$H$158,8,FALSE))</f>
        <v>0</v>
      </c>
      <c r="AZ143" s="323">
        <f>IF($AX143=0,0,AZ$133*VLOOKUP($AW142,Products!$A$59:$H$158,8,FALSE))</f>
        <v>0</v>
      </c>
      <c r="BA143" s="8">
        <f>IF(OR(BB143=0,ISNUMBER(MATCH(BB143,$BB$55:BB142,0))),0,MAX($BA$55:BA142)+1)</f>
        <v>0</v>
      </c>
      <c r="BB143" s="8">
        <f t="shared" si="55"/>
        <v>0</v>
      </c>
      <c r="BC143" s="8">
        <f t="shared" si="56"/>
        <v>0</v>
      </c>
      <c r="BD143" s="8">
        <f>IF(OR($BC143="7783-06-4",$BC143="7446-09-5",$BC143="7664-93-9"),SUMIFS($AY$56:$AY$165,$AX$56:$AX$165,$BC143),SUMIFS($AY$56:$AY$165,$AX$56:$AX$165,$BC143)*(CAS!$D$19/1000000))</f>
        <v>0</v>
      </c>
      <c r="BE143" s="8">
        <f>IF(OR($BC143="7783-06-4",$BC143="7446-09-5",$BC143="7664-93-9"),SUMIFS($AZ$56:$AZ$165,$AX$56:$AX$165,$BC143),SUMIFS($AZ$56:$AZ$165,$AX$56:$AX$165,$BC143)*(CAS!$D$19/1000000))</f>
        <v>0</v>
      </c>
      <c r="BL143" s="90"/>
    </row>
    <row r="144" spans="1:64" x14ac:dyDescent="0.2">
      <c r="A144" s="310" t="str">
        <f>$F11</f>
        <v/>
      </c>
      <c r="B144" s="311" t="s">
        <v>291</v>
      </c>
      <c r="C144" s="311">
        <f t="shared" si="57"/>
        <v>0</v>
      </c>
      <c r="D144" s="312">
        <f t="shared" si="58"/>
        <v>0</v>
      </c>
      <c r="E144" s="8"/>
      <c r="F144" s="8">
        <f>IF(OR(G144=0,ISNUMBER(MATCH(G144,$G$55:G143,0))),0,MAX($F$55:F143)+1)</f>
        <v>0</v>
      </c>
      <c r="G144" s="8" t="str">
        <f t="shared" si="50"/>
        <v>Total VOC</v>
      </c>
      <c r="H144" s="8">
        <f t="shared" si="51"/>
        <v>0</v>
      </c>
      <c r="I144" s="8">
        <f>SUMIFS($C$56:$C$165,$B$56:$B$165,$H144)*(1-Flare!$D$18)</f>
        <v>0</v>
      </c>
      <c r="J144" s="8">
        <f>SUMIFS($D$56:$D$165,$B$56:$B$165,$H144)*(1-Flare!$D$18)</f>
        <v>0</v>
      </c>
      <c r="K144" s="8"/>
      <c r="L144" s="8"/>
      <c r="M144" s="8"/>
      <c r="N144" s="8"/>
      <c r="O144" s="8"/>
      <c r="P144" s="8"/>
      <c r="Q144" s="310" t="str">
        <f>$V11</f>
        <v/>
      </c>
      <c r="R144" s="311" t="s">
        <v>291</v>
      </c>
      <c r="S144" s="311">
        <f>VLOOKUP($Q144,$V$3:$X$12,2,FALSE)</f>
        <v>0</v>
      </c>
      <c r="T144" s="312">
        <f>VLOOKUP($Q144,$V$3:$X$12,3,FALSE)</f>
        <v>0</v>
      </c>
      <c r="U144" s="8">
        <f>IF(OR(V144=0,ISNUMBER(MATCH(V144,$V$55:V143,0))),0,MAX($U$55:U143)+1)</f>
        <v>0</v>
      </c>
      <c r="V144" s="8" t="str">
        <f t="shared" si="52"/>
        <v>Total VOC</v>
      </c>
      <c r="W144" s="8">
        <f t="shared" si="59"/>
        <v>0</v>
      </c>
      <c r="X144" s="8">
        <f>SUMIFS($S$56:$S$165,$R$56:$R$165,$W144)*(1-VCU!$D$23)</f>
        <v>0</v>
      </c>
      <c r="Y144" s="8">
        <f>SUMIFS($T$56:$T$165,$R$56:$R$165,$W144)*(1-VCU!$D$23)</f>
        <v>0</v>
      </c>
      <c r="Z144" s="8"/>
      <c r="AA144" s="8"/>
      <c r="AB144" s="8"/>
      <c r="AC144" s="8"/>
      <c r="AD144" s="8"/>
      <c r="AE144" s="8"/>
      <c r="AF144" s="8"/>
      <c r="AG144" s="310" t="str">
        <f>$AL11</f>
        <v/>
      </c>
      <c r="AH144" s="311" t="s">
        <v>291</v>
      </c>
      <c r="AI144" s="311">
        <f>VLOOKUP($AG144,$AL$3:$AN$12,2,FALSE)</f>
        <v>0</v>
      </c>
      <c r="AJ144" s="312">
        <f>VLOOKUP($AG144,$AL$3:$AN$12,3,FALSE)</f>
        <v>0</v>
      </c>
      <c r="AK144" s="8">
        <f>IF(OR(AL144=0,ISNUMBER(MATCH(AL144,$AL$55:AL143,0))),0,MAX($AK$55:AK143)+1)</f>
        <v>0</v>
      </c>
      <c r="AL144" s="8" t="str">
        <f t="shared" si="53"/>
        <v>Total VOC</v>
      </c>
      <c r="AM144" s="8">
        <f t="shared" si="54"/>
        <v>0</v>
      </c>
      <c r="AN144" s="8">
        <f>SUMIFS($AI$56:$AI$165,$AH$56:$AH$165,$AM144)*(1-VaporOxidizer!$D$23)</f>
        <v>0</v>
      </c>
      <c r="AO144" s="8">
        <f>SUMIFS($AJ$56:$AJ$165,$AH$56:$AH$165,$AM144)*(1-VaporOxidizer!$D$23)</f>
        <v>0</v>
      </c>
      <c r="AP144" s="8"/>
      <c r="AQ144" s="8"/>
      <c r="AR144" s="8"/>
      <c r="AS144" s="8"/>
      <c r="AT144" s="8"/>
      <c r="AU144" s="8"/>
      <c r="AV144" s="8"/>
      <c r="AW144" s="310" t="str">
        <f>$BB11</f>
        <v/>
      </c>
      <c r="AX144" s="311" t="s">
        <v>291</v>
      </c>
      <c r="AY144" s="311">
        <f>VLOOKUP($AW144,$BB$3:$BD$12,2,FALSE)</f>
        <v>0</v>
      </c>
      <c r="AZ144" s="312">
        <f>VLOOKUP($AW144,$BB$3:$BD$12,3,FALSE)</f>
        <v>0</v>
      </c>
      <c r="BA144" s="8">
        <f>IF(OR(BB144=0,ISNUMBER(MATCH(BB144,$BB$55:BB143,0))),0,MAX($BA$55:BA143)+1)</f>
        <v>0</v>
      </c>
      <c r="BB144" s="8" t="str">
        <f t="shared" si="55"/>
        <v>Total VOC</v>
      </c>
      <c r="BC144" s="8">
        <f t="shared" si="56"/>
        <v>0</v>
      </c>
      <c r="BD144" s="8">
        <f>IF(OR($BC144="7783-06-4",$BC144="7446-09-5",$BC144="7664-93-9"),SUMIFS($AY$56:$AY$165,$AX$56:$AX$165,$BC144),SUMIFS($AY$56:$AY$165,$AX$56:$AX$165,$BC144)*(CAS!$D$19/1000000))</f>
        <v>0</v>
      </c>
      <c r="BE144" s="8">
        <f>IF(OR($BC144="7783-06-4",$BC144="7446-09-5",$BC144="7664-93-9"),SUMIFS($AZ$56:$AZ$165,$AX$56:$AX$165,$BC144),SUMIFS($AZ$56:$AZ$165,$AX$56:$AX$165,$BC144)*(CAS!$D$19/1000000))</f>
        <v>0</v>
      </c>
      <c r="BL144" s="90"/>
    </row>
    <row r="145" spans="1:64" x14ac:dyDescent="0.2">
      <c r="A145" s="307" t="str">
        <f>A144&amp;"A"</f>
        <v>A</v>
      </c>
      <c r="B145" s="8">
        <f>IF($A$144="",0,VLOOKUP($A144,Products!$A$59:$E$158,5,FALSE))</f>
        <v>0</v>
      </c>
      <c r="C145" s="322">
        <f>IF($B145=0,0,C$144*VLOOKUP($A144,Products!$A$59:$H$158,8,FALSE))</f>
        <v>0</v>
      </c>
      <c r="D145" s="323">
        <f>IF($B145=0,0,D$144*VLOOKUP($A144,Products!$A$59:$H$158,8,FALSE))</f>
        <v>0</v>
      </c>
      <c r="E145" s="8"/>
      <c r="F145" s="8">
        <f>IF(OR(G145=0,ISNUMBER(MATCH(G145,$G$55:G144,0))),0,MAX($F$55:F144)+1)</f>
        <v>0</v>
      </c>
      <c r="G145" s="8">
        <f t="shared" si="50"/>
        <v>0</v>
      </c>
      <c r="H145" s="8">
        <f t="shared" si="51"/>
        <v>0</v>
      </c>
      <c r="I145" s="8">
        <f>SUMIFS($C$56:$C$165,$B$56:$B$165,$H145)*(1-Flare!$D$18)</f>
        <v>0</v>
      </c>
      <c r="J145" s="8">
        <f>SUMIFS($D$56:$D$165,$B$56:$B$165,$H145)*(1-Flare!$D$18)</f>
        <v>0</v>
      </c>
      <c r="K145" s="8"/>
      <c r="L145" s="8"/>
      <c r="M145" s="8"/>
      <c r="N145" s="8"/>
      <c r="O145" s="8"/>
      <c r="P145" s="8"/>
      <c r="Q145" s="307" t="str">
        <f>Q144&amp;"A"</f>
        <v>A</v>
      </c>
      <c r="R145" s="8">
        <f>IF($Q$144="",0,VLOOKUP($Q144,Products!$A$59:$E$158,5,FALSE))</f>
        <v>0</v>
      </c>
      <c r="S145" s="322">
        <f>IF($R145=0,0,S$144*VLOOKUP($Q144,Products!$A$59:$H$158,8,FALSE))</f>
        <v>0</v>
      </c>
      <c r="T145" s="322">
        <f>IF($R145=0,0,T$144*VLOOKUP($Q144,Products!$A$59:$H$158,8,FALSE))</f>
        <v>0</v>
      </c>
      <c r="U145" s="8">
        <f>IF(OR(V145=0,ISNUMBER(MATCH(V145,$V$55:V144,0))),0,MAX($U$55:U144)+1)</f>
        <v>0</v>
      </c>
      <c r="V145" s="8">
        <f t="shared" si="52"/>
        <v>0</v>
      </c>
      <c r="W145" s="8">
        <f t="shared" si="59"/>
        <v>0</v>
      </c>
      <c r="X145" s="8">
        <f>SUMIFS($S$56:$S$165,$R$56:$R$165,$W145)*(1-VCU!$D$23)</f>
        <v>0</v>
      </c>
      <c r="Y145" s="8">
        <f>SUMIFS($T$56:$T$165,$R$56:$R$165,$W145)*(1-VCU!$D$23)</f>
        <v>0</v>
      </c>
      <c r="Z145" s="8"/>
      <c r="AA145" s="8"/>
      <c r="AB145" s="8"/>
      <c r="AC145" s="8"/>
      <c r="AD145" s="8"/>
      <c r="AE145" s="8"/>
      <c r="AF145" s="8"/>
      <c r="AG145" s="307" t="str">
        <f>AG144&amp;"A"</f>
        <v>A</v>
      </c>
      <c r="AH145" s="8">
        <f>IF($AG$144="",0,VLOOKUP($AG144,Products!$A$59:$E$158,5,FALSE))</f>
        <v>0</v>
      </c>
      <c r="AI145" s="322">
        <f>IF($AH145=0,0,AI$144*VLOOKUP($AG144,Products!$A$59:$H$158,8,FALSE))</f>
        <v>0</v>
      </c>
      <c r="AJ145" s="322">
        <f>IF($AH145=0,0,AJ$144*VLOOKUP($AG144,Products!$A$59:$H$158,8,FALSE))</f>
        <v>0</v>
      </c>
      <c r="AK145" s="8">
        <f>IF(OR(AL145=0,ISNUMBER(MATCH(AL145,$AL$55:AL144,0))),0,MAX($AK$55:AK144)+1)</f>
        <v>0</v>
      </c>
      <c r="AL145" s="8">
        <f t="shared" si="53"/>
        <v>0</v>
      </c>
      <c r="AM145" s="8">
        <f t="shared" si="54"/>
        <v>0</v>
      </c>
      <c r="AN145" s="8">
        <f>SUMIFS($AI$56:$AI$165,$AH$56:$AH$165,$AM145)*(1-VaporOxidizer!$D$23)</f>
        <v>0</v>
      </c>
      <c r="AO145" s="8">
        <f>SUMIFS($AJ$56:$AJ$165,$AH$56:$AH$165,$AM145)*(1-VaporOxidizer!$D$23)</f>
        <v>0</v>
      </c>
      <c r="AP145" s="8"/>
      <c r="AQ145" s="8"/>
      <c r="AR145" s="8"/>
      <c r="AS145" s="8"/>
      <c r="AT145" s="8"/>
      <c r="AU145" s="8"/>
      <c r="AV145" s="8"/>
      <c r="AW145" s="307" t="str">
        <f>AW144&amp;"A"</f>
        <v>A</v>
      </c>
      <c r="AX145" s="8">
        <f>IF($AW$144="",0,VLOOKUP($AW144,Products!$A$59:$E$158,5,FALSE))</f>
        <v>0</v>
      </c>
      <c r="AY145" s="322">
        <f>IF($AX145=0,0,AY$144*VLOOKUP($AW144,Products!$A$59:$H$158,8,FALSE))</f>
        <v>0</v>
      </c>
      <c r="AZ145" s="323">
        <f>IF($AX145=0,0,AZ$144*VLOOKUP($AW144,Products!$A$59:$H$158,8,FALSE))</f>
        <v>0</v>
      </c>
      <c r="BA145" s="8">
        <f>IF(OR(BB145=0,ISNUMBER(MATCH(BB145,$BB$55:BB144,0))),0,MAX($BA$55:BA144)+1)</f>
        <v>0</v>
      </c>
      <c r="BB145" s="8">
        <f t="shared" si="55"/>
        <v>0</v>
      </c>
      <c r="BC145" s="8">
        <f t="shared" si="56"/>
        <v>0</v>
      </c>
      <c r="BD145" s="8">
        <f>IF(OR($BC145="7783-06-4",$BC145="7446-09-5",$BC145="7664-93-9"),SUMIFS($AY$56:$AY$165,$AX$56:$AX$165,$BC145),SUMIFS($AY$56:$AY$165,$AX$56:$AX$165,$BC145)*(CAS!$D$19/1000000))</f>
        <v>0</v>
      </c>
      <c r="BE145" s="8">
        <f>IF(OR($BC145="7783-06-4",$BC145="7446-09-5",$BC145="7664-93-9"),SUMIFS($AZ$56:$AZ$165,$AX$56:$AX$165,$BC145),SUMIFS($AZ$56:$AZ$165,$AX$56:$AX$165,$BC145)*(CAS!$D$19/1000000))</f>
        <v>0</v>
      </c>
      <c r="BL145" s="90"/>
    </row>
    <row r="146" spans="1:64" x14ac:dyDescent="0.2">
      <c r="A146" s="307" t="str">
        <f t="shared" ref="A146:A154" si="68">A145&amp;"A"</f>
        <v>AA</v>
      </c>
      <c r="B146" s="8">
        <f>IF($A$144="",0,VLOOKUP($A145,Products!$A$59:$E$158,5,FALSE))</f>
        <v>0</v>
      </c>
      <c r="C146" s="322">
        <f>IF($B146=0,0,C$144*VLOOKUP($A145,Products!$A$59:$H$158,8,FALSE))</f>
        <v>0</v>
      </c>
      <c r="D146" s="323">
        <f>IF($B146=0,0,D$144*VLOOKUP($A145,Products!$A$59:$H$158,8,FALSE))</f>
        <v>0</v>
      </c>
      <c r="E146" s="8"/>
      <c r="F146" s="8">
        <f>IF(OR(G146=0,ISNUMBER(MATCH(G146,$G$55:G145,0))),0,MAX($F$55:F145)+1)</f>
        <v>0</v>
      </c>
      <c r="G146" s="8">
        <f t="shared" si="50"/>
        <v>0</v>
      </c>
      <c r="H146" s="8">
        <f t="shared" si="51"/>
        <v>0</v>
      </c>
      <c r="I146" s="8">
        <f>SUMIFS($C$56:$C$165,$B$56:$B$165,$H146)*(1-Flare!$D$18)</f>
        <v>0</v>
      </c>
      <c r="J146" s="8">
        <f>SUMIFS($D$56:$D$165,$B$56:$B$165,$H146)*(1-Flare!$D$18)</f>
        <v>0</v>
      </c>
      <c r="K146" s="8"/>
      <c r="L146" s="8"/>
      <c r="M146" s="8"/>
      <c r="N146" s="8"/>
      <c r="O146" s="8"/>
      <c r="P146" s="8"/>
      <c r="Q146" s="307" t="str">
        <f t="shared" ref="Q146:Q154" si="69">Q145&amp;"A"</f>
        <v>AA</v>
      </c>
      <c r="R146" s="8">
        <f>IF($Q$144="",0,VLOOKUP($Q145,Products!$A$59:$E$158,5,FALSE))</f>
        <v>0</v>
      </c>
      <c r="S146" s="322">
        <f>IF($R146=0,0,S$144*VLOOKUP($Q145,Products!$A$59:$H$158,8,FALSE))</f>
        <v>0</v>
      </c>
      <c r="T146" s="322">
        <f>IF($R146=0,0,T$144*VLOOKUP($Q145,Products!$A$59:$H$158,8,FALSE))</f>
        <v>0</v>
      </c>
      <c r="U146" s="8">
        <f>IF(OR(V146=0,ISNUMBER(MATCH(V146,$V$55:V145,0))),0,MAX($U$55:U145)+1)</f>
        <v>0</v>
      </c>
      <c r="V146" s="8">
        <f t="shared" si="52"/>
        <v>0</v>
      </c>
      <c r="W146" s="8">
        <f t="shared" si="59"/>
        <v>0</v>
      </c>
      <c r="X146" s="8">
        <f>SUMIFS($S$56:$S$165,$R$56:$R$165,$W146)*(1-VCU!$D$23)</f>
        <v>0</v>
      </c>
      <c r="Y146" s="8">
        <f>SUMIFS($T$56:$T$165,$R$56:$R$165,$W146)*(1-VCU!$D$23)</f>
        <v>0</v>
      </c>
      <c r="Z146" s="8"/>
      <c r="AA146" s="8"/>
      <c r="AB146" s="8"/>
      <c r="AC146" s="8"/>
      <c r="AD146" s="8"/>
      <c r="AE146" s="8"/>
      <c r="AF146" s="8"/>
      <c r="AG146" s="307" t="str">
        <f t="shared" ref="AG146:AG154" si="70">AG145&amp;"A"</f>
        <v>AA</v>
      </c>
      <c r="AH146" s="8">
        <f>IF($AG$144="",0,VLOOKUP($AG145,Products!$A$59:$E$158,5,FALSE))</f>
        <v>0</v>
      </c>
      <c r="AI146" s="322">
        <f>IF($AH146=0,0,AI$144*VLOOKUP($AG145,Products!$A$59:$H$158,8,FALSE))</f>
        <v>0</v>
      </c>
      <c r="AJ146" s="322">
        <f>IF($AH146=0,0,AJ$144*VLOOKUP($AG145,Products!$A$59:$H$158,8,FALSE))</f>
        <v>0</v>
      </c>
      <c r="AK146" s="8">
        <f>IF(OR(AL146=0,ISNUMBER(MATCH(AL146,$AL$55:AL145,0))),0,MAX($AK$55:AK145)+1)</f>
        <v>0</v>
      </c>
      <c r="AL146" s="8">
        <f t="shared" si="53"/>
        <v>0</v>
      </c>
      <c r="AM146" s="8">
        <f t="shared" si="54"/>
        <v>0</v>
      </c>
      <c r="AN146" s="8">
        <f>SUMIFS($AI$56:$AI$165,$AH$56:$AH$165,$AM146)*(1-VaporOxidizer!$D$23)</f>
        <v>0</v>
      </c>
      <c r="AO146" s="8">
        <f>SUMIFS($AJ$56:$AJ$165,$AH$56:$AH$165,$AM146)*(1-VaporOxidizer!$D$23)</f>
        <v>0</v>
      </c>
      <c r="AP146" s="8"/>
      <c r="AQ146" s="8"/>
      <c r="AR146" s="8"/>
      <c r="AS146" s="8"/>
      <c r="AT146" s="8"/>
      <c r="AU146" s="8"/>
      <c r="AV146" s="8"/>
      <c r="AW146" s="307" t="str">
        <f t="shared" ref="AW146:AW154" si="71">AW145&amp;"A"</f>
        <v>AA</v>
      </c>
      <c r="AX146" s="8">
        <f>IF($AW$144="",0,VLOOKUP($AW145,Products!$A$59:$E$158,5,FALSE))</f>
        <v>0</v>
      </c>
      <c r="AY146" s="322">
        <f>IF($AX146=0,0,AY$144*VLOOKUP($AW145,Products!$A$59:$H$158,8,FALSE))</f>
        <v>0</v>
      </c>
      <c r="AZ146" s="323">
        <f>IF($AX146=0,0,AZ$144*VLOOKUP($AW145,Products!$A$59:$H$158,8,FALSE))</f>
        <v>0</v>
      </c>
      <c r="BA146" s="8">
        <f>IF(OR(BB146=0,ISNUMBER(MATCH(BB146,$BB$55:BB145,0))),0,MAX($BA$55:BA145)+1)</f>
        <v>0</v>
      </c>
      <c r="BB146" s="8">
        <f t="shared" si="55"/>
        <v>0</v>
      </c>
      <c r="BC146" s="8">
        <f t="shared" si="56"/>
        <v>0</v>
      </c>
      <c r="BD146" s="8">
        <f>IF(OR($BC146="7783-06-4",$BC146="7446-09-5",$BC146="7664-93-9"),SUMIFS($AY$56:$AY$165,$AX$56:$AX$165,$BC146),SUMIFS($AY$56:$AY$165,$AX$56:$AX$165,$BC146)*(CAS!$D$19/1000000))</f>
        <v>0</v>
      </c>
      <c r="BE146" s="8">
        <f>IF(OR($BC146="7783-06-4",$BC146="7446-09-5",$BC146="7664-93-9"),SUMIFS($AZ$56:$AZ$165,$AX$56:$AX$165,$BC146),SUMIFS($AZ$56:$AZ$165,$AX$56:$AX$165,$BC146)*(CAS!$D$19/1000000))</f>
        <v>0</v>
      </c>
      <c r="BL146" s="90"/>
    </row>
    <row r="147" spans="1:64" x14ac:dyDescent="0.2">
      <c r="A147" s="307" t="str">
        <f t="shared" si="68"/>
        <v>AAA</v>
      </c>
      <c r="B147" s="8">
        <f>IF($A$144="",0,VLOOKUP($A146,Products!$A$59:$E$158,5,FALSE))</f>
        <v>0</v>
      </c>
      <c r="C147" s="322">
        <f>IF($B147=0,0,C$144*VLOOKUP($A146,Products!$A$59:$H$158,8,FALSE))</f>
        <v>0</v>
      </c>
      <c r="D147" s="323">
        <f>IF($B147=0,0,D$144*VLOOKUP($A146,Products!$A$59:$H$158,8,FALSE))</f>
        <v>0</v>
      </c>
      <c r="E147" s="8"/>
      <c r="F147" s="8">
        <f>IF(OR(G147=0,ISNUMBER(MATCH(G147,$G$55:G146,0))),0,MAX($F$55:F146)+1)</f>
        <v>0</v>
      </c>
      <c r="G147" s="8">
        <f t="shared" si="50"/>
        <v>0</v>
      </c>
      <c r="H147" s="8">
        <f t="shared" si="51"/>
        <v>0</v>
      </c>
      <c r="I147" s="8">
        <f>SUMIFS($C$56:$C$165,$B$56:$B$165,$H147)*(1-Flare!$D$18)</f>
        <v>0</v>
      </c>
      <c r="J147" s="8">
        <f>SUMIFS($D$56:$D$165,$B$56:$B$165,$H147)*(1-Flare!$D$18)</f>
        <v>0</v>
      </c>
      <c r="K147" s="8"/>
      <c r="L147" s="8"/>
      <c r="M147" s="8"/>
      <c r="N147" s="8"/>
      <c r="O147" s="8"/>
      <c r="P147" s="8"/>
      <c r="Q147" s="307" t="str">
        <f t="shared" si="69"/>
        <v>AAA</v>
      </c>
      <c r="R147" s="8">
        <f>IF($Q$144="",0,VLOOKUP($Q146,Products!$A$59:$E$158,5,FALSE))</f>
        <v>0</v>
      </c>
      <c r="S147" s="322">
        <f>IF($R147=0,0,S$144*VLOOKUP($Q146,Products!$A$59:$H$158,8,FALSE))</f>
        <v>0</v>
      </c>
      <c r="T147" s="322">
        <f>IF($R147=0,0,T$144*VLOOKUP($Q146,Products!$A$59:$H$158,8,FALSE))</f>
        <v>0</v>
      </c>
      <c r="U147" s="8">
        <f>IF(OR(V147=0,ISNUMBER(MATCH(V147,$V$55:V146,0))),0,MAX($U$55:U146)+1)</f>
        <v>0</v>
      </c>
      <c r="V147" s="8">
        <f t="shared" si="52"/>
        <v>0</v>
      </c>
      <c r="W147" s="8">
        <f t="shared" si="59"/>
        <v>0</v>
      </c>
      <c r="X147" s="8">
        <f>SUMIFS($S$56:$S$165,$R$56:$R$165,$W147)*(1-VCU!$D$23)</f>
        <v>0</v>
      </c>
      <c r="Y147" s="8">
        <f>SUMIFS($T$56:$T$165,$R$56:$R$165,$W147)*(1-VCU!$D$23)</f>
        <v>0</v>
      </c>
      <c r="Z147" s="8"/>
      <c r="AA147" s="8"/>
      <c r="AB147" s="8"/>
      <c r="AC147" s="8"/>
      <c r="AD147" s="8"/>
      <c r="AE147" s="8"/>
      <c r="AF147" s="8"/>
      <c r="AG147" s="307" t="str">
        <f t="shared" si="70"/>
        <v>AAA</v>
      </c>
      <c r="AH147" s="8">
        <f>IF($AG$144="",0,VLOOKUP($AG146,Products!$A$59:$E$158,5,FALSE))</f>
        <v>0</v>
      </c>
      <c r="AI147" s="322">
        <f>IF($AH147=0,0,AI$144*VLOOKUP($AG146,Products!$A$59:$H$158,8,FALSE))</f>
        <v>0</v>
      </c>
      <c r="AJ147" s="322">
        <f>IF($AH147=0,0,AJ$144*VLOOKUP($AG146,Products!$A$59:$H$158,8,FALSE))</f>
        <v>0</v>
      </c>
      <c r="AK147" s="8">
        <f>IF(OR(AL147=0,ISNUMBER(MATCH(AL147,$AL$55:AL146,0))),0,MAX($AK$55:AK146)+1)</f>
        <v>0</v>
      </c>
      <c r="AL147" s="8">
        <f t="shared" si="53"/>
        <v>0</v>
      </c>
      <c r="AM147" s="8">
        <f t="shared" si="54"/>
        <v>0</v>
      </c>
      <c r="AN147" s="8">
        <f>SUMIFS($AI$56:$AI$165,$AH$56:$AH$165,$AM147)*(1-VaporOxidizer!$D$23)</f>
        <v>0</v>
      </c>
      <c r="AO147" s="8">
        <f>SUMIFS($AJ$56:$AJ$165,$AH$56:$AH$165,$AM147)*(1-VaporOxidizer!$D$23)</f>
        <v>0</v>
      </c>
      <c r="AP147" s="8"/>
      <c r="AQ147" s="8"/>
      <c r="AR147" s="8"/>
      <c r="AS147" s="8"/>
      <c r="AT147" s="8"/>
      <c r="AU147" s="8"/>
      <c r="AV147" s="8"/>
      <c r="AW147" s="307" t="str">
        <f t="shared" si="71"/>
        <v>AAA</v>
      </c>
      <c r="AX147" s="8">
        <f>IF($AW$144="",0,VLOOKUP($AW146,Products!$A$59:$E$158,5,FALSE))</f>
        <v>0</v>
      </c>
      <c r="AY147" s="322">
        <f>IF($AX147=0,0,AY$144*VLOOKUP($AW146,Products!$A$59:$H$158,8,FALSE))</f>
        <v>0</v>
      </c>
      <c r="AZ147" s="323">
        <f>IF($AX147=0,0,AZ$144*VLOOKUP($AW146,Products!$A$59:$H$158,8,FALSE))</f>
        <v>0</v>
      </c>
      <c r="BA147" s="8">
        <f>IF(OR(BB147=0,ISNUMBER(MATCH(BB147,$BB$55:BB146,0))),0,MAX($BA$55:BA146)+1)</f>
        <v>0</v>
      </c>
      <c r="BB147" s="8">
        <f t="shared" si="55"/>
        <v>0</v>
      </c>
      <c r="BC147" s="8">
        <f t="shared" si="56"/>
        <v>0</v>
      </c>
      <c r="BD147" s="8">
        <f>IF(OR($BC147="7783-06-4",$BC147="7446-09-5",$BC147="7664-93-9"),SUMIFS($AY$56:$AY$165,$AX$56:$AX$165,$BC147),SUMIFS($AY$56:$AY$165,$AX$56:$AX$165,$BC147)*(CAS!$D$19/1000000))</f>
        <v>0</v>
      </c>
      <c r="BE147" s="8">
        <f>IF(OR($BC147="7783-06-4",$BC147="7446-09-5",$BC147="7664-93-9"),SUMIFS($AZ$56:$AZ$165,$AX$56:$AX$165,$BC147),SUMIFS($AZ$56:$AZ$165,$AX$56:$AX$165,$BC147)*(CAS!$D$19/1000000))</f>
        <v>0</v>
      </c>
      <c r="BL147" s="90"/>
    </row>
    <row r="148" spans="1:64" x14ac:dyDescent="0.2">
      <c r="A148" s="307" t="str">
        <f t="shared" si="68"/>
        <v>AAAA</v>
      </c>
      <c r="B148" s="8">
        <f>IF($A$144="",0,VLOOKUP($A147,Products!$A$59:$E$158,5,FALSE))</f>
        <v>0</v>
      </c>
      <c r="C148" s="322">
        <f>IF($B148=0,0,C$144*VLOOKUP($A147,Products!$A$59:$H$158,8,FALSE))</f>
        <v>0</v>
      </c>
      <c r="D148" s="323">
        <f>IF($B148=0,0,D$144*VLOOKUP($A147,Products!$A$59:$H$158,8,FALSE))</f>
        <v>0</v>
      </c>
      <c r="E148" s="8"/>
      <c r="F148" s="8">
        <f>IF(OR(G148=0,ISNUMBER(MATCH(G148,$G$55:G147,0))),0,MAX($F$55:F147)+1)</f>
        <v>0</v>
      </c>
      <c r="G148" s="8">
        <f t="shared" si="50"/>
        <v>0</v>
      </c>
      <c r="H148" s="8">
        <f t="shared" si="51"/>
        <v>0</v>
      </c>
      <c r="I148" s="8">
        <f>SUMIFS($C$56:$C$165,$B$56:$B$165,$H148)*(1-Flare!$D$18)</f>
        <v>0</v>
      </c>
      <c r="J148" s="8">
        <f>SUMIFS($D$56:$D$165,$B$56:$B$165,$H148)*(1-Flare!$D$18)</f>
        <v>0</v>
      </c>
      <c r="K148" s="8"/>
      <c r="L148" s="8"/>
      <c r="M148" s="8"/>
      <c r="N148" s="8"/>
      <c r="O148" s="8"/>
      <c r="P148" s="8"/>
      <c r="Q148" s="307" t="str">
        <f t="shared" si="69"/>
        <v>AAAA</v>
      </c>
      <c r="R148" s="8">
        <f>IF($Q$144="",0,VLOOKUP($Q147,Products!$A$59:$E$158,5,FALSE))</f>
        <v>0</v>
      </c>
      <c r="S148" s="322">
        <f>IF($R148=0,0,S$144*VLOOKUP($Q147,Products!$A$59:$H$158,8,FALSE))</f>
        <v>0</v>
      </c>
      <c r="T148" s="322">
        <f>IF($R148=0,0,T$144*VLOOKUP($Q147,Products!$A$59:$H$158,8,FALSE))</f>
        <v>0</v>
      </c>
      <c r="U148" s="8">
        <f>IF(OR(V148=0,ISNUMBER(MATCH(V148,$V$55:V147,0))),0,MAX($U$55:U147)+1)</f>
        <v>0</v>
      </c>
      <c r="V148" s="8">
        <f t="shared" si="52"/>
        <v>0</v>
      </c>
      <c r="W148" s="8">
        <f t="shared" si="59"/>
        <v>0</v>
      </c>
      <c r="X148" s="8">
        <f>SUMIFS($S$56:$S$165,$R$56:$R$165,$W148)*(1-VCU!$D$23)</f>
        <v>0</v>
      </c>
      <c r="Y148" s="8">
        <f>SUMIFS($T$56:$T$165,$R$56:$R$165,$W148)*(1-VCU!$D$23)</f>
        <v>0</v>
      </c>
      <c r="Z148" s="8"/>
      <c r="AA148" s="8"/>
      <c r="AB148" s="8"/>
      <c r="AC148" s="8"/>
      <c r="AD148" s="8"/>
      <c r="AE148" s="8"/>
      <c r="AF148" s="8"/>
      <c r="AG148" s="307" t="str">
        <f t="shared" si="70"/>
        <v>AAAA</v>
      </c>
      <c r="AH148" s="8">
        <f>IF($AG$144="",0,VLOOKUP($AG147,Products!$A$59:$E$158,5,FALSE))</f>
        <v>0</v>
      </c>
      <c r="AI148" s="322">
        <f>IF($AH148=0,0,AI$144*VLOOKUP($AG147,Products!$A$59:$H$158,8,FALSE))</f>
        <v>0</v>
      </c>
      <c r="AJ148" s="322">
        <f>IF($AH148=0,0,AJ$144*VLOOKUP($AG147,Products!$A$59:$H$158,8,FALSE))</f>
        <v>0</v>
      </c>
      <c r="AK148" s="8">
        <f>IF(OR(AL148=0,ISNUMBER(MATCH(AL148,$AL$55:AL147,0))),0,MAX($AK$55:AK147)+1)</f>
        <v>0</v>
      </c>
      <c r="AL148" s="8">
        <f t="shared" si="53"/>
        <v>0</v>
      </c>
      <c r="AM148" s="8">
        <f t="shared" si="54"/>
        <v>0</v>
      </c>
      <c r="AN148" s="8">
        <f>SUMIFS($AI$56:$AI$165,$AH$56:$AH$165,$AM148)*(1-VaporOxidizer!$D$23)</f>
        <v>0</v>
      </c>
      <c r="AO148" s="8">
        <f>SUMIFS($AJ$56:$AJ$165,$AH$56:$AH$165,$AM148)*(1-VaporOxidizer!$D$23)</f>
        <v>0</v>
      </c>
      <c r="AP148" s="8"/>
      <c r="AQ148" s="8"/>
      <c r="AR148" s="8"/>
      <c r="AS148" s="8"/>
      <c r="AT148" s="8"/>
      <c r="AU148" s="8"/>
      <c r="AV148" s="8"/>
      <c r="AW148" s="307" t="str">
        <f t="shared" si="71"/>
        <v>AAAA</v>
      </c>
      <c r="AX148" s="8">
        <f>IF($AW$144="",0,VLOOKUP($AW147,Products!$A$59:$E$158,5,FALSE))</f>
        <v>0</v>
      </c>
      <c r="AY148" s="322">
        <f>IF($AX148=0,0,AY$144*VLOOKUP($AW147,Products!$A$59:$H$158,8,FALSE))</f>
        <v>0</v>
      </c>
      <c r="AZ148" s="323">
        <f>IF($AX148=0,0,AZ$144*VLOOKUP($AW147,Products!$A$59:$H$158,8,FALSE))</f>
        <v>0</v>
      </c>
      <c r="BA148" s="8">
        <f>IF(OR(BB148=0,ISNUMBER(MATCH(BB148,$BB$55:BB147,0))),0,MAX($BA$55:BA147)+1)</f>
        <v>0</v>
      </c>
      <c r="BB148" s="8">
        <f t="shared" si="55"/>
        <v>0</v>
      </c>
      <c r="BC148" s="8">
        <f t="shared" si="56"/>
        <v>0</v>
      </c>
      <c r="BD148" s="8">
        <f>IF(OR($BC148="7783-06-4",$BC148="7446-09-5",$BC148="7664-93-9"),SUMIFS($AY$56:$AY$165,$AX$56:$AX$165,$BC148),SUMIFS($AY$56:$AY$165,$AX$56:$AX$165,$BC148)*(CAS!$D$19/1000000))</f>
        <v>0</v>
      </c>
      <c r="BE148" s="8">
        <f>IF(OR($BC148="7783-06-4",$BC148="7446-09-5",$BC148="7664-93-9"),SUMIFS($AZ$56:$AZ$165,$AX$56:$AX$165,$BC148),SUMIFS($AZ$56:$AZ$165,$AX$56:$AX$165,$BC148)*(CAS!$D$19/1000000))</f>
        <v>0</v>
      </c>
      <c r="BL148" s="90"/>
    </row>
    <row r="149" spans="1:64" x14ac:dyDescent="0.2">
      <c r="A149" s="307" t="str">
        <f t="shared" si="68"/>
        <v>AAAAA</v>
      </c>
      <c r="B149" s="8">
        <f>IF($A$144="",0,VLOOKUP($A148,Products!$A$59:$E$158,5,FALSE))</f>
        <v>0</v>
      </c>
      <c r="C149" s="322">
        <f>IF($B149=0,0,C$144*VLOOKUP($A148,Products!$A$59:$H$158,8,FALSE))</f>
        <v>0</v>
      </c>
      <c r="D149" s="323">
        <f>IF($B149=0,0,D$144*VLOOKUP($A148,Products!$A$59:$H$158,8,FALSE))</f>
        <v>0</v>
      </c>
      <c r="E149" s="8"/>
      <c r="F149" s="8">
        <f>IF(OR(G149=0,ISNUMBER(MATCH(G149,$G$55:G148,0))),0,MAX($F$55:F148)+1)</f>
        <v>0</v>
      </c>
      <c r="G149" s="8">
        <f t="shared" si="50"/>
        <v>0</v>
      </c>
      <c r="H149" s="8">
        <f t="shared" si="51"/>
        <v>0</v>
      </c>
      <c r="I149" s="8">
        <f>SUMIFS($C$56:$C$165,$B$56:$B$165,$H149)*(1-Flare!$D$18)</f>
        <v>0</v>
      </c>
      <c r="J149" s="8">
        <f>SUMIFS($D$56:$D$165,$B$56:$B$165,$H149)*(1-Flare!$D$18)</f>
        <v>0</v>
      </c>
      <c r="K149" s="8"/>
      <c r="L149" s="8"/>
      <c r="M149" s="8"/>
      <c r="N149" s="8"/>
      <c r="O149" s="8"/>
      <c r="P149" s="8"/>
      <c r="Q149" s="307" t="str">
        <f t="shared" si="69"/>
        <v>AAAAA</v>
      </c>
      <c r="R149" s="8">
        <f>IF($Q$144="",0,VLOOKUP($Q148,Products!$A$59:$E$158,5,FALSE))</f>
        <v>0</v>
      </c>
      <c r="S149" s="322">
        <f>IF($R149=0,0,S$144*VLOOKUP($Q148,Products!$A$59:$H$158,8,FALSE))</f>
        <v>0</v>
      </c>
      <c r="T149" s="322">
        <f>IF($R149=0,0,T$144*VLOOKUP($Q148,Products!$A$59:$H$158,8,FALSE))</f>
        <v>0</v>
      </c>
      <c r="U149" s="8">
        <f>IF(OR(V149=0,ISNUMBER(MATCH(V149,$V$55:V148,0))),0,MAX($U$55:U148)+1)</f>
        <v>0</v>
      </c>
      <c r="V149" s="8">
        <f t="shared" si="52"/>
        <v>0</v>
      </c>
      <c r="W149" s="8">
        <f t="shared" si="59"/>
        <v>0</v>
      </c>
      <c r="X149" s="8">
        <f>SUMIFS($S$56:$S$165,$R$56:$R$165,$W149)*(1-VCU!$D$23)</f>
        <v>0</v>
      </c>
      <c r="Y149" s="8">
        <f>SUMIFS($T$56:$T$165,$R$56:$R$165,$W149)*(1-VCU!$D$23)</f>
        <v>0</v>
      </c>
      <c r="Z149" s="8"/>
      <c r="AA149" s="8"/>
      <c r="AB149" s="8"/>
      <c r="AC149" s="8"/>
      <c r="AD149" s="8"/>
      <c r="AE149" s="8"/>
      <c r="AF149" s="8"/>
      <c r="AG149" s="307" t="str">
        <f t="shared" si="70"/>
        <v>AAAAA</v>
      </c>
      <c r="AH149" s="8">
        <f>IF($AG$144="",0,VLOOKUP($AG148,Products!$A$59:$E$158,5,FALSE))</f>
        <v>0</v>
      </c>
      <c r="AI149" s="322">
        <f>IF($AH149=0,0,AI$144*VLOOKUP($AG148,Products!$A$59:$H$158,8,FALSE))</f>
        <v>0</v>
      </c>
      <c r="AJ149" s="322">
        <f>IF($AH149=0,0,AJ$144*VLOOKUP($AG148,Products!$A$59:$H$158,8,FALSE))</f>
        <v>0</v>
      </c>
      <c r="AK149" s="8">
        <f>IF(OR(AL149=0,ISNUMBER(MATCH(AL149,$AL$55:AL148,0))),0,MAX($AK$55:AK148)+1)</f>
        <v>0</v>
      </c>
      <c r="AL149" s="8">
        <f t="shared" si="53"/>
        <v>0</v>
      </c>
      <c r="AM149" s="8">
        <f t="shared" si="54"/>
        <v>0</v>
      </c>
      <c r="AN149" s="8">
        <f>SUMIFS($AI$56:$AI$165,$AH$56:$AH$165,$AM149)*(1-VaporOxidizer!$D$23)</f>
        <v>0</v>
      </c>
      <c r="AO149" s="8">
        <f>SUMIFS($AJ$56:$AJ$165,$AH$56:$AH$165,$AM149)*(1-VaporOxidizer!$D$23)</f>
        <v>0</v>
      </c>
      <c r="AP149" s="8"/>
      <c r="AQ149" s="8"/>
      <c r="AR149" s="8"/>
      <c r="AS149" s="8"/>
      <c r="AT149" s="8"/>
      <c r="AU149" s="8"/>
      <c r="AV149" s="8"/>
      <c r="AW149" s="307" t="str">
        <f t="shared" si="71"/>
        <v>AAAAA</v>
      </c>
      <c r="AX149" s="8">
        <f>IF($AW$144="",0,VLOOKUP($AW148,Products!$A$59:$E$158,5,FALSE))</f>
        <v>0</v>
      </c>
      <c r="AY149" s="322">
        <f>IF($AX149=0,0,AY$144*VLOOKUP($AW148,Products!$A$59:$H$158,8,FALSE))</f>
        <v>0</v>
      </c>
      <c r="AZ149" s="323">
        <f>IF($AX149=0,0,AZ$144*VLOOKUP($AW148,Products!$A$59:$H$158,8,FALSE))</f>
        <v>0</v>
      </c>
      <c r="BA149" s="8">
        <f>IF(OR(BB149=0,ISNUMBER(MATCH(BB149,$BB$55:BB148,0))),0,MAX($BA$55:BA148)+1)</f>
        <v>0</v>
      </c>
      <c r="BB149" s="8">
        <f t="shared" si="55"/>
        <v>0</v>
      </c>
      <c r="BC149" s="8">
        <f t="shared" si="56"/>
        <v>0</v>
      </c>
      <c r="BD149" s="8">
        <f>IF(OR($BC149="7783-06-4",$BC149="7446-09-5",$BC149="7664-93-9"),SUMIFS($AY$56:$AY$165,$AX$56:$AX$165,$BC149),SUMIFS($AY$56:$AY$165,$AX$56:$AX$165,$BC149)*(CAS!$D$19/1000000))</f>
        <v>0</v>
      </c>
      <c r="BE149" s="8">
        <f>IF(OR($BC149="7783-06-4",$BC149="7446-09-5",$BC149="7664-93-9"),SUMIFS($AZ$56:$AZ$165,$AX$56:$AX$165,$BC149),SUMIFS($AZ$56:$AZ$165,$AX$56:$AX$165,$BC149)*(CAS!$D$19/1000000))</f>
        <v>0</v>
      </c>
      <c r="BL149" s="90"/>
    </row>
    <row r="150" spans="1:64" x14ac:dyDescent="0.2">
      <c r="A150" s="307" t="str">
        <f t="shared" si="68"/>
        <v>AAAAAA</v>
      </c>
      <c r="B150" s="8">
        <f>IF($A$144="",0,VLOOKUP($A149,Products!$A$59:$E$158,5,FALSE))</f>
        <v>0</v>
      </c>
      <c r="C150" s="322">
        <f>IF($B150=0,0,C$144*VLOOKUP($A149,Products!$A$59:$H$158,8,FALSE))</f>
        <v>0</v>
      </c>
      <c r="D150" s="323">
        <f>IF($B150=0,0,D$144*VLOOKUP($A149,Products!$A$59:$H$158,8,FALSE))</f>
        <v>0</v>
      </c>
      <c r="E150" s="8"/>
      <c r="F150" s="8">
        <f>IF(OR(G150=0,ISNUMBER(MATCH(G150,$G$55:G149,0))),0,MAX($F$55:F149)+1)</f>
        <v>0</v>
      </c>
      <c r="G150" s="8">
        <f t="shared" si="50"/>
        <v>0</v>
      </c>
      <c r="H150" s="8">
        <f t="shared" si="51"/>
        <v>0</v>
      </c>
      <c r="I150" s="8">
        <f>SUMIFS($C$56:$C$165,$B$56:$B$165,$H150)*(1-Flare!$D$18)</f>
        <v>0</v>
      </c>
      <c r="J150" s="8">
        <f>SUMIFS($D$56:$D$165,$B$56:$B$165,$H150)*(1-Flare!$D$18)</f>
        <v>0</v>
      </c>
      <c r="K150" s="8"/>
      <c r="L150" s="8"/>
      <c r="M150" s="8"/>
      <c r="N150" s="8"/>
      <c r="O150" s="8"/>
      <c r="P150" s="8"/>
      <c r="Q150" s="307" t="str">
        <f t="shared" si="69"/>
        <v>AAAAAA</v>
      </c>
      <c r="R150" s="8">
        <f>IF($Q$144="",0,VLOOKUP($Q149,Products!$A$59:$E$158,5,FALSE))</f>
        <v>0</v>
      </c>
      <c r="S150" s="322">
        <f>IF($R150=0,0,S$144*VLOOKUP($Q149,Products!$A$59:$H$158,8,FALSE))</f>
        <v>0</v>
      </c>
      <c r="T150" s="322">
        <f>IF($R150=0,0,T$144*VLOOKUP($Q149,Products!$A$59:$H$158,8,FALSE))</f>
        <v>0</v>
      </c>
      <c r="U150" s="8">
        <f>IF(OR(V150=0,ISNUMBER(MATCH(V150,$V$55:V149,0))),0,MAX($U$55:U149)+1)</f>
        <v>0</v>
      </c>
      <c r="V150" s="8">
        <f t="shared" si="52"/>
        <v>0</v>
      </c>
      <c r="W150" s="8">
        <f t="shared" si="59"/>
        <v>0</v>
      </c>
      <c r="X150" s="8">
        <f>SUMIFS($S$56:$S$165,$R$56:$R$165,$W150)*(1-VCU!$D$23)</f>
        <v>0</v>
      </c>
      <c r="Y150" s="8">
        <f>SUMIFS($T$56:$T$165,$R$56:$R$165,$W150)*(1-VCU!$D$23)</f>
        <v>0</v>
      </c>
      <c r="Z150" s="8"/>
      <c r="AA150" s="8"/>
      <c r="AB150" s="8"/>
      <c r="AC150" s="8"/>
      <c r="AD150" s="8"/>
      <c r="AE150" s="8"/>
      <c r="AF150" s="8"/>
      <c r="AG150" s="307" t="str">
        <f t="shared" si="70"/>
        <v>AAAAAA</v>
      </c>
      <c r="AH150" s="8">
        <f>IF($AG$144="",0,VLOOKUP($AG149,Products!$A$59:$E$158,5,FALSE))</f>
        <v>0</v>
      </c>
      <c r="AI150" s="322">
        <f>IF($AH150=0,0,AI$144*VLOOKUP($AG149,Products!$A$59:$H$158,8,FALSE))</f>
        <v>0</v>
      </c>
      <c r="AJ150" s="322">
        <f>IF($AH150=0,0,AJ$144*VLOOKUP($AG149,Products!$A$59:$H$158,8,FALSE))</f>
        <v>0</v>
      </c>
      <c r="AK150" s="8">
        <f>IF(OR(AL150=0,ISNUMBER(MATCH(AL150,$AL$55:AL149,0))),0,MAX($AK$55:AK149)+1)</f>
        <v>0</v>
      </c>
      <c r="AL150" s="8">
        <f t="shared" si="53"/>
        <v>0</v>
      </c>
      <c r="AM150" s="8">
        <f t="shared" si="54"/>
        <v>0</v>
      </c>
      <c r="AN150" s="8">
        <f>SUMIFS($AI$56:$AI$165,$AH$56:$AH$165,$AM150)*(1-VaporOxidizer!$D$23)</f>
        <v>0</v>
      </c>
      <c r="AO150" s="8">
        <f>SUMIFS($AJ$56:$AJ$165,$AH$56:$AH$165,$AM150)*(1-VaporOxidizer!$D$23)</f>
        <v>0</v>
      </c>
      <c r="AP150" s="8"/>
      <c r="AQ150" s="8"/>
      <c r="AR150" s="8"/>
      <c r="AS150" s="8"/>
      <c r="AT150" s="8"/>
      <c r="AU150" s="8"/>
      <c r="AV150" s="8"/>
      <c r="AW150" s="307" t="str">
        <f t="shared" si="71"/>
        <v>AAAAAA</v>
      </c>
      <c r="AX150" s="8">
        <f>IF($AW$144="",0,VLOOKUP($AW149,Products!$A$59:$E$158,5,FALSE))</f>
        <v>0</v>
      </c>
      <c r="AY150" s="322">
        <f>IF($AX150=0,0,AY$144*VLOOKUP($AW149,Products!$A$59:$H$158,8,FALSE))</f>
        <v>0</v>
      </c>
      <c r="AZ150" s="323">
        <f>IF($AX150=0,0,AZ$144*VLOOKUP($AW149,Products!$A$59:$H$158,8,FALSE))</f>
        <v>0</v>
      </c>
      <c r="BA150" s="8">
        <f>IF(OR(BB150=0,ISNUMBER(MATCH(BB150,$BB$55:BB149,0))),0,MAX($BA$55:BA149)+1)</f>
        <v>0</v>
      </c>
      <c r="BB150" s="8">
        <f t="shared" si="55"/>
        <v>0</v>
      </c>
      <c r="BC150" s="8">
        <f t="shared" si="56"/>
        <v>0</v>
      </c>
      <c r="BD150" s="8">
        <f>IF(OR($BC150="7783-06-4",$BC150="7446-09-5",$BC150="7664-93-9"),SUMIFS($AY$56:$AY$165,$AX$56:$AX$165,$BC150),SUMIFS($AY$56:$AY$165,$AX$56:$AX$165,$BC150)*(CAS!$D$19/1000000))</f>
        <v>0</v>
      </c>
      <c r="BE150" s="8">
        <f>IF(OR($BC150="7783-06-4",$BC150="7446-09-5",$BC150="7664-93-9"),SUMIFS($AZ$56:$AZ$165,$AX$56:$AX$165,$BC150),SUMIFS($AZ$56:$AZ$165,$AX$56:$AX$165,$BC150)*(CAS!$D$19/1000000))</f>
        <v>0</v>
      </c>
      <c r="BL150" s="90"/>
    </row>
    <row r="151" spans="1:64" x14ac:dyDescent="0.2">
      <c r="A151" s="307" t="str">
        <f t="shared" si="68"/>
        <v>AAAAAAA</v>
      </c>
      <c r="B151" s="8">
        <f>IF($A$144="",0,VLOOKUP($A150,Products!$A$59:$E$158,5,FALSE))</f>
        <v>0</v>
      </c>
      <c r="C151" s="322">
        <f>IF($B151=0,0,C$144*VLOOKUP($A150,Products!$A$59:$H$158,8,FALSE))</f>
        <v>0</v>
      </c>
      <c r="D151" s="323">
        <f>IF($B151=0,0,D$144*VLOOKUP($A150,Products!$A$59:$H$158,8,FALSE))</f>
        <v>0</v>
      </c>
      <c r="E151" s="8"/>
      <c r="F151" s="8">
        <f>IF(OR(G151=0,ISNUMBER(MATCH(G151,$G$55:G150,0))),0,MAX($F$55:F150)+1)</f>
        <v>0</v>
      </c>
      <c r="G151" s="8">
        <f t="shared" si="50"/>
        <v>0</v>
      </c>
      <c r="H151" s="8">
        <f t="shared" si="51"/>
        <v>0</v>
      </c>
      <c r="I151" s="8">
        <f>SUMIFS($C$56:$C$165,$B$56:$B$165,$H151)*(1-Flare!$D$18)</f>
        <v>0</v>
      </c>
      <c r="J151" s="8">
        <f>SUMIFS($D$56:$D$165,$B$56:$B$165,$H151)*(1-Flare!$D$18)</f>
        <v>0</v>
      </c>
      <c r="K151" s="8"/>
      <c r="L151" s="8"/>
      <c r="M151" s="8"/>
      <c r="N151" s="8"/>
      <c r="O151" s="8"/>
      <c r="P151" s="8"/>
      <c r="Q151" s="307" t="str">
        <f t="shared" si="69"/>
        <v>AAAAAAA</v>
      </c>
      <c r="R151" s="8">
        <f>IF($Q$144="",0,VLOOKUP($Q150,Products!$A$59:$E$158,5,FALSE))</f>
        <v>0</v>
      </c>
      <c r="S151" s="322">
        <f>IF($R151=0,0,S$144*VLOOKUP($Q150,Products!$A$59:$H$158,8,FALSE))</f>
        <v>0</v>
      </c>
      <c r="T151" s="322">
        <f>IF($R151=0,0,T$144*VLOOKUP($Q150,Products!$A$59:$H$158,8,FALSE))</f>
        <v>0</v>
      </c>
      <c r="U151" s="8">
        <f>IF(OR(V151=0,ISNUMBER(MATCH(V151,$V$55:V150,0))),0,MAX($U$55:U150)+1)</f>
        <v>0</v>
      </c>
      <c r="V151" s="8">
        <f t="shared" si="52"/>
        <v>0</v>
      </c>
      <c r="W151" s="8">
        <f t="shared" si="59"/>
        <v>0</v>
      </c>
      <c r="X151" s="8">
        <f>SUMIFS($S$56:$S$165,$R$56:$R$165,$W151)*(1-VCU!$D$23)</f>
        <v>0</v>
      </c>
      <c r="Y151" s="8">
        <f>SUMIFS($T$56:$T$165,$R$56:$R$165,$W151)*(1-VCU!$D$23)</f>
        <v>0</v>
      </c>
      <c r="Z151" s="8"/>
      <c r="AA151" s="8"/>
      <c r="AB151" s="8"/>
      <c r="AC151" s="8"/>
      <c r="AD151" s="8"/>
      <c r="AE151" s="8"/>
      <c r="AF151" s="8"/>
      <c r="AG151" s="307" t="str">
        <f t="shared" si="70"/>
        <v>AAAAAAA</v>
      </c>
      <c r="AH151" s="8">
        <f>IF($AG$144="",0,VLOOKUP($AG150,Products!$A$59:$E$158,5,FALSE))</f>
        <v>0</v>
      </c>
      <c r="AI151" s="322">
        <f>IF($AH151=0,0,AI$144*VLOOKUP($AG150,Products!$A$59:$H$158,8,FALSE))</f>
        <v>0</v>
      </c>
      <c r="AJ151" s="322">
        <f>IF($AH151=0,0,AJ$144*VLOOKUP($AG150,Products!$A$59:$H$158,8,FALSE))</f>
        <v>0</v>
      </c>
      <c r="AK151" s="8">
        <f>IF(OR(AL151=0,ISNUMBER(MATCH(AL151,$AL$55:AL150,0))),0,MAX($AK$55:AK150)+1)</f>
        <v>0</v>
      </c>
      <c r="AL151" s="8">
        <f t="shared" si="53"/>
        <v>0</v>
      </c>
      <c r="AM151" s="8">
        <f t="shared" si="54"/>
        <v>0</v>
      </c>
      <c r="AN151" s="8">
        <f>SUMIFS($AI$56:$AI$165,$AH$56:$AH$165,$AM151)*(1-VaporOxidizer!$D$23)</f>
        <v>0</v>
      </c>
      <c r="AO151" s="8">
        <f>SUMIFS($AJ$56:$AJ$165,$AH$56:$AH$165,$AM151)*(1-VaporOxidizer!$D$23)</f>
        <v>0</v>
      </c>
      <c r="AP151" s="8"/>
      <c r="AQ151" s="8"/>
      <c r="AR151" s="8"/>
      <c r="AS151" s="8"/>
      <c r="AT151" s="8"/>
      <c r="AU151" s="8"/>
      <c r="AV151" s="8"/>
      <c r="AW151" s="307" t="str">
        <f t="shared" si="71"/>
        <v>AAAAAAA</v>
      </c>
      <c r="AX151" s="8">
        <f>IF($AW$144="",0,VLOOKUP($AW150,Products!$A$59:$E$158,5,FALSE))</f>
        <v>0</v>
      </c>
      <c r="AY151" s="322">
        <f>IF($AX151=0,0,AY$144*VLOOKUP($AW150,Products!$A$59:$H$158,8,FALSE))</f>
        <v>0</v>
      </c>
      <c r="AZ151" s="323">
        <f>IF($AX151=0,0,AZ$144*VLOOKUP($AW150,Products!$A$59:$H$158,8,FALSE))</f>
        <v>0</v>
      </c>
      <c r="BA151" s="8">
        <f>IF(OR(BB151=0,ISNUMBER(MATCH(BB151,$BB$55:BB150,0))),0,MAX($BA$55:BA150)+1)</f>
        <v>0</v>
      </c>
      <c r="BB151" s="8">
        <f t="shared" si="55"/>
        <v>0</v>
      </c>
      <c r="BC151" s="8">
        <f t="shared" si="56"/>
        <v>0</v>
      </c>
      <c r="BD151" s="8">
        <f>IF(OR($BC151="7783-06-4",$BC151="7446-09-5",$BC151="7664-93-9"),SUMIFS($AY$56:$AY$165,$AX$56:$AX$165,$BC151),SUMIFS($AY$56:$AY$165,$AX$56:$AX$165,$BC151)*(CAS!$D$19/1000000))</f>
        <v>0</v>
      </c>
      <c r="BE151" s="8">
        <f>IF(OR($BC151="7783-06-4",$BC151="7446-09-5",$BC151="7664-93-9"),SUMIFS($AZ$56:$AZ$165,$AX$56:$AX$165,$BC151),SUMIFS($AZ$56:$AZ$165,$AX$56:$AX$165,$BC151)*(CAS!$D$19/1000000))</f>
        <v>0</v>
      </c>
      <c r="BL151" s="90"/>
    </row>
    <row r="152" spans="1:64" x14ac:dyDescent="0.2">
      <c r="A152" s="307" t="str">
        <f t="shared" si="68"/>
        <v>AAAAAAAA</v>
      </c>
      <c r="B152" s="8">
        <f>IF($A$144="",0,VLOOKUP($A151,Products!$A$59:$E$158,5,FALSE))</f>
        <v>0</v>
      </c>
      <c r="C152" s="322">
        <f>IF($B152=0,0,C$144*VLOOKUP($A151,Products!$A$59:$H$158,8,FALSE))</f>
        <v>0</v>
      </c>
      <c r="D152" s="323">
        <f>IF($B152=0,0,D$144*VLOOKUP($A151,Products!$A$59:$H$158,8,FALSE))</f>
        <v>0</v>
      </c>
      <c r="E152" s="8"/>
      <c r="F152" s="8">
        <f>IF(OR(G152=0,ISNUMBER(MATCH(G152,$G$55:G151,0))),0,MAX($F$55:F151)+1)</f>
        <v>0</v>
      </c>
      <c r="G152" s="8">
        <f t="shared" si="50"/>
        <v>0</v>
      </c>
      <c r="H152" s="8">
        <f t="shared" si="51"/>
        <v>0</v>
      </c>
      <c r="I152" s="8">
        <f>SUMIFS($C$56:$C$165,$B$56:$B$165,$H152)*(1-Flare!$D$18)</f>
        <v>0</v>
      </c>
      <c r="J152" s="8">
        <f>SUMIFS($D$56:$D$165,$B$56:$B$165,$H152)*(1-Flare!$D$18)</f>
        <v>0</v>
      </c>
      <c r="K152" s="8"/>
      <c r="L152" s="8"/>
      <c r="M152" s="8"/>
      <c r="N152" s="8"/>
      <c r="O152" s="8"/>
      <c r="P152" s="8"/>
      <c r="Q152" s="307" t="str">
        <f t="shared" si="69"/>
        <v>AAAAAAAA</v>
      </c>
      <c r="R152" s="8">
        <f>IF($Q$144="",0,VLOOKUP($Q151,Products!$A$59:$E$158,5,FALSE))</f>
        <v>0</v>
      </c>
      <c r="S152" s="322">
        <f>IF($R152=0,0,S$144*VLOOKUP($Q151,Products!$A$59:$H$158,8,FALSE))</f>
        <v>0</v>
      </c>
      <c r="T152" s="322">
        <f>IF($R152=0,0,T$144*VLOOKUP($Q151,Products!$A$59:$H$158,8,FALSE))</f>
        <v>0</v>
      </c>
      <c r="U152" s="8">
        <f>IF(OR(V152=0,ISNUMBER(MATCH(V152,$V$55:V151,0))),0,MAX($U$55:U151)+1)</f>
        <v>0</v>
      </c>
      <c r="V152" s="8">
        <f t="shared" si="52"/>
        <v>0</v>
      </c>
      <c r="W152" s="8">
        <f t="shared" si="59"/>
        <v>0</v>
      </c>
      <c r="X152" s="8">
        <f>SUMIFS($S$56:$S$165,$R$56:$R$165,$W152)*(1-VCU!$D$23)</f>
        <v>0</v>
      </c>
      <c r="Y152" s="8">
        <f>SUMIFS($T$56:$T$165,$R$56:$R$165,$W152)*(1-VCU!$D$23)</f>
        <v>0</v>
      </c>
      <c r="Z152" s="8"/>
      <c r="AA152" s="8"/>
      <c r="AB152" s="8"/>
      <c r="AC152" s="8"/>
      <c r="AD152" s="8"/>
      <c r="AE152" s="8"/>
      <c r="AF152" s="8"/>
      <c r="AG152" s="307" t="str">
        <f t="shared" si="70"/>
        <v>AAAAAAAA</v>
      </c>
      <c r="AH152" s="8">
        <f>IF($AG$144="",0,VLOOKUP($AG151,Products!$A$59:$E$158,5,FALSE))</f>
        <v>0</v>
      </c>
      <c r="AI152" s="322">
        <f>IF($AH152=0,0,AI$144*VLOOKUP($AG151,Products!$A$59:$H$158,8,FALSE))</f>
        <v>0</v>
      </c>
      <c r="AJ152" s="322">
        <f>IF($AH152=0,0,AJ$144*VLOOKUP($AG151,Products!$A$59:$H$158,8,FALSE))</f>
        <v>0</v>
      </c>
      <c r="AK152" s="8">
        <f>IF(OR(AL152=0,ISNUMBER(MATCH(AL152,$AL$55:AL151,0))),0,MAX($AK$55:AK151)+1)</f>
        <v>0</v>
      </c>
      <c r="AL152" s="8">
        <f t="shared" si="53"/>
        <v>0</v>
      </c>
      <c r="AM152" s="8">
        <f t="shared" si="54"/>
        <v>0</v>
      </c>
      <c r="AN152" s="8">
        <f>SUMIFS($AI$56:$AI$165,$AH$56:$AH$165,$AM152)*(1-VaporOxidizer!$D$23)</f>
        <v>0</v>
      </c>
      <c r="AO152" s="8">
        <f>SUMIFS($AJ$56:$AJ$165,$AH$56:$AH$165,$AM152)*(1-VaporOxidizer!$D$23)</f>
        <v>0</v>
      </c>
      <c r="AP152" s="8"/>
      <c r="AQ152" s="8"/>
      <c r="AR152" s="8"/>
      <c r="AS152" s="8"/>
      <c r="AT152" s="8"/>
      <c r="AU152" s="8"/>
      <c r="AV152" s="8"/>
      <c r="AW152" s="307" t="str">
        <f t="shared" si="71"/>
        <v>AAAAAAAA</v>
      </c>
      <c r="AX152" s="8">
        <f>IF($AW$144="",0,VLOOKUP($AW151,Products!$A$59:$E$158,5,FALSE))</f>
        <v>0</v>
      </c>
      <c r="AY152" s="322">
        <f>IF($AX152=0,0,AY$144*VLOOKUP($AW151,Products!$A$59:$H$158,8,FALSE))</f>
        <v>0</v>
      </c>
      <c r="AZ152" s="323">
        <f>IF($AX152=0,0,AZ$144*VLOOKUP($AW151,Products!$A$59:$H$158,8,FALSE))</f>
        <v>0</v>
      </c>
      <c r="BA152" s="8">
        <f>IF(OR(BB152=0,ISNUMBER(MATCH(BB152,$BB$55:BB151,0))),0,MAX($BA$55:BA151)+1)</f>
        <v>0</v>
      </c>
      <c r="BB152" s="8">
        <f t="shared" si="55"/>
        <v>0</v>
      </c>
      <c r="BC152" s="8">
        <f t="shared" si="56"/>
        <v>0</v>
      </c>
      <c r="BD152" s="8">
        <f>IF(OR($BC152="7783-06-4",$BC152="7446-09-5",$BC152="7664-93-9"),SUMIFS($AY$56:$AY$165,$AX$56:$AX$165,$BC152),SUMIFS($AY$56:$AY$165,$AX$56:$AX$165,$BC152)*(CAS!$D$19/1000000))</f>
        <v>0</v>
      </c>
      <c r="BE152" s="8">
        <f>IF(OR($BC152="7783-06-4",$BC152="7446-09-5",$BC152="7664-93-9"),SUMIFS($AZ$56:$AZ$165,$AX$56:$AX$165,$BC152),SUMIFS($AZ$56:$AZ$165,$AX$56:$AX$165,$BC152)*(CAS!$D$19/1000000))</f>
        <v>0</v>
      </c>
      <c r="BL152" s="90"/>
    </row>
    <row r="153" spans="1:64" x14ac:dyDescent="0.2">
      <c r="A153" s="307" t="str">
        <f t="shared" si="68"/>
        <v>AAAAAAAAA</v>
      </c>
      <c r="B153" s="8">
        <f>IF($A$144="",0,VLOOKUP($A152,Products!$A$59:$E$158,5,FALSE))</f>
        <v>0</v>
      </c>
      <c r="C153" s="322">
        <f>IF($B153=0,0,C$144*VLOOKUP($A152,Products!$A$59:$H$158,8,FALSE))</f>
        <v>0</v>
      </c>
      <c r="D153" s="323">
        <f>IF($B153=0,0,D$144*VLOOKUP($A152,Products!$A$59:$H$158,8,FALSE))</f>
        <v>0</v>
      </c>
      <c r="E153" s="8"/>
      <c r="F153" s="8">
        <f>IF(OR(G153=0,ISNUMBER(MATCH(G153,$G$55:G152,0))),0,MAX($F$55:F152)+1)</f>
        <v>0</v>
      </c>
      <c r="G153" s="8">
        <f t="shared" si="50"/>
        <v>0</v>
      </c>
      <c r="H153" s="8">
        <f t="shared" si="51"/>
        <v>0</v>
      </c>
      <c r="I153" s="8">
        <f>SUMIFS($C$56:$C$165,$B$56:$B$165,$H153)*(1-Flare!$D$18)</f>
        <v>0</v>
      </c>
      <c r="J153" s="8">
        <f>SUMIFS($D$56:$D$165,$B$56:$B$165,$H153)*(1-Flare!$D$18)</f>
        <v>0</v>
      </c>
      <c r="K153" s="8"/>
      <c r="L153" s="8"/>
      <c r="M153" s="8"/>
      <c r="N153" s="8"/>
      <c r="O153" s="8"/>
      <c r="P153" s="8"/>
      <c r="Q153" s="307" t="str">
        <f t="shared" si="69"/>
        <v>AAAAAAAAA</v>
      </c>
      <c r="R153" s="8">
        <f>IF($Q$144="",0,VLOOKUP($Q152,Products!$A$59:$E$158,5,FALSE))</f>
        <v>0</v>
      </c>
      <c r="S153" s="322">
        <f>IF($R153=0,0,S$144*VLOOKUP($Q152,Products!$A$59:$H$158,8,FALSE))</f>
        <v>0</v>
      </c>
      <c r="T153" s="322">
        <f>IF($R153=0,0,T$144*VLOOKUP($Q152,Products!$A$59:$H$158,8,FALSE))</f>
        <v>0</v>
      </c>
      <c r="U153" s="8">
        <f>IF(OR(V153=0,ISNUMBER(MATCH(V153,$V$55:V152,0))),0,MAX($U$55:U152)+1)</f>
        <v>0</v>
      </c>
      <c r="V153" s="8">
        <f t="shared" si="52"/>
        <v>0</v>
      </c>
      <c r="W153" s="8">
        <f t="shared" si="59"/>
        <v>0</v>
      </c>
      <c r="X153" s="8">
        <f>SUMIFS($S$56:$S$165,$R$56:$R$165,$W153)*(1-VCU!$D$23)</f>
        <v>0</v>
      </c>
      <c r="Y153" s="8">
        <f>SUMIFS($T$56:$T$165,$R$56:$R$165,$W153)*(1-VCU!$D$23)</f>
        <v>0</v>
      </c>
      <c r="Z153" s="8"/>
      <c r="AA153" s="8"/>
      <c r="AB153" s="8"/>
      <c r="AC153" s="8"/>
      <c r="AD153" s="8"/>
      <c r="AE153" s="8"/>
      <c r="AF153" s="8"/>
      <c r="AG153" s="307" t="str">
        <f t="shared" si="70"/>
        <v>AAAAAAAAA</v>
      </c>
      <c r="AH153" s="8">
        <f>IF($AG$144="",0,VLOOKUP($AG152,Products!$A$59:$E$158,5,FALSE))</f>
        <v>0</v>
      </c>
      <c r="AI153" s="322">
        <f>IF($AH153=0,0,AI$144*VLOOKUP($AG152,Products!$A$59:$H$158,8,FALSE))</f>
        <v>0</v>
      </c>
      <c r="AJ153" s="322">
        <f>IF($AH153=0,0,AJ$144*VLOOKUP($AG152,Products!$A$59:$H$158,8,FALSE))</f>
        <v>0</v>
      </c>
      <c r="AK153" s="8">
        <f>IF(OR(AL153=0,ISNUMBER(MATCH(AL153,$AL$55:AL152,0))),0,MAX($AK$55:AK152)+1)</f>
        <v>0</v>
      </c>
      <c r="AL153" s="8">
        <f t="shared" si="53"/>
        <v>0</v>
      </c>
      <c r="AM153" s="8">
        <f t="shared" si="54"/>
        <v>0</v>
      </c>
      <c r="AN153" s="8">
        <f>SUMIFS($AI$56:$AI$165,$AH$56:$AH$165,$AM153)*(1-VaporOxidizer!$D$23)</f>
        <v>0</v>
      </c>
      <c r="AO153" s="8">
        <f>SUMIFS($AJ$56:$AJ$165,$AH$56:$AH$165,$AM153)*(1-VaporOxidizer!$D$23)</f>
        <v>0</v>
      </c>
      <c r="AP153" s="8"/>
      <c r="AQ153" s="8"/>
      <c r="AR153" s="8"/>
      <c r="AS153" s="8"/>
      <c r="AT153" s="8"/>
      <c r="AU153" s="8"/>
      <c r="AV153" s="8"/>
      <c r="AW153" s="307" t="str">
        <f t="shared" si="71"/>
        <v>AAAAAAAAA</v>
      </c>
      <c r="AX153" s="8">
        <f>IF($AW$144="",0,VLOOKUP($AW152,Products!$A$59:$E$158,5,FALSE))</f>
        <v>0</v>
      </c>
      <c r="AY153" s="322">
        <f>IF($AX153=0,0,AY$144*VLOOKUP($AW152,Products!$A$59:$H$158,8,FALSE))</f>
        <v>0</v>
      </c>
      <c r="AZ153" s="323">
        <f>IF($AX153=0,0,AZ$144*VLOOKUP($AW152,Products!$A$59:$H$158,8,FALSE))</f>
        <v>0</v>
      </c>
      <c r="BA153" s="8">
        <f>IF(OR(BB153=0,ISNUMBER(MATCH(BB153,$BB$55:BB152,0))),0,MAX($BA$55:BA152)+1)</f>
        <v>0</v>
      </c>
      <c r="BB153" s="8">
        <f t="shared" si="55"/>
        <v>0</v>
      </c>
      <c r="BC153" s="8">
        <f t="shared" si="56"/>
        <v>0</v>
      </c>
      <c r="BD153" s="8">
        <f>IF(OR($BC153="7783-06-4",$BC153="7446-09-5",$BC153="7664-93-9"),SUMIFS($AY$56:$AY$165,$AX$56:$AX$165,$BC153),SUMIFS($AY$56:$AY$165,$AX$56:$AX$165,$BC153)*(CAS!$D$19/1000000))</f>
        <v>0</v>
      </c>
      <c r="BE153" s="8">
        <f>IF(OR($BC153="7783-06-4",$BC153="7446-09-5",$BC153="7664-93-9"),SUMIFS($AZ$56:$AZ$165,$AX$56:$AX$165,$BC153),SUMIFS($AZ$56:$AZ$165,$AX$56:$AX$165,$BC153)*(CAS!$D$19/1000000))</f>
        <v>0</v>
      </c>
      <c r="BL153" s="90"/>
    </row>
    <row r="154" spans="1:64" x14ac:dyDescent="0.2">
      <c r="A154" s="307" t="str">
        <f t="shared" si="68"/>
        <v>AAAAAAAAAA</v>
      </c>
      <c r="B154" s="8">
        <f>IF($A$144="",0,VLOOKUP($A153,Products!$A$59:$E$158,5,FALSE))</f>
        <v>0</v>
      </c>
      <c r="C154" s="322">
        <f>IF($B154=0,0,C$144*VLOOKUP($A153,Products!$A$59:$H$158,8,FALSE))</f>
        <v>0</v>
      </c>
      <c r="D154" s="323">
        <f>IF($B154=0,0,D$144*VLOOKUP($A153,Products!$A$59:$H$158,8,FALSE))</f>
        <v>0</v>
      </c>
      <c r="E154" s="8"/>
      <c r="F154" s="8">
        <f>IF(OR(G154=0,ISNUMBER(MATCH(G154,$G$55:G153,0))),0,MAX($F$55:F153)+1)</f>
        <v>0</v>
      </c>
      <c r="G154" s="8">
        <f t="shared" si="50"/>
        <v>0</v>
      </c>
      <c r="H154" s="8">
        <f t="shared" si="51"/>
        <v>0</v>
      </c>
      <c r="I154" s="8">
        <f>SUMIFS($C$56:$C$165,$B$56:$B$165,$H154)*(1-Flare!$D$18)</f>
        <v>0</v>
      </c>
      <c r="J154" s="8">
        <f>SUMIFS($D$56:$D$165,$B$56:$B$165,$H154)*(1-Flare!$D$18)</f>
        <v>0</v>
      </c>
      <c r="K154" s="8"/>
      <c r="L154" s="8"/>
      <c r="M154" s="8"/>
      <c r="N154" s="8"/>
      <c r="O154" s="8"/>
      <c r="P154" s="8"/>
      <c r="Q154" s="307" t="str">
        <f t="shared" si="69"/>
        <v>AAAAAAAAAA</v>
      </c>
      <c r="R154" s="8">
        <f>IF($Q$144="",0,VLOOKUP($Q153,Products!$A$59:$E$158,5,FALSE))</f>
        <v>0</v>
      </c>
      <c r="S154" s="322">
        <f>IF($R154=0,0,S$144*VLOOKUP($Q153,Products!$A$59:$H$158,8,FALSE))</f>
        <v>0</v>
      </c>
      <c r="T154" s="322">
        <f>IF($R154=0,0,T$144*VLOOKUP($Q153,Products!$A$59:$H$158,8,FALSE))</f>
        <v>0</v>
      </c>
      <c r="U154" s="8">
        <f>IF(OR(V154=0,ISNUMBER(MATCH(V154,$V$55:V153,0))),0,MAX($U$55:U153)+1)</f>
        <v>0</v>
      </c>
      <c r="V154" s="8">
        <f t="shared" si="52"/>
        <v>0</v>
      </c>
      <c r="W154" s="8">
        <f t="shared" si="59"/>
        <v>0</v>
      </c>
      <c r="X154" s="8">
        <f>SUMIFS($S$56:$S$165,$R$56:$R$165,$W154)*(1-VCU!$D$23)</f>
        <v>0</v>
      </c>
      <c r="Y154" s="8">
        <f>SUMIFS($T$56:$T$165,$R$56:$R$165,$W154)*(1-VCU!$D$23)</f>
        <v>0</v>
      </c>
      <c r="Z154" s="8"/>
      <c r="AA154" s="8"/>
      <c r="AB154" s="8"/>
      <c r="AC154" s="8"/>
      <c r="AD154" s="8"/>
      <c r="AE154" s="8"/>
      <c r="AF154" s="8"/>
      <c r="AG154" s="307" t="str">
        <f t="shared" si="70"/>
        <v>AAAAAAAAAA</v>
      </c>
      <c r="AH154" s="8">
        <f>IF($AG$144="",0,VLOOKUP($AG153,Products!$A$59:$E$158,5,FALSE))</f>
        <v>0</v>
      </c>
      <c r="AI154" s="322">
        <f>IF($AH154=0,0,AI$144*VLOOKUP($AG153,Products!$A$59:$H$158,8,FALSE))</f>
        <v>0</v>
      </c>
      <c r="AJ154" s="322">
        <f>IF($AH154=0,0,AJ$144*VLOOKUP($AG153,Products!$A$59:$H$158,8,FALSE))</f>
        <v>0</v>
      </c>
      <c r="AK154" s="8">
        <f>IF(OR(AL154=0,ISNUMBER(MATCH(AL154,$AL$55:AL153,0))),0,MAX($AK$55:AK153)+1)</f>
        <v>0</v>
      </c>
      <c r="AL154" s="8">
        <f t="shared" si="53"/>
        <v>0</v>
      </c>
      <c r="AM154" s="8">
        <f t="shared" si="54"/>
        <v>0</v>
      </c>
      <c r="AN154" s="8">
        <f>SUMIFS($AI$56:$AI$165,$AH$56:$AH$165,$AM154)*(1-VaporOxidizer!$D$23)</f>
        <v>0</v>
      </c>
      <c r="AO154" s="8">
        <f>SUMIFS($AJ$56:$AJ$165,$AH$56:$AH$165,$AM154)*(1-VaporOxidizer!$D$23)</f>
        <v>0</v>
      </c>
      <c r="AP154" s="8"/>
      <c r="AQ154" s="8"/>
      <c r="AR154" s="8"/>
      <c r="AS154" s="8"/>
      <c r="AT154" s="8"/>
      <c r="AU154" s="8"/>
      <c r="AV154" s="8"/>
      <c r="AW154" s="307" t="str">
        <f t="shared" si="71"/>
        <v>AAAAAAAAAA</v>
      </c>
      <c r="AX154" s="8">
        <f>IF($AW$144="",0,VLOOKUP($AW153,Products!$A$59:$E$158,5,FALSE))</f>
        <v>0</v>
      </c>
      <c r="AY154" s="322">
        <f>IF($AX154=0,0,AY$144*VLOOKUP($AW153,Products!$A$59:$H$158,8,FALSE))</f>
        <v>0</v>
      </c>
      <c r="AZ154" s="323">
        <f>IF($AX154=0,0,AZ$144*VLOOKUP($AW153,Products!$A$59:$H$158,8,FALSE))</f>
        <v>0</v>
      </c>
      <c r="BA154" s="8">
        <f>IF(OR(BB154=0,ISNUMBER(MATCH(BB154,$BB$55:BB153,0))),0,MAX($BA$55:BA153)+1)</f>
        <v>0</v>
      </c>
      <c r="BB154" s="8">
        <f t="shared" si="55"/>
        <v>0</v>
      </c>
      <c r="BC154" s="8">
        <f t="shared" si="56"/>
        <v>0</v>
      </c>
      <c r="BD154" s="8">
        <f>IF(OR($BC154="7783-06-4",$BC154="7446-09-5",$BC154="7664-93-9"),SUMIFS($AY$56:$AY$165,$AX$56:$AX$165,$BC154),SUMIFS($AY$56:$AY$165,$AX$56:$AX$165,$BC154)*(CAS!$D$19/1000000))</f>
        <v>0</v>
      </c>
      <c r="BE154" s="8">
        <f>IF(OR($BC154="7783-06-4",$BC154="7446-09-5",$BC154="7664-93-9"),SUMIFS($AZ$56:$AZ$165,$AX$56:$AX$165,$BC154),SUMIFS($AZ$56:$AZ$165,$AX$56:$AX$165,$BC154)*(CAS!$D$19/1000000))</f>
        <v>0</v>
      </c>
      <c r="BL154" s="90"/>
    </row>
    <row r="155" spans="1:64" x14ac:dyDescent="0.2">
      <c r="A155" s="310" t="str">
        <f>$F12</f>
        <v/>
      </c>
      <c r="B155" s="311" t="s">
        <v>291</v>
      </c>
      <c r="C155" s="311">
        <f t="shared" si="57"/>
        <v>0</v>
      </c>
      <c r="D155" s="312">
        <f t="shared" si="58"/>
        <v>0</v>
      </c>
      <c r="E155" s="8"/>
      <c r="F155" s="8">
        <f>IF(OR(G155=0,ISNUMBER(MATCH(G155,$G$55:G154,0))),0,MAX($F$55:F154)+1)</f>
        <v>0</v>
      </c>
      <c r="G155" s="8" t="str">
        <f t="shared" si="50"/>
        <v>Total VOC</v>
      </c>
      <c r="H155" s="8">
        <f t="shared" si="51"/>
        <v>0</v>
      </c>
      <c r="I155" s="8">
        <f>SUMIFS($C$56:$C$165,$B$56:$B$165,$H155)*(1-Flare!$D$18)</f>
        <v>0</v>
      </c>
      <c r="J155" s="8">
        <f>SUMIFS($D$56:$D$165,$B$56:$B$165,$H155)*(1-Flare!$D$18)</f>
        <v>0</v>
      </c>
      <c r="K155" s="8"/>
      <c r="L155" s="8"/>
      <c r="M155" s="8"/>
      <c r="N155" s="8"/>
      <c r="O155" s="8"/>
      <c r="P155" s="8"/>
      <c r="Q155" s="310" t="str">
        <f>$V12</f>
        <v/>
      </c>
      <c r="R155" s="311" t="s">
        <v>291</v>
      </c>
      <c r="S155" s="311">
        <f>VLOOKUP($Q155,$V$3:$X$12,2,FALSE)</f>
        <v>0</v>
      </c>
      <c r="T155" s="312">
        <f>VLOOKUP($Q155,$V$3:$X$12,3,FALSE)</f>
        <v>0</v>
      </c>
      <c r="U155" s="8">
        <f>IF(OR(V155=0,ISNUMBER(MATCH(V155,$V$55:V154,0))),0,MAX($U$55:U154)+1)</f>
        <v>0</v>
      </c>
      <c r="V155" s="8" t="str">
        <f t="shared" si="52"/>
        <v>Total VOC</v>
      </c>
      <c r="W155" s="8">
        <f t="shared" si="59"/>
        <v>0</v>
      </c>
      <c r="X155" s="8">
        <f>SUMIFS($S$56:$S$165,$R$56:$R$165,$W155)*(1-VCU!$D$23)</f>
        <v>0</v>
      </c>
      <c r="Y155" s="8">
        <f>SUMIFS($T$56:$T$165,$R$56:$R$165,$W155)*(1-VCU!$D$23)</f>
        <v>0</v>
      </c>
      <c r="Z155" s="8"/>
      <c r="AA155" s="8"/>
      <c r="AB155" s="8"/>
      <c r="AC155" s="8"/>
      <c r="AD155" s="8"/>
      <c r="AE155" s="8"/>
      <c r="AF155" s="8"/>
      <c r="AG155" s="310" t="str">
        <f>$AL12</f>
        <v/>
      </c>
      <c r="AH155" s="311" t="s">
        <v>291</v>
      </c>
      <c r="AI155" s="311">
        <f>VLOOKUP($AG155,$AL$3:$AN$12,2,FALSE)</f>
        <v>0</v>
      </c>
      <c r="AJ155" s="312">
        <f>VLOOKUP($AG155,$AL$3:$AN$12,3,FALSE)</f>
        <v>0</v>
      </c>
      <c r="AK155" s="8">
        <f>IF(OR(AL155=0,ISNUMBER(MATCH(AL155,$AL$55:AL154,0))),0,MAX($AK$55:AK154)+1)</f>
        <v>0</v>
      </c>
      <c r="AL155" s="8" t="str">
        <f t="shared" si="53"/>
        <v>Total VOC</v>
      </c>
      <c r="AM155" s="8">
        <f t="shared" si="54"/>
        <v>0</v>
      </c>
      <c r="AN155" s="8">
        <f>SUMIFS($AI$56:$AI$165,$AH$56:$AH$165,$AM155)*(1-VaporOxidizer!$D$23)</f>
        <v>0</v>
      </c>
      <c r="AO155" s="8">
        <f>SUMIFS($AJ$56:$AJ$165,$AH$56:$AH$165,$AM155)*(1-VaporOxidizer!$D$23)</f>
        <v>0</v>
      </c>
      <c r="AP155" s="8"/>
      <c r="AQ155" s="8"/>
      <c r="AR155" s="8"/>
      <c r="AS155" s="8"/>
      <c r="AT155" s="8"/>
      <c r="AU155" s="8"/>
      <c r="AV155" s="8"/>
      <c r="AW155" s="310" t="str">
        <f>$BB12</f>
        <v/>
      </c>
      <c r="AX155" s="311" t="s">
        <v>291</v>
      </c>
      <c r="AY155" s="311">
        <f>VLOOKUP($AW155,$BB$3:$BD$12,2,FALSE)</f>
        <v>0</v>
      </c>
      <c r="AZ155" s="312">
        <f>VLOOKUP($AW155,$BB$3:$BD$12,3,FALSE)</f>
        <v>0</v>
      </c>
      <c r="BA155" s="8">
        <f>IF(OR(BB155=0,ISNUMBER(MATCH(BB155,$BB$55:BB154,0))),0,MAX($BA$55:BA154)+1)</f>
        <v>0</v>
      </c>
      <c r="BB155" s="8" t="str">
        <f t="shared" si="55"/>
        <v>Total VOC</v>
      </c>
      <c r="BC155" s="8">
        <f t="shared" si="56"/>
        <v>0</v>
      </c>
      <c r="BD155" s="8">
        <f>IF(OR($BC155="7783-06-4",$BC155="7446-09-5",$BC155="7664-93-9"),SUMIFS($AY$56:$AY$165,$AX$56:$AX$165,$BC155),SUMIFS($AY$56:$AY$165,$AX$56:$AX$165,$BC155)*(CAS!$D$19/1000000))</f>
        <v>0</v>
      </c>
      <c r="BE155" s="8">
        <f>IF(OR($BC155="7783-06-4",$BC155="7446-09-5",$BC155="7664-93-9"),SUMIFS($AZ$56:$AZ$165,$AX$56:$AX$165,$BC155),SUMIFS($AZ$56:$AZ$165,$AX$56:$AX$165,$BC155)*(CAS!$D$19/1000000))</f>
        <v>0</v>
      </c>
      <c r="BL155" s="90"/>
    </row>
    <row r="156" spans="1:64" x14ac:dyDescent="0.2">
      <c r="A156" s="307" t="str">
        <f>A155&amp;"A"</f>
        <v>A</v>
      </c>
      <c r="B156" s="8">
        <f>IF($A$155="",0,VLOOKUP($A155,Products!$A$59:$E$158,5,FALSE))</f>
        <v>0</v>
      </c>
      <c r="C156" s="322">
        <f>IF($B156=0,0,C$155*VLOOKUP($A155,Products!$A$59:$H$158,8,FALSE))</f>
        <v>0</v>
      </c>
      <c r="D156" s="323">
        <f>IF($B156=0,0,D$155*VLOOKUP($A155,Products!$A$59:$H$158,8,FALSE))</f>
        <v>0</v>
      </c>
      <c r="E156" s="8"/>
      <c r="F156" s="8">
        <f>IF(OR(G156=0,ISNUMBER(MATCH(G156,$G$55:G155,0))),0,MAX($F$55:F155)+1)</f>
        <v>0</v>
      </c>
      <c r="G156" s="8">
        <f t="shared" si="50"/>
        <v>0</v>
      </c>
      <c r="H156" s="8">
        <f t="shared" si="51"/>
        <v>0</v>
      </c>
      <c r="I156" s="8">
        <f>SUMIFS($C$56:$C$165,$B$56:$B$165,$H156)*(1-Flare!$D$18)</f>
        <v>0</v>
      </c>
      <c r="J156" s="8">
        <f>SUMIFS($D$56:$D$165,$B$56:$B$165,$H156)*(1-Flare!$D$18)</f>
        <v>0</v>
      </c>
      <c r="K156" s="8"/>
      <c r="L156" s="8"/>
      <c r="M156" s="8"/>
      <c r="N156" s="8"/>
      <c r="O156" s="8"/>
      <c r="P156" s="8"/>
      <c r="Q156" s="307" t="str">
        <f>Q155&amp;"A"</f>
        <v>A</v>
      </c>
      <c r="R156" s="8">
        <f>IF($Q$155="",0,VLOOKUP($Q155,Products!$A$59:$E$158,5,FALSE))</f>
        <v>0</v>
      </c>
      <c r="S156" s="322">
        <f>IF($R156=0,0,S$155*VLOOKUP($Q155,Products!$A$59:$H$158,8,FALSE))</f>
        <v>0</v>
      </c>
      <c r="T156" s="322">
        <f>IF($R156=0,0,T$155*VLOOKUP($Q155,Products!$A$59:$H$158,8,FALSE))</f>
        <v>0</v>
      </c>
      <c r="U156" s="8">
        <f>IF(OR(V156=0,ISNUMBER(MATCH(V156,$V$55:V155,0))),0,MAX($U$55:U155)+1)</f>
        <v>0</v>
      </c>
      <c r="V156" s="8">
        <f t="shared" si="52"/>
        <v>0</v>
      </c>
      <c r="W156" s="8">
        <f t="shared" si="59"/>
        <v>0</v>
      </c>
      <c r="X156" s="8">
        <f>SUMIFS($S$56:$S$165,$R$56:$R$165,$W156)*(1-VCU!$D$23)</f>
        <v>0</v>
      </c>
      <c r="Y156" s="8">
        <f>SUMIFS($T$56:$T$165,$R$56:$R$165,$W156)*(1-VCU!$D$23)</f>
        <v>0</v>
      </c>
      <c r="Z156" s="8"/>
      <c r="AA156" s="8"/>
      <c r="AB156" s="8"/>
      <c r="AC156" s="8"/>
      <c r="AD156" s="8"/>
      <c r="AE156" s="8"/>
      <c r="AF156" s="8"/>
      <c r="AG156" s="307" t="str">
        <f>AG155&amp;"A"</f>
        <v>A</v>
      </c>
      <c r="AH156" s="8">
        <f>IF($AG$155="",0,VLOOKUP($AG155,Products!$A$59:$E$158,5,FALSE))</f>
        <v>0</v>
      </c>
      <c r="AI156" s="322">
        <f>IF($AH156=0,0,AI$155*VLOOKUP($AG155,Products!$A$59:$H$158,8,FALSE))</f>
        <v>0</v>
      </c>
      <c r="AJ156" s="322">
        <f>IF($AH156=0,0,AJ$155*VLOOKUP($AG155,Products!$A$59:$H$158,8,FALSE))</f>
        <v>0</v>
      </c>
      <c r="AK156" s="8">
        <f>IF(OR(AL156=0,ISNUMBER(MATCH(AL156,$AL$55:AL155,0))),0,MAX($AK$55:AK155)+1)</f>
        <v>0</v>
      </c>
      <c r="AL156" s="8">
        <f t="shared" si="53"/>
        <v>0</v>
      </c>
      <c r="AM156" s="8">
        <f t="shared" si="54"/>
        <v>0</v>
      </c>
      <c r="AN156" s="8">
        <f>SUMIFS($AI$56:$AI$165,$AH$56:$AH$165,$AM156)*(1-VaporOxidizer!$D$23)</f>
        <v>0</v>
      </c>
      <c r="AO156" s="8">
        <f>SUMIFS($AJ$56:$AJ$165,$AH$56:$AH$165,$AM156)*(1-VaporOxidizer!$D$23)</f>
        <v>0</v>
      </c>
      <c r="AP156" s="8"/>
      <c r="AQ156" s="8"/>
      <c r="AR156" s="8"/>
      <c r="AS156" s="8"/>
      <c r="AT156" s="8"/>
      <c r="AU156" s="8"/>
      <c r="AV156" s="8"/>
      <c r="AW156" s="307" t="str">
        <f>AW155&amp;"A"</f>
        <v>A</v>
      </c>
      <c r="AX156" s="8">
        <f>IF($AW$155="",0,VLOOKUP($AW155,Products!$A$59:$E$158,5,FALSE))</f>
        <v>0</v>
      </c>
      <c r="AY156" s="322">
        <f>IF($AX156=0,0,AY$155*VLOOKUP($AW155,Products!$A$59:$H$158,8,FALSE))</f>
        <v>0</v>
      </c>
      <c r="AZ156" s="323">
        <f>IF($AX156=0,0,AZ$155*VLOOKUP($AW155,Products!$A$59:$H$158,8,FALSE))</f>
        <v>0</v>
      </c>
      <c r="BA156" s="8">
        <f>IF(OR(BB156=0,ISNUMBER(MATCH(BB156,$BB$55:BB155,0))),0,MAX($BA$55:BA155)+1)</f>
        <v>0</v>
      </c>
      <c r="BB156" s="8">
        <f t="shared" si="55"/>
        <v>0</v>
      </c>
      <c r="BC156" s="8">
        <f t="shared" si="56"/>
        <v>0</v>
      </c>
      <c r="BD156" s="8">
        <f>IF(OR($BC156="7783-06-4",$BC156="7446-09-5",$BC156="7664-93-9"),SUMIFS($AY$56:$AY$165,$AX$56:$AX$165,$BC156),SUMIFS($AY$56:$AY$165,$AX$56:$AX$165,$BC156)*(CAS!$D$19/1000000))</f>
        <v>0</v>
      </c>
      <c r="BE156" s="8">
        <f>IF(OR($BC156="7783-06-4",$BC156="7446-09-5",$BC156="7664-93-9"),SUMIFS($AZ$56:$AZ$165,$AX$56:$AX$165,$BC156),SUMIFS($AZ$56:$AZ$165,$AX$56:$AX$165,$BC156)*(CAS!$D$19/1000000))</f>
        <v>0</v>
      </c>
      <c r="BL156" s="90"/>
    </row>
    <row r="157" spans="1:64" x14ac:dyDescent="0.2">
      <c r="A157" s="307" t="str">
        <f t="shared" ref="A157:A165" si="72">A156&amp;"A"</f>
        <v>AA</v>
      </c>
      <c r="B157" s="8">
        <f>IF($A$155="",0,VLOOKUP($A156,Products!$A$59:$E$158,5,FALSE))</f>
        <v>0</v>
      </c>
      <c r="C157" s="322">
        <f>IF($B157=0,0,C$155*VLOOKUP($A156,Products!$A$59:$H$158,8,FALSE))</f>
        <v>0</v>
      </c>
      <c r="D157" s="323">
        <f>IF($B157=0,0,D$155*VLOOKUP($A156,Products!$A$59:$H$158,8,FALSE))</f>
        <v>0</v>
      </c>
      <c r="E157" s="8"/>
      <c r="F157" s="8">
        <f>IF(OR(G157=0,ISNUMBER(MATCH(G157,$G$55:G156,0))),0,MAX($F$55:F156)+1)</f>
        <v>0</v>
      </c>
      <c r="G157" s="8">
        <f t="shared" si="50"/>
        <v>0</v>
      </c>
      <c r="H157" s="314"/>
      <c r="I157" s="314"/>
      <c r="J157" s="314"/>
      <c r="K157" s="8"/>
      <c r="L157" s="8"/>
      <c r="M157" s="8"/>
      <c r="N157" s="8"/>
      <c r="O157" s="8"/>
      <c r="P157" s="8"/>
      <c r="Q157" s="307" t="str">
        <f t="shared" ref="Q157:Q165" si="73">Q156&amp;"A"</f>
        <v>AA</v>
      </c>
      <c r="R157" s="8">
        <f>IF($Q$155="",0,VLOOKUP($Q156,Products!$A$59:$E$158,5,FALSE))</f>
        <v>0</v>
      </c>
      <c r="S157" s="322">
        <f>IF($R157=0,0,S$155*VLOOKUP($Q156,Products!$A$59:$H$158,8,FALSE))</f>
        <v>0</v>
      </c>
      <c r="T157" s="322">
        <f>IF($R157=0,0,T$155*VLOOKUP($Q156,Products!$A$59:$H$158,8,FALSE))</f>
        <v>0</v>
      </c>
      <c r="U157" s="8">
        <f>IF(OR(V157=0,ISNUMBER(MATCH(V157,$V$55:V156,0))),0,MAX($U$55:U156)+1)</f>
        <v>0</v>
      </c>
      <c r="V157" s="8">
        <f t="shared" si="52"/>
        <v>0</v>
      </c>
      <c r="W157" s="314"/>
      <c r="X157" s="314"/>
      <c r="Y157" s="314"/>
      <c r="Z157" s="8"/>
      <c r="AA157" s="8"/>
      <c r="AB157" s="8"/>
      <c r="AC157" s="8"/>
      <c r="AD157" s="8"/>
      <c r="AE157" s="8"/>
      <c r="AF157" s="8"/>
      <c r="AG157" s="307" t="str">
        <f t="shared" ref="AG157:AG165" si="74">AG156&amp;"A"</f>
        <v>AA</v>
      </c>
      <c r="AH157" s="8">
        <f>IF($AG$155="",0,VLOOKUP($AG156,Products!$A$59:$E$158,5,FALSE))</f>
        <v>0</v>
      </c>
      <c r="AI157" s="322">
        <f>IF($AH157=0,0,AI$155*VLOOKUP($AG156,Products!$A$59:$H$158,8,FALSE))</f>
        <v>0</v>
      </c>
      <c r="AJ157" s="322">
        <f>IF($AH157=0,0,AJ$155*VLOOKUP($AG156,Products!$A$59:$H$158,8,FALSE))</f>
        <v>0</v>
      </c>
      <c r="AK157" s="8">
        <f>IF(OR(AL157=0,ISNUMBER(MATCH(AL157,$AL$55:AL156,0))),0,MAX($AK$55:AK156)+1)</f>
        <v>0</v>
      </c>
      <c r="AL157" s="8">
        <f t="shared" si="53"/>
        <v>0</v>
      </c>
      <c r="AM157" s="314"/>
      <c r="AN157" s="314"/>
      <c r="AO157" s="314"/>
      <c r="AP157" s="8"/>
      <c r="AQ157" s="8"/>
      <c r="AR157" s="8"/>
      <c r="AS157" s="8"/>
      <c r="AT157" s="8"/>
      <c r="AU157" s="8"/>
      <c r="AV157" s="8"/>
      <c r="AW157" s="307" t="str">
        <f t="shared" ref="AW157:AW165" si="75">AW156&amp;"A"</f>
        <v>AA</v>
      </c>
      <c r="AX157" s="8">
        <f>IF($AW$155="",0,VLOOKUP($AW156,Products!$A$59:$E$158,5,FALSE))</f>
        <v>0</v>
      </c>
      <c r="AY157" s="322">
        <f>IF($AX157=0,0,AY$155*VLOOKUP($AW156,Products!$A$59:$H$158,8,FALSE))</f>
        <v>0</v>
      </c>
      <c r="AZ157" s="323">
        <f>IF($AX157=0,0,AZ$155*VLOOKUP($AW156,Products!$A$59:$H$158,8,FALSE))</f>
        <v>0</v>
      </c>
      <c r="BA157" s="8">
        <f>IF(OR(BB157=0,ISNUMBER(MATCH(BB157,$BB$55:BB156,0))),0,MAX($BA$55:BA156)+1)</f>
        <v>0</v>
      </c>
      <c r="BB157" s="8">
        <f t="shared" si="55"/>
        <v>0</v>
      </c>
      <c r="BC157" s="314"/>
      <c r="BD157" s="314"/>
      <c r="BE157" s="314"/>
      <c r="BL157" s="90"/>
    </row>
    <row r="158" spans="1:64" x14ac:dyDescent="0.2">
      <c r="A158" s="307" t="str">
        <f t="shared" si="72"/>
        <v>AAA</v>
      </c>
      <c r="B158" s="8">
        <f>IF($A$155="",0,VLOOKUP($A157,Products!$A$59:$E$158,5,FALSE))</f>
        <v>0</v>
      </c>
      <c r="C158" s="322">
        <f>IF($B158=0,0,C$155*VLOOKUP($A157,Products!$A$59:$H$158,8,FALSE))</f>
        <v>0</v>
      </c>
      <c r="D158" s="323">
        <f>IF($B158=0,0,D$155*VLOOKUP($A157,Products!$A$59:$H$158,8,FALSE))</f>
        <v>0</v>
      </c>
      <c r="E158" s="8"/>
      <c r="F158" s="8">
        <f>IF(OR(G158=0,ISNUMBER(MATCH(G158,$G$55:G157,0))),0,MAX($F$55:F157)+1)</f>
        <v>0</v>
      </c>
      <c r="G158" s="8">
        <f t="shared" si="50"/>
        <v>0</v>
      </c>
      <c r="H158" s="314"/>
      <c r="I158" s="314"/>
      <c r="J158" s="314"/>
      <c r="K158" s="8"/>
      <c r="L158" s="8"/>
      <c r="M158" s="8"/>
      <c r="N158" s="8"/>
      <c r="O158" s="8"/>
      <c r="P158" s="8"/>
      <c r="Q158" s="307" t="str">
        <f t="shared" si="73"/>
        <v>AAA</v>
      </c>
      <c r="R158" s="8">
        <f>IF($Q$155="",0,VLOOKUP($Q157,Products!$A$59:$E$158,5,FALSE))</f>
        <v>0</v>
      </c>
      <c r="S158" s="322">
        <f>IF($R158=0,0,S$155*VLOOKUP($Q157,Products!$A$59:$H$158,8,FALSE))</f>
        <v>0</v>
      </c>
      <c r="T158" s="322">
        <f>IF($R158=0,0,T$155*VLOOKUP($Q157,Products!$A$59:$H$158,8,FALSE))</f>
        <v>0</v>
      </c>
      <c r="U158" s="8">
        <f>IF(OR(V158=0,ISNUMBER(MATCH(V158,$V$55:V157,0))),0,MAX($U$55:U157)+1)</f>
        <v>0</v>
      </c>
      <c r="V158" s="8">
        <f t="shared" si="52"/>
        <v>0</v>
      </c>
      <c r="W158" s="314"/>
      <c r="X158" s="314"/>
      <c r="Y158" s="314"/>
      <c r="Z158" s="8"/>
      <c r="AA158" s="8"/>
      <c r="AB158" s="8"/>
      <c r="AC158" s="8"/>
      <c r="AD158" s="8"/>
      <c r="AE158" s="8"/>
      <c r="AF158" s="8"/>
      <c r="AG158" s="307" t="str">
        <f t="shared" si="74"/>
        <v>AAA</v>
      </c>
      <c r="AH158" s="8">
        <f>IF($AG$155="",0,VLOOKUP($AG157,Products!$A$59:$E$158,5,FALSE))</f>
        <v>0</v>
      </c>
      <c r="AI158" s="322">
        <f>IF($AH158=0,0,AI$155*VLOOKUP($AG157,Products!$A$59:$H$158,8,FALSE))</f>
        <v>0</v>
      </c>
      <c r="AJ158" s="322">
        <f>IF($AH158=0,0,AJ$155*VLOOKUP($AG157,Products!$A$59:$H$158,8,FALSE))</f>
        <v>0</v>
      </c>
      <c r="AK158" s="8">
        <f>IF(OR(AL158=0,ISNUMBER(MATCH(AL158,$AL$55:AL157,0))),0,MAX($AK$55:AK157)+1)</f>
        <v>0</v>
      </c>
      <c r="AL158" s="8">
        <f t="shared" si="53"/>
        <v>0</v>
      </c>
      <c r="AM158" s="314"/>
      <c r="AN158" s="314"/>
      <c r="AO158" s="314"/>
      <c r="AP158" s="8"/>
      <c r="AQ158" s="8"/>
      <c r="AR158" s="8"/>
      <c r="AS158" s="8"/>
      <c r="AT158" s="8"/>
      <c r="AU158" s="8"/>
      <c r="AV158" s="8"/>
      <c r="AW158" s="307" t="str">
        <f t="shared" si="75"/>
        <v>AAA</v>
      </c>
      <c r="AX158" s="8">
        <f>IF($AW$155="",0,VLOOKUP($AW157,Products!$A$59:$E$158,5,FALSE))</f>
        <v>0</v>
      </c>
      <c r="AY158" s="322">
        <f>IF($AX158=0,0,AY$155*VLOOKUP($AW157,Products!$A$59:$H$158,8,FALSE))</f>
        <v>0</v>
      </c>
      <c r="AZ158" s="323">
        <f>IF($AX158=0,0,AZ$155*VLOOKUP($AW157,Products!$A$59:$H$158,8,FALSE))</f>
        <v>0</v>
      </c>
      <c r="BA158" s="8">
        <f>IF(OR(BB158=0,ISNUMBER(MATCH(BB158,$BB$55:BB157,0))),0,MAX($BA$55:BA157)+1)</f>
        <v>0</v>
      </c>
      <c r="BB158" s="8">
        <f t="shared" si="55"/>
        <v>0</v>
      </c>
      <c r="BC158" s="314"/>
      <c r="BD158" s="314"/>
      <c r="BE158" s="314"/>
      <c r="BL158" s="90"/>
    </row>
    <row r="159" spans="1:64" x14ac:dyDescent="0.2">
      <c r="A159" s="307" t="str">
        <f t="shared" si="72"/>
        <v>AAAA</v>
      </c>
      <c r="B159" s="8">
        <f>IF($A$155="",0,VLOOKUP($A158,Products!$A$59:$E$158,5,FALSE))</f>
        <v>0</v>
      </c>
      <c r="C159" s="322">
        <f>IF($B159=0,0,C$155*VLOOKUP($A158,Products!$A$59:$H$158,8,FALSE))</f>
        <v>0</v>
      </c>
      <c r="D159" s="323">
        <f>IF($B159=0,0,D$155*VLOOKUP($A158,Products!$A$59:$H$158,8,FALSE))</f>
        <v>0</v>
      </c>
      <c r="E159" s="8"/>
      <c r="F159" s="8">
        <f>IF(OR(G159=0,ISNUMBER(MATCH(G159,$G$55:G158,0))),0,MAX($F$55:F158)+1)</f>
        <v>0</v>
      </c>
      <c r="G159" s="8">
        <f t="shared" si="50"/>
        <v>0</v>
      </c>
      <c r="H159" s="314"/>
      <c r="I159" s="314"/>
      <c r="J159" s="314"/>
      <c r="K159" s="8"/>
      <c r="L159" s="8"/>
      <c r="M159" s="8"/>
      <c r="N159" s="8"/>
      <c r="O159" s="8"/>
      <c r="P159" s="8"/>
      <c r="Q159" s="307" t="str">
        <f t="shared" si="73"/>
        <v>AAAA</v>
      </c>
      <c r="R159" s="8">
        <f>IF($Q$155="",0,VLOOKUP($Q158,Products!$A$59:$E$158,5,FALSE))</f>
        <v>0</v>
      </c>
      <c r="S159" s="322">
        <f>IF($R159=0,0,S$155*VLOOKUP($Q158,Products!$A$59:$H$158,8,FALSE))</f>
        <v>0</v>
      </c>
      <c r="T159" s="322">
        <f>IF($R159=0,0,T$155*VLOOKUP($Q158,Products!$A$59:$H$158,8,FALSE))</f>
        <v>0</v>
      </c>
      <c r="U159" s="8">
        <f>IF(OR(V159=0,ISNUMBER(MATCH(V159,$V$55:V158,0))),0,MAX($U$55:U158)+1)</f>
        <v>0</v>
      </c>
      <c r="V159" s="8">
        <f t="shared" si="52"/>
        <v>0</v>
      </c>
      <c r="W159" s="314"/>
      <c r="X159" s="314"/>
      <c r="Y159" s="314"/>
      <c r="Z159" s="8"/>
      <c r="AA159" s="8"/>
      <c r="AB159" s="8"/>
      <c r="AC159" s="8"/>
      <c r="AD159" s="8"/>
      <c r="AE159" s="8"/>
      <c r="AF159" s="8"/>
      <c r="AG159" s="307" t="str">
        <f t="shared" si="74"/>
        <v>AAAA</v>
      </c>
      <c r="AH159" s="8">
        <f>IF($AG$155="",0,VLOOKUP($AG158,Products!$A$59:$E$158,5,FALSE))</f>
        <v>0</v>
      </c>
      <c r="AI159" s="322">
        <f>IF($AH159=0,0,AI$155*VLOOKUP($AG158,Products!$A$59:$H$158,8,FALSE))</f>
        <v>0</v>
      </c>
      <c r="AJ159" s="322">
        <f>IF($AH159=0,0,AJ$155*VLOOKUP($AG158,Products!$A$59:$H$158,8,FALSE))</f>
        <v>0</v>
      </c>
      <c r="AK159" s="8">
        <f>IF(OR(AL159=0,ISNUMBER(MATCH(AL159,$AL$55:AL158,0))),0,MAX($AK$55:AK158)+1)</f>
        <v>0</v>
      </c>
      <c r="AL159" s="8">
        <f t="shared" si="53"/>
        <v>0</v>
      </c>
      <c r="AM159" s="314"/>
      <c r="AN159" s="314"/>
      <c r="AO159" s="314"/>
      <c r="AP159" s="8"/>
      <c r="AQ159" s="8"/>
      <c r="AR159" s="8"/>
      <c r="AS159" s="8"/>
      <c r="AT159" s="8"/>
      <c r="AU159" s="8"/>
      <c r="AV159" s="8"/>
      <c r="AW159" s="307" t="str">
        <f t="shared" si="75"/>
        <v>AAAA</v>
      </c>
      <c r="AX159" s="8">
        <f>IF($AW$155="",0,VLOOKUP($AW158,Products!$A$59:$E$158,5,FALSE))</f>
        <v>0</v>
      </c>
      <c r="AY159" s="322">
        <f>IF($AX159=0,0,AY$155*VLOOKUP($AW158,Products!$A$59:$H$158,8,FALSE))</f>
        <v>0</v>
      </c>
      <c r="AZ159" s="323">
        <f>IF($AX159=0,0,AZ$155*VLOOKUP($AW158,Products!$A$59:$H$158,8,FALSE))</f>
        <v>0</v>
      </c>
      <c r="BA159" s="8">
        <f>IF(OR(BB159=0,ISNUMBER(MATCH(BB159,$BB$55:BB158,0))),0,MAX($BA$55:BA158)+1)</f>
        <v>0</v>
      </c>
      <c r="BB159" s="8">
        <f t="shared" si="55"/>
        <v>0</v>
      </c>
      <c r="BC159" s="314"/>
      <c r="BD159" s="314"/>
      <c r="BE159" s="314"/>
      <c r="BL159" s="90"/>
    </row>
    <row r="160" spans="1:64" x14ac:dyDescent="0.2">
      <c r="A160" s="307" t="str">
        <f t="shared" si="72"/>
        <v>AAAAA</v>
      </c>
      <c r="B160" s="8">
        <f>IF($A$155="",0,VLOOKUP($A159,Products!$A$59:$E$158,5,FALSE))</f>
        <v>0</v>
      </c>
      <c r="C160" s="322">
        <f>IF($B160=0,0,C$155*VLOOKUP($A159,Products!$A$59:$H$158,8,FALSE))</f>
        <v>0</v>
      </c>
      <c r="D160" s="323">
        <f>IF($B160=0,0,D$155*VLOOKUP($A159,Products!$A$59:$H$158,8,FALSE))</f>
        <v>0</v>
      </c>
      <c r="E160" s="8"/>
      <c r="F160" s="8">
        <f>IF(OR(G160=0,ISNUMBER(MATCH(G160,$G$55:G159,0))),0,MAX($F$55:F159)+1)</f>
        <v>0</v>
      </c>
      <c r="G160" s="8">
        <f t="shared" si="50"/>
        <v>0</v>
      </c>
      <c r="H160" s="314"/>
      <c r="I160" s="314"/>
      <c r="J160" s="314"/>
      <c r="K160" s="8"/>
      <c r="L160" s="8"/>
      <c r="M160" s="8"/>
      <c r="N160" s="8"/>
      <c r="O160" s="8"/>
      <c r="P160" s="8"/>
      <c r="Q160" s="307" t="str">
        <f t="shared" si="73"/>
        <v>AAAAA</v>
      </c>
      <c r="R160" s="8">
        <f>IF($Q$155="",0,VLOOKUP($Q159,Products!$A$59:$E$158,5,FALSE))</f>
        <v>0</v>
      </c>
      <c r="S160" s="322">
        <f>IF($R160=0,0,S$155*VLOOKUP($Q159,Products!$A$59:$H$158,8,FALSE))</f>
        <v>0</v>
      </c>
      <c r="T160" s="322">
        <f>IF($R160=0,0,T$155*VLOOKUP($Q159,Products!$A$59:$H$158,8,FALSE))</f>
        <v>0</v>
      </c>
      <c r="U160" s="8">
        <f>IF(OR(V160=0,ISNUMBER(MATCH(V160,$V$55:V159,0))),0,MAX($U$55:U159)+1)</f>
        <v>0</v>
      </c>
      <c r="V160" s="8">
        <f t="shared" si="52"/>
        <v>0</v>
      </c>
      <c r="W160" s="314"/>
      <c r="X160" s="314"/>
      <c r="Y160" s="314"/>
      <c r="Z160" s="8"/>
      <c r="AA160" s="8"/>
      <c r="AB160" s="8"/>
      <c r="AC160" s="8"/>
      <c r="AD160" s="8"/>
      <c r="AE160" s="8"/>
      <c r="AF160" s="8"/>
      <c r="AG160" s="307" t="str">
        <f t="shared" si="74"/>
        <v>AAAAA</v>
      </c>
      <c r="AH160" s="8">
        <f>IF($AG$155="",0,VLOOKUP($AG159,Products!$A$59:$E$158,5,FALSE))</f>
        <v>0</v>
      </c>
      <c r="AI160" s="322">
        <f>IF($AH160=0,0,AI$155*VLOOKUP($AG159,Products!$A$59:$H$158,8,FALSE))</f>
        <v>0</v>
      </c>
      <c r="AJ160" s="322">
        <f>IF($AH160=0,0,AJ$155*VLOOKUP($AG159,Products!$A$59:$H$158,8,FALSE))</f>
        <v>0</v>
      </c>
      <c r="AK160" s="8">
        <f>IF(OR(AL160=0,ISNUMBER(MATCH(AL160,$AL$55:AL159,0))),0,MAX($AK$55:AK159)+1)</f>
        <v>0</v>
      </c>
      <c r="AL160" s="8">
        <f t="shared" si="53"/>
        <v>0</v>
      </c>
      <c r="AM160" s="314"/>
      <c r="AN160" s="314"/>
      <c r="AO160" s="314"/>
      <c r="AP160" s="8"/>
      <c r="AQ160" s="8"/>
      <c r="AR160" s="8"/>
      <c r="AS160" s="8"/>
      <c r="AT160" s="8"/>
      <c r="AU160" s="8"/>
      <c r="AV160" s="8"/>
      <c r="AW160" s="307" t="str">
        <f t="shared" si="75"/>
        <v>AAAAA</v>
      </c>
      <c r="AX160" s="8">
        <f>IF($AW$155="",0,VLOOKUP($AW159,Products!$A$59:$E$158,5,FALSE))</f>
        <v>0</v>
      </c>
      <c r="AY160" s="322">
        <f>IF($AX160=0,0,AY$155*VLOOKUP($AW159,Products!$A$59:$H$158,8,FALSE))</f>
        <v>0</v>
      </c>
      <c r="AZ160" s="323">
        <f>IF($AX160=0,0,AZ$155*VLOOKUP($AW159,Products!$A$59:$H$158,8,FALSE))</f>
        <v>0</v>
      </c>
      <c r="BA160" s="8">
        <f>IF(OR(BB160=0,ISNUMBER(MATCH(BB160,$BB$55:BB159,0))),0,MAX($BA$55:BA159)+1)</f>
        <v>0</v>
      </c>
      <c r="BB160" s="8">
        <f t="shared" si="55"/>
        <v>0</v>
      </c>
      <c r="BC160" s="314"/>
      <c r="BD160" s="314"/>
      <c r="BE160" s="314"/>
      <c r="BL160" s="90"/>
    </row>
    <row r="161" spans="1:64" x14ac:dyDescent="0.2">
      <c r="A161" s="307" t="str">
        <f t="shared" si="72"/>
        <v>AAAAAA</v>
      </c>
      <c r="B161" s="8">
        <f>IF($A$155="",0,VLOOKUP($A160,Products!$A$59:$E$158,5,FALSE))</f>
        <v>0</v>
      </c>
      <c r="C161" s="322">
        <f>IF($B161=0,0,C$155*VLOOKUP($A160,Products!$A$59:$H$158,8,FALSE))</f>
        <v>0</v>
      </c>
      <c r="D161" s="323">
        <f>IF($B161=0,0,D$155*VLOOKUP($A160,Products!$A$59:$H$158,8,FALSE))</f>
        <v>0</v>
      </c>
      <c r="E161" s="8"/>
      <c r="F161" s="8">
        <f>IF(OR(G161=0,ISNUMBER(MATCH(G161,$G$55:G160,0))),0,MAX($F$55:F160)+1)</f>
        <v>0</v>
      </c>
      <c r="G161" s="8">
        <f t="shared" si="50"/>
        <v>0</v>
      </c>
      <c r="H161" s="314"/>
      <c r="I161" s="314"/>
      <c r="J161" s="314"/>
      <c r="K161" s="8"/>
      <c r="L161" s="8"/>
      <c r="M161" s="8"/>
      <c r="N161" s="8"/>
      <c r="O161" s="8"/>
      <c r="P161" s="8"/>
      <c r="Q161" s="307" t="str">
        <f t="shared" si="73"/>
        <v>AAAAAA</v>
      </c>
      <c r="R161" s="8">
        <f>IF($Q$155="",0,VLOOKUP($Q160,Products!$A$59:$E$158,5,FALSE))</f>
        <v>0</v>
      </c>
      <c r="S161" s="322">
        <f>IF($R161=0,0,S$155*VLOOKUP($Q160,Products!$A$59:$H$158,8,FALSE))</f>
        <v>0</v>
      </c>
      <c r="T161" s="322">
        <f>IF($R161=0,0,T$155*VLOOKUP($Q160,Products!$A$59:$H$158,8,FALSE))</f>
        <v>0</v>
      </c>
      <c r="U161" s="8">
        <f>IF(OR(V161=0,ISNUMBER(MATCH(V161,$V$55:V160,0))),0,MAX($U$55:U160)+1)</f>
        <v>0</v>
      </c>
      <c r="V161" s="8">
        <f t="shared" si="52"/>
        <v>0</v>
      </c>
      <c r="W161" s="314"/>
      <c r="X161" s="314"/>
      <c r="Y161" s="314"/>
      <c r="Z161" s="8"/>
      <c r="AA161" s="8"/>
      <c r="AB161" s="8"/>
      <c r="AC161" s="8"/>
      <c r="AD161" s="8"/>
      <c r="AE161" s="8"/>
      <c r="AF161" s="8"/>
      <c r="AG161" s="307" t="str">
        <f t="shared" si="74"/>
        <v>AAAAAA</v>
      </c>
      <c r="AH161" s="8">
        <f>IF($AG$155="",0,VLOOKUP($AG160,Products!$A$59:$E$158,5,FALSE))</f>
        <v>0</v>
      </c>
      <c r="AI161" s="322">
        <f>IF($AH161=0,0,AI$155*VLOOKUP($AG160,Products!$A$59:$H$158,8,FALSE))</f>
        <v>0</v>
      </c>
      <c r="AJ161" s="322">
        <f>IF($AH161=0,0,AJ$155*VLOOKUP($AG160,Products!$A$59:$H$158,8,FALSE))</f>
        <v>0</v>
      </c>
      <c r="AK161" s="8">
        <f>IF(OR(AL161=0,ISNUMBER(MATCH(AL161,$AL$55:AL160,0))),0,MAX($AK$55:AK160)+1)</f>
        <v>0</v>
      </c>
      <c r="AL161" s="8">
        <f t="shared" si="53"/>
        <v>0</v>
      </c>
      <c r="AM161" s="314"/>
      <c r="AN161" s="314"/>
      <c r="AO161" s="314"/>
      <c r="AP161" s="8"/>
      <c r="AQ161" s="8"/>
      <c r="AR161" s="8"/>
      <c r="AS161" s="8"/>
      <c r="AT161" s="8"/>
      <c r="AU161" s="8"/>
      <c r="AV161" s="8"/>
      <c r="AW161" s="307" t="str">
        <f t="shared" si="75"/>
        <v>AAAAAA</v>
      </c>
      <c r="AX161" s="8">
        <f>IF($AW$155="",0,VLOOKUP($AW160,Products!$A$59:$E$158,5,FALSE))</f>
        <v>0</v>
      </c>
      <c r="AY161" s="322">
        <f>IF($AX161=0,0,AY$155*VLOOKUP($AW160,Products!$A$59:$H$158,8,FALSE))</f>
        <v>0</v>
      </c>
      <c r="AZ161" s="323">
        <f>IF($AX161=0,0,AZ$155*VLOOKUP($AW160,Products!$A$59:$H$158,8,FALSE))</f>
        <v>0</v>
      </c>
      <c r="BA161" s="8">
        <f>IF(OR(BB161=0,ISNUMBER(MATCH(BB161,$BB$55:BB160,0))),0,MAX($BA$55:BA160)+1)</f>
        <v>0</v>
      </c>
      <c r="BB161" s="8">
        <f t="shared" si="55"/>
        <v>0</v>
      </c>
      <c r="BC161" s="314"/>
      <c r="BD161" s="314"/>
      <c r="BE161" s="314"/>
      <c r="BL161" s="90"/>
    </row>
    <row r="162" spans="1:64" x14ac:dyDescent="0.2">
      <c r="A162" s="307" t="str">
        <f t="shared" si="72"/>
        <v>AAAAAAA</v>
      </c>
      <c r="B162" s="8">
        <f>IF($A$155="",0,VLOOKUP($A161,Products!$A$59:$E$158,5,FALSE))</f>
        <v>0</v>
      </c>
      <c r="C162" s="322">
        <f>IF($B162=0,0,C$155*VLOOKUP($A161,Products!$A$59:$H$158,8,FALSE))</f>
        <v>0</v>
      </c>
      <c r="D162" s="323">
        <f>IF($B162=0,0,D$155*VLOOKUP($A161,Products!$A$59:$H$158,8,FALSE))</f>
        <v>0</v>
      </c>
      <c r="E162" s="8"/>
      <c r="F162" s="8">
        <f>IF(OR(G162=0,ISNUMBER(MATCH(G162,$G$55:G161,0))),0,MAX($F$55:F161)+1)</f>
        <v>0</v>
      </c>
      <c r="G162" s="8">
        <f t="shared" si="50"/>
        <v>0</v>
      </c>
      <c r="H162" s="314"/>
      <c r="I162" s="314"/>
      <c r="J162" s="314"/>
      <c r="K162" s="8"/>
      <c r="L162" s="8"/>
      <c r="M162" s="8"/>
      <c r="N162" s="8"/>
      <c r="O162" s="8"/>
      <c r="P162" s="8"/>
      <c r="Q162" s="307" t="str">
        <f t="shared" si="73"/>
        <v>AAAAAAA</v>
      </c>
      <c r="R162" s="8">
        <f>IF($Q$155="",0,VLOOKUP($Q161,Products!$A$59:$E$158,5,FALSE))</f>
        <v>0</v>
      </c>
      <c r="S162" s="322">
        <f>IF($R162=0,0,S$155*VLOOKUP($Q161,Products!$A$59:$H$158,8,FALSE))</f>
        <v>0</v>
      </c>
      <c r="T162" s="322">
        <f>IF($R162=0,0,T$155*VLOOKUP($Q161,Products!$A$59:$H$158,8,FALSE))</f>
        <v>0</v>
      </c>
      <c r="U162" s="8">
        <f>IF(OR(V162=0,ISNUMBER(MATCH(V162,$V$55:V161,0))),0,MAX($U$55:U161)+1)</f>
        <v>0</v>
      </c>
      <c r="V162" s="8">
        <f t="shared" si="52"/>
        <v>0</v>
      </c>
      <c r="W162" s="314"/>
      <c r="X162" s="314"/>
      <c r="Y162" s="314"/>
      <c r="Z162" s="8"/>
      <c r="AA162" s="8"/>
      <c r="AB162" s="8"/>
      <c r="AC162" s="8"/>
      <c r="AD162" s="8"/>
      <c r="AE162" s="8"/>
      <c r="AF162" s="8"/>
      <c r="AG162" s="307" t="str">
        <f t="shared" si="74"/>
        <v>AAAAAAA</v>
      </c>
      <c r="AH162" s="8">
        <f>IF($AG$155="",0,VLOOKUP($AG161,Products!$A$59:$E$158,5,FALSE))</f>
        <v>0</v>
      </c>
      <c r="AI162" s="322">
        <f>IF($AH162=0,0,AI$155*VLOOKUP($AG161,Products!$A$59:$H$158,8,FALSE))</f>
        <v>0</v>
      </c>
      <c r="AJ162" s="322">
        <f>IF($AH162=0,0,AJ$155*VLOOKUP($AG161,Products!$A$59:$H$158,8,FALSE))</f>
        <v>0</v>
      </c>
      <c r="AK162" s="8">
        <f>IF(OR(AL162=0,ISNUMBER(MATCH(AL162,$AL$55:AL161,0))),0,MAX($AK$55:AK161)+1)</f>
        <v>0</v>
      </c>
      <c r="AL162" s="8">
        <f t="shared" si="53"/>
        <v>0</v>
      </c>
      <c r="AM162" s="314"/>
      <c r="AN162" s="314"/>
      <c r="AO162" s="314"/>
      <c r="AP162" s="8"/>
      <c r="AQ162" s="8"/>
      <c r="AR162" s="8"/>
      <c r="AS162" s="8"/>
      <c r="AT162" s="8"/>
      <c r="AU162" s="8"/>
      <c r="AV162" s="8"/>
      <c r="AW162" s="307" t="str">
        <f t="shared" si="75"/>
        <v>AAAAAAA</v>
      </c>
      <c r="AX162" s="8">
        <f>IF($AW$155="",0,VLOOKUP($AW161,Products!$A$59:$E$158,5,FALSE))</f>
        <v>0</v>
      </c>
      <c r="AY162" s="322">
        <f>IF($AX162=0,0,AY$155*VLOOKUP($AW161,Products!$A$59:$H$158,8,FALSE))</f>
        <v>0</v>
      </c>
      <c r="AZ162" s="323">
        <f>IF($AX162=0,0,AZ$155*VLOOKUP($AW161,Products!$A$59:$H$158,8,FALSE))</f>
        <v>0</v>
      </c>
      <c r="BA162" s="8">
        <f>IF(OR(BB162=0,ISNUMBER(MATCH(BB162,$BB$55:BB161,0))),0,MAX($BA$55:BA161)+1)</f>
        <v>0</v>
      </c>
      <c r="BB162" s="8">
        <f t="shared" si="55"/>
        <v>0</v>
      </c>
      <c r="BC162" s="314"/>
      <c r="BD162" s="314"/>
      <c r="BE162" s="314"/>
      <c r="BL162" s="90"/>
    </row>
    <row r="163" spans="1:64" x14ac:dyDescent="0.2">
      <c r="A163" s="307" t="str">
        <f t="shared" si="72"/>
        <v>AAAAAAAA</v>
      </c>
      <c r="B163" s="8">
        <f>IF($A$155="",0,VLOOKUP($A162,Products!$A$59:$E$158,5,FALSE))</f>
        <v>0</v>
      </c>
      <c r="C163" s="322">
        <f>IF($B163=0,0,C$155*VLOOKUP($A162,Products!$A$59:$H$158,8,FALSE))</f>
        <v>0</v>
      </c>
      <c r="D163" s="323">
        <f>IF($B163=0,0,D$155*VLOOKUP($A162,Products!$A$59:$H$158,8,FALSE))</f>
        <v>0</v>
      </c>
      <c r="E163" s="8"/>
      <c r="F163" s="8">
        <f>IF(OR(G163=0,ISNUMBER(MATCH(G163,$G$55:G162,0))),0,MAX($F$55:F162)+1)</f>
        <v>0</v>
      </c>
      <c r="G163" s="8">
        <f t="shared" si="50"/>
        <v>0</v>
      </c>
      <c r="H163" s="314"/>
      <c r="I163" s="314"/>
      <c r="J163" s="314"/>
      <c r="K163" s="8"/>
      <c r="L163" s="8"/>
      <c r="M163" s="8"/>
      <c r="N163" s="8"/>
      <c r="O163" s="8"/>
      <c r="P163" s="8"/>
      <c r="Q163" s="307" t="str">
        <f t="shared" si="73"/>
        <v>AAAAAAAA</v>
      </c>
      <c r="R163" s="8">
        <f>IF($Q$155="",0,VLOOKUP($Q162,Products!$A$59:$E$158,5,FALSE))</f>
        <v>0</v>
      </c>
      <c r="S163" s="322">
        <f>IF($R163=0,0,S$155*VLOOKUP($Q162,Products!$A$59:$H$158,8,FALSE))</f>
        <v>0</v>
      </c>
      <c r="T163" s="322">
        <f>IF($R163=0,0,T$155*VLOOKUP($Q162,Products!$A$59:$H$158,8,FALSE))</f>
        <v>0</v>
      </c>
      <c r="U163" s="8">
        <f>IF(OR(V163=0,ISNUMBER(MATCH(V163,$V$55:V162,0))),0,MAX($U$55:U162)+1)</f>
        <v>0</v>
      </c>
      <c r="V163" s="8">
        <f t="shared" si="52"/>
        <v>0</v>
      </c>
      <c r="W163" s="314"/>
      <c r="X163" s="314"/>
      <c r="Y163" s="314"/>
      <c r="Z163" s="8"/>
      <c r="AA163" s="8"/>
      <c r="AB163" s="8"/>
      <c r="AC163" s="8"/>
      <c r="AD163" s="8"/>
      <c r="AE163" s="8"/>
      <c r="AF163" s="8"/>
      <c r="AG163" s="307" t="str">
        <f t="shared" si="74"/>
        <v>AAAAAAAA</v>
      </c>
      <c r="AH163" s="8">
        <f>IF($AG$155="",0,VLOOKUP($AG162,Products!$A$59:$E$158,5,FALSE))</f>
        <v>0</v>
      </c>
      <c r="AI163" s="322">
        <f>IF($AH163=0,0,AI$155*VLOOKUP($AG162,Products!$A$59:$H$158,8,FALSE))</f>
        <v>0</v>
      </c>
      <c r="AJ163" s="322">
        <f>IF($AH163=0,0,AJ$155*VLOOKUP($AG162,Products!$A$59:$H$158,8,FALSE))</f>
        <v>0</v>
      </c>
      <c r="AK163" s="8">
        <f>IF(OR(AL163=0,ISNUMBER(MATCH(AL163,$AL$55:AL162,0))),0,MAX($AK$55:AK162)+1)</f>
        <v>0</v>
      </c>
      <c r="AL163" s="8">
        <f t="shared" si="53"/>
        <v>0</v>
      </c>
      <c r="AM163" s="314"/>
      <c r="AN163" s="314"/>
      <c r="AO163" s="314"/>
      <c r="AP163" s="8"/>
      <c r="AQ163" s="8"/>
      <c r="AR163" s="8"/>
      <c r="AS163" s="8"/>
      <c r="AT163" s="8"/>
      <c r="AU163" s="8"/>
      <c r="AV163" s="8"/>
      <c r="AW163" s="307" t="str">
        <f>AW162&amp;"A"</f>
        <v>AAAAAAAA</v>
      </c>
      <c r="AX163" s="8">
        <f>IF($AW$155="",0,VLOOKUP($AW162,Products!$A$59:$E$158,5,FALSE))</f>
        <v>0</v>
      </c>
      <c r="AY163" s="322">
        <f>IF($AX163=0,0,AY$155*VLOOKUP($AW162,Products!$A$59:$H$158,8,FALSE))</f>
        <v>0</v>
      </c>
      <c r="AZ163" s="323">
        <f>IF($AX163=0,0,AZ$155*VLOOKUP($AW162,Products!$A$59:$H$158,8,FALSE))</f>
        <v>0</v>
      </c>
      <c r="BA163" s="8">
        <f>IF(OR(BB163=0,ISNUMBER(MATCH(BB163,$BB$55:BB162,0))),0,MAX($BA$55:BA162)+1)</f>
        <v>0</v>
      </c>
      <c r="BB163" s="8">
        <f t="shared" si="55"/>
        <v>0</v>
      </c>
      <c r="BC163" s="314"/>
      <c r="BD163" s="314"/>
      <c r="BE163" s="314"/>
      <c r="BL163" s="90"/>
    </row>
    <row r="164" spans="1:64" x14ac:dyDescent="0.2">
      <c r="A164" s="307" t="str">
        <f t="shared" si="72"/>
        <v>AAAAAAAAA</v>
      </c>
      <c r="B164" s="8">
        <f>IF($A$155="",0,VLOOKUP($A163,Products!$A$59:$E$158,5,FALSE))</f>
        <v>0</v>
      </c>
      <c r="C164" s="322">
        <f>IF($B164=0,0,C$155*VLOOKUP($A163,Products!$A$59:$H$158,8,FALSE))</f>
        <v>0</v>
      </c>
      <c r="D164" s="323">
        <f>IF($B164=0,0,D$155*VLOOKUP($A163,Products!$A$59:$H$158,8,FALSE))</f>
        <v>0</v>
      </c>
      <c r="E164" s="8"/>
      <c r="F164" s="8">
        <f>IF(OR(G164=0,ISNUMBER(MATCH(G164,$G$55:G163,0))),0,MAX($F$55:F163)+1)</f>
        <v>0</v>
      </c>
      <c r="G164" s="8">
        <f t="shared" si="50"/>
        <v>0</v>
      </c>
      <c r="H164" s="314"/>
      <c r="I164" s="314"/>
      <c r="J164" s="314"/>
      <c r="K164" s="8"/>
      <c r="L164" s="8"/>
      <c r="M164" s="8"/>
      <c r="N164" s="8"/>
      <c r="O164" s="8"/>
      <c r="P164" s="8"/>
      <c r="Q164" s="307" t="str">
        <f t="shared" si="73"/>
        <v>AAAAAAAAA</v>
      </c>
      <c r="R164" s="8">
        <f>IF($Q$155="",0,VLOOKUP($Q163,Products!$A$59:$E$158,5,FALSE))</f>
        <v>0</v>
      </c>
      <c r="S164" s="322">
        <f>IF($R164=0,0,S$155*VLOOKUP($Q163,Products!$A$59:$H$158,8,FALSE))</f>
        <v>0</v>
      </c>
      <c r="T164" s="322">
        <f>IF($R164=0,0,T$155*VLOOKUP($Q163,Products!$A$59:$H$158,8,FALSE))</f>
        <v>0</v>
      </c>
      <c r="U164" s="8">
        <f>IF(OR(V164=0,ISNUMBER(MATCH(V164,$V$55:V163,0))),0,MAX($U$55:U163)+1)</f>
        <v>0</v>
      </c>
      <c r="V164" s="8">
        <f t="shared" si="52"/>
        <v>0</v>
      </c>
      <c r="W164" s="314"/>
      <c r="X164" s="314"/>
      <c r="Y164" s="314"/>
      <c r="Z164" s="8"/>
      <c r="AA164" s="8"/>
      <c r="AB164" s="8"/>
      <c r="AC164" s="8"/>
      <c r="AD164" s="8"/>
      <c r="AE164" s="8"/>
      <c r="AF164" s="8"/>
      <c r="AG164" s="307" t="str">
        <f t="shared" si="74"/>
        <v>AAAAAAAAA</v>
      </c>
      <c r="AH164" s="8">
        <f>IF($AG$155="",0,VLOOKUP($AG163,Products!$A$59:$E$158,5,FALSE))</f>
        <v>0</v>
      </c>
      <c r="AI164" s="322">
        <f>IF($AH164=0,0,AI$155*VLOOKUP($AG163,Products!$A$59:$H$158,8,FALSE))</f>
        <v>0</v>
      </c>
      <c r="AJ164" s="322">
        <f>IF($AH164=0,0,AJ$155*VLOOKUP($AG163,Products!$A$59:$H$158,8,FALSE))</f>
        <v>0</v>
      </c>
      <c r="AK164" s="8">
        <f>IF(OR(AL164=0,ISNUMBER(MATCH(AL164,$AL$55:AL163,0))),0,MAX($AK$55:AK163)+1)</f>
        <v>0</v>
      </c>
      <c r="AL164" s="8">
        <f t="shared" si="53"/>
        <v>0</v>
      </c>
      <c r="AM164" s="314"/>
      <c r="AN164" s="314"/>
      <c r="AO164" s="314"/>
      <c r="AP164" s="8"/>
      <c r="AQ164" s="8"/>
      <c r="AR164" s="8"/>
      <c r="AS164" s="8"/>
      <c r="AT164" s="8"/>
      <c r="AU164" s="8"/>
      <c r="AV164" s="8"/>
      <c r="AW164" s="307" t="str">
        <f t="shared" si="75"/>
        <v>AAAAAAAAA</v>
      </c>
      <c r="AX164" s="8">
        <f>IF($AW$155="",0,VLOOKUP($AW163,Products!$A$59:$E$158,5,FALSE))</f>
        <v>0</v>
      </c>
      <c r="AY164" s="322">
        <f>IF($AX164=0,0,AY$155*VLOOKUP($AW163,Products!$A$59:$H$158,8,FALSE))</f>
        <v>0</v>
      </c>
      <c r="AZ164" s="323">
        <f>IF($AX164=0,0,AZ$155*VLOOKUP($AW163,Products!$A$59:$H$158,8,FALSE))</f>
        <v>0</v>
      </c>
      <c r="BA164" s="8">
        <f>IF(OR(BB164=0,ISNUMBER(MATCH(BB164,$BB$55:BB163,0))),0,MAX($BA$55:BA163)+1)</f>
        <v>0</v>
      </c>
      <c r="BB164" s="8">
        <f t="shared" si="55"/>
        <v>0</v>
      </c>
      <c r="BC164" s="314"/>
      <c r="BD164" s="314"/>
      <c r="BE164" s="314"/>
      <c r="BL164" s="90"/>
    </row>
    <row r="165" spans="1:64" ht="15" thickBot="1" x14ac:dyDescent="0.25">
      <c r="A165" s="308" t="str">
        <f t="shared" si="72"/>
        <v>AAAAAAAAAA</v>
      </c>
      <c r="B165" s="309">
        <f>IF($A$155="",0,VLOOKUP($A164,Products!$A$59:$E$158,5,FALSE))</f>
        <v>0</v>
      </c>
      <c r="C165" s="324">
        <f>IF($B165=0,0,C$155*VLOOKUP($A164,Products!$A$59:$H$158,8,FALSE))</f>
        <v>0</v>
      </c>
      <c r="D165" s="325">
        <f>IF($B165=0,0,D$155*VLOOKUP($A164,Products!$A$59:$H$158,8,FALSE))</f>
        <v>0</v>
      </c>
      <c r="E165" s="8"/>
      <c r="F165" s="309">
        <f>IF(OR(G165=0,ISNUMBER(MATCH(G165,$G$55:G164,0))),0,MAX($F$55:F164)+1)</f>
        <v>0</v>
      </c>
      <c r="G165" s="309">
        <f t="shared" si="50"/>
        <v>0</v>
      </c>
      <c r="H165" s="315"/>
      <c r="I165" s="315"/>
      <c r="J165" s="315"/>
      <c r="K165" s="309"/>
      <c r="L165" s="309"/>
      <c r="M165" s="309"/>
      <c r="N165" s="309"/>
      <c r="O165" s="309"/>
      <c r="P165" s="309"/>
      <c r="Q165" s="308" t="str">
        <f t="shared" si="73"/>
        <v>AAAAAAAAAA</v>
      </c>
      <c r="R165" s="309">
        <f>IF($Q$155="",0,VLOOKUP($Q164,Products!$A$59:$E$158,5,FALSE))</f>
        <v>0</v>
      </c>
      <c r="S165" s="322">
        <f>IF($R165=0,0,S$155*VLOOKUP($Q164,Products!$A$59:$H$158,8,FALSE))</f>
        <v>0</v>
      </c>
      <c r="T165" s="322">
        <f>IF($R165=0,0,T$155*VLOOKUP($Q164,Products!$A$59:$H$158,8,FALSE))</f>
        <v>0</v>
      </c>
      <c r="U165" s="309">
        <f>IF(OR(V165=0,ISNUMBER(MATCH(V165,$V$55:V164,0))),0,MAX($U$55:U164)+1)</f>
        <v>0</v>
      </c>
      <c r="V165" s="309">
        <f t="shared" si="52"/>
        <v>0</v>
      </c>
      <c r="W165" s="315"/>
      <c r="X165" s="315"/>
      <c r="Y165" s="315"/>
      <c r="Z165" s="309"/>
      <c r="AA165" s="309"/>
      <c r="AB165" s="309"/>
      <c r="AC165" s="309"/>
      <c r="AD165" s="309"/>
      <c r="AE165" s="309"/>
      <c r="AF165" s="309"/>
      <c r="AG165" s="308" t="str">
        <f t="shared" si="74"/>
        <v>AAAAAAAAAA</v>
      </c>
      <c r="AH165" s="309">
        <f>IF($AG$155="",0,VLOOKUP($AG164,Products!$A$59:$E$158,5,FALSE))</f>
        <v>0</v>
      </c>
      <c r="AI165" s="322">
        <f>IF($AH165=0,0,AI$155*VLOOKUP($AG164,Products!$A$59:$H$158,8,FALSE))</f>
        <v>0</v>
      </c>
      <c r="AJ165" s="322">
        <f>IF($AH165=0,0,AJ$155*VLOOKUP($AG164,Products!$A$59:$H$158,8,FALSE))</f>
        <v>0</v>
      </c>
      <c r="AK165" s="309">
        <f>IF(OR(AL165=0,ISNUMBER(MATCH(AL165,$AL$55:AL164,0))),0,MAX($AK$55:AK164)+1)</f>
        <v>0</v>
      </c>
      <c r="AL165" s="309">
        <f t="shared" si="53"/>
        <v>0</v>
      </c>
      <c r="AM165" s="315"/>
      <c r="AN165" s="315"/>
      <c r="AO165" s="315"/>
      <c r="AP165" s="309"/>
      <c r="AQ165" s="309"/>
      <c r="AR165" s="309"/>
      <c r="AS165" s="309"/>
      <c r="AT165" s="309"/>
      <c r="AU165" s="309"/>
      <c r="AV165" s="309"/>
      <c r="AW165" s="308" t="str">
        <f t="shared" si="75"/>
        <v>AAAAAAAAAA</v>
      </c>
      <c r="AX165" s="309">
        <f>IF($AW$155="",0,VLOOKUP($AW164,Products!$A$59:$E$158,5,FALSE))</f>
        <v>0</v>
      </c>
      <c r="AY165" s="324">
        <f>IF($AX165=0,0,AY$155*VLOOKUP($AW164,Products!$A$59:$H$158,8,FALSE))</f>
        <v>0</v>
      </c>
      <c r="AZ165" s="325">
        <f>IF($AX165=0,0,AZ$155*VLOOKUP($AW164,Products!$A$59:$H$158,8,FALSE))</f>
        <v>0</v>
      </c>
      <c r="BA165" s="309">
        <f>IF(OR(BB165=0,ISNUMBER(MATCH(BB165,$BB$55:BB164,0))),0,MAX($BA$55:BA164)+1)</f>
        <v>0</v>
      </c>
      <c r="BB165" s="309">
        <f t="shared" si="55"/>
        <v>0</v>
      </c>
      <c r="BC165" s="315"/>
      <c r="BD165" s="315"/>
      <c r="BE165" s="315"/>
      <c r="BF165" s="92"/>
      <c r="BG165" s="92"/>
      <c r="BH165" s="92"/>
      <c r="BI165" s="92"/>
      <c r="BJ165" s="92"/>
      <c r="BK165" s="92"/>
      <c r="BL165" s="50"/>
    </row>
    <row r="166" spans="1:64" ht="15" customHeight="1" thickBot="1" x14ac:dyDescent="0.25">
      <c r="A166" s="1161" t="s">
        <v>10597</v>
      </c>
      <c r="B166" s="1162"/>
      <c r="C166" s="1162"/>
      <c r="D166" s="1162"/>
      <c r="E166" s="1163"/>
    </row>
    <row r="167" spans="1:64" ht="15" customHeight="1" x14ac:dyDescent="0.2">
      <c r="A167" s="316"/>
      <c r="B167" s="316" t="s">
        <v>10160</v>
      </c>
      <c r="C167" s="316" t="s">
        <v>8916</v>
      </c>
      <c r="D167" s="316" t="s">
        <v>10161</v>
      </c>
      <c r="E167" s="316" t="s">
        <v>282</v>
      </c>
    </row>
    <row r="168" spans="1:64" ht="15" x14ac:dyDescent="0.2">
      <c r="A168" s="79" t="s">
        <v>178</v>
      </c>
      <c r="B168" s="79" t="s">
        <v>8741</v>
      </c>
      <c r="C168" s="79" t="s">
        <v>8741</v>
      </c>
      <c r="D168" s="79" t="s">
        <v>8741</v>
      </c>
      <c r="E168" s="79" t="s">
        <v>8741</v>
      </c>
    </row>
    <row r="169" spans="1:64" x14ac:dyDescent="0.2">
      <c r="A169" t="s">
        <v>267</v>
      </c>
      <c r="B169">
        <f>SUMIFS($I$57:$I$156,$H$57:$H$156,"7783-06-4")</f>
        <v>0</v>
      </c>
      <c r="C169">
        <f>SUMIFS($X$57:$X$156,$W$57:$W$156,"7783-06-4")</f>
        <v>0</v>
      </c>
      <c r="D169">
        <f>SUMIFS($AN$57:$AN$156,$AM$57:$AM$156,"7783-06-4")</f>
        <v>0</v>
      </c>
      <c r="E169">
        <f>SUMIFS($BD$57:$BD$156,$BC$57:$BC$156,"7783-06-4")</f>
        <v>0</v>
      </c>
    </row>
    <row r="170" spans="1:64" x14ac:dyDescent="0.2">
      <c r="A170" t="s">
        <v>266</v>
      </c>
      <c r="B170">
        <f>B$169*(64.06/34.08)</f>
        <v>0</v>
      </c>
      <c r="C170">
        <f t="shared" ref="C170:D170" si="76">C$169*(64.06/34.08)</f>
        <v>0</v>
      </c>
      <c r="D170">
        <f t="shared" si="76"/>
        <v>0</v>
      </c>
      <c r="E170" s="281"/>
    </row>
    <row r="171" spans="1:64" x14ac:dyDescent="0.2">
      <c r="A171" t="s">
        <v>9092</v>
      </c>
      <c r="B171" s="77"/>
      <c r="C171" s="281"/>
      <c r="D171" s="281"/>
      <c r="E171">
        <f>SUMIFS($BD$57:$BD$156,$BC$57:$BC$156,"7664-93-9")</f>
        <v>0</v>
      </c>
    </row>
  </sheetData>
  <sheetProtection algorithmName="SHA-512" hashValue="uEVkl6B23m6+F7O1GqX6TzpAQLhvsNbKI7bNB4lVs7ApPZcIGEayKdD7Dek4m+rPJiq/gZ1HbjVaCOd4gLe3bQ==" saltValue="5ao/4xCxjkAQYIxoxyowng==" spinCount="100000" sheet="1" objects="1" scenarios="1" formatColumns="0" formatRows="0"/>
  <mergeCells count="13">
    <mergeCell ref="A166:E166"/>
    <mergeCell ref="AG1:AN1"/>
    <mergeCell ref="AO1:AV1"/>
    <mergeCell ref="AW1:BD1"/>
    <mergeCell ref="BE1:BL1"/>
    <mergeCell ref="A54:P54"/>
    <mergeCell ref="Q54:AF54"/>
    <mergeCell ref="AG54:AV54"/>
    <mergeCell ref="AW54:BL54"/>
    <mergeCell ref="I1:P1"/>
    <mergeCell ref="A1:H1"/>
    <mergeCell ref="Q1:X1"/>
    <mergeCell ref="Y1:AF1"/>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6771F6-0EB2-4B2D-8452-3230083EF970}">
  <sheetPr codeName="Sheet3">
    <tabColor theme="8" tint="0.39997558519241921"/>
  </sheetPr>
  <dimension ref="A1:H271"/>
  <sheetViews>
    <sheetView showGridLines="0" zoomScaleNormal="100" workbookViewId="0">
      <selection sqref="A1:G1"/>
    </sheetView>
  </sheetViews>
  <sheetFormatPr defaultColWidth="0" defaultRowHeight="14.25" zeroHeight="1" x14ac:dyDescent="0.2"/>
  <cols>
    <col min="1" max="7" width="14.75" customWidth="1"/>
    <col min="8" max="8" width="2.625" customWidth="1"/>
    <col min="9" max="16384" width="9" hidden="1"/>
  </cols>
  <sheetData>
    <row r="1" spans="1:7" ht="8.25" customHeight="1" thickBot="1" x14ac:dyDescent="0.25">
      <c r="A1" s="601" t="s">
        <v>0</v>
      </c>
      <c r="B1" s="601"/>
      <c r="C1" s="601"/>
      <c r="D1" s="601"/>
      <c r="E1" s="601"/>
      <c r="F1" s="601"/>
      <c r="G1" s="601"/>
    </row>
    <row r="2" spans="1:7" ht="18.75" thickBot="1" x14ac:dyDescent="0.25">
      <c r="A2" s="525" t="s">
        <v>2</v>
      </c>
      <c r="B2" s="525"/>
      <c r="C2" s="525"/>
      <c r="D2" s="525"/>
      <c r="E2" s="525"/>
      <c r="F2" s="525"/>
      <c r="G2" s="525"/>
    </row>
    <row r="3" spans="1:7" ht="77.25" customHeight="1" thickBot="1" x14ac:dyDescent="0.25">
      <c r="A3" s="523" t="s">
        <v>10651</v>
      </c>
      <c r="B3" s="602"/>
      <c r="C3" s="602"/>
      <c r="D3" s="602"/>
      <c r="E3" s="602"/>
      <c r="F3" s="602"/>
      <c r="G3" s="524"/>
    </row>
    <row r="4" spans="1:7" ht="15" thickBot="1" x14ac:dyDescent="0.25">
      <c r="A4" s="478" t="s">
        <v>1</v>
      </c>
      <c r="B4" s="478"/>
      <c r="C4" s="478"/>
      <c r="D4" s="478"/>
      <c r="E4" s="478"/>
      <c r="F4" s="478"/>
      <c r="G4" s="478"/>
    </row>
    <row r="5" spans="1:7" ht="15" customHeight="1" thickBot="1" x14ac:dyDescent="0.25">
      <c r="A5" s="474" t="s">
        <v>9699</v>
      </c>
      <c r="B5" s="474"/>
      <c r="C5" s="474"/>
      <c r="D5" s="474"/>
      <c r="E5" s="474"/>
      <c r="F5" s="474"/>
      <c r="G5" s="474"/>
    </row>
    <row r="6" spans="1:7" ht="15" customHeight="1" x14ac:dyDescent="0.2">
      <c r="A6" s="605" t="s">
        <v>3</v>
      </c>
      <c r="B6" s="606"/>
      <c r="C6" s="606"/>
      <c r="D6" s="606"/>
      <c r="E6" s="606"/>
      <c r="F6" s="606"/>
      <c r="G6" s="607"/>
    </row>
    <row r="7" spans="1:7" ht="60" customHeight="1" x14ac:dyDescent="0.2">
      <c r="A7" s="603" t="s">
        <v>4</v>
      </c>
      <c r="B7" s="604"/>
      <c r="C7" s="604"/>
      <c r="D7" s="604"/>
      <c r="E7" s="604"/>
      <c r="F7" s="604"/>
      <c r="G7" s="38"/>
    </row>
    <row r="8" spans="1:7" ht="15" customHeight="1" x14ac:dyDescent="0.2">
      <c r="A8" s="597" t="s">
        <v>9691</v>
      </c>
      <c r="B8" s="598"/>
      <c r="C8" s="598"/>
      <c r="D8" s="598"/>
      <c r="E8" s="598"/>
      <c r="F8" s="598"/>
      <c r="G8" s="38"/>
    </row>
    <row r="9" spans="1:7" ht="72.75" customHeight="1" x14ac:dyDescent="0.2">
      <c r="A9" s="597" t="s">
        <v>10035</v>
      </c>
      <c r="B9" s="598"/>
      <c r="C9" s="598"/>
      <c r="D9" s="598"/>
      <c r="E9" s="598"/>
      <c r="F9" s="598"/>
      <c r="G9" s="38"/>
    </row>
    <row r="10" spans="1:7" ht="45" customHeight="1" x14ac:dyDescent="0.2">
      <c r="A10" s="597" t="s">
        <v>9708</v>
      </c>
      <c r="B10" s="598"/>
      <c r="C10" s="598"/>
      <c r="D10" s="598"/>
      <c r="E10" s="598"/>
      <c r="F10" s="598"/>
      <c r="G10" s="38"/>
    </row>
    <row r="11" spans="1:7" ht="32.25" customHeight="1" x14ac:dyDescent="0.2">
      <c r="A11" s="597" t="s">
        <v>9294</v>
      </c>
      <c r="B11" s="598"/>
      <c r="C11" s="598"/>
      <c r="D11" s="598"/>
      <c r="E11" s="598"/>
      <c r="F11" s="598"/>
      <c r="G11" s="38"/>
    </row>
    <row r="12" spans="1:7" ht="45" customHeight="1" x14ac:dyDescent="0.2">
      <c r="A12" s="597" t="s">
        <v>10905</v>
      </c>
      <c r="B12" s="598"/>
      <c r="C12" s="598"/>
      <c r="D12" s="598"/>
      <c r="E12" s="598"/>
      <c r="F12" s="598"/>
      <c r="G12" s="38"/>
    </row>
    <row r="13" spans="1:7" ht="30.75" customHeight="1" x14ac:dyDescent="0.2">
      <c r="A13" s="597" t="s">
        <v>10830</v>
      </c>
      <c r="B13" s="598"/>
      <c r="C13" s="598"/>
      <c r="D13" s="598"/>
      <c r="E13" s="598"/>
      <c r="F13" s="598"/>
      <c r="G13" s="38"/>
    </row>
    <row r="14" spans="1:7" ht="30.75" customHeight="1" x14ac:dyDescent="0.2">
      <c r="A14" s="597" t="s">
        <v>11004</v>
      </c>
      <c r="B14" s="598"/>
      <c r="C14" s="598"/>
      <c r="D14" s="598"/>
      <c r="E14" s="598"/>
      <c r="F14" s="598"/>
      <c r="G14" s="38"/>
    </row>
    <row r="15" spans="1:7" ht="32.25" customHeight="1" x14ac:dyDescent="0.2">
      <c r="A15" s="597" t="s">
        <v>9692</v>
      </c>
      <c r="B15" s="598"/>
      <c r="C15" s="598"/>
      <c r="D15" s="598"/>
      <c r="E15" s="598"/>
      <c r="F15" s="598"/>
      <c r="G15" s="38"/>
    </row>
    <row r="16" spans="1:7" ht="15" customHeight="1" x14ac:dyDescent="0.2">
      <c r="A16" s="597" t="s">
        <v>9925</v>
      </c>
      <c r="B16" s="598"/>
      <c r="C16" s="598"/>
      <c r="D16" s="598"/>
      <c r="E16" s="598"/>
      <c r="F16" s="598"/>
      <c r="G16" s="38"/>
    </row>
    <row r="17" spans="1:7" ht="30" customHeight="1" x14ac:dyDescent="0.2">
      <c r="A17" s="597" t="s">
        <v>9705</v>
      </c>
      <c r="B17" s="598"/>
      <c r="C17" s="598"/>
      <c r="D17" s="598"/>
      <c r="E17" s="598"/>
      <c r="F17" s="598"/>
      <c r="G17" s="38"/>
    </row>
    <row r="18" spans="1:7" ht="30.75" customHeight="1" x14ac:dyDescent="0.2">
      <c r="A18" s="597" t="s">
        <v>9704</v>
      </c>
      <c r="B18" s="598"/>
      <c r="C18" s="598"/>
      <c r="D18" s="598"/>
      <c r="E18" s="598"/>
      <c r="F18" s="598"/>
      <c r="G18" s="38"/>
    </row>
    <row r="19" spans="1:7" ht="46.5" customHeight="1" x14ac:dyDescent="0.2">
      <c r="A19" s="597" t="s">
        <v>10820</v>
      </c>
      <c r="B19" s="598"/>
      <c r="C19" s="598"/>
      <c r="D19" s="598"/>
      <c r="E19" s="598"/>
      <c r="F19" s="598"/>
      <c r="G19" s="38"/>
    </row>
    <row r="20" spans="1:7" ht="15" customHeight="1" x14ac:dyDescent="0.2">
      <c r="A20" s="597" t="s">
        <v>10819</v>
      </c>
      <c r="B20" s="598"/>
      <c r="C20" s="598"/>
      <c r="D20" s="598"/>
      <c r="E20" s="598"/>
      <c r="F20" s="598"/>
      <c r="G20" s="38"/>
    </row>
    <row r="21" spans="1:7" ht="74.25" customHeight="1" x14ac:dyDescent="0.2">
      <c r="A21" s="608" t="s">
        <v>10807</v>
      </c>
      <c r="B21" s="609"/>
      <c r="C21" s="609"/>
      <c r="D21" s="609"/>
      <c r="E21" s="609"/>
      <c r="F21" s="610"/>
      <c r="G21" s="38"/>
    </row>
    <row r="22" spans="1:7" ht="31.5" customHeight="1" x14ac:dyDescent="0.2">
      <c r="A22" s="597" t="s">
        <v>10178</v>
      </c>
      <c r="B22" s="598"/>
      <c r="C22" s="598"/>
      <c r="D22" s="598"/>
      <c r="E22" s="598"/>
      <c r="F22" s="598"/>
      <c r="G22" s="38"/>
    </row>
    <row r="23" spans="1:7" ht="45.75" customHeight="1" x14ac:dyDescent="0.2">
      <c r="A23" s="597" t="s">
        <v>10904</v>
      </c>
      <c r="B23" s="598"/>
      <c r="C23" s="598"/>
      <c r="D23" s="598"/>
      <c r="E23" s="598"/>
      <c r="F23" s="598"/>
      <c r="G23" s="38"/>
    </row>
    <row r="24" spans="1:7" ht="59.25" customHeight="1" x14ac:dyDescent="0.2">
      <c r="A24" s="597" t="s">
        <v>11005</v>
      </c>
      <c r="B24" s="598"/>
      <c r="C24" s="598"/>
      <c r="D24" s="598"/>
      <c r="E24" s="598"/>
      <c r="F24" s="598"/>
      <c r="G24" s="38"/>
    </row>
    <row r="25" spans="1:7" ht="85.5" customHeight="1" thickBot="1" x14ac:dyDescent="0.25">
      <c r="A25" s="613" t="s">
        <v>10835</v>
      </c>
      <c r="B25" s="614"/>
      <c r="C25" s="614"/>
      <c r="D25" s="614"/>
      <c r="E25" s="614"/>
      <c r="F25" s="614"/>
      <c r="G25" s="39"/>
    </row>
    <row r="26" spans="1:7" ht="15" thickBot="1" x14ac:dyDescent="0.25">
      <c r="A26" s="478" t="s">
        <v>1</v>
      </c>
      <c r="B26" s="478"/>
      <c r="C26" s="478"/>
      <c r="D26" s="478"/>
      <c r="E26" s="478"/>
      <c r="F26" s="478"/>
      <c r="G26" s="478"/>
    </row>
    <row r="27" spans="1:7" ht="15" customHeight="1" thickBot="1" x14ac:dyDescent="0.25">
      <c r="A27" s="479" t="s">
        <v>5</v>
      </c>
      <c r="B27" s="479"/>
      <c r="C27" s="479"/>
      <c r="D27" s="479"/>
      <c r="E27" s="479"/>
      <c r="F27" s="479"/>
      <c r="G27" s="479"/>
    </row>
    <row r="28" spans="1:7" ht="15" customHeight="1" x14ac:dyDescent="0.2">
      <c r="A28" s="539" t="s">
        <v>6</v>
      </c>
      <c r="B28" s="540"/>
      <c r="C28" s="540"/>
      <c r="D28" s="540"/>
      <c r="E28" s="540"/>
      <c r="F28" s="540"/>
      <c r="G28" s="541"/>
    </row>
    <row r="29" spans="1:7" ht="35.25" customHeight="1" x14ac:dyDescent="0.2">
      <c r="A29" s="528" t="s">
        <v>7</v>
      </c>
      <c r="B29" s="529"/>
      <c r="C29" s="529"/>
      <c r="D29" s="615"/>
      <c r="E29" s="615"/>
      <c r="F29" s="615"/>
      <c r="G29" s="616"/>
    </row>
    <row r="30" spans="1:7" ht="43.5" customHeight="1" x14ac:dyDescent="0.2">
      <c r="A30" s="530" t="s">
        <v>9435</v>
      </c>
      <c r="B30" s="531"/>
      <c r="C30" s="531"/>
      <c r="D30" s="531"/>
      <c r="E30" s="531"/>
      <c r="F30" s="531"/>
      <c r="G30" s="538"/>
    </row>
    <row r="31" spans="1:7" ht="15" customHeight="1" x14ac:dyDescent="0.2">
      <c r="A31" s="471" t="s">
        <v>8</v>
      </c>
      <c r="B31" s="472"/>
      <c r="C31" s="472"/>
      <c r="D31" s="472"/>
      <c r="E31" s="472"/>
      <c r="F31" s="472"/>
      <c r="G31" s="473"/>
    </row>
    <row r="32" spans="1:7" ht="35.25" customHeight="1" thickBot="1" x14ac:dyDescent="0.25">
      <c r="A32" s="483" t="s">
        <v>9</v>
      </c>
      <c r="B32" s="484"/>
      <c r="C32" s="484"/>
      <c r="D32" s="611"/>
      <c r="E32" s="611"/>
      <c r="F32" s="611"/>
      <c r="G32" s="612"/>
    </row>
    <row r="33" spans="1:7" ht="15" customHeight="1" x14ac:dyDescent="0.2">
      <c r="A33" s="539" t="s">
        <v>10</v>
      </c>
      <c r="B33" s="540"/>
      <c r="C33" s="540"/>
      <c r="D33" s="540"/>
      <c r="E33" s="540"/>
      <c r="F33" s="540"/>
      <c r="G33" s="541"/>
    </row>
    <row r="34" spans="1:7" ht="15" customHeight="1" x14ac:dyDescent="0.2">
      <c r="A34" s="528" t="s">
        <v>11</v>
      </c>
      <c r="B34" s="529"/>
      <c r="C34" s="579"/>
      <c r="D34" s="579"/>
      <c r="E34" s="579"/>
      <c r="F34" s="579"/>
      <c r="G34" s="580"/>
    </row>
    <row r="35" spans="1:7" ht="15" customHeight="1" x14ac:dyDescent="0.2">
      <c r="A35" s="528" t="s">
        <v>12</v>
      </c>
      <c r="B35" s="529"/>
      <c r="C35" s="579"/>
      <c r="D35" s="579"/>
      <c r="E35" s="579"/>
      <c r="F35" s="579"/>
      <c r="G35" s="580"/>
    </row>
    <row r="36" spans="1:7" ht="15" customHeight="1" x14ac:dyDescent="0.2">
      <c r="A36" s="528" t="s">
        <v>13</v>
      </c>
      <c r="B36" s="529"/>
      <c r="C36" s="579"/>
      <c r="D36" s="579"/>
      <c r="E36" s="579"/>
      <c r="F36" s="579"/>
      <c r="G36" s="580"/>
    </row>
    <row r="37" spans="1:7" ht="15" customHeight="1" x14ac:dyDescent="0.2">
      <c r="A37" s="528" t="s">
        <v>14</v>
      </c>
      <c r="B37" s="529"/>
      <c r="C37" s="579"/>
      <c r="D37" s="579"/>
      <c r="E37" s="579"/>
      <c r="F37" s="579"/>
      <c r="G37" s="580"/>
    </row>
    <row r="38" spans="1:7" ht="15" customHeight="1" x14ac:dyDescent="0.2">
      <c r="A38" s="528" t="s">
        <v>15</v>
      </c>
      <c r="B38" s="529"/>
      <c r="C38" s="579"/>
      <c r="D38" s="579"/>
      <c r="E38" s="579"/>
      <c r="F38" s="579"/>
      <c r="G38" s="580"/>
    </row>
    <row r="39" spans="1:7" ht="15" customHeight="1" x14ac:dyDescent="0.2">
      <c r="A39" s="528" t="s">
        <v>16</v>
      </c>
      <c r="B39" s="529"/>
      <c r="C39" s="579"/>
      <c r="D39" s="579"/>
      <c r="E39" s="579"/>
      <c r="F39" s="579"/>
      <c r="G39" s="580"/>
    </row>
    <row r="40" spans="1:7" ht="15" customHeight="1" x14ac:dyDescent="0.2">
      <c r="A40" s="528" t="s">
        <v>17</v>
      </c>
      <c r="B40" s="529"/>
      <c r="C40" s="579"/>
      <c r="D40" s="579"/>
      <c r="E40" s="579"/>
      <c r="F40" s="579"/>
      <c r="G40" s="580"/>
    </row>
    <row r="41" spans="1:7" ht="15" customHeight="1" x14ac:dyDescent="0.2">
      <c r="A41" s="528" t="s">
        <v>18</v>
      </c>
      <c r="B41" s="529"/>
      <c r="C41" s="579"/>
      <c r="D41" s="579"/>
      <c r="E41" s="579"/>
      <c r="F41" s="579"/>
      <c r="G41" s="580"/>
    </row>
    <row r="42" spans="1:7" ht="15" customHeight="1" x14ac:dyDescent="0.2">
      <c r="A42" s="528" t="s">
        <v>19</v>
      </c>
      <c r="B42" s="529"/>
      <c r="C42" s="579"/>
      <c r="D42" s="579"/>
      <c r="E42" s="579"/>
      <c r="F42" s="579"/>
      <c r="G42" s="580"/>
    </row>
    <row r="43" spans="1:7" ht="15" customHeight="1" x14ac:dyDescent="0.2">
      <c r="A43" s="528" t="s">
        <v>20</v>
      </c>
      <c r="B43" s="529"/>
      <c r="C43" s="579"/>
      <c r="D43" s="579"/>
      <c r="E43" s="579"/>
      <c r="F43" s="579"/>
      <c r="G43" s="580"/>
    </row>
    <row r="44" spans="1:7" ht="15" customHeight="1" x14ac:dyDescent="0.2">
      <c r="A44" s="528" t="s">
        <v>21</v>
      </c>
      <c r="B44" s="529"/>
      <c r="C44" s="579"/>
      <c r="D44" s="579"/>
      <c r="E44" s="579"/>
      <c r="F44" s="579"/>
      <c r="G44" s="580"/>
    </row>
    <row r="45" spans="1:7" ht="15" customHeight="1" thickBot="1" x14ac:dyDescent="0.25">
      <c r="A45" s="548" t="s">
        <v>22</v>
      </c>
      <c r="B45" s="549"/>
      <c r="C45" s="577"/>
      <c r="D45" s="577"/>
      <c r="E45" s="577"/>
      <c r="F45" s="577"/>
      <c r="G45" s="578"/>
    </row>
    <row r="46" spans="1:7" ht="31.5" customHeight="1" x14ac:dyDescent="0.2">
      <c r="A46" s="539" t="s">
        <v>8673</v>
      </c>
      <c r="B46" s="540"/>
      <c r="C46" s="540"/>
      <c r="D46" s="540"/>
      <c r="E46" s="540"/>
      <c r="F46" s="540"/>
      <c r="G46" s="541"/>
    </row>
    <row r="47" spans="1:7" ht="15" customHeight="1" x14ac:dyDescent="0.2">
      <c r="A47" s="528" t="s">
        <v>11</v>
      </c>
      <c r="B47" s="529"/>
      <c r="C47" s="579"/>
      <c r="D47" s="579"/>
      <c r="E47" s="579"/>
      <c r="F47" s="579"/>
      <c r="G47" s="580"/>
    </row>
    <row r="48" spans="1:7" ht="15" customHeight="1" x14ac:dyDescent="0.2">
      <c r="A48" s="528" t="s">
        <v>12</v>
      </c>
      <c r="B48" s="529"/>
      <c r="C48" s="579"/>
      <c r="D48" s="579"/>
      <c r="E48" s="579"/>
      <c r="F48" s="579"/>
      <c r="G48" s="580"/>
    </row>
    <row r="49" spans="1:7" ht="15" customHeight="1" x14ac:dyDescent="0.2">
      <c r="A49" s="528" t="s">
        <v>13</v>
      </c>
      <c r="B49" s="529"/>
      <c r="C49" s="579"/>
      <c r="D49" s="579"/>
      <c r="E49" s="579"/>
      <c r="F49" s="579"/>
      <c r="G49" s="580"/>
    </row>
    <row r="50" spans="1:7" ht="15" customHeight="1" x14ac:dyDescent="0.2">
      <c r="A50" s="528" t="s">
        <v>14</v>
      </c>
      <c r="B50" s="529"/>
      <c r="C50" s="579"/>
      <c r="D50" s="579"/>
      <c r="E50" s="579"/>
      <c r="F50" s="579"/>
      <c r="G50" s="580"/>
    </row>
    <row r="51" spans="1:7" ht="15" customHeight="1" x14ac:dyDescent="0.2">
      <c r="A51" s="528" t="s">
        <v>7</v>
      </c>
      <c r="B51" s="529"/>
      <c r="C51" s="579"/>
      <c r="D51" s="579"/>
      <c r="E51" s="579"/>
      <c r="F51" s="579"/>
      <c r="G51" s="580"/>
    </row>
    <row r="52" spans="1:7" ht="15" customHeight="1" x14ac:dyDescent="0.2">
      <c r="A52" s="528" t="s">
        <v>15</v>
      </c>
      <c r="B52" s="529"/>
      <c r="C52" s="579"/>
      <c r="D52" s="579"/>
      <c r="E52" s="579"/>
      <c r="F52" s="579"/>
      <c r="G52" s="580"/>
    </row>
    <row r="53" spans="1:7" ht="15" customHeight="1" x14ac:dyDescent="0.2">
      <c r="A53" s="528" t="s">
        <v>16</v>
      </c>
      <c r="B53" s="529"/>
      <c r="C53" s="579"/>
      <c r="D53" s="579"/>
      <c r="E53" s="579"/>
      <c r="F53" s="579"/>
      <c r="G53" s="580"/>
    </row>
    <row r="54" spans="1:7" ht="15" customHeight="1" x14ac:dyDescent="0.2">
      <c r="A54" s="528" t="s">
        <v>17</v>
      </c>
      <c r="B54" s="529"/>
      <c r="C54" s="579"/>
      <c r="D54" s="579"/>
      <c r="E54" s="579"/>
      <c r="F54" s="579"/>
      <c r="G54" s="580"/>
    </row>
    <row r="55" spans="1:7" ht="15" customHeight="1" x14ac:dyDescent="0.2">
      <c r="A55" s="528" t="s">
        <v>18</v>
      </c>
      <c r="B55" s="529"/>
      <c r="C55" s="579"/>
      <c r="D55" s="579"/>
      <c r="E55" s="579"/>
      <c r="F55" s="579"/>
      <c r="G55" s="580"/>
    </row>
    <row r="56" spans="1:7" ht="15" customHeight="1" x14ac:dyDescent="0.2">
      <c r="A56" s="528" t="s">
        <v>19</v>
      </c>
      <c r="B56" s="529"/>
      <c r="C56" s="579"/>
      <c r="D56" s="579"/>
      <c r="E56" s="579"/>
      <c r="F56" s="579"/>
      <c r="G56" s="580"/>
    </row>
    <row r="57" spans="1:7" ht="15" customHeight="1" x14ac:dyDescent="0.2">
      <c r="A57" s="528" t="s">
        <v>20</v>
      </c>
      <c r="B57" s="529"/>
      <c r="C57" s="579"/>
      <c r="D57" s="579"/>
      <c r="E57" s="579"/>
      <c r="F57" s="579"/>
      <c r="G57" s="580"/>
    </row>
    <row r="58" spans="1:7" ht="15" customHeight="1" x14ac:dyDescent="0.2">
      <c r="A58" s="528" t="s">
        <v>21</v>
      </c>
      <c r="B58" s="529"/>
      <c r="C58" s="579"/>
      <c r="D58" s="579"/>
      <c r="E58" s="579"/>
      <c r="F58" s="579"/>
      <c r="G58" s="580"/>
    </row>
    <row r="59" spans="1:7" ht="15" customHeight="1" thickBot="1" x14ac:dyDescent="0.25">
      <c r="A59" s="548" t="s">
        <v>22</v>
      </c>
      <c r="B59" s="549"/>
      <c r="C59" s="577"/>
      <c r="D59" s="577"/>
      <c r="E59" s="577"/>
      <c r="F59" s="577"/>
      <c r="G59" s="578"/>
    </row>
    <row r="60" spans="1:7" ht="15" customHeight="1" x14ac:dyDescent="0.2">
      <c r="A60" s="539" t="s">
        <v>23</v>
      </c>
      <c r="B60" s="540"/>
      <c r="C60" s="540"/>
      <c r="D60" s="540"/>
      <c r="E60" s="540"/>
      <c r="F60" s="540"/>
      <c r="G60" s="541"/>
    </row>
    <row r="61" spans="1:7" ht="63" customHeight="1" x14ac:dyDescent="0.2">
      <c r="A61" s="530" t="s">
        <v>10652</v>
      </c>
      <c r="B61" s="531"/>
      <c r="C61" s="531"/>
      <c r="D61" s="531"/>
      <c r="E61" s="531"/>
      <c r="F61" s="599"/>
      <c r="G61" s="600"/>
    </row>
    <row r="62" spans="1:7" ht="102.75" customHeight="1" x14ac:dyDescent="0.2">
      <c r="A62" s="530" t="s">
        <v>10653</v>
      </c>
      <c r="B62" s="531"/>
      <c r="C62" s="531"/>
      <c r="D62" s="531"/>
      <c r="E62" s="531"/>
      <c r="F62" s="599"/>
      <c r="G62" s="600"/>
    </row>
    <row r="63" spans="1:7" ht="15" customHeight="1" x14ac:dyDescent="0.2">
      <c r="A63" s="528" t="s">
        <v>8671</v>
      </c>
      <c r="B63" s="529"/>
      <c r="C63" s="529"/>
      <c r="D63" s="529"/>
      <c r="E63" s="529"/>
      <c r="F63" s="579"/>
      <c r="G63" s="580"/>
    </row>
    <row r="64" spans="1:7" ht="15" customHeight="1" thickBot="1" x14ac:dyDescent="0.25">
      <c r="A64" s="548" t="s">
        <v>24</v>
      </c>
      <c r="B64" s="549"/>
      <c r="C64" s="549"/>
      <c r="D64" s="549"/>
      <c r="E64" s="549"/>
      <c r="F64" s="577"/>
      <c r="G64" s="578"/>
    </row>
    <row r="65" spans="1:7" ht="15" thickBot="1" x14ac:dyDescent="0.25">
      <c r="A65" s="478" t="s">
        <v>1</v>
      </c>
      <c r="B65" s="478"/>
      <c r="C65" s="478"/>
      <c r="D65" s="478"/>
      <c r="E65" s="478"/>
      <c r="F65" s="478"/>
      <c r="G65" s="478"/>
    </row>
    <row r="66" spans="1:7" ht="15" customHeight="1" thickBot="1" x14ac:dyDescent="0.25">
      <c r="A66" s="479" t="s">
        <v>25</v>
      </c>
      <c r="B66" s="479"/>
      <c r="C66" s="479"/>
      <c r="D66" s="479"/>
      <c r="E66" s="479"/>
      <c r="F66" s="479"/>
      <c r="G66" s="479"/>
    </row>
    <row r="67" spans="1:7" ht="15" customHeight="1" x14ac:dyDescent="0.2">
      <c r="A67" s="528" t="s">
        <v>26</v>
      </c>
      <c r="B67" s="529"/>
      <c r="C67" s="529"/>
      <c r="D67" s="529"/>
      <c r="E67" s="529"/>
      <c r="F67" s="529"/>
      <c r="G67" s="38"/>
    </row>
    <row r="68" spans="1:7" ht="47.25" customHeight="1" x14ac:dyDescent="0.2">
      <c r="A68" s="530" t="s">
        <v>9436</v>
      </c>
      <c r="B68" s="531"/>
      <c r="C68" s="531"/>
      <c r="D68" s="531"/>
      <c r="E68" s="531"/>
      <c r="F68" s="531"/>
      <c r="G68" s="538"/>
    </row>
    <row r="69" spans="1:7" ht="15" customHeight="1" thickBot="1" x14ac:dyDescent="0.25">
      <c r="A69" s="515" t="s">
        <v>27</v>
      </c>
      <c r="B69" s="516"/>
      <c r="C69" s="516"/>
      <c r="D69" s="516"/>
      <c r="E69" s="516"/>
      <c r="F69" s="516"/>
      <c r="G69" s="517"/>
    </row>
    <row r="70" spans="1:7" ht="15" thickBot="1" x14ac:dyDescent="0.25">
      <c r="A70" s="478" t="s">
        <v>1</v>
      </c>
      <c r="B70" s="478"/>
      <c r="C70" s="478"/>
      <c r="D70" s="478"/>
      <c r="E70" s="478"/>
      <c r="F70" s="478"/>
      <c r="G70" s="478"/>
    </row>
    <row r="71" spans="1:7" ht="15" customHeight="1" thickBot="1" x14ac:dyDescent="0.25">
      <c r="A71" s="479" t="s">
        <v>28</v>
      </c>
      <c r="B71" s="479"/>
      <c r="C71" s="479"/>
      <c r="D71" s="479"/>
      <c r="E71" s="479"/>
      <c r="F71" s="479"/>
      <c r="G71" s="479"/>
    </row>
    <row r="72" spans="1:7" ht="15" customHeight="1" x14ac:dyDescent="0.2">
      <c r="A72" s="539" t="s">
        <v>29</v>
      </c>
      <c r="B72" s="540"/>
      <c r="C72" s="540"/>
      <c r="D72" s="540"/>
      <c r="E72" s="540"/>
      <c r="F72" s="540"/>
      <c r="G72" s="541"/>
    </row>
    <row r="73" spans="1:7" ht="30" customHeight="1" x14ac:dyDescent="0.2">
      <c r="A73" s="530" t="s">
        <v>30</v>
      </c>
      <c r="B73" s="531"/>
      <c r="C73" s="531"/>
      <c r="D73" s="579"/>
      <c r="E73" s="579"/>
      <c r="F73" s="579"/>
      <c r="G73" s="580"/>
    </row>
    <row r="74" spans="1:7" ht="15" customHeight="1" x14ac:dyDescent="0.2">
      <c r="A74" s="528" t="s">
        <v>31</v>
      </c>
      <c r="B74" s="529"/>
      <c r="C74" s="529"/>
      <c r="D74" s="579"/>
      <c r="E74" s="579"/>
      <c r="F74" s="579"/>
      <c r="G74" s="580"/>
    </row>
    <row r="75" spans="1:7" ht="44.25" customHeight="1" x14ac:dyDescent="0.2">
      <c r="A75" s="530" t="s">
        <v>32</v>
      </c>
      <c r="B75" s="531"/>
      <c r="C75" s="531"/>
      <c r="D75" s="579"/>
      <c r="E75" s="579"/>
      <c r="F75" s="579"/>
      <c r="G75" s="580"/>
    </row>
    <row r="76" spans="1:7" ht="44.25" customHeight="1" x14ac:dyDescent="0.2">
      <c r="A76" s="530" t="s">
        <v>33</v>
      </c>
      <c r="B76" s="531"/>
      <c r="C76" s="531"/>
      <c r="D76" s="579"/>
      <c r="E76" s="579"/>
      <c r="F76" s="579"/>
      <c r="G76" s="580"/>
    </row>
    <row r="77" spans="1:7" ht="76.5" customHeight="1" x14ac:dyDescent="0.2">
      <c r="A77" s="530" t="s">
        <v>34</v>
      </c>
      <c r="B77" s="531"/>
      <c r="C77" s="531"/>
      <c r="D77" s="579"/>
      <c r="E77" s="579"/>
      <c r="F77" s="579"/>
      <c r="G77" s="580"/>
    </row>
    <row r="78" spans="1:7" ht="15" customHeight="1" thickBot="1" x14ac:dyDescent="0.25">
      <c r="A78" s="587" t="s">
        <v>9957</v>
      </c>
      <c r="B78" s="588"/>
      <c r="C78" s="589"/>
      <c r="D78" s="557"/>
      <c r="E78" s="558"/>
      <c r="F78" s="558"/>
      <c r="G78" s="559"/>
    </row>
    <row r="79" spans="1:7" ht="15" customHeight="1" x14ac:dyDescent="0.2">
      <c r="A79" s="539" t="s">
        <v>35</v>
      </c>
      <c r="B79" s="540"/>
      <c r="C79" s="540"/>
      <c r="D79" s="540"/>
      <c r="E79" s="540"/>
      <c r="F79" s="540"/>
      <c r="G79" s="541"/>
    </row>
    <row r="80" spans="1:7" ht="15" customHeight="1" x14ac:dyDescent="0.2">
      <c r="A80" s="528" t="s">
        <v>9157</v>
      </c>
      <c r="B80" s="529"/>
      <c r="C80" s="529"/>
      <c r="D80" s="579"/>
      <c r="E80" s="579"/>
      <c r="F80" s="579"/>
      <c r="G80" s="580"/>
    </row>
    <row r="81" spans="1:7" ht="15" customHeight="1" x14ac:dyDescent="0.2">
      <c r="A81" s="528" t="s">
        <v>36</v>
      </c>
      <c r="B81" s="529"/>
      <c r="C81" s="529"/>
      <c r="D81" s="579"/>
      <c r="E81" s="579"/>
      <c r="F81" s="579"/>
      <c r="G81" s="580"/>
    </row>
    <row r="82" spans="1:7" ht="74.25" customHeight="1" x14ac:dyDescent="0.2">
      <c r="A82" s="530" t="s">
        <v>38</v>
      </c>
      <c r="B82" s="531"/>
      <c r="C82" s="531"/>
      <c r="D82" s="579"/>
      <c r="E82" s="579"/>
      <c r="F82" s="579"/>
      <c r="G82" s="580"/>
    </row>
    <row r="83" spans="1:7" ht="29.25" customHeight="1" x14ac:dyDescent="0.2">
      <c r="A83" s="530" t="s">
        <v>37</v>
      </c>
      <c r="B83" s="531"/>
      <c r="C83" s="531"/>
      <c r="D83" s="579"/>
      <c r="E83" s="579"/>
      <c r="F83" s="579"/>
      <c r="G83" s="580"/>
    </row>
    <row r="84" spans="1:7" ht="32.25" customHeight="1" x14ac:dyDescent="0.2">
      <c r="A84" s="530" t="s">
        <v>9579</v>
      </c>
      <c r="B84" s="531"/>
      <c r="C84" s="531"/>
      <c r="D84" s="579"/>
      <c r="E84" s="579"/>
      <c r="F84" s="579"/>
      <c r="G84" s="580"/>
    </row>
    <row r="85" spans="1:7" ht="15" customHeight="1" x14ac:dyDescent="0.2">
      <c r="A85" s="530" t="s">
        <v>10898</v>
      </c>
      <c r="B85" s="531"/>
      <c r="C85" s="531"/>
      <c r="D85" s="532"/>
      <c r="E85" s="532"/>
      <c r="F85" s="532"/>
      <c r="G85" s="533"/>
    </row>
    <row r="86" spans="1:7" ht="43.5" customHeight="1" x14ac:dyDescent="0.2">
      <c r="A86" s="530" t="s">
        <v>10650</v>
      </c>
      <c r="B86" s="531"/>
      <c r="C86" s="531"/>
      <c r="D86" s="532"/>
      <c r="E86" s="532"/>
      <c r="F86" s="532"/>
      <c r="G86" s="533"/>
    </row>
    <row r="87" spans="1:7" ht="15" customHeight="1" x14ac:dyDescent="0.2">
      <c r="A87" s="530" t="s">
        <v>10897</v>
      </c>
      <c r="B87" s="531"/>
      <c r="C87" s="531"/>
      <c r="D87" s="532"/>
      <c r="E87" s="532"/>
      <c r="F87" s="532"/>
      <c r="G87" s="533"/>
    </row>
    <row r="88" spans="1:7" ht="32.25" customHeight="1" x14ac:dyDescent="0.2">
      <c r="A88" s="530" t="s">
        <v>10824</v>
      </c>
      <c r="B88" s="531"/>
      <c r="C88" s="531"/>
      <c r="D88" s="534"/>
      <c r="E88" s="534"/>
      <c r="F88" s="534"/>
      <c r="G88" s="535"/>
    </row>
    <row r="89" spans="1:7" ht="32.25" customHeight="1" x14ac:dyDescent="0.2">
      <c r="A89" s="536" t="s">
        <v>10825</v>
      </c>
      <c r="B89" s="537"/>
      <c r="C89" s="537"/>
      <c r="D89" s="534"/>
      <c r="E89" s="534"/>
      <c r="F89" s="534"/>
      <c r="G89" s="535"/>
    </row>
    <row r="90" spans="1:7" ht="32.25" customHeight="1" x14ac:dyDescent="0.2">
      <c r="A90" s="530" t="s">
        <v>10648</v>
      </c>
      <c r="B90" s="531"/>
      <c r="C90" s="531"/>
      <c r="D90" s="579"/>
      <c r="E90" s="579"/>
      <c r="F90" s="579"/>
      <c r="G90" s="580"/>
    </row>
    <row r="91" spans="1:7" ht="46.5" customHeight="1" x14ac:dyDescent="0.2">
      <c r="A91" s="530" t="s">
        <v>10649</v>
      </c>
      <c r="B91" s="531"/>
      <c r="C91" s="531"/>
      <c r="D91" s="579"/>
      <c r="E91" s="579"/>
      <c r="F91" s="579"/>
      <c r="G91" s="580"/>
    </row>
    <row r="92" spans="1:7" ht="15" customHeight="1" thickBot="1" x14ac:dyDescent="0.25">
      <c r="A92" s="624" t="s">
        <v>10799</v>
      </c>
      <c r="B92" s="625"/>
      <c r="C92" s="625"/>
      <c r="D92" s="625"/>
      <c r="E92" s="625"/>
      <c r="F92" s="625"/>
      <c r="G92" s="626"/>
    </row>
    <row r="93" spans="1:7" ht="15" customHeight="1" x14ac:dyDescent="0.2">
      <c r="A93" s="539" t="s">
        <v>39</v>
      </c>
      <c r="B93" s="540"/>
      <c r="C93" s="540"/>
      <c r="D93" s="540"/>
      <c r="E93" s="540"/>
      <c r="F93" s="540"/>
      <c r="G93" s="541"/>
    </row>
    <row r="94" spans="1:7" ht="15" customHeight="1" x14ac:dyDescent="0.2">
      <c r="A94" s="528" t="s">
        <v>40</v>
      </c>
      <c r="B94" s="529"/>
      <c r="C94" s="529"/>
      <c r="D94" s="579"/>
      <c r="E94" s="579"/>
      <c r="F94" s="579"/>
      <c r="G94" s="580"/>
    </row>
    <row r="95" spans="1:7" x14ac:dyDescent="0.2">
      <c r="A95" s="573" t="s">
        <v>9438</v>
      </c>
      <c r="B95" s="574"/>
      <c r="C95" s="574"/>
      <c r="D95" s="574"/>
      <c r="E95" s="574"/>
      <c r="F95" s="574"/>
      <c r="G95" s="593"/>
    </row>
    <row r="96" spans="1:7" ht="15" customHeight="1" x14ac:dyDescent="0.2">
      <c r="A96" s="590" t="s">
        <v>41</v>
      </c>
      <c r="B96" s="591"/>
      <c r="C96" s="591"/>
      <c r="D96" s="591"/>
      <c r="E96" s="591"/>
      <c r="F96" s="591"/>
      <c r="G96" s="592"/>
    </row>
    <row r="97" spans="1:7" ht="15" customHeight="1" x14ac:dyDescent="0.2">
      <c r="A97" s="528" t="s">
        <v>9706</v>
      </c>
      <c r="B97" s="529"/>
      <c r="C97" s="529"/>
      <c r="D97" s="579"/>
      <c r="E97" s="579"/>
      <c r="F97" s="579"/>
      <c r="G97" s="580"/>
    </row>
    <row r="98" spans="1:7" ht="15" customHeight="1" x14ac:dyDescent="0.2">
      <c r="A98" s="594" t="s">
        <v>9707</v>
      </c>
      <c r="B98" s="595"/>
      <c r="C98" s="595"/>
      <c r="D98" s="595"/>
      <c r="E98" s="595"/>
      <c r="F98" s="595"/>
      <c r="G98" s="596"/>
    </row>
    <row r="99" spans="1:7" ht="15" customHeight="1" x14ac:dyDescent="0.2">
      <c r="A99" s="590" t="s">
        <v>11141</v>
      </c>
      <c r="B99" s="591"/>
      <c r="C99" s="591"/>
      <c r="D99" s="591"/>
      <c r="E99" s="591"/>
      <c r="F99" s="591"/>
      <c r="G99" s="592"/>
    </row>
    <row r="100" spans="1:7" ht="15" customHeight="1" x14ac:dyDescent="0.2">
      <c r="A100" s="528" t="s">
        <v>42</v>
      </c>
      <c r="B100" s="529"/>
      <c r="C100" s="529"/>
      <c r="D100" s="579"/>
      <c r="E100" s="579"/>
      <c r="F100" s="579"/>
      <c r="G100" s="580"/>
    </row>
    <row r="101" spans="1:7" ht="15" customHeight="1" thickBot="1" x14ac:dyDescent="0.25">
      <c r="A101" s="548" t="s">
        <v>43</v>
      </c>
      <c r="B101" s="549"/>
      <c r="C101" s="549"/>
      <c r="D101" s="577"/>
      <c r="E101" s="577"/>
      <c r="F101" s="577"/>
      <c r="G101" s="578"/>
    </row>
    <row r="102" spans="1:7" ht="15" customHeight="1" x14ac:dyDescent="0.2">
      <c r="A102" s="539" t="s">
        <v>44</v>
      </c>
      <c r="B102" s="540"/>
      <c r="C102" s="540"/>
      <c r="D102" s="540"/>
      <c r="E102" s="540"/>
      <c r="F102" s="540"/>
      <c r="G102" s="541"/>
    </row>
    <row r="103" spans="1:7" ht="15" customHeight="1" x14ac:dyDescent="0.2">
      <c r="A103" s="573" t="s">
        <v>9437</v>
      </c>
      <c r="B103" s="574"/>
      <c r="C103" s="574"/>
      <c r="D103" s="574"/>
      <c r="E103" s="574"/>
      <c r="F103" s="574"/>
      <c r="G103" s="593"/>
    </row>
    <row r="104" spans="1:7" ht="15" customHeight="1" x14ac:dyDescent="0.2">
      <c r="A104" s="590" t="s">
        <v>9702</v>
      </c>
      <c r="B104" s="591"/>
      <c r="C104" s="591"/>
      <c r="D104" s="591"/>
      <c r="E104" s="591"/>
      <c r="F104" s="591"/>
      <c r="G104" s="592"/>
    </row>
    <row r="105" spans="1:7" ht="15" customHeight="1" x14ac:dyDescent="0.2">
      <c r="A105" s="528" t="s">
        <v>45</v>
      </c>
      <c r="B105" s="529"/>
      <c r="C105" s="529"/>
      <c r="D105" s="579"/>
      <c r="E105" s="579"/>
      <c r="F105" s="579"/>
      <c r="G105" s="580"/>
    </row>
    <row r="106" spans="1:7" ht="15" customHeight="1" x14ac:dyDescent="0.2">
      <c r="A106" s="528" t="s">
        <v>46</v>
      </c>
      <c r="B106" s="529"/>
      <c r="C106" s="529"/>
      <c r="D106" s="579"/>
      <c r="E106" s="579"/>
      <c r="F106" s="579"/>
      <c r="G106" s="580"/>
    </row>
    <row r="107" spans="1:7" ht="15" customHeight="1" x14ac:dyDescent="0.2">
      <c r="A107" s="528" t="s">
        <v>47</v>
      </c>
      <c r="B107" s="529"/>
      <c r="C107" s="529"/>
      <c r="D107" s="579"/>
      <c r="E107" s="579"/>
      <c r="F107" s="579"/>
      <c r="G107" s="580"/>
    </row>
    <row r="108" spans="1:7" ht="15" customHeight="1" thickBot="1" x14ac:dyDescent="0.25">
      <c r="A108" s="548" t="s">
        <v>46</v>
      </c>
      <c r="B108" s="549"/>
      <c r="C108" s="549"/>
      <c r="D108" s="577"/>
      <c r="E108" s="577"/>
      <c r="F108" s="577"/>
      <c r="G108" s="578"/>
    </row>
    <row r="109" spans="1:7" ht="15" thickBot="1" x14ac:dyDescent="0.25">
      <c r="A109" s="478" t="s">
        <v>1</v>
      </c>
      <c r="B109" s="478"/>
      <c r="C109" s="478"/>
      <c r="D109" s="478"/>
      <c r="E109" s="478"/>
      <c r="F109" s="478"/>
      <c r="G109" s="478"/>
    </row>
    <row r="110" spans="1:7" ht="15" customHeight="1" thickBot="1" x14ac:dyDescent="0.25">
      <c r="A110" s="479" t="s">
        <v>48</v>
      </c>
      <c r="B110" s="479"/>
      <c r="C110" s="479"/>
      <c r="D110" s="479"/>
      <c r="E110" s="479"/>
      <c r="F110" s="479"/>
      <c r="G110" s="479"/>
    </row>
    <row r="111" spans="1:7" ht="15" customHeight="1" x14ac:dyDescent="0.2">
      <c r="A111" s="539" t="s">
        <v>49</v>
      </c>
      <c r="B111" s="540"/>
      <c r="C111" s="540"/>
      <c r="D111" s="540"/>
      <c r="E111" s="540"/>
      <c r="F111" s="540"/>
      <c r="G111" s="541"/>
    </row>
    <row r="112" spans="1:7" ht="15" customHeight="1" x14ac:dyDescent="0.2">
      <c r="A112" s="581" t="s">
        <v>9371</v>
      </c>
      <c r="B112" s="582"/>
      <c r="C112" s="582"/>
      <c r="D112" s="582"/>
      <c r="E112" s="582"/>
      <c r="F112" s="583"/>
      <c r="G112" s="368"/>
    </row>
    <row r="113" spans="1:7" ht="107.25" customHeight="1" thickBot="1" x14ac:dyDescent="0.25">
      <c r="A113" s="587" t="s">
        <v>50</v>
      </c>
      <c r="B113" s="588"/>
      <c r="C113" s="589"/>
      <c r="D113" s="584" t="s">
        <v>10642</v>
      </c>
      <c r="E113" s="585"/>
      <c r="F113" s="585"/>
      <c r="G113" s="586"/>
    </row>
    <row r="114" spans="1:7" ht="74.25" customHeight="1" x14ac:dyDescent="0.2">
      <c r="A114" s="539" t="s">
        <v>11014</v>
      </c>
      <c r="B114" s="540"/>
      <c r="C114" s="540"/>
      <c r="D114" s="540"/>
      <c r="E114" s="540"/>
      <c r="F114" s="540"/>
      <c r="G114" s="541"/>
    </row>
    <row r="115" spans="1:7" ht="15" customHeight="1" x14ac:dyDescent="0.2">
      <c r="A115" s="528" t="s">
        <v>51</v>
      </c>
      <c r="B115" s="529"/>
      <c r="C115" s="529"/>
      <c r="D115" s="529"/>
      <c r="E115" s="529"/>
      <c r="F115" s="529"/>
      <c r="G115" s="38"/>
    </row>
    <row r="116" spans="1:7" ht="15" customHeight="1" x14ac:dyDescent="0.2">
      <c r="A116" s="528" t="s">
        <v>52</v>
      </c>
      <c r="B116" s="529"/>
      <c r="C116" s="529"/>
      <c r="D116" s="529"/>
      <c r="E116" s="529"/>
      <c r="F116" s="529"/>
      <c r="G116" s="38"/>
    </row>
    <row r="117" spans="1:7" ht="15" customHeight="1" x14ac:dyDescent="0.2">
      <c r="A117" s="528" t="s">
        <v>53</v>
      </c>
      <c r="B117" s="529"/>
      <c r="C117" s="529"/>
      <c r="D117" s="529"/>
      <c r="E117" s="529"/>
      <c r="F117" s="529"/>
      <c r="G117" s="38"/>
    </row>
    <row r="118" spans="1:7" ht="15" customHeight="1" x14ac:dyDescent="0.2">
      <c r="A118" s="528" t="s">
        <v>54</v>
      </c>
      <c r="B118" s="529"/>
      <c r="C118" s="529"/>
      <c r="D118" s="529"/>
      <c r="E118" s="529"/>
      <c r="F118" s="529"/>
      <c r="G118" s="38"/>
    </row>
    <row r="119" spans="1:7" ht="15" customHeight="1" x14ac:dyDescent="0.2">
      <c r="A119" s="528" t="s">
        <v>349</v>
      </c>
      <c r="B119" s="529"/>
      <c r="C119" s="529"/>
      <c r="D119" s="529"/>
      <c r="E119" s="529"/>
      <c r="F119" s="529"/>
      <c r="G119" s="38"/>
    </row>
    <row r="120" spans="1:7" ht="15" customHeight="1" x14ac:dyDescent="0.2">
      <c r="A120" s="528" t="s">
        <v>350</v>
      </c>
      <c r="B120" s="529"/>
      <c r="C120" s="529"/>
      <c r="D120" s="529"/>
      <c r="E120" s="529"/>
      <c r="F120" s="529"/>
      <c r="G120" s="38"/>
    </row>
    <row r="121" spans="1:7" ht="15" customHeight="1" x14ac:dyDescent="0.2">
      <c r="A121" s="528" t="s">
        <v>10036</v>
      </c>
      <c r="B121" s="529"/>
      <c r="C121" s="529"/>
      <c r="D121" s="529"/>
      <c r="E121" s="529"/>
      <c r="F121" s="529"/>
      <c r="G121" s="38"/>
    </row>
    <row r="122" spans="1:7" ht="15" customHeight="1" x14ac:dyDescent="0.2">
      <c r="A122" s="528" t="s">
        <v>55</v>
      </c>
      <c r="B122" s="529"/>
      <c r="C122" s="529"/>
      <c r="D122" s="529"/>
      <c r="E122" s="529"/>
      <c r="F122" s="529"/>
      <c r="G122" s="38"/>
    </row>
    <row r="123" spans="1:7" ht="15" customHeight="1" x14ac:dyDescent="0.2">
      <c r="A123" s="528" t="s">
        <v>9142</v>
      </c>
      <c r="B123" s="529"/>
      <c r="C123" s="529"/>
      <c r="D123" s="529"/>
      <c r="E123" s="529"/>
      <c r="F123" s="529"/>
      <c r="G123" s="38"/>
    </row>
    <row r="124" spans="1:7" ht="15" customHeight="1" x14ac:dyDescent="0.2">
      <c r="A124" s="528" t="s">
        <v>56</v>
      </c>
      <c r="B124" s="529"/>
      <c r="C124" s="529"/>
      <c r="D124" s="529"/>
      <c r="E124" s="529"/>
      <c r="F124" s="529"/>
      <c r="G124" s="38"/>
    </row>
    <row r="125" spans="1:7" ht="15" customHeight="1" x14ac:dyDescent="0.2">
      <c r="A125" s="528" t="s">
        <v>351</v>
      </c>
      <c r="B125" s="529"/>
      <c r="C125" s="529"/>
      <c r="D125" s="529"/>
      <c r="E125" s="529"/>
      <c r="F125" s="529"/>
      <c r="G125" s="38"/>
    </row>
    <row r="126" spans="1:7" ht="15" customHeight="1" x14ac:dyDescent="0.2">
      <c r="A126" s="528" t="s">
        <v>352</v>
      </c>
      <c r="B126" s="529"/>
      <c r="C126" s="529"/>
      <c r="D126" s="529"/>
      <c r="E126" s="529"/>
      <c r="F126" s="529"/>
      <c r="G126" s="38"/>
    </row>
    <row r="127" spans="1:7" ht="15" customHeight="1" x14ac:dyDescent="0.2">
      <c r="A127" s="528" t="s">
        <v>57</v>
      </c>
      <c r="B127" s="529"/>
      <c r="C127" s="529"/>
      <c r="D127" s="529"/>
      <c r="E127" s="529"/>
      <c r="F127" s="529"/>
      <c r="G127" s="38"/>
    </row>
    <row r="128" spans="1:7" ht="15" customHeight="1" x14ac:dyDescent="0.2">
      <c r="A128" s="573" t="s">
        <v>353</v>
      </c>
      <c r="B128" s="574"/>
      <c r="C128" s="574"/>
      <c r="D128" s="574"/>
      <c r="E128" s="574"/>
      <c r="F128" s="574"/>
      <c r="G128" s="197"/>
    </row>
    <row r="129" spans="1:7" ht="15" customHeight="1" x14ac:dyDescent="0.2">
      <c r="A129" s="573" t="s">
        <v>9954</v>
      </c>
      <c r="B129" s="574"/>
      <c r="C129" s="574"/>
      <c r="D129" s="574"/>
      <c r="E129" s="574"/>
      <c r="F129" s="574"/>
      <c r="G129" s="197"/>
    </row>
    <row r="130" spans="1:7" ht="15" customHeight="1" x14ac:dyDescent="0.2">
      <c r="A130" s="573" t="s">
        <v>9955</v>
      </c>
      <c r="B130" s="574"/>
      <c r="C130" s="574"/>
      <c r="D130" s="574"/>
      <c r="E130" s="574"/>
      <c r="F130" s="574"/>
      <c r="G130" s="197"/>
    </row>
    <row r="131" spans="1:7" ht="15" customHeight="1" thickBot="1" x14ac:dyDescent="0.25">
      <c r="A131" s="548" t="s">
        <v>9956</v>
      </c>
      <c r="B131" s="549"/>
      <c r="C131" s="549"/>
      <c r="D131" s="549"/>
      <c r="E131" s="549"/>
      <c r="F131" s="549"/>
      <c r="G131" s="39"/>
    </row>
    <row r="132" spans="1:7" ht="15" customHeight="1" x14ac:dyDescent="0.2">
      <c r="A132" s="568" t="s">
        <v>58</v>
      </c>
      <c r="B132" s="569"/>
      <c r="C132" s="569"/>
      <c r="D132" s="569"/>
      <c r="E132" s="569"/>
      <c r="F132" s="569"/>
      <c r="G132" s="570"/>
    </row>
    <row r="133" spans="1:7" ht="30.75" customHeight="1" x14ac:dyDescent="0.2">
      <c r="A133" s="530" t="s">
        <v>59</v>
      </c>
      <c r="B133" s="531"/>
      <c r="C133" s="531"/>
      <c r="D133" s="531"/>
      <c r="E133" s="531"/>
      <c r="F133" s="531"/>
      <c r="G133" s="538"/>
    </row>
    <row r="134" spans="1:7" ht="15" customHeight="1" x14ac:dyDescent="0.2">
      <c r="A134" s="528" t="s">
        <v>60</v>
      </c>
      <c r="B134" s="529"/>
      <c r="C134" s="579"/>
      <c r="D134" s="579"/>
      <c r="E134" s="579"/>
      <c r="F134" s="579"/>
      <c r="G134" s="580"/>
    </row>
    <row r="135" spans="1:7" ht="15" customHeight="1" thickBot="1" x14ac:dyDescent="0.25">
      <c r="A135" s="548" t="s">
        <v>61</v>
      </c>
      <c r="B135" s="549"/>
      <c r="C135" s="577"/>
      <c r="D135" s="577"/>
      <c r="E135" s="577"/>
      <c r="F135" s="577"/>
      <c r="G135" s="578"/>
    </row>
    <row r="136" spans="1:7" ht="15" customHeight="1" x14ac:dyDescent="0.2">
      <c r="A136" s="539" t="s">
        <v>62</v>
      </c>
      <c r="B136" s="540"/>
      <c r="C136" s="540"/>
      <c r="D136" s="540"/>
      <c r="E136" s="540"/>
      <c r="F136" s="540"/>
      <c r="G136" s="541"/>
    </row>
    <row r="137" spans="1:7" ht="31.5" customHeight="1" x14ac:dyDescent="0.2">
      <c r="A137" s="530" t="s">
        <v>64</v>
      </c>
      <c r="B137" s="531"/>
      <c r="C137" s="531"/>
      <c r="D137" s="531"/>
      <c r="E137" s="531"/>
      <c r="F137" s="531"/>
      <c r="G137" s="38"/>
    </row>
    <row r="138" spans="1:7" ht="31.5" customHeight="1" thickBot="1" x14ac:dyDescent="0.25">
      <c r="A138" s="483" t="s">
        <v>65</v>
      </c>
      <c r="B138" s="484"/>
      <c r="C138" s="484"/>
      <c r="D138" s="484"/>
      <c r="E138" s="484"/>
      <c r="F138" s="484"/>
      <c r="G138" s="39"/>
    </row>
    <row r="139" spans="1:7" ht="15" customHeight="1" x14ac:dyDescent="0.2">
      <c r="A139" s="539" t="s">
        <v>63</v>
      </c>
      <c r="B139" s="540"/>
      <c r="C139" s="540"/>
      <c r="D139" s="540"/>
      <c r="E139" s="540"/>
      <c r="F139" s="540"/>
      <c r="G139" s="541"/>
    </row>
    <row r="140" spans="1:7" ht="31.5" customHeight="1" x14ac:dyDescent="0.2">
      <c r="A140" s="530" t="s">
        <v>66</v>
      </c>
      <c r="B140" s="531"/>
      <c r="C140" s="531"/>
      <c r="D140" s="531"/>
      <c r="E140" s="531"/>
      <c r="F140" s="531"/>
      <c r="G140" s="6" t="str">
        <f>IF($D$73="","",IF(OR($D$73="BRAZORIA",$D$73="CHAMBERS",$D$73="FORT BEND",$D$73="GALVESTON",$D$73="HARRIS",$D$73="LIBERTY",$D$73="MONTGOMERY",$D$73="WALLER"),"Yes","No"))</f>
        <v/>
      </c>
    </row>
    <row r="141" spans="1:7" ht="31.5" customHeight="1" thickBot="1" x14ac:dyDescent="0.25">
      <c r="A141" s="483" t="s">
        <v>67</v>
      </c>
      <c r="B141" s="484"/>
      <c r="C141" s="484"/>
      <c r="D141" s="484"/>
      <c r="E141" s="484"/>
      <c r="F141" s="484"/>
      <c r="G141" s="39"/>
    </row>
    <row r="142" spans="1:7" ht="15" thickBot="1" x14ac:dyDescent="0.25">
      <c r="A142" s="478" t="s">
        <v>1</v>
      </c>
      <c r="B142" s="478"/>
      <c r="C142" s="478"/>
      <c r="D142" s="478"/>
      <c r="E142" s="478"/>
      <c r="F142" s="478"/>
      <c r="G142" s="478"/>
    </row>
    <row r="143" spans="1:7" ht="15" customHeight="1" thickBot="1" x14ac:dyDescent="0.25">
      <c r="A143" s="479" t="s">
        <v>68</v>
      </c>
      <c r="B143" s="479"/>
      <c r="C143" s="479"/>
      <c r="D143" s="479"/>
      <c r="E143" s="479"/>
      <c r="F143" s="479"/>
      <c r="G143" s="479"/>
    </row>
    <row r="144" spans="1:7" ht="30.75" customHeight="1" thickBot="1" x14ac:dyDescent="0.25">
      <c r="A144" s="480" t="s">
        <v>69</v>
      </c>
      <c r="B144" s="481"/>
      <c r="C144" s="481"/>
      <c r="D144" s="481"/>
      <c r="E144" s="481"/>
      <c r="F144" s="481"/>
      <c r="G144" s="482"/>
    </row>
    <row r="145" spans="1:7" ht="15" customHeight="1" x14ac:dyDescent="0.2">
      <c r="A145" s="539" t="s">
        <v>10643</v>
      </c>
      <c r="B145" s="540"/>
      <c r="C145" s="540"/>
      <c r="D145" s="540"/>
      <c r="E145" s="540"/>
      <c r="F145" s="540"/>
      <c r="G145" s="541"/>
    </row>
    <row r="146" spans="1:7" ht="45" customHeight="1" thickBot="1" x14ac:dyDescent="0.25">
      <c r="A146" s="483" t="s">
        <v>70</v>
      </c>
      <c r="B146" s="484"/>
      <c r="C146" s="575"/>
      <c r="D146" s="575"/>
      <c r="E146" s="575"/>
      <c r="F146" s="575"/>
      <c r="G146" s="576"/>
    </row>
    <row r="147" spans="1:7" ht="15" customHeight="1" x14ac:dyDescent="0.2">
      <c r="A147" s="539" t="s">
        <v>10644</v>
      </c>
      <c r="B147" s="540"/>
      <c r="C147" s="540"/>
      <c r="D147" s="540"/>
      <c r="E147" s="540"/>
      <c r="F147" s="540"/>
      <c r="G147" s="541"/>
    </row>
    <row r="148" spans="1:7" ht="45" customHeight="1" thickBot="1" x14ac:dyDescent="0.25">
      <c r="A148" s="483" t="s">
        <v>70</v>
      </c>
      <c r="B148" s="484"/>
      <c r="C148" s="575"/>
      <c r="D148" s="575"/>
      <c r="E148" s="575"/>
      <c r="F148" s="575"/>
      <c r="G148" s="576"/>
    </row>
    <row r="149" spans="1:7" ht="15" customHeight="1" x14ac:dyDescent="0.2">
      <c r="A149" s="539" t="s">
        <v>10645</v>
      </c>
      <c r="B149" s="540"/>
      <c r="C149" s="540"/>
      <c r="D149" s="540"/>
      <c r="E149" s="540"/>
      <c r="F149" s="540"/>
      <c r="G149" s="541"/>
    </row>
    <row r="150" spans="1:7" ht="45" customHeight="1" thickBot="1" x14ac:dyDescent="0.25">
      <c r="A150" s="483" t="s">
        <v>70</v>
      </c>
      <c r="B150" s="484"/>
      <c r="C150" s="575"/>
      <c r="D150" s="575"/>
      <c r="E150" s="575"/>
      <c r="F150" s="575"/>
      <c r="G150" s="576"/>
    </row>
    <row r="151" spans="1:7" ht="15" customHeight="1" x14ac:dyDescent="0.2">
      <c r="A151" s="539" t="s">
        <v>10646</v>
      </c>
      <c r="B151" s="540"/>
      <c r="C151" s="540"/>
      <c r="D151" s="540"/>
      <c r="E151" s="540"/>
      <c r="F151" s="540"/>
      <c r="G151" s="541"/>
    </row>
    <row r="152" spans="1:7" ht="45" customHeight="1" thickBot="1" x14ac:dyDescent="0.25">
      <c r="A152" s="483" t="s">
        <v>70</v>
      </c>
      <c r="B152" s="484"/>
      <c r="C152" s="575"/>
      <c r="D152" s="575"/>
      <c r="E152" s="575"/>
      <c r="F152" s="575"/>
      <c r="G152" s="576"/>
    </row>
    <row r="153" spans="1:7" ht="15" customHeight="1" x14ac:dyDescent="0.2">
      <c r="A153" s="539" t="s">
        <v>10647</v>
      </c>
      <c r="B153" s="540"/>
      <c r="C153" s="540"/>
      <c r="D153" s="540"/>
      <c r="E153" s="540"/>
      <c r="F153" s="540"/>
      <c r="G153" s="541"/>
    </row>
    <row r="154" spans="1:7" ht="45" customHeight="1" thickBot="1" x14ac:dyDescent="0.25">
      <c r="A154" s="483" t="s">
        <v>70</v>
      </c>
      <c r="B154" s="484"/>
      <c r="C154" s="575"/>
      <c r="D154" s="575"/>
      <c r="E154" s="575"/>
      <c r="F154" s="575"/>
      <c r="G154" s="576"/>
    </row>
    <row r="155" spans="1:7" ht="15" thickBot="1" x14ac:dyDescent="0.25">
      <c r="A155" s="478" t="s">
        <v>1</v>
      </c>
      <c r="B155" s="478"/>
      <c r="C155" s="478"/>
      <c r="D155" s="478"/>
      <c r="E155" s="478"/>
      <c r="F155" s="478"/>
      <c r="G155" s="478"/>
    </row>
    <row r="156" spans="1:7" ht="15" customHeight="1" thickBot="1" x14ac:dyDescent="0.25">
      <c r="A156" s="479" t="s">
        <v>71</v>
      </c>
      <c r="B156" s="479"/>
      <c r="C156" s="479"/>
      <c r="D156" s="479"/>
      <c r="E156" s="479"/>
      <c r="F156" s="479"/>
      <c r="G156" s="479"/>
    </row>
    <row r="157" spans="1:7" ht="33" customHeight="1" thickBot="1" x14ac:dyDescent="0.25">
      <c r="A157" s="480" t="s">
        <v>8672</v>
      </c>
      <c r="B157" s="481"/>
      <c r="C157" s="481"/>
      <c r="D157" s="481"/>
      <c r="E157" s="481"/>
      <c r="F157" s="481"/>
      <c r="G157" s="482"/>
    </row>
    <row r="158" spans="1:7" ht="15" customHeight="1" x14ac:dyDescent="0.2">
      <c r="A158" s="539" t="s">
        <v>72</v>
      </c>
      <c r="B158" s="540"/>
      <c r="C158" s="540"/>
      <c r="D158" s="540"/>
      <c r="E158" s="540"/>
      <c r="F158" s="540"/>
      <c r="G158" s="541"/>
    </row>
    <row r="159" spans="1:7" ht="15" customHeight="1" x14ac:dyDescent="0.2">
      <c r="A159" s="528" t="s">
        <v>73</v>
      </c>
      <c r="B159" s="529"/>
      <c r="C159" s="529"/>
      <c r="D159" s="529"/>
      <c r="E159" s="529"/>
      <c r="F159" s="529"/>
      <c r="G159" s="38"/>
    </row>
    <row r="160" spans="1:7" ht="30" customHeight="1" x14ac:dyDescent="0.2">
      <c r="A160" s="530" t="s">
        <v>9950</v>
      </c>
      <c r="B160" s="531"/>
      <c r="C160" s="531"/>
      <c r="D160" s="531"/>
      <c r="E160" s="531"/>
      <c r="F160" s="531"/>
      <c r="G160" s="38"/>
    </row>
    <row r="161" spans="1:7" ht="30" customHeight="1" x14ac:dyDescent="0.2">
      <c r="A161" s="530" t="s">
        <v>9951</v>
      </c>
      <c r="B161" s="531"/>
      <c r="C161" s="531"/>
      <c r="D161" s="531"/>
      <c r="E161" s="531"/>
      <c r="F161" s="531"/>
      <c r="G161" s="38"/>
    </row>
    <row r="162" spans="1:7" ht="15" customHeight="1" x14ac:dyDescent="0.2">
      <c r="A162" s="530" t="s">
        <v>9952</v>
      </c>
      <c r="B162" s="531"/>
      <c r="C162" s="531"/>
      <c r="D162" s="531"/>
      <c r="E162" s="531"/>
      <c r="F162" s="531"/>
      <c r="G162" s="38"/>
    </row>
    <row r="163" spans="1:7" ht="15" customHeight="1" x14ac:dyDescent="0.2">
      <c r="A163" s="528" t="s">
        <v>9953</v>
      </c>
      <c r="B163" s="529"/>
      <c r="C163" s="529"/>
      <c r="D163" s="529"/>
      <c r="E163" s="529"/>
      <c r="F163" s="529"/>
      <c r="G163" s="38"/>
    </row>
    <row r="164" spans="1:7" ht="31.5" customHeight="1" x14ac:dyDescent="0.2">
      <c r="A164" s="530" t="s">
        <v>74</v>
      </c>
      <c r="B164" s="531"/>
      <c r="C164" s="531"/>
      <c r="D164" s="531"/>
      <c r="E164" s="531"/>
      <c r="F164" s="531"/>
      <c r="G164" s="38"/>
    </row>
    <row r="165" spans="1:7" ht="31.5" customHeight="1" x14ac:dyDescent="0.2">
      <c r="A165" s="530" t="s">
        <v>75</v>
      </c>
      <c r="B165" s="531"/>
      <c r="C165" s="531"/>
      <c r="D165" s="531"/>
      <c r="E165" s="531"/>
      <c r="F165" s="531"/>
      <c r="G165" s="38"/>
    </row>
    <row r="166" spans="1:7" ht="43.5" customHeight="1" x14ac:dyDescent="0.2">
      <c r="A166" s="530" t="s">
        <v>76</v>
      </c>
      <c r="B166" s="531"/>
      <c r="C166" s="531"/>
      <c r="D166" s="531"/>
      <c r="E166" s="531"/>
      <c r="F166" s="531"/>
      <c r="G166" s="38"/>
    </row>
    <row r="167" spans="1:7" ht="15" customHeight="1" x14ac:dyDescent="0.2">
      <c r="A167" s="528" t="s">
        <v>77</v>
      </c>
      <c r="B167" s="529"/>
      <c r="C167" s="529"/>
      <c r="D167" s="529"/>
      <c r="E167" s="529"/>
      <c r="F167" s="529"/>
      <c r="G167" s="38"/>
    </row>
    <row r="168" spans="1:7" ht="28.5" customHeight="1" x14ac:dyDescent="0.2">
      <c r="A168" s="530" t="s">
        <v>78</v>
      </c>
      <c r="B168" s="531"/>
      <c r="C168" s="531"/>
      <c r="D168" s="531"/>
      <c r="E168" s="531"/>
      <c r="F168" s="531"/>
      <c r="G168" s="38"/>
    </row>
    <row r="169" spans="1:7" ht="15" customHeight="1" x14ac:dyDescent="0.2">
      <c r="A169" s="528" t="s">
        <v>79</v>
      </c>
      <c r="B169" s="529"/>
      <c r="C169" s="529"/>
      <c r="D169" s="529"/>
      <c r="E169" s="529"/>
      <c r="F169" s="529"/>
      <c r="G169" s="38"/>
    </row>
    <row r="170" spans="1:7" ht="44.25" customHeight="1" x14ac:dyDescent="0.2">
      <c r="A170" s="530" t="s">
        <v>80</v>
      </c>
      <c r="B170" s="531"/>
      <c r="C170" s="531"/>
      <c r="D170" s="531"/>
      <c r="E170" s="531"/>
      <c r="F170" s="531"/>
      <c r="G170" s="197"/>
    </row>
    <row r="171" spans="1:7" ht="31.5" customHeight="1" x14ac:dyDescent="0.2">
      <c r="A171" s="571" t="s">
        <v>81</v>
      </c>
      <c r="B171" s="572"/>
      <c r="C171" s="572"/>
      <c r="D171" s="572"/>
      <c r="E171" s="572"/>
      <c r="F171" s="572"/>
      <c r="G171" s="38"/>
    </row>
    <row r="172" spans="1:7" ht="88.5" customHeight="1" thickBot="1" x14ac:dyDescent="0.25">
      <c r="A172" s="587" t="s">
        <v>11019</v>
      </c>
      <c r="B172" s="588"/>
      <c r="C172" s="589"/>
      <c r="D172" s="621"/>
      <c r="E172" s="622"/>
      <c r="F172" s="622"/>
      <c r="G172" s="623"/>
    </row>
    <row r="173" spans="1:7" ht="15" customHeight="1" x14ac:dyDescent="0.2">
      <c r="A173" s="568" t="s">
        <v>82</v>
      </c>
      <c r="B173" s="569"/>
      <c r="C173" s="569"/>
      <c r="D173" s="569"/>
      <c r="E173" s="569"/>
      <c r="F173" s="569"/>
      <c r="G173" s="570"/>
    </row>
    <row r="174" spans="1:7" ht="15" customHeight="1" x14ac:dyDescent="0.2">
      <c r="A174" s="528" t="s">
        <v>73</v>
      </c>
      <c r="B174" s="529"/>
      <c r="C174" s="529"/>
      <c r="D174" s="529"/>
      <c r="E174" s="529"/>
      <c r="F174" s="529"/>
      <c r="G174" s="38"/>
    </row>
    <row r="175" spans="1:7" ht="15" customHeight="1" x14ac:dyDescent="0.2">
      <c r="A175" s="528" t="s">
        <v>83</v>
      </c>
      <c r="B175" s="529"/>
      <c r="C175" s="529"/>
      <c r="D175" s="529"/>
      <c r="E175" s="529"/>
      <c r="F175" s="529"/>
      <c r="G175" s="38"/>
    </row>
    <row r="176" spans="1:7" ht="15" customHeight="1" x14ac:dyDescent="0.2">
      <c r="A176" s="528" t="s">
        <v>84</v>
      </c>
      <c r="B176" s="529"/>
      <c r="C176" s="529"/>
      <c r="D176" s="529"/>
      <c r="E176" s="529"/>
      <c r="F176" s="529"/>
      <c r="G176" s="38"/>
    </row>
    <row r="177" spans="1:7" ht="15" customHeight="1" x14ac:dyDescent="0.2">
      <c r="A177" s="528" t="s">
        <v>85</v>
      </c>
      <c r="B177" s="529"/>
      <c r="C177" s="529"/>
      <c r="D177" s="529"/>
      <c r="E177" s="529"/>
      <c r="F177" s="529"/>
      <c r="G177" s="38"/>
    </row>
    <row r="178" spans="1:7" ht="15" customHeight="1" x14ac:dyDescent="0.2">
      <c r="A178" s="528" t="s">
        <v>86</v>
      </c>
      <c r="B178" s="529"/>
      <c r="C178" s="529"/>
      <c r="D178" s="529"/>
      <c r="E178" s="529"/>
      <c r="F178" s="529"/>
      <c r="G178" s="38"/>
    </row>
    <row r="179" spans="1:7" ht="15" customHeight="1" x14ac:dyDescent="0.2">
      <c r="A179" s="573" t="s">
        <v>87</v>
      </c>
      <c r="B179" s="574"/>
      <c r="C179" s="574"/>
      <c r="D179" s="574"/>
      <c r="E179" s="574"/>
      <c r="F179" s="574"/>
      <c r="G179" s="197"/>
    </row>
    <row r="180" spans="1:7" ht="88.5" customHeight="1" thickBot="1" x14ac:dyDescent="0.25">
      <c r="A180" s="483" t="s">
        <v>11017</v>
      </c>
      <c r="B180" s="484"/>
      <c r="C180" s="484"/>
      <c r="D180" s="575"/>
      <c r="E180" s="575"/>
      <c r="F180" s="575"/>
      <c r="G180" s="576"/>
    </row>
    <row r="181" spans="1:7" ht="15" x14ac:dyDescent="0.2">
      <c r="A181" s="568" t="s">
        <v>88</v>
      </c>
      <c r="B181" s="569"/>
      <c r="C181" s="569"/>
      <c r="D181" s="569"/>
      <c r="E181" s="569"/>
      <c r="F181" s="569"/>
      <c r="G181" s="570"/>
    </row>
    <row r="182" spans="1:7" ht="15" customHeight="1" x14ac:dyDescent="0.2">
      <c r="A182" s="528" t="s">
        <v>73</v>
      </c>
      <c r="B182" s="529"/>
      <c r="C182" s="529"/>
      <c r="D182" s="529"/>
      <c r="E182" s="529"/>
      <c r="F182" s="529"/>
      <c r="G182" s="38"/>
    </row>
    <row r="183" spans="1:7" ht="33" customHeight="1" x14ac:dyDescent="0.2">
      <c r="A183" s="530" t="s">
        <v>89</v>
      </c>
      <c r="B183" s="531"/>
      <c r="C183" s="531"/>
      <c r="D183" s="531"/>
      <c r="E183" s="531"/>
      <c r="F183" s="531"/>
      <c r="G183" s="38"/>
    </row>
    <row r="184" spans="1:7" ht="31.5" customHeight="1" x14ac:dyDescent="0.2">
      <c r="A184" s="530" t="s">
        <v>90</v>
      </c>
      <c r="B184" s="531"/>
      <c r="C184" s="531"/>
      <c r="D184" s="531"/>
      <c r="E184" s="531"/>
      <c r="F184" s="531"/>
      <c r="G184" s="38"/>
    </row>
    <row r="185" spans="1:7" ht="30.75" customHeight="1" x14ac:dyDescent="0.2">
      <c r="A185" s="530" t="s">
        <v>91</v>
      </c>
      <c r="B185" s="531"/>
      <c r="C185" s="531"/>
      <c r="D185" s="531"/>
      <c r="E185" s="531"/>
      <c r="F185" s="531"/>
      <c r="G185" s="38"/>
    </row>
    <row r="186" spans="1:7" ht="15" customHeight="1" x14ac:dyDescent="0.2">
      <c r="A186" s="530" t="s">
        <v>8842</v>
      </c>
      <c r="B186" s="531"/>
      <c r="C186" s="531"/>
      <c r="D186" s="531"/>
      <c r="E186" s="531"/>
      <c r="F186" s="531"/>
      <c r="G186" s="38"/>
    </row>
    <row r="187" spans="1:7" ht="15" customHeight="1" x14ac:dyDescent="0.2">
      <c r="A187" s="528" t="s">
        <v>92</v>
      </c>
      <c r="B187" s="529"/>
      <c r="C187" s="529"/>
      <c r="D187" s="529"/>
      <c r="E187" s="529"/>
      <c r="F187" s="529"/>
      <c r="G187" s="38"/>
    </row>
    <row r="188" spans="1:7" ht="31.5" customHeight="1" x14ac:dyDescent="0.2">
      <c r="A188" s="530" t="s">
        <v>93</v>
      </c>
      <c r="B188" s="531"/>
      <c r="C188" s="531"/>
      <c r="D188" s="531"/>
      <c r="E188" s="531"/>
      <c r="F188" s="531"/>
      <c r="G188" s="38"/>
    </row>
    <row r="189" spans="1:7" ht="31.5" customHeight="1" x14ac:dyDescent="0.2">
      <c r="A189" s="530" t="s">
        <v>94</v>
      </c>
      <c r="B189" s="531"/>
      <c r="C189" s="531"/>
      <c r="D189" s="531"/>
      <c r="E189" s="531"/>
      <c r="F189" s="531"/>
      <c r="G189" s="38"/>
    </row>
    <row r="190" spans="1:7" ht="15" customHeight="1" x14ac:dyDescent="0.2">
      <c r="A190" s="528" t="s">
        <v>95</v>
      </c>
      <c r="B190" s="529"/>
      <c r="C190" s="529"/>
      <c r="D190" s="529"/>
      <c r="E190" s="529"/>
      <c r="F190" s="529"/>
      <c r="G190" s="38"/>
    </row>
    <row r="191" spans="1:7" ht="31.5" customHeight="1" x14ac:dyDescent="0.2">
      <c r="A191" s="530" t="s">
        <v>96</v>
      </c>
      <c r="B191" s="531"/>
      <c r="C191" s="531"/>
      <c r="D191" s="531"/>
      <c r="E191" s="531"/>
      <c r="F191" s="531"/>
      <c r="G191" s="38"/>
    </row>
    <row r="192" spans="1:7" ht="15" customHeight="1" x14ac:dyDescent="0.2">
      <c r="A192" s="528" t="s">
        <v>97</v>
      </c>
      <c r="B192" s="529"/>
      <c r="C192" s="529"/>
      <c r="D192" s="529"/>
      <c r="E192" s="529"/>
      <c r="F192" s="529"/>
      <c r="G192" s="38"/>
    </row>
    <row r="193" spans="1:8" ht="31.5" customHeight="1" x14ac:dyDescent="0.2">
      <c r="A193" s="530" t="s">
        <v>98</v>
      </c>
      <c r="B193" s="531"/>
      <c r="C193" s="531"/>
      <c r="D193" s="531"/>
      <c r="E193" s="531"/>
      <c r="F193" s="531"/>
      <c r="G193" s="38"/>
    </row>
    <row r="194" spans="1:8" ht="31.5" customHeight="1" x14ac:dyDescent="0.2">
      <c r="A194" s="530" t="s">
        <v>99</v>
      </c>
      <c r="B194" s="531"/>
      <c r="C194" s="531"/>
      <c r="D194" s="531"/>
      <c r="E194" s="531"/>
      <c r="F194" s="531"/>
      <c r="G194" s="38"/>
    </row>
    <row r="195" spans="1:8" ht="31.5" customHeight="1" x14ac:dyDescent="0.2">
      <c r="A195" s="530" t="s">
        <v>100</v>
      </c>
      <c r="B195" s="531"/>
      <c r="C195" s="531"/>
      <c r="D195" s="531"/>
      <c r="E195" s="531"/>
      <c r="F195" s="531"/>
      <c r="G195" s="38"/>
    </row>
    <row r="196" spans="1:8" ht="31.5" customHeight="1" x14ac:dyDescent="0.2">
      <c r="A196" s="530" t="s">
        <v>101</v>
      </c>
      <c r="B196" s="531"/>
      <c r="C196" s="531"/>
      <c r="D196" s="531"/>
      <c r="E196" s="531"/>
      <c r="F196" s="531"/>
      <c r="G196" s="38"/>
    </row>
    <row r="197" spans="1:8" ht="31.5" customHeight="1" x14ac:dyDescent="0.2">
      <c r="A197" s="530" t="s">
        <v>10858</v>
      </c>
      <c r="B197" s="531"/>
      <c r="C197" s="531"/>
      <c r="D197" s="531"/>
      <c r="E197" s="531"/>
      <c r="F197" s="531"/>
      <c r="G197" s="38"/>
    </row>
    <row r="198" spans="1:8" ht="32.25" customHeight="1" x14ac:dyDescent="0.2">
      <c r="A198" s="530" t="s">
        <v>10859</v>
      </c>
      <c r="B198" s="531"/>
      <c r="C198" s="531"/>
      <c r="D198" s="531"/>
      <c r="E198" s="531"/>
      <c r="F198" s="531"/>
      <c r="G198" s="38"/>
    </row>
    <row r="199" spans="1:8" ht="15" customHeight="1" x14ac:dyDescent="0.2">
      <c r="A199" s="528" t="s">
        <v>103</v>
      </c>
      <c r="B199" s="529"/>
      <c r="C199" s="529"/>
      <c r="D199" s="529"/>
      <c r="E199" s="529"/>
      <c r="F199" s="529"/>
      <c r="G199" s="38"/>
    </row>
    <row r="200" spans="1:8" ht="31.5" customHeight="1" x14ac:dyDescent="0.2">
      <c r="A200" s="530" t="s">
        <v>104</v>
      </c>
      <c r="B200" s="531"/>
      <c r="C200" s="531"/>
      <c r="D200" s="531"/>
      <c r="E200" s="531"/>
      <c r="F200" s="531"/>
      <c r="G200" s="38"/>
    </row>
    <row r="201" spans="1:8" ht="31.5" customHeight="1" x14ac:dyDescent="0.2">
      <c r="A201" s="530" t="s">
        <v>10815</v>
      </c>
      <c r="B201" s="531"/>
      <c r="C201" s="531"/>
      <c r="D201" s="531"/>
      <c r="E201" s="531"/>
      <c r="F201" s="531"/>
      <c r="G201" s="38"/>
    </row>
    <row r="202" spans="1:8" ht="31.5" customHeight="1" x14ac:dyDescent="0.2">
      <c r="A202" s="530" t="s">
        <v>106</v>
      </c>
      <c r="B202" s="531"/>
      <c r="C202" s="531"/>
      <c r="D202" s="531"/>
      <c r="E202" s="531"/>
      <c r="F202" s="531"/>
      <c r="G202" s="38"/>
    </row>
    <row r="203" spans="1:8" ht="88.5" customHeight="1" thickBot="1" x14ac:dyDescent="0.25">
      <c r="A203" s="587" t="s">
        <v>11018</v>
      </c>
      <c r="B203" s="588"/>
      <c r="C203" s="588"/>
      <c r="D203" s="621"/>
      <c r="E203" s="622"/>
      <c r="F203" s="622"/>
      <c r="G203" s="623"/>
      <c r="H203" s="89"/>
    </row>
    <row r="204" spans="1:8" ht="15" thickBot="1" x14ac:dyDescent="0.25">
      <c r="A204" s="560" t="s">
        <v>1</v>
      </c>
      <c r="B204" s="560"/>
      <c r="C204" s="560"/>
      <c r="D204" s="560"/>
      <c r="E204" s="560"/>
      <c r="F204" s="560"/>
      <c r="G204" s="560"/>
    </row>
    <row r="205" spans="1:8" ht="15" customHeight="1" thickBot="1" x14ac:dyDescent="0.25">
      <c r="A205" s="479" t="s">
        <v>107</v>
      </c>
      <c r="B205" s="479"/>
      <c r="C205" s="479"/>
      <c r="D205" s="479"/>
      <c r="E205" s="479"/>
      <c r="F205" s="479"/>
      <c r="G205" s="479"/>
    </row>
    <row r="206" spans="1:8" ht="15" customHeight="1" x14ac:dyDescent="0.2">
      <c r="A206" s="563" t="s">
        <v>10814</v>
      </c>
      <c r="B206" s="563"/>
      <c r="C206" s="563"/>
      <c r="D206" s="563"/>
      <c r="E206" s="563"/>
      <c r="F206" s="563"/>
      <c r="G206" s="38"/>
    </row>
    <row r="207" spans="1:8" ht="15" customHeight="1" x14ac:dyDescent="0.2">
      <c r="A207" s="561" t="s">
        <v>11151</v>
      </c>
      <c r="B207" s="562"/>
      <c r="C207" s="562"/>
      <c r="D207" s="562"/>
      <c r="E207" s="562"/>
      <c r="F207" s="562"/>
      <c r="G207" s="38"/>
    </row>
    <row r="208" spans="1:8" ht="59.25" customHeight="1" x14ac:dyDescent="0.2">
      <c r="A208" s="530" t="s">
        <v>11152</v>
      </c>
      <c r="B208" s="531"/>
      <c r="C208" s="531"/>
      <c r="D208" s="531"/>
      <c r="E208" s="531"/>
      <c r="F208" s="531"/>
      <c r="G208" s="538"/>
    </row>
    <row r="209" spans="1:7" ht="15" customHeight="1" x14ac:dyDescent="0.2">
      <c r="A209" s="471" t="s">
        <v>10816</v>
      </c>
      <c r="B209" s="472"/>
      <c r="C209" s="472"/>
      <c r="D209" s="472"/>
      <c r="E209" s="472"/>
      <c r="F209" s="472"/>
      <c r="G209" s="473"/>
    </row>
    <row r="210" spans="1:7" ht="15" customHeight="1" x14ac:dyDescent="0.2">
      <c r="A210" s="564" t="s">
        <v>108</v>
      </c>
      <c r="B210" s="563"/>
      <c r="C210" s="563"/>
      <c r="D210" s="563"/>
      <c r="E210" s="563"/>
      <c r="F210" s="563"/>
      <c r="G210" s="38"/>
    </row>
    <row r="211" spans="1:7" ht="15" customHeight="1" x14ac:dyDescent="0.2">
      <c r="A211" s="564" t="s">
        <v>109</v>
      </c>
      <c r="B211" s="563"/>
      <c r="C211" s="563"/>
      <c r="D211" s="563"/>
      <c r="E211" s="563"/>
      <c r="F211" s="563"/>
      <c r="G211" s="38"/>
    </row>
    <row r="212" spans="1:7" ht="58.5" customHeight="1" x14ac:dyDescent="0.2">
      <c r="A212" s="530" t="s">
        <v>110</v>
      </c>
      <c r="B212" s="531"/>
      <c r="C212" s="531"/>
      <c r="D212" s="531"/>
      <c r="E212" s="531"/>
      <c r="F212" s="531"/>
      <c r="G212" s="38"/>
    </row>
    <row r="213" spans="1:7" ht="15" customHeight="1" x14ac:dyDescent="0.2">
      <c r="A213" s="528" t="s">
        <v>111</v>
      </c>
      <c r="B213" s="529"/>
      <c r="C213" s="529"/>
      <c r="D213" s="529"/>
      <c r="E213" s="529"/>
      <c r="F213" s="529"/>
      <c r="G213" s="38"/>
    </row>
    <row r="214" spans="1:7" ht="15" customHeight="1" x14ac:dyDescent="0.2">
      <c r="A214" s="564" t="s">
        <v>112</v>
      </c>
      <c r="B214" s="563"/>
      <c r="C214" s="563"/>
      <c r="D214" s="563"/>
      <c r="E214" s="563"/>
      <c r="F214" s="563"/>
      <c r="G214" s="38"/>
    </row>
    <row r="215" spans="1:7" ht="30" customHeight="1" x14ac:dyDescent="0.2">
      <c r="A215" s="530" t="s">
        <v>9701</v>
      </c>
      <c r="B215" s="531"/>
      <c r="C215" s="531"/>
      <c r="D215" s="531"/>
      <c r="E215" s="531"/>
      <c r="F215" s="531"/>
      <c r="G215" s="38"/>
    </row>
    <row r="216" spans="1:7" ht="15" customHeight="1" x14ac:dyDescent="0.2">
      <c r="A216" s="528" t="s">
        <v>113</v>
      </c>
      <c r="B216" s="529"/>
      <c r="C216" s="529"/>
      <c r="D216" s="529"/>
      <c r="E216" s="529"/>
      <c r="F216" s="529"/>
      <c r="G216" s="38"/>
    </row>
    <row r="217" spans="1:7" ht="15" customHeight="1" x14ac:dyDescent="0.2">
      <c r="A217" s="564" t="s">
        <v>114</v>
      </c>
      <c r="B217" s="563"/>
      <c r="C217" s="563"/>
      <c r="D217" s="563"/>
      <c r="E217" s="563"/>
      <c r="F217" s="563"/>
      <c r="G217" s="38"/>
    </row>
    <row r="218" spans="1:7" ht="71.25" customHeight="1" x14ac:dyDescent="0.2">
      <c r="A218" s="530" t="s">
        <v>115</v>
      </c>
      <c r="B218" s="531"/>
      <c r="C218" s="531"/>
      <c r="D218" s="531"/>
      <c r="E218" s="531"/>
      <c r="F218" s="531"/>
      <c r="G218" s="38"/>
    </row>
    <row r="219" spans="1:7" ht="46.5" customHeight="1" x14ac:dyDescent="0.2">
      <c r="A219" s="564" t="s">
        <v>10808</v>
      </c>
      <c r="B219" s="563"/>
      <c r="C219" s="563"/>
      <c r="D219" s="563"/>
      <c r="E219" s="563"/>
      <c r="F219" s="563"/>
      <c r="G219" s="38"/>
    </row>
    <row r="220" spans="1:7" ht="15" customHeight="1" x14ac:dyDescent="0.2">
      <c r="A220" s="565" t="s">
        <v>10263</v>
      </c>
      <c r="B220" s="566"/>
      <c r="C220" s="566"/>
      <c r="D220" s="566"/>
      <c r="E220" s="566"/>
      <c r="F220" s="566"/>
      <c r="G220" s="567"/>
    </row>
    <row r="221" spans="1:7" ht="15" customHeight="1" x14ac:dyDescent="0.2">
      <c r="A221" s="530" t="s">
        <v>10262</v>
      </c>
      <c r="B221" s="531"/>
      <c r="C221" s="531"/>
      <c r="D221" s="531"/>
      <c r="E221" s="531"/>
      <c r="F221" s="531"/>
      <c r="G221" s="38"/>
    </row>
    <row r="222" spans="1:7" ht="15" customHeight="1" x14ac:dyDescent="0.2">
      <c r="A222" s="530" t="s">
        <v>10264</v>
      </c>
      <c r="B222" s="531"/>
      <c r="C222" s="531"/>
      <c r="D222" s="531"/>
      <c r="E222" s="531"/>
      <c r="F222" s="531"/>
      <c r="G222" s="38"/>
    </row>
    <row r="223" spans="1:7" ht="15" customHeight="1" x14ac:dyDescent="0.2">
      <c r="A223" s="530" t="s">
        <v>10812</v>
      </c>
      <c r="B223" s="531"/>
      <c r="C223" s="531"/>
      <c r="D223" s="531"/>
      <c r="E223" s="531"/>
      <c r="F223" s="531"/>
      <c r="G223" s="38"/>
    </row>
    <row r="224" spans="1:7" ht="15" customHeight="1" x14ac:dyDescent="0.2">
      <c r="A224" s="530" t="s">
        <v>10265</v>
      </c>
      <c r="B224" s="531"/>
      <c r="C224" s="531"/>
      <c r="D224" s="531"/>
      <c r="E224" s="531"/>
      <c r="F224" s="531"/>
      <c r="G224" s="38"/>
    </row>
    <row r="225" spans="1:7" ht="15" customHeight="1" x14ac:dyDescent="0.2">
      <c r="A225" s="530" t="s">
        <v>10813</v>
      </c>
      <c r="B225" s="531"/>
      <c r="C225" s="531"/>
      <c r="D225" s="531"/>
      <c r="E225" s="531"/>
      <c r="F225" s="531"/>
      <c r="G225" s="38"/>
    </row>
    <row r="226" spans="1:7" ht="33.75" customHeight="1" x14ac:dyDescent="0.2">
      <c r="A226" s="530" t="s">
        <v>9163</v>
      </c>
      <c r="B226" s="531"/>
      <c r="C226" s="531"/>
      <c r="D226" s="531"/>
      <c r="E226" s="531"/>
      <c r="F226" s="531"/>
      <c r="G226" s="38"/>
    </row>
    <row r="227" spans="1:7" ht="15" customHeight="1" x14ac:dyDescent="0.2">
      <c r="A227" s="530" t="s">
        <v>10809</v>
      </c>
      <c r="B227" s="531"/>
      <c r="C227" s="531"/>
      <c r="D227" s="531"/>
      <c r="E227" s="531"/>
      <c r="F227" s="531"/>
      <c r="G227" s="38"/>
    </row>
    <row r="228" spans="1:7" ht="15" customHeight="1" x14ac:dyDescent="0.2">
      <c r="A228" s="564" t="s">
        <v>9516</v>
      </c>
      <c r="B228" s="563"/>
      <c r="C228" s="563"/>
      <c r="D228" s="563"/>
      <c r="E228" s="563"/>
      <c r="F228" s="563"/>
      <c r="G228" s="38"/>
    </row>
    <row r="229" spans="1:7" ht="15" customHeight="1" x14ac:dyDescent="0.2">
      <c r="A229" s="530" t="s">
        <v>9164</v>
      </c>
      <c r="B229" s="531"/>
      <c r="C229" s="531"/>
      <c r="D229" s="531"/>
      <c r="E229" s="531"/>
      <c r="F229" s="531"/>
      <c r="G229" s="38"/>
    </row>
    <row r="230" spans="1:7" ht="31.5" customHeight="1" x14ac:dyDescent="0.2">
      <c r="A230" s="564" t="s">
        <v>10266</v>
      </c>
      <c r="B230" s="563"/>
      <c r="C230" s="563"/>
      <c r="D230" s="563"/>
      <c r="E230" s="563"/>
      <c r="F230" s="563"/>
      <c r="G230" s="38"/>
    </row>
    <row r="231" spans="1:7" ht="15" customHeight="1" x14ac:dyDescent="0.2">
      <c r="A231" s="565" t="s">
        <v>10267</v>
      </c>
      <c r="B231" s="566"/>
      <c r="C231" s="566"/>
      <c r="D231" s="566"/>
      <c r="E231" s="566"/>
      <c r="F231" s="566"/>
      <c r="G231" s="567"/>
    </row>
    <row r="232" spans="1:7" ht="29.25" customHeight="1" x14ac:dyDescent="0.2">
      <c r="A232" s="530" t="s">
        <v>10268</v>
      </c>
      <c r="B232" s="531"/>
      <c r="C232" s="531"/>
      <c r="D232" s="531"/>
      <c r="E232" s="531"/>
      <c r="F232" s="531"/>
      <c r="G232" s="38"/>
    </row>
    <row r="233" spans="1:7" ht="29.25" customHeight="1" x14ac:dyDescent="0.2">
      <c r="A233" s="530" t="s">
        <v>10269</v>
      </c>
      <c r="B233" s="531"/>
      <c r="C233" s="531"/>
      <c r="D233" s="531"/>
      <c r="E233" s="531"/>
      <c r="F233" s="531"/>
      <c r="G233" s="38"/>
    </row>
    <row r="234" spans="1:7" ht="29.25" customHeight="1" x14ac:dyDescent="0.2">
      <c r="A234" s="530" t="s">
        <v>10270</v>
      </c>
      <c r="B234" s="531"/>
      <c r="C234" s="531"/>
      <c r="D234" s="531"/>
      <c r="E234" s="531"/>
      <c r="F234" s="531"/>
      <c r="G234" s="38"/>
    </row>
    <row r="235" spans="1:7" ht="29.25" customHeight="1" x14ac:dyDescent="0.2">
      <c r="A235" s="530" t="s">
        <v>10271</v>
      </c>
      <c r="B235" s="531"/>
      <c r="C235" s="531"/>
      <c r="D235" s="531"/>
      <c r="E235" s="531"/>
      <c r="F235" s="531"/>
      <c r="G235" s="38"/>
    </row>
    <row r="236" spans="1:7" ht="29.25" customHeight="1" x14ac:dyDescent="0.2">
      <c r="A236" s="530" t="s">
        <v>10272</v>
      </c>
      <c r="B236" s="531"/>
      <c r="C236" s="531"/>
      <c r="D236" s="531"/>
      <c r="E236" s="531"/>
      <c r="F236" s="531"/>
      <c r="G236" s="38"/>
    </row>
    <row r="237" spans="1:7" ht="29.25" customHeight="1" x14ac:dyDescent="0.2">
      <c r="A237" s="530" t="s">
        <v>10549</v>
      </c>
      <c r="B237" s="531"/>
      <c r="C237" s="531"/>
      <c r="D237" s="531"/>
      <c r="E237" s="531"/>
      <c r="F237" s="531"/>
      <c r="G237" s="38"/>
    </row>
    <row r="238" spans="1:7" ht="15" customHeight="1" x14ac:dyDescent="0.2">
      <c r="A238" s="530" t="s">
        <v>10273</v>
      </c>
      <c r="B238" s="531"/>
      <c r="C238" s="531"/>
      <c r="D238" s="531"/>
      <c r="E238" s="531"/>
      <c r="F238" s="531"/>
      <c r="G238" s="38"/>
    </row>
    <row r="239" spans="1:7" ht="15" customHeight="1" x14ac:dyDescent="0.2">
      <c r="A239" s="565" t="s">
        <v>10274</v>
      </c>
      <c r="B239" s="566"/>
      <c r="C239" s="566"/>
      <c r="D239" s="566"/>
      <c r="E239" s="566"/>
      <c r="F239" s="566"/>
      <c r="G239" s="567"/>
    </row>
    <row r="240" spans="1:7" ht="32.25" customHeight="1" x14ac:dyDescent="0.2">
      <c r="A240" s="530" t="s">
        <v>10827</v>
      </c>
      <c r="B240" s="531"/>
      <c r="C240" s="531"/>
      <c r="D240" s="531"/>
      <c r="E240" s="531"/>
      <c r="F240" s="531"/>
      <c r="G240" s="38"/>
    </row>
    <row r="241" spans="1:7" ht="32.25" customHeight="1" x14ac:dyDescent="0.2">
      <c r="A241" s="530" t="s">
        <v>10826</v>
      </c>
      <c r="B241" s="531"/>
      <c r="C241" s="531"/>
      <c r="D241" s="531"/>
      <c r="E241" s="531"/>
      <c r="F241" s="531"/>
      <c r="G241" s="38"/>
    </row>
    <row r="242" spans="1:7" ht="15" customHeight="1" x14ac:dyDescent="0.2">
      <c r="A242" s="530" t="s">
        <v>10275</v>
      </c>
      <c r="B242" s="531"/>
      <c r="C242" s="531"/>
      <c r="D242" s="531"/>
      <c r="E242" s="531"/>
      <c r="F242" s="531"/>
      <c r="G242" s="38"/>
    </row>
    <row r="243" spans="1:7" ht="15" customHeight="1" x14ac:dyDescent="0.2">
      <c r="A243" s="530" t="s">
        <v>10276</v>
      </c>
      <c r="B243" s="531"/>
      <c r="C243" s="531"/>
      <c r="D243" s="531"/>
      <c r="E243" s="531"/>
      <c r="F243" s="531"/>
      <c r="G243" s="38"/>
    </row>
    <row r="244" spans="1:7" ht="15" customHeight="1" x14ac:dyDescent="0.2">
      <c r="A244" s="564" t="s">
        <v>10277</v>
      </c>
      <c r="B244" s="563"/>
      <c r="C244" s="563"/>
      <c r="D244" s="563"/>
      <c r="E244" s="563"/>
      <c r="F244" s="563"/>
      <c r="G244" s="38"/>
    </row>
    <row r="245" spans="1:7" ht="31.5" customHeight="1" thickBot="1" x14ac:dyDescent="0.25">
      <c r="A245" s="483" t="s">
        <v>10278</v>
      </c>
      <c r="B245" s="484"/>
      <c r="C245" s="484"/>
      <c r="D245" s="484"/>
      <c r="E245" s="484"/>
      <c r="F245" s="484"/>
      <c r="G245" s="39"/>
    </row>
    <row r="246" spans="1:7" ht="15" x14ac:dyDescent="0.2">
      <c r="A246" s="619" t="s">
        <v>11144</v>
      </c>
      <c r="B246" s="620"/>
      <c r="C246" s="620"/>
      <c r="D246" s="620"/>
      <c r="E246" s="620"/>
      <c r="F246" s="620"/>
      <c r="G246" s="108"/>
    </row>
    <row r="247" spans="1:7" x14ac:dyDescent="0.2">
      <c r="A247" s="530" t="s">
        <v>11143</v>
      </c>
      <c r="B247" s="531"/>
      <c r="C247" s="531"/>
      <c r="D247" s="531"/>
      <c r="E247" s="531"/>
      <c r="F247" s="531"/>
      <c r="G247" s="38"/>
    </row>
    <row r="248" spans="1:7" ht="17.100000000000001" customHeight="1" thickBot="1" x14ac:dyDescent="0.25">
      <c r="A248" s="587" t="s">
        <v>11145</v>
      </c>
      <c r="B248" s="588"/>
      <c r="C248" s="588"/>
      <c r="D248" s="617" t="s">
        <v>11142</v>
      </c>
      <c r="E248" s="617"/>
      <c r="F248" s="617"/>
      <c r="G248" s="618"/>
    </row>
    <row r="249" spans="1:7" ht="15" thickBot="1" x14ac:dyDescent="0.25">
      <c r="A249" s="478" t="s">
        <v>1</v>
      </c>
      <c r="B249" s="478"/>
      <c r="C249" s="478"/>
      <c r="D249" s="478"/>
      <c r="E249" s="478"/>
      <c r="F249" s="478"/>
      <c r="G249" s="478"/>
    </row>
    <row r="250" spans="1:7" ht="15" customHeight="1" thickBot="1" x14ac:dyDescent="0.25">
      <c r="A250" s="479" t="s">
        <v>116</v>
      </c>
      <c r="B250" s="479"/>
      <c r="C250" s="479"/>
      <c r="D250" s="479"/>
      <c r="E250" s="479"/>
      <c r="F250" s="479"/>
      <c r="G250" s="479"/>
    </row>
    <row r="251" spans="1:7" ht="15" customHeight="1" x14ac:dyDescent="0.2">
      <c r="A251" s="539" t="s">
        <v>117</v>
      </c>
      <c r="B251" s="540"/>
      <c r="C251" s="540"/>
      <c r="D251" s="540"/>
      <c r="E251" s="540"/>
      <c r="F251" s="540"/>
      <c r="G251" s="541"/>
    </row>
    <row r="252" spans="1:7" ht="57.75" customHeight="1" x14ac:dyDescent="0.2">
      <c r="A252" s="530" t="s">
        <v>119</v>
      </c>
      <c r="B252" s="531"/>
      <c r="C252" s="531"/>
      <c r="D252" s="531"/>
      <c r="E252" s="531"/>
      <c r="F252" s="531"/>
      <c r="G252" s="538"/>
    </row>
    <row r="253" spans="1:7" ht="15" customHeight="1" x14ac:dyDescent="0.2">
      <c r="A253" s="471" t="s">
        <v>118</v>
      </c>
      <c r="B253" s="472"/>
      <c r="C253" s="472"/>
      <c r="D253" s="472"/>
      <c r="E253" s="472"/>
      <c r="F253" s="472"/>
      <c r="G253" s="473"/>
    </row>
    <row r="254" spans="1:7" ht="15" customHeight="1" x14ac:dyDescent="0.2">
      <c r="A254" s="528" t="s">
        <v>120</v>
      </c>
      <c r="B254" s="529"/>
      <c r="C254" s="529"/>
      <c r="D254" s="529"/>
      <c r="E254" s="529"/>
      <c r="F254" s="529"/>
      <c r="G254" s="38"/>
    </row>
    <row r="255" spans="1:7" ht="48" customHeight="1" x14ac:dyDescent="0.2">
      <c r="A255" s="528" t="s">
        <v>121</v>
      </c>
      <c r="B255" s="529"/>
      <c r="C255" s="529"/>
      <c r="D255" s="529"/>
      <c r="E255" s="529"/>
      <c r="F255" s="529"/>
      <c r="G255" s="45"/>
    </row>
    <row r="256" spans="1:7" ht="15" customHeight="1" thickBot="1" x14ac:dyDescent="0.25">
      <c r="A256" s="548" t="s">
        <v>9806</v>
      </c>
      <c r="B256" s="549"/>
      <c r="C256" s="549"/>
      <c r="D256" s="549"/>
      <c r="E256" s="549"/>
      <c r="F256" s="549"/>
      <c r="G256" s="39"/>
    </row>
    <row r="257" spans="1:7" ht="15" customHeight="1" x14ac:dyDescent="0.2">
      <c r="A257" s="539" t="s">
        <v>122</v>
      </c>
      <c r="B257" s="540"/>
      <c r="C257" s="540"/>
      <c r="D257" s="540"/>
      <c r="E257" s="540"/>
      <c r="F257" s="540"/>
      <c r="G257" s="541"/>
    </row>
    <row r="258" spans="1:7" ht="59.25" customHeight="1" x14ac:dyDescent="0.2">
      <c r="A258" s="530" t="s">
        <v>9439</v>
      </c>
      <c r="B258" s="531"/>
      <c r="C258" s="531"/>
      <c r="D258" s="531"/>
      <c r="E258" s="531"/>
      <c r="F258" s="531"/>
      <c r="G258" s="538"/>
    </row>
    <row r="259" spans="1:7" ht="15" customHeight="1" x14ac:dyDescent="0.2">
      <c r="A259" s="471" t="s">
        <v>123</v>
      </c>
      <c r="B259" s="472"/>
      <c r="C259" s="472"/>
      <c r="D259" s="472"/>
      <c r="E259" s="472"/>
      <c r="F259" s="472"/>
      <c r="G259" s="473"/>
    </row>
    <row r="260" spans="1:7" ht="15" customHeight="1" x14ac:dyDescent="0.2">
      <c r="A260" s="528" t="s">
        <v>124</v>
      </c>
      <c r="B260" s="529"/>
      <c r="C260" s="529"/>
      <c r="D260" s="529"/>
      <c r="E260" s="529"/>
      <c r="F260" s="529"/>
      <c r="G260" s="38"/>
    </row>
    <row r="261" spans="1:7" ht="15" customHeight="1" x14ac:dyDescent="0.2">
      <c r="A261" s="528" t="s">
        <v>125</v>
      </c>
      <c r="B261" s="529"/>
      <c r="C261" s="529"/>
      <c r="D261" s="529"/>
      <c r="E261" s="529"/>
      <c r="F261" s="529"/>
      <c r="G261" s="38"/>
    </row>
    <row r="262" spans="1:7" ht="15" customHeight="1" thickBot="1" x14ac:dyDescent="0.25">
      <c r="A262" s="548" t="s">
        <v>10821</v>
      </c>
      <c r="B262" s="549"/>
      <c r="C262" s="549"/>
      <c r="D262" s="549"/>
      <c r="E262" s="549"/>
      <c r="F262" s="549"/>
      <c r="G262" s="550"/>
    </row>
    <row r="263" spans="1:7" ht="15" thickBot="1" x14ac:dyDescent="0.25">
      <c r="A263" s="478" t="s">
        <v>1</v>
      </c>
      <c r="B263" s="478"/>
      <c r="C263" s="478"/>
      <c r="D263" s="478"/>
      <c r="E263" s="478"/>
      <c r="F263" s="478"/>
      <c r="G263" s="478"/>
    </row>
    <row r="264" spans="1:7" ht="15" customHeight="1" thickBot="1" x14ac:dyDescent="0.25">
      <c r="A264" s="479" t="s">
        <v>126</v>
      </c>
      <c r="B264" s="479"/>
      <c r="C264" s="479"/>
      <c r="D264" s="479"/>
      <c r="E264" s="479"/>
      <c r="F264" s="479"/>
      <c r="G264" s="479"/>
    </row>
    <row r="265" spans="1:7" ht="59.25" customHeight="1" x14ac:dyDescent="0.2">
      <c r="A265" s="530" t="s">
        <v>10831</v>
      </c>
      <c r="B265" s="531"/>
      <c r="C265" s="531"/>
      <c r="D265" s="531"/>
      <c r="E265" s="531"/>
      <c r="F265" s="531"/>
      <c r="G265" s="538"/>
    </row>
    <row r="266" spans="1:7" ht="153" customHeight="1" x14ac:dyDescent="0.2">
      <c r="A266" s="545" t="s">
        <v>10822</v>
      </c>
      <c r="B266" s="546"/>
      <c r="C266" s="546"/>
      <c r="D266" s="546"/>
      <c r="E266" s="546"/>
      <c r="F266" s="546"/>
      <c r="G266" s="547"/>
    </row>
    <row r="267" spans="1:7" s="3" customFormat="1" ht="15" customHeight="1" x14ac:dyDescent="0.2">
      <c r="A267" s="4" t="s">
        <v>127</v>
      </c>
      <c r="B267" s="551"/>
      <c r="C267" s="552"/>
      <c r="D267" s="552"/>
      <c r="E267" s="552"/>
      <c r="F267" s="552"/>
      <c r="G267" s="553"/>
    </row>
    <row r="268" spans="1:7" s="3" customFormat="1" ht="40.5" customHeight="1" x14ac:dyDescent="0.2">
      <c r="A268" s="5" t="s">
        <v>128</v>
      </c>
      <c r="B268" s="554" t="s">
        <v>9360</v>
      </c>
      <c r="C268" s="555"/>
      <c r="D268" s="555"/>
      <c r="E268" s="555"/>
      <c r="F268" s="555"/>
      <c r="G268" s="556"/>
    </row>
    <row r="269" spans="1:7" s="3" customFormat="1" ht="15" customHeight="1" x14ac:dyDescent="0.2">
      <c r="A269" s="542" t="s">
        <v>9700</v>
      </c>
      <c r="B269" s="543"/>
      <c r="C269" s="543"/>
      <c r="D269" s="543"/>
      <c r="E269" s="543"/>
      <c r="F269" s="543"/>
      <c r="G269" s="544"/>
    </row>
    <row r="270" spans="1:7" ht="15" customHeight="1" thickBot="1" x14ac:dyDescent="0.25">
      <c r="A270" s="7" t="s">
        <v>129</v>
      </c>
      <c r="B270" s="557"/>
      <c r="C270" s="558"/>
      <c r="D270" s="558"/>
      <c r="E270" s="558"/>
      <c r="F270" s="558"/>
      <c r="G270" s="559"/>
    </row>
    <row r="271" spans="1:7" x14ac:dyDescent="0.2">
      <c r="A271" s="478" t="s">
        <v>130</v>
      </c>
      <c r="B271" s="478"/>
      <c r="C271" s="478"/>
      <c r="D271" s="478"/>
      <c r="E271" s="478"/>
      <c r="F271" s="478"/>
      <c r="G271" s="478"/>
    </row>
  </sheetData>
  <sheetProtection algorithmName="SHA-512" hashValue="P6tXg+m/oHqOwNOFcqDkOJweRYuyuDXhe+7rKLaOmy58jvxCmYdChNiWLMtBEqQ4d1kFkQOF1WlDRkNwqm+gYg==" saltValue="mF/txd+pwSKyo27hxsq9CQ==" spinCount="100000" sheet="1" objects="1" scenarios="1" formatColumns="0" formatRows="0"/>
  <mergeCells count="340">
    <mergeCell ref="A237:F237"/>
    <mergeCell ref="A238:F238"/>
    <mergeCell ref="A59:B59"/>
    <mergeCell ref="C54:G54"/>
    <mergeCell ref="A248:C248"/>
    <mergeCell ref="D248:G248"/>
    <mergeCell ref="A246:F246"/>
    <mergeCell ref="A247:F247"/>
    <mergeCell ref="D203:G203"/>
    <mergeCell ref="A203:C203"/>
    <mergeCell ref="A172:C172"/>
    <mergeCell ref="D172:G172"/>
    <mergeCell ref="A92:G92"/>
    <mergeCell ref="A244:F244"/>
    <mergeCell ref="A245:F245"/>
    <mergeCell ref="A239:G239"/>
    <mergeCell ref="A222:F222"/>
    <mergeCell ref="A223:F223"/>
    <mergeCell ref="A224:F224"/>
    <mergeCell ref="A225:F225"/>
    <mergeCell ref="A232:F232"/>
    <mergeCell ref="A233:F233"/>
    <mergeCell ref="A234:F234"/>
    <mergeCell ref="A231:G231"/>
    <mergeCell ref="A235:F235"/>
    <mergeCell ref="A236:F236"/>
    <mergeCell ref="A60:G60"/>
    <mergeCell ref="C53:G53"/>
    <mergeCell ref="F64:G64"/>
    <mergeCell ref="F63:G63"/>
    <mergeCell ref="F62:G62"/>
    <mergeCell ref="A42:B42"/>
    <mergeCell ref="A51:B51"/>
    <mergeCell ref="A50:B50"/>
    <mergeCell ref="C52:G52"/>
    <mergeCell ref="C51:G51"/>
    <mergeCell ref="C50:G50"/>
    <mergeCell ref="A57:B57"/>
    <mergeCell ref="A44:B44"/>
    <mergeCell ref="A58:B58"/>
    <mergeCell ref="A55:B55"/>
    <mergeCell ref="A64:E64"/>
    <mergeCell ref="A63:E63"/>
    <mergeCell ref="A43:B43"/>
    <mergeCell ref="A45:B45"/>
    <mergeCell ref="C49:G49"/>
    <mergeCell ref="C59:G59"/>
    <mergeCell ref="C58:G58"/>
    <mergeCell ref="C57:G57"/>
    <mergeCell ref="C56:G56"/>
    <mergeCell ref="A230:F230"/>
    <mergeCell ref="A240:F240"/>
    <mergeCell ref="A241:F241"/>
    <mergeCell ref="A242:F242"/>
    <mergeCell ref="D73:G73"/>
    <mergeCell ref="A72:G72"/>
    <mergeCell ref="A49:B49"/>
    <mergeCell ref="A68:G68"/>
    <mergeCell ref="A67:F67"/>
    <mergeCell ref="A66:G66"/>
    <mergeCell ref="A62:E62"/>
    <mergeCell ref="A61:E61"/>
    <mergeCell ref="A65:G65"/>
    <mergeCell ref="A56:B56"/>
    <mergeCell ref="C55:G55"/>
    <mergeCell ref="A70:G70"/>
    <mergeCell ref="A71:G71"/>
    <mergeCell ref="A93:G93"/>
    <mergeCell ref="A83:C83"/>
    <mergeCell ref="A82:C82"/>
    <mergeCell ref="A81:C81"/>
    <mergeCell ref="D83:G83"/>
    <mergeCell ref="A34:B34"/>
    <mergeCell ref="D32:G32"/>
    <mergeCell ref="A32:C32"/>
    <mergeCell ref="A25:F25"/>
    <mergeCell ref="A36:B36"/>
    <mergeCell ref="D29:G29"/>
    <mergeCell ref="A31:G31"/>
    <mergeCell ref="A30:G30"/>
    <mergeCell ref="A29:C29"/>
    <mergeCell ref="A54:B54"/>
    <mergeCell ref="A52:B52"/>
    <mergeCell ref="C39:G39"/>
    <mergeCell ref="A39:B39"/>
    <mergeCell ref="A41:B41"/>
    <mergeCell ref="A40:B40"/>
    <mergeCell ref="C41:G41"/>
    <mergeCell ref="A46:G46"/>
    <mergeCell ref="C40:G40"/>
    <mergeCell ref="A48:B48"/>
    <mergeCell ref="A47:B47"/>
    <mergeCell ref="A1:G1"/>
    <mergeCell ref="A2:G2"/>
    <mergeCell ref="A3:G3"/>
    <mergeCell ref="A4:G4"/>
    <mergeCell ref="A5:G5"/>
    <mergeCell ref="A26:G26"/>
    <mergeCell ref="A22:F22"/>
    <mergeCell ref="A17:F17"/>
    <mergeCell ref="A23:F23"/>
    <mergeCell ref="A7:F7"/>
    <mergeCell ref="A24:F24"/>
    <mergeCell ref="A13:F13"/>
    <mergeCell ref="A11:F11"/>
    <mergeCell ref="A9:F9"/>
    <mergeCell ref="A10:F10"/>
    <mergeCell ref="A16:F16"/>
    <mergeCell ref="A6:G6"/>
    <mergeCell ref="A8:F8"/>
    <mergeCell ref="A21:F21"/>
    <mergeCell ref="A12:F12"/>
    <mergeCell ref="A15:F15"/>
    <mergeCell ref="A14:F14"/>
    <mergeCell ref="A18:F18"/>
    <mergeCell ref="A20:F20"/>
    <mergeCell ref="A19:F19"/>
    <mergeCell ref="F61:G61"/>
    <mergeCell ref="A77:C77"/>
    <mergeCell ref="A76:C76"/>
    <mergeCell ref="A73:C73"/>
    <mergeCell ref="A69:G69"/>
    <mergeCell ref="A38:B38"/>
    <mergeCell ref="A37:B37"/>
    <mergeCell ref="C45:G45"/>
    <mergeCell ref="C44:G44"/>
    <mergeCell ref="C43:G43"/>
    <mergeCell ref="C42:G42"/>
    <mergeCell ref="A28:G28"/>
    <mergeCell ref="A27:G27"/>
    <mergeCell ref="A33:G33"/>
    <mergeCell ref="C35:G35"/>
    <mergeCell ref="C34:G34"/>
    <mergeCell ref="A35:B35"/>
    <mergeCell ref="C48:G48"/>
    <mergeCell ref="C47:G47"/>
    <mergeCell ref="A53:B53"/>
    <mergeCell ref="C38:G38"/>
    <mergeCell ref="C37:G37"/>
    <mergeCell ref="C36:G36"/>
    <mergeCell ref="D82:G82"/>
    <mergeCell ref="D81:G81"/>
    <mergeCell ref="A75:C75"/>
    <mergeCell ref="A74:C74"/>
    <mergeCell ref="A80:C80"/>
    <mergeCell ref="D80:G80"/>
    <mergeCell ref="A91:C91"/>
    <mergeCell ref="D91:G91"/>
    <mergeCell ref="A90:C90"/>
    <mergeCell ref="D90:G90"/>
    <mergeCell ref="A84:C84"/>
    <mergeCell ref="D84:G84"/>
    <mergeCell ref="A79:G79"/>
    <mergeCell ref="A78:C78"/>
    <mergeCell ref="D78:G78"/>
    <mergeCell ref="D77:G77"/>
    <mergeCell ref="D76:G76"/>
    <mergeCell ref="D75:G75"/>
    <mergeCell ref="D74:G74"/>
    <mergeCell ref="D105:G105"/>
    <mergeCell ref="A109:G109"/>
    <mergeCell ref="A108:C108"/>
    <mergeCell ref="A107:C107"/>
    <mergeCell ref="A106:C106"/>
    <mergeCell ref="A105:C105"/>
    <mergeCell ref="A99:G99"/>
    <mergeCell ref="A95:G95"/>
    <mergeCell ref="D94:G94"/>
    <mergeCell ref="A94:C94"/>
    <mergeCell ref="A104:G104"/>
    <mergeCell ref="A103:G103"/>
    <mergeCell ref="D101:G101"/>
    <mergeCell ref="A102:G102"/>
    <mergeCell ref="A101:C101"/>
    <mergeCell ref="D100:G100"/>
    <mergeCell ref="A100:C100"/>
    <mergeCell ref="A97:C97"/>
    <mergeCell ref="D97:G97"/>
    <mergeCell ref="A96:G96"/>
    <mergeCell ref="A98:G98"/>
    <mergeCell ref="A111:G111"/>
    <mergeCell ref="A110:G110"/>
    <mergeCell ref="D108:G108"/>
    <mergeCell ref="D107:G107"/>
    <mergeCell ref="D106:G106"/>
    <mergeCell ref="A112:F112"/>
    <mergeCell ref="A117:F117"/>
    <mergeCell ref="A116:F116"/>
    <mergeCell ref="A115:F115"/>
    <mergeCell ref="A114:G114"/>
    <mergeCell ref="D113:G113"/>
    <mergeCell ref="A113:C113"/>
    <mergeCell ref="C135:G135"/>
    <mergeCell ref="C134:G134"/>
    <mergeCell ref="A135:B135"/>
    <mergeCell ref="A134:B134"/>
    <mergeCell ref="A133:G133"/>
    <mergeCell ref="A132:G132"/>
    <mergeCell ref="A127:F127"/>
    <mergeCell ref="A124:F124"/>
    <mergeCell ref="A122:F122"/>
    <mergeCell ref="A121:F121"/>
    <mergeCell ref="A118:F118"/>
    <mergeCell ref="A119:F119"/>
    <mergeCell ref="A120:F120"/>
    <mergeCell ref="A125:F125"/>
    <mergeCell ref="A126:F126"/>
    <mergeCell ref="A128:F128"/>
    <mergeCell ref="A123:F123"/>
    <mergeCell ref="A131:F131"/>
    <mergeCell ref="A129:F129"/>
    <mergeCell ref="A130:F130"/>
    <mergeCell ref="A147:G147"/>
    <mergeCell ref="C154:G154"/>
    <mergeCell ref="C152:G152"/>
    <mergeCell ref="C150:G150"/>
    <mergeCell ref="C148:G148"/>
    <mergeCell ref="A154:B154"/>
    <mergeCell ref="A136:G136"/>
    <mergeCell ref="C146:G146"/>
    <mergeCell ref="A146:B146"/>
    <mergeCell ref="A145:G145"/>
    <mergeCell ref="A144:G144"/>
    <mergeCell ref="A143:G143"/>
    <mergeCell ref="A142:G142"/>
    <mergeCell ref="A141:F141"/>
    <mergeCell ref="A140:F140"/>
    <mergeCell ref="A139:G139"/>
    <mergeCell ref="A138:F138"/>
    <mergeCell ref="A137:F137"/>
    <mergeCell ref="A152:B152"/>
    <mergeCell ref="A150:B150"/>
    <mergeCell ref="A148:B148"/>
    <mergeCell ref="A157:G157"/>
    <mergeCell ref="A156:G156"/>
    <mergeCell ref="A158:G158"/>
    <mergeCell ref="A155:G155"/>
    <mergeCell ref="A153:G153"/>
    <mergeCell ref="A151:G151"/>
    <mergeCell ref="A149:G149"/>
    <mergeCell ref="A164:F164"/>
    <mergeCell ref="A159:F159"/>
    <mergeCell ref="A160:F160"/>
    <mergeCell ref="A161:F161"/>
    <mergeCell ref="A162:F162"/>
    <mergeCell ref="A163:F163"/>
    <mergeCell ref="A187:F187"/>
    <mergeCell ref="A188:F188"/>
    <mergeCell ref="A189:F189"/>
    <mergeCell ref="A186:F186"/>
    <mergeCell ref="A196:F196"/>
    <mergeCell ref="A197:F197"/>
    <mergeCell ref="A167:F167"/>
    <mergeCell ref="A166:F166"/>
    <mergeCell ref="A165:F165"/>
    <mergeCell ref="A182:F182"/>
    <mergeCell ref="A174:F174"/>
    <mergeCell ref="A173:G173"/>
    <mergeCell ref="A171:F171"/>
    <mergeCell ref="A170:F170"/>
    <mergeCell ref="A169:F169"/>
    <mergeCell ref="A168:F168"/>
    <mergeCell ref="A181:G181"/>
    <mergeCell ref="A179:F179"/>
    <mergeCell ref="A178:F178"/>
    <mergeCell ref="A177:F177"/>
    <mergeCell ref="A176:F176"/>
    <mergeCell ref="A175:F175"/>
    <mergeCell ref="D180:G180"/>
    <mergeCell ref="A180:C180"/>
    <mergeCell ref="A204:G204"/>
    <mergeCell ref="A205:G205"/>
    <mergeCell ref="A207:F207"/>
    <mergeCell ref="A206:F206"/>
    <mergeCell ref="A249:G249"/>
    <mergeCell ref="A218:F218"/>
    <mergeCell ref="A217:F217"/>
    <mergeCell ref="A216:F216"/>
    <mergeCell ref="A215:F215"/>
    <mergeCell ref="A208:G208"/>
    <mergeCell ref="A214:F214"/>
    <mergeCell ref="A213:F213"/>
    <mergeCell ref="A212:F212"/>
    <mergeCell ref="A211:F211"/>
    <mergeCell ref="A210:F210"/>
    <mergeCell ref="A209:G209"/>
    <mergeCell ref="A228:F228"/>
    <mergeCell ref="A226:F226"/>
    <mergeCell ref="A229:F229"/>
    <mergeCell ref="A227:F227"/>
    <mergeCell ref="A219:F219"/>
    <mergeCell ref="A221:F221"/>
    <mergeCell ref="A220:G220"/>
    <mergeCell ref="A243:F243"/>
    <mergeCell ref="A264:G264"/>
    <mergeCell ref="A263:G263"/>
    <mergeCell ref="A252:G252"/>
    <mergeCell ref="A251:G251"/>
    <mergeCell ref="A250:G250"/>
    <mergeCell ref="A271:G271"/>
    <mergeCell ref="A269:G269"/>
    <mergeCell ref="A266:G266"/>
    <mergeCell ref="A265:G265"/>
    <mergeCell ref="A262:G262"/>
    <mergeCell ref="A261:F261"/>
    <mergeCell ref="A260:F260"/>
    <mergeCell ref="A259:G259"/>
    <mergeCell ref="A258:G258"/>
    <mergeCell ref="A257:G257"/>
    <mergeCell ref="A255:F255"/>
    <mergeCell ref="A254:F254"/>
    <mergeCell ref="A253:G253"/>
    <mergeCell ref="A256:F256"/>
    <mergeCell ref="B267:G267"/>
    <mergeCell ref="B268:G268"/>
    <mergeCell ref="B270:G270"/>
    <mergeCell ref="A199:F199"/>
    <mergeCell ref="A200:F200"/>
    <mergeCell ref="A201:F201"/>
    <mergeCell ref="A202:F202"/>
    <mergeCell ref="A190:F190"/>
    <mergeCell ref="A191:F191"/>
    <mergeCell ref="A192:F192"/>
    <mergeCell ref="A193:F193"/>
    <mergeCell ref="A85:C85"/>
    <mergeCell ref="D85:G85"/>
    <mergeCell ref="A86:C86"/>
    <mergeCell ref="D86:G86"/>
    <mergeCell ref="A87:C87"/>
    <mergeCell ref="D87:G87"/>
    <mergeCell ref="A88:C88"/>
    <mergeCell ref="D88:G88"/>
    <mergeCell ref="A89:C89"/>
    <mergeCell ref="D89:G89"/>
    <mergeCell ref="A194:F194"/>
    <mergeCell ref="A195:F195"/>
    <mergeCell ref="A198:F198"/>
    <mergeCell ref="A183:F183"/>
    <mergeCell ref="A184:F184"/>
    <mergeCell ref="A185:F185"/>
  </mergeCells>
  <conditionalFormatting sqref="A92">
    <cfRule type="expression" dxfId="350" priority="77">
      <formula>AND($D$90="NO",$D$91="NO")</formula>
    </cfRule>
  </conditionalFormatting>
  <conditionalFormatting sqref="A8:G25">
    <cfRule type="expression" dxfId="349" priority="33">
      <formula>$G$7="I DISAGREE"</formula>
    </cfRule>
  </conditionalFormatting>
  <conditionalFormatting sqref="A9:G25">
    <cfRule type="expression" dxfId="348" priority="32">
      <formula>$G$8="I DISAGREE"</formula>
    </cfRule>
  </conditionalFormatting>
  <conditionalFormatting sqref="A10:G25">
    <cfRule type="expression" dxfId="347" priority="31">
      <formula>$G$9="I DISAGREE"</formula>
    </cfRule>
  </conditionalFormatting>
  <conditionalFormatting sqref="A11:G25">
    <cfRule type="expression" dxfId="346" priority="30">
      <formula>$G$10="I DISAGREE"</formula>
    </cfRule>
  </conditionalFormatting>
  <conditionalFormatting sqref="A12:G25">
    <cfRule type="expression" dxfId="345" priority="29">
      <formula>$G$11="I DISAGREE"</formula>
    </cfRule>
  </conditionalFormatting>
  <conditionalFormatting sqref="A13:G25">
    <cfRule type="expression" dxfId="344" priority="28">
      <formula>$G$12="I DISAGREE"</formula>
    </cfRule>
  </conditionalFormatting>
  <conditionalFormatting sqref="A14:G25">
    <cfRule type="expression" dxfId="343" priority="27">
      <formula>$G$13="I DISAGREE"</formula>
    </cfRule>
  </conditionalFormatting>
  <conditionalFormatting sqref="A15:G25">
    <cfRule type="expression" dxfId="342" priority="6">
      <formula>$G$14="I disagree"</formula>
    </cfRule>
  </conditionalFormatting>
  <conditionalFormatting sqref="A16:G25">
    <cfRule type="expression" dxfId="341" priority="26">
      <formula>$G$15="I DISAGREE"</formula>
    </cfRule>
  </conditionalFormatting>
  <conditionalFormatting sqref="A17:G25">
    <cfRule type="expression" dxfId="340" priority="25">
      <formula>$G$16="I DISAGREE"</formula>
    </cfRule>
  </conditionalFormatting>
  <conditionalFormatting sqref="A18:G25">
    <cfRule type="expression" dxfId="339" priority="24">
      <formula>$G$17="I DISAGREE"</formula>
    </cfRule>
  </conditionalFormatting>
  <conditionalFormatting sqref="A19:G25">
    <cfRule type="expression" dxfId="338" priority="23">
      <formula>$G$18="I DISAGREE"</formula>
    </cfRule>
  </conditionalFormatting>
  <conditionalFormatting sqref="A20:G25">
    <cfRule type="expression" dxfId="337" priority="22">
      <formula>$G$19="I DISAGREE"</formula>
    </cfRule>
  </conditionalFormatting>
  <conditionalFormatting sqref="A21:G25">
    <cfRule type="expression" dxfId="336" priority="21">
      <formula>$G$20="I DISAGREE"</formula>
    </cfRule>
  </conditionalFormatting>
  <conditionalFormatting sqref="A22:G25">
    <cfRule type="expression" dxfId="335" priority="20">
      <formula>$G$21="I DISAGREE"</formula>
    </cfRule>
  </conditionalFormatting>
  <conditionalFormatting sqref="A23:G25">
    <cfRule type="expression" dxfId="334" priority="19">
      <formula>$G$22="I DISAGREE"</formula>
    </cfRule>
  </conditionalFormatting>
  <conditionalFormatting sqref="A24:G25">
    <cfRule type="expression" dxfId="333" priority="18">
      <formula>$G$23="I DISAGREE"</formula>
    </cfRule>
  </conditionalFormatting>
  <conditionalFormatting sqref="A25:G25">
    <cfRule type="expression" dxfId="332" priority="17">
      <formula>$G$24="I DISAGREE"</formula>
    </cfRule>
  </conditionalFormatting>
  <conditionalFormatting sqref="A27:G171 A204:G245 A249:G271 A172 D172 A173:G179 A180 A181:G202 A203 A246:A247 G246:G247">
    <cfRule type="expression" dxfId="331" priority="34">
      <formula>IF(COUNTIF($G$7:$G$25,"I disagree")&gt;0,TRUE,FALSE)</formula>
    </cfRule>
  </conditionalFormatting>
  <conditionalFormatting sqref="A86:G86">
    <cfRule type="expression" dxfId="330" priority="2">
      <formula>$D$85="no"</formula>
    </cfRule>
  </conditionalFormatting>
  <conditionalFormatting sqref="A88:G89">
    <cfRule type="expression" dxfId="329" priority="3">
      <formula>$D$87="no"</formula>
    </cfRule>
  </conditionalFormatting>
  <conditionalFormatting sqref="A121:G121">
    <cfRule type="expression" dxfId="328" priority="101">
      <formula>$G$17="not applicable"</formula>
    </cfRule>
  </conditionalFormatting>
  <conditionalFormatting sqref="A126:G126">
    <cfRule type="expression" dxfId="327" priority="100">
      <formula>$G$18="not applicable"</formula>
    </cfRule>
  </conditionalFormatting>
  <conditionalFormatting sqref="A138:G138">
    <cfRule type="expression" dxfId="326" priority="117">
      <formula>$G$137="No"</formula>
    </cfRule>
  </conditionalFormatting>
  <conditionalFormatting sqref="A141:G141">
    <cfRule type="expression" dxfId="325" priority="116">
      <formula>$G$140="No"</formula>
    </cfRule>
  </conditionalFormatting>
  <conditionalFormatting sqref="A207:G209">
    <cfRule type="expression" dxfId="324" priority="115">
      <formula>$G$206="No"</formula>
    </cfRule>
  </conditionalFormatting>
  <conditionalFormatting sqref="A219:G219">
    <cfRule type="expression" dxfId="323" priority="12">
      <formula>OR($D$90="YES",$D$91="YES")</formula>
    </cfRule>
  </conditionalFormatting>
  <conditionalFormatting sqref="A220:G227">
    <cfRule type="expression" dxfId="322" priority="47">
      <formula>$G$115=0</formula>
    </cfRule>
  </conditionalFormatting>
  <conditionalFormatting sqref="A228:G229">
    <cfRule type="expression" dxfId="321" priority="70">
      <formula>$D$80="YES"</formula>
    </cfRule>
  </conditionalFormatting>
  <conditionalFormatting sqref="A229:G229">
    <cfRule type="expression" dxfId="320" priority="51">
      <formula>$G$228="N/A"</formula>
    </cfRule>
  </conditionalFormatting>
  <conditionalFormatting sqref="A230:G230">
    <cfRule type="expression" dxfId="319" priority="46">
      <formula>$G$116="NO"</formula>
    </cfRule>
  </conditionalFormatting>
  <conditionalFormatting sqref="A232:G232">
    <cfRule type="expression" dxfId="318" priority="45">
      <formula>$G$121="no"</formula>
    </cfRule>
  </conditionalFormatting>
  <conditionalFormatting sqref="A233:G233">
    <cfRule type="expression" dxfId="317" priority="44">
      <formula>$G$122="no"</formula>
    </cfRule>
  </conditionalFormatting>
  <conditionalFormatting sqref="A234:G234">
    <cfRule type="expression" dxfId="316" priority="43">
      <formula>$G$123="no"</formula>
    </cfRule>
  </conditionalFormatting>
  <conditionalFormatting sqref="A235:G237">
    <cfRule type="expression" dxfId="315" priority="42">
      <formula>$G129="no"</formula>
    </cfRule>
  </conditionalFormatting>
  <conditionalFormatting sqref="A238:G238">
    <cfRule type="expression" dxfId="314" priority="41">
      <formula>$G$124="no"</formula>
    </cfRule>
  </conditionalFormatting>
  <conditionalFormatting sqref="A240:G240">
    <cfRule type="expression" dxfId="313" priority="40">
      <formula>$G$126&lt;1</formula>
    </cfRule>
  </conditionalFormatting>
  <conditionalFormatting sqref="A241:G241">
    <cfRule type="expression" dxfId="312" priority="39">
      <formula>$G$126&lt;2</formula>
    </cfRule>
  </conditionalFormatting>
  <conditionalFormatting sqref="A242:G242">
    <cfRule type="expression" dxfId="311" priority="38">
      <formula>$G$125&lt;1</formula>
    </cfRule>
  </conditionalFormatting>
  <conditionalFormatting sqref="A243:G243">
    <cfRule type="expression" dxfId="310" priority="37">
      <formula>$G$125&lt;2</formula>
    </cfRule>
  </conditionalFormatting>
  <conditionalFormatting sqref="A244:G245">
    <cfRule type="expression" dxfId="309" priority="36">
      <formula>$G$128="no"</formula>
    </cfRule>
  </conditionalFormatting>
  <conditionalFormatting sqref="A247:G247">
    <cfRule type="expression" dxfId="308" priority="1">
      <formula>$G$246="no"</formula>
    </cfRule>
  </conditionalFormatting>
  <conditionalFormatting sqref="A255:G256">
    <cfRule type="expression" dxfId="307" priority="114">
      <formula>$G$254="No"</formula>
    </cfRule>
  </conditionalFormatting>
  <conditionalFormatting sqref="A261:G262">
    <cfRule type="expression" dxfId="306" priority="113">
      <formula>$G$260="No"</formula>
    </cfRule>
  </conditionalFormatting>
  <conditionalFormatting sqref="A264:G270">
    <cfRule type="expression" dxfId="305" priority="112">
      <formula>$G$261="Yes"</formula>
    </cfRule>
  </conditionalFormatting>
  <conditionalFormatting sqref="G7:G25">
    <cfRule type="expression" dxfId="304" priority="102">
      <formula>G7="I disagree"</formula>
    </cfRule>
  </conditionalFormatting>
  <conditionalFormatting sqref="G24">
    <cfRule type="expression" dxfId="303" priority="2231">
      <formula>AND($G$24="Not applicable",OR($D$80="No",$G$112="amendment"))</formula>
    </cfRule>
  </conditionalFormatting>
  <conditionalFormatting sqref="G67">
    <cfRule type="expression" dxfId="302" priority="14">
      <formula>$G$67="yes"</formula>
    </cfRule>
  </conditionalFormatting>
  <conditionalFormatting sqref="G261">
    <cfRule type="expression" dxfId="300" priority="7">
      <formula>$G$261="yes"</formula>
    </cfRule>
  </conditionalFormatting>
  <dataValidations disablePrompts="1" xWindow="796" yWindow="466" count="72">
    <dataValidation type="list" allowBlank="1" showErrorMessage="1" prompt="select one" sqref="D73:G73" xr:uid="{2789C245-48C0-4B44-91EB-328239366B5A}">
      <formula1>Counties</formula1>
    </dataValidation>
    <dataValidation type="list" allowBlank="1" showErrorMessage="1" prompt="select one" sqref="D101:G101" xr:uid="{8DF6CA09-E520-4738-B962-4797796C21F1}">
      <formula1>"Marine Terminal,Gasoline Terminal,Chemical Plant,Terminal"</formula1>
    </dataValidation>
    <dataValidation type="list" allowBlank="1" showErrorMessage="1" prompt="select one" sqref="G256 G141 G207 G211:G219 G138 G247" xr:uid="{DD07F704-C8AA-43C8-AA95-843733B86902}">
      <formula1>"Yes"</formula1>
    </dataValidation>
    <dataValidation type="list" allowBlank="1" showInputMessage="1" showErrorMessage="1" prompt="select one" sqref="G8 G23 G25" xr:uid="{C070F7D3-D0BB-44EB-B951-31DE78EA0349}">
      <formula1>"I agree,I disagree"</formula1>
    </dataValidation>
    <dataValidation type="list" allowBlank="1" showErrorMessage="1" prompt="select one" sqref="G116:G124 G127:G131 G260:G261 G174:G179 G182:G202 G137 G206 G254 G159:G171 G246:G247" xr:uid="{29BC6669-543C-4BD8-BD09-04556EDFE3F0}">
      <formula1>"Yes,No"</formula1>
    </dataValidation>
    <dataValidation type="list" allowBlank="1" showErrorMessage="1" prompt="select one" sqref="G115" xr:uid="{1F699C22-3F6B-446E-ADF5-63C1A98C3A20}">
      <formula1>"0,1,2,3,4,5"</formula1>
    </dataValidation>
    <dataValidation type="list" allowBlank="1" showErrorMessage="1" prompt="select one" sqref="G125:G126" xr:uid="{B1C3CA95-FE3F-4CC5-B39F-7443045F797B}">
      <formula1>"0,1,2"</formula1>
    </dataValidation>
    <dataValidation type="list" allowBlank="1" showErrorMessage="1" prompt="select one" sqref="G210 G224 G227:G230 G232:G238 G240:G245" xr:uid="{DC7ECBC2-8E57-4209-A769-D032D75B3DD2}">
      <formula1>"Yes,N/A"</formula1>
    </dataValidation>
    <dataValidation allowBlank="1" showErrorMessage="1" prompt="enter company or legal name" sqref="D29:G29" xr:uid="{E87E1F53-6811-4002-879A-EBAA9C815FE1}"/>
    <dataValidation allowBlank="1" showErrorMessage="1" prompt="enter texas secretary of state charter or registration number if given" sqref="D32:G32" xr:uid="{095FFF8F-643B-4CB6-85D9-79726A3EA87C}"/>
    <dataValidation allowBlank="1" showErrorMessage="1" prompt="enter company official's prefix" sqref="C34:G34" xr:uid="{E0D20D37-5199-4D92-B8EF-C68BCE181825}"/>
    <dataValidation allowBlank="1" showErrorMessage="1" prompt="enter company official's first name" sqref="C35:G35" xr:uid="{86812E2F-400F-4CD1-A89A-005937CB6FFB}"/>
    <dataValidation allowBlank="1" showErrorMessage="1" prompt="enter company official's last name" sqref="C36:G36" xr:uid="{002AD70C-BC30-49EA-945F-35216BD6615C}"/>
    <dataValidation allowBlank="1" showErrorMessage="1" prompt="enter company official's title" sqref="C37:G37" xr:uid="{F38F0EDD-7AB5-477E-8F0A-3DFAE67C9908}"/>
    <dataValidation allowBlank="1" showErrorMessage="1" prompt="enter company official's mailing address" sqref="C38:G38" xr:uid="{4F3A8C41-6789-47EB-B087-FA4DDBF9D7D4}"/>
    <dataValidation allowBlank="1" showErrorMessage="1" prompt="enter company official's address line 2" sqref="C39:G39" xr:uid="{52093E7D-C52C-41A6-BF9E-BBD01296A573}"/>
    <dataValidation allowBlank="1" showErrorMessage="1" prompt="enter company official's city" sqref="C40:G40" xr:uid="{58306095-F362-4510-8109-A5B0E1DC1E26}"/>
    <dataValidation allowBlank="1" showErrorMessage="1" prompt="enter company official's state" sqref="C41:G41" xr:uid="{5A730085-C050-457A-8B36-6665A3D15679}"/>
    <dataValidation allowBlank="1" showErrorMessage="1" prompt="enter company official's zip code" sqref="C42:G42" xr:uid="{A7557224-7E93-4ECE-BAAD-0FB6369E97DA}"/>
    <dataValidation allowBlank="1" showErrorMessage="1" prompt="enter company official's telephone number" sqref="C43:G43" xr:uid="{04A994EF-4E92-414C-8BF9-5991728EC414}"/>
    <dataValidation allowBlank="1" showErrorMessage="1" prompt="enter company official's fax number" sqref="C44:G44" xr:uid="{0DEEC411-CEE4-48E4-9D70-5222A8B8CB73}"/>
    <dataValidation allowBlank="1" showErrorMessage="1" prompt="enter company official's email address_x000a_" sqref="C45:G45" xr:uid="{FA6A966F-8415-429E-800B-0FBFB0C28665}"/>
    <dataValidation allowBlank="1" showErrorMessage="1" prompt="enter technical contact's prefix" sqref="C47:G47" xr:uid="{57882AE3-FD33-45C3-A4A7-6B7BC6BC91FF}"/>
    <dataValidation allowBlank="1" showErrorMessage="1" prompt="enter technical contact's first name" sqref="C48:G48" xr:uid="{810554F6-6ED6-4C05-9FED-B37459EA0B1C}"/>
    <dataValidation allowBlank="1" showErrorMessage="1" prompt="enter technical contact's last name" sqref="C49:G49" xr:uid="{48D841F2-75A2-40EA-88BA-443595BBD3A7}"/>
    <dataValidation allowBlank="1" showErrorMessage="1" prompt="enter technical contact's title" sqref="C50:G50" xr:uid="{EA26D6F1-409A-4D55-868F-D2AF423047D2}"/>
    <dataValidation allowBlank="1" showErrorMessage="1" prompt="enter technical contact's company or legal name" sqref="C51:G51" xr:uid="{CD6A8A8F-A7BA-4339-AFC7-4B7380AFEA48}"/>
    <dataValidation allowBlank="1" showErrorMessage="1" prompt="enter technical contact's mailing address" sqref="C52:G52" xr:uid="{7E6444F0-D019-47B6-ACF9-AA2710E986C8}"/>
    <dataValidation allowBlank="1" showErrorMessage="1" prompt="enter technical contact's address line 2" sqref="C53:G53" xr:uid="{D8036FD8-F0E0-4295-887B-AD9FA6E509CC}"/>
    <dataValidation allowBlank="1" showErrorMessage="1" prompt="enter technical contact's city" sqref="C54:G54" xr:uid="{144441E1-C6F3-4F40-88BA-C4D25B025ADC}"/>
    <dataValidation allowBlank="1" showErrorMessage="1" prompt="enter technical contact's state" sqref="C55:G55" xr:uid="{4D4AD5BC-CD93-4691-B57D-2B4782385511}"/>
    <dataValidation allowBlank="1" showErrorMessage="1" prompt="enter technical contact's zip code" sqref="C56:G56" xr:uid="{E899BFBF-85A8-4D62-95DF-59669EB12086}"/>
    <dataValidation allowBlank="1" showErrorMessage="1" prompt="enter technical contact's telephone number" sqref="C57:G57" xr:uid="{7D021ACF-C5D7-425A-B090-B8D0C5292331}"/>
    <dataValidation allowBlank="1" showErrorMessage="1" prompt="enter technical contact's fax number" sqref="C58:G58" xr:uid="{1F1D020A-5941-4B36-BCD0-D2106462B54A}"/>
    <dataValidation allowBlank="1" showErrorMessage="1" prompt="enter technical contact's email address" sqref="C59:G59" xr:uid="{0CE73729-742D-4216-9031-C6D124DBDCBE}"/>
    <dataValidation allowBlank="1" showErrorMessage="1" prompt="enter the customer reference number" sqref="F61:G61" xr:uid="{573B4624-3C00-4C76-BC2C-F6A368D2DBD7}"/>
    <dataValidation allowBlank="1" showErrorMessage="1" prompt="enter the regulated entity number" sqref="F62:G62" xr:uid="{CD1EAB0A-0F7A-4A34-8083-F636ADB80363}"/>
    <dataValidation allowBlank="1" showErrorMessage="1" prompt="enter the NSR permit number (if assigned)" sqref="F63:G63" xr:uid="{C9F5A4EA-D863-4C25-868B-35BE157BC4D7}"/>
    <dataValidation allowBlank="1" showErrorMessage="1" prompt="enter the federal operating permit number if assigned" sqref="F64:G64" xr:uid="{67F06718-171C-45F3-B423-6D7F1E463007}"/>
    <dataValidation type="list" allowBlank="1" showErrorMessage="1" prompt="select yes or no" sqref="G67 D80:G80 D83:G83 D90:G91 D85:G85 D87:G87" xr:uid="{214CBEBB-789E-48ED-9C7A-D852233B2A73}">
      <formula1>"Yes,No"</formula1>
    </dataValidation>
    <dataValidation allowBlank="1" showErrorMessage="1" prompt="enter facility street address" sqref="D74:G74" xr:uid="{17D31694-328C-4EB3-BBBA-C2DCAD52A9C6}"/>
    <dataValidation allowBlank="1" showErrorMessage="1" prompt="enter the city" sqref="D75:G75" xr:uid="{58565CBB-0449-4BB2-8DCB-84BBA1AF854E}"/>
    <dataValidation allowBlank="1" showErrorMessage="1" prompt="enter zip code" sqref="D76:G76" xr:uid="{91B3D820-F6CA-4C1E-9820-6559C59584F5}"/>
    <dataValidation allowBlank="1" showErrorMessage="1" prompt="enter site location description if applicable" sqref="D77:G77" xr:uid="{7B0BD87E-19D3-43F3-B15E-E6BC01F696B3}"/>
    <dataValidation allowBlank="1" showErrorMessage="1" prompt="enter site name" sqref="D81:G81" xr:uid="{A9ECF9C6-5517-4324-8F8E-7D77C4E9DF0C}"/>
    <dataValidation allowBlank="1" showErrorMessage="1" prompt="enter area name" sqref="D82:G82" xr:uid="{20B880B6-F31D-4F94-8364-040329B69A58}"/>
    <dataValidation allowBlank="1" showErrorMessage="1" prompt="enter principal company product/business" sqref="D97:G97 D94:G94" xr:uid="{EB736B6C-98EC-46CC-B511-ED26338A1F7D}"/>
    <dataValidation allowBlank="1" showErrorMessage="1" prompt="enter naics code" sqref="D100:G100" xr:uid="{2B72A6EA-7EDB-4006-9E67-33D25CD5956A}"/>
    <dataValidation type="decimal" operator="lessThanOrEqual" allowBlank="1" showErrorMessage="1" prompt="enter proposed liquid weight percent of benzene in gasoline stored" sqref="D89:G89" xr:uid="{76D6CC11-1308-43F9-B9DD-FBAA81B113C6}">
      <formula1>1</formula1>
    </dataValidation>
    <dataValidation allowBlank="1" showErrorMessage="1" prompt="enter the state senator" sqref="D105:G105" xr:uid="{80B14E01-365C-4DD1-B2AE-53174639E506}"/>
    <dataValidation allowBlank="1" showErrorMessage="1" prompt="enter the distrcit" sqref="D106:G106" xr:uid="{2E42BAD0-24D2-4ADF-A00F-3B0D1BCFCED0}"/>
    <dataValidation allowBlank="1" showErrorMessage="1" prompt="enter the state representative" sqref="D107:G107" xr:uid="{29C8CA34-AE5C-46EC-B7CE-58A79BC3486C}"/>
    <dataValidation allowBlank="1" showErrorMessage="1" prompt="enter the district" sqref="D108:G108" xr:uid="{9CE55F7A-8F5D-4BE9-A683-8866E04D7FAD}"/>
    <dataValidation allowBlank="1" showErrorMessage="1" prompt="revise the sample process description in this cell to represent your project" sqref="D113:G113" xr:uid="{4587749D-C94E-4BD4-AD24-FA8AFFAF68BD}"/>
    <dataValidation allowBlank="1" showErrorMessage="1" prompt="enter projected start of construction" sqref="C134:G134" xr:uid="{CD6597A6-1BD8-4C42-86E4-484F48CB58B5}"/>
    <dataValidation allowBlank="1" showErrorMessage="1" prompt="enter projected start of operation" sqref="C135:G135" xr:uid="{BC7B64DF-1446-4C27-8527-3171E6595C5B}"/>
    <dataValidation allowBlank="1" showErrorMessage="1" prompt="enter the subparts and how you'll comply with them" sqref="C154:G154 C146:G146 C148:G148 C150:G150 C152:G152" xr:uid="{2A5618DB-466D-4AD1-91C6-F04460EBFBB1}"/>
    <dataValidation allowBlank="1" showErrorMessage="1" prompt="enter the name" sqref="B267:G267" xr:uid="{5FDFBC75-D269-4F43-BDBF-EE22611F207E}"/>
    <dataValidation allowBlank="1" showErrorMessage="1" prompt="enter the signature date" sqref="B270:G270" xr:uid="{B03EB6AB-F856-4749-AED9-60928742A799}"/>
    <dataValidation type="list" allowBlank="1" showErrorMessage="1" prompt="Select one" sqref="G112" xr:uid="{7F031978-80CB-454C-9366-1B6085C4009B}">
      <formula1>"Initial,Amendment"</formula1>
    </dataValidation>
    <dataValidation type="list" allowBlank="1" showErrorMessage="1" prompt="select industrial or non-industrial" sqref="D84:G84" xr:uid="{88709F59-A8CF-4964-A4C7-CA91A0F17542}">
      <formula1>"industrial,non-industrial,mixed industrial and non-industrial"</formula1>
    </dataValidation>
    <dataValidation type="list" allowBlank="1" showInputMessage="1" showErrorMessage="1" prompt="select one" sqref="G24" xr:uid="{19CBBE4A-69E1-4DFA-BD6C-52DAB1AB8393}">
      <formula1>"I agree,I disagree,Not applicable"</formula1>
    </dataValidation>
    <dataValidation type="list" allowBlank="1" showErrorMessage="1" prompt="select one" sqref="D78:G78" xr:uid="{4381F53F-E1B9-4E27-AF1A-AFE7112CEE84}">
      <formula1>"14,15"</formula1>
    </dataValidation>
    <dataValidation type="list" allowBlank="1" showErrorMessage="1" prompt="select one" sqref="G225" xr:uid="{B94FC629-A4E8-44CC-8B42-3C9A1A021F84}">
      <formula1>"No"</formula1>
    </dataValidation>
    <dataValidation type="decimal" operator="lessThanOrEqual" allowBlank="1" showErrorMessage="1" prompt="enter proposed liquid weight percent of MTBE in gasoline stored" sqref="D88:G88" xr:uid="{253DFADF-B703-476C-8900-281B5EB25D3F}">
      <formula1>1</formula1>
    </dataValidation>
    <dataValidation type="decimal" operator="greaterThan" allowBlank="1" showErrorMessage="1" prompt="enter maximum proposed hydrogen sulfide content in crude products (ppmw)" sqref="D86:G87" xr:uid="{5B410795-62D1-4D48-8EC4-2CEE68EA1E76}">
      <formula1>0</formula1>
    </dataValidation>
    <dataValidation type="list" allowBlank="1" showErrorMessage="1" prompt="select one" sqref="G7 G20 G23:G25 G9:G16" xr:uid="{968CC3C1-80A9-4C25-A82F-F68DCCB40FB3}">
      <formula1>"I agree,I disagree"</formula1>
    </dataValidation>
    <dataValidation type="list" allowBlank="1" showErrorMessage="1" prompt="select one" sqref="G17:G19 G21:G22 G10" xr:uid="{66CE2D99-610E-4BE5-80E4-E455E5E4715D}">
      <formula1>"I agree,I disagree,Not applicable"</formula1>
    </dataValidation>
    <dataValidation type="list" allowBlank="1" showErrorMessage="1" prompt="select yes" sqref="G226 G221:G223" xr:uid="{6279BA53-AED1-42A1-A2E6-62575BCB5E3B}">
      <formula1>"Yes"</formula1>
    </dataValidation>
    <dataValidation allowBlank="1" showErrorMessage="1" prompt="If not listed above, list any 40 CFR Part 60 Subparts that the sources in this project will be or are subject to. Use the same format used above (&quot;Subpart [subpart letters]: [subpart title]&quot;)." sqref="D172:G172" xr:uid="{FF050ADD-0727-427B-B8F0-47225AF6312F}"/>
    <dataValidation allowBlank="1" showErrorMessage="1" prompt="If not listed above, list any 40 CFR Part 63 Subparts that the sources in this project will be or are subject to. Use the same format used above (&quot;Subpart [subpart letters]: [subpart title]&quot;)." sqref="D203:G203" xr:uid="{5F5CB124-580A-44C1-83CD-70D654151906}"/>
    <dataValidation allowBlank="1" showErrorMessage="1" prompt="If not listed above, list any 40 CFR Part 61 Subparts that the sources in this project will be or are subject to. Use the same format used above (&quot;Subpart [subpart letters]: [subpart title]&quot;)." sqref="D180:G180" xr:uid="{06BB7963-95CB-497E-AD44-0D07A839E5BB}"/>
  </dataValidations>
  <hyperlinks>
    <hyperlink ref="A31" r:id="rId1" xr:uid="{8151C597-DBB3-47A6-9FB8-7DFACA70D376}"/>
    <hyperlink ref="A69" r:id="rId2" xr:uid="{7FE4BEFF-78E3-4D39-8A89-6012C14A1D9E}"/>
    <hyperlink ref="A104" r:id="rId3" xr:uid="{4FC32DFD-CF32-458B-A3A9-14AEF9E39A1D}"/>
    <hyperlink ref="A253" r:id="rId4" xr:uid="{C1892FF3-1A50-4FD6-A8BE-0751B4700001}"/>
    <hyperlink ref="A259" r:id="rId5" xr:uid="{7DE7B1A1-8117-465B-A3F7-0A6CE0DFE6E9}"/>
    <hyperlink ref="A96" r:id="rId6" xr:uid="{399695F9-00DF-4111-A447-4E71FA8136B6}"/>
    <hyperlink ref="A99" r:id="rId7" xr:uid="{0AD74260-101A-4A31-A604-67B80E115F27}"/>
    <hyperlink ref="A209:G209" r:id="rId8" display="https://www.tceq.texas.gov/permitting/air/confidential.html" xr:uid="{7D6B5444-20C6-40BF-BDEE-4CDEC599D480}"/>
    <hyperlink ref="A99:G99" r:id="rId9" display="https://www.census.gov/naics/" xr:uid="{8477B036-4252-432C-BFD4-8AF58504E82E}"/>
    <hyperlink ref="D248" r:id="rId10" location="pip" xr:uid="{EDAD6A7A-D1EB-48D5-AC69-FFA7A81CB6BD}"/>
  </hyperlinks>
  <printOptions horizontalCentered="1"/>
  <pageMargins left="0.7" right="0.7" top="0.75" bottom="0.75" header="0.3" footer="0.3"/>
  <pageSetup scale="75" orientation="portrait" r:id="rId11"/>
  <headerFooter>
    <oddHeader>&amp;C&amp;"Calibri,Regular"Marine Loading RAP Application</oddHeader>
    <oddFooter>&amp;L&amp;"Calibri,Regular"Version 1.0&amp;C&amp;"Calibri,Regular"Sheet: &amp;A&amp;R&amp;"Calibri,Regular"Page &amp;P</oddFooter>
  </headerFooter>
  <extLst>
    <ext xmlns:x14="http://schemas.microsoft.com/office/spreadsheetml/2009/9/main" uri="{78C0D931-6437-407d-A8EE-F0AAD7539E65}">
      <x14:conditionalFormattings>
        <x14:conditionalFormatting xmlns:xm="http://schemas.microsoft.com/office/excel/2006/main">
          <x14:cfRule type="expression" priority="11" id="{37A0FB83-84A9-481A-A870-69E56022C5EE}">
            <xm:f>AND($G$224="N/A",(COUNTIF(Tank1!$D$18,"*floating*")+COUNTIF(Tank2!$D$18,"*floating*")+COUNTIF(Tank3!$D$18,"*floating*")+COUNTIF(Tank4!$D$18,"*floating*")+COUNTIF(Tank5!$D$18,"*floating*"))&gt;0,(ConvenienceLand!$D$13+ConvenienceLand!$D$30+ConvenienceLand!$D$47+ConvenienceLand!$D$64+ConvenienceLand!$D$81)&gt;0)</xm:f>
            <x14:dxf>
              <numFmt numFmtId="0" formatCode="General"/>
              <fill>
                <patternFill>
                  <bgColor rgb="FFEBB8B7"/>
                </patternFill>
              </fill>
            </x14:dxf>
          </x14:cfRule>
          <xm:sqref>G224</xm:sqref>
        </x14:conditionalFormatting>
      </x14:conditionalFormattings>
    </ext>
  </extLs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4D809E-74E0-40E2-AA54-9CBEAD0B4BBF}">
  <sheetPr codeName="Sheet25">
    <tabColor theme="1"/>
  </sheetPr>
  <dimension ref="A1:P449"/>
  <sheetViews>
    <sheetView zoomScaleNormal="100" workbookViewId="0">
      <selection sqref="A1:O1"/>
    </sheetView>
  </sheetViews>
  <sheetFormatPr defaultRowHeight="14.25" x14ac:dyDescent="0.2"/>
  <cols>
    <col min="1" max="15" width="15.875" customWidth="1"/>
  </cols>
  <sheetData>
    <row r="1" spans="1:15" ht="8.25" customHeight="1" thickBot="1" x14ac:dyDescent="0.25">
      <c r="A1" s="478" t="s">
        <v>0</v>
      </c>
      <c r="B1" s="478"/>
      <c r="C1" s="478"/>
      <c r="D1" s="478"/>
      <c r="E1" s="478"/>
      <c r="F1" s="478"/>
      <c r="G1" s="478"/>
      <c r="H1" s="478"/>
      <c r="I1" s="478"/>
      <c r="J1" s="478"/>
      <c r="K1" s="478"/>
      <c r="L1" s="478"/>
      <c r="M1" s="478"/>
      <c r="N1" s="478"/>
      <c r="O1" s="478"/>
    </row>
    <row r="2" spans="1:15" ht="18.75" thickBot="1" x14ac:dyDescent="0.25">
      <c r="A2" s="1176" t="s">
        <v>9198</v>
      </c>
      <c r="B2" s="1176"/>
      <c r="C2" s="1176"/>
      <c r="D2" s="1176"/>
      <c r="E2" s="1176"/>
      <c r="F2" s="1176"/>
      <c r="G2" s="1176"/>
      <c r="H2" s="1176"/>
      <c r="I2" s="1176"/>
      <c r="J2" s="1176"/>
      <c r="K2" s="1176"/>
      <c r="L2" s="1176"/>
      <c r="M2" s="1176"/>
      <c r="N2" s="1176"/>
      <c r="O2" s="1176"/>
    </row>
    <row r="3" spans="1:15" ht="133.5" customHeight="1" x14ac:dyDescent="0.2">
      <c r="A3" s="884" t="s">
        <v>10624</v>
      </c>
      <c r="B3" s="885"/>
      <c r="C3" s="885"/>
      <c r="D3" s="885"/>
      <c r="E3" s="885"/>
      <c r="F3" s="885"/>
      <c r="G3" s="885"/>
      <c r="H3" s="885"/>
      <c r="I3" s="885"/>
      <c r="J3" s="885"/>
      <c r="K3" s="885"/>
      <c r="L3" s="885"/>
      <c r="M3" s="885"/>
      <c r="N3" s="885"/>
      <c r="O3" s="893"/>
    </row>
    <row r="4" spans="1:15" ht="15" x14ac:dyDescent="0.2">
      <c r="A4" s="564" t="s">
        <v>10044</v>
      </c>
      <c r="B4" s="563"/>
      <c r="C4" s="563"/>
      <c r="D4" s="563"/>
      <c r="E4" s="563"/>
      <c r="F4" s="563"/>
      <c r="G4" s="563"/>
      <c r="H4" s="563"/>
      <c r="I4" s="563"/>
      <c r="J4" s="563"/>
      <c r="K4" s="563"/>
      <c r="L4" s="563"/>
      <c r="M4" s="563"/>
      <c r="N4" s="563"/>
      <c r="O4" s="847"/>
    </row>
    <row r="5" spans="1:15" x14ac:dyDescent="0.2">
      <c r="A5" s="1170" t="s">
        <v>10045</v>
      </c>
      <c r="B5" s="1171"/>
      <c r="C5" s="1171"/>
      <c r="D5" s="1171"/>
      <c r="E5" s="1171"/>
      <c r="F5" s="1171"/>
      <c r="G5" s="1171"/>
      <c r="H5" s="1171"/>
      <c r="I5" s="1171"/>
      <c r="J5" s="1171"/>
      <c r="K5" s="1171"/>
      <c r="L5" s="1171"/>
      <c r="M5" s="1171"/>
      <c r="N5" s="1171"/>
      <c r="O5" s="1172"/>
    </row>
    <row r="6" spans="1:15" x14ac:dyDescent="0.2">
      <c r="A6" s="1170" t="s">
        <v>10046</v>
      </c>
      <c r="B6" s="1171"/>
      <c r="C6" s="1171"/>
      <c r="D6" s="1171"/>
      <c r="E6" s="1171"/>
      <c r="F6" s="1171"/>
      <c r="G6" s="1171"/>
      <c r="H6" s="1171"/>
      <c r="I6" s="1171"/>
      <c r="J6" s="1171"/>
      <c r="K6" s="1171"/>
      <c r="L6" s="1171"/>
      <c r="M6" s="1171"/>
      <c r="N6" s="1171"/>
      <c r="O6" s="1172"/>
    </row>
    <row r="7" spans="1:15" x14ac:dyDescent="0.2">
      <c r="A7" s="1170" t="s">
        <v>10219</v>
      </c>
      <c r="B7" s="1171"/>
      <c r="C7" s="1171"/>
      <c r="D7" s="1171"/>
      <c r="E7" s="1171"/>
      <c r="F7" s="1171"/>
      <c r="G7" s="1171"/>
      <c r="H7" s="1171"/>
      <c r="I7" s="1171"/>
      <c r="J7" s="1171"/>
      <c r="K7" s="1171"/>
      <c r="L7" s="1171"/>
      <c r="M7" s="1171"/>
      <c r="N7" s="1171"/>
      <c r="O7" s="1172"/>
    </row>
    <row r="8" spans="1:15" x14ac:dyDescent="0.2">
      <c r="A8" s="1170"/>
      <c r="B8" s="1171"/>
      <c r="C8" s="1171"/>
      <c r="D8" s="1171"/>
      <c r="E8" s="1171"/>
      <c r="F8" s="1171"/>
      <c r="G8" s="1171"/>
      <c r="H8" s="1171"/>
      <c r="I8" s="1171"/>
      <c r="J8" s="1171"/>
      <c r="K8" s="1171"/>
      <c r="L8" s="1171"/>
      <c r="M8" s="1171"/>
      <c r="N8" s="1171"/>
      <c r="O8" s="1172"/>
    </row>
    <row r="9" spans="1:15" x14ac:dyDescent="0.2">
      <c r="A9" s="1170"/>
      <c r="B9" s="1171"/>
      <c r="C9" s="1171"/>
      <c r="D9" s="1171"/>
      <c r="E9" s="1171"/>
      <c r="F9" s="1171"/>
      <c r="G9" s="1171"/>
      <c r="H9" s="1171"/>
      <c r="I9" s="1171"/>
      <c r="J9" s="1171"/>
      <c r="K9" s="1171"/>
      <c r="L9" s="1171"/>
      <c r="M9" s="1171"/>
      <c r="N9" s="1171"/>
      <c r="O9" s="1172"/>
    </row>
    <row r="10" spans="1:15" x14ac:dyDescent="0.2">
      <c r="A10" s="1170"/>
      <c r="B10" s="1171"/>
      <c r="C10" s="1171"/>
      <c r="D10" s="1171"/>
      <c r="E10" s="1171"/>
      <c r="F10" s="1171"/>
      <c r="G10" s="1171"/>
      <c r="H10" s="1171"/>
      <c r="I10" s="1171"/>
      <c r="J10" s="1171"/>
      <c r="K10" s="1171"/>
      <c r="L10" s="1171"/>
      <c r="M10" s="1171"/>
      <c r="N10" s="1171"/>
      <c r="O10" s="1172"/>
    </row>
    <row r="11" spans="1:15" ht="15" thickBot="1" x14ac:dyDescent="0.25">
      <c r="A11" s="1173"/>
      <c r="B11" s="1174"/>
      <c r="C11" s="1174"/>
      <c r="D11" s="1174"/>
      <c r="E11" s="1174"/>
      <c r="F11" s="1174"/>
      <c r="G11" s="1174"/>
      <c r="H11" s="1174"/>
      <c r="I11" s="1174"/>
      <c r="J11" s="1174"/>
      <c r="K11" s="1174"/>
      <c r="L11" s="1174"/>
      <c r="M11" s="1174"/>
      <c r="N11" s="1174"/>
      <c r="O11" s="1175"/>
    </row>
    <row r="12" spans="1:15" ht="15" thickBot="1" x14ac:dyDescent="0.25">
      <c r="A12" s="478" t="s">
        <v>1</v>
      </c>
      <c r="B12" s="478"/>
      <c r="C12" s="478"/>
      <c r="D12" s="478"/>
      <c r="E12" s="478"/>
      <c r="F12" s="478"/>
      <c r="G12" s="478"/>
      <c r="H12" s="478"/>
      <c r="I12" s="478"/>
      <c r="J12" s="478"/>
      <c r="K12" s="478"/>
      <c r="L12" s="478"/>
      <c r="M12" s="478"/>
      <c r="N12" s="478"/>
      <c r="O12" s="478"/>
    </row>
    <row r="13" spans="1:15" ht="15.75" thickBot="1" x14ac:dyDescent="0.25">
      <c r="A13" s="479" t="s">
        <v>10045</v>
      </c>
      <c r="B13" s="479"/>
      <c r="C13" s="479"/>
      <c r="D13" s="479"/>
      <c r="E13" s="479"/>
      <c r="F13" s="479"/>
      <c r="G13" s="479"/>
      <c r="H13" s="479"/>
      <c r="I13" s="479"/>
      <c r="J13" s="479"/>
      <c r="K13" s="479"/>
      <c r="L13" s="479"/>
      <c r="M13" s="479"/>
      <c r="N13" s="479"/>
      <c r="O13" s="479"/>
    </row>
    <row r="14" spans="1:15" ht="15.75" customHeight="1" thickBot="1" x14ac:dyDescent="0.25">
      <c r="A14" s="834" t="s">
        <v>9202</v>
      </c>
      <c r="B14" s="835"/>
      <c r="C14" s="835"/>
      <c r="D14" s="1178"/>
      <c r="E14" s="834" t="str">
        <f ca="1">IF((COUNTIF($N$90:$N$105,"no")+COUNTIF($N$338:$O$447,"revise data on previous sheets"))&gt;0,"No","Yes")</f>
        <v>Yes</v>
      </c>
      <c r="F14" s="835"/>
      <c r="G14" s="835"/>
      <c r="H14" s="835"/>
      <c r="I14" s="835"/>
      <c r="J14" s="835"/>
      <c r="K14" s="835"/>
      <c r="L14" s="835"/>
      <c r="M14" s="835"/>
      <c r="N14" s="835"/>
      <c r="O14" s="1178"/>
    </row>
    <row r="15" spans="1:15" ht="15" thickBot="1" x14ac:dyDescent="0.25">
      <c r="A15" s="478" t="s">
        <v>1</v>
      </c>
      <c r="B15" s="478"/>
      <c r="C15" s="478"/>
      <c r="D15" s="478"/>
      <c r="E15" s="478"/>
      <c r="F15" s="478"/>
      <c r="G15" s="478"/>
      <c r="H15" s="478"/>
      <c r="I15" s="478"/>
      <c r="J15" s="478"/>
      <c r="K15" s="478"/>
      <c r="L15" s="478"/>
      <c r="M15" s="478"/>
      <c r="N15" s="478"/>
      <c r="O15" s="478"/>
    </row>
    <row r="16" spans="1:15" ht="15.75" thickBot="1" x14ac:dyDescent="0.25">
      <c r="A16" s="474" t="s">
        <v>10046</v>
      </c>
      <c r="B16" s="474"/>
      <c r="C16" s="474"/>
      <c r="D16" s="474"/>
      <c r="E16" s="474"/>
      <c r="F16" s="474"/>
      <c r="G16" s="474"/>
      <c r="H16" s="474"/>
      <c r="I16" s="474"/>
      <c r="J16" s="474"/>
      <c r="K16" s="474"/>
      <c r="L16" s="474"/>
      <c r="M16" s="474"/>
      <c r="N16" s="474"/>
      <c r="O16" s="474"/>
    </row>
    <row r="17" spans="1:16" ht="45.75" customHeight="1" x14ac:dyDescent="0.2">
      <c r="A17" s="884" t="s">
        <v>9533</v>
      </c>
      <c r="B17" s="885"/>
      <c r="C17" s="885"/>
      <c r="D17" s="885"/>
      <c r="E17" s="885"/>
      <c r="F17" s="885"/>
      <c r="G17" s="885"/>
      <c r="H17" s="885"/>
      <c r="I17" s="885"/>
      <c r="J17" s="885"/>
      <c r="K17" s="885"/>
      <c r="L17" s="885"/>
      <c r="M17" s="885"/>
      <c r="N17" s="885"/>
      <c r="O17" s="893"/>
    </row>
    <row r="18" spans="1:16" ht="15" x14ac:dyDescent="0.2">
      <c r="A18" s="564" t="s">
        <v>10008</v>
      </c>
      <c r="B18" s="563"/>
      <c r="C18" s="563"/>
      <c r="D18" s="563"/>
      <c r="E18" s="563"/>
      <c r="F18" s="563"/>
      <c r="G18" s="563"/>
      <c r="H18" s="563"/>
      <c r="I18" s="563"/>
      <c r="J18" s="563"/>
      <c r="K18" s="79" t="s">
        <v>9308</v>
      </c>
      <c r="L18" s="79" t="s">
        <v>9309</v>
      </c>
      <c r="M18" s="79" t="s">
        <v>9310</v>
      </c>
      <c r="N18" s="79" t="s">
        <v>9311</v>
      </c>
      <c r="O18" s="80" t="s">
        <v>9312</v>
      </c>
    </row>
    <row r="19" spans="1:16" x14ac:dyDescent="0.2">
      <c r="A19" s="1164">
        <f>IF('PI-1-MarineLoading'!G115&lt;1,0,IF(Tank1!$D$6="AFFECTED",0,Tank1!$D$9))</f>
        <v>0</v>
      </c>
      <c r="B19" s="1165"/>
      <c r="C19" s="1165"/>
      <c r="D19" s="1165"/>
      <c r="E19" s="1165"/>
      <c r="F19" s="1165"/>
      <c r="G19" s="1165"/>
      <c r="H19" s="1165"/>
      <c r="I19" s="1165"/>
      <c r="J19" s="1165"/>
      <c r="K19" s="333" t="str">
        <f>IFERROR(Hidden!QR3,"")</f>
        <v/>
      </c>
      <c r="L19" s="333" t="str">
        <f>IFERROR(Hidden!QS3,"")</f>
        <v/>
      </c>
      <c r="M19" s="333" t="str">
        <f>IFERROR(Hidden!QT3,"")</f>
        <v/>
      </c>
      <c r="N19" s="333" t="str">
        <f>IFERROR(Hidden!QU3,"")</f>
        <v/>
      </c>
      <c r="O19" s="334" t="str">
        <f>IFERROR(Hidden!QV3,"")</f>
        <v/>
      </c>
      <c r="P19" t="s">
        <v>10009</v>
      </c>
    </row>
    <row r="20" spans="1:16" x14ac:dyDescent="0.2">
      <c r="A20" s="1164">
        <f>IF('PI-1-MarineLoading'!G115&lt;2,0,IF(Tank2!$D$6="AFFECTED",0,Tank2!$D$9))</f>
        <v>0</v>
      </c>
      <c r="B20" s="1165"/>
      <c r="C20" s="1165"/>
      <c r="D20" s="1165"/>
      <c r="E20" s="1165"/>
      <c r="F20" s="1165"/>
      <c r="G20" s="1165"/>
      <c r="H20" s="1165"/>
      <c r="I20" s="1165"/>
      <c r="J20" s="1165"/>
      <c r="K20" s="333" t="str">
        <f>IFERROR(Hidden!QR4,"")</f>
        <v/>
      </c>
      <c r="L20" s="333" t="str">
        <f>IFERROR(Hidden!QS4,"")</f>
        <v/>
      </c>
      <c r="M20" s="333" t="str">
        <f>IFERROR(Hidden!QT4,"")</f>
        <v/>
      </c>
      <c r="N20" s="333" t="str">
        <f>IFERROR(Hidden!QU4,"")</f>
        <v/>
      </c>
      <c r="O20" s="334" t="str">
        <f>IFERROR(Hidden!QV4,"")</f>
        <v/>
      </c>
      <c r="P20" t="s">
        <v>10010</v>
      </c>
    </row>
    <row r="21" spans="1:16" x14ac:dyDescent="0.2">
      <c r="A21" s="1164">
        <f>IF('PI-1-MarineLoading'!$G$115&lt;3,0,IF(Tank3!$D$6="AFFECTED",0,Tank3!$D$9))</f>
        <v>0</v>
      </c>
      <c r="B21" s="1165"/>
      <c r="C21" s="1165"/>
      <c r="D21" s="1165"/>
      <c r="E21" s="1165"/>
      <c r="F21" s="1165"/>
      <c r="G21" s="1165"/>
      <c r="H21" s="1165"/>
      <c r="I21" s="1165"/>
      <c r="J21" s="1165"/>
      <c r="K21" s="333" t="str">
        <f>IFERROR(Hidden!QR5,"")</f>
        <v/>
      </c>
      <c r="L21" s="333" t="str">
        <f>IFERROR(Hidden!QS5,"")</f>
        <v/>
      </c>
      <c r="M21" s="333" t="str">
        <f>IFERROR(Hidden!QT5,"")</f>
        <v/>
      </c>
      <c r="N21" s="333" t="str">
        <f>IFERROR(Hidden!QU5,"")</f>
        <v/>
      </c>
      <c r="O21" s="334" t="str">
        <f>IFERROR(Hidden!QV5,"")</f>
        <v/>
      </c>
      <c r="P21" t="s">
        <v>10011</v>
      </c>
    </row>
    <row r="22" spans="1:16" x14ac:dyDescent="0.2">
      <c r="A22" s="1164">
        <f>IF('PI-1-MarineLoading'!G115&lt;4,0,IF(Tank4!$D$6="AFFECTED",0,Tank4!$D$9))</f>
        <v>0</v>
      </c>
      <c r="B22" s="1165"/>
      <c r="C22" s="1165"/>
      <c r="D22" s="1165"/>
      <c r="E22" s="1165"/>
      <c r="F22" s="1165"/>
      <c r="G22" s="1165"/>
      <c r="H22" s="1165"/>
      <c r="I22" s="1165"/>
      <c r="J22" s="1165"/>
      <c r="K22" s="333" t="str">
        <f>IFERROR(Hidden!QR6,"")</f>
        <v/>
      </c>
      <c r="L22" s="333" t="str">
        <f>IFERROR(Hidden!QS6,"")</f>
        <v/>
      </c>
      <c r="M22" s="333" t="str">
        <f>IFERROR(Hidden!QT6,"")</f>
        <v/>
      </c>
      <c r="N22" s="333" t="str">
        <f>IFERROR(Hidden!QU6,"")</f>
        <v/>
      </c>
      <c r="O22" s="334" t="str">
        <f>IFERROR(Hidden!QV6,"")</f>
        <v/>
      </c>
      <c r="P22" t="s">
        <v>10012</v>
      </c>
    </row>
    <row r="23" spans="1:16" x14ac:dyDescent="0.2">
      <c r="A23" s="1164">
        <f>IF('PI-1-MarineLoading'!$G$115&lt;5,0,IF(Tank5!$D$6="AFFECTED",0,Tank5!$D$9))</f>
        <v>0</v>
      </c>
      <c r="B23" s="1165"/>
      <c r="C23" s="1165"/>
      <c r="D23" s="1165"/>
      <c r="E23" s="1165"/>
      <c r="F23" s="1165"/>
      <c r="G23" s="1165"/>
      <c r="H23" s="1165"/>
      <c r="I23" s="1165"/>
      <c r="J23" s="1165"/>
      <c r="K23" s="333" t="str">
        <f>IFERROR(Hidden!QR7,"")</f>
        <v/>
      </c>
      <c r="L23" s="333" t="str">
        <f>IFERROR(Hidden!QS7,"")</f>
        <v/>
      </c>
      <c r="M23" s="333" t="str">
        <f>IFERROR(Hidden!QT7,"")</f>
        <v/>
      </c>
      <c r="N23" s="333" t="str">
        <f>IFERROR(Hidden!QU7,"")</f>
        <v/>
      </c>
      <c r="O23" s="334" t="str">
        <f>IFERROR(Hidden!QV7,"")</f>
        <v/>
      </c>
      <c r="P23" t="s">
        <v>10013</v>
      </c>
    </row>
    <row r="24" spans="1:16" ht="14.25" customHeight="1" x14ac:dyDescent="0.2">
      <c r="A24" s="1164">
        <f>IF('PI-1-MarineLoading'!$G$116="no",0,IF('Load-DrumTote'!$F$6="AFFECTED",0,'Load-DrumTote'!$F$9))</f>
        <v>0</v>
      </c>
      <c r="B24" s="1165"/>
      <c r="C24" s="1165"/>
      <c r="D24" s="1165"/>
      <c r="E24" s="1165"/>
      <c r="F24" s="1165"/>
      <c r="G24" s="1165"/>
      <c r="H24" s="1165"/>
      <c r="I24" s="1165"/>
      <c r="J24" s="1165"/>
      <c r="K24" s="333" t="str">
        <f>IFERROR(Hidden!QR8,"")</f>
        <v/>
      </c>
      <c r="L24" s="333" t="str">
        <f>IFERROR(Hidden!QS8,"")</f>
        <v/>
      </c>
      <c r="M24" s="333" t="str">
        <f>IFERROR(Hidden!QT8,"")</f>
        <v/>
      </c>
      <c r="N24" s="333" t="str">
        <f>IFERROR(Hidden!QU8,"")</f>
        <v/>
      </c>
      <c r="O24" s="334" t="str">
        <f>IFERROR(Hidden!QV8,"")</f>
        <v/>
      </c>
      <c r="P24" t="s">
        <v>10014</v>
      </c>
    </row>
    <row r="25" spans="1:16" x14ac:dyDescent="0.2">
      <c r="A25" s="1164">
        <f>IF('PI-1-MarineLoading'!$G$117="no",0,IF('Load-Truck'!$F$6="AFFECTED",0,'Load-Truck'!$F$9))</f>
        <v>0</v>
      </c>
      <c r="B25" s="1165"/>
      <c r="C25" s="1165"/>
      <c r="D25" s="1165"/>
      <c r="E25" s="1165"/>
      <c r="F25" s="1165"/>
      <c r="G25" s="1165"/>
      <c r="H25" s="1165"/>
      <c r="I25" s="1165"/>
      <c r="J25" s="1165"/>
      <c r="K25" s="333" t="str">
        <f>IFERROR(Hidden!QR9,"")</f>
        <v/>
      </c>
      <c r="L25" s="333" t="str">
        <f>IFERROR(Hidden!QS9,"")</f>
        <v/>
      </c>
      <c r="M25" s="333" t="str">
        <f>IFERROR(Hidden!QT9,"")</f>
        <v/>
      </c>
      <c r="N25" s="333" t="str">
        <f>IFERROR(Hidden!QU9,"")</f>
        <v/>
      </c>
      <c r="O25" s="334" t="str">
        <f>IFERROR(Hidden!QV9,"")</f>
        <v/>
      </c>
      <c r="P25" t="s">
        <v>10015</v>
      </c>
    </row>
    <row r="26" spans="1:16" x14ac:dyDescent="0.2">
      <c r="A26" s="1164">
        <f>IF('PI-1-MarineLoading'!$G$118="no",0,IF('Load-Rail'!$F$6="AFFECTED",0,'Load-Rail'!$F$9))</f>
        <v>0</v>
      </c>
      <c r="B26" s="1165"/>
      <c r="C26" s="1165"/>
      <c r="D26" s="1165"/>
      <c r="E26" s="1165"/>
      <c r="F26" s="1165"/>
      <c r="G26" s="1165"/>
      <c r="H26" s="1165"/>
      <c r="I26" s="1165"/>
      <c r="J26" s="1165"/>
      <c r="K26" s="333" t="str">
        <f>IFERROR(Hidden!QR10,"")</f>
        <v/>
      </c>
      <c r="L26" s="333" t="str">
        <f>IFERROR(Hidden!QS10,"")</f>
        <v/>
      </c>
      <c r="M26" s="333" t="str">
        <f>IFERROR(Hidden!QT10,"")</f>
        <v/>
      </c>
      <c r="N26" s="333" t="str">
        <f>IFERROR(Hidden!QU10,"")</f>
        <v/>
      </c>
      <c r="O26" s="334" t="str">
        <f>IFERROR(Hidden!QV10,"")</f>
        <v/>
      </c>
      <c r="P26" t="s">
        <v>10016</v>
      </c>
    </row>
    <row r="27" spans="1:16" ht="14.25" customHeight="1" x14ac:dyDescent="0.2">
      <c r="A27" s="1164">
        <f>IF('PI-1-MarineLoading'!$G$119="no",0,IF('Load-MarineBarge'!$F$6="AFFECTED",0,'Load-MarineBarge'!$F$9))</f>
        <v>0</v>
      </c>
      <c r="B27" s="1165"/>
      <c r="C27" s="1165"/>
      <c r="D27" s="1165"/>
      <c r="E27" s="1165"/>
      <c r="F27" s="1165"/>
      <c r="G27" s="1165"/>
      <c r="H27" s="1165"/>
      <c r="I27" s="1165"/>
      <c r="J27" s="1165"/>
      <c r="K27" s="333" t="str">
        <f>IFERROR(Hidden!QR11,"")</f>
        <v/>
      </c>
      <c r="L27" s="333" t="str">
        <f>IFERROR(Hidden!QS11,"")</f>
        <v/>
      </c>
      <c r="M27" s="333" t="str">
        <f>IFERROR(Hidden!QT11,"")</f>
        <v/>
      </c>
      <c r="N27" s="333" t="str">
        <f>IFERROR(Hidden!QU11,"")</f>
        <v/>
      </c>
      <c r="O27" s="334" t="str">
        <f>IFERROR(Hidden!QV11,"")</f>
        <v/>
      </c>
      <c r="P27" t="s">
        <v>10017</v>
      </c>
    </row>
    <row r="28" spans="1:16" ht="14.25" customHeight="1" x14ac:dyDescent="0.2">
      <c r="A28" s="1164">
        <f>IF('PI-1-MarineLoading'!$G$120="no",0,IF('Load-MarineShip'!$F$6="AFFECTED",0,'Load-MarineShip'!$F$9))</f>
        <v>0</v>
      </c>
      <c r="B28" s="1165"/>
      <c r="C28" s="1165"/>
      <c r="D28" s="1165"/>
      <c r="E28" s="1165"/>
      <c r="F28" s="1165"/>
      <c r="G28" s="1165"/>
      <c r="H28" s="1165"/>
      <c r="I28" s="1165"/>
      <c r="J28" s="1165"/>
      <c r="K28" s="333" t="str">
        <f>IFERROR(Hidden!QR12,"")</f>
        <v/>
      </c>
      <c r="L28" s="333" t="str">
        <f>IFERROR(Hidden!QS12,"")</f>
        <v/>
      </c>
      <c r="M28" s="333" t="str">
        <f>IFERROR(Hidden!QT12,"")</f>
        <v/>
      </c>
      <c r="N28" s="333" t="str">
        <f>IFERROR(Hidden!QU12,"")</f>
        <v/>
      </c>
      <c r="O28" s="334" t="str">
        <f>IFERROR(Hidden!QV12,"")</f>
        <v/>
      </c>
      <c r="P28" t="s">
        <v>10018</v>
      </c>
    </row>
    <row r="29" spans="1:16" x14ac:dyDescent="0.2">
      <c r="A29" s="1164">
        <f>IF('PI-1-MarineLoading'!$G$121="no",0,IF(Flare!$D$6="affected",0,Flare!$D$9))</f>
        <v>0</v>
      </c>
      <c r="B29" s="1165"/>
      <c r="C29" s="1165"/>
      <c r="D29" s="1165"/>
      <c r="E29" s="1165"/>
      <c r="F29" s="1165"/>
      <c r="G29" s="1165"/>
      <c r="H29" s="1165"/>
      <c r="I29" s="1165"/>
      <c r="J29" s="1165"/>
      <c r="K29" s="333" t="str">
        <f>IFERROR(Hidden!QR13,"")</f>
        <v/>
      </c>
      <c r="L29" s="333" t="str">
        <f>IFERROR(Hidden!QS13,"")</f>
        <v/>
      </c>
      <c r="M29" s="333" t="str">
        <f>IFERROR(Hidden!QT13,"")</f>
        <v/>
      </c>
      <c r="N29" s="333" t="str">
        <f>IFERROR(Hidden!QU13,"")</f>
        <v/>
      </c>
      <c r="O29" s="334" t="str">
        <f>IFERROR(Hidden!QV13,"")</f>
        <v/>
      </c>
      <c r="P29" t="s">
        <v>9391</v>
      </c>
    </row>
    <row r="30" spans="1:16" x14ac:dyDescent="0.2">
      <c r="A30" s="1164">
        <f>IF('PI-1-MarineLoading'!$G$122="no",0,IF(VCU!$D$6="affected",0,VCU!$D$9))</f>
        <v>0</v>
      </c>
      <c r="B30" s="1165"/>
      <c r="C30" s="1165"/>
      <c r="D30" s="1165"/>
      <c r="E30" s="1165"/>
      <c r="F30" s="1165"/>
      <c r="G30" s="1165"/>
      <c r="H30" s="1165"/>
      <c r="I30" s="1165"/>
      <c r="J30" s="1165"/>
      <c r="K30" s="333" t="str">
        <f>IFERROR(Hidden!QR14,"")</f>
        <v/>
      </c>
      <c r="L30" s="333" t="str">
        <f>IFERROR(Hidden!QS14,"")</f>
        <v/>
      </c>
      <c r="M30" s="333" t="str">
        <f>IFERROR(Hidden!QT14,"")</f>
        <v/>
      </c>
      <c r="N30" s="333" t="str">
        <f>IFERROR(Hidden!QU14,"")</f>
        <v/>
      </c>
      <c r="O30" s="334" t="str">
        <f>IFERROR(Hidden!QV14,"")</f>
        <v/>
      </c>
      <c r="P30" t="s">
        <v>10019</v>
      </c>
    </row>
    <row r="31" spans="1:16" x14ac:dyDescent="0.2">
      <c r="A31" s="1164">
        <f>IF('PI-1-MarineLoading'!$G$123="no",0,IF(VaporOxidizer!$D$6="affected",0,VaporOxidizer!$D$9))</f>
        <v>0</v>
      </c>
      <c r="B31" s="1165"/>
      <c r="C31" s="1165"/>
      <c r="D31" s="1165"/>
      <c r="E31" s="1165"/>
      <c r="F31" s="1165"/>
      <c r="G31" s="1165"/>
      <c r="H31" s="1165"/>
      <c r="I31" s="1165"/>
      <c r="J31" s="1165"/>
      <c r="K31" s="333" t="str">
        <f>IFERROR(Hidden!QR15,"")</f>
        <v/>
      </c>
      <c r="L31" s="333" t="str">
        <f>IFERROR(Hidden!QS15,"")</f>
        <v/>
      </c>
      <c r="M31" s="333" t="str">
        <f>IFERROR(Hidden!QT15,"")</f>
        <v/>
      </c>
      <c r="N31" s="333" t="str">
        <f>IFERROR(Hidden!QU15,"")</f>
        <v/>
      </c>
      <c r="O31" s="334" t="str">
        <f>IFERROR(Hidden!QV15,"")</f>
        <v/>
      </c>
      <c r="P31" t="s">
        <v>10020</v>
      </c>
    </row>
    <row r="32" spans="1:16" x14ac:dyDescent="0.2">
      <c r="A32" s="1164">
        <f>IF('PI-1-MarineLoading'!$G$124="no",0,IF(CAS!$D$6="affected",0,CAS!$D$9))</f>
        <v>0</v>
      </c>
      <c r="B32" s="1165"/>
      <c r="C32" s="1165"/>
      <c r="D32" s="1165"/>
      <c r="E32" s="1165"/>
      <c r="F32" s="1165"/>
      <c r="G32" s="1165"/>
      <c r="H32" s="1165"/>
      <c r="I32" s="1165"/>
      <c r="J32" s="1165"/>
      <c r="K32" s="333" t="str">
        <f>IFERROR(Hidden!QR16,"")</f>
        <v/>
      </c>
      <c r="L32" s="333" t="str">
        <f>IFERROR(Hidden!QS16,"")</f>
        <v/>
      </c>
      <c r="M32" s="333" t="str">
        <f>IFERROR(Hidden!QT16,"")</f>
        <v/>
      </c>
      <c r="N32" s="333" t="str">
        <f>IFERROR(Hidden!QU16,"")</f>
        <v/>
      </c>
      <c r="O32" s="334" t="str">
        <f>IFERROR(Hidden!QV16,"")</f>
        <v/>
      </c>
      <c r="P32" t="s">
        <v>10021</v>
      </c>
    </row>
    <row r="33" spans="1:16" x14ac:dyDescent="0.2">
      <c r="A33" s="1164">
        <f>IF('PI-1-MarineLoading'!$G$129="no",0,MSS!$D$65)</f>
        <v>0</v>
      </c>
      <c r="B33" s="1165"/>
      <c r="C33" s="1165"/>
      <c r="D33" s="1165"/>
      <c r="E33" s="1165"/>
      <c r="F33" s="1165"/>
      <c r="G33" s="1165"/>
      <c r="H33" s="1165"/>
      <c r="I33" s="1165"/>
      <c r="J33" s="1165"/>
      <c r="K33" s="333" t="str">
        <f>IFERROR(Hidden!QR27,"")</f>
        <v/>
      </c>
      <c r="L33" s="333" t="str">
        <f>IFERROR(Hidden!QS27,"")</f>
        <v/>
      </c>
      <c r="M33" s="333" t="str">
        <f>IFERROR(Hidden!QT27,"")</f>
        <v/>
      </c>
      <c r="N33" s="333" t="str">
        <f>IFERROR(Hidden!QU27,"")</f>
        <v/>
      </c>
      <c r="O33" s="334" t="str">
        <f>IFERROR(Hidden!QV27,"")</f>
        <v/>
      </c>
      <c r="P33" t="s">
        <v>10030</v>
      </c>
    </row>
    <row r="34" spans="1:16" x14ac:dyDescent="0.2">
      <c r="A34" s="1164">
        <f>IF('PI-1-MarineLoading'!$G$130="no",0,MSS!$D$91)</f>
        <v>0</v>
      </c>
      <c r="B34" s="1165"/>
      <c r="C34" s="1165"/>
      <c r="D34" s="1165"/>
      <c r="E34" s="1165"/>
      <c r="F34" s="1165"/>
      <c r="G34" s="1165"/>
      <c r="H34" s="1165"/>
      <c r="I34" s="1165"/>
      <c r="J34" s="1165"/>
      <c r="K34" s="333" t="str">
        <f>IFERROR(Hidden!QR26,"")</f>
        <v/>
      </c>
      <c r="L34" s="333" t="str">
        <f>IFERROR(Hidden!QS26,"")</f>
        <v/>
      </c>
      <c r="M34" s="333" t="str">
        <f>IFERROR(Hidden!QT26,"")</f>
        <v/>
      </c>
      <c r="N34" s="333" t="str">
        <f>IFERROR(Hidden!QU26,"")</f>
        <v/>
      </c>
      <c r="O34" s="334" t="str">
        <f>IFERROR(Hidden!QV26,"")</f>
        <v/>
      </c>
      <c r="P34" t="s">
        <v>10031</v>
      </c>
    </row>
    <row r="35" spans="1:16" x14ac:dyDescent="0.2">
      <c r="A35" s="1164">
        <f>IF('PI-1-MarineLoading'!$G$131="no",0,MSS!$D$121)</f>
        <v>0</v>
      </c>
      <c r="B35" s="1165"/>
      <c r="C35" s="1165"/>
      <c r="D35" s="1165"/>
      <c r="E35" s="1165"/>
      <c r="F35" s="1165"/>
      <c r="G35" s="1165"/>
      <c r="H35" s="1165"/>
      <c r="I35" s="1165"/>
      <c r="J35" s="1165"/>
      <c r="K35" s="333" t="str">
        <f>IFERROR(Hidden!QR25,"")</f>
        <v/>
      </c>
      <c r="L35" s="333" t="str">
        <f>IFERROR(Hidden!QS25,"")</f>
        <v/>
      </c>
      <c r="M35" s="333" t="str">
        <f>IFERROR(Hidden!QT25,"")</f>
        <v/>
      </c>
      <c r="N35" s="333" t="str">
        <f>IFERROR(Hidden!QU25,"")</f>
        <v/>
      </c>
      <c r="O35" s="334" t="str">
        <f>IFERROR(Hidden!QV25,"")</f>
        <v/>
      </c>
      <c r="P35" t="s">
        <v>10032</v>
      </c>
    </row>
    <row r="36" spans="1:16" x14ac:dyDescent="0.2">
      <c r="A36" s="1164">
        <f>IF('PI-1-MarineLoading'!G125&lt;1,0,IF(Engine1!$D$6="affected",0,Engine1!$D$9))</f>
        <v>0</v>
      </c>
      <c r="B36" s="1165"/>
      <c r="C36" s="1165"/>
      <c r="D36" s="1165"/>
      <c r="E36" s="1165"/>
      <c r="F36" s="1165"/>
      <c r="G36" s="1165"/>
      <c r="H36" s="1165"/>
      <c r="I36" s="1165"/>
      <c r="J36" s="1165"/>
      <c r="K36" s="333" t="str">
        <f>IFERROR(Hidden!QR17,"")</f>
        <v/>
      </c>
      <c r="L36" s="333" t="str">
        <f>IFERROR(Hidden!QS17,"")</f>
        <v/>
      </c>
      <c r="M36" s="333" t="str">
        <f>IFERROR(Hidden!QT17,"")</f>
        <v/>
      </c>
      <c r="N36" s="333" t="str">
        <f>IFERROR(Hidden!QU17,"")</f>
        <v/>
      </c>
      <c r="O36" s="334" t="str">
        <f>IFERROR(Hidden!QV17,"")</f>
        <v/>
      </c>
      <c r="P36" t="s">
        <v>10022</v>
      </c>
    </row>
    <row r="37" spans="1:16" x14ac:dyDescent="0.2">
      <c r="A37" s="1164">
        <f>IF('PI-1-MarineLoading'!$G$125&lt;2,0,IF(Engine2!$D$6="affected",0,Engine2!$D$9))</f>
        <v>0</v>
      </c>
      <c r="B37" s="1165"/>
      <c r="C37" s="1165"/>
      <c r="D37" s="1165"/>
      <c r="E37" s="1165"/>
      <c r="F37" s="1165"/>
      <c r="G37" s="1165"/>
      <c r="H37" s="1165"/>
      <c r="I37" s="1165"/>
      <c r="J37" s="1165"/>
      <c r="K37" s="333" t="str">
        <f>IFERROR(Hidden!QR18,"")</f>
        <v/>
      </c>
      <c r="L37" s="333" t="str">
        <f>IFERROR(Hidden!QS18,"")</f>
        <v/>
      </c>
      <c r="M37" s="333" t="str">
        <f>IFERROR(Hidden!QT18,"")</f>
        <v/>
      </c>
      <c r="N37" s="333" t="str">
        <f>IFERROR(Hidden!QU18,"")</f>
        <v/>
      </c>
      <c r="O37" s="334" t="str">
        <f>IFERROR(Hidden!QV18,"")</f>
        <v/>
      </c>
      <c r="P37" t="s">
        <v>10023</v>
      </c>
    </row>
    <row r="38" spans="1:16" x14ac:dyDescent="0.2">
      <c r="A38" s="1164">
        <f>IF('PI-1-MarineLoading'!$G$126&lt;1,0,IF(HeaterBoiler1!$E$6="affected",0,IF(HeaterBoiler1!$E$15="heater",HeaterBoiler1!$E$9,0)))</f>
        <v>0</v>
      </c>
      <c r="B38" s="1165"/>
      <c r="C38" s="1165"/>
      <c r="D38" s="1165"/>
      <c r="E38" s="1165"/>
      <c r="F38" s="1165"/>
      <c r="G38" s="1165"/>
      <c r="H38" s="1165"/>
      <c r="I38" s="1165"/>
      <c r="J38" s="1165"/>
      <c r="K38" s="333" t="str">
        <f>IFERROR(Hidden!QR19,"")</f>
        <v/>
      </c>
      <c r="L38" s="333" t="str">
        <f>IFERROR(Hidden!QS19,"")</f>
        <v/>
      </c>
      <c r="M38" s="333" t="str">
        <f>IFERROR(Hidden!QT19,"")</f>
        <v/>
      </c>
      <c r="N38" s="333" t="str">
        <f>IFERROR(Hidden!QU19,"")</f>
        <v/>
      </c>
      <c r="O38" s="334" t="str">
        <f>IFERROR(Hidden!QV19,"")</f>
        <v/>
      </c>
      <c r="P38" t="s">
        <v>10024</v>
      </c>
    </row>
    <row r="39" spans="1:16" x14ac:dyDescent="0.2">
      <c r="A39" s="1164">
        <f>IF('PI-1-MarineLoading'!$G$126&lt;1,0,IF(HeaterBoiler1!$E$6="affected",0,IF(HeaterBoiler1!$E$15="boiler",HeaterBoiler1!$E$9,0)))</f>
        <v>0</v>
      </c>
      <c r="B39" s="1165"/>
      <c r="C39" s="1165"/>
      <c r="D39" s="1165"/>
      <c r="E39" s="1165"/>
      <c r="F39" s="1165"/>
      <c r="G39" s="1165"/>
      <c r="H39" s="1165"/>
      <c r="I39" s="1165"/>
      <c r="J39" s="1165"/>
      <c r="K39" s="333" t="str">
        <f>IFERROR(Hidden!QR20,"")</f>
        <v/>
      </c>
      <c r="L39" s="333" t="str">
        <f>IFERROR(Hidden!QS20,"")</f>
        <v/>
      </c>
      <c r="M39" s="333" t="str">
        <f>IFERROR(Hidden!QT20,"")</f>
        <v/>
      </c>
      <c r="N39" s="333" t="str">
        <f>IFERROR(Hidden!QU20,"")</f>
        <v/>
      </c>
      <c r="O39" s="334" t="str">
        <f>IFERROR(Hidden!QV20,"")</f>
        <v/>
      </c>
      <c r="P39" t="s">
        <v>10025</v>
      </c>
    </row>
    <row r="40" spans="1:16" x14ac:dyDescent="0.2">
      <c r="A40" s="1164">
        <f>IF('PI-1-MarineLoading'!$G$126&lt;2,0,IF(HeaterBoiler2!$E$6="affected",0,IF(HeaterBoiler2!$E$15="heater",HeaterBoiler2!$E$9,0)))</f>
        <v>0</v>
      </c>
      <c r="B40" s="1165"/>
      <c r="C40" s="1165"/>
      <c r="D40" s="1165"/>
      <c r="E40" s="1165"/>
      <c r="F40" s="1165"/>
      <c r="G40" s="1165"/>
      <c r="H40" s="1165"/>
      <c r="I40" s="1165"/>
      <c r="J40" s="1165"/>
      <c r="K40" s="333" t="str">
        <f>IFERROR(Hidden!QR21,"")</f>
        <v/>
      </c>
      <c r="L40" s="333" t="str">
        <f>IFERROR(Hidden!QS21,"")</f>
        <v/>
      </c>
      <c r="M40" s="333" t="str">
        <f>IFERROR(Hidden!QT21,"")</f>
        <v/>
      </c>
      <c r="N40" s="333" t="str">
        <f>IFERROR(Hidden!QU21,"")</f>
        <v/>
      </c>
      <c r="O40" s="334" t="str">
        <f>IFERROR(Hidden!QV21,"")</f>
        <v/>
      </c>
      <c r="P40" t="s">
        <v>10026</v>
      </c>
    </row>
    <row r="41" spans="1:16" x14ac:dyDescent="0.2">
      <c r="A41" s="1164">
        <f>IF('PI-1-MarineLoading'!$G$126&lt;2,0,IF(HeaterBoiler2!$E$6="affected",0,IF(HeaterBoiler2!$E$15="boiler",HeaterBoiler2!$E$9,0)))</f>
        <v>0</v>
      </c>
      <c r="B41" s="1165"/>
      <c r="C41" s="1165"/>
      <c r="D41" s="1165"/>
      <c r="E41" s="1165"/>
      <c r="F41" s="1165"/>
      <c r="G41" s="1165"/>
      <c r="H41" s="1165"/>
      <c r="I41" s="1165"/>
      <c r="J41" s="1165"/>
      <c r="K41" s="333" t="str">
        <f>IFERROR(Hidden!QR22,"")</f>
        <v/>
      </c>
      <c r="L41" s="333" t="str">
        <f>IFERROR(Hidden!QS22,"")</f>
        <v/>
      </c>
      <c r="M41" s="333" t="str">
        <f>IFERROR(Hidden!QT22,"")</f>
        <v/>
      </c>
      <c r="N41" s="333" t="str">
        <f>IFERROR(Hidden!QU22,"")</f>
        <v/>
      </c>
      <c r="O41" s="334" t="str">
        <f>IFERROR(Hidden!QV22,"")</f>
        <v/>
      </c>
      <c r="P41" t="s">
        <v>10027</v>
      </c>
    </row>
    <row r="42" spans="1:16" x14ac:dyDescent="0.2">
      <c r="A42" s="1164">
        <f>IF('PI-1-MarineLoading'!G127="no",0,IF(Fug!$F$6="affected",0,Fug!$F$9))</f>
        <v>0</v>
      </c>
      <c r="B42" s="1165"/>
      <c r="C42" s="1165"/>
      <c r="D42" s="1165"/>
      <c r="E42" s="1165"/>
      <c r="F42" s="1165"/>
      <c r="G42" s="1165"/>
      <c r="H42" s="1165"/>
      <c r="I42" s="1165"/>
      <c r="J42" s="1165"/>
      <c r="K42" s="333" t="str">
        <f>IFERROR(Hidden!QR23,"")</f>
        <v/>
      </c>
      <c r="L42" s="333" t="str">
        <f>IFERROR(Hidden!QS23,"")</f>
        <v/>
      </c>
      <c r="M42" s="333" t="str">
        <f>IFERROR(Hidden!QT23,"")</f>
        <v/>
      </c>
      <c r="N42" s="333" t="str">
        <f>IFERROR(Hidden!QU23,"")</f>
        <v/>
      </c>
      <c r="O42" s="334" t="str">
        <f>IFERROR(Hidden!QV23,"")</f>
        <v/>
      </c>
      <c r="P42" t="s">
        <v>10028</v>
      </c>
    </row>
    <row r="43" spans="1:16" ht="15" thickBot="1" x14ac:dyDescent="0.25">
      <c r="A43" s="1166">
        <f>IF('PI-1-MarineLoading'!$G$128="no",0,MSS!$D$9)</f>
        <v>0</v>
      </c>
      <c r="B43" s="1167"/>
      <c r="C43" s="1167"/>
      <c r="D43" s="1167"/>
      <c r="E43" s="1167"/>
      <c r="F43" s="1167"/>
      <c r="G43" s="1167"/>
      <c r="H43" s="1167"/>
      <c r="I43" s="1167"/>
      <c r="J43" s="1167"/>
      <c r="K43" s="335" t="str">
        <f>IFERROR(Hidden!QR24,"")</f>
        <v/>
      </c>
      <c r="L43" s="335" t="str">
        <f>IFERROR(Hidden!QS24,"")</f>
        <v/>
      </c>
      <c r="M43" s="335" t="str">
        <f>IFERROR(Hidden!QT24,"")</f>
        <v/>
      </c>
      <c r="N43" s="335" t="str">
        <f>IFERROR(Hidden!QU24,"")</f>
        <v/>
      </c>
      <c r="O43" s="336" t="str">
        <f>IFERROR(Hidden!QV24,"")</f>
        <v/>
      </c>
      <c r="P43" t="s">
        <v>10029</v>
      </c>
    </row>
    <row r="44" spans="1:16" ht="15" thickBot="1" x14ac:dyDescent="0.25">
      <c r="A44" s="478" t="s">
        <v>1</v>
      </c>
      <c r="B44" s="478"/>
      <c r="C44" s="478"/>
      <c r="D44" s="478"/>
      <c r="E44" s="478"/>
      <c r="F44" s="478"/>
      <c r="G44" s="478"/>
      <c r="H44" s="478"/>
      <c r="I44" s="478"/>
      <c r="J44" s="478"/>
      <c r="K44" s="478"/>
      <c r="L44" s="478"/>
      <c r="M44" s="478"/>
      <c r="N44" s="478"/>
      <c r="O44" s="478"/>
    </row>
    <row r="45" spans="1:16" ht="15" x14ac:dyDescent="0.2">
      <c r="A45" s="474" t="s">
        <v>10219</v>
      </c>
      <c r="B45" s="474"/>
      <c r="C45" s="474"/>
      <c r="D45" s="474"/>
      <c r="E45" s="474"/>
      <c r="F45" s="474"/>
      <c r="G45" s="474"/>
      <c r="H45" s="474"/>
      <c r="I45" s="474"/>
      <c r="J45" s="474"/>
      <c r="K45" s="474"/>
      <c r="L45" s="474"/>
      <c r="M45" s="474"/>
      <c r="N45" s="474"/>
      <c r="O45" s="474"/>
    </row>
    <row r="46" spans="1:16" ht="44.25" customHeight="1" thickBot="1" x14ac:dyDescent="0.25">
      <c r="A46" s="481" t="s">
        <v>10175</v>
      </c>
      <c r="B46" s="481"/>
      <c r="C46" s="481"/>
      <c r="D46" s="481"/>
      <c r="E46" s="481"/>
      <c r="F46" s="481"/>
      <c r="G46" s="481"/>
      <c r="H46" s="481"/>
      <c r="I46" s="481"/>
      <c r="J46" s="481"/>
      <c r="K46" s="481"/>
      <c r="L46" s="481"/>
      <c r="M46" s="481"/>
      <c r="N46" s="481"/>
      <c r="O46" s="481"/>
    </row>
    <row r="47" spans="1:16" s="8" customFormat="1" ht="45" customHeight="1" x14ac:dyDescent="0.2">
      <c r="A47" s="539" t="s">
        <v>10008</v>
      </c>
      <c r="B47" s="540"/>
      <c r="C47" s="540"/>
      <c r="D47" s="540"/>
      <c r="E47" s="540" t="s">
        <v>258</v>
      </c>
      <c r="F47" s="540"/>
      <c r="G47" s="540"/>
      <c r="H47" s="540"/>
      <c r="I47" s="540"/>
      <c r="J47" s="49" t="s">
        <v>10066</v>
      </c>
      <c r="K47" s="49" t="s">
        <v>10067</v>
      </c>
      <c r="L47" s="49" t="s">
        <v>10171</v>
      </c>
      <c r="M47" s="49" t="s">
        <v>10172</v>
      </c>
      <c r="N47" s="49" t="s">
        <v>10173</v>
      </c>
      <c r="O47" s="117" t="s">
        <v>10174</v>
      </c>
    </row>
    <row r="48" spans="1:16" s="8" customFormat="1" x14ac:dyDescent="0.2">
      <c r="A48" s="1164">
        <f>A19</f>
        <v>0</v>
      </c>
      <c r="B48" s="1165"/>
      <c r="C48" s="1165"/>
      <c r="D48" s="1165"/>
      <c r="E48" s="1165" t="s">
        <v>10247</v>
      </c>
      <c r="F48" s="1165"/>
      <c r="G48" s="1165"/>
      <c r="H48" s="1165"/>
      <c r="I48" s="1165"/>
      <c r="J48" s="333" t="s">
        <v>10071</v>
      </c>
      <c r="K48" s="333"/>
      <c r="L48" s="333" t="s">
        <v>10071</v>
      </c>
      <c r="M48" s="333" t="s">
        <v>10071</v>
      </c>
      <c r="N48" s="333" t="s">
        <v>10071</v>
      </c>
      <c r="O48" s="334" t="s">
        <v>10071</v>
      </c>
    </row>
    <row r="49" spans="1:15" s="8" customFormat="1" x14ac:dyDescent="0.2">
      <c r="A49" s="1164">
        <f>A48</f>
        <v>0</v>
      </c>
      <c r="B49" s="1165"/>
      <c r="C49" s="1165"/>
      <c r="D49" s="1165"/>
      <c r="E49" s="1165" t="s">
        <v>10248</v>
      </c>
      <c r="F49" s="1165"/>
      <c r="G49" s="1165"/>
      <c r="H49" s="1165"/>
      <c r="I49" s="1165"/>
      <c r="J49" s="333" t="s">
        <v>10071</v>
      </c>
      <c r="K49" s="333"/>
      <c r="L49" s="333"/>
      <c r="M49" s="333"/>
      <c r="N49" s="333"/>
      <c r="O49" s="334"/>
    </row>
    <row r="50" spans="1:15" s="8" customFormat="1" x14ac:dyDescent="0.2">
      <c r="A50" s="1164">
        <f>A49</f>
        <v>0</v>
      </c>
      <c r="B50" s="1165"/>
      <c r="C50" s="1165"/>
      <c r="D50" s="1165"/>
      <c r="E50" s="1165" t="s">
        <v>240</v>
      </c>
      <c r="F50" s="1165"/>
      <c r="G50" s="1165"/>
      <c r="H50" s="1165"/>
      <c r="I50" s="1165"/>
      <c r="J50" s="333"/>
      <c r="K50" s="333" t="s">
        <v>10071</v>
      </c>
      <c r="L50" s="333"/>
      <c r="M50" s="333"/>
      <c r="N50" s="333"/>
      <c r="O50" s="334"/>
    </row>
    <row r="51" spans="1:15" s="8" customFormat="1" x14ac:dyDescent="0.2">
      <c r="A51" s="1164">
        <f>A20</f>
        <v>0</v>
      </c>
      <c r="B51" s="1165"/>
      <c r="C51" s="1165"/>
      <c r="D51" s="1165"/>
      <c r="E51" s="1165" t="s">
        <v>10247</v>
      </c>
      <c r="F51" s="1165"/>
      <c r="G51" s="1165"/>
      <c r="H51" s="1165"/>
      <c r="I51" s="1165"/>
      <c r="J51" s="333" t="s">
        <v>10071</v>
      </c>
      <c r="K51" s="333" t="s">
        <v>10071</v>
      </c>
      <c r="L51" s="333"/>
      <c r="M51" s="333" t="s">
        <v>10071</v>
      </c>
      <c r="N51" s="333" t="s">
        <v>10071</v>
      </c>
      <c r="O51" s="334" t="s">
        <v>10071</v>
      </c>
    </row>
    <row r="52" spans="1:15" s="8" customFormat="1" x14ac:dyDescent="0.2">
      <c r="A52" s="1164">
        <f>A51</f>
        <v>0</v>
      </c>
      <c r="B52" s="1165"/>
      <c r="C52" s="1165"/>
      <c r="D52" s="1165"/>
      <c r="E52" s="1165" t="s">
        <v>10248</v>
      </c>
      <c r="F52" s="1165"/>
      <c r="G52" s="1165"/>
      <c r="H52" s="1165"/>
      <c r="I52" s="1165"/>
      <c r="J52" s="333" t="s">
        <v>10071</v>
      </c>
      <c r="K52" s="333"/>
      <c r="L52" s="333"/>
      <c r="M52" s="333"/>
      <c r="N52" s="333"/>
      <c r="O52" s="334"/>
    </row>
    <row r="53" spans="1:15" s="8" customFormat="1" x14ac:dyDescent="0.2">
      <c r="A53" s="1164">
        <f>A51</f>
        <v>0</v>
      </c>
      <c r="B53" s="1165"/>
      <c r="C53" s="1165"/>
      <c r="D53" s="1165"/>
      <c r="E53" s="1165" t="s">
        <v>240</v>
      </c>
      <c r="F53" s="1165"/>
      <c r="G53" s="1165"/>
      <c r="H53" s="1165"/>
      <c r="I53" s="1165"/>
      <c r="J53" s="333"/>
      <c r="K53" s="333"/>
      <c r="L53" s="333" t="s">
        <v>10071</v>
      </c>
      <c r="M53" s="333"/>
      <c r="N53" s="333"/>
      <c r="O53" s="334"/>
    </row>
    <row r="54" spans="1:15" s="8" customFormat="1" x14ac:dyDescent="0.2">
      <c r="A54" s="1164">
        <f>A21</f>
        <v>0</v>
      </c>
      <c r="B54" s="1165"/>
      <c r="C54" s="1165"/>
      <c r="D54" s="1165"/>
      <c r="E54" s="1165" t="s">
        <v>10247</v>
      </c>
      <c r="F54" s="1165"/>
      <c r="G54" s="1165"/>
      <c r="H54" s="1165"/>
      <c r="I54" s="1165"/>
      <c r="J54" s="333" t="s">
        <v>10071</v>
      </c>
      <c r="K54" s="333" t="s">
        <v>10071</v>
      </c>
      <c r="L54" s="333" t="s">
        <v>10071</v>
      </c>
      <c r="M54" s="333"/>
      <c r="N54" s="333" t="s">
        <v>10071</v>
      </c>
      <c r="O54" s="334" t="s">
        <v>10071</v>
      </c>
    </row>
    <row r="55" spans="1:15" s="8" customFormat="1" x14ac:dyDescent="0.2">
      <c r="A55" s="1164">
        <f>A54</f>
        <v>0</v>
      </c>
      <c r="B55" s="1165"/>
      <c r="C55" s="1165"/>
      <c r="D55" s="1165"/>
      <c r="E55" s="1165" t="s">
        <v>10248</v>
      </c>
      <c r="F55" s="1165"/>
      <c r="G55" s="1165"/>
      <c r="H55" s="1165"/>
      <c r="I55" s="1165"/>
      <c r="J55" s="333" t="s">
        <v>10071</v>
      </c>
      <c r="K55" s="333"/>
      <c r="L55" s="333"/>
      <c r="M55" s="333"/>
      <c r="N55" s="333"/>
      <c r="O55" s="334"/>
    </row>
    <row r="56" spans="1:15" s="8" customFormat="1" x14ac:dyDescent="0.2">
      <c r="A56" s="1164">
        <f>A54</f>
        <v>0</v>
      </c>
      <c r="B56" s="1165"/>
      <c r="C56" s="1165"/>
      <c r="D56" s="1165"/>
      <c r="E56" s="1165" t="s">
        <v>240</v>
      </c>
      <c r="F56" s="1165"/>
      <c r="G56" s="1165"/>
      <c r="H56" s="1165"/>
      <c r="I56" s="1165"/>
      <c r="J56" s="333"/>
      <c r="K56" s="333"/>
      <c r="L56" s="333"/>
      <c r="M56" s="333" t="s">
        <v>10071</v>
      </c>
      <c r="N56" s="333"/>
      <c r="O56" s="334"/>
    </row>
    <row r="57" spans="1:15" s="8" customFormat="1" x14ac:dyDescent="0.2">
      <c r="A57" s="1164">
        <f>A22</f>
        <v>0</v>
      </c>
      <c r="B57" s="1165"/>
      <c r="C57" s="1165"/>
      <c r="D57" s="1165"/>
      <c r="E57" s="1165" t="s">
        <v>10247</v>
      </c>
      <c r="F57" s="1165"/>
      <c r="G57" s="1165"/>
      <c r="H57" s="1165"/>
      <c r="I57" s="1165"/>
      <c r="J57" s="333" t="s">
        <v>10071</v>
      </c>
      <c r="K57" s="333" t="s">
        <v>10071</v>
      </c>
      <c r="L57" s="333" t="s">
        <v>10071</v>
      </c>
      <c r="M57" s="333" t="s">
        <v>10071</v>
      </c>
      <c r="N57" s="333"/>
      <c r="O57" s="334" t="s">
        <v>10071</v>
      </c>
    </row>
    <row r="58" spans="1:15" s="8" customFormat="1" x14ac:dyDescent="0.2">
      <c r="A58" s="1164">
        <f>A57</f>
        <v>0</v>
      </c>
      <c r="B58" s="1165"/>
      <c r="C58" s="1165"/>
      <c r="D58" s="1165"/>
      <c r="E58" s="1165" t="s">
        <v>10248</v>
      </c>
      <c r="F58" s="1165"/>
      <c r="G58" s="1165"/>
      <c r="H58" s="1165"/>
      <c r="I58" s="1165"/>
      <c r="J58" s="333" t="s">
        <v>10071</v>
      </c>
      <c r="K58" s="333"/>
      <c r="L58" s="333"/>
      <c r="M58" s="333"/>
      <c r="N58" s="333"/>
      <c r="O58" s="334"/>
    </row>
    <row r="59" spans="1:15" s="8" customFormat="1" x14ac:dyDescent="0.2">
      <c r="A59" s="1164">
        <f>A58</f>
        <v>0</v>
      </c>
      <c r="B59" s="1165"/>
      <c r="C59" s="1165"/>
      <c r="D59" s="1165"/>
      <c r="E59" s="1165" t="s">
        <v>240</v>
      </c>
      <c r="F59" s="1165"/>
      <c r="G59" s="1165"/>
      <c r="H59" s="1165"/>
      <c r="I59" s="1165"/>
      <c r="J59" s="333"/>
      <c r="K59" s="333"/>
      <c r="L59" s="333"/>
      <c r="M59" s="333"/>
      <c r="N59" s="333" t="s">
        <v>10071</v>
      </c>
      <c r="O59" s="334"/>
    </row>
    <row r="60" spans="1:15" s="8" customFormat="1" x14ac:dyDescent="0.2">
      <c r="A60" s="1164">
        <f>A23</f>
        <v>0</v>
      </c>
      <c r="B60" s="1165"/>
      <c r="C60" s="1165"/>
      <c r="D60" s="1165"/>
      <c r="E60" s="1165" t="s">
        <v>10247</v>
      </c>
      <c r="F60" s="1165"/>
      <c r="G60" s="1165"/>
      <c r="H60" s="1165"/>
      <c r="I60" s="1165"/>
      <c r="J60" s="333" t="s">
        <v>10071</v>
      </c>
      <c r="K60" s="333" t="s">
        <v>10071</v>
      </c>
      <c r="L60" s="333" t="s">
        <v>10071</v>
      </c>
      <c r="M60" s="333" t="s">
        <v>10071</v>
      </c>
      <c r="N60" s="333" t="s">
        <v>10071</v>
      </c>
      <c r="O60" s="334"/>
    </row>
    <row r="61" spans="1:15" s="8" customFormat="1" x14ac:dyDescent="0.2">
      <c r="A61" s="1164">
        <f>A60</f>
        <v>0</v>
      </c>
      <c r="B61" s="1165"/>
      <c r="C61" s="1165"/>
      <c r="D61" s="1165"/>
      <c r="E61" s="1165" t="s">
        <v>10248</v>
      </c>
      <c r="F61" s="1165"/>
      <c r="G61" s="1165"/>
      <c r="H61" s="1165"/>
      <c r="I61" s="1165"/>
      <c r="J61" s="333" t="s">
        <v>10071</v>
      </c>
      <c r="K61" s="333"/>
      <c r="L61" s="333"/>
      <c r="M61" s="333"/>
      <c r="N61" s="333"/>
      <c r="O61" s="334"/>
    </row>
    <row r="62" spans="1:15" s="8" customFormat="1" x14ac:dyDescent="0.2">
      <c r="A62" s="1164">
        <f>A61</f>
        <v>0</v>
      </c>
      <c r="B62" s="1165"/>
      <c r="C62" s="1165"/>
      <c r="D62" s="1165"/>
      <c r="E62" s="1165" t="s">
        <v>240</v>
      </c>
      <c r="F62" s="1165"/>
      <c r="G62" s="1165"/>
      <c r="H62" s="1165"/>
      <c r="I62" s="1165"/>
      <c r="J62" s="333"/>
      <c r="K62" s="333"/>
      <c r="L62" s="333"/>
      <c r="M62" s="333"/>
      <c r="N62" s="333"/>
      <c r="O62" s="334" t="s">
        <v>10071</v>
      </c>
    </row>
    <row r="63" spans="1:15" s="8" customFormat="1" x14ac:dyDescent="0.2">
      <c r="A63" s="1164">
        <f t="shared" ref="A63:A68" si="0">A24</f>
        <v>0</v>
      </c>
      <c r="B63" s="1165"/>
      <c r="C63" s="1165"/>
      <c r="D63" s="1165"/>
      <c r="E63" s="1165" t="s">
        <v>10216</v>
      </c>
      <c r="F63" s="1165"/>
      <c r="G63" s="1165"/>
      <c r="H63" s="1165"/>
      <c r="I63" s="1165"/>
      <c r="J63" s="333" t="s">
        <v>10071</v>
      </c>
      <c r="K63" s="333"/>
      <c r="L63" s="333"/>
      <c r="M63" s="333"/>
      <c r="N63" s="333"/>
      <c r="O63" s="334"/>
    </row>
    <row r="64" spans="1:15" s="8" customFormat="1" x14ac:dyDescent="0.2">
      <c r="A64" s="1164">
        <f t="shared" si="0"/>
        <v>0</v>
      </c>
      <c r="B64" s="1165"/>
      <c r="C64" s="1165"/>
      <c r="D64" s="1165"/>
      <c r="E64" s="1165" t="s">
        <v>10216</v>
      </c>
      <c r="F64" s="1165"/>
      <c r="G64" s="1165"/>
      <c r="H64" s="1165"/>
      <c r="I64" s="1165"/>
      <c r="J64" s="333" t="s">
        <v>10071</v>
      </c>
      <c r="K64" s="333"/>
      <c r="L64" s="333"/>
      <c r="M64" s="333"/>
      <c r="N64" s="333"/>
      <c r="O64" s="334"/>
    </row>
    <row r="65" spans="1:15" s="8" customFormat="1" x14ac:dyDescent="0.2">
      <c r="A65" s="1164">
        <f t="shared" si="0"/>
        <v>0</v>
      </c>
      <c r="B65" s="1165"/>
      <c r="C65" s="1165"/>
      <c r="D65" s="1165"/>
      <c r="E65" s="1165" t="s">
        <v>10216</v>
      </c>
      <c r="F65" s="1165"/>
      <c r="G65" s="1165"/>
      <c r="H65" s="1165"/>
      <c r="I65" s="1165"/>
      <c r="J65" s="333" t="s">
        <v>10071</v>
      </c>
      <c r="K65" s="333"/>
      <c r="L65" s="333"/>
      <c r="M65" s="333"/>
      <c r="N65" s="333"/>
      <c r="O65" s="334"/>
    </row>
    <row r="66" spans="1:15" s="8" customFormat="1" x14ac:dyDescent="0.2">
      <c r="A66" s="1164">
        <f t="shared" si="0"/>
        <v>0</v>
      </c>
      <c r="B66" s="1165"/>
      <c r="C66" s="1165"/>
      <c r="D66" s="1165"/>
      <c r="E66" s="1165" t="s">
        <v>10216</v>
      </c>
      <c r="F66" s="1165"/>
      <c r="G66" s="1165"/>
      <c r="H66" s="1165"/>
      <c r="I66" s="1165"/>
      <c r="J66" s="333" t="s">
        <v>10071</v>
      </c>
      <c r="K66" s="333"/>
      <c r="L66" s="333"/>
      <c r="M66" s="333"/>
      <c r="N66" s="333"/>
      <c r="O66" s="334"/>
    </row>
    <row r="67" spans="1:15" s="8" customFormat="1" x14ac:dyDescent="0.2">
      <c r="A67" s="1164">
        <f t="shared" si="0"/>
        <v>0</v>
      </c>
      <c r="B67" s="1165"/>
      <c r="C67" s="1165"/>
      <c r="D67" s="1165"/>
      <c r="E67" s="1165" t="s">
        <v>10216</v>
      </c>
      <c r="F67" s="1165"/>
      <c r="G67" s="1165"/>
      <c r="H67" s="1165"/>
      <c r="I67" s="1165"/>
      <c r="J67" s="333" t="s">
        <v>10071</v>
      </c>
      <c r="K67" s="333"/>
      <c r="L67" s="333"/>
      <c r="M67" s="333"/>
      <c r="N67" s="333"/>
      <c r="O67" s="334"/>
    </row>
    <row r="68" spans="1:15" s="8" customFormat="1" x14ac:dyDescent="0.2">
      <c r="A68" s="1164">
        <f t="shared" si="0"/>
        <v>0</v>
      </c>
      <c r="B68" s="1165"/>
      <c r="C68" s="1165"/>
      <c r="D68" s="1165"/>
      <c r="E68" s="1165" t="s">
        <v>10216</v>
      </c>
      <c r="F68" s="1165"/>
      <c r="G68" s="1165"/>
      <c r="H68" s="1165"/>
      <c r="I68" s="1165"/>
      <c r="J68" s="333" t="s">
        <v>10071</v>
      </c>
      <c r="K68" s="333"/>
      <c r="L68" s="333"/>
      <c r="M68" s="333"/>
      <c r="N68" s="333"/>
      <c r="O68" s="334"/>
    </row>
    <row r="69" spans="1:15" s="8" customFormat="1" ht="13.5" customHeight="1" x14ac:dyDescent="0.2">
      <c r="A69" s="1164">
        <f>A68</f>
        <v>0</v>
      </c>
      <c r="B69" s="1165"/>
      <c r="C69" s="1165"/>
      <c r="D69" s="1165"/>
      <c r="E69" s="1165" t="s">
        <v>240</v>
      </c>
      <c r="F69" s="1165"/>
      <c r="G69" s="1165"/>
      <c r="H69" s="1165"/>
      <c r="I69" s="1165"/>
      <c r="J69" s="333"/>
      <c r="K69" s="333" t="s">
        <v>10071</v>
      </c>
      <c r="L69" s="333" t="s">
        <v>10071</v>
      </c>
      <c r="M69" s="333" t="s">
        <v>10071</v>
      </c>
      <c r="N69" s="333" t="s">
        <v>10071</v>
      </c>
      <c r="O69" s="334" t="s">
        <v>10071</v>
      </c>
    </row>
    <row r="70" spans="1:15" s="8" customFormat="1" x14ac:dyDescent="0.2">
      <c r="A70" s="1164">
        <f>A30</f>
        <v>0</v>
      </c>
      <c r="B70" s="1165"/>
      <c r="C70" s="1165"/>
      <c r="D70" s="1165"/>
      <c r="E70" s="1165" t="s">
        <v>10216</v>
      </c>
      <c r="F70" s="1165"/>
      <c r="G70" s="1165"/>
      <c r="H70" s="1165"/>
      <c r="I70" s="1165"/>
      <c r="J70" s="333" t="s">
        <v>10071</v>
      </c>
      <c r="K70" s="333"/>
      <c r="L70" s="333"/>
      <c r="M70" s="333"/>
      <c r="N70" s="333"/>
      <c r="O70" s="334"/>
    </row>
    <row r="71" spans="1:15" s="8" customFormat="1" x14ac:dyDescent="0.2">
      <c r="A71" s="1164">
        <f>A70</f>
        <v>0</v>
      </c>
      <c r="B71" s="1165"/>
      <c r="C71" s="1165"/>
      <c r="D71" s="1165"/>
      <c r="E71" s="1165" t="s">
        <v>240</v>
      </c>
      <c r="F71" s="1165"/>
      <c r="G71" s="1165"/>
      <c r="H71" s="1165"/>
      <c r="I71" s="1165"/>
      <c r="J71" s="333"/>
      <c r="K71" s="333" t="s">
        <v>10071</v>
      </c>
      <c r="L71" s="333" t="s">
        <v>10071</v>
      </c>
      <c r="M71" s="333" t="s">
        <v>10071</v>
      </c>
      <c r="N71" s="333" t="s">
        <v>10071</v>
      </c>
      <c r="O71" s="334" t="s">
        <v>10071</v>
      </c>
    </row>
    <row r="72" spans="1:15" s="8" customFormat="1" x14ac:dyDescent="0.2">
      <c r="A72" s="1164">
        <f>A31</f>
        <v>0</v>
      </c>
      <c r="B72" s="1165"/>
      <c r="C72" s="1165"/>
      <c r="D72" s="1165"/>
      <c r="E72" s="1165" t="s">
        <v>10216</v>
      </c>
      <c r="F72" s="1165"/>
      <c r="G72" s="1165"/>
      <c r="H72" s="1165"/>
      <c r="I72" s="1165"/>
      <c r="J72" s="333" t="s">
        <v>10071</v>
      </c>
      <c r="K72" s="333"/>
      <c r="L72" s="333"/>
      <c r="M72" s="333"/>
      <c r="N72" s="333"/>
      <c r="O72" s="334"/>
    </row>
    <row r="73" spans="1:15" s="8" customFormat="1" x14ac:dyDescent="0.2">
      <c r="A73" s="1164">
        <f>A72</f>
        <v>0</v>
      </c>
      <c r="B73" s="1165"/>
      <c r="C73" s="1165"/>
      <c r="D73" s="1165"/>
      <c r="E73" s="1165" t="s">
        <v>240</v>
      </c>
      <c r="F73" s="1165"/>
      <c r="G73" s="1165"/>
      <c r="H73" s="1165"/>
      <c r="I73" s="1165"/>
      <c r="J73" s="333"/>
      <c r="K73" s="333" t="s">
        <v>10071</v>
      </c>
      <c r="L73" s="333" t="s">
        <v>10071</v>
      </c>
      <c r="M73" s="333" t="s">
        <v>10071</v>
      </c>
      <c r="N73" s="333" t="s">
        <v>10071</v>
      </c>
      <c r="O73" s="334" t="s">
        <v>10071</v>
      </c>
    </row>
    <row r="74" spans="1:15" s="8" customFormat="1" x14ac:dyDescent="0.2">
      <c r="A74" s="1164">
        <f>A32</f>
        <v>0</v>
      </c>
      <c r="B74" s="1165"/>
      <c r="C74" s="1165"/>
      <c r="D74" s="1165"/>
      <c r="E74" s="1165" t="s">
        <v>10216</v>
      </c>
      <c r="F74" s="1165"/>
      <c r="G74" s="1165"/>
      <c r="H74" s="1165"/>
      <c r="I74" s="1165"/>
      <c r="J74" s="333" t="s">
        <v>10071</v>
      </c>
      <c r="K74" s="333"/>
      <c r="L74" s="333"/>
      <c r="M74" s="333"/>
      <c r="N74" s="333"/>
      <c r="O74" s="334"/>
    </row>
    <row r="75" spans="1:15" s="8" customFormat="1" x14ac:dyDescent="0.2">
      <c r="A75" s="1164">
        <f>A33</f>
        <v>0</v>
      </c>
      <c r="B75" s="1165"/>
      <c r="C75" s="1165"/>
      <c r="D75" s="1165"/>
      <c r="E75" s="1165" t="s">
        <v>10248</v>
      </c>
      <c r="F75" s="1165"/>
      <c r="G75" s="1165"/>
      <c r="H75" s="1165"/>
      <c r="I75" s="1165"/>
      <c r="J75" s="333" t="s">
        <v>10071</v>
      </c>
      <c r="K75" s="333"/>
      <c r="L75" s="333"/>
      <c r="M75" s="333"/>
      <c r="N75" s="333"/>
      <c r="O75" s="334"/>
    </row>
    <row r="76" spans="1:15" s="8" customFormat="1" x14ac:dyDescent="0.2">
      <c r="A76" s="1164">
        <f>A75</f>
        <v>0</v>
      </c>
      <c r="B76" s="1165"/>
      <c r="C76" s="1165"/>
      <c r="D76" s="1165"/>
      <c r="E76" s="1165" t="s">
        <v>240</v>
      </c>
      <c r="F76" s="1165"/>
      <c r="G76" s="1165"/>
      <c r="H76" s="1165"/>
      <c r="I76" s="1165"/>
      <c r="J76" s="333"/>
      <c r="K76" s="333" t="s">
        <v>10071</v>
      </c>
      <c r="L76" s="333" t="s">
        <v>10071</v>
      </c>
      <c r="M76" s="333" t="s">
        <v>10071</v>
      </c>
      <c r="N76" s="333" t="s">
        <v>10071</v>
      </c>
      <c r="O76" s="334" t="s">
        <v>10071</v>
      </c>
    </row>
    <row r="77" spans="1:15" s="8" customFormat="1" x14ac:dyDescent="0.2">
      <c r="A77" s="1164">
        <f>A34</f>
        <v>0</v>
      </c>
      <c r="B77" s="1165"/>
      <c r="C77" s="1165"/>
      <c r="D77" s="1165"/>
      <c r="E77" s="1165" t="s">
        <v>10248</v>
      </c>
      <c r="F77" s="1165"/>
      <c r="G77" s="1165"/>
      <c r="H77" s="1165"/>
      <c r="I77" s="1165"/>
      <c r="J77" s="333" t="s">
        <v>10071</v>
      </c>
      <c r="K77" s="333"/>
      <c r="L77" s="333"/>
      <c r="M77" s="333"/>
      <c r="N77" s="333"/>
      <c r="O77" s="334"/>
    </row>
    <row r="78" spans="1:15" s="8" customFormat="1" x14ac:dyDescent="0.2">
      <c r="A78" s="1164">
        <f>A77</f>
        <v>0</v>
      </c>
      <c r="B78" s="1165"/>
      <c r="C78" s="1165"/>
      <c r="D78" s="1165"/>
      <c r="E78" s="1165" t="s">
        <v>240</v>
      </c>
      <c r="F78" s="1165"/>
      <c r="G78" s="1165"/>
      <c r="H78" s="1165"/>
      <c r="I78" s="1165"/>
      <c r="J78" s="333"/>
      <c r="K78" s="333" t="s">
        <v>10071</v>
      </c>
      <c r="L78" s="333" t="s">
        <v>10071</v>
      </c>
      <c r="M78" s="333" t="s">
        <v>10071</v>
      </c>
      <c r="N78" s="333" t="s">
        <v>10071</v>
      </c>
      <c r="O78" s="334" t="s">
        <v>10071</v>
      </c>
    </row>
    <row r="79" spans="1:15" s="8" customFormat="1" x14ac:dyDescent="0.2">
      <c r="A79" s="1164">
        <f>A35</f>
        <v>0</v>
      </c>
      <c r="B79" s="1165"/>
      <c r="C79" s="1165"/>
      <c r="D79" s="1165"/>
      <c r="E79" s="1165" t="s">
        <v>10248</v>
      </c>
      <c r="F79" s="1165"/>
      <c r="G79" s="1165"/>
      <c r="H79" s="1165"/>
      <c r="I79" s="1165"/>
      <c r="J79" s="333" t="s">
        <v>10071</v>
      </c>
      <c r="K79" s="333"/>
      <c r="L79" s="333"/>
      <c r="M79" s="333"/>
      <c r="N79" s="333"/>
      <c r="O79" s="334"/>
    </row>
    <row r="80" spans="1:15" s="8" customFormat="1" x14ac:dyDescent="0.2">
      <c r="A80" s="1164">
        <f>A79</f>
        <v>0</v>
      </c>
      <c r="B80" s="1165"/>
      <c r="C80" s="1165"/>
      <c r="D80" s="1165"/>
      <c r="E80" s="1165" t="s">
        <v>240</v>
      </c>
      <c r="F80" s="1165"/>
      <c r="G80" s="1165"/>
      <c r="H80" s="1165"/>
      <c r="I80" s="1165"/>
      <c r="J80" s="333"/>
      <c r="K80" s="333" t="s">
        <v>10071</v>
      </c>
      <c r="L80" s="333" t="s">
        <v>10071</v>
      </c>
      <c r="M80" s="333" t="s">
        <v>10071</v>
      </c>
      <c r="N80" s="333" t="s">
        <v>10071</v>
      </c>
      <c r="O80" s="334" t="s">
        <v>10071</v>
      </c>
    </row>
    <row r="81" spans="1:15" s="8" customFormat="1" x14ac:dyDescent="0.2">
      <c r="A81" s="1164">
        <f>A36</f>
        <v>0</v>
      </c>
      <c r="B81" s="1165"/>
      <c r="C81" s="1165"/>
      <c r="D81" s="1165"/>
      <c r="E81" s="1165" t="s">
        <v>10246</v>
      </c>
      <c r="F81" s="1165"/>
      <c r="G81" s="1165"/>
      <c r="H81" s="1165"/>
      <c r="I81" s="1165"/>
      <c r="J81" s="333" t="s">
        <v>10071</v>
      </c>
      <c r="K81" s="333"/>
      <c r="L81" s="333"/>
      <c r="M81" s="333"/>
      <c r="N81" s="333"/>
      <c r="O81" s="334"/>
    </row>
    <row r="82" spans="1:15" s="8" customFormat="1" x14ac:dyDescent="0.2">
      <c r="A82" s="1164">
        <f>A37</f>
        <v>0</v>
      </c>
      <c r="B82" s="1165"/>
      <c r="C82" s="1165"/>
      <c r="D82" s="1165"/>
      <c r="E82" s="1165" t="s">
        <v>10246</v>
      </c>
      <c r="F82" s="1165"/>
      <c r="G82" s="1165"/>
      <c r="H82" s="1165"/>
      <c r="I82" s="1165"/>
      <c r="J82" s="333" t="s">
        <v>10071</v>
      </c>
      <c r="K82" s="333"/>
      <c r="L82" s="333"/>
      <c r="M82" s="333"/>
      <c r="N82" s="333"/>
      <c r="O82" s="334"/>
    </row>
    <row r="83" spans="1:15" s="8" customFormat="1" x14ac:dyDescent="0.2">
      <c r="A83" s="1164">
        <f>IF('PI-1-MarineLoading'!$G$126&lt;1,0,IF(HeaterBoiler1!$E$6="affected",0,HeaterBoiler1!$E$9))</f>
        <v>0</v>
      </c>
      <c r="B83" s="1165"/>
      <c r="C83" s="1165"/>
      <c r="D83" s="1165"/>
      <c r="E83" s="1165" t="s">
        <v>10216</v>
      </c>
      <c r="F83" s="1165"/>
      <c r="G83" s="1165"/>
      <c r="H83" s="1165"/>
      <c r="I83" s="1165"/>
      <c r="J83" s="333" t="s">
        <v>10071</v>
      </c>
      <c r="K83" s="333" t="s">
        <v>10071</v>
      </c>
      <c r="L83" s="333" t="s">
        <v>10071</v>
      </c>
      <c r="M83" s="333" t="s">
        <v>10071</v>
      </c>
      <c r="N83" s="333" t="s">
        <v>10071</v>
      </c>
      <c r="O83" s="334" t="s">
        <v>10071</v>
      </c>
    </row>
    <row r="84" spans="1:15" s="8" customFormat="1" x14ac:dyDescent="0.2">
      <c r="A84" s="1164">
        <f>IF('PI-1-MarineLoading'!$G$126&lt;2,0,IF(HeaterBoiler2!$E$6="affected",0,HeaterBoiler2!$E$9))</f>
        <v>0</v>
      </c>
      <c r="B84" s="1165"/>
      <c r="C84" s="1165"/>
      <c r="D84" s="1165"/>
      <c r="E84" s="1165" t="s">
        <v>10216</v>
      </c>
      <c r="F84" s="1165"/>
      <c r="G84" s="1165"/>
      <c r="H84" s="1165"/>
      <c r="I84" s="1165"/>
      <c r="J84" s="333"/>
      <c r="K84" s="333"/>
      <c r="L84" s="333"/>
      <c r="M84" s="333"/>
      <c r="N84" s="333"/>
      <c r="O84" s="334"/>
    </row>
    <row r="85" spans="1:15" s="8" customFormat="1" x14ac:dyDescent="0.2">
      <c r="A85" s="1164">
        <f>A42</f>
        <v>0</v>
      </c>
      <c r="B85" s="1165"/>
      <c r="C85" s="1165"/>
      <c r="D85" s="1165"/>
      <c r="E85" s="1165" t="s">
        <v>10246</v>
      </c>
      <c r="F85" s="1165"/>
      <c r="G85" s="1165"/>
      <c r="H85" s="1165"/>
      <c r="I85" s="1165"/>
      <c r="J85" s="333" t="s">
        <v>10071</v>
      </c>
      <c r="K85" s="333" t="s">
        <v>10071</v>
      </c>
      <c r="L85" s="333" t="s">
        <v>10071</v>
      </c>
      <c r="M85" s="333" t="s">
        <v>10071</v>
      </c>
      <c r="N85" s="333" t="s">
        <v>10071</v>
      </c>
      <c r="O85" s="334" t="s">
        <v>10071</v>
      </c>
    </row>
    <row r="86" spans="1:15" s="8" customFormat="1" ht="15" thickBot="1" x14ac:dyDescent="0.25">
      <c r="A86" s="1166">
        <f>A43</f>
        <v>0</v>
      </c>
      <c r="B86" s="1167"/>
      <c r="C86" s="1167"/>
      <c r="D86" s="1167"/>
      <c r="E86" s="1167" t="s">
        <v>10217</v>
      </c>
      <c r="F86" s="1167"/>
      <c r="G86" s="1167"/>
      <c r="H86" s="1167"/>
      <c r="I86" s="1167"/>
      <c r="J86" s="335" t="s">
        <v>10071</v>
      </c>
      <c r="K86" s="335" t="s">
        <v>10071</v>
      </c>
      <c r="L86" s="335" t="s">
        <v>10071</v>
      </c>
      <c r="M86" s="335" t="s">
        <v>10071</v>
      </c>
      <c r="N86" s="335" t="s">
        <v>10071</v>
      </c>
      <c r="O86" s="336" t="s">
        <v>10071</v>
      </c>
    </row>
    <row r="87" spans="1:15" ht="15" thickBot="1" x14ac:dyDescent="0.25">
      <c r="A87" s="1168" t="s">
        <v>1</v>
      </c>
      <c r="B87" s="1169"/>
      <c r="C87" s="1169"/>
      <c r="D87" s="1169"/>
      <c r="E87" s="1169"/>
      <c r="F87" s="1169"/>
      <c r="G87" s="1169"/>
      <c r="H87" s="1169"/>
      <c r="I87" s="1169"/>
      <c r="J87" s="1169"/>
      <c r="K87" s="1169"/>
      <c r="L87" s="1169"/>
      <c r="M87" s="1169"/>
      <c r="N87" s="1169"/>
      <c r="O87" s="1169"/>
    </row>
    <row r="88" spans="1:15" ht="15.75" thickBot="1" x14ac:dyDescent="0.25">
      <c r="A88" s="1177" t="s">
        <v>10063</v>
      </c>
      <c r="B88" s="1177"/>
      <c r="C88" s="1177"/>
      <c r="D88" s="1177"/>
      <c r="E88" s="1177"/>
      <c r="F88" s="1177"/>
      <c r="G88" s="1177"/>
      <c r="H88" s="1177"/>
      <c r="I88" s="1177"/>
      <c r="J88" s="1177"/>
      <c r="K88" s="1177"/>
      <c r="L88" s="1177"/>
      <c r="M88" s="1177"/>
      <c r="N88" s="1177"/>
      <c r="O88" s="1177"/>
    </row>
    <row r="89" spans="1:15" ht="75" x14ac:dyDescent="0.2">
      <c r="A89" s="48" t="s">
        <v>233</v>
      </c>
      <c r="B89" s="49" t="s">
        <v>178</v>
      </c>
      <c r="C89" s="49" t="s">
        <v>9539</v>
      </c>
      <c r="D89" s="49" t="s">
        <v>9563</v>
      </c>
      <c r="E89" s="49" t="s">
        <v>9430</v>
      </c>
      <c r="F89" s="49" t="s">
        <v>10176</v>
      </c>
      <c r="G89" s="49" t="s">
        <v>10037</v>
      </c>
      <c r="H89" s="49" t="s">
        <v>10038</v>
      </c>
      <c r="I89" s="49" t="s">
        <v>10039</v>
      </c>
      <c r="J89" s="49" t="s">
        <v>10040</v>
      </c>
      <c r="K89" s="49" t="s">
        <v>10041</v>
      </c>
      <c r="L89" s="49" t="s">
        <v>10042</v>
      </c>
      <c r="M89" s="49" t="s">
        <v>10218</v>
      </c>
      <c r="N89" s="49" t="s">
        <v>9204</v>
      </c>
      <c r="O89" s="210" t="s">
        <v>9205</v>
      </c>
    </row>
    <row r="90" spans="1:15" ht="29.25" customHeight="1" x14ac:dyDescent="0.2">
      <c r="A90" s="182" t="s">
        <v>3899</v>
      </c>
      <c r="B90" s="202" t="s">
        <v>262</v>
      </c>
      <c r="C90" s="211" t="s">
        <v>9308</v>
      </c>
      <c r="D90" s="202" t="s">
        <v>9537</v>
      </c>
      <c r="E90" s="202">
        <v>2000</v>
      </c>
      <c r="F90" s="77" t="s">
        <v>1</v>
      </c>
      <c r="G90" s="20">
        <f ca="1">Hidden!HG$4339</f>
        <v>0</v>
      </c>
      <c r="H90" s="20">
        <f ca="1">Hidden!HH$4339</f>
        <v>0</v>
      </c>
      <c r="I90" s="20">
        <f ca="1">Hidden!HI$4339</f>
        <v>0</v>
      </c>
      <c r="J90" s="20">
        <f ca="1">Hidden!HJ$4339</f>
        <v>0</v>
      </c>
      <c r="K90" s="20">
        <f ca="1">Hidden!HK$4339</f>
        <v>0</v>
      </c>
      <c r="L90" s="20">
        <f ca="1">Hidden!HL$4339</f>
        <v>0</v>
      </c>
      <c r="M90" s="77" t="s">
        <v>1</v>
      </c>
      <c r="N90" s="211" t="str">
        <f ca="1">IF(COUNTIF($G90:$L90,"&gt;="&amp;$E90)=0,"Yes","No")</f>
        <v>Yes</v>
      </c>
      <c r="O90" s="115" t="str">
        <f t="shared" ref="O90:O105" ca="1" si="1">IF($N90="","",IF($N90&lt;&gt;"yes","revise data on previous sheets","no additional steps required"))</f>
        <v>no additional steps required</v>
      </c>
    </row>
    <row r="91" spans="1:15" ht="29.25" customHeight="1" x14ac:dyDescent="0.2">
      <c r="A91" s="182" t="s">
        <v>3899</v>
      </c>
      <c r="B91" s="202" t="s">
        <v>262</v>
      </c>
      <c r="C91" s="211" t="s">
        <v>9310</v>
      </c>
      <c r="D91" s="202" t="s">
        <v>9537</v>
      </c>
      <c r="E91" s="202">
        <v>500</v>
      </c>
      <c r="F91" s="77" t="s">
        <v>1</v>
      </c>
      <c r="G91" s="20">
        <f>Hidden!LB$4339</f>
        <v>0</v>
      </c>
      <c r="H91" s="20">
        <f>Hidden!LC$4339</f>
        <v>0</v>
      </c>
      <c r="I91" s="20">
        <f>Hidden!LD$4339</f>
        <v>0</v>
      </c>
      <c r="J91" s="20">
        <f>Hidden!LE$4339</f>
        <v>0</v>
      </c>
      <c r="K91" s="20">
        <f>Hidden!LF$4339</f>
        <v>0</v>
      </c>
      <c r="L91" s="20">
        <f>Hidden!LG$4339</f>
        <v>0</v>
      </c>
      <c r="M91" s="77" t="s">
        <v>1</v>
      </c>
      <c r="N91" s="211" t="str">
        <f>IF(COUNTIF($G91:$L91,"&gt;="&amp;$E91)=0,"Yes","No")</f>
        <v>Yes</v>
      </c>
      <c r="O91" s="115" t="str">
        <f t="shared" si="1"/>
        <v>no additional steps required</v>
      </c>
    </row>
    <row r="92" spans="1:15" ht="29.25" customHeight="1" x14ac:dyDescent="0.2">
      <c r="A92" s="182" t="s">
        <v>9542</v>
      </c>
      <c r="B92" s="202" t="s">
        <v>261</v>
      </c>
      <c r="C92" s="211" t="s">
        <v>9308</v>
      </c>
      <c r="D92" s="202" t="s">
        <v>9537</v>
      </c>
      <c r="E92" s="202">
        <v>7.5</v>
      </c>
      <c r="F92" s="77" t="s">
        <v>1</v>
      </c>
      <c r="G92" s="20">
        <f ca="1">Hidden!HG$4338</f>
        <v>0</v>
      </c>
      <c r="H92" s="20">
        <f ca="1">Hidden!HH$4338</f>
        <v>0</v>
      </c>
      <c r="I92" s="20">
        <f ca="1">Hidden!HI$4338</f>
        <v>0</v>
      </c>
      <c r="J92" s="20">
        <f ca="1">Hidden!HJ$4338</f>
        <v>0</v>
      </c>
      <c r="K92" s="20">
        <f ca="1">Hidden!HK$4338</f>
        <v>0</v>
      </c>
      <c r="L92" s="20">
        <f ca="1">Hidden!HL$4338</f>
        <v>0</v>
      </c>
      <c r="M92" s="77" t="s">
        <v>1</v>
      </c>
      <c r="N92" s="211" t="str">
        <f ca="1">IF(COUNTIF($G92:$L92,"&gt;="&amp;$E92)=0,"Yes","No")</f>
        <v>Yes</v>
      </c>
      <c r="O92" s="115" t="str">
        <f t="shared" ca="1" si="1"/>
        <v>no additional steps required</v>
      </c>
    </row>
    <row r="93" spans="1:15" ht="29.25" customHeight="1" x14ac:dyDescent="0.2">
      <c r="A93" s="182" t="s">
        <v>9542</v>
      </c>
      <c r="B93" s="202" t="s">
        <v>261</v>
      </c>
      <c r="C93" s="211" t="s">
        <v>9540</v>
      </c>
      <c r="D93" s="202" t="s">
        <v>9537</v>
      </c>
      <c r="E93" s="202">
        <v>1</v>
      </c>
      <c r="F93" s="77" t="s">
        <v>1</v>
      </c>
      <c r="G93" s="77" t="s">
        <v>1</v>
      </c>
      <c r="H93" s="77" t="s">
        <v>1</v>
      </c>
      <c r="I93" s="77" t="s">
        <v>1</v>
      </c>
      <c r="J93" s="77" t="s">
        <v>1</v>
      </c>
      <c r="K93" s="77" t="s">
        <v>1</v>
      </c>
      <c r="L93" s="77" t="s">
        <v>1</v>
      </c>
      <c r="M93" s="156">
        <f ca="1">Hidden!$PG$4338</f>
        <v>0</v>
      </c>
      <c r="N93" s="211" t="str">
        <f ca="1">IF($M93&gt;=$E93,"No","Yes")</f>
        <v>Yes</v>
      </c>
      <c r="O93" s="115" t="str">
        <f t="shared" ca="1" si="1"/>
        <v>no additional steps required</v>
      </c>
    </row>
    <row r="94" spans="1:15" ht="29.25" customHeight="1" x14ac:dyDescent="0.2">
      <c r="A94" s="182" t="s">
        <v>9542</v>
      </c>
      <c r="B94" s="202" t="s">
        <v>264</v>
      </c>
      <c r="C94" s="211" t="s">
        <v>9311</v>
      </c>
      <c r="D94" s="202" t="s">
        <v>9537</v>
      </c>
      <c r="E94" s="202">
        <v>5</v>
      </c>
      <c r="F94" s="77" t="s">
        <v>1</v>
      </c>
      <c r="G94" s="20">
        <f>Hidden!NH$4341</f>
        <v>0</v>
      </c>
      <c r="H94" s="20">
        <f>Hidden!NI$4341</f>
        <v>0</v>
      </c>
      <c r="I94" s="20">
        <f>Hidden!NJ$4341</f>
        <v>0</v>
      </c>
      <c r="J94" s="20">
        <f>Hidden!NK$4341</f>
        <v>0</v>
      </c>
      <c r="K94" s="20">
        <f>Hidden!NL$4341</f>
        <v>0</v>
      </c>
      <c r="L94" s="20">
        <f>Hidden!NM$4341</f>
        <v>0</v>
      </c>
      <c r="M94" s="77" t="s">
        <v>1</v>
      </c>
      <c r="N94" s="211" t="str">
        <f>IF(COUNTIF($G94:$L94,"&gt;="&amp;$E94)=0,"Yes","No")</f>
        <v>Yes</v>
      </c>
      <c r="O94" s="115" t="str">
        <f t="shared" si="1"/>
        <v>no additional steps required</v>
      </c>
    </row>
    <row r="95" spans="1:15" ht="29.25" customHeight="1" x14ac:dyDescent="0.2">
      <c r="A95" s="77" t="s">
        <v>10900</v>
      </c>
      <c r="B95" s="77" t="s">
        <v>264</v>
      </c>
      <c r="C95" s="77" t="s">
        <v>9540</v>
      </c>
      <c r="D95" s="77" t="s">
        <v>9537</v>
      </c>
      <c r="E95" s="77">
        <v>1</v>
      </c>
      <c r="F95" s="77" t="s">
        <v>1</v>
      </c>
      <c r="G95" s="77" t="s">
        <v>1</v>
      </c>
      <c r="H95" s="77" t="s">
        <v>1</v>
      </c>
      <c r="I95" s="77" t="s">
        <v>1</v>
      </c>
      <c r="J95" s="77" t="s">
        <v>1</v>
      </c>
      <c r="K95" s="77" t="s">
        <v>1</v>
      </c>
      <c r="L95" s="77" t="s">
        <v>1</v>
      </c>
      <c r="M95" s="77">
        <f ca="1">Hidden!$PG$4341</f>
        <v>0</v>
      </c>
      <c r="N95" s="77" t="str">
        <f ca="1">IF($M95&gt;=$E95,"No","Yes")</f>
        <v>Yes</v>
      </c>
      <c r="O95" s="77" t="str">
        <f t="shared" ca="1" si="1"/>
        <v>no additional steps required</v>
      </c>
    </row>
    <row r="96" spans="1:15" ht="29.25" customHeight="1" x14ac:dyDescent="0.2">
      <c r="A96" s="182" t="s">
        <v>9542</v>
      </c>
      <c r="B96" s="202" t="s">
        <v>265</v>
      </c>
      <c r="C96" s="202" t="s">
        <v>9311</v>
      </c>
      <c r="D96" s="202" t="s">
        <v>9537</v>
      </c>
      <c r="E96" s="202">
        <v>1.2</v>
      </c>
      <c r="F96" s="77" t="s">
        <v>1</v>
      </c>
      <c r="G96" s="20">
        <f>Hidden!NH$4342</f>
        <v>0</v>
      </c>
      <c r="H96" s="20">
        <f>Hidden!NI$4342</f>
        <v>0</v>
      </c>
      <c r="I96" s="20">
        <f>Hidden!NJ$4342</f>
        <v>0</v>
      </c>
      <c r="J96" s="20">
        <f>Hidden!NK$4342</f>
        <v>0</v>
      </c>
      <c r="K96" s="20">
        <f>Hidden!NL$4342</f>
        <v>0</v>
      </c>
      <c r="L96" s="20">
        <f>Hidden!NM$4342</f>
        <v>0</v>
      </c>
      <c r="M96" s="77" t="s">
        <v>1</v>
      </c>
      <c r="N96" s="211" t="str">
        <f>IF(COUNTIF($G96:$L96,"&gt;="&amp;$E96)=0,"Yes","No")</f>
        <v>Yes</v>
      </c>
      <c r="O96" s="115" t="str">
        <f t="shared" si="1"/>
        <v>no additional steps required</v>
      </c>
    </row>
    <row r="97" spans="1:15" ht="29.25" customHeight="1" x14ac:dyDescent="0.2">
      <c r="A97" s="182" t="s">
        <v>9542</v>
      </c>
      <c r="B97" s="202" t="s">
        <v>265</v>
      </c>
      <c r="C97" s="202" t="s">
        <v>9540</v>
      </c>
      <c r="D97" s="202" t="s">
        <v>9537</v>
      </c>
      <c r="E97" s="202">
        <v>0.2</v>
      </c>
      <c r="F97" s="77" t="s">
        <v>1</v>
      </c>
      <c r="G97" s="77" t="s">
        <v>1</v>
      </c>
      <c r="H97" s="77" t="s">
        <v>1</v>
      </c>
      <c r="I97" s="77" t="s">
        <v>1</v>
      </c>
      <c r="J97" s="77" t="s">
        <v>1</v>
      </c>
      <c r="K97" s="77" t="s">
        <v>1</v>
      </c>
      <c r="L97" s="77" t="s">
        <v>1</v>
      </c>
      <c r="M97" s="156">
        <f ca="1">Hidden!$PG$4342</f>
        <v>0</v>
      </c>
      <c r="N97" s="211" t="str">
        <f ca="1">IF($M97&gt;=$E97,"No","Yes")</f>
        <v>Yes</v>
      </c>
      <c r="O97" s="115" t="str">
        <f t="shared" ca="1" si="1"/>
        <v>no additional steps required</v>
      </c>
    </row>
    <row r="98" spans="1:15" ht="29.25" customHeight="1" x14ac:dyDescent="0.2">
      <c r="A98" s="182" t="s">
        <v>7949</v>
      </c>
      <c r="B98" s="202" t="s">
        <v>266</v>
      </c>
      <c r="C98" s="202" t="s">
        <v>9541</v>
      </c>
      <c r="D98" s="202" t="s">
        <v>9538</v>
      </c>
      <c r="E98" s="202">
        <f>F98*0.02</f>
        <v>20.420000000000002</v>
      </c>
      <c r="F98" s="202">
        <f>IF(OR('PI-1-MarineLoading'!$D$73="JEFFERSON",'PI-1-MarineLoading'!$D$73="ORANGE"),817,IF(OR('PI-1-MarineLoading'!$D$73="GALVESTON",'PI-1-MarineLoading'!$D$73="HARRIS"),715,1021))</f>
        <v>1021</v>
      </c>
      <c r="G98" s="20">
        <f ca="1">Hidden!HG$4343</f>
        <v>0</v>
      </c>
      <c r="H98" s="20">
        <f ca="1">Hidden!HH$4343</f>
        <v>0</v>
      </c>
      <c r="I98" s="20">
        <f ca="1">Hidden!HI$4343</f>
        <v>0</v>
      </c>
      <c r="J98" s="20">
        <f ca="1">Hidden!HJ$4343</f>
        <v>0</v>
      </c>
      <c r="K98" s="20">
        <f ca="1">Hidden!HK$4343</f>
        <v>0</v>
      </c>
      <c r="L98" s="20">
        <f ca="1">Hidden!HL$4343</f>
        <v>0</v>
      </c>
      <c r="M98" s="77" t="s">
        <v>1</v>
      </c>
      <c r="N98" s="16" t="str">
        <f ca="1">IF(COUNTIF($G98:$L98,"&gt;="&amp;$E98)=0,"Yes",IF('PI-1-MarineLoading'!$D$80="yes",IF(COUNTIF($G98:$L98,"&gt;"&amp;$F98)=0,"Yes","No"),"No"))</f>
        <v>Yes</v>
      </c>
      <c r="O98" s="115" t="str">
        <f t="shared" ca="1" si="1"/>
        <v>no additional steps required</v>
      </c>
    </row>
    <row r="99" spans="1:15" ht="29.25" customHeight="1" x14ac:dyDescent="0.2">
      <c r="A99" s="182" t="s">
        <v>7949</v>
      </c>
      <c r="B99" s="202" t="s">
        <v>266</v>
      </c>
      <c r="C99" s="202" t="s">
        <v>9308</v>
      </c>
      <c r="D99" s="202" t="s">
        <v>9537</v>
      </c>
      <c r="E99" s="202">
        <v>7.8</v>
      </c>
      <c r="F99" s="77" t="s">
        <v>1</v>
      </c>
      <c r="G99" s="20">
        <f ca="1">Hidden!HG$4343</f>
        <v>0</v>
      </c>
      <c r="H99" s="20">
        <f ca="1">Hidden!HH$4343</f>
        <v>0</v>
      </c>
      <c r="I99" s="20">
        <f ca="1">Hidden!HI$4343</f>
        <v>0</v>
      </c>
      <c r="J99" s="20">
        <f ca="1">Hidden!HJ$4343</f>
        <v>0</v>
      </c>
      <c r="K99" s="20">
        <f ca="1">Hidden!HK$4343</f>
        <v>0</v>
      </c>
      <c r="L99" s="20">
        <f ca="1">Hidden!HL$4343</f>
        <v>0</v>
      </c>
      <c r="M99" s="77" t="s">
        <v>1</v>
      </c>
      <c r="N99" s="16" t="str">
        <f t="shared" ref="N99:N101" ca="1" si="2">IF(COUNTIF($G99:$L99,"&gt;="&amp;$E99)=0,"Yes","No")</f>
        <v>Yes</v>
      </c>
      <c r="O99" s="115" t="str">
        <f t="shared" ca="1" si="1"/>
        <v>no additional steps required</v>
      </c>
    </row>
    <row r="100" spans="1:15" ht="29.25" customHeight="1" x14ac:dyDescent="0.2">
      <c r="A100" s="182" t="s">
        <v>7949</v>
      </c>
      <c r="B100" s="202" t="s">
        <v>266</v>
      </c>
      <c r="C100" s="202" t="s">
        <v>9309</v>
      </c>
      <c r="D100" s="202" t="s">
        <v>9537</v>
      </c>
      <c r="E100" s="202">
        <v>25</v>
      </c>
      <c r="F100" s="77" t="s">
        <v>1</v>
      </c>
      <c r="G100" s="20">
        <f ca="1">Hidden!$JM4343</f>
        <v>0</v>
      </c>
      <c r="H100" s="20">
        <f ca="1">Hidden!$JM4343</f>
        <v>0</v>
      </c>
      <c r="I100" s="215">
        <f ca="1">Hidden!$JM4343</f>
        <v>0</v>
      </c>
      <c r="J100" s="215">
        <f ca="1">Hidden!$JM4343</f>
        <v>0</v>
      </c>
      <c r="K100" s="215">
        <f ca="1">Hidden!$JM4343</f>
        <v>0</v>
      </c>
      <c r="L100" s="215">
        <f ca="1">Hidden!$JM4343</f>
        <v>0</v>
      </c>
      <c r="M100" s="77" t="s">
        <v>1</v>
      </c>
      <c r="N100" s="16" t="str">
        <f t="shared" ca="1" si="2"/>
        <v>Yes</v>
      </c>
      <c r="O100" s="115" t="str">
        <f t="shared" ca="1" si="1"/>
        <v>no additional steps required</v>
      </c>
    </row>
    <row r="101" spans="1:15" ht="29.25" customHeight="1" x14ac:dyDescent="0.2">
      <c r="A101" s="182" t="s">
        <v>7949</v>
      </c>
      <c r="B101" s="202" t="s">
        <v>266</v>
      </c>
      <c r="C101" s="202" t="s">
        <v>9311</v>
      </c>
      <c r="D101" s="202" t="s">
        <v>9537</v>
      </c>
      <c r="E101" s="202">
        <v>5</v>
      </c>
      <c r="F101" s="77" t="s">
        <v>1</v>
      </c>
      <c r="G101" s="20">
        <f>Hidden!NH$4343</f>
        <v>0</v>
      </c>
      <c r="H101" s="20">
        <f>Hidden!NI$4343</f>
        <v>0</v>
      </c>
      <c r="I101" s="20">
        <f>Hidden!NJ$4343</f>
        <v>0</v>
      </c>
      <c r="J101" s="20">
        <f>Hidden!NK$4343</f>
        <v>0</v>
      </c>
      <c r="K101" s="20">
        <f>Hidden!NL$4343</f>
        <v>0</v>
      </c>
      <c r="L101" s="20">
        <f>Hidden!NM$4343</f>
        <v>0</v>
      </c>
      <c r="M101" s="77" t="s">
        <v>1</v>
      </c>
      <c r="N101" s="16" t="str">
        <f t="shared" si="2"/>
        <v>Yes</v>
      </c>
      <c r="O101" s="115" t="str">
        <f t="shared" si="1"/>
        <v>no additional steps required</v>
      </c>
    </row>
    <row r="102" spans="1:15" ht="29.25" customHeight="1" x14ac:dyDescent="0.2">
      <c r="A102" s="182" t="s">
        <v>7949</v>
      </c>
      <c r="B102" s="202" t="s">
        <v>266</v>
      </c>
      <c r="C102" s="202" t="s">
        <v>9540</v>
      </c>
      <c r="D102" s="202" t="s">
        <v>9537</v>
      </c>
      <c r="E102" s="202" t="str">
        <f>IF(OR('PI-1-MarineLoading'!$D$73="JEFFERSON",'PI-1-MarineLoading'!$D$73="ORANGE"),1,"No annual SO2 SIL in this county")</f>
        <v>No annual SO2 SIL in this county</v>
      </c>
      <c r="F102" s="77" t="s">
        <v>1</v>
      </c>
      <c r="G102" s="77" t="s">
        <v>1</v>
      </c>
      <c r="H102" s="77" t="s">
        <v>1</v>
      </c>
      <c r="I102" s="77" t="s">
        <v>1</v>
      </c>
      <c r="J102" s="77" t="s">
        <v>1</v>
      </c>
      <c r="K102" s="77" t="s">
        <v>1</v>
      </c>
      <c r="L102" s="77" t="s">
        <v>1</v>
      </c>
      <c r="M102" s="156">
        <f ca="1">Hidden!$PG$4343</f>
        <v>0</v>
      </c>
      <c r="N102" s="211" t="str">
        <f ca="1">IF($M102&gt;=$E102,"No","Yes")</f>
        <v>Yes</v>
      </c>
      <c r="O102" s="115" t="str">
        <f t="shared" ca="1" si="1"/>
        <v>no additional steps required</v>
      </c>
    </row>
    <row r="103" spans="1:15" ht="29.25" customHeight="1" x14ac:dyDescent="0.2">
      <c r="A103" s="182" t="s">
        <v>5692</v>
      </c>
      <c r="B103" s="202" t="s">
        <v>267</v>
      </c>
      <c r="C103" s="202" t="s">
        <v>9541</v>
      </c>
      <c r="D103" s="202" t="s">
        <v>9538</v>
      </c>
      <c r="E103" s="202">
        <f>F103*0.02</f>
        <v>2.16</v>
      </c>
      <c r="F103" s="202">
        <f>IF('PI-1-MarineLoading'!$D$84="non-industrial",162,108)</f>
        <v>108</v>
      </c>
      <c r="G103" s="20">
        <f ca="1">Hidden!HG$4344</f>
        <v>0</v>
      </c>
      <c r="H103" s="20">
        <f ca="1">Hidden!HH$4344</f>
        <v>0</v>
      </c>
      <c r="I103" s="20">
        <f ca="1">Hidden!HI$4344</f>
        <v>0</v>
      </c>
      <c r="J103" s="20">
        <f ca="1">Hidden!HJ$4344</f>
        <v>0</v>
      </c>
      <c r="K103" s="20">
        <f ca="1">Hidden!HK$4344</f>
        <v>0</v>
      </c>
      <c r="L103" s="20">
        <f ca="1">Hidden!HL$4344</f>
        <v>0</v>
      </c>
      <c r="M103" s="77" t="s">
        <v>1</v>
      </c>
      <c r="N103" s="16" t="str">
        <f ca="1">IF(COUNTIF($G103:$L103,"&gt;="&amp;$E103)=0,"Yes",IF('PI-1-MarineLoading'!$D$80="yes",IF(COUNTIF($G103:$L103,"&gt;"&amp;$F103)=0,"Yes","No"),"No"))</f>
        <v>Yes</v>
      </c>
      <c r="O103" s="115" t="str">
        <f t="shared" ca="1" si="1"/>
        <v>no additional steps required</v>
      </c>
    </row>
    <row r="104" spans="1:15" ht="29.25" customHeight="1" x14ac:dyDescent="0.2">
      <c r="A104" s="182" t="s">
        <v>7963</v>
      </c>
      <c r="B104" s="202" t="s">
        <v>9092</v>
      </c>
      <c r="C104" s="202" t="s">
        <v>9308</v>
      </c>
      <c r="D104" s="202" t="s">
        <v>9538</v>
      </c>
      <c r="E104" s="202">
        <f>F104*0.02</f>
        <v>1</v>
      </c>
      <c r="F104" s="202">
        <v>50</v>
      </c>
      <c r="G104" s="20">
        <f>Hidden!HG$4346</f>
        <v>0</v>
      </c>
      <c r="H104" s="20">
        <f>Hidden!HH$4346</f>
        <v>0</v>
      </c>
      <c r="I104" s="20">
        <f>Hidden!HI$4346</f>
        <v>0</v>
      </c>
      <c r="J104" s="20">
        <f>Hidden!HJ$4346</f>
        <v>0</v>
      </c>
      <c r="K104" s="20">
        <f>Hidden!HK$4346</f>
        <v>0</v>
      </c>
      <c r="L104" s="20">
        <f>Hidden!HL$4346</f>
        <v>0</v>
      </c>
      <c r="M104" s="77" t="s">
        <v>1</v>
      </c>
      <c r="N104" s="16" t="str">
        <f>IF(COUNTIF($G104:$L104,"&gt;="&amp;$E104)=0,"Yes",IF('PI-1-MarineLoading'!$D$80="yes",IF(COUNTIF($G104:$L104,"&gt;"&amp;$F104)=0,"Yes","No"),"No"))</f>
        <v>Yes</v>
      </c>
      <c r="O104" s="115" t="str">
        <f t="shared" si="1"/>
        <v>no additional steps required</v>
      </c>
    </row>
    <row r="105" spans="1:15" ht="29.25" customHeight="1" thickBot="1" x14ac:dyDescent="0.25">
      <c r="A105" s="216" t="s">
        <v>7963</v>
      </c>
      <c r="B105" s="203" t="s">
        <v>9092</v>
      </c>
      <c r="C105" s="217" t="s">
        <v>9311</v>
      </c>
      <c r="D105" s="203" t="s">
        <v>9538</v>
      </c>
      <c r="E105" s="217">
        <f>F105*0.02</f>
        <v>0.3</v>
      </c>
      <c r="F105" s="217">
        <v>15</v>
      </c>
      <c r="G105" s="218">
        <f>Hidden!NH$4346</f>
        <v>0</v>
      </c>
      <c r="H105" s="218">
        <f>Hidden!NI$4346</f>
        <v>0</v>
      </c>
      <c r="I105" s="218">
        <f>Hidden!NJ$4346</f>
        <v>0</v>
      </c>
      <c r="J105" s="218">
        <f>Hidden!NK$4346</f>
        <v>0</v>
      </c>
      <c r="K105" s="218">
        <f>Hidden!NL$4346</f>
        <v>0</v>
      </c>
      <c r="L105" s="218">
        <f>Hidden!NM$4346</f>
        <v>0</v>
      </c>
      <c r="M105" s="219" t="s">
        <v>1</v>
      </c>
      <c r="N105" s="203" t="str">
        <f>IF(COUNTIF($G105:$L105,"&gt;="&amp;$E105)=0,"Yes",IF('PI-1-MarineLoading'!$D$80="yes",IF(COUNTIF($G105:$L105,"&gt;"&amp;$F105)=0,"Yes","No"),"No"))</f>
        <v>Yes</v>
      </c>
      <c r="O105" s="220" t="str">
        <f t="shared" si="1"/>
        <v>no additional steps required</v>
      </c>
    </row>
    <row r="106" spans="1:15" ht="15" thickBot="1" x14ac:dyDescent="0.25">
      <c r="A106" s="634" t="s">
        <v>10177</v>
      </c>
      <c r="B106" s="635"/>
      <c r="C106" s="635"/>
      <c r="D106" s="635"/>
      <c r="E106" s="635"/>
      <c r="F106" s="635"/>
      <c r="G106" s="635"/>
      <c r="H106" s="635"/>
      <c r="I106" s="635"/>
      <c r="J106" s="635"/>
      <c r="K106" s="635"/>
      <c r="L106" s="635"/>
      <c r="M106" s="635"/>
      <c r="N106" s="635"/>
      <c r="O106" s="636"/>
    </row>
    <row r="107" spans="1:15" ht="15" thickBot="1" x14ac:dyDescent="0.25">
      <c r="A107" s="1168" t="s">
        <v>1</v>
      </c>
      <c r="B107" s="1169"/>
      <c r="C107" s="1169"/>
      <c r="D107" s="1169"/>
      <c r="E107" s="1169"/>
      <c r="F107" s="1169"/>
      <c r="G107" s="1169"/>
      <c r="H107" s="1169"/>
      <c r="I107" s="1169"/>
      <c r="J107" s="1169"/>
      <c r="K107" s="1169"/>
      <c r="L107" s="1169"/>
      <c r="M107" s="1169"/>
      <c r="N107" s="1169"/>
      <c r="O107" s="1169"/>
    </row>
    <row r="108" spans="1:15" ht="15.75" thickBot="1" x14ac:dyDescent="0.25">
      <c r="A108" s="474" t="s">
        <v>10064</v>
      </c>
      <c r="B108" s="474"/>
      <c r="C108" s="474"/>
      <c r="D108" s="474"/>
      <c r="E108" s="474"/>
      <c r="F108" s="474"/>
      <c r="G108" s="474"/>
      <c r="H108" s="474"/>
      <c r="I108" s="474"/>
      <c r="J108" s="474"/>
      <c r="K108" s="474"/>
      <c r="L108" s="474"/>
      <c r="M108" s="474"/>
      <c r="N108" s="474"/>
      <c r="O108" s="474"/>
    </row>
    <row r="109" spans="1:15" ht="15" customHeight="1" x14ac:dyDescent="0.2">
      <c r="A109" s="358" t="s">
        <v>233</v>
      </c>
      <c r="B109" s="862" t="s">
        <v>9203</v>
      </c>
      <c r="C109" s="862"/>
      <c r="D109" s="862"/>
      <c r="E109" s="862"/>
      <c r="F109" s="862"/>
      <c r="G109" s="862"/>
      <c r="H109" s="862"/>
      <c r="I109" s="540" t="s">
        <v>10043</v>
      </c>
      <c r="J109" s="540"/>
      <c r="K109" s="540"/>
      <c r="L109" s="540"/>
      <c r="M109" s="540"/>
      <c r="N109" s="540"/>
      <c r="O109" s="224" t="s">
        <v>10221</v>
      </c>
    </row>
    <row r="110" spans="1:15" ht="60" x14ac:dyDescent="0.2">
      <c r="A110" s="173" t="s">
        <v>1</v>
      </c>
      <c r="B110" s="796" t="s">
        <v>1</v>
      </c>
      <c r="C110" s="796"/>
      <c r="D110" s="796"/>
      <c r="E110" s="796"/>
      <c r="F110" s="796"/>
      <c r="G110" s="796"/>
      <c r="H110" s="796"/>
      <c r="I110" s="79" t="s">
        <v>10249</v>
      </c>
      <c r="J110" s="79" t="s">
        <v>10250</v>
      </c>
      <c r="K110" s="79" t="s">
        <v>10251</v>
      </c>
      <c r="L110" s="79" t="s">
        <v>10252</v>
      </c>
      <c r="M110" s="79" t="s">
        <v>10253</v>
      </c>
      <c r="N110" s="79" t="s">
        <v>10254</v>
      </c>
      <c r="O110" s="80" t="s">
        <v>10220</v>
      </c>
    </row>
    <row r="111" spans="1:15" ht="14.25" customHeight="1" x14ac:dyDescent="0.2">
      <c r="A111" s="9" t="str">
        <f>Hidden!$FG2</f>
        <v/>
      </c>
      <c r="B111" s="531" t="str">
        <f>IF($A111="","",IFERROR(HLOOKUP(Hidden!$FB$2,Substances,MATCH($A111,CAS,0),FALSE),""))</f>
        <v/>
      </c>
      <c r="C111" s="531"/>
      <c r="D111" s="531"/>
      <c r="E111" s="531"/>
      <c r="F111" s="531"/>
      <c r="G111" s="531"/>
      <c r="H111" s="531"/>
      <c r="I111" s="212">
        <f>Hidden!HG2</f>
        <v>0</v>
      </c>
      <c r="J111" s="212">
        <f>Hidden!HH2</f>
        <v>0</v>
      </c>
      <c r="K111" s="212">
        <f>Hidden!HI2</f>
        <v>0</v>
      </c>
      <c r="L111" s="212">
        <f>Hidden!HJ2</f>
        <v>0</v>
      </c>
      <c r="M111" s="212">
        <f>Hidden!HK2</f>
        <v>0</v>
      </c>
      <c r="N111" s="212">
        <f>Hidden!HL2</f>
        <v>0</v>
      </c>
      <c r="O111" s="213">
        <f>Hidden!$PG2</f>
        <v>0</v>
      </c>
    </row>
    <row r="112" spans="1:15" x14ac:dyDescent="0.2">
      <c r="A112" s="9" t="str">
        <f>Hidden!$FG3</f>
        <v/>
      </c>
      <c r="B112" s="531" t="str">
        <f>IF($A112="","",IFERROR(HLOOKUP(Hidden!$FB$2,Substances,MATCH($A112,CAS,0),FALSE),""))</f>
        <v/>
      </c>
      <c r="C112" s="531"/>
      <c r="D112" s="531"/>
      <c r="E112" s="531"/>
      <c r="F112" s="531"/>
      <c r="G112" s="531"/>
      <c r="H112" s="531"/>
      <c r="I112" s="212">
        <f>Hidden!HG3</f>
        <v>0</v>
      </c>
      <c r="J112" s="212">
        <f>Hidden!HH3</f>
        <v>0</v>
      </c>
      <c r="K112" s="212">
        <f>Hidden!HI3</f>
        <v>0</v>
      </c>
      <c r="L112" s="212">
        <f>Hidden!HJ3</f>
        <v>0</v>
      </c>
      <c r="M112" s="212">
        <f>Hidden!HK3</f>
        <v>0</v>
      </c>
      <c r="N112" s="212">
        <f>Hidden!HL3</f>
        <v>0</v>
      </c>
      <c r="O112" s="213">
        <f>Hidden!$PG3</f>
        <v>0</v>
      </c>
    </row>
    <row r="113" spans="1:15" x14ac:dyDescent="0.2">
      <c r="A113" s="9" t="str">
        <f>Hidden!$FG4</f>
        <v/>
      </c>
      <c r="B113" s="531" t="str">
        <f>IF($A113="","",IFERROR(HLOOKUP(Hidden!$FB$2,Substances,MATCH($A113,CAS,0),FALSE),""))</f>
        <v/>
      </c>
      <c r="C113" s="531"/>
      <c r="D113" s="531"/>
      <c r="E113" s="531"/>
      <c r="F113" s="531"/>
      <c r="G113" s="531"/>
      <c r="H113" s="531"/>
      <c r="I113" s="212">
        <f>Hidden!HG4</f>
        <v>0</v>
      </c>
      <c r="J113" s="212">
        <f>Hidden!HH4</f>
        <v>0</v>
      </c>
      <c r="K113" s="212">
        <f>Hidden!HI4</f>
        <v>0</v>
      </c>
      <c r="L113" s="212">
        <f>Hidden!HJ4</f>
        <v>0</v>
      </c>
      <c r="M113" s="212">
        <f>Hidden!HK4</f>
        <v>0</v>
      </c>
      <c r="N113" s="212">
        <f>Hidden!HL4</f>
        <v>0</v>
      </c>
      <c r="O113" s="213">
        <f>Hidden!$PG4</f>
        <v>0</v>
      </c>
    </row>
    <row r="114" spans="1:15" ht="14.25" customHeight="1" x14ac:dyDescent="0.2">
      <c r="A114" s="9" t="str">
        <f>Hidden!$FG5</f>
        <v/>
      </c>
      <c r="B114" s="531" t="str">
        <f>IF($A114="","",IFERROR(HLOOKUP(Hidden!$FB$2,Substances,MATCH($A114,CAS,0),FALSE),""))</f>
        <v/>
      </c>
      <c r="C114" s="531"/>
      <c r="D114" s="531"/>
      <c r="E114" s="531"/>
      <c r="F114" s="531"/>
      <c r="G114" s="531"/>
      <c r="H114" s="531"/>
      <c r="I114" s="212">
        <f>Hidden!HG5</f>
        <v>0</v>
      </c>
      <c r="J114" s="212">
        <f>Hidden!HH5</f>
        <v>0</v>
      </c>
      <c r="K114" s="212">
        <f>Hidden!HI5</f>
        <v>0</v>
      </c>
      <c r="L114" s="212">
        <f>Hidden!HJ5</f>
        <v>0</v>
      </c>
      <c r="M114" s="212">
        <f>Hidden!HK5</f>
        <v>0</v>
      </c>
      <c r="N114" s="212">
        <f>Hidden!HL5</f>
        <v>0</v>
      </c>
      <c r="O114" s="213">
        <f>Hidden!$PG5</f>
        <v>0</v>
      </c>
    </row>
    <row r="115" spans="1:15" x14ac:dyDescent="0.2">
      <c r="A115" s="9" t="str">
        <f>Hidden!$FG6</f>
        <v/>
      </c>
      <c r="B115" s="531" t="str">
        <f>IF($A115="","",IFERROR(HLOOKUP(Hidden!$FB$2,Substances,MATCH($A115,CAS,0),FALSE),""))</f>
        <v/>
      </c>
      <c r="C115" s="531"/>
      <c r="D115" s="531"/>
      <c r="E115" s="531"/>
      <c r="F115" s="531"/>
      <c r="G115" s="531"/>
      <c r="H115" s="531"/>
      <c r="I115" s="212">
        <f>Hidden!HG6</f>
        <v>0</v>
      </c>
      <c r="J115" s="212">
        <f>Hidden!HH6</f>
        <v>0</v>
      </c>
      <c r="K115" s="212">
        <f>Hidden!HI6</f>
        <v>0</v>
      </c>
      <c r="L115" s="212">
        <f>Hidden!HJ6</f>
        <v>0</v>
      </c>
      <c r="M115" s="212">
        <f>Hidden!HK6</f>
        <v>0</v>
      </c>
      <c r="N115" s="212">
        <f>Hidden!HL6</f>
        <v>0</v>
      </c>
      <c r="O115" s="213">
        <f>Hidden!$PG6</f>
        <v>0</v>
      </c>
    </row>
    <row r="116" spans="1:15" x14ac:dyDescent="0.2">
      <c r="A116" s="9" t="str">
        <f>Hidden!$FG7</f>
        <v/>
      </c>
      <c r="B116" s="531" t="str">
        <f>IF($A116="","",IFERROR(HLOOKUP(Hidden!$FB$2,Substances,MATCH($A116,CAS,0),FALSE),""))</f>
        <v/>
      </c>
      <c r="C116" s="531"/>
      <c r="D116" s="531"/>
      <c r="E116" s="531"/>
      <c r="F116" s="531"/>
      <c r="G116" s="531"/>
      <c r="H116" s="531"/>
      <c r="I116" s="212">
        <f>Hidden!HG7</f>
        <v>0</v>
      </c>
      <c r="J116" s="212">
        <f>Hidden!HH7</f>
        <v>0</v>
      </c>
      <c r="K116" s="212">
        <f>Hidden!HI7</f>
        <v>0</v>
      </c>
      <c r="L116" s="212">
        <f>Hidden!HJ7</f>
        <v>0</v>
      </c>
      <c r="M116" s="212">
        <f>Hidden!HK7</f>
        <v>0</v>
      </c>
      <c r="N116" s="212">
        <f>Hidden!HL7</f>
        <v>0</v>
      </c>
      <c r="O116" s="213">
        <f>Hidden!$PG7</f>
        <v>0</v>
      </c>
    </row>
    <row r="117" spans="1:15" x14ac:dyDescent="0.2">
      <c r="A117" s="9" t="str">
        <f>Hidden!$FG8</f>
        <v/>
      </c>
      <c r="B117" s="531" t="str">
        <f>IF($A117="","",IFERROR(HLOOKUP(Hidden!$FB$2,Substances,MATCH($A117,CAS,0),FALSE),""))</f>
        <v/>
      </c>
      <c r="C117" s="531"/>
      <c r="D117" s="531"/>
      <c r="E117" s="531"/>
      <c r="F117" s="531"/>
      <c r="G117" s="531"/>
      <c r="H117" s="531"/>
      <c r="I117" s="212">
        <f>Hidden!HG8</f>
        <v>0</v>
      </c>
      <c r="J117" s="212">
        <f>Hidden!HH8</f>
        <v>0</v>
      </c>
      <c r="K117" s="212">
        <f>Hidden!HI8</f>
        <v>0</v>
      </c>
      <c r="L117" s="212">
        <f>Hidden!HJ8</f>
        <v>0</v>
      </c>
      <c r="M117" s="212">
        <f>Hidden!HK8</f>
        <v>0</v>
      </c>
      <c r="N117" s="212">
        <f>Hidden!HL8</f>
        <v>0</v>
      </c>
      <c r="O117" s="213">
        <f>Hidden!$PG8</f>
        <v>0</v>
      </c>
    </row>
    <row r="118" spans="1:15" x14ac:dyDescent="0.2">
      <c r="A118" s="9" t="str">
        <f>Hidden!$FG9</f>
        <v/>
      </c>
      <c r="B118" s="531" t="str">
        <f>IF($A118="","",IFERROR(HLOOKUP(Hidden!$FB$2,Substances,MATCH($A118,CAS,0),FALSE),""))</f>
        <v/>
      </c>
      <c r="C118" s="531"/>
      <c r="D118" s="531"/>
      <c r="E118" s="531"/>
      <c r="F118" s="531"/>
      <c r="G118" s="531"/>
      <c r="H118" s="531"/>
      <c r="I118" s="212">
        <f>Hidden!HG9</f>
        <v>0</v>
      </c>
      <c r="J118" s="212">
        <f>Hidden!HH9</f>
        <v>0</v>
      </c>
      <c r="K118" s="212">
        <f>Hidden!HI9</f>
        <v>0</v>
      </c>
      <c r="L118" s="212">
        <f>Hidden!HJ9</f>
        <v>0</v>
      </c>
      <c r="M118" s="212">
        <f>Hidden!HK9</f>
        <v>0</v>
      </c>
      <c r="N118" s="212">
        <f>Hidden!HL9</f>
        <v>0</v>
      </c>
      <c r="O118" s="213">
        <f>Hidden!$PG9</f>
        <v>0</v>
      </c>
    </row>
    <row r="119" spans="1:15" x14ac:dyDescent="0.2">
      <c r="A119" s="9" t="str">
        <f>Hidden!$FG10</f>
        <v/>
      </c>
      <c r="B119" s="531" t="str">
        <f>IF($A119="","",IFERROR(HLOOKUP(Hidden!$FB$2,Substances,MATCH($A119,CAS,0),FALSE),""))</f>
        <v/>
      </c>
      <c r="C119" s="531"/>
      <c r="D119" s="531"/>
      <c r="E119" s="531"/>
      <c r="F119" s="531"/>
      <c r="G119" s="531"/>
      <c r="H119" s="531"/>
      <c r="I119" s="212">
        <f>Hidden!HG10</f>
        <v>0</v>
      </c>
      <c r="J119" s="212">
        <f>Hidden!HH10</f>
        <v>0</v>
      </c>
      <c r="K119" s="212">
        <f>Hidden!HI10</f>
        <v>0</v>
      </c>
      <c r="L119" s="212">
        <f>Hidden!HJ10</f>
        <v>0</v>
      </c>
      <c r="M119" s="212">
        <f>Hidden!HK10</f>
        <v>0</v>
      </c>
      <c r="N119" s="212">
        <f>Hidden!HL10</f>
        <v>0</v>
      </c>
      <c r="O119" s="213">
        <f>Hidden!$PG10</f>
        <v>0</v>
      </c>
    </row>
    <row r="120" spans="1:15" ht="14.25" customHeight="1" x14ac:dyDescent="0.2">
      <c r="A120" s="9" t="str">
        <f>Hidden!$FG11</f>
        <v/>
      </c>
      <c r="B120" s="531" t="str">
        <f>IF($A120="","",IFERROR(HLOOKUP(Hidden!$FB$2,Substances,MATCH($A120,CAS,0),FALSE),""))</f>
        <v/>
      </c>
      <c r="C120" s="531"/>
      <c r="D120" s="531"/>
      <c r="E120" s="531"/>
      <c r="F120" s="531"/>
      <c r="G120" s="531"/>
      <c r="H120" s="531"/>
      <c r="I120" s="212">
        <f>Hidden!HG11</f>
        <v>0</v>
      </c>
      <c r="J120" s="212">
        <f>Hidden!HH11</f>
        <v>0</v>
      </c>
      <c r="K120" s="212">
        <f>Hidden!HI11</f>
        <v>0</v>
      </c>
      <c r="L120" s="212">
        <f>Hidden!HJ11</f>
        <v>0</v>
      </c>
      <c r="M120" s="212">
        <f>Hidden!HK11</f>
        <v>0</v>
      </c>
      <c r="N120" s="212">
        <f>Hidden!HL11</f>
        <v>0</v>
      </c>
      <c r="O120" s="213">
        <f>Hidden!$PG11</f>
        <v>0</v>
      </c>
    </row>
    <row r="121" spans="1:15" ht="14.25" customHeight="1" x14ac:dyDescent="0.2">
      <c r="A121" s="9" t="str">
        <f>Hidden!$FG12</f>
        <v/>
      </c>
      <c r="B121" s="531" t="str">
        <f>IF($A121="","",IFERROR(HLOOKUP(Hidden!$FB$2,Substances,MATCH($A121,CAS,0),FALSE),""))</f>
        <v/>
      </c>
      <c r="C121" s="531"/>
      <c r="D121" s="531"/>
      <c r="E121" s="531"/>
      <c r="F121" s="531"/>
      <c r="G121" s="531"/>
      <c r="H121" s="531"/>
      <c r="I121" s="212">
        <f>Hidden!HG12</f>
        <v>0</v>
      </c>
      <c r="J121" s="212">
        <f>Hidden!HH12</f>
        <v>0</v>
      </c>
      <c r="K121" s="212">
        <f>Hidden!HI12</f>
        <v>0</v>
      </c>
      <c r="L121" s="212">
        <f>Hidden!HJ12</f>
        <v>0</v>
      </c>
      <c r="M121" s="212">
        <f>Hidden!HK12</f>
        <v>0</v>
      </c>
      <c r="N121" s="212">
        <f>Hidden!HL12</f>
        <v>0</v>
      </c>
      <c r="O121" s="213">
        <f>Hidden!$PG12</f>
        <v>0</v>
      </c>
    </row>
    <row r="122" spans="1:15" ht="14.25" customHeight="1" x14ac:dyDescent="0.2">
      <c r="A122" s="9" t="str">
        <f>Hidden!$FG13</f>
        <v/>
      </c>
      <c r="B122" s="531" t="str">
        <f>IF($A122="","",IFERROR(HLOOKUP(Hidden!$FB$2,Substances,MATCH($A122,CAS,0),FALSE),""))</f>
        <v/>
      </c>
      <c r="C122" s="531"/>
      <c r="D122" s="531"/>
      <c r="E122" s="531"/>
      <c r="F122" s="531"/>
      <c r="G122" s="531"/>
      <c r="H122" s="531"/>
      <c r="I122" s="212">
        <f>Hidden!HG13</f>
        <v>0</v>
      </c>
      <c r="J122" s="212">
        <f>Hidden!HH13</f>
        <v>0</v>
      </c>
      <c r="K122" s="212">
        <f>Hidden!HI13</f>
        <v>0</v>
      </c>
      <c r="L122" s="212">
        <f>Hidden!HJ13</f>
        <v>0</v>
      </c>
      <c r="M122" s="212">
        <f>Hidden!HK13</f>
        <v>0</v>
      </c>
      <c r="N122" s="212">
        <f>Hidden!HL13</f>
        <v>0</v>
      </c>
      <c r="O122" s="213">
        <f>Hidden!$PG13</f>
        <v>0</v>
      </c>
    </row>
    <row r="123" spans="1:15" x14ac:dyDescent="0.2">
      <c r="A123" s="9" t="str">
        <f>Hidden!$FG14</f>
        <v/>
      </c>
      <c r="B123" s="531" t="str">
        <f>IF($A123="","",IFERROR(HLOOKUP(Hidden!$FB$2,Substances,MATCH($A123,CAS,0),FALSE),""))</f>
        <v/>
      </c>
      <c r="C123" s="531"/>
      <c r="D123" s="531"/>
      <c r="E123" s="531"/>
      <c r="F123" s="531"/>
      <c r="G123" s="531"/>
      <c r="H123" s="531"/>
      <c r="I123" s="212">
        <f>Hidden!HG14</f>
        <v>0</v>
      </c>
      <c r="J123" s="212">
        <f>Hidden!HH14</f>
        <v>0</v>
      </c>
      <c r="K123" s="212">
        <f>Hidden!HI14</f>
        <v>0</v>
      </c>
      <c r="L123" s="212">
        <f>Hidden!HJ14</f>
        <v>0</v>
      </c>
      <c r="M123" s="212">
        <f>Hidden!HK14</f>
        <v>0</v>
      </c>
      <c r="N123" s="212">
        <f>Hidden!HL14</f>
        <v>0</v>
      </c>
      <c r="O123" s="213">
        <f>Hidden!$PG14</f>
        <v>0</v>
      </c>
    </row>
    <row r="124" spans="1:15" x14ac:dyDescent="0.2">
      <c r="A124" s="9" t="str">
        <f>Hidden!$FG15</f>
        <v/>
      </c>
      <c r="B124" s="531" t="str">
        <f>IF($A124="","",IFERROR(HLOOKUP(Hidden!$FB$2,Substances,MATCH($A124,CAS,0),FALSE),""))</f>
        <v/>
      </c>
      <c r="C124" s="531"/>
      <c r="D124" s="531"/>
      <c r="E124" s="531"/>
      <c r="F124" s="531"/>
      <c r="G124" s="531"/>
      <c r="H124" s="531"/>
      <c r="I124" s="212">
        <f>Hidden!HG15</f>
        <v>0</v>
      </c>
      <c r="J124" s="212">
        <f>Hidden!HH15</f>
        <v>0</v>
      </c>
      <c r="K124" s="212">
        <f>Hidden!HI15</f>
        <v>0</v>
      </c>
      <c r="L124" s="212">
        <f>Hidden!HJ15</f>
        <v>0</v>
      </c>
      <c r="M124" s="212">
        <f>Hidden!HK15</f>
        <v>0</v>
      </c>
      <c r="N124" s="212">
        <f>Hidden!HL15</f>
        <v>0</v>
      </c>
      <c r="O124" s="213">
        <f>Hidden!$PG15</f>
        <v>0</v>
      </c>
    </row>
    <row r="125" spans="1:15" x14ac:dyDescent="0.2">
      <c r="A125" s="9" t="str">
        <f>Hidden!$FG16</f>
        <v/>
      </c>
      <c r="B125" s="531" t="str">
        <f>IF($A125="","",IFERROR(HLOOKUP(Hidden!$FB$2,Substances,MATCH($A125,CAS,0),FALSE),""))</f>
        <v/>
      </c>
      <c r="C125" s="531"/>
      <c r="D125" s="531"/>
      <c r="E125" s="531"/>
      <c r="F125" s="531"/>
      <c r="G125" s="531"/>
      <c r="H125" s="531"/>
      <c r="I125" s="212">
        <f>Hidden!HG16</f>
        <v>0</v>
      </c>
      <c r="J125" s="212">
        <f>Hidden!HH16</f>
        <v>0</v>
      </c>
      <c r="K125" s="212">
        <f>Hidden!HI16</f>
        <v>0</v>
      </c>
      <c r="L125" s="212">
        <f>Hidden!HJ16</f>
        <v>0</v>
      </c>
      <c r="M125" s="212">
        <f>Hidden!HK16</f>
        <v>0</v>
      </c>
      <c r="N125" s="212">
        <f>Hidden!HL16</f>
        <v>0</v>
      </c>
      <c r="O125" s="213">
        <f>Hidden!$PG16</f>
        <v>0</v>
      </c>
    </row>
    <row r="126" spans="1:15" x14ac:dyDescent="0.2">
      <c r="A126" s="9" t="str">
        <f>Hidden!$FG17</f>
        <v/>
      </c>
      <c r="B126" s="531" t="str">
        <f>IF($A126="","",IFERROR(HLOOKUP(Hidden!$FB$2,Substances,MATCH($A126,CAS,0),FALSE),""))</f>
        <v/>
      </c>
      <c r="C126" s="531"/>
      <c r="D126" s="531"/>
      <c r="E126" s="531"/>
      <c r="F126" s="531"/>
      <c r="G126" s="531"/>
      <c r="H126" s="531"/>
      <c r="I126" s="212">
        <f>Hidden!HG17</f>
        <v>0</v>
      </c>
      <c r="J126" s="212">
        <f>Hidden!HH17</f>
        <v>0</v>
      </c>
      <c r="K126" s="212">
        <f>Hidden!HI17</f>
        <v>0</v>
      </c>
      <c r="L126" s="212">
        <f>Hidden!HJ17</f>
        <v>0</v>
      </c>
      <c r="M126" s="212">
        <f>Hidden!HK17</f>
        <v>0</v>
      </c>
      <c r="N126" s="212">
        <f>Hidden!HL17</f>
        <v>0</v>
      </c>
      <c r="O126" s="213">
        <f>Hidden!$PG17</f>
        <v>0</v>
      </c>
    </row>
    <row r="127" spans="1:15" x14ac:dyDescent="0.2">
      <c r="A127" s="9" t="str">
        <f>Hidden!$FG18</f>
        <v/>
      </c>
      <c r="B127" s="531" t="str">
        <f>IF($A127="","",IFERROR(HLOOKUP(Hidden!$FB$2,Substances,MATCH($A127,CAS,0),FALSE),""))</f>
        <v/>
      </c>
      <c r="C127" s="531"/>
      <c r="D127" s="531"/>
      <c r="E127" s="531"/>
      <c r="F127" s="531"/>
      <c r="G127" s="531"/>
      <c r="H127" s="531"/>
      <c r="I127" s="212">
        <f>Hidden!HG18</f>
        <v>0</v>
      </c>
      <c r="J127" s="212">
        <f>Hidden!HH18</f>
        <v>0</v>
      </c>
      <c r="K127" s="212">
        <f>Hidden!HI18</f>
        <v>0</v>
      </c>
      <c r="L127" s="212">
        <f>Hidden!HJ18</f>
        <v>0</v>
      </c>
      <c r="M127" s="212">
        <f>Hidden!HK18</f>
        <v>0</v>
      </c>
      <c r="N127" s="212">
        <f>Hidden!HL18</f>
        <v>0</v>
      </c>
      <c r="O127" s="213">
        <f>Hidden!$PG18</f>
        <v>0</v>
      </c>
    </row>
    <row r="128" spans="1:15" x14ac:dyDescent="0.2">
      <c r="A128" s="9" t="str">
        <f>Hidden!$FG19</f>
        <v/>
      </c>
      <c r="B128" s="531" t="str">
        <f>IF($A128="","",IFERROR(HLOOKUP(Hidden!$FB$2,Substances,MATCH($A128,CAS,0),FALSE),""))</f>
        <v/>
      </c>
      <c r="C128" s="531"/>
      <c r="D128" s="531"/>
      <c r="E128" s="531"/>
      <c r="F128" s="531"/>
      <c r="G128" s="531"/>
      <c r="H128" s="531"/>
      <c r="I128" s="212">
        <f>Hidden!HG19</f>
        <v>0</v>
      </c>
      <c r="J128" s="212">
        <f>Hidden!HH19</f>
        <v>0</v>
      </c>
      <c r="K128" s="212">
        <f>Hidden!HI19</f>
        <v>0</v>
      </c>
      <c r="L128" s="212">
        <f>Hidden!HJ19</f>
        <v>0</v>
      </c>
      <c r="M128" s="212">
        <f>Hidden!HK19</f>
        <v>0</v>
      </c>
      <c r="N128" s="212">
        <f>Hidden!HL19</f>
        <v>0</v>
      </c>
      <c r="O128" s="213">
        <f>Hidden!$PG19</f>
        <v>0</v>
      </c>
    </row>
    <row r="129" spans="1:15" x14ac:dyDescent="0.2">
      <c r="A129" s="9" t="str">
        <f>Hidden!$FG20</f>
        <v/>
      </c>
      <c r="B129" s="531" t="str">
        <f>IF($A129="","",IFERROR(HLOOKUP(Hidden!$FB$2,Substances,MATCH($A129,CAS,0),FALSE),""))</f>
        <v/>
      </c>
      <c r="C129" s="531"/>
      <c r="D129" s="531"/>
      <c r="E129" s="531"/>
      <c r="F129" s="531"/>
      <c r="G129" s="531"/>
      <c r="H129" s="531"/>
      <c r="I129" s="212">
        <f>Hidden!HG20</f>
        <v>0</v>
      </c>
      <c r="J129" s="212">
        <f>Hidden!HH20</f>
        <v>0</v>
      </c>
      <c r="K129" s="212">
        <f>Hidden!HI20</f>
        <v>0</v>
      </c>
      <c r="L129" s="212">
        <f>Hidden!HJ20</f>
        <v>0</v>
      </c>
      <c r="M129" s="212">
        <f>Hidden!HK20</f>
        <v>0</v>
      </c>
      <c r="N129" s="212">
        <f>Hidden!HL20</f>
        <v>0</v>
      </c>
      <c r="O129" s="213">
        <f>Hidden!$PG20</f>
        <v>0</v>
      </c>
    </row>
    <row r="130" spans="1:15" x14ac:dyDescent="0.2">
      <c r="A130" s="9" t="str">
        <f>Hidden!$FG21</f>
        <v/>
      </c>
      <c r="B130" s="531" t="str">
        <f>IF($A130="","",IFERROR(HLOOKUP(Hidden!$FB$2,Substances,MATCH($A130,CAS,0),FALSE),""))</f>
        <v/>
      </c>
      <c r="C130" s="531"/>
      <c r="D130" s="531"/>
      <c r="E130" s="531"/>
      <c r="F130" s="531"/>
      <c r="G130" s="531"/>
      <c r="H130" s="531"/>
      <c r="I130" s="212">
        <f>Hidden!HG21</f>
        <v>0</v>
      </c>
      <c r="J130" s="212">
        <f>Hidden!HH21</f>
        <v>0</v>
      </c>
      <c r="K130" s="212">
        <f>Hidden!HI21</f>
        <v>0</v>
      </c>
      <c r="L130" s="212">
        <f>Hidden!HJ21</f>
        <v>0</v>
      </c>
      <c r="M130" s="212">
        <f>Hidden!HK21</f>
        <v>0</v>
      </c>
      <c r="N130" s="212">
        <f>Hidden!HL21</f>
        <v>0</v>
      </c>
      <c r="O130" s="213">
        <f>Hidden!$PG21</f>
        <v>0</v>
      </c>
    </row>
    <row r="131" spans="1:15" x14ac:dyDescent="0.2">
      <c r="A131" s="9" t="str">
        <f>Hidden!$FG22</f>
        <v/>
      </c>
      <c r="B131" s="531" t="str">
        <f>IF($A131="","",IFERROR(HLOOKUP(Hidden!$FB$2,Substances,MATCH($A131,CAS,0),FALSE),""))</f>
        <v/>
      </c>
      <c r="C131" s="531"/>
      <c r="D131" s="531"/>
      <c r="E131" s="531"/>
      <c r="F131" s="531"/>
      <c r="G131" s="531"/>
      <c r="H131" s="531"/>
      <c r="I131" s="212">
        <f>Hidden!HG22</f>
        <v>0</v>
      </c>
      <c r="J131" s="212">
        <f>Hidden!HH22</f>
        <v>0</v>
      </c>
      <c r="K131" s="212">
        <f>Hidden!HI22</f>
        <v>0</v>
      </c>
      <c r="L131" s="212">
        <f>Hidden!HJ22</f>
        <v>0</v>
      </c>
      <c r="M131" s="212">
        <f>Hidden!HK22</f>
        <v>0</v>
      </c>
      <c r="N131" s="212">
        <f>Hidden!HL22</f>
        <v>0</v>
      </c>
      <c r="O131" s="213">
        <f>Hidden!$PG22</f>
        <v>0</v>
      </c>
    </row>
    <row r="132" spans="1:15" x14ac:dyDescent="0.2">
      <c r="A132" s="9" t="str">
        <f>Hidden!$FG23</f>
        <v/>
      </c>
      <c r="B132" s="531" t="str">
        <f>IF($A132="","",IFERROR(HLOOKUP(Hidden!$FB$2,Substances,MATCH($A132,CAS,0),FALSE),""))</f>
        <v/>
      </c>
      <c r="C132" s="531"/>
      <c r="D132" s="531"/>
      <c r="E132" s="531"/>
      <c r="F132" s="531"/>
      <c r="G132" s="531"/>
      <c r="H132" s="531"/>
      <c r="I132" s="212">
        <f>Hidden!HG23</f>
        <v>0</v>
      </c>
      <c r="J132" s="212">
        <f>Hidden!HH23</f>
        <v>0</v>
      </c>
      <c r="K132" s="212">
        <f>Hidden!HI23</f>
        <v>0</v>
      </c>
      <c r="L132" s="212">
        <f>Hidden!HJ23</f>
        <v>0</v>
      </c>
      <c r="M132" s="212">
        <f>Hidden!HK23</f>
        <v>0</v>
      </c>
      <c r="N132" s="212">
        <f>Hidden!HL23</f>
        <v>0</v>
      </c>
      <c r="O132" s="213">
        <f>Hidden!$PG23</f>
        <v>0</v>
      </c>
    </row>
    <row r="133" spans="1:15" x14ac:dyDescent="0.2">
      <c r="A133" s="9" t="str">
        <f>Hidden!$FG24</f>
        <v/>
      </c>
      <c r="B133" s="531" t="str">
        <f>IF($A133="","",IFERROR(HLOOKUP(Hidden!$FB$2,Substances,MATCH($A133,CAS,0),FALSE),""))</f>
        <v/>
      </c>
      <c r="C133" s="531"/>
      <c r="D133" s="531"/>
      <c r="E133" s="531"/>
      <c r="F133" s="531"/>
      <c r="G133" s="531"/>
      <c r="H133" s="531"/>
      <c r="I133" s="212">
        <f>Hidden!HG24</f>
        <v>0</v>
      </c>
      <c r="J133" s="212">
        <f>Hidden!HH24</f>
        <v>0</v>
      </c>
      <c r="K133" s="212">
        <f>Hidden!HI24</f>
        <v>0</v>
      </c>
      <c r="L133" s="212">
        <f>Hidden!HJ24</f>
        <v>0</v>
      </c>
      <c r="M133" s="212">
        <f>Hidden!HK24</f>
        <v>0</v>
      </c>
      <c r="N133" s="212">
        <f>Hidden!HL24</f>
        <v>0</v>
      </c>
      <c r="O133" s="213">
        <f>Hidden!$PG24</f>
        <v>0</v>
      </c>
    </row>
    <row r="134" spans="1:15" x14ac:dyDescent="0.2">
      <c r="A134" s="9" t="str">
        <f>Hidden!$FG25</f>
        <v/>
      </c>
      <c r="B134" s="531" t="str">
        <f>IF($A134="","",IFERROR(HLOOKUP(Hidden!$FB$2,Substances,MATCH($A134,CAS,0),FALSE),""))</f>
        <v/>
      </c>
      <c r="C134" s="531"/>
      <c r="D134" s="531"/>
      <c r="E134" s="531"/>
      <c r="F134" s="531"/>
      <c r="G134" s="531"/>
      <c r="H134" s="531"/>
      <c r="I134" s="212">
        <f>Hidden!HG25</f>
        <v>0</v>
      </c>
      <c r="J134" s="212">
        <f>Hidden!HH25</f>
        <v>0</v>
      </c>
      <c r="K134" s="212">
        <f>Hidden!HI25</f>
        <v>0</v>
      </c>
      <c r="L134" s="212">
        <f>Hidden!HJ25</f>
        <v>0</v>
      </c>
      <c r="M134" s="212">
        <f>Hidden!HK25</f>
        <v>0</v>
      </c>
      <c r="N134" s="212">
        <f>Hidden!HL25</f>
        <v>0</v>
      </c>
      <c r="O134" s="213">
        <f>Hidden!$PG25</f>
        <v>0</v>
      </c>
    </row>
    <row r="135" spans="1:15" x14ac:dyDescent="0.2">
      <c r="A135" s="9" t="str">
        <f>Hidden!$FG26</f>
        <v/>
      </c>
      <c r="B135" s="531" t="str">
        <f>IF($A135="","",IFERROR(HLOOKUP(Hidden!$FB$2,Substances,MATCH($A135,CAS,0),FALSE),""))</f>
        <v/>
      </c>
      <c r="C135" s="531"/>
      <c r="D135" s="531"/>
      <c r="E135" s="531"/>
      <c r="F135" s="531"/>
      <c r="G135" s="531"/>
      <c r="H135" s="531"/>
      <c r="I135" s="212">
        <f>Hidden!HG26</f>
        <v>0</v>
      </c>
      <c r="J135" s="212">
        <f>Hidden!HH26</f>
        <v>0</v>
      </c>
      <c r="K135" s="212">
        <f>Hidden!HI26</f>
        <v>0</v>
      </c>
      <c r="L135" s="212">
        <f>Hidden!HJ26</f>
        <v>0</v>
      </c>
      <c r="M135" s="212">
        <f>Hidden!HK26</f>
        <v>0</v>
      </c>
      <c r="N135" s="212">
        <f>Hidden!HL26</f>
        <v>0</v>
      </c>
      <c r="O135" s="213">
        <f>Hidden!$PG26</f>
        <v>0</v>
      </c>
    </row>
    <row r="136" spans="1:15" x14ac:dyDescent="0.2">
      <c r="A136" s="9" t="str">
        <f>Hidden!$FG27</f>
        <v/>
      </c>
      <c r="B136" s="531" t="str">
        <f>IF($A136="","",IFERROR(HLOOKUP(Hidden!$FB$2,Substances,MATCH($A136,CAS,0),FALSE),""))</f>
        <v/>
      </c>
      <c r="C136" s="531"/>
      <c r="D136" s="531"/>
      <c r="E136" s="531"/>
      <c r="F136" s="531"/>
      <c r="G136" s="531"/>
      <c r="H136" s="531"/>
      <c r="I136" s="212">
        <f>Hidden!HG27</f>
        <v>0</v>
      </c>
      <c r="J136" s="212">
        <f>Hidden!HH27</f>
        <v>0</v>
      </c>
      <c r="K136" s="212">
        <f>Hidden!HI27</f>
        <v>0</v>
      </c>
      <c r="L136" s="212">
        <f>Hidden!HJ27</f>
        <v>0</v>
      </c>
      <c r="M136" s="212">
        <f>Hidden!HK27</f>
        <v>0</v>
      </c>
      <c r="N136" s="212">
        <f>Hidden!HL27</f>
        <v>0</v>
      </c>
      <c r="O136" s="213">
        <f>Hidden!$PG27</f>
        <v>0</v>
      </c>
    </row>
    <row r="137" spans="1:15" x14ac:dyDescent="0.2">
      <c r="A137" s="9" t="str">
        <f>Hidden!$FG28</f>
        <v/>
      </c>
      <c r="B137" s="531" t="str">
        <f>IF($A137="","",IFERROR(HLOOKUP(Hidden!$FB$2,Substances,MATCH($A137,CAS,0),FALSE),""))</f>
        <v/>
      </c>
      <c r="C137" s="531"/>
      <c r="D137" s="531"/>
      <c r="E137" s="531"/>
      <c r="F137" s="531"/>
      <c r="G137" s="531"/>
      <c r="H137" s="531"/>
      <c r="I137" s="212">
        <f>Hidden!HG28</f>
        <v>0</v>
      </c>
      <c r="J137" s="212">
        <f>Hidden!HH28</f>
        <v>0</v>
      </c>
      <c r="K137" s="212">
        <f>Hidden!HI28</f>
        <v>0</v>
      </c>
      <c r="L137" s="212">
        <f>Hidden!HJ28</f>
        <v>0</v>
      </c>
      <c r="M137" s="212">
        <f>Hidden!HK28</f>
        <v>0</v>
      </c>
      <c r="N137" s="212">
        <f>Hidden!HL28</f>
        <v>0</v>
      </c>
      <c r="O137" s="213">
        <f>Hidden!$PG28</f>
        <v>0</v>
      </c>
    </row>
    <row r="138" spans="1:15" x14ac:dyDescent="0.2">
      <c r="A138" s="9" t="str">
        <f>Hidden!$FG29</f>
        <v/>
      </c>
      <c r="B138" s="531" t="str">
        <f>IF($A138="","",IFERROR(HLOOKUP(Hidden!$FB$2,Substances,MATCH($A138,CAS,0),FALSE),""))</f>
        <v/>
      </c>
      <c r="C138" s="531"/>
      <c r="D138" s="531"/>
      <c r="E138" s="531"/>
      <c r="F138" s="531"/>
      <c r="G138" s="531"/>
      <c r="H138" s="531"/>
      <c r="I138" s="212">
        <f>Hidden!HG29</f>
        <v>0</v>
      </c>
      <c r="J138" s="212">
        <f>Hidden!HH29</f>
        <v>0</v>
      </c>
      <c r="K138" s="212">
        <f>Hidden!HI29</f>
        <v>0</v>
      </c>
      <c r="L138" s="212">
        <f>Hidden!HJ29</f>
        <v>0</v>
      </c>
      <c r="M138" s="212">
        <f>Hidden!HK29</f>
        <v>0</v>
      </c>
      <c r="N138" s="212">
        <f>Hidden!HL29</f>
        <v>0</v>
      </c>
      <c r="O138" s="213">
        <f>Hidden!$PG29</f>
        <v>0</v>
      </c>
    </row>
    <row r="139" spans="1:15" x14ac:dyDescent="0.2">
      <c r="A139" s="9" t="str">
        <f>Hidden!$FG30</f>
        <v/>
      </c>
      <c r="B139" s="531" t="str">
        <f>IF($A139="","",IFERROR(HLOOKUP(Hidden!$FB$2,Substances,MATCH($A139,CAS,0),FALSE),""))</f>
        <v/>
      </c>
      <c r="C139" s="531"/>
      <c r="D139" s="531"/>
      <c r="E139" s="531"/>
      <c r="F139" s="531"/>
      <c r="G139" s="531"/>
      <c r="H139" s="531"/>
      <c r="I139" s="212">
        <f>Hidden!HG30</f>
        <v>0</v>
      </c>
      <c r="J139" s="212">
        <f>Hidden!HH30</f>
        <v>0</v>
      </c>
      <c r="K139" s="212">
        <f>Hidden!HI30</f>
        <v>0</v>
      </c>
      <c r="L139" s="212">
        <f>Hidden!HJ30</f>
        <v>0</v>
      </c>
      <c r="M139" s="212">
        <f>Hidden!HK30</f>
        <v>0</v>
      </c>
      <c r="N139" s="212">
        <f>Hidden!HL30</f>
        <v>0</v>
      </c>
      <c r="O139" s="213">
        <f>Hidden!$PG30</f>
        <v>0</v>
      </c>
    </row>
    <row r="140" spans="1:15" x14ac:dyDescent="0.2">
      <c r="A140" s="9" t="str">
        <f>Hidden!$FG31</f>
        <v/>
      </c>
      <c r="B140" s="531" t="str">
        <f>IF($A140="","",IFERROR(HLOOKUP(Hidden!$FB$2,Substances,MATCH($A140,CAS,0),FALSE),""))</f>
        <v/>
      </c>
      <c r="C140" s="531"/>
      <c r="D140" s="531"/>
      <c r="E140" s="531"/>
      <c r="F140" s="531"/>
      <c r="G140" s="531"/>
      <c r="H140" s="531"/>
      <c r="I140" s="212">
        <f>Hidden!HG31</f>
        <v>0</v>
      </c>
      <c r="J140" s="212">
        <f>Hidden!HH31</f>
        <v>0</v>
      </c>
      <c r="K140" s="212">
        <f>Hidden!HI31</f>
        <v>0</v>
      </c>
      <c r="L140" s="212">
        <f>Hidden!HJ31</f>
        <v>0</v>
      </c>
      <c r="M140" s="212">
        <f>Hidden!HK31</f>
        <v>0</v>
      </c>
      <c r="N140" s="212">
        <f>Hidden!HL31</f>
        <v>0</v>
      </c>
      <c r="O140" s="213">
        <f>Hidden!$PG31</f>
        <v>0</v>
      </c>
    </row>
    <row r="141" spans="1:15" x14ac:dyDescent="0.2">
      <c r="A141" s="9" t="str">
        <f>Hidden!$FG32</f>
        <v/>
      </c>
      <c r="B141" s="531" t="str">
        <f>IF($A141="","",IFERROR(HLOOKUP(Hidden!$FB$2,Substances,MATCH($A141,CAS,0),FALSE),""))</f>
        <v/>
      </c>
      <c r="C141" s="531"/>
      <c r="D141" s="531"/>
      <c r="E141" s="531"/>
      <c r="F141" s="531"/>
      <c r="G141" s="531"/>
      <c r="H141" s="531"/>
      <c r="I141" s="212">
        <f>Hidden!HG32</f>
        <v>0</v>
      </c>
      <c r="J141" s="212">
        <f>Hidden!HH32</f>
        <v>0</v>
      </c>
      <c r="K141" s="212">
        <f>Hidden!HI32</f>
        <v>0</v>
      </c>
      <c r="L141" s="212">
        <f>Hidden!HJ32</f>
        <v>0</v>
      </c>
      <c r="M141" s="212">
        <f>Hidden!HK32</f>
        <v>0</v>
      </c>
      <c r="N141" s="212">
        <f>Hidden!HL32</f>
        <v>0</v>
      </c>
      <c r="O141" s="213">
        <f>Hidden!$PG32</f>
        <v>0</v>
      </c>
    </row>
    <row r="142" spans="1:15" x14ac:dyDescent="0.2">
      <c r="A142" s="9" t="str">
        <f>Hidden!$FG33</f>
        <v/>
      </c>
      <c r="B142" s="531" t="str">
        <f>IF($A142="","",IFERROR(HLOOKUP(Hidden!$FB$2,Substances,MATCH($A142,CAS,0),FALSE),""))</f>
        <v/>
      </c>
      <c r="C142" s="531"/>
      <c r="D142" s="531"/>
      <c r="E142" s="531"/>
      <c r="F142" s="531"/>
      <c r="G142" s="531"/>
      <c r="H142" s="531"/>
      <c r="I142" s="212">
        <f>Hidden!HG33</f>
        <v>0</v>
      </c>
      <c r="J142" s="212">
        <f>Hidden!HH33</f>
        <v>0</v>
      </c>
      <c r="K142" s="212">
        <f>Hidden!HI33</f>
        <v>0</v>
      </c>
      <c r="L142" s="212">
        <f>Hidden!HJ33</f>
        <v>0</v>
      </c>
      <c r="M142" s="212">
        <f>Hidden!HK33</f>
        <v>0</v>
      </c>
      <c r="N142" s="212">
        <f>Hidden!HL33</f>
        <v>0</v>
      </c>
      <c r="O142" s="213">
        <f>Hidden!$PG33</f>
        <v>0</v>
      </c>
    </row>
    <row r="143" spans="1:15" x14ac:dyDescent="0.2">
      <c r="A143" s="9" t="str">
        <f>Hidden!$FG34</f>
        <v/>
      </c>
      <c r="B143" s="531" t="str">
        <f>IF($A143="","",IFERROR(HLOOKUP(Hidden!$FB$2,Substances,MATCH($A143,CAS,0),FALSE),""))</f>
        <v/>
      </c>
      <c r="C143" s="531"/>
      <c r="D143" s="531"/>
      <c r="E143" s="531"/>
      <c r="F143" s="531"/>
      <c r="G143" s="531"/>
      <c r="H143" s="531"/>
      <c r="I143" s="212">
        <f>Hidden!HG34</f>
        <v>0</v>
      </c>
      <c r="J143" s="212">
        <f>Hidden!HH34</f>
        <v>0</v>
      </c>
      <c r="K143" s="212">
        <f>Hidden!HI34</f>
        <v>0</v>
      </c>
      <c r="L143" s="212">
        <f>Hidden!HJ34</f>
        <v>0</v>
      </c>
      <c r="M143" s="212">
        <f>Hidden!HK34</f>
        <v>0</v>
      </c>
      <c r="N143" s="212">
        <f>Hidden!HL34</f>
        <v>0</v>
      </c>
      <c r="O143" s="213">
        <f>Hidden!$PG34</f>
        <v>0</v>
      </c>
    </row>
    <row r="144" spans="1:15" x14ac:dyDescent="0.2">
      <c r="A144" s="9" t="str">
        <f>Hidden!$FG35</f>
        <v/>
      </c>
      <c r="B144" s="531" t="str">
        <f>IF($A144="","",IFERROR(HLOOKUP(Hidden!$FB$2,Substances,MATCH($A144,CAS,0),FALSE),""))</f>
        <v/>
      </c>
      <c r="C144" s="531"/>
      <c r="D144" s="531"/>
      <c r="E144" s="531"/>
      <c r="F144" s="531"/>
      <c r="G144" s="531"/>
      <c r="H144" s="531"/>
      <c r="I144" s="212">
        <f>Hidden!HG35</f>
        <v>0</v>
      </c>
      <c r="J144" s="212">
        <f>Hidden!HH35</f>
        <v>0</v>
      </c>
      <c r="K144" s="212">
        <f>Hidden!HI35</f>
        <v>0</v>
      </c>
      <c r="L144" s="212">
        <f>Hidden!HJ35</f>
        <v>0</v>
      </c>
      <c r="M144" s="212">
        <f>Hidden!HK35</f>
        <v>0</v>
      </c>
      <c r="N144" s="212">
        <f>Hidden!HL35</f>
        <v>0</v>
      </c>
      <c r="O144" s="213">
        <f>Hidden!$PG35</f>
        <v>0</v>
      </c>
    </row>
    <row r="145" spans="1:15" x14ac:dyDescent="0.2">
      <c r="A145" s="9" t="str">
        <f>Hidden!$FG36</f>
        <v/>
      </c>
      <c r="B145" s="531" t="str">
        <f>IF($A145="","",IFERROR(HLOOKUP(Hidden!$FB$2,Substances,MATCH($A145,CAS,0),FALSE),""))</f>
        <v/>
      </c>
      <c r="C145" s="531"/>
      <c r="D145" s="531"/>
      <c r="E145" s="531"/>
      <c r="F145" s="531"/>
      <c r="G145" s="531"/>
      <c r="H145" s="531"/>
      <c r="I145" s="212">
        <f>Hidden!HG36</f>
        <v>0</v>
      </c>
      <c r="J145" s="212">
        <f>Hidden!HH36</f>
        <v>0</v>
      </c>
      <c r="K145" s="212">
        <f>Hidden!HI36</f>
        <v>0</v>
      </c>
      <c r="L145" s="212">
        <f>Hidden!HJ36</f>
        <v>0</v>
      </c>
      <c r="M145" s="212">
        <f>Hidden!HK36</f>
        <v>0</v>
      </c>
      <c r="N145" s="212">
        <f>Hidden!HL36</f>
        <v>0</v>
      </c>
      <c r="O145" s="213">
        <f>Hidden!$PG36</f>
        <v>0</v>
      </c>
    </row>
    <row r="146" spans="1:15" x14ac:dyDescent="0.2">
      <c r="A146" s="9" t="str">
        <f>Hidden!$FG37</f>
        <v/>
      </c>
      <c r="B146" s="531" t="str">
        <f>IF($A146="","",IFERROR(HLOOKUP(Hidden!$FB$2,Substances,MATCH($A146,CAS,0),FALSE),""))</f>
        <v/>
      </c>
      <c r="C146" s="531"/>
      <c r="D146" s="531"/>
      <c r="E146" s="531"/>
      <c r="F146" s="531"/>
      <c r="G146" s="531"/>
      <c r="H146" s="531"/>
      <c r="I146" s="212">
        <f>Hidden!HG37</f>
        <v>0</v>
      </c>
      <c r="J146" s="212">
        <f>Hidden!HH37</f>
        <v>0</v>
      </c>
      <c r="K146" s="212">
        <f>Hidden!HI37</f>
        <v>0</v>
      </c>
      <c r="L146" s="212">
        <f>Hidden!HJ37</f>
        <v>0</v>
      </c>
      <c r="M146" s="212">
        <f>Hidden!HK37</f>
        <v>0</v>
      </c>
      <c r="N146" s="212">
        <f>Hidden!HL37</f>
        <v>0</v>
      </c>
      <c r="O146" s="213">
        <f>Hidden!$PG37</f>
        <v>0</v>
      </c>
    </row>
    <row r="147" spans="1:15" x14ac:dyDescent="0.2">
      <c r="A147" s="9" t="str">
        <f>Hidden!$FG38</f>
        <v/>
      </c>
      <c r="B147" s="531" t="str">
        <f>IF($A147="","",IFERROR(HLOOKUP(Hidden!$FB$2,Substances,MATCH($A147,CAS,0),FALSE),""))</f>
        <v/>
      </c>
      <c r="C147" s="531"/>
      <c r="D147" s="531"/>
      <c r="E147" s="531"/>
      <c r="F147" s="531"/>
      <c r="G147" s="531"/>
      <c r="H147" s="531"/>
      <c r="I147" s="212">
        <f>Hidden!HG38</f>
        <v>0</v>
      </c>
      <c r="J147" s="212">
        <f>Hidden!HH38</f>
        <v>0</v>
      </c>
      <c r="K147" s="212">
        <f>Hidden!HI38</f>
        <v>0</v>
      </c>
      <c r="L147" s="212">
        <f>Hidden!HJ38</f>
        <v>0</v>
      </c>
      <c r="M147" s="212">
        <f>Hidden!HK38</f>
        <v>0</v>
      </c>
      <c r="N147" s="212">
        <f>Hidden!HL38</f>
        <v>0</v>
      </c>
      <c r="O147" s="213">
        <f>Hidden!$PG38</f>
        <v>0</v>
      </c>
    </row>
    <row r="148" spans="1:15" x14ac:dyDescent="0.2">
      <c r="A148" s="9" t="str">
        <f>Hidden!$FG39</f>
        <v/>
      </c>
      <c r="B148" s="531" t="str">
        <f>IF($A148="","",IFERROR(HLOOKUP(Hidden!$FB$2,Substances,MATCH($A148,CAS,0),FALSE),""))</f>
        <v/>
      </c>
      <c r="C148" s="531"/>
      <c r="D148" s="531"/>
      <c r="E148" s="531"/>
      <c r="F148" s="531"/>
      <c r="G148" s="531"/>
      <c r="H148" s="531"/>
      <c r="I148" s="212">
        <f>Hidden!HG39</f>
        <v>0</v>
      </c>
      <c r="J148" s="212">
        <f>Hidden!HH39</f>
        <v>0</v>
      </c>
      <c r="K148" s="212">
        <f>Hidden!HI39</f>
        <v>0</v>
      </c>
      <c r="L148" s="212">
        <f>Hidden!HJ39</f>
        <v>0</v>
      </c>
      <c r="M148" s="212">
        <f>Hidden!HK39</f>
        <v>0</v>
      </c>
      <c r="N148" s="212">
        <f>Hidden!HL39</f>
        <v>0</v>
      </c>
      <c r="O148" s="213">
        <f>Hidden!$PG39</f>
        <v>0</v>
      </c>
    </row>
    <row r="149" spans="1:15" x14ac:dyDescent="0.2">
      <c r="A149" s="9" t="str">
        <f>Hidden!$FG40</f>
        <v/>
      </c>
      <c r="B149" s="531" t="str">
        <f>IF($A149="","",IFERROR(HLOOKUP(Hidden!$FB$2,Substances,MATCH($A149,CAS,0),FALSE),""))</f>
        <v/>
      </c>
      <c r="C149" s="531"/>
      <c r="D149" s="531"/>
      <c r="E149" s="531"/>
      <c r="F149" s="531"/>
      <c r="G149" s="531"/>
      <c r="H149" s="531"/>
      <c r="I149" s="212">
        <f>Hidden!HG40</f>
        <v>0</v>
      </c>
      <c r="J149" s="212">
        <f>Hidden!HH40</f>
        <v>0</v>
      </c>
      <c r="K149" s="212">
        <f>Hidden!HI40</f>
        <v>0</v>
      </c>
      <c r="L149" s="212">
        <f>Hidden!HJ40</f>
        <v>0</v>
      </c>
      <c r="M149" s="212">
        <f>Hidden!HK40</f>
        <v>0</v>
      </c>
      <c r="N149" s="212">
        <f>Hidden!HL40</f>
        <v>0</v>
      </c>
      <c r="O149" s="213">
        <f>Hidden!$PG40</f>
        <v>0</v>
      </c>
    </row>
    <row r="150" spans="1:15" x14ac:dyDescent="0.2">
      <c r="A150" s="9" t="str">
        <f>Hidden!$FG41</f>
        <v/>
      </c>
      <c r="B150" s="531" t="str">
        <f>IF($A150="","",IFERROR(HLOOKUP(Hidden!$FB$2,Substances,MATCH($A150,CAS,0),FALSE),""))</f>
        <v/>
      </c>
      <c r="C150" s="531"/>
      <c r="D150" s="531"/>
      <c r="E150" s="531"/>
      <c r="F150" s="531"/>
      <c r="G150" s="531"/>
      <c r="H150" s="531"/>
      <c r="I150" s="212">
        <f>Hidden!HG41</f>
        <v>0</v>
      </c>
      <c r="J150" s="212">
        <f>Hidden!HH41</f>
        <v>0</v>
      </c>
      <c r="K150" s="212">
        <f>Hidden!HI41</f>
        <v>0</v>
      </c>
      <c r="L150" s="212">
        <f>Hidden!HJ41</f>
        <v>0</v>
      </c>
      <c r="M150" s="212">
        <f>Hidden!HK41</f>
        <v>0</v>
      </c>
      <c r="N150" s="212">
        <f>Hidden!HL41</f>
        <v>0</v>
      </c>
      <c r="O150" s="213">
        <f>Hidden!$PG41</f>
        <v>0</v>
      </c>
    </row>
    <row r="151" spans="1:15" x14ac:dyDescent="0.2">
      <c r="A151" s="9" t="str">
        <f>Hidden!$FG42</f>
        <v/>
      </c>
      <c r="B151" s="531" t="str">
        <f>IF($A151="","",IFERROR(HLOOKUP(Hidden!$FB$2,Substances,MATCH($A151,CAS,0),FALSE),""))</f>
        <v/>
      </c>
      <c r="C151" s="531"/>
      <c r="D151" s="531"/>
      <c r="E151" s="531"/>
      <c r="F151" s="531"/>
      <c r="G151" s="531"/>
      <c r="H151" s="531"/>
      <c r="I151" s="212">
        <f>Hidden!HG42</f>
        <v>0</v>
      </c>
      <c r="J151" s="212">
        <f>Hidden!HH42</f>
        <v>0</v>
      </c>
      <c r="K151" s="212">
        <f>Hidden!HI42</f>
        <v>0</v>
      </c>
      <c r="L151" s="212">
        <f>Hidden!HJ42</f>
        <v>0</v>
      </c>
      <c r="M151" s="212">
        <f>Hidden!HK42</f>
        <v>0</v>
      </c>
      <c r="N151" s="212">
        <f>Hidden!HL42</f>
        <v>0</v>
      </c>
      <c r="O151" s="213">
        <f>Hidden!$PG42</f>
        <v>0</v>
      </c>
    </row>
    <row r="152" spans="1:15" x14ac:dyDescent="0.2">
      <c r="A152" s="9" t="str">
        <f>Hidden!$FG43</f>
        <v/>
      </c>
      <c r="B152" s="531" t="str">
        <f>IF($A152="","",IFERROR(HLOOKUP(Hidden!$FB$2,Substances,MATCH($A152,CAS,0),FALSE),""))</f>
        <v/>
      </c>
      <c r="C152" s="531"/>
      <c r="D152" s="531"/>
      <c r="E152" s="531"/>
      <c r="F152" s="531"/>
      <c r="G152" s="531"/>
      <c r="H152" s="531"/>
      <c r="I152" s="212">
        <f>Hidden!HG43</f>
        <v>0</v>
      </c>
      <c r="J152" s="212">
        <f>Hidden!HH43</f>
        <v>0</v>
      </c>
      <c r="K152" s="212">
        <f>Hidden!HI43</f>
        <v>0</v>
      </c>
      <c r="L152" s="212">
        <f>Hidden!HJ43</f>
        <v>0</v>
      </c>
      <c r="M152" s="212">
        <f>Hidden!HK43</f>
        <v>0</v>
      </c>
      <c r="N152" s="212">
        <f>Hidden!HL43</f>
        <v>0</v>
      </c>
      <c r="O152" s="213">
        <f>Hidden!$PG43</f>
        <v>0</v>
      </c>
    </row>
    <row r="153" spans="1:15" x14ac:dyDescent="0.2">
      <c r="A153" s="9" t="str">
        <f>Hidden!$FG44</f>
        <v/>
      </c>
      <c r="B153" s="531" t="str">
        <f>IF($A153="","",IFERROR(HLOOKUP(Hidden!$FB$2,Substances,MATCH($A153,CAS,0),FALSE),""))</f>
        <v/>
      </c>
      <c r="C153" s="531"/>
      <c r="D153" s="531"/>
      <c r="E153" s="531"/>
      <c r="F153" s="531"/>
      <c r="G153" s="531"/>
      <c r="H153" s="531"/>
      <c r="I153" s="212">
        <f>Hidden!HG44</f>
        <v>0</v>
      </c>
      <c r="J153" s="212">
        <f>Hidden!HH44</f>
        <v>0</v>
      </c>
      <c r="K153" s="212">
        <f>Hidden!HI44</f>
        <v>0</v>
      </c>
      <c r="L153" s="212">
        <f>Hidden!HJ44</f>
        <v>0</v>
      </c>
      <c r="M153" s="212">
        <f>Hidden!HK44</f>
        <v>0</v>
      </c>
      <c r="N153" s="212">
        <f>Hidden!HL44</f>
        <v>0</v>
      </c>
      <c r="O153" s="213">
        <f>Hidden!$PG44</f>
        <v>0</v>
      </c>
    </row>
    <row r="154" spans="1:15" x14ac:dyDescent="0.2">
      <c r="A154" s="9" t="str">
        <f>Hidden!$FG45</f>
        <v/>
      </c>
      <c r="B154" s="531" t="str">
        <f>IF($A154="","",IFERROR(HLOOKUP(Hidden!$FB$2,Substances,MATCH($A154,CAS,0),FALSE),""))</f>
        <v/>
      </c>
      <c r="C154" s="531"/>
      <c r="D154" s="531"/>
      <c r="E154" s="531"/>
      <c r="F154" s="531"/>
      <c r="G154" s="531"/>
      <c r="H154" s="531"/>
      <c r="I154" s="212">
        <f>Hidden!HG45</f>
        <v>0</v>
      </c>
      <c r="J154" s="212">
        <f>Hidden!HH45</f>
        <v>0</v>
      </c>
      <c r="K154" s="212">
        <f>Hidden!HI45</f>
        <v>0</v>
      </c>
      <c r="L154" s="212">
        <f>Hidden!HJ45</f>
        <v>0</v>
      </c>
      <c r="M154" s="212">
        <f>Hidden!HK45</f>
        <v>0</v>
      </c>
      <c r="N154" s="212">
        <f>Hidden!HL45</f>
        <v>0</v>
      </c>
      <c r="O154" s="213">
        <f>Hidden!$PG45</f>
        <v>0</v>
      </c>
    </row>
    <row r="155" spans="1:15" x14ac:dyDescent="0.2">
      <c r="A155" s="9" t="str">
        <f>Hidden!$FG46</f>
        <v/>
      </c>
      <c r="B155" s="531" t="str">
        <f>IF($A155="","",IFERROR(HLOOKUP(Hidden!$FB$2,Substances,MATCH($A155,CAS,0),FALSE),""))</f>
        <v/>
      </c>
      <c r="C155" s="531"/>
      <c r="D155" s="531"/>
      <c r="E155" s="531"/>
      <c r="F155" s="531"/>
      <c r="G155" s="531"/>
      <c r="H155" s="531"/>
      <c r="I155" s="212">
        <f>Hidden!HG46</f>
        <v>0</v>
      </c>
      <c r="J155" s="212">
        <f>Hidden!HH46</f>
        <v>0</v>
      </c>
      <c r="K155" s="212">
        <f>Hidden!HI46</f>
        <v>0</v>
      </c>
      <c r="L155" s="212">
        <f>Hidden!HJ46</f>
        <v>0</v>
      </c>
      <c r="M155" s="212">
        <f>Hidden!HK46</f>
        <v>0</v>
      </c>
      <c r="N155" s="212">
        <f>Hidden!HL46</f>
        <v>0</v>
      </c>
      <c r="O155" s="213">
        <f>Hidden!$PG46</f>
        <v>0</v>
      </c>
    </row>
    <row r="156" spans="1:15" x14ac:dyDescent="0.2">
      <c r="A156" s="9" t="str">
        <f>Hidden!$FG47</f>
        <v/>
      </c>
      <c r="B156" s="531" t="str">
        <f>IF($A156="","",IFERROR(HLOOKUP(Hidden!$FB$2,Substances,MATCH($A156,CAS,0),FALSE),""))</f>
        <v/>
      </c>
      <c r="C156" s="531"/>
      <c r="D156" s="531"/>
      <c r="E156" s="531"/>
      <c r="F156" s="531"/>
      <c r="G156" s="531"/>
      <c r="H156" s="531"/>
      <c r="I156" s="212">
        <f>Hidden!HG47</f>
        <v>0</v>
      </c>
      <c r="J156" s="212">
        <f>Hidden!HH47</f>
        <v>0</v>
      </c>
      <c r="K156" s="212">
        <f>Hidden!HI47</f>
        <v>0</v>
      </c>
      <c r="L156" s="212">
        <f>Hidden!HJ47</f>
        <v>0</v>
      </c>
      <c r="M156" s="212">
        <f>Hidden!HK47</f>
        <v>0</v>
      </c>
      <c r="N156" s="212">
        <f>Hidden!HL47</f>
        <v>0</v>
      </c>
      <c r="O156" s="213">
        <f>Hidden!$PG47</f>
        <v>0</v>
      </c>
    </row>
    <row r="157" spans="1:15" x14ac:dyDescent="0.2">
      <c r="A157" s="9" t="str">
        <f>Hidden!$FG48</f>
        <v/>
      </c>
      <c r="B157" s="531" t="str">
        <f>IF($A157="","",IFERROR(HLOOKUP(Hidden!$FB$2,Substances,MATCH($A157,CAS,0),FALSE),""))</f>
        <v/>
      </c>
      <c r="C157" s="531"/>
      <c r="D157" s="531"/>
      <c r="E157" s="531"/>
      <c r="F157" s="531"/>
      <c r="G157" s="531"/>
      <c r="H157" s="531"/>
      <c r="I157" s="212">
        <f>Hidden!HG48</f>
        <v>0</v>
      </c>
      <c r="J157" s="212">
        <f>Hidden!HH48</f>
        <v>0</v>
      </c>
      <c r="K157" s="212">
        <f>Hidden!HI48</f>
        <v>0</v>
      </c>
      <c r="L157" s="212">
        <f>Hidden!HJ48</f>
        <v>0</v>
      </c>
      <c r="M157" s="212">
        <f>Hidden!HK48</f>
        <v>0</v>
      </c>
      <c r="N157" s="212">
        <f>Hidden!HL48</f>
        <v>0</v>
      </c>
      <c r="O157" s="213">
        <f>Hidden!$PG48</f>
        <v>0</v>
      </c>
    </row>
    <row r="158" spans="1:15" x14ac:dyDescent="0.2">
      <c r="A158" s="9" t="str">
        <f>Hidden!$FG49</f>
        <v/>
      </c>
      <c r="B158" s="531" t="str">
        <f>IF($A158="","",IFERROR(HLOOKUP(Hidden!$FB$2,Substances,MATCH($A158,CAS,0),FALSE),""))</f>
        <v/>
      </c>
      <c r="C158" s="531"/>
      <c r="D158" s="531"/>
      <c r="E158" s="531"/>
      <c r="F158" s="531"/>
      <c r="G158" s="531"/>
      <c r="H158" s="531"/>
      <c r="I158" s="212">
        <f>Hidden!HG49</f>
        <v>0</v>
      </c>
      <c r="J158" s="212">
        <f>Hidden!HH49</f>
        <v>0</v>
      </c>
      <c r="K158" s="212">
        <f>Hidden!HI49</f>
        <v>0</v>
      </c>
      <c r="L158" s="212">
        <f>Hidden!HJ49</f>
        <v>0</v>
      </c>
      <c r="M158" s="212">
        <f>Hidden!HK49</f>
        <v>0</v>
      </c>
      <c r="N158" s="212">
        <f>Hidden!HL49</f>
        <v>0</v>
      </c>
      <c r="O158" s="213">
        <f>Hidden!$PG49</f>
        <v>0</v>
      </c>
    </row>
    <row r="159" spans="1:15" x14ac:dyDescent="0.2">
      <c r="A159" s="9" t="str">
        <f>Hidden!$FG50</f>
        <v/>
      </c>
      <c r="B159" s="531" t="str">
        <f>IF($A159="","",IFERROR(HLOOKUP(Hidden!$FB$2,Substances,MATCH($A159,CAS,0),FALSE),""))</f>
        <v/>
      </c>
      <c r="C159" s="531"/>
      <c r="D159" s="531"/>
      <c r="E159" s="531"/>
      <c r="F159" s="531"/>
      <c r="G159" s="531"/>
      <c r="H159" s="531"/>
      <c r="I159" s="212">
        <f>Hidden!HG50</f>
        <v>0</v>
      </c>
      <c r="J159" s="212">
        <f>Hidden!HH50</f>
        <v>0</v>
      </c>
      <c r="K159" s="212">
        <f>Hidden!HI50</f>
        <v>0</v>
      </c>
      <c r="L159" s="212">
        <f>Hidden!HJ50</f>
        <v>0</v>
      </c>
      <c r="M159" s="212">
        <f>Hidden!HK50</f>
        <v>0</v>
      </c>
      <c r="N159" s="212">
        <f>Hidden!HL50</f>
        <v>0</v>
      </c>
      <c r="O159" s="213">
        <f>Hidden!$PG50</f>
        <v>0</v>
      </c>
    </row>
    <row r="160" spans="1:15" x14ac:dyDescent="0.2">
      <c r="A160" s="9" t="str">
        <f>Hidden!$FG51</f>
        <v/>
      </c>
      <c r="B160" s="531" t="str">
        <f>IF($A160="","",IFERROR(HLOOKUP(Hidden!$FB$2,Substances,MATCH($A160,CAS,0),FALSE),""))</f>
        <v/>
      </c>
      <c r="C160" s="531"/>
      <c r="D160" s="531"/>
      <c r="E160" s="531"/>
      <c r="F160" s="531"/>
      <c r="G160" s="531"/>
      <c r="H160" s="531"/>
      <c r="I160" s="212">
        <f>Hidden!HG51</f>
        <v>0</v>
      </c>
      <c r="J160" s="212">
        <f>Hidden!HH51</f>
        <v>0</v>
      </c>
      <c r="K160" s="212">
        <f>Hidden!HI51</f>
        <v>0</v>
      </c>
      <c r="L160" s="212">
        <f>Hidden!HJ51</f>
        <v>0</v>
      </c>
      <c r="M160" s="212">
        <f>Hidden!HK51</f>
        <v>0</v>
      </c>
      <c r="N160" s="212">
        <f>Hidden!HL51</f>
        <v>0</v>
      </c>
      <c r="O160" s="213">
        <f>Hidden!$PG51</f>
        <v>0</v>
      </c>
    </row>
    <row r="161" spans="1:15" x14ac:dyDescent="0.2">
      <c r="A161" s="9" t="str">
        <f>Hidden!$FG52</f>
        <v/>
      </c>
      <c r="B161" s="531" t="str">
        <f>IF($A161="","",IFERROR(HLOOKUP(Hidden!$FB$2,Substances,MATCH($A161,CAS,0),FALSE),""))</f>
        <v/>
      </c>
      <c r="C161" s="531"/>
      <c r="D161" s="531"/>
      <c r="E161" s="531"/>
      <c r="F161" s="531"/>
      <c r="G161" s="531"/>
      <c r="H161" s="531"/>
      <c r="I161" s="212">
        <f>Hidden!HG52</f>
        <v>0</v>
      </c>
      <c r="J161" s="212">
        <f>Hidden!HH52</f>
        <v>0</v>
      </c>
      <c r="K161" s="212">
        <f>Hidden!HI52</f>
        <v>0</v>
      </c>
      <c r="L161" s="212">
        <f>Hidden!HJ52</f>
        <v>0</v>
      </c>
      <c r="M161" s="212">
        <f>Hidden!HK52</f>
        <v>0</v>
      </c>
      <c r="N161" s="212">
        <f>Hidden!HL52</f>
        <v>0</v>
      </c>
      <c r="O161" s="213">
        <f>Hidden!$PG52</f>
        <v>0</v>
      </c>
    </row>
    <row r="162" spans="1:15" x14ac:dyDescent="0.2">
      <c r="A162" s="9" t="str">
        <f>Hidden!$FG53</f>
        <v/>
      </c>
      <c r="B162" s="531" t="str">
        <f>IF($A162="","",IFERROR(HLOOKUP(Hidden!$FB$2,Substances,MATCH($A162,CAS,0),FALSE),""))</f>
        <v/>
      </c>
      <c r="C162" s="531"/>
      <c r="D162" s="531"/>
      <c r="E162" s="531"/>
      <c r="F162" s="531"/>
      <c r="G162" s="531"/>
      <c r="H162" s="531"/>
      <c r="I162" s="212">
        <f>Hidden!HG53</f>
        <v>0</v>
      </c>
      <c r="J162" s="212">
        <f>Hidden!HH53</f>
        <v>0</v>
      </c>
      <c r="K162" s="212">
        <f>Hidden!HI53</f>
        <v>0</v>
      </c>
      <c r="L162" s="212">
        <f>Hidden!HJ53</f>
        <v>0</v>
      </c>
      <c r="M162" s="212">
        <f>Hidden!HK53</f>
        <v>0</v>
      </c>
      <c r="N162" s="212">
        <f>Hidden!HL53</f>
        <v>0</v>
      </c>
      <c r="O162" s="213">
        <f>Hidden!$PG53</f>
        <v>0</v>
      </c>
    </row>
    <row r="163" spans="1:15" x14ac:dyDescent="0.2">
      <c r="A163" s="9" t="str">
        <f>Hidden!$FG54</f>
        <v/>
      </c>
      <c r="B163" s="531" t="str">
        <f>IF($A163="","",IFERROR(HLOOKUP(Hidden!$FB$2,Substances,MATCH($A163,CAS,0),FALSE),""))</f>
        <v/>
      </c>
      <c r="C163" s="531"/>
      <c r="D163" s="531"/>
      <c r="E163" s="531"/>
      <c r="F163" s="531"/>
      <c r="G163" s="531"/>
      <c r="H163" s="531"/>
      <c r="I163" s="212">
        <f>Hidden!HG54</f>
        <v>0</v>
      </c>
      <c r="J163" s="212">
        <f>Hidden!HH54</f>
        <v>0</v>
      </c>
      <c r="K163" s="212">
        <f>Hidden!HI54</f>
        <v>0</v>
      </c>
      <c r="L163" s="212">
        <f>Hidden!HJ54</f>
        <v>0</v>
      </c>
      <c r="M163" s="212">
        <f>Hidden!HK54</f>
        <v>0</v>
      </c>
      <c r="N163" s="212">
        <f>Hidden!HL54</f>
        <v>0</v>
      </c>
      <c r="O163" s="213">
        <f>Hidden!$PG54</f>
        <v>0</v>
      </c>
    </row>
    <row r="164" spans="1:15" x14ac:dyDescent="0.2">
      <c r="A164" s="9" t="str">
        <f>Hidden!$FG55</f>
        <v/>
      </c>
      <c r="B164" s="531" t="str">
        <f>IF($A164="","",IFERROR(HLOOKUP(Hidden!$FB$2,Substances,MATCH($A164,CAS,0),FALSE),""))</f>
        <v/>
      </c>
      <c r="C164" s="531"/>
      <c r="D164" s="531"/>
      <c r="E164" s="531"/>
      <c r="F164" s="531"/>
      <c r="G164" s="531"/>
      <c r="H164" s="531"/>
      <c r="I164" s="212">
        <f>Hidden!HG55</f>
        <v>0</v>
      </c>
      <c r="J164" s="212">
        <f>Hidden!HH55</f>
        <v>0</v>
      </c>
      <c r="K164" s="212">
        <f>Hidden!HI55</f>
        <v>0</v>
      </c>
      <c r="L164" s="212">
        <f>Hidden!HJ55</f>
        <v>0</v>
      </c>
      <c r="M164" s="212">
        <f>Hidden!HK55</f>
        <v>0</v>
      </c>
      <c r="N164" s="212">
        <f>Hidden!HL55</f>
        <v>0</v>
      </c>
      <c r="O164" s="213">
        <f>Hidden!$PG55</f>
        <v>0</v>
      </c>
    </row>
    <row r="165" spans="1:15" x14ac:dyDescent="0.2">
      <c r="A165" s="9" t="str">
        <f>Hidden!$FG56</f>
        <v/>
      </c>
      <c r="B165" s="531" t="str">
        <f>IF($A165="","",IFERROR(HLOOKUP(Hidden!$FB$2,Substances,MATCH($A165,CAS,0),FALSE),""))</f>
        <v/>
      </c>
      <c r="C165" s="531"/>
      <c r="D165" s="531"/>
      <c r="E165" s="531"/>
      <c r="F165" s="531"/>
      <c r="G165" s="531"/>
      <c r="H165" s="531"/>
      <c r="I165" s="212">
        <f>Hidden!HG56</f>
        <v>0</v>
      </c>
      <c r="J165" s="212">
        <f>Hidden!HH56</f>
        <v>0</v>
      </c>
      <c r="K165" s="212">
        <f>Hidden!HI56</f>
        <v>0</v>
      </c>
      <c r="L165" s="212">
        <f>Hidden!HJ56</f>
        <v>0</v>
      </c>
      <c r="M165" s="212">
        <f>Hidden!HK56</f>
        <v>0</v>
      </c>
      <c r="N165" s="212">
        <f>Hidden!HL56</f>
        <v>0</v>
      </c>
      <c r="O165" s="213">
        <f>Hidden!$PG56</f>
        <v>0</v>
      </c>
    </row>
    <row r="166" spans="1:15" x14ac:dyDescent="0.2">
      <c r="A166" s="9" t="str">
        <f>Hidden!$FG57</f>
        <v/>
      </c>
      <c r="B166" s="531" t="str">
        <f>IF($A166="","",IFERROR(HLOOKUP(Hidden!$FB$2,Substances,MATCH($A166,CAS,0),FALSE),""))</f>
        <v/>
      </c>
      <c r="C166" s="531"/>
      <c r="D166" s="531"/>
      <c r="E166" s="531"/>
      <c r="F166" s="531"/>
      <c r="G166" s="531"/>
      <c r="H166" s="531"/>
      <c r="I166" s="212">
        <f>Hidden!HG57</f>
        <v>0</v>
      </c>
      <c r="J166" s="212">
        <f>Hidden!HH57</f>
        <v>0</v>
      </c>
      <c r="K166" s="212">
        <f>Hidden!HI57</f>
        <v>0</v>
      </c>
      <c r="L166" s="212">
        <f>Hidden!HJ57</f>
        <v>0</v>
      </c>
      <c r="M166" s="212">
        <f>Hidden!HK57</f>
        <v>0</v>
      </c>
      <c r="N166" s="212">
        <f>Hidden!HL57</f>
        <v>0</v>
      </c>
      <c r="O166" s="213">
        <f>Hidden!$PG57</f>
        <v>0</v>
      </c>
    </row>
    <row r="167" spans="1:15" x14ac:dyDescent="0.2">
      <c r="A167" s="9" t="str">
        <f>Hidden!$FG58</f>
        <v/>
      </c>
      <c r="B167" s="531" t="str">
        <f>IF($A167="","",IFERROR(HLOOKUP(Hidden!$FB$2,Substances,MATCH($A167,CAS,0),FALSE),""))</f>
        <v/>
      </c>
      <c r="C167" s="531"/>
      <c r="D167" s="531"/>
      <c r="E167" s="531"/>
      <c r="F167" s="531"/>
      <c r="G167" s="531"/>
      <c r="H167" s="531"/>
      <c r="I167" s="212">
        <f>Hidden!HG58</f>
        <v>0</v>
      </c>
      <c r="J167" s="212">
        <f>Hidden!HH58</f>
        <v>0</v>
      </c>
      <c r="K167" s="212">
        <f>Hidden!HI58</f>
        <v>0</v>
      </c>
      <c r="L167" s="212">
        <f>Hidden!HJ58</f>
        <v>0</v>
      </c>
      <c r="M167" s="212">
        <f>Hidden!HK58</f>
        <v>0</v>
      </c>
      <c r="N167" s="212">
        <f>Hidden!HL58</f>
        <v>0</v>
      </c>
      <c r="O167" s="213">
        <f>Hidden!$PG58</f>
        <v>0</v>
      </c>
    </row>
    <row r="168" spans="1:15" x14ac:dyDescent="0.2">
      <c r="A168" s="9" t="str">
        <f>Hidden!$FG59</f>
        <v/>
      </c>
      <c r="B168" s="531" t="str">
        <f>IF($A168="","",IFERROR(HLOOKUP(Hidden!$FB$2,Substances,MATCH($A168,CAS,0),FALSE),""))</f>
        <v/>
      </c>
      <c r="C168" s="531"/>
      <c r="D168" s="531"/>
      <c r="E168" s="531"/>
      <c r="F168" s="531"/>
      <c r="G168" s="531"/>
      <c r="H168" s="531"/>
      <c r="I168" s="212">
        <f>Hidden!HG59</f>
        <v>0</v>
      </c>
      <c r="J168" s="212">
        <f>Hidden!HH59</f>
        <v>0</v>
      </c>
      <c r="K168" s="212">
        <f>Hidden!HI59</f>
        <v>0</v>
      </c>
      <c r="L168" s="212">
        <f>Hidden!HJ59</f>
        <v>0</v>
      </c>
      <c r="M168" s="212">
        <f>Hidden!HK59</f>
        <v>0</v>
      </c>
      <c r="N168" s="212">
        <f>Hidden!HL59</f>
        <v>0</v>
      </c>
      <c r="O168" s="213">
        <f>Hidden!$PG59</f>
        <v>0</v>
      </c>
    </row>
    <row r="169" spans="1:15" x14ac:dyDescent="0.2">
      <c r="A169" s="9" t="str">
        <f>Hidden!$FG60</f>
        <v/>
      </c>
      <c r="B169" s="531" t="str">
        <f>IF($A169="","",IFERROR(HLOOKUP(Hidden!$FB$2,Substances,MATCH($A169,CAS,0),FALSE),""))</f>
        <v/>
      </c>
      <c r="C169" s="531"/>
      <c r="D169" s="531"/>
      <c r="E169" s="531"/>
      <c r="F169" s="531"/>
      <c r="G169" s="531"/>
      <c r="H169" s="531"/>
      <c r="I169" s="212">
        <f>Hidden!HG60</f>
        <v>0</v>
      </c>
      <c r="J169" s="212">
        <f>Hidden!HH60</f>
        <v>0</v>
      </c>
      <c r="K169" s="212">
        <f>Hidden!HI60</f>
        <v>0</v>
      </c>
      <c r="L169" s="212">
        <f>Hidden!HJ60</f>
        <v>0</v>
      </c>
      <c r="M169" s="212">
        <f>Hidden!HK60</f>
        <v>0</v>
      </c>
      <c r="N169" s="212">
        <f>Hidden!HL60</f>
        <v>0</v>
      </c>
      <c r="O169" s="213">
        <f>Hidden!$PG60</f>
        <v>0</v>
      </c>
    </row>
    <row r="170" spans="1:15" x14ac:dyDescent="0.2">
      <c r="A170" s="9" t="str">
        <f>Hidden!$FG61</f>
        <v/>
      </c>
      <c r="B170" s="531" t="str">
        <f>IF($A170="","",IFERROR(HLOOKUP(Hidden!$FB$2,Substances,MATCH($A170,CAS,0),FALSE),""))</f>
        <v/>
      </c>
      <c r="C170" s="531"/>
      <c r="D170" s="531"/>
      <c r="E170" s="531"/>
      <c r="F170" s="531"/>
      <c r="G170" s="531"/>
      <c r="H170" s="531"/>
      <c r="I170" s="212">
        <f>Hidden!HG61</f>
        <v>0</v>
      </c>
      <c r="J170" s="212">
        <f>Hidden!HH61</f>
        <v>0</v>
      </c>
      <c r="K170" s="212">
        <f>Hidden!HI61</f>
        <v>0</v>
      </c>
      <c r="L170" s="212">
        <f>Hidden!HJ61</f>
        <v>0</v>
      </c>
      <c r="M170" s="212">
        <f>Hidden!HK61</f>
        <v>0</v>
      </c>
      <c r="N170" s="212">
        <f>Hidden!HL61</f>
        <v>0</v>
      </c>
      <c r="O170" s="213">
        <f>Hidden!$PG61</f>
        <v>0</v>
      </c>
    </row>
    <row r="171" spans="1:15" x14ac:dyDescent="0.2">
      <c r="A171" s="9" t="str">
        <f>Hidden!$FG62</f>
        <v/>
      </c>
      <c r="B171" s="531" t="str">
        <f>IF($A171="","",IFERROR(HLOOKUP(Hidden!$FB$2,Substances,MATCH($A171,CAS,0),FALSE),""))</f>
        <v/>
      </c>
      <c r="C171" s="531"/>
      <c r="D171" s="531"/>
      <c r="E171" s="531"/>
      <c r="F171" s="531"/>
      <c r="G171" s="531"/>
      <c r="H171" s="531"/>
      <c r="I171" s="212">
        <f>Hidden!HG62</f>
        <v>0</v>
      </c>
      <c r="J171" s="212">
        <f>Hidden!HH62</f>
        <v>0</v>
      </c>
      <c r="K171" s="212">
        <f>Hidden!HI62</f>
        <v>0</v>
      </c>
      <c r="L171" s="212">
        <f>Hidden!HJ62</f>
        <v>0</v>
      </c>
      <c r="M171" s="212">
        <f>Hidden!HK62</f>
        <v>0</v>
      </c>
      <c r="N171" s="212">
        <f>Hidden!HL62</f>
        <v>0</v>
      </c>
      <c r="O171" s="213">
        <f>Hidden!$PG62</f>
        <v>0</v>
      </c>
    </row>
    <row r="172" spans="1:15" x14ac:dyDescent="0.2">
      <c r="A172" s="9" t="str">
        <f>Hidden!$FG63</f>
        <v/>
      </c>
      <c r="B172" s="531" t="str">
        <f>IF($A172="","",IFERROR(HLOOKUP(Hidden!$FB$2,Substances,MATCH($A172,CAS,0),FALSE),""))</f>
        <v/>
      </c>
      <c r="C172" s="531"/>
      <c r="D172" s="531"/>
      <c r="E172" s="531"/>
      <c r="F172" s="531"/>
      <c r="G172" s="531"/>
      <c r="H172" s="531"/>
      <c r="I172" s="212">
        <f>Hidden!HG63</f>
        <v>0</v>
      </c>
      <c r="J172" s="212">
        <f>Hidden!HH63</f>
        <v>0</v>
      </c>
      <c r="K172" s="212">
        <f>Hidden!HI63</f>
        <v>0</v>
      </c>
      <c r="L172" s="212">
        <f>Hidden!HJ63</f>
        <v>0</v>
      </c>
      <c r="M172" s="212">
        <f>Hidden!HK63</f>
        <v>0</v>
      </c>
      <c r="N172" s="212">
        <f>Hidden!HL63</f>
        <v>0</v>
      </c>
      <c r="O172" s="213">
        <f>Hidden!$PG63</f>
        <v>0</v>
      </c>
    </row>
    <row r="173" spans="1:15" x14ac:dyDescent="0.2">
      <c r="A173" s="9" t="str">
        <f>Hidden!$FG64</f>
        <v/>
      </c>
      <c r="B173" s="531" t="str">
        <f>IF($A173="","",IFERROR(HLOOKUP(Hidden!$FB$2,Substances,MATCH($A173,CAS,0),FALSE),""))</f>
        <v/>
      </c>
      <c r="C173" s="531"/>
      <c r="D173" s="531"/>
      <c r="E173" s="531"/>
      <c r="F173" s="531"/>
      <c r="G173" s="531"/>
      <c r="H173" s="531"/>
      <c r="I173" s="212">
        <f>Hidden!HG64</f>
        <v>0</v>
      </c>
      <c r="J173" s="212">
        <f>Hidden!HH64</f>
        <v>0</v>
      </c>
      <c r="K173" s="212">
        <f>Hidden!HI64</f>
        <v>0</v>
      </c>
      <c r="L173" s="212">
        <f>Hidden!HJ64</f>
        <v>0</v>
      </c>
      <c r="M173" s="212">
        <f>Hidden!HK64</f>
        <v>0</v>
      </c>
      <c r="N173" s="212">
        <f>Hidden!HL64</f>
        <v>0</v>
      </c>
      <c r="O173" s="213">
        <f>Hidden!$PG64</f>
        <v>0</v>
      </c>
    </row>
    <row r="174" spans="1:15" x14ac:dyDescent="0.2">
      <c r="A174" s="9" t="str">
        <f>Hidden!$FG65</f>
        <v/>
      </c>
      <c r="B174" s="531" t="str">
        <f>IF($A174="","",IFERROR(HLOOKUP(Hidden!$FB$2,Substances,MATCH($A174,CAS,0),FALSE),""))</f>
        <v/>
      </c>
      <c r="C174" s="531"/>
      <c r="D174" s="531"/>
      <c r="E174" s="531"/>
      <c r="F174" s="531"/>
      <c r="G174" s="531"/>
      <c r="H174" s="531"/>
      <c r="I174" s="212">
        <f>Hidden!HG65</f>
        <v>0</v>
      </c>
      <c r="J174" s="212">
        <f>Hidden!HH65</f>
        <v>0</v>
      </c>
      <c r="K174" s="212">
        <f>Hidden!HI65</f>
        <v>0</v>
      </c>
      <c r="L174" s="212">
        <f>Hidden!HJ65</f>
        <v>0</v>
      </c>
      <c r="M174" s="212">
        <f>Hidden!HK65</f>
        <v>0</v>
      </c>
      <c r="N174" s="212">
        <f>Hidden!HL65</f>
        <v>0</v>
      </c>
      <c r="O174" s="213">
        <f>Hidden!$PG65</f>
        <v>0</v>
      </c>
    </row>
    <row r="175" spans="1:15" x14ac:dyDescent="0.2">
      <c r="A175" s="9" t="str">
        <f>Hidden!$FG66</f>
        <v/>
      </c>
      <c r="B175" s="531" t="str">
        <f>IF($A175="","",IFERROR(HLOOKUP(Hidden!$FB$2,Substances,MATCH($A175,CAS,0),FALSE),""))</f>
        <v/>
      </c>
      <c r="C175" s="531"/>
      <c r="D175" s="531"/>
      <c r="E175" s="531"/>
      <c r="F175" s="531"/>
      <c r="G175" s="531"/>
      <c r="H175" s="531"/>
      <c r="I175" s="212">
        <f>Hidden!HG66</f>
        <v>0</v>
      </c>
      <c r="J175" s="212">
        <f>Hidden!HH66</f>
        <v>0</v>
      </c>
      <c r="K175" s="212">
        <f>Hidden!HI66</f>
        <v>0</v>
      </c>
      <c r="L175" s="212">
        <f>Hidden!HJ66</f>
        <v>0</v>
      </c>
      <c r="M175" s="212">
        <f>Hidden!HK66</f>
        <v>0</v>
      </c>
      <c r="N175" s="212">
        <f>Hidden!HL66</f>
        <v>0</v>
      </c>
      <c r="O175" s="213">
        <f>Hidden!$PG66</f>
        <v>0</v>
      </c>
    </row>
    <row r="176" spans="1:15" x14ac:dyDescent="0.2">
      <c r="A176" s="9" t="str">
        <f>Hidden!$FG67</f>
        <v/>
      </c>
      <c r="B176" s="531" t="str">
        <f>IF($A176="","",IFERROR(HLOOKUP(Hidden!$FB$2,Substances,MATCH($A176,CAS,0),FALSE),""))</f>
        <v/>
      </c>
      <c r="C176" s="531"/>
      <c r="D176" s="531"/>
      <c r="E176" s="531"/>
      <c r="F176" s="531"/>
      <c r="G176" s="531"/>
      <c r="H176" s="531"/>
      <c r="I176" s="212">
        <f>Hidden!HG67</f>
        <v>0</v>
      </c>
      <c r="J176" s="212">
        <f>Hidden!HH67</f>
        <v>0</v>
      </c>
      <c r="K176" s="212">
        <f>Hidden!HI67</f>
        <v>0</v>
      </c>
      <c r="L176" s="212">
        <f>Hidden!HJ67</f>
        <v>0</v>
      </c>
      <c r="M176" s="212">
        <f>Hidden!HK67</f>
        <v>0</v>
      </c>
      <c r="N176" s="212">
        <f>Hidden!HL67</f>
        <v>0</v>
      </c>
      <c r="O176" s="213">
        <f>Hidden!$PG67</f>
        <v>0</v>
      </c>
    </row>
    <row r="177" spans="1:15" x14ac:dyDescent="0.2">
      <c r="A177" s="9" t="str">
        <f>Hidden!$FG68</f>
        <v/>
      </c>
      <c r="B177" s="531" t="str">
        <f>IF($A177="","",IFERROR(HLOOKUP(Hidden!$FB$2,Substances,MATCH($A177,CAS,0),FALSE),""))</f>
        <v/>
      </c>
      <c r="C177" s="531"/>
      <c r="D177" s="531"/>
      <c r="E177" s="531"/>
      <c r="F177" s="531"/>
      <c r="G177" s="531"/>
      <c r="H177" s="531"/>
      <c r="I177" s="212">
        <f>Hidden!HG68</f>
        <v>0</v>
      </c>
      <c r="J177" s="212">
        <f>Hidden!HH68</f>
        <v>0</v>
      </c>
      <c r="K177" s="212">
        <f>Hidden!HI68</f>
        <v>0</v>
      </c>
      <c r="L177" s="212">
        <f>Hidden!HJ68</f>
        <v>0</v>
      </c>
      <c r="M177" s="212">
        <f>Hidden!HK68</f>
        <v>0</v>
      </c>
      <c r="N177" s="212">
        <f>Hidden!HL68</f>
        <v>0</v>
      </c>
      <c r="O177" s="213">
        <f>Hidden!$PG68</f>
        <v>0</v>
      </c>
    </row>
    <row r="178" spans="1:15" x14ac:dyDescent="0.2">
      <c r="A178" s="9" t="str">
        <f>Hidden!$FG69</f>
        <v/>
      </c>
      <c r="B178" s="531" t="str">
        <f>IF($A178="","",IFERROR(HLOOKUP(Hidden!$FB$2,Substances,MATCH($A178,CAS,0),FALSE),""))</f>
        <v/>
      </c>
      <c r="C178" s="531"/>
      <c r="D178" s="531"/>
      <c r="E178" s="531"/>
      <c r="F178" s="531"/>
      <c r="G178" s="531"/>
      <c r="H178" s="531"/>
      <c r="I178" s="212">
        <f>Hidden!HG69</f>
        <v>0</v>
      </c>
      <c r="J178" s="212">
        <f>Hidden!HH69</f>
        <v>0</v>
      </c>
      <c r="K178" s="212">
        <f>Hidden!HI69</f>
        <v>0</v>
      </c>
      <c r="L178" s="212">
        <f>Hidden!HJ69</f>
        <v>0</v>
      </c>
      <c r="M178" s="212">
        <f>Hidden!HK69</f>
        <v>0</v>
      </c>
      <c r="N178" s="212">
        <f>Hidden!HL69</f>
        <v>0</v>
      </c>
      <c r="O178" s="213">
        <f>Hidden!$PG69</f>
        <v>0</v>
      </c>
    </row>
    <row r="179" spans="1:15" x14ac:dyDescent="0.2">
      <c r="A179" s="9" t="str">
        <f>Hidden!$FG70</f>
        <v/>
      </c>
      <c r="B179" s="531" t="str">
        <f>IF($A179="","",IFERROR(HLOOKUP(Hidden!$FB$2,Substances,MATCH($A179,CAS,0),FALSE),""))</f>
        <v/>
      </c>
      <c r="C179" s="531"/>
      <c r="D179" s="531"/>
      <c r="E179" s="531"/>
      <c r="F179" s="531"/>
      <c r="G179" s="531"/>
      <c r="H179" s="531"/>
      <c r="I179" s="212">
        <f>Hidden!HG70</f>
        <v>0</v>
      </c>
      <c r="J179" s="212">
        <f>Hidden!HH70</f>
        <v>0</v>
      </c>
      <c r="K179" s="212">
        <f>Hidden!HI70</f>
        <v>0</v>
      </c>
      <c r="L179" s="212">
        <f>Hidden!HJ70</f>
        <v>0</v>
      </c>
      <c r="M179" s="212">
        <f>Hidden!HK70</f>
        <v>0</v>
      </c>
      <c r="N179" s="212">
        <f>Hidden!HL70</f>
        <v>0</v>
      </c>
      <c r="O179" s="213">
        <f>Hidden!$PG70</f>
        <v>0</v>
      </c>
    </row>
    <row r="180" spans="1:15" x14ac:dyDescent="0.2">
      <c r="A180" s="9" t="str">
        <f>Hidden!$FG71</f>
        <v/>
      </c>
      <c r="B180" s="531" t="str">
        <f>IF($A180="","",IFERROR(HLOOKUP(Hidden!$FB$2,Substances,MATCH($A180,CAS,0),FALSE),""))</f>
        <v/>
      </c>
      <c r="C180" s="531"/>
      <c r="D180" s="531"/>
      <c r="E180" s="531"/>
      <c r="F180" s="531"/>
      <c r="G180" s="531"/>
      <c r="H180" s="531"/>
      <c r="I180" s="212">
        <f>Hidden!HG71</f>
        <v>0</v>
      </c>
      <c r="J180" s="212">
        <f>Hidden!HH71</f>
        <v>0</v>
      </c>
      <c r="K180" s="212">
        <f>Hidden!HI71</f>
        <v>0</v>
      </c>
      <c r="L180" s="212">
        <f>Hidden!HJ71</f>
        <v>0</v>
      </c>
      <c r="M180" s="212">
        <f>Hidden!HK71</f>
        <v>0</v>
      </c>
      <c r="N180" s="212">
        <f>Hidden!HL71</f>
        <v>0</v>
      </c>
      <c r="O180" s="213">
        <f>Hidden!$PG71</f>
        <v>0</v>
      </c>
    </row>
    <row r="181" spans="1:15" x14ac:dyDescent="0.2">
      <c r="A181" s="9" t="str">
        <f>Hidden!$FG72</f>
        <v/>
      </c>
      <c r="B181" s="531" t="str">
        <f>IF($A181="","",IFERROR(HLOOKUP(Hidden!$FB$2,Substances,MATCH($A181,CAS,0),FALSE),""))</f>
        <v/>
      </c>
      <c r="C181" s="531"/>
      <c r="D181" s="531"/>
      <c r="E181" s="531"/>
      <c r="F181" s="531"/>
      <c r="G181" s="531"/>
      <c r="H181" s="531"/>
      <c r="I181" s="212">
        <f>Hidden!HG72</f>
        <v>0</v>
      </c>
      <c r="J181" s="212">
        <f>Hidden!HH72</f>
        <v>0</v>
      </c>
      <c r="K181" s="212">
        <f>Hidden!HI72</f>
        <v>0</v>
      </c>
      <c r="L181" s="212">
        <f>Hidden!HJ72</f>
        <v>0</v>
      </c>
      <c r="M181" s="212">
        <f>Hidden!HK72</f>
        <v>0</v>
      </c>
      <c r="N181" s="212">
        <f>Hidden!HL72</f>
        <v>0</v>
      </c>
      <c r="O181" s="213">
        <f>Hidden!$PG72</f>
        <v>0</v>
      </c>
    </row>
    <row r="182" spans="1:15" x14ac:dyDescent="0.2">
      <c r="A182" s="9" t="str">
        <f>Hidden!$FG73</f>
        <v/>
      </c>
      <c r="B182" s="531" t="str">
        <f>IF($A182="","",IFERROR(HLOOKUP(Hidden!$FB$2,Substances,MATCH($A182,CAS,0),FALSE),""))</f>
        <v/>
      </c>
      <c r="C182" s="531"/>
      <c r="D182" s="531"/>
      <c r="E182" s="531"/>
      <c r="F182" s="531"/>
      <c r="G182" s="531"/>
      <c r="H182" s="531"/>
      <c r="I182" s="212">
        <f>Hidden!HG73</f>
        <v>0</v>
      </c>
      <c r="J182" s="212">
        <f>Hidden!HH73</f>
        <v>0</v>
      </c>
      <c r="K182" s="212">
        <f>Hidden!HI73</f>
        <v>0</v>
      </c>
      <c r="L182" s="212">
        <f>Hidden!HJ73</f>
        <v>0</v>
      </c>
      <c r="M182" s="212">
        <f>Hidden!HK73</f>
        <v>0</v>
      </c>
      <c r="N182" s="212">
        <f>Hidden!HL73</f>
        <v>0</v>
      </c>
      <c r="O182" s="213">
        <f>Hidden!$PG73</f>
        <v>0</v>
      </c>
    </row>
    <row r="183" spans="1:15" x14ac:dyDescent="0.2">
      <c r="A183" s="9" t="str">
        <f>Hidden!$FG74</f>
        <v/>
      </c>
      <c r="B183" s="531" t="str">
        <f>IF($A183="","",IFERROR(HLOOKUP(Hidden!$FB$2,Substances,MATCH($A183,CAS,0),FALSE),""))</f>
        <v/>
      </c>
      <c r="C183" s="531"/>
      <c r="D183" s="531"/>
      <c r="E183" s="531"/>
      <c r="F183" s="531"/>
      <c r="G183" s="531"/>
      <c r="H183" s="531"/>
      <c r="I183" s="212">
        <f>Hidden!HG74</f>
        <v>0</v>
      </c>
      <c r="J183" s="212">
        <f>Hidden!HH74</f>
        <v>0</v>
      </c>
      <c r="K183" s="212">
        <f>Hidden!HI74</f>
        <v>0</v>
      </c>
      <c r="L183" s="212">
        <f>Hidden!HJ74</f>
        <v>0</v>
      </c>
      <c r="M183" s="212">
        <f>Hidden!HK74</f>
        <v>0</v>
      </c>
      <c r="N183" s="212">
        <f>Hidden!HL74</f>
        <v>0</v>
      </c>
      <c r="O183" s="213">
        <f>Hidden!$PG74</f>
        <v>0</v>
      </c>
    </row>
    <row r="184" spans="1:15" x14ac:dyDescent="0.2">
      <c r="A184" s="9" t="str">
        <f>Hidden!$FG75</f>
        <v/>
      </c>
      <c r="B184" s="531" t="str">
        <f>IF($A184="","",IFERROR(HLOOKUP(Hidden!$FB$2,Substances,MATCH($A184,CAS,0),FALSE),""))</f>
        <v/>
      </c>
      <c r="C184" s="531"/>
      <c r="D184" s="531"/>
      <c r="E184" s="531"/>
      <c r="F184" s="531"/>
      <c r="G184" s="531"/>
      <c r="H184" s="531"/>
      <c r="I184" s="212">
        <f>Hidden!HG75</f>
        <v>0</v>
      </c>
      <c r="J184" s="212">
        <f>Hidden!HH75</f>
        <v>0</v>
      </c>
      <c r="K184" s="212">
        <f>Hidden!HI75</f>
        <v>0</v>
      </c>
      <c r="L184" s="212">
        <f>Hidden!HJ75</f>
        <v>0</v>
      </c>
      <c r="M184" s="212">
        <f>Hidden!HK75</f>
        <v>0</v>
      </c>
      <c r="N184" s="212">
        <f>Hidden!HL75</f>
        <v>0</v>
      </c>
      <c r="O184" s="213">
        <f>Hidden!$PG75</f>
        <v>0</v>
      </c>
    </row>
    <row r="185" spans="1:15" x14ac:dyDescent="0.2">
      <c r="A185" s="9" t="str">
        <f>Hidden!$FG76</f>
        <v/>
      </c>
      <c r="B185" s="531" t="str">
        <f>IF($A185="","",IFERROR(HLOOKUP(Hidden!$FB$2,Substances,MATCH($A185,CAS,0),FALSE),""))</f>
        <v/>
      </c>
      <c r="C185" s="531"/>
      <c r="D185" s="531"/>
      <c r="E185" s="531"/>
      <c r="F185" s="531"/>
      <c r="G185" s="531"/>
      <c r="H185" s="531"/>
      <c r="I185" s="212">
        <f>Hidden!HG76</f>
        <v>0</v>
      </c>
      <c r="J185" s="212">
        <f>Hidden!HH76</f>
        <v>0</v>
      </c>
      <c r="K185" s="212">
        <f>Hidden!HI76</f>
        <v>0</v>
      </c>
      <c r="L185" s="212">
        <f>Hidden!HJ76</f>
        <v>0</v>
      </c>
      <c r="M185" s="212">
        <f>Hidden!HK76</f>
        <v>0</v>
      </c>
      <c r="N185" s="212">
        <f>Hidden!HL76</f>
        <v>0</v>
      </c>
      <c r="O185" s="213">
        <f>Hidden!$PG76</f>
        <v>0</v>
      </c>
    </row>
    <row r="186" spans="1:15" x14ac:dyDescent="0.2">
      <c r="A186" s="9" t="str">
        <f>Hidden!$FG77</f>
        <v/>
      </c>
      <c r="B186" s="531" t="str">
        <f>IF($A186="","",IFERROR(HLOOKUP(Hidden!$FB$2,Substances,MATCH($A186,CAS,0),FALSE),""))</f>
        <v/>
      </c>
      <c r="C186" s="531"/>
      <c r="D186" s="531"/>
      <c r="E186" s="531"/>
      <c r="F186" s="531"/>
      <c r="G186" s="531"/>
      <c r="H186" s="531"/>
      <c r="I186" s="212">
        <f>Hidden!HG77</f>
        <v>0</v>
      </c>
      <c r="J186" s="212">
        <f>Hidden!HH77</f>
        <v>0</v>
      </c>
      <c r="K186" s="212">
        <f>Hidden!HI77</f>
        <v>0</v>
      </c>
      <c r="L186" s="212">
        <f>Hidden!HJ77</f>
        <v>0</v>
      </c>
      <c r="M186" s="212">
        <f>Hidden!HK77</f>
        <v>0</v>
      </c>
      <c r="N186" s="212">
        <f>Hidden!HL77</f>
        <v>0</v>
      </c>
      <c r="O186" s="213">
        <f>Hidden!$PG77</f>
        <v>0</v>
      </c>
    </row>
    <row r="187" spans="1:15" x14ac:dyDescent="0.2">
      <c r="A187" s="9" t="str">
        <f>Hidden!$FG78</f>
        <v/>
      </c>
      <c r="B187" s="531" t="str">
        <f>IF($A187="","",IFERROR(HLOOKUP(Hidden!$FB$2,Substances,MATCH($A187,CAS,0),FALSE),""))</f>
        <v/>
      </c>
      <c r="C187" s="531"/>
      <c r="D187" s="531"/>
      <c r="E187" s="531"/>
      <c r="F187" s="531"/>
      <c r="G187" s="531"/>
      <c r="H187" s="531"/>
      <c r="I187" s="212">
        <f>Hidden!HG78</f>
        <v>0</v>
      </c>
      <c r="J187" s="212">
        <f>Hidden!HH78</f>
        <v>0</v>
      </c>
      <c r="K187" s="212">
        <f>Hidden!HI78</f>
        <v>0</v>
      </c>
      <c r="L187" s="212">
        <f>Hidden!HJ78</f>
        <v>0</v>
      </c>
      <c r="M187" s="212">
        <f>Hidden!HK78</f>
        <v>0</v>
      </c>
      <c r="N187" s="212">
        <f>Hidden!HL78</f>
        <v>0</v>
      </c>
      <c r="O187" s="213">
        <f>Hidden!$PG78</f>
        <v>0</v>
      </c>
    </row>
    <row r="188" spans="1:15" x14ac:dyDescent="0.2">
      <c r="A188" s="9" t="str">
        <f>Hidden!$FG79</f>
        <v/>
      </c>
      <c r="B188" s="531" t="str">
        <f>IF($A188="","",IFERROR(HLOOKUP(Hidden!$FB$2,Substances,MATCH($A188,CAS,0),FALSE),""))</f>
        <v/>
      </c>
      <c r="C188" s="531"/>
      <c r="D188" s="531"/>
      <c r="E188" s="531"/>
      <c r="F188" s="531"/>
      <c r="G188" s="531"/>
      <c r="H188" s="531"/>
      <c r="I188" s="212">
        <f>Hidden!HG79</f>
        <v>0</v>
      </c>
      <c r="J188" s="212">
        <f>Hidden!HH79</f>
        <v>0</v>
      </c>
      <c r="K188" s="212">
        <f>Hidden!HI79</f>
        <v>0</v>
      </c>
      <c r="L188" s="212">
        <f>Hidden!HJ79</f>
        <v>0</v>
      </c>
      <c r="M188" s="212">
        <f>Hidden!HK79</f>
        <v>0</v>
      </c>
      <c r="N188" s="212">
        <f>Hidden!HL79</f>
        <v>0</v>
      </c>
      <c r="O188" s="213">
        <f>Hidden!$PG79</f>
        <v>0</v>
      </c>
    </row>
    <row r="189" spans="1:15" x14ac:dyDescent="0.2">
      <c r="A189" s="9" t="str">
        <f>Hidden!$FG80</f>
        <v/>
      </c>
      <c r="B189" s="531" t="str">
        <f>IF($A189="","",IFERROR(HLOOKUP(Hidden!$FB$2,Substances,MATCH($A189,CAS,0),FALSE),""))</f>
        <v/>
      </c>
      <c r="C189" s="531"/>
      <c r="D189" s="531"/>
      <c r="E189" s="531"/>
      <c r="F189" s="531"/>
      <c r="G189" s="531"/>
      <c r="H189" s="531"/>
      <c r="I189" s="212">
        <f>Hidden!HG80</f>
        <v>0</v>
      </c>
      <c r="J189" s="212">
        <f>Hidden!HH80</f>
        <v>0</v>
      </c>
      <c r="K189" s="212">
        <f>Hidden!HI80</f>
        <v>0</v>
      </c>
      <c r="L189" s="212">
        <f>Hidden!HJ80</f>
        <v>0</v>
      </c>
      <c r="M189" s="212">
        <f>Hidden!HK80</f>
        <v>0</v>
      </c>
      <c r="N189" s="212">
        <f>Hidden!HL80</f>
        <v>0</v>
      </c>
      <c r="O189" s="213">
        <f>Hidden!$PG80</f>
        <v>0</v>
      </c>
    </row>
    <row r="190" spans="1:15" x14ac:dyDescent="0.2">
      <c r="A190" s="9" t="str">
        <f>Hidden!$FG81</f>
        <v/>
      </c>
      <c r="B190" s="531" t="str">
        <f>IF($A190="","",IFERROR(HLOOKUP(Hidden!$FB$2,Substances,MATCH($A190,CAS,0),FALSE),""))</f>
        <v/>
      </c>
      <c r="C190" s="531"/>
      <c r="D190" s="531"/>
      <c r="E190" s="531"/>
      <c r="F190" s="531"/>
      <c r="G190" s="531"/>
      <c r="H190" s="531"/>
      <c r="I190" s="212">
        <f>Hidden!HG81</f>
        <v>0</v>
      </c>
      <c r="J190" s="212">
        <f>Hidden!HH81</f>
        <v>0</v>
      </c>
      <c r="K190" s="212">
        <f>Hidden!HI81</f>
        <v>0</v>
      </c>
      <c r="L190" s="212">
        <f>Hidden!HJ81</f>
        <v>0</v>
      </c>
      <c r="M190" s="212">
        <f>Hidden!HK81</f>
        <v>0</v>
      </c>
      <c r="N190" s="212">
        <f>Hidden!HL81</f>
        <v>0</v>
      </c>
      <c r="O190" s="213">
        <f>Hidden!$PG81</f>
        <v>0</v>
      </c>
    </row>
    <row r="191" spans="1:15" x14ac:dyDescent="0.2">
      <c r="A191" s="9" t="str">
        <f>Hidden!$FG82</f>
        <v/>
      </c>
      <c r="B191" s="531" t="str">
        <f>IF($A191="","",IFERROR(HLOOKUP(Hidden!$FB$2,Substances,MATCH($A191,CAS,0),FALSE),""))</f>
        <v/>
      </c>
      <c r="C191" s="531"/>
      <c r="D191" s="531"/>
      <c r="E191" s="531"/>
      <c r="F191" s="531"/>
      <c r="G191" s="531"/>
      <c r="H191" s="531"/>
      <c r="I191" s="212">
        <f>Hidden!HG82</f>
        <v>0</v>
      </c>
      <c r="J191" s="212">
        <f>Hidden!HH82</f>
        <v>0</v>
      </c>
      <c r="K191" s="212">
        <f>Hidden!HI82</f>
        <v>0</v>
      </c>
      <c r="L191" s="212">
        <f>Hidden!HJ82</f>
        <v>0</v>
      </c>
      <c r="M191" s="212">
        <f>Hidden!HK82</f>
        <v>0</v>
      </c>
      <c r="N191" s="212">
        <f>Hidden!HL82</f>
        <v>0</v>
      </c>
      <c r="O191" s="213">
        <f>Hidden!$PG82</f>
        <v>0</v>
      </c>
    </row>
    <row r="192" spans="1:15" x14ac:dyDescent="0.2">
      <c r="A192" s="9" t="str">
        <f>Hidden!$FG83</f>
        <v/>
      </c>
      <c r="B192" s="531" t="str">
        <f>IF($A192="","",IFERROR(HLOOKUP(Hidden!$FB$2,Substances,MATCH($A192,CAS,0),FALSE),""))</f>
        <v/>
      </c>
      <c r="C192" s="531"/>
      <c r="D192" s="531"/>
      <c r="E192" s="531"/>
      <c r="F192" s="531"/>
      <c r="G192" s="531"/>
      <c r="H192" s="531"/>
      <c r="I192" s="212">
        <f>Hidden!HG83</f>
        <v>0</v>
      </c>
      <c r="J192" s="212">
        <f>Hidden!HH83</f>
        <v>0</v>
      </c>
      <c r="K192" s="212">
        <f>Hidden!HI83</f>
        <v>0</v>
      </c>
      <c r="L192" s="212">
        <f>Hidden!HJ83</f>
        <v>0</v>
      </c>
      <c r="M192" s="212">
        <f>Hidden!HK83</f>
        <v>0</v>
      </c>
      <c r="N192" s="212">
        <f>Hidden!HL83</f>
        <v>0</v>
      </c>
      <c r="O192" s="213">
        <f>Hidden!$PG83</f>
        <v>0</v>
      </c>
    </row>
    <row r="193" spans="1:15" x14ac:dyDescent="0.2">
      <c r="A193" s="9" t="str">
        <f>Hidden!$FG84</f>
        <v/>
      </c>
      <c r="B193" s="531" t="str">
        <f>IF($A193="","",IFERROR(HLOOKUP(Hidden!$FB$2,Substances,MATCH($A193,CAS,0),FALSE),""))</f>
        <v/>
      </c>
      <c r="C193" s="531"/>
      <c r="D193" s="531"/>
      <c r="E193" s="531"/>
      <c r="F193" s="531"/>
      <c r="G193" s="531"/>
      <c r="H193" s="531"/>
      <c r="I193" s="212">
        <f>Hidden!HG84</f>
        <v>0</v>
      </c>
      <c r="J193" s="212">
        <f>Hidden!HH84</f>
        <v>0</v>
      </c>
      <c r="K193" s="212">
        <f>Hidden!HI84</f>
        <v>0</v>
      </c>
      <c r="L193" s="212">
        <f>Hidden!HJ84</f>
        <v>0</v>
      </c>
      <c r="M193" s="212">
        <f>Hidden!HK84</f>
        <v>0</v>
      </c>
      <c r="N193" s="212">
        <f>Hidden!HL84</f>
        <v>0</v>
      </c>
      <c r="O193" s="213">
        <f>Hidden!$PG84</f>
        <v>0</v>
      </c>
    </row>
    <row r="194" spans="1:15" x14ac:dyDescent="0.2">
      <c r="A194" s="9" t="str">
        <f>Hidden!$FG85</f>
        <v/>
      </c>
      <c r="B194" s="531" t="str">
        <f>IF($A194="","",IFERROR(HLOOKUP(Hidden!$FB$2,Substances,MATCH($A194,CAS,0),FALSE),""))</f>
        <v/>
      </c>
      <c r="C194" s="531"/>
      <c r="D194" s="531"/>
      <c r="E194" s="531"/>
      <c r="F194" s="531"/>
      <c r="G194" s="531"/>
      <c r="H194" s="531"/>
      <c r="I194" s="212">
        <f>Hidden!HG85</f>
        <v>0</v>
      </c>
      <c r="J194" s="212">
        <f>Hidden!HH85</f>
        <v>0</v>
      </c>
      <c r="K194" s="212">
        <f>Hidden!HI85</f>
        <v>0</v>
      </c>
      <c r="L194" s="212">
        <f>Hidden!HJ85</f>
        <v>0</v>
      </c>
      <c r="M194" s="212">
        <f>Hidden!HK85</f>
        <v>0</v>
      </c>
      <c r="N194" s="212">
        <f>Hidden!HL85</f>
        <v>0</v>
      </c>
      <c r="O194" s="213">
        <f>Hidden!$PG85</f>
        <v>0</v>
      </c>
    </row>
    <row r="195" spans="1:15" x14ac:dyDescent="0.2">
      <c r="A195" s="9" t="str">
        <f>Hidden!$FG86</f>
        <v/>
      </c>
      <c r="B195" s="531" t="str">
        <f>IF($A195="","",IFERROR(HLOOKUP(Hidden!$FB$2,Substances,MATCH($A195,CAS,0),FALSE),""))</f>
        <v/>
      </c>
      <c r="C195" s="531"/>
      <c r="D195" s="531"/>
      <c r="E195" s="531"/>
      <c r="F195" s="531"/>
      <c r="G195" s="531"/>
      <c r="H195" s="531"/>
      <c r="I195" s="212">
        <f>Hidden!HG86</f>
        <v>0</v>
      </c>
      <c r="J195" s="212">
        <f>Hidden!HH86</f>
        <v>0</v>
      </c>
      <c r="K195" s="212">
        <f>Hidden!HI86</f>
        <v>0</v>
      </c>
      <c r="L195" s="212">
        <f>Hidden!HJ86</f>
        <v>0</v>
      </c>
      <c r="M195" s="212">
        <f>Hidden!HK86</f>
        <v>0</v>
      </c>
      <c r="N195" s="212">
        <f>Hidden!HL86</f>
        <v>0</v>
      </c>
      <c r="O195" s="213">
        <f>Hidden!$PG86</f>
        <v>0</v>
      </c>
    </row>
    <row r="196" spans="1:15" x14ac:dyDescent="0.2">
      <c r="A196" s="9" t="str">
        <f>Hidden!$FG87</f>
        <v/>
      </c>
      <c r="B196" s="531" t="str">
        <f>IF($A196="","",IFERROR(HLOOKUP(Hidden!$FB$2,Substances,MATCH($A196,CAS,0),FALSE),""))</f>
        <v/>
      </c>
      <c r="C196" s="531"/>
      <c r="D196" s="531"/>
      <c r="E196" s="531"/>
      <c r="F196" s="531"/>
      <c r="G196" s="531"/>
      <c r="H196" s="531"/>
      <c r="I196" s="212">
        <f>Hidden!HG87</f>
        <v>0</v>
      </c>
      <c r="J196" s="212">
        <f>Hidden!HH87</f>
        <v>0</v>
      </c>
      <c r="K196" s="212">
        <f>Hidden!HI87</f>
        <v>0</v>
      </c>
      <c r="L196" s="212">
        <f>Hidden!HJ87</f>
        <v>0</v>
      </c>
      <c r="M196" s="212">
        <f>Hidden!HK87</f>
        <v>0</v>
      </c>
      <c r="N196" s="212">
        <f>Hidden!HL87</f>
        <v>0</v>
      </c>
      <c r="O196" s="213">
        <f>Hidden!$PG87</f>
        <v>0</v>
      </c>
    </row>
    <row r="197" spans="1:15" x14ac:dyDescent="0.2">
      <c r="A197" s="9" t="str">
        <f>Hidden!$FG88</f>
        <v/>
      </c>
      <c r="B197" s="531" t="str">
        <f>IF($A197="","",IFERROR(HLOOKUP(Hidden!$FB$2,Substances,MATCH($A197,CAS,0),FALSE),""))</f>
        <v/>
      </c>
      <c r="C197" s="531"/>
      <c r="D197" s="531"/>
      <c r="E197" s="531"/>
      <c r="F197" s="531"/>
      <c r="G197" s="531"/>
      <c r="H197" s="531"/>
      <c r="I197" s="212">
        <f>Hidden!HG88</f>
        <v>0</v>
      </c>
      <c r="J197" s="212">
        <f>Hidden!HH88</f>
        <v>0</v>
      </c>
      <c r="K197" s="212">
        <f>Hidden!HI88</f>
        <v>0</v>
      </c>
      <c r="L197" s="212">
        <f>Hidden!HJ88</f>
        <v>0</v>
      </c>
      <c r="M197" s="212">
        <f>Hidden!HK88</f>
        <v>0</v>
      </c>
      <c r="N197" s="212">
        <f>Hidden!HL88</f>
        <v>0</v>
      </c>
      <c r="O197" s="213">
        <f>Hidden!$PG88</f>
        <v>0</v>
      </c>
    </row>
    <row r="198" spans="1:15" x14ac:dyDescent="0.2">
      <c r="A198" s="9" t="str">
        <f>Hidden!$FG89</f>
        <v/>
      </c>
      <c r="B198" s="531" t="str">
        <f>IF($A198="","",IFERROR(HLOOKUP(Hidden!$FB$2,Substances,MATCH($A198,CAS,0),FALSE),""))</f>
        <v/>
      </c>
      <c r="C198" s="531"/>
      <c r="D198" s="531"/>
      <c r="E198" s="531"/>
      <c r="F198" s="531"/>
      <c r="G198" s="531"/>
      <c r="H198" s="531"/>
      <c r="I198" s="212">
        <f>Hidden!HG89</f>
        <v>0</v>
      </c>
      <c r="J198" s="212">
        <f>Hidden!HH89</f>
        <v>0</v>
      </c>
      <c r="K198" s="212">
        <f>Hidden!HI89</f>
        <v>0</v>
      </c>
      <c r="L198" s="212">
        <f>Hidden!HJ89</f>
        <v>0</v>
      </c>
      <c r="M198" s="212">
        <f>Hidden!HK89</f>
        <v>0</v>
      </c>
      <c r="N198" s="212">
        <f>Hidden!HL89</f>
        <v>0</v>
      </c>
      <c r="O198" s="213">
        <f>Hidden!$PG89</f>
        <v>0</v>
      </c>
    </row>
    <row r="199" spans="1:15" x14ac:dyDescent="0.2">
      <c r="A199" s="9" t="str">
        <f>Hidden!$FG90</f>
        <v/>
      </c>
      <c r="B199" s="531" t="str">
        <f>IF($A199="","",IFERROR(HLOOKUP(Hidden!$FB$2,Substances,MATCH($A199,CAS,0),FALSE),""))</f>
        <v/>
      </c>
      <c r="C199" s="531"/>
      <c r="D199" s="531"/>
      <c r="E199" s="531"/>
      <c r="F199" s="531"/>
      <c r="G199" s="531"/>
      <c r="H199" s="531"/>
      <c r="I199" s="212">
        <f>Hidden!HG90</f>
        <v>0</v>
      </c>
      <c r="J199" s="212">
        <f>Hidden!HH90</f>
        <v>0</v>
      </c>
      <c r="K199" s="212">
        <f>Hidden!HI90</f>
        <v>0</v>
      </c>
      <c r="L199" s="212">
        <f>Hidden!HJ90</f>
        <v>0</v>
      </c>
      <c r="M199" s="212">
        <f>Hidden!HK90</f>
        <v>0</v>
      </c>
      <c r="N199" s="212">
        <f>Hidden!HL90</f>
        <v>0</v>
      </c>
      <c r="O199" s="213">
        <f>Hidden!$PG90</f>
        <v>0</v>
      </c>
    </row>
    <row r="200" spans="1:15" x14ac:dyDescent="0.2">
      <c r="A200" s="9" t="str">
        <f>Hidden!$FG91</f>
        <v/>
      </c>
      <c r="B200" s="531" t="str">
        <f>IF($A200="","",IFERROR(HLOOKUP(Hidden!$FB$2,Substances,MATCH($A200,CAS,0),FALSE),""))</f>
        <v/>
      </c>
      <c r="C200" s="531"/>
      <c r="D200" s="531"/>
      <c r="E200" s="531"/>
      <c r="F200" s="531"/>
      <c r="G200" s="531"/>
      <c r="H200" s="531"/>
      <c r="I200" s="212">
        <f>Hidden!HG91</f>
        <v>0</v>
      </c>
      <c r="J200" s="212">
        <f>Hidden!HH91</f>
        <v>0</v>
      </c>
      <c r="K200" s="212">
        <f>Hidden!HI91</f>
        <v>0</v>
      </c>
      <c r="L200" s="212">
        <f>Hidden!HJ91</f>
        <v>0</v>
      </c>
      <c r="M200" s="212">
        <f>Hidden!HK91</f>
        <v>0</v>
      </c>
      <c r="N200" s="212">
        <f>Hidden!HL91</f>
        <v>0</v>
      </c>
      <c r="O200" s="213">
        <f>Hidden!$PG91</f>
        <v>0</v>
      </c>
    </row>
    <row r="201" spans="1:15" x14ac:dyDescent="0.2">
      <c r="A201" s="9" t="str">
        <f>Hidden!$FG92</f>
        <v/>
      </c>
      <c r="B201" s="531" t="str">
        <f>IF($A201="","",IFERROR(HLOOKUP(Hidden!$FB$2,Substances,MATCH($A201,CAS,0),FALSE),""))</f>
        <v/>
      </c>
      <c r="C201" s="531"/>
      <c r="D201" s="531"/>
      <c r="E201" s="531"/>
      <c r="F201" s="531"/>
      <c r="G201" s="531"/>
      <c r="H201" s="531"/>
      <c r="I201" s="212">
        <f>Hidden!HG92</f>
        <v>0</v>
      </c>
      <c r="J201" s="212">
        <f>Hidden!HH92</f>
        <v>0</v>
      </c>
      <c r="K201" s="212">
        <f>Hidden!HI92</f>
        <v>0</v>
      </c>
      <c r="L201" s="212">
        <f>Hidden!HJ92</f>
        <v>0</v>
      </c>
      <c r="M201" s="212">
        <f>Hidden!HK92</f>
        <v>0</v>
      </c>
      <c r="N201" s="212">
        <f>Hidden!HL92</f>
        <v>0</v>
      </c>
      <c r="O201" s="213">
        <f>Hidden!$PG92</f>
        <v>0</v>
      </c>
    </row>
    <row r="202" spans="1:15" x14ac:dyDescent="0.2">
      <c r="A202" s="9" t="str">
        <f>Hidden!$FG93</f>
        <v/>
      </c>
      <c r="B202" s="531" t="str">
        <f>IF($A202="","",IFERROR(HLOOKUP(Hidden!$FB$2,Substances,MATCH($A202,CAS,0),FALSE),""))</f>
        <v/>
      </c>
      <c r="C202" s="531"/>
      <c r="D202" s="531"/>
      <c r="E202" s="531"/>
      <c r="F202" s="531"/>
      <c r="G202" s="531"/>
      <c r="H202" s="531"/>
      <c r="I202" s="212">
        <f>Hidden!HG93</f>
        <v>0</v>
      </c>
      <c r="J202" s="212">
        <f>Hidden!HH93</f>
        <v>0</v>
      </c>
      <c r="K202" s="212">
        <f>Hidden!HI93</f>
        <v>0</v>
      </c>
      <c r="L202" s="212">
        <f>Hidden!HJ93</f>
        <v>0</v>
      </c>
      <c r="M202" s="212">
        <f>Hidden!HK93</f>
        <v>0</v>
      </c>
      <c r="N202" s="212">
        <f>Hidden!HL93</f>
        <v>0</v>
      </c>
      <c r="O202" s="213">
        <f>Hidden!$PG93</f>
        <v>0</v>
      </c>
    </row>
    <row r="203" spans="1:15" x14ac:dyDescent="0.2">
      <c r="A203" s="9" t="str">
        <f>Hidden!$FG94</f>
        <v/>
      </c>
      <c r="B203" s="531" t="str">
        <f>IF($A203="","",IFERROR(HLOOKUP(Hidden!$FB$2,Substances,MATCH($A203,CAS,0),FALSE),""))</f>
        <v/>
      </c>
      <c r="C203" s="531"/>
      <c r="D203" s="531"/>
      <c r="E203" s="531"/>
      <c r="F203" s="531"/>
      <c r="G203" s="531"/>
      <c r="H203" s="531"/>
      <c r="I203" s="212">
        <f>Hidden!HG94</f>
        <v>0</v>
      </c>
      <c r="J203" s="212">
        <f>Hidden!HH94</f>
        <v>0</v>
      </c>
      <c r="K203" s="212">
        <f>Hidden!HI94</f>
        <v>0</v>
      </c>
      <c r="L203" s="212">
        <f>Hidden!HJ94</f>
        <v>0</v>
      </c>
      <c r="M203" s="212">
        <f>Hidden!HK94</f>
        <v>0</v>
      </c>
      <c r="N203" s="212">
        <f>Hidden!HL94</f>
        <v>0</v>
      </c>
      <c r="O203" s="213">
        <f>Hidden!$PG94</f>
        <v>0</v>
      </c>
    </row>
    <row r="204" spans="1:15" x14ac:dyDescent="0.2">
      <c r="A204" s="9" t="str">
        <f>Hidden!$FG95</f>
        <v/>
      </c>
      <c r="B204" s="531" t="str">
        <f>IF($A204="","",IFERROR(HLOOKUP(Hidden!$FB$2,Substances,MATCH($A204,CAS,0),FALSE),""))</f>
        <v/>
      </c>
      <c r="C204" s="531"/>
      <c r="D204" s="531"/>
      <c r="E204" s="531"/>
      <c r="F204" s="531"/>
      <c r="G204" s="531"/>
      <c r="H204" s="531"/>
      <c r="I204" s="212">
        <f>Hidden!HG95</f>
        <v>0</v>
      </c>
      <c r="J204" s="212">
        <f>Hidden!HH95</f>
        <v>0</v>
      </c>
      <c r="K204" s="212">
        <f>Hidden!HI95</f>
        <v>0</v>
      </c>
      <c r="L204" s="212">
        <f>Hidden!HJ95</f>
        <v>0</v>
      </c>
      <c r="M204" s="212">
        <f>Hidden!HK95</f>
        <v>0</v>
      </c>
      <c r="N204" s="212">
        <f>Hidden!HL95</f>
        <v>0</v>
      </c>
      <c r="O204" s="213">
        <f>Hidden!$PG95</f>
        <v>0</v>
      </c>
    </row>
    <row r="205" spans="1:15" x14ac:dyDescent="0.2">
      <c r="A205" s="9" t="str">
        <f>Hidden!$FG96</f>
        <v/>
      </c>
      <c r="B205" s="531" t="str">
        <f>IF($A205="","",IFERROR(HLOOKUP(Hidden!$FB$2,Substances,MATCH($A205,CAS,0),FALSE),""))</f>
        <v/>
      </c>
      <c r="C205" s="531"/>
      <c r="D205" s="531"/>
      <c r="E205" s="531"/>
      <c r="F205" s="531"/>
      <c r="G205" s="531"/>
      <c r="H205" s="531"/>
      <c r="I205" s="212">
        <f>Hidden!HG96</f>
        <v>0</v>
      </c>
      <c r="J205" s="212">
        <f>Hidden!HH96</f>
        <v>0</v>
      </c>
      <c r="K205" s="212">
        <f>Hidden!HI96</f>
        <v>0</v>
      </c>
      <c r="L205" s="212">
        <f>Hidden!HJ96</f>
        <v>0</v>
      </c>
      <c r="M205" s="212">
        <f>Hidden!HK96</f>
        <v>0</v>
      </c>
      <c r="N205" s="212">
        <f>Hidden!HL96</f>
        <v>0</v>
      </c>
      <c r="O205" s="213">
        <f>Hidden!$PG96</f>
        <v>0</v>
      </c>
    </row>
    <row r="206" spans="1:15" x14ac:dyDescent="0.2">
      <c r="A206" s="9" t="str">
        <f>Hidden!$FG97</f>
        <v/>
      </c>
      <c r="B206" s="531" t="str">
        <f>IF($A206="","",IFERROR(HLOOKUP(Hidden!$FB$2,Substances,MATCH($A206,CAS,0),FALSE),""))</f>
        <v/>
      </c>
      <c r="C206" s="531"/>
      <c r="D206" s="531"/>
      <c r="E206" s="531"/>
      <c r="F206" s="531"/>
      <c r="G206" s="531"/>
      <c r="H206" s="531"/>
      <c r="I206" s="212">
        <f>Hidden!HG97</f>
        <v>0</v>
      </c>
      <c r="J206" s="212">
        <f>Hidden!HH97</f>
        <v>0</v>
      </c>
      <c r="K206" s="212">
        <f>Hidden!HI97</f>
        <v>0</v>
      </c>
      <c r="L206" s="212">
        <f>Hidden!HJ97</f>
        <v>0</v>
      </c>
      <c r="M206" s="212">
        <f>Hidden!HK97</f>
        <v>0</v>
      </c>
      <c r="N206" s="212">
        <f>Hidden!HL97</f>
        <v>0</v>
      </c>
      <c r="O206" s="213">
        <f>Hidden!$PG97</f>
        <v>0</v>
      </c>
    </row>
    <row r="207" spans="1:15" x14ac:dyDescent="0.2">
      <c r="A207" s="9" t="str">
        <f>Hidden!$FG98</f>
        <v/>
      </c>
      <c r="B207" s="531" t="str">
        <f>IF($A207="","",IFERROR(HLOOKUP(Hidden!$FB$2,Substances,MATCH($A207,CAS,0),FALSE),""))</f>
        <v/>
      </c>
      <c r="C207" s="531"/>
      <c r="D207" s="531"/>
      <c r="E207" s="531"/>
      <c r="F207" s="531"/>
      <c r="G207" s="531"/>
      <c r="H207" s="531"/>
      <c r="I207" s="212">
        <f>Hidden!HG98</f>
        <v>0</v>
      </c>
      <c r="J207" s="212">
        <f>Hidden!HH98</f>
        <v>0</v>
      </c>
      <c r="K207" s="212">
        <f>Hidden!HI98</f>
        <v>0</v>
      </c>
      <c r="L207" s="212">
        <f>Hidden!HJ98</f>
        <v>0</v>
      </c>
      <c r="M207" s="212">
        <f>Hidden!HK98</f>
        <v>0</v>
      </c>
      <c r="N207" s="212">
        <f>Hidden!HL98</f>
        <v>0</v>
      </c>
      <c r="O207" s="213">
        <f>Hidden!$PG98</f>
        <v>0</v>
      </c>
    </row>
    <row r="208" spans="1:15" x14ac:dyDescent="0.2">
      <c r="A208" s="9" t="str">
        <f>Hidden!$FG99</f>
        <v/>
      </c>
      <c r="B208" s="531" t="str">
        <f>IF($A208="","",IFERROR(HLOOKUP(Hidden!$FB$2,Substances,MATCH($A208,CAS,0),FALSE),""))</f>
        <v/>
      </c>
      <c r="C208" s="531"/>
      <c r="D208" s="531"/>
      <c r="E208" s="531"/>
      <c r="F208" s="531"/>
      <c r="G208" s="531"/>
      <c r="H208" s="531"/>
      <c r="I208" s="212">
        <f>Hidden!HG99</f>
        <v>0</v>
      </c>
      <c r="J208" s="212">
        <f>Hidden!HH99</f>
        <v>0</v>
      </c>
      <c r="K208" s="212">
        <f>Hidden!HI99</f>
        <v>0</v>
      </c>
      <c r="L208" s="212">
        <f>Hidden!HJ99</f>
        <v>0</v>
      </c>
      <c r="M208" s="212">
        <f>Hidden!HK99</f>
        <v>0</v>
      </c>
      <c r="N208" s="212">
        <f>Hidden!HL99</f>
        <v>0</v>
      </c>
      <c r="O208" s="213">
        <f>Hidden!$PG99</f>
        <v>0</v>
      </c>
    </row>
    <row r="209" spans="1:15" x14ac:dyDescent="0.2">
      <c r="A209" s="9" t="str">
        <f>Hidden!$FG100</f>
        <v/>
      </c>
      <c r="B209" s="531" t="str">
        <f>IF($A209="","",IFERROR(HLOOKUP(Hidden!$FB$2,Substances,MATCH($A209,CAS,0),FALSE),""))</f>
        <v/>
      </c>
      <c r="C209" s="531"/>
      <c r="D209" s="531"/>
      <c r="E209" s="531"/>
      <c r="F209" s="531"/>
      <c r="G209" s="531"/>
      <c r="H209" s="531"/>
      <c r="I209" s="212">
        <f>Hidden!HG100</f>
        <v>0</v>
      </c>
      <c r="J209" s="212">
        <f>Hidden!HH100</f>
        <v>0</v>
      </c>
      <c r="K209" s="212">
        <f>Hidden!HI100</f>
        <v>0</v>
      </c>
      <c r="L209" s="212">
        <f>Hidden!HJ100</f>
        <v>0</v>
      </c>
      <c r="M209" s="212">
        <f>Hidden!HK100</f>
        <v>0</v>
      </c>
      <c r="N209" s="212">
        <f>Hidden!HL100</f>
        <v>0</v>
      </c>
      <c r="O209" s="213">
        <f>Hidden!$PG100</f>
        <v>0</v>
      </c>
    </row>
    <row r="210" spans="1:15" x14ac:dyDescent="0.2">
      <c r="A210" s="9" t="str">
        <f>Hidden!$FG101</f>
        <v/>
      </c>
      <c r="B210" s="531" t="str">
        <f>IF($A210="","",IFERROR(HLOOKUP(Hidden!$FB$2,Substances,MATCH($A210,CAS,0),FALSE),""))</f>
        <v/>
      </c>
      <c r="C210" s="531"/>
      <c r="D210" s="531"/>
      <c r="E210" s="531"/>
      <c r="F210" s="531"/>
      <c r="G210" s="531"/>
      <c r="H210" s="531"/>
      <c r="I210" s="212">
        <f>Hidden!HG101</f>
        <v>0</v>
      </c>
      <c r="J210" s="212">
        <f>Hidden!HH101</f>
        <v>0</v>
      </c>
      <c r="K210" s="212">
        <f>Hidden!HI101</f>
        <v>0</v>
      </c>
      <c r="L210" s="212">
        <f>Hidden!HJ101</f>
        <v>0</v>
      </c>
      <c r="M210" s="212">
        <f>Hidden!HK101</f>
        <v>0</v>
      </c>
      <c r="N210" s="212">
        <f>Hidden!HL101</f>
        <v>0</v>
      </c>
      <c r="O210" s="213">
        <f>Hidden!$PG101</f>
        <v>0</v>
      </c>
    </row>
    <row r="211" spans="1:15" x14ac:dyDescent="0.2">
      <c r="A211" s="9" t="str">
        <f>Hidden!$FG102</f>
        <v/>
      </c>
      <c r="B211" s="531" t="str">
        <f>IF($A211="","",IFERROR(HLOOKUP(Hidden!$FB$2,Substances,MATCH($A211,CAS,0),FALSE),""))</f>
        <v/>
      </c>
      <c r="C211" s="531"/>
      <c r="D211" s="531"/>
      <c r="E211" s="531"/>
      <c r="F211" s="531"/>
      <c r="G211" s="531"/>
      <c r="H211" s="531"/>
      <c r="I211" s="212">
        <f>Hidden!HG102</f>
        <v>0</v>
      </c>
      <c r="J211" s="212">
        <f>Hidden!HH102</f>
        <v>0</v>
      </c>
      <c r="K211" s="212">
        <f>Hidden!HI102</f>
        <v>0</v>
      </c>
      <c r="L211" s="212">
        <f>Hidden!HJ102</f>
        <v>0</v>
      </c>
      <c r="M211" s="212">
        <f>Hidden!HK102</f>
        <v>0</v>
      </c>
      <c r="N211" s="212">
        <f>Hidden!HL102</f>
        <v>0</v>
      </c>
      <c r="O211" s="213">
        <f>Hidden!$PG102</f>
        <v>0</v>
      </c>
    </row>
    <row r="212" spans="1:15" x14ac:dyDescent="0.2">
      <c r="A212" s="9" t="str">
        <f>Hidden!$FG103</f>
        <v/>
      </c>
      <c r="B212" s="531" t="str">
        <f>IF($A212="","",IFERROR(HLOOKUP(Hidden!$FB$2,Substances,MATCH($A212,CAS,0),FALSE),""))</f>
        <v/>
      </c>
      <c r="C212" s="531"/>
      <c r="D212" s="531"/>
      <c r="E212" s="531"/>
      <c r="F212" s="531"/>
      <c r="G212" s="531"/>
      <c r="H212" s="531"/>
      <c r="I212" s="212">
        <f>Hidden!HG103</f>
        <v>0</v>
      </c>
      <c r="J212" s="212">
        <f>Hidden!HH103</f>
        <v>0</v>
      </c>
      <c r="K212" s="212">
        <f>Hidden!HI103</f>
        <v>0</v>
      </c>
      <c r="L212" s="212">
        <f>Hidden!HJ103</f>
        <v>0</v>
      </c>
      <c r="M212" s="212">
        <f>Hidden!HK103</f>
        <v>0</v>
      </c>
      <c r="N212" s="212">
        <f>Hidden!HL103</f>
        <v>0</v>
      </c>
      <c r="O212" s="213">
        <f>Hidden!$PG103</f>
        <v>0</v>
      </c>
    </row>
    <row r="213" spans="1:15" x14ac:dyDescent="0.2">
      <c r="A213" s="9" t="str">
        <f>Hidden!$FG104</f>
        <v/>
      </c>
      <c r="B213" s="531" t="str">
        <f>IF($A213="","",IFERROR(HLOOKUP(Hidden!$FB$2,Substances,MATCH($A213,CAS,0),FALSE),""))</f>
        <v/>
      </c>
      <c r="C213" s="531"/>
      <c r="D213" s="531"/>
      <c r="E213" s="531"/>
      <c r="F213" s="531"/>
      <c r="G213" s="531"/>
      <c r="H213" s="531"/>
      <c r="I213" s="212">
        <f>Hidden!HG104</f>
        <v>0</v>
      </c>
      <c r="J213" s="212">
        <f>Hidden!HH104</f>
        <v>0</v>
      </c>
      <c r="K213" s="212">
        <f>Hidden!HI104</f>
        <v>0</v>
      </c>
      <c r="L213" s="212">
        <f>Hidden!HJ104</f>
        <v>0</v>
      </c>
      <c r="M213" s="212">
        <f>Hidden!HK104</f>
        <v>0</v>
      </c>
      <c r="N213" s="212">
        <f>Hidden!HL104</f>
        <v>0</v>
      </c>
      <c r="O213" s="213">
        <f>Hidden!$PG104</f>
        <v>0</v>
      </c>
    </row>
    <row r="214" spans="1:15" x14ac:dyDescent="0.2">
      <c r="A214" s="9" t="str">
        <f>Hidden!$FG105</f>
        <v/>
      </c>
      <c r="B214" s="531" t="str">
        <f>IF($A214="","",IFERROR(HLOOKUP(Hidden!$FB$2,Substances,MATCH($A214,CAS,0),FALSE),""))</f>
        <v/>
      </c>
      <c r="C214" s="531"/>
      <c r="D214" s="531"/>
      <c r="E214" s="531"/>
      <c r="F214" s="531"/>
      <c r="G214" s="531"/>
      <c r="H214" s="531"/>
      <c r="I214" s="212">
        <f>Hidden!HG105</f>
        <v>0</v>
      </c>
      <c r="J214" s="212">
        <f>Hidden!HH105</f>
        <v>0</v>
      </c>
      <c r="K214" s="212">
        <f>Hidden!HI105</f>
        <v>0</v>
      </c>
      <c r="L214" s="212">
        <f>Hidden!HJ105</f>
        <v>0</v>
      </c>
      <c r="M214" s="212">
        <f>Hidden!HK105</f>
        <v>0</v>
      </c>
      <c r="N214" s="212">
        <f>Hidden!HL105</f>
        <v>0</v>
      </c>
      <c r="O214" s="213">
        <f>Hidden!$PG105</f>
        <v>0</v>
      </c>
    </row>
    <row r="215" spans="1:15" x14ac:dyDescent="0.2">
      <c r="A215" s="9" t="str">
        <f>Hidden!$FG106</f>
        <v/>
      </c>
      <c r="B215" s="531" t="str">
        <f>IF($A215="","",IFERROR(HLOOKUP(Hidden!$FB$2,Substances,MATCH($A215,CAS,0),FALSE),""))</f>
        <v/>
      </c>
      <c r="C215" s="531"/>
      <c r="D215" s="531"/>
      <c r="E215" s="531"/>
      <c r="F215" s="531"/>
      <c r="G215" s="531"/>
      <c r="H215" s="531"/>
      <c r="I215" s="212">
        <f>Hidden!HG106</f>
        <v>0</v>
      </c>
      <c r="J215" s="212">
        <f>Hidden!HH106</f>
        <v>0</v>
      </c>
      <c r="K215" s="212">
        <f>Hidden!HI106</f>
        <v>0</v>
      </c>
      <c r="L215" s="212">
        <f>Hidden!HJ106</f>
        <v>0</v>
      </c>
      <c r="M215" s="212">
        <f>Hidden!HK106</f>
        <v>0</v>
      </c>
      <c r="N215" s="212">
        <f>Hidden!HL106</f>
        <v>0</v>
      </c>
      <c r="O215" s="213">
        <f>Hidden!$PG106</f>
        <v>0</v>
      </c>
    </row>
    <row r="216" spans="1:15" x14ac:dyDescent="0.2">
      <c r="A216" s="9" t="str">
        <f>Hidden!$FG107</f>
        <v/>
      </c>
      <c r="B216" s="531" t="str">
        <f>IF($A216="","",IFERROR(HLOOKUP(Hidden!$FB$2,Substances,MATCH($A216,CAS,0),FALSE),""))</f>
        <v/>
      </c>
      <c r="C216" s="531"/>
      <c r="D216" s="531"/>
      <c r="E216" s="531"/>
      <c r="F216" s="531"/>
      <c r="G216" s="531"/>
      <c r="H216" s="531"/>
      <c r="I216" s="212">
        <f>Hidden!HG107</f>
        <v>0</v>
      </c>
      <c r="J216" s="212">
        <f>Hidden!HH107</f>
        <v>0</v>
      </c>
      <c r="K216" s="212">
        <f>Hidden!HI107</f>
        <v>0</v>
      </c>
      <c r="L216" s="212">
        <f>Hidden!HJ107</f>
        <v>0</v>
      </c>
      <c r="M216" s="212">
        <f>Hidden!HK107</f>
        <v>0</v>
      </c>
      <c r="N216" s="212">
        <f>Hidden!HL107</f>
        <v>0</v>
      </c>
      <c r="O216" s="213">
        <f>Hidden!$PG107</f>
        <v>0</v>
      </c>
    </row>
    <row r="217" spans="1:15" x14ac:dyDescent="0.2">
      <c r="A217" s="9" t="str">
        <f>Hidden!$FG108</f>
        <v/>
      </c>
      <c r="B217" s="531" t="str">
        <f>IF($A217="","",IFERROR(HLOOKUP(Hidden!$FB$2,Substances,MATCH($A217,CAS,0),FALSE),""))</f>
        <v/>
      </c>
      <c r="C217" s="531"/>
      <c r="D217" s="531"/>
      <c r="E217" s="531"/>
      <c r="F217" s="531"/>
      <c r="G217" s="531"/>
      <c r="H217" s="531"/>
      <c r="I217" s="212">
        <f>Hidden!HG108</f>
        <v>0</v>
      </c>
      <c r="J217" s="212">
        <f>Hidden!HH108</f>
        <v>0</v>
      </c>
      <c r="K217" s="212">
        <f>Hidden!HI108</f>
        <v>0</v>
      </c>
      <c r="L217" s="212">
        <f>Hidden!HJ108</f>
        <v>0</v>
      </c>
      <c r="M217" s="212">
        <f>Hidden!HK108</f>
        <v>0</v>
      </c>
      <c r="N217" s="212">
        <f>Hidden!HL108</f>
        <v>0</v>
      </c>
      <c r="O217" s="213">
        <f>Hidden!$PG108</f>
        <v>0</v>
      </c>
    </row>
    <row r="218" spans="1:15" x14ac:dyDescent="0.2">
      <c r="A218" s="9" t="str">
        <f>Hidden!$FG109</f>
        <v/>
      </c>
      <c r="B218" s="531" t="str">
        <f>IF($A218="","",IFERROR(HLOOKUP(Hidden!$FB$2,Substances,MATCH($A218,CAS,0),FALSE),""))</f>
        <v/>
      </c>
      <c r="C218" s="531"/>
      <c r="D218" s="531"/>
      <c r="E218" s="531"/>
      <c r="F218" s="531"/>
      <c r="G218" s="531"/>
      <c r="H218" s="531"/>
      <c r="I218" s="212">
        <f>Hidden!HG109</f>
        <v>0</v>
      </c>
      <c r="J218" s="212">
        <f>Hidden!HH109</f>
        <v>0</v>
      </c>
      <c r="K218" s="212">
        <f>Hidden!HI109</f>
        <v>0</v>
      </c>
      <c r="L218" s="212">
        <f>Hidden!HJ109</f>
        <v>0</v>
      </c>
      <c r="M218" s="212">
        <f>Hidden!HK109</f>
        <v>0</v>
      </c>
      <c r="N218" s="212">
        <f>Hidden!HL109</f>
        <v>0</v>
      </c>
      <c r="O218" s="213">
        <f>Hidden!$PG109</f>
        <v>0</v>
      </c>
    </row>
    <row r="219" spans="1:15" x14ac:dyDescent="0.2">
      <c r="A219" s="9" t="str">
        <f>Hidden!$FG110</f>
        <v/>
      </c>
      <c r="B219" s="531" t="str">
        <f>IF($A219="","",IFERROR(HLOOKUP(Hidden!$FB$2,Substances,MATCH($A219,CAS,0),FALSE),""))</f>
        <v/>
      </c>
      <c r="C219" s="531"/>
      <c r="D219" s="531"/>
      <c r="E219" s="531"/>
      <c r="F219" s="531"/>
      <c r="G219" s="531"/>
      <c r="H219" s="531"/>
      <c r="I219" s="212">
        <f>Hidden!HG110</f>
        <v>0</v>
      </c>
      <c r="J219" s="212">
        <f>Hidden!HH110</f>
        <v>0</v>
      </c>
      <c r="K219" s="212">
        <f>Hidden!HI110</f>
        <v>0</v>
      </c>
      <c r="L219" s="212">
        <f>Hidden!HJ110</f>
        <v>0</v>
      </c>
      <c r="M219" s="212">
        <f>Hidden!HK110</f>
        <v>0</v>
      </c>
      <c r="N219" s="212">
        <f>Hidden!HL110</f>
        <v>0</v>
      </c>
      <c r="O219" s="213">
        <f>Hidden!$PG110</f>
        <v>0</v>
      </c>
    </row>
    <row r="220" spans="1:15" ht="15" thickBot="1" x14ac:dyDescent="0.25">
      <c r="A220" s="112" t="str">
        <f>Hidden!$FG111</f>
        <v/>
      </c>
      <c r="B220" s="484" t="str">
        <f>IF($A220="","",IFERROR(HLOOKUP(Hidden!$FB$2,Substances,MATCH($A220,CAS,0),FALSE),""))</f>
        <v/>
      </c>
      <c r="C220" s="484"/>
      <c r="D220" s="484"/>
      <c r="E220" s="484"/>
      <c r="F220" s="484"/>
      <c r="G220" s="484"/>
      <c r="H220" s="484"/>
      <c r="I220" s="361">
        <f>Hidden!HG111</f>
        <v>0</v>
      </c>
      <c r="J220" s="361">
        <f>Hidden!HH111</f>
        <v>0</v>
      </c>
      <c r="K220" s="361">
        <f>Hidden!HI111</f>
        <v>0</v>
      </c>
      <c r="L220" s="361">
        <f>Hidden!HJ111</f>
        <v>0</v>
      </c>
      <c r="M220" s="361">
        <f>Hidden!HK111</f>
        <v>0</v>
      </c>
      <c r="N220" s="361">
        <f>Hidden!HL111</f>
        <v>0</v>
      </c>
      <c r="O220" s="214">
        <f>Hidden!$PG111</f>
        <v>0</v>
      </c>
    </row>
    <row r="221" spans="1:15" ht="15" thickBot="1" x14ac:dyDescent="0.25">
      <c r="A221" s="953" t="s">
        <v>1</v>
      </c>
      <c r="B221" s="828"/>
      <c r="C221" s="828"/>
      <c r="D221" s="828"/>
      <c r="E221" s="828"/>
      <c r="F221" s="828"/>
      <c r="G221" s="828"/>
      <c r="H221" s="828"/>
      <c r="I221" s="828"/>
      <c r="J221" s="828"/>
      <c r="K221" s="828"/>
      <c r="L221" s="828"/>
      <c r="M221" s="828"/>
      <c r="N221" s="828"/>
      <c r="O221" s="828"/>
    </row>
    <row r="222" spans="1:15" ht="15.75" thickBot="1" x14ac:dyDescent="0.25">
      <c r="A222" s="474" t="s">
        <v>10065</v>
      </c>
      <c r="B222" s="474"/>
      <c r="C222" s="474"/>
      <c r="D222" s="474"/>
      <c r="E222" s="474"/>
      <c r="F222" s="474"/>
      <c r="G222" s="474"/>
      <c r="H222" s="474"/>
      <c r="I222" s="474"/>
      <c r="J222" s="474"/>
      <c r="K222" s="474"/>
      <c r="L222" s="474"/>
      <c r="M222" s="474"/>
      <c r="N222" s="474"/>
      <c r="O222" s="474"/>
    </row>
    <row r="223" spans="1:15" ht="105" x14ac:dyDescent="0.2">
      <c r="A223" s="48" t="s">
        <v>8751</v>
      </c>
      <c r="B223" s="540" t="s">
        <v>9203</v>
      </c>
      <c r="C223" s="540"/>
      <c r="D223" s="49" t="s">
        <v>9526</v>
      </c>
      <c r="E223" s="49" t="s">
        <v>9528</v>
      </c>
      <c r="F223" s="49" t="s">
        <v>9524</v>
      </c>
      <c r="G223" s="49" t="s">
        <v>9525</v>
      </c>
      <c r="H223" s="49" t="s">
        <v>9536</v>
      </c>
      <c r="I223" s="49" t="s">
        <v>10051</v>
      </c>
      <c r="J223" s="49" t="s">
        <v>10052</v>
      </c>
      <c r="K223" s="862" t="s">
        <v>9205</v>
      </c>
      <c r="L223" s="862"/>
      <c r="M223" s="862"/>
      <c r="N223" s="862"/>
      <c r="O223" s="863"/>
    </row>
    <row r="224" spans="1:15" ht="30" customHeight="1" x14ac:dyDescent="0.2">
      <c r="A224" s="9" t="str">
        <f>A111</f>
        <v/>
      </c>
      <c r="B224" s="689" t="str">
        <f>B111</f>
        <v/>
      </c>
      <c r="C224" s="758"/>
      <c r="D224" s="16">
        <f>Impacts!D228</f>
        <v>0</v>
      </c>
      <c r="E224" s="16">
        <f>Impacts!E228</f>
        <v>0</v>
      </c>
      <c r="F224" s="16" t="str">
        <f t="shared" ref="F224:F255" si="3">IF($A224="","",IF(ISTEXT(VLOOKUP($A224,CASandESL,2,FALSE)),VLOOKUP($A224,CASandESL,2,FALSE),IF(ISNUMBER(VLOOKUP($A224,CASandESL,2,FALSE)),VLOOKUP($A224,CASandESL,2,FALSE)*0.1)))</f>
        <v/>
      </c>
      <c r="G224" s="16" t="str">
        <f>IF($A224="","",IF(ISTEXT(VLOOKUP($A224,CASandESL,3,FALSE)),VLOOKUP($A224,CASandESL,3,FALSE),IF(ISNUMBER(VLOOKUP($A224,CASandESL,3,FALSE)),VLOOKUP($A224,CASandESL,3,FALSE)*0.1)))</f>
        <v/>
      </c>
      <c r="H224" s="16" t="str">
        <f>IF(OR($A224="",$E224=""),"",IF($E224="yes",IF(ISNUMBER($G224),"Yes",IF($G224="simple asphyxiant","No","evaluated in section IV")),IF($F224="no value",IF(ISNUMBER($G224),"Yes",IF($G224="simple asphyxiant","No","evaluated in section IV")),IF(ISNUMBER($G224),IF(($G224/0.1)&lt;$F224,"Yes","No"),IF($G224="simple asphyxiant","No","evaluated in section IV")))))</f>
        <v/>
      </c>
      <c r="I224" s="16" t="str">
        <f>IF($A224="","",IF(ISTEXT($F224),IF(OR($F224="no value",$F224="simple asphyxiant"),"analysis not needed","evaluated in section IV"),IF(COUNTIF($I111:$N111,"&gt;="&amp;$F224)&gt;0,"No","Yes")))</f>
        <v/>
      </c>
      <c r="J224" s="16" t="str">
        <f>IF(OR($A224="",$H224=""),"",IF($H224="No","analysis not needed",IF(ISTEXT($G224),IF($G224="simple asphyxiant","analysis not needed","evaluated in section IV"),IF(COUNTIF($O111,"&gt;="&amp;$G224),"No","Yes"))))</f>
        <v/>
      </c>
      <c r="K224" s="531" t="str">
        <f>IF(OR($I224="",$J224=""),"",IF(AND($I224&lt;&gt;"No",$J224&lt;&gt;"No"),"no additional steps required",IF($D224="no","revise data on previous sheets","proceed to site-wide analysis for this species")))</f>
        <v/>
      </c>
      <c r="L224" s="531"/>
      <c r="M224" s="531"/>
      <c r="N224" s="531"/>
      <c r="O224" s="538"/>
    </row>
    <row r="225" spans="1:15" ht="30" customHeight="1" x14ac:dyDescent="0.2">
      <c r="A225" s="9" t="str">
        <f t="shared" ref="A225:B288" si="4">A112</f>
        <v/>
      </c>
      <c r="B225" s="689" t="str">
        <f t="shared" si="4"/>
        <v/>
      </c>
      <c r="C225" s="758"/>
      <c r="D225" s="16">
        <f>Impacts!D229</f>
        <v>0</v>
      </c>
      <c r="E225" s="16">
        <f>Impacts!E229</f>
        <v>0</v>
      </c>
      <c r="F225" s="16" t="str">
        <f t="shared" si="3"/>
        <v/>
      </c>
      <c r="G225" s="16" t="str">
        <f t="shared" ref="G225:G255" si="5">IF($A225="","",IF(ISTEXT(VLOOKUP($A225,CASandESL,3,FALSE)),VLOOKUP($A225,CASandESL,3,FALSE),IF(ISNUMBER(VLOOKUP($A225,CASandESL,3,FALSE)),VLOOKUP($A225,CASandESL,3,FALSE)*0.1)))</f>
        <v/>
      </c>
      <c r="H225" s="16" t="str">
        <f t="shared" ref="H225:H288" si="6">IF(OR($A225="",$E225=""),"",IF($E225="yes",IF(ISNUMBER($G225),"Yes",IF($G225="simple asphyxiant","No","evaluated in section IV")),IF($F225="no value",IF(ISNUMBER($G225),"Yes",IF($G225="simple asphyxiant","No","evaluated in section IV")),IF(ISNUMBER($G225),IF(($G225/0.1)&lt;$F225,"Yes","No"),IF($G225="simple asphyxiant","No","evaluated in section IV")))))</f>
        <v/>
      </c>
      <c r="I225" s="16" t="str">
        <f t="shared" ref="I225:I288" si="7">IF($A225="","",IF(ISTEXT($F225),IF(OR($F225="no value",$F225="simple asphyxiant"),"analysis not needed","evaluated in section IV"),IF(COUNTIF($I112:$N112,"&gt;="&amp;$F225)&gt;0,"No","Yes")))</f>
        <v/>
      </c>
      <c r="J225" s="16" t="str">
        <f t="shared" ref="J225:J288" si="8">IF(OR($A225="",$H225=""),"",IF($H225="No","analysis not needed",IF(ISTEXT($G225),IF($G225="simple asphyxiant","analysis not needed","evaluated in section IV"),IF(COUNTIF($O112,"&gt;="&amp;$G225),"No","Yes"))))</f>
        <v/>
      </c>
      <c r="K225" s="689" t="str">
        <f t="shared" ref="K225:K288" si="9">IF(OR($I225="",$J225=""),"",IF(AND($I225&lt;&gt;"No",$J225&lt;&gt;"No"),"no additional steps required",IF($D225="no","revise data on previous sheets","proceed to site-wide analysis for this species")))</f>
        <v/>
      </c>
      <c r="L225" s="690"/>
      <c r="M225" s="690"/>
      <c r="N225" s="690"/>
      <c r="O225" s="691"/>
    </row>
    <row r="226" spans="1:15" ht="30" customHeight="1" x14ac:dyDescent="0.2">
      <c r="A226" s="9" t="str">
        <f t="shared" si="4"/>
        <v/>
      </c>
      <c r="B226" s="689" t="str">
        <f t="shared" si="4"/>
        <v/>
      </c>
      <c r="C226" s="758"/>
      <c r="D226" s="16">
        <f>Impacts!D230</f>
        <v>0</v>
      </c>
      <c r="E226" s="16">
        <f>Impacts!E230</f>
        <v>0</v>
      </c>
      <c r="F226" s="16" t="str">
        <f t="shared" si="3"/>
        <v/>
      </c>
      <c r="G226" s="16" t="str">
        <f t="shared" si="5"/>
        <v/>
      </c>
      <c r="H226" s="16" t="str">
        <f t="shared" si="6"/>
        <v/>
      </c>
      <c r="I226" s="16" t="str">
        <f t="shared" si="7"/>
        <v/>
      </c>
      <c r="J226" s="16" t="str">
        <f t="shared" si="8"/>
        <v/>
      </c>
      <c r="K226" s="689" t="str">
        <f t="shared" si="9"/>
        <v/>
      </c>
      <c r="L226" s="690"/>
      <c r="M226" s="690"/>
      <c r="N226" s="690"/>
      <c r="O226" s="691"/>
    </row>
    <row r="227" spans="1:15" ht="30" customHeight="1" x14ac:dyDescent="0.2">
      <c r="A227" s="9" t="str">
        <f t="shared" si="4"/>
        <v/>
      </c>
      <c r="B227" s="689" t="str">
        <f t="shared" si="4"/>
        <v/>
      </c>
      <c r="C227" s="758"/>
      <c r="D227" s="16">
        <f>Impacts!D231</f>
        <v>0</v>
      </c>
      <c r="E227" s="16">
        <f>Impacts!E231</f>
        <v>0</v>
      </c>
      <c r="F227" s="16" t="str">
        <f t="shared" si="3"/>
        <v/>
      </c>
      <c r="G227" s="16" t="str">
        <f t="shared" si="5"/>
        <v/>
      </c>
      <c r="H227" s="16" t="str">
        <f t="shared" si="6"/>
        <v/>
      </c>
      <c r="I227" s="16" t="str">
        <f t="shared" si="7"/>
        <v/>
      </c>
      <c r="J227" s="16" t="str">
        <f t="shared" si="8"/>
        <v/>
      </c>
      <c r="K227" s="689" t="str">
        <f t="shared" si="9"/>
        <v/>
      </c>
      <c r="L227" s="690"/>
      <c r="M227" s="690"/>
      <c r="N227" s="690"/>
      <c r="O227" s="691"/>
    </row>
    <row r="228" spans="1:15" ht="30" customHeight="1" x14ac:dyDescent="0.2">
      <c r="A228" s="9" t="str">
        <f t="shared" si="4"/>
        <v/>
      </c>
      <c r="B228" s="689" t="str">
        <f t="shared" si="4"/>
        <v/>
      </c>
      <c r="C228" s="758"/>
      <c r="D228" s="16">
        <f>Impacts!D232</f>
        <v>0</v>
      </c>
      <c r="E228" s="16">
        <f>Impacts!E232</f>
        <v>0</v>
      </c>
      <c r="F228" s="16" t="str">
        <f t="shared" si="3"/>
        <v/>
      </c>
      <c r="G228" s="16" t="str">
        <f t="shared" si="5"/>
        <v/>
      </c>
      <c r="H228" s="16" t="str">
        <f t="shared" si="6"/>
        <v/>
      </c>
      <c r="I228" s="16" t="str">
        <f t="shared" si="7"/>
        <v/>
      </c>
      <c r="J228" s="16" t="str">
        <f t="shared" si="8"/>
        <v/>
      </c>
      <c r="K228" s="689" t="str">
        <f t="shared" si="9"/>
        <v/>
      </c>
      <c r="L228" s="690"/>
      <c r="M228" s="690"/>
      <c r="N228" s="690"/>
      <c r="O228" s="691"/>
    </row>
    <row r="229" spans="1:15" ht="30" customHeight="1" x14ac:dyDescent="0.2">
      <c r="A229" s="9" t="str">
        <f t="shared" si="4"/>
        <v/>
      </c>
      <c r="B229" s="689" t="str">
        <f t="shared" si="4"/>
        <v/>
      </c>
      <c r="C229" s="758"/>
      <c r="D229" s="16">
        <f>Impacts!D233</f>
        <v>0</v>
      </c>
      <c r="E229" s="16">
        <f>Impacts!E233</f>
        <v>0</v>
      </c>
      <c r="F229" s="16" t="str">
        <f t="shared" si="3"/>
        <v/>
      </c>
      <c r="G229" s="16" t="str">
        <f t="shared" si="5"/>
        <v/>
      </c>
      <c r="H229" s="16" t="str">
        <f t="shared" si="6"/>
        <v/>
      </c>
      <c r="I229" s="16" t="str">
        <f t="shared" si="7"/>
        <v/>
      </c>
      <c r="J229" s="16" t="str">
        <f t="shared" si="8"/>
        <v/>
      </c>
      <c r="K229" s="689" t="str">
        <f t="shared" si="9"/>
        <v/>
      </c>
      <c r="L229" s="690"/>
      <c r="M229" s="690"/>
      <c r="N229" s="690"/>
      <c r="O229" s="691"/>
    </row>
    <row r="230" spans="1:15" ht="30" customHeight="1" x14ac:dyDescent="0.2">
      <c r="A230" s="9" t="str">
        <f t="shared" si="4"/>
        <v/>
      </c>
      <c r="B230" s="689" t="str">
        <f t="shared" si="4"/>
        <v/>
      </c>
      <c r="C230" s="758"/>
      <c r="D230" s="16">
        <f>Impacts!D234</f>
        <v>0</v>
      </c>
      <c r="E230" s="16">
        <f>Impacts!E234</f>
        <v>0</v>
      </c>
      <c r="F230" s="16" t="str">
        <f t="shared" si="3"/>
        <v/>
      </c>
      <c r="G230" s="16" t="str">
        <f t="shared" si="5"/>
        <v/>
      </c>
      <c r="H230" s="16" t="str">
        <f t="shared" si="6"/>
        <v/>
      </c>
      <c r="I230" s="16" t="str">
        <f t="shared" si="7"/>
        <v/>
      </c>
      <c r="J230" s="16" t="str">
        <f t="shared" si="8"/>
        <v/>
      </c>
      <c r="K230" s="689" t="str">
        <f t="shared" si="9"/>
        <v/>
      </c>
      <c r="L230" s="690"/>
      <c r="M230" s="690"/>
      <c r="N230" s="690"/>
      <c r="O230" s="691"/>
    </row>
    <row r="231" spans="1:15" ht="30" customHeight="1" x14ac:dyDescent="0.2">
      <c r="A231" s="9" t="str">
        <f t="shared" si="4"/>
        <v/>
      </c>
      <c r="B231" s="689" t="str">
        <f t="shared" si="4"/>
        <v/>
      </c>
      <c r="C231" s="758"/>
      <c r="D231" s="16">
        <f>Impacts!D235</f>
        <v>0</v>
      </c>
      <c r="E231" s="16">
        <f>Impacts!E235</f>
        <v>0</v>
      </c>
      <c r="F231" s="16" t="str">
        <f t="shared" si="3"/>
        <v/>
      </c>
      <c r="G231" s="16" t="str">
        <f t="shared" si="5"/>
        <v/>
      </c>
      <c r="H231" s="16" t="str">
        <f t="shared" si="6"/>
        <v/>
      </c>
      <c r="I231" s="16" t="str">
        <f t="shared" si="7"/>
        <v/>
      </c>
      <c r="J231" s="16" t="str">
        <f t="shared" si="8"/>
        <v/>
      </c>
      <c r="K231" s="689" t="str">
        <f t="shared" si="9"/>
        <v/>
      </c>
      <c r="L231" s="690"/>
      <c r="M231" s="690"/>
      <c r="N231" s="690"/>
      <c r="O231" s="691"/>
    </row>
    <row r="232" spans="1:15" ht="30" customHeight="1" x14ac:dyDescent="0.2">
      <c r="A232" s="9" t="str">
        <f t="shared" si="4"/>
        <v/>
      </c>
      <c r="B232" s="689" t="str">
        <f t="shared" si="4"/>
        <v/>
      </c>
      <c r="C232" s="758"/>
      <c r="D232" s="16">
        <f>Impacts!D236</f>
        <v>0</v>
      </c>
      <c r="E232" s="16">
        <f>Impacts!E236</f>
        <v>0</v>
      </c>
      <c r="F232" s="16" t="str">
        <f t="shared" si="3"/>
        <v/>
      </c>
      <c r="G232" s="16" t="str">
        <f t="shared" si="5"/>
        <v/>
      </c>
      <c r="H232" s="16" t="str">
        <f t="shared" si="6"/>
        <v/>
      </c>
      <c r="I232" s="16" t="str">
        <f t="shared" si="7"/>
        <v/>
      </c>
      <c r="J232" s="16" t="str">
        <f t="shared" si="8"/>
        <v/>
      </c>
      <c r="K232" s="689" t="str">
        <f t="shared" si="9"/>
        <v/>
      </c>
      <c r="L232" s="690"/>
      <c r="M232" s="690"/>
      <c r="N232" s="690"/>
      <c r="O232" s="691"/>
    </row>
    <row r="233" spans="1:15" ht="30" customHeight="1" x14ac:dyDescent="0.2">
      <c r="A233" s="9" t="str">
        <f t="shared" si="4"/>
        <v/>
      </c>
      <c r="B233" s="689" t="str">
        <f t="shared" si="4"/>
        <v/>
      </c>
      <c r="C233" s="758"/>
      <c r="D233" s="16">
        <f>Impacts!D237</f>
        <v>0</v>
      </c>
      <c r="E233" s="16">
        <f>Impacts!E237</f>
        <v>0</v>
      </c>
      <c r="F233" s="16" t="str">
        <f t="shared" si="3"/>
        <v/>
      </c>
      <c r="G233" s="16" t="str">
        <f t="shared" si="5"/>
        <v/>
      </c>
      <c r="H233" s="16" t="str">
        <f t="shared" si="6"/>
        <v/>
      </c>
      <c r="I233" s="16" t="str">
        <f t="shared" si="7"/>
        <v/>
      </c>
      <c r="J233" s="16" t="str">
        <f>IF(OR($A233="",$H233=""),"",IF($H233="No","analysis not needed",IF(ISTEXT($G233),IF($G233="simple asphyxiant","analysis not needed","evaluated in section IV"),IF(COUNTIF($O120,"&gt;="&amp;$G233),"No","Yes"))))</f>
        <v/>
      </c>
      <c r="K233" s="689" t="str">
        <f t="shared" si="9"/>
        <v/>
      </c>
      <c r="L233" s="690"/>
      <c r="M233" s="690"/>
      <c r="N233" s="690"/>
      <c r="O233" s="691"/>
    </row>
    <row r="234" spans="1:15" ht="30" customHeight="1" x14ac:dyDescent="0.2">
      <c r="A234" s="9" t="str">
        <f t="shared" si="4"/>
        <v/>
      </c>
      <c r="B234" s="689" t="str">
        <f t="shared" si="4"/>
        <v/>
      </c>
      <c r="C234" s="758"/>
      <c r="D234" s="16">
        <f>Impacts!D238</f>
        <v>0</v>
      </c>
      <c r="E234" s="16">
        <f>Impacts!E238</f>
        <v>0</v>
      </c>
      <c r="F234" s="16" t="str">
        <f t="shared" si="3"/>
        <v/>
      </c>
      <c r="G234" s="16" t="str">
        <f t="shared" si="5"/>
        <v/>
      </c>
      <c r="H234" s="16" t="str">
        <f t="shared" si="6"/>
        <v/>
      </c>
      <c r="I234" s="16" t="str">
        <f t="shared" si="7"/>
        <v/>
      </c>
      <c r="J234" s="16" t="str">
        <f t="shared" si="8"/>
        <v/>
      </c>
      <c r="K234" s="689" t="str">
        <f t="shared" si="9"/>
        <v/>
      </c>
      <c r="L234" s="690"/>
      <c r="M234" s="690"/>
      <c r="N234" s="690"/>
      <c r="O234" s="691"/>
    </row>
    <row r="235" spans="1:15" ht="30" customHeight="1" x14ac:dyDescent="0.2">
      <c r="A235" s="9" t="str">
        <f t="shared" si="4"/>
        <v/>
      </c>
      <c r="B235" s="689" t="str">
        <f t="shared" si="4"/>
        <v/>
      </c>
      <c r="C235" s="758"/>
      <c r="D235" s="16">
        <f>Impacts!D239</f>
        <v>0</v>
      </c>
      <c r="E235" s="16">
        <f>Impacts!E239</f>
        <v>0</v>
      </c>
      <c r="F235" s="16" t="str">
        <f t="shared" si="3"/>
        <v/>
      </c>
      <c r="G235" s="16" t="str">
        <f t="shared" si="5"/>
        <v/>
      </c>
      <c r="H235" s="16" t="str">
        <f t="shared" si="6"/>
        <v/>
      </c>
      <c r="I235" s="16" t="str">
        <f t="shared" si="7"/>
        <v/>
      </c>
      <c r="J235" s="16" t="str">
        <f t="shared" si="8"/>
        <v/>
      </c>
      <c r="K235" s="689" t="str">
        <f t="shared" si="9"/>
        <v/>
      </c>
      <c r="L235" s="690"/>
      <c r="M235" s="690"/>
      <c r="N235" s="690"/>
      <c r="O235" s="691"/>
    </row>
    <row r="236" spans="1:15" ht="30" customHeight="1" x14ac:dyDescent="0.2">
      <c r="A236" s="9" t="str">
        <f t="shared" si="4"/>
        <v/>
      </c>
      <c r="B236" s="689" t="str">
        <f t="shared" si="4"/>
        <v/>
      </c>
      <c r="C236" s="758"/>
      <c r="D236" s="16">
        <f>Impacts!D240</f>
        <v>0</v>
      </c>
      <c r="E236" s="16">
        <f>Impacts!E240</f>
        <v>0</v>
      </c>
      <c r="F236" s="16" t="str">
        <f t="shared" si="3"/>
        <v/>
      </c>
      <c r="G236" s="16" t="str">
        <f t="shared" si="5"/>
        <v/>
      </c>
      <c r="H236" s="16" t="str">
        <f t="shared" si="6"/>
        <v/>
      </c>
      <c r="I236" s="16" t="str">
        <f t="shared" si="7"/>
        <v/>
      </c>
      <c r="J236" s="16" t="str">
        <f t="shared" si="8"/>
        <v/>
      </c>
      <c r="K236" s="689" t="str">
        <f t="shared" si="9"/>
        <v/>
      </c>
      <c r="L236" s="690"/>
      <c r="M236" s="690"/>
      <c r="N236" s="690"/>
      <c r="O236" s="691"/>
    </row>
    <row r="237" spans="1:15" ht="30" customHeight="1" x14ac:dyDescent="0.2">
      <c r="A237" s="9" t="str">
        <f t="shared" si="4"/>
        <v/>
      </c>
      <c r="B237" s="689" t="str">
        <f t="shared" si="4"/>
        <v/>
      </c>
      <c r="C237" s="758"/>
      <c r="D237" s="16">
        <f>Impacts!D241</f>
        <v>0</v>
      </c>
      <c r="E237" s="16">
        <f>Impacts!E241</f>
        <v>0</v>
      </c>
      <c r="F237" s="16" t="str">
        <f t="shared" si="3"/>
        <v/>
      </c>
      <c r="G237" s="16" t="str">
        <f t="shared" si="5"/>
        <v/>
      </c>
      <c r="H237" s="16" t="str">
        <f t="shared" si="6"/>
        <v/>
      </c>
      <c r="I237" s="16" t="str">
        <f t="shared" si="7"/>
        <v/>
      </c>
      <c r="J237" s="16" t="str">
        <f t="shared" si="8"/>
        <v/>
      </c>
      <c r="K237" s="689" t="str">
        <f t="shared" si="9"/>
        <v/>
      </c>
      <c r="L237" s="690"/>
      <c r="M237" s="690"/>
      <c r="N237" s="690"/>
      <c r="O237" s="691"/>
    </row>
    <row r="238" spans="1:15" ht="30" customHeight="1" x14ac:dyDescent="0.2">
      <c r="A238" s="9" t="str">
        <f t="shared" si="4"/>
        <v/>
      </c>
      <c r="B238" s="689" t="str">
        <f t="shared" si="4"/>
        <v/>
      </c>
      <c r="C238" s="758"/>
      <c r="D238" s="16">
        <f>Impacts!D242</f>
        <v>0</v>
      </c>
      <c r="E238" s="16">
        <f>Impacts!E242</f>
        <v>0</v>
      </c>
      <c r="F238" s="16" t="str">
        <f t="shared" si="3"/>
        <v/>
      </c>
      <c r="G238" s="16" t="str">
        <f t="shared" si="5"/>
        <v/>
      </c>
      <c r="H238" s="16" t="str">
        <f t="shared" si="6"/>
        <v/>
      </c>
      <c r="I238" s="16" t="str">
        <f t="shared" si="7"/>
        <v/>
      </c>
      <c r="J238" s="16" t="str">
        <f t="shared" si="8"/>
        <v/>
      </c>
      <c r="K238" s="689" t="str">
        <f t="shared" si="9"/>
        <v/>
      </c>
      <c r="L238" s="690"/>
      <c r="M238" s="690"/>
      <c r="N238" s="690"/>
      <c r="O238" s="691"/>
    </row>
    <row r="239" spans="1:15" ht="30" customHeight="1" x14ac:dyDescent="0.2">
      <c r="A239" s="9" t="str">
        <f t="shared" si="4"/>
        <v/>
      </c>
      <c r="B239" s="689" t="str">
        <f t="shared" si="4"/>
        <v/>
      </c>
      <c r="C239" s="758"/>
      <c r="D239" s="16">
        <f>Impacts!D243</f>
        <v>0</v>
      </c>
      <c r="E239" s="16">
        <f>Impacts!E243</f>
        <v>0</v>
      </c>
      <c r="F239" s="16" t="str">
        <f t="shared" si="3"/>
        <v/>
      </c>
      <c r="G239" s="16" t="str">
        <f t="shared" si="5"/>
        <v/>
      </c>
      <c r="H239" s="16" t="str">
        <f t="shared" si="6"/>
        <v/>
      </c>
      <c r="I239" s="16" t="str">
        <f t="shared" si="7"/>
        <v/>
      </c>
      <c r="J239" s="16" t="str">
        <f t="shared" si="8"/>
        <v/>
      </c>
      <c r="K239" s="689" t="str">
        <f t="shared" si="9"/>
        <v/>
      </c>
      <c r="L239" s="690"/>
      <c r="M239" s="690"/>
      <c r="N239" s="690"/>
      <c r="O239" s="691"/>
    </row>
    <row r="240" spans="1:15" ht="30" customHeight="1" x14ac:dyDescent="0.2">
      <c r="A240" s="9" t="str">
        <f t="shared" si="4"/>
        <v/>
      </c>
      <c r="B240" s="689" t="str">
        <f t="shared" si="4"/>
        <v/>
      </c>
      <c r="C240" s="758"/>
      <c r="D240" s="16">
        <f>Impacts!D244</f>
        <v>0</v>
      </c>
      <c r="E240" s="16">
        <f>Impacts!E244</f>
        <v>0</v>
      </c>
      <c r="F240" s="16" t="str">
        <f t="shared" si="3"/>
        <v/>
      </c>
      <c r="G240" s="16" t="str">
        <f t="shared" si="5"/>
        <v/>
      </c>
      <c r="H240" s="16" t="str">
        <f t="shared" si="6"/>
        <v/>
      </c>
      <c r="I240" s="16" t="str">
        <f t="shared" si="7"/>
        <v/>
      </c>
      <c r="J240" s="16" t="str">
        <f t="shared" si="8"/>
        <v/>
      </c>
      <c r="K240" s="689" t="str">
        <f t="shared" si="9"/>
        <v/>
      </c>
      <c r="L240" s="690"/>
      <c r="M240" s="690"/>
      <c r="N240" s="690"/>
      <c r="O240" s="691"/>
    </row>
    <row r="241" spans="1:15" ht="30" customHeight="1" x14ac:dyDescent="0.2">
      <c r="A241" s="9" t="str">
        <f t="shared" si="4"/>
        <v/>
      </c>
      <c r="B241" s="689" t="str">
        <f t="shared" si="4"/>
        <v/>
      </c>
      <c r="C241" s="758"/>
      <c r="D241" s="16">
        <f>Impacts!D245</f>
        <v>0</v>
      </c>
      <c r="E241" s="16">
        <f>Impacts!E245</f>
        <v>0</v>
      </c>
      <c r="F241" s="16" t="str">
        <f t="shared" si="3"/>
        <v/>
      </c>
      <c r="G241" s="16" t="str">
        <f t="shared" si="5"/>
        <v/>
      </c>
      <c r="H241" s="16" t="str">
        <f t="shared" si="6"/>
        <v/>
      </c>
      <c r="I241" s="16" t="str">
        <f t="shared" si="7"/>
        <v/>
      </c>
      <c r="J241" s="16" t="str">
        <f t="shared" si="8"/>
        <v/>
      </c>
      <c r="K241" s="689" t="str">
        <f t="shared" si="9"/>
        <v/>
      </c>
      <c r="L241" s="690"/>
      <c r="M241" s="690"/>
      <c r="N241" s="690"/>
      <c r="O241" s="691"/>
    </row>
    <row r="242" spans="1:15" ht="30" customHeight="1" x14ac:dyDescent="0.2">
      <c r="A242" s="9" t="str">
        <f t="shared" si="4"/>
        <v/>
      </c>
      <c r="B242" s="689" t="str">
        <f t="shared" si="4"/>
        <v/>
      </c>
      <c r="C242" s="758"/>
      <c r="D242" s="16">
        <f>Impacts!D246</f>
        <v>0</v>
      </c>
      <c r="E242" s="16">
        <f>Impacts!E246</f>
        <v>0</v>
      </c>
      <c r="F242" s="16" t="str">
        <f t="shared" si="3"/>
        <v/>
      </c>
      <c r="G242" s="16" t="str">
        <f t="shared" si="5"/>
        <v/>
      </c>
      <c r="H242" s="16" t="str">
        <f t="shared" si="6"/>
        <v/>
      </c>
      <c r="I242" s="16" t="str">
        <f t="shared" si="7"/>
        <v/>
      </c>
      <c r="J242" s="16" t="str">
        <f t="shared" si="8"/>
        <v/>
      </c>
      <c r="K242" s="689" t="str">
        <f t="shared" si="9"/>
        <v/>
      </c>
      <c r="L242" s="690"/>
      <c r="M242" s="690"/>
      <c r="N242" s="690"/>
      <c r="O242" s="691"/>
    </row>
    <row r="243" spans="1:15" ht="30" customHeight="1" x14ac:dyDescent="0.2">
      <c r="A243" s="9" t="str">
        <f t="shared" si="4"/>
        <v/>
      </c>
      <c r="B243" s="689" t="str">
        <f t="shared" si="4"/>
        <v/>
      </c>
      <c r="C243" s="758"/>
      <c r="D243" s="16">
        <f>Impacts!D247</f>
        <v>0</v>
      </c>
      <c r="E243" s="16">
        <f>Impacts!E247</f>
        <v>0</v>
      </c>
      <c r="F243" s="16" t="str">
        <f t="shared" si="3"/>
        <v/>
      </c>
      <c r="G243" s="16" t="str">
        <f t="shared" si="5"/>
        <v/>
      </c>
      <c r="H243" s="16" t="str">
        <f t="shared" si="6"/>
        <v/>
      </c>
      <c r="I243" s="16" t="str">
        <f t="shared" si="7"/>
        <v/>
      </c>
      <c r="J243" s="16" t="str">
        <f t="shared" si="8"/>
        <v/>
      </c>
      <c r="K243" s="689" t="str">
        <f t="shared" si="9"/>
        <v/>
      </c>
      <c r="L243" s="690"/>
      <c r="M243" s="690"/>
      <c r="N243" s="690"/>
      <c r="O243" s="691"/>
    </row>
    <row r="244" spans="1:15" ht="30" customHeight="1" x14ac:dyDescent="0.2">
      <c r="A244" s="9" t="str">
        <f t="shared" si="4"/>
        <v/>
      </c>
      <c r="B244" s="689" t="str">
        <f t="shared" si="4"/>
        <v/>
      </c>
      <c r="C244" s="758"/>
      <c r="D244" s="16">
        <f>Impacts!D248</f>
        <v>0</v>
      </c>
      <c r="E244" s="16">
        <f>Impacts!E248</f>
        <v>0</v>
      </c>
      <c r="F244" s="16" t="str">
        <f t="shared" si="3"/>
        <v/>
      </c>
      <c r="G244" s="16" t="str">
        <f t="shared" si="5"/>
        <v/>
      </c>
      <c r="H244" s="16" t="str">
        <f t="shared" si="6"/>
        <v/>
      </c>
      <c r="I244" s="16" t="str">
        <f t="shared" si="7"/>
        <v/>
      </c>
      <c r="J244" s="16" t="str">
        <f t="shared" si="8"/>
        <v/>
      </c>
      <c r="K244" s="689" t="str">
        <f t="shared" si="9"/>
        <v/>
      </c>
      <c r="L244" s="690"/>
      <c r="M244" s="690"/>
      <c r="N244" s="690"/>
      <c r="O244" s="691"/>
    </row>
    <row r="245" spans="1:15" ht="30" customHeight="1" x14ac:dyDescent="0.2">
      <c r="A245" s="9" t="str">
        <f t="shared" si="4"/>
        <v/>
      </c>
      <c r="B245" s="689" t="str">
        <f t="shared" si="4"/>
        <v/>
      </c>
      <c r="C245" s="758"/>
      <c r="D245" s="16">
        <f>Impacts!D249</f>
        <v>0</v>
      </c>
      <c r="E245" s="16">
        <f>Impacts!E249</f>
        <v>0</v>
      </c>
      <c r="F245" s="16" t="str">
        <f t="shared" si="3"/>
        <v/>
      </c>
      <c r="G245" s="16" t="str">
        <f t="shared" si="5"/>
        <v/>
      </c>
      <c r="H245" s="16" t="str">
        <f t="shared" si="6"/>
        <v/>
      </c>
      <c r="I245" s="16" t="str">
        <f t="shared" si="7"/>
        <v/>
      </c>
      <c r="J245" s="16" t="str">
        <f t="shared" si="8"/>
        <v/>
      </c>
      <c r="K245" s="689" t="str">
        <f t="shared" si="9"/>
        <v/>
      </c>
      <c r="L245" s="690"/>
      <c r="M245" s="690"/>
      <c r="N245" s="690"/>
      <c r="O245" s="691"/>
    </row>
    <row r="246" spans="1:15" ht="30" customHeight="1" x14ac:dyDescent="0.2">
      <c r="A246" s="9" t="str">
        <f t="shared" si="4"/>
        <v/>
      </c>
      <c r="B246" s="689" t="str">
        <f t="shared" si="4"/>
        <v/>
      </c>
      <c r="C246" s="758"/>
      <c r="D246" s="16">
        <f>Impacts!D250</f>
        <v>0</v>
      </c>
      <c r="E246" s="16">
        <f>Impacts!E250</f>
        <v>0</v>
      </c>
      <c r="F246" s="16" t="str">
        <f t="shared" si="3"/>
        <v/>
      </c>
      <c r="G246" s="16" t="str">
        <f t="shared" si="5"/>
        <v/>
      </c>
      <c r="H246" s="16" t="str">
        <f t="shared" si="6"/>
        <v/>
      </c>
      <c r="I246" s="16" t="str">
        <f t="shared" si="7"/>
        <v/>
      </c>
      <c r="J246" s="16" t="str">
        <f t="shared" si="8"/>
        <v/>
      </c>
      <c r="K246" s="689" t="str">
        <f t="shared" si="9"/>
        <v/>
      </c>
      <c r="L246" s="690"/>
      <c r="M246" s="690"/>
      <c r="N246" s="690"/>
      <c r="O246" s="691"/>
    </row>
    <row r="247" spans="1:15" ht="30" customHeight="1" x14ac:dyDescent="0.2">
      <c r="A247" s="9" t="str">
        <f t="shared" si="4"/>
        <v/>
      </c>
      <c r="B247" s="689" t="str">
        <f t="shared" si="4"/>
        <v/>
      </c>
      <c r="C247" s="758"/>
      <c r="D247" s="16">
        <f>Impacts!D251</f>
        <v>0</v>
      </c>
      <c r="E247" s="16">
        <f>Impacts!E251</f>
        <v>0</v>
      </c>
      <c r="F247" s="16" t="str">
        <f t="shared" si="3"/>
        <v/>
      </c>
      <c r="G247" s="16" t="str">
        <f t="shared" si="5"/>
        <v/>
      </c>
      <c r="H247" s="16" t="str">
        <f t="shared" si="6"/>
        <v/>
      </c>
      <c r="I247" s="16" t="str">
        <f t="shared" si="7"/>
        <v/>
      </c>
      <c r="J247" s="16" t="str">
        <f t="shared" si="8"/>
        <v/>
      </c>
      <c r="K247" s="689" t="str">
        <f t="shared" si="9"/>
        <v/>
      </c>
      <c r="L247" s="690"/>
      <c r="M247" s="690"/>
      <c r="N247" s="690"/>
      <c r="O247" s="691"/>
    </row>
    <row r="248" spans="1:15" ht="30" customHeight="1" x14ac:dyDescent="0.2">
      <c r="A248" s="9" t="str">
        <f t="shared" si="4"/>
        <v/>
      </c>
      <c r="B248" s="689" t="str">
        <f t="shared" si="4"/>
        <v/>
      </c>
      <c r="C248" s="758"/>
      <c r="D248" s="16">
        <f>Impacts!D252</f>
        <v>0</v>
      </c>
      <c r="E248" s="16">
        <f>Impacts!E252</f>
        <v>0</v>
      </c>
      <c r="F248" s="16" t="str">
        <f t="shared" si="3"/>
        <v/>
      </c>
      <c r="G248" s="16" t="str">
        <f t="shared" si="5"/>
        <v/>
      </c>
      <c r="H248" s="16" t="str">
        <f t="shared" si="6"/>
        <v/>
      </c>
      <c r="I248" s="16" t="str">
        <f t="shared" si="7"/>
        <v/>
      </c>
      <c r="J248" s="16" t="str">
        <f t="shared" si="8"/>
        <v/>
      </c>
      <c r="K248" s="689" t="str">
        <f t="shared" si="9"/>
        <v/>
      </c>
      <c r="L248" s="690"/>
      <c r="M248" s="690"/>
      <c r="N248" s="690"/>
      <c r="O248" s="691"/>
    </row>
    <row r="249" spans="1:15" ht="30" customHeight="1" x14ac:dyDescent="0.2">
      <c r="A249" s="9" t="str">
        <f t="shared" si="4"/>
        <v/>
      </c>
      <c r="B249" s="689" t="str">
        <f t="shared" si="4"/>
        <v/>
      </c>
      <c r="C249" s="758"/>
      <c r="D249" s="16">
        <f>Impacts!D253</f>
        <v>0</v>
      </c>
      <c r="E249" s="16">
        <f>Impacts!E253</f>
        <v>0</v>
      </c>
      <c r="F249" s="16" t="str">
        <f t="shared" si="3"/>
        <v/>
      </c>
      <c r="G249" s="16" t="str">
        <f t="shared" si="5"/>
        <v/>
      </c>
      <c r="H249" s="16" t="str">
        <f t="shared" si="6"/>
        <v/>
      </c>
      <c r="I249" s="16" t="str">
        <f t="shared" si="7"/>
        <v/>
      </c>
      <c r="J249" s="16" t="str">
        <f t="shared" si="8"/>
        <v/>
      </c>
      <c r="K249" s="689" t="str">
        <f t="shared" si="9"/>
        <v/>
      </c>
      <c r="L249" s="690"/>
      <c r="M249" s="690"/>
      <c r="N249" s="690"/>
      <c r="O249" s="691"/>
    </row>
    <row r="250" spans="1:15" ht="30" customHeight="1" x14ac:dyDescent="0.2">
      <c r="A250" s="9" t="str">
        <f t="shared" si="4"/>
        <v/>
      </c>
      <c r="B250" s="689" t="str">
        <f t="shared" si="4"/>
        <v/>
      </c>
      <c r="C250" s="758"/>
      <c r="D250" s="16">
        <f>Impacts!D254</f>
        <v>0</v>
      </c>
      <c r="E250" s="16">
        <f>Impacts!E254</f>
        <v>0</v>
      </c>
      <c r="F250" s="16" t="str">
        <f t="shared" si="3"/>
        <v/>
      </c>
      <c r="G250" s="16" t="str">
        <f t="shared" si="5"/>
        <v/>
      </c>
      <c r="H250" s="16" t="str">
        <f t="shared" si="6"/>
        <v/>
      </c>
      <c r="I250" s="16" t="str">
        <f t="shared" si="7"/>
        <v/>
      </c>
      <c r="J250" s="16" t="str">
        <f t="shared" si="8"/>
        <v/>
      </c>
      <c r="K250" s="689" t="str">
        <f t="shared" si="9"/>
        <v/>
      </c>
      <c r="L250" s="690"/>
      <c r="M250" s="690"/>
      <c r="N250" s="690"/>
      <c r="O250" s="691"/>
    </row>
    <row r="251" spans="1:15" ht="30" customHeight="1" x14ac:dyDescent="0.2">
      <c r="A251" s="9" t="str">
        <f t="shared" si="4"/>
        <v/>
      </c>
      <c r="B251" s="689" t="str">
        <f t="shared" si="4"/>
        <v/>
      </c>
      <c r="C251" s="758"/>
      <c r="D251" s="16">
        <f>Impacts!D255</f>
        <v>0</v>
      </c>
      <c r="E251" s="16">
        <f>Impacts!E255</f>
        <v>0</v>
      </c>
      <c r="F251" s="16" t="str">
        <f t="shared" si="3"/>
        <v/>
      </c>
      <c r="G251" s="16" t="str">
        <f t="shared" si="5"/>
        <v/>
      </c>
      <c r="H251" s="16" t="str">
        <f t="shared" si="6"/>
        <v/>
      </c>
      <c r="I251" s="16" t="str">
        <f t="shared" si="7"/>
        <v/>
      </c>
      <c r="J251" s="16" t="str">
        <f t="shared" si="8"/>
        <v/>
      </c>
      <c r="K251" s="689" t="str">
        <f t="shared" si="9"/>
        <v/>
      </c>
      <c r="L251" s="690"/>
      <c r="M251" s="690"/>
      <c r="N251" s="690"/>
      <c r="O251" s="691"/>
    </row>
    <row r="252" spans="1:15" ht="30" customHeight="1" x14ac:dyDescent="0.2">
      <c r="A252" s="9" t="str">
        <f t="shared" si="4"/>
        <v/>
      </c>
      <c r="B252" s="689" t="str">
        <f t="shared" si="4"/>
        <v/>
      </c>
      <c r="C252" s="758"/>
      <c r="D252" s="16">
        <f>Impacts!D256</f>
        <v>0</v>
      </c>
      <c r="E252" s="16">
        <f>Impacts!E256</f>
        <v>0</v>
      </c>
      <c r="F252" s="16" t="str">
        <f t="shared" si="3"/>
        <v/>
      </c>
      <c r="G252" s="16" t="str">
        <f t="shared" si="5"/>
        <v/>
      </c>
      <c r="H252" s="16" t="str">
        <f t="shared" si="6"/>
        <v/>
      </c>
      <c r="I252" s="16" t="str">
        <f t="shared" si="7"/>
        <v/>
      </c>
      <c r="J252" s="16" t="str">
        <f t="shared" si="8"/>
        <v/>
      </c>
      <c r="K252" s="689" t="str">
        <f t="shared" si="9"/>
        <v/>
      </c>
      <c r="L252" s="690"/>
      <c r="M252" s="690"/>
      <c r="N252" s="690"/>
      <c r="O252" s="691"/>
    </row>
    <row r="253" spans="1:15" ht="30" customHeight="1" x14ac:dyDescent="0.2">
      <c r="A253" s="9" t="str">
        <f t="shared" si="4"/>
        <v/>
      </c>
      <c r="B253" s="689" t="str">
        <f t="shared" si="4"/>
        <v/>
      </c>
      <c r="C253" s="758"/>
      <c r="D253" s="16">
        <f>Impacts!D257</f>
        <v>0</v>
      </c>
      <c r="E253" s="16">
        <f>Impacts!E257</f>
        <v>0</v>
      </c>
      <c r="F253" s="16" t="str">
        <f t="shared" si="3"/>
        <v/>
      </c>
      <c r="G253" s="16" t="str">
        <f t="shared" si="5"/>
        <v/>
      </c>
      <c r="H253" s="16" t="str">
        <f t="shared" si="6"/>
        <v/>
      </c>
      <c r="I253" s="16" t="str">
        <f t="shared" si="7"/>
        <v/>
      </c>
      <c r="J253" s="16" t="str">
        <f t="shared" si="8"/>
        <v/>
      </c>
      <c r="K253" s="689" t="str">
        <f t="shared" si="9"/>
        <v/>
      </c>
      <c r="L253" s="690"/>
      <c r="M253" s="690"/>
      <c r="N253" s="690"/>
      <c r="O253" s="691"/>
    </row>
    <row r="254" spans="1:15" ht="30" customHeight="1" x14ac:dyDescent="0.2">
      <c r="A254" s="9" t="str">
        <f t="shared" si="4"/>
        <v/>
      </c>
      <c r="B254" s="689" t="str">
        <f t="shared" si="4"/>
        <v/>
      </c>
      <c r="C254" s="758"/>
      <c r="D254" s="16">
        <f>Impacts!D258</f>
        <v>0</v>
      </c>
      <c r="E254" s="16">
        <f>Impacts!E258</f>
        <v>0</v>
      </c>
      <c r="F254" s="16" t="str">
        <f t="shared" si="3"/>
        <v/>
      </c>
      <c r="G254" s="16" t="str">
        <f t="shared" si="5"/>
        <v/>
      </c>
      <c r="H254" s="16" t="str">
        <f t="shared" si="6"/>
        <v/>
      </c>
      <c r="I254" s="16" t="str">
        <f t="shared" si="7"/>
        <v/>
      </c>
      <c r="J254" s="16" t="str">
        <f t="shared" si="8"/>
        <v/>
      </c>
      <c r="K254" s="689" t="str">
        <f t="shared" si="9"/>
        <v/>
      </c>
      <c r="L254" s="690"/>
      <c r="M254" s="690"/>
      <c r="N254" s="690"/>
      <c r="O254" s="691"/>
    </row>
    <row r="255" spans="1:15" ht="30" customHeight="1" x14ac:dyDescent="0.2">
      <c r="A255" s="9" t="str">
        <f t="shared" si="4"/>
        <v/>
      </c>
      <c r="B255" s="689" t="str">
        <f t="shared" si="4"/>
        <v/>
      </c>
      <c r="C255" s="758"/>
      <c r="D255" s="16">
        <f>Impacts!D259</f>
        <v>0</v>
      </c>
      <c r="E255" s="16">
        <f>Impacts!E259</f>
        <v>0</v>
      </c>
      <c r="F255" s="16" t="str">
        <f t="shared" si="3"/>
        <v/>
      </c>
      <c r="G255" s="16" t="str">
        <f t="shared" si="5"/>
        <v/>
      </c>
      <c r="H255" s="16" t="str">
        <f t="shared" si="6"/>
        <v/>
      </c>
      <c r="I255" s="16" t="str">
        <f t="shared" si="7"/>
        <v/>
      </c>
      <c r="J255" s="16" t="str">
        <f t="shared" si="8"/>
        <v/>
      </c>
      <c r="K255" s="689" t="str">
        <f t="shared" si="9"/>
        <v/>
      </c>
      <c r="L255" s="690"/>
      <c r="M255" s="690"/>
      <c r="N255" s="690"/>
      <c r="O255" s="691"/>
    </row>
    <row r="256" spans="1:15" ht="30" customHeight="1" x14ac:dyDescent="0.2">
      <c r="A256" s="9" t="str">
        <f t="shared" si="4"/>
        <v/>
      </c>
      <c r="B256" s="689" t="str">
        <f t="shared" si="4"/>
        <v/>
      </c>
      <c r="C256" s="758"/>
      <c r="D256" s="16">
        <f>Impacts!D260</f>
        <v>0</v>
      </c>
      <c r="E256" s="16">
        <f>Impacts!E260</f>
        <v>0</v>
      </c>
      <c r="F256" s="16" t="str">
        <f t="shared" ref="F256:F287" si="10">IF($A256="","",IF(ISTEXT(VLOOKUP($A256,CASandESL,2,FALSE)),VLOOKUP($A256,CASandESL,2,FALSE),IF(ISNUMBER(VLOOKUP($A256,CASandESL,2,FALSE)),VLOOKUP($A256,CASandESL,2,FALSE)*0.1)))</f>
        <v/>
      </c>
      <c r="G256" s="16" t="str">
        <f t="shared" ref="G256:G287" si="11">IF($A256="","",IF(ISTEXT(VLOOKUP($A256,CASandESL,3,FALSE)),VLOOKUP($A256,CASandESL,3,FALSE),IF(ISNUMBER(VLOOKUP($A256,CASandESL,3,FALSE)),VLOOKUP($A256,CASandESL,3,FALSE)*0.1)))</f>
        <v/>
      </c>
      <c r="H256" s="16" t="str">
        <f t="shared" si="6"/>
        <v/>
      </c>
      <c r="I256" s="16" t="str">
        <f t="shared" si="7"/>
        <v/>
      </c>
      <c r="J256" s="16" t="str">
        <f t="shared" si="8"/>
        <v/>
      </c>
      <c r="K256" s="689" t="str">
        <f t="shared" si="9"/>
        <v/>
      </c>
      <c r="L256" s="690"/>
      <c r="M256" s="690"/>
      <c r="N256" s="690"/>
      <c r="O256" s="691"/>
    </row>
    <row r="257" spans="1:15" ht="30" customHeight="1" x14ac:dyDescent="0.2">
      <c r="A257" s="9" t="str">
        <f t="shared" si="4"/>
        <v/>
      </c>
      <c r="B257" s="689" t="str">
        <f t="shared" si="4"/>
        <v/>
      </c>
      <c r="C257" s="758"/>
      <c r="D257" s="16">
        <f>Impacts!D261</f>
        <v>0</v>
      </c>
      <c r="E257" s="16">
        <f>Impacts!E261</f>
        <v>0</v>
      </c>
      <c r="F257" s="16" t="str">
        <f t="shared" si="10"/>
        <v/>
      </c>
      <c r="G257" s="16" t="str">
        <f t="shared" si="11"/>
        <v/>
      </c>
      <c r="H257" s="16" t="str">
        <f t="shared" si="6"/>
        <v/>
      </c>
      <c r="I257" s="16" t="str">
        <f t="shared" si="7"/>
        <v/>
      </c>
      <c r="J257" s="16" t="str">
        <f t="shared" si="8"/>
        <v/>
      </c>
      <c r="K257" s="689" t="str">
        <f t="shared" si="9"/>
        <v/>
      </c>
      <c r="L257" s="690"/>
      <c r="M257" s="690"/>
      <c r="N257" s="690"/>
      <c r="O257" s="691"/>
    </row>
    <row r="258" spans="1:15" ht="30" customHeight="1" x14ac:dyDescent="0.2">
      <c r="A258" s="9" t="str">
        <f t="shared" si="4"/>
        <v/>
      </c>
      <c r="B258" s="689" t="str">
        <f t="shared" si="4"/>
        <v/>
      </c>
      <c r="C258" s="758"/>
      <c r="D258" s="16">
        <f>Impacts!D262</f>
        <v>0</v>
      </c>
      <c r="E258" s="16">
        <f>Impacts!E262</f>
        <v>0</v>
      </c>
      <c r="F258" s="16" t="str">
        <f t="shared" si="10"/>
        <v/>
      </c>
      <c r="G258" s="16" t="str">
        <f t="shared" si="11"/>
        <v/>
      </c>
      <c r="H258" s="16" t="str">
        <f t="shared" si="6"/>
        <v/>
      </c>
      <c r="I258" s="16" t="str">
        <f t="shared" si="7"/>
        <v/>
      </c>
      <c r="J258" s="16" t="str">
        <f t="shared" si="8"/>
        <v/>
      </c>
      <c r="K258" s="689" t="str">
        <f t="shared" si="9"/>
        <v/>
      </c>
      <c r="L258" s="690"/>
      <c r="M258" s="690"/>
      <c r="N258" s="690"/>
      <c r="O258" s="691"/>
    </row>
    <row r="259" spans="1:15" ht="30" customHeight="1" x14ac:dyDescent="0.2">
      <c r="A259" s="9" t="str">
        <f t="shared" si="4"/>
        <v/>
      </c>
      <c r="B259" s="689" t="str">
        <f t="shared" si="4"/>
        <v/>
      </c>
      <c r="C259" s="758"/>
      <c r="D259" s="16">
        <f>Impacts!D263</f>
        <v>0</v>
      </c>
      <c r="E259" s="16">
        <f>Impacts!E263</f>
        <v>0</v>
      </c>
      <c r="F259" s="16" t="str">
        <f t="shared" si="10"/>
        <v/>
      </c>
      <c r="G259" s="16" t="str">
        <f t="shared" si="11"/>
        <v/>
      </c>
      <c r="H259" s="16" t="str">
        <f t="shared" si="6"/>
        <v/>
      </c>
      <c r="I259" s="16" t="str">
        <f t="shared" si="7"/>
        <v/>
      </c>
      <c r="J259" s="16" t="str">
        <f t="shared" si="8"/>
        <v/>
      </c>
      <c r="K259" s="689" t="str">
        <f t="shared" si="9"/>
        <v/>
      </c>
      <c r="L259" s="690"/>
      <c r="M259" s="690"/>
      <c r="N259" s="690"/>
      <c r="O259" s="691"/>
    </row>
    <row r="260" spans="1:15" ht="30" customHeight="1" x14ac:dyDescent="0.2">
      <c r="A260" s="9" t="str">
        <f t="shared" si="4"/>
        <v/>
      </c>
      <c r="B260" s="689" t="str">
        <f t="shared" si="4"/>
        <v/>
      </c>
      <c r="C260" s="758"/>
      <c r="D260" s="16">
        <f>Impacts!D264</f>
        <v>0</v>
      </c>
      <c r="E260" s="16">
        <f>Impacts!E264</f>
        <v>0</v>
      </c>
      <c r="F260" s="16" t="str">
        <f t="shared" si="10"/>
        <v/>
      </c>
      <c r="G260" s="16" t="str">
        <f t="shared" si="11"/>
        <v/>
      </c>
      <c r="H260" s="16" t="str">
        <f t="shared" si="6"/>
        <v/>
      </c>
      <c r="I260" s="16" t="str">
        <f t="shared" si="7"/>
        <v/>
      </c>
      <c r="J260" s="16" t="str">
        <f t="shared" si="8"/>
        <v/>
      </c>
      <c r="K260" s="689" t="str">
        <f t="shared" si="9"/>
        <v/>
      </c>
      <c r="L260" s="690"/>
      <c r="M260" s="690"/>
      <c r="N260" s="690"/>
      <c r="O260" s="691"/>
    </row>
    <row r="261" spans="1:15" ht="30" customHeight="1" x14ac:dyDescent="0.2">
      <c r="A261" s="9" t="str">
        <f t="shared" si="4"/>
        <v/>
      </c>
      <c r="B261" s="689" t="str">
        <f t="shared" si="4"/>
        <v/>
      </c>
      <c r="C261" s="758"/>
      <c r="D261" s="16">
        <f>Impacts!D265</f>
        <v>0</v>
      </c>
      <c r="E261" s="16">
        <f>Impacts!E265</f>
        <v>0</v>
      </c>
      <c r="F261" s="16" t="str">
        <f t="shared" si="10"/>
        <v/>
      </c>
      <c r="G261" s="16" t="str">
        <f t="shared" si="11"/>
        <v/>
      </c>
      <c r="H261" s="16" t="str">
        <f t="shared" si="6"/>
        <v/>
      </c>
      <c r="I261" s="16" t="str">
        <f t="shared" si="7"/>
        <v/>
      </c>
      <c r="J261" s="16" t="str">
        <f t="shared" si="8"/>
        <v/>
      </c>
      <c r="K261" s="689" t="str">
        <f t="shared" si="9"/>
        <v/>
      </c>
      <c r="L261" s="690"/>
      <c r="M261" s="690"/>
      <c r="N261" s="690"/>
      <c r="O261" s="691"/>
    </row>
    <row r="262" spans="1:15" ht="30" customHeight="1" x14ac:dyDescent="0.2">
      <c r="A262" s="9" t="str">
        <f t="shared" si="4"/>
        <v/>
      </c>
      <c r="B262" s="689" t="str">
        <f t="shared" si="4"/>
        <v/>
      </c>
      <c r="C262" s="758"/>
      <c r="D262" s="16">
        <f>Impacts!D266</f>
        <v>0</v>
      </c>
      <c r="E262" s="16">
        <f>Impacts!E266</f>
        <v>0</v>
      </c>
      <c r="F262" s="16" t="str">
        <f t="shared" si="10"/>
        <v/>
      </c>
      <c r="G262" s="16" t="str">
        <f t="shared" si="11"/>
        <v/>
      </c>
      <c r="H262" s="16" t="str">
        <f t="shared" si="6"/>
        <v/>
      </c>
      <c r="I262" s="16" t="str">
        <f t="shared" si="7"/>
        <v/>
      </c>
      <c r="J262" s="16" t="str">
        <f t="shared" si="8"/>
        <v/>
      </c>
      <c r="K262" s="689" t="str">
        <f t="shared" si="9"/>
        <v/>
      </c>
      <c r="L262" s="690"/>
      <c r="M262" s="690"/>
      <c r="N262" s="690"/>
      <c r="O262" s="691"/>
    </row>
    <row r="263" spans="1:15" ht="30" customHeight="1" x14ac:dyDescent="0.2">
      <c r="A263" s="9" t="str">
        <f t="shared" si="4"/>
        <v/>
      </c>
      <c r="B263" s="689" t="str">
        <f t="shared" si="4"/>
        <v/>
      </c>
      <c r="C263" s="758"/>
      <c r="D263" s="16">
        <f>Impacts!D267</f>
        <v>0</v>
      </c>
      <c r="E263" s="16">
        <f>Impacts!E267</f>
        <v>0</v>
      </c>
      <c r="F263" s="16" t="str">
        <f t="shared" si="10"/>
        <v/>
      </c>
      <c r="G263" s="16" t="str">
        <f t="shared" si="11"/>
        <v/>
      </c>
      <c r="H263" s="16" t="str">
        <f t="shared" si="6"/>
        <v/>
      </c>
      <c r="I263" s="16" t="str">
        <f t="shared" si="7"/>
        <v/>
      </c>
      <c r="J263" s="16" t="str">
        <f t="shared" si="8"/>
        <v/>
      </c>
      <c r="K263" s="689" t="str">
        <f t="shared" si="9"/>
        <v/>
      </c>
      <c r="L263" s="690"/>
      <c r="M263" s="690"/>
      <c r="N263" s="690"/>
      <c r="O263" s="691"/>
    </row>
    <row r="264" spans="1:15" ht="30" customHeight="1" x14ac:dyDescent="0.2">
      <c r="A264" s="9" t="str">
        <f t="shared" si="4"/>
        <v/>
      </c>
      <c r="B264" s="689" t="str">
        <f t="shared" si="4"/>
        <v/>
      </c>
      <c r="C264" s="758"/>
      <c r="D264" s="16">
        <f>Impacts!D268</f>
        <v>0</v>
      </c>
      <c r="E264" s="16">
        <f>Impacts!E268</f>
        <v>0</v>
      </c>
      <c r="F264" s="16" t="str">
        <f t="shared" si="10"/>
        <v/>
      </c>
      <c r="G264" s="16" t="str">
        <f t="shared" si="11"/>
        <v/>
      </c>
      <c r="H264" s="16" t="str">
        <f t="shared" si="6"/>
        <v/>
      </c>
      <c r="I264" s="16" t="str">
        <f t="shared" si="7"/>
        <v/>
      </c>
      <c r="J264" s="16" t="str">
        <f t="shared" si="8"/>
        <v/>
      </c>
      <c r="K264" s="689" t="str">
        <f t="shared" si="9"/>
        <v/>
      </c>
      <c r="L264" s="690"/>
      <c r="M264" s="690"/>
      <c r="N264" s="690"/>
      <c r="O264" s="691"/>
    </row>
    <row r="265" spans="1:15" ht="30" customHeight="1" x14ac:dyDescent="0.2">
      <c r="A265" s="9" t="str">
        <f t="shared" si="4"/>
        <v/>
      </c>
      <c r="B265" s="689" t="str">
        <f t="shared" si="4"/>
        <v/>
      </c>
      <c r="C265" s="758"/>
      <c r="D265" s="16">
        <f>Impacts!D269</f>
        <v>0</v>
      </c>
      <c r="E265" s="16">
        <f>Impacts!E269</f>
        <v>0</v>
      </c>
      <c r="F265" s="16" t="str">
        <f t="shared" si="10"/>
        <v/>
      </c>
      <c r="G265" s="16" t="str">
        <f t="shared" si="11"/>
        <v/>
      </c>
      <c r="H265" s="16" t="str">
        <f t="shared" si="6"/>
        <v/>
      </c>
      <c r="I265" s="16" t="str">
        <f t="shared" si="7"/>
        <v/>
      </c>
      <c r="J265" s="16" t="str">
        <f t="shared" si="8"/>
        <v/>
      </c>
      <c r="K265" s="689" t="str">
        <f t="shared" si="9"/>
        <v/>
      </c>
      <c r="L265" s="690"/>
      <c r="M265" s="690"/>
      <c r="N265" s="690"/>
      <c r="O265" s="691"/>
    </row>
    <row r="266" spans="1:15" ht="30" customHeight="1" x14ac:dyDescent="0.2">
      <c r="A266" s="9" t="str">
        <f t="shared" si="4"/>
        <v/>
      </c>
      <c r="B266" s="689" t="str">
        <f t="shared" si="4"/>
        <v/>
      </c>
      <c r="C266" s="758"/>
      <c r="D266" s="16">
        <f>Impacts!D270</f>
        <v>0</v>
      </c>
      <c r="E266" s="16">
        <f>Impacts!E270</f>
        <v>0</v>
      </c>
      <c r="F266" s="16" t="str">
        <f t="shared" si="10"/>
        <v/>
      </c>
      <c r="G266" s="16" t="str">
        <f t="shared" si="11"/>
        <v/>
      </c>
      <c r="H266" s="16" t="str">
        <f t="shared" si="6"/>
        <v/>
      </c>
      <c r="I266" s="16" t="str">
        <f t="shared" si="7"/>
        <v/>
      </c>
      <c r="J266" s="16" t="str">
        <f t="shared" si="8"/>
        <v/>
      </c>
      <c r="K266" s="689" t="str">
        <f t="shared" si="9"/>
        <v/>
      </c>
      <c r="L266" s="690"/>
      <c r="M266" s="690"/>
      <c r="N266" s="690"/>
      <c r="O266" s="691"/>
    </row>
    <row r="267" spans="1:15" ht="30" customHeight="1" x14ac:dyDescent="0.2">
      <c r="A267" s="9" t="str">
        <f t="shared" si="4"/>
        <v/>
      </c>
      <c r="B267" s="689" t="str">
        <f t="shared" si="4"/>
        <v/>
      </c>
      <c r="C267" s="758"/>
      <c r="D267" s="16">
        <f>Impacts!D271</f>
        <v>0</v>
      </c>
      <c r="E267" s="16">
        <f>Impacts!E271</f>
        <v>0</v>
      </c>
      <c r="F267" s="16" t="str">
        <f t="shared" si="10"/>
        <v/>
      </c>
      <c r="G267" s="16" t="str">
        <f t="shared" si="11"/>
        <v/>
      </c>
      <c r="H267" s="16" t="str">
        <f t="shared" si="6"/>
        <v/>
      </c>
      <c r="I267" s="16" t="str">
        <f t="shared" si="7"/>
        <v/>
      </c>
      <c r="J267" s="16" t="str">
        <f t="shared" si="8"/>
        <v/>
      </c>
      <c r="K267" s="689" t="str">
        <f t="shared" si="9"/>
        <v/>
      </c>
      <c r="L267" s="690"/>
      <c r="M267" s="690"/>
      <c r="N267" s="690"/>
      <c r="O267" s="691"/>
    </row>
    <row r="268" spans="1:15" ht="30" customHeight="1" x14ac:dyDescent="0.2">
      <c r="A268" s="9" t="str">
        <f t="shared" si="4"/>
        <v/>
      </c>
      <c r="B268" s="689" t="str">
        <f t="shared" si="4"/>
        <v/>
      </c>
      <c r="C268" s="758"/>
      <c r="D268" s="16">
        <f>Impacts!D272</f>
        <v>0</v>
      </c>
      <c r="E268" s="16">
        <f>Impacts!E272</f>
        <v>0</v>
      </c>
      <c r="F268" s="16" t="str">
        <f t="shared" si="10"/>
        <v/>
      </c>
      <c r="G268" s="16" t="str">
        <f t="shared" si="11"/>
        <v/>
      </c>
      <c r="H268" s="16" t="str">
        <f t="shared" si="6"/>
        <v/>
      </c>
      <c r="I268" s="16" t="str">
        <f t="shared" si="7"/>
        <v/>
      </c>
      <c r="J268" s="16" t="str">
        <f t="shared" si="8"/>
        <v/>
      </c>
      <c r="K268" s="689" t="str">
        <f t="shared" si="9"/>
        <v/>
      </c>
      <c r="L268" s="690"/>
      <c r="M268" s="690"/>
      <c r="N268" s="690"/>
      <c r="O268" s="691"/>
    </row>
    <row r="269" spans="1:15" ht="30" customHeight="1" x14ac:dyDescent="0.2">
      <c r="A269" s="9" t="str">
        <f t="shared" si="4"/>
        <v/>
      </c>
      <c r="B269" s="689" t="str">
        <f t="shared" si="4"/>
        <v/>
      </c>
      <c r="C269" s="758"/>
      <c r="D269" s="16">
        <f>Impacts!D273</f>
        <v>0</v>
      </c>
      <c r="E269" s="16">
        <f>Impacts!E273</f>
        <v>0</v>
      </c>
      <c r="F269" s="16" t="str">
        <f t="shared" si="10"/>
        <v/>
      </c>
      <c r="G269" s="16" t="str">
        <f t="shared" si="11"/>
        <v/>
      </c>
      <c r="H269" s="16" t="str">
        <f t="shared" si="6"/>
        <v/>
      </c>
      <c r="I269" s="16" t="str">
        <f t="shared" si="7"/>
        <v/>
      </c>
      <c r="J269" s="16" t="str">
        <f t="shared" si="8"/>
        <v/>
      </c>
      <c r="K269" s="689" t="str">
        <f t="shared" si="9"/>
        <v/>
      </c>
      <c r="L269" s="690"/>
      <c r="M269" s="690"/>
      <c r="N269" s="690"/>
      <c r="O269" s="691"/>
    </row>
    <row r="270" spans="1:15" ht="30" customHeight="1" x14ac:dyDescent="0.2">
      <c r="A270" s="9" t="str">
        <f t="shared" si="4"/>
        <v/>
      </c>
      <c r="B270" s="689" t="str">
        <f t="shared" si="4"/>
        <v/>
      </c>
      <c r="C270" s="758"/>
      <c r="D270" s="16">
        <f>Impacts!D274</f>
        <v>0</v>
      </c>
      <c r="E270" s="16">
        <f>Impacts!E274</f>
        <v>0</v>
      </c>
      <c r="F270" s="16" t="str">
        <f t="shared" si="10"/>
        <v/>
      </c>
      <c r="G270" s="16" t="str">
        <f t="shared" si="11"/>
        <v/>
      </c>
      <c r="H270" s="16" t="str">
        <f t="shared" si="6"/>
        <v/>
      </c>
      <c r="I270" s="16" t="str">
        <f t="shared" si="7"/>
        <v/>
      </c>
      <c r="J270" s="16" t="str">
        <f t="shared" si="8"/>
        <v/>
      </c>
      <c r="K270" s="689" t="str">
        <f t="shared" si="9"/>
        <v/>
      </c>
      <c r="L270" s="690"/>
      <c r="M270" s="690"/>
      <c r="N270" s="690"/>
      <c r="O270" s="691"/>
    </row>
    <row r="271" spans="1:15" ht="30" customHeight="1" x14ac:dyDescent="0.2">
      <c r="A271" s="9" t="str">
        <f t="shared" si="4"/>
        <v/>
      </c>
      <c r="B271" s="689" t="str">
        <f t="shared" si="4"/>
        <v/>
      </c>
      <c r="C271" s="758"/>
      <c r="D271" s="16">
        <f>Impacts!D275</f>
        <v>0</v>
      </c>
      <c r="E271" s="16">
        <f>Impacts!E275</f>
        <v>0</v>
      </c>
      <c r="F271" s="16" t="str">
        <f t="shared" si="10"/>
        <v/>
      </c>
      <c r="G271" s="16" t="str">
        <f t="shared" si="11"/>
        <v/>
      </c>
      <c r="H271" s="16" t="str">
        <f t="shared" si="6"/>
        <v/>
      </c>
      <c r="I271" s="16" t="str">
        <f t="shared" si="7"/>
        <v/>
      </c>
      <c r="J271" s="16" t="str">
        <f t="shared" si="8"/>
        <v/>
      </c>
      <c r="K271" s="689" t="str">
        <f t="shared" si="9"/>
        <v/>
      </c>
      <c r="L271" s="690"/>
      <c r="M271" s="690"/>
      <c r="N271" s="690"/>
      <c r="O271" s="691"/>
    </row>
    <row r="272" spans="1:15" ht="30" customHeight="1" x14ac:dyDescent="0.2">
      <c r="A272" s="9" t="str">
        <f t="shared" si="4"/>
        <v/>
      </c>
      <c r="B272" s="689" t="str">
        <f t="shared" si="4"/>
        <v/>
      </c>
      <c r="C272" s="758"/>
      <c r="D272" s="16">
        <f>Impacts!D276</f>
        <v>0</v>
      </c>
      <c r="E272" s="16">
        <f>Impacts!E276</f>
        <v>0</v>
      </c>
      <c r="F272" s="16" t="str">
        <f t="shared" si="10"/>
        <v/>
      </c>
      <c r="G272" s="16" t="str">
        <f t="shared" si="11"/>
        <v/>
      </c>
      <c r="H272" s="16" t="str">
        <f t="shared" si="6"/>
        <v/>
      </c>
      <c r="I272" s="16" t="str">
        <f t="shared" si="7"/>
        <v/>
      </c>
      <c r="J272" s="16" t="str">
        <f t="shared" si="8"/>
        <v/>
      </c>
      <c r="K272" s="689" t="str">
        <f t="shared" si="9"/>
        <v/>
      </c>
      <c r="L272" s="690"/>
      <c r="M272" s="690"/>
      <c r="N272" s="690"/>
      <c r="O272" s="691"/>
    </row>
    <row r="273" spans="1:15" ht="30" customHeight="1" x14ac:dyDescent="0.2">
      <c r="A273" s="9" t="str">
        <f t="shared" si="4"/>
        <v/>
      </c>
      <c r="B273" s="689" t="str">
        <f t="shared" si="4"/>
        <v/>
      </c>
      <c r="C273" s="758"/>
      <c r="D273" s="16">
        <f>Impacts!D277</f>
        <v>0</v>
      </c>
      <c r="E273" s="16">
        <f>Impacts!E277</f>
        <v>0</v>
      </c>
      <c r="F273" s="16" t="str">
        <f t="shared" si="10"/>
        <v/>
      </c>
      <c r="G273" s="16" t="str">
        <f t="shared" si="11"/>
        <v/>
      </c>
      <c r="H273" s="16" t="str">
        <f t="shared" si="6"/>
        <v/>
      </c>
      <c r="I273" s="16" t="str">
        <f t="shared" si="7"/>
        <v/>
      </c>
      <c r="J273" s="16" t="str">
        <f t="shared" si="8"/>
        <v/>
      </c>
      <c r="K273" s="689" t="str">
        <f t="shared" si="9"/>
        <v/>
      </c>
      <c r="L273" s="690"/>
      <c r="M273" s="690"/>
      <c r="N273" s="690"/>
      <c r="O273" s="691"/>
    </row>
    <row r="274" spans="1:15" ht="30" customHeight="1" x14ac:dyDescent="0.2">
      <c r="A274" s="9" t="str">
        <f t="shared" si="4"/>
        <v/>
      </c>
      <c r="B274" s="689" t="str">
        <f t="shared" si="4"/>
        <v/>
      </c>
      <c r="C274" s="758"/>
      <c r="D274" s="16">
        <f>Impacts!D278</f>
        <v>0</v>
      </c>
      <c r="E274" s="16">
        <f>Impacts!E278</f>
        <v>0</v>
      </c>
      <c r="F274" s="16" t="str">
        <f t="shared" si="10"/>
        <v/>
      </c>
      <c r="G274" s="16" t="str">
        <f t="shared" si="11"/>
        <v/>
      </c>
      <c r="H274" s="16" t="str">
        <f t="shared" si="6"/>
        <v/>
      </c>
      <c r="I274" s="16" t="str">
        <f t="shared" si="7"/>
        <v/>
      </c>
      <c r="J274" s="16" t="str">
        <f t="shared" si="8"/>
        <v/>
      </c>
      <c r="K274" s="689" t="str">
        <f t="shared" si="9"/>
        <v/>
      </c>
      <c r="L274" s="690"/>
      <c r="M274" s="690"/>
      <c r="N274" s="690"/>
      <c r="O274" s="691"/>
    </row>
    <row r="275" spans="1:15" ht="30" customHeight="1" x14ac:dyDescent="0.2">
      <c r="A275" s="9" t="str">
        <f t="shared" si="4"/>
        <v/>
      </c>
      <c r="B275" s="689" t="str">
        <f t="shared" si="4"/>
        <v/>
      </c>
      <c r="C275" s="758"/>
      <c r="D275" s="16">
        <f>Impacts!D279</f>
        <v>0</v>
      </c>
      <c r="E275" s="16">
        <f>Impacts!E279</f>
        <v>0</v>
      </c>
      <c r="F275" s="16" t="str">
        <f t="shared" si="10"/>
        <v/>
      </c>
      <c r="G275" s="16" t="str">
        <f t="shared" si="11"/>
        <v/>
      </c>
      <c r="H275" s="16" t="str">
        <f t="shared" si="6"/>
        <v/>
      </c>
      <c r="I275" s="16" t="str">
        <f t="shared" si="7"/>
        <v/>
      </c>
      <c r="J275" s="16" t="str">
        <f t="shared" si="8"/>
        <v/>
      </c>
      <c r="K275" s="689" t="str">
        <f t="shared" si="9"/>
        <v/>
      </c>
      <c r="L275" s="690"/>
      <c r="M275" s="690"/>
      <c r="N275" s="690"/>
      <c r="O275" s="691"/>
    </row>
    <row r="276" spans="1:15" ht="30" customHeight="1" x14ac:dyDescent="0.2">
      <c r="A276" s="9" t="str">
        <f t="shared" si="4"/>
        <v/>
      </c>
      <c r="B276" s="689" t="str">
        <f t="shared" si="4"/>
        <v/>
      </c>
      <c r="C276" s="758"/>
      <c r="D276" s="16">
        <f>Impacts!D280</f>
        <v>0</v>
      </c>
      <c r="E276" s="16">
        <f>Impacts!E280</f>
        <v>0</v>
      </c>
      <c r="F276" s="16" t="str">
        <f t="shared" si="10"/>
        <v/>
      </c>
      <c r="G276" s="16" t="str">
        <f t="shared" si="11"/>
        <v/>
      </c>
      <c r="H276" s="16" t="str">
        <f t="shared" si="6"/>
        <v/>
      </c>
      <c r="I276" s="16" t="str">
        <f t="shared" si="7"/>
        <v/>
      </c>
      <c r="J276" s="16" t="str">
        <f t="shared" si="8"/>
        <v/>
      </c>
      <c r="K276" s="689" t="str">
        <f t="shared" si="9"/>
        <v/>
      </c>
      <c r="L276" s="690"/>
      <c r="M276" s="690"/>
      <c r="N276" s="690"/>
      <c r="O276" s="691"/>
    </row>
    <row r="277" spans="1:15" ht="30" customHeight="1" x14ac:dyDescent="0.2">
      <c r="A277" s="9" t="str">
        <f t="shared" si="4"/>
        <v/>
      </c>
      <c r="B277" s="689" t="str">
        <f t="shared" si="4"/>
        <v/>
      </c>
      <c r="C277" s="758"/>
      <c r="D277" s="16">
        <f>Impacts!D281</f>
        <v>0</v>
      </c>
      <c r="E277" s="16">
        <f>Impacts!E281</f>
        <v>0</v>
      </c>
      <c r="F277" s="16" t="str">
        <f t="shared" si="10"/>
        <v/>
      </c>
      <c r="G277" s="16" t="str">
        <f t="shared" si="11"/>
        <v/>
      </c>
      <c r="H277" s="16" t="str">
        <f t="shared" si="6"/>
        <v/>
      </c>
      <c r="I277" s="16" t="str">
        <f t="shared" si="7"/>
        <v/>
      </c>
      <c r="J277" s="16" t="str">
        <f t="shared" si="8"/>
        <v/>
      </c>
      <c r="K277" s="689" t="str">
        <f t="shared" si="9"/>
        <v/>
      </c>
      <c r="L277" s="690"/>
      <c r="M277" s="690"/>
      <c r="N277" s="690"/>
      <c r="O277" s="691"/>
    </row>
    <row r="278" spans="1:15" ht="30" customHeight="1" x14ac:dyDescent="0.2">
      <c r="A278" s="9" t="str">
        <f t="shared" si="4"/>
        <v/>
      </c>
      <c r="B278" s="689" t="str">
        <f t="shared" si="4"/>
        <v/>
      </c>
      <c r="C278" s="758"/>
      <c r="D278" s="16">
        <f>Impacts!D282</f>
        <v>0</v>
      </c>
      <c r="E278" s="16">
        <f>Impacts!E282</f>
        <v>0</v>
      </c>
      <c r="F278" s="16" t="str">
        <f t="shared" si="10"/>
        <v/>
      </c>
      <c r="G278" s="16" t="str">
        <f t="shared" si="11"/>
        <v/>
      </c>
      <c r="H278" s="16" t="str">
        <f t="shared" si="6"/>
        <v/>
      </c>
      <c r="I278" s="16" t="str">
        <f t="shared" si="7"/>
        <v/>
      </c>
      <c r="J278" s="16" t="str">
        <f t="shared" si="8"/>
        <v/>
      </c>
      <c r="K278" s="689" t="str">
        <f t="shared" si="9"/>
        <v/>
      </c>
      <c r="L278" s="690"/>
      <c r="M278" s="690"/>
      <c r="N278" s="690"/>
      <c r="O278" s="691"/>
    </row>
    <row r="279" spans="1:15" ht="30" customHeight="1" x14ac:dyDescent="0.2">
      <c r="A279" s="9" t="str">
        <f t="shared" si="4"/>
        <v/>
      </c>
      <c r="B279" s="689" t="str">
        <f t="shared" si="4"/>
        <v/>
      </c>
      <c r="C279" s="758"/>
      <c r="D279" s="16">
        <f>Impacts!D283</f>
        <v>0</v>
      </c>
      <c r="E279" s="16">
        <f>Impacts!E283</f>
        <v>0</v>
      </c>
      <c r="F279" s="16" t="str">
        <f t="shared" si="10"/>
        <v/>
      </c>
      <c r="G279" s="16" t="str">
        <f t="shared" si="11"/>
        <v/>
      </c>
      <c r="H279" s="16" t="str">
        <f t="shared" si="6"/>
        <v/>
      </c>
      <c r="I279" s="16" t="str">
        <f t="shared" si="7"/>
        <v/>
      </c>
      <c r="J279" s="16" t="str">
        <f t="shared" si="8"/>
        <v/>
      </c>
      <c r="K279" s="689" t="str">
        <f t="shared" si="9"/>
        <v/>
      </c>
      <c r="L279" s="690"/>
      <c r="M279" s="690"/>
      <c r="N279" s="690"/>
      <c r="O279" s="691"/>
    </row>
    <row r="280" spans="1:15" ht="30" customHeight="1" x14ac:dyDescent="0.2">
      <c r="A280" s="9" t="str">
        <f t="shared" si="4"/>
        <v/>
      </c>
      <c r="B280" s="689" t="str">
        <f t="shared" si="4"/>
        <v/>
      </c>
      <c r="C280" s="758"/>
      <c r="D280" s="16">
        <f>Impacts!D284</f>
        <v>0</v>
      </c>
      <c r="E280" s="16">
        <f>Impacts!E284</f>
        <v>0</v>
      </c>
      <c r="F280" s="16" t="str">
        <f t="shared" si="10"/>
        <v/>
      </c>
      <c r="G280" s="16" t="str">
        <f t="shared" si="11"/>
        <v/>
      </c>
      <c r="H280" s="16" t="str">
        <f t="shared" si="6"/>
        <v/>
      </c>
      <c r="I280" s="16" t="str">
        <f t="shared" si="7"/>
        <v/>
      </c>
      <c r="J280" s="16" t="str">
        <f t="shared" si="8"/>
        <v/>
      </c>
      <c r="K280" s="689" t="str">
        <f t="shared" si="9"/>
        <v/>
      </c>
      <c r="L280" s="690"/>
      <c r="M280" s="690"/>
      <c r="N280" s="690"/>
      <c r="O280" s="691"/>
    </row>
    <row r="281" spans="1:15" ht="30" customHeight="1" x14ac:dyDescent="0.2">
      <c r="A281" s="9" t="str">
        <f t="shared" si="4"/>
        <v/>
      </c>
      <c r="B281" s="689" t="str">
        <f t="shared" si="4"/>
        <v/>
      </c>
      <c r="C281" s="758"/>
      <c r="D281" s="16">
        <f>Impacts!D285</f>
        <v>0</v>
      </c>
      <c r="E281" s="16">
        <f>Impacts!E285</f>
        <v>0</v>
      </c>
      <c r="F281" s="16" t="str">
        <f t="shared" si="10"/>
        <v/>
      </c>
      <c r="G281" s="16" t="str">
        <f t="shared" si="11"/>
        <v/>
      </c>
      <c r="H281" s="16" t="str">
        <f t="shared" si="6"/>
        <v/>
      </c>
      <c r="I281" s="16" t="str">
        <f t="shared" si="7"/>
        <v/>
      </c>
      <c r="J281" s="16" t="str">
        <f t="shared" si="8"/>
        <v/>
      </c>
      <c r="K281" s="689" t="str">
        <f t="shared" si="9"/>
        <v/>
      </c>
      <c r="L281" s="690"/>
      <c r="M281" s="690"/>
      <c r="N281" s="690"/>
      <c r="O281" s="691"/>
    </row>
    <row r="282" spans="1:15" ht="30" customHeight="1" x14ac:dyDescent="0.2">
      <c r="A282" s="9" t="str">
        <f t="shared" si="4"/>
        <v/>
      </c>
      <c r="B282" s="689" t="str">
        <f t="shared" si="4"/>
        <v/>
      </c>
      <c r="C282" s="758"/>
      <c r="D282" s="16">
        <f>Impacts!D286</f>
        <v>0</v>
      </c>
      <c r="E282" s="16">
        <f>Impacts!E286</f>
        <v>0</v>
      </c>
      <c r="F282" s="16" t="str">
        <f t="shared" si="10"/>
        <v/>
      </c>
      <c r="G282" s="16" t="str">
        <f t="shared" si="11"/>
        <v/>
      </c>
      <c r="H282" s="16" t="str">
        <f t="shared" si="6"/>
        <v/>
      </c>
      <c r="I282" s="16" t="str">
        <f t="shared" si="7"/>
        <v/>
      </c>
      <c r="J282" s="16" t="str">
        <f t="shared" si="8"/>
        <v/>
      </c>
      <c r="K282" s="689" t="str">
        <f t="shared" si="9"/>
        <v/>
      </c>
      <c r="L282" s="690"/>
      <c r="M282" s="690"/>
      <c r="N282" s="690"/>
      <c r="O282" s="691"/>
    </row>
    <row r="283" spans="1:15" ht="30" customHeight="1" x14ac:dyDescent="0.2">
      <c r="A283" s="9" t="str">
        <f t="shared" si="4"/>
        <v/>
      </c>
      <c r="B283" s="689" t="str">
        <f t="shared" si="4"/>
        <v/>
      </c>
      <c r="C283" s="758"/>
      <c r="D283" s="16">
        <f>Impacts!D287</f>
        <v>0</v>
      </c>
      <c r="E283" s="16">
        <f>Impacts!E287</f>
        <v>0</v>
      </c>
      <c r="F283" s="16" t="str">
        <f t="shared" si="10"/>
        <v/>
      </c>
      <c r="G283" s="16" t="str">
        <f t="shared" si="11"/>
        <v/>
      </c>
      <c r="H283" s="16" t="str">
        <f t="shared" si="6"/>
        <v/>
      </c>
      <c r="I283" s="16" t="str">
        <f t="shared" si="7"/>
        <v/>
      </c>
      <c r="J283" s="16" t="str">
        <f t="shared" si="8"/>
        <v/>
      </c>
      <c r="K283" s="689" t="str">
        <f t="shared" si="9"/>
        <v/>
      </c>
      <c r="L283" s="690"/>
      <c r="M283" s="690"/>
      <c r="N283" s="690"/>
      <c r="O283" s="691"/>
    </row>
    <row r="284" spans="1:15" ht="30" customHeight="1" x14ac:dyDescent="0.2">
      <c r="A284" s="9" t="str">
        <f t="shared" si="4"/>
        <v/>
      </c>
      <c r="B284" s="689" t="str">
        <f t="shared" si="4"/>
        <v/>
      </c>
      <c r="C284" s="758"/>
      <c r="D284" s="16">
        <f>Impacts!D288</f>
        <v>0</v>
      </c>
      <c r="E284" s="16">
        <f>Impacts!E288</f>
        <v>0</v>
      </c>
      <c r="F284" s="16" t="str">
        <f t="shared" si="10"/>
        <v/>
      </c>
      <c r="G284" s="16" t="str">
        <f t="shared" si="11"/>
        <v/>
      </c>
      <c r="H284" s="16" t="str">
        <f t="shared" si="6"/>
        <v/>
      </c>
      <c r="I284" s="16" t="str">
        <f t="shared" si="7"/>
        <v/>
      </c>
      <c r="J284" s="16" t="str">
        <f t="shared" si="8"/>
        <v/>
      </c>
      <c r="K284" s="689" t="str">
        <f t="shared" si="9"/>
        <v/>
      </c>
      <c r="L284" s="690"/>
      <c r="M284" s="690"/>
      <c r="N284" s="690"/>
      <c r="O284" s="691"/>
    </row>
    <row r="285" spans="1:15" ht="30" customHeight="1" x14ac:dyDescent="0.2">
      <c r="A285" s="9" t="str">
        <f t="shared" si="4"/>
        <v/>
      </c>
      <c r="B285" s="689" t="str">
        <f t="shared" si="4"/>
        <v/>
      </c>
      <c r="C285" s="758"/>
      <c r="D285" s="16">
        <f>Impacts!D289</f>
        <v>0</v>
      </c>
      <c r="E285" s="16">
        <f>Impacts!E289</f>
        <v>0</v>
      </c>
      <c r="F285" s="16" t="str">
        <f t="shared" si="10"/>
        <v/>
      </c>
      <c r="G285" s="16" t="str">
        <f t="shared" si="11"/>
        <v/>
      </c>
      <c r="H285" s="16" t="str">
        <f t="shared" si="6"/>
        <v/>
      </c>
      <c r="I285" s="16" t="str">
        <f t="shared" si="7"/>
        <v/>
      </c>
      <c r="J285" s="16" t="str">
        <f t="shared" si="8"/>
        <v/>
      </c>
      <c r="K285" s="689" t="str">
        <f t="shared" si="9"/>
        <v/>
      </c>
      <c r="L285" s="690"/>
      <c r="M285" s="690"/>
      <c r="N285" s="690"/>
      <c r="O285" s="691"/>
    </row>
    <row r="286" spans="1:15" ht="30" customHeight="1" x14ac:dyDescent="0.2">
      <c r="A286" s="9" t="str">
        <f t="shared" si="4"/>
        <v/>
      </c>
      <c r="B286" s="689" t="str">
        <f t="shared" si="4"/>
        <v/>
      </c>
      <c r="C286" s="758"/>
      <c r="D286" s="16">
        <f>Impacts!D290</f>
        <v>0</v>
      </c>
      <c r="E286" s="16">
        <f>Impacts!E290</f>
        <v>0</v>
      </c>
      <c r="F286" s="16" t="str">
        <f t="shared" si="10"/>
        <v/>
      </c>
      <c r="G286" s="16" t="str">
        <f t="shared" si="11"/>
        <v/>
      </c>
      <c r="H286" s="16" t="str">
        <f t="shared" si="6"/>
        <v/>
      </c>
      <c r="I286" s="16" t="str">
        <f t="shared" si="7"/>
        <v/>
      </c>
      <c r="J286" s="16" t="str">
        <f t="shared" si="8"/>
        <v/>
      </c>
      <c r="K286" s="689" t="str">
        <f t="shared" si="9"/>
        <v/>
      </c>
      <c r="L286" s="690"/>
      <c r="M286" s="690"/>
      <c r="N286" s="690"/>
      <c r="O286" s="691"/>
    </row>
    <row r="287" spans="1:15" ht="30" customHeight="1" x14ac:dyDescent="0.2">
      <c r="A287" s="9" t="str">
        <f t="shared" si="4"/>
        <v/>
      </c>
      <c r="B287" s="689" t="str">
        <f t="shared" si="4"/>
        <v/>
      </c>
      <c r="C287" s="758"/>
      <c r="D287" s="16">
        <f>Impacts!D291</f>
        <v>0</v>
      </c>
      <c r="E287" s="16">
        <f>Impacts!E291</f>
        <v>0</v>
      </c>
      <c r="F287" s="16" t="str">
        <f t="shared" si="10"/>
        <v/>
      </c>
      <c r="G287" s="16" t="str">
        <f t="shared" si="11"/>
        <v/>
      </c>
      <c r="H287" s="16" t="str">
        <f t="shared" si="6"/>
        <v/>
      </c>
      <c r="I287" s="16" t="str">
        <f t="shared" si="7"/>
        <v/>
      </c>
      <c r="J287" s="16" t="str">
        <f t="shared" si="8"/>
        <v/>
      </c>
      <c r="K287" s="689" t="str">
        <f t="shared" si="9"/>
        <v/>
      </c>
      <c r="L287" s="690"/>
      <c r="M287" s="690"/>
      <c r="N287" s="690"/>
      <c r="O287" s="691"/>
    </row>
    <row r="288" spans="1:15" ht="30" customHeight="1" x14ac:dyDescent="0.2">
      <c r="A288" s="9" t="str">
        <f t="shared" si="4"/>
        <v/>
      </c>
      <c r="B288" s="689" t="str">
        <f t="shared" si="4"/>
        <v/>
      </c>
      <c r="C288" s="758"/>
      <c r="D288" s="16">
        <f>Impacts!D292</f>
        <v>0</v>
      </c>
      <c r="E288" s="16">
        <f>Impacts!E292</f>
        <v>0</v>
      </c>
      <c r="F288" s="16" t="str">
        <f t="shared" ref="F288:F319" si="12">IF($A288="","",IF(ISTEXT(VLOOKUP($A288,CASandESL,2,FALSE)),VLOOKUP($A288,CASandESL,2,FALSE),IF(ISNUMBER(VLOOKUP($A288,CASandESL,2,FALSE)),VLOOKUP($A288,CASandESL,2,FALSE)*0.1)))</f>
        <v/>
      </c>
      <c r="G288" s="16" t="str">
        <f t="shared" ref="G288:G319" si="13">IF($A288="","",IF(ISTEXT(VLOOKUP($A288,CASandESL,3,FALSE)),VLOOKUP($A288,CASandESL,3,FALSE),IF(ISNUMBER(VLOOKUP($A288,CASandESL,3,FALSE)),VLOOKUP($A288,CASandESL,3,FALSE)*0.1)))</f>
        <v/>
      </c>
      <c r="H288" s="16" t="str">
        <f t="shared" si="6"/>
        <v/>
      </c>
      <c r="I288" s="16" t="str">
        <f t="shared" si="7"/>
        <v/>
      </c>
      <c r="J288" s="16" t="str">
        <f t="shared" si="8"/>
        <v/>
      </c>
      <c r="K288" s="689" t="str">
        <f t="shared" si="9"/>
        <v/>
      </c>
      <c r="L288" s="690"/>
      <c r="M288" s="690"/>
      <c r="N288" s="690"/>
      <c r="O288" s="691"/>
    </row>
    <row r="289" spans="1:15" ht="30" customHeight="1" x14ac:dyDescent="0.2">
      <c r="A289" s="9" t="str">
        <f t="shared" ref="A289:B333" si="14">A176</f>
        <v/>
      </c>
      <c r="B289" s="689" t="str">
        <f t="shared" si="14"/>
        <v/>
      </c>
      <c r="C289" s="758"/>
      <c r="D289" s="16">
        <f>Impacts!D293</f>
        <v>0</v>
      </c>
      <c r="E289" s="16">
        <f>Impacts!E293</f>
        <v>0</v>
      </c>
      <c r="F289" s="16" t="str">
        <f t="shared" si="12"/>
        <v/>
      </c>
      <c r="G289" s="16" t="str">
        <f t="shared" si="13"/>
        <v/>
      </c>
      <c r="H289" s="16" t="str">
        <f t="shared" ref="H289:H333" si="15">IF(OR($A289="",$E289=""),"",IF($E289="yes",IF(ISNUMBER($G289),"Yes",IF($G289="simple asphyxiant","No","evaluated in section IV")),IF($F289="no value",IF(ISNUMBER($G289),"Yes",IF($G289="simple asphyxiant","No","evaluated in section IV")),IF(ISNUMBER($G289),IF(($G289/0.1)&lt;$F289,"Yes","No"),IF($G289="simple asphyxiant","No","evaluated in section IV")))))</f>
        <v/>
      </c>
      <c r="I289" s="16" t="str">
        <f t="shared" ref="I289:I333" si="16">IF($A289="","",IF(ISTEXT($F289),IF(OR($F289="no value",$F289="simple asphyxiant"),"analysis not needed","evaluated in section IV"),IF(COUNTIF($I176:$N176,"&gt;="&amp;$F289)&gt;0,"No","Yes")))</f>
        <v/>
      </c>
      <c r="J289" s="16" t="str">
        <f t="shared" ref="J289:J333" si="17">IF(OR($A289="",$H289=""),"",IF($H289="No","analysis not needed",IF(ISTEXT($G289),IF($G289="simple asphyxiant","analysis not needed","evaluated in section IV"),IF(COUNTIF($O176,"&gt;="&amp;$G289),"No","Yes"))))</f>
        <v/>
      </c>
      <c r="K289" s="689" t="str">
        <f t="shared" ref="K289:K333" si="18">IF(OR($I289="",$J289=""),"",IF(AND($I289&lt;&gt;"No",$J289&lt;&gt;"No"),"no additional steps required",IF($D289="no","revise data on previous sheets","proceed to site-wide analysis for this species")))</f>
        <v/>
      </c>
      <c r="L289" s="690"/>
      <c r="M289" s="690"/>
      <c r="N289" s="690"/>
      <c r="O289" s="691"/>
    </row>
    <row r="290" spans="1:15" ht="30" customHeight="1" x14ac:dyDescent="0.2">
      <c r="A290" s="9" t="str">
        <f t="shared" si="14"/>
        <v/>
      </c>
      <c r="B290" s="689" t="str">
        <f t="shared" si="14"/>
        <v/>
      </c>
      <c r="C290" s="758"/>
      <c r="D290" s="16">
        <f>Impacts!D294</f>
        <v>0</v>
      </c>
      <c r="E290" s="16">
        <f>Impacts!E294</f>
        <v>0</v>
      </c>
      <c r="F290" s="16" t="str">
        <f t="shared" si="12"/>
        <v/>
      </c>
      <c r="G290" s="16" t="str">
        <f t="shared" si="13"/>
        <v/>
      </c>
      <c r="H290" s="16" t="str">
        <f t="shared" si="15"/>
        <v/>
      </c>
      <c r="I290" s="16" t="str">
        <f t="shared" si="16"/>
        <v/>
      </c>
      <c r="J290" s="16" t="str">
        <f t="shared" si="17"/>
        <v/>
      </c>
      <c r="K290" s="689" t="str">
        <f t="shared" si="18"/>
        <v/>
      </c>
      <c r="L290" s="690"/>
      <c r="M290" s="690"/>
      <c r="N290" s="690"/>
      <c r="O290" s="691"/>
    </row>
    <row r="291" spans="1:15" ht="30" customHeight="1" x14ac:dyDescent="0.2">
      <c r="A291" s="9" t="str">
        <f t="shared" si="14"/>
        <v/>
      </c>
      <c r="B291" s="689" t="str">
        <f t="shared" si="14"/>
        <v/>
      </c>
      <c r="C291" s="758"/>
      <c r="D291" s="16">
        <f>Impacts!D295</f>
        <v>0</v>
      </c>
      <c r="E291" s="16">
        <f>Impacts!E295</f>
        <v>0</v>
      </c>
      <c r="F291" s="16" t="str">
        <f t="shared" si="12"/>
        <v/>
      </c>
      <c r="G291" s="16" t="str">
        <f t="shared" si="13"/>
        <v/>
      </c>
      <c r="H291" s="16" t="str">
        <f t="shared" si="15"/>
        <v/>
      </c>
      <c r="I291" s="16" t="str">
        <f t="shared" si="16"/>
        <v/>
      </c>
      <c r="J291" s="16" t="str">
        <f t="shared" si="17"/>
        <v/>
      </c>
      <c r="K291" s="689" t="str">
        <f t="shared" si="18"/>
        <v/>
      </c>
      <c r="L291" s="690"/>
      <c r="M291" s="690"/>
      <c r="N291" s="690"/>
      <c r="O291" s="691"/>
    </row>
    <row r="292" spans="1:15" ht="30" customHeight="1" x14ac:dyDescent="0.2">
      <c r="A292" s="9" t="str">
        <f t="shared" si="14"/>
        <v/>
      </c>
      <c r="B292" s="689" t="str">
        <f t="shared" si="14"/>
        <v/>
      </c>
      <c r="C292" s="758"/>
      <c r="D292" s="16">
        <f>Impacts!D296</f>
        <v>0</v>
      </c>
      <c r="E292" s="16">
        <f>Impacts!E296</f>
        <v>0</v>
      </c>
      <c r="F292" s="16" t="str">
        <f t="shared" si="12"/>
        <v/>
      </c>
      <c r="G292" s="16" t="str">
        <f t="shared" si="13"/>
        <v/>
      </c>
      <c r="H292" s="16" t="str">
        <f t="shared" si="15"/>
        <v/>
      </c>
      <c r="I292" s="16" t="str">
        <f t="shared" si="16"/>
        <v/>
      </c>
      <c r="J292" s="16" t="str">
        <f t="shared" si="17"/>
        <v/>
      </c>
      <c r="K292" s="689" t="str">
        <f t="shared" si="18"/>
        <v/>
      </c>
      <c r="L292" s="690"/>
      <c r="M292" s="690"/>
      <c r="N292" s="690"/>
      <c r="O292" s="691"/>
    </row>
    <row r="293" spans="1:15" ht="30" customHeight="1" x14ac:dyDescent="0.2">
      <c r="A293" s="9" t="str">
        <f t="shared" si="14"/>
        <v/>
      </c>
      <c r="B293" s="689" t="str">
        <f t="shared" si="14"/>
        <v/>
      </c>
      <c r="C293" s="758"/>
      <c r="D293" s="16">
        <f>Impacts!D297</f>
        <v>0</v>
      </c>
      <c r="E293" s="16">
        <f>Impacts!E297</f>
        <v>0</v>
      </c>
      <c r="F293" s="16" t="str">
        <f t="shared" si="12"/>
        <v/>
      </c>
      <c r="G293" s="16" t="str">
        <f t="shared" si="13"/>
        <v/>
      </c>
      <c r="H293" s="16" t="str">
        <f t="shared" si="15"/>
        <v/>
      </c>
      <c r="I293" s="16" t="str">
        <f t="shared" si="16"/>
        <v/>
      </c>
      <c r="J293" s="16" t="str">
        <f t="shared" si="17"/>
        <v/>
      </c>
      <c r="K293" s="689" t="str">
        <f t="shared" si="18"/>
        <v/>
      </c>
      <c r="L293" s="690"/>
      <c r="M293" s="690"/>
      <c r="N293" s="690"/>
      <c r="O293" s="691"/>
    </row>
    <row r="294" spans="1:15" ht="30" customHeight="1" x14ac:dyDescent="0.2">
      <c r="A294" s="9" t="str">
        <f t="shared" si="14"/>
        <v/>
      </c>
      <c r="B294" s="689" t="str">
        <f t="shared" si="14"/>
        <v/>
      </c>
      <c r="C294" s="758"/>
      <c r="D294" s="16">
        <f>Impacts!D298</f>
        <v>0</v>
      </c>
      <c r="E294" s="16">
        <f>Impacts!E298</f>
        <v>0</v>
      </c>
      <c r="F294" s="16" t="str">
        <f t="shared" si="12"/>
        <v/>
      </c>
      <c r="G294" s="16" t="str">
        <f t="shared" si="13"/>
        <v/>
      </c>
      <c r="H294" s="16" t="str">
        <f t="shared" si="15"/>
        <v/>
      </c>
      <c r="I294" s="16" t="str">
        <f t="shared" si="16"/>
        <v/>
      </c>
      <c r="J294" s="16" t="str">
        <f t="shared" si="17"/>
        <v/>
      </c>
      <c r="K294" s="689" t="str">
        <f t="shared" si="18"/>
        <v/>
      </c>
      <c r="L294" s="690"/>
      <c r="M294" s="690"/>
      <c r="N294" s="690"/>
      <c r="O294" s="691"/>
    </row>
    <row r="295" spans="1:15" ht="30" customHeight="1" x14ac:dyDescent="0.2">
      <c r="A295" s="9" t="str">
        <f t="shared" si="14"/>
        <v/>
      </c>
      <c r="B295" s="689" t="str">
        <f t="shared" si="14"/>
        <v/>
      </c>
      <c r="C295" s="758"/>
      <c r="D295" s="16">
        <f>Impacts!D299</f>
        <v>0</v>
      </c>
      <c r="E295" s="16">
        <f>Impacts!E299</f>
        <v>0</v>
      </c>
      <c r="F295" s="16" t="str">
        <f t="shared" si="12"/>
        <v/>
      </c>
      <c r="G295" s="16" t="str">
        <f t="shared" si="13"/>
        <v/>
      </c>
      <c r="H295" s="16" t="str">
        <f t="shared" si="15"/>
        <v/>
      </c>
      <c r="I295" s="16" t="str">
        <f t="shared" si="16"/>
        <v/>
      </c>
      <c r="J295" s="16" t="str">
        <f t="shared" si="17"/>
        <v/>
      </c>
      <c r="K295" s="689" t="str">
        <f t="shared" si="18"/>
        <v/>
      </c>
      <c r="L295" s="690"/>
      <c r="M295" s="690"/>
      <c r="N295" s="690"/>
      <c r="O295" s="691"/>
    </row>
    <row r="296" spans="1:15" ht="30" customHeight="1" x14ac:dyDescent="0.2">
      <c r="A296" s="9" t="str">
        <f t="shared" si="14"/>
        <v/>
      </c>
      <c r="B296" s="689" t="str">
        <f t="shared" si="14"/>
        <v/>
      </c>
      <c r="C296" s="758"/>
      <c r="D296" s="16">
        <f>Impacts!D300</f>
        <v>0</v>
      </c>
      <c r="E296" s="16">
        <f>Impacts!E300</f>
        <v>0</v>
      </c>
      <c r="F296" s="16" t="str">
        <f t="shared" si="12"/>
        <v/>
      </c>
      <c r="G296" s="16" t="str">
        <f t="shared" si="13"/>
        <v/>
      </c>
      <c r="H296" s="16" t="str">
        <f t="shared" si="15"/>
        <v/>
      </c>
      <c r="I296" s="16" t="str">
        <f t="shared" si="16"/>
        <v/>
      </c>
      <c r="J296" s="16" t="str">
        <f t="shared" si="17"/>
        <v/>
      </c>
      <c r="K296" s="689" t="str">
        <f t="shared" si="18"/>
        <v/>
      </c>
      <c r="L296" s="690"/>
      <c r="M296" s="690"/>
      <c r="N296" s="690"/>
      <c r="O296" s="691"/>
    </row>
    <row r="297" spans="1:15" ht="30" customHeight="1" x14ac:dyDescent="0.2">
      <c r="A297" s="9" t="str">
        <f t="shared" si="14"/>
        <v/>
      </c>
      <c r="B297" s="689" t="str">
        <f t="shared" si="14"/>
        <v/>
      </c>
      <c r="C297" s="758"/>
      <c r="D297" s="16">
        <f>Impacts!D301</f>
        <v>0</v>
      </c>
      <c r="E297" s="16">
        <f>Impacts!E301</f>
        <v>0</v>
      </c>
      <c r="F297" s="16" t="str">
        <f t="shared" si="12"/>
        <v/>
      </c>
      <c r="G297" s="16" t="str">
        <f t="shared" si="13"/>
        <v/>
      </c>
      <c r="H297" s="16" t="str">
        <f t="shared" si="15"/>
        <v/>
      </c>
      <c r="I297" s="16" t="str">
        <f t="shared" si="16"/>
        <v/>
      </c>
      <c r="J297" s="16" t="str">
        <f t="shared" si="17"/>
        <v/>
      </c>
      <c r="K297" s="689" t="str">
        <f t="shared" si="18"/>
        <v/>
      </c>
      <c r="L297" s="690"/>
      <c r="M297" s="690"/>
      <c r="N297" s="690"/>
      <c r="O297" s="691"/>
    </row>
    <row r="298" spans="1:15" ht="30" customHeight="1" x14ac:dyDescent="0.2">
      <c r="A298" s="9" t="str">
        <f t="shared" si="14"/>
        <v/>
      </c>
      <c r="B298" s="689" t="str">
        <f t="shared" si="14"/>
        <v/>
      </c>
      <c r="C298" s="758"/>
      <c r="D298" s="16">
        <f>Impacts!D302</f>
        <v>0</v>
      </c>
      <c r="E298" s="16">
        <f>Impacts!E302</f>
        <v>0</v>
      </c>
      <c r="F298" s="16" t="str">
        <f t="shared" si="12"/>
        <v/>
      </c>
      <c r="G298" s="16" t="str">
        <f t="shared" si="13"/>
        <v/>
      </c>
      <c r="H298" s="16" t="str">
        <f t="shared" si="15"/>
        <v/>
      </c>
      <c r="I298" s="16" t="str">
        <f t="shared" si="16"/>
        <v/>
      </c>
      <c r="J298" s="16" t="str">
        <f t="shared" si="17"/>
        <v/>
      </c>
      <c r="K298" s="689" t="str">
        <f t="shared" si="18"/>
        <v/>
      </c>
      <c r="L298" s="690"/>
      <c r="M298" s="690"/>
      <c r="N298" s="690"/>
      <c r="O298" s="691"/>
    </row>
    <row r="299" spans="1:15" ht="30" customHeight="1" x14ac:dyDescent="0.2">
      <c r="A299" s="9" t="str">
        <f t="shared" si="14"/>
        <v/>
      </c>
      <c r="B299" s="689" t="str">
        <f t="shared" si="14"/>
        <v/>
      </c>
      <c r="C299" s="758"/>
      <c r="D299" s="16">
        <f>Impacts!D303</f>
        <v>0</v>
      </c>
      <c r="E299" s="16">
        <f>Impacts!E303</f>
        <v>0</v>
      </c>
      <c r="F299" s="16" t="str">
        <f t="shared" si="12"/>
        <v/>
      </c>
      <c r="G299" s="16" t="str">
        <f t="shared" si="13"/>
        <v/>
      </c>
      <c r="H299" s="16" t="str">
        <f t="shared" si="15"/>
        <v/>
      </c>
      <c r="I299" s="16" t="str">
        <f t="shared" si="16"/>
        <v/>
      </c>
      <c r="J299" s="16" t="str">
        <f t="shared" si="17"/>
        <v/>
      </c>
      <c r="K299" s="689" t="str">
        <f t="shared" si="18"/>
        <v/>
      </c>
      <c r="L299" s="690"/>
      <c r="M299" s="690"/>
      <c r="N299" s="690"/>
      <c r="O299" s="691"/>
    </row>
    <row r="300" spans="1:15" ht="30" customHeight="1" x14ac:dyDescent="0.2">
      <c r="A300" s="9" t="str">
        <f t="shared" si="14"/>
        <v/>
      </c>
      <c r="B300" s="689" t="str">
        <f t="shared" si="14"/>
        <v/>
      </c>
      <c r="C300" s="758"/>
      <c r="D300" s="16">
        <f>Impacts!D304</f>
        <v>0</v>
      </c>
      <c r="E300" s="16">
        <f>Impacts!E304</f>
        <v>0</v>
      </c>
      <c r="F300" s="16" t="str">
        <f t="shared" si="12"/>
        <v/>
      </c>
      <c r="G300" s="16" t="str">
        <f t="shared" si="13"/>
        <v/>
      </c>
      <c r="H300" s="16" t="str">
        <f t="shared" si="15"/>
        <v/>
      </c>
      <c r="I300" s="16" t="str">
        <f t="shared" si="16"/>
        <v/>
      </c>
      <c r="J300" s="16" t="str">
        <f t="shared" si="17"/>
        <v/>
      </c>
      <c r="K300" s="689" t="str">
        <f t="shared" si="18"/>
        <v/>
      </c>
      <c r="L300" s="690"/>
      <c r="M300" s="690"/>
      <c r="N300" s="690"/>
      <c r="O300" s="691"/>
    </row>
    <row r="301" spans="1:15" ht="30" customHeight="1" x14ac:dyDescent="0.2">
      <c r="A301" s="9" t="str">
        <f t="shared" si="14"/>
        <v/>
      </c>
      <c r="B301" s="689" t="str">
        <f t="shared" si="14"/>
        <v/>
      </c>
      <c r="C301" s="758"/>
      <c r="D301" s="16">
        <f>Impacts!D305</f>
        <v>0</v>
      </c>
      <c r="E301" s="16">
        <f>Impacts!E305</f>
        <v>0</v>
      </c>
      <c r="F301" s="16" t="str">
        <f t="shared" si="12"/>
        <v/>
      </c>
      <c r="G301" s="16" t="str">
        <f t="shared" si="13"/>
        <v/>
      </c>
      <c r="H301" s="16" t="str">
        <f t="shared" si="15"/>
        <v/>
      </c>
      <c r="I301" s="16" t="str">
        <f t="shared" si="16"/>
        <v/>
      </c>
      <c r="J301" s="16" t="str">
        <f t="shared" si="17"/>
        <v/>
      </c>
      <c r="K301" s="689" t="str">
        <f t="shared" si="18"/>
        <v/>
      </c>
      <c r="L301" s="690"/>
      <c r="M301" s="690"/>
      <c r="N301" s="690"/>
      <c r="O301" s="691"/>
    </row>
    <row r="302" spans="1:15" ht="30" customHeight="1" x14ac:dyDescent="0.2">
      <c r="A302" s="9" t="str">
        <f t="shared" si="14"/>
        <v/>
      </c>
      <c r="B302" s="689" t="str">
        <f t="shared" si="14"/>
        <v/>
      </c>
      <c r="C302" s="758"/>
      <c r="D302" s="16">
        <f>Impacts!D306</f>
        <v>0</v>
      </c>
      <c r="E302" s="16">
        <f>Impacts!E306</f>
        <v>0</v>
      </c>
      <c r="F302" s="16" t="str">
        <f t="shared" si="12"/>
        <v/>
      </c>
      <c r="G302" s="16" t="str">
        <f t="shared" si="13"/>
        <v/>
      </c>
      <c r="H302" s="16" t="str">
        <f t="shared" si="15"/>
        <v/>
      </c>
      <c r="I302" s="16" t="str">
        <f t="shared" si="16"/>
        <v/>
      </c>
      <c r="J302" s="16" t="str">
        <f t="shared" si="17"/>
        <v/>
      </c>
      <c r="K302" s="689" t="str">
        <f t="shared" si="18"/>
        <v/>
      </c>
      <c r="L302" s="690"/>
      <c r="M302" s="690"/>
      <c r="N302" s="690"/>
      <c r="O302" s="691"/>
    </row>
    <row r="303" spans="1:15" ht="30" customHeight="1" x14ac:dyDescent="0.2">
      <c r="A303" s="9" t="str">
        <f t="shared" si="14"/>
        <v/>
      </c>
      <c r="B303" s="689" t="str">
        <f t="shared" si="14"/>
        <v/>
      </c>
      <c r="C303" s="758"/>
      <c r="D303" s="16">
        <f>Impacts!D307</f>
        <v>0</v>
      </c>
      <c r="E303" s="16">
        <f>Impacts!E307</f>
        <v>0</v>
      </c>
      <c r="F303" s="16" t="str">
        <f t="shared" si="12"/>
        <v/>
      </c>
      <c r="G303" s="16" t="str">
        <f t="shared" si="13"/>
        <v/>
      </c>
      <c r="H303" s="16" t="str">
        <f t="shared" si="15"/>
        <v/>
      </c>
      <c r="I303" s="16" t="str">
        <f t="shared" si="16"/>
        <v/>
      </c>
      <c r="J303" s="16" t="str">
        <f t="shared" si="17"/>
        <v/>
      </c>
      <c r="K303" s="689" t="str">
        <f t="shared" si="18"/>
        <v/>
      </c>
      <c r="L303" s="690"/>
      <c r="M303" s="690"/>
      <c r="N303" s="690"/>
      <c r="O303" s="691"/>
    </row>
    <row r="304" spans="1:15" ht="30" customHeight="1" x14ac:dyDescent="0.2">
      <c r="A304" s="9" t="str">
        <f t="shared" si="14"/>
        <v/>
      </c>
      <c r="B304" s="689" t="str">
        <f t="shared" si="14"/>
        <v/>
      </c>
      <c r="C304" s="758"/>
      <c r="D304" s="16">
        <f>Impacts!D308</f>
        <v>0</v>
      </c>
      <c r="E304" s="16">
        <f>Impacts!E308</f>
        <v>0</v>
      </c>
      <c r="F304" s="16" t="str">
        <f t="shared" si="12"/>
        <v/>
      </c>
      <c r="G304" s="16" t="str">
        <f t="shared" si="13"/>
        <v/>
      </c>
      <c r="H304" s="16" t="str">
        <f t="shared" si="15"/>
        <v/>
      </c>
      <c r="I304" s="16" t="str">
        <f t="shared" si="16"/>
        <v/>
      </c>
      <c r="J304" s="16" t="str">
        <f t="shared" si="17"/>
        <v/>
      </c>
      <c r="K304" s="689" t="str">
        <f t="shared" si="18"/>
        <v/>
      </c>
      <c r="L304" s="690"/>
      <c r="M304" s="690"/>
      <c r="N304" s="690"/>
      <c r="O304" s="691"/>
    </row>
    <row r="305" spans="1:15" ht="30" customHeight="1" x14ac:dyDescent="0.2">
      <c r="A305" s="9" t="str">
        <f t="shared" si="14"/>
        <v/>
      </c>
      <c r="B305" s="689" t="str">
        <f t="shared" si="14"/>
        <v/>
      </c>
      <c r="C305" s="758"/>
      <c r="D305" s="16">
        <f>Impacts!D309</f>
        <v>0</v>
      </c>
      <c r="E305" s="16">
        <f>Impacts!E309</f>
        <v>0</v>
      </c>
      <c r="F305" s="16" t="str">
        <f t="shared" si="12"/>
        <v/>
      </c>
      <c r="G305" s="16" t="str">
        <f t="shared" si="13"/>
        <v/>
      </c>
      <c r="H305" s="16" t="str">
        <f t="shared" si="15"/>
        <v/>
      </c>
      <c r="I305" s="16" t="str">
        <f t="shared" si="16"/>
        <v/>
      </c>
      <c r="J305" s="16" t="str">
        <f t="shared" si="17"/>
        <v/>
      </c>
      <c r="K305" s="689" t="str">
        <f t="shared" si="18"/>
        <v/>
      </c>
      <c r="L305" s="690"/>
      <c r="M305" s="690"/>
      <c r="N305" s="690"/>
      <c r="O305" s="691"/>
    </row>
    <row r="306" spans="1:15" ht="30" customHeight="1" x14ac:dyDescent="0.2">
      <c r="A306" s="9" t="str">
        <f t="shared" si="14"/>
        <v/>
      </c>
      <c r="B306" s="689" t="str">
        <f t="shared" si="14"/>
        <v/>
      </c>
      <c r="C306" s="758"/>
      <c r="D306" s="16">
        <f>Impacts!D310</f>
        <v>0</v>
      </c>
      <c r="E306" s="16">
        <f>Impacts!E310</f>
        <v>0</v>
      </c>
      <c r="F306" s="16" t="str">
        <f t="shared" si="12"/>
        <v/>
      </c>
      <c r="G306" s="16" t="str">
        <f t="shared" si="13"/>
        <v/>
      </c>
      <c r="H306" s="16" t="str">
        <f t="shared" si="15"/>
        <v/>
      </c>
      <c r="I306" s="16" t="str">
        <f t="shared" si="16"/>
        <v/>
      </c>
      <c r="J306" s="16" t="str">
        <f t="shared" si="17"/>
        <v/>
      </c>
      <c r="K306" s="689" t="str">
        <f t="shared" si="18"/>
        <v/>
      </c>
      <c r="L306" s="690"/>
      <c r="M306" s="690"/>
      <c r="N306" s="690"/>
      <c r="O306" s="691"/>
    </row>
    <row r="307" spans="1:15" ht="30" customHeight="1" x14ac:dyDescent="0.2">
      <c r="A307" s="9" t="str">
        <f t="shared" si="14"/>
        <v/>
      </c>
      <c r="B307" s="689" t="str">
        <f t="shared" si="14"/>
        <v/>
      </c>
      <c r="C307" s="758"/>
      <c r="D307" s="16">
        <f>Impacts!D311</f>
        <v>0</v>
      </c>
      <c r="E307" s="16">
        <f>Impacts!E311</f>
        <v>0</v>
      </c>
      <c r="F307" s="16" t="str">
        <f t="shared" si="12"/>
        <v/>
      </c>
      <c r="G307" s="16" t="str">
        <f t="shared" si="13"/>
        <v/>
      </c>
      <c r="H307" s="16" t="str">
        <f t="shared" si="15"/>
        <v/>
      </c>
      <c r="I307" s="16" t="str">
        <f t="shared" si="16"/>
        <v/>
      </c>
      <c r="J307" s="16" t="str">
        <f t="shared" si="17"/>
        <v/>
      </c>
      <c r="K307" s="689" t="str">
        <f t="shared" si="18"/>
        <v/>
      </c>
      <c r="L307" s="690"/>
      <c r="M307" s="690"/>
      <c r="N307" s="690"/>
      <c r="O307" s="691"/>
    </row>
    <row r="308" spans="1:15" ht="30" customHeight="1" x14ac:dyDescent="0.2">
      <c r="A308" s="9" t="str">
        <f t="shared" si="14"/>
        <v/>
      </c>
      <c r="B308" s="689" t="str">
        <f t="shared" si="14"/>
        <v/>
      </c>
      <c r="C308" s="758"/>
      <c r="D308" s="16">
        <f>Impacts!D312</f>
        <v>0</v>
      </c>
      <c r="E308" s="16">
        <f>Impacts!E312</f>
        <v>0</v>
      </c>
      <c r="F308" s="16" t="str">
        <f t="shared" si="12"/>
        <v/>
      </c>
      <c r="G308" s="16" t="str">
        <f t="shared" si="13"/>
        <v/>
      </c>
      <c r="H308" s="16" t="str">
        <f t="shared" si="15"/>
        <v/>
      </c>
      <c r="I308" s="16" t="str">
        <f t="shared" si="16"/>
        <v/>
      </c>
      <c r="J308" s="16" t="str">
        <f t="shared" si="17"/>
        <v/>
      </c>
      <c r="K308" s="689" t="str">
        <f t="shared" si="18"/>
        <v/>
      </c>
      <c r="L308" s="690"/>
      <c r="M308" s="690"/>
      <c r="N308" s="690"/>
      <c r="O308" s="691"/>
    </row>
    <row r="309" spans="1:15" ht="30" customHeight="1" x14ac:dyDescent="0.2">
      <c r="A309" s="9" t="str">
        <f t="shared" si="14"/>
        <v/>
      </c>
      <c r="B309" s="689" t="str">
        <f t="shared" si="14"/>
        <v/>
      </c>
      <c r="C309" s="758"/>
      <c r="D309" s="16">
        <f>Impacts!D313</f>
        <v>0</v>
      </c>
      <c r="E309" s="16">
        <f>Impacts!E313</f>
        <v>0</v>
      </c>
      <c r="F309" s="16" t="str">
        <f t="shared" si="12"/>
        <v/>
      </c>
      <c r="G309" s="16" t="str">
        <f t="shared" si="13"/>
        <v/>
      </c>
      <c r="H309" s="16" t="str">
        <f t="shared" si="15"/>
        <v/>
      </c>
      <c r="I309" s="16" t="str">
        <f t="shared" si="16"/>
        <v/>
      </c>
      <c r="J309" s="16" t="str">
        <f t="shared" si="17"/>
        <v/>
      </c>
      <c r="K309" s="689" t="str">
        <f t="shared" si="18"/>
        <v/>
      </c>
      <c r="L309" s="690"/>
      <c r="M309" s="690"/>
      <c r="N309" s="690"/>
      <c r="O309" s="691"/>
    </row>
    <row r="310" spans="1:15" ht="30" customHeight="1" x14ac:dyDescent="0.2">
      <c r="A310" s="9" t="str">
        <f t="shared" si="14"/>
        <v/>
      </c>
      <c r="B310" s="689" t="str">
        <f t="shared" si="14"/>
        <v/>
      </c>
      <c r="C310" s="758"/>
      <c r="D310" s="16">
        <f>Impacts!D314</f>
        <v>0</v>
      </c>
      <c r="E310" s="16">
        <f>Impacts!E314</f>
        <v>0</v>
      </c>
      <c r="F310" s="16" t="str">
        <f t="shared" si="12"/>
        <v/>
      </c>
      <c r="G310" s="16" t="str">
        <f t="shared" si="13"/>
        <v/>
      </c>
      <c r="H310" s="16" t="str">
        <f t="shared" si="15"/>
        <v/>
      </c>
      <c r="I310" s="16" t="str">
        <f t="shared" si="16"/>
        <v/>
      </c>
      <c r="J310" s="16" t="str">
        <f t="shared" si="17"/>
        <v/>
      </c>
      <c r="K310" s="689" t="str">
        <f t="shared" si="18"/>
        <v/>
      </c>
      <c r="L310" s="690"/>
      <c r="M310" s="690"/>
      <c r="N310" s="690"/>
      <c r="O310" s="691"/>
    </row>
    <row r="311" spans="1:15" ht="30" customHeight="1" x14ac:dyDescent="0.2">
      <c r="A311" s="9" t="str">
        <f t="shared" si="14"/>
        <v/>
      </c>
      <c r="B311" s="689" t="str">
        <f t="shared" si="14"/>
        <v/>
      </c>
      <c r="C311" s="758"/>
      <c r="D311" s="16">
        <f>Impacts!D315</f>
        <v>0</v>
      </c>
      <c r="E311" s="16">
        <f>Impacts!E315</f>
        <v>0</v>
      </c>
      <c r="F311" s="16" t="str">
        <f t="shared" si="12"/>
        <v/>
      </c>
      <c r="G311" s="16" t="str">
        <f t="shared" si="13"/>
        <v/>
      </c>
      <c r="H311" s="16" t="str">
        <f t="shared" si="15"/>
        <v/>
      </c>
      <c r="I311" s="16" t="str">
        <f t="shared" si="16"/>
        <v/>
      </c>
      <c r="J311" s="16" t="str">
        <f t="shared" si="17"/>
        <v/>
      </c>
      <c r="K311" s="689" t="str">
        <f t="shared" si="18"/>
        <v/>
      </c>
      <c r="L311" s="690"/>
      <c r="M311" s="690"/>
      <c r="N311" s="690"/>
      <c r="O311" s="691"/>
    </row>
    <row r="312" spans="1:15" ht="30" customHeight="1" x14ac:dyDescent="0.2">
      <c r="A312" s="9" t="str">
        <f t="shared" si="14"/>
        <v/>
      </c>
      <c r="B312" s="689" t="str">
        <f t="shared" si="14"/>
        <v/>
      </c>
      <c r="C312" s="758"/>
      <c r="D312" s="16">
        <f>Impacts!D316</f>
        <v>0</v>
      </c>
      <c r="E312" s="16">
        <f>Impacts!E316</f>
        <v>0</v>
      </c>
      <c r="F312" s="16" t="str">
        <f t="shared" si="12"/>
        <v/>
      </c>
      <c r="G312" s="16" t="str">
        <f t="shared" si="13"/>
        <v/>
      </c>
      <c r="H312" s="16" t="str">
        <f t="shared" si="15"/>
        <v/>
      </c>
      <c r="I312" s="16" t="str">
        <f t="shared" si="16"/>
        <v/>
      </c>
      <c r="J312" s="16" t="str">
        <f t="shared" si="17"/>
        <v/>
      </c>
      <c r="K312" s="689" t="str">
        <f t="shared" si="18"/>
        <v/>
      </c>
      <c r="L312" s="690"/>
      <c r="M312" s="690"/>
      <c r="N312" s="690"/>
      <c r="O312" s="691"/>
    </row>
    <row r="313" spans="1:15" ht="30" customHeight="1" x14ac:dyDescent="0.2">
      <c r="A313" s="9" t="str">
        <f t="shared" si="14"/>
        <v/>
      </c>
      <c r="B313" s="689" t="str">
        <f t="shared" si="14"/>
        <v/>
      </c>
      <c r="C313" s="758"/>
      <c r="D313" s="16">
        <f>Impacts!D317</f>
        <v>0</v>
      </c>
      <c r="E313" s="16">
        <f>Impacts!E317</f>
        <v>0</v>
      </c>
      <c r="F313" s="16" t="str">
        <f t="shared" si="12"/>
        <v/>
      </c>
      <c r="G313" s="16" t="str">
        <f t="shared" si="13"/>
        <v/>
      </c>
      <c r="H313" s="16" t="str">
        <f t="shared" si="15"/>
        <v/>
      </c>
      <c r="I313" s="16" t="str">
        <f t="shared" si="16"/>
        <v/>
      </c>
      <c r="J313" s="16" t="str">
        <f t="shared" si="17"/>
        <v/>
      </c>
      <c r="K313" s="689" t="str">
        <f t="shared" si="18"/>
        <v/>
      </c>
      <c r="L313" s="690"/>
      <c r="M313" s="690"/>
      <c r="N313" s="690"/>
      <c r="O313" s="691"/>
    </row>
    <row r="314" spans="1:15" ht="30" customHeight="1" x14ac:dyDescent="0.2">
      <c r="A314" s="9" t="str">
        <f t="shared" si="14"/>
        <v/>
      </c>
      <c r="B314" s="689" t="str">
        <f t="shared" si="14"/>
        <v/>
      </c>
      <c r="C314" s="758"/>
      <c r="D314" s="16">
        <f>Impacts!D318</f>
        <v>0</v>
      </c>
      <c r="E314" s="16">
        <f>Impacts!E318</f>
        <v>0</v>
      </c>
      <c r="F314" s="16" t="str">
        <f t="shared" si="12"/>
        <v/>
      </c>
      <c r="G314" s="16" t="str">
        <f t="shared" si="13"/>
        <v/>
      </c>
      <c r="H314" s="16" t="str">
        <f t="shared" si="15"/>
        <v/>
      </c>
      <c r="I314" s="16" t="str">
        <f t="shared" si="16"/>
        <v/>
      </c>
      <c r="J314" s="16" t="str">
        <f t="shared" si="17"/>
        <v/>
      </c>
      <c r="K314" s="689" t="str">
        <f t="shared" si="18"/>
        <v/>
      </c>
      <c r="L314" s="690"/>
      <c r="M314" s="690"/>
      <c r="N314" s="690"/>
      <c r="O314" s="691"/>
    </row>
    <row r="315" spans="1:15" ht="30" customHeight="1" x14ac:dyDescent="0.2">
      <c r="A315" s="9" t="str">
        <f t="shared" si="14"/>
        <v/>
      </c>
      <c r="B315" s="689" t="str">
        <f t="shared" si="14"/>
        <v/>
      </c>
      <c r="C315" s="758"/>
      <c r="D315" s="16">
        <f>Impacts!D319</f>
        <v>0</v>
      </c>
      <c r="E315" s="16">
        <f>Impacts!E319</f>
        <v>0</v>
      </c>
      <c r="F315" s="16" t="str">
        <f t="shared" si="12"/>
        <v/>
      </c>
      <c r="G315" s="16" t="str">
        <f t="shared" si="13"/>
        <v/>
      </c>
      <c r="H315" s="16" t="str">
        <f t="shared" si="15"/>
        <v/>
      </c>
      <c r="I315" s="16" t="str">
        <f t="shared" si="16"/>
        <v/>
      </c>
      <c r="J315" s="16" t="str">
        <f t="shared" si="17"/>
        <v/>
      </c>
      <c r="K315" s="689" t="str">
        <f t="shared" si="18"/>
        <v/>
      </c>
      <c r="L315" s="690"/>
      <c r="M315" s="690"/>
      <c r="N315" s="690"/>
      <c r="O315" s="691"/>
    </row>
    <row r="316" spans="1:15" ht="30" customHeight="1" x14ac:dyDescent="0.2">
      <c r="A316" s="9" t="str">
        <f t="shared" si="14"/>
        <v/>
      </c>
      <c r="B316" s="689" t="str">
        <f t="shared" si="14"/>
        <v/>
      </c>
      <c r="C316" s="758"/>
      <c r="D316" s="16">
        <f>Impacts!D320</f>
        <v>0</v>
      </c>
      <c r="E316" s="16">
        <f>Impacts!E320</f>
        <v>0</v>
      </c>
      <c r="F316" s="16" t="str">
        <f t="shared" si="12"/>
        <v/>
      </c>
      <c r="G316" s="16" t="str">
        <f t="shared" si="13"/>
        <v/>
      </c>
      <c r="H316" s="16" t="str">
        <f t="shared" si="15"/>
        <v/>
      </c>
      <c r="I316" s="16" t="str">
        <f t="shared" si="16"/>
        <v/>
      </c>
      <c r="J316" s="16" t="str">
        <f t="shared" si="17"/>
        <v/>
      </c>
      <c r="K316" s="689" t="str">
        <f t="shared" si="18"/>
        <v/>
      </c>
      <c r="L316" s="690"/>
      <c r="M316" s="690"/>
      <c r="N316" s="690"/>
      <c r="O316" s="691"/>
    </row>
    <row r="317" spans="1:15" ht="30" customHeight="1" x14ac:dyDescent="0.2">
      <c r="A317" s="9" t="str">
        <f t="shared" si="14"/>
        <v/>
      </c>
      <c r="B317" s="689" t="str">
        <f t="shared" si="14"/>
        <v/>
      </c>
      <c r="C317" s="758"/>
      <c r="D317" s="16">
        <f>Impacts!D321</f>
        <v>0</v>
      </c>
      <c r="E317" s="16">
        <f>Impacts!E321</f>
        <v>0</v>
      </c>
      <c r="F317" s="16" t="str">
        <f t="shared" si="12"/>
        <v/>
      </c>
      <c r="G317" s="16" t="str">
        <f t="shared" si="13"/>
        <v/>
      </c>
      <c r="H317" s="16" t="str">
        <f t="shared" si="15"/>
        <v/>
      </c>
      <c r="I317" s="16" t="str">
        <f t="shared" si="16"/>
        <v/>
      </c>
      <c r="J317" s="16" t="str">
        <f t="shared" si="17"/>
        <v/>
      </c>
      <c r="K317" s="689" t="str">
        <f t="shared" si="18"/>
        <v/>
      </c>
      <c r="L317" s="690"/>
      <c r="M317" s="690"/>
      <c r="N317" s="690"/>
      <c r="O317" s="691"/>
    </row>
    <row r="318" spans="1:15" ht="30" customHeight="1" x14ac:dyDescent="0.2">
      <c r="A318" s="9" t="str">
        <f t="shared" si="14"/>
        <v/>
      </c>
      <c r="B318" s="689" t="str">
        <f t="shared" si="14"/>
        <v/>
      </c>
      <c r="C318" s="758"/>
      <c r="D318" s="16">
        <f>Impacts!D322</f>
        <v>0</v>
      </c>
      <c r="E318" s="16">
        <f>Impacts!E322</f>
        <v>0</v>
      </c>
      <c r="F318" s="16" t="str">
        <f t="shared" si="12"/>
        <v/>
      </c>
      <c r="G318" s="16" t="str">
        <f t="shared" si="13"/>
        <v/>
      </c>
      <c r="H318" s="16" t="str">
        <f t="shared" si="15"/>
        <v/>
      </c>
      <c r="I318" s="16" t="str">
        <f t="shared" si="16"/>
        <v/>
      </c>
      <c r="J318" s="16" t="str">
        <f t="shared" si="17"/>
        <v/>
      </c>
      <c r="K318" s="689" t="str">
        <f t="shared" si="18"/>
        <v/>
      </c>
      <c r="L318" s="690"/>
      <c r="M318" s="690"/>
      <c r="N318" s="690"/>
      <c r="O318" s="691"/>
    </row>
    <row r="319" spans="1:15" ht="30" customHeight="1" x14ac:dyDescent="0.2">
      <c r="A319" s="9" t="str">
        <f t="shared" si="14"/>
        <v/>
      </c>
      <c r="B319" s="689" t="str">
        <f t="shared" si="14"/>
        <v/>
      </c>
      <c r="C319" s="758"/>
      <c r="D319" s="16">
        <f>Impacts!D323</f>
        <v>0</v>
      </c>
      <c r="E319" s="16">
        <f>Impacts!E323</f>
        <v>0</v>
      </c>
      <c r="F319" s="16" t="str">
        <f t="shared" si="12"/>
        <v/>
      </c>
      <c r="G319" s="16" t="str">
        <f t="shared" si="13"/>
        <v/>
      </c>
      <c r="H319" s="16" t="str">
        <f t="shared" si="15"/>
        <v/>
      </c>
      <c r="I319" s="16" t="str">
        <f t="shared" si="16"/>
        <v/>
      </c>
      <c r="J319" s="16" t="str">
        <f t="shared" si="17"/>
        <v/>
      </c>
      <c r="K319" s="689" t="str">
        <f t="shared" si="18"/>
        <v/>
      </c>
      <c r="L319" s="690"/>
      <c r="M319" s="690"/>
      <c r="N319" s="690"/>
      <c r="O319" s="691"/>
    </row>
    <row r="320" spans="1:15" ht="30" customHeight="1" x14ac:dyDescent="0.2">
      <c r="A320" s="9" t="str">
        <f t="shared" si="14"/>
        <v/>
      </c>
      <c r="B320" s="689" t="str">
        <f t="shared" si="14"/>
        <v/>
      </c>
      <c r="C320" s="758"/>
      <c r="D320" s="16">
        <f>Impacts!D324</f>
        <v>0</v>
      </c>
      <c r="E320" s="16">
        <f>Impacts!E324</f>
        <v>0</v>
      </c>
      <c r="F320" s="16" t="str">
        <f t="shared" ref="F320:F333" si="19">IF($A320="","",IF(ISTEXT(VLOOKUP($A320,CASandESL,2,FALSE)),VLOOKUP($A320,CASandESL,2,FALSE),IF(ISNUMBER(VLOOKUP($A320,CASandESL,2,FALSE)),VLOOKUP($A320,CASandESL,2,FALSE)*0.1)))</f>
        <v/>
      </c>
      <c r="G320" s="16" t="str">
        <f t="shared" ref="G320:G333" si="20">IF($A320="","",IF(ISTEXT(VLOOKUP($A320,CASandESL,3,FALSE)),VLOOKUP($A320,CASandESL,3,FALSE),IF(ISNUMBER(VLOOKUP($A320,CASandESL,3,FALSE)),VLOOKUP($A320,CASandESL,3,FALSE)*0.1)))</f>
        <v/>
      </c>
      <c r="H320" s="16" t="str">
        <f t="shared" si="15"/>
        <v/>
      </c>
      <c r="I320" s="16" t="str">
        <f t="shared" si="16"/>
        <v/>
      </c>
      <c r="J320" s="16" t="str">
        <f t="shared" si="17"/>
        <v/>
      </c>
      <c r="K320" s="689" t="str">
        <f t="shared" si="18"/>
        <v/>
      </c>
      <c r="L320" s="690"/>
      <c r="M320" s="690"/>
      <c r="N320" s="690"/>
      <c r="O320" s="691"/>
    </row>
    <row r="321" spans="1:15" ht="30" customHeight="1" x14ac:dyDescent="0.2">
      <c r="A321" s="9" t="str">
        <f t="shared" si="14"/>
        <v/>
      </c>
      <c r="B321" s="689" t="str">
        <f t="shared" si="14"/>
        <v/>
      </c>
      <c r="C321" s="758"/>
      <c r="D321" s="16">
        <f>Impacts!D325</f>
        <v>0</v>
      </c>
      <c r="E321" s="16">
        <f>Impacts!E325</f>
        <v>0</v>
      </c>
      <c r="F321" s="16" t="str">
        <f t="shared" si="19"/>
        <v/>
      </c>
      <c r="G321" s="16" t="str">
        <f t="shared" si="20"/>
        <v/>
      </c>
      <c r="H321" s="16" t="str">
        <f t="shared" si="15"/>
        <v/>
      </c>
      <c r="I321" s="16" t="str">
        <f t="shared" si="16"/>
        <v/>
      </c>
      <c r="J321" s="16" t="str">
        <f t="shared" si="17"/>
        <v/>
      </c>
      <c r="K321" s="689" t="str">
        <f t="shared" si="18"/>
        <v/>
      </c>
      <c r="L321" s="690"/>
      <c r="M321" s="690"/>
      <c r="N321" s="690"/>
      <c r="O321" s="691"/>
    </row>
    <row r="322" spans="1:15" ht="30" customHeight="1" x14ac:dyDescent="0.2">
      <c r="A322" s="9" t="str">
        <f t="shared" si="14"/>
        <v/>
      </c>
      <c r="B322" s="689" t="str">
        <f t="shared" si="14"/>
        <v/>
      </c>
      <c r="C322" s="758"/>
      <c r="D322" s="16">
        <f>Impacts!D326</f>
        <v>0</v>
      </c>
      <c r="E322" s="16">
        <f>Impacts!E326</f>
        <v>0</v>
      </c>
      <c r="F322" s="16" t="str">
        <f t="shared" si="19"/>
        <v/>
      </c>
      <c r="G322" s="16" t="str">
        <f t="shared" si="20"/>
        <v/>
      </c>
      <c r="H322" s="16" t="str">
        <f t="shared" si="15"/>
        <v/>
      </c>
      <c r="I322" s="16" t="str">
        <f t="shared" si="16"/>
        <v/>
      </c>
      <c r="J322" s="16" t="str">
        <f t="shared" si="17"/>
        <v/>
      </c>
      <c r="K322" s="689" t="str">
        <f t="shared" si="18"/>
        <v/>
      </c>
      <c r="L322" s="690"/>
      <c r="M322" s="690"/>
      <c r="N322" s="690"/>
      <c r="O322" s="691"/>
    </row>
    <row r="323" spans="1:15" ht="30" customHeight="1" x14ac:dyDescent="0.2">
      <c r="A323" s="9" t="str">
        <f t="shared" si="14"/>
        <v/>
      </c>
      <c r="B323" s="689" t="str">
        <f t="shared" si="14"/>
        <v/>
      </c>
      <c r="C323" s="758"/>
      <c r="D323" s="16">
        <f>Impacts!D327</f>
        <v>0</v>
      </c>
      <c r="E323" s="16">
        <f>Impacts!E327</f>
        <v>0</v>
      </c>
      <c r="F323" s="16" t="str">
        <f t="shared" si="19"/>
        <v/>
      </c>
      <c r="G323" s="16" t="str">
        <f t="shared" si="20"/>
        <v/>
      </c>
      <c r="H323" s="16" t="str">
        <f t="shared" si="15"/>
        <v/>
      </c>
      <c r="I323" s="16" t="str">
        <f t="shared" si="16"/>
        <v/>
      </c>
      <c r="J323" s="16" t="str">
        <f t="shared" si="17"/>
        <v/>
      </c>
      <c r="K323" s="689" t="str">
        <f t="shared" si="18"/>
        <v/>
      </c>
      <c r="L323" s="690"/>
      <c r="M323" s="690"/>
      <c r="N323" s="690"/>
      <c r="O323" s="691"/>
    </row>
    <row r="324" spans="1:15" ht="30" customHeight="1" x14ac:dyDescent="0.2">
      <c r="A324" s="9" t="str">
        <f t="shared" si="14"/>
        <v/>
      </c>
      <c r="B324" s="689" t="str">
        <f t="shared" si="14"/>
        <v/>
      </c>
      <c r="C324" s="758"/>
      <c r="D324" s="16">
        <f>Impacts!D328</f>
        <v>0</v>
      </c>
      <c r="E324" s="16">
        <f>Impacts!E328</f>
        <v>0</v>
      </c>
      <c r="F324" s="16" t="str">
        <f t="shared" si="19"/>
        <v/>
      </c>
      <c r="G324" s="16" t="str">
        <f t="shared" si="20"/>
        <v/>
      </c>
      <c r="H324" s="16" t="str">
        <f t="shared" si="15"/>
        <v/>
      </c>
      <c r="I324" s="16" t="str">
        <f t="shared" si="16"/>
        <v/>
      </c>
      <c r="J324" s="16" t="str">
        <f t="shared" si="17"/>
        <v/>
      </c>
      <c r="K324" s="689" t="str">
        <f t="shared" si="18"/>
        <v/>
      </c>
      <c r="L324" s="690"/>
      <c r="M324" s="690"/>
      <c r="N324" s="690"/>
      <c r="O324" s="691"/>
    </row>
    <row r="325" spans="1:15" ht="30" customHeight="1" x14ac:dyDescent="0.2">
      <c r="A325" s="9" t="str">
        <f t="shared" si="14"/>
        <v/>
      </c>
      <c r="B325" s="689" t="str">
        <f t="shared" si="14"/>
        <v/>
      </c>
      <c r="C325" s="758"/>
      <c r="D325" s="16">
        <f>Impacts!D329</f>
        <v>0</v>
      </c>
      <c r="E325" s="16">
        <f>Impacts!E329</f>
        <v>0</v>
      </c>
      <c r="F325" s="16" t="str">
        <f t="shared" si="19"/>
        <v/>
      </c>
      <c r="G325" s="16" t="str">
        <f t="shared" si="20"/>
        <v/>
      </c>
      <c r="H325" s="16" t="str">
        <f t="shared" si="15"/>
        <v/>
      </c>
      <c r="I325" s="16" t="str">
        <f t="shared" si="16"/>
        <v/>
      </c>
      <c r="J325" s="16" t="str">
        <f t="shared" si="17"/>
        <v/>
      </c>
      <c r="K325" s="689" t="str">
        <f t="shared" si="18"/>
        <v/>
      </c>
      <c r="L325" s="690"/>
      <c r="M325" s="690"/>
      <c r="N325" s="690"/>
      <c r="O325" s="691"/>
    </row>
    <row r="326" spans="1:15" ht="30" customHeight="1" x14ac:dyDescent="0.2">
      <c r="A326" s="9" t="str">
        <f t="shared" si="14"/>
        <v/>
      </c>
      <c r="B326" s="689" t="str">
        <f t="shared" si="14"/>
        <v/>
      </c>
      <c r="C326" s="758"/>
      <c r="D326" s="16">
        <f>Impacts!D330</f>
        <v>0</v>
      </c>
      <c r="E326" s="16">
        <f>Impacts!E330</f>
        <v>0</v>
      </c>
      <c r="F326" s="16" t="str">
        <f t="shared" si="19"/>
        <v/>
      </c>
      <c r="G326" s="16" t="str">
        <f t="shared" si="20"/>
        <v/>
      </c>
      <c r="H326" s="16" t="str">
        <f t="shared" si="15"/>
        <v/>
      </c>
      <c r="I326" s="16" t="str">
        <f t="shared" si="16"/>
        <v/>
      </c>
      <c r="J326" s="16" t="str">
        <f t="shared" si="17"/>
        <v/>
      </c>
      <c r="K326" s="689" t="str">
        <f t="shared" si="18"/>
        <v/>
      </c>
      <c r="L326" s="690"/>
      <c r="M326" s="690"/>
      <c r="N326" s="690"/>
      <c r="O326" s="691"/>
    </row>
    <row r="327" spans="1:15" ht="30" customHeight="1" x14ac:dyDescent="0.2">
      <c r="A327" s="9" t="str">
        <f t="shared" si="14"/>
        <v/>
      </c>
      <c r="B327" s="689" t="str">
        <f t="shared" si="14"/>
        <v/>
      </c>
      <c r="C327" s="758"/>
      <c r="D327" s="16">
        <f>Impacts!D331</f>
        <v>0</v>
      </c>
      <c r="E327" s="16">
        <f>Impacts!E331</f>
        <v>0</v>
      </c>
      <c r="F327" s="16" t="str">
        <f t="shared" si="19"/>
        <v/>
      </c>
      <c r="G327" s="16" t="str">
        <f t="shared" si="20"/>
        <v/>
      </c>
      <c r="H327" s="16" t="str">
        <f t="shared" si="15"/>
        <v/>
      </c>
      <c r="I327" s="16" t="str">
        <f t="shared" si="16"/>
        <v/>
      </c>
      <c r="J327" s="16" t="str">
        <f t="shared" si="17"/>
        <v/>
      </c>
      <c r="K327" s="689" t="str">
        <f t="shared" si="18"/>
        <v/>
      </c>
      <c r="L327" s="690"/>
      <c r="M327" s="690"/>
      <c r="N327" s="690"/>
      <c r="O327" s="691"/>
    </row>
    <row r="328" spans="1:15" ht="30" customHeight="1" x14ac:dyDescent="0.2">
      <c r="A328" s="9" t="str">
        <f t="shared" si="14"/>
        <v/>
      </c>
      <c r="B328" s="689" t="str">
        <f t="shared" si="14"/>
        <v/>
      </c>
      <c r="C328" s="758"/>
      <c r="D328" s="16">
        <f>Impacts!D332</f>
        <v>0</v>
      </c>
      <c r="E328" s="16">
        <f>Impacts!E332</f>
        <v>0</v>
      </c>
      <c r="F328" s="16" t="str">
        <f t="shared" si="19"/>
        <v/>
      </c>
      <c r="G328" s="16" t="str">
        <f t="shared" si="20"/>
        <v/>
      </c>
      <c r="H328" s="16" t="str">
        <f t="shared" si="15"/>
        <v/>
      </c>
      <c r="I328" s="16" t="str">
        <f t="shared" si="16"/>
        <v/>
      </c>
      <c r="J328" s="16" t="str">
        <f t="shared" si="17"/>
        <v/>
      </c>
      <c r="K328" s="689" t="str">
        <f t="shared" si="18"/>
        <v/>
      </c>
      <c r="L328" s="690"/>
      <c r="M328" s="690"/>
      <c r="N328" s="690"/>
      <c r="O328" s="691"/>
    </row>
    <row r="329" spans="1:15" ht="30" customHeight="1" x14ac:dyDescent="0.2">
      <c r="A329" s="9" t="str">
        <f t="shared" si="14"/>
        <v/>
      </c>
      <c r="B329" s="689" t="str">
        <f t="shared" si="14"/>
        <v/>
      </c>
      <c r="C329" s="758"/>
      <c r="D329" s="16">
        <f>Impacts!D333</f>
        <v>0</v>
      </c>
      <c r="E329" s="16">
        <f>Impacts!E333</f>
        <v>0</v>
      </c>
      <c r="F329" s="16" t="str">
        <f t="shared" si="19"/>
        <v/>
      </c>
      <c r="G329" s="16" t="str">
        <f t="shared" si="20"/>
        <v/>
      </c>
      <c r="H329" s="16" t="str">
        <f t="shared" si="15"/>
        <v/>
      </c>
      <c r="I329" s="16" t="str">
        <f t="shared" si="16"/>
        <v/>
      </c>
      <c r="J329" s="16" t="str">
        <f t="shared" si="17"/>
        <v/>
      </c>
      <c r="K329" s="689" t="str">
        <f t="shared" si="18"/>
        <v/>
      </c>
      <c r="L329" s="690"/>
      <c r="M329" s="690"/>
      <c r="N329" s="690"/>
      <c r="O329" s="691"/>
    </row>
    <row r="330" spans="1:15" ht="30" customHeight="1" x14ac:dyDescent="0.2">
      <c r="A330" s="9" t="str">
        <f t="shared" si="14"/>
        <v/>
      </c>
      <c r="B330" s="689" t="str">
        <f t="shared" si="14"/>
        <v/>
      </c>
      <c r="C330" s="758"/>
      <c r="D330" s="16">
        <f>Impacts!D334</f>
        <v>0</v>
      </c>
      <c r="E330" s="16">
        <f>Impacts!E334</f>
        <v>0</v>
      </c>
      <c r="F330" s="16" t="str">
        <f t="shared" si="19"/>
        <v/>
      </c>
      <c r="G330" s="16" t="str">
        <f t="shared" si="20"/>
        <v/>
      </c>
      <c r="H330" s="16" t="str">
        <f t="shared" si="15"/>
        <v/>
      </c>
      <c r="I330" s="16" t="str">
        <f t="shared" si="16"/>
        <v/>
      </c>
      <c r="J330" s="16" t="str">
        <f t="shared" si="17"/>
        <v/>
      </c>
      <c r="K330" s="689" t="str">
        <f t="shared" si="18"/>
        <v/>
      </c>
      <c r="L330" s="690"/>
      <c r="M330" s="690"/>
      <c r="N330" s="690"/>
      <c r="O330" s="691"/>
    </row>
    <row r="331" spans="1:15" ht="30" customHeight="1" x14ac:dyDescent="0.2">
      <c r="A331" s="9" t="str">
        <f t="shared" si="14"/>
        <v/>
      </c>
      <c r="B331" s="689" t="str">
        <f t="shared" si="14"/>
        <v/>
      </c>
      <c r="C331" s="758"/>
      <c r="D331" s="16">
        <f>Impacts!D335</f>
        <v>0</v>
      </c>
      <c r="E331" s="16">
        <f>Impacts!E335</f>
        <v>0</v>
      </c>
      <c r="F331" s="16" t="str">
        <f t="shared" si="19"/>
        <v/>
      </c>
      <c r="G331" s="16" t="str">
        <f t="shared" si="20"/>
        <v/>
      </c>
      <c r="H331" s="16" t="str">
        <f t="shared" si="15"/>
        <v/>
      </c>
      <c r="I331" s="16" t="str">
        <f t="shared" si="16"/>
        <v/>
      </c>
      <c r="J331" s="16" t="str">
        <f t="shared" si="17"/>
        <v/>
      </c>
      <c r="K331" s="689" t="str">
        <f t="shared" si="18"/>
        <v/>
      </c>
      <c r="L331" s="690"/>
      <c r="M331" s="690"/>
      <c r="N331" s="690"/>
      <c r="O331" s="691"/>
    </row>
    <row r="332" spans="1:15" ht="30" customHeight="1" x14ac:dyDescent="0.2">
      <c r="A332" s="9" t="str">
        <f t="shared" si="14"/>
        <v/>
      </c>
      <c r="B332" s="689" t="str">
        <f t="shared" si="14"/>
        <v/>
      </c>
      <c r="C332" s="758"/>
      <c r="D332" s="16">
        <f>Impacts!D336</f>
        <v>0</v>
      </c>
      <c r="E332" s="16">
        <f>Impacts!E336</f>
        <v>0</v>
      </c>
      <c r="F332" s="16" t="str">
        <f t="shared" si="19"/>
        <v/>
      </c>
      <c r="G332" s="16" t="str">
        <f t="shared" si="20"/>
        <v/>
      </c>
      <c r="H332" s="16" t="str">
        <f t="shared" si="15"/>
        <v/>
      </c>
      <c r="I332" s="16" t="str">
        <f t="shared" si="16"/>
        <v/>
      </c>
      <c r="J332" s="16" t="str">
        <f t="shared" si="17"/>
        <v/>
      </c>
      <c r="K332" s="689" t="str">
        <f t="shared" si="18"/>
        <v/>
      </c>
      <c r="L332" s="690"/>
      <c r="M332" s="690"/>
      <c r="N332" s="690"/>
      <c r="O332" s="691"/>
    </row>
    <row r="333" spans="1:15" ht="30" customHeight="1" thickBot="1" x14ac:dyDescent="0.25">
      <c r="A333" s="112" t="str">
        <f t="shared" si="14"/>
        <v/>
      </c>
      <c r="B333" s="802" t="str">
        <f t="shared" si="14"/>
        <v/>
      </c>
      <c r="C333" s="589"/>
      <c r="D333" s="28">
        <f>Impacts!D337</f>
        <v>0</v>
      </c>
      <c r="E333" s="28">
        <f>Impacts!E337</f>
        <v>0</v>
      </c>
      <c r="F333" s="28" t="str">
        <f t="shared" si="19"/>
        <v/>
      </c>
      <c r="G333" s="28" t="str">
        <f t="shared" si="20"/>
        <v/>
      </c>
      <c r="H333" s="28" t="str">
        <f t="shared" si="15"/>
        <v/>
      </c>
      <c r="I333" s="28" t="str">
        <f t="shared" si="16"/>
        <v/>
      </c>
      <c r="J333" s="28" t="str">
        <f t="shared" si="17"/>
        <v/>
      </c>
      <c r="K333" s="802" t="str">
        <f t="shared" si="18"/>
        <v/>
      </c>
      <c r="L333" s="588"/>
      <c r="M333" s="588"/>
      <c r="N333" s="588"/>
      <c r="O333" s="1157"/>
    </row>
    <row r="334" spans="1:15" ht="30.75" customHeight="1" thickBot="1" x14ac:dyDescent="0.25">
      <c r="A334" s="1179" t="s">
        <v>10070</v>
      </c>
      <c r="B334" s="1179"/>
      <c r="C334" s="1179"/>
      <c r="D334" s="1179"/>
      <c r="E334" s="1179"/>
      <c r="F334" s="1179"/>
      <c r="G334" s="1179"/>
      <c r="H334" s="1179"/>
      <c r="I334" s="1179"/>
      <c r="J334" s="1179"/>
      <c r="K334" s="1179"/>
      <c r="L334" s="1179"/>
      <c r="M334" s="1179"/>
      <c r="N334" s="1179"/>
      <c r="O334" s="1179"/>
    </row>
    <row r="335" spans="1:15" ht="15" thickBot="1" x14ac:dyDescent="0.25">
      <c r="A335" s="478" t="s">
        <v>10047</v>
      </c>
      <c r="B335" s="478"/>
      <c r="C335" s="478"/>
      <c r="D335" s="478"/>
      <c r="E335" s="478"/>
      <c r="F335" s="478"/>
      <c r="G335" s="478"/>
      <c r="H335" s="478"/>
      <c r="I335" s="478"/>
      <c r="J335" s="478"/>
      <c r="K335" s="478"/>
      <c r="L335" s="478"/>
      <c r="M335" s="478"/>
      <c r="N335" s="478"/>
      <c r="O335" s="478"/>
    </row>
    <row r="336" spans="1:15" ht="15.75" thickBot="1" x14ac:dyDescent="0.25">
      <c r="A336" s="479" t="s">
        <v>10068</v>
      </c>
      <c r="B336" s="479"/>
      <c r="C336" s="479"/>
      <c r="D336" s="479"/>
      <c r="E336" s="479"/>
      <c r="F336" s="479"/>
      <c r="G336" s="479"/>
      <c r="H336" s="479"/>
      <c r="I336" s="479"/>
      <c r="J336" s="479"/>
      <c r="K336" s="479"/>
      <c r="L336" s="479"/>
      <c r="M336" s="479"/>
      <c r="N336" s="479"/>
      <c r="O336" s="479"/>
    </row>
    <row r="337" spans="1:15" ht="48.75" customHeight="1" x14ac:dyDescent="0.2">
      <c r="A337" s="48" t="s">
        <v>8751</v>
      </c>
      <c r="B337" s="792" t="s">
        <v>9203</v>
      </c>
      <c r="C337" s="793"/>
      <c r="D337" s="792" t="s">
        <v>10050</v>
      </c>
      <c r="E337" s="793"/>
      <c r="F337" s="792" t="s">
        <v>10048</v>
      </c>
      <c r="G337" s="793"/>
      <c r="H337" s="792" t="s">
        <v>10049</v>
      </c>
      <c r="I337" s="793"/>
      <c r="J337" s="792" t="s">
        <v>10054</v>
      </c>
      <c r="K337" s="793"/>
      <c r="L337" s="792" t="s">
        <v>10055</v>
      </c>
      <c r="M337" s="793"/>
      <c r="N337" s="792" t="s">
        <v>9205</v>
      </c>
      <c r="O337" s="794"/>
    </row>
    <row r="338" spans="1:15" ht="30" customHeight="1" x14ac:dyDescent="0.2">
      <c r="A338" s="9" t="str">
        <f>$A224</f>
        <v/>
      </c>
      <c r="B338" s="531" t="str">
        <f>$B224</f>
        <v/>
      </c>
      <c r="C338" s="531"/>
      <c r="D338" s="689" t="str">
        <f>IF(OR($A338="",$D224=""),"",IF($D224="Yes","Yes","No"))</f>
        <v/>
      </c>
      <c r="E338" s="758"/>
      <c r="F338" s="689" t="str">
        <f>IF($F224="","",IF(ISNUMBER($F224),$F224/0.1,$F224))</f>
        <v/>
      </c>
      <c r="G338" s="758"/>
      <c r="H338" s="689" t="str">
        <f>IF($G224="","",IF(ISNUMBER($G224),$G224/0.1,$G224))</f>
        <v/>
      </c>
      <c r="I338" s="758"/>
      <c r="J338" s="689" t="str">
        <f t="shared" ref="J338" si="21">IF(OR($A338="",$D338=""),"",IF($I224&lt;&gt;"no","site-wide analysis not necessary",IF($I224="no",IF($D338="no","site-wide analysis not allowed",IF($D338="yes",IF(ISTEXT($F338),IF(OR($F338="no value",$F338="simple asphyxiant"),"site-wide analysis not needed","evaluated in section IV"),IF($D338="yes",IF(COUNTIF($I111:$N111,"&gt;="&amp;$F338)&gt;0,"No","Yes"))))))))</f>
        <v/>
      </c>
      <c r="K338" s="758"/>
      <c r="L338" s="689" t="str">
        <f t="shared" ref="L338" si="22">IF(OR($A338="",$D338=""),"",IF($J224&lt;&gt;"no","site-wide analysis not necessary",IF($J224="no",IF($D338="no","site-wide analysis not allowed",IF($D338="yes",IF(ISTEXT($H338),IF(OR($H338="no value",$H338="simple asphyxiant"),"site-wide analysis not needed","evaluated in section IV"),IF($D338="yes",IF(COUNTIF($O111,"&gt;="&amp;$H338)&gt;0,"No","Yes"))))))))</f>
        <v/>
      </c>
      <c r="M338" s="758"/>
      <c r="N338" s="689" t="str">
        <f t="shared" ref="N338" si="23">IF(OR($D338="",$J338="",$L338=""),"",IF($K224="proceed to site-wide analysis for this species",IF(AND($J338&lt;&gt;"no",$L338&lt;&gt;"no"),"no additional steps required","revise data on previous sheets"),$K224))</f>
        <v/>
      </c>
      <c r="O338" s="691"/>
    </row>
    <row r="339" spans="1:15" ht="30" customHeight="1" x14ac:dyDescent="0.2">
      <c r="A339" s="9" t="str">
        <f t="shared" ref="A339:A402" si="24">$A225</f>
        <v/>
      </c>
      <c r="B339" s="531" t="str">
        <f t="shared" ref="B339:B402" si="25">$B225</f>
        <v/>
      </c>
      <c r="C339" s="531"/>
      <c r="D339" s="689" t="str">
        <f t="shared" ref="D339:D402" si="26">IF(OR($A339="",$D225=""),"",IF($D225="Yes","Yes","No"))</f>
        <v/>
      </c>
      <c r="E339" s="758"/>
      <c r="F339" s="689" t="str">
        <f t="shared" ref="F339:F402" si="27">IF($F225="","",IF(ISNUMBER($F225),$F225/0.1,$F225))</f>
        <v/>
      </c>
      <c r="G339" s="758"/>
      <c r="H339" s="689" t="str">
        <f t="shared" ref="H339:H402" si="28">IF($G225="","",IF(ISNUMBER($G225),$G225/0.1,$G225))</f>
        <v/>
      </c>
      <c r="I339" s="758"/>
      <c r="J339" s="689" t="str">
        <f t="shared" ref="J339" si="29">IF(OR($A339="",$D339=""),"",IF($I225&lt;&gt;"no","site-wide analysis not necessary",IF($I225="no",IF($D339="no","site-wide analysis not allowed",IF($D339="yes",IF(ISTEXT($F339),IF(OR($F339="no value",$F339="simple asphyxiant"),"site-wide analysis not needed","evaluated in section IV"),IF($D339="yes",IF(COUNTIF($I112:$N112,"&gt;="&amp;$F339)&gt;0,"No","Yes"))))))))</f>
        <v/>
      </c>
      <c r="K339" s="758"/>
      <c r="L339" s="689" t="str">
        <f t="shared" ref="L339" si="30">IF(OR($A339="",$D339=""),"",IF($J225&lt;&gt;"no","site-wide analysis not necessary",IF($J225="no",IF($D339="no","site-wide analysis not allowed",IF($D339="yes",IF(ISTEXT($H339),IF(OR($H339="no value",$H339="simple asphyxiant"),"site-wide analysis not needed","evaluated in section IV"),IF($D339="yes",IF(COUNTIF($O112,"&gt;="&amp;$H339)&gt;0,"No","Yes"))))))))</f>
        <v/>
      </c>
      <c r="M339" s="758"/>
      <c r="N339" s="689" t="str">
        <f t="shared" ref="N339" si="31">IF(OR($D339="",$J339="",$L339=""),"",IF($K225="proceed to site-wide analysis for this species",IF(AND($J339&lt;&gt;"no",$L339&lt;&gt;"no"),"no additional steps required","revise data on previous sheets"),$K225))</f>
        <v/>
      </c>
      <c r="O339" s="691"/>
    </row>
    <row r="340" spans="1:15" ht="30" customHeight="1" x14ac:dyDescent="0.2">
      <c r="A340" s="9" t="str">
        <f t="shared" si="24"/>
        <v/>
      </c>
      <c r="B340" s="531" t="str">
        <f t="shared" si="25"/>
        <v/>
      </c>
      <c r="C340" s="531"/>
      <c r="D340" s="689" t="str">
        <f t="shared" si="26"/>
        <v/>
      </c>
      <c r="E340" s="758"/>
      <c r="F340" s="689" t="str">
        <f t="shared" si="27"/>
        <v/>
      </c>
      <c r="G340" s="758"/>
      <c r="H340" s="689" t="str">
        <f t="shared" si="28"/>
        <v/>
      </c>
      <c r="I340" s="758"/>
      <c r="J340" s="689" t="str">
        <f t="shared" ref="J340" si="32">IF(OR($A340="",$D340=""),"",IF($I226&lt;&gt;"no","site-wide analysis not necessary",IF($I226="no",IF($D340="no","site-wide analysis not allowed",IF($D340="yes",IF(ISTEXT($F340),IF(OR($F340="no value",$F340="simple asphyxiant"),"site-wide analysis not needed","evaluated in section IV"),IF($D340="yes",IF(COUNTIF($I113:$N113,"&gt;="&amp;$F340)&gt;0,"No","Yes"))))))))</f>
        <v/>
      </c>
      <c r="K340" s="758"/>
      <c r="L340" s="689" t="str">
        <f t="shared" ref="L340" si="33">IF(OR($A340="",$D340=""),"",IF($J226&lt;&gt;"no","site-wide analysis not necessary",IF($J226="no",IF($D340="no","site-wide analysis not allowed",IF($D340="yes",IF(ISTEXT($H340),IF(OR($H340="no value",$H340="simple asphyxiant"),"site-wide analysis not needed","evaluated in section IV"),IF($D340="yes",IF(COUNTIF($O113,"&gt;="&amp;$H340)&gt;0,"No","Yes"))))))))</f>
        <v/>
      </c>
      <c r="M340" s="758"/>
      <c r="N340" s="689" t="str">
        <f t="shared" ref="N340" si="34">IF(OR($D340="",$J340="",$L340=""),"",IF($K226="proceed to site-wide analysis for this species",IF(AND($J340&lt;&gt;"no",$L340&lt;&gt;"no"),"no additional steps required","revise data on previous sheets"),$K226))</f>
        <v/>
      </c>
      <c r="O340" s="691"/>
    </row>
    <row r="341" spans="1:15" ht="30" customHeight="1" x14ac:dyDescent="0.2">
      <c r="A341" s="9" t="str">
        <f t="shared" si="24"/>
        <v/>
      </c>
      <c r="B341" s="531" t="str">
        <f t="shared" si="25"/>
        <v/>
      </c>
      <c r="C341" s="531"/>
      <c r="D341" s="689" t="str">
        <f t="shared" si="26"/>
        <v/>
      </c>
      <c r="E341" s="758"/>
      <c r="F341" s="689" t="str">
        <f t="shared" si="27"/>
        <v/>
      </c>
      <c r="G341" s="758"/>
      <c r="H341" s="689" t="str">
        <f t="shared" si="28"/>
        <v/>
      </c>
      <c r="I341" s="758"/>
      <c r="J341" s="689" t="str">
        <f t="shared" ref="J341" si="35">IF(OR($A341="",$D341=""),"",IF($I227&lt;&gt;"no","site-wide analysis not necessary",IF($I227="no",IF($D341="no","site-wide analysis not allowed",IF($D341="yes",IF(ISTEXT($F341),IF(OR($F341="no value",$F341="simple asphyxiant"),"site-wide analysis not needed","evaluated in section IV"),IF($D341="yes",IF(COUNTIF($I114:$N114,"&gt;="&amp;$F341)&gt;0,"No","Yes"))))))))</f>
        <v/>
      </c>
      <c r="K341" s="758"/>
      <c r="L341" s="689" t="str">
        <f t="shared" ref="L341" si="36">IF(OR($A341="",$D341=""),"",IF($J227&lt;&gt;"no","site-wide analysis not necessary",IF($J227="no",IF($D341="no","site-wide analysis not allowed",IF($D341="yes",IF(ISTEXT($H341),IF(OR($H341="no value",$H341="simple asphyxiant"),"site-wide analysis not needed","evaluated in section IV"),IF($D341="yes",IF(COUNTIF($O114,"&gt;="&amp;$H341)&gt;0,"No","Yes"))))))))</f>
        <v/>
      </c>
      <c r="M341" s="758"/>
      <c r="N341" s="689" t="str">
        <f t="shared" ref="N341" si="37">IF(OR($D341="",$J341="",$L341=""),"",IF($K227="proceed to site-wide analysis for this species",IF(AND($J341&lt;&gt;"no",$L341&lt;&gt;"no"),"no additional steps required","revise data on previous sheets"),$K227))</f>
        <v/>
      </c>
      <c r="O341" s="691"/>
    </row>
    <row r="342" spans="1:15" ht="30" customHeight="1" x14ac:dyDescent="0.2">
      <c r="A342" s="9" t="str">
        <f t="shared" si="24"/>
        <v/>
      </c>
      <c r="B342" s="531" t="str">
        <f t="shared" si="25"/>
        <v/>
      </c>
      <c r="C342" s="531"/>
      <c r="D342" s="689" t="str">
        <f t="shared" si="26"/>
        <v/>
      </c>
      <c r="E342" s="758"/>
      <c r="F342" s="689" t="str">
        <f t="shared" si="27"/>
        <v/>
      </c>
      <c r="G342" s="758"/>
      <c r="H342" s="689" t="str">
        <f t="shared" si="28"/>
        <v/>
      </c>
      <c r="I342" s="758"/>
      <c r="J342" s="689" t="str">
        <f t="shared" ref="J342" si="38">IF(OR($A342="",$D342=""),"",IF($I228&lt;&gt;"no","site-wide analysis not necessary",IF($I228="no",IF($D342="no","site-wide analysis not allowed",IF($D342="yes",IF(ISTEXT($F342),IF(OR($F342="no value",$F342="simple asphyxiant"),"site-wide analysis not needed","evaluated in section IV"),IF($D342="yes",IF(COUNTIF($I115:$N115,"&gt;="&amp;$F342)&gt;0,"No","Yes"))))))))</f>
        <v/>
      </c>
      <c r="K342" s="758"/>
      <c r="L342" s="689" t="str">
        <f t="shared" ref="L342" si="39">IF(OR($A342="",$D342=""),"",IF($J228&lt;&gt;"no","site-wide analysis not necessary",IF($J228="no",IF($D342="no","site-wide analysis not allowed",IF($D342="yes",IF(ISTEXT($H342),IF(OR($H342="no value",$H342="simple asphyxiant"),"site-wide analysis not needed","evaluated in section IV"),IF($D342="yes",IF(COUNTIF($O115,"&gt;="&amp;$H342)&gt;0,"No","Yes"))))))))</f>
        <v/>
      </c>
      <c r="M342" s="758"/>
      <c r="N342" s="689" t="str">
        <f t="shared" ref="N342" si="40">IF(OR($D342="",$J342="",$L342=""),"",IF($K228="proceed to site-wide analysis for this species",IF(AND($J342&lt;&gt;"no",$L342&lt;&gt;"no"),"no additional steps required","revise data on previous sheets"),$K228))</f>
        <v/>
      </c>
      <c r="O342" s="691"/>
    </row>
    <row r="343" spans="1:15" ht="30" customHeight="1" x14ac:dyDescent="0.2">
      <c r="A343" s="9" t="str">
        <f t="shared" si="24"/>
        <v/>
      </c>
      <c r="B343" s="531" t="str">
        <f t="shared" si="25"/>
        <v/>
      </c>
      <c r="C343" s="531"/>
      <c r="D343" s="689" t="str">
        <f t="shared" si="26"/>
        <v/>
      </c>
      <c r="E343" s="758"/>
      <c r="F343" s="689" t="str">
        <f t="shared" si="27"/>
        <v/>
      </c>
      <c r="G343" s="758"/>
      <c r="H343" s="689" t="str">
        <f t="shared" si="28"/>
        <v/>
      </c>
      <c r="I343" s="758"/>
      <c r="J343" s="689" t="str">
        <f t="shared" ref="J343" si="41">IF(OR($A343="",$D343=""),"",IF($I229&lt;&gt;"no","site-wide analysis not necessary",IF($I229="no",IF($D343="no","site-wide analysis not allowed",IF($D343="yes",IF(ISTEXT($F343),IF(OR($F343="no value",$F343="simple asphyxiant"),"site-wide analysis not needed","evaluated in section IV"),IF($D343="yes",IF(COUNTIF($I116:$N116,"&gt;="&amp;$F343)&gt;0,"No","Yes"))))))))</f>
        <v/>
      </c>
      <c r="K343" s="758"/>
      <c r="L343" s="689" t="str">
        <f t="shared" ref="L343" si="42">IF(OR($A343="",$D343=""),"",IF($J229&lt;&gt;"no","site-wide analysis not necessary",IF($J229="no",IF($D343="no","site-wide analysis not allowed",IF($D343="yes",IF(ISTEXT($H343),IF(OR($H343="no value",$H343="simple asphyxiant"),"site-wide analysis not needed","evaluated in section IV"),IF($D343="yes",IF(COUNTIF($O116,"&gt;="&amp;$H343)&gt;0,"No","Yes"))))))))</f>
        <v/>
      </c>
      <c r="M343" s="758"/>
      <c r="N343" s="689" t="str">
        <f t="shared" ref="N343" si="43">IF(OR($D343="",$J343="",$L343=""),"",IF($K229="proceed to site-wide analysis for this species",IF(AND($J343&lt;&gt;"no",$L343&lt;&gt;"no"),"no additional steps required","revise data on previous sheets"),$K229))</f>
        <v/>
      </c>
      <c r="O343" s="691"/>
    </row>
    <row r="344" spans="1:15" ht="30" customHeight="1" x14ac:dyDescent="0.2">
      <c r="A344" s="9" t="str">
        <f t="shared" si="24"/>
        <v/>
      </c>
      <c r="B344" s="531" t="str">
        <f t="shared" si="25"/>
        <v/>
      </c>
      <c r="C344" s="531"/>
      <c r="D344" s="689" t="str">
        <f t="shared" si="26"/>
        <v/>
      </c>
      <c r="E344" s="758"/>
      <c r="F344" s="689" t="str">
        <f t="shared" si="27"/>
        <v/>
      </c>
      <c r="G344" s="758"/>
      <c r="H344" s="689" t="str">
        <f t="shared" si="28"/>
        <v/>
      </c>
      <c r="I344" s="758"/>
      <c r="J344" s="689" t="str">
        <f t="shared" ref="J344" si="44">IF(OR($A344="",$D344=""),"",IF($I230&lt;&gt;"no","site-wide analysis not necessary",IF($I230="no",IF($D344="no","site-wide analysis not allowed",IF($D344="yes",IF(ISTEXT($F344),IF(OR($F344="no value",$F344="simple asphyxiant"),"site-wide analysis not needed","evaluated in section IV"),IF($D344="yes",IF(COUNTIF($I117:$N117,"&gt;="&amp;$F344)&gt;0,"No","Yes"))))))))</f>
        <v/>
      </c>
      <c r="K344" s="758"/>
      <c r="L344" s="689" t="str">
        <f t="shared" ref="L344" si="45">IF(OR($A344="",$D344=""),"",IF($J230&lt;&gt;"no","site-wide analysis not necessary",IF($J230="no",IF($D344="no","site-wide analysis not allowed",IF($D344="yes",IF(ISTEXT($H344),IF(OR($H344="no value",$H344="simple asphyxiant"),"site-wide analysis not needed","evaluated in section IV"),IF($D344="yes",IF(COUNTIF($O117,"&gt;="&amp;$H344)&gt;0,"No","Yes"))))))))</f>
        <v/>
      </c>
      <c r="M344" s="758"/>
      <c r="N344" s="689" t="str">
        <f t="shared" ref="N344" si="46">IF(OR($D344="",$J344="",$L344=""),"",IF($K230="proceed to site-wide analysis for this species",IF(AND($J344&lt;&gt;"no",$L344&lt;&gt;"no"),"no additional steps required","revise data on previous sheets"),$K230))</f>
        <v/>
      </c>
      <c r="O344" s="691"/>
    </row>
    <row r="345" spans="1:15" ht="30" customHeight="1" x14ac:dyDescent="0.2">
      <c r="A345" s="9" t="str">
        <f t="shared" si="24"/>
        <v/>
      </c>
      <c r="B345" s="531" t="str">
        <f t="shared" si="25"/>
        <v/>
      </c>
      <c r="C345" s="531"/>
      <c r="D345" s="689" t="str">
        <f t="shared" si="26"/>
        <v/>
      </c>
      <c r="E345" s="758"/>
      <c r="F345" s="689" t="str">
        <f t="shared" si="27"/>
        <v/>
      </c>
      <c r="G345" s="758"/>
      <c r="H345" s="689" t="str">
        <f t="shared" si="28"/>
        <v/>
      </c>
      <c r="I345" s="758"/>
      <c r="J345" s="689" t="str">
        <f t="shared" ref="J345" si="47">IF(OR($A345="",$D345=""),"",IF($I231&lt;&gt;"no","site-wide analysis not necessary",IF($I231="no",IF($D345="no","site-wide analysis not allowed",IF($D345="yes",IF(ISTEXT($F345),IF(OR($F345="no value",$F345="simple asphyxiant"),"site-wide analysis not needed","evaluated in section IV"),IF($D345="yes",IF(COUNTIF($I118:$N118,"&gt;="&amp;$F345)&gt;0,"No","Yes"))))))))</f>
        <v/>
      </c>
      <c r="K345" s="758"/>
      <c r="L345" s="689" t="str">
        <f t="shared" ref="L345" si="48">IF(OR($A345="",$D345=""),"",IF($J231&lt;&gt;"no","site-wide analysis not necessary",IF($J231="no",IF($D345="no","site-wide analysis not allowed",IF($D345="yes",IF(ISTEXT($H345),IF(OR($H345="no value",$H345="simple asphyxiant"),"site-wide analysis not needed","evaluated in section IV"),IF($D345="yes",IF(COUNTIF($O118,"&gt;="&amp;$H345)&gt;0,"No","Yes"))))))))</f>
        <v/>
      </c>
      <c r="M345" s="758"/>
      <c r="N345" s="689" t="str">
        <f t="shared" ref="N345" si="49">IF(OR($D345="",$J345="",$L345=""),"",IF($K231="proceed to site-wide analysis for this species",IF(AND($J345&lt;&gt;"no",$L345&lt;&gt;"no"),"no additional steps required","revise data on previous sheets"),$K231))</f>
        <v/>
      </c>
      <c r="O345" s="691"/>
    </row>
    <row r="346" spans="1:15" ht="30" customHeight="1" x14ac:dyDescent="0.2">
      <c r="A346" s="9" t="str">
        <f t="shared" si="24"/>
        <v/>
      </c>
      <c r="B346" s="531" t="str">
        <f t="shared" si="25"/>
        <v/>
      </c>
      <c r="C346" s="531"/>
      <c r="D346" s="689" t="str">
        <f t="shared" si="26"/>
        <v/>
      </c>
      <c r="E346" s="758"/>
      <c r="F346" s="689" t="str">
        <f t="shared" si="27"/>
        <v/>
      </c>
      <c r="G346" s="758"/>
      <c r="H346" s="689" t="str">
        <f t="shared" si="28"/>
        <v/>
      </c>
      <c r="I346" s="758"/>
      <c r="J346" s="689" t="str">
        <f t="shared" ref="J346" si="50">IF(OR($A346="",$D346=""),"",IF($I232&lt;&gt;"no","site-wide analysis not necessary",IF($I232="no",IF($D346="no","site-wide analysis not allowed",IF($D346="yes",IF(ISTEXT($F346),IF(OR($F346="no value",$F346="simple asphyxiant"),"site-wide analysis not needed","evaluated in section IV"),IF($D346="yes",IF(COUNTIF($I119:$N119,"&gt;="&amp;$F346)&gt;0,"No","Yes"))))))))</f>
        <v/>
      </c>
      <c r="K346" s="758"/>
      <c r="L346" s="689" t="str">
        <f t="shared" ref="L346" si="51">IF(OR($A346="",$D346=""),"",IF($J232&lt;&gt;"no","site-wide analysis not necessary",IF($J232="no",IF($D346="no","site-wide analysis not allowed",IF($D346="yes",IF(ISTEXT($H346),IF(OR($H346="no value",$H346="simple asphyxiant"),"site-wide analysis not needed","evaluated in section IV"),IF($D346="yes",IF(COUNTIF($O119,"&gt;="&amp;$H346)&gt;0,"No","Yes"))))))))</f>
        <v/>
      </c>
      <c r="M346" s="758"/>
      <c r="N346" s="689" t="str">
        <f t="shared" ref="N346" si="52">IF(OR($D346="",$J346="",$L346=""),"",IF($K232="proceed to site-wide analysis for this species",IF(AND($J346&lt;&gt;"no",$L346&lt;&gt;"no"),"no additional steps required","revise data on previous sheets"),$K232))</f>
        <v/>
      </c>
      <c r="O346" s="691"/>
    </row>
    <row r="347" spans="1:15" ht="30" customHeight="1" x14ac:dyDescent="0.2">
      <c r="A347" s="9" t="str">
        <f t="shared" si="24"/>
        <v/>
      </c>
      <c r="B347" s="531" t="str">
        <f t="shared" si="25"/>
        <v/>
      </c>
      <c r="C347" s="531"/>
      <c r="D347" s="689" t="str">
        <f t="shared" si="26"/>
        <v/>
      </c>
      <c r="E347" s="758"/>
      <c r="F347" s="689" t="str">
        <f t="shared" si="27"/>
        <v/>
      </c>
      <c r="G347" s="758"/>
      <c r="H347" s="689" t="str">
        <f t="shared" si="28"/>
        <v/>
      </c>
      <c r="I347" s="758"/>
      <c r="J347" s="689" t="str">
        <f t="shared" ref="J347" si="53">IF(OR($A347="",$D347=""),"",IF($I233&lt;&gt;"no","site-wide analysis not necessary",IF($I233="no",IF($D347="no","site-wide analysis not allowed",IF($D347="yes",IF(ISTEXT($F347),IF(OR($F347="no value",$F347="simple asphyxiant"),"site-wide analysis not needed","evaluated in section IV"),IF($D347="yes",IF(COUNTIF($I120:$N120,"&gt;="&amp;$F347)&gt;0,"No","Yes"))))))))</f>
        <v/>
      </c>
      <c r="K347" s="758"/>
      <c r="L347" s="689" t="str">
        <f t="shared" ref="L347" si="54">IF(OR($A347="",$D347=""),"",IF($J233&lt;&gt;"no","site-wide analysis not necessary",IF($J233="no",IF($D347="no","site-wide analysis not allowed",IF($D347="yes",IF(ISTEXT($H347),IF(OR($H347="no value",$H347="simple asphyxiant"),"site-wide analysis not needed","evaluated in section IV"),IF($D347="yes",IF(COUNTIF($O120,"&gt;="&amp;$H347)&gt;0,"No","Yes"))))))))</f>
        <v/>
      </c>
      <c r="M347" s="758"/>
      <c r="N347" s="689" t="str">
        <f t="shared" ref="N347" si="55">IF(OR($D347="",$J347="",$L347=""),"",IF($K233="proceed to site-wide analysis for this species",IF(AND($J347&lt;&gt;"no",$L347&lt;&gt;"no"),"no additional steps required","revise data on previous sheets"),$K233))</f>
        <v/>
      </c>
      <c r="O347" s="691"/>
    </row>
    <row r="348" spans="1:15" ht="30" customHeight="1" x14ac:dyDescent="0.2">
      <c r="A348" s="9" t="str">
        <f t="shared" si="24"/>
        <v/>
      </c>
      <c r="B348" s="531" t="str">
        <f t="shared" si="25"/>
        <v/>
      </c>
      <c r="C348" s="531"/>
      <c r="D348" s="689" t="str">
        <f t="shared" si="26"/>
        <v/>
      </c>
      <c r="E348" s="758"/>
      <c r="F348" s="689" t="str">
        <f t="shared" si="27"/>
        <v/>
      </c>
      <c r="G348" s="758"/>
      <c r="H348" s="689" t="str">
        <f t="shared" si="28"/>
        <v/>
      </c>
      <c r="I348" s="758"/>
      <c r="J348" s="689" t="str">
        <f t="shared" ref="J348" si="56">IF(OR($A348="",$D348=""),"",IF($I234&lt;&gt;"no","site-wide analysis not necessary",IF($I234="no",IF($D348="no","site-wide analysis not allowed",IF($D348="yes",IF(ISTEXT($F348),IF(OR($F348="no value",$F348="simple asphyxiant"),"site-wide analysis not needed","evaluated in section IV"),IF($D348="yes",IF(COUNTIF($I121:$N121,"&gt;="&amp;$F348)&gt;0,"No","Yes"))))))))</f>
        <v/>
      </c>
      <c r="K348" s="758"/>
      <c r="L348" s="689" t="str">
        <f t="shared" ref="L348" si="57">IF(OR($A348="",$D348=""),"",IF($J234&lt;&gt;"no","site-wide analysis not necessary",IF($J234="no",IF($D348="no","site-wide analysis not allowed",IF($D348="yes",IF(ISTEXT($H348),IF(OR($H348="no value",$H348="simple asphyxiant"),"site-wide analysis not needed","evaluated in section IV"),IF($D348="yes",IF(COUNTIF($O121,"&gt;="&amp;$H348)&gt;0,"No","Yes"))))))))</f>
        <v/>
      </c>
      <c r="M348" s="758"/>
      <c r="N348" s="689" t="str">
        <f t="shared" ref="N348" si="58">IF(OR($D348="",$J348="",$L348=""),"",IF($K234="proceed to site-wide analysis for this species",IF(AND($J348&lt;&gt;"no",$L348&lt;&gt;"no"),"no additional steps required","revise data on previous sheets"),$K234))</f>
        <v/>
      </c>
      <c r="O348" s="691"/>
    </row>
    <row r="349" spans="1:15" ht="30" customHeight="1" x14ac:dyDescent="0.2">
      <c r="A349" s="9" t="str">
        <f t="shared" si="24"/>
        <v/>
      </c>
      <c r="B349" s="531" t="str">
        <f t="shared" si="25"/>
        <v/>
      </c>
      <c r="C349" s="531"/>
      <c r="D349" s="689" t="str">
        <f t="shared" si="26"/>
        <v/>
      </c>
      <c r="E349" s="758"/>
      <c r="F349" s="689" t="str">
        <f t="shared" si="27"/>
        <v/>
      </c>
      <c r="G349" s="758"/>
      <c r="H349" s="689" t="str">
        <f t="shared" si="28"/>
        <v/>
      </c>
      <c r="I349" s="758"/>
      <c r="J349" s="689" t="str">
        <f t="shared" ref="J349" si="59">IF(OR($A349="",$D349=""),"",IF($I235&lt;&gt;"no","site-wide analysis not necessary",IF($I235="no",IF($D349="no","site-wide analysis not allowed",IF($D349="yes",IF(ISTEXT($F349),IF(OR($F349="no value",$F349="simple asphyxiant"),"site-wide analysis not needed","evaluated in section IV"),IF($D349="yes",IF(COUNTIF($I122:$N122,"&gt;="&amp;$F349)&gt;0,"No","Yes"))))))))</f>
        <v/>
      </c>
      <c r="K349" s="758"/>
      <c r="L349" s="689" t="str">
        <f t="shared" ref="L349" si="60">IF(OR($A349="",$D349=""),"",IF($J235&lt;&gt;"no","site-wide analysis not necessary",IF($J235="no",IF($D349="no","site-wide analysis not allowed",IF($D349="yes",IF(ISTEXT($H349),IF(OR($H349="no value",$H349="simple asphyxiant"),"site-wide analysis not needed","evaluated in section IV"),IF($D349="yes",IF(COUNTIF($O122,"&gt;="&amp;$H349)&gt;0,"No","Yes"))))))))</f>
        <v/>
      </c>
      <c r="M349" s="758"/>
      <c r="N349" s="689" t="str">
        <f t="shared" ref="N349" si="61">IF(OR($D349="",$J349="",$L349=""),"",IF($K235="proceed to site-wide analysis for this species",IF(AND($J349&lt;&gt;"no",$L349&lt;&gt;"no"),"no additional steps required","revise data on previous sheets"),$K235))</f>
        <v/>
      </c>
      <c r="O349" s="691"/>
    </row>
    <row r="350" spans="1:15" ht="30" customHeight="1" x14ac:dyDescent="0.2">
      <c r="A350" s="9" t="str">
        <f t="shared" si="24"/>
        <v/>
      </c>
      <c r="B350" s="531" t="str">
        <f t="shared" si="25"/>
        <v/>
      </c>
      <c r="C350" s="531"/>
      <c r="D350" s="689" t="str">
        <f t="shared" si="26"/>
        <v/>
      </c>
      <c r="E350" s="758"/>
      <c r="F350" s="689" t="str">
        <f t="shared" si="27"/>
        <v/>
      </c>
      <c r="G350" s="758"/>
      <c r="H350" s="689" t="str">
        <f t="shared" si="28"/>
        <v/>
      </c>
      <c r="I350" s="758"/>
      <c r="J350" s="689" t="str">
        <f t="shared" ref="J350" si="62">IF(OR($A350="",$D350=""),"",IF($I236&lt;&gt;"no","site-wide analysis not necessary",IF($I236="no",IF($D350="no","site-wide analysis not allowed",IF($D350="yes",IF(ISTEXT($F350),IF(OR($F350="no value",$F350="simple asphyxiant"),"site-wide analysis not needed","evaluated in section IV"),IF($D350="yes",IF(COUNTIF($I123:$N123,"&gt;="&amp;$F350)&gt;0,"No","Yes"))))))))</f>
        <v/>
      </c>
      <c r="K350" s="758"/>
      <c r="L350" s="689" t="str">
        <f t="shared" ref="L350" si="63">IF(OR($A350="",$D350=""),"",IF($J236&lt;&gt;"no","site-wide analysis not necessary",IF($J236="no",IF($D350="no","site-wide analysis not allowed",IF($D350="yes",IF(ISTEXT($H350),IF(OR($H350="no value",$H350="simple asphyxiant"),"site-wide analysis not needed","evaluated in section IV"),IF($D350="yes",IF(COUNTIF($O123,"&gt;="&amp;$H350)&gt;0,"No","Yes"))))))))</f>
        <v/>
      </c>
      <c r="M350" s="758"/>
      <c r="N350" s="689" t="str">
        <f t="shared" ref="N350" si="64">IF(OR($D350="",$J350="",$L350=""),"",IF($K236="proceed to site-wide analysis for this species",IF(AND($J350&lt;&gt;"no",$L350&lt;&gt;"no"),"no additional steps required","revise data on previous sheets"),$K236))</f>
        <v/>
      </c>
      <c r="O350" s="691"/>
    </row>
    <row r="351" spans="1:15" ht="30" customHeight="1" x14ac:dyDescent="0.2">
      <c r="A351" s="9" t="str">
        <f t="shared" si="24"/>
        <v/>
      </c>
      <c r="B351" s="531" t="str">
        <f t="shared" si="25"/>
        <v/>
      </c>
      <c r="C351" s="531"/>
      <c r="D351" s="689" t="str">
        <f t="shared" si="26"/>
        <v/>
      </c>
      <c r="E351" s="758"/>
      <c r="F351" s="689" t="str">
        <f t="shared" si="27"/>
        <v/>
      </c>
      <c r="G351" s="758"/>
      <c r="H351" s="689" t="str">
        <f t="shared" si="28"/>
        <v/>
      </c>
      <c r="I351" s="758"/>
      <c r="J351" s="689" t="str">
        <f t="shared" ref="J351" si="65">IF(OR($A351="",$D351=""),"",IF($I237&lt;&gt;"no","site-wide analysis not necessary",IF($I237="no",IF($D351="no","site-wide analysis not allowed",IF($D351="yes",IF(ISTEXT($F351),IF(OR($F351="no value",$F351="simple asphyxiant"),"site-wide analysis not needed","evaluated in section IV"),IF($D351="yes",IF(COUNTIF($I124:$N124,"&gt;="&amp;$F351)&gt;0,"No","Yes"))))))))</f>
        <v/>
      </c>
      <c r="K351" s="758"/>
      <c r="L351" s="689" t="str">
        <f t="shared" ref="L351" si="66">IF(OR($A351="",$D351=""),"",IF($J237&lt;&gt;"no","site-wide analysis not necessary",IF($J237="no",IF($D351="no","site-wide analysis not allowed",IF($D351="yes",IF(ISTEXT($H351),IF(OR($H351="no value",$H351="simple asphyxiant"),"site-wide analysis not needed","evaluated in section IV"),IF($D351="yes",IF(COUNTIF($O124,"&gt;="&amp;$H351)&gt;0,"No","Yes"))))))))</f>
        <v/>
      </c>
      <c r="M351" s="758"/>
      <c r="N351" s="689" t="str">
        <f t="shared" ref="N351" si="67">IF(OR($D351="",$J351="",$L351=""),"",IF($K237="proceed to site-wide analysis for this species",IF(AND($J351&lt;&gt;"no",$L351&lt;&gt;"no"),"no additional steps required","revise data on previous sheets"),$K237))</f>
        <v/>
      </c>
      <c r="O351" s="691"/>
    </row>
    <row r="352" spans="1:15" ht="30" customHeight="1" x14ac:dyDescent="0.2">
      <c r="A352" s="9" t="str">
        <f t="shared" si="24"/>
        <v/>
      </c>
      <c r="B352" s="531" t="str">
        <f t="shared" si="25"/>
        <v/>
      </c>
      <c r="C352" s="531"/>
      <c r="D352" s="689" t="str">
        <f t="shared" si="26"/>
        <v/>
      </c>
      <c r="E352" s="758"/>
      <c r="F352" s="689" t="str">
        <f t="shared" si="27"/>
        <v/>
      </c>
      <c r="G352" s="758"/>
      <c r="H352" s="689" t="str">
        <f t="shared" si="28"/>
        <v/>
      </c>
      <c r="I352" s="758"/>
      <c r="J352" s="689" t="str">
        <f t="shared" ref="J352" si="68">IF(OR($A352="",$D352=""),"",IF($I238&lt;&gt;"no","site-wide analysis not necessary",IF($I238="no",IF($D352="no","site-wide analysis not allowed",IF($D352="yes",IF(ISTEXT($F352),IF(OR($F352="no value",$F352="simple asphyxiant"),"site-wide analysis not needed","evaluated in section IV"),IF($D352="yes",IF(COUNTIF($I125:$N125,"&gt;="&amp;$F352)&gt;0,"No","Yes"))))))))</f>
        <v/>
      </c>
      <c r="K352" s="758"/>
      <c r="L352" s="689" t="str">
        <f t="shared" ref="L352" si="69">IF(OR($A352="",$D352=""),"",IF($J238&lt;&gt;"no","site-wide analysis not necessary",IF($J238="no",IF($D352="no","site-wide analysis not allowed",IF($D352="yes",IF(ISTEXT($H352),IF(OR($H352="no value",$H352="simple asphyxiant"),"site-wide analysis not needed","evaluated in section IV"),IF($D352="yes",IF(COUNTIF($O125,"&gt;="&amp;$H352)&gt;0,"No","Yes"))))))))</f>
        <v/>
      </c>
      <c r="M352" s="758"/>
      <c r="N352" s="689" t="str">
        <f t="shared" ref="N352" si="70">IF(OR($D352="",$J352="",$L352=""),"",IF($K238="proceed to site-wide analysis for this species",IF(AND($J352&lt;&gt;"no",$L352&lt;&gt;"no"),"no additional steps required","revise data on previous sheets"),$K238))</f>
        <v/>
      </c>
      <c r="O352" s="691"/>
    </row>
    <row r="353" spans="1:15" ht="30" customHeight="1" x14ac:dyDescent="0.2">
      <c r="A353" s="9" t="str">
        <f t="shared" si="24"/>
        <v/>
      </c>
      <c r="B353" s="531" t="str">
        <f t="shared" si="25"/>
        <v/>
      </c>
      <c r="C353" s="531"/>
      <c r="D353" s="689" t="str">
        <f t="shared" si="26"/>
        <v/>
      </c>
      <c r="E353" s="758"/>
      <c r="F353" s="689" t="str">
        <f t="shared" si="27"/>
        <v/>
      </c>
      <c r="G353" s="758"/>
      <c r="H353" s="689" t="str">
        <f t="shared" si="28"/>
        <v/>
      </c>
      <c r="I353" s="758"/>
      <c r="J353" s="689" t="str">
        <f t="shared" ref="J353" si="71">IF(OR($A353="",$D353=""),"",IF($I239&lt;&gt;"no","site-wide analysis not necessary",IF($I239="no",IF($D353="no","site-wide analysis not allowed",IF($D353="yes",IF(ISTEXT($F353),IF(OR($F353="no value",$F353="simple asphyxiant"),"site-wide analysis not needed","evaluated in section IV"),IF($D353="yes",IF(COUNTIF($I126:$N126,"&gt;="&amp;$F353)&gt;0,"No","Yes"))))))))</f>
        <v/>
      </c>
      <c r="K353" s="758"/>
      <c r="L353" s="689" t="str">
        <f t="shared" ref="L353" si="72">IF(OR($A353="",$D353=""),"",IF($J239&lt;&gt;"no","site-wide analysis not necessary",IF($J239="no",IF($D353="no","site-wide analysis not allowed",IF($D353="yes",IF(ISTEXT($H353),IF(OR($H353="no value",$H353="simple asphyxiant"),"site-wide analysis not needed","evaluated in section IV"),IF($D353="yes",IF(COUNTIF($O126,"&gt;="&amp;$H353)&gt;0,"No","Yes"))))))))</f>
        <v/>
      </c>
      <c r="M353" s="758"/>
      <c r="N353" s="689" t="str">
        <f t="shared" ref="N353" si="73">IF(OR($D353="",$J353="",$L353=""),"",IF($K239="proceed to site-wide analysis for this species",IF(AND($J353&lt;&gt;"no",$L353&lt;&gt;"no"),"no additional steps required","revise data on previous sheets"),$K239))</f>
        <v/>
      </c>
      <c r="O353" s="691"/>
    </row>
    <row r="354" spans="1:15" ht="30" customHeight="1" x14ac:dyDescent="0.2">
      <c r="A354" s="9" t="str">
        <f t="shared" si="24"/>
        <v/>
      </c>
      <c r="B354" s="531" t="str">
        <f t="shared" si="25"/>
        <v/>
      </c>
      <c r="C354" s="531"/>
      <c r="D354" s="689" t="str">
        <f t="shared" si="26"/>
        <v/>
      </c>
      <c r="E354" s="758"/>
      <c r="F354" s="689" t="str">
        <f t="shared" si="27"/>
        <v/>
      </c>
      <c r="G354" s="758"/>
      <c r="H354" s="689" t="str">
        <f t="shared" si="28"/>
        <v/>
      </c>
      <c r="I354" s="758"/>
      <c r="J354" s="689" t="str">
        <f t="shared" ref="J354" si="74">IF(OR($A354="",$D354=""),"",IF($I240&lt;&gt;"no","site-wide analysis not necessary",IF($I240="no",IF($D354="no","site-wide analysis not allowed",IF($D354="yes",IF(ISTEXT($F354),IF(OR($F354="no value",$F354="simple asphyxiant"),"site-wide analysis not needed","evaluated in section IV"),IF($D354="yes",IF(COUNTIF($I127:$N127,"&gt;="&amp;$F354)&gt;0,"No","Yes"))))))))</f>
        <v/>
      </c>
      <c r="K354" s="758"/>
      <c r="L354" s="689" t="str">
        <f t="shared" ref="L354" si="75">IF(OR($A354="",$D354=""),"",IF($J240&lt;&gt;"no","site-wide analysis not necessary",IF($J240="no",IF($D354="no","site-wide analysis not allowed",IF($D354="yes",IF(ISTEXT($H354),IF(OR($H354="no value",$H354="simple asphyxiant"),"site-wide analysis not needed","evaluated in section IV"),IF($D354="yes",IF(COUNTIF($O127,"&gt;="&amp;$H354)&gt;0,"No","Yes"))))))))</f>
        <v/>
      </c>
      <c r="M354" s="758"/>
      <c r="N354" s="689" t="str">
        <f t="shared" ref="N354" si="76">IF(OR($D354="",$J354="",$L354=""),"",IF($K240="proceed to site-wide analysis for this species",IF(AND($J354&lt;&gt;"no",$L354&lt;&gt;"no"),"no additional steps required","revise data on previous sheets"),$K240))</f>
        <v/>
      </c>
      <c r="O354" s="691"/>
    </row>
    <row r="355" spans="1:15" ht="30" customHeight="1" x14ac:dyDescent="0.2">
      <c r="A355" s="9" t="str">
        <f t="shared" si="24"/>
        <v/>
      </c>
      <c r="B355" s="531" t="str">
        <f t="shared" si="25"/>
        <v/>
      </c>
      <c r="C355" s="531"/>
      <c r="D355" s="689" t="str">
        <f t="shared" si="26"/>
        <v/>
      </c>
      <c r="E355" s="758"/>
      <c r="F355" s="689" t="str">
        <f t="shared" si="27"/>
        <v/>
      </c>
      <c r="G355" s="758"/>
      <c r="H355" s="689" t="str">
        <f t="shared" si="28"/>
        <v/>
      </c>
      <c r="I355" s="758"/>
      <c r="J355" s="689" t="str">
        <f t="shared" ref="J355" si="77">IF(OR($A355="",$D355=""),"",IF($I241&lt;&gt;"no","site-wide analysis not necessary",IF($I241="no",IF($D355="no","site-wide analysis not allowed",IF($D355="yes",IF(ISTEXT($F355),IF(OR($F355="no value",$F355="simple asphyxiant"),"site-wide analysis not needed","evaluated in section IV"),IF($D355="yes",IF(COUNTIF($I128:$N128,"&gt;="&amp;$F355)&gt;0,"No","Yes"))))))))</f>
        <v/>
      </c>
      <c r="K355" s="758"/>
      <c r="L355" s="689" t="str">
        <f t="shared" ref="L355" si="78">IF(OR($A355="",$D355=""),"",IF($J241&lt;&gt;"no","site-wide analysis not necessary",IF($J241="no",IF($D355="no","site-wide analysis not allowed",IF($D355="yes",IF(ISTEXT($H355),IF(OR($H355="no value",$H355="simple asphyxiant"),"site-wide analysis not needed","evaluated in section IV"),IF($D355="yes",IF(COUNTIF($O128,"&gt;="&amp;$H355)&gt;0,"No","Yes"))))))))</f>
        <v/>
      </c>
      <c r="M355" s="758"/>
      <c r="N355" s="689" t="str">
        <f t="shared" ref="N355" si="79">IF(OR($D355="",$J355="",$L355=""),"",IF($K241="proceed to site-wide analysis for this species",IF(AND($J355&lt;&gt;"no",$L355&lt;&gt;"no"),"no additional steps required","revise data on previous sheets"),$K241))</f>
        <v/>
      </c>
      <c r="O355" s="691"/>
    </row>
    <row r="356" spans="1:15" ht="30" customHeight="1" x14ac:dyDescent="0.2">
      <c r="A356" s="9" t="str">
        <f t="shared" si="24"/>
        <v/>
      </c>
      <c r="B356" s="531" t="str">
        <f t="shared" si="25"/>
        <v/>
      </c>
      <c r="C356" s="531"/>
      <c r="D356" s="689" t="str">
        <f t="shared" si="26"/>
        <v/>
      </c>
      <c r="E356" s="758"/>
      <c r="F356" s="689" t="str">
        <f t="shared" si="27"/>
        <v/>
      </c>
      <c r="G356" s="758"/>
      <c r="H356" s="689" t="str">
        <f t="shared" si="28"/>
        <v/>
      </c>
      <c r="I356" s="758"/>
      <c r="J356" s="689" t="str">
        <f t="shared" ref="J356" si="80">IF(OR($A356="",$D356=""),"",IF($I242&lt;&gt;"no","site-wide analysis not necessary",IF($I242="no",IF($D356="no","site-wide analysis not allowed",IF($D356="yes",IF(ISTEXT($F356),IF(OR($F356="no value",$F356="simple asphyxiant"),"site-wide analysis not needed","evaluated in section IV"),IF($D356="yes",IF(COUNTIF($I129:$N129,"&gt;="&amp;$F356)&gt;0,"No","Yes"))))))))</f>
        <v/>
      </c>
      <c r="K356" s="758"/>
      <c r="L356" s="689" t="str">
        <f t="shared" ref="L356" si="81">IF(OR($A356="",$D356=""),"",IF($J242&lt;&gt;"no","site-wide analysis not necessary",IF($J242="no",IF($D356="no","site-wide analysis not allowed",IF($D356="yes",IF(ISTEXT($H356),IF(OR($H356="no value",$H356="simple asphyxiant"),"site-wide analysis not needed","evaluated in section IV"),IF($D356="yes",IF(COUNTIF($O129,"&gt;="&amp;$H356)&gt;0,"No","Yes"))))))))</f>
        <v/>
      </c>
      <c r="M356" s="758"/>
      <c r="N356" s="689" t="str">
        <f t="shared" ref="N356" si="82">IF(OR($D356="",$J356="",$L356=""),"",IF($K242="proceed to site-wide analysis for this species",IF(AND($J356&lt;&gt;"no",$L356&lt;&gt;"no"),"no additional steps required","revise data on previous sheets"),$K242))</f>
        <v/>
      </c>
      <c r="O356" s="691"/>
    </row>
    <row r="357" spans="1:15" ht="30" customHeight="1" x14ac:dyDescent="0.2">
      <c r="A357" s="9" t="str">
        <f t="shared" si="24"/>
        <v/>
      </c>
      <c r="B357" s="531" t="str">
        <f t="shared" si="25"/>
        <v/>
      </c>
      <c r="C357" s="531"/>
      <c r="D357" s="689" t="str">
        <f t="shared" si="26"/>
        <v/>
      </c>
      <c r="E357" s="758"/>
      <c r="F357" s="689" t="str">
        <f t="shared" si="27"/>
        <v/>
      </c>
      <c r="G357" s="758"/>
      <c r="H357" s="689" t="str">
        <f t="shared" si="28"/>
        <v/>
      </c>
      <c r="I357" s="758"/>
      <c r="J357" s="689" t="str">
        <f t="shared" ref="J357" si="83">IF(OR($A357="",$D357=""),"",IF($I243&lt;&gt;"no","site-wide analysis not necessary",IF($I243="no",IF($D357="no","site-wide analysis not allowed",IF($D357="yes",IF(ISTEXT($F357),IF(OR($F357="no value",$F357="simple asphyxiant"),"site-wide analysis not needed","evaluated in section IV"),IF($D357="yes",IF(COUNTIF($I130:$N130,"&gt;="&amp;$F357)&gt;0,"No","Yes"))))))))</f>
        <v/>
      </c>
      <c r="K357" s="758"/>
      <c r="L357" s="689" t="str">
        <f t="shared" ref="L357" si="84">IF(OR($A357="",$D357=""),"",IF($J243&lt;&gt;"no","site-wide analysis not necessary",IF($J243="no",IF($D357="no","site-wide analysis not allowed",IF($D357="yes",IF(ISTEXT($H357),IF(OR($H357="no value",$H357="simple asphyxiant"),"site-wide analysis not needed","evaluated in section IV"),IF($D357="yes",IF(COUNTIF($O130,"&gt;="&amp;$H357)&gt;0,"No","Yes"))))))))</f>
        <v/>
      </c>
      <c r="M357" s="758"/>
      <c r="N357" s="689" t="str">
        <f t="shared" ref="N357" si="85">IF(OR($D357="",$J357="",$L357=""),"",IF($K243="proceed to site-wide analysis for this species",IF(AND($J357&lt;&gt;"no",$L357&lt;&gt;"no"),"no additional steps required","revise data on previous sheets"),$K243))</f>
        <v/>
      </c>
      <c r="O357" s="691"/>
    </row>
    <row r="358" spans="1:15" ht="30" customHeight="1" x14ac:dyDescent="0.2">
      <c r="A358" s="9" t="str">
        <f t="shared" si="24"/>
        <v/>
      </c>
      <c r="B358" s="531" t="str">
        <f t="shared" si="25"/>
        <v/>
      </c>
      <c r="C358" s="531"/>
      <c r="D358" s="689" t="str">
        <f t="shared" si="26"/>
        <v/>
      </c>
      <c r="E358" s="758"/>
      <c r="F358" s="689" t="str">
        <f t="shared" si="27"/>
        <v/>
      </c>
      <c r="G358" s="758"/>
      <c r="H358" s="689" t="str">
        <f t="shared" si="28"/>
        <v/>
      </c>
      <c r="I358" s="758"/>
      <c r="J358" s="689" t="str">
        <f t="shared" ref="J358" si="86">IF(OR($A358="",$D358=""),"",IF($I244&lt;&gt;"no","site-wide analysis not necessary",IF($I244="no",IF($D358="no","site-wide analysis not allowed",IF($D358="yes",IF(ISTEXT($F358),IF(OR($F358="no value",$F358="simple asphyxiant"),"site-wide analysis not needed","evaluated in section IV"),IF($D358="yes",IF(COUNTIF($I131:$N131,"&gt;="&amp;$F358)&gt;0,"No","Yes"))))))))</f>
        <v/>
      </c>
      <c r="K358" s="758"/>
      <c r="L358" s="689" t="str">
        <f t="shared" ref="L358" si="87">IF(OR($A358="",$D358=""),"",IF($J244&lt;&gt;"no","site-wide analysis not necessary",IF($J244="no",IF($D358="no","site-wide analysis not allowed",IF($D358="yes",IF(ISTEXT($H358),IF(OR($H358="no value",$H358="simple asphyxiant"),"site-wide analysis not needed","evaluated in section IV"),IF($D358="yes",IF(COUNTIF($O131,"&gt;="&amp;$H358)&gt;0,"No","Yes"))))))))</f>
        <v/>
      </c>
      <c r="M358" s="758"/>
      <c r="N358" s="689" t="str">
        <f t="shared" ref="N358" si="88">IF(OR($D358="",$J358="",$L358=""),"",IF($K244="proceed to site-wide analysis for this species",IF(AND($J358&lt;&gt;"no",$L358&lt;&gt;"no"),"no additional steps required","revise data on previous sheets"),$K244))</f>
        <v/>
      </c>
      <c r="O358" s="691"/>
    </row>
    <row r="359" spans="1:15" ht="30" customHeight="1" x14ac:dyDescent="0.2">
      <c r="A359" s="9" t="str">
        <f t="shared" si="24"/>
        <v/>
      </c>
      <c r="B359" s="531" t="str">
        <f t="shared" si="25"/>
        <v/>
      </c>
      <c r="C359" s="531"/>
      <c r="D359" s="689" t="str">
        <f t="shared" si="26"/>
        <v/>
      </c>
      <c r="E359" s="758"/>
      <c r="F359" s="689" t="str">
        <f t="shared" si="27"/>
        <v/>
      </c>
      <c r="G359" s="758"/>
      <c r="H359" s="689" t="str">
        <f t="shared" si="28"/>
        <v/>
      </c>
      <c r="I359" s="758"/>
      <c r="J359" s="689" t="str">
        <f t="shared" ref="J359" si="89">IF(OR($A359="",$D359=""),"",IF($I245&lt;&gt;"no","site-wide analysis not necessary",IF($I245="no",IF($D359="no","site-wide analysis not allowed",IF($D359="yes",IF(ISTEXT($F359),IF(OR($F359="no value",$F359="simple asphyxiant"),"site-wide analysis not needed","evaluated in section IV"),IF($D359="yes",IF(COUNTIF($I132:$N132,"&gt;="&amp;$F359)&gt;0,"No","Yes"))))))))</f>
        <v/>
      </c>
      <c r="K359" s="758"/>
      <c r="L359" s="689" t="str">
        <f t="shared" ref="L359" si="90">IF(OR($A359="",$D359=""),"",IF($J245&lt;&gt;"no","site-wide analysis not necessary",IF($J245="no",IF($D359="no","site-wide analysis not allowed",IF($D359="yes",IF(ISTEXT($H359),IF(OR($H359="no value",$H359="simple asphyxiant"),"site-wide analysis not needed","evaluated in section IV"),IF($D359="yes",IF(COUNTIF($O132,"&gt;="&amp;$H359)&gt;0,"No","Yes"))))))))</f>
        <v/>
      </c>
      <c r="M359" s="758"/>
      <c r="N359" s="689" t="str">
        <f t="shared" ref="N359" si="91">IF(OR($D359="",$J359="",$L359=""),"",IF($K245="proceed to site-wide analysis for this species",IF(AND($J359&lt;&gt;"no",$L359&lt;&gt;"no"),"no additional steps required","revise data on previous sheets"),$K245))</f>
        <v/>
      </c>
      <c r="O359" s="691"/>
    </row>
    <row r="360" spans="1:15" ht="30" customHeight="1" x14ac:dyDescent="0.2">
      <c r="A360" s="9" t="str">
        <f t="shared" si="24"/>
        <v/>
      </c>
      <c r="B360" s="531" t="str">
        <f t="shared" si="25"/>
        <v/>
      </c>
      <c r="C360" s="531"/>
      <c r="D360" s="689" t="str">
        <f t="shared" si="26"/>
        <v/>
      </c>
      <c r="E360" s="758"/>
      <c r="F360" s="689" t="str">
        <f t="shared" si="27"/>
        <v/>
      </c>
      <c r="G360" s="758"/>
      <c r="H360" s="689" t="str">
        <f t="shared" si="28"/>
        <v/>
      </c>
      <c r="I360" s="758"/>
      <c r="J360" s="689" t="str">
        <f t="shared" ref="J360" si="92">IF(OR($A360="",$D360=""),"",IF($I246&lt;&gt;"no","site-wide analysis not necessary",IF($I246="no",IF($D360="no","site-wide analysis not allowed",IF($D360="yes",IF(ISTEXT($F360),IF(OR($F360="no value",$F360="simple asphyxiant"),"site-wide analysis not needed","evaluated in section IV"),IF($D360="yes",IF(COUNTIF($I133:$N133,"&gt;="&amp;$F360)&gt;0,"No","Yes"))))))))</f>
        <v/>
      </c>
      <c r="K360" s="758"/>
      <c r="L360" s="689" t="str">
        <f t="shared" ref="L360" si="93">IF(OR($A360="",$D360=""),"",IF($J246&lt;&gt;"no","site-wide analysis not necessary",IF($J246="no",IF($D360="no","site-wide analysis not allowed",IF($D360="yes",IF(ISTEXT($H360),IF(OR($H360="no value",$H360="simple asphyxiant"),"site-wide analysis not needed","evaluated in section IV"),IF($D360="yes",IF(COUNTIF($O133,"&gt;="&amp;$H360)&gt;0,"No","Yes"))))))))</f>
        <v/>
      </c>
      <c r="M360" s="758"/>
      <c r="N360" s="689" t="str">
        <f t="shared" ref="N360" si="94">IF(OR($D360="",$J360="",$L360=""),"",IF($K246="proceed to site-wide analysis for this species",IF(AND($J360&lt;&gt;"no",$L360&lt;&gt;"no"),"no additional steps required","revise data on previous sheets"),$K246))</f>
        <v/>
      </c>
      <c r="O360" s="691"/>
    </row>
    <row r="361" spans="1:15" ht="30" customHeight="1" x14ac:dyDescent="0.2">
      <c r="A361" s="9" t="str">
        <f t="shared" si="24"/>
        <v/>
      </c>
      <c r="B361" s="531" t="str">
        <f t="shared" si="25"/>
        <v/>
      </c>
      <c r="C361" s="531"/>
      <c r="D361" s="689" t="str">
        <f t="shared" si="26"/>
        <v/>
      </c>
      <c r="E361" s="758"/>
      <c r="F361" s="689" t="str">
        <f t="shared" si="27"/>
        <v/>
      </c>
      <c r="G361" s="758"/>
      <c r="H361" s="689" t="str">
        <f t="shared" si="28"/>
        <v/>
      </c>
      <c r="I361" s="758"/>
      <c r="J361" s="689" t="str">
        <f t="shared" ref="J361" si="95">IF(OR($A361="",$D361=""),"",IF($I247&lt;&gt;"no","site-wide analysis not necessary",IF($I247="no",IF($D361="no","site-wide analysis not allowed",IF($D361="yes",IF(ISTEXT($F361),IF(OR($F361="no value",$F361="simple asphyxiant"),"site-wide analysis not needed","evaluated in section IV"),IF($D361="yes",IF(COUNTIF($I134:$N134,"&gt;="&amp;$F361)&gt;0,"No","Yes"))))))))</f>
        <v/>
      </c>
      <c r="K361" s="758"/>
      <c r="L361" s="689" t="str">
        <f t="shared" ref="L361" si="96">IF(OR($A361="",$D361=""),"",IF($J247&lt;&gt;"no","site-wide analysis not necessary",IF($J247="no",IF($D361="no","site-wide analysis not allowed",IF($D361="yes",IF(ISTEXT($H361),IF(OR($H361="no value",$H361="simple asphyxiant"),"site-wide analysis not needed","evaluated in section IV"),IF($D361="yes",IF(COUNTIF($O134,"&gt;="&amp;$H361)&gt;0,"No","Yes"))))))))</f>
        <v/>
      </c>
      <c r="M361" s="758"/>
      <c r="N361" s="689" t="str">
        <f t="shared" ref="N361" si="97">IF(OR($D361="",$J361="",$L361=""),"",IF($K247="proceed to site-wide analysis for this species",IF(AND($J361&lt;&gt;"no",$L361&lt;&gt;"no"),"no additional steps required","revise data on previous sheets"),$K247))</f>
        <v/>
      </c>
      <c r="O361" s="691"/>
    </row>
    <row r="362" spans="1:15" ht="30" customHeight="1" x14ac:dyDescent="0.2">
      <c r="A362" s="9" t="str">
        <f t="shared" si="24"/>
        <v/>
      </c>
      <c r="B362" s="531" t="str">
        <f t="shared" si="25"/>
        <v/>
      </c>
      <c r="C362" s="531"/>
      <c r="D362" s="689" t="str">
        <f t="shared" si="26"/>
        <v/>
      </c>
      <c r="E362" s="758"/>
      <c r="F362" s="689" t="str">
        <f t="shared" si="27"/>
        <v/>
      </c>
      <c r="G362" s="758"/>
      <c r="H362" s="689" t="str">
        <f t="shared" si="28"/>
        <v/>
      </c>
      <c r="I362" s="758"/>
      <c r="J362" s="689" t="str">
        <f t="shared" ref="J362" si="98">IF(OR($A362="",$D362=""),"",IF($I248&lt;&gt;"no","site-wide analysis not necessary",IF($I248="no",IF($D362="no","site-wide analysis not allowed",IF($D362="yes",IF(ISTEXT($F362),IF(OR($F362="no value",$F362="simple asphyxiant"),"site-wide analysis not needed","evaluated in section IV"),IF($D362="yes",IF(COUNTIF($I135:$N135,"&gt;="&amp;$F362)&gt;0,"No","Yes"))))))))</f>
        <v/>
      </c>
      <c r="K362" s="758"/>
      <c r="L362" s="689" t="str">
        <f t="shared" ref="L362" si="99">IF(OR($A362="",$D362=""),"",IF($J248&lt;&gt;"no","site-wide analysis not necessary",IF($J248="no",IF($D362="no","site-wide analysis not allowed",IF($D362="yes",IF(ISTEXT($H362),IF(OR($H362="no value",$H362="simple asphyxiant"),"site-wide analysis not needed","evaluated in section IV"),IF($D362="yes",IF(COUNTIF($O135,"&gt;="&amp;$H362)&gt;0,"No","Yes"))))))))</f>
        <v/>
      </c>
      <c r="M362" s="758"/>
      <c r="N362" s="689" t="str">
        <f t="shared" ref="N362" si="100">IF(OR($D362="",$J362="",$L362=""),"",IF($K248="proceed to site-wide analysis for this species",IF(AND($J362&lt;&gt;"no",$L362&lt;&gt;"no"),"no additional steps required","revise data on previous sheets"),$K248))</f>
        <v/>
      </c>
      <c r="O362" s="691"/>
    </row>
    <row r="363" spans="1:15" ht="30" customHeight="1" x14ac:dyDescent="0.2">
      <c r="A363" s="9" t="str">
        <f t="shared" si="24"/>
        <v/>
      </c>
      <c r="B363" s="531" t="str">
        <f t="shared" si="25"/>
        <v/>
      </c>
      <c r="C363" s="531"/>
      <c r="D363" s="689" t="str">
        <f t="shared" si="26"/>
        <v/>
      </c>
      <c r="E363" s="758"/>
      <c r="F363" s="689" t="str">
        <f t="shared" si="27"/>
        <v/>
      </c>
      <c r="G363" s="758"/>
      <c r="H363" s="689" t="str">
        <f t="shared" si="28"/>
        <v/>
      </c>
      <c r="I363" s="758"/>
      <c r="J363" s="689" t="str">
        <f t="shared" ref="J363" si="101">IF(OR($A363="",$D363=""),"",IF($I249&lt;&gt;"no","site-wide analysis not necessary",IF($I249="no",IF($D363="no","site-wide analysis not allowed",IF($D363="yes",IF(ISTEXT($F363),IF(OR($F363="no value",$F363="simple asphyxiant"),"site-wide analysis not needed","evaluated in section IV"),IF($D363="yes",IF(COUNTIF($I136:$N136,"&gt;="&amp;$F363)&gt;0,"No","Yes"))))))))</f>
        <v/>
      </c>
      <c r="K363" s="758"/>
      <c r="L363" s="689" t="str">
        <f t="shared" ref="L363" si="102">IF(OR($A363="",$D363=""),"",IF($J249&lt;&gt;"no","site-wide analysis not necessary",IF($J249="no",IF($D363="no","site-wide analysis not allowed",IF($D363="yes",IF(ISTEXT($H363),IF(OR($H363="no value",$H363="simple asphyxiant"),"site-wide analysis not needed","evaluated in section IV"),IF($D363="yes",IF(COUNTIF($O136,"&gt;="&amp;$H363)&gt;0,"No","Yes"))))))))</f>
        <v/>
      </c>
      <c r="M363" s="758"/>
      <c r="N363" s="689" t="str">
        <f t="shared" ref="N363" si="103">IF(OR($D363="",$J363="",$L363=""),"",IF($K249="proceed to site-wide analysis for this species",IF(AND($J363&lt;&gt;"no",$L363&lt;&gt;"no"),"no additional steps required","revise data on previous sheets"),$K249))</f>
        <v/>
      </c>
      <c r="O363" s="691"/>
    </row>
    <row r="364" spans="1:15" ht="30" customHeight="1" x14ac:dyDescent="0.2">
      <c r="A364" s="9" t="str">
        <f t="shared" si="24"/>
        <v/>
      </c>
      <c r="B364" s="531" t="str">
        <f t="shared" si="25"/>
        <v/>
      </c>
      <c r="C364" s="531"/>
      <c r="D364" s="689" t="str">
        <f t="shared" si="26"/>
        <v/>
      </c>
      <c r="E364" s="758"/>
      <c r="F364" s="689" t="str">
        <f t="shared" si="27"/>
        <v/>
      </c>
      <c r="G364" s="758"/>
      <c r="H364" s="689" t="str">
        <f t="shared" si="28"/>
        <v/>
      </c>
      <c r="I364" s="758"/>
      <c r="J364" s="689" t="str">
        <f t="shared" ref="J364" si="104">IF(OR($A364="",$D364=""),"",IF($I250&lt;&gt;"no","site-wide analysis not necessary",IF($I250="no",IF($D364="no","site-wide analysis not allowed",IF($D364="yes",IF(ISTEXT($F364),IF(OR($F364="no value",$F364="simple asphyxiant"),"site-wide analysis not needed","evaluated in section IV"),IF($D364="yes",IF(COUNTIF($I137:$N137,"&gt;="&amp;$F364)&gt;0,"No","Yes"))))))))</f>
        <v/>
      </c>
      <c r="K364" s="758"/>
      <c r="L364" s="689" t="str">
        <f t="shared" ref="L364" si="105">IF(OR($A364="",$D364=""),"",IF($J250&lt;&gt;"no","site-wide analysis not necessary",IF($J250="no",IF($D364="no","site-wide analysis not allowed",IF($D364="yes",IF(ISTEXT($H364),IF(OR($H364="no value",$H364="simple asphyxiant"),"site-wide analysis not needed","evaluated in section IV"),IF($D364="yes",IF(COUNTIF($O137,"&gt;="&amp;$H364)&gt;0,"No","Yes"))))))))</f>
        <v/>
      </c>
      <c r="M364" s="758"/>
      <c r="N364" s="689" t="str">
        <f t="shared" ref="N364" si="106">IF(OR($D364="",$J364="",$L364=""),"",IF($K250="proceed to site-wide analysis for this species",IF(AND($J364&lt;&gt;"no",$L364&lt;&gt;"no"),"no additional steps required","revise data on previous sheets"),$K250))</f>
        <v/>
      </c>
      <c r="O364" s="691"/>
    </row>
    <row r="365" spans="1:15" ht="30" customHeight="1" x14ac:dyDescent="0.2">
      <c r="A365" s="9" t="str">
        <f t="shared" si="24"/>
        <v/>
      </c>
      <c r="B365" s="531" t="str">
        <f t="shared" si="25"/>
        <v/>
      </c>
      <c r="C365" s="531"/>
      <c r="D365" s="689" t="str">
        <f t="shared" si="26"/>
        <v/>
      </c>
      <c r="E365" s="758"/>
      <c r="F365" s="689" t="str">
        <f t="shared" si="27"/>
        <v/>
      </c>
      <c r="G365" s="758"/>
      <c r="H365" s="689" t="str">
        <f t="shared" si="28"/>
        <v/>
      </c>
      <c r="I365" s="758"/>
      <c r="J365" s="689" t="str">
        <f t="shared" ref="J365" si="107">IF(OR($A365="",$D365=""),"",IF($I251&lt;&gt;"no","site-wide analysis not necessary",IF($I251="no",IF($D365="no","site-wide analysis not allowed",IF($D365="yes",IF(ISTEXT($F365),IF(OR($F365="no value",$F365="simple asphyxiant"),"site-wide analysis not needed","evaluated in section IV"),IF($D365="yes",IF(COUNTIF($I138:$N138,"&gt;="&amp;$F365)&gt;0,"No","Yes"))))))))</f>
        <v/>
      </c>
      <c r="K365" s="758"/>
      <c r="L365" s="689" t="str">
        <f t="shared" ref="L365" si="108">IF(OR($A365="",$D365=""),"",IF($J251&lt;&gt;"no","site-wide analysis not necessary",IF($J251="no",IF($D365="no","site-wide analysis not allowed",IF($D365="yes",IF(ISTEXT($H365),IF(OR($H365="no value",$H365="simple asphyxiant"),"site-wide analysis not needed","evaluated in section IV"),IF($D365="yes",IF(COUNTIF($O138,"&gt;="&amp;$H365)&gt;0,"No","Yes"))))))))</f>
        <v/>
      </c>
      <c r="M365" s="758"/>
      <c r="N365" s="689" t="str">
        <f t="shared" ref="N365" si="109">IF(OR($D365="",$J365="",$L365=""),"",IF($K251="proceed to site-wide analysis for this species",IF(AND($J365&lt;&gt;"no",$L365&lt;&gt;"no"),"no additional steps required","revise data on previous sheets"),$K251))</f>
        <v/>
      </c>
      <c r="O365" s="691"/>
    </row>
    <row r="366" spans="1:15" ht="30" customHeight="1" x14ac:dyDescent="0.2">
      <c r="A366" s="9" t="str">
        <f t="shared" si="24"/>
        <v/>
      </c>
      <c r="B366" s="531" t="str">
        <f t="shared" si="25"/>
        <v/>
      </c>
      <c r="C366" s="531"/>
      <c r="D366" s="689" t="str">
        <f t="shared" si="26"/>
        <v/>
      </c>
      <c r="E366" s="758"/>
      <c r="F366" s="689" t="str">
        <f t="shared" si="27"/>
        <v/>
      </c>
      <c r="G366" s="758"/>
      <c r="H366" s="689" t="str">
        <f t="shared" si="28"/>
        <v/>
      </c>
      <c r="I366" s="758"/>
      <c r="J366" s="689" t="str">
        <f t="shared" ref="J366" si="110">IF(OR($A366="",$D366=""),"",IF($I252&lt;&gt;"no","site-wide analysis not necessary",IF($I252="no",IF($D366="no","site-wide analysis not allowed",IF($D366="yes",IF(ISTEXT($F366),IF(OR($F366="no value",$F366="simple asphyxiant"),"site-wide analysis not needed","evaluated in section IV"),IF($D366="yes",IF(COUNTIF($I139:$N139,"&gt;="&amp;$F366)&gt;0,"No","Yes"))))))))</f>
        <v/>
      </c>
      <c r="K366" s="758"/>
      <c r="L366" s="689" t="str">
        <f t="shared" ref="L366" si="111">IF(OR($A366="",$D366=""),"",IF($J252&lt;&gt;"no","site-wide analysis not necessary",IF($J252="no",IF($D366="no","site-wide analysis not allowed",IF($D366="yes",IF(ISTEXT($H366),IF(OR($H366="no value",$H366="simple asphyxiant"),"site-wide analysis not needed","evaluated in section IV"),IF($D366="yes",IF(COUNTIF($O139,"&gt;="&amp;$H366)&gt;0,"No","Yes"))))))))</f>
        <v/>
      </c>
      <c r="M366" s="758"/>
      <c r="N366" s="689" t="str">
        <f t="shared" ref="N366" si="112">IF(OR($D366="",$J366="",$L366=""),"",IF($K252="proceed to site-wide analysis for this species",IF(AND($J366&lt;&gt;"no",$L366&lt;&gt;"no"),"no additional steps required","revise data on previous sheets"),$K252))</f>
        <v/>
      </c>
      <c r="O366" s="691"/>
    </row>
    <row r="367" spans="1:15" ht="30" customHeight="1" x14ac:dyDescent="0.2">
      <c r="A367" s="9" t="str">
        <f t="shared" si="24"/>
        <v/>
      </c>
      <c r="B367" s="531" t="str">
        <f t="shared" si="25"/>
        <v/>
      </c>
      <c r="C367" s="531"/>
      <c r="D367" s="689" t="str">
        <f t="shared" si="26"/>
        <v/>
      </c>
      <c r="E367" s="758"/>
      <c r="F367" s="689" t="str">
        <f t="shared" si="27"/>
        <v/>
      </c>
      <c r="G367" s="758"/>
      <c r="H367" s="689" t="str">
        <f t="shared" si="28"/>
        <v/>
      </c>
      <c r="I367" s="758"/>
      <c r="J367" s="689" t="str">
        <f t="shared" ref="J367" si="113">IF(OR($A367="",$D367=""),"",IF($I253&lt;&gt;"no","site-wide analysis not necessary",IF($I253="no",IF($D367="no","site-wide analysis not allowed",IF($D367="yes",IF(ISTEXT($F367),IF(OR($F367="no value",$F367="simple asphyxiant"),"site-wide analysis not needed","evaluated in section IV"),IF($D367="yes",IF(COUNTIF($I140:$N140,"&gt;="&amp;$F367)&gt;0,"No","Yes"))))))))</f>
        <v/>
      </c>
      <c r="K367" s="758"/>
      <c r="L367" s="689" t="str">
        <f t="shared" ref="L367" si="114">IF(OR($A367="",$D367=""),"",IF($J253&lt;&gt;"no","site-wide analysis not necessary",IF($J253="no",IF($D367="no","site-wide analysis not allowed",IF($D367="yes",IF(ISTEXT($H367),IF(OR($H367="no value",$H367="simple asphyxiant"),"site-wide analysis not needed","evaluated in section IV"),IF($D367="yes",IF(COUNTIF($O140,"&gt;="&amp;$H367)&gt;0,"No","Yes"))))))))</f>
        <v/>
      </c>
      <c r="M367" s="758"/>
      <c r="N367" s="689" t="str">
        <f t="shared" ref="N367" si="115">IF(OR($D367="",$J367="",$L367=""),"",IF($K253="proceed to site-wide analysis for this species",IF(AND($J367&lt;&gt;"no",$L367&lt;&gt;"no"),"no additional steps required","revise data on previous sheets"),$K253))</f>
        <v/>
      </c>
      <c r="O367" s="691"/>
    </row>
    <row r="368" spans="1:15" ht="30" customHeight="1" x14ac:dyDescent="0.2">
      <c r="A368" s="9" t="str">
        <f t="shared" si="24"/>
        <v/>
      </c>
      <c r="B368" s="531" t="str">
        <f t="shared" si="25"/>
        <v/>
      </c>
      <c r="C368" s="531"/>
      <c r="D368" s="689" t="str">
        <f t="shared" si="26"/>
        <v/>
      </c>
      <c r="E368" s="758"/>
      <c r="F368" s="689" t="str">
        <f t="shared" si="27"/>
        <v/>
      </c>
      <c r="G368" s="758"/>
      <c r="H368" s="689" t="str">
        <f t="shared" si="28"/>
        <v/>
      </c>
      <c r="I368" s="758"/>
      <c r="J368" s="689" t="str">
        <f t="shared" ref="J368" si="116">IF(OR($A368="",$D368=""),"",IF($I254&lt;&gt;"no","site-wide analysis not necessary",IF($I254="no",IF($D368="no","site-wide analysis not allowed",IF($D368="yes",IF(ISTEXT($F368),IF(OR($F368="no value",$F368="simple asphyxiant"),"site-wide analysis not needed","evaluated in section IV"),IF($D368="yes",IF(COUNTIF($I141:$N141,"&gt;="&amp;$F368)&gt;0,"No","Yes"))))))))</f>
        <v/>
      </c>
      <c r="K368" s="758"/>
      <c r="L368" s="689" t="str">
        <f t="shared" ref="L368" si="117">IF(OR($A368="",$D368=""),"",IF($J254&lt;&gt;"no","site-wide analysis not necessary",IF($J254="no",IF($D368="no","site-wide analysis not allowed",IF($D368="yes",IF(ISTEXT($H368),IF(OR($H368="no value",$H368="simple asphyxiant"),"site-wide analysis not needed","evaluated in section IV"),IF($D368="yes",IF(COUNTIF($O141,"&gt;="&amp;$H368)&gt;0,"No","Yes"))))))))</f>
        <v/>
      </c>
      <c r="M368" s="758"/>
      <c r="N368" s="689" t="str">
        <f t="shared" ref="N368" si="118">IF(OR($D368="",$J368="",$L368=""),"",IF($K254="proceed to site-wide analysis for this species",IF(AND($J368&lt;&gt;"no",$L368&lt;&gt;"no"),"no additional steps required","revise data on previous sheets"),$K254))</f>
        <v/>
      </c>
      <c r="O368" s="691"/>
    </row>
    <row r="369" spans="1:15" ht="30" customHeight="1" x14ac:dyDescent="0.2">
      <c r="A369" s="9" t="str">
        <f t="shared" si="24"/>
        <v/>
      </c>
      <c r="B369" s="531" t="str">
        <f t="shared" si="25"/>
        <v/>
      </c>
      <c r="C369" s="531"/>
      <c r="D369" s="689" t="str">
        <f t="shared" si="26"/>
        <v/>
      </c>
      <c r="E369" s="758"/>
      <c r="F369" s="689" t="str">
        <f t="shared" si="27"/>
        <v/>
      </c>
      <c r="G369" s="758"/>
      <c r="H369" s="689" t="str">
        <f t="shared" si="28"/>
        <v/>
      </c>
      <c r="I369" s="758"/>
      <c r="J369" s="689" t="str">
        <f t="shared" ref="J369" si="119">IF(OR($A369="",$D369=""),"",IF($I255&lt;&gt;"no","site-wide analysis not necessary",IF($I255="no",IF($D369="no","site-wide analysis not allowed",IF($D369="yes",IF(ISTEXT($F369),IF(OR($F369="no value",$F369="simple asphyxiant"),"site-wide analysis not needed","evaluated in section IV"),IF($D369="yes",IF(COUNTIF($I142:$N142,"&gt;="&amp;$F369)&gt;0,"No","Yes"))))))))</f>
        <v/>
      </c>
      <c r="K369" s="758"/>
      <c r="L369" s="689" t="str">
        <f t="shared" ref="L369" si="120">IF(OR($A369="",$D369=""),"",IF($J255&lt;&gt;"no","site-wide analysis not necessary",IF($J255="no",IF($D369="no","site-wide analysis not allowed",IF($D369="yes",IF(ISTEXT($H369),IF(OR($H369="no value",$H369="simple asphyxiant"),"site-wide analysis not needed","evaluated in section IV"),IF($D369="yes",IF(COUNTIF($O142,"&gt;="&amp;$H369)&gt;0,"No","Yes"))))))))</f>
        <v/>
      </c>
      <c r="M369" s="758"/>
      <c r="N369" s="689" t="str">
        <f t="shared" ref="N369" si="121">IF(OR($D369="",$J369="",$L369=""),"",IF($K255="proceed to site-wide analysis for this species",IF(AND($J369&lt;&gt;"no",$L369&lt;&gt;"no"),"no additional steps required","revise data on previous sheets"),$K255))</f>
        <v/>
      </c>
      <c r="O369" s="691"/>
    </row>
    <row r="370" spans="1:15" ht="30" customHeight="1" x14ac:dyDescent="0.2">
      <c r="A370" s="9" t="str">
        <f t="shared" si="24"/>
        <v/>
      </c>
      <c r="B370" s="531" t="str">
        <f t="shared" si="25"/>
        <v/>
      </c>
      <c r="C370" s="531"/>
      <c r="D370" s="689" t="str">
        <f t="shared" si="26"/>
        <v/>
      </c>
      <c r="E370" s="758"/>
      <c r="F370" s="689" t="str">
        <f t="shared" si="27"/>
        <v/>
      </c>
      <c r="G370" s="758"/>
      <c r="H370" s="689" t="str">
        <f t="shared" si="28"/>
        <v/>
      </c>
      <c r="I370" s="758"/>
      <c r="J370" s="689" t="str">
        <f t="shared" ref="J370" si="122">IF(OR($A370="",$D370=""),"",IF($I256&lt;&gt;"no","site-wide analysis not necessary",IF($I256="no",IF($D370="no","site-wide analysis not allowed",IF($D370="yes",IF(ISTEXT($F370),IF(OR($F370="no value",$F370="simple asphyxiant"),"site-wide analysis not needed","evaluated in section IV"),IF($D370="yes",IF(COUNTIF($I143:$N143,"&gt;="&amp;$F370)&gt;0,"No","Yes"))))))))</f>
        <v/>
      </c>
      <c r="K370" s="758"/>
      <c r="L370" s="689" t="str">
        <f t="shared" ref="L370" si="123">IF(OR($A370="",$D370=""),"",IF($J256&lt;&gt;"no","site-wide analysis not necessary",IF($J256="no",IF($D370="no","site-wide analysis not allowed",IF($D370="yes",IF(ISTEXT($H370),IF(OR($H370="no value",$H370="simple asphyxiant"),"site-wide analysis not needed","evaluated in section IV"),IF($D370="yes",IF(COUNTIF($O143,"&gt;="&amp;$H370)&gt;0,"No","Yes"))))))))</f>
        <v/>
      </c>
      <c r="M370" s="758"/>
      <c r="N370" s="689" t="str">
        <f t="shared" ref="N370" si="124">IF(OR($D370="",$J370="",$L370=""),"",IF($K256="proceed to site-wide analysis for this species",IF(AND($J370&lt;&gt;"no",$L370&lt;&gt;"no"),"no additional steps required","revise data on previous sheets"),$K256))</f>
        <v/>
      </c>
      <c r="O370" s="691"/>
    </row>
    <row r="371" spans="1:15" ht="30" customHeight="1" x14ac:dyDescent="0.2">
      <c r="A371" s="9" t="str">
        <f t="shared" si="24"/>
        <v/>
      </c>
      <c r="B371" s="531" t="str">
        <f t="shared" si="25"/>
        <v/>
      </c>
      <c r="C371" s="531"/>
      <c r="D371" s="689" t="str">
        <f t="shared" si="26"/>
        <v/>
      </c>
      <c r="E371" s="758"/>
      <c r="F371" s="689" t="str">
        <f t="shared" si="27"/>
        <v/>
      </c>
      <c r="G371" s="758"/>
      <c r="H371" s="689" t="str">
        <f t="shared" si="28"/>
        <v/>
      </c>
      <c r="I371" s="758"/>
      <c r="J371" s="689" t="str">
        <f t="shared" ref="J371" si="125">IF(OR($A371="",$D371=""),"",IF($I257&lt;&gt;"no","site-wide analysis not necessary",IF($I257="no",IF($D371="no","site-wide analysis not allowed",IF($D371="yes",IF(ISTEXT($F371),IF(OR($F371="no value",$F371="simple asphyxiant"),"site-wide analysis not needed","evaluated in section IV"),IF($D371="yes",IF(COUNTIF($I144:$N144,"&gt;="&amp;$F371)&gt;0,"No","Yes"))))))))</f>
        <v/>
      </c>
      <c r="K371" s="758"/>
      <c r="L371" s="689" t="str">
        <f t="shared" ref="L371" si="126">IF(OR($A371="",$D371=""),"",IF($J257&lt;&gt;"no","site-wide analysis not necessary",IF($J257="no",IF($D371="no","site-wide analysis not allowed",IF($D371="yes",IF(ISTEXT($H371),IF(OR($H371="no value",$H371="simple asphyxiant"),"site-wide analysis not needed","evaluated in section IV"),IF($D371="yes",IF(COUNTIF($O144,"&gt;="&amp;$H371)&gt;0,"No","Yes"))))))))</f>
        <v/>
      </c>
      <c r="M371" s="758"/>
      <c r="N371" s="689" t="str">
        <f t="shared" ref="N371" si="127">IF(OR($D371="",$J371="",$L371=""),"",IF($K257="proceed to site-wide analysis for this species",IF(AND($J371&lt;&gt;"no",$L371&lt;&gt;"no"),"no additional steps required","revise data on previous sheets"),$K257))</f>
        <v/>
      </c>
      <c r="O371" s="691"/>
    </row>
    <row r="372" spans="1:15" ht="30" customHeight="1" x14ac:dyDescent="0.2">
      <c r="A372" s="9" t="str">
        <f t="shared" si="24"/>
        <v/>
      </c>
      <c r="B372" s="531" t="str">
        <f t="shared" si="25"/>
        <v/>
      </c>
      <c r="C372" s="531"/>
      <c r="D372" s="689" t="str">
        <f t="shared" si="26"/>
        <v/>
      </c>
      <c r="E372" s="758"/>
      <c r="F372" s="689" t="str">
        <f t="shared" si="27"/>
        <v/>
      </c>
      <c r="G372" s="758"/>
      <c r="H372" s="689" t="str">
        <f t="shared" si="28"/>
        <v/>
      </c>
      <c r="I372" s="758"/>
      <c r="J372" s="689" t="str">
        <f t="shared" ref="J372" si="128">IF(OR($A372="",$D372=""),"",IF($I258&lt;&gt;"no","site-wide analysis not necessary",IF($I258="no",IF($D372="no","site-wide analysis not allowed",IF($D372="yes",IF(ISTEXT($F372),IF(OR($F372="no value",$F372="simple asphyxiant"),"site-wide analysis not needed","evaluated in section IV"),IF($D372="yes",IF(COUNTIF($I145:$N145,"&gt;="&amp;$F372)&gt;0,"No","Yes"))))))))</f>
        <v/>
      </c>
      <c r="K372" s="758"/>
      <c r="L372" s="689" t="str">
        <f t="shared" ref="L372" si="129">IF(OR($A372="",$D372=""),"",IF($J258&lt;&gt;"no","site-wide analysis not necessary",IF($J258="no",IF($D372="no","site-wide analysis not allowed",IF($D372="yes",IF(ISTEXT($H372),IF(OR($H372="no value",$H372="simple asphyxiant"),"site-wide analysis not needed","evaluated in section IV"),IF($D372="yes",IF(COUNTIF($O145,"&gt;="&amp;$H372)&gt;0,"No","Yes"))))))))</f>
        <v/>
      </c>
      <c r="M372" s="758"/>
      <c r="N372" s="689" t="str">
        <f t="shared" ref="N372" si="130">IF(OR($D372="",$J372="",$L372=""),"",IF($K258="proceed to site-wide analysis for this species",IF(AND($J372&lt;&gt;"no",$L372&lt;&gt;"no"),"no additional steps required","revise data on previous sheets"),$K258))</f>
        <v/>
      </c>
      <c r="O372" s="691"/>
    </row>
    <row r="373" spans="1:15" ht="30" customHeight="1" x14ac:dyDescent="0.2">
      <c r="A373" s="9" t="str">
        <f t="shared" si="24"/>
        <v/>
      </c>
      <c r="B373" s="531" t="str">
        <f t="shared" si="25"/>
        <v/>
      </c>
      <c r="C373" s="531"/>
      <c r="D373" s="689" t="str">
        <f t="shared" si="26"/>
        <v/>
      </c>
      <c r="E373" s="758"/>
      <c r="F373" s="689" t="str">
        <f t="shared" si="27"/>
        <v/>
      </c>
      <c r="G373" s="758"/>
      <c r="H373" s="689" t="str">
        <f t="shared" si="28"/>
        <v/>
      </c>
      <c r="I373" s="758"/>
      <c r="J373" s="689" t="str">
        <f t="shared" ref="J373" si="131">IF(OR($A373="",$D373=""),"",IF($I259&lt;&gt;"no","site-wide analysis not necessary",IF($I259="no",IF($D373="no","site-wide analysis not allowed",IF($D373="yes",IF(ISTEXT($F373),IF(OR($F373="no value",$F373="simple asphyxiant"),"site-wide analysis not needed","evaluated in section IV"),IF($D373="yes",IF(COUNTIF($I146:$N146,"&gt;="&amp;$F373)&gt;0,"No","Yes"))))))))</f>
        <v/>
      </c>
      <c r="K373" s="758"/>
      <c r="L373" s="689" t="str">
        <f t="shared" ref="L373" si="132">IF(OR($A373="",$D373=""),"",IF($J259&lt;&gt;"no","site-wide analysis not necessary",IF($J259="no",IF($D373="no","site-wide analysis not allowed",IF($D373="yes",IF(ISTEXT($H373),IF(OR($H373="no value",$H373="simple asphyxiant"),"site-wide analysis not needed","evaluated in section IV"),IF($D373="yes",IF(COUNTIF($O146,"&gt;="&amp;$H373)&gt;0,"No","Yes"))))))))</f>
        <v/>
      </c>
      <c r="M373" s="758"/>
      <c r="N373" s="689" t="str">
        <f t="shared" ref="N373" si="133">IF(OR($D373="",$J373="",$L373=""),"",IF($K259="proceed to site-wide analysis for this species",IF(AND($J373&lt;&gt;"no",$L373&lt;&gt;"no"),"no additional steps required","revise data on previous sheets"),$K259))</f>
        <v/>
      </c>
      <c r="O373" s="691"/>
    </row>
    <row r="374" spans="1:15" ht="30" customHeight="1" x14ac:dyDescent="0.2">
      <c r="A374" s="9" t="str">
        <f t="shared" si="24"/>
        <v/>
      </c>
      <c r="B374" s="531" t="str">
        <f t="shared" si="25"/>
        <v/>
      </c>
      <c r="C374" s="531"/>
      <c r="D374" s="689" t="str">
        <f t="shared" si="26"/>
        <v/>
      </c>
      <c r="E374" s="758"/>
      <c r="F374" s="689" t="str">
        <f t="shared" si="27"/>
        <v/>
      </c>
      <c r="G374" s="758"/>
      <c r="H374" s="689" t="str">
        <f t="shared" si="28"/>
        <v/>
      </c>
      <c r="I374" s="758"/>
      <c r="J374" s="689" t="str">
        <f t="shared" ref="J374" si="134">IF(OR($A374="",$D374=""),"",IF($I260&lt;&gt;"no","site-wide analysis not necessary",IF($I260="no",IF($D374="no","site-wide analysis not allowed",IF($D374="yes",IF(ISTEXT($F374),IF(OR($F374="no value",$F374="simple asphyxiant"),"site-wide analysis not needed","evaluated in section IV"),IF($D374="yes",IF(COUNTIF($I147:$N147,"&gt;="&amp;$F374)&gt;0,"No","Yes"))))))))</f>
        <v/>
      </c>
      <c r="K374" s="758"/>
      <c r="L374" s="689" t="str">
        <f t="shared" ref="L374" si="135">IF(OR($A374="",$D374=""),"",IF($J260&lt;&gt;"no","site-wide analysis not necessary",IF($J260="no",IF($D374="no","site-wide analysis not allowed",IF($D374="yes",IF(ISTEXT($H374),IF(OR($H374="no value",$H374="simple asphyxiant"),"site-wide analysis not needed","evaluated in section IV"),IF($D374="yes",IF(COUNTIF($O147,"&gt;="&amp;$H374)&gt;0,"No","Yes"))))))))</f>
        <v/>
      </c>
      <c r="M374" s="758"/>
      <c r="N374" s="689" t="str">
        <f t="shared" ref="N374" si="136">IF(OR($D374="",$J374="",$L374=""),"",IF($K260="proceed to site-wide analysis for this species",IF(AND($J374&lt;&gt;"no",$L374&lt;&gt;"no"),"no additional steps required","revise data on previous sheets"),$K260))</f>
        <v/>
      </c>
      <c r="O374" s="691"/>
    </row>
    <row r="375" spans="1:15" ht="30" customHeight="1" x14ac:dyDescent="0.2">
      <c r="A375" s="9" t="str">
        <f t="shared" si="24"/>
        <v/>
      </c>
      <c r="B375" s="531" t="str">
        <f t="shared" si="25"/>
        <v/>
      </c>
      <c r="C375" s="531"/>
      <c r="D375" s="689" t="str">
        <f t="shared" si="26"/>
        <v/>
      </c>
      <c r="E375" s="758"/>
      <c r="F375" s="689" t="str">
        <f t="shared" si="27"/>
        <v/>
      </c>
      <c r="G375" s="758"/>
      <c r="H375" s="689" t="str">
        <f t="shared" si="28"/>
        <v/>
      </c>
      <c r="I375" s="758"/>
      <c r="J375" s="689" t="str">
        <f t="shared" ref="J375" si="137">IF(OR($A375="",$D375=""),"",IF($I261&lt;&gt;"no","site-wide analysis not necessary",IF($I261="no",IF($D375="no","site-wide analysis not allowed",IF($D375="yes",IF(ISTEXT($F375),IF(OR($F375="no value",$F375="simple asphyxiant"),"site-wide analysis not needed","evaluated in section IV"),IF($D375="yes",IF(COUNTIF($I148:$N148,"&gt;="&amp;$F375)&gt;0,"No","Yes"))))))))</f>
        <v/>
      </c>
      <c r="K375" s="758"/>
      <c r="L375" s="689" t="str">
        <f t="shared" ref="L375" si="138">IF(OR($A375="",$D375=""),"",IF($J261&lt;&gt;"no","site-wide analysis not necessary",IF($J261="no",IF($D375="no","site-wide analysis not allowed",IF($D375="yes",IF(ISTEXT($H375),IF(OR($H375="no value",$H375="simple asphyxiant"),"site-wide analysis not needed","evaluated in section IV"),IF($D375="yes",IF(COUNTIF($O148,"&gt;="&amp;$H375)&gt;0,"No","Yes"))))))))</f>
        <v/>
      </c>
      <c r="M375" s="758"/>
      <c r="N375" s="689" t="str">
        <f t="shared" ref="N375" si="139">IF(OR($D375="",$J375="",$L375=""),"",IF($K261="proceed to site-wide analysis for this species",IF(AND($J375&lt;&gt;"no",$L375&lt;&gt;"no"),"no additional steps required","revise data on previous sheets"),$K261))</f>
        <v/>
      </c>
      <c r="O375" s="691"/>
    </row>
    <row r="376" spans="1:15" ht="30" customHeight="1" x14ac:dyDescent="0.2">
      <c r="A376" s="9" t="str">
        <f t="shared" si="24"/>
        <v/>
      </c>
      <c r="B376" s="531" t="str">
        <f t="shared" si="25"/>
        <v/>
      </c>
      <c r="C376" s="531"/>
      <c r="D376" s="689" t="str">
        <f t="shared" si="26"/>
        <v/>
      </c>
      <c r="E376" s="758"/>
      <c r="F376" s="689" t="str">
        <f t="shared" si="27"/>
        <v/>
      </c>
      <c r="G376" s="758"/>
      <c r="H376" s="689" t="str">
        <f t="shared" si="28"/>
        <v/>
      </c>
      <c r="I376" s="758"/>
      <c r="J376" s="689" t="str">
        <f t="shared" ref="J376" si="140">IF(OR($A376="",$D376=""),"",IF($I262&lt;&gt;"no","site-wide analysis not necessary",IF($I262="no",IF($D376="no","site-wide analysis not allowed",IF($D376="yes",IF(ISTEXT($F376),IF(OR($F376="no value",$F376="simple asphyxiant"),"site-wide analysis not needed","evaluated in section IV"),IF($D376="yes",IF(COUNTIF($I149:$N149,"&gt;="&amp;$F376)&gt;0,"No","Yes"))))))))</f>
        <v/>
      </c>
      <c r="K376" s="758"/>
      <c r="L376" s="689" t="str">
        <f t="shared" ref="L376" si="141">IF(OR($A376="",$D376=""),"",IF($J262&lt;&gt;"no","site-wide analysis not necessary",IF($J262="no",IF($D376="no","site-wide analysis not allowed",IF($D376="yes",IF(ISTEXT($H376),IF(OR($H376="no value",$H376="simple asphyxiant"),"site-wide analysis not needed","evaluated in section IV"),IF($D376="yes",IF(COUNTIF($O149,"&gt;="&amp;$H376)&gt;0,"No","Yes"))))))))</f>
        <v/>
      </c>
      <c r="M376" s="758"/>
      <c r="N376" s="689" t="str">
        <f t="shared" ref="N376" si="142">IF(OR($D376="",$J376="",$L376=""),"",IF($K262="proceed to site-wide analysis for this species",IF(AND($J376&lt;&gt;"no",$L376&lt;&gt;"no"),"no additional steps required","revise data on previous sheets"),$K262))</f>
        <v/>
      </c>
      <c r="O376" s="691"/>
    </row>
    <row r="377" spans="1:15" ht="30" customHeight="1" x14ac:dyDescent="0.2">
      <c r="A377" s="9" t="str">
        <f t="shared" si="24"/>
        <v/>
      </c>
      <c r="B377" s="531" t="str">
        <f t="shared" si="25"/>
        <v/>
      </c>
      <c r="C377" s="531"/>
      <c r="D377" s="689" t="str">
        <f t="shared" si="26"/>
        <v/>
      </c>
      <c r="E377" s="758"/>
      <c r="F377" s="689" t="str">
        <f t="shared" si="27"/>
        <v/>
      </c>
      <c r="G377" s="758"/>
      <c r="H377" s="689" t="str">
        <f t="shared" si="28"/>
        <v/>
      </c>
      <c r="I377" s="758"/>
      <c r="J377" s="689" t="str">
        <f t="shared" ref="J377" si="143">IF(OR($A377="",$D377=""),"",IF($I263&lt;&gt;"no","site-wide analysis not necessary",IF($I263="no",IF($D377="no","site-wide analysis not allowed",IF($D377="yes",IF(ISTEXT($F377),IF(OR($F377="no value",$F377="simple asphyxiant"),"site-wide analysis not needed","evaluated in section IV"),IF($D377="yes",IF(COUNTIF($I150:$N150,"&gt;="&amp;$F377)&gt;0,"No","Yes"))))))))</f>
        <v/>
      </c>
      <c r="K377" s="758"/>
      <c r="L377" s="689" t="str">
        <f t="shared" ref="L377" si="144">IF(OR($A377="",$D377=""),"",IF($J263&lt;&gt;"no","site-wide analysis not necessary",IF($J263="no",IF($D377="no","site-wide analysis not allowed",IF($D377="yes",IF(ISTEXT($H377),IF(OR($H377="no value",$H377="simple asphyxiant"),"site-wide analysis not needed","evaluated in section IV"),IF($D377="yes",IF(COUNTIF($O150,"&gt;="&amp;$H377)&gt;0,"No","Yes"))))))))</f>
        <v/>
      </c>
      <c r="M377" s="758"/>
      <c r="N377" s="689" t="str">
        <f t="shared" ref="N377" si="145">IF(OR($D377="",$J377="",$L377=""),"",IF($K263="proceed to site-wide analysis for this species",IF(AND($J377&lt;&gt;"no",$L377&lt;&gt;"no"),"no additional steps required","revise data on previous sheets"),$K263))</f>
        <v/>
      </c>
      <c r="O377" s="691"/>
    </row>
    <row r="378" spans="1:15" ht="30" customHeight="1" x14ac:dyDescent="0.2">
      <c r="A378" s="9" t="str">
        <f t="shared" si="24"/>
        <v/>
      </c>
      <c r="B378" s="531" t="str">
        <f t="shared" si="25"/>
        <v/>
      </c>
      <c r="C378" s="531"/>
      <c r="D378" s="689" t="str">
        <f t="shared" si="26"/>
        <v/>
      </c>
      <c r="E378" s="758"/>
      <c r="F378" s="689" t="str">
        <f t="shared" si="27"/>
        <v/>
      </c>
      <c r="G378" s="758"/>
      <c r="H378" s="689" t="str">
        <f t="shared" si="28"/>
        <v/>
      </c>
      <c r="I378" s="758"/>
      <c r="J378" s="689" t="str">
        <f t="shared" ref="J378" si="146">IF(OR($A378="",$D378=""),"",IF($I264&lt;&gt;"no","site-wide analysis not necessary",IF($I264="no",IF($D378="no","site-wide analysis not allowed",IF($D378="yes",IF(ISTEXT($F378),IF(OR($F378="no value",$F378="simple asphyxiant"),"site-wide analysis not needed","evaluated in section IV"),IF($D378="yes",IF(COUNTIF($I151:$N151,"&gt;="&amp;$F378)&gt;0,"No","Yes"))))))))</f>
        <v/>
      </c>
      <c r="K378" s="758"/>
      <c r="L378" s="689" t="str">
        <f t="shared" ref="L378" si="147">IF(OR($A378="",$D378=""),"",IF($J264&lt;&gt;"no","site-wide analysis not necessary",IF($J264="no",IF($D378="no","site-wide analysis not allowed",IF($D378="yes",IF(ISTEXT($H378),IF(OR($H378="no value",$H378="simple asphyxiant"),"site-wide analysis not needed","evaluated in section IV"),IF($D378="yes",IF(COUNTIF($O151,"&gt;="&amp;$H378)&gt;0,"No","Yes"))))))))</f>
        <v/>
      </c>
      <c r="M378" s="758"/>
      <c r="N378" s="689" t="str">
        <f t="shared" ref="N378" si="148">IF(OR($D378="",$J378="",$L378=""),"",IF($K264="proceed to site-wide analysis for this species",IF(AND($J378&lt;&gt;"no",$L378&lt;&gt;"no"),"no additional steps required","revise data on previous sheets"),$K264))</f>
        <v/>
      </c>
      <c r="O378" s="691"/>
    </row>
    <row r="379" spans="1:15" ht="30" customHeight="1" x14ac:dyDescent="0.2">
      <c r="A379" s="9" t="str">
        <f t="shared" si="24"/>
        <v/>
      </c>
      <c r="B379" s="531" t="str">
        <f t="shared" si="25"/>
        <v/>
      </c>
      <c r="C379" s="531"/>
      <c r="D379" s="689" t="str">
        <f t="shared" si="26"/>
        <v/>
      </c>
      <c r="E379" s="758"/>
      <c r="F379" s="689" t="str">
        <f t="shared" si="27"/>
        <v/>
      </c>
      <c r="G379" s="758"/>
      <c r="H379" s="689" t="str">
        <f t="shared" si="28"/>
        <v/>
      </c>
      <c r="I379" s="758"/>
      <c r="J379" s="689" t="str">
        <f t="shared" ref="J379" si="149">IF(OR($A379="",$D379=""),"",IF($I265&lt;&gt;"no","site-wide analysis not necessary",IF($I265="no",IF($D379="no","site-wide analysis not allowed",IF($D379="yes",IF(ISTEXT($F379),IF(OR($F379="no value",$F379="simple asphyxiant"),"site-wide analysis not needed","evaluated in section IV"),IF($D379="yes",IF(COUNTIF($I152:$N152,"&gt;="&amp;$F379)&gt;0,"No","Yes"))))))))</f>
        <v/>
      </c>
      <c r="K379" s="758"/>
      <c r="L379" s="689" t="str">
        <f t="shared" ref="L379" si="150">IF(OR($A379="",$D379=""),"",IF($J265&lt;&gt;"no","site-wide analysis not necessary",IF($J265="no",IF($D379="no","site-wide analysis not allowed",IF($D379="yes",IF(ISTEXT($H379),IF(OR($H379="no value",$H379="simple asphyxiant"),"site-wide analysis not needed","evaluated in section IV"),IF($D379="yes",IF(COUNTIF($O152,"&gt;="&amp;$H379)&gt;0,"No","Yes"))))))))</f>
        <v/>
      </c>
      <c r="M379" s="758"/>
      <c r="N379" s="689" t="str">
        <f t="shared" ref="N379" si="151">IF(OR($D379="",$J379="",$L379=""),"",IF($K265="proceed to site-wide analysis for this species",IF(AND($J379&lt;&gt;"no",$L379&lt;&gt;"no"),"no additional steps required","revise data on previous sheets"),$K265))</f>
        <v/>
      </c>
      <c r="O379" s="691"/>
    </row>
    <row r="380" spans="1:15" ht="30" customHeight="1" x14ac:dyDescent="0.2">
      <c r="A380" s="9" t="str">
        <f t="shared" si="24"/>
        <v/>
      </c>
      <c r="B380" s="531" t="str">
        <f t="shared" si="25"/>
        <v/>
      </c>
      <c r="C380" s="531"/>
      <c r="D380" s="689" t="str">
        <f t="shared" si="26"/>
        <v/>
      </c>
      <c r="E380" s="758"/>
      <c r="F380" s="689" t="str">
        <f t="shared" si="27"/>
        <v/>
      </c>
      <c r="G380" s="758"/>
      <c r="H380" s="689" t="str">
        <f t="shared" si="28"/>
        <v/>
      </c>
      <c r="I380" s="758"/>
      <c r="J380" s="689" t="str">
        <f t="shared" ref="J380" si="152">IF(OR($A380="",$D380=""),"",IF($I266&lt;&gt;"no","site-wide analysis not necessary",IF($I266="no",IF($D380="no","site-wide analysis not allowed",IF($D380="yes",IF(ISTEXT($F380),IF(OR($F380="no value",$F380="simple asphyxiant"),"site-wide analysis not needed","evaluated in section IV"),IF($D380="yes",IF(COUNTIF($I153:$N153,"&gt;="&amp;$F380)&gt;0,"No","Yes"))))))))</f>
        <v/>
      </c>
      <c r="K380" s="758"/>
      <c r="L380" s="689" t="str">
        <f t="shared" ref="L380" si="153">IF(OR($A380="",$D380=""),"",IF($J266&lt;&gt;"no","site-wide analysis not necessary",IF($J266="no",IF($D380="no","site-wide analysis not allowed",IF($D380="yes",IF(ISTEXT($H380),IF(OR($H380="no value",$H380="simple asphyxiant"),"site-wide analysis not needed","evaluated in section IV"),IF($D380="yes",IF(COUNTIF($O153,"&gt;="&amp;$H380)&gt;0,"No","Yes"))))))))</f>
        <v/>
      </c>
      <c r="M380" s="758"/>
      <c r="N380" s="689" t="str">
        <f t="shared" ref="N380" si="154">IF(OR($D380="",$J380="",$L380=""),"",IF($K266="proceed to site-wide analysis for this species",IF(AND($J380&lt;&gt;"no",$L380&lt;&gt;"no"),"no additional steps required","revise data on previous sheets"),$K266))</f>
        <v/>
      </c>
      <c r="O380" s="691"/>
    </row>
    <row r="381" spans="1:15" ht="30" customHeight="1" x14ac:dyDescent="0.2">
      <c r="A381" s="9" t="str">
        <f t="shared" si="24"/>
        <v/>
      </c>
      <c r="B381" s="531" t="str">
        <f t="shared" si="25"/>
        <v/>
      </c>
      <c r="C381" s="531"/>
      <c r="D381" s="689" t="str">
        <f t="shared" si="26"/>
        <v/>
      </c>
      <c r="E381" s="758"/>
      <c r="F381" s="689" t="str">
        <f t="shared" si="27"/>
        <v/>
      </c>
      <c r="G381" s="758"/>
      <c r="H381" s="689" t="str">
        <f t="shared" si="28"/>
        <v/>
      </c>
      <c r="I381" s="758"/>
      <c r="J381" s="689" t="str">
        <f t="shared" ref="J381" si="155">IF(OR($A381="",$D381=""),"",IF($I267&lt;&gt;"no","site-wide analysis not necessary",IF($I267="no",IF($D381="no","site-wide analysis not allowed",IF($D381="yes",IF(ISTEXT($F381),IF(OR($F381="no value",$F381="simple asphyxiant"),"site-wide analysis not needed","evaluated in section IV"),IF($D381="yes",IF(COUNTIF($I154:$N154,"&gt;="&amp;$F381)&gt;0,"No","Yes"))))))))</f>
        <v/>
      </c>
      <c r="K381" s="758"/>
      <c r="L381" s="689" t="str">
        <f t="shared" ref="L381" si="156">IF(OR($A381="",$D381=""),"",IF($J267&lt;&gt;"no","site-wide analysis not necessary",IF($J267="no",IF($D381="no","site-wide analysis not allowed",IF($D381="yes",IF(ISTEXT($H381),IF(OR($H381="no value",$H381="simple asphyxiant"),"site-wide analysis not needed","evaluated in section IV"),IF($D381="yes",IF(COUNTIF($O154,"&gt;="&amp;$H381)&gt;0,"No","Yes"))))))))</f>
        <v/>
      </c>
      <c r="M381" s="758"/>
      <c r="N381" s="689" t="str">
        <f t="shared" ref="N381" si="157">IF(OR($D381="",$J381="",$L381=""),"",IF($K267="proceed to site-wide analysis for this species",IF(AND($J381&lt;&gt;"no",$L381&lt;&gt;"no"),"no additional steps required","revise data on previous sheets"),$K267))</f>
        <v/>
      </c>
      <c r="O381" s="691"/>
    </row>
    <row r="382" spans="1:15" ht="30" customHeight="1" x14ac:dyDescent="0.2">
      <c r="A382" s="9" t="str">
        <f t="shared" si="24"/>
        <v/>
      </c>
      <c r="B382" s="531" t="str">
        <f t="shared" si="25"/>
        <v/>
      </c>
      <c r="C382" s="531"/>
      <c r="D382" s="689" t="str">
        <f t="shared" si="26"/>
        <v/>
      </c>
      <c r="E382" s="758"/>
      <c r="F382" s="689" t="str">
        <f t="shared" si="27"/>
        <v/>
      </c>
      <c r="G382" s="758"/>
      <c r="H382" s="689" t="str">
        <f t="shared" si="28"/>
        <v/>
      </c>
      <c r="I382" s="758"/>
      <c r="J382" s="689" t="str">
        <f t="shared" ref="J382" si="158">IF(OR($A382="",$D382=""),"",IF($I268&lt;&gt;"no","site-wide analysis not necessary",IF($I268="no",IF($D382="no","site-wide analysis not allowed",IF($D382="yes",IF(ISTEXT($F382),IF(OR($F382="no value",$F382="simple asphyxiant"),"site-wide analysis not needed","evaluated in section IV"),IF($D382="yes",IF(COUNTIF($I155:$N155,"&gt;="&amp;$F382)&gt;0,"No","Yes"))))))))</f>
        <v/>
      </c>
      <c r="K382" s="758"/>
      <c r="L382" s="689" t="str">
        <f t="shared" ref="L382" si="159">IF(OR($A382="",$D382=""),"",IF($J268&lt;&gt;"no","site-wide analysis not necessary",IF($J268="no",IF($D382="no","site-wide analysis not allowed",IF($D382="yes",IF(ISTEXT($H382),IF(OR($H382="no value",$H382="simple asphyxiant"),"site-wide analysis not needed","evaluated in section IV"),IF($D382="yes",IF(COUNTIF($O155,"&gt;="&amp;$H382)&gt;0,"No","Yes"))))))))</f>
        <v/>
      </c>
      <c r="M382" s="758"/>
      <c r="N382" s="689" t="str">
        <f t="shared" ref="N382" si="160">IF(OR($D382="",$J382="",$L382=""),"",IF($K268="proceed to site-wide analysis for this species",IF(AND($J382&lt;&gt;"no",$L382&lt;&gt;"no"),"no additional steps required","revise data on previous sheets"),$K268))</f>
        <v/>
      </c>
      <c r="O382" s="691"/>
    </row>
    <row r="383" spans="1:15" ht="30" customHeight="1" x14ac:dyDescent="0.2">
      <c r="A383" s="9" t="str">
        <f t="shared" si="24"/>
        <v/>
      </c>
      <c r="B383" s="531" t="str">
        <f t="shared" si="25"/>
        <v/>
      </c>
      <c r="C383" s="531"/>
      <c r="D383" s="689" t="str">
        <f t="shared" si="26"/>
        <v/>
      </c>
      <c r="E383" s="758"/>
      <c r="F383" s="689" t="str">
        <f t="shared" si="27"/>
        <v/>
      </c>
      <c r="G383" s="758"/>
      <c r="H383" s="689" t="str">
        <f t="shared" si="28"/>
        <v/>
      </c>
      <c r="I383" s="758"/>
      <c r="J383" s="689" t="str">
        <f t="shared" ref="J383" si="161">IF(OR($A383="",$D383=""),"",IF($I269&lt;&gt;"no","site-wide analysis not necessary",IF($I269="no",IF($D383="no","site-wide analysis not allowed",IF($D383="yes",IF(ISTEXT($F383),IF(OR($F383="no value",$F383="simple asphyxiant"),"site-wide analysis not needed","evaluated in section IV"),IF($D383="yes",IF(COUNTIF($I156:$N156,"&gt;="&amp;$F383)&gt;0,"No","Yes"))))))))</f>
        <v/>
      </c>
      <c r="K383" s="758"/>
      <c r="L383" s="689" t="str">
        <f t="shared" ref="L383" si="162">IF(OR($A383="",$D383=""),"",IF($J269&lt;&gt;"no","site-wide analysis not necessary",IF($J269="no",IF($D383="no","site-wide analysis not allowed",IF($D383="yes",IF(ISTEXT($H383),IF(OR($H383="no value",$H383="simple asphyxiant"),"site-wide analysis not needed","evaluated in section IV"),IF($D383="yes",IF(COUNTIF($O156,"&gt;="&amp;$H383)&gt;0,"No","Yes"))))))))</f>
        <v/>
      </c>
      <c r="M383" s="758"/>
      <c r="N383" s="689" t="str">
        <f t="shared" ref="N383" si="163">IF(OR($D383="",$J383="",$L383=""),"",IF($K269="proceed to site-wide analysis for this species",IF(AND($J383&lt;&gt;"no",$L383&lt;&gt;"no"),"no additional steps required","revise data on previous sheets"),$K269))</f>
        <v/>
      </c>
      <c r="O383" s="691"/>
    </row>
    <row r="384" spans="1:15" ht="30" customHeight="1" x14ac:dyDescent="0.2">
      <c r="A384" s="9" t="str">
        <f t="shared" si="24"/>
        <v/>
      </c>
      <c r="B384" s="531" t="str">
        <f t="shared" si="25"/>
        <v/>
      </c>
      <c r="C384" s="531"/>
      <c r="D384" s="689" t="str">
        <f t="shared" si="26"/>
        <v/>
      </c>
      <c r="E384" s="758"/>
      <c r="F384" s="689" t="str">
        <f t="shared" si="27"/>
        <v/>
      </c>
      <c r="G384" s="758"/>
      <c r="H384" s="689" t="str">
        <f t="shared" si="28"/>
        <v/>
      </c>
      <c r="I384" s="758"/>
      <c r="J384" s="689" t="str">
        <f t="shared" ref="J384" si="164">IF(OR($A384="",$D384=""),"",IF($I270&lt;&gt;"no","site-wide analysis not necessary",IF($I270="no",IF($D384="no","site-wide analysis not allowed",IF($D384="yes",IF(ISTEXT($F384),IF(OR($F384="no value",$F384="simple asphyxiant"),"site-wide analysis not needed","evaluated in section IV"),IF($D384="yes",IF(COUNTIF($I157:$N157,"&gt;="&amp;$F384)&gt;0,"No","Yes"))))))))</f>
        <v/>
      </c>
      <c r="K384" s="758"/>
      <c r="L384" s="689" t="str">
        <f t="shared" ref="L384" si="165">IF(OR($A384="",$D384=""),"",IF($J270&lt;&gt;"no","site-wide analysis not necessary",IF($J270="no",IF($D384="no","site-wide analysis not allowed",IF($D384="yes",IF(ISTEXT($H384),IF(OR($H384="no value",$H384="simple asphyxiant"),"site-wide analysis not needed","evaluated in section IV"),IF($D384="yes",IF(COUNTIF($O157,"&gt;="&amp;$H384)&gt;0,"No","Yes"))))))))</f>
        <v/>
      </c>
      <c r="M384" s="758"/>
      <c r="N384" s="689" t="str">
        <f t="shared" ref="N384" si="166">IF(OR($D384="",$J384="",$L384=""),"",IF($K270="proceed to site-wide analysis for this species",IF(AND($J384&lt;&gt;"no",$L384&lt;&gt;"no"),"no additional steps required","revise data on previous sheets"),$K270))</f>
        <v/>
      </c>
      <c r="O384" s="691"/>
    </row>
    <row r="385" spans="1:15" ht="30" customHeight="1" x14ac:dyDescent="0.2">
      <c r="A385" s="9" t="str">
        <f t="shared" si="24"/>
        <v/>
      </c>
      <c r="B385" s="531" t="str">
        <f t="shared" si="25"/>
        <v/>
      </c>
      <c r="C385" s="531"/>
      <c r="D385" s="689" t="str">
        <f t="shared" si="26"/>
        <v/>
      </c>
      <c r="E385" s="758"/>
      <c r="F385" s="689" t="str">
        <f t="shared" si="27"/>
        <v/>
      </c>
      <c r="G385" s="758"/>
      <c r="H385" s="689" t="str">
        <f t="shared" si="28"/>
        <v/>
      </c>
      <c r="I385" s="758"/>
      <c r="J385" s="689" t="str">
        <f t="shared" ref="J385" si="167">IF(OR($A385="",$D385=""),"",IF($I271&lt;&gt;"no","site-wide analysis not necessary",IF($I271="no",IF($D385="no","site-wide analysis not allowed",IF($D385="yes",IF(ISTEXT($F385),IF(OR($F385="no value",$F385="simple asphyxiant"),"site-wide analysis not needed","evaluated in section IV"),IF($D385="yes",IF(COUNTIF($I158:$N158,"&gt;="&amp;$F385)&gt;0,"No","Yes"))))))))</f>
        <v/>
      </c>
      <c r="K385" s="758"/>
      <c r="L385" s="689" t="str">
        <f t="shared" ref="L385" si="168">IF(OR($A385="",$D385=""),"",IF($J271&lt;&gt;"no","site-wide analysis not necessary",IF($J271="no",IF($D385="no","site-wide analysis not allowed",IF($D385="yes",IF(ISTEXT($H385),IF(OR($H385="no value",$H385="simple asphyxiant"),"site-wide analysis not needed","evaluated in section IV"),IF($D385="yes",IF(COUNTIF($O158,"&gt;="&amp;$H385)&gt;0,"No","Yes"))))))))</f>
        <v/>
      </c>
      <c r="M385" s="758"/>
      <c r="N385" s="689" t="str">
        <f t="shared" ref="N385" si="169">IF(OR($D385="",$J385="",$L385=""),"",IF($K271="proceed to site-wide analysis for this species",IF(AND($J385&lt;&gt;"no",$L385&lt;&gt;"no"),"no additional steps required","revise data on previous sheets"),$K271))</f>
        <v/>
      </c>
      <c r="O385" s="691"/>
    </row>
    <row r="386" spans="1:15" ht="30" customHeight="1" x14ac:dyDescent="0.2">
      <c r="A386" s="9" t="str">
        <f t="shared" si="24"/>
        <v/>
      </c>
      <c r="B386" s="531" t="str">
        <f t="shared" si="25"/>
        <v/>
      </c>
      <c r="C386" s="531"/>
      <c r="D386" s="689" t="str">
        <f t="shared" si="26"/>
        <v/>
      </c>
      <c r="E386" s="758"/>
      <c r="F386" s="689" t="str">
        <f t="shared" si="27"/>
        <v/>
      </c>
      <c r="G386" s="758"/>
      <c r="H386" s="689" t="str">
        <f t="shared" si="28"/>
        <v/>
      </c>
      <c r="I386" s="758"/>
      <c r="J386" s="689" t="str">
        <f t="shared" ref="J386" si="170">IF(OR($A386="",$D386=""),"",IF($I272&lt;&gt;"no","site-wide analysis not necessary",IF($I272="no",IF($D386="no","site-wide analysis not allowed",IF($D386="yes",IF(ISTEXT($F386),IF(OR($F386="no value",$F386="simple asphyxiant"),"site-wide analysis not needed","evaluated in section IV"),IF($D386="yes",IF(COUNTIF($I159:$N159,"&gt;="&amp;$F386)&gt;0,"No","Yes"))))))))</f>
        <v/>
      </c>
      <c r="K386" s="758"/>
      <c r="L386" s="689" t="str">
        <f t="shared" ref="L386" si="171">IF(OR($A386="",$D386=""),"",IF($J272&lt;&gt;"no","site-wide analysis not necessary",IF($J272="no",IF($D386="no","site-wide analysis not allowed",IF($D386="yes",IF(ISTEXT($H386),IF(OR($H386="no value",$H386="simple asphyxiant"),"site-wide analysis not needed","evaluated in section IV"),IF($D386="yes",IF(COUNTIF($O159,"&gt;="&amp;$H386)&gt;0,"No","Yes"))))))))</f>
        <v/>
      </c>
      <c r="M386" s="758"/>
      <c r="N386" s="689" t="str">
        <f t="shared" ref="N386" si="172">IF(OR($D386="",$J386="",$L386=""),"",IF($K272="proceed to site-wide analysis for this species",IF(AND($J386&lt;&gt;"no",$L386&lt;&gt;"no"),"no additional steps required","revise data on previous sheets"),$K272))</f>
        <v/>
      </c>
      <c r="O386" s="691"/>
    </row>
    <row r="387" spans="1:15" ht="30" customHeight="1" x14ac:dyDescent="0.2">
      <c r="A387" s="9" t="str">
        <f t="shared" si="24"/>
        <v/>
      </c>
      <c r="B387" s="531" t="str">
        <f t="shared" si="25"/>
        <v/>
      </c>
      <c r="C387" s="531"/>
      <c r="D387" s="689" t="str">
        <f t="shared" si="26"/>
        <v/>
      </c>
      <c r="E387" s="758"/>
      <c r="F387" s="689" t="str">
        <f t="shared" si="27"/>
        <v/>
      </c>
      <c r="G387" s="758"/>
      <c r="H387" s="689" t="str">
        <f t="shared" si="28"/>
        <v/>
      </c>
      <c r="I387" s="758"/>
      <c r="J387" s="689" t="str">
        <f t="shared" ref="J387" si="173">IF(OR($A387="",$D387=""),"",IF($I273&lt;&gt;"no","site-wide analysis not necessary",IF($I273="no",IF($D387="no","site-wide analysis not allowed",IF($D387="yes",IF(ISTEXT($F387),IF(OR($F387="no value",$F387="simple asphyxiant"),"site-wide analysis not needed","evaluated in section IV"),IF($D387="yes",IF(COUNTIF($I160:$N160,"&gt;="&amp;$F387)&gt;0,"No","Yes"))))))))</f>
        <v/>
      </c>
      <c r="K387" s="758"/>
      <c r="L387" s="689" t="str">
        <f t="shared" ref="L387" si="174">IF(OR($A387="",$D387=""),"",IF($J273&lt;&gt;"no","site-wide analysis not necessary",IF($J273="no",IF($D387="no","site-wide analysis not allowed",IF($D387="yes",IF(ISTEXT($H387),IF(OR($H387="no value",$H387="simple asphyxiant"),"site-wide analysis not needed","evaluated in section IV"),IF($D387="yes",IF(COUNTIF($O160,"&gt;="&amp;$H387)&gt;0,"No","Yes"))))))))</f>
        <v/>
      </c>
      <c r="M387" s="758"/>
      <c r="N387" s="689" t="str">
        <f t="shared" ref="N387" si="175">IF(OR($D387="",$J387="",$L387=""),"",IF($K273="proceed to site-wide analysis for this species",IF(AND($J387&lt;&gt;"no",$L387&lt;&gt;"no"),"no additional steps required","revise data on previous sheets"),$K273))</f>
        <v/>
      </c>
      <c r="O387" s="691"/>
    </row>
    <row r="388" spans="1:15" ht="30" customHeight="1" x14ac:dyDescent="0.2">
      <c r="A388" s="9" t="str">
        <f t="shared" si="24"/>
        <v/>
      </c>
      <c r="B388" s="531" t="str">
        <f t="shared" si="25"/>
        <v/>
      </c>
      <c r="C388" s="531"/>
      <c r="D388" s="689" t="str">
        <f t="shared" si="26"/>
        <v/>
      </c>
      <c r="E388" s="758"/>
      <c r="F388" s="689" t="str">
        <f t="shared" si="27"/>
        <v/>
      </c>
      <c r="G388" s="758"/>
      <c r="H388" s="689" t="str">
        <f t="shared" si="28"/>
        <v/>
      </c>
      <c r="I388" s="758"/>
      <c r="J388" s="689" t="str">
        <f t="shared" ref="J388" si="176">IF(OR($A388="",$D388=""),"",IF($I274&lt;&gt;"no","site-wide analysis not necessary",IF($I274="no",IF($D388="no","site-wide analysis not allowed",IF($D388="yes",IF(ISTEXT($F388),IF(OR($F388="no value",$F388="simple asphyxiant"),"site-wide analysis not needed","evaluated in section IV"),IF($D388="yes",IF(COUNTIF($I161:$N161,"&gt;="&amp;$F388)&gt;0,"No","Yes"))))))))</f>
        <v/>
      </c>
      <c r="K388" s="758"/>
      <c r="L388" s="689" t="str">
        <f t="shared" ref="L388" si="177">IF(OR($A388="",$D388=""),"",IF($J274&lt;&gt;"no","site-wide analysis not necessary",IF($J274="no",IF($D388="no","site-wide analysis not allowed",IF($D388="yes",IF(ISTEXT($H388),IF(OR($H388="no value",$H388="simple asphyxiant"),"site-wide analysis not needed","evaluated in section IV"),IF($D388="yes",IF(COUNTIF($O161,"&gt;="&amp;$H388)&gt;0,"No","Yes"))))))))</f>
        <v/>
      </c>
      <c r="M388" s="758"/>
      <c r="N388" s="689" t="str">
        <f t="shared" ref="N388" si="178">IF(OR($D388="",$J388="",$L388=""),"",IF($K274="proceed to site-wide analysis for this species",IF(AND($J388&lt;&gt;"no",$L388&lt;&gt;"no"),"no additional steps required","revise data on previous sheets"),$K274))</f>
        <v/>
      </c>
      <c r="O388" s="691"/>
    </row>
    <row r="389" spans="1:15" ht="30" customHeight="1" x14ac:dyDescent="0.2">
      <c r="A389" s="9" t="str">
        <f t="shared" si="24"/>
        <v/>
      </c>
      <c r="B389" s="531" t="str">
        <f t="shared" si="25"/>
        <v/>
      </c>
      <c r="C389" s="531"/>
      <c r="D389" s="689" t="str">
        <f t="shared" si="26"/>
        <v/>
      </c>
      <c r="E389" s="758"/>
      <c r="F389" s="689" t="str">
        <f t="shared" si="27"/>
        <v/>
      </c>
      <c r="G389" s="758"/>
      <c r="H389" s="689" t="str">
        <f t="shared" si="28"/>
        <v/>
      </c>
      <c r="I389" s="758"/>
      <c r="J389" s="689" t="str">
        <f t="shared" ref="J389" si="179">IF(OR($A389="",$D389=""),"",IF($I275&lt;&gt;"no","site-wide analysis not necessary",IF($I275="no",IF($D389="no","site-wide analysis not allowed",IF($D389="yes",IF(ISTEXT($F389),IF(OR($F389="no value",$F389="simple asphyxiant"),"site-wide analysis not needed","evaluated in section IV"),IF($D389="yes",IF(COUNTIF($I162:$N162,"&gt;="&amp;$F389)&gt;0,"No","Yes"))))))))</f>
        <v/>
      </c>
      <c r="K389" s="758"/>
      <c r="L389" s="689" t="str">
        <f t="shared" ref="L389" si="180">IF(OR($A389="",$D389=""),"",IF($J275&lt;&gt;"no","site-wide analysis not necessary",IF($J275="no",IF($D389="no","site-wide analysis not allowed",IF($D389="yes",IF(ISTEXT($H389),IF(OR($H389="no value",$H389="simple asphyxiant"),"site-wide analysis not needed","evaluated in section IV"),IF($D389="yes",IF(COUNTIF($O162,"&gt;="&amp;$H389)&gt;0,"No","Yes"))))))))</f>
        <v/>
      </c>
      <c r="M389" s="758"/>
      <c r="N389" s="689" t="str">
        <f t="shared" ref="N389" si="181">IF(OR($D389="",$J389="",$L389=""),"",IF($K275="proceed to site-wide analysis for this species",IF(AND($J389&lt;&gt;"no",$L389&lt;&gt;"no"),"no additional steps required","revise data on previous sheets"),$K275))</f>
        <v/>
      </c>
      <c r="O389" s="691"/>
    </row>
    <row r="390" spans="1:15" ht="30" customHeight="1" x14ac:dyDescent="0.2">
      <c r="A390" s="9" t="str">
        <f t="shared" si="24"/>
        <v/>
      </c>
      <c r="B390" s="531" t="str">
        <f t="shared" si="25"/>
        <v/>
      </c>
      <c r="C390" s="531"/>
      <c r="D390" s="689" t="str">
        <f t="shared" si="26"/>
        <v/>
      </c>
      <c r="E390" s="758"/>
      <c r="F390" s="689" t="str">
        <f t="shared" si="27"/>
        <v/>
      </c>
      <c r="G390" s="758"/>
      <c r="H390" s="689" t="str">
        <f t="shared" si="28"/>
        <v/>
      </c>
      <c r="I390" s="758"/>
      <c r="J390" s="689" t="str">
        <f t="shared" ref="J390" si="182">IF(OR($A390="",$D390=""),"",IF($I276&lt;&gt;"no","site-wide analysis not necessary",IF($I276="no",IF($D390="no","site-wide analysis not allowed",IF($D390="yes",IF(ISTEXT($F390),IF(OR($F390="no value",$F390="simple asphyxiant"),"site-wide analysis not needed","evaluated in section IV"),IF($D390="yes",IF(COUNTIF($I163:$N163,"&gt;="&amp;$F390)&gt;0,"No","Yes"))))))))</f>
        <v/>
      </c>
      <c r="K390" s="758"/>
      <c r="L390" s="689" t="str">
        <f t="shared" ref="L390" si="183">IF(OR($A390="",$D390=""),"",IF($J276&lt;&gt;"no","site-wide analysis not necessary",IF($J276="no",IF($D390="no","site-wide analysis not allowed",IF($D390="yes",IF(ISTEXT($H390),IF(OR($H390="no value",$H390="simple asphyxiant"),"site-wide analysis not needed","evaluated in section IV"),IF($D390="yes",IF(COUNTIF($O163,"&gt;="&amp;$H390)&gt;0,"No","Yes"))))))))</f>
        <v/>
      </c>
      <c r="M390" s="758"/>
      <c r="N390" s="689" t="str">
        <f t="shared" ref="N390" si="184">IF(OR($D390="",$J390="",$L390=""),"",IF($K276="proceed to site-wide analysis for this species",IF(AND($J390&lt;&gt;"no",$L390&lt;&gt;"no"),"no additional steps required","revise data on previous sheets"),$K276))</f>
        <v/>
      </c>
      <c r="O390" s="691"/>
    </row>
    <row r="391" spans="1:15" ht="30" customHeight="1" x14ac:dyDescent="0.2">
      <c r="A391" s="9" t="str">
        <f t="shared" si="24"/>
        <v/>
      </c>
      <c r="B391" s="531" t="str">
        <f t="shared" si="25"/>
        <v/>
      </c>
      <c r="C391" s="531"/>
      <c r="D391" s="689" t="str">
        <f t="shared" si="26"/>
        <v/>
      </c>
      <c r="E391" s="758"/>
      <c r="F391" s="689" t="str">
        <f t="shared" si="27"/>
        <v/>
      </c>
      <c r="G391" s="758"/>
      <c r="H391" s="689" t="str">
        <f t="shared" si="28"/>
        <v/>
      </c>
      <c r="I391" s="758"/>
      <c r="J391" s="689" t="str">
        <f t="shared" ref="J391" si="185">IF(OR($A391="",$D391=""),"",IF($I277&lt;&gt;"no","site-wide analysis not necessary",IF($I277="no",IF($D391="no","site-wide analysis not allowed",IF($D391="yes",IF(ISTEXT($F391),IF(OR($F391="no value",$F391="simple asphyxiant"),"site-wide analysis not needed","evaluated in section IV"),IF($D391="yes",IF(COUNTIF($I164:$N164,"&gt;="&amp;$F391)&gt;0,"No","Yes"))))))))</f>
        <v/>
      </c>
      <c r="K391" s="758"/>
      <c r="L391" s="689" t="str">
        <f t="shared" ref="L391" si="186">IF(OR($A391="",$D391=""),"",IF($J277&lt;&gt;"no","site-wide analysis not necessary",IF($J277="no",IF($D391="no","site-wide analysis not allowed",IF($D391="yes",IF(ISTEXT($H391),IF(OR($H391="no value",$H391="simple asphyxiant"),"site-wide analysis not needed","evaluated in section IV"),IF($D391="yes",IF(COUNTIF($O164,"&gt;="&amp;$H391)&gt;0,"No","Yes"))))))))</f>
        <v/>
      </c>
      <c r="M391" s="758"/>
      <c r="N391" s="689" t="str">
        <f t="shared" ref="N391" si="187">IF(OR($D391="",$J391="",$L391=""),"",IF($K277="proceed to site-wide analysis for this species",IF(AND($J391&lt;&gt;"no",$L391&lt;&gt;"no"),"no additional steps required","revise data on previous sheets"),$K277))</f>
        <v/>
      </c>
      <c r="O391" s="691"/>
    </row>
    <row r="392" spans="1:15" ht="30" customHeight="1" x14ac:dyDescent="0.2">
      <c r="A392" s="9" t="str">
        <f t="shared" si="24"/>
        <v/>
      </c>
      <c r="B392" s="531" t="str">
        <f t="shared" si="25"/>
        <v/>
      </c>
      <c r="C392" s="531"/>
      <c r="D392" s="689" t="str">
        <f t="shared" si="26"/>
        <v/>
      </c>
      <c r="E392" s="758"/>
      <c r="F392" s="689" t="str">
        <f t="shared" si="27"/>
        <v/>
      </c>
      <c r="G392" s="758"/>
      <c r="H392" s="689" t="str">
        <f t="shared" si="28"/>
        <v/>
      </c>
      <c r="I392" s="758"/>
      <c r="J392" s="689" t="str">
        <f t="shared" ref="J392" si="188">IF(OR($A392="",$D392=""),"",IF($I278&lt;&gt;"no","site-wide analysis not necessary",IF($I278="no",IF($D392="no","site-wide analysis not allowed",IF($D392="yes",IF(ISTEXT($F392),IF(OR($F392="no value",$F392="simple asphyxiant"),"site-wide analysis not needed","evaluated in section IV"),IF($D392="yes",IF(COUNTIF($I165:$N165,"&gt;="&amp;$F392)&gt;0,"No","Yes"))))))))</f>
        <v/>
      </c>
      <c r="K392" s="758"/>
      <c r="L392" s="689" t="str">
        <f t="shared" ref="L392" si="189">IF(OR($A392="",$D392=""),"",IF($J278&lt;&gt;"no","site-wide analysis not necessary",IF($J278="no",IF($D392="no","site-wide analysis not allowed",IF($D392="yes",IF(ISTEXT($H392),IF(OR($H392="no value",$H392="simple asphyxiant"),"site-wide analysis not needed","evaluated in section IV"),IF($D392="yes",IF(COUNTIF($O165,"&gt;="&amp;$H392)&gt;0,"No","Yes"))))))))</f>
        <v/>
      </c>
      <c r="M392" s="758"/>
      <c r="N392" s="689" t="str">
        <f t="shared" ref="N392" si="190">IF(OR($D392="",$J392="",$L392=""),"",IF($K278="proceed to site-wide analysis for this species",IF(AND($J392&lt;&gt;"no",$L392&lt;&gt;"no"),"no additional steps required","revise data on previous sheets"),$K278))</f>
        <v/>
      </c>
      <c r="O392" s="691"/>
    </row>
    <row r="393" spans="1:15" ht="30" customHeight="1" x14ac:dyDescent="0.2">
      <c r="A393" s="9" t="str">
        <f t="shared" si="24"/>
        <v/>
      </c>
      <c r="B393" s="531" t="str">
        <f t="shared" si="25"/>
        <v/>
      </c>
      <c r="C393" s="531"/>
      <c r="D393" s="689" t="str">
        <f t="shared" si="26"/>
        <v/>
      </c>
      <c r="E393" s="758"/>
      <c r="F393" s="689" t="str">
        <f t="shared" si="27"/>
        <v/>
      </c>
      <c r="G393" s="758"/>
      <c r="H393" s="689" t="str">
        <f t="shared" si="28"/>
        <v/>
      </c>
      <c r="I393" s="758"/>
      <c r="J393" s="689" t="str">
        <f t="shared" ref="J393" si="191">IF(OR($A393="",$D393=""),"",IF($I279&lt;&gt;"no","site-wide analysis not necessary",IF($I279="no",IF($D393="no","site-wide analysis not allowed",IF($D393="yes",IF(ISTEXT($F393),IF(OR($F393="no value",$F393="simple asphyxiant"),"site-wide analysis not needed","evaluated in section IV"),IF($D393="yes",IF(COUNTIF($I166:$N166,"&gt;="&amp;$F393)&gt;0,"No","Yes"))))))))</f>
        <v/>
      </c>
      <c r="K393" s="758"/>
      <c r="L393" s="689" t="str">
        <f t="shared" ref="L393" si="192">IF(OR($A393="",$D393=""),"",IF($J279&lt;&gt;"no","site-wide analysis not necessary",IF($J279="no",IF($D393="no","site-wide analysis not allowed",IF($D393="yes",IF(ISTEXT($H393),IF(OR($H393="no value",$H393="simple asphyxiant"),"site-wide analysis not needed","evaluated in section IV"),IF($D393="yes",IF(COUNTIF($O166,"&gt;="&amp;$H393)&gt;0,"No","Yes"))))))))</f>
        <v/>
      </c>
      <c r="M393" s="758"/>
      <c r="N393" s="689" t="str">
        <f t="shared" ref="N393" si="193">IF(OR($D393="",$J393="",$L393=""),"",IF($K279="proceed to site-wide analysis for this species",IF(AND($J393&lt;&gt;"no",$L393&lt;&gt;"no"),"no additional steps required","revise data on previous sheets"),$K279))</f>
        <v/>
      </c>
      <c r="O393" s="691"/>
    </row>
    <row r="394" spans="1:15" ht="30" customHeight="1" x14ac:dyDescent="0.2">
      <c r="A394" s="9" t="str">
        <f t="shared" si="24"/>
        <v/>
      </c>
      <c r="B394" s="531" t="str">
        <f t="shared" si="25"/>
        <v/>
      </c>
      <c r="C394" s="531"/>
      <c r="D394" s="689" t="str">
        <f t="shared" si="26"/>
        <v/>
      </c>
      <c r="E394" s="758"/>
      <c r="F394" s="689" t="str">
        <f t="shared" si="27"/>
        <v/>
      </c>
      <c r="G394" s="758"/>
      <c r="H394" s="689" t="str">
        <f t="shared" si="28"/>
        <v/>
      </c>
      <c r="I394" s="758"/>
      <c r="J394" s="689" t="str">
        <f t="shared" ref="J394" si="194">IF(OR($A394="",$D394=""),"",IF($I280&lt;&gt;"no","site-wide analysis not necessary",IF($I280="no",IF($D394="no","site-wide analysis not allowed",IF($D394="yes",IF(ISTEXT($F394),IF(OR($F394="no value",$F394="simple asphyxiant"),"site-wide analysis not needed","evaluated in section IV"),IF($D394="yes",IF(COUNTIF($I167:$N167,"&gt;="&amp;$F394)&gt;0,"No","Yes"))))))))</f>
        <v/>
      </c>
      <c r="K394" s="758"/>
      <c r="L394" s="689" t="str">
        <f t="shared" ref="L394" si="195">IF(OR($A394="",$D394=""),"",IF($J280&lt;&gt;"no","site-wide analysis not necessary",IF($J280="no",IF($D394="no","site-wide analysis not allowed",IF($D394="yes",IF(ISTEXT($H394),IF(OR($H394="no value",$H394="simple asphyxiant"),"site-wide analysis not needed","evaluated in section IV"),IF($D394="yes",IF(COUNTIF($O167,"&gt;="&amp;$H394)&gt;0,"No","Yes"))))))))</f>
        <v/>
      </c>
      <c r="M394" s="758"/>
      <c r="N394" s="689" t="str">
        <f t="shared" ref="N394" si="196">IF(OR($D394="",$J394="",$L394=""),"",IF($K280="proceed to site-wide analysis for this species",IF(AND($J394&lt;&gt;"no",$L394&lt;&gt;"no"),"no additional steps required","revise data on previous sheets"),$K280))</f>
        <v/>
      </c>
      <c r="O394" s="691"/>
    </row>
    <row r="395" spans="1:15" ht="30" customHeight="1" x14ac:dyDescent="0.2">
      <c r="A395" s="9" t="str">
        <f t="shared" si="24"/>
        <v/>
      </c>
      <c r="B395" s="531" t="str">
        <f t="shared" si="25"/>
        <v/>
      </c>
      <c r="C395" s="531"/>
      <c r="D395" s="689" t="str">
        <f t="shared" si="26"/>
        <v/>
      </c>
      <c r="E395" s="758"/>
      <c r="F395" s="689" t="str">
        <f t="shared" si="27"/>
        <v/>
      </c>
      <c r="G395" s="758"/>
      <c r="H395" s="689" t="str">
        <f t="shared" si="28"/>
        <v/>
      </c>
      <c r="I395" s="758"/>
      <c r="J395" s="689" t="str">
        <f t="shared" ref="J395" si="197">IF(OR($A395="",$D395=""),"",IF($I281&lt;&gt;"no","site-wide analysis not necessary",IF($I281="no",IF($D395="no","site-wide analysis not allowed",IF($D395="yes",IF(ISTEXT($F395),IF(OR($F395="no value",$F395="simple asphyxiant"),"site-wide analysis not needed","evaluated in section IV"),IF($D395="yes",IF(COUNTIF($I168:$N168,"&gt;="&amp;$F395)&gt;0,"No","Yes"))))))))</f>
        <v/>
      </c>
      <c r="K395" s="758"/>
      <c r="L395" s="689" t="str">
        <f t="shared" ref="L395" si="198">IF(OR($A395="",$D395=""),"",IF($J281&lt;&gt;"no","site-wide analysis not necessary",IF($J281="no",IF($D395="no","site-wide analysis not allowed",IF($D395="yes",IF(ISTEXT($H395),IF(OR($H395="no value",$H395="simple asphyxiant"),"site-wide analysis not needed","evaluated in section IV"),IF($D395="yes",IF(COUNTIF($O168,"&gt;="&amp;$H395)&gt;0,"No","Yes"))))))))</f>
        <v/>
      </c>
      <c r="M395" s="758"/>
      <c r="N395" s="689" t="str">
        <f t="shared" ref="N395" si="199">IF(OR($D395="",$J395="",$L395=""),"",IF($K281="proceed to site-wide analysis for this species",IF(AND($J395&lt;&gt;"no",$L395&lt;&gt;"no"),"no additional steps required","revise data on previous sheets"),$K281))</f>
        <v/>
      </c>
      <c r="O395" s="691"/>
    </row>
    <row r="396" spans="1:15" ht="30" customHeight="1" x14ac:dyDescent="0.2">
      <c r="A396" s="9" t="str">
        <f t="shared" si="24"/>
        <v/>
      </c>
      <c r="B396" s="531" t="str">
        <f t="shared" si="25"/>
        <v/>
      </c>
      <c r="C396" s="531"/>
      <c r="D396" s="689" t="str">
        <f t="shared" si="26"/>
        <v/>
      </c>
      <c r="E396" s="758"/>
      <c r="F396" s="689" t="str">
        <f t="shared" si="27"/>
        <v/>
      </c>
      <c r="G396" s="758"/>
      <c r="H396" s="689" t="str">
        <f t="shared" si="28"/>
        <v/>
      </c>
      <c r="I396" s="758"/>
      <c r="J396" s="689" t="str">
        <f t="shared" ref="J396" si="200">IF(OR($A396="",$D396=""),"",IF($I282&lt;&gt;"no","site-wide analysis not necessary",IF($I282="no",IF($D396="no","site-wide analysis not allowed",IF($D396="yes",IF(ISTEXT($F396),IF(OR($F396="no value",$F396="simple asphyxiant"),"site-wide analysis not needed","evaluated in section IV"),IF($D396="yes",IF(COUNTIF($I169:$N169,"&gt;="&amp;$F396)&gt;0,"No","Yes"))))))))</f>
        <v/>
      </c>
      <c r="K396" s="758"/>
      <c r="L396" s="689" t="str">
        <f t="shared" ref="L396" si="201">IF(OR($A396="",$D396=""),"",IF($J282&lt;&gt;"no","site-wide analysis not necessary",IF($J282="no",IF($D396="no","site-wide analysis not allowed",IF($D396="yes",IF(ISTEXT($H396),IF(OR($H396="no value",$H396="simple asphyxiant"),"site-wide analysis not needed","evaluated in section IV"),IF($D396="yes",IF(COUNTIF($O169,"&gt;="&amp;$H396)&gt;0,"No","Yes"))))))))</f>
        <v/>
      </c>
      <c r="M396" s="758"/>
      <c r="N396" s="689" t="str">
        <f t="shared" ref="N396" si="202">IF(OR($D396="",$J396="",$L396=""),"",IF($K282="proceed to site-wide analysis for this species",IF(AND($J396&lt;&gt;"no",$L396&lt;&gt;"no"),"no additional steps required","revise data on previous sheets"),$K282))</f>
        <v/>
      </c>
      <c r="O396" s="691"/>
    </row>
    <row r="397" spans="1:15" ht="30" customHeight="1" x14ac:dyDescent="0.2">
      <c r="A397" s="9" t="str">
        <f t="shared" si="24"/>
        <v/>
      </c>
      <c r="B397" s="531" t="str">
        <f t="shared" si="25"/>
        <v/>
      </c>
      <c r="C397" s="531"/>
      <c r="D397" s="689" t="str">
        <f t="shared" si="26"/>
        <v/>
      </c>
      <c r="E397" s="758"/>
      <c r="F397" s="689" t="str">
        <f t="shared" si="27"/>
        <v/>
      </c>
      <c r="G397" s="758"/>
      <c r="H397" s="689" t="str">
        <f t="shared" si="28"/>
        <v/>
      </c>
      <c r="I397" s="758"/>
      <c r="J397" s="689" t="str">
        <f t="shared" ref="J397" si="203">IF(OR($A397="",$D397=""),"",IF($I283&lt;&gt;"no","site-wide analysis not necessary",IF($I283="no",IF($D397="no","site-wide analysis not allowed",IF($D397="yes",IF(ISTEXT($F397),IF(OR($F397="no value",$F397="simple asphyxiant"),"site-wide analysis not needed","evaluated in section IV"),IF($D397="yes",IF(COUNTIF($I170:$N170,"&gt;="&amp;$F397)&gt;0,"No","Yes"))))))))</f>
        <v/>
      </c>
      <c r="K397" s="758"/>
      <c r="L397" s="689" t="str">
        <f t="shared" ref="L397" si="204">IF(OR($A397="",$D397=""),"",IF($J283&lt;&gt;"no","site-wide analysis not necessary",IF($J283="no",IF($D397="no","site-wide analysis not allowed",IF($D397="yes",IF(ISTEXT($H397),IF(OR($H397="no value",$H397="simple asphyxiant"),"site-wide analysis not needed","evaluated in section IV"),IF($D397="yes",IF(COUNTIF($O170,"&gt;="&amp;$H397)&gt;0,"No","Yes"))))))))</f>
        <v/>
      </c>
      <c r="M397" s="758"/>
      <c r="N397" s="689" t="str">
        <f t="shared" ref="N397" si="205">IF(OR($D397="",$J397="",$L397=""),"",IF($K283="proceed to site-wide analysis for this species",IF(AND($J397&lt;&gt;"no",$L397&lt;&gt;"no"),"no additional steps required","revise data on previous sheets"),$K283))</f>
        <v/>
      </c>
      <c r="O397" s="691"/>
    </row>
    <row r="398" spans="1:15" ht="30" customHeight="1" x14ac:dyDescent="0.2">
      <c r="A398" s="9" t="str">
        <f t="shared" si="24"/>
        <v/>
      </c>
      <c r="B398" s="531" t="str">
        <f t="shared" si="25"/>
        <v/>
      </c>
      <c r="C398" s="531"/>
      <c r="D398" s="689" t="str">
        <f t="shared" si="26"/>
        <v/>
      </c>
      <c r="E398" s="758"/>
      <c r="F398" s="689" t="str">
        <f t="shared" si="27"/>
        <v/>
      </c>
      <c r="G398" s="758"/>
      <c r="H398" s="689" t="str">
        <f t="shared" si="28"/>
        <v/>
      </c>
      <c r="I398" s="758"/>
      <c r="J398" s="689" t="str">
        <f t="shared" ref="J398" si="206">IF(OR($A398="",$D398=""),"",IF($I284&lt;&gt;"no","site-wide analysis not necessary",IF($I284="no",IF($D398="no","site-wide analysis not allowed",IF($D398="yes",IF(ISTEXT($F398),IF(OR($F398="no value",$F398="simple asphyxiant"),"site-wide analysis not needed","evaluated in section IV"),IF($D398="yes",IF(COUNTIF($I171:$N171,"&gt;="&amp;$F398)&gt;0,"No","Yes"))))))))</f>
        <v/>
      </c>
      <c r="K398" s="758"/>
      <c r="L398" s="689" t="str">
        <f t="shared" ref="L398" si="207">IF(OR($A398="",$D398=""),"",IF($J284&lt;&gt;"no","site-wide analysis not necessary",IF($J284="no",IF($D398="no","site-wide analysis not allowed",IF($D398="yes",IF(ISTEXT($H398),IF(OR($H398="no value",$H398="simple asphyxiant"),"site-wide analysis not needed","evaluated in section IV"),IF($D398="yes",IF(COUNTIF($O171,"&gt;="&amp;$H398)&gt;0,"No","Yes"))))))))</f>
        <v/>
      </c>
      <c r="M398" s="758"/>
      <c r="N398" s="689" t="str">
        <f t="shared" ref="N398" si="208">IF(OR($D398="",$J398="",$L398=""),"",IF($K284="proceed to site-wide analysis for this species",IF(AND($J398&lt;&gt;"no",$L398&lt;&gt;"no"),"no additional steps required","revise data on previous sheets"),$K284))</f>
        <v/>
      </c>
      <c r="O398" s="691"/>
    </row>
    <row r="399" spans="1:15" ht="30" customHeight="1" x14ac:dyDescent="0.2">
      <c r="A399" s="9" t="str">
        <f t="shared" si="24"/>
        <v/>
      </c>
      <c r="B399" s="531" t="str">
        <f t="shared" si="25"/>
        <v/>
      </c>
      <c r="C399" s="531"/>
      <c r="D399" s="689" t="str">
        <f t="shared" si="26"/>
        <v/>
      </c>
      <c r="E399" s="758"/>
      <c r="F399" s="689" t="str">
        <f t="shared" si="27"/>
        <v/>
      </c>
      <c r="G399" s="758"/>
      <c r="H399" s="689" t="str">
        <f t="shared" si="28"/>
        <v/>
      </c>
      <c r="I399" s="758"/>
      <c r="J399" s="689" t="str">
        <f t="shared" ref="J399" si="209">IF(OR($A399="",$D399=""),"",IF($I285&lt;&gt;"no","site-wide analysis not necessary",IF($I285="no",IF($D399="no","site-wide analysis not allowed",IF($D399="yes",IF(ISTEXT($F399),IF(OR($F399="no value",$F399="simple asphyxiant"),"site-wide analysis not needed","evaluated in section IV"),IF($D399="yes",IF(COUNTIF($I172:$N172,"&gt;="&amp;$F399)&gt;0,"No","Yes"))))))))</f>
        <v/>
      </c>
      <c r="K399" s="758"/>
      <c r="L399" s="689" t="str">
        <f t="shared" ref="L399" si="210">IF(OR($A399="",$D399=""),"",IF($J285&lt;&gt;"no","site-wide analysis not necessary",IF($J285="no",IF($D399="no","site-wide analysis not allowed",IF($D399="yes",IF(ISTEXT($H399),IF(OR($H399="no value",$H399="simple asphyxiant"),"site-wide analysis not needed","evaluated in section IV"),IF($D399="yes",IF(COUNTIF($O172,"&gt;="&amp;$H399)&gt;0,"No","Yes"))))))))</f>
        <v/>
      </c>
      <c r="M399" s="758"/>
      <c r="N399" s="689" t="str">
        <f t="shared" ref="N399" si="211">IF(OR($D399="",$J399="",$L399=""),"",IF($K285="proceed to site-wide analysis for this species",IF(AND($J399&lt;&gt;"no",$L399&lt;&gt;"no"),"no additional steps required","revise data on previous sheets"),$K285))</f>
        <v/>
      </c>
      <c r="O399" s="691"/>
    </row>
    <row r="400" spans="1:15" ht="30" customHeight="1" x14ac:dyDescent="0.2">
      <c r="A400" s="9" t="str">
        <f t="shared" si="24"/>
        <v/>
      </c>
      <c r="B400" s="531" t="str">
        <f t="shared" si="25"/>
        <v/>
      </c>
      <c r="C400" s="531"/>
      <c r="D400" s="689" t="str">
        <f t="shared" si="26"/>
        <v/>
      </c>
      <c r="E400" s="758"/>
      <c r="F400" s="689" t="str">
        <f t="shared" si="27"/>
        <v/>
      </c>
      <c r="G400" s="758"/>
      <c r="H400" s="689" t="str">
        <f t="shared" si="28"/>
        <v/>
      </c>
      <c r="I400" s="758"/>
      <c r="J400" s="689" t="str">
        <f t="shared" ref="J400" si="212">IF(OR($A400="",$D400=""),"",IF($I286&lt;&gt;"no","site-wide analysis not necessary",IF($I286="no",IF($D400="no","site-wide analysis not allowed",IF($D400="yes",IF(ISTEXT($F400),IF(OR($F400="no value",$F400="simple asphyxiant"),"site-wide analysis not needed","evaluated in section IV"),IF($D400="yes",IF(COUNTIF($I173:$N173,"&gt;="&amp;$F400)&gt;0,"No","Yes"))))))))</f>
        <v/>
      </c>
      <c r="K400" s="758"/>
      <c r="L400" s="689" t="str">
        <f t="shared" ref="L400" si="213">IF(OR($A400="",$D400=""),"",IF($J286&lt;&gt;"no","site-wide analysis not necessary",IF($J286="no",IF($D400="no","site-wide analysis not allowed",IF($D400="yes",IF(ISTEXT($H400),IF(OR($H400="no value",$H400="simple asphyxiant"),"site-wide analysis not needed","evaluated in section IV"),IF($D400="yes",IF(COUNTIF($O173,"&gt;="&amp;$H400)&gt;0,"No","Yes"))))))))</f>
        <v/>
      </c>
      <c r="M400" s="758"/>
      <c r="N400" s="689" t="str">
        <f t="shared" ref="N400" si="214">IF(OR($D400="",$J400="",$L400=""),"",IF($K286="proceed to site-wide analysis for this species",IF(AND($J400&lt;&gt;"no",$L400&lt;&gt;"no"),"no additional steps required","revise data on previous sheets"),$K286))</f>
        <v/>
      </c>
      <c r="O400" s="691"/>
    </row>
    <row r="401" spans="1:15" ht="30" customHeight="1" x14ac:dyDescent="0.2">
      <c r="A401" s="9" t="str">
        <f t="shared" si="24"/>
        <v/>
      </c>
      <c r="B401" s="531" t="str">
        <f t="shared" si="25"/>
        <v/>
      </c>
      <c r="C401" s="531"/>
      <c r="D401" s="689" t="str">
        <f t="shared" si="26"/>
        <v/>
      </c>
      <c r="E401" s="758"/>
      <c r="F401" s="689" t="str">
        <f t="shared" si="27"/>
        <v/>
      </c>
      <c r="G401" s="758"/>
      <c r="H401" s="689" t="str">
        <f t="shared" si="28"/>
        <v/>
      </c>
      <c r="I401" s="758"/>
      <c r="J401" s="689" t="str">
        <f t="shared" ref="J401" si="215">IF(OR($A401="",$D401=""),"",IF($I287&lt;&gt;"no","site-wide analysis not necessary",IF($I287="no",IF($D401="no","site-wide analysis not allowed",IF($D401="yes",IF(ISTEXT($F401),IF(OR($F401="no value",$F401="simple asphyxiant"),"site-wide analysis not needed","evaluated in section IV"),IF($D401="yes",IF(COUNTIF($I174:$N174,"&gt;="&amp;$F401)&gt;0,"No","Yes"))))))))</f>
        <v/>
      </c>
      <c r="K401" s="758"/>
      <c r="L401" s="689" t="str">
        <f t="shared" ref="L401" si="216">IF(OR($A401="",$D401=""),"",IF($J287&lt;&gt;"no","site-wide analysis not necessary",IF($J287="no",IF($D401="no","site-wide analysis not allowed",IF($D401="yes",IF(ISTEXT($H401),IF(OR($H401="no value",$H401="simple asphyxiant"),"site-wide analysis not needed","evaluated in section IV"),IF($D401="yes",IF(COUNTIF($O174,"&gt;="&amp;$H401)&gt;0,"No","Yes"))))))))</f>
        <v/>
      </c>
      <c r="M401" s="758"/>
      <c r="N401" s="689" t="str">
        <f t="shared" ref="N401" si="217">IF(OR($D401="",$J401="",$L401=""),"",IF($K287="proceed to site-wide analysis for this species",IF(AND($J401&lt;&gt;"no",$L401&lt;&gt;"no"),"no additional steps required","revise data on previous sheets"),$K287))</f>
        <v/>
      </c>
      <c r="O401" s="691"/>
    </row>
    <row r="402" spans="1:15" ht="30" customHeight="1" x14ac:dyDescent="0.2">
      <c r="A402" s="9" t="str">
        <f t="shared" si="24"/>
        <v/>
      </c>
      <c r="B402" s="531" t="str">
        <f t="shared" si="25"/>
        <v/>
      </c>
      <c r="C402" s="531"/>
      <c r="D402" s="689" t="str">
        <f t="shared" si="26"/>
        <v/>
      </c>
      <c r="E402" s="758"/>
      <c r="F402" s="689" t="str">
        <f t="shared" si="27"/>
        <v/>
      </c>
      <c r="G402" s="758"/>
      <c r="H402" s="689" t="str">
        <f t="shared" si="28"/>
        <v/>
      </c>
      <c r="I402" s="758"/>
      <c r="J402" s="689" t="str">
        <f t="shared" ref="J402" si="218">IF(OR($A402="",$D402=""),"",IF($I288&lt;&gt;"no","site-wide analysis not necessary",IF($I288="no",IF($D402="no","site-wide analysis not allowed",IF($D402="yes",IF(ISTEXT($F402),IF(OR($F402="no value",$F402="simple asphyxiant"),"site-wide analysis not needed","evaluated in section IV"),IF($D402="yes",IF(COUNTIF($I175:$N175,"&gt;="&amp;$F402)&gt;0,"No","Yes"))))))))</f>
        <v/>
      </c>
      <c r="K402" s="758"/>
      <c r="L402" s="689" t="str">
        <f t="shared" ref="L402" si="219">IF(OR($A402="",$D402=""),"",IF($J288&lt;&gt;"no","site-wide analysis not necessary",IF($J288="no",IF($D402="no","site-wide analysis not allowed",IF($D402="yes",IF(ISTEXT($H402),IF(OR($H402="no value",$H402="simple asphyxiant"),"site-wide analysis not needed","evaluated in section IV"),IF($D402="yes",IF(COUNTIF($O175,"&gt;="&amp;$H402)&gt;0,"No","Yes"))))))))</f>
        <v/>
      </c>
      <c r="M402" s="758"/>
      <c r="N402" s="689" t="str">
        <f t="shared" ref="N402" si="220">IF(OR($D402="",$J402="",$L402=""),"",IF($K288="proceed to site-wide analysis for this species",IF(AND($J402&lt;&gt;"no",$L402&lt;&gt;"no"),"no additional steps required","revise data on previous sheets"),$K288))</f>
        <v/>
      </c>
      <c r="O402" s="691"/>
    </row>
    <row r="403" spans="1:15" ht="30" customHeight="1" x14ac:dyDescent="0.2">
      <c r="A403" s="9" t="str">
        <f t="shared" ref="A403:A447" si="221">$A289</f>
        <v/>
      </c>
      <c r="B403" s="531" t="str">
        <f t="shared" ref="B403:B447" si="222">$B289</f>
        <v/>
      </c>
      <c r="C403" s="531"/>
      <c r="D403" s="689" t="str">
        <f t="shared" ref="D403:D447" si="223">IF(OR($A403="",$D289=""),"",IF($D289="Yes","Yes","No"))</f>
        <v/>
      </c>
      <c r="E403" s="758"/>
      <c r="F403" s="689" t="str">
        <f t="shared" ref="F403:F447" si="224">IF($F289="","",IF(ISNUMBER($F289),$F289/0.1,$F289))</f>
        <v/>
      </c>
      <c r="G403" s="758"/>
      <c r="H403" s="689" t="str">
        <f t="shared" ref="H403:H447" si="225">IF($G289="","",IF(ISNUMBER($G289),$G289/0.1,$G289))</f>
        <v/>
      </c>
      <c r="I403" s="758"/>
      <c r="J403" s="689" t="str">
        <f t="shared" ref="J403" si="226">IF(OR($A403="",$D403=""),"",IF($I289&lt;&gt;"no","site-wide analysis not necessary",IF($I289="no",IF($D403="no","site-wide analysis not allowed",IF($D403="yes",IF(ISTEXT($F403),IF(OR($F403="no value",$F403="simple asphyxiant"),"site-wide analysis not needed","evaluated in section IV"),IF($D403="yes",IF(COUNTIF($I176:$N176,"&gt;="&amp;$F403)&gt;0,"No","Yes"))))))))</f>
        <v/>
      </c>
      <c r="K403" s="758"/>
      <c r="L403" s="689" t="str">
        <f t="shared" ref="L403" si="227">IF(OR($A403="",$D403=""),"",IF($J289&lt;&gt;"no","site-wide analysis not necessary",IF($J289="no",IF($D403="no","site-wide analysis not allowed",IF($D403="yes",IF(ISTEXT($H403),IF(OR($H403="no value",$H403="simple asphyxiant"),"site-wide analysis not needed","evaluated in section IV"),IF($D403="yes",IF(COUNTIF($O176,"&gt;="&amp;$H403)&gt;0,"No","Yes"))))))))</f>
        <v/>
      </c>
      <c r="M403" s="758"/>
      <c r="N403" s="689" t="str">
        <f t="shared" ref="N403" si="228">IF(OR($D403="",$J403="",$L403=""),"",IF($K289="proceed to site-wide analysis for this species",IF(AND($J403&lt;&gt;"no",$L403&lt;&gt;"no"),"no additional steps required","revise data on previous sheets"),$K289))</f>
        <v/>
      </c>
      <c r="O403" s="691"/>
    </row>
    <row r="404" spans="1:15" ht="30" customHeight="1" x14ac:dyDescent="0.2">
      <c r="A404" s="9" t="str">
        <f t="shared" si="221"/>
        <v/>
      </c>
      <c r="B404" s="531" t="str">
        <f t="shared" si="222"/>
        <v/>
      </c>
      <c r="C404" s="531"/>
      <c r="D404" s="689" t="str">
        <f t="shared" si="223"/>
        <v/>
      </c>
      <c r="E404" s="758"/>
      <c r="F404" s="689" t="str">
        <f t="shared" si="224"/>
        <v/>
      </c>
      <c r="G404" s="758"/>
      <c r="H404" s="689" t="str">
        <f t="shared" si="225"/>
        <v/>
      </c>
      <c r="I404" s="758"/>
      <c r="J404" s="689" t="str">
        <f t="shared" ref="J404" si="229">IF(OR($A404="",$D404=""),"",IF($I290&lt;&gt;"no","site-wide analysis not necessary",IF($I290="no",IF($D404="no","site-wide analysis not allowed",IF($D404="yes",IF(ISTEXT($F404),IF(OR($F404="no value",$F404="simple asphyxiant"),"site-wide analysis not needed","evaluated in section IV"),IF($D404="yes",IF(COUNTIF($I177:$N177,"&gt;="&amp;$F404)&gt;0,"No","Yes"))))))))</f>
        <v/>
      </c>
      <c r="K404" s="758"/>
      <c r="L404" s="689" t="str">
        <f t="shared" ref="L404" si="230">IF(OR($A404="",$D404=""),"",IF($J290&lt;&gt;"no","site-wide analysis not necessary",IF($J290="no",IF($D404="no","site-wide analysis not allowed",IF($D404="yes",IF(ISTEXT($H404),IF(OR($H404="no value",$H404="simple asphyxiant"),"site-wide analysis not needed","evaluated in section IV"),IF($D404="yes",IF(COUNTIF($O177,"&gt;="&amp;$H404)&gt;0,"No","Yes"))))))))</f>
        <v/>
      </c>
      <c r="M404" s="758"/>
      <c r="N404" s="689" t="str">
        <f t="shared" ref="N404" si="231">IF(OR($D404="",$J404="",$L404=""),"",IF($K290="proceed to site-wide analysis for this species",IF(AND($J404&lt;&gt;"no",$L404&lt;&gt;"no"),"no additional steps required","revise data on previous sheets"),$K290))</f>
        <v/>
      </c>
      <c r="O404" s="691"/>
    </row>
    <row r="405" spans="1:15" ht="30" customHeight="1" x14ac:dyDescent="0.2">
      <c r="A405" s="9" t="str">
        <f t="shared" si="221"/>
        <v/>
      </c>
      <c r="B405" s="531" t="str">
        <f t="shared" si="222"/>
        <v/>
      </c>
      <c r="C405" s="531"/>
      <c r="D405" s="689" t="str">
        <f t="shared" si="223"/>
        <v/>
      </c>
      <c r="E405" s="758"/>
      <c r="F405" s="689" t="str">
        <f t="shared" si="224"/>
        <v/>
      </c>
      <c r="G405" s="758"/>
      <c r="H405" s="689" t="str">
        <f t="shared" si="225"/>
        <v/>
      </c>
      <c r="I405" s="758"/>
      <c r="J405" s="689" t="str">
        <f t="shared" ref="J405" si="232">IF(OR($A405="",$D405=""),"",IF($I291&lt;&gt;"no","site-wide analysis not necessary",IF($I291="no",IF($D405="no","site-wide analysis not allowed",IF($D405="yes",IF(ISTEXT($F405),IF(OR($F405="no value",$F405="simple asphyxiant"),"site-wide analysis not needed","evaluated in section IV"),IF($D405="yes",IF(COUNTIF($I178:$N178,"&gt;="&amp;$F405)&gt;0,"No","Yes"))))))))</f>
        <v/>
      </c>
      <c r="K405" s="758"/>
      <c r="L405" s="689" t="str">
        <f t="shared" ref="L405" si="233">IF(OR($A405="",$D405=""),"",IF($J291&lt;&gt;"no","site-wide analysis not necessary",IF($J291="no",IF($D405="no","site-wide analysis not allowed",IF($D405="yes",IF(ISTEXT($H405),IF(OR($H405="no value",$H405="simple asphyxiant"),"site-wide analysis not needed","evaluated in section IV"),IF($D405="yes",IF(COUNTIF($O178,"&gt;="&amp;$H405)&gt;0,"No","Yes"))))))))</f>
        <v/>
      </c>
      <c r="M405" s="758"/>
      <c r="N405" s="689" t="str">
        <f t="shared" ref="N405" si="234">IF(OR($D405="",$J405="",$L405=""),"",IF($K291="proceed to site-wide analysis for this species",IF(AND($J405&lt;&gt;"no",$L405&lt;&gt;"no"),"no additional steps required","revise data on previous sheets"),$K291))</f>
        <v/>
      </c>
      <c r="O405" s="691"/>
    </row>
    <row r="406" spans="1:15" ht="30" customHeight="1" x14ac:dyDescent="0.2">
      <c r="A406" s="9" t="str">
        <f t="shared" si="221"/>
        <v/>
      </c>
      <c r="B406" s="531" t="str">
        <f t="shared" si="222"/>
        <v/>
      </c>
      <c r="C406" s="531"/>
      <c r="D406" s="689" t="str">
        <f t="shared" si="223"/>
        <v/>
      </c>
      <c r="E406" s="758"/>
      <c r="F406" s="689" t="str">
        <f t="shared" si="224"/>
        <v/>
      </c>
      <c r="G406" s="758"/>
      <c r="H406" s="689" t="str">
        <f t="shared" si="225"/>
        <v/>
      </c>
      <c r="I406" s="758"/>
      <c r="J406" s="689" t="str">
        <f t="shared" ref="J406" si="235">IF(OR($A406="",$D406=""),"",IF($I292&lt;&gt;"no","site-wide analysis not necessary",IF($I292="no",IF($D406="no","site-wide analysis not allowed",IF($D406="yes",IF(ISTEXT($F406),IF(OR($F406="no value",$F406="simple asphyxiant"),"site-wide analysis not needed","evaluated in section IV"),IF($D406="yes",IF(COUNTIF($I179:$N179,"&gt;="&amp;$F406)&gt;0,"No","Yes"))))))))</f>
        <v/>
      </c>
      <c r="K406" s="758"/>
      <c r="L406" s="689" t="str">
        <f t="shared" ref="L406" si="236">IF(OR($A406="",$D406=""),"",IF($J292&lt;&gt;"no","site-wide analysis not necessary",IF($J292="no",IF($D406="no","site-wide analysis not allowed",IF($D406="yes",IF(ISTEXT($H406),IF(OR($H406="no value",$H406="simple asphyxiant"),"site-wide analysis not needed","evaluated in section IV"),IF($D406="yes",IF(COUNTIF($O179,"&gt;="&amp;$H406)&gt;0,"No","Yes"))))))))</f>
        <v/>
      </c>
      <c r="M406" s="758"/>
      <c r="N406" s="689" t="str">
        <f t="shared" ref="N406" si="237">IF(OR($D406="",$J406="",$L406=""),"",IF($K292="proceed to site-wide analysis for this species",IF(AND($J406&lt;&gt;"no",$L406&lt;&gt;"no"),"no additional steps required","revise data on previous sheets"),$K292))</f>
        <v/>
      </c>
      <c r="O406" s="691"/>
    </row>
    <row r="407" spans="1:15" ht="30" customHeight="1" x14ac:dyDescent="0.2">
      <c r="A407" s="9" t="str">
        <f t="shared" si="221"/>
        <v/>
      </c>
      <c r="B407" s="531" t="str">
        <f t="shared" si="222"/>
        <v/>
      </c>
      <c r="C407" s="531"/>
      <c r="D407" s="689" t="str">
        <f t="shared" si="223"/>
        <v/>
      </c>
      <c r="E407" s="758"/>
      <c r="F407" s="689" t="str">
        <f t="shared" si="224"/>
        <v/>
      </c>
      <c r="G407" s="758"/>
      <c r="H407" s="689" t="str">
        <f t="shared" si="225"/>
        <v/>
      </c>
      <c r="I407" s="758"/>
      <c r="J407" s="689" t="str">
        <f t="shared" ref="J407" si="238">IF(OR($A407="",$D407=""),"",IF($I293&lt;&gt;"no","site-wide analysis not necessary",IF($I293="no",IF($D407="no","site-wide analysis not allowed",IF($D407="yes",IF(ISTEXT($F407),IF(OR($F407="no value",$F407="simple asphyxiant"),"site-wide analysis not needed","evaluated in section IV"),IF($D407="yes",IF(COUNTIF($I180:$N180,"&gt;="&amp;$F407)&gt;0,"No","Yes"))))))))</f>
        <v/>
      </c>
      <c r="K407" s="758"/>
      <c r="L407" s="689" t="str">
        <f t="shared" ref="L407" si="239">IF(OR($A407="",$D407=""),"",IF($J293&lt;&gt;"no","site-wide analysis not necessary",IF($J293="no",IF($D407="no","site-wide analysis not allowed",IF($D407="yes",IF(ISTEXT($H407),IF(OR($H407="no value",$H407="simple asphyxiant"),"site-wide analysis not needed","evaluated in section IV"),IF($D407="yes",IF(COUNTIF($O180,"&gt;="&amp;$H407)&gt;0,"No","Yes"))))))))</f>
        <v/>
      </c>
      <c r="M407" s="758"/>
      <c r="N407" s="689" t="str">
        <f t="shared" ref="N407" si="240">IF(OR($D407="",$J407="",$L407=""),"",IF($K293="proceed to site-wide analysis for this species",IF(AND($J407&lt;&gt;"no",$L407&lt;&gt;"no"),"no additional steps required","revise data on previous sheets"),$K293))</f>
        <v/>
      </c>
      <c r="O407" s="691"/>
    </row>
    <row r="408" spans="1:15" ht="30" customHeight="1" x14ac:dyDescent="0.2">
      <c r="A408" s="9" t="str">
        <f t="shared" si="221"/>
        <v/>
      </c>
      <c r="B408" s="531" t="str">
        <f t="shared" si="222"/>
        <v/>
      </c>
      <c r="C408" s="531"/>
      <c r="D408" s="689" t="str">
        <f t="shared" si="223"/>
        <v/>
      </c>
      <c r="E408" s="758"/>
      <c r="F408" s="689" t="str">
        <f t="shared" si="224"/>
        <v/>
      </c>
      <c r="G408" s="758"/>
      <c r="H408" s="689" t="str">
        <f t="shared" si="225"/>
        <v/>
      </c>
      <c r="I408" s="758"/>
      <c r="J408" s="689" t="str">
        <f t="shared" ref="J408" si="241">IF(OR($A408="",$D408=""),"",IF($I294&lt;&gt;"no","site-wide analysis not necessary",IF($I294="no",IF($D408="no","site-wide analysis not allowed",IF($D408="yes",IF(ISTEXT($F408),IF(OR($F408="no value",$F408="simple asphyxiant"),"site-wide analysis not needed","evaluated in section IV"),IF($D408="yes",IF(COUNTIF($I181:$N181,"&gt;="&amp;$F408)&gt;0,"No","Yes"))))))))</f>
        <v/>
      </c>
      <c r="K408" s="758"/>
      <c r="L408" s="689" t="str">
        <f t="shared" ref="L408" si="242">IF(OR($A408="",$D408=""),"",IF($J294&lt;&gt;"no","site-wide analysis not necessary",IF($J294="no",IF($D408="no","site-wide analysis not allowed",IF($D408="yes",IF(ISTEXT($H408),IF(OR($H408="no value",$H408="simple asphyxiant"),"site-wide analysis not needed","evaluated in section IV"),IF($D408="yes",IF(COUNTIF($O181,"&gt;="&amp;$H408)&gt;0,"No","Yes"))))))))</f>
        <v/>
      </c>
      <c r="M408" s="758"/>
      <c r="N408" s="689" t="str">
        <f t="shared" ref="N408" si="243">IF(OR($D408="",$J408="",$L408=""),"",IF($K294="proceed to site-wide analysis for this species",IF(AND($J408&lt;&gt;"no",$L408&lt;&gt;"no"),"no additional steps required","revise data on previous sheets"),$K294))</f>
        <v/>
      </c>
      <c r="O408" s="691"/>
    </row>
    <row r="409" spans="1:15" ht="30" customHeight="1" x14ac:dyDescent="0.2">
      <c r="A409" s="9" t="str">
        <f t="shared" si="221"/>
        <v/>
      </c>
      <c r="B409" s="531" t="str">
        <f t="shared" si="222"/>
        <v/>
      </c>
      <c r="C409" s="531"/>
      <c r="D409" s="689" t="str">
        <f t="shared" si="223"/>
        <v/>
      </c>
      <c r="E409" s="758"/>
      <c r="F409" s="689" t="str">
        <f t="shared" si="224"/>
        <v/>
      </c>
      <c r="G409" s="758"/>
      <c r="H409" s="689" t="str">
        <f t="shared" si="225"/>
        <v/>
      </c>
      <c r="I409" s="758"/>
      <c r="J409" s="689" t="str">
        <f t="shared" ref="J409" si="244">IF(OR($A409="",$D409=""),"",IF($I295&lt;&gt;"no","site-wide analysis not necessary",IF($I295="no",IF($D409="no","site-wide analysis not allowed",IF($D409="yes",IF(ISTEXT($F409),IF(OR($F409="no value",$F409="simple asphyxiant"),"site-wide analysis not needed","evaluated in section IV"),IF($D409="yes",IF(COUNTIF($I182:$N182,"&gt;="&amp;$F409)&gt;0,"No","Yes"))))))))</f>
        <v/>
      </c>
      <c r="K409" s="758"/>
      <c r="L409" s="689" t="str">
        <f t="shared" ref="L409" si="245">IF(OR($A409="",$D409=""),"",IF($J295&lt;&gt;"no","site-wide analysis not necessary",IF($J295="no",IF($D409="no","site-wide analysis not allowed",IF($D409="yes",IF(ISTEXT($H409),IF(OR($H409="no value",$H409="simple asphyxiant"),"site-wide analysis not needed","evaluated in section IV"),IF($D409="yes",IF(COUNTIF($O182,"&gt;="&amp;$H409)&gt;0,"No","Yes"))))))))</f>
        <v/>
      </c>
      <c r="M409" s="758"/>
      <c r="N409" s="689" t="str">
        <f t="shared" ref="N409" si="246">IF(OR($D409="",$J409="",$L409=""),"",IF($K295="proceed to site-wide analysis for this species",IF(AND($J409&lt;&gt;"no",$L409&lt;&gt;"no"),"no additional steps required","revise data on previous sheets"),$K295))</f>
        <v/>
      </c>
      <c r="O409" s="691"/>
    </row>
    <row r="410" spans="1:15" ht="30" customHeight="1" x14ac:dyDescent="0.2">
      <c r="A410" s="9" t="str">
        <f t="shared" si="221"/>
        <v/>
      </c>
      <c r="B410" s="531" t="str">
        <f t="shared" si="222"/>
        <v/>
      </c>
      <c r="C410" s="531"/>
      <c r="D410" s="689" t="str">
        <f t="shared" si="223"/>
        <v/>
      </c>
      <c r="E410" s="758"/>
      <c r="F410" s="689" t="str">
        <f t="shared" si="224"/>
        <v/>
      </c>
      <c r="G410" s="758"/>
      <c r="H410" s="689" t="str">
        <f t="shared" si="225"/>
        <v/>
      </c>
      <c r="I410" s="758"/>
      <c r="J410" s="689" t="str">
        <f t="shared" ref="J410" si="247">IF(OR($A410="",$D410=""),"",IF($I296&lt;&gt;"no","site-wide analysis not necessary",IF($I296="no",IF($D410="no","site-wide analysis not allowed",IF($D410="yes",IF(ISTEXT($F410),IF(OR($F410="no value",$F410="simple asphyxiant"),"site-wide analysis not needed","evaluated in section IV"),IF($D410="yes",IF(COUNTIF($I183:$N183,"&gt;="&amp;$F410)&gt;0,"No","Yes"))))))))</f>
        <v/>
      </c>
      <c r="K410" s="758"/>
      <c r="L410" s="689" t="str">
        <f t="shared" ref="L410" si="248">IF(OR($A410="",$D410=""),"",IF($J296&lt;&gt;"no","site-wide analysis not necessary",IF($J296="no",IF($D410="no","site-wide analysis not allowed",IF($D410="yes",IF(ISTEXT($H410),IF(OR($H410="no value",$H410="simple asphyxiant"),"site-wide analysis not needed","evaluated in section IV"),IF($D410="yes",IF(COUNTIF($O183,"&gt;="&amp;$H410)&gt;0,"No","Yes"))))))))</f>
        <v/>
      </c>
      <c r="M410" s="758"/>
      <c r="N410" s="689" t="str">
        <f t="shared" ref="N410" si="249">IF(OR($D410="",$J410="",$L410=""),"",IF($K296="proceed to site-wide analysis for this species",IF(AND($J410&lt;&gt;"no",$L410&lt;&gt;"no"),"no additional steps required","revise data on previous sheets"),$K296))</f>
        <v/>
      </c>
      <c r="O410" s="691"/>
    </row>
    <row r="411" spans="1:15" ht="30" customHeight="1" x14ac:dyDescent="0.2">
      <c r="A411" s="9" t="str">
        <f t="shared" si="221"/>
        <v/>
      </c>
      <c r="B411" s="531" t="str">
        <f t="shared" si="222"/>
        <v/>
      </c>
      <c r="C411" s="531"/>
      <c r="D411" s="689" t="str">
        <f t="shared" si="223"/>
        <v/>
      </c>
      <c r="E411" s="758"/>
      <c r="F411" s="689" t="str">
        <f t="shared" si="224"/>
        <v/>
      </c>
      <c r="G411" s="758"/>
      <c r="H411" s="689" t="str">
        <f t="shared" si="225"/>
        <v/>
      </c>
      <c r="I411" s="758"/>
      <c r="J411" s="689" t="str">
        <f t="shared" ref="J411" si="250">IF(OR($A411="",$D411=""),"",IF($I297&lt;&gt;"no","site-wide analysis not necessary",IF($I297="no",IF($D411="no","site-wide analysis not allowed",IF($D411="yes",IF(ISTEXT($F411),IF(OR($F411="no value",$F411="simple asphyxiant"),"site-wide analysis not needed","evaluated in section IV"),IF($D411="yes",IF(COUNTIF($I184:$N184,"&gt;="&amp;$F411)&gt;0,"No","Yes"))))))))</f>
        <v/>
      </c>
      <c r="K411" s="758"/>
      <c r="L411" s="689" t="str">
        <f t="shared" ref="L411" si="251">IF(OR($A411="",$D411=""),"",IF($J297&lt;&gt;"no","site-wide analysis not necessary",IF($J297="no",IF($D411="no","site-wide analysis not allowed",IF($D411="yes",IF(ISTEXT($H411),IF(OR($H411="no value",$H411="simple asphyxiant"),"site-wide analysis not needed","evaluated in section IV"),IF($D411="yes",IF(COUNTIF($O184,"&gt;="&amp;$H411)&gt;0,"No","Yes"))))))))</f>
        <v/>
      </c>
      <c r="M411" s="758"/>
      <c r="N411" s="689" t="str">
        <f t="shared" ref="N411" si="252">IF(OR($D411="",$J411="",$L411=""),"",IF($K297="proceed to site-wide analysis for this species",IF(AND($J411&lt;&gt;"no",$L411&lt;&gt;"no"),"no additional steps required","revise data on previous sheets"),$K297))</f>
        <v/>
      </c>
      <c r="O411" s="691"/>
    </row>
    <row r="412" spans="1:15" ht="30" customHeight="1" x14ac:dyDescent="0.2">
      <c r="A412" s="9" t="str">
        <f t="shared" si="221"/>
        <v/>
      </c>
      <c r="B412" s="531" t="str">
        <f t="shared" si="222"/>
        <v/>
      </c>
      <c r="C412" s="531"/>
      <c r="D412" s="689" t="str">
        <f t="shared" si="223"/>
        <v/>
      </c>
      <c r="E412" s="758"/>
      <c r="F412" s="689" t="str">
        <f t="shared" si="224"/>
        <v/>
      </c>
      <c r="G412" s="758"/>
      <c r="H412" s="689" t="str">
        <f t="shared" si="225"/>
        <v/>
      </c>
      <c r="I412" s="758"/>
      <c r="J412" s="689" t="str">
        <f t="shared" ref="J412" si="253">IF(OR($A412="",$D412=""),"",IF($I298&lt;&gt;"no","site-wide analysis not necessary",IF($I298="no",IF($D412="no","site-wide analysis not allowed",IF($D412="yes",IF(ISTEXT($F412),IF(OR($F412="no value",$F412="simple asphyxiant"),"site-wide analysis not needed","evaluated in section IV"),IF($D412="yes",IF(COUNTIF($I185:$N185,"&gt;="&amp;$F412)&gt;0,"No","Yes"))))))))</f>
        <v/>
      </c>
      <c r="K412" s="758"/>
      <c r="L412" s="689" t="str">
        <f t="shared" ref="L412" si="254">IF(OR($A412="",$D412=""),"",IF($J298&lt;&gt;"no","site-wide analysis not necessary",IF($J298="no",IF($D412="no","site-wide analysis not allowed",IF($D412="yes",IF(ISTEXT($H412),IF(OR($H412="no value",$H412="simple asphyxiant"),"site-wide analysis not needed","evaluated in section IV"),IF($D412="yes",IF(COUNTIF($O185,"&gt;="&amp;$H412)&gt;0,"No","Yes"))))))))</f>
        <v/>
      </c>
      <c r="M412" s="758"/>
      <c r="N412" s="689" t="str">
        <f t="shared" ref="N412" si="255">IF(OR($D412="",$J412="",$L412=""),"",IF($K298="proceed to site-wide analysis for this species",IF(AND($J412&lt;&gt;"no",$L412&lt;&gt;"no"),"no additional steps required","revise data on previous sheets"),$K298))</f>
        <v/>
      </c>
      <c r="O412" s="691"/>
    </row>
    <row r="413" spans="1:15" ht="30" customHeight="1" x14ac:dyDescent="0.2">
      <c r="A413" s="9" t="str">
        <f t="shared" si="221"/>
        <v/>
      </c>
      <c r="B413" s="531" t="str">
        <f t="shared" si="222"/>
        <v/>
      </c>
      <c r="C413" s="531"/>
      <c r="D413" s="689" t="str">
        <f t="shared" si="223"/>
        <v/>
      </c>
      <c r="E413" s="758"/>
      <c r="F413" s="689" t="str">
        <f t="shared" si="224"/>
        <v/>
      </c>
      <c r="G413" s="758"/>
      <c r="H413" s="689" t="str">
        <f t="shared" si="225"/>
        <v/>
      </c>
      <c r="I413" s="758"/>
      <c r="J413" s="689" t="str">
        <f t="shared" ref="J413" si="256">IF(OR($A413="",$D413=""),"",IF($I299&lt;&gt;"no","site-wide analysis not necessary",IF($I299="no",IF($D413="no","site-wide analysis not allowed",IF($D413="yes",IF(ISTEXT($F413),IF(OR($F413="no value",$F413="simple asphyxiant"),"site-wide analysis not needed","evaluated in section IV"),IF($D413="yes",IF(COUNTIF($I186:$N186,"&gt;="&amp;$F413)&gt;0,"No","Yes"))))))))</f>
        <v/>
      </c>
      <c r="K413" s="758"/>
      <c r="L413" s="689" t="str">
        <f t="shared" ref="L413" si="257">IF(OR($A413="",$D413=""),"",IF($J299&lt;&gt;"no","site-wide analysis not necessary",IF($J299="no",IF($D413="no","site-wide analysis not allowed",IF($D413="yes",IF(ISTEXT($H413),IF(OR($H413="no value",$H413="simple asphyxiant"),"site-wide analysis not needed","evaluated in section IV"),IF($D413="yes",IF(COUNTIF($O186,"&gt;="&amp;$H413)&gt;0,"No","Yes"))))))))</f>
        <v/>
      </c>
      <c r="M413" s="758"/>
      <c r="N413" s="689" t="str">
        <f t="shared" ref="N413" si="258">IF(OR($D413="",$J413="",$L413=""),"",IF($K299="proceed to site-wide analysis for this species",IF(AND($J413&lt;&gt;"no",$L413&lt;&gt;"no"),"no additional steps required","revise data on previous sheets"),$K299))</f>
        <v/>
      </c>
      <c r="O413" s="691"/>
    </row>
    <row r="414" spans="1:15" ht="30" customHeight="1" x14ac:dyDescent="0.2">
      <c r="A414" s="9" t="str">
        <f t="shared" si="221"/>
        <v/>
      </c>
      <c r="B414" s="531" t="str">
        <f t="shared" si="222"/>
        <v/>
      </c>
      <c r="C414" s="531"/>
      <c r="D414" s="689" t="str">
        <f t="shared" si="223"/>
        <v/>
      </c>
      <c r="E414" s="758"/>
      <c r="F414" s="689" t="str">
        <f t="shared" si="224"/>
        <v/>
      </c>
      <c r="G414" s="758"/>
      <c r="H414" s="689" t="str">
        <f t="shared" si="225"/>
        <v/>
      </c>
      <c r="I414" s="758"/>
      <c r="J414" s="689" t="str">
        <f t="shared" ref="J414" si="259">IF(OR($A414="",$D414=""),"",IF($I300&lt;&gt;"no","site-wide analysis not necessary",IF($I300="no",IF($D414="no","site-wide analysis not allowed",IF($D414="yes",IF(ISTEXT($F414),IF(OR($F414="no value",$F414="simple asphyxiant"),"site-wide analysis not needed","evaluated in section IV"),IF($D414="yes",IF(COUNTIF($I187:$N187,"&gt;="&amp;$F414)&gt;0,"No","Yes"))))))))</f>
        <v/>
      </c>
      <c r="K414" s="758"/>
      <c r="L414" s="689" t="str">
        <f t="shared" ref="L414" si="260">IF(OR($A414="",$D414=""),"",IF($J300&lt;&gt;"no","site-wide analysis not necessary",IF($J300="no",IF($D414="no","site-wide analysis not allowed",IF($D414="yes",IF(ISTEXT($H414),IF(OR($H414="no value",$H414="simple asphyxiant"),"site-wide analysis not needed","evaluated in section IV"),IF($D414="yes",IF(COUNTIF($O187,"&gt;="&amp;$H414)&gt;0,"No","Yes"))))))))</f>
        <v/>
      </c>
      <c r="M414" s="758"/>
      <c r="N414" s="689" t="str">
        <f t="shared" ref="N414" si="261">IF(OR($D414="",$J414="",$L414=""),"",IF($K300="proceed to site-wide analysis for this species",IF(AND($J414&lt;&gt;"no",$L414&lt;&gt;"no"),"no additional steps required","revise data on previous sheets"),$K300))</f>
        <v/>
      </c>
      <c r="O414" s="691"/>
    </row>
    <row r="415" spans="1:15" ht="30" customHeight="1" x14ac:dyDescent="0.2">
      <c r="A415" s="9" t="str">
        <f t="shared" si="221"/>
        <v/>
      </c>
      <c r="B415" s="531" t="str">
        <f t="shared" si="222"/>
        <v/>
      </c>
      <c r="C415" s="531"/>
      <c r="D415" s="689" t="str">
        <f t="shared" si="223"/>
        <v/>
      </c>
      <c r="E415" s="758"/>
      <c r="F415" s="689" t="str">
        <f t="shared" si="224"/>
        <v/>
      </c>
      <c r="G415" s="758"/>
      <c r="H415" s="689" t="str">
        <f t="shared" si="225"/>
        <v/>
      </c>
      <c r="I415" s="758"/>
      <c r="J415" s="689" t="str">
        <f t="shared" ref="J415" si="262">IF(OR($A415="",$D415=""),"",IF($I301&lt;&gt;"no","site-wide analysis not necessary",IF($I301="no",IF($D415="no","site-wide analysis not allowed",IF($D415="yes",IF(ISTEXT($F415),IF(OR($F415="no value",$F415="simple asphyxiant"),"site-wide analysis not needed","evaluated in section IV"),IF($D415="yes",IF(COUNTIF($I188:$N188,"&gt;="&amp;$F415)&gt;0,"No","Yes"))))))))</f>
        <v/>
      </c>
      <c r="K415" s="758"/>
      <c r="L415" s="689" t="str">
        <f t="shared" ref="L415" si="263">IF(OR($A415="",$D415=""),"",IF($J301&lt;&gt;"no","site-wide analysis not necessary",IF($J301="no",IF($D415="no","site-wide analysis not allowed",IF($D415="yes",IF(ISTEXT($H415),IF(OR($H415="no value",$H415="simple asphyxiant"),"site-wide analysis not needed","evaluated in section IV"),IF($D415="yes",IF(COUNTIF($O188,"&gt;="&amp;$H415)&gt;0,"No","Yes"))))))))</f>
        <v/>
      </c>
      <c r="M415" s="758"/>
      <c r="N415" s="689" t="str">
        <f t="shared" ref="N415" si="264">IF(OR($D415="",$J415="",$L415=""),"",IF($K301="proceed to site-wide analysis for this species",IF(AND($J415&lt;&gt;"no",$L415&lt;&gt;"no"),"no additional steps required","revise data on previous sheets"),$K301))</f>
        <v/>
      </c>
      <c r="O415" s="691"/>
    </row>
    <row r="416" spans="1:15" ht="30" customHeight="1" x14ac:dyDescent="0.2">
      <c r="A416" s="9" t="str">
        <f t="shared" si="221"/>
        <v/>
      </c>
      <c r="B416" s="531" t="str">
        <f t="shared" si="222"/>
        <v/>
      </c>
      <c r="C416" s="531"/>
      <c r="D416" s="689" t="str">
        <f t="shared" si="223"/>
        <v/>
      </c>
      <c r="E416" s="758"/>
      <c r="F416" s="689" t="str">
        <f t="shared" si="224"/>
        <v/>
      </c>
      <c r="G416" s="758"/>
      <c r="H416" s="689" t="str">
        <f t="shared" si="225"/>
        <v/>
      </c>
      <c r="I416" s="758"/>
      <c r="J416" s="689" t="str">
        <f t="shared" ref="J416" si="265">IF(OR($A416="",$D416=""),"",IF($I302&lt;&gt;"no","site-wide analysis not necessary",IF($I302="no",IF($D416="no","site-wide analysis not allowed",IF($D416="yes",IF(ISTEXT($F416),IF(OR($F416="no value",$F416="simple asphyxiant"),"site-wide analysis not needed","evaluated in section IV"),IF($D416="yes",IF(COUNTIF($I189:$N189,"&gt;="&amp;$F416)&gt;0,"No","Yes"))))))))</f>
        <v/>
      </c>
      <c r="K416" s="758"/>
      <c r="L416" s="689" t="str">
        <f t="shared" ref="L416" si="266">IF(OR($A416="",$D416=""),"",IF($J302&lt;&gt;"no","site-wide analysis not necessary",IF($J302="no",IF($D416="no","site-wide analysis not allowed",IF($D416="yes",IF(ISTEXT($H416),IF(OR($H416="no value",$H416="simple asphyxiant"),"site-wide analysis not needed","evaluated in section IV"),IF($D416="yes",IF(COUNTIF($O189,"&gt;="&amp;$H416)&gt;0,"No","Yes"))))))))</f>
        <v/>
      </c>
      <c r="M416" s="758"/>
      <c r="N416" s="689" t="str">
        <f t="shared" ref="N416" si="267">IF(OR($D416="",$J416="",$L416=""),"",IF($K302="proceed to site-wide analysis for this species",IF(AND($J416&lt;&gt;"no",$L416&lt;&gt;"no"),"no additional steps required","revise data on previous sheets"),$K302))</f>
        <v/>
      </c>
      <c r="O416" s="691"/>
    </row>
    <row r="417" spans="1:15" ht="30" customHeight="1" x14ac:dyDescent="0.2">
      <c r="A417" s="9" t="str">
        <f t="shared" si="221"/>
        <v/>
      </c>
      <c r="B417" s="531" t="str">
        <f t="shared" si="222"/>
        <v/>
      </c>
      <c r="C417" s="531"/>
      <c r="D417" s="689" t="str">
        <f t="shared" si="223"/>
        <v/>
      </c>
      <c r="E417" s="758"/>
      <c r="F417" s="689" t="str">
        <f t="shared" si="224"/>
        <v/>
      </c>
      <c r="G417" s="758"/>
      <c r="H417" s="689" t="str">
        <f t="shared" si="225"/>
        <v/>
      </c>
      <c r="I417" s="758"/>
      <c r="J417" s="689" t="str">
        <f t="shared" ref="J417" si="268">IF(OR($A417="",$D417=""),"",IF($I303&lt;&gt;"no","site-wide analysis not necessary",IF($I303="no",IF($D417="no","site-wide analysis not allowed",IF($D417="yes",IF(ISTEXT($F417),IF(OR($F417="no value",$F417="simple asphyxiant"),"site-wide analysis not needed","evaluated in section IV"),IF($D417="yes",IF(COUNTIF($I190:$N190,"&gt;="&amp;$F417)&gt;0,"No","Yes"))))))))</f>
        <v/>
      </c>
      <c r="K417" s="758"/>
      <c r="L417" s="689" t="str">
        <f t="shared" ref="L417" si="269">IF(OR($A417="",$D417=""),"",IF($J303&lt;&gt;"no","site-wide analysis not necessary",IF($J303="no",IF($D417="no","site-wide analysis not allowed",IF($D417="yes",IF(ISTEXT($H417),IF(OR($H417="no value",$H417="simple asphyxiant"),"site-wide analysis not needed","evaluated in section IV"),IF($D417="yes",IF(COUNTIF($O190,"&gt;="&amp;$H417)&gt;0,"No","Yes"))))))))</f>
        <v/>
      </c>
      <c r="M417" s="758"/>
      <c r="N417" s="689" t="str">
        <f t="shared" ref="N417" si="270">IF(OR($D417="",$J417="",$L417=""),"",IF($K303="proceed to site-wide analysis for this species",IF(AND($J417&lt;&gt;"no",$L417&lt;&gt;"no"),"no additional steps required","revise data on previous sheets"),$K303))</f>
        <v/>
      </c>
      <c r="O417" s="691"/>
    </row>
    <row r="418" spans="1:15" ht="30" customHeight="1" x14ac:dyDescent="0.2">
      <c r="A418" s="9" t="str">
        <f t="shared" si="221"/>
        <v/>
      </c>
      <c r="B418" s="531" t="str">
        <f t="shared" si="222"/>
        <v/>
      </c>
      <c r="C418" s="531"/>
      <c r="D418" s="689" t="str">
        <f t="shared" si="223"/>
        <v/>
      </c>
      <c r="E418" s="758"/>
      <c r="F418" s="689" t="str">
        <f t="shared" si="224"/>
        <v/>
      </c>
      <c r="G418" s="758"/>
      <c r="H418" s="689" t="str">
        <f t="shared" si="225"/>
        <v/>
      </c>
      <c r="I418" s="758"/>
      <c r="J418" s="689" t="str">
        <f t="shared" ref="J418" si="271">IF(OR($A418="",$D418=""),"",IF($I304&lt;&gt;"no","site-wide analysis not necessary",IF($I304="no",IF($D418="no","site-wide analysis not allowed",IF($D418="yes",IF(ISTEXT($F418),IF(OR($F418="no value",$F418="simple asphyxiant"),"site-wide analysis not needed","evaluated in section IV"),IF($D418="yes",IF(COUNTIF($I191:$N191,"&gt;="&amp;$F418)&gt;0,"No","Yes"))))))))</f>
        <v/>
      </c>
      <c r="K418" s="758"/>
      <c r="L418" s="689" t="str">
        <f t="shared" ref="L418" si="272">IF(OR($A418="",$D418=""),"",IF($J304&lt;&gt;"no","site-wide analysis not necessary",IF($J304="no",IF($D418="no","site-wide analysis not allowed",IF($D418="yes",IF(ISTEXT($H418),IF(OR($H418="no value",$H418="simple asphyxiant"),"site-wide analysis not needed","evaluated in section IV"),IF($D418="yes",IF(COUNTIF($O191,"&gt;="&amp;$H418)&gt;0,"No","Yes"))))))))</f>
        <v/>
      </c>
      <c r="M418" s="758"/>
      <c r="N418" s="689" t="str">
        <f t="shared" ref="N418" si="273">IF(OR($D418="",$J418="",$L418=""),"",IF($K304="proceed to site-wide analysis for this species",IF(AND($J418&lt;&gt;"no",$L418&lt;&gt;"no"),"no additional steps required","revise data on previous sheets"),$K304))</f>
        <v/>
      </c>
      <c r="O418" s="691"/>
    </row>
    <row r="419" spans="1:15" ht="30" customHeight="1" x14ac:dyDescent="0.2">
      <c r="A419" s="9" t="str">
        <f t="shared" si="221"/>
        <v/>
      </c>
      <c r="B419" s="531" t="str">
        <f t="shared" si="222"/>
        <v/>
      </c>
      <c r="C419" s="531"/>
      <c r="D419" s="689" t="str">
        <f t="shared" si="223"/>
        <v/>
      </c>
      <c r="E419" s="758"/>
      <c r="F419" s="689" t="str">
        <f t="shared" si="224"/>
        <v/>
      </c>
      <c r="G419" s="758"/>
      <c r="H419" s="689" t="str">
        <f t="shared" si="225"/>
        <v/>
      </c>
      <c r="I419" s="758"/>
      <c r="J419" s="689" t="str">
        <f t="shared" ref="J419" si="274">IF(OR($A419="",$D419=""),"",IF($I305&lt;&gt;"no","site-wide analysis not necessary",IF($I305="no",IF($D419="no","site-wide analysis not allowed",IF($D419="yes",IF(ISTEXT($F419),IF(OR($F419="no value",$F419="simple asphyxiant"),"site-wide analysis not needed","evaluated in section IV"),IF($D419="yes",IF(COUNTIF($I192:$N192,"&gt;="&amp;$F419)&gt;0,"No","Yes"))))))))</f>
        <v/>
      </c>
      <c r="K419" s="758"/>
      <c r="L419" s="689" t="str">
        <f t="shared" ref="L419" si="275">IF(OR($A419="",$D419=""),"",IF($J305&lt;&gt;"no","site-wide analysis not necessary",IF($J305="no",IF($D419="no","site-wide analysis not allowed",IF($D419="yes",IF(ISTEXT($H419),IF(OR($H419="no value",$H419="simple asphyxiant"),"site-wide analysis not needed","evaluated in section IV"),IF($D419="yes",IF(COUNTIF($O192,"&gt;="&amp;$H419)&gt;0,"No","Yes"))))))))</f>
        <v/>
      </c>
      <c r="M419" s="758"/>
      <c r="N419" s="689" t="str">
        <f t="shared" ref="N419" si="276">IF(OR($D419="",$J419="",$L419=""),"",IF($K305="proceed to site-wide analysis for this species",IF(AND($J419&lt;&gt;"no",$L419&lt;&gt;"no"),"no additional steps required","revise data on previous sheets"),$K305))</f>
        <v/>
      </c>
      <c r="O419" s="691"/>
    </row>
    <row r="420" spans="1:15" ht="30" customHeight="1" x14ac:dyDescent="0.2">
      <c r="A420" s="9" t="str">
        <f t="shared" si="221"/>
        <v/>
      </c>
      <c r="B420" s="531" t="str">
        <f t="shared" si="222"/>
        <v/>
      </c>
      <c r="C420" s="531"/>
      <c r="D420" s="689" t="str">
        <f t="shared" si="223"/>
        <v/>
      </c>
      <c r="E420" s="758"/>
      <c r="F420" s="689" t="str">
        <f t="shared" si="224"/>
        <v/>
      </c>
      <c r="G420" s="758"/>
      <c r="H420" s="689" t="str">
        <f t="shared" si="225"/>
        <v/>
      </c>
      <c r="I420" s="758"/>
      <c r="J420" s="689" t="str">
        <f t="shared" ref="J420" si="277">IF(OR($A420="",$D420=""),"",IF($I306&lt;&gt;"no","site-wide analysis not necessary",IF($I306="no",IF($D420="no","site-wide analysis not allowed",IF($D420="yes",IF(ISTEXT($F420),IF(OR($F420="no value",$F420="simple asphyxiant"),"site-wide analysis not needed","evaluated in section IV"),IF($D420="yes",IF(COUNTIF($I193:$N193,"&gt;="&amp;$F420)&gt;0,"No","Yes"))))))))</f>
        <v/>
      </c>
      <c r="K420" s="758"/>
      <c r="L420" s="689" t="str">
        <f t="shared" ref="L420" si="278">IF(OR($A420="",$D420=""),"",IF($J306&lt;&gt;"no","site-wide analysis not necessary",IF($J306="no",IF($D420="no","site-wide analysis not allowed",IF($D420="yes",IF(ISTEXT($H420),IF(OR($H420="no value",$H420="simple asphyxiant"),"site-wide analysis not needed","evaluated in section IV"),IF($D420="yes",IF(COUNTIF($O193,"&gt;="&amp;$H420)&gt;0,"No","Yes"))))))))</f>
        <v/>
      </c>
      <c r="M420" s="758"/>
      <c r="N420" s="689" t="str">
        <f t="shared" ref="N420" si="279">IF(OR($D420="",$J420="",$L420=""),"",IF($K306="proceed to site-wide analysis for this species",IF(AND($J420&lt;&gt;"no",$L420&lt;&gt;"no"),"no additional steps required","revise data on previous sheets"),$K306))</f>
        <v/>
      </c>
      <c r="O420" s="691"/>
    </row>
    <row r="421" spans="1:15" ht="30" customHeight="1" x14ac:dyDescent="0.2">
      <c r="A421" s="9" t="str">
        <f t="shared" si="221"/>
        <v/>
      </c>
      <c r="B421" s="531" t="str">
        <f t="shared" si="222"/>
        <v/>
      </c>
      <c r="C421" s="531"/>
      <c r="D421" s="689" t="str">
        <f t="shared" si="223"/>
        <v/>
      </c>
      <c r="E421" s="758"/>
      <c r="F421" s="689" t="str">
        <f t="shared" si="224"/>
        <v/>
      </c>
      <c r="G421" s="758"/>
      <c r="H421" s="689" t="str">
        <f t="shared" si="225"/>
        <v/>
      </c>
      <c r="I421" s="758"/>
      <c r="J421" s="689" t="str">
        <f t="shared" ref="J421" si="280">IF(OR($A421="",$D421=""),"",IF($I307&lt;&gt;"no","site-wide analysis not necessary",IF($I307="no",IF($D421="no","site-wide analysis not allowed",IF($D421="yes",IF(ISTEXT($F421),IF(OR($F421="no value",$F421="simple asphyxiant"),"site-wide analysis not needed","evaluated in section IV"),IF($D421="yes",IF(COUNTIF($I194:$N194,"&gt;="&amp;$F421)&gt;0,"No","Yes"))))))))</f>
        <v/>
      </c>
      <c r="K421" s="758"/>
      <c r="L421" s="689" t="str">
        <f t="shared" ref="L421" si="281">IF(OR($A421="",$D421=""),"",IF($J307&lt;&gt;"no","site-wide analysis not necessary",IF($J307="no",IF($D421="no","site-wide analysis not allowed",IF($D421="yes",IF(ISTEXT($H421),IF(OR($H421="no value",$H421="simple asphyxiant"),"site-wide analysis not needed","evaluated in section IV"),IF($D421="yes",IF(COUNTIF($O194,"&gt;="&amp;$H421)&gt;0,"No","Yes"))))))))</f>
        <v/>
      </c>
      <c r="M421" s="758"/>
      <c r="N421" s="689" t="str">
        <f t="shared" ref="N421" si="282">IF(OR($D421="",$J421="",$L421=""),"",IF($K307="proceed to site-wide analysis for this species",IF(AND($J421&lt;&gt;"no",$L421&lt;&gt;"no"),"no additional steps required","revise data on previous sheets"),$K307))</f>
        <v/>
      </c>
      <c r="O421" s="691"/>
    </row>
    <row r="422" spans="1:15" ht="30" customHeight="1" x14ac:dyDescent="0.2">
      <c r="A422" s="9" t="str">
        <f t="shared" si="221"/>
        <v/>
      </c>
      <c r="B422" s="531" t="str">
        <f t="shared" si="222"/>
        <v/>
      </c>
      <c r="C422" s="531"/>
      <c r="D422" s="689" t="str">
        <f t="shared" si="223"/>
        <v/>
      </c>
      <c r="E422" s="758"/>
      <c r="F422" s="689" t="str">
        <f t="shared" si="224"/>
        <v/>
      </c>
      <c r="G422" s="758"/>
      <c r="H422" s="689" t="str">
        <f t="shared" si="225"/>
        <v/>
      </c>
      <c r="I422" s="758"/>
      <c r="J422" s="689" t="str">
        <f t="shared" ref="J422" si="283">IF(OR($A422="",$D422=""),"",IF($I308&lt;&gt;"no","site-wide analysis not necessary",IF($I308="no",IF($D422="no","site-wide analysis not allowed",IF($D422="yes",IF(ISTEXT($F422),IF(OR($F422="no value",$F422="simple asphyxiant"),"site-wide analysis not needed","evaluated in section IV"),IF($D422="yes",IF(COUNTIF($I195:$N195,"&gt;="&amp;$F422)&gt;0,"No","Yes"))))))))</f>
        <v/>
      </c>
      <c r="K422" s="758"/>
      <c r="L422" s="689" t="str">
        <f t="shared" ref="L422" si="284">IF(OR($A422="",$D422=""),"",IF($J308&lt;&gt;"no","site-wide analysis not necessary",IF($J308="no",IF($D422="no","site-wide analysis not allowed",IF($D422="yes",IF(ISTEXT($H422),IF(OR($H422="no value",$H422="simple asphyxiant"),"site-wide analysis not needed","evaluated in section IV"),IF($D422="yes",IF(COUNTIF($O195,"&gt;="&amp;$H422)&gt;0,"No","Yes"))))))))</f>
        <v/>
      </c>
      <c r="M422" s="758"/>
      <c r="N422" s="689" t="str">
        <f t="shared" ref="N422" si="285">IF(OR($D422="",$J422="",$L422=""),"",IF($K308="proceed to site-wide analysis for this species",IF(AND($J422&lt;&gt;"no",$L422&lt;&gt;"no"),"no additional steps required","revise data on previous sheets"),$K308))</f>
        <v/>
      </c>
      <c r="O422" s="691"/>
    </row>
    <row r="423" spans="1:15" ht="30" customHeight="1" x14ac:dyDescent="0.2">
      <c r="A423" s="9" t="str">
        <f t="shared" si="221"/>
        <v/>
      </c>
      <c r="B423" s="531" t="str">
        <f t="shared" si="222"/>
        <v/>
      </c>
      <c r="C423" s="531"/>
      <c r="D423" s="689" t="str">
        <f t="shared" si="223"/>
        <v/>
      </c>
      <c r="E423" s="758"/>
      <c r="F423" s="689" t="str">
        <f t="shared" si="224"/>
        <v/>
      </c>
      <c r="G423" s="758"/>
      <c r="H423" s="689" t="str">
        <f t="shared" si="225"/>
        <v/>
      </c>
      <c r="I423" s="758"/>
      <c r="J423" s="689" t="str">
        <f t="shared" ref="J423" si="286">IF(OR($A423="",$D423=""),"",IF($I309&lt;&gt;"no","site-wide analysis not necessary",IF($I309="no",IF($D423="no","site-wide analysis not allowed",IF($D423="yes",IF(ISTEXT($F423),IF(OR($F423="no value",$F423="simple asphyxiant"),"site-wide analysis not needed","evaluated in section IV"),IF($D423="yes",IF(COUNTIF($I196:$N196,"&gt;="&amp;$F423)&gt;0,"No","Yes"))))))))</f>
        <v/>
      </c>
      <c r="K423" s="758"/>
      <c r="L423" s="689" t="str">
        <f t="shared" ref="L423" si="287">IF(OR($A423="",$D423=""),"",IF($J309&lt;&gt;"no","site-wide analysis not necessary",IF($J309="no",IF($D423="no","site-wide analysis not allowed",IF($D423="yes",IF(ISTEXT($H423),IF(OR($H423="no value",$H423="simple asphyxiant"),"site-wide analysis not needed","evaluated in section IV"),IF($D423="yes",IF(COUNTIF($O196,"&gt;="&amp;$H423)&gt;0,"No","Yes"))))))))</f>
        <v/>
      </c>
      <c r="M423" s="758"/>
      <c r="N423" s="689" t="str">
        <f t="shared" ref="N423" si="288">IF(OR($D423="",$J423="",$L423=""),"",IF($K309="proceed to site-wide analysis for this species",IF(AND($J423&lt;&gt;"no",$L423&lt;&gt;"no"),"no additional steps required","revise data on previous sheets"),$K309))</f>
        <v/>
      </c>
      <c r="O423" s="691"/>
    </row>
    <row r="424" spans="1:15" ht="30" customHeight="1" x14ac:dyDescent="0.2">
      <c r="A424" s="9" t="str">
        <f t="shared" si="221"/>
        <v/>
      </c>
      <c r="B424" s="531" t="str">
        <f t="shared" si="222"/>
        <v/>
      </c>
      <c r="C424" s="531"/>
      <c r="D424" s="689" t="str">
        <f t="shared" si="223"/>
        <v/>
      </c>
      <c r="E424" s="758"/>
      <c r="F424" s="689" t="str">
        <f t="shared" si="224"/>
        <v/>
      </c>
      <c r="G424" s="758"/>
      <c r="H424" s="689" t="str">
        <f t="shared" si="225"/>
        <v/>
      </c>
      <c r="I424" s="758"/>
      <c r="J424" s="689" t="str">
        <f t="shared" ref="J424" si="289">IF(OR($A424="",$D424=""),"",IF($I310&lt;&gt;"no","site-wide analysis not necessary",IF($I310="no",IF($D424="no","site-wide analysis not allowed",IF($D424="yes",IF(ISTEXT($F424),IF(OR($F424="no value",$F424="simple asphyxiant"),"site-wide analysis not needed","evaluated in section IV"),IF($D424="yes",IF(COUNTIF($I197:$N197,"&gt;="&amp;$F424)&gt;0,"No","Yes"))))))))</f>
        <v/>
      </c>
      <c r="K424" s="758"/>
      <c r="L424" s="689" t="str">
        <f t="shared" ref="L424" si="290">IF(OR($A424="",$D424=""),"",IF($J310&lt;&gt;"no","site-wide analysis not necessary",IF($J310="no",IF($D424="no","site-wide analysis not allowed",IF($D424="yes",IF(ISTEXT($H424),IF(OR($H424="no value",$H424="simple asphyxiant"),"site-wide analysis not needed","evaluated in section IV"),IF($D424="yes",IF(COUNTIF($O197,"&gt;="&amp;$H424)&gt;0,"No","Yes"))))))))</f>
        <v/>
      </c>
      <c r="M424" s="758"/>
      <c r="N424" s="689" t="str">
        <f t="shared" ref="N424" si="291">IF(OR($D424="",$J424="",$L424=""),"",IF($K310="proceed to site-wide analysis for this species",IF(AND($J424&lt;&gt;"no",$L424&lt;&gt;"no"),"no additional steps required","revise data on previous sheets"),$K310))</f>
        <v/>
      </c>
      <c r="O424" s="691"/>
    </row>
    <row r="425" spans="1:15" ht="30" customHeight="1" x14ac:dyDescent="0.2">
      <c r="A425" s="9" t="str">
        <f t="shared" si="221"/>
        <v/>
      </c>
      <c r="B425" s="531" t="str">
        <f t="shared" si="222"/>
        <v/>
      </c>
      <c r="C425" s="531"/>
      <c r="D425" s="689" t="str">
        <f t="shared" si="223"/>
        <v/>
      </c>
      <c r="E425" s="758"/>
      <c r="F425" s="689" t="str">
        <f t="shared" si="224"/>
        <v/>
      </c>
      <c r="G425" s="758"/>
      <c r="H425" s="689" t="str">
        <f t="shared" si="225"/>
        <v/>
      </c>
      <c r="I425" s="758"/>
      <c r="J425" s="689" t="str">
        <f t="shared" ref="J425" si="292">IF(OR($A425="",$D425=""),"",IF($I311&lt;&gt;"no","site-wide analysis not necessary",IF($I311="no",IF($D425="no","site-wide analysis not allowed",IF($D425="yes",IF(ISTEXT($F425),IF(OR($F425="no value",$F425="simple asphyxiant"),"site-wide analysis not needed","evaluated in section IV"),IF($D425="yes",IF(COUNTIF($I198:$N198,"&gt;="&amp;$F425)&gt;0,"No","Yes"))))))))</f>
        <v/>
      </c>
      <c r="K425" s="758"/>
      <c r="L425" s="689" t="str">
        <f t="shared" ref="L425" si="293">IF(OR($A425="",$D425=""),"",IF($J311&lt;&gt;"no","site-wide analysis not necessary",IF($J311="no",IF($D425="no","site-wide analysis not allowed",IF($D425="yes",IF(ISTEXT($H425),IF(OR($H425="no value",$H425="simple asphyxiant"),"site-wide analysis not needed","evaluated in section IV"),IF($D425="yes",IF(COUNTIF($O198,"&gt;="&amp;$H425)&gt;0,"No","Yes"))))))))</f>
        <v/>
      </c>
      <c r="M425" s="758"/>
      <c r="N425" s="689" t="str">
        <f t="shared" ref="N425" si="294">IF(OR($D425="",$J425="",$L425=""),"",IF($K311="proceed to site-wide analysis for this species",IF(AND($J425&lt;&gt;"no",$L425&lt;&gt;"no"),"no additional steps required","revise data on previous sheets"),$K311))</f>
        <v/>
      </c>
      <c r="O425" s="691"/>
    </row>
    <row r="426" spans="1:15" ht="30" customHeight="1" x14ac:dyDescent="0.2">
      <c r="A426" s="9" t="str">
        <f t="shared" si="221"/>
        <v/>
      </c>
      <c r="B426" s="531" t="str">
        <f t="shared" si="222"/>
        <v/>
      </c>
      <c r="C426" s="531"/>
      <c r="D426" s="689" t="str">
        <f t="shared" si="223"/>
        <v/>
      </c>
      <c r="E426" s="758"/>
      <c r="F426" s="689" t="str">
        <f t="shared" si="224"/>
        <v/>
      </c>
      <c r="G426" s="758"/>
      <c r="H426" s="689" t="str">
        <f t="shared" si="225"/>
        <v/>
      </c>
      <c r="I426" s="758"/>
      <c r="J426" s="689" t="str">
        <f t="shared" ref="J426" si="295">IF(OR($A426="",$D426=""),"",IF($I312&lt;&gt;"no","site-wide analysis not necessary",IF($I312="no",IF($D426="no","site-wide analysis not allowed",IF($D426="yes",IF(ISTEXT($F426),IF(OR($F426="no value",$F426="simple asphyxiant"),"site-wide analysis not needed","evaluated in section IV"),IF($D426="yes",IF(COUNTIF($I199:$N199,"&gt;="&amp;$F426)&gt;0,"No","Yes"))))))))</f>
        <v/>
      </c>
      <c r="K426" s="758"/>
      <c r="L426" s="689" t="str">
        <f t="shared" ref="L426" si="296">IF(OR($A426="",$D426=""),"",IF($J312&lt;&gt;"no","site-wide analysis not necessary",IF($J312="no",IF($D426="no","site-wide analysis not allowed",IF($D426="yes",IF(ISTEXT($H426),IF(OR($H426="no value",$H426="simple asphyxiant"),"site-wide analysis not needed","evaluated in section IV"),IF($D426="yes",IF(COUNTIF($O199,"&gt;="&amp;$H426)&gt;0,"No","Yes"))))))))</f>
        <v/>
      </c>
      <c r="M426" s="758"/>
      <c r="N426" s="689" t="str">
        <f t="shared" ref="N426" si="297">IF(OR($D426="",$J426="",$L426=""),"",IF($K312="proceed to site-wide analysis for this species",IF(AND($J426&lt;&gt;"no",$L426&lt;&gt;"no"),"no additional steps required","revise data on previous sheets"),$K312))</f>
        <v/>
      </c>
      <c r="O426" s="691"/>
    </row>
    <row r="427" spans="1:15" ht="30" customHeight="1" x14ac:dyDescent="0.2">
      <c r="A427" s="9" t="str">
        <f t="shared" si="221"/>
        <v/>
      </c>
      <c r="B427" s="531" t="str">
        <f t="shared" si="222"/>
        <v/>
      </c>
      <c r="C427" s="531"/>
      <c r="D427" s="689" t="str">
        <f t="shared" si="223"/>
        <v/>
      </c>
      <c r="E427" s="758"/>
      <c r="F427" s="689" t="str">
        <f t="shared" si="224"/>
        <v/>
      </c>
      <c r="G427" s="758"/>
      <c r="H427" s="689" t="str">
        <f t="shared" si="225"/>
        <v/>
      </c>
      <c r="I427" s="758"/>
      <c r="J427" s="689" t="str">
        <f t="shared" ref="J427" si="298">IF(OR($A427="",$D427=""),"",IF($I313&lt;&gt;"no","site-wide analysis not necessary",IF($I313="no",IF($D427="no","site-wide analysis not allowed",IF($D427="yes",IF(ISTEXT($F427),IF(OR($F427="no value",$F427="simple asphyxiant"),"site-wide analysis not needed","evaluated in section IV"),IF($D427="yes",IF(COUNTIF($I200:$N200,"&gt;="&amp;$F427)&gt;0,"No","Yes"))))))))</f>
        <v/>
      </c>
      <c r="K427" s="758"/>
      <c r="L427" s="689" t="str">
        <f t="shared" ref="L427" si="299">IF(OR($A427="",$D427=""),"",IF($J313&lt;&gt;"no","site-wide analysis not necessary",IF($J313="no",IF($D427="no","site-wide analysis not allowed",IF($D427="yes",IF(ISTEXT($H427),IF(OR($H427="no value",$H427="simple asphyxiant"),"site-wide analysis not needed","evaluated in section IV"),IF($D427="yes",IF(COUNTIF($O200,"&gt;="&amp;$H427)&gt;0,"No","Yes"))))))))</f>
        <v/>
      </c>
      <c r="M427" s="758"/>
      <c r="N427" s="689" t="str">
        <f t="shared" ref="N427" si="300">IF(OR($D427="",$J427="",$L427=""),"",IF($K313="proceed to site-wide analysis for this species",IF(AND($J427&lt;&gt;"no",$L427&lt;&gt;"no"),"no additional steps required","revise data on previous sheets"),$K313))</f>
        <v/>
      </c>
      <c r="O427" s="691"/>
    </row>
    <row r="428" spans="1:15" ht="30" customHeight="1" x14ac:dyDescent="0.2">
      <c r="A428" s="9" t="str">
        <f t="shared" si="221"/>
        <v/>
      </c>
      <c r="B428" s="531" t="str">
        <f t="shared" si="222"/>
        <v/>
      </c>
      <c r="C428" s="531"/>
      <c r="D428" s="689" t="str">
        <f t="shared" si="223"/>
        <v/>
      </c>
      <c r="E428" s="758"/>
      <c r="F428" s="689" t="str">
        <f t="shared" si="224"/>
        <v/>
      </c>
      <c r="G428" s="758"/>
      <c r="H428" s="689" t="str">
        <f t="shared" si="225"/>
        <v/>
      </c>
      <c r="I428" s="758"/>
      <c r="J428" s="689" t="str">
        <f t="shared" ref="J428" si="301">IF(OR($A428="",$D428=""),"",IF($I314&lt;&gt;"no","site-wide analysis not necessary",IF($I314="no",IF($D428="no","site-wide analysis not allowed",IF($D428="yes",IF(ISTEXT($F428),IF(OR($F428="no value",$F428="simple asphyxiant"),"site-wide analysis not needed","evaluated in section IV"),IF($D428="yes",IF(COUNTIF($I201:$N201,"&gt;="&amp;$F428)&gt;0,"No","Yes"))))))))</f>
        <v/>
      </c>
      <c r="K428" s="758"/>
      <c r="L428" s="689" t="str">
        <f t="shared" ref="L428" si="302">IF(OR($A428="",$D428=""),"",IF($J314&lt;&gt;"no","site-wide analysis not necessary",IF($J314="no",IF($D428="no","site-wide analysis not allowed",IF($D428="yes",IF(ISTEXT($H428),IF(OR($H428="no value",$H428="simple asphyxiant"),"site-wide analysis not needed","evaluated in section IV"),IF($D428="yes",IF(COUNTIF($O201,"&gt;="&amp;$H428)&gt;0,"No","Yes"))))))))</f>
        <v/>
      </c>
      <c r="M428" s="758"/>
      <c r="N428" s="689" t="str">
        <f t="shared" ref="N428" si="303">IF(OR($D428="",$J428="",$L428=""),"",IF($K314="proceed to site-wide analysis for this species",IF(AND($J428&lt;&gt;"no",$L428&lt;&gt;"no"),"no additional steps required","revise data on previous sheets"),$K314))</f>
        <v/>
      </c>
      <c r="O428" s="691"/>
    </row>
    <row r="429" spans="1:15" ht="30" customHeight="1" x14ac:dyDescent="0.2">
      <c r="A429" s="9" t="str">
        <f t="shared" si="221"/>
        <v/>
      </c>
      <c r="B429" s="531" t="str">
        <f t="shared" si="222"/>
        <v/>
      </c>
      <c r="C429" s="531"/>
      <c r="D429" s="689" t="str">
        <f t="shared" si="223"/>
        <v/>
      </c>
      <c r="E429" s="758"/>
      <c r="F429" s="689" t="str">
        <f t="shared" si="224"/>
        <v/>
      </c>
      <c r="G429" s="758"/>
      <c r="H429" s="689" t="str">
        <f t="shared" si="225"/>
        <v/>
      </c>
      <c r="I429" s="758"/>
      <c r="J429" s="689" t="str">
        <f t="shared" ref="J429" si="304">IF(OR($A429="",$D429=""),"",IF($I315&lt;&gt;"no","site-wide analysis not necessary",IF($I315="no",IF($D429="no","site-wide analysis not allowed",IF($D429="yes",IF(ISTEXT($F429),IF(OR($F429="no value",$F429="simple asphyxiant"),"site-wide analysis not needed","evaluated in section IV"),IF($D429="yes",IF(COUNTIF($I202:$N202,"&gt;="&amp;$F429)&gt;0,"No","Yes"))))))))</f>
        <v/>
      </c>
      <c r="K429" s="758"/>
      <c r="L429" s="689" t="str">
        <f t="shared" ref="L429" si="305">IF(OR($A429="",$D429=""),"",IF($J315&lt;&gt;"no","site-wide analysis not necessary",IF($J315="no",IF($D429="no","site-wide analysis not allowed",IF($D429="yes",IF(ISTEXT($H429),IF(OR($H429="no value",$H429="simple asphyxiant"),"site-wide analysis not needed","evaluated in section IV"),IF($D429="yes",IF(COUNTIF($O202,"&gt;="&amp;$H429)&gt;0,"No","Yes"))))))))</f>
        <v/>
      </c>
      <c r="M429" s="758"/>
      <c r="N429" s="689" t="str">
        <f t="shared" ref="N429" si="306">IF(OR($D429="",$J429="",$L429=""),"",IF($K315="proceed to site-wide analysis for this species",IF(AND($J429&lt;&gt;"no",$L429&lt;&gt;"no"),"no additional steps required","revise data on previous sheets"),$K315))</f>
        <v/>
      </c>
      <c r="O429" s="691"/>
    </row>
    <row r="430" spans="1:15" ht="30" customHeight="1" x14ac:dyDescent="0.2">
      <c r="A430" s="9" t="str">
        <f t="shared" si="221"/>
        <v/>
      </c>
      <c r="B430" s="531" t="str">
        <f t="shared" si="222"/>
        <v/>
      </c>
      <c r="C430" s="531"/>
      <c r="D430" s="689" t="str">
        <f t="shared" si="223"/>
        <v/>
      </c>
      <c r="E430" s="758"/>
      <c r="F430" s="689" t="str">
        <f t="shared" si="224"/>
        <v/>
      </c>
      <c r="G430" s="758"/>
      <c r="H430" s="689" t="str">
        <f t="shared" si="225"/>
        <v/>
      </c>
      <c r="I430" s="758"/>
      <c r="J430" s="689" t="str">
        <f t="shared" ref="J430" si="307">IF(OR($A430="",$D430=""),"",IF($I316&lt;&gt;"no","site-wide analysis not necessary",IF($I316="no",IF($D430="no","site-wide analysis not allowed",IF($D430="yes",IF(ISTEXT($F430),IF(OR($F430="no value",$F430="simple asphyxiant"),"site-wide analysis not needed","evaluated in section IV"),IF($D430="yes",IF(COUNTIF($I203:$N203,"&gt;="&amp;$F430)&gt;0,"No","Yes"))))))))</f>
        <v/>
      </c>
      <c r="K430" s="758"/>
      <c r="L430" s="689" t="str">
        <f t="shared" ref="L430" si="308">IF(OR($A430="",$D430=""),"",IF($J316&lt;&gt;"no","site-wide analysis not necessary",IF($J316="no",IF($D430="no","site-wide analysis not allowed",IF($D430="yes",IF(ISTEXT($H430),IF(OR($H430="no value",$H430="simple asphyxiant"),"site-wide analysis not needed","evaluated in section IV"),IF($D430="yes",IF(COUNTIF($O203,"&gt;="&amp;$H430)&gt;0,"No","Yes"))))))))</f>
        <v/>
      </c>
      <c r="M430" s="758"/>
      <c r="N430" s="689" t="str">
        <f t="shared" ref="N430" si="309">IF(OR($D430="",$J430="",$L430=""),"",IF($K316="proceed to site-wide analysis for this species",IF(AND($J430&lt;&gt;"no",$L430&lt;&gt;"no"),"no additional steps required","revise data on previous sheets"),$K316))</f>
        <v/>
      </c>
      <c r="O430" s="691"/>
    </row>
    <row r="431" spans="1:15" ht="30" customHeight="1" x14ac:dyDescent="0.2">
      <c r="A431" s="9" t="str">
        <f t="shared" si="221"/>
        <v/>
      </c>
      <c r="B431" s="531" t="str">
        <f t="shared" si="222"/>
        <v/>
      </c>
      <c r="C431" s="531"/>
      <c r="D431" s="689" t="str">
        <f t="shared" si="223"/>
        <v/>
      </c>
      <c r="E431" s="758"/>
      <c r="F431" s="689" t="str">
        <f t="shared" si="224"/>
        <v/>
      </c>
      <c r="G431" s="758"/>
      <c r="H431" s="689" t="str">
        <f t="shared" si="225"/>
        <v/>
      </c>
      <c r="I431" s="758"/>
      <c r="J431" s="689" t="str">
        <f t="shared" ref="J431" si="310">IF(OR($A431="",$D431=""),"",IF($I317&lt;&gt;"no","site-wide analysis not necessary",IF($I317="no",IF($D431="no","site-wide analysis not allowed",IF($D431="yes",IF(ISTEXT($F431),IF(OR($F431="no value",$F431="simple asphyxiant"),"site-wide analysis not needed","evaluated in section IV"),IF($D431="yes",IF(COUNTIF($I204:$N204,"&gt;="&amp;$F431)&gt;0,"No","Yes"))))))))</f>
        <v/>
      </c>
      <c r="K431" s="758"/>
      <c r="L431" s="689" t="str">
        <f t="shared" ref="L431" si="311">IF(OR($A431="",$D431=""),"",IF($J317&lt;&gt;"no","site-wide analysis not necessary",IF($J317="no",IF($D431="no","site-wide analysis not allowed",IF($D431="yes",IF(ISTEXT($H431),IF(OR($H431="no value",$H431="simple asphyxiant"),"site-wide analysis not needed","evaluated in section IV"),IF($D431="yes",IF(COUNTIF($O204,"&gt;="&amp;$H431)&gt;0,"No","Yes"))))))))</f>
        <v/>
      </c>
      <c r="M431" s="758"/>
      <c r="N431" s="689" t="str">
        <f t="shared" ref="N431" si="312">IF(OR($D431="",$J431="",$L431=""),"",IF($K317="proceed to site-wide analysis for this species",IF(AND($J431&lt;&gt;"no",$L431&lt;&gt;"no"),"no additional steps required","revise data on previous sheets"),$K317))</f>
        <v/>
      </c>
      <c r="O431" s="691"/>
    </row>
    <row r="432" spans="1:15" ht="30" customHeight="1" x14ac:dyDescent="0.2">
      <c r="A432" s="9" t="str">
        <f t="shared" si="221"/>
        <v/>
      </c>
      <c r="B432" s="531" t="str">
        <f t="shared" si="222"/>
        <v/>
      </c>
      <c r="C432" s="531"/>
      <c r="D432" s="689" t="str">
        <f t="shared" si="223"/>
        <v/>
      </c>
      <c r="E432" s="758"/>
      <c r="F432" s="689" t="str">
        <f t="shared" si="224"/>
        <v/>
      </c>
      <c r="G432" s="758"/>
      <c r="H432" s="689" t="str">
        <f t="shared" si="225"/>
        <v/>
      </c>
      <c r="I432" s="758"/>
      <c r="J432" s="689" t="str">
        <f t="shared" ref="J432" si="313">IF(OR($A432="",$D432=""),"",IF($I318&lt;&gt;"no","site-wide analysis not necessary",IF($I318="no",IF($D432="no","site-wide analysis not allowed",IF($D432="yes",IF(ISTEXT($F432),IF(OR($F432="no value",$F432="simple asphyxiant"),"site-wide analysis not needed","evaluated in section IV"),IF($D432="yes",IF(COUNTIF($I205:$N205,"&gt;="&amp;$F432)&gt;0,"No","Yes"))))))))</f>
        <v/>
      </c>
      <c r="K432" s="758"/>
      <c r="L432" s="689" t="str">
        <f t="shared" ref="L432" si="314">IF(OR($A432="",$D432=""),"",IF($J318&lt;&gt;"no","site-wide analysis not necessary",IF($J318="no",IF($D432="no","site-wide analysis not allowed",IF($D432="yes",IF(ISTEXT($H432),IF(OR($H432="no value",$H432="simple asphyxiant"),"site-wide analysis not needed","evaluated in section IV"),IF($D432="yes",IF(COUNTIF($O205,"&gt;="&amp;$H432)&gt;0,"No","Yes"))))))))</f>
        <v/>
      </c>
      <c r="M432" s="758"/>
      <c r="N432" s="689" t="str">
        <f t="shared" ref="N432" si="315">IF(OR($D432="",$J432="",$L432=""),"",IF($K318="proceed to site-wide analysis for this species",IF(AND($J432&lt;&gt;"no",$L432&lt;&gt;"no"),"no additional steps required","revise data on previous sheets"),$K318))</f>
        <v/>
      </c>
      <c r="O432" s="691"/>
    </row>
    <row r="433" spans="1:15" ht="30" customHeight="1" x14ac:dyDescent="0.2">
      <c r="A433" s="9" t="str">
        <f t="shared" si="221"/>
        <v/>
      </c>
      <c r="B433" s="531" t="str">
        <f t="shared" si="222"/>
        <v/>
      </c>
      <c r="C433" s="531"/>
      <c r="D433" s="689" t="str">
        <f t="shared" si="223"/>
        <v/>
      </c>
      <c r="E433" s="758"/>
      <c r="F433" s="689" t="str">
        <f t="shared" si="224"/>
        <v/>
      </c>
      <c r="G433" s="758"/>
      <c r="H433" s="689" t="str">
        <f t="shared" si="225"/>
        <v/>
      </c>
      <c r="I433" s="758"/>
      <c r="J433" s="689" t="str">
        <f t="shared" ref="J433" si="316">IF(OR($A433="",$D433=""),"",IF($I319&lt;&gt;"no","site-wide analysis not necessary",IF($I319="no",IF($D433="no","site-wide analysis not allowed",IF($D433="yes",IF(ISTEXT($F433),IF(OR($F433="no value",$F433="simple asphyxiant"),"site-wide analysis not needed","evaluated in section IV"),IF($D433="yes",IF(COUNTIF($I206:$N206,"&gt;="&amp;$F433)&gt;0,"No","Yes"))))))))</f>
        <v/>
      </c>
      <c r="K433" s="758"/>
      <c r="L433" s="689" t="str">
        <f t="shared" ref="L433" si="317">IF(OR($A433="",$D433=""),"",IF($J319&lt;&gt;"no","site-wide analysis not necessary",IF($J319="no",IF($D433="no","site-wide analysis not allowed",IF($D433="yes",IF(ISTEXT($H433),IF(OR($H433="no value",$H433="simple asphyxiant"),"site-wide analysis not needed","evaluated in section IV"),IF($D433="yes",IF(COUNTIF($O206,"&gt;="&amp;$H433)&gt;0,"No","Yes"))))))))</f>
        <v/>
      </c>
      <c r="M433" s="758"/>
      <c r="N433" s="689" t="str">
        <f t="shared" ref="N433" si="318">IF(OR($D433="",$J433="",$L433=""),"",IF($K319="proceed to site-wide analysis for this species",IF(AND($J433&lt;&gt;"no",$L433&lt;&gt;"no"),"no additional steps required","revise data on previous sheets"),$K319))</f>
        <v/>
      </c>
      <c r="O433" s="691"/>
    </row>
    <row r="434" spans="1:15" ht="30" customHeight="1" x14ac:dyDescent="0.2">
      <c r="A434" s="9" t="str">
        <f t="shared" si="221"/>
        <v/>
      </c>
      <c r="B434" s="531" t="str">
        <f t="shared" si="222"/>
        <v/>
      </c>
      <c r="C434" s="531"/>
      <c r="D434" s="689" t="str">
        <f t="shared" si="223"/>
        <v/>
      </c>
      <c r="E434" s="758"/>
      <c r="F434" s="689" t="str">
        <f t="shared" si="224"/>
        <v/>
      </c>
      <c r="G434" s="758"/>
      <c r="H434" s="689" t="str">
        <f t="shared" si="225"/>
        <v/>
      </c>
      <c r="I434" s="758"/>
      <c r="J434" s="689" t="str">
        <f t="shared" ref="J434" si="319">IF(OR($A434="",$D434=""),"",IF($I320&lt;&gt;"no","site-wide analysis not necessary",IF($I320="no",IF($D434="no","site-wide analysis not allowed",IF($D434="yes",IF(ISTEXT($F434),IF(OR($F434="no value",$F434="simple asphyxiant"),"site-wide analysis not needed","evaluated in section IV"),IF($D434="yes",IF(COUNTIF($I207:$N207,"&gt;="&amp;$F434)&gt;0,"No","Yes"))))))))</f>
        <v/>
      </c>
      <c r="K434" s="758"/>
      <c r="L434" s="689" t="str">
        <f t="shared" ref="L434" si="320">IF(OR($A434="",$D434=""),"",IF($J320&lt;&gt;"no","site-wide analysis not necessary",IF($J320="no",IF($D434="no","site-wide analysis not allowed",IF($D434="yes",IF(ISTEXT($H434),IF(OR($H434="no value",$H434="simple asphyxiant"),"site-wide analysis not needed","evaluated in section IV"),IF($D434="yes",IF(COUNTIF($O207,"&gt;="&amp;$H434)&gt;0,"No","Yes"))))))))</f>
        <v/>
      </c>
      <c r="M434" s="758"/>
      <c r="N434" s="689" t="str">
        <f t="shared" ref="N434" si="321">IF(OR($D434="",$J434="",$L434=""),"",IF($K320="proceed to site-wide analysis for this species",IF(AND($J434&lt;&gt;"no",$L434&lt;&gt;"no"),"no additional steps required","revise data on previous sheets"),$K320))</f>
        <v/>
      </c>
      <c r="O434" s="691"/>
    </row>
    <row r="435" spans="1:15" ht="30" customHeight="1" x14ac:dyDescent="0.2">
      <c r="A435" s="9" t="str">
        <f t="shared" si="221"/>
        <v/>
      </c>
      <c r="B435" s="531" t="str">
        <f t="shared" si="222"/>
        <v/>
      </c>
      <c r="C435" s="531"/>
      <c r="D435" s="689" t="str">
        <f t="shared" si="223"/>
        <v/>
      </c>
      <c r="E435" s="758"/>
      <c r="F435" s="689" t="str">
        <f t="shared" si="224"/>
        <v/>
      </c>
      <c r="G435" s="758"/>
      <c r="H435" s="689" t="str">
        <f t="shared" si="225"/>
        <v/>
      </c>
      <c r="I435" s="758"/>
      <c r="J435" s="689" t="str">
        <f t="shared" ref="J435" si="322">IF(OR($A435="",$D435=""),"",IF($I321&lt;&gt;"no","site-wide analysis not necessary",IF($I321="no",IF($D435="no","site-wide analysis not allowed",IF($D435="yes",IF(ISTEXT($F435),IF(OR($F435="no value",$F435="simple asphyxiant"),"site-wide analysis not needed","evaluated in section IV"),IF($D435="yes",IF(COUNTIF($I208:$N208,"&gt;="&amp;$F435)&gt;0,"No","Yes"))))))))</f>
        <v/>
      </c>
      <c r="K435" s="758"/>
      <c r="L435" s="689" t="str">
        <f t="shared" ref="L435" si="323">IF(OR($A435="",$D435=""),"",IF($J321&lt;&gt;"no","site-wide analysis not necessary",IF($J321="no",IF($D435="no","site-wide analysis not allowed",IF($D435="yes",IF(ISTEXT($H435),IF(OR($H435="no value",$H435="simple asphyxiant"),"site-wide analysis not needed","evaluated in section IV"),IF($D435="yes",IF(COUNTIF($O208,"&gt;="&amp;$H435)&gt;0,"No","Yes"))))))))</f>
        <v/>
      </c>
      <c r="M435" s="758"/>
      <c r="N435" s="689" t="str">
        <f t="shared" ref="N435" si="324">IF(OR($D435="",$J435="",$L435=""),"",IF($K321="proceed to site-wide analysis for this species",IF(AND($J435&lt;&gt;"no",$L435&lt;&gt;"no"),"no additional steps required","revise data on previous sheets"),$K321))</f>
        <v/>
      </c>
      <c r="O435" s="691"/>
    </row>
    <row r="436" spans="1:15" ht="30" customHeight="1" x14ac:dyDescent="0.2">
      <c r="A436" s="9" t="str">
        <f t="shared" si="221"/>
        <v/>
      </c>
      <c r="B436" s="531" t="str">
        <f t="shared" si="222"/>
        <v/>
      </c>
      <c r="C436" s="531"/>
      <c r="D436" s="689" t="str">
        <f t="shared" si="223"/>
        <v/>
      </c>
      <c r="E436" s="758"/>
      <c r="F436" s="689" t="str">
        <f t="shared" si="224"/>
        <v/>
      </c>
      <c r="G436" s="758"/>
      <c r="H436" s="689" t="str">
        <f t="shared" si="225"/>
        <v/>
      </c>
      <c r="I436" s="758"/>
      <c r="J436" s="689" t="str">
        <f t="shared" ref="J436" si="325">IF(OR($A436="",$D436=""),"",IF($I322&lt;&gt;"no","site-wide analysis not necessary",IF($I322="no",IF($D436="no","site-wide analysis not allowed",IF($D436="yes",IF(ISTEXT($F436),IF(OR($F436="no value",$F436="simple asphyxiant"),"site-wide analysis not needed","evaluated in section IV"),IF($D436="yes",IF(COUNTIF($I209:$N209,"&gt;="&amp;$F436)&gt;0,"No","Yes"))))))))</f>
        <v/>
      </c>
      <c r="K436" s="758"/>
      <c r="L436" s="689" t="str">
        <f t="shared" ref="L436" si="326">IF(OR($A436="",$D436=""),"",IF($J322&lt;&gt;"no","site-wide analysis not necessary",IF($J322="no",IF($D436="no","site-wide analysis not allowed",IF($D436="yes",IF(ISTEXT($H436),IF(OR($H436="no value",$H436="simple asphyxiant"),"site-wide analysis not needed","evaluated in section IV"),IF($D436="yes",IF(COUNTIF($O209,"&gt;="&amp;$H436)&gt;0,"No","Yes"))))))))</f>
        <v/>
      </c>
      <c r="M436" s="758"/>
      <c r="N436" s="689" t="str">
        <f t="shared" ref="N436" si="327">IF(OR($D436="",$J436="",$L436=""),"",IF($K322="proceed to site-wide analysis for this species",IF(AND($J436&lt;&gt;"no",$L436&lt;&gt;"no"),"no additional steps required","revise data on previous sheets"),$K322))</f>
        <v/>
      </c>
      <c r="O436" s="691"/>
    </row>
    <row r="437" spans="1:15" ht="30" customHeight="1" x14ac:dyDescent="0.2">
      <c r="A437" s="9" t="str">
        <f t="shared" si="221"/>
        <v/>
      </c>
      <c r="B437" s="531" t="str">
        <f t="shared" si="222"/>
        <v/>
      </c>
      <c r="C437" s="531"/>
      <c r="D437" s="689" t="str">
        <f t="shared" si="223"/>
        <v/>
      </c>
      <c r="E437" s="758"/>
      <c r="F437" s="689" t="str">
        <f t="shared" si="224"/>
        <v/>
      </c>
      <c r="G437" s="758"/>
      <c r="H437" s="689" t="str">
        <f t="shared" si="225"/>
        <v/>
      </c>
      <c r="I437" s="758"/>
      <c r="J437" s="689" t="str">
        <f t="shared" ref="J437" si="328">IF(OR($A437="",$D437=""),"",IF($I323&lt;&gt;"no","site-wide analysis not necessary",IF($I323="no",IF($D437="no","site-wide analysis not allowed",IF($D437="yes",IF(ISTEXT($F437),IF(OR($F437="no value",$F437="simple asphyxiant"),"site-wide analysis not needed","evaluated in section IV"),IF($D437="yes",IF(COUNTIF($I210:$N210,"&gt;="&amp;$F437)&gt;0,"No","Yes"))))))))</f>
        <v/>
      </c>
      <c r="K437" s="758"/>
      <c r="L437" s="689" t="str">
        <f t="shared" ref="L437" si="329">IF(OR($A437="",$D437=""),"",IF($J323&lt;&gt;"no","site-wide analysis not necessary",IF($J323="no",IF($D437="no","site-wide analysis not allowed",IF($D437="yes",IF(ISTEXT($H437),IF(OR($H437="no value",$H437="simple asphyxiant"),"site-wide analysis not needed","evaluated in section IV"),IF($D437="yes",IF(COUNTIF($O210,"&gt;="&amp;$H437)&gt;0,"No","Yes"))))))))</f>
        <v/>
      </c>
      <c r="M437" s="758"/>
      <c r="N437" s="689" t="str">
        <f t="shared" ref="N437" si="330">IF(OR($D437="",$J437="",$L437=""),"",IF($K323="proceed to site-wide analysis for this species",IF(AND($J437&lt;&gt;"no",$L437&lt;&gt;"no"),"no additional steps required","revise data on previous sheets"),$K323))</f>
        <v/>
      </c>
      <c r="O437" s="691"/>
    </row>
    <row r="438" spans="1:15" ht="30" customHeight="1" x14ac:dyDescent="0.2">
      <c r="A438" s="9" t="str">
        <f t="shared" si="221"/>
        <v/>
      </c>
      <c r="B438" s="531" t="str">
        <f t="shared" si="222"/>
        <v/>
      </c>
      <c r="C438" s="531"/>
      <c r="D438" s="689" t="str">
        <f t="shared" si="223"/>
        <v/>
      </c>
      <c r="E438" s="758"/>
      <c r="F438" s="689" t="str">
        <f t="shared" si="224"/>
        <v/>
      </c>
      <c r="G438" s="758"/>
      <c r="H438" s="689" t="str">
        <f t="shared" si="225"/>
        <v/>
      </c>
      <c r="I438" s="758"/>
      <c r="J438" s="689" t="str">
        <f t="shared" ref="J438" si="331">IF(OR($A438="",$D438=""),"",IF($I324&lt;&gt;"no","site-wide analysis not necessary",IF($I324="no",IF($D438="no","site-wide analysis not allowed",IF($D438="yes",IF(ISTEXT($F438),IF(OR($F438="no value",$F438="simple asphyxiant"),"site-wide analysis not needed","evaluated in section IV"),IF($D438="yes",IF(COUNTIF($I211:$N211,"&gt;="&amp;$F438)&gt;0,"No","Yes"))))))))</f>
        <v/>
      </c>
      <c r="K438" s="758"/>
      <c r="L438" s="689" t="str">
        <f t="shared" ref="L438" si="332">IF(OR($A438="",$D438=""),"",IF($J324&lt;&gt;"no","site-wide analysis not necessary",IF($J324="no",IF($D438="no","site-wide analysis not allowed",IF($D438="yes",IF(ISTEXT($H438),IF(OR($H438="no value",$H438="simple asphyxiant"),"site-wide analysis not needed","evaluated in section IV"),IF($D438="yes",IF(COUNTIF($O211,"&gt;="&amp;$H438)&gt;0,"No","Yes"))))))))</f>
        <v/>
      </c>
      <c r="M438" s="758"/>
      <c r="N438" s="689" t="str">
        <f t="shared" ref="N438" si="333">IF(OR($D438="",$J438="",$L438=""),"",IF($K324="proceed to site-wide analysis for this species",IF(AND($J438&lt;&gt;"no",$L438&lt;&gt;"no"),"no additional steps required","revise data on previous sheets"),$K324))</f>
        <v/>
      </c>
      <c r="O438" s="691"/>
    </row>
    <row r="439" spans="1:15" ht="30" customHeight="1" x14ac:dyDescent="0.2">
      <c r="A439" s="9" t="str">
        <f t="shared" si="221"/>
        <v/>
      </c>
      <c r="B439" s="531" t="str">
        <f t="shared" si="222"/>
        <v/>
      </c>
      <c r="C439" s="531"/>
      <c r="D439" s="689" t="str">
        <f t="shared" si="223"/>
        <v/>
      </c>
      <c r="E439" s="758"/>
      <c r="F439" s="689" t="str">
        <f t="shared" si="224"/>
        <v/>
      </c>
      <c r="G439" s="758"/>
      <c r="H439" s="689" t="str">
        <f t="shared" si="225"/>
        <v/>
      </c>
      <c r="I439" s="758"/>
      <c r="J439" s="689" t="str">
        <f t="shared" ref="J439" si="334">IF(OR($A439="",$D439=""),"",IF($I325&lt;&gt;"no","site-wide analysis not necessary",IF($I325="no",IF($D439="no","site-wide analysis not allowed",IF($D439="yes",IF(ISTEXT($F439),IF(OR($F439="no value",$F439="simple asphyxiant"),"site-wide analysis not needed","evaluated in section IV"),IF($D439="yes",IF(COUNTIF($I212:$N212,"&gt;="&amp;$F439)&gt;0,"No","Yes"))))))))</f>
        <v/>
      </c>
      <c r="K439" s="758"/>
      <c r="L439" s="689" t="str">
        <f t="shared" ref="L439" si="335">IF(OR($A439="",$D439=""),"",IF($J325&lt;&gt;"no","site-wide analysis not necessary",IF($J325="no",IF($D439="no","site-wide analysis not allowed",IF($D439="yes",IF(ISTEXT($H439),IF(OR($H439="no value",$H439="simple asphyxiant"),"site-wide analysis not needed","evaluated in section IV"),IF($D439="yes",IF(COUNTIF($O212,"&gt;="&amp;$H439)&gt;0,"No","Yes"))))))))</f>
        <v/>
      </c>
      <c r="M439" s="758"/>
      <c r="N439" s="689" t="str">
        <f t="shared" ref="N439" si="336">IF(OR($D439="",$J439="",$L439=""),"",IF($K325="proceed to site-wide analysis for this species",IF(AND($J439&lt;&gt;"no",$L439&lt;&gt;"no"),"no additional steps required","revise data on previous sheets"),$K325))</f>
        <v/>
      </c>
      <c r="O439" s="691"/>
    </row>
    <row r="440" spans="1:15" ht="30" customHeight="1" x14ac:dyDescent="0.2">
      <c r="A440" s="9" t="str">
        <f t="shared" si="221"/>
        <v/>
      </c>
      <c r="B440" s="531" t="str">
        <f t="shared" si="222"/>
        <v/>
      </c>
      <c r="C440" s="531"/>
      <c r="D440" s="689" t="str">
        <f t="shared" si="223"/>
        <v/>
      </c>
      <c r="E440" s="758"/>
      <c r="F440" s="689" t="str">
        <f t="shared" si="224"/>
        <v/>
      </c>
      <c r="G440" s="758"/>
      <c r="H440" s="689" t="str">
        <f t="shared" si="225"/>
        <v/>
      </c>
      <c r="I440" s="758"/>
      <c r="J440" s="689" t="str">
        <f t="shared" ref="J440" si="337">IF(OR($A440="",$D440=""),"",IF($I326&lt;&gt;"no","site-wide analysis not necessary",IF($I326="no",IF($D440="no","site-wide analysis not allowed",IF($D440="yes",IF(ISTEXT($F440),IF(OR($F440="no value",$F440="simple asphyxiant"),"site-wide analysis not needed","evaluated in section IV"),IF($D440="yes",IF(COUNTIF($I213:$N213,"&gt;="&amp;$F440)&gt;0,"No","Yes"))))))))</f>
        <v/>
      </c>
      <c r="K440" s="758"/>
      <c r="L440" s="689" t="str">
        <f t="shared" ref="L440" si="338">IF(OR($A440="",$D440=""),"",IF($J326&lt;&gt;"no","site-wide analysis not necessary",IF($J326="no",IF($D440="no","site-wide analysis not allowed",IF($D440="yes",IF(ISTEXT($H440),IF(OR($H440="no value",$H440="simple asphyxiant"),"site-wide analysis not needed","evaluated in section IV"),IF($D440="yes",IF(COUNTIF($O213,"&gt;="&amp;$H440)&gt;0,"No","Yes"))))))))</f>
        <v/>
      </c>
      <c r="M440" s="758"/>
      <c r="N440" s="689" t="str">
        <f t="shared" ref="N440" si="339">IF(OR($D440="",$J440="",$L440=""),"",IF($K326="proceed to site-wide analysis for this species",IF(AND($J440&lt;&gt;"no",$L440&lt;&gt;"no"),"no additional steps required","revise data on previous sheets"),$K326))</f>
        <v/>
      </c>
      <c r="O440" s="691"/>
    </row>
    <row r="441" spans="1:15" ht="30" customHeight="1" x14ac:dyDescent="0.2">
      <c r="A441" s="9" t="str">
        <f t="shared" si="221"/>
        <v/>
      </c>
      <c r="B441" s="531" t="str">
        <f t="shared" si="222"/>
        <v/>
      </c>
      <c r="C441" s="531"/>
      <c r="D441" s="689" t="str">
        <f t="shared" si="223"/>
        <v/>
      </c>
      <c r="E441" s="758"/>
      <c r="F441" s="689" t="str">
        <f t="shared" si="224"/>
        <v/>
      </c>
      <c r="G441" s="758"/>
      <c r="H441" s="689" t="str">
        <f t="shared" si="225"/>
        <v/>
      </c>
      <c r="I441" s="758"/>
      <c r="J441" s="689" t="str">
        <f t="shared" ref="J441" si="340">IF(OR($A441="",$D441=""),"",IF($I327&lt;&gt;"no","site-wide analysis not necessary",IF($I327="no",IF($D441="no","site-wide analysis not allowed",IF($D441="yes",IF(ISTEXT($F441),IF(OR($F441="no value",$F441="simple asphyxiant"),"site-wide analysis not needed","evaluated in section IV"),IF($D441="yes",IF(COUNTIF($I214:$N214,"&gt;="&amp;$F441)&gt;0,"No","Yes"))))))))</f>
        <v/>
      </c>
      <c r="K441" s="758"/>
      <c r="L441" s="689" t="str">
        <f t="shared" ref="L441" si="341">IF(OR($A441="",$D441=""),"",IF($J327&lt;&gt;"no","site-wide analysis not necessary",IF($J327="no",IF($D441="no","site-wide analysis not allowed",IF($D441="yes",IF(ISTEXT($H441),IF(OR($H441="no value",$H441="simple asphyxiant"),"site-wide analysis not needed","evaluated in section IV"),IF($D441="yes",IF(COUNTIF($O214,"&gt;="&amp;$H441)&gt;0,"No","Yes"))))))))</f>
        <v/>
      </c>
      <c r="M441" s="758"/>
      <c r="N441" s="689" t="str">
        <f t="shared" ref="N441" si="342">IF(OR($D441="",$J441="",$L441=""),"",IF($K327="proceed to site-wide analysis for this species",IF(AND($J441&lt;&gt;"no",$L441&lt;&gt;"no"),"no additional steps required","revise data on previous sheets"),$K327))</f>
        <v/>
      </c>
      <c r="O441" s="691"/>
    </row>
    <row r="442" spans="1:15" ht="30" customHeight="1" x14ac:dyDescent="0.2">
      <c r="A442" s="9" t="str">
        <f t="shared" si="221"/>
        <v/>
      </c>
      <c r="B442" s="531" t="str">
        <f t="shared" si="222"/>
        <v/>
      </c>
      <c r="C442" s="531"/>
      <c r="D442" s="689" t="str">
        <f t="shared" si="223"/>
        <v/>
      </c>
      <c r="E442" s="758"/>
      <c r="F442" s="689" t="str">
        <f t="shared" si="224"/>
        <v/>
      </c>
      <c r="G442" s="758"/>
      <c r="H442" s="689" t="str">
        <f t="shared" si="225"/>
        <v/>
      </c>
      <c r="I442" s="758"/>
      <c r="J442" s="689" t="str">
        <f t="shared" ref="J442" si="343">IF(OR($A442="",$D442=""),"",IF($I328&lt;&gt;"no","site-wide analysis not necessary",IF($I328="no",IF($D442="no","site-wide analysis not allowed",IF($D442="yes",IF(ISTEXT($F442),IF(OR($F442="no value",$F442="simple asphyxiant"),"site-wide analysis not needed","evaluated in section IV"),IF($D442="yes",IF(COUNTIF($I215:$N215,"&gt;="&amp;$F442)&gt;0,"No","Yes"))))))))</f>
        <v/>
      </c>
      <c r="K442" s="758"/>
      <c r="L442" s="689" t="str">
        <f t="shared" ref="L442" si="344">IF(OR($A442="",$D442=""),"",IF($J328&lt;&gt;"no","site-wide analysis not necessary",IF($J328="no",IF($D442="no","site-wide analysis not allowed",IF($D442="yes",IF(ISTEXT($H442),IF(OR($H442="no value",$H442="simple asphyxiant"),"site-wide analysis not needed","evaluated in section IV"),IF($D442="yes",IF(COUNTIF($O215,"&gt;="&amp;$H442)&gt;0,"No","Yes"))))))))</f>
        <v/>
      </c>
      <c r="M442" s="758"/>
      <c r="N442" s="689" t="str">
        <f t="shared" ref="N442" si="345">IF(OR($D442="",$J442="",$L442=""),"",IF($K328="proceed to site-wide analysis for this species",IF(AND($J442&lt;&gt;"no",$L442&lt;&gt;"no"),"no additional steps required","revise data on previous sheets"),$K328))</f>
        <v/>
      </c>
      <c r="O442" s="691"/>
    </row>
    <row r="443" spans="1:15" ht="30" customHeight="1" x14ac:dyDescent="0.2">
      <c r="A443" s="9" t="str">
        <f t="shared" si="221"/>
        <v/>
      </c>
      <c r="B443" s="531" t="str">
        <f t="shared" si="222"/>
        <v/>
      </c>
      <c r="C443" s="531"/>
      <c r="D443" s="689" t="str">
        <f t="shared" si="223"/>
        <v/>
      </c>
      <c r="E443" s="758"/>
      <c r="F443" s="689" t="str">
        <f t="shared" si="224"/>
        <v/>
      </c>
      <c r="G443" s="758"/>
      <c r="H443" s="689" t="str">
        <f t="shared" si="225"/>
        <v/>
      </c>
      <c r="I443" s="758"/>
      <c r="J443" s="689" t="str">
        <f t="shared" ref="J443" si="346">IF(OR($A443="",$D443=""),"",IF($I329&lt;&gt;"no","site-wide analysis not necessary",IF($I329="no",IF($D443="no","site-wide analysis not allowed",IF($D443="yes",IF(ISTEXT($F443),IF(OR($F443="no value",$F443="simple asphyxiant"),"site-wide analysis not needed","evaluated in section IV"),IF($D443="yes",IF(COUNTIF($I216:$N216,"&gt;="&amp;$F443)&gt;0,"No","Yes"))))))))</f>
        <v/>
      </c>
      <c r="K443" s="758"/>
      <c r="L443" s="689" t="str">
        <f t="shared" ref="L443" si="347">IF(OR($A443="",$D443=""),"",IF($J329&lt;&gt;"no","site-wide analysis not necessary",IF($J329="no",IF($D443="no","site-wide analysis not allowed",IF($D443="yes",IF(ISTEXT($H443),IF(OR($H443="no value",$H443="simple asphyxiant"),"site-wide analysis not needed","evaluated in section IV"),IF($D443="yes",IF(COUNTIF($O216,"&gt;="&amp;$H443)&gt;0,"No","Yes"))))))))</f>
        <v/>
      </c>
      <c r="M443" s="758"/>
      <c r="N443" s="689" t="str">
        <f t="shared" ref="N443" si="348">IF(OR($D443="",$J443="",$L443=""),"",IF($K329="proceed to site-wide analysis for this species",IF(AND($J443&lt;&gt;"no",$L443&lt;&gt;"no"),"no additional steps required","revise data on previous sheets"),$K329))</f>
        <v/>
      </c>
      <c r="O443" s="691"/>
    </row>
    <row r="444" spans="1:15" ht="30" customHeight="1" x14ac:dyDescent="0.2">
      <c r="A444" s="9" t="str">
        <f t="shared" si="221"/>
        <v/>
      </c>
      <c r="B444" s="531" t="str">
        <f t="shared" si="222"/>
        <v/>
      </c>
      <c r="C444" s="531"/>
      <c r="D444" s="689" t="str">
        <f t="shared" si="223"/>
        <v/>
      </c>
      <c r="E444" s="758"/>
      <c r="F444" s="689" t="str">
        <f t="shared" si="224"/>
        <v/>
      </c>
      <c r="G444" s="758"/>
      <c r="H444" s="689" t="str">
        <f t="shared" si="225"/>
        <v/>
      </c>
      <c r="I444" s="758"/>
      <c r="J444" s="689" t="str">
        <f t="shared" ref="J444" si="349">IF(OR($A444="",$D444=""),"",IF($I330&lt;&gt;"no","site-wide analysis not necessary",IF($I330="no",IF($D444="no","site-wide analysis not allowed",IF($D444="yes",IF(ISTEXT($F444),IF(OR($F444="no value",$F444="simple asphyxiant"),"site-wide analysis not needed","evaluated in section IV"),IF($D444="yes",IF(COUNTIF($I217:$N217,"&gt;="&amp;$F444)&gt;0,"No","Yes"))))))))</f>
        <v/>
      </c>
      <c r="K444" s="758"/>
      <c r="L444" s="689" t="str">
        <f t="shared" ref="L444" si="350">IF(OR($A444="",$D444=""),"",IF($J330&lt;&gt;"no","site-wide analysis not necessary",IF($J330="no",IF($D444="no","site-wide analysis not allowed",IF($D444="yes",IF(ISTEXT($H444),IF(OR($H444="no value",$H444="simple asphyxiant"),"site-wide analysis not needed","evaluated in section IV"),IF($D444="yes",IF(COUNTIF($O217,"&gt;="&amp;$H444)&gt;0,"No","Yes"))))))))</f>
        <v/>
      </c>
      <c r="M444" s="758"/>
      <c r="N444" s="689" t="str">
        <f t="shared" ref="N444" si="351">IF(OR($D444="",$J444="",$L444=""),"",IF($K330="proceed to site-wide analysis for this species",IF(AND($J444&lt;&gt;"no",$L444&lt;&gt;"no"),"no additional steps required","revise data on previous sheets"),$K330))</f>
        <v/>
      </c>
      <c r="O444" s="691"/>
    </row>
    <row r="445" spans="1:15" ht="30" customHeight="1" x14ac:dyDescent="0.2">
      <c r="A445" s="9" t="str">
        <f t="shared" si="221"/>
        <v/>
      </c>
      <c r="B445" s="531" t="str">
        <f t="shared" si="222"/>
        <v/>
      </c>
      <c r="C445" s="531"/>
      <c r="D445" s="689" t="str">
        <f t="shared" si="223"/>
        <v/>
      </c>
      <c r="E445" s="758"/>
      <c r="F445" s="689" t="str">
        <f t="shared" si="224"/>
        <v/>
      </c>
      <c r="G445" s="758"/>
      <c r="H445" s="689" t="str">
        <f t="shared" si="225"/>
        <v/>
      </c>
      <c r="I445" s="758"/>
      <c r="J445" s="689" t="str">
        <f t="shared" ref="J445" si="352">IF(OR($A445="",$D445=""),"",IF($I331&lt;&gt;"no","site-wide analysis not necessary",IF($I331="no",IF($D445="no","site-wide analysis not allowed",IF($D445="yes",IF(ISTEXT($F445),IF(OR($F445="no value",$F445="simple asphyxiant"),"site-wide analysis not needed","evaluated in section IV"),IF($D445="yes",IF(COUNTIF($I218:$N218,"&gt;="&amp;$F445)&gt;0,"No","Yes"))))))))</f>
        <v/>
      </c>
      <c r="K445" s="758"/>
      <c r="L445" s="689" t="str">
        <f t="shared" ref="L445" si="353">IF(OR($A445="",$D445=""),"",IF($J331&lt;&gt;"no","site-wide analysis not necessary",IF($J331="no",IF($D445="no","site-wide analysis not allowed",IF($D445="yes",IF(ISTEXT($H445),IF(OR($H445="no value",$H445="simple asphyxiant"),"site-wide analysis not needed","evaluated in section IV"),IF($D445="yes",IF(COUNTIF($O218,"&gt;="&amp;$H445)&gt;0,"No","Yes"))))))))</f>
        <v/>
      </c>
      <c r="M445" s="758"/>
      <c r="N445" s="689" t="str">
        <f t="shared" ref="N445" si="354">IF(OR($D445="",$J445="",$L445=""),"",IF($K331="proceed to site-wide analysis for this species",IF(AND($J445&lt;&gt;"no",$L445&lt;&gt;"no"),"no additional steps required","revise data on previous sheets"),$K331))</f>
        <v/>
      </c>
      <c r="O445" s="691"/>
    </row>
    <row r="446" spans="1:15" ht="30" customHeight="1" x14ac:dyDescent="0.2">
      <c r="A446" s="9" t="str">
        <f t="shared" si="221"/>
        <v/>
      </c>
      <c r="B446" s="531" t="str">
        <f t="shared" si="222"/>
        <v/>
      </c>
      <c r="C446" s="531"/>
      <c r="D446" s="689" t="str">
        <f t="shared" si="223"/>
        <v/>
      </c>
      <c r="E446" s="758"/>
      <c r="F446" s="689" t="str">
        <f t="shared" si="224"/>
        <v/>
      </c>
      <c r="G446" s="758"/>
      <c r="H446" s="689" t="str">
        <f t="shared" si="225"/>
        <v/>
      </c>
      <c r="I446" s="758"/>
      <c r="J446" s="689" t="str">
        <f t="shared" ref="J446" si="355">IF(OR($A446="",$D446=""),"",IF($I332&lt;&gt;"no","site-wide analysis not necessary",IF($I332="no",IF($D446="no","site-wide analysis not allowed",IF($D446="yes",IF(ISTEXT($F446),IF(OR($F446="no value",$F446="simple asphyxiant"),"site-wide analysis not needed","evaluated in section IV"),IF($D446="yes",IF(COUNTIF($I219:$N219,"&gt;="&amp;$F446)&gt;0,"No","Yes"))))))))</f>
        <v/>
      </c>
      <c r="K446" s="758"/>
      <c r="L446" s="689" t="str">
        <f t="shared" ref="L446" si="356">IF(OR($A446="",$D446=""),"",IF($J332&lt;&gt;"no","site-wide analysis not necessary",IF($J332="no",IF($D446="no","site-wide analysis not allowed",IF($D446="yes",IF(ISTEXT($H446),IF(OR($H446="no value",$H446="simple asphyxiant"),"site-wide analysis not needed","evaluated in section IV"),IF($D446="yes",IF(COUNTIF($O219,"&gt;="&amp;$H446)&gt;0,"No","Yes"))))))))</f>
        <v/>
      </c>
      <c r="M446" s="758"/>
      <c r="N446" s="689" t="str">
        <f t="shared" ref="N446" si="357">IF(OR($D446="",$J446="",$L446=""),"",IF($K332="proceed to site-wide analysis for this species",IF(AND($J446&lt;&gt;"no",$L446&lt;&gt;"no"),"no additional steps required","revise data on previous sheets"),$K332))</f>
        <v/>
      </c>
      <c r="O446" s="691"/>
    </row>
    <row r="447" spans="1:15" ht="30" customHeight="1" thickBot="1" x14ac:dyDescent="0.25">
      <c r="A447" s="112" t="str">
        <f t="shared" si="221"/>
        <v/>
      </c>
      <c r="B447" s="484" t="str">
        <f t="shared" si="222"/>
        <v/>
      </c>
      <c r="C447" s="484"/>
      <c r="D447" s="802" t="str">
        <f t="shared" si="223"/>
        <v/>
      </c>
      <c r="E447" s="589"/>
      <c r="F447" s="802" t="str">
        <f t="shared" si="224"/>
        <v/>
      </c>
      <c r="G447" s="589"/>
      <c r="H447" s="802" t="str">
        <f t="shared" si="225"/>
        <v/>
      </c>
      <c r="I447" s="589"/>
      <c r="J447" s="802" t="str">
        <f t="shared" ref="J447" si="358">IF(OR($A447="",$D447=""),"",IF($I333&lt;&gt;"no","site-wide analysis not necessary",IF($I333="no",IF($D447="no","site-wide analysis not allowed",IF($D447="yes",IF(ISTEXT($F447),IF(OR($F447="no value",$F447="simple asphyxiant"),"site-wide analysis not needed","evaluated in section IV"),IF($D447="yes",IF(COUNTIF($I220:$N220,"&gt;="&amp;$F447)&gt;0,"No","Yes"))))))))</f>
        <v/>
      </c>
      <c r="K447" s="589"/>
      <c r="L447" s="802" t="str">
        <f t="shared" ref="L447" si="359">IF(OR($A447="",$D447=""),"",IF($J333&lt;&gt;"no","site-wide analysis not necessary",IF($J333="no",IF($D447="no","site-wide analysis not allowed",IF($D447="yes",IF(ISTEXT($H447),IF(OR($H447="no value",$H447="simple asphyxiant"),"site-wide analysis not needed","evaluated in section IV"),IF($D447="yes",IF(COUNTIF($O220,"&gt;="&amp;$H447)&gt;0,"No","Yes"))))))))</f>
        <v/>
      </c>
      <c r="M447" s="589"/>
      <c r="N447" s="802" t="str">
        <f t="shared" ref="N447" si="360">IF(OR($D447="",$J447="",$L447=""),"",IF($K333="proceed to site-wide analysis for this species",IF(AND($J447&lt;&gt;"no",$L447&lt;&gt;"no"),"no additional steps required","revise data on previous sheets"),$K333))</f>
        <v/>
      </c>
      <c r="O447" s="1157"/>
    </row>
    <row r="448" spans="1:15" x14ac:dyDescent="0.2">
      <c r="A448" s="572" t="s">
        <v>10053</v>
      </c>
      <c r="B448" s="572"/>
      <c r="C448" s="572"/>
      <c r="D448" s="572"/>
      <c r="E448" s="572"/>
      <c r="F448" s="572"/>
      <c r="G448" s="572"/>
      <c r="H448" s="572"/>
      <c r="I448" s="572"/>
      <c r="J448" s="572"/>
      <c r="K448" s="572"/>
      <c r="L448" s="572"/>
      <c r="M448" s="572"/>
      <c r="N448" s="572"/>
      <c r="O448" s="572"/>
    </row>
    <row r="449" spans="1:15" x14ac:dyDescent="0.2">
      <c r="A449" s="478" t="s">
        <v>130</v>
      </c>
      <c r="B449" s="478"/>
      <c r="C449" s="478"/>
      <c r="D449" s="478"/>
      <c r="E449" s="478"/>
      <c r="F449" s="478"/>
      <c r="G449" s="478"/>
      <c r="H449" s="478"/>
      <c r="I449" s="478"/>
      <c r="J449" s="478"/>
      <c r="K449" s="478"/>
      <c r="L449" s="478"/>
      <c r="M449" s="478"/>
      <c r="N449" s="478"/>
      <c r="O449" s="478"/>
    </row>
  </sheetData>
  <sheetProtection algorithmName="SHA-512" hashValue="kSzE/9id+Q9/Re4M89j3KDcgKyC2roiprswJQLybArdI6T6lxmtBMUSIXHH5JtlndSevrw5+N/IH+Qyfs/DnOQ==" saltValue="5GMbRHuuh9QJvdsGMGdhlw==" spinCount="100000" sheet="1" objects="1" scenarios="1" formatColumns="0" formatRows="0"/>
  <mergeCells count="1251">
    <mergeCell ref="F443:G443"/>
    <mergeCell ref="F444:G444"/>
    <mergeCell ref="F445:G445"/>
    <mergeCell ref="F446:G446"/>
    <mergeCell ref="F447:G447"/>
    <mergeCell ref="F434:G434"/>
    <mergeCell ref="F435:G435"/>
    <mergeCell ref="F436:G436"/>
    <mergeCell ref="F437:G437"/>
    <mergeCell ref="F438:G438"/>
    <mergeCell ref="F439:G439"/>
    <mergeCell ref="F440:G440"/>
    <mergeCell ref="F441:G441"/>
    <mergeCell ref="F442:G442"/>
    <mergeCell ref="F425:G425"/>
    <mergeCell ref="F426:G426"/>
    <mergeCell ref="F427:G427"/>
    <mergeCell ref="F428:G428"/>
    <mergeCell ref="F429:G429"/>
    <mergeCell ref="F430:G430"/>
    <mergeCell ref="F431:G431"/>
    <mergeCell ref="F432:G432"/>
    <mergeCell ref="F433:G433"/>
    <mergeCell ref="F422:G422"/>
    <mergeCell ref="F423:G423"/>
    <mergeCell ref="F424:G424"/>
    <mergeCell ref="F407:G407"/>
    <mergeCell ref="F408:G408"/>
    <mergeCell ref="F409:G409"/>
    <mergeCell ref="F410:G410"/>
    <mergeCell ref="F411:G411"/>
    <mergeCell ref="F412:G412"/>
    <mergeCell ref="F413:G413"/>
    <mergeCell ref="F414:G414"/>
    <mergeCell ref="F415:G415"/>
    <mergeCell ref="F398:G398"/>
    <mergeCell ref="F399:G399"/>
    <mergeCell ref="F400:G400"/>
    <mergeCell ref="F401:G401"/>
    <mergeCell ref="F402:G402"/>
    <mergeCell ref="F403:G403"/>
    <mergeCell ref="F404:G404"/>
    <mergeCell ref="F405:G405"/>
    <mergeCell ref="F406:G406"/>
    <mergeCell ref="F416:G416"/>
    <mergeCell ref="F417:G417"/>
    <mergeCell ref="F418:G418"/>
    <mergeCell ref="F419:G419"/>
    <mergeCell ref="F420:G420"/>
    <mergeCell ref="F421:G421"/>
    <mergeCell ref="F389:G389"/>
    <mergeCell ref="F390:G390"/>
    <mergeCell ref="F391:G391"/>
    <mergeCell ref="F392:G392"/>
    <mergeCell ref="F393:G393"/>
    <mergeCell ref="F394:G394"/>
    <mergeCell ref="F395:G395"/>
    <mergeCell ref="F396:G396"/>
    <mergeCell ref="F397:G397"/>
    <mergeCell ref="F380:G380"/>
    <mergeCell ref="F381:G381"/>
    <mergeCell ref="F382:G382"/>
    <mergeCell ref="F383:G383"/>
    <mergeCell ref="F384:G384"/>
    <mergeCell ref="F385:G385"/>
    <mergeCell ref="F386:G386"/>
    <mergeCell ref="F387:G387"/>
    <mergeCell ref="F388:G388"/>
    <mergeCell ref="F372:G372"/>
    <mergeCell ref="F373:G373"/>
    <mergeCell ref="F374:G374"/>
    <mergeCell ref="F375:G375"/>
    <mergeCell ref="F376:G376"/>
    <mergeCell ref="F377:G377"/>
    <mergeCell ref="F378:G378"/>
    <mergeCell ref="F379:G379"/>
    <mergeCell ref="F362:G362"/>
    <mergeCell ref="F363:G363"/>
    <mergeCell ref="F364:G364"/>
    <mergeCell ref="F365:G365"/>
    <mergeCell ref="F366:G366"/>
    <mergeCell ref="F367:G367"/>
    <mergeCell ref="F368:G368"/>
    <mergeCell ref="F369:G369"/>
    <mergeCell ref="F370:G370"/>
    <mergeCell ref="F354:G354"/>
    <mergeCell ref="F355:G355"/>
    <mergeCell ref="F356:G356"/>
    <mergeCell ref="F357:G357"/>
    <mergeCell ref="F358:G358"/>
    <mergeCell ref="F359:G359"/>
    <mergeCell ref="F360:G360"/>
    <mergeCell ref="F361:G361"/>
    <mergeCell ref="H440:I440"/>
    <mergeCell ref="H441:I441"/>
    <mergeCell ref="H442:I442"/>
    <mergeCell ref="H443:I443"/>
    <mergeCell ref="H444:I444"/>
    <mergeCell ref="H445:I445"/>
    <mergeCell ref="H446:I446"/>
    <mergeCell ref="H447:I447"/>
    <mergeCell ref="H432:I432"/>
    <mergeCell ref="H433:I433"/>
    <mergeCell ref="H434:I434"/>
    <mergeCell ref="H435:I435"/>
    <mergeCell ref="H436:I436"/>
    <mergeCell ref="H437:I437"/>
    <mergeCell ref="H438:I438"/>
    <mergeCell ref="H439:I439"/>
    <mergeCell ref="H419:I419"/>
    <mergeCell ref="H420:I420"/>
    <mergeCell ref="H421:I421"/>
    <mergeCell ref="H404:I404"/>
    <mergeCell ref="H405:I405"/>
    <mergeCell ref="H406:I406"/>
    <mergeCell ref="H407:I407"/>
    <mergeCell ref="F371:G371"/>
    <mergeCell ref="F338:G338"/>
    <mergeCell ref="F339:G339"/>
    <mergeCell ref="F340:G340"/>
    <mergeCell ref="F341:G341"/>
    <mergeCell ref="F342:G342"/>
    <mergeCell ref="F343:G343"/>
    <mergeCell ref="F344:G344"/>
    <mergeCell ref="F345:G345"/>
    <mergeCell ref="F346:G346"/>
    <mergeCell ref="F347:G347"/>
    <mergeCell ref="F348:G348"/>
    <mergeCell ref="F349:G349"/>
    <mergeCell ref="F350:G350"/>
    <mergeCell ref="F351:G351"/>
    <mergeCell ref="F352:G352"/>
    <mergeCell ref="H431:I431"/>
    <mergeCell ref="H422:I422"/>
    <mergeCell ref="H423:I423"/>
    <mergeCell ref="H424:I424"/>
    <mergeCell ref="H425:I425"/>
    <mergeCell ref="H426:I426"/>
    <mergeCell ref="H427:I427"/>
    <mergeCell ref="H428:I428"/>
    <mergeCell ref="H429:I429"/>
    <mergeCell ref="H430:I430"/>
    <mergeCell ref="H413:I413"/>
    <mergeCell ref="H414:I414"/>
    <mergeCell ref="H415:I415"/>
    <mergeCell ref="H416:I416"/>
    <mergeCell ref="H417:I417"/>
    <mergeCell ref="H418:I418"/>
    <mergeCell ref="F353:G353"/>
    <mergeCell ref="H408:I408"/>
    <mergeCell ref="H409:I409"/>
    <mergeCell ref="H410:I410"/>
    <mergeCell ref="H411:I411"/>
    <mergeCell ref="H412:I412"/>
    <mergeCell ref="H395:I395"/>
    <mergeCell ref="H396:I396"/>
    <mergeCell ref="H397:I397"/>
    <mergeCell ref="H398:I398"/>
    <mergeCell ref="H399:I399"/>
    <mergeCell ref="H400:I400"/>
    <mergeCell ref="H401:I401"/>
    <mergeCell ref="H402:I402"/>
    <mergeCell ref="H403:I403"/>
    <mergeCell ref="H386:I386"/>
    <mergeCell ref="H387:I387"/>
    <mergeCell ref="H388:I388"/>
    <mergeCell ref="H389:I389"/>
    <mergeCell ref="H390:I390"/>
    <mergeCell ref="H391:I391"/>
    <mergeCell ref="H392:I392"/>
    <mergeCell ref="H393:I393"/>
    <mergeCell ref="H394:I394"/>
    <mergeCell ref="H377:I377"/>
    <mergeCell ref="H378:I378"/>
    <mergeCell ref="H379:I379"/>
    <mergeCell ref="H380:I380"/>
    <mergeCell ref="H381:I381"/>
    <mergeCell ref="H382:I382"/>
    <mergeCell ref="H383:I383"/>
    <mergeCell ref="H384:I384"/>
    <mergeCell ref="H385:I385"/>
    <mergeCell ref="H368:I368"/>
    <mergeCell ref="H369:I369"/>
    <mergeCell ref="H370:I370"/>
    <mergeCell ref="H371:I371"/>
    <mergeCell ref="H372:I372"/>
    <mergeCell ref="H373:I373"/>
    <mergeCell ref="H374:I374"/>
    <mergeCell ref="H375:I375"/>
    <mergeCell ref="H376:I376"/>
    <mergeCell ref="H359:I359"/>
    <mergeCell ref="H360:I360"/>
    <mergeCell ref="H361:I361"/>
    <mergeCell ref="H362:I362"/>
    <mergeCell ref="H363:I363"/>
    <mergeCell ref="H364:I364"/>
    <mergeCell ref="H365:I365"/>
    <mergeCell ref="H366:I366"/>
    <mergeCell ref="H367:I367"/>
    <mergeCell ref="J446:K446"/>
    <mergeCell ref="J447:K447"/>
    <mergeCell ref="H337:I337"/>
    <mergeCell ref="H338:I338"/>
    <mergeCell ref="H339:I339"/>
    <mergeCell ref="H340:I340"/>
    <mergeCell ref="H341:I341"/>
    <mergeCell ref="H342:I342"/>
    <mergeCell ref="H343:I343"/>
    <mergeCell ref="H344:I344"/>
    <mergeCell ref="H345:I345"/>
    <mergeCell ref="H346:I346"/>
    <mergeCell ref="H347:I347"/>
    <mergeCell ref="H348:I348"/>
    <mergeCell ref="H349:I349"/>
    <mergeCell ref="H350:I350"/>
    <mergeCell ref="H351:I351"/>
    <mergeCell ref="H352:I352"/>
    <mergeCell ref="H353:I353"/>
    <mergeCell ref="H354:I354"/>
    <mergeCell ref="H355:I355"/>
    <mergeCell ref="H356:I356"/>
    <mergeCell ref="H357:I357"/>
    <mergeCell ref="H358:I358"/>
    <mergeCell ref="J437:K437"/>
    <mergeCell ref="J438:K438"/>
    <mergeCell ref="J439:K439"/>
    <mergeCell ref="J440:K440"/>
    <mergeCell ref="J441:K441"/>
    <mergeCell ref="J442:K442"/>
    <mergeCell ref="J443:K443"/>
    <mergeCell ref="J444:K444"/>
    <mergeCell ref="J445:K445"/>
    <mergeCell ref="J428:K428"/>
    <mergeCell ref="J429:K429"/>
    <mergeCell ref="J430:K430"/>
    <mergeCell ref="J431:K431"/>
    <mergeCell ref="J432:K432"/>
    <mergeCell ref="J433:K433"/>
    <mergeCell ref="J434:K434"/>
    <mergeCell ref="J435:K435"/>
    <mergeCell ref="J436:K436"/>
    <mergeCell ref="J419:K419"/>
    <mergeCell ref="J420:K420"/>
    <mergeCell ref="J421:K421"/>
    <mergeCell ref="J422:K422"/>
    <mergeCell ref="J423:K423"/>
    <mergeCell ref="J424:K424"/>
    <mergeCell ref="J425:K425"/>
    <mergeCell ref="J426:K426"/>
    <mergeCell ref="J427:K427"/>
    <mergeCell ref="J410:K410"/>
    <mergeCell ref="J411:K411"/>
    <mergeCell ref="J412:K412"/>
    <mergeCell ref="J413:K413"/>
    <mergeCell ref="J414:K414"/>
    <mergeCell ref="J415:K415"/>
    <mergeCell ref="J416:K416"/>
    <mergeCell ref="J417:K417"/>
    <mergeCell ref="J418:K418"/>
    <mergeCell ref="J401:K401"/>
    <mergeCell ref="J402:K402"/>
    <mergeCell ref="J403:K403"/>
    <mergeCell ref="J404:K404"/>
    <mergeCell ref="J405:K405"/>
    <mergeCell ref="J406:K406"/>
    <mergeCell ref="J407:K407"/>
    <mergeCell ref="J408:K408"/>
    <mergeCell ref="J409:K409"/>
    <mergeCell ref="J392:K392"/>
    <mergeCell ref="J393:K393"/>
    <mergeCell ref="J394:K394"/>
    <mergeCell ref="J395:K395"/>
    <mergeCell ref="J396:K396"/>
    <mergeCell ref="J397:K397"/>
    <mergeCell ref="J398:K398"/>
    <mergeCell ref="J399:K399"/>
    <mergeCell ref="J400:K400"/>
    <mergeCell ref="J383:K383"/>
    <mergeCell ref="J384:K384"/>
    <mergeCell ref="J385:K385"/>
    <mergeCell ref="J386:K386"/>
    <mergeCell ref="J387:K387"/>
    <mergeCell ref="J388:K388"/>
    <mergeCell ref="J389:K389"/>
    <mergeCell ref="J390:K390"/>
    <mergeCell ref="J391:K391"/>
    <mergeCell ref="J374:K374"/>
    <mergeCell ref="J375:K375"/>
    <mergeCell ref="J376:K376"/>
    <mergeCell ref="J377:K377"/>
    <mergeCell ref="J378:K378"/>
    <mergeCell ref="J379:K379"/>
    <mergeCell ref="J380:K380"/>
    <mergeCell ref="J381:K381"/>
    <mergeCell ref="J382:K382"/>
    <mergeCell ref="J365:K365"/>
    <mergeCell ref="J366:K366"/>
    <mergeCell ref="J367:K367"/>
    <mergeCell ref="J368:K368"/>
    <mergeCell ref="J369:K369"/>
    <mergeCell ref="J370:K370"/>
    <mergeCell ref="J371:K371"/>
    <mergeCell ref="J372:K372"/>
    <mergeCell ref="J373:K373"/>
    <mergeCell ref="J356:K356"/>
    <mergeCell ref="J357:K357"/>
    <mergeCell ref="J358:K358"/>
    <mergeCell ref="J359:K359"/>
    <mergeCell ref="J360:K360"/>
    <mergeCell ref="J361:K361"/>
    <mergeCell ref="J362:K362"/>
    <mergeCell ref="J363:K363"/>
    <mergeCell ref="J364:K364"/>
    <mergeCell ref="L443:M443"/>
    <mergeCell ref="L444:M444"/>
    <mergeCell ref="L445:M445"/>
    <mergeCell ref="L446:M446"/>
    <mergeCell ref="L447:M447"/>
    <mergeCell ref="J337:K337"/>
    <mergeCell ref="J338:K338"/>
    <mergeCell ref="J339:K339"/>
    <mergeCell ref="J340:K340"/>
    <mergeCell ref="J341:K341"/>
    <mergeCell ref="J342:K342"/>
    <mergeCell ref="J343:K343"/>
    <mergeCell ref="J344:K344"/>
    <mergeCell ref="J345:K345"/>
    <mergeCell ref="J346:K346"/>
    <mergeCell ref="J347:K347"/>
    <mergeCell ref="J348:K348"/>
    <mergeCell ref="J349:K349"/>
    <mergeCell ref="J350:K350"/>
    <mergeCell ref="J351:K351"/>
    <mergeCell ref="J352:K352"/>
    <mergeCell ref="J353:K353"/>
    <mergeCell ref="J354:K354"/>
    <mergeCell ref="J355:K355"/>
    <mergeCell ref="L434:M434"/>
    <mergeCell ref="L435:M435"/>
    <mergeCell ref="L436:M436"/>
    <mergeCell ref="L437:M437"/>
    <mergeCell ref="L438:M438"/>
    <mergeCell ref="L439:M439"/>
    <mergeCell ref="L440:M440"/>
    <mergeCell ref="L441:M441"/>
    <mergeCell ref="L442:M442"/>
    <mergeCell ref="L425:M425"/>
    <mergeCell ref="L426:M426"/>
    <mergeCell ref="L427:M427"/>
    <mergeCell ref="L428:M428"/>
    <mergeCell ref="L429:M429"/>
    <mergeCell ref="L430:M430"/>
    <mergeCell ref="L431:M431"/>
    <mergeCell ref="L432:M432"/>
    <mergeCell ref="L433:M433"/>
    <mergeCell ref="L416:M416"/>
    <mergeCell ref="L417:M417"/>
    <mergeCell ref="L418:M418"/>
    <mergeCell ref="L419:M419"/>
    <mergeCell ref="L420:M420"/>
    <mergeCell ref="L421:M421"/>
    <mergeCell ref="L422:M422"/>
    <mergeCell ref="L423:M423"/>
    <mergeCell ref="L424:M424"/>
    <mergeCell ref="L407:M407"/>
    <mergeCell ref="L408:M408"/>
    <mergeCell ref="L409:M409"/>
    <mergeCell ref="L410:M410"/>
    <mergeCell ref="L411:M411"/>
    <mergeCell ref="L412:M412"/>
    <mergeCell ref="L413:M413"/>
    <mergeCell ref="L414:M414"/>
    <mergeCell ref="L415:M415"/>
    <mergeCell ref="L398:M398"/>
    <mergeCell ref="L399:M399"/>
    <mergeCell ref="L400:M400"/>
    <mergeCell ref="L401:M401"/>
    <mergeCell ref="L402:M402"/>
    <mergeCell ref="L403:M403"/>
    <mergeCell ref="L404:M404"/>
    <mergeCell ref="L405:M405"/>
    <mergeCell ref="L406:M406"/>
    <mergeCell ref="L389:M389"/>
    <mergeCell ref="L390:M390"/>
    <mergeCell ref="L391:M391"/>
    <mergeCell ref="L392:M392"/>
    <mergeCell ref="L393:M393"/>
    <mergeCell ref="L394:M394"/>
    <mergeCell ref="L395:M395"/>
    <mergeCell ref="L396:M396"/>
    <mergeCell ref="L397:M397"/>
    <mergeCell ref="L380:M380"/>
    <mergeCell ref="L381:M381"/>
    <mergeCell ref="L382:M382"/>
    <mergeCell ref="L383:M383"/>
    <mergeCell ref="L384:M384"/>
    <mergeCell ref="L385:M385"/>
    <mergeCell ref="L386:M386"/>
    <mergeCell ref="L387:M387"/>
    <mergeCell ref="L388:M388"/>
    <mergeCell ref="L371:M371"/>
    <mergeCell ref="L372:M372"/>
    <mergeCell ref="L373:M373"/>
    <mergeCell ref="L374:M374"/>
    <mergeCell ref="L375:M375"/>
    <mergeCell ref="L376:M376"/>
    <mergeCell ref="L377:M377"/>
    <mergeCell ref="L378:M378"/>
    <mergeCell ref="L379:M379"/>
    <mergeCell ref="L362:M362"/>
    <mergeCell ref="L363:M363"/>
    <mergeCell ref="L364:M364"/>
    <mergeCell ref="L365:M365"/>
    <mergeCell ref="L366:M366"/>
    <mergeCell ref="L367:M367"/>
    <mergeCell ref="L368:M368"/>
    <mergeCell ref="L369:M369"/>
    <mergeCell ref="L370:M370"/>
    <mergeCell ref="N440:O440"/>
    <mergeCell ref="N441:O441"/>
    <mergeCell ref="N442:O442"/>
    <mergeCell ref="N443:O443"/>
    <mergeCell ref="N444:O444"/>
    <mergeCell ref="N445:O445"/>
    <mergeCell ref="N446:O446"/>
    <mergeCell ref="N447:O447"/>
    <mergeCell ref="N432:O432"/>
    <mergeCell ref="N433:O433"/>
    <mergeCell ref="N434:O434"/>
    <mergeCell ref="N435:O435"/>
    <mergeCell ref="N436:O436"/>
    <mergeCell ref="N437:O437"/>
    <mergeCell ref="N438:O438"/>
    <mergeCell ref="N439:O439"/>
    <mergeCell ref="N419:O419"/>
    <mergeCell ref="N420:O420"/>
    <mergeCell ref="N421:O421"/>
    <mergeCell ref="L346:M346"/>
    <mergeCell ref="L347:M347"/>
    <mergeCell ref="L348:M348"/>
    <mergeCell ref="L349:M349"/>
    <mergeCell ref="L350:M350"/>
    <mergeCell ref="L351:M351"/>
    <mergeCell ref="L352:M352"/>
    <mergeCell ref="N431:O431"/>
    <mergeCell ref="N422:O422"/>
    <mergeCell ref="N423:O423"/>
    <mergeCell ref="N424:O424"/>
    <mergeCell ref="N425:O425"/>
    <mergeCell ref="N426:O426"/>
    <mergeCell ref="N427:O427"/>
    <mergeCell ref="N428:O428"/>
    <mergeCell ref="N429:O429"/>
    <mergeCell ref="N430:O430"/>
    <mergeCell ref="N413:O413"/>
    <mergeCell ref="N414:O414"/>
    <mergeCell ref="N415:O415"/>
    <mergeCell ref="N416:O416"/>
    <mergeCell ref="N417:O417"/>
    <mergeCell ref="N418:O418"/>
    <mergeCell ref="L353:M353"/>
    <mergeCell ref="L354:M354"/>
    <mergeCell ref="L355:M355"/>
    <mergeCell ref="L356:M356"/>
    <mergeCell ref="L357:M357"/>
    <mergeCell ref="L358:M358"/>
    <mergeCell ref="L359:M359"/>
    <mergeCell ref="L360:M360"/>
    <mergeCell ref="L361:M361"/>
    <mergeCell ref="N408:O408"/>
    <mergeCell ref="N409:O409"/>
    <mergeCell ref="N410:O410"/>
    <mergeCell ref="N411:O411"/>
    <mergeCell ref="N412:O412"/>
    <mergeCell ref="N395:O395"/>
    <mergeCell ref="N396:O396"/>
    <mergeCell ref="N397:O397"/>
    <mergeCell ref="N398:O398"/>
    <mergeCell ref="N399:O399"/>
    <mergeCell ref="N400:O400"/>
    <mergeCell ref="N401:O401"/>
    <mergeCell ref="N402:O402"/>
    <mergeCell ref="N403:O403"/>
    <mergeCell ref="N386:O386"/>
    <mergeCell ref="N387:O387"/>
    <mergeCell ref="N388:O388"/>
    <mergeCell ref="N389:O389"/>
    <mergeCell ref="N390:O390"/>
    <mergeCell ref="N391:O391"/>
    <mergeCell ref="N392:O392"/>
    <mergeCell ref="N393:O393"/>
    <mergeCell ref="N394:O394"/>
    <mergeCell ref="N404:O404"/>
    <mergeCell ref="N405:O405"/>
    <mergeCell ref="N406:O406"/>
    <mergeCell ref="N407:O407"/>
    <mergeCell ref="N377:O377"/>
    <mergeCell ref="N378:O378"/>
    <mergeCell ref="N379:O379"/>
    <mergeCell ref="N380:O380"/>
    <mergeCell ref="N381:O381"/>
    <mergeCell ref="N382:O382"/>
    <mergeCell ref="N383:O383"/>
    <mergeCell ref="N384:O384"/>
    <mergeCell ref="N385:O385"/>
    <mergeCell ref="N368:O368"/>
    <mergeCell ref="N369:O369"/>
    <mergeCell ref="N370:O370"/>
    <mergeCell ref="N371:O371"/>
    <mergeCell ref="N372:O372"/>
    <mergeCell ref="N373:O373"/>
    <mergeCell ref="N374:O374"/>
    <mergeCell ref="N375:O375"/>
    <mergeCell ref="N376:O376"/>
    <mergeCell ref="N359:O359"/>
    <mergeCell ref="N360:O360"/>
    <mergeCell ref="N361:O361"/>
    <mergeCell ref="N362:O362"/>
    <mergeCell ref="N363:O363"/>
    <mergeCell ref="N364:O364"/>
    <mergeCell ref="N365:O365"/>
    <mergeCell ref="N366:O366"/>
    <mergeCell ref="N367:O367"/>
    <mergeCell ref="D446:E446"/>
    <mergeCell ref="D447:E447"/>
    <mergeCell ref="N337:O337"/>
    <mergeCell ref="N338:O338"/>
    <mergeCell ref="N339:O339"/>
    <mergeCell ref="N340:O340"/>
    <mergeCell ref="N341:O341"/>
    <mergeCell ref="N342:O342"/>
    <mergeCell ref="N343:O343"/>
    <mergeCell ref="N344:O344"/>
    <mergeCell ref="N345:O345"/>
    <mergeCell ref="N346:O346"/>
    <mergeCell ref="N347:O347"/>
    <mergeCell ref="N348:O348"/>
    <mergeCell ref="N349:O349"/>
    <mergeCell ref="N350:O350"/>
    <mergeCell ref="N351:O351"/>
    <mergeCell ref="N352:O352"/>
    <mergeCell ref="N353:O353"/>
    <mergeCell ref="N354:O354"/>
    <mergeCell ref="N355:O355"/>
    <mergeCell ref="N356:O356"/>
    <mergeCell ref="N357:O357"/>
    <mergeCell ref="N358:O358"/>
    <mergeCell ref="D437:E437"/>
    <mergeCell ref="D438:E438"/>
    <mergeCell ref="D439:E439"/>
    <mergeCell ref="D440:E440"/>
    <mergeCell ref="D441:E441"/>
    <mergeCell ref="D442:E442"/>
    <mergeCell ref="D443:E443"/>
    <mergeCell ref="D444:E444"/>
    <mergeCell ref="D445:E445"/>
    <mergeCell ref="D428:E428"/>
    <mergeCell ref="D429:E429"/>
    <mergeCell ref="D430:E430"/>
    <mergeCell ref="D431:E431"/>
    <mergeCell ref="D432:E432"/>
    <mergeCell ref="D433:E433"/>
    <mergeCell ref="D434:E434"/>
    <mergeCell ref="D435:E435"/>
    <mergeCell ref="D436:E436"/>
    <mergeCell ref="D419:E419"/>
    <mergeCell ref="D420:E420"/>
    <mergeCell ref="D421:E421"/>
    <mergeCell ref="D422:E422"/>
    <mergeCell ref="D423:E423"/>
    <mergeCell ref="D424:E424"/>
    <mergeCell ref="D425:E425"/>
    <mergeCell ref="D426:E426"/>
    <mergeCell ref="D427:E427"/>
    <mergeCell ref="D410:E410"/>
    <mergeCell ref="D411:E411"/>
    <mergeCell ref="D412:E412"/>
    <mergeCell ref="D413:E413"/>
    <mergeCell ref="D414:E414"/>
    <mergeCell ref="D415:E415"/>
    <mergeCell ref="D416:E416"/>
    <mergeCell ref="D417:E417"/>
    <mergeCell ref="D418:E418"/>
    <mergeCell ref="D401:E401"/>
    <mergeCell ref="D402:E402"/>
    <mergeCell ref="D403:E403"/>
    <mergeCell ref="D404:E404"/>
    <mergeCell ref="D405:E405"/>
    <mergeCell ref="D406:E406"/>
    <mergeCell ref="D407:E407"/>
    <mergeCell ref="D408:E408"/>
    <mergeCell ref="D409:E409"/>
    <mergeCell ref="D392:E392"/>
    <mergeCell ref="D393:E393"/>
    <mergeCell ref="D394:E394"/>
    <mergeCell ref="D395:E395"/>
    <mergeCell ref="D396:E396"/>
    <mergeCell ref="D397:E397"/>
    <mergeCell ref="D398:E398"/>
    <mergeCell ref="D399:E399"/>
    <mergeCell ref="D400:E400"/>
    <mergeCell ref="D383:E383"/>
    <mergeCell ref="D384:E384"/>
    <mergeCell ref="D385:E385"/>
    <mergeCell ref="D386:E386"/>
    <mergeCell ref="D387:E387"/>
    <mergeCell ref="D388:E388"/>
    <mergeCell ref="D389:E389"/>
    <mergeCell ref="D390:E390"/>
    <mergeCell ref="D391:E391"/>
    <mergeCell ref="D374:E374"/>
    <mergeCell ref="D375:E375"/>
    <mergeCell ref="D376:E376"/>
    <mergeCell ref="D377:E377"/>
    <mergeCell ref="D378:E378"/>
    <mergeCell ref="D379:E379"/>
    <mergeCell ref="D380:E380"/>
    <mergeCell ref="D381:E381"/>
    <mergeCell ref="D382:E382"/>
    <mergeCell ref="D365:E365"/>
    <mergeCell ref="D366:E366"/>
    <mergeCell ref="D367:E367"/>
    <mergeCell ref="D368:E368"/>
    <mergeCell ref="D369:E369"/>
    <mergeCell ref="D370:E370"/>
    <mergeCell ref="D371:E371"/>
    <mergeCell ref="D372:E372"/>
    <mergeCell ref="D373:E373"/>
    <mergeCell ref="D356:E356"/>
    <mergeCell ref="D357:E357"/>
    <mergeCell ref="D358:E358"/>
    <mergeCell ref="D359:E359"/>
    <mergeCell ref="D360:E360"/>
    <mergeCell ref="D361:E361"/>
    <mergeCell ref="D362:E362"/>
    <mergeCell ref="D363:E363"/>
    <mergeCell ref="D364:E364"/>
    <mergeCell ref="B445:C445"/>
    <mergeCell ref="B446:C446"/>
    <mergeCell ref="B447:C447"/>
    <mergeCell ref="A449:O449"/>
    <mergeCell ref="A448:O448"/>
    <mergeCell ref="D337:E337"/>
    <mergeCell ref="D338:E338"/>
    <mergeCell ref="D339:E339"/>
    <mergeCell ref="D340:E340"/>
    <mergeCell ref="D341:E341"/>
    <mergeCell ref="D342:E342"/>
    <mergeCell ref="D343:E343"/>
    <mergeCell ref="D344:E344"/>
    <mergeCell ref="D345:E345"/>
    <mergeCell ref="D346:E346"/>
    <mergeCell ref="D347:E347"/>
    <mergeCell ref="D348:E348"/>
    <mergeCell ref="D349:E349"/>
    <mergeCell ref="D350:E350"/>
    <mergeCell ref="D351:E351"/>
    <mergeCell ref="D352:E352"/>
    <mergeCell ref="D353:E353"/>
    <mergeCell ref="D354:E354"/>
    <mergeCell ref="D355:E355"/>
    <mergeCell ref="B436:C436"/>
    <mergeCell ref="B437:C437"/>
    <mergeCell ref="B438:C438"/>
    <mergeCell ref="B439:C439"/>
    <mergeCell ref="B440:C440"/>
    <mergeCell ref="B441:C441"/>
    <mergeCell ref="B442:C442"/>
    <mergeCell ref="B443:C443"/>
    <mergeCell ref="B444:C444"/>
    <mergeCell ref="B427:C427"/>
    <mergeCell ref="B428:C428"/>
    <mergeCell ref="B429:C429"/>
    <mergeCell ref="B430:C430"/>
    <mergeCell ref="B431:C431"/>
    <mergeCell ref="B432:C432"/>
    <mergeCell ref="B433:C433"/>
    <mergeCell ref="B434:C434"/>
    <mergeCell ref="B435:C435"/>
    <mergeCell ref="B418:C418"/>
    <mergeCell ref="B419:C419"/>
    <mergeCell ref="B420:C420"/>
    <mergeCell ref="B421:C421"/>
    <mergeCell ref="B422:C422"/>
    <mergeCell ref="B423:C423"/>
    <mergeCell ref="B424:C424"/>
    <mergeCell ref="B425:C425"/>
    <mergeCell ref="B426:C426"/>
    <mergeCell ref="B409:C409"/>
    <mergeCell ref="B410:C410"/>
    <mergeCell ref="B411:C411"/>
    <mergeCell ref="B412:C412"/>
    <mergeCell ref="B413:C413"/>
    <mergeCell ref="B414:C414"/>
    <mergeCell ref="B415:C415"/>
    <mergeCell ref="B416:C416"/>
    <mergeCell ref="B417:C417"/>
    <mergeCell ref="B400:C400"/>
    <mergeCell ref="B401:C401"/>
    <mergeCell ref="B402:C402"/>
    <mergeCell ref="B403:C403"/>
    <mergeCell ref="B404:C404"/>
    <mergeCell ref="B405:C405"/>
    <mergeCell ref="B406:C406"/>
    <mergeCell ref="B407:C407"/>
    <mergeCell ref="B408:C408"/>
    <mergeCell ref="B391:C391"/>
    <mergeCell ref="B392:C392"/>
    <mergeCell ref="B393:C393"/>
    <mergeCell ref="B394:C394"/>
    <mergeCell ref="B395:C395"/>
    <mergeCell ref="B396:C396"/>
    <mergeCell ref="B397:C397"/>
    <mergeCell ref="B398:C398"/>
    <mergeCell ref="B399:C399"/>
    <mergeCell ref="B382:C382"/>
    <mergeCell ref="B383:C383"/>
    <mergeCell ref="B384:C384"/>
    <mergeCell ref="B385:C385"/>
    <mergeCell ref="B386:C386"/>
    <mergeCell ref="B387:C387"/>
    <mergeCell ref="B388:C388"/>
    <mergeCell ref="B389:C389"/>
    <mergeCell ref="B390:C390"/>
    <mergeCell ref="B373:C373"/>
    <mergeCell ref="B374:C374"/>
    <mergeCell ref="B375:C375"/>
    <mergeCell ref="B376:C376"/>
    <mergeCell ref="B377:C377"/>
    <mergeCell ref="B378:C378"/>
    <mergeCell ref="B379:C379"/>
    <mergeCell ref="B380:C380"/>
    <mergeCell ref="B381:C381"/>
    <mergeCell ref="B364:C364"/>
    <mergeCell ref="B365:C365"/>
    <mergeCell ref="B366:C366"/>
    <mergeCell ref="B367:C367"/>
    <mergeCell ref="B368:C368"/>
    <mergeCell ref="B369:C369"/>
    <mergeCell ref="B370:C370"/>
    <mergeCell ref="B371:C371"/>
    <mergeCell ref="B372:C372"/>
    <mergeCell ref="B355:C355"/>
    <mergeCell ref="B356:C356"/>
    <mergeCell ref="B357:C357"/>
    <mergeCell ref="B358:C358"/>
    <mergeCell ref="B359:C359"/>
    <mergeCell ref="B360:C360"/>
    <mergeCell ref="B361:C361"/>
    <mergeCell ref="B362:C362"/>
    <mergeCell ref="B363:C363"/>
    <mergeCell ref="B346:C346"/>
    <mergeCell ref="B347:C347"/>
    <mergeCell ref="B348:C348"/>
    <mergeCell ref="B349:C349"/>
    <mergeCell ref="B350:C350"/>
    <mergeCell ref="B351:C351"/>
    <mergeCell ref="B352:C352"/>
    <mergeCell ref="B353:C353"/>
    <mergeCell ref="B354:C354"/>
    <mergeCell ref="B337:C337"/>
    <mergeCell ref="B338:C338"/>
    <mergeCell ref="B339:C339"/>
    <mergeCell ref="B340:C340"/>
    <mergeCell ref="B341:C341"/>
    <mergeCell ref="B342:C342"/>
    <mergeCell ref="B343:C343"/>
    <mergeCell ref="B344:C344"/>
    <mergeCell ref="B345:C345"/>
    <mergeCell ref="A335:O335"/>
    <mergeCell ref="K316:O316"/>
    <mergeCell ref="K317:O317"/>
    <mergeCell ref="K318:O318"/>
    <mergeCell ref="K319:O319"/>
    <mergeCell ref="K320:O320"/>
    <mergeCell ref="A334:O334"/>
    <mergeCell ref="K307:O307"/>
    <mergeCell ref="K308:O308"/>
    <mergeCell ref="K309:O309"/>
    <mergeCell ref="K310:O310"/>
    <mergeCell ref="K311:O311"/>
    <mergeCell ref="K315:O315"/>
    <mergeCell ref="L337:M337"/>
    <mergeCell ref="L338:M338"/>
    <mergeCell ref="L339:M339"/>
    <mergeCell ref="L340:M340"/>
    <mergeCell ref="L341:M341"/>
    <mergeCell ref="L342:M342"/>
    <mergeCell ref="L343:M343"/>
    <mergeCell ref="L344:M344"/>
    <mergeCell ref="L345:M345"/>
    <mergeCell ref="F337:G337"/>
    <mergeCell ref="K312:O312"/>
    <mergeCell ref="K313:O313"/>
    <mergeCell ref="K314:O314"/>
    <mergeCell ref="K298:O298"/>
    <mergeCell ref="K299:O299"/>
    <mergeCell ref="K300:O300"/>
    <mergeCell ref="K301:O301"/>
    <mergeCell ref="K302:O302"/>
    <mergeCell ref="K303:O303"/>
    <mergeCell ref="K304:O304"/>
    <mergeCell ref="K305:O305"/>
    <mergeCell ref="K306:O306"/>
    <mergeCell ref="K289:O289"/>
    <mergeCell ref="K290:O290"/>
    <mergeCell ref="K291:O291"/>
    <mergeCell ref="K292:O292"/>
    <mergeCell ref="K293:O293"/>
    <mergeCell ref="K294:O294"/>
    <mergeCell ref="K295:O295"/>
    <mergeCell ref="K296:O296"/>
    <mergeCell ref="K297:O297"/>
    <mergeCell ref="K281:O281"/>
    <mergeCell ref="K282:O282"/>
    <mergeCell ref="K283:O283"/>
    <mergeCell ref="K264:O264"/>
    <mergeCell ref="K265:O265"/>
    <mergeCell ref="K266:O266"/>
    <mergeCell ref="K284:O284"/>
    <mergeCell ref="K285:O285"/>
    <mergeCell ref="K286:O286"/>
    <mergeCell ref="K287:O287"/>
    <mergeCell ref="K288:O288"/>
    <mergeCell ref="K271:O271"/>
    <mergeCell ref="K272:O272"/>
    <mergeCell ref="K273:O273"/>
    <mergeCell ref="K274:O274"/>
    <mergeCell ref="K275:O275"/>
    <mergeCell ref="K276:O276"/>
    <mergeCell ref="K277:O277"/>
    <mergeCell ref="K278:O278"/>
    <mergeCell ref="K279:O279"/>
    <mergeCell ref="K267:O267"/>
    <mergeCell ref="K268:O268"/>
    <mergeCell ref="K269:O269"/>
    <mergeCell ref="K270:O270"/>
    <mergeCell ref="K260:O260"/>
    <mergeCell ref="K261:O261"/>
    <mergeCell ref="K280:O280"/>
    <mergeCell ref="A1:O1"/>
    <mergeCell ref="A2:O2"/>
    <mergeCell ref="A3:O3"/>
    <mergeCell ref="A12:O12"/>
    <mergeCell ref="A16:O16"/>
    <mergeCell ref="A17:O17"/>
    <mergeCell ref="A108:O108"/>
    <mergeCell ref="A24:J24"/>
    <mergeCell ref="A25:J25"/>
    <mergeCell ref="A26:J26"/>
    <mergeCell ref="A27:J27"/>
    <mergeCell ref="A28:J28"/>
    <mergeCell ref="A29:J29"/>
    <mergeCell ref="A18:J18"/>
    <mergeCell ref="A19:J19"/>
    <mergeCell ref="A20:J20"/>
    <mergeCell ref="A21:J21"/>
    <mergeCell ref="A22:J22"/>
    <mergeCell ref="A23:J23"/>
    <mergeCell ref="A7:O7"/>
    <mergeCell ref="A40:J40"/>
    <mergeCell ref="A107:O107"/>
    <mergeCell ref="A15:O15"/>
    <mergeCell ref="A88:O88"/>
    <mergeCell ref="A42:J42"/>
    <mergeCell ref="A13:O13"/>
    <mergeCell ref="A14:D14"/>
    <mergeCell ref="E14:O14"/>
    <mergeCell ref="A41:J41"/>
    <mergeCell ref="A30:J30"/>
    <mergeCell ref="A31:J31"/>
    <mergeCell ref="A32:J32"/>
    <mergeCell ref="A33:J33"/>
    <mergeCell ref="A34:J34"/>
    <mergeCell ref="A35:J35"/>
    <mergeCell ref="K253:O253"/>
    <mergeCell ref="A4:O4"/>
    <mergeCell ref="A5:O5"/>
    <mergeCell ref="A6:O6"/>
    <mergeCell ref="A8:O8"/>
    <mergeCell ref="A9:O9"/>
    <mergeCell ref="A10:O10"/>
    <mergeCell ref="A11:O11"/>
    <mergeCell ref="B158:H158"/>
    <mergeCell ref="B147:H147"/>
    <mergeCell ref="B148:H148"/>
    <mergeCell ref="B149:H149"/>
    <mergeCell ref="B150:H150"/>
    <mergeCell ref="B151:H151"/>
    <mergeCell ref="B152:H152"/>
    <mergeCell ref="B153:H153"/>
    <mergeCell ref="B154:H154"/>
    <mergeCell ref="B155:H155"/>
    <mergeCell ref="B156:H156"/>
    <mergeCell ref="B157:H157"/>
    <mergeCell ref="E62:I62"/>
    <mergeCell ref="E63:I63"/>
    <mergeCell ref="E75:I75"/>
    <mergeCell ref="E82:I82"/>
    <mergeCell ref="A38:J38"/>
    <mergeCell ref="A39:J39"/>
    <mergeCell ref="A45:O45"/>
    <mergeCell ref="A46:O46"/>
    <mergeCell ref="A43:J43"/>
    <mergeCell ref="A87:O87"/>
    <mergeCell ref="A44:O44"/>
    <mergeCell ref="A36:J36"/>
    <mergeCell ref="A37:J37"/>
    <mergeCell ref="K252:O252"/>
    <mergeCell ref="K262:O262"/>
    <mergeCell ref="K263:O263"/>
    <mergeCell ref="A221:O221"/>
    <mergeCell ref="A222:O222"/>
    <mergeCell ref="B223:C223"/>
    <mergeCell ref="K223:O223"/>
    <mergeCell ref="B224:C224"/>
    <mergeCell ref="B225:C225"/>
    <mergeCell ref="B226:C226"/>
    <mergeCell ref="B227:C227"/>
    <mergeCell ref="B228:C228"/>
    <mergeCell ref="B229:C229"/>
    <mergeCell ref="B230:C230"/>
    <mergeCell ref="B231:C231"/>
    <mergeCell ref="B232:C232"/>
    <mergeCell ref="K229:O229"/>
    <mergeCell ref="K230:O230"/>
    <mergeCell ref="K231:O231"/>
    <mergeCell ref="K232:O232"/>
    <mergeCell ref="B233:C233"/>
    <mergeCell ref="B234:C234"/>
    <mergeCell ref="K233:O233"/>
    <mergeCell ref="K234:O234"/>
    <mergeCell ref="K228:O228"/>
    <mergeCell ref="B236:C236"/>
    <mergeCell ref="K254:O254"/>
    <mergeCell ref="K255:O255"/>
    <mergeCell ref="K256:O256"/>
    <mergeCell ref="K257:O257"/>
    <mergeCell ref="K258:O258"/>
    <mergeCell ref="K259:O259"/>
    <mergeCell ref="B238:C238"/>
    <mergeCell ref="B239:C239"/>
    <mergeCell ref="B240:C240"/>
    <mergeCell ref="B241:C241"/>
    <mergeCell ref="B242:C242"/>
    <mergeCell ref="B243:C243"/>
    <mergeCell ref="B244:C244"/>
    <mergeCell ref="B245:C245"/>
    <mergeCell ref="B246:C246"/>
    <mergeCell ref="B247:C247"/>
    <mergeCell ref="B248:C248"/>
    <mergeCell ref="B249:C249"/>
    <mergeCell ref="K247:O247"/>
    <mergeCell ref="K248:O248"/>
    <mergeCell ref="K249:O249"/>
    <mergeCell ref="K250:O250"/>
    <mergeCell ref="K251:O251"/>
    <mergeCell ref="B237:C237"/>
    <mergeCell ref="B286:C286"/>
    <mergeCell ref="B287:C287"/>
    <mergeCell ref="B250:C250"/>
    <mergeCell ref="B251:C251"/>
    <mergeCell ref="B252:C252"/>
    <mergeCell ref="B253:C253"/>
    <mergeCell ref="B254:C254"/>
    <mergeCell ref="B255:C255"/>
    <mergeCell ref="B256:C256"/>
    <mergeCell ref="B257:C257"/>
    <mergeCell ref="B308:C308"/>
    <mergeCell ref="B309:C309"/>
    <mergeCell ref="B273:C273"/>
    <mergeCell ref="B274:C274"/>
    <mergeCell ref="B275:C275"/>
    <mergeCell ref="B276:C276"/>
    <mergeCell ref="B277:C277"/>
    <mergeCell ref="B278:C278"/>
    <mergeCell ref="B279:C279"/>
    <mergeCell ref="B300:C300"/>
    <mergeCell ref="B321:C321"/>
    <mergeCell ref="B288:C288"/>
    <mergeCell ref="B289:C289"/>
    <mergeCell ref="B290:C290"/>
    <mergeCell ref="B291:C291"/>
    <mergeCell ref="B292:C292"/>
    <mergeCell ref="B293:C293"/>
    <mergeCell ref="B312:C312"/>
    <mergeCell ref="B303:C303"/>
    <mergeCell ref="B304:C304"/>
    <mergeCell ref="B305:C305"/>
    <mergeCell ref="B299:C299"/>
    <mergeCell ref="A336:O336"/>
    <mergeCell ref="K321:O321"/>
    <mergeCell ref="K322:O322"/>
    <mergeCell ref="K323:O323"/>
    <mergeCell ref="K324:O324"/>
    <mergeCell ref="K325:O325"/>
    <mergeCell ref="K326:O326"/>
    <mergeCell ref="K327:O327"/>
    <mergeCell ref="K328:O328"/>
    <mergeCell ref="K329:O329"/>
    <mergeCell ref="B330:C330"/>
    <mergeCell ref="B331:C331"/>
    <mergeCell ref="B332:C332"/>
    <mergeCell ref="B333:C333"/>
    <mergeCell ref="K330:O330"/>
    <mergeCell ref="K331:O331"/>
    <mergeCell ref="K332:O332"/>
    <mergeCell ref="K333:O333"/>
    <mergeCell ref="B323:C323"/>
    <mergeCell ref="B324:C324"/>
    <mergeCell ref="B325:C325"/>
    <mergeCell ref="B322:C322"/>
    <mergeCell ref="B326:C326"/>
    <mergeCell ref="B327:C327"/>
    <mergeCell ref="B328:C328"/>
    <mergeCell ref="B329:C329"/>
    <mergeCell ref="B285:C285"/>
    <mergeCell ref="B283:C283"/>
    <mergeCell ref="B284:C284"/>
    <mergeCell ref="K235:O235"/>
    <mergeCell ref="K236:O236"/>
    <mergeCell ref="B266:C266"/>
    <mergeCell ref="B280:C280"/>
    <mergeCell ref="B281:C281"/>
    <mergeCell ref="B282:C282"/>
    <mergeCell ref="B265:C265"/>
    <mergeCell ref="B258:C258"/>
    <mergeCell ref="B259:C259"/>
    <mergeCell ref="B260:C260"/>
    <mergeCell ref="B261:C261"/>
    <mergeCell ref="B262:C262"/>
    <mergeCell ref="B263:C263"/>
    <mergeCell ref="B264:C264"/>
    <mergeCell ref="B267:C267"/>
    <mergeCell ref="B268:C268"/>
    <mergeCell ref="B269:C269"/>
    <mergeCell ref="B270:C270"/>
    <mergeCell ref="B271:C271"/>
    <mergeCell ref="B272:C272"/>
    <mergeCell ref="K244:O244"/>
    <mergeCell ref="K245:O245"/>
    <mergeCell ref="K246:O246"/>
    <mergeCell ref="B313:C313"/>
    <mergeCell ref="B314:C314"/>
    <mergeCell ref="B315:C315"/>
    <mergeCell ref="B316:C316"/>
    <mergeCell ref="B317:C317"/>
    <mergeCell ref="B318:C318"/>
    <mergeCell ref="B319:C319"/>
    <mergeCell ref="B320:C320"/>
    <mergeCell ref="K237:O237"/>
    <mergeCell ref="K238:O238"/>
    <mergeCell ref="K239:O239"/>
    <mergeCell ref="K240:O240"/>
    <mergeCell ref="K241:O241"/>
    <mergeCell ref="K242:O242"/>
    <mergeCell ref="K243:O243"/>
    <mergeCell ref="A106:O106"/>
    <mergeCell ref="K224:O224"/>
    <mergeCell ref="K225:O225"/>
    <mergeCell ref="K226:O226"/>
    <mergeCell ref="K227:O227"/>
    <mergeCell ref="B310:C310"/>
    <mergeCell ref="B311:C311"/>
    <mergeCell ref="B294:C294"/>
    <mergeCell ref="B295:C295"/>
    <mergeCell ref="B296:C296"/>
    <mergeCell ref="B297:C297"/>
    <mergeCell ref="B298:C298"/>
    <mergeCell ref="B302:C302"/>
    <mergeCell ref="B301:C301"/>
    <mergeCell ref="B306:C306"/>
    <mergeCell ref="B307:C307"/>
    <mergeCell ref="B235:C235"/>
    <mergeCell ref="A85:D85"/>
    <mergeCell ref="A86:D86"/>
    <mergeCell ref="E47:I47"/>
    <mergeCell ref="E48:I48"/>
    <mergeCell ref="E49:I49"/>
    <mergeCell ref="E50:I50"/>
    <mergeCell ref="E51:I51"/>
    <mergeCell ref="E52:I52"/>
    <mergeCell ref="E53:I53"/>
    <mergeCell ref="E54:I54"/>
    <mergeCell ref="E55:I55"/>
    <mergeCell ref="E56:I56"/>
    <mergeCell ref="E57:I57"/>
    <mergeCell ref="E58:I58"/>
    <mergeCell ref="E59:I59"/>
    <mergeCell ref="E60:I60"/>
    <mergeCell ref="E61:I61"/>
    <mergeCell ref="A64:D64"/>
    <mergeCell ref="E64:I64"/>
    <mergeCell ref="A65:D65"/>
    <mergeCell ref="E65:I65"/>
    <mergeCell ref="A66:D66"/>
    <mergeCell ref="E66:I66"/>
    <mergeCell ref="A67:D67"/>
    <mergeCell ref="E67:I67"/>
    <mergeCell ref="A68:D68"/>
    <mergeCell ref="E68:I68"/>
    <mergeCell ref="E81:I81"/>
    <mergeCell ref="E83:I83"/>
    <mergeCell ref="E85:I85"/>
    <mergeCell ref="E86:I86"/>
    <mergeCell ref="A47:D47"/>
    <mergeCell ref="A48:D48"/>
    <mergeCell ref="A49:D49"/>
    <mergeCell ref="A50:D50"/>
    <mergeCell ref="A51:D51"/>
    <mergeCell ref="A52:D52"/>
    <mergeCell ref="A53:D53"/>
    <mergeCell ref="A54:D54"/>
    <mergeCell ref="A55:D55"/>
    <mergeCell ref="A56:D56"/>
    <mergeCell ref="A57:D57"/>
    <mergeCell ref="A58:D58"/>
    <mergeCell ref="A59:D59"/>
    <mergeCell ref="A60:D60"/>
    <mergeCell ref="A61:D61"/>
    <mergeCell ref="A62:D62"/>
    <mergeCell ref="A63:D63"/>
    <mergeCell ref="A75:D75"/>
    <mergeCell ref="A79:D79"/>
    <mergeCell ref="E79:I79"/>
    <mergeCell ref="A80:D80"/>
    <mergeCell ref="E80:I80"/>
    <mergeCell ref="A84:D84"/>
    <mergeCell ref="E84:I84"/>
    <mergeCell ref="I109:N109"/>
    <mergeCell ref="B109:H109"/>
    <mergeCell ref="B110:H110"/>
    <mergeCell ref="B111:H111"/>
    <mergeCell ref="B112:H112"/>
    <mergeCell ref="A69:D69"/>
    <mergeCell ref="E69:I69"/>
    <mergeCell ref="A70:D70"/>
    <mergeCell ref="E70:I70"/>
    <mergeCell ref="A71:D71"/>
    <mergeCell ref="E71:I71"/>
    <mergeCell ref="A72:D72"/>
    <mergeCell ref="E72:I72"/>
    <mergeCell ref="A73:D73"/>
    <mergeCell ref="E73:I73"/>
    <mergeCell ref="A74:D74"/>
    <mergeCell ref="E74:I74"/>
    <mergeCell ref="A76:D76"/>
    <mergeCell ref="E76:I76"/>
    <mergeCell ref="A77:D77"/>
    <mergeCell ref="E77:I77"/>
    <mergeCell ref="A78:D78"/>
    <mergeCell ref="E78:I78"/>
    <mergeCell ref="A82:D82"/>
    <mergeCell ref="A81:D81"/>
    <mergeCell ref="A83:D83"/>
    <mergeCell ref="B113:H113"/>
    <mergeCell ref="B114:H114"/>
    <mergeCell ref="B115:H115"/>
    <mergeCell ref="B116:H116"/>
    <mergeCell ref="B117:H117"/>
    <mergeCell ref="B118:H118"/>
    <mergeCell ref="B119:H119"/>
    <mergeCell ref="B120:H120"/>
    <mergeCell ref="B121:H121"/>
    <mergeCell ref="B122:H122"/>
    <mergeCell ref="B123:H123"/>
    <mergeCell ref="B124:H124"/>
    <mergeCell ref="B125:H125"/>
    <mergeCell ref="B126:H126"/>
    <mergeCell ref="B127:H127"/>
    <mergeCell ref="B128:H128"/>
    <mergeCell ref="B129:H129"/>
    <mergeCell ref="B130:H130"/>
    <mergeCell ref="B131:H131"/>
    <mergeCell ref="B132:H132"/>
    <mergeCell ref="B133:H133"/>
    <mergeCell ref="B134:H134"/>
    <mergeCell ref="B135:H135"/>
    <mergeCell ref="B136:H136"/>
    <mergeCell ref="B137:H137"/>
    <mergeCell ref="B138:H138"/>
    <mergeCell ref="B139:H139"/>
    <mergeCell ref="B140:H140"/>
    <mergeCell ref="B141:H141"/>
    <mergeCell ref="B142:H142"/>
    <mergeCell ref="B143:H143"/>
    <mergeCell ref="B144:H144"/>
    <mergeCell ref="B145:H145"/>
    <mergeCell ref="B146:H146"/>
    <mergeCell ref="B159:H159"/>
    <mergeCell ref="B160:H160"/>
    <mergeCell ref="B161:H161"/>
    <mergeCell ref="B162:H162"/>
    <mergeCell ref="B163:H163"/>
    <mergeCell ref="B164:H164"/>
    <mergeCell ref="B165:H165"/>
    <mergeCell ref="B166:H166"/>
    <mergeCell ref="B167:H167"/>
    <mergeCell ref="B168:H168"/>
    <mergeCell ref="B169:H169"/>
    <mergeCell ref="B170:H170"/>
    <mergeCell ref="B171:H171"/>
    <mergeCell ref="B172:H172"/>
    <mergeCell ref="B173:H173"/>
    <mergeCell ref="B174:H174"/>
    <mergeCell ref="B175:H175"/>
    <mergeCell ref="B176:H176"/>
    <mergeCell ref="B177:H177"/>
    <mergeCell ref="B178:H178"/>
    <mergeCell ref="B179:H179"/>
    <mergeCell ref="B180:H180"/>
    <mergeCell ref="B181:H181"/>
    <mergeCell ref="B182:H182"/>
    <mergeCell ref="B183:H183"/>
    <mergeCell ref="B184:H184"/>
    <mergeCell ref="B185:H185"/>
    <mergeCell ref="B186:H186"/>
    <mergeCell ref="B187:H187"/>
    <mergeCell ref="B188:H188"/>
    <mergeCell ref="B189:H189"/>
    <mergeCell ref="B190:H190"/>
    <mergeCell ref="B191:H191"/>
    <mergeCell ref="B192:H192"/>
    <mergeCell ref="B210:H210"/>
    <mergeCell ref="B211:H211"/>
    <mergeCell ref="B212:H212"/>
    <mergeCell ref="B213:H213"/>
    <mergeCell ref="B214:H214"/>
    <mergeCell ref="B215:H215"/>
    <mergeCell ref="B216:H216"/>
    <mergeCell ref="B217:H217"/>
    <mergeCell ref="B218:H218"/>
    <mergeCell ref="B219:H219"/>
    <mergeCell ref="B220:H220"/>
    <mergeCell ref="B193:H193"/>
    <mergeCell ref="B194:H194"/>
    <mergeCell ref="B195:H195"/>
    <mergeCell ref="B196:H196"/>
    <mergeCell ref="B197:H197"/>
    <mergeCell ref="B198:H198"/>
    <mergeCell ref="B199:H199"/>
    <mergeCell ref="B200:H200"/>
    <mergeCell ref="B201:H201"/>
    <mergeCell ref="B202:H202"/>
    <mergeCell ref="B203:H203"/>
    <mergeCell ref="B204:H204"/>
    <mergeCell ref="B205:H205"/>
    <mergeCell ref="B206:H206"/>
    <mergeCell ref="B207:H207"/>
    <mergeCell ref="B208:H208"/>
    <mergeCell ref="B209:H209"/>
  </mergeCells>
  <phoneticPr fontId="26" type="noConversion"/>
  <conditionalFormatting sqref="A19:O43">
    <cfRule type="expression" dxfId="15" priority="17">
      <formula>$A19=0</formula>
    </cfRule>
  </conditionalFormatting>
  <conditionalFormatting sqref="A48:O86">
    <cfRule type="expression" dxfId="14" priority="7">
      <formula>$A48=0</formula>
    </cfRule>
  </conditionalFormatting>
  <conditionalFormatting sqref="E14:O14">
    <cfRule type="expression" dxfId="8" priority="8">
      <formula>$E$14&lt;&gt;"yes"</formula>
    </cfRule>
  </conditionalFormatting>
  <conditionalFormatting sqref="I224:J333">
    <cfRule type="beginsWith" dxfId="6" priority="15" operator="beginsWith" text="no">
      <formula>LEFT(I224,LEN("no"))="no"</formula>
    </cfRule>
  </conditionalFormatting>
  <conditionalFormatting sqref="J338:K447">
    <cfRule type="expression" dxfId="5" priority="11">
      <formula>$J338="no"</formula>
    </cfRule>
  </conditionalFormatting>
  <conditionalFormatting sqref="K224:O333">
    <cfRule type="containsText" dxfId="4" priority="14" operator="containsText" text="revise">
      <formula>NOT(ISERROR(SEARCH("revise",K224)))</formula>
    </cfRule>
  </conditionalFormatting>
  <conditionalFormatting sqref="L338:M447">
    <cfRule type="expression" dxfId="3" priority="10">
      <formula>$L338="no"</formula>
    </cfRule>
  </conditionalFormatting>
  <conditionalFormatting sqref="N90:N105">
    <cfRule type="containsText" dxfId="2" priority="27" operator="containsText" text="No">
      <formula>NOT(ISERROR(SEARCH("No",N90)))</formula>
    </cfRule>
  </conditionalFormatting>
  <conditionalFormatting sqref="N338:O447">
    <cfRule type="expression" dxfId="1" priority="9">
      <formula>$N338="revis data on previous sheets"</formula>
    </cfRule>
  </conditionalFormatting>
  <conditionalFormatting sqref="O90:O105">
    <cfRule type="containsText" dxfId="0" priority="23" operator="containsText" text="revise">
      <formula>NOT(ISERROR(SEARCH("revise",O90)))</formula>
    </cfRule>
  </conditionalFormatting>
  <hyperlinks>
    <hyperlink ref="A5:O5" location="Impacts!A13" display="I. Summary" xr:uid="{5311D3A6-A339-4BCF-B1CB-C0D7572D62BF}"/>
    <hyperlink ref="A6:O6" location="Impacts!A16" display="II. Unit Impact Multiplier for Each Source" xr:uid="{B718A6ED-9F76-4186-84FE-C4B800C1167A}"/>
    <hyperlink ref="A7:O7" location="Impacts!A45" display="III. Operating Scenarios for 1-hr, 3-hr, 8-hr, and 24-hr Averaging Periods" xr:uid="{DB247157-910C-4ADC-8CAD-62665FEEA1EB}"/>
  </hyperlinks>
  <pageMargins left="0.7" right="0.7" top="0.75" bottom="0.75" header="0.3" footer="0.3"/>
  <pageSetup orientation="portrait" r:id="rId1"/>
  <ignoredErrors>
    <ignoredError sqref="A77 A79" formula="1"/>
  </ignoredErrors>
  <extLst>
    <ext xmlns:x14="http://schemas.microsoft.com/office/spreadsheetml/2009/9/main" uri="{78C0D931-6437-407d-A8EE-F0AAD7539E65}">
      <x14:conditionalFormattings>
        <x14:conditionalFormatting xmlns:xm="http://schemas.microsoft.com/office/excel/2006/main">
          <x14:cfRule type="expression" priority="6" id="{54A538C7-6A06-4C96-8169-57B1E9A1004B}">
            <xm:f>COUNTIF(Tank1!$D$18,"*floating*")=0</xm:f>
            <x14:dxf>
              <numFmt numFmtId="164" formatCode=";;;"/>
              <fill>
                <patternFill>
                  <bgColor theme="0" tint="-0.499984740745262"/>
                </patternFill>
              </fill>
            </x14:dxf>
          </x14:cfRule>
          <xm:sqref>A49:O49</xm:sqref>
        </x14:conditionalFormatting>
        <x14:conditionalFormatting xmlns:xm="http://schemas.microsoft.com/office/excel/2006/main">
          <x14:cfRule type="expression" priority="5" id="{9FD38957-1C79-45C5-85E5-848FB0A718BC}">
            <xm:f>COUNTIF(Tank2!$D$18,"*floating*")=0</xm:f>
            <x14:dxf>
              <numFmt numFmtId="164" formatCode=";;;"/>
              <fill>
                <patternFill>
                  <bgColor theme="0" tint="-0.499984740745262"/>
                </patternFill>
              </fill>
            </x14:dxf>
          </x14:cfRule>
          <xm:sqref>A52:O52</xm:sqref>
        </x14:conditionalFormatting>
        <x14:conditionalFormatting xmlns:xm="http://schemas.microsoft.com/office/excel/2006/main">
          <x14:cfRule type="expression" priority="4" id="{028A36D1-47EB-43D0-A98C-BA43D006E2F6}">
            <xm:f>COUNTIF(Tank3!$D$18,"*floating*")=0</xm:f>
            <x14:dxf>
              <numFmt numFmtId="164" formatCode=";;;"/>
              <fill>
                <patternFill>
                  <bgColor theme="0" tint="-0.499984740745262"/>
                </patternFill>
              </fill>
            </x14:dxf>
          </x14:cfRule>
          <xm:sqref>A55:O55</xm:sqref>
        </x14:conditionalFormatting>
        <x14:conditionalFormatting xmlns:xm="http://schemas.microsoft.com/office/excel/2006/main">
          <x14:cfRule type="expression" priority="3" id="{9D630615-834E-43B4-B25E-9C080ECE04B5}">
            <xm:f>COUNTIF(Tank4!$D$18,"*floating*")=0</xm:f>
            <x14:dxf>
              <numFmt numFmtId="164" formatCode=";;;"/>
              <fill>
                <patternFill>
                  <bgColor theme="0" tint="-0.499984740745262"/>
                </patternFill>
              </fill>
            </x14:dxf>
          </x14:cfRule>
          <xm:sqref>A58:O58</xm:sqref>
        </x14:conditionalFormatting>
        <x14:conditionalFormatting xmlns:xm="http://schemas.microsoft.com/office/excel/2006/main">
          <x14:cfRule type="expression" priority="2" id="{756F78F5-A112-4736-8852-7BD40E745D98}">
            <xm:f>COUNTIF(Tank5!$D$18,"*floating*")=0</xm:f>
            <x14:dxf>
              <numFmt numFmtId="164" formatCode=";;;"/>
              <fill>
                <patternFill>
                  <bgColor theme="0" tint="-0.499984740745262"/>
                </patternFill>
              </fill>
            </x14:dxf>
          </x14:cfRule>
          <xm:sqref>A61:O61</xm:sqref>
        </x14:conditionalFormatting>
        <x14:conditionalFormatting xmlns:xm="http://schemas.microsoft.com/office/excel/2006/main">
          <x14:cfRule type="expression" priority="1" id="{2CB5553C-EFA5-47BE-93D3-A88DA9AB12E0}">
            <xm:f>(COUNTIF(Tank1!$D$18,"*floating*")+COUNTIF(Tank2!$D$18,"*floating*")+COUNTIF(Tank3!$D$18,"*floating*")+COUNTIF(Tank4!$D$18,"*floating*")+COUNTIF(Tank5!$D$18,"*floating*"))=0</xm:f>
            <x14:dxf>
              <numFmt numFmtId="164" formatCode=";;;"/>
              <fill>
                <patternFill>
                  <bgColor theme="0" tint="-0.499984740745262"/>
                </patternFill>
              </fill>
            </x14:dxf>
          </x14:cfRule>
          <xm:sqref>E75:O75 E77:O77 E79:O79</xm:sqref>
        </x14:conditionalFormatting>
      </x14:conditionalFormatting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1E8E14-A716-492E-A6D0-1E5874206A77}">
  <sheetPr codeName="Sheet27">
    <tabColor theme="1"/>
    <pageSetUpPr autoPageBreaks="0"/>
  </sheetPr>
  <dimension ref="A1:TN4352"/>
  <sheetViews>
    <sheetView zoomScaleNormal="100" workbookViewId="0"/>
  </sheetViews>
  <sheetFormatPr defaultRowHeight="74.25" customHeight="1" x14ac:dyDescent="0.2"/>
  <cols>
    <col min="1" max="2" width="9" style="8"/>
    <col min="3" max="3" width="2.5" style="8" customWidth="1"/>
    <col min="4" max="5" width="9" style="8"/>
    <col min="6" max="6" width="2.5" style="8" customWidth="1"/>
    <col min="10" max="10" width="2.5" customWidth="1"/>
    <col min="14" max="14" width="2.25" customWidth="1"/>
    <col min="15" max="17" width="9.25" customWidth="1"/>
    <col min="18" max="18" width="2.25" customWidth="1"/>
    <col min="19" max="20" width="9.25" customWidth="1"/>
    <col min="21" max="21" width="9" customWidth="1"/>
    <col min="22" max="22" width="2.25" customWidth="1"/>
    <col min="26" max="26" width="4" customWidth="1"/>
    <col min="27" max="29" width="10" customWidth="1"/>
    <col min="30" max="30" width="4.375" customWidth="1"/>
    <col min="31" max="33" width="10" customWidth="1"/>
    <col min="34" max="34" width="3.75" customWidth="1"/>
    <col min="35" max="37" width="10" customWidth="1"/>
    <col min="38" max="38" width="4.625" customWidth="1"/>
    <col min="39" max="41" width="10" customWidth="1"/>
    <col min="42" max="42" width="4.625" customWidth="1"/>
    <col min="43" max="45" width="10" customWidth="1"/>
    <col min="46" max="46" width="4.125" customWidth="1"/>
    <col min="47" max="49" width="10" customWidth="1"/>
    <col min="50" max="50" width="3.375" customWidth="1"/>
    <col min="51" max="53" width="10" customWidth="1"/>
    <col min="54" max="54" width="2.875" customWidth="1"/>
    <col min="55" max="57" width="10" customWidth="1"/>
    <col min="58" max="58" width="2.875" customWidth="1"/>
    <col min="59" max="60" width="10" customWidth="1"/>
    <col min="61" max="61" width="9.875" customWidth="1"/>
    <col min="62" max="62" width="10" customWidth="1"/>
    <col min="63" max="63" width="3.25" customWidth="1"/>
    <col min="64" max="66" width="10" customWidth="1"/>
    <col min="67" max="67" width="2.5" customWidth="1"/>
    <col min="68" max="70" width="10" customWidth="1"/>
    <col min="71" max="71" width="2.5" customWidth="1"/>
    <col min="72" max="74" width="10" customWidth="1"/>
    <col min="75" max="75" width="2.5" customWidth="1"/>
    <col min="76" max="77" width="9.875" customWidth="1"/>
    <col min="78" max="78" width="2.5" customWidth="1"/>
    <col min="93" max="93" width="3" customWidth="1"/>
    <col min="97" max="97" width="3.375" customWidth="1"/>
    <col min="101" max="101" width="3.375" customWidth="1"/>
    <col min="102" max="102" width="9.125" customWidth="1"/>
    <col min="103" max="103" width="3.375" customWidth="1"/>
    <col min="107" max="107" width="4.25" customWidth="1"/>
    <col min="108" max="110" width="9.875" customWidth="1"/>
    <col min="111" max="111" width="5.125" customWidth="1"/>
    <col min="112" max="114" width="9.875" customWidth="1"/>
    <col min="115" max="115" width="5.125" customWidth="1"/>
    <col min="116" max="116" width="10.75" customWidth="1"/>
    <col min="117" max="123" width="9.625" customWidth="1"/>
    <col min="124" max="124" width="4.125" customWidth="1"/>
    <col min="125" max="131" width="9.625" customWidth="1"/>
    <col min="132" max="132" width="4" customWidth="1"/>
    <col min="133" max="139" width="9.625" customWidth="1"/>
    <col min="140" max="140" width="4.125" customWidth="1"/>
    <col min="141" max="152" width="9.625" customWidth="1"/>
    <col min="153" max="153" width="3.75" customWidth="1"/>
    <col min="154" max="156" width="9.625" customWidth="1"/>
    <col min="157" max="157" width="2.875" customWidth="1"/>
    <col min="158" max="160" width="9" style="8"/>
    <col min="161" max="163" width="18.625" style="8" customWidth="1"/>
    <col min="164" max="220" width="6.375" style="8" customWidth="1"/>
    <col min="221" max="221" width="2.625" customWidth="1"/>
    <col min="222" max="272" width="6.375" customWidth="1"/>
    <col min="273" max="278" width="6.75" customWidth="1"/>
    <col min="279" max="279" width="3" customWidth="1"/>
    <col min="280" max="319" width="6.75" customWidth="1"/>
    <col min="320" max="320" width="2.875" customWidth="1"/>
    <col min="321" max="377" width="6.75" customWidth="1"/>
    <col min="378" max="378" width="2.875" style="8" customWidth="1"/>
    <col min="379" max="423" width="6.375" style="8" customWidth="1"/>
    <col min="426" max="426" width="27.5" bestFit="1" customWidth="1"/>
    <col min="427" max="427" width="18.125" customWidth="1"/>
    <col min="428" max="431" width="9.125" bestFit="1" customWidth="1"/>
    <col min="432" max="432" width="11.875" bestFit="1" customWidth="1"/>
    <col min="433" max="433" width="9.125" bestFit="1" customWidth="1"/>
    <col min="434" max="434" width="11.875" bestFit="1" customWidth="1"/>
    <col min="435" max="435" width="9.75" bestFit="1" customWidth="1"/>
    <col min="453" max="453" width="72.375" style="8" bestFit="1" customWidth="1"/>
    <col min="457" max="457" width="11.125" bestFit="1" customWidth="1"/>
    <col min="458" max="458" width="14.125" bestFit="1" customWidth="1"/>
    <col min="459" max="459" width="9.25" bestFit="1" customWidth="1"/>
    <col min="460" max="463" width="9.25" customWidth="1"/>
    <col min="464" max="464" width="9.75" bestFit="1" customWidth="1"/>
    <col min="529" max="529" width="15.75" style="259" bestFit="1" customWidth="1"/>
    <col min="530" max="531" width="58.375" style="259" customWidth="1"/>
    <col min="532" max="532" width="48.5" customWidth="1"/>
    <col min="533" max="533" width="122.625" customWidth="1"/>
  </cols>
  <sheetData>
    <row r="1" spans="1:534" ht="151.5" customHeight="1" thickBot="1" x14ac:dyDescent="0.3">
      <c r="A1" s="53" t="s">
        <v>179</v>
      </c>
      <c r="B1" s="53" t="s">
        <v>9372</v>
      </c>
      <c r="C1" s="53"/>
      <c r="D1" s="1" t="s">
        <v>10439</v>
      </c>
      <c r="E1" s="1" t="s">
        <v>10441</v>
      </c>
      <c r="F1" s="53"/>
      <c r="G1" s="1" t="s">
        <v>9383</v>
      </c>
      <c r="H1" s="1" t="s">
        <v>9382</v>
      </c>
      <c r="I1" s="1" t="s">
        <v>9519</v>
      </c>
      <c r="J1" s="1"/>
      <c r="K1" s="1" t="s">
        <v>10638</v>
      </c>
      <c r="L1" s="1" t="s">
        <v>10637</v>
      </c>
      <c r="M1" s="1" t="s">
        <v>10641</v>
      </c>
      <c r="N1" s="1"/>
      <c r="O1" s="77" t="s">
        <v>10638</v>
      </c>
      <c r="P1" s="77" t="s">
        <v>10637</v>
      </c>
      <c r="Q1" s="77" t="s">
        <v>10640</v>
      </c>
      <c r="R1" s="1"/>
      <c r="S1" s="1" t="s">
        <v>10638</v>
      </c>
      <c r="T1" s="1" t="s">
        <v>10637</v>
      </c>
      <c r="U1" s="1" t="s">
        <v>10639</v>
      </c>
      <c r="V1" s="1"/>
      <c r="W1" s="1" t="s">
        <v>9520</v>
      </c>
      <c r="X1" s="1" t="s">
        <v>9521</v>
      </c>
      <c r="Y1" s="1" t="s">
        <v>9522</v>
      </c>
      <c r="Z1" s="1"/>
      <c r="AA1" s="1" t="s">
        <v>10486</v>
      </c>
      <c r="AB1" s="1" t="s">
        <v>10484</v>
      </c>
      <c r="AC1" s="1" t="s">
        <v>10485</v>
      </c>
      <c r="AD1" s="1"/>
      <c r="AE1" s="1" t="s">
        <v>10488</v>
      </c>
      <c r="AF1" s="1" t="s">
        <v>10487</v>
      </c>
      <c r="AG1" s="1" t="s">
        <v>10489</v>
      </c>
      <c r="AH1" s="1"/>
      <c r="AI1" s="1" t="s">
        <v>10493</v>
      </c>
      <c r="AJ1" s="1" t="s">
        <v>10495</v>
      </c>
      <c r="AK1" s="1" t="s">
        <v>10494</v>
      </c>
      <c r="AL1" s="1"/>
      <c r="AM1" s="1" t="s">
        <v>10520</v>
      </c>
      <c r="AN1" s="1" t="s">
        <v>10521</v>
      </c>
      <c r="AO1" s="1" t="s">
        <v>10522</v>
      </c>
      <c r="AP1" s="1"/>
      <c r="AQ1" s="1" t="s">
        <v>10523</v>
      </c>
      <c r="AR1" s="1" t="s">
        <v>10524</v>
      </c>
      <c r="AS1" s="1" t="s">
        <v>10525</v>
      </c>
      <c r="AT1" s="1"/>
      <c r="AU1" s="1" t="s">
        <v>10496</v>
      </c>
      <c r="AV1" s="1" t="s">
        <v>10497</v>
      </c>
      <c r="AW1" s="1" t="s">
        <v>10498</v>
      </c>
      <c r="AX1" s="1"/>
      <c r="AY1" s="1" t="s">
        <v>10505</v>
      </c>
      <c r="AZ1" s="1" t="s">
        <v>10507</v>
      </c>
      <c r="BA1" s="1" t="s">
        <v>10506</v>
      </c>
      <c r="BB1" s="1"/>
      <c r="BC1" s="1" t="s">
        <v>10519</v>
      </c>
      <c r="BD1" s="1" t="s">
        <v>10519</v>
      </c>
      <c r="BE1" s="1" t="s">
        <v>10519</v>
      </c>
      <c r="BF1" s="1"/>
      <c r="BG1" s="1" t="s">
        <v>10510</v>
      </c>
      <c r="BH1" s="1" t="s">
        <v>10509</v>
      </c>
      <c r="BI1" s="1" t="s">
        <v>10511</v>
      </c>
      <c r="BJ1" s="1" t="s">
        <v>10515</v>
      </c>
      <c r="BK1" s="1"/>
      <c r="BL1" s="1" t="s">
        <v>10839</v>
      </c>
      <c r="BM1" s="1" t="s">
        <v>10840</v>
      </c>
      <c r="BN1" s="1" t="s">
        <v>10841</v>
      </c>
      <c r="BO1" s="1"/>
      <c r="BP1" s="1" t="s">
        <v>10842</v>
      </c>
      <c r="BQ1" s="1" t="s">
        <v>10843</v>
      </c>
      <c r="BR1" s="1" t="s">
        <v>10844</v>
      </c>
      <c r="BS1" s="1"/>
      <c r="BT1" s="1" t="s">
        <v>10551</v>
      </c>
      <c r="BU1" s="1" t="s">
        <v>10552</v>
      </c>
      <c r="BV1" s="1" t="s">
        <v>10553</v>
      </c>
      <c r="BW1" s="1"/>
      <c r="BX1" s="1" t="s">
        <v>10513</v>
      </c>
      <c r="BY1" s="1" t="s">
        <v>10514</v>
      </c>
      <c r="CA1" s="1" t="s">
        <v>9982</v>
      </c>
      <c r="CB1" s="1" t="s">
        <v>9983</v>
      </c>
      <c r="CC1" s="1" t="s">
        <v>9984</v>
      </c>
      <c r="CD1" s="1"/>
      <c r="CE1" s="1" t="s">
        <v>9985</v>
      </c>
      <c r="CF1" s="1" t="s">
        <v>9986</v>
      </c>
      <c r="CG1" s="1" t="s">
        <v>9987</v>
      </c>
      <c r="CJ1" s="1" t="s">
        <v>9428</v>
      </c>
      <c r="CK1" s="1" t="s">
        <v>9426</v>
      </c>
      <c r="CL1" s="1" t="s">
        <v>9427</v>
      </c>
      <c r="CM1" s="1" t="s">
        <v>10461</v>
      </c>
      <c r="CN1" s="1" t="s">
        <v>10462</v>
      </c>
      <c r="CO1" s="1"/>
      <c r="CP1" s="1" t="s">
        <v>10466</v>
      </c>
      <c r="CQ1" s="1" t="s">
        <v>10465</v>
      </c>
      <c r="CR1" s="1" t="s">
        <v>10467</v>
      </c>
      <c r="CS1" s="1"/>
      <c r="CT1" s="1" t="s">
        <v>10468</v>
      </c>
      <c r="CU1" s="1" t="s">
        <v>10469</v>
      </c>
      <c r="CV1" s="1" t="s">
        <v>10470</v>
      </c>
      <c r="CW1" s="1"/>
      <c r="CX1" s="1" t="s">
        <v>10504</v>
      </c>
      <c r="CY1" s="1"/>
      <c r="CZ1" s="1" t="s">
        <v>10473</v>
      </c>
      <c r="DA1" s="1" t="s">
        <v>10471</v>
      </c>
      <c r="DB1" s="1" t="s">
        <v>10472</v>
      </c>
      <c r="DD1" s="1" t="s">
        <v>10476</v>
      </c>
      <c r="DE1" s="1" t="s">
        <v>10474</v>
      </c>
      <c r="DF1" s="244" t="s">
        <v>10475</v>
      </c>
      <c r="DG1" s="244"/>
      <c r="DH1" s="244" t="s">
        <v>10478</v>
      </c>
      <c r="DI1" s="244" t="s">
        <v>10479</v>
      </c>
      <c r="DJ1" s="244" t="s">
        <v>10480</v>
      </c>
      <c r="DL1" s="1" t="s">
        <v>9390</v>
      </c>
      <c r="DM1" s="1" t="s">
        <v>9387</v>
      </c>
      <c r="DN1" s="1" t="s">
        <v>9388</v>
      </c>
      <c r="DO1" s="1" t="s">
        <v>9408</v>
      </c>
      <c r="DP1" s="1" t="s">
        <v>9409</v>
      </c>
      <c r="DQ1" s="1" t="s">
        <v>9389</v>
      </c>
      <c r="DR1" s="1" t="s">
        <v>9401</v>
      </c>
      <c r="DS1" s="1" t="s">
        <v>9402</v>
      </c>
      <c r="DT1" s="1"/>
      <c r="DU1" s="1" t="s">
        <v>9398</v>
      </c>
      <c r="DV1" s="1" t="s">
        <v>9399</v>
      </c>
      <c r="DW1" s="1" t="s">
        <v>9405</v>
      </c>
      <c r="DX1" s="1" t="s">
        <v>9404</v>
      </c>
      <c r="DY1" s="1" t="s">
        <v>9400</v>
      </c>
      <c r="DZ1" s="1" t="s">
        <v>9406</v>
      </c>
      <c r="EA1" s="1" t="s">
        <v>9407</v>
      </c>
      <c r="EB1" s="1"/>
      <c r="EC1" s="1" t="s">
        <v>9410</v>
      </c>
      <c r="ED1" s="1" t="s">
        <v>9411</v>
      </c>
      <c r="EE1" s="1" t="s">
        <v>9412</v>
      </c>
      <c r="EF1" s="1" t="s">
        <v>9413</v>
      </c>
      <c r="EG1" s="1" t="s">
        <v>9414</v>
      </c>
      <c r="EH1" s="1" t="s">
        <v>9415</v>
      </c>
      <c r="EI1" s="1" t="s">
        <v>9416</v>
      </c>
      <c r="EJ1" s="1"/>
      <c r="EK1" s="1" t="s">
        <v>9384</v>
      </c>
      <c r="EL1" s="1" t="s">
        <v>9385</v>
      </c>
      <c r="EM1" s="1" t="s">
        <v>10567</v>
      </c>
      <c r="EN1" s="1" t="s">
        <v>10568</v>
      </c>
      <c r="EO1" s="1" t="s">
        <v>9386</v>
      </c>
      <c r="EP1" s="1" t="s">
        <v>10569</v>
      </c>
      <c r="EQ1" s="1" t="s">
        <v>10570</v>
      </c>
      <c r="ER1" s="1"/>
      <c r="ES1" s="1" t="s">
        <v>10458</v>
      </c>
      <c r="ET1" s="1" t="s">
        <v>10459</v>
      </c>
      <c r="EU1" s="1" t="s">
        <v>10460</v>
      </c>
      <c r="EV1" s="1"/>
      <c r="EW1" s="1"/>
      <c r="EX1" s="1" t="s">
        <v>10075</v>
      </c>
      <c r="EY1" s="1" t="s">
        <v>10073</v>
      </c>
      <c r="EZ1" s="1" t="s">
        <v>10074</v>
      </c>
      <c r="FB1" s="53" t="s">
        <v>8678</v>
      </c>
      <c r="FC1" s="53" t="s">
        <v>8679</v>
      </c>
      <c r="FD1" s="53" t="s">
        <v>8680</v>
      </c>
      <c r="FE1" s="53" t="s">
        <v>8681</v>
      </c>
      <c r="FF1" s="53"/>
      <c r="FG1" s="359" t="s">
        <v>10629</v>
      </c>
      <c r="FH1" s="79" t="s">
        <v>9564</v>
      </c>
      <c r="FI1" s="79" t="s">
        <v>10101</v>
      </c>
      <c r="FJ1" s="79" t="s">
        <v>10102</v>
      </c>
      <c r="FK1" s="79" t="s">
        <v>9565</v>
      </c>
      <c r="FL1" s="79" t="s">
        <v>10103</v>
      </c>
      <c r="FM1" s="79" t="s">
        <v>10104</v>
      </c>
      <c r="FN1" s="79" t="s">
        <v>9566</v>
      </c>
      <c r="FO1" s="79" t="s">
        <v>10105</v>
      </c>
      <c r="FP1" s="79" t="s">
        <v>10106</v>
      </c>
      <c r="FQ1" s="79" t="s">
        <v>9567</v>
      </c>
      <c r="FR1" s="79" t="s">
        <v>10107</v>
      </c>
      <c r="FS1" s="79" t="s">
        <v>10108</v>
      </c>
      <c r="FT1" s="79" t="s">
        <v>9568</v>
      </c>
      <c r="FU1" s="79" t="s">
        <v>10109</v>
      </c>
      <c r="FV1" s="79" t="s">
        <v>10110</v>
      </c>
      <c r="FW1" s="79" t="s">
        <v>9569</v>
      </c>
      <c r="FX1" s="79" t="s">
        <v>9570</v>
      </c>
      <c r="FY1" s="79" t="s">
        <v>9571</v>
      </c>
      <c r="FZ1" s="79" t="s">
        <v>9595</v>
      </c>
      <c r="GA1" s="79" t="s">
        <v>9596</v>
      </c>
      <c r="GB1" s="79" t="s">
        <v>10594</v>
      </c>
      <c r="GC1" s="79" t="s">
        <v>10588</v>
      </c>
      <c r="GD1" s="79" t="s">
        <v>10584</v>
      </c>
      <c r="GE1" s="79" t="s">
        <v>9759</v>
      </c>
      <c r="GF1" s="79" t="s">
        <v>10111</v>
      </c>
      <c r="GG1" s="79" t="s">
        <v>10595</v>
      </c>
      <c r="GH1" s="79" t="s">
        <v>10589</v>
      </c>
      <c r="GI1" s="79" t="s">
        <v>10585</v>
      </c>
      <c r="GJ1" s="79" t="s">
        <v>9760</v>
      </c>
      <c r="GK1" s="79" t="s">
        <v>10112</v>
      </c>
      <c r="GL1" s="79" t="s">
        <v>10596</v>
      </c>
      <c r="GM1" s="79" t="s">
        <v>10590</v>
      </c>
      <c r="GN1" s="79" t="s">
        <v>10586</v>
      </c>
      <c r="GO1" s="79" t="s">
        <v>9761</v>
      </c>
      <c r="GP1" s="79" t="s">
        <v>10113</v>
      </c>
      <c r="GQ1" s="79" t="s">
        <v>10591</v>
      </c>
      <c r="GR1" s="79" t="s">
        <v>10587</v>
      </c>
      <c r="GS1" s="79" t="s">
        <v>9778</v>
      </c>
      <c r="GT1" s="79" t="s">
        <v>10114</v>
      </c>
      <c r="GU1" s="79" t="s">
        <v>9779</v>
      </c>
      <c r="GV1" s="79" t="s">
        <v>10115</v>
      </c>
      <c r="GW1" s="79" t="s">
        <v>9780</v>
      </c>
      <c r="GX1" s="79" t="s">
        <v>10116</v>
      </c>
      <c r="GY1" s="79" t="s">
        <v>9572</v>
      </c>
      <c r="GZ1" s="79" t="s">
        <v>9573</v>
      </c>
      <c r="HA1" s="79" t="s">
        <v>9574</v>
      </c>
      <c r="HB1" s="79" t="s">
        <v>9575</v>
      </c>
      <c r="HC1" s="79" t="s">
        <v>9576</v>
      </c>
      <c r="HD1" s="79" t="s">
        <v>9577</v>
      </c>
      <c r="HE1" s="79" t="s">
        <v>9578</v>
      </c>
      <c r="HF1" s="79" t="s">
        <v>10072</v>
      </c>
      <c r="HG1" s="79" t="s">
        <v>10083</v>
      </c>
      <c r="HH1" s="79" t="s">
        <v>10084</v>
      </c>
      <c r="HI1" s="79" t="s">
        <v>10085</v>
      </c>
      <c r="HJ1" s="79" t="s">
        <v>10086</v>
      </c>
      <c r="HK1" s="79" t="s">
        <v>10087</v>
      </c>
      <c r="HL1" s="79" t="s">
        <v>10088</v>
      </c>
      <c r="HN1" s="79" t="s">
        <v>9581</v>
      </c>
      <c r="HO1" s="79" t="s">
        <v>9998</v>
      </c>
      <c r="HP1" s="79" t="s">
        <v>10117</v>
      </c>
      <c r="HQ1" s="79" t="s">
        <v>9580</v>
      </c>
      <c r="HR1" s="79" t="s">
        <v>9999</v>
      </c>
      <c r="HS1" s="79" t="s">
        <v>10118</v>
      </c>
      <c r="HT1" s="79" t="s">
        <v>9582</v>
      </c>
      <c r="HU1" s="79" t="s">
        <v>10000</v>
      </c>
      <c r="HV1" s="79" t="s">
        <v>10119</v>
      </c>
      <c r="HW1" s="79" t="s">
        <v>9583</v>
      </c>
      <c r="HX1" s="79" t="s">
        <v>10001</v>
      </c>
      <c r="HY1" s="79" t="s">
        <v>10120</v>
      </c>
      <c r="HZ1" s="79" t="s">
        <v>9584</v>
      </c>
      <c r="IA1" s="79" t="s">
        <v>10002</v>
      </c>
      <c r="IB1" s="79" t="s">
        <v>10121</v>
      </c>
      <c r="IC1" s="79" t="s">
        <v>9585</v>
      </c>
      <c r="ID1" s="79" t="s">
        <v>9586</v>
      </c>
      <c r="IE1" s="79" t="s">
        <v>9587</v>
      </c>
      <c r="IF1" s="79" t="s">
        <v>9597</v>
      </c>
      <c r="IG1" s="79" t="s">
        <v>9598</v>
      </c>
      <c r="IH1" s="79" t="s">
        <v>10598</v>
      </c>
      <c r="II1" s="79" t="s">
        <v>10599</v>
      </c>
      <c r="IJ1" s="79" t="s">
        <v>10600</v>
      </c>
      <c r="IK1" s="79" t="s">
        <v>9772</v>
      </c>
      <c r="IL1" s="79" t="s">
        <v>10122</v>
      </c>
      <c r="IM1" s="79" t="s">
        <v>10601</v>
      </c>
      <c r="IN1" s="79" t="s">
        <v>10602</v>
      </c>
      <c r="IO1" s="79" t="s">
        <v>10603</v>
      </c>
      <c r="IP1" s="79" t="s">
        <v>9773</v>
      </c>
      <c r="IQ1" s="79" t="s">
        <v>10123</v>
      </c>
      <c r="IR1" s="79" t="s">
        <v>10604</v>
      </c>
      <c r="IS1" s="79" t="s">
        <v>10605</v>
      </c>
      <c r="IT1" s="79" t="s">
        <v>10606</v>
      </c>
      <c r="IU1" s="79" t="s">
        <v>9774</v>
      </c>
      <c r="IV1" s="79" t="s">
        <v>10124</v>
      </c>
      <c r="IW1" s="79" t="s">
        <v>10607</v>
      </c>
      <c r="IX1" s="79" t="s">
        <v>10608</v>
      </c>
      <c r="IY1" s="79" t="s">
        <v>9781</v>
      </c>
      <c r="IZ1" s="79" t="s">
        <v>10125</v>
      </c>
      <c r="JA1" s="79" t="s">
        <v>9782</v>
      </c>
      <c r="JB1" s="79" t="s">
        <v>10126</v>
      </c>
      <c r="JC1" s="79" t="s">
        <v>9783</v>
      </c>
      <c r="JD1" s="79" t="s">
        <v>10127</v>
      </c>
      <c r="JE1" s="79" t="s">
        <v>9588</v>
      </c>
      <c r="JF1" s="79" t="s">
        <v>9589</v>
      </c>
      <c r="JG1" s="79" t="s">
        <v>9590</v>
      </c>
      <c r="JH1" s="79" t="s">
        <v>9591</v>
      </c>
      <c r="JI1" s="79" t="s">
        <v>9592</v>
      </c>
      <c r="JJ1" s="79" t="s">
        <v>9593</v>
      </c>
      <c r="JK1" s="79" t="s">
        <v>9594</v>
      </c>
      <c r="JL1" s="79" t="s">
        <v>10145</v>
      </c>
      <c r="JM1" s="79" t="s">
        <v>10089</v>
      </c>
      <c r="JN1" s="79" t="s">
        <v>10090</v>
      </c>
      <c r="JO1" s="79" t="s">
        <v>10091</v>
      </c>
      <c r="JP1" s="79" t="s">
        <v>10092</v>
      </c>
      <c r="JQ1" s="79" t="s">
        <v>10093</v>
      </c>
      <c r="JR1" s="79" t="s">
        <v>10094</v>
      </c>
      <c r="JT1" s="79" t="s">
        <v>9601</v>
      </c>
      <c r="JU1" s="79" t="s">
        <v>10128</v>
      </c>
      <c r="JV1" s="79" t="s">
        <v>9602</v>
      </c>
      <c r="JW1" s="79" t="s">
        <v>9603</v>
      </c>
      <c r="JX1" s="79" t="s">
        <v>9604</v>
      </c>
      <c r="JY1" s="79" t="s">
        <v>9605</v>
      </c>
      <c r="JZ1" s="79" t="s">
        <v>9606</v>
      </c>
      <c r="KA1" s="79" t="s">
        <v>9607</v>
      </c>
      <c r="KB1" s="79" t="s">
        <v>9608</v>
      </c>
      <c r="KC1" s="79" t="s">
        <v>9609</v>
      </c>
      <c r="KD1" s="79" t="s">
        <v>9610</v>
      </c>
      <c r="KE1" s="79" t="s">
        <v>9787</v>
      </c>
      <c r="KF1" s="79" t="s">
        <v>10129</v>
      </c>
      <c r="KG1" s="79" t="s">
        <v>9611</v>
      </c>
      <c r="KH1" s="79" t="s">
        <v>9788</v>
      </c>
      <c r="KI1" s="79" t="s">
        <v>10130</v>
      </c>
      <c r="KJ1" s="79" t="s">
        <v>9612</v>
      </c>
      <c r="KK1" s="79" t="s">
        <v>9789</v>
      </c>
      <c r="KL1" s="79" t="s">
        <v>10131</v>
      </c>
      <c r="KM1" s="79" t="s">
        <v>9613</v>
      </c>
      <c r="KN1" s="79" t="s">
        <v>9784</v>
      </c>
      <c r="KO1" s="79" t="s">
        <v>10132</v>
      </c>
      <c r="KP1" s="79" t="s">
        <v>9785</v>
      </c>
      <c r="KQ1" s="79" t="s">
        <v>10133</v>
      </c>
      <c r="KR1" s="79" t="s">
        <v>9786</v>
      </c>
      <c r="KS1" s="79" t="s">
        <v>10134</v>
      </c>
      <c r="KT1" s="79" t="s">
        <v>9614</v>
      </c>
      <c r="KU1" s="79" t="s">
        <v>9615</v>
      </c>
      <c r="KV1" s="79" t="s">
        <v>9616</v>
      </c>
      <c r="KW1" s="79" t="s">
        <v>9617</v>
      </c>
      <c r="KX1" s="79" t="s">
        <v>9618</v>
      </c>
      <c r="KY1" s="79" t="s">
        <v>9619</v>
      </c>
      <c r="KZ1" s="79" t="s">
        <v>9620</v>
      </c>
      <c r="LA1" s="79" t="s">
        <v>10144</v>
      </c>
      <c r="LB1" s="79" t="s">
        <v>10095</v>
      </c>
      <c r="LC1" s="79" t="s">
        <v>10096</v>
      </c>
      <c r="LD1" s="79" t="s">
        <v>10097</v>
      </c>
      <c r="LE1" s="79" t="s">
        <v>10098</v>
      </c>
      <c r="LF1" s="79" t="s">
        <v>10099</v>
      </c>
      <c r="LG1" s="79" t="s">
        <v>10100</v>
      </c>
      <c r="LI1" s="79" t="s">
        <v>9641</v>
      </c>
      <c r="LJ1" s="79" t="s">
        <v>10003</v>
      </c>
      <c r="LK1" s="79" t="s">
        <v>10135</v>
      </c>
      <c r="LL1" s="79" t="s">
        <v>9642</v>
      </c>
      <c r="LM1" s="79" t="s">
        <v>10004</v>
      </c>
      <c r="LN1" s="79" t="s">
        <v>10136</v>
      </c>
      <c r="LO1" s="79" t="s">
        <v>9643</v>
      </c>
      <c r="LP1" s="79" t="s">
        <v>10005</v>
      </c>
      <c r="LQ1" s="79" t="s">
        <v>10137</v>
      </c>
      <c r="LR1" s="79" t="s">
        <v>9644</v>
      </c>
      <c r="LS1" s="79" t="s">
        <v>10006</v>
      </c>
      <c r="LT1" s="79" t="s">
        <v>10138</v>
      </c>
      <c r="LU1" s="79" t="s">
        <v>9645</v>
      </c>
      <c r="LV1" s="79" t="s">
        <v>10007</v>
      </c>
      <c r="LW1" s="79" t="s">
        <v>10139</v>
      </c>
      <c r="LX1" s="79" t="s">
        <v>9646</v>
      </c>
      <c r="LY1" s="79" t="s">
        <v>9647</v>
      </c>
      <c r="LZ1" s="79" t="s">
        <v>9648</v>
      </c>
      <c r="MA1" s="79" t="s">
        <v>9649</v>
      </c>
      <c r="MB1" s="79" t="s">
        <v>9650</v>
      </c>
      <c r="MC1" s="79" t="s">
        <v>10609</v>
      </c>
      <c r="MD1" s="79" t="s">
        <v>10610</v>
      </c>
      <c r="ME1" s="79" t="s">
        <v>10611</v>
      </c>
      <c r="MF1" s="79" t="s">
        <v>9790</v>
      </c>
      <c r="MG1" s="79" t="s">
        <v>10140</v>
      </c>
      <c r="MH1" s="79" t="s">
        <v>10612</v>
      </c>
      <c r="MI1" s="79" t="s">
        <v>10613</v>
      </c>
      <c r="MJ1" s="79" t="s">
        <v>10614</v>
      </c>
      <c r="MK1" s="79" t="s">
        <v>9791</v>
      </c>
      <c r="ML1" s="79" t="s">
        <v>10141</v>
      </c>
      <c r="MM1" s="79" t="s">
        <v>10615</v>
      </c>
      <c r="MN1" s="79" t="s">
        <v>10616</v>
      </c>
      <c r="MO1" s="79" t="s">
        <v>10617</v>
      </c>
      <c r="MP1" s="79" t="s">
        <v>9792</v>
      </c>
      <c r="MQ1" s="79" t="s">
        <v>10142</v>
      </c>
      <c r="MR1" s="79" t="s">
        <v>10618</v>
      </c>
      <c r="MS1" s="79" t="s">
        <v>10619</v>
      </c>
      <c r="MT1" s="79" t="s">
        <v>10165</v>
      </c>
      <c r="MU1" s="79" t="s">
        <v>10166</v>
      </c>
      <c r="MV1" s="79" t="s">
        <v>10167</v>
      </c>
      <c r="MW1" s="79" t="s">
        <v>10168</v>
      </c>
      <c r="MX1" s="79" t="s">
        <v>10169</v>
      </c>
      <c r="MY1" s="79" t="s">
        <v>10170</v>
      </c>
      <c r="MZ1" s="79" t="s">
        <v>9651</v>
      </c>
      <c r="NA1" s="79" t="s">
        <v>9652</v>
      </c>
      <c r="NB1" s="79" t="s">
        <v>9653</v>
      </c>
      <c r="NC1" s="79" t="s">
        <v>9654</v>
      </c>
      <c r="ND1" s="79" t="s">
        <v>9655</v>
      </c>
      <c r="NE1" s="79" t="s">
        <v>9656</v>
      </c>
      <c r="NF1" s="79" t="s">
        <v>9657</v>
      </c>
      <c r="NG1" s="79" t="s">
        <v>10143</v>
      </c>
      <c r="NH1" s="79" t="s">
        <v>10077</v>
      </c>
      <c r="NI1" s="79" t="s">
        <v>10078</v>
      </c>
      <c r="NJ1" s="79" t="s">
        <v>10079</v>
      </c>
      <c r="NK1" s="79" t="s">
        <v>10080</v>
      </c>
      <c r="NL1" s="79" t="s">
        <v>10081</v>
      </c>
      <c r="NM1" s="79" t="s">
        <v>10082</v>
      </c>
      <c r="NN1" s="1"/>
      <c r="NO1" s="79" t="s">
        <v>9543</v>
      </c>
      <c r="NP1" s="79" t="s">
        <v>9743</v>
      </c>
      <c r="NQ1" s="79" t="s">
        <v>10146</v>
      </c>
      <c r="NR1" s="79" t="s">
        <v>9544</v>
      </c>
      <c r="NS1" s="79" t="s">
        <v>9744</v>
      </c>
      <c r="NT1" s="79" t="s">
        <v>10147</v>
      </c>
      <c r="NU1" s="79" t="s">
        <v>9545</v>
      </c>
      <c r="NV1" s="79" t="s">
        <v>9745</v>
      </c>
      <c r="NW1" s="79" t="s">
        <v>10148</v>
      </c>
      <c r="NX1" s="79" t="s">
        <v>9546</v>
      </c>
      <c r="NY1" s="79" t="s">
        <v>9746</v>
      </c>
      <c r="NZ1" s="79" t="s">
        <v>10163</v>
      </c>
      <c r="OA1" s="79" t="s">
        <v>9547</v>
      </c>
      <c r="OB1" s="79" t="s">
        <v>9747</v>
      </c>
      <c r="OC1" s="79" t="s">
        <v>10149</v>
      </c>
      <c r="OD1" s="79" t="s">
        <v>9548</v>
      </c>
      <c r="OE1" s="79" t="s">
        <v>9549</v>
      </c>
      <c r="OF1" s="79" t="s">
        <v>9550</v>
      </c>
      <c r="OG1" s="79" t="s">
        <v>9599</v>
      </c>
      <c r="OH1" s="79" t="s">
        <v>9600</v>
      </c>
      <c r="OI1" s="79" t="s">
        <v>9551</v>
      </c>
      <c r="OJ1" s="79" t="s">
        <v>9762</v>
      </c>
      <c r="OK1" s="79" t="s">
        <v>10150</v>
      </c>
      <c r="OL1" s="79" t="s">
        <v>9552</v>
      </c>
      <c r="OM1" s="79" t="s">
        <v>9763</v>
      </c>
      <c r="ON1" s="79" t="s">
        <v>10151</v>
      </c>
      <c r="OO1" s="79" t="s">
        <v>9553</v>
      </c>
      <c r="OP1" s="79" t="s">
        <v>9764</v>
      </c>
      <c r="OQ1" s="79" t="s">
        <v>10152</v>
      </c>
      <c r="OR1" s="79" t="s">
        <v>9554</v>
      </c>
      <c r="OS1" s="79" t="s">
        <v>9775</v>
      </c>
      <c r="OT1" s="79" t="s">
        <v>10153</v>
      </c>
      <c r="OU1" s="79" t="s">
        <v>9776</v>
      </c>
      <c r="OV1" s="79" t="s">
        <v>10154</v>
      </c>
      <c r="OW1" s="79" t="s">
        <v>9777</v>
      </c>
      <c r="OX1" s="79" t="s">
        <v>10155</v>
      </c>
      <c r="OY1" s="79" t="s">
        <v>9555</v>
      </c>
      <c r="OZ1" s="79" t="s">
        <v>9556</v>
      </c>
      <c r="PA1" s="79" t="s">
        <v>9557</v>
      </c>
      <c r="PB1" s="79" t="s">
        <v>9558</v>
      </c>
      <c r="PC1" s="79" t="s">
        <v>9559</v>
      </c>
      <c r="PD1" s="79" t="s">
        <v>9560</v>
      </c>
      <c r="PE1" s="79" t="s">
        <v>9561</v>
      </c>
      <c r="PF1" s="79" t="s">
        <v>9562</v>
      </c>
      <c r="PG1" s="79" t="s">
        <v>10076</v>
      </c>
      <c r="PJ1" s="1184" t="s">
        <v>9378</v>
      </c>
      <c r="PK1" s="1184"/>
      <c r="PL1" s="1184"/>
      <c r="PM1" s="1184"/>
      <c r="PN1" s="1184"/>
      <c r="PO1" s="1184"/>
      <c r="PP1" s="1184"/>
      <c r="PQ1" s="1184"/>
      <c r="PR1" s="1184"/>
      <c r="PS1" s="1184"/>
      <c r="PT1" s="1184" t="s">
        <v>9379</v>
      </c>
      <c r="PU1" s="1184"/>
      <c r="PV1" s="1184"/>
      <c r="PW1" s="1184"/>
      <c r="PX1" s="1184"/>
      <c r="PY1" s="1184"/>
      <c r="PZ1" s="1184"/>
      <c r="QA1" s="1184"/>
      <c r="QB1" s="1184" t="s">
        <v>9380</v>
      </c>
      <c r="QC1" s="1184"/>
      <c r="QD1" s="1184"/>
      <c r="QE1" s="1184"/>
      <c r="QF1" s="1184"/>
      <c r="QG1" s="1184"/>
      <c r="QH1" s="1184"/>
      <c r="QI1" s="1184"/>
      <c r="QK1" s="94" t="s">
        <v>9135</v>
      </c>
      <c r="QM1" s="1185" t="s">
        <v>9301</v>
      </c>
      <c r="QN1" s="1186"/>
      <c r="QO1" s="1186"/>
      <c r="QP1" s="1186"/>
      <c r="QQ1" s="1186"/>
      <c r="QR1" s="1186"/>
      <c r="QS1" s="1186"/>
      <c r="QT1" s="1186"/>
      <c r="QU1" s="1186"/>
      <c r="QV1" s="1187"/>
      <c r="QX1" s="93" t="s">
        <v>9341</v>
      </c>
      <c r="SW1" s="1180" t="s">
        <v>9377</v>
      </c>
      <c r="SX1" s="1180"/>
      <c r="SY1" s="1180"/>
      <c r="SZ1" s="86" t="s">
        <v>9628</v>
      </c>
      <c r="TA1" s="87"/>
      <c r="TB1" s="88"/>
      <c r="TC1" s="86" t="s">
        <v>9629</v>
      </c>
      <c r="TD1" s="87"/>
      <c r="TE1" s="87"/>
      <c r="TF1" s="88"/>
      <c r="TH1" t="s">
        <v>9703</v>
      </c>
      <c r="TI1" s="258" t="s">
        <v>10196</v>
      </c>
      <c r="TL1" s="1" t="s">
        <v>10195</v>
      </c>
      <c r="TN1" t="s">
        <v>10579</v>
      </c>
    </row>
    <row r="2" spans="1:534" ht="74.25" customHeight="1" x14ac:dyDescent="0.2">
      <c r="A2" s="8" t="s">
        <v>180</v>
      </c>
      <c r="B2" s="8">
        <v>10</v>
      </c>
      <c r="D2" s="8" t="s">
        <v>180</v>
      </c>
      <c r="E2" s="8" t="b">
        <f>IF($D2='PI-1-MarineLoading'!$D$73,TRUE,FALSE)</f>
        <v>0</v>
      </c>
      <c r="G2">
        <f>IF(OR(H2=0,ISNUMBER(MATCH(H2,$H$1:H1,0))),0,MAX($G$1:G1)+1)</f>
        <v>0</v>
      </c>
      <c r="H2">
        <f>Products!A59</f>
        <v>0</v>
      </c>
      <c r="I2" t="str">
        <f t="shared" ref="I2:I11" si="0">IFERROR(VLOOKUP(ROW(A1),$G$2:$H$11,2,FALSE),"")</f>
        <v/>
      </c>
      <c r="K2">
        <f>IF(OR(L2=0,ISNUMBER(MATCH(L2,$L$1:L1,0))),0,MAX($K$1:K1)+1)</f>
        <v>1</v>
      </c>
      <c r="L2" t="s">
        <v>9799</v>
      </c>
      <c r="M2" t="str">
        <f>IFERROR(VLOOKUP(ROW(A1),$K$2:$L$6,2,FALSE),"")</f>
        <v>no control</v>
      </c>
      <c r="O2" s="77">
        <f>IF(OR(P2=0,ISNUMBER(MATCH(P2,$P$1:P1,0))),0,MAX($O$1:O1)+1)</f>
        <v>1</v>
      </c>
      <c r="P2" s="77" t="s">
        <v>9799</v>
      </c>
      <c r="Q2" s="77" t="str">
        <f t="shared" ref="Q2:Q8" si="1">IFERROR(VLOOKUP(ROW(A1),$O$2:$P$8,2,FALSE),"")</f>
        <v>no control</v>
      </c>
      <c r="S2">
        <f>IF(OR(T2=0,ISNUMBER(MATCH(T2,$T$1:T1,0))),0,MAX($S$1:S1)+1)</f>
        <v>0</v>
      </c>
      <c r="T2">
        <f>IF('PI-1-MarineLoading'!$G121&lt;&gt;"yes",0,"permanent flare")</f>
        <v>0</v>
      </c>
      <c r="U2" t="str">
        <f t="shared" ref="U2:U7" si="2">IFERROR(VLOOKUP(ROW(A1),$S$2:$T$7,2,FALSE),"")</f>
        <v/>
      </c>
      <c r="W2">
        <f>IF(OR(X2=0,ISNUMBER(MATCH(X2,$X$1:X1,0))),0,MAX($W$1:W1)+1)</f>
        <v>0</v>
      </c>
      <c r="X2">
        <f>Products!$E8</f>
        <v>0</v>
      </c>
      <c r="Y2" t="str">
        <f t="shared" ref="Y2:Y33" si="3">IFERROR(VLOOKUP(ROW(A1),$W$2:$X$111,2,FALSE),"")</f>
        <v/>
      </c>
      <c r="AA2">
        <f>IF(OR(AB2=0,ISNUMBER(MATCH(AB2,$AB$1:AB1,0))),0,MAX($AA$1:AA1)+1)</f>
        <v>0</v>
      </c>
      <c r="AB2">
        <f>IF('PI-1-MarineLoading'!$G$125=0,0,IF('PI-1-MarineLoading'!$G$125&gt;=1,Engine1!$D$7,0))</f>
        <v>0</v>
      </c>
      <c r="AC2">
        <f>IFERROR(VLOOKUP(ROW(A1),$AA$2:$AB$5,2,FALSE),0)</f>
        <v>0</v>
      </c>
      <c r="AE2">
        <f>IF(OR(AF2=0,ISNUMBER(MATCH(AF2,$AF$1:AF1,0))),0,MAX($AE$1:AE1)+1)</f>
        <v>0</v>
      </c>
      <c r="AF2">
        <f>$AB$4</f>
        <v>0</v>
      </c>
      <c r="AG2">
        <f>IFERROR(VLOOKUP(ROW(A1),$AE$2:$AF$5,2,FALSE),0)</f>
        <v>0</v>
      </c>
      <c r="AI2">
        <f>IF(OR(AJ2=0,ISNUMBER(MATCH(AJ2,$AJ$1:AJ1,0))),0,MAX($AI$1:AI1)+1)</f>
        <v>0</v>
      </c>
      <c r="AJ2">
        <f>IF('PI-1-MarineLoading'!$G$122="yes",IF(VCU!$D$71="Yes",VCU!$D$7,0),0)</f>
        <v>0</v>
      </c>
      <c r="AK2">
        <f>IFERROR(VLOOKUP(ROW(A1),$AI$2:$AJ$4,2,FALSE),0)</f>
        <v>0</v>
      </c>
      <c r="AM2">
        <f>IF(OR(AN2=0,ISNUMBER(MATCH(AN2,$AN$1:AN1,0))),0,MAX($AM$1:AM1)+1)</f>
        <v>0</v>
      </c>
      <c r="AN2">
        <f>IF('PI-1-MarineLoading'!$G$122="yes",IF(VCU!$D$71&lt;&gt;"Yes",0,IF(VCU!$D$73&lt;&gt;"No",0,VCU!$D$7)),0)</f>
        <v>0</v>
      </c>
      <c r="AO2">
        <f>IFERROR(VLOOKUP(ROW(A1),$AM$2:$AN$4,2,FALSE),0)</f>
        <v>0</v>
      </c>
      <c r="AQ2">
        <f>IF(OR(AR2=0,ISNUMBER(MATCH(AR2,$AR$1:AR1,0))),0,MAX($AQ$1:AQ1)+1)</f>
        <v>0</v>
      </c>
      <c r="AR2">
        <f>IF('PI-1-MarineLoading'!$G$122="yes",IF(VCU!$D$71&lt;&gt;"Yes",0,IF(VCU!$D$73&lt;&gt;"Yes",0,VCU!$D$7)),0)</f>
        <v>0</v>
      </c>
      <c r="AS2">
        <f>IFERROR(VLOOKUP(ROW(A1),$AQ$2:$AR$4,2,FALSE),0)</f>
        <v>0</v>
      </c>
      <c r="AU2">
        <f>IF(OR(AV2=0,ISNUMBER(MATCH(AV2,$AV$1:AV1,0))),0,MAX($AU$1:AU1)+1)</f>
        <v>0</v>
      </c>
      <c r="AV2">
        <f>IF('PI-1-MarineLoading'!$G$121&lt;&gt;"yes",0,Flare!$D$7)</f>
        <v>0</v>
      </c>
      <c r="AW2">
        <f>IFERROR(VLOOKUP(ROW(A1),$AU$2:$AV$4,2,FALSE),0)</f>
        <v>0</v>
      </c>
      <c r="AY2">
        <f>IF(OR(AZ2=0,ISNUMBER(MATCH(AZ2,$AZ$1:AZ1,0))),0,MAX($AY$1:AY1)+1)</f>
        <v>0</v>
      </c>
      <c r="AZ2">
        <f>IF('PI-1-MarineLoading'!$G$115&lt;1,0,IF(Tank1!$D$22="no control",0,Tank1!$D$7))</f>
        <v>0</v>
      </c>
      <c r="BA2">
        <f>IFERROR(VLOOKUP(ROW(A1),$AY$2:$AZ$6,2,FALSE),0)</f>
        <v>0</v>
      </c>
      <c r="BC2">
        <f>IF(OR(BD2=0,ISNUMBER(MATCH(BD2,$BD$1:BD1,0))),0,MAX($BC$1:BC1)+1)</f>
        <v>0</v>
      </c>
      <c r="BD2">
        <f>IF('PI-1-MarineLoading'!$G$115&lt;1,0,IF(COUNTIF(Tank1!$D$18,"*floating*")=0,0,Tank1!$D$7))</f>
        <v>0</v>
      </c>
      <c r="BE2">
        <f>IFERROR(VLOOKUP(ROW(A1),$BC$2:$BD$6,2,FALSE),0)</f>
        <v>0</v>
      </c>
      <c r="BG2">
        <f>IF(OR(BH2=0,ISNUMBER(MATCH(BH2,$BH$1:BH1,0))),0,MAX($BG$1:BG1)+1)</f>
        <v>0</v>
      </c>
      <c r="BH2">
        <f>IF('PI-1-MarineLoading'!$G$115&lt;1,0,IF(COUNTIF(Tank1!$D$18,"*floating*")=0,0,IF(ConvenienceLand!$D$13=0,0,ConvenienceLand!$D$14)))</f>
        <v>0</v>
      </c>
      <c r="BI2">
        <f>IFERROR(VLOOKUP(ROW(A1),$BG$2:$BH$6,2,FALSE),0)</f>
        <v>0</v>
      </c>
      <c r="BJ2">
        <f>IFERROR(VLOOKUP($BI2,$BX$2:$BY$7,2),0)</f>
        <v>0</v>
      </c>
      <c r="BL2">
        <f>IF(OR(BM2=0,ISNUMBER(MATCH(BM2,$BM$1:BM1,0))),0,MAX($BL$1:BL1)+1)</f>
        <v>0</v>
      </c>
      <c r="BM2">
        <f>IF('PI-1-MarineLoading'!$G$128&lt;&gt;"yes",0,IF('PI-1-MarineLoading'!$G121&lt;&gt;"yes",0,IF(COUNTIF(TankMSS!$C$14:$D$18,"permanent flare")&gt;0,"permanent flare (FIN "&amp;Flare!$D$7&amp;")",0)))</f>
        <v>0</v>
      </c>
      <c r="BN2">
        <f t="shared" ref="BN2:BN7" si="4">IFERROR(VLOOKUP(ROW(A1),$BL$2:$BM$7,2,FALSE),0)</f>
        <v>0</v>
      </c>
      <c r="BP2">
        <f>IF(OR(BQ2=0,ISNUMBER(MATCH(BQ2,$BQ$1:BQ1,0))),0,MAX($BP$1:BP1)+1)</f>
        <v>0</v>
      </c>
      <c r="BQ2">
        <f>IF('PI-1-MarineLoading'!$G$128&lt;&gt;"yes",0,IF('PI-1-MarineLoading'!$G121&lt;&gt;"yes",0,IF(COUNTIF(TankMSS!$C$107:$D$111,"permanent flare")&gt;0,"permanent flare (FIN "&amp;Flare!$D$7&amp;")",0)))</f>
        <v>0</v>
      </c>
      <c r="BR2">
        <f t="shared" ref="BR2:BR7" si="5">IFERROR(VLOOKUP(ROW(A1),$BP$2:$BQ$7,2,FALSE),0)</f>
        <v>0</v>
      </c>
      <c r="BT2">
        <f>IF(OR(BU2=0,ISNUMBER(MATCH(BU2,$BU$1:BU1,0))),0,MAX($BT$1:BT1)+1)</f>
        <v>0</v>
      </c>
      <c r="BU2">
        <f>IF('PI-1-MarineLoading'!$G$128&lt;&gt;"yes",0,IF('PI-1-MarineLoading'!$G129&lt;&gt;"yes",0,IF((COUNTIF(TankMSS!$C$14:$D$18,"temporary flare")+COUNTIF(TankMSS!$C$107:$D$111,"temporary flare"))&gt;0,"temporary flare (FIN "&amp;MSS!$D$63&amp;")",0)))</f>
        <v>0</v>
      </c>
      <c r="BV2">
        <f>IFERROR(VLOOKUP(ROW(A1),$BT$2:$BU$4,2,FALSE),0)</f>
        <v>0</v>
      </c>
      <c r="BX2" t="s">
        <v>10512</v>
      </c>
      <c r="BY2">
        <f>Flare!$D$7</f>
        <v>0</v>
      </c>
      <c r="CA2">
        <f>IF(OR(CB2=0,ISNUMBER(MATCH(CB2,$CB$1:CB1,0))),0,MAX($CA$1:CA1)+1)</f>
        <v>0</v>
      </c>
      <c r="CB2" s="8">
        <f>IF(OR(Tank1!$D$18="EXTERNAL FLOATING ROOF",Tank1!$D$18="INTERNAL FLOATING ROOF"),IF(Tank1!$E32="",0,Tank1!$E32),0)</f>
        <v>0</v>
      </c>
      <c r="CC2" s="8" t="str">
        <f t="shared" ref="CC2:CC33" si="6">IFERROR(VLOOKUP(ROW(A1),$CA$2:$CB$501,2,FALSE),"")</f>
        <v/>
      </c>
      <c r="CD2" s="8"/>
      <c r="CE2" s="8">
        <f>IF(OR(CF2=0,ISNUMBER(MATCH(CF2,$CF$1:CF1,0))),0,MAX($CE$1:CE1)+1)</f>
        <v>0</v>
      </c>
      <c r="CF2" s="8">
        <f>IF(OR(Tank1!$D$18="HORIZONTAL FIXED ROOF",Tank1!$D$18="VERTICAL FIXED ROOF"),IF(Tank1!$E32="",0,Tank1!$E32),0)</f>
        <v>0</v>
      </c>
      <c r="CG2" s="8" t="str">
        <f t="shared" ref="CG2:CG33" si="7">IFERROR(VLOOKUP(ROW(A1),$CA$2:$CB$501,2,FALSE),"")</f>
        <v/>
      </c>
      <c r="CI2" t="s">
        <v>8706</v>
      </c>
      <c r="CJ2">
        <f>IF(OR(CK2=0,ISNUMBER(MATCH(CK2,$CK$1:CK1,0))),0,MAX($CJ$1:CJ1)+1)</f>
        <v>0</v>
      </c>
      <c r="CK2">
        <f>Tank1!$A$32</f>
        <v>0</v>
      </c>
      <c r="CL2" t="str">
        <f t="shared" ref="CL2:CL11" si="8">IFERROR(VLOOKUP(ROW(A1),$CJ$2:$CK$51,2,FALSE),"")</f>
        <v/>
      </c>
      <c r="CM2">
        <f>IFERROR(VLOOKUP($CK2,Tank1!$A$32:$D$141,3,FALSE),0)</f>
        <v>0</v>
      </c>
      <c r="CN2">
        <f>IFERROR(VLOOKUP($CK2,Tank1!$A$32:$D$141,4,FALSE),0)</f>
        <v>0</v>
      </c>
      <c r="CP2">
        <f>IF(OR(CQ2=0,ISNUMBER(MATCH(CQ2,$CQ$1:CQ1,0))),0,MAX($CP$1:CP1)+1)</f>
        <v>0</v>
      </c>
      <c r="CQ2">
        <f>IF('PI-1-MarineLoading'!$G$115&lt;ROW($A1),0,IF(Tank1!$D$25="yes",Tank1!$D$7,0))</f>
        <v>0</v>
      </c>
      <c r="CR2">
        <f>IFERROR(VLOOKUP(ROW(A1),$CP$2:$CQ$6,2,FALSE),0)</f>
        <v>0</v>
      </c>
      <c r="CT2">
        <f>IF(OR(CU2=0,ISNUMBER(MATCH(CU2,$CU$1:CU1,0))),0,MAX($CT$1:CT1)+1)</f>
        <v>0</v>
      </c>
      <c r="CU2">
        <f>IF('PI-1-MarineLoading'!$G$115&lt;ROW($A1),0,IF(Tank1!$D$26="yes",Tank1!$D$7,0))</f>
        <v>0</v>
      </c>
      <c r="CV2">
        <f>IFERROR(VLOOKUP(ROW(A1),$CT$2:$CU$6,2,FALSE),0)</f>
        <v>0</v>
      </c>
      <c r="CX2" t="s">
        <v>9391</v>
      </c>
      <c r="CZ2">
        <f>IF(OR(DA2=0,ISNUMBER(MATCH(DA2,$DA$1:DA1,0))),0,MAX($CZ$1:CZ1)+1)</f>
        <v>0</v>
      </c>
      <c r="DA2">
        <f>IFERROR(VLOOKUP("crude isoprene (hydrocarbons, C5-rich)",Products!$F$59:$F$158,1,FALSE),0)</f>
        <v>0</v>
      </c>
      <c r="DB2">
        <f>IFERROR(VLOOKUP(ROW(A1),$CZ$2:$DA$5,2,FALSE),0)</f>
        <v>0</v>
      </c>
      <c r="DD2">
        <f>IF(OR(DE2=0,ISNUMBER(MATCH(DE2,$DE$1:DE1,0))),0,MAX($DD$1:DD1)+1)</f>
        <v>0</v>
      </c>
      <c r="DE2">
        <f>IF('PI-1-MarineLoading'!$G$116="yes",'Load-DrumTote'!$F$7,0)</f>
        <v>0</v>
      </c>
      <c r="DF2">
        <f>IFERROR(VLOOKUP(ROW(A1),$DD$2:$DE$6,2,FALSE),0)</f>
        <v>0</v>
      </c>
      <c r="DH2">
        <f>IF(OR(DI2=0,ISNUMBER(MATCH(DI2,$DI$1:DI1,0))),0,MAX($DH$1:DH1)+1)</f>
        <v>0</v>
      </c>
      <c r="DI2">
        <f>IF('PI-1-MarineLoading'!$G$115&lt;ROW($A1),0,IF(Tank1!$D$22="CAS",Tank1!$D$7,0))</f>
        <v>0</v>
      </c>
      <c r="DJ2">
        <f t="shared" ref="DJ2:DJ11" si="9">IFERROR(VLOOKUP(ROW(A1),$DH$2:$DI$11,2,FALSE),0)</f>
        <v>0</v>
      </c>
      <c r="DL2" t="s">
        <v>8706</v>
      </c>
      <c r="DM2">
        <f>IF(OR(DN2=0,ISNUMBER(MATCH(DN2,$DN$1:DN1,0))),0,MAX($DM$1:DM1)+1)</f>
        <v>0</v>
      </c>
      <c r="DN2">
        <f>IF(Tank1!$D$22="Flare",IFERROR(VLOOKUP(Products!$A$59,Tank1!$A$32:$B$141,1,FALSE),0),0)</f>
        <v>0</v>
      </c>
      <c r="DO2">
        <f>IF($DN2=0,0,VLOOKUP($DN2,Tank1!$A$32:$H$141,7,FALSE))</f>
        <v>0</v>
      </c>
      <c r="DP2">
        <f>IF($DN2=0,0,VLOOKUP($DN2,Tank1!$A$32:$H$141,8,FALSE))</f>
        <v>0</v>
      </c>
      <c r="DQ2" t="str">
        <f t="shared" ref="DQ2:DQ11" si="10">IFERROR(VLOOKUP(ROW(A1),$DM$2:$DN$101,2,FALSE),"")</f>
        <v/>
      </c>
      <c r="DR2">
        <f>SUMIF($DN$2:$DN$101,DQ2,$DO$2:$DO$101)</f>
        <v>0</v>
      </c>
      <c r="DS2">
        <f>SUMIF($DN$2:$DN$101,DQ2,$DP$2:$DP$101)</f>
        <v>0</v>
      </c>
      <c r="DU2">
        <f>IF(OR(DV2=0,ISNUMBER(MATCH(DV2,$DV$1:DV1,0))),0,MAX($DU$1:DU1)+1)</f>
        <v>0</v>
      </c>
      <c r="DV2">
        <f>IF(Tank1!$D$22="VCU",IFERROR(VLOOKUP(Products!$A$59,Tank1!$A$32:$B$141,1,FALSE),0),0)</f>
        <v>0</v>
      </c>
      <c r="DW2">
        <f>IF($DV2=0,0,VLOOKUP($DV2,Tank1!$A$32:$H$141,7,FALSE))</f>
        <v>0</v>
      </c>
      <c r="DX2">
        <f>IF($DV2=0,0,VLOOKUP($DV2,Tank1!$A$32:$H$141,8,FALSE))</f>
        <v>0</v>
      </c>
      <c r="DY2" t="str">
        <f t="shared" ref="DY2:DY11" si="11">IFERROR(VLOOKUP(ROW(A1),$DU$2:$DV$101,2,FALSE),"")</f>
        <v/>
      </c>
      <c r="DZ2">
        <f>SUMIF($DV$2:$DV$101,DY2,$DW$2:$DW$101)</f>
        <v>0</v>
      </c>
      <c r="EA2">
        <f>SUMIF($DV$2:$DV$101,DY2,$DX$2:$DX$101)</f>
        <v>0</v>
      </c>
      <c r="EC2">
        <f>IF(OR(ED2=0,ISNUMBER(MATCH(ED2,$ED$1:ED1,0))),0,MAX($EC$1:EC1)+1)</f>
        <v>0</v>
      </c>
      <c r="ED2">
        <f>IF(Tank1!$D$22="vapor oxidizer",IFERROR(VLOOKUP(Products!$A$59,Tank1!$A$32:$B$141,1,FALSE),0),0)</f>
        <v>0</v>
      </c>
      <c r="EE2">
        <f>IF($ED2=0,0,VLOOKUP($ED2,Tank1!$A$32:$H$141,7,FALSE))</f>
        <v>0</v>
      </c>
      <c r="EF2">
        <f>IF($ED2=0,0,VLOOKUP($ED2,Tank1!$A$32:$H$141,8,FALSE))</f>
        <v>0</v>
      </c>
      <c r="EG2" t="str">
        <f t="shared" ref="EG2:EG11" si="12">IFERROR(VLOOKUP(ROW(A1),$EC$2:$ED$101,2,FALSE),"")</f>
        <v/>
      </c>
      <c r="EH2">
        <f>SUMIF($ED$2:$ED$101,$EG2,$EE$2:$EE$101)</f>
        <v>0</v>
      </c>
      <c r="EI2">
        <f>SUMIF($ED$2:$ED$101,$EG2,$EF$2:$EF$101)</f>
        <v>0</v>
      </c>
      <c r="EK2">
        <f>IF(OR(EL2=0,ISNUMBER(MATCH(EL2,$EL$1:EL1,0))),0,MAX($EK$1:EK1)+1)</f>
        <v>0</v>
      </c>
      <c r="EL2">
        <f>IF(Tank1!$D$22="CAS",IFERROR(VLOOKUP(Products!A59,Tank1!$A$32:$B$141,1,FALSE),0),0)</f>
        <v>0</v>
      </c>
      <c r="EM2">
        <f>IF($EL2=0,0,VLOOKUP($EL2,Tank1!$A$32:$H$141,7,FALSE))</f>
        <v>0</v>
      </c>
      <c r="EN2">
        <f>IF($EL2=0,0,VLOOKUP($EL2,Tank1!$A$32:$H$141,8,FALSE))</f>
        <v>0</v>
      </c>
      <c r="EO2" t="str">
        <f t="shared" ref="EO2:EO11" si="13">IFERROR(VLOOKUP(ROW(A1),$EK$2:$EL$101,2,FALSE),"")</f>
        <v/>
      </c>
      <c r="EP2">
        <f>SUMIF($EL$2:$EL$101,$EO2,$EM$2:$EM$101)</f>
        <v>0</v>
      </c>
      <c r="EQ2">
        <f>SUMIF($EL$2:$EL$101,$EO2,$EN$2:$EN$101)</f>
        <v>0</v>
      </c>
      <c r="ES2">
        <f>IF(OR(ET2=0,ISNUMBER(MATCH(ET2,$ET$1:ET1,0))),0,MAX($ES$1:ES1)+1)</f>
        <v>0</v>
      </c>
      <c r="ET2">
        <f>IF(OR(Fug!$F21="",Fug!$F21="N/A"),0,Fug!$F21)</f>
        <v>0</v>
      </c>
      <c r="EU2">
        <f t="shared" ref="EU2:EU7" si="14">IFERROR(VLOOKUP(ROW(A1),$ES$2:$ET$7,2,FALSE),0)</f>
        <v>0</v>
      </c>
      <c r="EX2">
        <f>MSS!$A35</f>
        <v>0</v>
      </c>
      <c r="EY2">
        <f>MSS!$G35*MSS!F$144</f>
        <v>0</v>
      </c>
      <c r="EZ2">
        <f>MSS!$G35*MSS!G$144</f>
        <v>0</v>
      </c>
      <c r="FB2" s="8" t="s">
        <v>357</v>
      </c>
      <c r="FC2" s="8" t="s">
        <v>358</v>
      </c>
      <c r="FD2" s="8">
        <v>400</v>
      </c>
      <c r="FE2" s="8">
        <v>40</v>
      </c>
      <c r="FG2" s="360" t="str">
        <f>$Y2</f>
        <v/>
      </c>
      <c r="FH2" s="155">
        <f>IF(Tank1!$D$22="NO CONTROL",_xlfn.MAXIFS(Tank1!$G$32:$G$141,Tank1!$E$32:$E$141,$FG2),0)*IFERROR($QR$3,0)</f>
        <v>0</v>
      </c>
      <c r="FI2" s="155">
        <f>_xlfn.MAXIFS(LandEmiss!$AF$20:$AF$119,LandEmiss!$AE$20:$AE$119,$FG2)*IFERROR($QR$3,0)</f>
        <v>0</v>
      </c>
      <c r="FJ2" s="155">
        <f>MAX(_xlfn.MAXIFS(LandEmiss!$CO$20:$CO$119,LandEmiss!$CN$20:$CN$119,$FG2),_xlfn.MAXIFS(LandEmiss!$EZ$9:$EZ$108,LandEmiss!$EY$9:$EY$108,$FG2))*IFERROR($QR$3,0)</f>
        <v>0</v>
      </c>
      <c r="FK2" s="155">
        <f>IF(Tank2!$D$22="NO CONTROL",_xlfn.MAXIFS(Tank2!$G$32:$G$141,Tank2!$E$32:$E$141,$FG2),0)*IFERROR($QR$4,0)</f>
        <v>0</v>
      </c>
      <c r="FL2" s="155">
        <f>_xlfn.MAXIFS(LandEmiss!$AG$20:$AG$119,LandEmiss!$AE$20:$AE$119,$FG2)*IFERROR($QR$4,0)</f>
        <v>0</v>
      </c>
      <c r="FM2" s="155">
        <f>MAX(_xlfn.MAXIFS(LandEmiss!$CP$20:$CP$119,LandEmiss!$CN$20:$CN$119,$FG2),_xlfn.MAXIFS(LandEmiss!$FA$9:$FA$108,LandEmiss!$EY$9:$EY$108,$FG2))*IFERROR($QR$4,0)</f>
        <v>0</v>
      </c>
      <c r="FN2" s="155">
        <f>IF(Tank3!$D$22="NO CONTROL",_xlfn.MAXIFS(Tank3!$G$32:$G$141,Tank3!$E$32:$E$141,$FG2),0)*IFERROR($QR$5,0)</f>
        <v>0</v>
      </c>
      <c r="FO2" s="155">
        <f>_xlfn.MAXIFS(LandEmiss!$AH$20:$AH$119,LandEmiss!$AE$20:$AE$119,$FG2)*IFERROR($QR$5,0)</f>
        <v>0</v>
      </c>
      <c r="FP2" s="155">
        <f>MAX(_xlfn.MAXIFS(LandEmiss!$CQ$20:$CQ$119,LandEmiss!$CN$20:$CN$119,$FG2),_xlfn.MAXIFS(LandEmiss!$FB$9:$FB$108,LandEmiss!$EY$9:$EY$108,$FG2))*IFERROR($QR$5,0)</f>
        <v>0</v>
      </c>
      <c r="FQ2" s="155">
        <f>IF(Tank4!$D$22="NO CONTROL",_xlfn.MAXIFS(Tank4!$G$32:$G$141,Tank4!$E$32:$E$141,$FG2),0)*IFERROR($QR$6,0)</f>
        <v>0</v>
      </c>
      <c r="FR2" s="155">
        <f>_xlfn.MAXIFS(LandEmiss!$AI$20:$AI$119,LandEmiss!$AE$20:$AE$119,$FG2)*IFERROR($QR$6,0)</f>
        <v>0</v>
      </c>
      <c r="FS2" s="155">
        <f>MAX(_xlfn.MAXIFS(LandEmiss!$CR$20:$CR$119,LandEmiss!$CN$20:$CN$119,$FG2),_xlfn.MAXIFS(LandEmiss!$FC$9:$FC$108,LandEmiss!$EY$9:$EY$108,$FG2))*IFERROR($QR$6,0)</f>
        <v>0</v>
      </c>
      <c r="FT2" s="155">
        <f>IF(Tank5!$D$22="NO CONTROL",_xlfn.MAXIFS(Tank5!$G$32:$G$141,Tank5!$E$32:$E$141,$FG2),0)*IFERROR($QR$7,0)</f>
        <v>0</v>
      </c>
      <c r="FU2" s="155">
        <f>_xlfn.MAXIFS(LandEmiss!$AJ$20:$AJ$119,LandEmiss!$AE$20:$AE$119,$FG2)*IFERROR($QR$7,0)</f>
        <v>0</v>
      </c>
      <c r="FV2" s="155">
        <f>MAX(_xlfn.MAXIFS(LandEmiss!$CS$20:$CS$119,LandEmiss!$CN$20:$CN$119,$FG2),_xlfn.MAXIFS(LandEmiss!$FD$9:$FD$108,LandEmiss!$EY$9:$EY$108,$FG2))*IFERROR($QR7,0)</f>
        <v>0</v>
      </c>
      <c r="FW2" s="155">
        <f>_xlfn.MAXIFS('Load-DrumTote'!$K$27:$K$136,'Load-DrumTote'!$F$27:$F$136,$FG2)*IFERROR($QR$8,0)</f>
        <v>0</v>
      </c>
      <c r="FX2" s="155">
        <f>_xlfn.MAXIFS('Load-Truck'!$K$27:$K$136,'Load-Truck'!$F$27:$F$136,$FG2)*IFERROR($QR$9,0)</f>
        <v>0</v>
      </c>
      <c r="FY2" s="155">
        <f>_xlfn.MAXIFS('Load-Rail'!$K$27:$K$136,'Load-Rail'!$F$27:$F$136,$FG2)*IFERROR($QR$10,0)</f>
        <v>0</v>
      </c>
      <c r="FZ2" s="155">
        <f>_xlfn.MAXIFS('Load-MarineBarge'!$K$27:$K$136,'Load-MarineBarge'!$F$27:$F$136,$FG2)*IFERROR($QR$11,0)</f>
        <v>0</v>
      </c>
      <c r="GA2" s="155">
        <f>_xlfn.MAXIFS('Load-MarineShip'!$K$27:$K$136,'Load-MarineShip'!$F$27:$F$136,$FG2)*IFERROR($QR$12,0)</f>
        <v>0</v>
      </c>
      <c r="GB2" s="313">
        <f>IF(OR(Flare!$D$24="fuel gas",Flare!$D$38="fuel gas"),SUMIF(Flare!$E$97:$E$106,$FG2,Flare!$F$97:$F$106),0)*IFERROR($QR$13,0)</f>
        <v>0</v>
      </c>
      <c r="GC2" s="313">
        <f>(_xlfn.MAXIFS(CtrlDevImpacts!$I$57:$I$156,CtrlDevImpacts!$H$57:$H$156,$FG2))*IFERROR($QR$13,0)</f>
        <v>0</v>
      </c>
      <c r="GD2" s="313">
        <f>(_xlfn.MAXIFS(Flare!$F$107:$F$216,Flare!$E$107:$E$216,$FG2)-_xlfn.MAXIFS(CtrlDevImpacts!$I$57:$I$156,CtrlDevImpacts!$H$57:$H$156,$FG2))*IFERROR($QR$13,0)</f>
        <v>0</v>
      </c>
      <c r="GE2" s="155">
        <f>_xlfn.MAXIFS(LandEmiss!$B$335:$B$434,LandEmiss!$A$335:$A$434,$FG2)*IFERROR($QR$13,0)</f>
        <v>0</v>
      </c>
      <c r="GF2" s="155">
        <f>(_xlfn.MAXIFS(LandEmiss!$BK$335:$BK$434,LandEmiss!$BJ$335:$BJ$434,$FG2)+_xlfn.MAXIFS(LandEmiss!$DV$323:$DV$422,LandEmiss!$DU$323:$DU$422,$FG2))*IFERROR($QR$13,0)</f>
        <v>0</v>
      </c>
      <c r="GG2" s="313">
        <f>IF(OR(VCU!$D$26="fuel gas",VCU!$D$42="fuel gas"),SUMIF(VCU!$E$120:$E$129,$FG2,VCU!$F$120:$F$129),0)*IFERROR($QR$14,0)</f>
        <v>0</v>
      </c>
      <c r="GH2" s="313">
        <f>(_xlfn.MAXIFS(CtrlDevImpacts!$X$57:$X$156,CtrlDevImpacts!$W$57:$W$156,$FG2))*IFERROR($QR$14,0)</f>
        <v>0</v>
      </c>
      <c r="GI2" s="313">
        <f>(_xlfn.MAXIFS(VCU!$F$130:$F$239,VCU!$E$130:$E$239,$FG2)-_xlfn.MAXIFS(CtrlDevImpacts!$X$57:$X$156,CtrlDevImpacts!$W$57:$W$156,$FG2))*IFERROR($QR$14,0)</f>
        <v>0</v>
      </c>
      <c r="GJ2" s="155">
        <f>_xlfn.MAXIFS(LandEmiss!$D$335:$D$434,LandEmiss!$A$335:$A$434,$FG2)*IFERROR($QR$14,0)</f>
        <v>0</v>
      </c>
      <c r="GK2" s="155">
        <f>(_xlfn.MAXIFS(LandEmiss!$BM$335:$BM$434,LandEmiss!$BJ$335:$BJ$434,$FG2)+_xlfn.MAXIFS(LandEmiss!$DX$323:$DX$422,LandEmiss!$DU$323:$DU$422,$FG2))*IFERROR($QR$14,0)</f>
        <v>0</v>
      </c>
      <c r="GL2" s="313">
        <f>IF(VaporOxidizer!D33="FUEL GAS",SUMIF(VaporOxidizer!$E$101:$E$110,$FG2,VaporOxidizer!$F$101:$F$110),0)*IFERROR($QR$15,0)</f>
        <v>0</v>
      </c>
      <c r="GM2" s="313">
        <f>(_xlfn.MAXIFS(CtrlDevImpacts!$AN$57:$AN$156,CtrlDevImpacts!$AM$57:$AM$156,$FG2))*IFERROR($QR$15,0)</f>
        <v>0</v>
      </c>
      <c r="GN2" s="313">
        <f>(_xlfn.MAXIFS(VaporOxidizer!$F$111:$F$220,VaporOxidizer!$E$111:$E$220,$FG2)-_xlfn.MAXIFS(CtrlDevImpacts!$AN$57:$AN$156,CtrlDevImpacts!$AM$57:$AM$156,$FG2))*IFERROR($QR$15,0)</f>
        <v>0</v>
      </c>
      <c r="GO2" s="155">
        <f>_xlfn.MAXIFS(LandEmiss!$F$335:$F$434,LandEmiss!$A$335:$A$434,$FG2)*IFERROR($QR$15,0)</f>
        <v>0</v>
      </c>
      <c r="GP2" s="155">
        <f>(_xlfn.MAXIFS(LandEmiss!$BK$335:$BK$434,LandEmiss!$BO$335:$BO$434,$FG2)+_xlfn.MAXIFS(LandEmiss!$DZ$323:$DZ$422,LandEmiss!$DU$323:$DU$422,$FG2))*IFERROR($QR$15,0)</f>
        <v>0</v>
      </c>
      <c r="GQ2" s="313">
        <f>_xlfn.MAXIFS(CtrlDevImpacts!$BD$57:$BD$156,CtrlDevImpacts!$BC$57:$BC$156,$FG2)*IFERROR(Hidden!$QR$16,0)</f>
        <v>0</v>
      </c>
      <c r="GR2" s="313">
        <f>(_xlfn.MAXIFS(CAS!$H$35:$H$144,CAS!$E$35:$E$144,$FG2)-_xlfn.MAXIFS(CtrlDevImpacts!$BD$57:$BD$156,CtrlDevImpacts!$BC$57:$BC$156,$FG2))*IFERROR(Hidden!$QR$16,0)</f>
        <v>0</v>
      </c>
      <c r="GS2" s="155">
        <f>_xlfn.MAXIFS(LandEmiss!$H$335:$H$434,LandEmiss!$A$335:$A$434,$FG2)*IFERROR($QR$27,0)</f>
        <v>0</v>
      </c>
      <c r="GT2" s="155">
        <f>(_xlfn.MAXIFS(LandEmiss!$BK$335:$BK$434,LandEmiss!$BQ$335:$BQ$434,$FG2)+_xlfn.MAXIFS(LandEmiss!$EB$323:$EB$422,LandEmiss!$DU$323:$DU$422,$FG2))*IFERROR($QR$27,0)</f>
        <v>0</v>
      </c>
      <c r="GU2" s="155">
        <f>_xlfn.MAXIFS(LandEmiss!$J$335:$J$434,LandEmiss!$A$335:$A$434,$FG2)*IFERROR($QR$26,0)</f>
        <v>0</v>
      </c>
      <c r="GV2" s="155">
        <f>(_xlfn.MAXIFS(LandEmiss!$BK$335:$BK$434,LandEmiss!$BS$335:$BS$434,$FG2)+_xlfn.MAXIFS(LandEmiss!$ED$323:$ED$422,LandEmiss!$DU$323:$DU$422,$FG2))*IFERROR($QR$26,0)</f>
        <v>0</v>
      </c>
      <c r="GW2" s="155">
        <f>_xlfn.MAXIFS(LandEmiss!$L$335:$L$434,LandEmiss!$A$335:$A$434,$FG2)*IFERROR($QR$25,0)</f>
        <v>0</v>
      </c>
      <c r="GX2" s="155">
        <f>(_xlfn.MAXIFS(LandEmiss!$BK$335:$BK$434,LandEmiss!$BU$335:$BU$434,$FG2)+_xlfn.MAXIFS(LandEmiss!$EF$323:$EF$422,LandEmiss!$DU$323:$DU$422,$FG2))*IFERROR($QR$25,0)</f>
        <v>0</v>
      </c>
      <c r="GY2" s="155">
        <v>0</v>
      </c>
      <c r="GZ2" s="155">
        <v>0</v>
      </c>
      <c r="HA2" s="155">
        <f>IF(OR(HeaterBoiler1!$E$26&lt;&gt;"fuel gas",HeaterBoiler1!$E$15&lt;&gt;"heater"),0,SUMIF(HeaterBoiler1!$A$54:$D$63,$FG2,HeaterBoiler1!$I$54:$I$63))*IFERROR($QR$19,0)</f>
        <v>0</v>
      </c>
      <c r="HB2" s="207">
        <f>IF(OR(HeaterBoiler2!$E$26&lt;&gt;"fuel gas",HeaterBoiler2!$E$15&lt;&gt;"heater"),0,SUMIF(HeaterBoiler2!$A$54:$D$63,$FG2,HeaterBoiler2!$I$54:$I$63))*IFERROR($QR$21,0)</f>
        <v>0</v>
      </c>
      <c r="HC2" s="155">
        <f>IF(OR(HeaterBoiler1!$E$26&lt;&gt;"fuel gas",HeaterBoiler1!$E$15&lt;&gt;"boiler"),0,SUMIF(HeaterBoiler1!$A$41:$A$50,$FG2,HeaterBoiler1!$F$41:$F$50))*IFERROR($QR$20,0)</f>
        <v>0</v>
      </c>
      <c r="HD2" s="207">
        <f>IF(OR(HeaterBoiler2!$E$26&lt;&gt;"fuel gas",HeaterBoiler2!$E$15&lt;&gt;"boiler"),0,SUMIF(HeaterBoiler2!$A$41:$A$50,$FG2,HeaterBoiler2!$F$41:$F$50))*IFERROR($QR$22,0)</f>
        <v>0</v>
      </c>
      <c r="HE2" s="155">
        <f>SUMIF(Fug!$A$96:$A$205,$FG2,Fug!$I$96:$I$205)*IFERROR(Hidden!$QR$23,0)</f>
        <v>0</v>
      </c>
      <c r="HF2" s="155">
        <f>_xlfn.MAXIFS($EY$2:$EY$26,$EX$2:$EX$26,$FG2)*IFERROR($QR$24,0)</f>
        <v>0</v>
      </c>
      <c r="HG2" s="156">
        <f>MAX($FH2:$FI2)+MAX($FK2:$FL2)+MAX($FN2:$FO2)+MAX($FQ2:$FR2)+MAX($FT2:$FU2)+SUM($FW2:$GA2)+SUM($GB2:$GE2)+SUM($GG2:$GJ2)+SUM($GL2:$GO2)+SUM($GQ2:$GR2)+$GS2+$GU2+$GW2+SUM($GY2:$HF2)</f>
        <v>0</v>
      </c>
      <c r="HH2" s="156">
        <f>$FJ2+$FK2+$FN2+$FQ2+$FT2+$GF2+$GK2+$GP2+$GT2+$GV2+$GX2+SUM($HA2:$HD2)+$HE2+$HF2+$GG2+$GH2+$GL2+$GM2+$GB2+$GC2+$GQ2</f>
        <v>0</v>
      </c>
      <c r="HI2" s="156">
        <f>$FH2+$FM2+$FN2+$FQ2+$FT2+$GF2+$GK2+$GP2+$GT2+$GV2+$GX2+SUM($HA2:$HD2)+$HE2+$HF2+$GG2+$GH2+$GB2+$GC2+$GL2+$GM2+$GQ2</f>
        <v>0</v>
      </c>
      <c r="HJ2" s="156">
        <f>$FH2+$FK2+$FP2+$FQ2+$FT2+$GF2+$GK2+$GP2+$GT2+$GV2+$GX2+SUM($HA2:$HD2)+$HE2+$HF2+$GB2+$GC2+$GG2+$GH2+$GL2+$GM2+$GQ2</f>
        <v>0</v>
      </c>
      <c r="HK2" s="156">
        <f>$FH2+$FK2+$FN2+$FS2+$FT2+$GF2+$GK2+$GP2+$GT2+$GV2+$GX2+SUM($HA2:$HD2)+$HE2+$HF2+$GG2+$GH2+$GB2+$GC2+$GL2+$GM2+$GQ2</f>
        <v>0</v>
      </c>
      <c r="HL2" s="156">
        <f>$FH2+$FK2+$FN2+$FQ2+$FV2+$GF2+$GK2+$GP2+$GT2+$GV2+$GX2+SUM($HA2:$HD2)+$HE2+$HF2+$GB2+$GC2+$GG2+$GH2+$GL2+$GM2+$GQ2</f>
        <v>0</v>
      </c>
      <c r="NO2" s="155">
        <f>IF(Tank1!$D$22="No control",(SUMIF(Tank1!$E$32:$E$141,$FG2,Tank1!$H$32:$H$141)*(2000/8760)*IFERROR($QV$3,0)),0)</f>
        <v>0</v>
      </c>
      <c r="NP2" s="156">
        <f>SUMIF(LandEmiss!$AE$20:$AE$119,$FG2,LandEmiss!$AK$20:$AK$119)*(2000/8760)*IFERROR($QV$3,0)</f>
        <v>0</v>
      </c>
      <c r="NQ2" s="156">
        <f>(SUMIF(LandEmiss!$CN$20:$CN$119,$FG2,LandEmiss!$CT$20:$CT$119)+SUMIF(LandEmiss!$EY$9:$EY$108,$FG2,LandEmiss!$FE$9:$FE$108))*IFERROR($QV$3,0)*(2000/8760)</f>
        <v>0</v>
      </c>
      <c r="NR2" s="155">
        <f>IF(Tank2!$D$22="No control",(SUMIF(Tank2!$E$32:$E$141,$FG2,Tank2!$H$32:$H$141)*(2000/8760)*IFERROR($QV$4,0)),0)</f>
        <v>0</v>
      </c>
      <c r="NS2" s="156">
        <f>SUMIF(LandEmiss!$AE$20:$AE$119,$FG2,LandEmiss!$AL$20:$AL$119)*(2000/8760)*IFERROR($QV$4,0)</f>
        <v>0</v>
      </c>
      <c r="NT2" s="156">
        <f>(SUMIF(LandEmiss!$CN$20:$CN$119,$FG2,LandEmiss!$CU$20:$CU$119)+SUMIF(LandEmiss!$EY$9:$EY$108,$FG2,LandEmiss!$FF$9:$FF$108))*IFERROR($QV$4,0)*(2000/8760)</f>
        <v>0</v>
      </c>
      <c r="NU2" s="155">
        <f>IF(Tank3!$D$22="No control",(SUMIF(Tank3!$E$32:$E$141,$FG2,Tank3!$H$32:$H$141)*(2000/8760)*IFERROR($QV$5,0)),0)</f>
        <v>0</v>
      </c>
      <c r="NV2" s="156">
        <f>SUMIF(LandEmiss!$AE$20:$AE$119,$FG2,LandEmiss!$AM$20:$AM$119)*(2000/8760)*IFERROR($QV$5,0)</f>
        <v>0</v>
      </c>
      <c r="NW2" s="156">
        <f>(SUMIF(LandEmiss!$CN$20:$CN$119,$FG2,LandEmiss!$CV$20:$CV$119)+SUMIF(LandEmiss!$EY$9:$EY$108,$FG2,LandEmiss!$FG$9:$FG$108))*IFERROR($QV$5,0)*(2000/8760)</f>
        <v>0</v>
      </c>
      <c r="NX2" s="155">
        <f>IF(Tank4!$D$22="No control",(SUMIF(Tank4!$E$32:$E$141,$FG2,Tank4!$H$32:$H$141)*(2000/8760)*IFERROR($QV$6,0)),0)</f>
        <v>0</v>
      </c>
      <c r="NY2" s="156">
        <f>SUMIF(LandEmiss!$AE$20:$AE$119,$FG2,LandEmiss!$AN$20:$AN$119)*(2000/8760)*IFERROR($QV$6,0)</f>
        <v>0</v>
      </c>
      <c r="NZ2" s="156">
        <f>(SUMIF(LandEmiss!$CN$20:$CN$119,$FG2,LandEmiss!$CW$20:$CW$119)+SUMIF(LandEmiss!$EY$9:$EY$108,$FG2,LandEmiss!$FH$9:$FH$108))*IFERROR($QV$6,0)*(2000/8760)</f>
        <v>0</v>
      </c>
      <c r="OA2" s="155">
        <f>IF(Tank5!$D$22="No control",(SUMIF(Tank5!$E$32:$E$141,$FG2,Tank5!$H$32:$H$141)*(2000/8760)*IFERROR($QV$7,0)),0)</f>
        <v>0</v>
      </c>
      <c r="OB2" s="156">
        <f>SUMIF(LandEmiss!$AE$20:$AE$119,$FG2,LandEmiss!$AO$20:$AO$119)*(2000/8760)*IFERROR($QV$7,0)</f>
        <v>0</v>
      </c>
      <c r="OC2" s="156">
        <f>(SUMIF(LandEmiss!$CN$20:$CN$119,$FG2,LandEmiss!$CX$20:$CX$119)+SUMIF(LandEmiss!$EY$9:$EY$108,$FG2,LandEmiss!$FI$9:$FI$108))*IFERROR($QV$7,0)*(2000/8760)</f>
        <v>0</v>
      </c>
      <c r="OD2" s="155">
        <f>SUMIFS('Load-DrumTote'!$L$27:$L$136,'Load-DrumTote'!$F$27:$F$136,$FG2)*IFERROR($QV$8,0)*(2000/8760)</f>
        <v>0</v>
      </c>
      <c r="OE2" s="155">
        <f>SUMIFS('Load-Truck'!$L$27:$L$136,'Load-Truck'!$F$27:$F$136,$FG2)*IFERROR($QV$9,0)*(2000/8760)</f>
        <v>0</v>
      </c>
      <c r="OF2" s="155">
        <f>SUMIFS('Load-Rail'!$L$27:$L$136,'Load-Rail'!$F$27:$F$136,$FG2)*IFERROR($QV$10,0)*(2000/8760)</f>
        <v>0</v>
      </c>
      <c r="OG2" s="155">
        <f>SUMIFS('Load-MarineBarge'!$L$27:$L$136,'Load-MarineBarge'!$F$27:$F$136,$FG2)*IFERROR($QV$11,0)*(2000/8760)</f>
        <v>0</v>
      </c>
      <c r="OH2" s="155">
        <f>SUMIFS('Load-MarineShip'!$L$27:$L$136,'Load-MarineShip'!$F$27:$F$136,$FG2)*IFERROR($QV$12,0)*(2000/8760)</f>
        <v>0</v>
      </c>
      <c r="OI2" s="155">
        <f>(IF(OR(Flare!$D$24="FUEL GAS",Flare!$D$38="FUEL GAS"),SUMIF(Flare!$E$97:$E$106,$FG2,Flare!$G$97:$G$105),0)+SUMIF(Flare!$E$107:$E$216,$FG2,Flare!$G$107:$G$216))*(2000/8730)*IFERROR($QV$13,0)</f>
        <v>0</v>
      </c>
      <c r="OJ2" s="155">
        <f>SUMIF(LandEmiss!$A$335:$A$434,$FG2,LandEmiss!$C$335:$C$434)*(2000/8760)*IFERROR($QV$13,0)</f>
        <v>0</v>
      </c>
      <c r="OK2" s="155">
        <f>(SUMIF(LandEmiss!$BJ$335:$BJ$434,$FG2,LandEmiss!$BL$335:$BL$434)+SUMIF(LandEmiss!$DU$323:$DU$422,$FG2,LandEmiss!$DW$323:$DW$422))*(2000/8760)*IFERROR($QV$13,0)</f>
        <v>0</v>
      </c>
      <c r="OL2" s="155">
        <f>(IF(OR(VCU!$D$26="FUEL GAS",VCU!$D$42="FUEL GAS"),SUMIF(VCU!$E$120:$E$129,$FG2,VCU!$G$120:$G$129),0)+SUMIF(VCU!$E$130:$E$239,$FG2,VCU!G130:G239))*(2000/8760)*IFERROR($QV$14,0)</f>
        <v>0</v>
      </c>
      <c r="OM2" s="155">
        <f>SUMIF(LandEmiss!$A$335:$A$434,$FG2,LandEmiss!$E$335:$E$434)*(2000/8760)*IFERROR($QV$14,0)</f>
        <v>0</v>
      </c>
      <c r="ON2" s="155">
        <f>(SUMIF(LandEmiss!$BJ$335:$BJ$434,$FG2,LandEmiss!$BN$335:$BN$434)+SUMIF(LandEmiss!$DU$323:$DU$422,$FG2,LandEmiss!$DY$323:$DY$422))*(2000/8760)*IFERROR($QV$14,0)</f>
        <v>0</v>
      </c>
      <c r="OO2" s="155">
        <f>(IF(VaporOxidizer!$D$33="FUEL GAS",SUMIF(VaporOxidizer!$E$101:$E$110,$FG2,VaporOxidizer!$G$101:$G$110),0)+SUMIF(VaporOxidizer!$E$111:$E$220,$FG2,VaporOxidizer!$G$111:$G$220))*(2000/8760)*IFERROR($QV$15,0)</f>
        <v>0</v>
      </c>
      <c r="OP2" s="155">
        <f>SUMIF(LandEmiss!$A$335:$A$434,$FG2,LandEmiss!$G$335:$G$434)*(2000/8760)*IFERROR($QV$15,0)</f>
        <v>0</v>
      </c>
      <c r="OQ2" s="155">
        <f>(SUMIF(LandEmiss!$BJ$335:$BJ$434,$FG2,LandEmiss!$BP$335:$BP$434)+SUMIF(LandEmiss!$DU$323:$DU$422,$FG2,LandEmiss!$EA$323:$EA$422))*(2000/8760)*IFERROR($QV$15,0)</f>
        <v>0</v>
      </c>
      <c r="OR2" s="155">
        <f>SUMIF(CAS!$E$35:$E$144,Hidden!$FG2,CAS!$I$35:$I$144)*IFERROR($QV$16,0)*(2000/8760)</f>
        <v>0</v>
      </c>
      <c r="OS2" s="155">
        <f>SUMIF(LandEmiss!$A$335:$A$434,$FG2,LandEmiss!$I$335:$I$434)*(2000/8760)*IFERROR($QV$27,0)</f>
        <v>0</v>
      </c>
      <c r="OT2" s="155">
        <f>(SUMIF(LandEmiss!$BJ$335:$BJ$434,$FG2,LandEmiss!$BR$335:$BR$434)+SUMIF(LandEmiss!$DU$323:$DU$422,$FG2,LandEmiss!$EC$323:$EC$422))*(2000/8760)*IFERROR($QV$27,0)</f>
        <v>0</v>
      </c>
      <c r="OU2" s="155">
        <f>SUMIF(LandEmiss!$A$335:$A$434,$FG2,LandEmiss!$K$335:$K$434)*(2000/8760)*IFERROR($QV$26,0)</f>
        <v>0</v>
      </c>
      <c r="OV2" s="155">
        <f>(SUMIF(LandEmiss!$BJ$335:$BJ$434,$FG2,LandEmiss!$BT$335:$BT$434)+SUMIF(LandEmiss!$DU$323:$DU$422,$FG2,LandEmiss!$EE$323:$EE$422))*(2000/8760)*IFERROR($QV$26,0)</f>
        <v>0</v>
      </c>
      <c r="OW2" s="155">
        <f>SUMIF(LandEmiss!$A$335:$A$434,$FG2,LandEmiss!$M$335:$M$434)*(2000/8760)*IFERROR($QV$25,0)</f>
        <v>0</v>
      </c>
      <c r="OX2" s="155">
        <f>(SUMIF(LandEmiss!$BJ$335:$BJ$434,$FG2,LandEmiss!$BV$335:$BV$434)+SUMIF(LandEmiss!$DU$323:$DU$422,$FG2,LandEmiss!$EG$323:$EG$422))*(2000/8760)*IFERROR($QV$25,0)</f>
        <v>0</v>
      </c>
      <c r="OY2" s="8">
        <v>0</v>
      </c>
      <c r="OZ2" s="207">
        <v>0</v>
      </c>
      <c r="PA2" s="207">
        <f>IF(OR(HeaterBoiler1!$E$26&lt;&gt;"fuel gas",HeaterBoiler1!$E$15&lt;&gt;"heater"),0,(SUMIF(HeaterBoiler1!$A$54:$D$63,$FG2,HeaterBoiler1!$J$54:$J$63))*(2000/8760))*IFERROR($QV$19,0)</f>
        <v>0</v>
      </c>
      <c r="PB2" s="207">
        <f>IF(OR(HeaterBoiler2!$E$26&lt;&gt;"fuel gas",HeaterBoiler2!$E$15&lt;&gt;"heater"),0,(SUMIF(HeaterBoiler2!$A$54:$D$63,$FG2,HeaterBoiler2!$J$54:$J$63))*(2000/8760))*IFERROR($QV$21,0)</f>
        <v>0</v>
      </c>
      <c r="PC2" s="207">
        <f>IF(OR(HeaterBoiler1!$E$26&lt;&gt;"fuel gas",HeaterBoiler1!$E$15&lt;&gt;"boiler"),0,(SUMIF(HeaterBoiler1!$A$54:$D$63,$FG2,HeaterBoiler1!$J$54:$J$63))*(2000/8760))*IFERROR($QV$20,0)</f>
        <v>0</v>
      </c>
      <c r="PD2" s="207">
        <f>IF(OR(HeaterBoiler2!$E$26&lt;&gt;"fuel gas",HeaterBoiler2!$E$15&lt;&gt;"boiler"),0,(SUMIF(HeaterBoiler2!$A$54:$D$63,$FG2,HeaterBoiler2!$J$54:$J$63))*(2000/8760))*IFERROR($QV$22,0)</f>
        <v>0</v>
      </c>
      <c r="PE2" s="8">
        <f>(SUMIF(Fug!$A$96:$A$205,$FG2,Fug!$J$96:$J$205))*IFERROR($QV$23,0)*(2000/8760)</f>
        <v>0</v>
      </c>
      <c r="PF2" s="8">
        <f>SUMIF($EX$2:$EX$26,$FG2,$EZ$2:$EZ$26)*(2000/8760)*IFERROR($QV$24,0)</f>
        <v>0</v>
      </c>
      <c r="PG2" s="156">
        <f>SUM($NO2:$PF2)</f>
        <v>0</v>
      </c>
      <c r="PJ2" s="52" t="s">
        <v>8732</v>
      </c>
      <c r="PK2" s="52" t="s">
        <v>8756</v>
      </c>
      <c r="PL2" s="52" t="s">
        <v>8757</v>
      </c>
      <c r="PM2" s="52" t="s">
        <v>8758</v>
      </c>
      <c r="PN2" s="52" t="s">
        <v>10837</v>
      </c>
      <c r="PO2" s="52" t="s">
        <v>8759</v>
      </c>
      <c r="PP2" s="52" t="s">
        <v>8760</v>
      </c>
      <c r="PQ2" s="52" t="s">
        <v>8815</v>
      </c>
      <c r="PR2" s="52" t="s">
        <v>8761</v>
      </c>
      <c r="PS2" s="52" t="s">
        <v>8762</v>
      </c>
      <c r="PT2" s="52" t="s">
        <v>8732</v>
      </c>
      <c r="PU2" s="52" t="s">
        <v>8756</v>
      </c>
      <c r="PV2" s="52" t="s">
        <v>8763</v>
      </c>
      <c r="PW2" s="52" t="s">
        <v>8764</v>
      </c>
      <c r="PX2" s="52" t="s">
        <v>8765</v>
      </c>
      <c r="PY2" s="52" t="s">
        <v>8766</v>
      </c>
      <c r="PZ2" s="52" t="s">
        <v>8763</v>
      </c>
      <c r="QA2" s="52" t="s">
        <v>8767</v>
      </c>
      <c r="QB2" s="52" t="s">
        <v>8732</v>
      </c>
      <c r="QC2" s="52" t="s">
        <v>8756</v>
      </c>
      <c r="QD2" s="52" t="s">
        <v>8763</v>
      </c>
      <c r="QE2" s="52" t="s">
        <v>8764</v>
      </c>
      <c r="QF2" s="52" t="s">
        <v>8765</v>
      </c>
      <c r="QG2" s="52" t="s">
        <v>8766</v>
      </c>
      <c r="QH2" s="52" t="s">
        <v>8763</v>
      </c>
      <c r="QI2" s="52" t="s">
        <v>8767</v>
      </c>
      <c r="QK2" s="95"/>
      <c r="QM2" s="16"/>
      <c r="QN2" s="16" t="s">
        <v>9348</v>
      </c>
      <c r="QO2" s="16" t="s">
        <v>9305</v>
      </c>
      <c r="QP2" s="16" t="s">
        <v>9340</v>
      </c>
      <c r="QQ2" s="16" t="s">
        <v>9306</v>
      </c>
      <c r="QR2" s="16" t="s">
        <v>9344</v>
      </c>
      <c r="QS2" s="16" t="s">
        <v>9345</v>
      </c>
      <c r="QT2" s="16" t="s">
        <v>10033</v>
      </c>
      <c r="QU2" s="16" t="s">
        <v>9346</v>
      </c>
      <c r="QV2" s="16" t="s">
        <v>9347</v>
      </c>
      <c r="QX2" s="86"/>
      <c r="QY2" s="87">
        <v>25</v>
      </c>
      <c r="QZ2" s="87">
        <v>50</v>
      </c>
      <c r="RA2" s="87">
        <v>100</v>
      </c>
      <c r="RB2" s="87">
        <v>200</v>
      </c>
      <c r="RC2" s="87">
        <v>300</v>
      </c>
      <c r="RD2" s="87">
        <v>400</v>
      </c>
      <c r="RE2" s="87">
        <v>500</v>
      </c>
      <c r="RF2" s="87">
        <v>750</v>
      </c>
      <c r="RG2" s="88">
        <v>1000</v>
      </c>
      <c r="RH2" s="86"/>
      <c r="RI2" s="87">
        <v>25</v>
      </c>
      <c r="RJ2" s="87">
        <v>50</v>
      </c>
      <c r="RK2" s="87">
        <v>100</v>
      </c>
      <c r="RL2" s="87">
        <v>200</v>
      </c>
      <c r="RM2" s="87">
        <v>300</v>
      </c>
      <c r="RN2" s="87">
        <v>400</v>
      </c>
      <c r="RO2" s="87">
        <v>500</v>
      </c>
      <c r="RP2" s="87">
        <v>750</v>
      </c>
      <c r="RQ2" s="88">
        <v>1000</v>
      </c>
      <c r="RR2" s="86"/>
      <c r="RS2" s="87">
        <v>25</v>
      </c>
      <c r="RT2" s="87">
        <v>50</v>
      </c>
      <c r="RU2" s="87">
        <v>100</v>
      </c>
      <c r="RV2" s="87">
        <v>200</v>
      </c>
      <c r="RW2" s="87">
        <v>300</v>
      </c>
      <c r="RX2" s="87">
        <v>400</v>
      </c>
      <c r="RY2" s="87">
        <v>500</v>
      </c>
      <c r="RZ2" s="87">
        <v>750</v>
      </c>
      <c r="SA2" s="88">
        <v>1000</v>
      </c>
      <c r="SB2" s="86"/>
      <c r="SC2" s="87">
        <v>25</v>
      </c>
      <c r="SD2" s="87">
        <v>50</v>
      </c>
      <c r="SE2" s="87">
        <v>100</v>
      </c>
      <c r="SF2" s="87">
        <v>200</v>
      </c>
      <c r="SG2" s="87">
        <v>300</v>
      </c>
      <c r="SH2" s="87">
        <v>400</v>
      </c>
      <c r="SI2" s="87">
        <v>500</v>
      </c>
      <c r="SJ2" s="87">
        <v>750</v>
      </c>
      <c r="SK2" s="88">
        <v>1000</v>
      </c>
      <c r="SL2" s="86"/>
      <c r="SM2" s="87">
        <v>25</v>
      </c>
      <c r="SN2" s="87">
        <v>50</v>
      </c>
      <c r="SO2" s="87">
        <v>100</v>
      </c>
      <c r="SP2" s="87">
        <v>200</v>
      </c>
      <c r="SQ2" s="87">
        <v>300</v>
      </c>
      <c r="SR2" s="87">
        <v>400</v>
      </c>
      <c r="SS2" s="87">
        <v>500</v>
      </c>
      <c r="ST2" s="87">
        <v>750</v>
      </c>
      <c r="SU2" s="88">
        <v>1000</v>
      </c>
      <c r="SW2" s="110" t="s">
        <v>9376</v>
      </c>
      <c r="SX2" s="111" t="s">
        <v>172</v>
      </c>
      <c r="SY2" s="150" t="s">
        <v>9374</v>
      </c>
      <c r="SZ2" s="151" t="s">
        <v>9625</v>
      </c>
      <c r="TA2" s="1" t="s">
        <v>9626</v>
      </c>
      <c r="TB2" s="152" t="s">
        <v>9627</v>
      </c>
      <c r="TC2" s="151" t="s">
        <v>8763</v>
      </c>
      <c r="TD2" s="1" t="s">
        <v>9626</v>
      </c>
      <c r="TE2" s="1" t="s">
        <v>9630</v>
      </c>
      <c r="TF2" s="152" t="s">
        <v>9634</v>
      </c>
      <c r="TH2" s="1" t="s">
        <v>9370</v>
      </c>
      <c r="TI2" s="260" t="s">
        <v>10185</v>
      </c>
      <c r="TJ2" s="248" t="s">
        <v>10186</v>
      </c>
      <c r="TK2" s="252" t="s">
        <v>10187</v>
      </c>
      <c r="TL2" t="s">
        <v>10197</v>
      </c>
      <c r="TM2" s="225" t="str">
        <f>"All loading shall be submerged. MSS: Same as normal operations. "&amp;IF('PI-1-MarineLoading'!G120="yes",Hidden!TM4,"")</f>
        <v xml:space="preserve">All loading shall be submerged. MSS: Same as normal operations. </v>
      </c>
      <c r="TN2" t="str">
        <f>IF(OR(AND(VaporOxidizer!F30="CEMS required if &gt; 2 tpy VOC emissions",EmissionSummary!P66+EmissionSummary!Q66&gt;2),AND(VaporOxidizer!F30="CEMS requried if &gt; 10 tpy VOC emissions",EmissionSummary!P66+EmissionSummary!Q66&gt;10)),"yes","no")</f>
        <v>no</v>
      </c>
    </row>
    <row r="3" spans="1:534" ht="74.25" customHeight="1" x14ac:dyDescent="0.2">
      <c r="A3" s="8" t="s">
        <v>181</v>
      </c>
      <c r="B3" s="8">
        <v>14</v>
      </c>
      <c r="D3" s="8" t="s">
        <v>181</v>
      </c>
      <c r="E3" s="8" t="b">
        <f>IF($D3='PI-1-MarineLoading'!$D$73,TRUE,FALSE)</f>
        <v>0</v>
      </c>
      <c r="G3">
        <f>IF(OR(H3=0,ISNUMBER(MATCH(H3,$H$1:H2,0))),0,MAX($G$1:G2)+1)</f>
        <v>0</v>
      </c>
      <c r="H3">
        <f>Products!A69</f>
        <v>0</v>
      </c>
      <c r="I3" t="str">
        <f t="shared" si="0"/>
        <v/>
      </c>
      <c r="K3">
        <f>IF(OR(L3=0,ISNUMBER(MATCH(L3,$L$1:L2,0))),0,MAX($K$1:K2)+1)</f>
        <v>0</v>
      </c>
      <c r="L3">
        <f>IF('PI-1-MarineLoading'!$G121&lt;&gt;"yes",0,"flare")</f>
        <v>0</v>
      </c>
      <c r="M3" t="str">
        <f>IFERROR(VLOOKUP(ROW(A2),$K$2:$L$6,2,FALSE),"")</f>
        <v/>
      </c>
      <c r="O3" s="77">
        <f>IF(OR(P3=0,ISNUMBER(MATCH(P3,$P$1:P2,0))),0,MAX($O$1:O2)+1)</f>
        <v>0</v>
      </c>
      <c r="P3" s="77">
        <f>IF('PI-1-MarineLoading'!$G121&lt;&gt;"yes",0,"permanent flare")</f>
        <v>0</v>
      </c>
      <c r="Q3" s="77" t="str">
        <f t="shared" si="1"/>
        <v/>
      </c>
      <c r="S3">
        <f>IF(OR(T3=0,ISNUMBER(MATCH(T3,$T$1:T2,0))),0,MAX($S$1:S2)+1)</f>
        <v>0</v>
      </c>
      <c r="T3">
        <f>IF('PI-1-MarineLoading'!$G122&lt;&gt;"yes",0,"permanent VCU")</f>
        <v>0</v>
      </c>
      <c r="U3" t="str">
        <f t="shared" si="2"/>
        <v/>
      </c>
      <c r="W3">
        <f>IF(OR(X3=0,ISNUMBER(MATCH(X3,$X$1:X2,0))),0,MAX($W$1:W2)+1)</f>
        <v>0</v>
      </c>
      <c r="X3">
        <f>Products!$E9</f>
        <v>0</v>
      </c>
      <c r="Y3" t="str">
        <f t="shared" si="3"/>
        <v/>
      </c>
      <c r="AA3">
        <f>IF(OR(AB3=0,ISNUMBER(MATCH(AB3,$AB$1:AB2,0))),0,MAX($AA$1:AA2)+1)</f>
        <v>0</v>
      </c>
      <c r="AB3">
        <f>IF('PI-1-MarineLoading'!$G$125=0,0,IF('PI-1-MarineLoading'!$G$125=2,Engine2!$D$7,0))</f>
        <v>0</v>
      </c>
      <c r="AC3">
        <f>IFERROR(VLOOKUP(ROW(A2),$AA$2:$AB$5,2,FALSE),0)</f>
        <v>0</v>
      </c>
      <c r="AE3">
        <f>IF(OR(AF3=0,ISNUMBER(MATCH(AF3,$AF$1:AF2,0))),0,MAX($AE$1:AE2)+1)</f>
        <v>0</v>
      </c>
      <c r="AF3">
        <f>$AB$5</f>
        <v>0</v>
      </c>
      <c r="AG3">
        <f>IFERROR(VLOOKUP(ROW(A2),$AE$2:$AF$5,2,FALSE),0)</f>
        <v>0</v>
      </c>
      <c r="AI3">
        <f>IF(OR(AJ3=0,ISNUMBER(MATCH(AJ3,$AJ$1:AJ2,0))),0,MAX($AI$1:AI2)+1)</f>
        <v>0</v>
      </c>
      <c r="AJ3">
        <f>IF('PI-1-MarineLoading'!$G$124="yes",IF(CAS!$D$23="yes",CAS!$D$7,0),0)</f>
        <v>0</v>
      </c>
      <c r="AK3">
        <f>IFERROR(VLOOKUP(ROW(A2),$AI$2:$AJ$4,2,FALSE),0)</f>
        <v>0</v>
      </c>
      <c r="AM3">
        <f>IF(OR(AN3=0,ISNUMBER(MATCH(AN3,$AN$1:AN2,0))),0,MAX($AM$1:AM2)+1)</f>
        <v>0</v>
      </c>
      <c r="AN3">
        <f>IF('PI-1-MarineLoading'!$G$124="yes",IF(CAS!$D$23&lt;&gt;"yes",0,IF(CAS!$D$25&lt;&gt;"no",0,CAS!$D$7)),0)</f>
        <v>0</v>
      </c>
      <c r="AO3">
        <f>IFERROR(VLOOKUP(ROW(A2),$AM$2:$AN$4,2,FALSE),0)</f>
        <v>0</v>
      </c>
      <c r="AQ3">
        <f>IF(OR(AR3=0,ISNUMBER(MATCH(AR3,$AR$1:AR2,0))),0,MAX($AQ$1:AQ2)+1)</f>
        <v>0</v>
      </c>
      <c r="AR3">
        <f>IF('PI-1-MarineLoading'!$G$124="yes",IF(CAS!$D$23&lt;&gt;"yes",0,IF(CAS!$D$25&lt;&gt;"yes",0,CAS!$D$7)),0)</f>
        <v>0</v>
      </c>
      <c r="AS3">
        <f>IFERROR(VLOOKUP(ROW(A2),$AQ$2:$AR$4,2,FALSE),0)</f>
        <v>0</v>
      </c>
      <c r="AU3">
        <f>IF(OR(AV3=0,ISNUMBER(MATCH(AV3,$AV$1:AV2,0))),0,MAX($AU$1:AU2)+1)</f>
        <v>0</v>
      </c>
      <c r="AV3">
        <f>IF('PI-1-MarineLoading'!$G$122&lt;&gt;"yes",0,VCU!$D$7)</f>
        <v>0</v>
      </c>
      <c r="AW3">
        <f>IFERROR(VLOOKUP(ROW(A2),$AU$2:$AV$4,2,FALSE),0)</f>
        <v>0</v>
      </c>
      <c r="AY3">
        <f>IF(OR(AZ3=0,ISNUMBER(MATCH(AZ3,$AZ$1:AZ2,0))),0,MAX($AY$1:AY2)+1)</f>
        <v>0</v>
      </c>
      <c r="AZ3">
        <f>IF('PI-1-MarineLoading'!$G$115&lt;2,0,IF(Tank2!$D$22="no control",0,Tank2!$D$7))</f>
        <v>0</v>
      </c>
      <c r="BA3">
        <f>IFERROR(VLOOKUP(ROW(A2),$AY$2:$AZ$6,2,FALSE),0)</f>
        <v>0</v>
      </c>
      <c r="BC3">
        <f>IF(OR(BD3=0,ISNUMBER(MATCH(BD3,$BD$1:BD2,0))),0,MAX($BC$1:BC2)+1)</f>
        <v>0</v>
      </c>
      <c r="BD3">
        <f>IF('PI-1-MarineLoading'!$G$115&lt;2,0,IF(COUNTIF(Tank2!$D$18,"*floating*")=0,0,Tank2!$D$7))</f>
        <v>0</v>
      </c>
      <c r="BE3">
        <f>IFERROR(VLOOKUP(ROW(A2),$BC$2:$BD$6,2,FALSE),0)</f>
        <v>0</v>
      </c>
      <c r="BG3">
        <f>IF(OR(BH3=0,ISNUMBER(MATCH(BH3,$BH$1:BH2,0))),0,MAX($BG$1:BG2)+1)</f>
        <v>0</v>
      </c>
      <c r="BH3">
        <f>IF('PI-1-MarineLoading'!$G$115&lt;2,0,IF(COUNTIF(Tank2!$D$18,"*floating*")=0,0,IF(ConvenienceLand!$D$30=0,0,ConvenienceLand!$D$31)))</f>
        <v>0</v>
      </c>
      <c r="BI3">
        <f>IFERROR(VLOOKUP(ROW(A2),$BG$2:$BH$6,2,FALSE),0)</f>
        <v>0</v>
      </c>
      <c r="BJ3">
        <f>IFERROR(VLOOKUP($BI3,$BX$2:$BY$7,2),0)</f>
        <v>0</v>
      </c>
      <c r="BL3">
        <f>IF(OR(BM3=0,ISNUMBER(MATCH(BM3,$BM$1:BM2,0))),0,MAX($BL$1:BL2)+1)</f>
        <v>0</v>
      </c>
      <c r="BM3">
        <f>IF('PI-1-MarineLoading'!$G$128&lt;&gt;"yes",0,IF('PI-1-MarineLoading'!$G122&lt;&gt;"yes",0,IF(COUNTIF(TankMSS!$C$14:$D$18,"permanent vcu")&gt;0,"permanent VCU (FIN "&amp;VCU!$D$7&amp;")",0)))</f>
        <v>0</v>
      </c>
      <c r="BN3">
        <f t="shared" si="4"/>
        <v>0</v>
      </c>
      <c r="BP3">
        <f>IF(OR(BQ3=0,ISNUMBER(MATCH(BQ3,$BQ$1:BQ2,0))),0,MAX($BP$1:BP2)+1)</f>
        <v>0</v>
      </c>
      <c r="BQ3">
        <f>IF('PI-1-MarineLoading'!$G$128&lt;&gt;"yes",0,IF('PI-1-MarineLoading'!$G122&lt;&gt;"yes",0,IF(COUNTIF(TankMSS!$C$107:$D$111,"permanent vcu")&gt;0,"permanent VCU (FIN "&amp;VCU!$D$7&amp;")",0)))</f>
        <v>0</v>
      </c>
      <c r="BR3">
        <f t="shared" si="5"/>
        <v>0</v>
      </c>
      <c r="BT3">
        <f>IF(OR(BU3=0,ISNUMBER(MATCH(BU3,$BU$1:BU2,0))),0,MAX($BT$1:BT2)+1)</f>
        <v>0</v>
      </c>
      <c r="BU3">
        <f>IF('PI-1-MarineLoading'!$G$128&lt;&gt;"yes",0,IF('PI-1-MarineLoading'!$G130&lt;&gt;"yes",0,IF((COUNTIF(TankMSS!$C$14:$D$18,"temporary vcu")+COUNTIF(TankMSS!$C$107:$D$111,"temporary vcu"))&gt;0,"temporary VCU (FIN "&amp;MSS!$D$89&amp;")",0)))</f>
        <v>0</v>
      </c>
      <c r="BV3">
        <f>IFERROR(VLOOKUP(ROW(A2),$BT$2:$BU$4,2,FALSE),0)</f>
        <v>0</v>
      </c>
      <c r="BX3" t="s">
        <v>10516</v>
      </c>
      <c r="BY3">
        <f>VCU!$D$7</f>
        <v>0</v>
      </c>
      <c r="CA3">
        <f>IF(OR(CB3=0,ISNUMBER(MATCH(CB3,$CB$1:CB2,0))),0,MAX($CA$1:CA2)+1)</f>
        <v>0</v>
      </c>
      <c r="CB3" s="8">
        <f>IF(OR(Tank1!$D$18="EXTERNAL FLOATING ROOF",Tank1!$D$18="INTERNAL FLOATING ROOF"),IF(Tank1!$E33="",0,Tank1!$E33),0)</f>
        <v>0</v>
      </c>
      <c r="CC3" s="8" t="str">
        <f t="shared" si="6"/>
        <v/>
      </c>
      <c r="CD3" s="8"/>
      <c r="CE3" s="8">
        <f>IF(OR(CF3=0,ISNUMBER(MATCH(CF3,$CF$1:CF2,0))),0,MAX($CE$1:CE2)+1)</f>
        <v>0</v>
      </c>
      <c r="CF3" s="8">
        <f>IF(OR(Tank1!$D$18="HORIZONTAL FIXED ROOF",Tank1!$D$18="VERTICAL FIXED ROOF"),IF(Tank1!$E33="",0,Tank1!$E33),0)</f>
        <v>0</v>
      </c>
      <c r="CG3" s="8" t="str">
        <f t="shared" si="7"/>
        <v/>
      </c>
      <c r="CJ3">
        <f>IF(OR(CK3=0,ISNUMBER(MATCH(CK3,$CK$1:CK2,0))),0,MAX($CJ$1:CJ2)+1)</f>
        <v>0</v>
      </c>
      <c r="CK3">
        <f>Tank1!$A$43</f>
        <v>0</v>
      </c>
      <c r="CL3" t="str">
        <f t="shared" si="8"/>
        <v/>
      </c>
      <c r="CM3">
        <f>IFERROR(VLOOKUP($CK3,Tank1!$A$32:$D$141,3,FALSE),0)</f>
        <v>0</v>
      </c>
      <c r="CN3">
        <f>IFERROR(VLOOKUP($CK3,Tank1!$A$32:$D$141,4,FALSE),0)</f>
        <v>0</v>
      </c>
      <c r="CP3">
        <f>IF(OR(CQ3=0,ISNUMBER(MATCH(CQ3,$CQ$1:CQ2,0))),0,MAX($CP$1:CP2)+1)</f>
        <v>0</v>
      </c>
      <c r="CQ3">
        <f>IF('PI-1-MarineLoading'!$G$115&lt;ROW($A2),0,IF(Tank2!$D$25="yes",Tank2!$D$7,0))</f>
        <v>0</v>
      </c>
      <c r="CR3">
        <f>IFERROR(VLOOKUP(ROW(A2),$CP$2:$CQ$6,2,FALSE),0)</f>
        <v>0</v>
      </c>
      <c r="CT3">
        <f>IF(OR(CU3=0,ISNUMBER(MATCH(CU3,$CU$1:CU2,0))),0,MAX($CT$1:CT2)+1)</f>
        <v>0</v>
      </c>
      <c r="CU3">
        <f>IF('PI-1-MarineLoading'!$G$115&lt;ROW($A2),0,IF(Tank2!$D$26="yes",Tank2!$D$7,0))</f>
        <v>0</v>
      </c>
      <c r="CV3">
        <f>IFERROR(VLOOKUP(ROW(A2),$CT$2:$CU$6,2,FALSE),0)</f>
        <v>0</v>
      </c>
      <c r="CX3" t="s">
        <v>8916</v>
      </c>
      <c r="CZ3">
        <f>IF(OR(DA3=0,ISNUMBER(MATCH(DA3,$DA$1:DA2,0))),0,MAX($CZ$1:CZ2)+1)</f>
        <v>0</v>
      </c>
      <c r="DA3">
        <f>IFERROR(VLOOKUP("crude naphthenic acid",Products!$F$59:$F$158,1,FALSE),0)</f>
        <v>0</v>
      </c>
      <c r="DB3">
        <f>IFERROR(VLOOKUP(ROW(A2),$CZ$2:$DA$5,2,FALSE),0)</f>
        <v>0</v>
      </c>
      <c r="DD3">
        <f>IF(OR(DE3=0,ISNUMBER(MATCH(DE3,$DE$1:DE2,0))),0,MAX($DD$1:DD2)+1)</f>
        <v>0</v>
      </c>
      <c r="DE3">
        <f>IF('PI-1-MarineLoading'!$G$117="Yes",'Load-Truck'!$F$7,0)</f>
        <v>0</v>
      </c>
      <c r="DF3">
        <f>IFERROR(VLOOKUP(ROW(A2),$DD$2:$DE$6,2,FALSE),0)</f>
        <v>0</v>
      </c>
      <c r="DH3">
        <f>IF(OR(DI3=0,ISNUMBER(MATCH(DI3,$DI$1:DI2,0))),0,MAX($DH$1:DH2)+1)</f>
        <v>0</v>
      </c>
      <c r="DI3">
        <f>IF('PI-1-MarineLoading'!$G$115&lt;ROW($A2),0,IF(Tank2!$D$22="CAS",Tank2!$D$7,0))</f>
        <v>0</v>
      </c>
      <c r="DJ3">
        <f t="shared" si="9"/>
        <v>0</v>
      </c>
      <c r="DM3">
        <f>IF(OR(DN3=0,ISNUMBER(MATCH(DN3,$DN$1:DN2,0))),0,MAX($DM$1:DM2)+1)</f>
        <v>0</v>
      </c>
      <c r="DN3">
        <f>IF(Tank1!$D$22="Flare",IFERROR(VLOOKUP(Products!$A$69,Tank1!$A$32:$B$141,1,FALSE),0),0)</f>
        <v>0</v>
      </c>
      <c r="DO3">
        <f>IF($DN3=0,0,VLOOKUP($DN3,Tank1!$A$32:$H$141,7,FALSE))</f>
        <v>0</v>
      </c>
      <c r="DP3">
        <f>IF($DN3=0,0,VLOOKUP($DN3,Tank1!$A$32:$H$141,8,FALSE))</f>
        <v>0</v>
      </c>
      <c r="DQ3" t="str">
        <f t="shared" si="10"/>
        <v/>
      </c>
      <c r="DR3">
        <f t="shared" ref="DR3:DR11" si="15">SUMIF($DN$2:$DN$101,DQ3,$DO$2:$DO$101)</f>
        <v>0</v>
      </c>
      <c r="DS3">
        <f t="shared" ref="DS3:DS11" si="16">SUMIF($DN$2:$DN$101,DQ3,$DP$2:$DP$101)</f>
        <v>0</v>
      </c>
      <c r="DU3">
        <f>IF(OR(DV3=0,ISNUMBER(MATCH(DV3,$DV$1:DV2,0))),0,MAX($DU$1:DU2)+1)</f>
        <v>0</v>
      </c>
      <c r="DV3">
        <f>IF(Tank1!$D$22="VCU",IFERROR(VLOOKUP(Products!$A$69,Tank1!$A$32:$B$141,1,FALSE),0),0)</f>
        <v>0</v>
      </c>
      <c r="DW3">
        <f>IF($DV3=0,0,VLOOKUP($DV3,Tank1!$A$32:$H$141,7,FALSE))</f>
        <v>0</v>
      </c>
      <c r="DX3">
        <f>IF($DV3=0,0,VLOOKUP($DV3,Tank1!$A$32:$H$141,8,FALSE))</f>
        <v>0</v>
      </c>
      <c r="DY3" t="str">
        <f t="shared" si="11"/>
        <v/>
      </c>
      <c r="DZ3">
        <f t="shared" ref="DZ3:DZ11" si="17">SUMIF($DV$2:$DV$101,DY3,$DW$2:$DW$101)</f>
        <v>0</v>
      </c>
      <c r="EA3">
        <f t="shared" ref="EA3:EA11" si="18">SUMIF($DV$2:$DV$101,DY3,$DX$2:$DX$101)</f>
        <v>0</v>
      </c>
      <c r="EC3">
        <f>IF(OR(ED3=0,ISNUMBER(MATCH(ED3,$ED$1:ED2,0))),0,MAX($EC$1:EC2)+1)</f>
        <v>0</v>
      </c>
      <c r="ED3">
        <f>IF(Tank1!$D$22="vapor oxidizer",IFERROR(VLOOKUP(Products!$A$69,Tank1!$A$32:$B$141,1,FALSE),0),0)</f>
        <v>0</v>
      </c>
      <c r="EE3">
        <f>IF($ED3=0,0,VLOOKUP($ED3,Tank1!$A$32:$H$141,7,FALSE))</f>
        <v>0</v>
      </c>
      <c r="EF3">
        <f>IF($ED3=0,0,VLOOKUP($ED3,Tank1!$A$32:$H$141,8,FALSE))</f>
        <v>0</v>
      </c>
      <c r="EG3" t="str">
        <f t="shared" si="12"/>
        <v/>
      </c>
      <c r="EH3">
        <f t="shared" ref="EH3:EH11" si="19">SUMIF($ED$2:$ED$101,$EG3,$EE$2:$EE$101)</f>
        <v>0</v>
      </c>
      <c r="EI3">
        <f t="shared" ref="EI3:EI11" si="20">SUMIF($ED$2:$ED$101,$EG3,$EF$2:$EF$101)</f>
        <v>0</v>
      </c>
      <c r="EK3">
        <f>IF(OR(EL3=0,ISNUMBER(MATCH(EL3,$EL$1:EL2,0))),0,MAX($EK$1:EK2)+1)</f>
        <v>0</v>
      </c>
      <c r="EL3">
        <f>IF(Tank1!$D$22="CAS",IFERROR(VLOOKUP(Products!A69,Tank1!$A$32:$B$141,1,FALSE),0),0)</f>
        <v>0</v>
      </c>
      <c r="EM3">
        <f>IF($EL3=0,0,VLOOKUP($EL3,Tank1!$A$32:$H$141,7,FALSE))</f>
        <v>0</v>
      </c>
      <c r="EN3">
        <f>IF($EL3=0,0,VLOOKUP($EL3,Tank1!$A$32:$H$141,8,FALSE))</f>
        <v>0</v>
      </c>
      <c r="EO3" t="str">
        <f t="shared" si="13"/>
        <v/>
      </c>
      <c r="EP3">
        <f t="shared" ref="EP3:EP11" si="21">SUMIF($EL$2:$EL$101,$EO3,$EM$2:$EM$101)</f>
        <v>0</v>
      </c>
      <c r="EQ3">
        <f t="shared" ref="EQ3:EQ11" si="22">SUMIF($EL$2:$EL$101,$EO3,$EN$2:$EN$101)</f>
        <v>0</v>
      </c>
      <c r="ES3">
        <f>IF(OR(ET3=0,ISNUMBER(MATCH(ET3,$ET$1:ET2,0))),0,MAX($ES$1:ES2)+1)</f>
        <v>0</v>
      </c>
      <c r="ET3">
        <f>IF(OR(Fug!$F22="",Fug!$F22="N/A"),0,Fug!$F22)</f>
        <v>0</v>
      </c>
      <c r="EU3">
        <f t="shared" si="14"/>
        <v>0</v>
      </c>
      <c r="EX3">
        <f>MSS!$A36</f>
        <v>0</v>
      </c>
      <c r="EY3">
        <f>MSS!$G36*MSS!F$144</f>
        <v>0</v>
      </c>
      <c r="EZ3">
        <f>MSS!$G36*MSS!G$144</f>
        <v>0</v>
      </c>
      <c r="FB3" s="8" t="s">
        <v>359</v>
      </c>
      <c r="FC3" s="8" t="s">
        <v>360</v>
      </c>
      <c r="FD3" s="8">
        <v>1000</v>
      </c>
      <c r="FE3" s="8">
        <v>100</v>
      </c>
      <c r="FG3" s="360" t="str">
        <f t="shared" ref="FG3:FG66" si="23">$Y3</f>
        <v/>
      </c>
      <c r="FH3" s="155">
        <f>IF(Tank1!$D$22="NO CONTROL",_xlfn.MAXIFS(Tank1!$G$32:$G$141,Tank1!$E$32:$E$141,$FG3),0)*IFERROR($QR$3,0)</f>
        <v>0</v>
      </c>
      <c r="FI3" s="155">
        <f>_xlfn.MAXIFS(LandEmiss!$AF$20:$AF$119,LandEmiss!$AE$20:$AE$119,$FG3)*IFERROR($QR$3,0)</f>
        <v>0</v>
      </c>
      <c r="FJ3" s="155">
        <f>MAX(_xlfn.MAXIFS(LandEmiss!$CO$20:$CO$119,LandEmiss!$CN$20:$CN$119,$FG3),_xlfn.MAXIFS(LandEmiss!$EZ$9:$EZ$108,LandEmiss!$EY$9:$EY$108,$FG3))*IFERROR($QR$3,0)</f>
        <v>0</v>
      </c>
      <c r="FK3" s="155">
        <f>IF(Tank2!$D$22="NO CONTROL",_xlfn.MAXIFS(Tank2!$G$32:$G$141,Tank2!$E$32:$E$141,$FG3),0)*IFERROR($QR$4,0)</f>
        <v>0</v>
      </c>
      <c r="FL3" s="155">
        <f>_xlfn.MAXIFS(LandEmiss!$AG$20:$AG$119,LandEmiss!$AE$20:$AE$119,$FG3)*IFERROR($QR$4,0)</f>
        <v>0</v>
      </c>
      <c r="FM3" s="155">
        <f>MAX(_xlfn.MAXIFS(LandEmiss!$CP$20:$CP$119,LandEmiss!$CN$20:$CN$119,$FG3),_xlfn.MAXIFS(LandEmiss!$FA$9:$FA$108,LandEmiss!$EY$9:$EY$108,$FG3))*IFERROR($QR$4,0)</f>
        <v>0</v>
      </c>
      <c r="FN3" s="155">
        <f>IF(Tank3!$D$22="NO CONTROL",_xlfn.MAXIFS(Tank3!$G$32:$G$141,Tank3!$E$32:$E$141,$FG3),0)*IFERROR($QR$5,0)</f>
        <v>0</v>
      </c>
      <c r="FO3" s="155">
        <f>_xlfn.MAXIFS(LandEmiss!$AH$20:$AH$119,LandEmiss!$AE$20:$AE$119,$FG3)*IFERROR($QR$5,0)</f>
        <v>0</v>
      </c>
      <c r="FP3" s="155">
        <f>MAX(_xlfn.MAXIFS(LandEmiss!$CQ$20:$CQ$119,LandEmiss!$CN$20:$CN$119,$FG3),_xlfn.MAXIFS(LandEmiss!$FB$9:$FB$108,LandEmiss!$EY$9:$EY$108,$FG3))*IFERROR($QR$5,0)</f>
        <v>0</v>
      </c>
      <c r="FQ3" s="155">
        <f>IF(Tank4!$D$22="NO CONTROL",_xlfn.MAXIFS(Tank4!$G$32:$G$141,Tank4!$E$32:$E$141,$FG3),0)*IFERROR($QR$6,0)</f>
        <v>0</v>
      </c>
      <c r="FR3" s="155">
        <f>_xlfn.MAXIFS(LandEmiss!$AI$20:$AI$119,LandEmiss!$AE$20:$AE$119,$FG3)*IFERROR($QR$6,0)</f>
        <v>0</v>
      </c>
      <c r="FS3" s="155">
        <f>MAX(_xlfn.MAXIFS(LandEmiss!$CR$20:$CR$119,LandEmiss!$CN$20:$CN$119,$FG3),_xlfn.MAXIFS(LandEmiss!$FC$9:$FC$108,LandEmiss!$EY$9:$EY$108,$FG3))*IFERROR($QR$6,0)</f>
        <v>0</v>
      </c>
      <c r="FT3" s="155">
        <f>IF(Tank5!$D$22="NO CONTROL",_xlfn.MAXIFS(Tank5!$G$32:$G$141,Tank5!$E$32:$E$141,$FG3),0)*IFERROR($QR$7,0)</f>
        <v>0</v>
      </c>
      <c r="FU3" s="155">
        <f>_xlfn.MAXIFS(LandEmiss!$AJ$20:$AJ$119,LandEmiss!$AE$20:$AE$119,$FG3)*IFERROR($QR$7,0)</f>
        <v>0</v>
      </c>
      <c r="FV3" s="155">
        <f>MAX(_xlfn.MAXIFS(LandEmiss!$CS$20:$CS$119,LandEmiss!$CN$20:$CN$119,$FG3),_xlfn.MAXIFS(LandEmiss!$FD$9:$FD$108,LandEmiss!$EY$9:$EY$108,$FG3))*IFERROR($QR8,0)</f>
        <v>0</v>
      </c>
      <c r="FW3" s="155">
        <f>_xlfn.MAXIFS('Load-DrumTote'!$K$27:$K$136,'Load-DrumTote'!$F$27:$F$136,$FG3)*IFERROR($QR$8,0)</f>
        <v>0</v>
      </c>
      <c r="FX3" s="155">
        <f>_xlfn.MAXIFS('Load-Truck'!$K$27:$K$136,'Load-Truck'!$F$27:$F$136,$FG3)*IFERROR($QR$9,0)</f>
        <v>0</v>
      </c>
      <c r="FY3" s="155">
        <f>_xlfn.MAXIFS('Load-Rail'!$K$27:$K$136,'Load-Rail'!$F$27:$F$136,$FG3)*IFERROR($QR$10,0)</f>
        <v>0</v>
      </c>
      <c r="FZ3" s="155">
        <f>_xlfn.MAXIFS('Load-MarineBarge'!$K$27:$K$136,'Load-MarineBarge'!$F$27:$F$136,$FG3)*IFERROR($QR$11,0)</f>
        <v>0</v>
      </c>
      <c r="GA3" s="155">
        <f>_xlfn.MAXIFS('Load-MarineShip'!$K$27:$K$136,'Load-MarineShip'!$F$27:$F$136,$FG3)*IFERROR($QR$12,0)</f>
        <v>0</v>
      </c>
      <c r="GB3" s="313">
        <f>IF(OR(Flare!$D$24="fuel gas",Flare!$D$38="fuel gas"),SUMIF(Flare!$E$97:$E$106,$FG3,Flare!$F$97:$F$106),0)*IFERROR($QR$13,0)</f>
        <v>0</v>
      </c>
      <c r="GC3" s="313">
        <f>(_xlfn.MAXIFS(CtrlDevImpacts!$I$57:$I$156,CtrlDevImpacts!$H$57:$H$156,$FG3))*IFERROR($QR$13,0)</f>
        <v>0</v>
      </c>
      <c r="GD3" s="313">
        <f>(_xlfn.MAXIFS(Flare!$F$107:$F$216,Flare!$E$107:$E$216,$FG3)-_xlfn.MAXIFS(CtrlDevImpacts!$I$57:$I$156,CtrlDevImpacts!$H$57:$H$156,$FG3))*IFERROR($QR$13,0)</f>
        <v>0</v>
      </c>
      <c r="GE3" s="155">
        <f>_xlfn.MAXIFS(LandEmiss!$B$335:$B$434,LandEmiss!$A$335:$A$434,$FG3)*IFERROR($QR$13,0)</f>
        <v>0</v>
      </c>
      <c r="GF3" s="155">
        <f>(_xlfn.MAXIFS(LandEmiss!$BK$335:$BK$434,LandEmiss!$BJ$335:$BJ$434,$FG3)+_xlfn.MAXIFS(LandEmiss!$DV$323:$DV$422,LandEmiss!$DU$323:$DU$422,$FG3))*IFERROR($QR$13,0)</f>
        <v>0</v>
      </c>
      <c r="GG3" s="313">
        <f>IF(OR(VCU!$D$26="fuel gas",VCU!$D$42="fuel gas"),SUMIF(VCU!$E$120:$E$129,$FG3,VCU!$F$120:$F$129),0)*IFERROR($QR$14,0)</f>
        <v>0</v>
      </c>
      <c r="GH3" s="313">
        <f>(_xlfn.MAXIFS(CtrlDevImpacts!$X$57:$X$156,CtrlDevImpacts!$W$57:$W$156,$FG3))*IFERROR($QR$14,0)</f>
        <v>0</v>
      </c>
      <c r="GI3" s="313">
        <f>(_xlfn.MAXIFS(VCU!$F$130:$F$239,VCU!$E$130:$E$239,$FG3)-_xlfn.MAXIFS(CtrlDevImpacts!$X$57:$X$156,CtrlDevImpacts!$W$57:$W$156,$FG3))*IFERROR($QR$14,0)</f>
        <v>0</v>
      </c>
      <c r="GJ3" s="155">
        <f>_xlfn.MAXIFS(LandEmiss!$D$335:$D$434,LandEmiss!$A$335:$A$434,$FG3)*IFERROR($QR$14,0)</f>
        <v>0</v>
      </c>
      <c r="GK3" s="155">
        <f>(_xlfn.MAXIFS(LandEmiss!$BM$335:$BM$434,LandEmiss!$BJ$335:$BJ$434,$FG3)+_xlfn.MAXIFS(LandEmiss!$DX$323:$DX$422,LandEmiss!$DU$323:$DU$422,$FG3))*IFERROR($QR$14,0)</f>
        <v>0</v>
      </c>
      <c r="GL3" s="313">
        <f>IF(VaporOxidizer!D34="FUEL GAS",SUMIF(VaporOxidizer!$E$101:$E$110,$FG3,VaporOxidizer!$F$101:$F$110),0)*IFERROR($QR$15,0)</f>
        <v>0</v>
      </c>
      <c r="GM3" s="313">
        <f>(_xlfn.MAXIFS(CtrlDevImpacts!$AN$57:$AN$156,CtrlDevImpacts!$AM$57:$AM$156,$FG3))*IFERROR($QR$15,0)</f>
        <v>0</v>
      </c>
      <c r="GN3" s="313">
        <f>(_xlfn.MAXIFS(VaporOxidizer!$F$111:$F$220,VaporOxidizer!$E$111:$E$220,$FG3)-_xlfn.MAXIFS(CtrlDevImpacts!$AN$57:$AN$156,CtrlDevImpacts!$AM$57:$AM$156,$FG3))*IFERROR($QR$15,0)</f>
        <v>0</v>
      </c>
      <c r="GO3" s="155">
        <f>_xlfn.MAXIFS(LandEmiss!$F$335:$F$434,LandEmiss!$A$335:$A$434,$FG3)*IFERROR($QR$15,0)</f>
        <v>0</v>
      </c>
      <c r="GP3" s="155">
        <f>(_xlfn.MAXIFS(LandEmiss!$BK$335:$BK$434,LandEmiss!$BO$335:$BO$434,$FG3)+_xlfn.MAXIFS(LandEmiss!$DZ$323:$DZ$422,LandEmiss!$DU$323:$DU$422,$FG3))*IFERROR($QR$15,0)</f>
        <v>0</v>
      </c>
      <c r="GQ3" s="313">
        <f>_xlfn.MAXIFS(CtrlDevImpacts!$BD$57:$BD$156,CtrlDevImpacts!$BC$57:$BC$156,$FG3)*IFERROR(Hidden!$QR$16,0)</f>
        <v>0</v>
      </c>
      <c r="GR3" s="313">
        <f>(_xlfn.MAXIFS(CAS!$H$35:$H$144,CAS!$E$35:$E$144,$FG3)-_xlfn.MAXIFS(CtrlDevImpacts!$BD$57:$BD$156,CtrlDevImpacts!$BC$57:$BC$156,$FG3))*IFERROR(Hidden!$QR$16,0)</f>
        <v>0</v>
      </c>
      <c r="GS3" s="155">
        <f>_xlfn.MAXIFS(LandEmiss!$H$335:$H$434,LandEmiss!$A$335:$A$434,$FG3)*IFERROR($QR$27,0)</f>
        <v>0</v>
      </c>
      <c r="GT3" s="155">
        <f>(_xlfn.MAXIFS(LandEmiss!$BK$335:$BK$434,LandEmiss!$BQ$335:$BQ$434,$FG3)+_xlfn.MAXIFS(LandEmiss!$EB$323:$EB$422,LandEmiss!$DU$323:$DU$422,$FG3))*IFERROR($QR$27,0)</f>
        <v>0</v>
      </c>
      <c r="GU3" s="155">
        <f>_xlfn.MAXIFS(LandEmiss!$J$335:$J$434,LandEmiss!$A$335:$A$434,$FG3)*IFERROR($QR$26,0)</f>
        <v>0</v>
      </c>
      <c r="GV3" s="155">
        <f>(_xlfn.MAXIFS(LandEmiss!$BK$335:$BK$434,LandEmiss!$BS$335:$BS$434,$FG3)+_xlfn.MAXIFS(LandEmiss!$ED$323:$ED$422,LandEmiss!$DU$323:$DU$422,$FG3))*IFERROR($QR$26,0)</f>
        <v>0</v>
      </c>
      <c r="GW3" s="155">
        <f>_xlfn.MAXIFS(LandEmiss!$L$335:$L$434,LandEmiss!$A$335:$A$434,$FG3)*IFERROR($QR$25,0)</f>
        <v>0</v>
      </c>
      <c r="GX3" s="155">
        <f>(_xlfn.MAXIFS(LandEmiss!$BK$335:$BK$434,LandEmiss!$BU$335:$BU$434,$FG3)+_xlfn.MAXIFS(LandEmiss!$EF$323:$EF$422,LandEmiss!$DU$323:$DU$422,$FG3))*IFERROR($QR$25,0)</f>
        <v>0</v>
      </c>
      <c r="GY3" s="155">
        <v>0</v>
      </c>
      <c r="GZ3" s="155">
        <v>0</v>
      </c>
      <c r="HA3" s="155">
        <f>IF(OR(HeaterBoiler1!$E$26&lt;&gt;"fuel gas",HeaterBoiler1!$E$15&lt;&gt;"heater"),0,SUMIF(HeaterBoiler1!$A$54:$D$63,$FG3,HeaterBoiler1!$I$54:$I$63))*IFERROR($QR$19,0)</f>
        <v>0</v>
      </c>
      <c r="HB3" s="207">
        <f>IF(OR(HeaterBoiler2!$E$26&lt;&gt;"fuel gas",HeaterBoiler2!$E$15&lt;&gt;"heater"),0,SUMIF(HeaterBoiler2!$A$54:$D$63,$FG3,HeaterBoiler2!$I$54:$I$63))*IFERROR($QR$21,0)</f>
        <v>0</v>
      </c>
      <c r="HC3" s="155">
        <f>IF(OR(HeaterBoiler1!$E$26&lt;&gt;"fuel gas",HeaterBoiler1!$E$15&lt;&gt;"boiler"),0,SUMIF(HeaterBoiler1!$A$41:$A$50,$FG3,HeaterBoiler1!$F$41:$F$50))*IFERROR($QR$20,0)</f>
        <v>0</v>
      </c>
      <c r="HD3" s="207">
        <f>IF(OR(HeaterBoiler2!$E$26&lt;&gt;"fuel gas",HeaterBoiler2!$E$15&lt;&gt;"boiler"),0,SUMIF(HeaterBoiler2!$A$41:$A$50,$FG3,HeaterBoiler2!$F$41:$F$50))*IFERROR($QR$22,0)</f>
        <v>0</v>
      </c>
      <c r="HE3" s="155">
        <f>SUMIF(Fug!$A$96:$A$205,$FG3,Fug!$I$96:$I$205)*IFERROR(Hidden!$QR$23,0)</f>
        <v>0</v>
      </c>
      <c r="HF3" s="155">
        <f t="shared" ref="HF3:HF66" si="24">_xlfn.MAXIFS($EY$2:$EY$26,$EX$2:$EX$26,$FG3)*IFERROR($QR$24,0)</f>
        <v>0</v>
      </c>
      <c r="HG3" s="156">
        <f t="shared" ref="HG3:HG66" si="25">MAX($FH3:$FI3)+MAX($FK3:$FL3)+MAX($FN3:$FO3)+MAX($FQ3:$FR3)+MAX($FT3:$FU3)+SUM($FW3:$GA3)+SUM($GB3:$GE3)+SUM($GG3:$GJ3)+SUM($GL3:$GO3)+SUM($GQ3:$GR3)+$GS3+$GU3+$GW3+SUM($GY3:$HF3)</f>
        <v>0</v>
      </c>
      <c r="HH3" s="156">
        <f t="shared" ref="HH3:HH66" si="26">$FJ3+$FK3+$FN3+$FQ3+$FT3+$GF3+$GK3+$GP3+$GT3+$GV3+$GX3+SUM($HA3:$HD3)+$HE3+$HF3+$GG3+$GH3+$GL3+$GM3+$GB3+$GC3+$GQ3</f>
        <v>0</v>
      </c>
      <c r="HI3" s="156">
        <f t="shared" ref="HI3:HI66" si="27">$FH3+$FM3+$FN3+$FQ3+$FT3+$GF3+$GK3+$GP3+$GT3+$GV3+$GX3+SUM($HA3:$HD3)+$HE3+$HF3+$GG3+$GH3+$GB3+$GC3+$GL3+$GM3+$GQ3</f>
        <v>0</v>
      </c>
      <c r="HJ3" s="156">
        <f t="shared" ref="HJ3:HJ66" si="28">$FH3+$FK3+$FP3+$FQ3+$FT3+$GF3+$GK3+$GP3+$GT3+$GV3+$GX3+SUM($HA3:$HD3)+$HE3+$HF3+$GB3+$GC3+$GG3+$GH3+$GL3+$GM3+$GQ3</f>
        <v>0</v>
      </c>
      <c r="HK3" s="156">
        <f t="shared" ref="HK3:HK66" si="29">$FH3+$FK3+$FN3+$FS3+$FT3+$GF3+$GK3+$GP3+$GT3+$GV3+$GX3+SUM($HA3:$HD3)+$HE3+$HF3+$GG3+$GH3+$GB3+$GC3+$GL3+$GM3+$GQ3</f>
        <v>0</v>
      </c>
      <c r="HL3" s="156">
        <f t="shared" ref="HL3:HL66" si="30">$FH3+$FK3+$FN3+$FQ3+$FV3+$GF3+$GK3+$GP3+$GT3+$GV3+$GX3+SUM($HA3:$HD3)+$HE3+$HF3+$GB3+$GC3+$GG3+$GH3+$GL3+$GM3+$GQ3</f>
        <v>0</v>
      </c>
      <c r="NO3" s="155">
        <f>IF(Tank1!$D$22="No control",(SUMIF(Tank1!$E$32:$E$141,$FG3,Tank1!$H$32:$H$141)*(2000/8760)*IFERROR($QV$3,0)),0)</f>
        <v>0</v>
      </c>
      <c r="NP3" s="156">
        <f>SUMIF(LandEmiss!$AE$20:$AE$119,$FG3,LandEmiss!$AK$20:$AK$119)*(2000/8760)*IFERROR($QV$3,0)</f>
        <v>0</v>
      </c>
      <c r="NQ3" s="156">
        <f>(SUMIF(LandEmiss!$CN$20:$CN$119,$FG3,LandEmiss!$CT$20:$CT$119)+SUMIF(LandEmiss!$EY$9:$EY$108,$FG3,LandEmiss!$FE$9:$FE$108))*IFERROR($QV$3,0)*(2000/8760)</f>
        <v>0</v>
      </c>
      <c r="NR3" s="155">
        <f>IF(Tank2!$D$22="No control",(SUMIF(Tank2!$E$32:$E$141,$FG3,Tank2!$H$32:$H$141)*(2000/8760)*IFERROR($QV$4,0)),0)</f>
        <v>0</v>
      </c>
      <c r="NS3" s="156">
        <f>SUMIF(LandEmiss!$AE$20:$AE$119,$FG3,LandEmiss!$AL$20:$AL$119)*(2000/8760)*IFERROR($QV$4,0)</f>
        <v>0</v>
      </c>
      <c r="NT3" s="156">
        <f>(SUMIF(LandEmiss!$CN$20:$CN$119,$FG3,LandEmiss!$CU$20:$CU$119)+SUMIF(LandEmiss!$EY$9:$EY$108,$FG3,LandEmiss!$FF$9:$FF$108))*IFERROR($QV$4,0)*(2000/8760)</f>
        <v>0</v>
      </c>
      <c r="NU3" s="155">
        <f>IF(Tank3!$D$22="No control",(SUMIF(Tank3!$E$32:$E$141,$FG3,Tank3!$H$32:$H$141)*(2000/8760)*IFERROR($QV$5,0)),0)</f>
        <v>0</v>
      </c>
      <c r="NV3" s="156">
        <f>SUMIF(LandEmiss!$AE$20:$AE$119,$FG3,LandEmiss!$AM$20:$AM$119)*(2000/8760)*IFERROR($QV$5,0)</f>
        <v>0</v>
      </c>
      <c r="NW3" s="156">
        <f>(SUMIF(LandEmiss!$CN$20:$CN$119,$FG3,LandEmiss!$CV$20:$CV$119)+SUMIF(LandEmiss!$EY$9:$EY$108,$FG3,LandEmiss!$FG$9:$FG$108))*IFERROR($QV$5,0)*(2000/8760)</f>
        <v>0</v>
      </c>
      <c r="NX3" s="155">
        <f>IF(Tank4!$D$22="No control",(SUMIF(Tank4!$E$32:$E$141,$FG3,Tank4!$H$32:$H$141)*(2000/8760)*IFERROR($QV$6,0)),0)</f>
        <v>0</v>
      </c>
      <c r="NY3" s="156">
        <f>SUMIF(LandEmiss!$AE$20:$AE$119,$FG3,LandEmiss!$AN$20:$AN$119)*(2000/8760)*IFERROR($QV$6,0)</f>
        <v>0</v>
      </c>
      <c r="NZ3" s="156">
        <f>(SUMIF(LandEmiss!$CN$20:$CN$119,$FG3,LandEmiss!$CW$20:$CW$119)+SUMIF(LandEmiss!$EY$9:$EY$108,$FG3,LandEmiss!$FH$9:$FH$108))*IFERROR($QV$6,0)*(2000/8760)</f>
        <v>0</v>
      </c>
      <c r="OA3" s="155">
        <f>IF(Tank5!$D$22="No control",(SUMIF(Tank5!$E$32:$E$141,$FG3,Tank5!$H$32:$H$141)*(2000/8760)*IFERROR($QV$7,0)),0)</f>
        <v>0</v>
      </c>
      <c r="OB3" s="156">
        <f>SUMIF(LandEmiss!$AE$20:$AE$119,$FG3,LandEmiss!$AO$20:$AO$119)*(2000/8760)*IFERROR($QV$7,0)</f>
        <v>0</v>
      </c>
      <c r="OC3" s="156">
        <f>(SUMIF(LandEmiss!$CN$20:$CN$119,$FG3,LandEmiss!$CX$20:$CX$119)+SUMIF(LandEmiss!$EY$9:$EY$108,$FG3,LandEmiss!$FI$9:$FI$108))*IFERROR($QV$7,0)*(2000/8760)</f>
        <v>0</v>
      </c>
      <c r="OD3" s="155">
        <f>SUMIFS('Load-DrumTote'!$L$27:$L$136,'Load-DrumTote'!$F$27:$F$136,$FG3)*IFERROR($QV$8,0)*(2000/8760)</f>
        <v>0</v>
      </c>
      <c r="OE3" s="155">
        <f>SUMIFS('Load-Truck'!$L$27:$L$136,'Load-Truck'!$F$27:$F$136,$FG3)*IFERROR($QV$9,0)*(2000/8760)</f>
        <v>0</v>
      </c>
      <c r="OF3" s="155">
        <f>SUMIFS('Load-Rail'!$L$27:$L$136,'Load-Rail'!$F$27:$F$136,$FG3)*IFERROR($QV$10,0)*(2000/8760)</f>
        <v>0</v>
      </c>
      <c r="OG3" s="155">
        <f>SUMIFS('Load-MarineBarge'!$L$27:$L$136,'Load-MarineBarge'!$F$27:$F$136,$FG3)*IFERROR($QV$11,0)*(2000/8760)</f>
        <v>0</v>
      </c>
      <c r="OH3" s="155">
        <f>SUMIFS('Load-MarineShip'!$L$27:$L$136,'Load-MarineShip'!$F$27:$F$136,$FG3)*IFERROR($QV$12,0)*(2000/8760)</f>
        <v>0</v>
      </c>
      <c r="OI3" s="155">
        <f>(IF(OR(Flare!$D$24="FUEL GAS",Flare!$D$38="FUEL GAS"),SUMIF(Flare!$E$97:$E$106,$FG3,Flare!$G$97:$G$105),0)+SUMIF(Flare!$E$107:$E$216,$FG3,Flare!$G$107:$G$216))*(2000/8730)*IFERROR($QV$13,0)</f>
        <v>0</v>
      </c>
      <c r="OJ3" s="155">
        <f>SUMIF(LandEmiss!$A$335:$A$434,$FG3,LandEmiss!$C$335:$C$434)*(2000/8760)*IFERROR($QV$13,0)</f>
        <v>0</v>
      </c>
      <c r="OK3" s="155">
        <f>(SUMIF(LandEmiss!$BJ$335:$BJ$434,$FG3,LandEmiss!$BL$335:$BL$434)+SUMIF(LandEmiss!$DU$323:$DU$422,$FG3,LandEmiss!$DW$323:$DW$422))*(2000/8760)*IFERROR($QV$13,0)</f>
        <v>0</v>
      </c>
      <c r="OL3" s="155">
        <f>(IF(OR(VCU!$D$26="FUEL GAS",VCU!$D$42="FUEL GAS"),SUMIF(VCU!$E$120:$E$129,$FG3,VCU!$G$120:$G$129),0)+SUMIF(VCU!$E$130:$E$239,$FG3,VCU!G131:G240))*(2000/8760)*IFERROR($QV$14,0)</f>
        <v>0</v>
      </c>
      <c r="OM3" s="155">
        <f>SUMIF(LandEmiss!$A$335:$A$434,$FG3,LandEmiss!$E$335:$E$434)*(2000/8760)*IFERROR($QV$14,0)</f>
        <v>0</v>
      </c>
      <c r="ON3" s="155">
        <f>(SUMIF(LandEmiss!$BJ$335:$BJ$434,$FG3,LandEmiss!$BN$335:$BN$434)+SUMIF(LandEmiss!$DU$323:$DU$422,$FG3,LandEmiss!$DY$323:$DY$422))*(2000/8760)*IFERROR($QV$14,0)</f>
        <v>0</v>
      </c>
      <c r="OO3" s="155">
        <f>(IF(VaporOxidizer!$D$33="FUEL GAS",SUMIF(VaporOxidizer!$E$101:$E$110,$FG3,VaporOxidizer!$G$101:$G$110),0)+SUMIF(VaporOxidizer!$E$111:$E$220,$FG3,VaporOxidizer!$G$111:$G$220))*(2000/8760)*IFERROR($QV$15,0)</f>
        <v>0</v>
      </c>
      <c r="OP3" s="155">
        <f>SUMIF(LandEmiss!$A$335:$A$434,$FG3,LandEmiss!$G$335:$G$434)*(2000/8760)*IFERROR($QV$15,0)</f>
        <v>0</v>
      </c>
      <c r="OQ3" s="155">
        <f>(SUMIF(LandEmiss!$BJ$335:$BJ$434,$FG3,LandEmiss!$BP$335:$BP$434)+SUMIF(LandEmiss!$DU$323:$DU$422,$FG3,LandEmiss!$EA$323:$EA$422))*(2000/8760)*IFERROR($QV$15,0)</f>
        <v>0</v>
      </c>
      <c r="OR3" s="155">
        <f>SUMIF(CAS!$E$35:$E$144,Hidden!$FG3,CAS!$I$35:$I$144)*IFERROR($QV$16,0)*(2000/8760)</f>
        <v>0</v>
      </c>
      <c r="OS3" s="155">
        <f>SUMIF(LandEmiss!$A$335:$A$434,$FG3,LandEmiss!$I$335:$I$434)*(2000/8760)*IFERROR($QV$27,0)</f>
        <v>0</v>
      </c>
      <c r="OT3" s="155">
        <f>(SUMIF(LandEmiss!$BJ$335:$BJ$434,$FG3,LandEmiss!$BR$335:$BR$434)+SUMIF(LandEmiss!$DU$323:$DU$422,$FG3,LandEmiss!$EC$323:$EC$422))*(2000/8760)*IFERROR($QV$27,0)</f>
        <v>0</v>
      </c>
      <c r="OU3" s="155">
        <f>SUMIF(LandEmiss!$A$335:$A$434,$FG3,LandEmiss!$K$335:$K$434)*(2000/8760)*IFERROR($QV$26,0)</f>
        <v>0</v>
      </c>
      <c r="OV3" s="155">
        <f>(SUMIF(LandEmiss!$BJ$335:$BJ$434,$FG3,LandEmiss!$BT$335:$BT$434)+SUMIF(LandEmiss!$DU$323:$DU$422,$FG3,LandEmiss!$EE$323:$EE$422))*(2000/8760)*IFERROR($QV$26,0)</f>
        <v>0</v>
      </c>
      <c r="OW3" s="155">
        <f>SUMIF(LandEmiss!$A$335:$A$434,$FG3,LandEmiss!$M$335:$M$434)*(2000/8760)*IFERROR($QV$25,0)</f>
        <v>0</v>
      </c>
      <c r="OX3" s="155">
        <f>(SUMIF(LandEmiss!$BJ$335:$BJ$434,$FG3,LandEmiss!$BV$335:$BV$434)+SUMIF(LandEmiss!$DU$323:$DU$422,$FG3,LandEmiss!$EG$323:$EG$422))*(2000/8760)*IFERROR($QV$25,0)</f>
        <v>0</v>
      </c>
      <c r="OY3" s="8">
        <v>0</v>
      </c>
      <c r="OZ3" s="207">
        <v>0</v>
      </c>
      <c r="PA3" s="207">
        <f>IF(OR(HeaterBoiler1!$E$26&lt;&gt;"fuel gas",HeaterBoiler1!$E$15&lt;&gt;"heater"),0,(SUMIF(HeaterBoiler1!$A$54:$D$63,$FG3,HeaterBoiler1!$J$54:$J$63))*(2000/8760))*IFERROR($QV$19,0)</f>
        <v>0</v>
      </c>
      <c r="PB3" s="207">
        <f>IF(OR(HeaterBoiler2!$E$26&lt;&gt;"fuel gas",HeaterBoiler2!$E$15&lt;&gt;"heater"),0,(SUMIF(HeaterBoiler2!$A$54:$D$63,$FG3,HeaterBoiler2!$J$54:$J$63))*(2000/8760))*IFERROR($QV$21,0)</f>
        <v>0</v>
      </c>
      <c r="PC3" s="207">
        <f>IF(OR(HeaterBoiler1!$E$26&lt;&gt;"fuel gas",HeaterBoiler1!$E$15&lt;&gt;"boiler"),0,(SUMIF(HeaterBoiler1!$A$54:$D$63,$FG3,HeaterBoiler1!$J$54:$J$63))*(2000/8760))*IFERROR($QV$20,0)</f>
        <v>0</v>
      </c>
      <c r="PD3" s="207">
        <f>IF(OR(HeaterBoiler2!$E$26&lt;&gt;"fuel gas",HeaterBoiler2!$E$15&lt;&gt;"boiler"),0,(SUMIF(HeaterBoiler2!$A$54:$D$63,$FG3,HeaterBoiler2!$J$54:$J$63))*(2000/8760))*IFERROR($QV$22,0)</f>
        <v>0</v>
      </c>
      <c r="PE3" s="8">
        <f>(SUMIF(Fug!$A$96:$A$205,$FG3,Fug!$J$96:$J$205))*IFERROR($QV$23,0)*(2000/8760)</f>
        <v>0</v>
      </c>
      <c r="PF3" s="8">
        <f t="shared" ref="PF3:PF66" si="31">SUMIF($EX$2:$EX$26,$FG3,$EZ$2:$EZ$26)*(2000/8760)*IFERROR($QV$24,0)</f>
        <v>0</v>
      </c>
      <c r="PG3" s="156">
        <f t="shared" ref="PG3:PG66" si="32">SUM($NO3:$PF3)</f>
        <v>0</v>
      </c>
      <c r="PJ3" s="52" t="str">
        <f>IF(Fug!$F$16=Hidden!$PP$2,"Valves","Valves")</f>
        <v>Valves</v>
      </c>
      <c r="PK3" s="52" t="str">
        <f>IF(Fug!$F$16=Hidden!$PP$2,"Gas","Gas/Vapor")</f>
        <v>Gas/Vapor</v>
      </c>
      <c r="PL3" s="52">
        <v>1.32E-2</v>
      </c>
      <c r="PM3" s="52">
        <v>8.8999999999999999E-3</v>
      </c>
      <c r="PN3" s="52">
        <v>2.58E-2</v>
      </c>
      <c r="PO3" s="52">
        <v>2.9E-4</v>
      </c>
      <c r="PP3" s="52">
        <v>9.92E-3</v>
      </c>
      <c r="PQ3" s="52">
        <v>4.44E-4</v>
      </c>
      <c r="PR3" s="52">
        <v>2.1600000000000001E-6</v>
      </c>
      <c r="PS3" s="52">
        <v>1.1050000000000001E-3</v>
      </c>
      <c r="PT3" s="52" t="s">
        <v>8768</v>
      </c>
      <c r="PU3" s="52" t="s">
        <v>8769</v>
      </c>
      <c r="PV3" s="52">
        <v>0</v>
      </c>
      <c r="PW3" s="52">
        <v>0.97</v>
      </c>
      <c r="PX3" s="52">
        <v>0.97</v>
      </c>
      <c r="PY3" s="52">
        <v>0.97</v>
      </c>
      <c r="PZ3" s="52">
        <v>0</v>
      </c>
      <c r="QA3" s="52">
        <v>0.97</v>
      </c>
      <c r="QB3" s="52" t="s">
        <v>8768</v>
      </c>
      <c r="QC3" s="52" t="s">
        <v>8801</v>
      </c>
      <c r="QD3" s="52">
        <v>0</v>
      </c>
      <c r="QE3" s="52">
        <v>0.97</v>
      </c>
      <c r="QF3" s="52">
        <v>0.97</v>
      </c>
      <c r="QG3" s="52">
        <v>0.97</v>
      </c>
      <c r="QH3" s="52">
        <v>0</v>
      </c>
      <c r="QI3" s="52">
        <v>0.97</v>
      </c>
      <c r="QK3" s="95" t="s">
        <v>9108</v>
      </c>
      <c r="QM3" s="16" t="s">
        <v>8706</v>
      </c>
      <c r="QN3" s="104" t="e">
        <f>VLOOKUP('PI-1-MarineLoading'!$D$73,$A$2:$B$51,2,FALSE)</f>
        <v>#N/A</v>
      </c>
      <c r="QO3" s="104">
        <f>Tank1!D16</f>
        <v>0</v>
      </c>
      <c r="QP3" s="104">
        <f>Tank1!D15</f>
        <v>0</v>
      </c>
      <c r="QQ3" s="16" t="str">
        <f>IF(QO3&lt;30,$QX$4,IF(QO3&lt;35,$QX$5,IF(QO3&lt;40,$QX$6,IF(QO3&lt;45,$QX$7,IF(QO3&lt;50,$QX$8,$QX$9)))))</f>
        <v>TANK12</v>
      </c>
      <c r="QR3" s="16" t="e">
        <f t="shared" ref="QR3:QR24" si="33">IF(QN3=10,VLOOKUP(QQ3,$QX$2:$RG$31,MATCH(QP3,$QX$2:$RG$2,1),FALSE),IF(QN3=12,VLOOKUP(QQ3,$QX$33:$RG$62,MATCH(QP3,$QX$33:$RG$33,1),FALSE),IF(QN3=14,VLOOKUP(QQ3,$QX$64:$RG$94,MATCH(QP3,$QX$64:$RG$64,1),FALSE),IF(QN3=15,VLOOKUP(QQ3,$QX$96:$RG$125,MATCH(QP3,$QX$96:$RG$96,1),FALSE)))))</f>
        <v>#N/A</v>
      </c>
      <c r="QS3" s="16" t="e">
        <f t="shared" ref="QS3:QS24" si="34">IF(QN3=10,VLOOKUP(QQ3,$RH$2:$RQ$31,MATCH(QP3,$RH$2:$RQ$2,1),FALSE),IF(QN3=12,VLOOKUP(QQ3,$RH$33:$RQ$62,MATCH(QP3,$RH$33:$RQ$33,1),FALSE),IF(QN3=14,VLOOKUP(QQ3,$RH$64:$RQ$94,MATCH(QP3,$RH$64:$RQ$64,1),FALSE),IF(QN3=15,VLOOKUP(QQ3,$RH$96:$RQ$125,MATCH(QP3,$RH$96:$RQ$96,1),FALSE)))))</f>
        <v>#N/A</v>
      </c>
      <c r="QT3" s="16" t="e">
        <f>IF(QN3=10,VLOOKUP(QQ3,$RR$2:$SA$31,MATCH(QP3,$RR$2:$SA$2,1),FALSE),IF(QN3=12,VLOOKUP(QQ3,$RR$33:$SA$62,MATCH(QP3,$RR$33:$SA$33,1),FALSE),IF(QN3=14,VLOOKUP(QQ3,$RR$64:$SA$94,MATCH(QP3,$RR$64:$SA$64,1),FALSE),IF(QN3=15,VLOOKUP(QQ3,$RR$96:$SA$125,MATCH(QP3,$RR$96:$SA$96,1),FALSE)))))</f>
        <v>#N/A</v>
      </c>
      <c r="QU3" s="16" t="e">
        <f>IF(QN3=10,VLOOKUP(QQ3,$SB$2:$SK$31,MATCH(QP3,$SB$2:$SK$2,1),FALSE),IF(QN3=12,VLOOKUP(QQ3,$SB$33:$SK$62,MATCH(QP3,$SB$33:$SK$33,1),FALSE),IF(QN3=14,VLOOKUP(QQ3,$SB$64:$SK$94,MATCH(QP3,$SB$64:$SK$64,1),FALSE),IF(QN3=15,VLOOKUP(QQ3,$SB$96:$SK$125,MATCH(QP3,$SB$96:$SK$96,1),FALSE)))))</f>
        <v>#N/A</v>
      </c>
      <c r="QV3" s="16" t="e">
        <f>IF(QN3=10,VLOOKUP(QQ3,$SL$2:$SU$31,MATCH(QP3,$SL$2:$SU$2,1),FALSE),IF(QN3=12,VLOOKUP(QQ3,$SL$33:$SU$62,MATCH(QP3,$SL$33:$SU$33,1),FALSE),IF(QN3=14,VLOOKUP(QQ3,$SL$64:$SU$94,MATCH(QP3,$SL$64:$SU$64,1),FALSE),IF(QN3=15,VLOOKUP(QQ3,$SL$96:$SU$125,MATCH(QP3,$SL$96:$SU$96,1),FALSE)))))</f>
        <v>#N/A</v>
      </c>
      <c r="QX3" s="89" t="s">
        <v>9306</v>
      </c>
      <c r="QY3" t="s">
        <v>9308</v>
      </c>
      <c r="QZ3" t="s">
        <v>9308</v>
      </c>
      <c r="RA3" t="s">
        <v>9308</v>
      </c>
      <c r="RB3" t="s">
        <v>9308</v>
      </c>
      <c r="RC3" t="s">
        <v>9308</v>
      </c>
      <c r="RD3" t="s">
        <v>9308</v>
      </c>
      <c r="RE3" t="s">
        <v>9308</v>
      </c>
      <c r="RF3" t="s">
        <v>9308</v>
      </c>
      <c r="RG3" s="90" t="s">
        <v>9308</v>
      </c>
      <c r="RH3" s="89" t="s">
        <v>9306</v>
      </c>
      <c r="RI3" t="s">
        <v>9309</v>
      </c>
      <c r="RJ3" t="s">
        <v>9309</v>
      </c>
      <c r="RK3" t="s">
        <v>9309</v>
      </c>
      <c r="RL3" t="s">
        <v>9309</v>
      </c>
      <c r="RM3" t="s">
        <v>9309</v>
      </c>
      <c r="RN3" t="s">
        <v>9309</v>
      </c>
      <c r="RO3" t="s">
        <v>9309</v>
      </c>
      <c r="RP3" t="s">
        <v>9309</v>
      </c>
      <c r="RQ3" s="90" t="s">
        <v>9309</v>
      </c>
      <c r="RR3" s="89" t="s">
        <v>9306</v>
      </c>
      <c r="RS3" t="s">
        <v>9310</v>
      </c>
      <c r="RT3" t="s">
        <v>9310</v>
      </c>
      <c r="RU3" t="s">
        <v>9310</v>
      </c>
      <c r="RV3" t="s">
        <v>9310</v>
      </c>
      <c r="RW3" t="s">
        <v>9310</v>
      </c>
      <c r="RX3" t="s">
        <v>9310</v>
      </c>
      <c r="RY3" t="s">
        <v>9310</v>
      </c>
      <c r="RZ3" t="s">
        <v>9310</v>
      </c>
      <c r="SA3" s="90" t="s">
        <v>9310</v>
      </c>
      <c r="SB3" s="89" t="s">
        <v>9306</v>
      </c>
      <c r="SC3" t="s">
        <v>9311</v>
      </c>
      <c r="SD3" t="s">
        <v>9311</v>
      </c>
      <c r="SE3" t="s">
        <v>9311</v>
      </c>
      <c r="SF3" t="s">
        <v>9311</v>
      </c>
      <c r="SG3" t="s">
        <v>9311</v>
      </c>
      <c r="SH3" t="s">
        <v>9311</v>
      </c>
      <c r="SI3" t="s">
        <v>9311</v>
      </c>
      <c r="SJ3" t="s">
        <v>9311</v>
      </c>
      <c r="SK3" s="90" t="s">
        <v>9311</v>
      </c>
      <c r="SL3" s="89" t="s">
        <v>9306</v>
      </c>
      <c r="SM3" t="s">
        <v>9312</v>
      </c>
      <c r="SN3" t="s">
        <v>9312</v>
      </c>
      <c r="SO3" t="s">
        <v>9312</v>
      </c>
      <c r="SP3" t="s">
        <v>9312</v>
      </c>
      <c r="SQ3" t="s">
        <v>9312</v>
      </c>
      <c r="SR3" t="s">
        <v>9312</v>
      </c>
      <c r="SS3" t="s">
        <v>9312</v>
      </c>
      <c r="ST3" t="s">
        <v>9312</v>
      </c>
      <c r="SU3" s="90" t="s">
        <v>9312</v>
      </c>
      <c r="SW3" s="9" t="s">
        <v>184</v>
      </c>
      <c r="SX3" s="16" t="s">
        <v>9375</v>
      </c>
      <c r="SY3" s="29" t="s">
        <v>11134</v>
      </c>
      <c r="SZ3" s="89" t="s">
        <v>8763</v>
      </c>
      <c r="TA3" t="s">
        <v>10538</v>
      </c>
      <c r="TB3" s="90" t="s">
        <v>10538</v>
      </c>
      <c r="TC3" s="89" t="s">
        <v>8763</v>
      </c>
      <c r="TD3" t="s">
        <v>10530</v>
      </c>
      <c r="TE3" t="s">
        <v>9631</v>
      </c>
      <c r="TF3" s="90" t="s">
        <v>9631</v>
      </c>
      <c r="TH3" t="s">
        <v>8687</v>
      </c>
      <c r="TI3" s="256" t="s">
        <v>10188</v>
      </c>
      <c r="TJ3" s="255" t="s">
        <v>10189</v>
      </c>
      <c r="TK3" s="261" t="s">
        <v>10189</v>
      </c>
      <c r="TL3" t="s">
        <v>10200</v>
      </c>
      <c r="TM3" s="225" t="str">
        <f>"All loading shall be submerged. Emissions routed to a"&amp;IF('Load-MarineBarge'!F19="",""," "&amp;'Load-MarineBarge'!F19&amp;" for inland barge marine loading and a")&amp;IF('Load-MarineShip'!F19="",""," "&amp;'Load-MarineShip'!F19&amp;" for marine loading of ships and ocean going vessels")&amp;". Each marine vessel must pass an annual vapor tightness test as specified in 40 CFR §63.565(c) or 40 CFR §61.304(f). MSS: Same as normal operations. "&amp;IF('PI-1-MarineLoading'!G120="yes",Hidden!TM4,"")</f>
        <v xml:space="preserve">All loading shall be submerged. Emissions routed to a. Each marine vessel must pass an annual vapor tightness test as specified in 40 CFR §63.565(c) or 40 CFR §61.304(f). MSS: Same as normal operations. </v>
      </c>
    </row>
    <row r="4" spans="1:534" ht="74.25" customHeight="1" x14ac:dyDescent="0.2">
      <c r="A4" s="8" t="s">
        <v>182</v>
      </c>
      <c r="B4" s="8">
        <v>12</v>
      </c>
      <c r="D4" s="8" t="s">
        <v>182</v>
      </c>
      <c r="E4" s="8" t="b">
        <f>IF($D4='PI-1-MarineLoading'!$D$73,TRUE,FALSE)</f>
        <v>0</v>
      </c>
      <c r="G4">
        <f>IF(OR(H4=0,ISNUMBER(MATCH(H4,$H$1:H3,0))),0,MAX($G$1:G3)+1)</f>
        <v>0</v>
      </c>
      <c r="H4">
        <f>Products!A79</f>
        <v>0</v>
      </c>
      <c r="I4" t="str">
        <f t="shared" si="0"/>
        <v/>
      </c>
      <c r="K4">
        <f>IF(OR(L4=0,ISNUMBER(MATCH(L4,$L$1:L3,0))),0,MAX($K$1:K3)+1)</f>
        <v>0</v>
      </c>
      <c r="L4">
        <f>IF('PI-1-MarineLoading'!$G122&lt;&gt;"yes",0,"VCU")</f>
        <v>0</v>
      </c>
      <c r="M4" t="str">
        <f>IFERROR(VLOOKUP(ROW(A3),$K$2:$L$6,2,FALSE),"")</f>
        <v/>
      </c>
      <c r="O4" s="77">
        <f>IF(OR(P4=0,ISNUMBER(MATCH(P4,$P$1:P3,0))),0,MAX($O$1:O3)+1)</f>
        <v>0</v>
      </c>
      <c r="P4" s="77">
        <f>IF('PI-1-MarineLoading'!$G122&lt;&gt;"yes",0,"permanent VCU")</f>
        <v>0</v>
      </c>
      <c r="Q4" s="77" t="str">
        <f t="shared" si="1"/>
        <v/>
      </c>
      <c r="S4">
        <f>IF(OR(T4=0,ISNUMBER(MATCH(T4,$T$1:T3,0))),0,MAX($S$1:S3)+1)</f>
        <v>0</v>
      </c>
      <c r="T4">
        <f>IF('PI-1-MarineLoading'!$G123&lt;&gt;"yes",0,"permanent vapor oxidizer")</f>
        <v>0</v>
      </c>
      <c r="U4" t="str">
        <f t="shared" si="2"/>
        <v/>
      </c>
      <c r="W4">
        <f>IF(OR(X4=0,ISNUMBER(MATCH(X4,$X$1:X3,0))),0,MAX($W$1:W3)+1)</f>
        <v>0</v>
      </c>
      <c r="X4">
        <f>Products!$E10</f>
        <v>0</v>
      </c>
      <c r="Y4" t="str">
        <f t="shared" si="3"/>
        <v/>
      </c>
      <c r="AA4">
        <f>IF(OR(AB4=0,ISNUMBER(MATCH(AB4,$AB$1:AB3,0))),0,MAX($AA$1:AA3)+1)</f>
        <v>0</v>
      </c>
      <c r="AB4">
        <f>IF('PI-1-MarineLoading'!$G$126=0,0,IF('PI-1-MarineLoading'!$G$126&gt;=1,HeaterBoiler1!$E$7,0))</f>
        <v>0</v>
      </c>
      <c r="AC4">
        <f>IFERROR(VLOOKUP(ROW(A3),$AA$2:$AB$5,2,FALSE),0)</f>
        <v>0</v>
      </c>
      <c r="AE4">
        <f>IF(OR(AF4=0,ISNUMBER(MATCH(AF4,$AF$1:AF3,0))),0,MAX($AE$1:AE3)+1)</f>
        <v>0</v>
      </c>
      <c r="AF4">
        <f>IF('PI-1-MarineLoading'!$G$122="yes",VCU!$D$7,0)</f>
        <v>0</v>
      </c>
      <c r="AG4">
        <f>IFERROR(VLOOKUP(ROW(A3),$AE$2:$AF$5,2,FALSE),0)</f>
        <v>0</v>
      </c>
      <c r="AI4">
        <f>IF(OR(AJ4=0,ISNUMBER(MATCH(AJ4,$AJ$1:AJ3,0))),0,MAX($AI$1:AI3)+1)</f>
        <v>0</v>
      </c>
      <c r="AJ4">
        <f>IF('PI-1-MarineLoading'!$G$121="yes",IF(Flare!$D$60="yes",Flare!$D$7,0),0)</f>
        <v>0</v>
      </c>
      <c r="AK4">
        <f>IFERROR(VLOOKUP(ROW(A3),$AI$2:$AJ$4,2,FALSE),0)</f>
        <v>0</v>
      </c>
      <c r="AM4">
        <f>IF(OR(AN4=0,ISNUMBER(MATCH(AN4,$AN$1:AN3,0))),0,MAX($AM$1:AM3)+1)</f>
        <v>0</v>
      </c>
      <c r="AN4">
        <f>IF('PI-1-MarineLoading'!$G$121="yes",IF(Flare!$D$60&lt;&gt;"yes",0,IF(Flare!$D$62&lt;&gt;"no",0,Flare!$D$7)),0)</f>
        <v>0</v>
      </c>
      <c r="AO4">
        <f>IFERROR(VLOOKUP(ROW(A3),$AM$2:$AN$4,2,FALSE),0)</f>
        <v>0</v>
      </c>
      <c r="AQ4">
        <f>IF(OR(AR4=0,ISNUMBER(MATCH(AR4,$AR$1:AR3,0))),0,MAX($AQ$1:AQ3)+1)</f>
        <v>0</v>
      </c>
      <c r="AR4">
        <f>IF('PI-1-MarineLoading'!$G$121="yes",IF(Flare!$D$60&lt;&gt;"yes",0,IF(Flare!$D$62&lt;&gt;"yes",0,Flare!$D$7)),0)</f>
        <v>0</v>
      </c>
      <c r="AS4">
        <f>IFERROR(VLOOKUP(ROW(A3),$AQ$2:$AR$4,2,FALSE),0)</f>
        <v>0</v>
      </c>
      <c r="AU4">
        <f>IF(OR(AV4=0,ISNUMBER(MATCH(AV4,$AV$1:AV3,0))),0,MAX($AU$1:AU3)+1)</f>
        <v>0</v>
      </c>
      <c r="AV4">
        <f>IF('PI-1-MarineLoading'!$G$123&lt;&gt;"yes",0,VaporOxidizer!$D$7)</f>
        <v>0</v>
      </c>
      <c r="AW4">
        <f>IFERROR(VLOOKUP(ROW(A3),$AU$2:$AV$4,2,FALSE),0)</f>
        <v>0</v>
      </c>
      <c r="AY4">
        <f>IF(OR(AZ4=0,ISNUMBER(MATCH(AZ4,$AZ$1:AZ3,0))),0,MAX($AY$1:AY3)+1)</f>
        <v>0</v>
      </c>
      <c r="AZ4">
        <f>IF('PI-1-MarineLoading'!$G$115&lt;3,0,IF(Tank3!$D$22="no control",0,Tank3!$D$7))</f>
        <v>0</v>
      </c>
      <c r="BA4">
        <f>IFERROR(VLOOKUP(ROW(A3),$AY$2:$AZ$6,2,FALSE),0)</f>
        <v>0</v>
      </c>
      <c r="BC4">
        <f>IF(OR(BD4=0,ISNUMBER(MATCH(BD4,$BD$1:BD3,0))),0,MAX($BC$1:BC3)+1)</f>
        <v>0</v>
      </c>
      <c r="BD4">
        <f>IF('PI-1-MarineLoading'!$G$115&lt;3,0,IF(COUNTIF(Tank3!$D$18,"*floating*")=0,0,Tank3!$D$7))</f>
        <v>0</v>
      </c>
      <c r="BE4">
        <f>IFERROR(VLOOKUP(ROW(A3),$BC$2:$BD$6,2,FALSE),0)</f>
        <v>0</v>
      </c>
      <c r="BG4">
        <f>IF(OR(BH4=0,ISNUMBER(MATCH(BH4,$BH$1:BH3,0))),0,MAX($BG$1:BG3)+1)</f>
        <v>0</v>
      </c>
      <c r="BH4">
        <f>IF('PI-1-MarineLoading'!$G$115&lt;3,0,IF(COUNTIF(Tank3!$D$18,"*floating*")=0,0,IF(ConvenienceLand!$D$47=0,0,ConvenienceLand!$D$48)))</f>
        <v>0</v>
      </c>
      <c r="BI4">
        <f>IFERROR(VLOOKUP(ROW(A3),$BG$2:$BH$6,2,FALSE),0)</f>
        <v>0</v>
      </c>
      <c r="BJ4">
        <f>IFERROR(VLOOKUP($BI4,$BX$2:$BY$7,2),0)</f>
        <v>0</v>
      </c>
      <c r="BL4">
        <f>IF(OR(BM4=0,ISNUMBER(MATCH(BM4,$BM$1:BM3,0))),0,MAX($BL$1:BL3)+1)</f>
        <v>0</v>
      </c>
      <c r="BM4">
        <f>IF('PI-1-MarineLoading'!$G$128&lt;&gt;"yes",0,IF('PI-1-MarineLoading'!$G123&lt;&gt;"yes",0,IF(COUNTIF(TankMSS!$C$14:$D$18,"permanent vapor oxidizer")&gt;0,"permanent vapor oxidizer (FIN "&amp;VaporOxidizer!$D$7&amp;")",0)))</f>
        <v>0</v>
      </c>
      <c r="BN4">
        <f t="shared" si="4"/>
        <v>0</v>
      </c>
      <c r="BP4">
        <f>IF(OR(BQ4=0,ISNUMBER(MATCH(BQ4,$BQ$1:BQ3,0))),0,MAX($BP$1:BP3)+1)</f>
        <v>0</v>
      </c>
      <c r="BQ4">
        <f>IF('PI-1-MarineLoading'!$G$128&lt;&gt;"yes",0,IF('PI-1-MarineLoading'!$G123&lt;&gt;"yes",0,IF(COUNTIF(TankMSS!$C$107:$D$111,"permanent vapor oxidizer")&gt;0,"permanent vapor oxidizer (FIN "&amp;VaporOxidizer!$D$7&amp;")",0)))</f>
        <v>0</v>
      </c>
      <c r="BR4">
        <f t="shared" si="5"/>
        <v>0</v>
      </c>
      <c r="BT4">
        <f>IF(OR(BU4=0,ISNUMBER(MATCH(BU4,$BU$1:BU3,0))),0,MAX($BT$1:BT3)+1)</f>
        <v>0</v>
      </c>
      <c r="BU4">
        <f>IF('PI-1-MarineLoading'!$G$128&lt;&gt;"yes",0,IF('PI-1-MarineLoading'!$G131&lt;&gt;"yes",0,IF((COUNTIF(TankMSS!$C$14:$D$18,"temporary thermal oxidizer")+COUNTIF(TankMSS!$C$107:$D$111,"temporary thermal oxidizer"))&gt;0,"temporary thermal oxidizer (FIN "&amp;MSS!$D$119&amp;")",0)))</f>
        <v>0</v>
      </c>
      <c r="BV4">
        <f>IFERROR(VLOOKUP(ROW(A3),$BT$2:$BU$4,2,FALSE),0)</f>
        <v>0</v>
      </c>
      <c r="BX4" t="s">
        <v>10517</v>
      </c>
      <c r="BY4">
        <f>VaporOxidizer!$D$7</f>
        <v>0</v>
      </c>
      <c r="CA4">
        <f>IF(OR(CB4=0,ISNUMBER(MATCH(CB4,$CB$1:CB3,0))),0,MAX($CA$1:CA3)+1)</f>
        <v>0</v>
      </c>
      <c r="CB4" s="8">
        <f>IF(OR(Tank1!$D$18="EXTERNAL FLOATING ROOF",Tank1!$D$18="INTERNAL FLOATING ROOF"),IF(Tank1!$E34="",0,Tank1!$E34),0)</f>
        <v>0</v>
      </c>
      <c r="CC4" s="8" t="str">
        <f t="shared" si="6"/>
        <v/>
      </c>
      <c r="CD4" s="8"/>
      <c r="CE4" s="8">
        <f>IF(OR(CF4=0,ISNUMBER(MATCH(CF4,$CF$1:CF3,0))),0,MAX($CE$1:CE3)+1)</f>
        <v>0</v>
      </c>
      <c r="CF4" s="8">
        <f>IF(OR(Tank1!$D$18="HORIZONTAL FIXED ROOF",Tank1!$D$18="VERTICAL FIXED ROOF"),IF(Tank1!$E34="",0,Tank1!$E34),0)</f>
        <v>0</v>
      </c>
      <c r="CG4" s="8" t="str">
        <f t="shared" si="7"/>
        <v/>
      </c>
      <c r="CJ4">
        <f>IF(OR(CK4=0,ISNUMBER(MATCH(CK4,$CK$1:CK3,0))),0,MAX($CJ$1:CJ3)+1)</f>
        <v>0</v>
      </c>
      <c r="CK4">
        <f>Tank1!$A$54</f>
        <v>0</v>
      </c>
      <c r="CL4" t="str">
        <f t="shared" si="8"/>
        <v/>
      </c>
      <c r="CM4">
        <f>IFERROR(VLOOKUP($CK4,Tank1!$A$32:$D$141,3,FALSE),0)</f>
        <v>0</v>
      </c>
      <c r="CN4">
        <f>IFERROR(VLOOKUP($CK4,Tank1!$A$32:$D$141,4,FALSE),0)</f>
        <v>0</v>
      </c>
      <c r="CP4">
        <f>IF(OR(CQ4=0,ISNUMBER(MATCH(CQ4,$CQ$1:CQ3,0))),0,MAX($CP$1:CP3)+1)</f>
        <v>0</v>
      </c>
      <c r="CQ4">
        <f>IF('PI-1-MarineLoading'!$G$115&lt;ROW($A3),0,IF(Tank3!$D$25="yes",Tank3!$D$7,0))</f>
        <v>0</v>
      </c>
      <c r="CR4">
        <f>IFERROR(VLOOKUP(ROW(A3),$CP$2:$CQ$6,2,FALSE),0)</f>
        <v>0</v>
      </c>
      <c r="CT4">
        <f>IF(OR(CU4=0,ISNUMBER(MATCH(CU4,$CU$1:CU3,0))),0,MAX($CT$1:CT3)+1)</f>
        <v>0</v>
      </c>
      <c r="CU4">
        <f>IF('PI-1-MarineLoading'!$G$115&lt;ROW($A3),0,IF(Tank3!$D$26="yes",Tank3!$D$7,0))</f>
        <v>0</v>
      </c>
      <c r="CV4">
        <f>IFERROR(VLOOKUP(ROW(A3),$CT$2:$CU$6,2,FALSE),0)</f>
        <v>0</v>
      </c>
      <c r="CX4" t="s">
        <v>9417</v>
      </c>
      <c r="CZ4">
        <f>IF(OR(DA4=0,ISNUMBER(MATCH(DA4,$DA$1:DA3,0))),0,MAX($CZ$1:CZ3)+1)</f>
        <v>0</v>
      </c>
      <c r="DA4">
        <f>IFERROR(VLOOKUP("crude oil, &lt; 1% benzene",Products!$F$59:$F$158,1,FALSE),0)</f>
        <v>0</v>
      </c>
      <c r="DB4">
        <f>IFERROR(VLOOKUP(ROW(A3),$CZ$2:$DA$5,2,FALSE),0)</f>
        <v>0</v>
      </c>
      <c r="DD4">
        <f>IF(OR(DE4=0,ISNUMBER(MATCH(DE4,$DE$1:DE3,0))),0,MAX($DD$1:DD3)+1)</f>
        <v>0</v>
      </c>
      <c r="DE4">
        <f>IF('PI-1-MarineLoading'!$G$118="yes",'Load-Rail'!$F$7,0)</f>
        <v>0</v>
      </c>
      <c r="DF4">
        <f>IFERROR(VLOOKUP(ROW(A3),$DD$2:$DE$6,2,FALSE),0)</f>
        <v>0</v>
      </c>
      <c r="DH4">
        <f>IF(OR(DI4=0,ISNUMBER(MATCH(DI4,$DI$1:DI3,0))),0,MAX($DH$1:DH3)+1)</f>
        <v>0</v>
      </c>
      <c r="DI4">
        <f>IF('PI-1-MarineLoading'!$G$115&lt;ROW($A3),0,IF(Tank3!$D$22="CAS",Tank3!$D$7,0))</f>
        <v>0</v>
      </c>
      <c r="DJ4">
        <f t="shared" si="9"/>
        <v>0</v>
      </c>
      <c r="DM4">
        <f>IF(OR(DN4=0,ISNUMBER(MATCH(DN4,$DN$1:DN3,0))),0,MAX($DM$1:DM3)+1)</f>
        <v>0</v>
      </c>
      <c r="DN4">
        <f>IF(Tank1!$D$22="Flare",IFERROR(VLOOKUP(Products!$A$79,Tank1!$A$32:$B$141,1,FALSE),0),0)</f>
        <v>0</v>
      </c>
      <c r="DO4">
        <f>IF($DN4=0,0,VLOOKUP($DN4,Tank1!$A$32:$H$141,7,FALSE))</f>
        <v>0</v>
      </c>
      <c r="DP4">
        <f>IF($DN4=0,0,VLOOKUP($DN4,Tank1!$A$32:$H$141,8,FALSE))</f>
        <v>0</v>
      </c>
      <c r="DQ4" t="str">
        <f t="shared" si="10"/>
        <v/>
      </c>
      <c r="DR4">
        <f t="shared" si="15"/>
        <v>0</v>
      </c>
      <c r="DS4">
        <f t="shared" si="16"/>
        <v>0</v>
      </c>
      <c r="DU4">
        <f>IF(OR(DV4=0,ISNUMBER(MATCH(DV4,$DV$1:DV3,0))),0,MAX($DU$1:DU3)+1)</f>
        <v>0</v>
      </c>
      <c r="DV4">
        <f>IF(Tank1!$D$22="VCU",IFERROR(VLOOKUP(Products!$A$79,Tank1!$A$32:$B$141,1,FALSE),0),0)</f>
        <v>0</v>
      </c>
      <c r="DW4">
        <f>IF($DV4=0,0,VLOOKUP($DV4,Tank1!$A$32:$H$141,7,FALSE))</f>
        <v>0</v>
      </c>
      <c r="DX4">
        <f>IF($DV4=0,0,VLOOKUP($DV4,Tank1!$A$32:$H$141,8,FALSE))</f>
        <v>0</v>
      </c>
      <c r="DY4" t="str">
        <f t="shared" si="11"/>
        <v/>
      </c>
      <c r="DZ4">
        <f t="shared" si="17"/>
        <v>0</v>
      </c>
      <c r="EA4">
        <f t="shared" si="18"/>
        <v>0</v>
      </c>
      <c r="EC4">
        <f>IF(OR(ED4=0,ISNUMBER(MATCH(ED4,$ED$1:ED3,0))),0,MAX($EC$1:EC3)+1)</f>
        <v>0</v>
      </c>
      <c r="ED4">
        <f>IF(Tank1!$D$22="vapor oxidizer",IFERROR(VLOOKUP(Products!$A$79,Tank1!$A$32:$B$141,1,FALSE),0),0)</f>
        <v>0</v>
      </c>
      <c r="EE4">
        <f>IF($ED4=0,0,VLOOKUP($ED4,Tank1!$A$32:$H$141,7,FALSE))</f>
        <v>0</v>
      </c>
      <c r="EF4">
        <f>IF($ED4=0,0,VLOOKUP($ED4,Tank1!$A$32:$H$141,8,FALSE))</f>
        <v>0</v>
      </c>
      <c r="EG4" t="str">
        <f t="shared" si="12"/>
        <v/>
      </c>
      <c r="EH4">
        <f t="shared" si="19"/>
        <v>0</v>
      </c>
      <c r="EI4">
        <f t="shared" si="20"/>
        <v>0</v>
      </c>
      <c r="EK4">
        <f>IF(OR(EL4=0,ISNUMBER(MATCH(EL4,$EL$1:EL3,0))),0,MAX($EK$1:EK3)+1)</f>
        <v>0</v>
      </c>
      <c r="EL4">
        <f>IF(Tank1!$D$22="CAS",IFERROR(VLOOKUP(Products!A79,Tank1!$A$32:$B$141,1,FALSE),0),0)</f>
        <v>0</v>
      </c>
      <c r="EM4">
        <f>IF($EL4=0,0,VLOOKUP($EL4,Tank1!$A$32:$H$141,7,FALSE))</f>
        <v>0</v>
      </c>
      <c r="EN4">
        <f>IF($EL4=0,0,VLOOKUP($EL4,Tank1!$A$32:$H$141,8,FALSE))</f>
        <v>0</v>
      </c>
      <c r="EO4" t="str">
        <f t="shared" si="13"/>
        <v/>
      </c>
      <c r="EP4">
        <f t="shared" si="21"/>
        <v>0</v>
      </c>
      <c r="EQ4">
        <f t="shared" si="22"/>
        <v>0</v>
      </c>
      <c r="ES4">
        <f>IF(OR(ET4=0,ISNUMBER(MATCH(ET4,$ET$1:ET3,0))),0,MAX($ES$1:ES3)+1)</f>
        <v>0</v>
      </c>
      <c r="ET4">
        <f>IF(OR(Fug!$F23="",Fug!$F23="N/A"),0,Fug!$F23)</f>
        <v>0</v>
      </c>
      <c r="EU4">
        <f t="shared" si="14"/>
        <v>0</v>
      </c>
      <c r="EX4">
        <f>MSS!$A37</f>
        <v>0</v>
      </c>
      <c r="EY4">
        <f>MSS!$G37*MSS!F$144</f>
        <v>0</v>
      </c>
      <c r="EZ4">
        <f>MSS!$G37*MSS!G$144</f>
        <v>0</v>
      </c>
      <c r="FB4" s="8" t="s">
        <v>361</v>
      </c>
      <c r="FC4" s="8" t="s">
        <v>362</v>
      </c>
      <c r="FD4" s="8">
        <v>100</v>
      </c>
      <c r="FE4" s="8">
        <v>10</v>
      </c>
      <c r="FG4" s="360" t="str">
        <f t="shared" si="23"/>
        <v/>
      </c>
      <c r="FH4" s="155">
        <f>IF(Tank1!$D$22="NO CONTROL",_xlfn.MAXIFS(Tank1!$G$32:$G$141,Tank1!$E$32:$E$141,$FG4),0)*IFERROR($QR$3,0)</f>
        <v>0</v>
      </c>
      <c r="FI4" s="155">
        <f>_xlfn.MAXIFS(LandEmiss!$AF$20:$AF$119,LandEmiss!$AE$20:$AE$119,$FG4)*IFERROR($QR$3,0)</f>
        <v>0</v>
      </c>
      <c r="FJ4" s="155">
        <f>MAX(_xlfn.MAXIFS(LandEmiss!$CO$20:$CO$119,LandEmiss!$CN$20:$CN$119,$FG4),_xlfn.MAXIFS(LandEmiss!$EZ$9:$EZ$108,LandEmiss!$EY$9:$EY$108,$FG4))*IFERROR($QR$3,0)</f>
        <v>0</v>
      </c>
      <c r="FK4" s="155">
        <f>IF(Tank2!$D$22="NO CONTROL",_xlfn.MAXIFS(Tank2!$G$32:$G$141,Tank2!$E$32:$E$141,$FG4),0)*IFERROR($QR$4,0)</f>
        <v>0</v>
      </c>
      <c r="FL4" s="155">
        <f>_xlfn.MAXIFS(LandEmiss!$AG$20:$AG$119,LandEmiss!$AE$20:$AE$119,$FG4)*IFERROR($QR$4,0)</f>
        <v>0</v>
      </c>
      <c r="FM4" s="155">
        <f>MAX(_xlfn.MAXIFS(LandEmiss!$CP$20:$CP$119,LandEmiss!$CN$20:$CN$119,$FG4),_xlfn.MAXIFS(LandEmiss!$FA$9:$FA$108,LandEmiss!$EY$9:$EY$108,$FG4))*IFERROR($QR$4,0)</f>
        <v>0</v>
      </c>
      <c r="FN4" s="155">
        <f>IF(Tank3!$D$22="NO CONTROL",_xlfn.MAXIFS(Tank3!$G$32:$G$141,Tank3!$E$32:$E$141,$FG4),0)*IFERROR($QR$5,0)</f>
        <v>0</v>
      </c>
      <c r="FO4" s="155">
        <f>_xlfn.MAXIFS(LandEmiss!$AH$20:$AH$119,LandEmiss!$AE$20:$AE$119,$FG4)*IFERROR($QR$5,0)</f>
        <v>0</v>
      </c>
      <c r="FP4" s="155">
        <f>MAX(_xlfn.MAXIFS(LandEmiss!$CQ$20:$CQ$119,LandEmiss!$CN$20:$CN$119,$FG4),_xlfn.MAXIFS(LandEmiss!$FB$9:$FB$108,LandEmiss!$EY$9:$EY$108,$FG4))*IFERROR($QR$5,0)</f>
        <v>0</v>
      </c>
      <c r="FQ4" s="155">
        <f>IF(Tank4!$D$22="NO CONTROL",_xlfn.MAXIFS(Tank4!$G$32:$G$141,Tank4!$E$32:$E$141,$FG4),0)*IFERROR($QR$6,0)</f>
        <v>0</v>
      </c>
      <c r="FR4" s="155">
        <f>_xlfn.MAXIFS(LandEmiss!$AI$20:$AI$119,LandEmiss!$AE$20:$AE$119,$FG4)*IFERROR($QR$6,0)</f>
        <v>0</v>
      </c>
      <c r="FS4" s="155">
        <f>MAX(_xlfn.MAXIFS(LandEmiss!$CR$20:$CR$119,LandEmiss!$CN$20:$CN$119,$FG4),_xlfn.MAXIFS(LandEmiss!$FC$9:$FC$108,LandEmiss!$EY$9:$EY$108,$FG4))*IFERROR($QR$6,0)</f>
        <v>0</v>
      </c>
      <c r="FT4" s="155">
        <f>IF(Tank5!$D$22="NO CONTROL",_xlfn.MAXIFS(Tank5!$G$32:$G$141,Tank5!$E$32:$E$141,$FG4),0)*IFERROR($QR$7,0)</f>
        <v>0</v>
      </c>
      <c r="FU4" s="155">
        <f>_xlfn.MAXIFS(LandEmiss!$AJ$20:$AJ$119,LandEmiss!$AE$20:$AE$119,$FG4)*IFERROR($QR$7,0)</f>
        <v>0</v>
      </c>
      <c r="FV4" s="155">
        <f>MAX(_xlfn.MAXIFS(LandEmiss!$CS$20:$CS$119,LandEmiss!$CN$20:$CN$119,$FG4),_xlfn.MAXIFS(LandEmiss!$FD$9:$FD$108,LandEmiss!$EY$9:$EY$108,$FG4))*IFERROR($QR9,0)</f>
        <v>0</v>
      </c>
      <c r="FW4" s="155">
        <f>_xlfn.MAXIFS('Load-DrumTote'!$K$27:$K$136,'Load-DrumTote'!$F$27:$F$136,$FG4)*IFERROR($QR$8,0)</f>
        <v>0</v>
      </c>
      <c r="FX4" s="155">
        <f>_xlfn.MAXIFS('Load-Truck'!$K$27:$K$136,'Load-Truck'!$F$27:$F$136,$FG4)*IFERROR($QR$9,0)</f>
        <v>0</v>
      </c>
      <c r="FY4" s="155">
        <f>_xlfn.MAXIFS('Load-Rail'!$K$27:$K$136,'Load-Rail'!$F$27:$F$136,$FG4)*IFERROR($QR$10,0)</f>
        <v>0</v>
      </c>
      <c r="FZ4" s="155">
        <f>_xlfn.MAXIFS('Load-MarineBarge'!$K$27:$K$136,'Load-MarineBarge'!$F$27:$F$136,$FG4)*IFERROR($QR$11,0)</f>
        <v>0</v>
      </c>
      <c r="GA4" s="155">
        <f>_xlfn.MAXIFS('Load-MarineShip'!$K$27:$K$136,'Load-MarineShip'!$F$27:$F$136,$FG4)*IFERROR($QR$12,0)</f>
        <v>0</v>
      </c>
      <c r="GB4" s="313">
        <f>IF(OR(Flare!$D$24="fuel gas",Flare!$D$38="fuel gas"),SUMIF(Flare!$E$97:$E$106,$FG4,Flare!$F$97:$F$106),0)*IFERROR($QR$13,0)</f>
        <v>0</v>
      </c>
      <c r="GC4" s="313">
        <f>(_xlfn.MAXIFS(CtrlDevImpacts!$I$57:$I$156,CtrlDevImpacts!$H$57:$H$156,$FG4))*IFERROR($QR$13,0)</f>
        <v>0</v>
      </c>
      <c r="GD4" s="313">
        <f>(_xlfn.MAXIFS(Flare!$F$107:$F$216,Flare!$E$107:$E$216,$FG4)-_xlfn.MAXIFS(CtrlDevImpacts!$I$57:$I$156,CtrlDevImpacts!$H$57:$H$156,$FG4))*IFERROR($QR$13,0)</f>
        <v>0</v>
      </c>
      <c r="GE4" s="155">
        <f>_xlfn.MAXIFS(LandEmiss!$B$335:$B$434,LandEmiss!$A$335:$A$434,$FG4)*IFERROR($QR$13,0)</f>
        <v>0</v>
      </c>
      <c r="GF4" s="155">
        <f>(_xlfn.MAXIFS(LandEmiss!$BK$335:$BK$434,LandEmiss!$BJ$335:$BJ$434,$FG4)+_xlfn.MAXIFS(LandEmiss!$DV$323:$DV$422,LandEmiss!$DU$323:$DU$422,$FG4))*IFERROR($QR$13,0)</f>
        <v>0</v>
      </c>
      <c r="GG4" s="313">
        <f>IF(OR(VCU!$D$26="fuel gas",VCU!$D$42="fuel gas"),SUMIF(VCU!$E$120:$E$129,$FG4,VCU!$F$120:$F$129),0)*IFERROR($QR$14,0)</f>
        <v>0</v>
      </c>
      <c r="GH4" s="313">
        <f>(_xlfn.MAXIFS(CtrlDevImpacts!$X$57:$X$156,CtrlDevImpacts!$W$57:$W$156,$FG4))*IFERROR($QR$14,0)</f>
        <v>0</v>
      </c>
      <c r="GI4" s="313">
        <f>(_xlfn.MAXIFS(VCU!$F$130:$F$239,VCU!$E$130:$E$239,$FG4)-_xlfn.MAXIFS(CtrlDevImpacts!$X$57:$X$156,CtrlDevImpacts!$W$57:$W$156,$FG4))*IFERROR($QR$14,0)</f>
        <v>0</v>
      </c>
      <c r="GJ4" s="155">
        <f>_xlfn.MAXIFS(LandEmiss!$D$335:$D$434,LandEmiss!$A$335:$A$434,$FG4)*IFERROR($QR$14,0)</f>
        <v>0</v>
      </c>
      <c r="GK4" s="155">
        <f>(_xlfn.MAXIFS(LandEmiss!$BM$335:$BM$434,LandEmiss!$BJ$335:$BJ$434,$FG4)+_xlfn.MAXIFS(LandEmiss!$DX$323:$DX$422,LandEmiss!$DU$323:$DU$422,$FG4))*IFERROR($QR$14,0)</f>
        <v>0</v>
      </c>
      <c r="GL4" s="313">
        <f>IF(VaporOxidizer!D35="FUEL GAS",SUMIF(VaporOxidizer!$E$101:$E$110,$FG4,VaporOxidizer!$F$101:$F$110),0)*IFERROR($QR$15,0)</f>
        <v>0</v>
      </c>
      <c r="GM4" s="313">
        <f>(_xlfn.MAXIFS(CtrlDevImpacts!$AN$57:$AN$156,CtrlDevImpacts!$AM$57:$AM$156,$FG4))*IFERROR($QR$15,0)</f>
        <v>0</v>
      </c>
      <c r="GN4" s="313">
        <f>(_xlfn.MAXIFS(VaporOxidizer!$F$111:$F$220,VaporOxidizer!$E$111:$E$220,$FG4)-_xlfn.MAXIFS(CtrlDevImpacts!$AN$57:$AN$156,CtrlDevImpacts!$AM$57:$AM$156,$FG4))*IFERROR($QR$15,0)</f>
        <v>0</v>
      </c>
      <c r="GO4" s="155">
        <f>_xlfn.MAXIFS(LandEmiss!$F$335:$F$434,LandEmiss!$A$335:$A$434,$FG4)*IFERROR($QR$15,0)</f>
        <v>0</v>
      </c>
      <c r="GP4" s="155">
        <f>(_xlfn.MAXIFS(LandEmiss!$BK$335:$BK$434,LandEmiss!$BO$335:$BO$434,$FG4)+_xlfn.MAXIFS(LandEmiss!$DZ$323:$DZ$422,LandEmiss!$DU$323:$DU$422,$FG4))*IFERROR($QR$15,0)</f>
        <v>0</v>
      </c>
      <c r="GQ4" s="313">
        <f>_xlfn.MAXIFS(CtrlDevImpacts!$BD$57:$BD$156,CtrlDevImpacts!$BC$57:$BC$156,$FG4)*IFERROR(Hidden!$QR$16,0)</f>
        <v>0</v>
      </c>
      <c r="GR4" s="313">
        <f>(_xlfn.MAXIFS(CAS!$H$35:$H$144,CAS!$E$35:$E$144,$FG4)-_xlfn.MAXIFS(CtrlDevImpacts!$BD$57:$BD$156,CtrlDevImpacts!$BC$57:$BC$156,$FG4))*IFERROR(Hidden!$QR$16,0)</f>
        <v>0</v>
      </c>
      <c r="GS4" s="155">
        <f>_xlfn.MAXIFS(LandEmiss!$H$335:$H$434,LandEmiss!$A$335:$A$434,$FG4)*IFERROR($QR$27,0)</f>
        <v>0</v>
      </c>
      <c r="GT4" s="155">
        <f>(_xlfn.MAXIFS(LandEmiss!$BK$335:$BK$434,LandEmiss!$BQ$335:$BQ$434,$FG4)+_xlfn.MAXIFS(LandEmiss!$EB$323:$EB$422,LandEmiss!$DU$323:$DU$422,$FG4))*IFERROR($QR$27,0)</f>
        <v>0</v>
      </c>
      <c r="GU4" s="155">
        <f>_xlfn.MAXIFS(LandEmiss!$J$335:$J$434,LandEmiss!$A$335:$A$434,$FG4)*IFERROR($QR$26,0)</f>
        <v>0</v>
      </c>
      <c r="GV4" s="155">
        <f>(_xlfn.MAXIFS(LandEmiss!$BK$335:$BK$434,LandEmiss!$BS$335:$BS$434,$FG4)+_xlfn.MAXIFS(LandEmiss!$ED$323:$ED$422,LandEmiss!$DU$323:$DU$422,$FG4))*IFERROR($QR$26,0)</f>
        <v>0</v>
      </c>
      <c r="GW4" s="155">
        <f>_xlfn.MAXIFS(LandEmiss!$L$335:$L$434,LandEmiss!$A$335:$A$434,$FG4)*IFERROR($QR$25,0)</f>
        <v>0</v>
      </c>
      <c r="GX4" s="155">
        <f>(_xlfn.MAXIFS(LandEmiss!$BK$335:$BK$434,LandEmiss!$BU$335:$BU$434,$FG4)+_xlfn.MAXIFS(LandEmiss!$EF$323:$EF$422,LandEmiss!$DU$323:$DU$422,$FG4))*IFERROR($QR$25,0)</f>
        <v>0</v>
      </c>
      <c r="GY4" s="155">
        <v>0</v>
      </c>
      <c r="GZ4" s="155">
        <v>0</v>
      </c>
      <c r="HA4" s="155">
        <f>IF(OR(HeaterBoiler1!$E$26&lt;&gt;"fuel gas",HeaterBoiler1!$E$15&lt;&gt;"heater"),0,SUMIF(HeaterBoiler1!$A$54:$D$63,$FG4,HeaterBoiler1!$I$54:$I$63))*IFERROR($QR$19,0)</f>
        <v>0</v>
      </c>
      <c r="HB4" s="207">
        <f>IF(OR(HeaterBoiler2!$E$26&lt;&gt;"fuel gas",HeaterBoiler2!$E$15&lt;&gt;"heater"),0,SUMIF(HeaterBoiler2!$A$54:$D$63,$FG4,HeaterBoiler2!$I$54:$I$63))*IFERROR($QR$21,0)</f>
        <v>0</v>
      </c>
      <c r="HC4" s="155">
        <f>IF(OR(HeaterBoiler1!$E$26&lt;&gt;"fuel gas",HeaterBoiler1!$E$15&lt;&gt;"boiler"),0,SUMIF(HeaterBoiler1!$A$41:$A$50,$FG4,HeaterBoiler1!$F$41:$F$50))*IFERROR($QR$20,0)</f>
        <v>0</v>
      </c>
      <c r="HD4" s="207">
        <f>IF(OR(HeaterBoiler2!$E$26&lt;&gt;"fuel gas",HeaterBoiler2!$E$15&lt;&gt;"boiler"),0,SUMIF(HeaterBoiler2!$A$41:$A$50,$FG4,HeaterBoiler2!$F$41:$F$50))*IFERROR($QR$22,0)</f>
        <v>0</v>
      </c>
      <c r="HE4" s="155">
        <f>SUMIF(Fug!$A$96:$A$205,$FG4,Fug!$I$96:$I$205)*IFERROR(Hidden!$QR$23,0)</f>
        <v>0</v>
      </c>
      <c r="HF4" s="155">
        <f t="shared" si="24"/>
        <v>0</v>
      </c>
      <c r="HG4" s="156">
        <f t="shared" si="25"/>
        <v>0</v>
      </c>
      <c r="HH4" s="156">
        <f t="shared" si="26"/>
        <v>0</v>
      </c>
      <c r="HI4" s="156">
        <f t="shared" si="27"/>
        <v>0</v>
      </c>
      <c r="HJ4" s="156">
        <f t="shared" si="28"/>
        <v>0</v>
      </c>
      <c r="HK4" s="156">
        <f t="shared" si="29"/>
        <v>0</v>
      </c>
      <c r="HL4" s="156">
        <f t="shared" si="30"/>
        <v>0</v>
      </c>
      <c r="NO4" s="155">
        <f>IF(Tank1!$D$22="No control",(SUMIF(Tank1!$E$32:$E$141,$FG4,Tank1!$H$32:$H$141)*(2000/8760)*IFERROR($QV$3,0)),0)</f>
        <v>0</v>
      </c>
      <c r="NP4" s="156">
        <f>SUMIF(LandEmiss!$AE$20:$AE$119,$FG4,LandEmiss!$AK$20:$AK$119)*(2000/8760)*IFERROR($QV$3,0)</f>
        <v>0</v>
      </c>
      <c r="NQ4" s="156">
        <f>(SUMIF(LandEmiss!$CN$20:$CN$119,$FG4,LandEmiss!$CT$20:$CT$119)+SUMIF(LandEmiss!$EY$9:$EY$108,$FG4,LandEmiss!$FE$9:$FE$108))*IFERROR($QV$3,0)*(2000/8760)</f>
        <v>0</v>
      </c>
      <c r="NR4" s="155">
        <f>IF(Tank2!$D$22="No control",(SUMIF(Tank2!$E$32:$E$141,$FG4,Tank2!$H$32:$H$141)*(2000/8760)*IFERROR($QV$4,0)),0)</f>
        <v>0</v>
      </c>
      <c r="NS4" s="156">
        <f>SUMIF(LandEmiss!$AE$20:$AE$119,$FG4,LandEmiss!$AL$20:$AL$119)*(2000/8760)*IFERROR($QV$4,0)</f>
        <v>0</v>
      </c>
      <c r="NT4" s="156">
        <f>(SUMIF(LandEmiss!$CN$20:$CN$119,$FG4,LandEmiss!$CU$20:$CU$119)+SUMIF(LandEmiss!$EY$9:$EY$108,$FG4,LandEmiss!$FF$9:$FF$108))*IFERROR($QV$4,0)*(2000/8760)</f>
        <v>0</v>
      </c>
      <c r="NU4" s="155">
        <f>IF(Tank3!$D$22="No control",(SUMIF(Tank3!$E$32:$E$141,$FG4,Tank3!$H$32:$H$141)*(2000/8760)*IFERROR($QV$5,0)),0)</f>
        <v>0</v>
      </c>
      <c r="NV4" s="156">
        <f>SUMIF(LandEmiss!$AE$20:$AE$119,$FG4,LandEmiss!$AM$20:$AM$119)*(2000/8760)*IFERROR($QV$5,0)</f>
        <v>0</v>
      </c>
      <c r="NW4" s="156">
        <f>(SUMIF(LandEmiss!$CN$20:$CN$119,$FG4,LandEmiss!$CV$20:$CV$119)+SUMIF(LandEmiss!$EY$9:$EY$108,$FG4,LandEmiss!$FG$9:$FG$108))*IFERROR($QV$5,0)*(2000/8760)</f>
        <v>0</v>
      </c>
      <c r="NX4" s="155">
        <f>IF(Tank4!$D$22="No control",(SUMIF(Tank4!$E$32:$E$141,$FG4,Tank4!$H$32:$H$141)*(2000/8760)*IFERROR($QV$6,0)),0)</f>
        <v>0</v>
      </c>
      <c r="NY4" s="156">
        <f>SUMIF(LandEmiss!$AE$20:$AE$119,$FG4,LandEmiss!$AN$20:$AN$119)*(2000/8760)*IFERROR($QV$6,0)</f>
        <v>0</v>
      </c>
      <c r="NZ4" s="156">
        <f>(SUMIF(LandEmiss!$CN$20:$CN$119,$FG4,LandEmiss!$CW$20:$CW$119)+SUMIF(LandEmiss!$EY$9:$EY$108,$FG4,LandEmiss!$FH$9:$FH$108))*IFERROR($QV$6,0)*(2000/8760)</f>
        <v>0</v>
      </c>
      <c r="OA4" s="155">
        <f>IF(Tank5!$D$22="No control",(SUMIF(Tank5!$E$32:$E$141,$FG4,Tank5!$H$32:$H$141)*(2000/8760)*IFERROR($QV$7,0)),0)</f>
        <v>0</v>
      </c>
      <c r="OB4" s="156">
        <f>SUMIF(LandEmiss!$AE$20:$AE$119,$FG4,LandEmiss!$AO$20:$AO$119)*(2000/8760)*IFERROR($QV$7,0)</f>
        <v>0</v>
      </c>
      <c r="OC4" s="156">
        <f>(SUMIF(LandEmiss!$CN$20:$CN$119,$FG4,LandEmiss!$CX$20:$CX$119)+SUMIF(LandEmiss!$EY$9:$EY$108,$FG4,LandEmiss!$FI$9:$FI$108))*IFERROR($QV$7,0)*(2000/8760)</f>
        <v>0</v>
      </c>
      <c r="OD4" s="155">
        <f>SUMIFS('Load-DrumTote'!$L$27:$L$136,'Load-DrumTote'!$F$27:$F$136,$FG4)*IFERROR($QV$8,0)*(2000/8760)</f>
        <v>0</v>
      </c>
      <c r="OE4" s="155">
        <f>SUMIFS('Load-Truck'!$L$27:$L$136,'Load-Truck'!$F$27:$F$136,$FG4)*IFERROR($QV$9,0)*(2000/8760)</f>
        <v>0</v>
      </c>
      <c r="OF4" s="155">
        <f>SUMIFS('Load-Rail'!$L$27:$L$136,'Load-Rail'!$F$27:$F$136,$FG4)*IFERROR($QV$10,0)*(2000/8760)</f>
        <v>0</v>
      </c>
      <c r="OG4" s="155">
        <f>SUMIFS('Load-MarineBarge'!$L$27:$L$136,'Load-MarineBarge'!$F$27:$F$136,$FG4)*IFERROR($QV$11,0)*(2000/8760)</f>
        <v>0</v>
      </c>
      <c r="OH4" s="155">
        <f>SUMIFS('Load-MarineShip'!$L$27:$L$136,'Load-MarineShip'!$F$27:$F$136,$FG4)*IFERROR($QV$12,0)*(2000/8760)</f>
        <v>0</v>
      </c>
      <c r="OI4" s="155">
        <f>(IF(OR(Flare!$D$24="FUEL GAS",Flare!$D$38="FUEL GAS"),SUMIF(Flare!$E$97:$E$106,$FG4,Flare!$G$97:$G$105),0)+SUMIF(Flare!$E$107:$E$216,$FG4,Flare!$G$107:$G$216))*(2000/8730)*IFERROR($QV$13,0)</f>
        <v>0</v>
      </c>
      <c r="OJ4" s="155">
        <f>SUMIF(LandEmiss!$A$335:$A$434,$FG4,LandEmiss!$C$335:$C$434)*(2000/8760)*IFERROR($QV$13,0)</f>
        <v>0</v>
      </c>
      <c r="OK4" s="155">
        <f>(SUMIF(LandEmiss!$BJ$335:$BJ$434,$FG4,LandEmiss!$BL$335:$BL$434)+SUMIF(LandEmiss!$DU$323:$DU$422,$FG4,LandEmiss!$DW$323:$DW$422))*(2000/8760)*IFERROR($QV$13,0)</f>
        <v>0</v>
      </c>
      <c r="OL4" s="155">
        <f>(IF(OR(VCU!$D$26="FUEL GAS",VCU!$D$42="FUEL GAS"),SUMIF(VCU!$E$120:$E$129,$FG4,VCU!$G$120:$G$129),0)+SUMIF(VCU!$E$130:$E$239,$FG4,VCU!G132:G241))*(2000/8760)*IFERROR($QV$14,0)</f>
        <v>0</v>
      </c>
      <c r="OM4" s="155">
        <f>SUMIF(LandEmiss!$A$335:$A$434,$FG4,LandEmiss!$E$335:$E$434)*(2000/8760)*IFERROR($QV$14,0)</f>
        <v>0</v>
      </c>
      <c r="ON4" s="155">
        <f>(SUMIF(LandEmiss!$BJ$335:$BJ$434,$FG4,LandEmiss!$BN$335:$BN$434)+SUMIF(LandEmiss!$DU$323:$DU$422,$FG4,LandEmiss!$DY$323:$DY$422))*(2000/8760)*IFERROR($QV$14,0)</f>
        <v>0</v>
      </c>
      <c r="OO4" s="155">
        <f>(IF(VaporOxidizer!$D$33="FUEL GAS",SUMIF(VaporOxidizer!$E$101:$E$110,$FG4,VaporOxidizer!$G$101:$G$110),0)+SUMIF(VaporOxidizer!$E$111:$E$220,$FG4,VaporOxidizer!$G$111:$G$220))*(2000/8760)*IFERROR($QV$15,0)</f>
        <v>0</v>
      </c>
      <c r="OP4" s="155">
        <f>SUMIF(LandEmiss!$A$335:$A$434,$FG4,LandEmiss!$G$335:$G$434)*(2000/8760)*IFERROR($QV$15,0)</f>
        <v>0</v>
      </c>
      <c r="OQ4" s="155">
        <f>(SUMIF(LandEmiss!$BJ$335:$BJ$434,$FG4,LandEmiss!$BP$335:$BP$434)+SUMIF(LandEmiss!$DU$323:$DU$422,$FG4,LandEmiss!$EA$323:$EA$422))*(2000/8760)*IFERROR($QV$15,0)</f>
        <v>0</v>
      </c>
      <c r="OR4" s="155">
        <f>SUMIF(CAS!$E$35:$E$144,Hidden!$FG4,CAS!$I$35:$I$144)*IFERROR($QV$16,0)*(2000/8760)</f>
        <v>0</v>
      </c>
      <c r="OS4" s="155">
        <f>SUMIF(LandEmiss!$A$335:$A$434,$FG4,LandEmiss!$I$335:$I$434)*(2000/8760)*IFERROR($QV$27,0)</f>
        <v>0</v>
      </c>
      <c r="OT4" s="155">
        <f>(SUMIF(LandEmiss!$BJ$335:$BJ$434,$FG4,LandEmiss!$BR$335:$BR$434)+SUMIF(LandEmiss!$DU$323:$DU$422,$FG4,LandEmiss!$EC$323:$EC$422))*(2000/8760)*IFERROR($QV$27,0)</f>
        <v>0</v>
      </c>
      <c r="OU4" s="155">
        <f>SUMIF(LandEmiss!$A$335:$A$434,$FG4,LandEmiss!$K$335:$K$434)*(2000/8760)*IFERROR($QV$26,0)</f>
        <v>0</v>
      </c>
      <c r="OV4" s="155">
        <f>(SUMIF(LandEmiss!$BJ$335:$BJ$434,$FG4,LandEmiss!$BT$335:$BT$434)+SUMIF(LandEmiss!$DU$323:$DU$422,$FG4,LandEmiss!$EE$323:$EE$422))*(2000/8760)*IFERROR($QV$26,0)</f>
        <v>0</v>
      </c>
      <c r="OW4" s="155">
        <f>SUMIF(LandEmiss!$A$335:$A$434,$FG4,LandEmiss!$M$335:$M$434)*(2000/8760)*IFERROR($QV$25,0)</f>
        <v>0</v>
      </c>
      <c r="OX4" s="155">
        <f>(SUMIF(LandEmiss!$BJ$335:$BJ$434,$FG4,LandEmiss!$BV$335:$BV$434)+SUMIF(LandEmiss!$DU$323:$DU$422,$FG4,LandEmiss!$EG$323:$EG$422))*(2000/8760)*IFERROR($QV$25,0)</f>
        <v>0</v>
      </c>
      <c r="OY4" s="8">
        <v>0</v>
      </c>
      <c r="OZ4" s="207">
        <v>0</v>
      </c>
      <c r="PA4" s="207">
        <f>IF(OR(HeaterBoiler1!$E$26&lt;&gt;"fuel gas",HeaterBoiler1!$E$15&lt;&gt;"heater"),0,(SUMIF(HeaterBoiler1!$A$54:$D$63,$FG4,HeaterBoiler1!$J$54:$J$63))*(2000/8760))*IFERROR($QV$19,0)</f>
        <v>0</v>
      </c>
      <c r="PB4" s="207">
        <f>IF(OR(HeaterBoiler2!$E$26&lt;&gt;"fuel gas",HeaterBoiler2!$E$15&lt;&gt;"heater"),0,(SUMIF(HeaterBoiler2!$A$54:$D$63,$FG4,HeaterBoiler2!$J$54:$J$63))*(2000/8760))*IFERROR($QV$21,0)</f>
        <v>0</v>
      </c>
      <c r="PC4" s="207">
        <f>IF(OR(HeaterBoiler1!$E$26&lt;&gt;"fuel gas",HeaterBoiler1!$E$15&lt;&gt;"boiler"),0,(SUMIF(HeaterBoiler1!$A$54:$D$63,$FG4,HeaterBoiler1!$J$54:$J$63))*(2000/8760))*IFERROR($QV$20,0)</f>
        <v>0</v>
      </c>
      <c r="PD4" s="207">
        <f>IF(OR(HeaterBoiler2!$E$26&lt;&gt;"fuel gas",HeaterBoiler2!$E$15&lt;&gt;"boiler"),0,(SUMIF(HeaterBoiler2!$A$54:$D$63,$FG4,HeaterBoiler2!$J$54:$J$63))*(2000/8760))*IFERROR($QV$22,0)</f>
        <v>0</v>
      </c>
      <c r="PE4" s="8">
        <f>(SUMIF(Fug!$A$96:$A$205,$FG4,Fug!$J$96:$J$205))*IFERROR($QV$23,0)*(2000/8760)</f>
        <v>0</v>
      </c>
      <c r="PF4" s="8">
        <f t="shared" si="31"/>
        <v>0</v>
      </c>
      <c r="PG4" s="156">
        <f t="shared" si="32"/>
        <v>0</v>
      </c>
      <c r="PJ4" s="52" t="str">
        <f>IF(Fug!$F$16=Hidden!$PP$2,"Valves-DTM","Valves")</f>
        <v>Valves</v>
      </c>
      <c r="PK4" s="52" t="str">
        <f>IF(Fug!$F$16=Hidden!$PP$2,"Gas [4]","Light Liquid")</f>
        <v>Light Liquid</v>
      </c>
      <c r="PL4" s="52">
        <v>8.8999999999999999E-3</v>
      </c>
      <c r="PM4" s="52">
        <v>3.5000000000000001E-3</v>
      </c>
      <c r="PN4" s="52">
        <v>4.5900000000000003E-2</v>
      </c>
      <c r="PO4" s="52">
        <v>3.6000000000000002E-4</v>
      </c>
      <c r="PP4" s="52">
        <v>9.92E-3</v>
      </c>
      <c r="PQ4" s="52">
        <v>5.5000000000000003E-4</v>
      </c>
      <c r="PR4" s="52">
        <v>1.99E-6</v>
      </c>
      <c r="PS4" s="52">
        <v>3.14E-3</v>
      </c>
      <c r="PT4" s="52" t="s">
        <v>8770</v>
      </c>
      <c r="PU4" s="52" t="s">
        <v>8771</v>
      </c>
      <c r="PV4" s="52">
        <v>0</v>
      </c>
      <c r="PW4" s="52">
        <v>0</v>
      </c>
      <c r="PX4" s="52">
        <v>0</v>
      </c>
      <c r="PY4" s="52">
        <v>0</v>
      </c>
      <c r="PZ4" s="52">
        <v>0</v>
      </c>
      <c r="QA4" s="52">
        <v>0</v>
      </c>
      <c r="QB4" s="52" t="s">
        <v>8768</v>
      </c>
      <c r="QC4" s="52" t="s">
        <v>8802</v>
      </c>
      <c r="QD4" s="52">
        <v>0</v>
      </c>
      <c r="QE4" s="52">
        <v>0.97</v>
      </c>
      <c r="QF4" s="52">
        <v>0.97</v>
      </c>
      <c r="QG4" s="52">
        <v>0.97</v>
      </c>
      <c r="QH4" s="52">
        <v>0</v>
      </c>
      <c r="QI4" s="52">
        <v>0.97</v>
      </c>
      <c r="QK4" s="95" t="s">
        <v>9109</v>
      </c>
      <c r="QM4" s="16" t="s">
        <v>8707</v>
      </c>
      <c r="QN4" s="104" t="e">
        <f>$QN$3</f>
        <v>#N/A</v>
      </c>
      <c r="QO4" s="104">
        <f>Tank2!D16</f>
        <v>0</v>
      </c>
      <c r="QP4" s="104">
        <f>Tank2!D15</f>
        <v>0</v>
      </c>
      <c r="QQ4" s="16" t="str">
        <f>IF(QO4&lt;30,$QX$4,IF(QO4&lt;35,$QX$5,IF(QO4&lt;40,$QX$6,IF(QO4&lt;45,$QX$7,IF(QO4&lt;50,$QX$8,$QX$9)))))</f>
        <v>TANK12</v>
      </c>
      <c r="QR4" s="16" t="e">
        <f t="shared" si="33"/>
        <v>#N/A</v>
      </c>
      <c r="QS4" s="16" t="e">
        <f t="shared" si="34"/>
        <v>#N/A</v>
      </c>
      <c r="QT4" s="16" t="e">
        <f t="shared" ref="QT4:QT24" si="35">IF(QN4=10,VLOOKUP(QQ4,$RR$2:$SA$31,MATCH(QP4,$RR$2:$SA$2,1),FALSE),IF(QN4=12,VLOOKUP(QQ4,$RR$33:$SA$62,MATCH(QP4,$RR$33:$SA$33,1),FALSE),IF(QN4=14,VLOOKUP(QQ4,$RR$64:$SA$94,MATCH(QP4,$RR$64:$SA$64,1),FALSE),IF(QN4=15,VLOOKUP(QQ4,$RR$96:$SA$125,MATCH(QP4,$RR$96:$SA$96,1),FALSE)))))</f>
        <v>#N/A</v>
      </c>
      <c r="QU4" s="16" t="e">
        <f t="shared" ref="QU4:QU24" si="36">IF(QN4=10,VLOOKUP(QQ4,$SB$2:$SK$31,MATCH(QP4,$SB$2:$SK$2,1),FALSE),IF(QN4=12,VLOOKUP(QQ4,$SB$33:$SK$62,MATCH(QP4,$SB$33:$SK$33,1),FALSE),IF(QN4=14,VLOOKUP(QQ4,$SB$64:$SK$94,MATCH(QP4,$SB$64:$SK$64,1),FALSE),IF(QN4=15,VLOOKUP(QQ4,$SB$96:$SK$125,MATCH(QP4,$SB$96:$SK$96,1),FALSE)))))</f>
        <v>#N/A</v>
      </c>
      <c r="QV4" s="16" t="e">
        <f t="shared" ref="QV4:QV24" si="37">IF(QN4=10,VLOOKUP(QQ4,$SL$2:$SU$31,MATCH(QP4,$SL$2:$SU$2,1),FALSE),IF(QN4=12,VLOOKUP(QQ4,$SL$33:$SU$62,MATCH(QP4,$SL$33:$SU$33,1),FALSE),IF(QN4=14,VLOOKUP(QQ4,$SL$64:$SU$94,MATCH(QP4,$SL$64:$SU$64,1),FALSE),IF(QN4=15,VLOOKUP(QQ4,$SL$96:$SU$125,MATCH(QP4,$SL$96:$SU$96,1),FALSE)))))</f>
        <v>#N/A</v>
      </c>
      <c r="QX4" s="89" t="s">
        <v>9313</v>
      </c>
      <c r="QY4">
        <v>3584.7</v>
      </c>
      <c r="QZ4">
        <v>2448</v>
      </c>
      <c r="RA4">
        <v>1279.3</v>
      </c>
      <c r="RB4">
        <v>765.8</v>
      </c>
      <c r="RC4">
        <v>553.5</v>
      </c>
      <c r="RD4">
        <v>419.8</v>
      </c>
      <c r="RE4">
        <v>336.3</v>
      </c>
      <c r="RF4">
        <v>209.6</v>
      </c>
      <c r="RG4" s="90">
        <v>145.4</v>
      </c>
      <c r="RH4" s="89" t="s">
        <v>9313</v>
      </c>
      <c r="RI4">
        <v>2065.6999999999998</v>
      </c>
      <c r="RJ4">
        <v>1493.7</v>
      </c>
      <c r="RK4">
        <v>1032.8</v>
      </c>
      <c r="RL4">
        <v>708.2</v>
      </c>
      <c r="RM4">
        <v>496.5</v>
      </c>
      <c r="RN4">
        <v>368.2</v>
      </c>
      <c r="RO4">
        <v>286.8</v>
      </c>
      <c r="RP4">
        <v>176.9</v>
      </c>
      <c r="RQ4" s="90">
        <v>123</v>
      </c>
      <c r="RR4" s="89" t="s">
        <v>9313</v>
      </c>
      <c r="RS4">
        <v>1550.1</v>
      </c>
      <c r="RT4">
        <v>1082.5</v>
      </c>
      <c r="RU4">
        <v>852.8</v>
      </c>
      <c r="RV4">
        <v>562.70000000000005</v>
      </c>
      <c r="RW4">
        <v>383.1</v>
      </c>
      <c r="RX4">
        <v>277.10000000000002</v>
      </c>
      <c r="RY4">
        <v>210.5</v>
      </c>
      <c r="RZ4">
        <v>124.4</v>
      </c>
      <c r="SA4" s="90">
        <v>87.13</v>
      </c>
      <c r="SB4" s="89" t="s">
        <v>9313</v>
      </c>
      <c r="SC4">
        <v>753.6</v>
      </c>
      <c r="SD4">
        <v>532.70000000000005</v>
      </c>
      <c r="SE4">
        <v>400.1</v>
      </c>
      <c r="SF4">
        <v>236.8</v>
      </c>
      <c r="SG4">
        <v>154.1</v>
      </c>
      <c r="SH4">
        <v>108.8</v>
      </c>
      <c r="SI4">
        <v>81.25</v>
      </c>
      <c r="SJ4">
        <v>46.12</v>
      </c>
      <c r="SK4" s="90">
        <v>31.88</v>
      </c>
      <c r="SL4" s="89" t="s">
        <v>9313</v>
      </c>
      <c r="SM4">
        <v>148.69999999999999</v>
      </c>
      <c r="SN4">
        <v>105.8</v>
      </c>
      <c r="SO4">
        <v>78.34</v>
      </c>
      <c r="SP4">
        <v>41.51</v>
      </c>
      <c r="SQ4">
        <v>24.24</v>
      </c>
      <c r="SR4">
        <v>15.8</v>
      </c>
      <c r="SS4">
        <v>11.42</v>
      </c>
      <c r="ST4">
        <v>5.95</v>
      </c>
      <c r="SU4" s="90">
        <v>3.71</v>
      </c>
      <c r="SW4" s="9" t="s">
        <v>187</v>
      </c>
      <c r="SX4" s="16" t="s">
        <v>9375</v>
      </c>
      <c r="SY4" s="29" t="s">
        <v>11134</v>
      </c>
      <c r="SZ4" s="89"/>
      <c r="TA4" t="s">
        <v>10539</v>
      </c>
      <c r="TB4" s="90" t="s">
        <v>10539</v>
      </c>
      <c r="TC4" s="89"/>
      <c r="TE4" t="s">
        <v>9632</v>
      </c>
      <c r="TF4" s="90"/>
      <c r="TI4" s="256" t="s">
        <v>10190</v>
      </c>
      <c r="TJ4" s="255" t="s">
        <v>10189</v>
      </c>
      <c r="TK4" s="257" t="s">
        <v>10531</v>
      </c>
      <c r="TL4" t="s">
        <v>10198</v>
      </c>
      <c r="TM4" s="225" t="s">
        <v>10255</v>
      </c>
    </row>
    <row r="5" spans="1:534" ht="74.25" customHeight="1" thickBot="1" x14ac:dyDescent="0.25">
      <c r="A5" s="8" t="s">
        <v>183</v>
      </c>
      <c r="B5" s="8">
        <v>14</v>
      </c>
      <c r="D5" s="8" t="s">
        <v>186</v>
      </c>
      <c r="E5" s="8" t="b">
        <f>IF($D5='PI-1-MarineLoading'!$D$73,TRUE,FALSE)</f>
        <v>0</v>
      </c>
      <c r="G5">
        <f>IF(OR(H5=0,ISNUMBER(MATCH(H5,$H$1:H4,0))),0,MAX($G$1:G4)+1)</f>
        <v>0</v>
      </c>
      <c r="H5">
        <f>Products!A89</f>
        <v>0</v>
      </c>
      <c r="I5" t="str">
        <f t="shared" si="0"/>
        <v/>
      </c>
      <c r="K5">
        <f>IF(OR(L5=0,ISNUMBER(MATCH(L5,$L$1:L4,0))),0,MAX($K$1:K4)+1)</f>
        <v>0</v>
      </c>
      <c r="L5">
        <f>IF('PI-1-MarineLoading'!$G123&lt;&gt;"yes",0,"vapor oxidizer")</f>
        <v>0</v>
      </c>
      <c r="M5" t="str">
        <f>IFERROR(VLOOKUP(ROW(A4),$K$2:$L$6,2,FALSE),"")</f>
        <v/>
      </c>
      <c r="O5" s="77">
        <f>IF(OR(P5=0,ISNUMBER(MATCH(P5,$P$1:P4,0))),0,MAX($O$1:O4)+1)</f>
        <v>0</v>
      </c>
      <c r="P5" s="77">
        <f>IF('PI-1-MarineLoading'!$G123&lt;&gt;"yes",0,"permanent vapor oxidizer")</f>
        <v>0</v>
      </c>
      <c r="Q5" s="77" t="str">
        <f t="shared" si="1"/>
        <v/>
      </c>
      <c r="S5">
        <f>IF(OR(T5=0,ISNUMBER(MATCH(T5,$T$1:T4,0))),0,MAX($S$1:S4)+1)</f>
        <v>0</v>
      </c>
      <c r="T5">
        <f>IF('PI-1-MarineLoading'!$G129&lt;&gt;"yes",0,"temporary flare")</f>
        <v>0</v>
      </c>
      <c r="U5" t="str">
        <f t="shared" si="2"/>
        <v/>
      </c>
      <c r="W5">
        <f>IF(OR(X5=0,ISNUMBER(MATCH(X5,$X$1:X4,0))),0,MAX($W$1:W4)+1)</f>
        <v>0</v>
      </c>
      <c r="X5">
        <f>Products!$E11</f>
        <v>0</v>
      </c>
      <c r="Y5" t="str">
        <f t="shared" si="3"/>
        <v/>
      </c>
      <c r="AA5">
        <f>IF(OR(AB5=0,ISNUMBER(MATCH(AB5,$AB$1:AB4,0))),0,MAX($AA$1:AA4)+1)</f>
        <v>0</v>
      </c>
      <c r="AB5">
        <f>IF('PI-1-MarineLoading'!$G$126=0,0,IF('PI-1-MarineLoading'!$G$126=2,HeaterBoiler2!$E$7,0))</f>
        <v>0</v>
      </c>
      <c r="AC5">
        <f>IFERROR(VLOOKUP(ROW(A4),$AA$2:$AB$5,2,FALSE),0)</f>
        <v>0</v>
      </c>
      <c r="AE5">
        <f>IF(OR(AF5=0,ISNUMBER(MATCH(AF5,$AF$1:AF4,0))),0,MAX($AE$1:AE4)+1)</f>
        <v>0</v>
      </c>
      <c r="AF5">
        <f>IF('PI-1-MarineLoading'!$G$123="yes",VaporOxidizer!$D$7,0)</f>
        <v>0</v>
      </c>
      <c r="AG5">
        <f>IFERROR(VLOOKUP(ROW(A4),$AE$2:$AF$5,2,FALSE),0)</f>
        <v>0</v>
      </c>
      <c r="AY5">
        <f>IF(OR(AZ5=0,ISNUMBER(MATCH(AZ5,$AZ$1:AZ4,0))),0,MAX($AY$1:AY4)+1)</f>
        <v>0</v>
      </c>
      <c r="AZ5">
        <f>IF('PI-1-MarineLoading'!$G$115&lt;4,0,IF(Tank4!$D$22="no control",0,Tank4!$D$7))</f>
        <v>0</v>
      </c>
      <c r="BA5">
        <f>IFERROR(VLOOKUP(ROW(A4),$AY$2:$AZ$6,2,FALSE),0)</f>
        <v>0</v>
      </c>
      <c r="BC5">
        <f>IF(OR(BD5=0,ISNUMBER(MATCH(BD5,$BD$1:BD4,0))),0,MAX($BC$1:BC4)+1)</f>
        <v>0</v>
      </c>
      <c r="BD5">
        <f>IF('PI-1-MarineLoading'!$G$115&lt;4,0,IF(COUNTIF(Tank4!$D$18,"*floating*")=0,0,Tank4!$D$7))</f>
        <v>0</v>
      </c>
      <c r="BE5">
        <f>IFERROR(VLOOKUP(ROW(A4),$BC$2:$BD$6,2,FALSE),0)</f>
        <v>0</v>
      </c>
      <c r="BG5">
        <f>IF(OR(BH5=0,ISNUMBER(MATCH(BH5,$BH$1:BH4,0))),0,MAX($BG$1:BG4)+1)</f>
        <v>0</v>
      </c>
      <c r="BH5">
        <f>IF('PI-1-MarineLoading'!$G$115&lt;4,0,IF(COUNTIF(Tank4!$D$18,"*floating*")=0,0,IF(ConvenienceLand!$D$64=0,0,ConvenienceLand!$D$65)))</f>
        <v>0</v>
      </c>
      <c r="BI5">
        <f>IFERROR(VLOOKUP(ROW(A4),$BG$2:$BH$6,2,FALSE),0)</f>
        <v>0</v>
      </c>
      <c r="BJ5">
        <f>IFERROR(VLOOKUP($BI5,$BX$2:$BY$7,2),0)</f>
        <v>0</v>
      </c>
      <c r="BL5">
        <f>IF(OR(BM5=0,ISNUMBER(MATCH(BM5,$BM$1:BM4,0))),0,MAX($BL$1:BL4)+1)</f>
        <v>0</v>
      </c>
      <c r="BM5">
        <f>IF('PI-1-MarineLoading'!$G$128&lt;&gt;"yes",0,IF('PI-1-MarineLoading'!$G129&lt;&gt;"yes",0,IF(COUNTIF(TankMSS!$C$14:$D$18,"temporary flare")&gt;0,"temporary flare (FIN "&amp;MSS!$D$63&amp;")",0)))</f>
        <v>0</v>
      </c>
      <c r="BN5">
        <f t="shared" si="4"/>
        <v>0</v>
      </c>
      <c r="BP5">
        <f>IF(OR(BQ5=0,ISNUMBER(MATCH(BQ5,$BQ$1:BQ4,0))),0,MAX($BP$1:BP4)+1)</f>
        <v>0</v>
      </c>
      <c r="BQ5">
        <f>IF('PI-1-MarineLoading'!$G$128&lt;&gt;"yes",0,IF('PI-1-MarineLoading'!$G129&lt;&gt;"yes",0,IF(COUNTIF(TankMSS!$C$107:$D$111,"temporary flare")&gt;0,"temporary flare (FIN "&amp;MSS!$D$63&amp;")",0)))</f>
        <v>0</v>
      </c>
      <c r="BR5">
        <f t="shared" si="5"/>
        <v>0</v>
      </c>
      <c r="BX5" t="s">
        <v>10182</v>
      </c>
      <c r="BY5">
        <f>MSS!$D$63</f>
        <v>0</v>
      </c>
      <c r="CA5">
        <f>IF(OR(CB5=0,ISNUMBER(MATCH(CB5,$CB$1:CB4,0))),0,MAX($CA$1:CA4)+1)</f>
        <v>0</v>
      </c>
      <c r="CB5" s="8">
        <f>IF(OR(Tank1!$D$18="EXTERNAL FLOATING ROOF",Tank1!$D$18="INTERNAL FLOATING ROOF"),IF(Tank1!$E35="",0,Tank1!$E35),0)</f>
        <v>0</v>
      </c>
      <c r="CC5" s="8" t="str">
        <f t="shared" si="6"/>
        <v/>
      </c>
      <c r="CD5" s="8"/>
      <c r="CE5" s="8">
        <f>IF(OR(CF5=0,ISNUMBER(MATCH(CF5,$CF$1:CF4,0))),0,MAX($CE$1:CE4)+1)</f>
        <v>0</v>
      </c>
      <c r="CF5" s="8">
        <f>IF(OR(Tank1!$D$18="HORIZONTAL FIXED ROOF",Tank1!$D$18="VERTICAL FIXED ROOF"),IF(Tank1!$E35="",0,Tank1!$E35),0)</f>
        <v>0</v>
      </c>
      <c r="CG5" s="8" t="str">
        <f t="shared" si="7"/>
        <v/>
      </c>
      <c r="CJ5">
        <f>IF(OR(CK5=0,ISNUMBER(MATCH(CK5,$CK$1:CK4,0))),0,MAX($CJ$1:CJ4)+1)</f>
        <v>0</v>
      </c>
      <c r="CK5">
        <f>Tank1!$A$65</f>
        <v>0</v>
      </c>
      <c r="CL5" t="str">
        <f t="shared" si="8"/>
        <v/>
      </c>
      <c r="CM5">
        <f>IFERROR(VLOOKUP($CK5,Tank1!$A$32:$D$141,3,FALSE),0)</f>
        <v>0</v>
      </c>
      <c r="CN5">
        <f>IFERROR(VLOOKUP($CK5,Tank1!$A$32:$D$141,4,FALSE),0)</f>
        <v>0</v>
      </c>
      <c r="CP5">
        <f>IF(OR(CQ5=0,ISNUMBER(MATCH(CQ5,$CQ$1:CQ4,0))),0,MAX($CP$1:CP4)+1)</f>
        <v>0</v>
      </c>
      <c r="CQ5">
        <f>IF('PI-1-MarineLoading'!$G$115&lt;ROW($A4),0,IF(Tank4!$D$25="yes",Tank4!$D$7,0))</f>
        <v>0</v>
      </c>
      <c r="CR5">
        <f>IFERROR(VLOOKUP(ROW(A4),$CP$2:$CQ$6,2,FALSE),0)</f>
        <v>0</v>
      </c>
      <c r="CT5">
        <f>IF(OR(CU5=0,ISNUMBER(MATCH(CU5,$CU$1:CU4,0))),0,MAX($CT$1:CT4)+1)</f>
        <v>0</v>
      </c>
      <c r="CU5">
        <f>IF('PI-1-MarineLoading'!$G$115&lt;ROW($A4),0,IF(Tank4!$D$26="yes",Tank4!$D$7,0))</f>
        <v>0</v>
      </c>
      <c r="CV5">
        <f>IFERROR(VLOOKUP(ROW(A4),$CT$2:$CU$6,2,FALSE),0)</f>
        <v>0</v>
      </c>
      <c r="CX5" t="s">
        <v>282</v>
      </c>
      <c r="CZ5">
        <f>IF(OR(DA5=0,ISNUMBER(MATCH(DA5,$DA$1:DA4,0))),0,MAX($CZ$1:CZ4)+1)</f>
        <v>0</v>
      </c>
      <c r="DA5">
        <f>IFERROR(VLOOKUP("distillates (petroleum), crude oil",Products!$F$59:$F$158,1,FALSE),0)</f>
        <v>0</v>
      </c>
      <c r="DB5">
        <f>IFERROR(VLOOKUP(ROW(A4),$CZ$2:$DA$5,2,FALSE),0)</f>
        <v>0</v>
      </c>
      <c r="DD5">
        <f>IF(OR(DE5=0,ISNUMBER(MATCH(DE5,$DE$1:DE4,0))),0,MAX($DD$1:DD4)+1)</f>
        <v>0</v>
      </c>
      <c r="DE5">
        <f>IF('PI-1-MarineLoading'!$G$119="yes",'Load-MarineBarge'!$F$7,0)</f>
        <v>0</v>
      </c>
      <c r="DF5">
        <f>IFERROR(VLOOKUP(ROW(A4),$DD$2:$DE$6,2,FALSE),0)</f>
        <v>0</v>
      </c>
      <c r="DH5">
        <f>IF(OR(DI5=0,ISNUMBER(MATCH(DI5,$DI$1:DI4,0))),0,MAX($DH$1:DH4)+1)</f>
        <v>0</v>
      </c>
      <c r="DI5">
        <f>IF('PI-1-MarineLoading'!$G$115&lt;ROW($A4),0,IF(Tank4!$D$22="CAS",Tank4!$D$7,0))</f>
        <v>0</v>
      </c>
      <c r="DJ5">
        <f t="shared" si="9"/>
        <v>0</v>
      </c>
      <c r="DM5">
        <f>IF(OR(DN5=0,ISNUMBER(MATCH(DN5,$DN$1:DN4,0))),0,MAX($DM$1:DM4)+1)</f>
        <v>0</v>
      </c>
      <c r="DN5">
        <f>IF(Tank1!$D$22="Flare",IFERROR(VLOOKUP(Products!$A$89,Tank1!$A$32:$B$141,1,FALSE),0),0)</f>
        <v>0</v>
      </c>
      <c r="DO5">
        <f>IF($DN5=0,0,VLOOKUP($DN5,Tank1!$A$32:$H$141,7,FALSE))</f>
        <v>0</v>
      </c>
      <c r="DP5">
        <f>IF($DN5=0,0,VLOOKUP($DN5,Tank1!$A$32:$H$141,8,FALSE))</f>
        <v>0</v>
      </c>
      <c r="DQ5" t="str">
        <f t="shared" si="10"/>
        <v/>
      </c>
      <c r="DR5">
        <f t="shared" si="15"/>
        <v>0</v>
      </c>
      <c r="DS5">
        <f t="shared" si="16"/>
        <v>0</v>
      </c>
      <c r="DU5">
        <f>IF(OR(DV5=0,ISNUMBER(MATCH(DV5,$DV$1:DV4,0))),0,MAX($DU$1:DU4)+1)</f>
        <v>0</v>
      </c>
      <c r="DV5">
        <f>IF(Tank1!$D$22="VCU",IFERROR(VLOOKUP(Products!$A$89,Tank1!$A$32:$B$141,1,FALSE),0),0)</f>
        <v>0</v>
      </c>
      <c r="DW5">
        <f>IF($DV5=0,0,VLOOKUP($DV5,Tank1!$A$32:$H$141,7,FALSE))</f>
        <v>0</v>
      </c>
      <c r="DX5">
        <f>IF($DV5=0,0,VLOOKUP($DV5,Tank1!$A$32:$H$141,8,FALSE))</f>
        <v>0</v>
      </c>
      <c r="DY5" t="str">
        <f t="shared" si="11"/>
        <v/>
      </c>
      <c r="DZ5">
        <f t="shared" si="17"/>
        <v>0</v>
      </c>
      <c r="EA5">
        <f t="shared" si="18"/>
        <v>0</v>
      </c>
      <c r="EC5">
        <f>IF(OR(ED5=0,ISNUMBER(MATCH(ED5,$ED$1:ED4,0))),0,MAX($EC$1:EC4)+1)</f>
        <v>0</v>
      </c>
      <c r="ED5">
        <f>IF(Tank1!$D$22="vapor oxidizer",IFERROR(VLOOKUP(Products!$A$89,Tank1!$A$32:$B$141,1,FALSE),0),0)</f>
        <v>0</v>
      </c>
      <c r="EE5">
        <f>IF($ED5=0,0,VLOOKUP($ED5,Tank1!$A$32:$H$141,7,FALSE))</f>
        <v>0</v>
      </c>
      <c r="EF5">
        <f>IF($ED5=0,0,VLOOKUP($ED5,Tank1!$A$32:$H$141,8,FALSE))</f>
        <v>0</v>
      </c>
      <c r="EG5" t="str">
        <f t="shared" si="12"/>
        <v/>
      </c>
      <c r="EH5">
        <f t="shared" si="19"/>
        <v>0</v>
      </c>
      <c r="EI5">
        <f t="shared" si="20"/>
        <v>0</v>
      </c>
      <c r="EK5">
        <f>IF(OR(EL5=0,ISNUMBER(MATCH(EL5,$EL$1:EL4,0))),0,MAX($EK$1:EK4)+1)</f>
        <v>0</v>
      </c>
      <c r="EL5">
        <f>IF(Tank1!$D$22="CAS",IFERROR(VLOOKUP(Products!A89,Tank1!$A$32:$B$141,1,FALSE),0),0)</f>
        <v>0</v>
      </c>
      <c r="EM5">
        <f>IF($EL5=0,0,VLOOKUP($EL5,Tank1!$A$32:$H$141,7,FALSE))</f>
        <v>0</v>
      </c>
      <c r="EN5">
        <f>IF($EL5=0,0,VLOOKUP($EL5,Tank1!$A$32:$H$141,8,FALSE))</f>
        <v>0</v>
      </c>
      <c r="EO5" t="str">
        <f t="shared" si="13"/>
        <v/>
      </c>
      <c r="EP5">
        <f t="shared" si="21"/>
        <v>0</v>
      </c>
      <c r="EQ5">
        <f t="shared" si="22"/>
        <v>0</v>
      </c>
      <c r="ES5">
        <f>IF(OR(ET5=0,ISNUMBER(MATCH(ET5,$ET$1:ET4,0))),0,MAX($ES$1:ES4)+1)</f>
        <v>0</v>
      </c>
      <c r="ET5">
        <f>IF(OR(Fug!$F24="",Fug!$F24="N/A"),0,Fug!$F24)</f>
        <v>0</v>
      </c>
      <c r="EU5">
        <f t="shared" si="14"/>
        <v>0</v>
      </c>
      <c r="EX5">
        <f>MSS!$A38</f>
        <v>0</v>
      </c>
      <c r="EY5">
        <f>MSS!$G38*MSS!F$144</f>
        <v>0</v>
      </c>
      <c r="EZ5">
        <f>MSS!$G38*MSS!G$144</f>
        <v>0</v>
      </c>
      <c r="FB5" s="8" t="s">
        <v>363</v>
      </c>
      <c r="FC5" s="8" t="s">
        <v>364</v>
      </c>
      <c r="FD5" s="8">
        <v>1000</v>
      </c>
      <c r="FE5" s="8">
        <v>100</v>
      </c>
      <c r="FG5" s="360" t="str">
        <f t="shared" si="23"/>
        <v/>
      </c>
      <c r="FH5" s="155">
        <f>IF(Tank1!$D$22="NO CONTROL",_xlfn.MAXIFS(Tank1!$G$32:$G$141,Tank1!$E$32:$E$141,$FG5),0)*IFERROR($QR$3,0)</f>
        <v>0</v>
      </c>
      <c r="FI5" s="155">
        <f>_xlfn.MAXIFS(LandEmiss!$AF$20:$AF$119,LandEmiss!$AE$20:$AE$119,$FG5)*IFERROR($QR$3,0)</f>
        <v>0</v>
      </c>
      <c r="FJ5" s="155">
        <f>MAX(_xlfn.MAXIFS(LandEmiss!$CO$20:$CO$119,LandEmiss!$CN$20:$CN$119,$FG5),_xlfn.MAXIFS(LandEmiss!$EZ$9:$EZ$108,LandEmiss!$EY$9:$EY$108,$FG5))*IFERROR($QR$3,0)</f>
        <v>0</v>
      </c>
      <c r="FK5" s="155">
        <f>IF(Tank2!$D$22="NO CONTROL",_xlfn.MAXIFS(Tank2!$G$32:$G$141,Tank2!$E$32:$E$141,$FG5),0)*IFERROR($QR$4,0)</f>
        <v>0</v>
      </c>
      <c r="FL5" s="155">
        <f>_xlfn.MAXIFS(LandEmiss!$AG$20:$AG$119,LandEmiss!$AE$20:$AE$119,$FG5)*IFERROR($QR$4,0)</f>
        <v>0</v>
      </c>
      <c r="FM5" s="155">
        <f>MAX(_xlfn.MAXIFS(LandEmiss!$CP$20:$CP$119,LandEmiss!$CN$20:$CN$119,$FG5),_xlfn.MAXIFS(LandEmiss!$FA$9:$FA$108,LandEmiss!$EY$9:$EY$108,$FG5))*IFERROR($QR$4,0)</f>
        <v>0</v>
      </c>
      <c r="FN5" s="155">
        <f>IF(Tank3!$D$22="NO CONTROL",_xlfn.MAXIFS(Tank3!$G$32:$G$141,Tank3!$E$32:$E$141,$FG5),0)*IFERROR($QR$5,0)</f>
        <v>0</v>
      </c>
      <c r="FO5" s="155">
        <f>_xlfn.MAXIFS(LandEmiss!$AH$20:$AH$119,LandEmiss!$AE$20:$AE$119,$FG5)*IFERROR($QR$5,0)</f>
        <v>0</v>
      </c>
      <c r="FP5" s="155">
        <f>MAX(_xlfn.MAXIFS(LandEmiss!$CQ$20:$CQ$119,LandEmiss!$CN$20:$CN$119,$FG5),_xlfn.MAXIFS(LandEmiss!$FB$9:$FB$108,LandEmiss!$EY$9:$EY$108,$FG5))*IFERROR($QR$5,0)</f>
        <v>0</v>
      </c>
      <c r="FQ5" s="155">
        <f>IF(Tank4!$D$22="NO CONTROL",_xlfn.MAXIFS(Tank4!$G$32:$G$141,Tank4!$E$32:$E$141,$FG5),0)*IFERROR($QR$6,0)</f>
        <v>0</v>
      </c>
      <c r="FR5" s="155">
        <f>_xlfn.MAXIFS(LandEmiss!$AI$20:$AI$119,LandEmiss!$AE$20:$AE$119,$FG5)*IFERROR($QR$6,0)</f>
        <v>0</v>
      </c>
      <c r="FS5" s="155">
        <f>MAX(_xlfn.MAXIFS(LandEmiss!$CR$20:$CR$119,LandEmiss!$CN$20:$CN$119,$FG5),_xlfn.MAXIFS(LandEmiss!$FC$9:$FC$108,LandEmiss!$EY$9:$EY$108,$FG5))*IFERROR($QR$6,0)</f>
        <v>0</v>
      </c>
      <c r="FT5" s="155">
        <f>IF(Tank5!$D$22="NO CONTROL",_xlfn.MAXIFS(Tank5!$G$32:$G$141,Tank5!$E$32:$E$141,$FG5),0)*IFERROR($QR$7,0)</f>
        <v>0</v>
      </c>
      <c r="FU5" s="155">
        <f>_xlfn.MAXIFS(LandEmiss!$AJ$20:$AJ$119,LandEmiss!$AE$20:$AE$119,$FG5)*IFERROR($QR$7,0)</f>
        <v>0</v>
      </c>
      <c r="FV5" s="155">
        <f>MAX(_xlfn.MAXIFS(LandEmiss!$CS$20:$CS$119,LandEmiss!$CN$20:$CN$119,$FG5),_xlfn.MAXIFS(LandEmiss!$FD$9:$FD$108,LandEmiss!$EY$9:$EY$108,$FG5))*IFERROR($QR10,0)</f>
        <v>0</v>
      </c>
      <c r="FW5" s="155">
        <f>_xlfn.MAXIFS('Load-DrumTote'!$K$27:$K$136,'Load-DrumTote'!$F$27:$F$136,$FG5)*IFERROR($QR$8,0)</f>
        <v>0</v>
      </c>
      <c r="FX5" s="155">
        <f>_xlfn.MAXIFS('Load-Truck'!$K$27:$K$136,'Load-Truck'!$F$27:$F$136,$FG5)*IFERROR($QR$9,0)</f>
        <v>0</v>
      </c>
      <c r="FY5" s="155">
        <f>_xlfn.MAXIFS('Load-Rail'!$K$27:$K$136,'Load-Rail'!$F$27:$F$136,$FG5)*IFERROR($QR$10,0)</f>
        <v>0</v>
      </c>
      <c r="FZ5" s="155">
        <f>_xlfn.MAXIFS('Load-MarineBarge'!$K$27:$K$136,'Load-MarineBarge'!$F$27:$F$136,$FG5)*IFERROR($QR$11,0)</f>
        <v>0</v>
      </c>
      <c r="GA5" s="155">
        <f>_xlfn.MAXIFS('Load-MarineShip'!$K$27:$K$136,'Load-MarineShip'!$F$27:$F$136,$FG5)*IFERROR($QR$12,0)</f>
        <v>0</v>
      </c>
      <c r="GB5" s="313">
        <f>IF(OR(Flare!$D$24="fuel gas",Flare!$D$38="fuel gas"),SUMIF(Flare!$E$97:$E$106,$FG5,Flare!$F$97:$F$106),0)*IFERROR($QR$13,0)</f>
        <v>0</v>
      </c>
      <c r="GC5" s="313">
        <f>(_xlfn.MAXIFS(CtrlDevImpacts!$I$57:$I$156,CtrlDevImpacts!$H$57:$H$156,$FG5))*IFERROR($QR$13,0)</f>
        <v>0</v>
      </c>
      <c r="GD5" s="313">
        <f>(_xlfn.MAXIFS(Flare!$F$107:$F$216,Flare!$E$107:$E$216,$FG5)-_xlfn.MAXIFS(CtrlDevImpacts!$I$57:$I$156,CtrlDevImpacts!$H$57:$H$156,$FG5))*IFERROR($QR$13,0)</f>
        <v>0</v>
      </c>
      <c r="GE5" s="155">
        <f>_xlfn.MAXIFS(LandEmiss!$B$335:$B$434,LandEmiss!$A$335:$A$434,$FG5)*IFERROR($QR$13,0)</f>
        <v>0</v>
      </c>
      <c r="GF5" s="155">
        <f>(_xlfn.MAXIFS(LandEmiss!$BK$335:$BK$434,LandEmiss!$BJ$335:$BJ$434,$FG5)+_xlfn.MAXIFS(LandEmiss!$DV$323:$DV$422,LandEmiss!$DU$323:$DU$422,$FG5))*IFERROR($QR$13,0)</f>
        <v>0</v>
      </c>
      <c r="GG5" s="313">
        <f>IF(OR(VCU!$D$26="fuel gas",VCU!$D$42="fuel gas"),SUMIF(VCU!$E$120:$E$129,$FG5,VCU!$F$120:$F$129),0)*IFERROR($QR$14,0)</f>
        <v>0</v>
      </c>
      <c r="GH5" s="313">
        <f>(_xlfn.MAXIFS(CtrlDevImpacts!$X$57:$X$156,CtrlDevImpacts!$W$57:$W$156,$FG5))*IFERROR($QR$14,0)</f>
        <v>0</v>
      </c>
      <c r="GI5" s="313">
        <f>(_xlfn.MAXIFS(VCU!$F$130:$F$239,VCU!$E$130:$E$239,$FG5)-_xlfn.MAXIFS(CtrlDevImpacts!$X$57:$X$156,CtrlDevImpacts!$W$57:$W$156,$FG5))*IFERROR($QR$14,0)</f>
        <v>0</v>
      </c>
      <c r="GJ5" s="155">
        <f>_xlfn.MAXIFS(LandEmiss!$D$335:$D$434,LandEmiss!$A$335:$A$434,$FG5)*IFERROR($QR$14,0)</f>
        <v>0</v>
      </c>
      <c r="GK5" s="155">
        <f>(_xlfn.MAXIFS(LandEmiss!$BM$335:$BM$434,LandEmiss!$BJ$335:$BJ$434,$FG5)+_xlfn.MAXIFS(LandEmiss!$DX$323:$DX$422,LandEmiss!$DU$323:$DU$422,$FG5))*IFERROR($QR$14,0)</f>
        <v>0</v>
      </c>
      <c r="GL5" s="313">
        <f>IF(VaporOxidizer!D36="FUEL GAS",SUMIF(VaporOxidizer!$E$101:$E$110,$FG5,VaporOxidizer!$F$101:$F$110),0)*IFERROR($QR$15,0)</f>
        <v>0</v>
      </c>
      <c r="GM5" s="313">
        <f>(_xlfn.MAXIFS(CtrlDevImpacts!$AN$57:$AN$156,CtrlDevImpacts!$AM$57:$AM$156,$FG5))*IFERROR($QR$15,0)</f>
        <v>0</v>
      </c>
      <c r="GN5" s="313">
        <f>(_xlfn.MAXIFS(VaporOxidizer!$F$111:$F$220,VaporOxidizer!$E$111:$E$220,$FG5)-_xlfn.MAXIFS(CtrlDevImpacts!$AN$57:$AN$156,CtrlDevImpacts!$AM$57:$AM$156,$FG5))*IFERROR($QR$15,0)</f>
        <v>0</v>
      </c>
      <c r="GO5" s="155">
        <f>_xlfn.MAXIFS(LandEmiss!$F$335:$F$434,LandEmiss!$A$335:$A$434,$FG5)*IFERROR($QR$15,0)</f>
        <v>0</v>
      </c>
      <c r="GP5" s="155">
        <f>(_xlfn.MAXIFS(LandEmiss!$BK$335:$BK$434,LandEmiss!$BO$335:$BO$434,$FG5)+_xlfn.MAXIFS(LandEmiss!$DZ$323:$DZ$422,LandEmiss!$DU$323:$DU$422,$FG5))*IFERROR($QR$15,0)</f>
        <v>0</v>
      </c>
      <c r="GQ5" s="313">
        <f>_xlfn.MAXIFS(CtrlDevImpacts!$BD$57:$BD$156,CtrlDevImpacts!$BC$57:$BC$156,$FG5)*IFERROR(Hidden!$QR$16,0)</f>
        <v>0</v>
      </c>
      <c r="GR5" s="313">
        <f>(_xlfn.MAXIFS(CAS!$H$35:$H$144,CAS!$E$35:$E$144,$FG5)-_xlfn.MAXIFS(CtrlDevImpacts!$BD$57:$BD$156,CtrlDevImpacts!$BC$57:$BC$156,$FG5))*IFERROR(Hidden!$QR$16,0)</f>
        <v>0</v>
      </c>
      <c r="GS5" s="155">
        <f>_xlfn.MAXIFS(LandEmiss!$H$335:$H$434,LandEmiss!$A$335:$A$434,$FG5)*IFERROR($QR$27,0)</f>
        <v>0</v>
      </c>
      <c r="GT5" s="155">
        <f>(_xlfn.MAXIFS(LandEmiss!$BK$335:$BK$434,LandEmiss!$BQ$335:$BQ$434,$FG5)+_xlfn.MAXIFS(LandEmiss!$EB$323:$EB$422,LandEmiss!$DU$323:$DU$422,$FG5))*IFERROR($QR$27,0)</f>
        <v>0</v>
      </c>
      <c r="GU5" s="155">
        <f>_xlfn.MAXIFS(LandEmiss!$J$335:$J$434,LandEmiss!$A$335:$A$434,$FG5)*IFERROR($QR$26,0)</f>
        <v>0</v>
      </c>
      <c r="GV5" s="155">
        <f>(_xlfn.MAXIFS(LandEmiss!$BK$335:$BK$434,LandEmiss!$BS$335:$BS$434,$FG5)+_xlfn.MAXIFS(LandEmiss!$ED$323:$ED$422,LandEmiss!$DU$323:$DU$422,$FG5))*IFERROR($QR$26,0)</f>
        <v>0</v>
      </c>
      <c r="GW5" s="155">
        <f>_xlfn.MAXIFS(LandEmiss!$L$335:$L$434,LandEmiss!$A$335:$A$434,$FG5)*IFERROR($QR$25,0)</f>
        <v>0</v>
      </c>
      <c r="GX5" s="155">
        <f>(_xlfn.MAXIFS(LandEmiss!$BK$335:$BK$434,LandEmiss!$BU$335:$BU$434,$FG5)+_xlfn.MAXIFS(LandEmiss!$EF$323:$EF$422,LandEmiss!$DU$323:$DU$422,$FG5))*IFERROR($QR$25,0)</f>
        <v>0</v>
      </c>
      <c r="GY5" s="155">
        <v>0</v>
      </c>
      <c r="GZ5" s="155">
        <v>0</v>
      </c>
      <c r="HA5" s="155">
        <f>IF(OR(HeaterBoiler1!$E$26&lt;&gt;"fuel gas",HeaterBoiler1!$E$15&lt;&gt;"heater"),0,SUMIF(HeaterBoiler1!$A$54:$D$63,$FG5,HeaterBoiler1!$I$54:$I$63))*IFERROR($QR$19,0)</f>
        <v>0</v>
      </c>
      <c r="HB5" s="207">
        <f>IF(OR(HeaterBoiler2!$E$26&lt;&gt;"fuel gas",HeaterBoiler2!$E$15&lt;&gt;"heater"),0,SUMIF(HeaterBoiler2!$A$54:$D$63,$FG5,HeaterBoiler2!$I$54:$I$63))*IFERROR($QR$21,0)</f>
        <v>0</v>
      </c>
      <c r="HC5" s="155">
        <f>IF(OR(HeaterBoiler1!$E$26&lt;&gt;"fuel gas",HeaterBoiler1!$E$15&lt;&gt;"boiler"),0,SUMIF(HeaterBoiler1!$A$41:$A$50,$FG5,HeaterBoiler1!$F$41:$F$50))*IFERROR($QR$20,0)</f>
        <v>0</v>
      </c>
      <c r="HD5" s="207">
        <f>IF(OR(HeaterBoiler2!$E$26&lt;&gt;"fuel gas",HeaterBoiler2!$E$15&lt;&gt;"boiler"),0,SUMIF(HeaterBoiler2!$A$41:$A$50,$FG5,HeaterBoiler2!$F$41:$F$50))*IFERROR($QR$22,0)</f>
        <v>0</v>
      </c>
      <c r="HE5" s="155">
        <f>SUMIF(Fug!$A$96:$A$205,$FG5,Fug!$I$96:$I$205)*IFERROR(Hidden!$QR$23,0)</f>
        <v>0</v>
      </c>
      <c r="HF5" s="155">
        <f t="shared" si="24"/>
        <v>0</v>
      </c>
      <c r="HG5" s="156">
        <f t="shared" si="25"/>
        <v>0</v>
      </c>
      <c r="HH5" s="156">
        <f t="shared" si="26"/>
        <v>0</v>
      </c>
      <c r="HI5" s="156">
        <f t="shared" si="27"/>
        <v>0</v>
      </c>
      <c r="HJ5" s="156">
        <f t="shared" si="28"/>
        <v>0</v>
      </c>
      <c r="HK5" s="156">
        <f t="shared" si="29"/>
        <v>0</v>
      </c>
      <c r="HL5" s="156">
        <f t="shared" si="30"/>
        <v>0</v>
      </c>
      <c r="NO5" s="155">
        <f>IF(Tank1!$D$22="No control",(SUMIF(Tank1!$E$32:$E$141,$FG5,Tank1!$H$32:$H$141)*(2000/8760)*IFERROR($QV$3,0)),0)</f>
        <v>0</v>
      </c>
      <c r="NP5" s="156">
        <f>SUMIF(LandEmiss!$AE$20:$AE$119,$FG5,LandEmiss!$AK$20:$AK$119)*(2000/8760)*IFERROR($QV$3,0)</f>
        <v>0</v>
      </c>
      <c r="NQ5" s="156">
        <f>(SUMIF(LandEmiss!$CN$20:$CN$119,$FG5,LandEmiss!$CT$20:$CT$119)+SUMIF(LandEmiss!$EY$9:$EY$108,$FG5,LandEmiss!$FE$9:$FE$108))*IFERROR($QV$3,0)*(2000/8760)</f>
        <v>0</v>
      </c>
      <c r="NR5" s="155">
        <f>IF(Tank2!$D$22="No control",(SUMIF(Tank2!$E$32:$E$141,$FG5,Tank2!$H$32:$H$141)*(2000/8760)*IFERROR($QV$4,0)),0)</f>
        <v>0</v>
      </c>
      <c r="NS5" s="156">
        <f>SUMIF(LandEmiss!$AE$20:$AE$119,$FG5,LandEmiss!$AL$20:$AL$119)*(2000/8760)*IFERROR($QV$4,0)</f>
        <v>0</v>
      </c>
      <c r="NT5" s="156">
        <f>(SUMIF(LandEmiss!$CN$20:$CN$119,$FG5,LandEmiss!$CU$20:$CU$119)+SUMIF(LandEmiss!$EY$9:$EY$108,$FG5,LandEmiss!$FF$9:$FF$108))*IFERROR($QV$4,0)*(2000/8760)</f>
        <v>0</v>
      </c>
      <c r="NU5" s="155">
        <f>IF(Tank3!$D$22="No control",(SUMIF(Tank3!$E$32:$E$141,$FG5,Tank3!$H$32:$H$141)*(2000/8760)*IFERROR($QV$5,0)),0)</f>
        <v>0</v>
      </c>
      <c r="NV5" s="156">
        <f>SUMIF(LandEmiss!$AE$20:$AE$119,$FG5,LandEmiss!$AM$20:$AM$119)*(2000/8760)*IFERROR($QV$5,0)</f>
        <v>0</v>
      </c>
      <c r="NW5" s="156">
        <f>(SUMIF(LandEmiss!$CN$20:$CN$119,$FG5,LandEmiss!$CV$20:$CV$119)+SUMIF(LandEmiss!$EY$9:$EY$108,$FG5,LandEmiss!$FG$9:$FG$108))*IFERROR($QV$5,0)*(2000/8760)</f>
        <v>0</v>
      </c>
      <c r="NX5" s="155">
        <f>IF(Tank4!$D$22="No control",(SUMIF(Tank4!$E$32:$E$141,$FG5,Tank4!$H$32:$H$141)*(2000/8760)*IFERROR($QV$6,0)),0)</f>
        <v>0</v>
      </c>
      <c r="NY5" s="156">
        <f>SUMIF(LandEmiss!$AE$20:$AE$119,$FG5,LandEmiss!$AN$20:$AN$119)*(2000/8760)*IFERROR($QV$6,0)</f>
        <v>0</v>
      </c>
      <c r="NZ5" s="156">
        <f>(SUMIF(LandEmiss!$CN$20:$CN$119,$FG5,LandEmiss!$CW$20:$CW$119)+SUMIF(LandEmiss!$EY$9:$EY$108,$FG5,LandEmiss!$FH$9:$FH$108))*IFERROR($QV$6,0)*(2000/8760)</f>
        <v>0</v>
      </c>
      <c r="OA5" s="155">
        <f>IF(Tank5!$D$22="No control",(SUMIF(Tank5!$E$32:$E$141,$FG5,Tank5!$H$32:$H$141)*(2000/8760)*IFERROR($QV$7,0)),0)</f>
        <v>0</v>
      </c>
      <c r="OB5" s="156">
        <f>SUMIF(LandEmiss!$AE$20:$AE$119,$FG5,LandEmiss!$AO$20:$AO$119)*(2000/8760)*IFERROR($QV$7,0)</f>
        <v>0</v>
      </c>
      <c r="OC5" s="156">
        <f>(SUMIF(LandEmiss!$CN$20:$CN$119,$FG5,LandEmiss!$CX$20:$CX$119)+SUMIF(LandEmiss!$EY$9:$EY$108,$FG5,LandEmiss!$FI$9:$FI$108))*IFERROR($QV$7,0)*(2000/8760)</f>
        <v>0</v>
      </c>
      <c r="OD5" s="155">
        <f>SUMIFS('Load-DrumTote'!$L$27:$L$136,'Load-DrumTote'!$F$27:$F$136,$FG5)*IFERROR($QV$8,0)*(2000/8760)</f>
        <v>0</v>
      </c>
      <c r="OE5" s="155">
        <f>SUMIFS('Load-Truck'!$L$27:$L$136,'Load-Truck'!$F$27:$F$136,$FG5)*IFERROR($QV$9,0)*(2000/8760)</f>
        <v>0</v>
      </c>
      <c r="OF5" s="155">
        <f>SUMIFS('Load-Rail'!$L$27:$L$136,'Load-Rail'!$F$27:$F$136,$FG5)*IFERROR($QV$10,0)*(2000/8760)</f>
        <v>0</v>
      </c>
      <c r="OG5" s="155">
        <f>SUMIFS('Load-MarineBarge'!$L$27:$L$136,'Load-MarineBarge'!$F$27:$F$136,$FG5)*IFERROR($QV$11,0)*(2000/8760)</f>
        <v>0</v>
      </c>
      <c r="OH5" s="155">
        <f>SUMIFS('Load-MarineShip'!$L$27:$L$136,'Load-MarineShip'!$F$27:$F$136,$FG5)*IFERROR($QV$12,0)*(2000/8760)</f>
        <v>0</v>
      </c>
      <c r="OI5" s="155">
        <f>(IF(OR(Flare!$D$24="FUEL GAS",Flare!$D$38="FUEL GAS"),SUMIF(Flare!$E$97:$E$106,$FG5,Flare!$G$97:$G$105),0)+SUMIF(Flare!$E$107:$E$216,$FG5,Flare!$G$107:$G$216))*(2000/8730)*IFERROR($QV$13,0)</f>
        <v>0</v>
      </c>
      <c r="OJ5" s="155">
        <f>SUMIF(LandEmiss!$A$335:$A$434,$FG5,LandEmiss!$C$335:$C$434)*(2000/8760)*IFERROR($QV$13,0)</f>
        <v>0</v>
      </c>
      <c r="OK5" s="155">
        <f>(SUMIF(LandEmiss!$BJ$335:$BJ$434,$FG5,LandEmiss!$BL$335:$BL$434)+SUMIF(LandEmiss!$DU$323:$DU$422,$FG5,LandEmiss!$DW$323:$DW$422))*(2000/8760)*IFERROR($QV$13,0)</f>
        <v>0</v>
      </c>
      <c r="OL5" s="155">
        <f>(IF(OR(VCU!$D$26="FUEL GAS",VCU!$D$42="FUEL GAS"),SUMIF(VCU!$E$120:$E$129,$FG5,VCU!$G$120:$G$129),0)+SUMIF(VCU!$E$130:$E$239,$FG5,VCU!G133:G242))*(2000/8760)*IFERROR($QV$14,0)</f>
        <v>0</v>
      </c>
      <c r="OM5" s="155">
        <f>SUMIF(LandEmiss!$A$335:$A$434,$FG5,LandEmiss!$E$335:$E$434)*(2000/8760)*IFERROR($QV$14,0)</f>
        <v>0</v>
      </c>
      <c r="ON5" s="155">
        <f>(SUMIF(LandEmiss!$BJ$335:$BJ$434,$FG5,LandEmiss!$BN$335:$BN$434)+SUMIF(LandEmiss!$DU$323:$DU$422,$FG5,LandEmiss!$DY$323:$DY$422))*(2000/8760)*IFERROR($QV$14,0)</f>
        <v>0</v>
      </c>
      <c r="OO5" s="155">
        <f>(IF(VaporOxidizer!$D$33="FUEL GAS",SUMIF(VaporOxidizer!$E$101:$E$110,$FG5,VaporOxidizer!$G$101:$G$110),0)+SUMIF(VaporOxidizer!$E$111:$E$220,$FG5,VaporOxidizer!$G$111:$G$220))*(2000/8760)*IFERROR($QV$15,0)</f>
        <v>0</v>
      </c>
      <c r="OP5" s="155">
        <f>SUMIF(LandEmiss!$A$335:$A$434,$FG5,LandEmiss!$G$335:$G$434)*(2000/8760)*IFERROR($QV$15,0)</f>
        <v>0</v>
      </c>
      <c r="OQ5" s="155">
        <f>(SUMIF(LandEmiss!$BJ$335:$BJ$434,$FG5,LandEmiss!$BP$335:$BP$434)+SUMIF(LandEmiss!$DU$323:$DU$422,$FG5,LandEmiss!$EA$323:$EA$422))*(2000/8760)*IFERROR($QV$15,0)</f>
        <v>0</v>
      </c>
      <c r="OR5" s="155">
        <f>SUMIF(CAS!$E$35:$E$144,Hidden!$FG5,CAS!$I$35:$I$144)*IFERROR($QV$16,0)*(2000/8760)</f>
        <v>0</v>
      </c>
      <c r="OS5" s="155">
        <f>SUMIF(LandEmiss!$A$335:$A$434,$FG5,LandEmiss!$I$335:$I$434)*(2000/8760)*IFERROR($QV$27,0)</f>
        <v>0</v>
      </c>
      <c r="OT5" s="155">
        <f>(SUMIF(LandEmiss!$BJ$335:$BJ$434,$FG5,LandEmiss!$BR$335:$BR$434)+SUMIF(LandEmiss!$DU$323:$DU$422,$FG5,LandEmiss!$EC$323:$EC$422))*(2000/8760)*IFERROR($QV$27,0)</f>
        <v>0</v>
      </c>
      <c r="OU5" s="155">
        <f>SUMIF(LandEmiss!$A$335:$A$434,$FG5,LandEmiss!$K$335:$K$434)*(2000/8760)*IFERROR($QV$26,0)</f>
        <v>0</v>
      </c>
      <c r="OV5" s="155">
        <f>(SUMIF(LandEmiss!$BJ$335:$BJ$434,$FG5,LandEmiss!$BT$335:$BT$434)+SUMIF(LandEmiss!$DU$323:$DU$422,$FG5,LandEmiss!$EE$323:$EE$422))*(2000/8760)*IFERROR($QV$26,0)</f>
        <v>0</v>
      </c>
      <c r="OW5" s="155">
        <f>SUMIF(LandEmiss!$A$335:$A$434,$FG5,LandEmiss!$M$335:$M$434)*(2000/8760)*IFERROR($QV$25,0)</f>
        <v>0</v>
      </c>
      <c r="OX5" s="155">
        <f>(SUMIF(LandEmiss!$BJ$335:$BJ$434,$FG5,LandEmiss!$BV$335:$BV$434)+SUMIF(LandEmiss!$DU$323:$DU$422,$FG5,LandEmiss!$EG$323:$EG$422))*(2000/8760)*IFERROR($QV$25,0)</f>
        <v>0</v>
      </c>
      <c r="OY5" s="8">
        <v>0</v>
      </c>
      <c r="OZ5" s="207">
        <v>0</v>
      </c>
      <c r="PA5" s="207">
        <f>IF(OR(HeaterBoiler1!$E$26&lt;&gt;"fuel gas",HeaterBoiler1!$E$15&lt;&gt;"heater"),0,(SUMIF(HeaterBoiler1!$A$54:$D$63,$FG5,HeaterBoiler1!$J$54:$J$63))*(2000/8760))*IFERROR($QV$19,0)</f>
        <v>0</v>
      </c>
      <c r="PB5" s="207">
        <f>IF(OR(HeaterBoiler2!$E$26&lt;&gt;"fuel gas",HeaterBoiler2!$E$15&lt;&gt;"heater"),0,(SUMIF(HeaterBoiler2!$A$54:$D$63,$FG5,HeaterBoiler2!$J$54:$J$63))*(2000/8760))*IFERROR($QV$21,0)</f>
        <v>0</v>
      </c>
      <c r="PC5" s="207">
        <f>IF(OR(HeaterBoiler1!$E$26&lt;&gt;"fuel gas",HeaterBoiler1!$E$15&lt;&gt;"boiler"),0,(SUMIF(HeaterBoiler1!$A$54:$D$63,$FG5,HeaterBoiler1!$J$54:$J$63))*(2000/8760))*IFERROR($QV$20,0)</f>
        <v>0</v>
      </c>
      <c r="PD5" s="207">
        <f>IF(OR(HeaterBoiler2!$E$26&lt;&gt;"fuel gas",HeaterBoiler2!$E$15&lt;&gt;"boiler"),0,(SUMIF(HeaterBoiler2!$A$54:$D$63,$FG5,HeaterBoiler2!$J$54:$J$63))*(2000/8760))*IFERROR($QV$22,0)</f>
        <v>0</v>
      </c>
      <c r="PE5" s="8">
        <f>(SUMIF(Fug!$A$96:$A$205,$FG5,Fug!$J$96:$J$205))*IFERROR($QV$23,0)*(2000/8760)</f>
        <v>0</v>
      </c>
      <c r="PF5" s="8">
        <f t="shared" si="31"/>
        <v>0</v>
      </c>
      <c r="PG5" s="156">
        <f t="shared" si="32"/>
        <v>0</v>
      </c>
      <c r="PJ5" s="52" t="str">
        <f>IF(Fug!$F$16=Hidden!$PP$2,"Valves-DTM(AM)","Valves-DTM")</f>
        <v>Valves-DTM</v>
      </c>
      <c r="PK5" s="52" t="str">
        <f>IF(Fug!$F$16=Hidden!$PP$2,"Gas [4] [5]","Gas/Vapor [4]")</f>
        <v>Gas/Vapor [4]</v>
      </c>
      <c r="PL5" s="52">
        <v>1.32E-2</v>
      </c>
      <c r="PM5" s="52">
        <v>8.8999999999999999E-3</v>
      </c>
      <c r="PN5" s="52">
        <v>2.58E-2</v>
      </c>
      <c r="PO5" s="52">
        <v>2.9E-4</v>
      </c>
      <c r="PP5" s="52">
        <v>9.92E-3</v>
      </c>
      <c r="PQ5" s="52">
        <v>4.44E-4</v>
      </c>
      <c r="PR5" s="52">
        <v>2.1600000000000001E-6</v>
      </c>
      <c r="PS5" s="52">
        <v>1.1050000000000001E-3</v>
      </c>
      <c r="PT5" s="52" t="s">
        <v>8772</v>
      </c>
      <c r="PU5" s="52" t="s">
        <v>8771</v>
      </c>
      <c r="PV5" s="52">
        <v>0</v>
      </c>
      <c r="PW5" s="52">
        <v>0.75</v>
      </c>
      <c r="PX5" s="52">
        <v>0.75</v>
      </c>
      <c r="PY5" s="52">
        <v>0.75</v>
      </c>
      <c r="PZ5" s="52">
        <v>0</v>
      </c>
      <c r="QA5" s="52">
        <v>0.75</v>
      </c>
      <c r="QB5" s="52" t="s">
        <v>8803</v>
      </c>
      <c r="QC5" s="52" t="s">
        <v>8804</v>
      </c>
      <c r="QD5" s="52">
        <v>0</v>
      </c>
      <c r="QE5" s="52">
        <v>0</v>
      </c>
      <c r="QF5" s="52">
        <v>0</v>
      </c>
      <c r="QG5" s="52">
        <v>0</v>
      </c>
      <c r="QH5" s="52">
        <v>0</v>
      </c>
      <c r="QI5" s="52">
        <v>0</v>
      </c>
      <c r="QK5" s="95" t="s">
        <v>9110</v>
      </c>
      <c r="QM5" s="16" t="s">
        <v>8708</v>
      </c>
      <c r="QN5" s="104" t="e">
        <f t="shared" ref="QN5:QN27" si="38">$QN$3</f>
        <v>#N/A</v>
      </c>
      <c r="QO5" s="104">
        <f>Tank3!D16</f>
        <v>0</v>
      </c>
      <c r="QP5" s="104">
        <f>Tank3!D15</f>
        <v>0</v>
      </c>
      <c r="QQ5" s="16" t="str">
        <f>IF(QO5&lt;30,$QX$4,IF(QO5&lt;35,$QX$5,IF(QO5&lt;40,$QX$6,IF(QO5&lt;45,$QX$7,IF(QO5&lt;50,$QX$8,$QX$9)))))</f>
        <v>TANK12</v>
      </c>
      <c r="QR5" s="16" t="e">
        <f t="shared" si="33"/>
        <v>#N/A</v>
      </c>
      <c r="QS5" s="16" t="e">
        <f t="shared" si="34"/>
        <v>#N/A</v>
      </c>
      <c r="QT5" s="16" t="e">
        <f t="shared" si="35"/>
        <v>#N/A</v>
      </c>
      <c r="QU5" s="16" t="e">
        <f t="shared" si="36"/>
        <v>#N/A</v>
      </c>
      <c r="QV5" s="16" t="e">
        <f t="shared" si="37"/>
        <v>#N/A</v>
      </c>
      <c r="QX5" s="89" t="s">
        <v>9314</v>
      </c>
      <c r="QY5">
        <v>721.1</v>
      </c>
      <c r="QZ5">
        <v>615</v>
      </c>
      <c r="RA5">
        <v>465.5</v>
      </c>
      <c r="RB5">
        <v>258.60000000000002</v>
      </c>
      <c r="RC5">
        <v>184.9</v>
      </c>
      <c r="RD5">
        <v>146.9</v>
      </c>
      <c r="RE5">
        <v>124.1</v>
      </c>
      <c r="RF5">
        <v>91.84</v>
      </c>
      <c r="RG5" s="90">
        <v>77.91</v>
      </c>
      <c r="RH5" s="89" t="s">
        <v>9314</v>
      </c>
      <c r="RI5">
        <v>597.4</v>
      </c>
      <c r="RJ5">
        <v>357.7</v>
      </c>
      <c r="RK5">
        <v>248.9</v>
      </c>
      <c r="RL5">
        <v>154.80000000000001</v>
      </c>
      <c r="RM5">
        <v>117.3</v>
      </c>
      <c r="RN5">
        <v>107.1</v>
      </c>
      <c r="RO5">
        <v>103.1</v>
      </c>
      <c r="RP5">
        <v>83.99</v>
      </c>
      <c r="RQ5" s="90">
        <v>70.209999999999994</v>
      </c>
      <c r="RR5" s="89" t="s">
        <v>9314</v>
      </c>
      <c r="RS5">
        <v>509</v>
      </c>
      <c r="RT5">
        <v>270.89999999999998</v>
      </c>
      <c r="RU5">
        <v>159.4</v>
      </c>
      <c r="RV5">
        <v>108.2</v>
      </c>
      <c r="RW5">
        <v>91.24</v>
      </c>
      <c r="RX5">
        <v>81.23</v>
      </c>
      <c r="RY5">
        <v>73.430000000000007</v>
      </c>
      <c r="RZ5">
        <v>58.3</v>
      </c>
      <c r="SA5" s="90">
        <v>47.82</v>
      </c>
      <c r="SB5" s="89" t="s">
        <v>9314</v>
      </c>
      <c r="SC5">
        <v>243.2</v>
      </c>
      <c r="SD5">
        <v>129.5</v>
      </c>
      <c r="SE5">
        <v>79.31</v>
      </c>
      <c r="SF5">
        <v>56.66</v>
      </c>
      <c r="SG5">
        <v>46.54</v>
      </c>
      <c r="SH5">
        <v>39.22</v>
      </c>
      <c r="SI5">
        <v>33.549999999999997</v>
      </c>
      <c r="SJ5">
        <v>24.03</v>
      </c>
      <c r="SK5" s="90">
        <v>18.41</v>
      </c>
      <c r="SL5" s="89" t="s">
        <v>9314</v>
      </c>
      <c r="SM5">
        <v>44.75</v>
      </c>
      <c r="SN5">
        <v>24.51</v>
      </c>
      <c r="SO5">
        <v>15.35</v>
      </c>
      <c r="SP5">
        <v>11.11</v>
      </c>
      <c r="SQ5">
        <v>8.82</v>
      </c>
      <c r="SR5">
        <v>7.05</v>
      </c>
      <c r="SS5">
        <v>5.74</v>
      </c>
      <c r="ST5">
        <v>3.71</v>
      </c>
      <c r="SU5" s="90">
        <v>2.62</v>
      </c>
      <c r="SW5" s="9" t="s">
        <v>190</v>
      </c>
      <c r="SX5" s="16" t="s">
        <v>9375</v>
      </c>
      <c r="SY5" s="29" t="s">
        <v>11134</v>
      </c>
      <c r="SZ5" s="89"/>
      <c r="TB5" s="90" t="s">
        <v>10540</v>
      </c>
      <c r="TC5" s="89"/>
      <c r="TE5" t="s">
        <v>9633</v>
      </c>
      <c r="TF5" s="90"/>
      <c r="TI5" s="253" t="s">
        <v>10191</v>
      </c>
      <c r="TJ5" s="257" t="s">
        <v>10532</v>
      </c>
      <c r="TK5" s="262" t="s">
        <v>10532</v>
      </c>
      <c r="TL5" t="s">
        <v>10199</v>
      </c>
      <c r="TM5" s="225" t="s">
        <v>10256</v>
      </c>
    </row>
    <row r="6" spans="1:534" ht="74.25" customHeight="1" thickBot="1" x14ac:dyDescent="0.25">
      <c r="A6" s="8" t="s">
        <v>184</v>
      </c>
      <c r="B6" s="8">
        <v>12</v>
      </c>
      <c r="D6" s="8" t="s">
        <v>188</v>
      </c>
      <c r="E6" s="8" t="b">
        <f>IF($D6='PI-1-MarineLoading'!$D$73,TRUE,FALSE)</f>
        <v>0</v>
      </c>
      <c r="G6">
        <f>IF(OR(H6=0,ISNUMBER(MATCH(H6,$H$1:H5,0))),0,MAX($G$1:G5)+1)</f>
        <v>0</v>
      </c>
      <c r="H6">
        <f>Products!A99</f>
        <v>0</v>
      </c>
      <c r="I6" t="str">
        <f t="shared" si="0"/>
        <v/>
      </c>
      <c r="K6">
        <f>IF(OR(L6=0,ISNUMBER(MATCH(L6,$L$1:L5,0))),0,MAX($K$1:K5)+1)</f>
        <v>0</v>
      </c>
      <c r="L6">
        <f>IF('PI-1-MarineLoading'!$G124&lt;&gt;"yes",0,"CAS")</f>
        <v>0</v>
      </c>
      <c r="M6" t="str">
        <f>IFERROR(VLOOKUP(ROW(A5),$K$2:$L$6,2,FALSE),"")</f>
        <v/>
      </c>
      <c r="O6" s="77">
        <f>IF(OR(P6=0,ISNUMBER(MATCH(P6,$P$1:P5,0))),0,MAX($O$1:O5)+1)</f>
        <v>0</v>
      </c>
      <c r="P6" s="77">
        <f>IF('PI-1-MarineLoading'!$G129&lt;&gt;"yes",0,"temporary flare")</f>
        <v>0</v>
      </c>
      <c r="Q6" s="77" t="str">
        <f t="shared" si="1"/>
        <v/>
      </c>
      <c r="S6">
        <f>IF(OR(T6=0,ISNUMBER(MATCH(T6,$T$1:T5,0))),0,MAX($S$1:S5)+1)</f>
        <v>0</v>
      </c>
      <c r="T6">
        <f>IF('PI-1-MarineLoading'!$G130&lt;&gt;"yes",0,"temporary VCU")</f>
        <v>0</v>
      </c>
      <c r="U6" t="str">
        <f t="shared" si="2"/>
        <v/>
      </c>
      <c r="W6">
        <f>IF(OR(X6=0,ISNUMBER(MATCH(X6,$X$1:X5,0))),0,MAX($W$1:W5)+1)</f>
        <v>0</v>
      </c>
      <c r="X6">
        <f>Products!$E12</f>
        <v>0</v>
      </c>
      <c r="Y6" t="str">
        <f t="shared" si="3"/>
        <v/>
      </c>
      <c r="AY6">
        <f>IF(OR(AZ6=0,ISNUMBER(MATCH(AZ6,$AZ$1:AZ5,0))),0,MAX($AY$1:AY5)+1)</f>
        <v>0</v>
      </c>
      <c r="AZ6">
        <f>IF('PI-1-MarineLoading'!$G$115&lt;5,0,IF(Tank5!$D$22="no control",0,Tank5!$D$7))</f>
        <v>0</v>
      </c>
      <c r="BA6">
        <f>IFERROR(VLOOKUP(ROW(A5),$AY$2:$AZ$6,2,FALSE),0)</f>
        <v>0</v>
      </c>
      <c r="BC6">
        <f>IF(OR(BD6=0,ISNUMBER(MATCH(BD6,$BD$1:BD5,0))),0,MAX($BC$1:BC5)+1)</f>
        <v>0</v>
      </c>
      <c r="BD6">
        <f>IF('PI-1-MarineLoading'!$G$115&lt;5,0,IF(COUNTIF(Tank5!$D$18,"*floating*")=0,0,Tank5!$D$7))</f>
        <v>0</v>
      </c>
      <c r="BE6">
        <f>IFERROR(VLOOKUP(ROW(A5),$BC$2:$BD$6,2,FALSE),0)</f>
        <v>0</v>
      </c>
      <c r="BG6">
        <f>IF(OR(BH6=0,ISNUMBER(MATCH(BH6,$BH$1:BH5,0))),0,MAX($BG$1:BG5)+1)</f>
        <v>0</v>
      </c>
      <c r="BH6">
        <f>IF('PI-1-MarineLoading'!$G$115&lt;5,0,IF(COUNTIF(Tank5!$D$18,"*floating*")=0,0,IF(ConvenienceLand!$D$81=0,0,ConvenienceLand!$D$82)))</f>
        <v>0</v>
      </c>
      <c r="BI6">
        <f>IFERROR(VLOOKUP(ROW(A5),$BG$2:$BH$6,2,FALSE),0)</f>
        <v>0</v>
      </c>
      <c r="BJ6">
        <f>IFERROR(VLOOKUP($BI6,$BX$2:$BY$7,2),0)</f>
        <v>0</v>
      </c>
      <c r="BL6">
        <f>IF(OR(BM6=0,ISNUMBER(MATCH(BM6,$BM$1:BM5,0))),0,MAX($BL$1:BL5)+1)</f>
        <v>0</v>
      </c>
      <c r="BM6">
        <f>IF('PI-1-MarineLoading'!$G$128&lt;&gt;"yes",0,IF('PI-1-MarineLoading'!$G130&lt;&gt;"yes",0,IF(COUNTIF(TankMSS!$C$14:$D$18,"temporary vcu")&gt;0,"temporary VCU (FIN "&amp;MSS!$D$89&amp;")",0)))</f>
        <v>0</v>
      </c>
      <c r="BN6">
        <f t="shared" si="4"/>
        <v>0</v>
      </c>
      <c r="BP6">
        <f>IF(OR(BQ6=0,ISNUMBER(MATCH(BQ6,$BQ$1:BQ5,0))),0,MAX($BP$1:BP5)+1)</f>
        <v>0</v>
      </c>
      <c r="BQ6">
        <f>IF('PI-1-MarineLoading'!$G$128&lt;&gt;"yes",0,IF('PI-1-MarineLoading'!$G130&lt;&gt;"yes",0,IF(COUNTIF(TankMSS!$C$107:$D$111,"temporary vcu")&gt;0,"temporary VCU (FIN "&amp;MSS!$D$89&amp;")",0)))</f>
        <v>0</v>
      </c>
      <c r="BR6">
        <f t="shared" si="5"/>
        <v>0</v>
      </c>
      <c r="BX6" t="s">
        <v>10518</v>
      </c>
      <c r="BY6">
        <f>MSS!$D$89</f>
        <v>0</v>
      </c>
      <c r="CA6">
        <f>IF(OR(CB6=0,ISNUMBER(MATCH(CB6,$CB$1:CB5,0))),0,MAX($CA$1:CA5)+1)</f>
        <v>0</v>
      </c>
      <c r="CB6" s="8">
        <f>IF(OR(Tank1!$D$18="EXTERNAL FLOATING ROOF",Tank1!$D$18="INTERNAL FLOATING ROOF"),IF(Tank1!$E36="",0,Tank1!$E36),0)</f>
        <v>0</v>
      </c>
      <c r="CC6" s="8" t="str">
        <f t="shared" si="6"/>
        <v/>
      </c>
      <c r="CD6" s="8"/>
      <c r="CE6" s="8">
        <f>IF(OR(CF6=0,ISNUMBER(MATCH(CF6,$CF$1:CF5,0))),0,MAX($CE$1:CE5)+1)</f>
        <v>0</v>
      </c>
      <c r="CF6" s="8">
        <f>IF(OR(Tank1!$D$18="HORIZONTAL FIXED ROOF",Tank1!$D$18="VERTICAL FIXED ROOF"),IF(Tank1!$E36="",0,Tank1!$E36),0)</f>
        <v>0</v>
      </c>
      <c r="CG6" s="8" t="str">
        <f t="shared" si="7"/>
        <v/>
      </c>
      <c r="CJ6">
        <f>IF(OR(CK6=0,ISNUMBER(MATCH(CK6,$CK$1:CK5,0))),0,MAX($CJ$1:CJ5)+1)</f>
        <v>0</v>
      </c>
      <c r="CK6">
        <f>Tank1!$A$76</f>
        <v>0</v>
      </c>
      <c r="CL6" t="str">
        <f t="shared" si="8"/>
        <v/>
      </c>
      <c r="CM6">
        <f>IFERROR(VLOOKUP($CK6,Tank1!$A$32:$D$141,3,FALSE),0)</f>
        <v>0</v>
      </c>
      <c r="CN6">
        <f>IFERROR(VLOOKUP($CK6,Tank1!$A$32:$D$141,4,FALSE),0)</f>
        <v>0</v>
      </c>
      <c r="CP6">
        <f>IF(OR(CQ6=0,ISNUMBER(MATCH(CQ6,$CQ$1:CQ5,0))),0,MAX($CP$1:CP5)+1)</f>
        <v>0</v>
      </c>
      <c r="CQ6">
        <f>IF('PI-1-MarineLoading'!$G$115&lt;ROW($A5),0,IF(Tank5!$D$25="yes",Tank5!$D$7,0))</f>
        <v>0</v>
      </c>
      <c r="CR6">
        <f>IFERROR(VLOOKUP(ROW(A5),$CP$2:$CQ$6,2,FALSE),0)</f>
        <v>0</v>
      </c>
      <c r="CT6">
        <f>IF(OR(CU6=0,ISNUMBER(MATCH(CU6,$CU$1:CU5,0))),0,MAX($CT$1:CT5)+1)</f>
        <v>0</v>
      </c>
      <c r="CU6">
        <f>IF('PI-1-MarineLoading'!$G$115&lt;ROW($A5),0,IF(Tank5!$D$26="yes",Tank5!$D$7,0))</f>
        <v>0</v>
      </c>
      <c r="CV6">
        <f>IFERROR(VLOOKUP(ROW(A5),$CT$2:$CU$6,2,FALSE),0)</f>
        <v>0</v>
      </c>
      <c r="CX6" t="s">
        <v>9799</v>
      </c>
      <c r="DD6">
        <f>IF(OR(DE6=0,ISNUMBER(MATCH(DE6,$DE$1:DE5,0))),0,MAX($DD$1:DD5)+1)</f>
        <v>0</v>
      </c>
      <c r="DE6">
        <f>IF('PI-1-MarineLoading'!$G$120="yes",'Load-MarineShip'!$F$7,0)</f>
        <v>0</v>
      </c>
      <c r="DF6">
        <f>IFERROR(VLOOKUP(ROW(A5),$DD$2:$DE$6,2,FALSE),0)</f>
        <v>0</v>
      </c>
      <c r="DH6">
        <f>IF(OR(DI6=0,ISNUMBER(MATCH(DI6,$DI$1:DI5,0))),0,MAX($DH$1:DH5)+1)</f>
        <v>0</v>
      </c>
      <c r="DI6">
        <f>IF('PI-1-MarineLoading'!$G$115&lt;ROW($A5),0,IF(Tank5!$D$22="CAS",Tank5!$D$7,0))</f>
        <v>0</v>
      </c>
      <c r="DJ6">
        <f t="shared" si="9"/>
        <v>0</v>
      </c>
      <c r="DM6">
        <f>IF(OR(DN6=0,ISNUMBER(MATCH(DN6,$DN$1:DN5,0))),0,MAX($DM$1:DM5)+1)</f>
        <v>0</v>
      </c>
      <c r="DN6">
        <f>IF(Tank1!$D$22="Flare",IFERROR(VLOOKUP(Products!$A$99,Tank1!$A$32:$B$141,1,FALSE),0),0)</f>
        <v>0</v>
      </c>
      <c r="DO6">
        <f>IF($DN6=0,0,VLOOKUP($DN6,Tank1!$A$32:$H$141,7,FALSE))</f>
        <v>0</v>
      </c>
      <c r="DP6">
        <f>IF($DN6=0,0,VLOOKUP($DN6,Tank1!$A$32:$H$141,8,FALSE))</f>
        <v>0</v>
      </c>
      <c r="DQ6" t="str">
        <f t="shared" si="10"/>
        <v/>
      </c>
      <c r="DR6">
        <f t="shared" si="15"/>
        <v>0</v>
      </c>
      <c r="DS6">
        <f t="shared" si="16"/>
        <v>0</v>
      </c>
      <c r="DU6">
        <f>IF(OR(DV6=0,ISNUMBER(MATCH(DV6,$DV$1:DV5,0))),0,MAX($DU$1:DU5)+1)</f>
        <v>0</v>
      </c>
      <c r="DV6">
        <f>IF(Tank1!$D$22="VCU",IFERROR(VLOOKUP(Products!$A$99,Tank1!$A$32:$B$141,1,FALSE),0),0)</f>
        <v>0</v>
      </c>
      <c r="DW6">
        <f>IF($DV6=0,0,VLOOKUP($DV6,Tank1!$A$32:$H$141,7,FALSE))</f>
        <v>0</v>
      </c>
      <c r="DX6">
        <f>IF($DV6=0,0,VLOOKUP($DV6,Tank1!$A$32:$H$141,8,FALSE))</f>
        <v>0</v>
      </c>
      <c r="DY6" t="str">
        <f t="shared" si="11"/>
        <v/>
      </c>
      <c r="DZ6">
        <f t="shared" si="17"/>
        <v>0</v>
      </c>
      <c r="EA6">
        <f t="shared" si="18"/>
        <v>0</v>
      </c>
      <c r="EC6">
        <f>IF(OR(ED6=0,ISNUMBER(MATCH(ED6,$ED$1:ED5,0))),0,MAX($EC$1:EC5)+1)</f>
        <v>0</v>
      </c>
      <c r="ED6">
        <f>IF(Tank1!$D$22="vapor oxidizer",IFERROR(VLOOKUP(Products!$A$99,Tank1!$A$32:$B$141,1,FALSE),0),0)</f>
        <v>0</v>
      </c>
      <c r="EE6">
        <f>IF($ED6=0,0,VLOOKUP($ED6,Tank1!$A$32:$H$141,7,FALSE))</f>
        <v>0</v>
      </c>
      <c r="EF6">
        <f>IF($ED6=0,0,VLOOKUP($ED6,Tank1!$A$32:$H$141,8,FALSE))</f>
        <v>0</v>
      </c>
      <c r="EG6" t="str">
        <f t="shared" si="12"/>
        <v/>
      </c>
      <c r="EH6">
        <f t="shared" si="19"/>
        <v>0</v>
      </c>
      <c r="EI6">
        <f t="shared" si="20"/>
        <v>0</v>
      </c>
      <c r="EK6">
        <f>IF(OR(EL6=0,ISNUMBER(MATCH(EL6,$EL$1:EL5,0))),0,MAX($EK$1:EK5)+1)</f>
        <v>0</v>
      </c>
      <c r="EL6">
        <f>IF(Tank1!$D$22="CAS",IFERROR(VLOOKUP(Products!A99,Tank1!$A$32:$B$141,1,FALSE),0),0)</f>
        <v>0</v>
      </c>
      <c r="EM6">
        <f>IF($EL6=0,0,VLOOKUP($EL6,Tank1!$A$32:$H$141,7,FALSE))</f>
        <v>0</v>
      </c>
      <c r="EN6">
        <f>IF($EL6=0,0,VLOOKUP($EL6,Tank1!$A$32:$H$141,8,FALSE))</f>
        <v>0</v>
      </c>
      <c r="EO6" t="str">
        <f t="shared" si="13"/>
        <v/>
      </c>
      <c r="EP6">
        <f t="shared" si="21"/>
        <v>0</v>
      </c>
      <c r="EQ6">
        <f t="shared" si="22"/>
        <v>0</v>
      </c>
      <c r="ES6">
        <f>IF(OR(ET6=0,ISNUMBER(MATCH(ET6,$ET$1:ET5,0))),0,MAX($ES$1:ES5)+1)</f>
        <v>0</v>
      </c>
      <c r="ET6">
        <f>IF(OR(Fug!$F25="",Fug!$F25="N/A"),0,Fug!$F25)</f>
        <v>0</v>
      </c>
      <c r="EU6">
        <f t="shared" si="14"/>
        <v>0</v>
      </c>
      <c r="EX6">
        <f>MSS!$A39</f>
        <v>0</v>
      </c>
      <c r="EY6">
        <f>MSS!$G39*MSS!F$144</f>
        <v>0</v>
      </c>
      <c r="EZ6">
        <f>MSS!$G39*MSS!G$144</f>
        <v>0</v>
      </c>
      <c r="FB6" s="8" t="s">
        <v>365</v>
      </c>
      <c r="FC6" s="8" t="s">
        <v>366</v>
      </c>
      <c r="FD6" s="8">
        <v>1250</v>
      </c>
      <c r="FE6" s="8">
        <v>125</v>
      </c>
      <c r="FG6" s="360" t="str">
        <f t="shared" si="23"/>
        <v/>
      </c>
      <c r="FH6" s="155">
        <f>IF(Tank1!$D$22="NO CONTROL",_xlfn.MAXIFS(Tank1!$G$32:$G$141,Tank1!$E$32:$E$141,$FG6),0)*IFERROR($QR$3,0)</f>
        <v>0</v>
      </c>
      <c r="FI6" s="155">
        <f>_xlfn.MAXIFS(LandEmiss!$AF$20:$AF$119,LandEmiss!$AE$20:$AE$119,$FG6)*IFERROR($QR$3,0)</f>
        <v>0</v>
      </c>
      <c r="FJ6" s="155">
        <f>MAX(_xlfn.MAXIFS(LandEmiss!$CO$20:$CO$119,LandEmiss!$CN$20:$CN$119,$FG6),_xlfn.MAXIFS(LandEmiss!$EZ$9:$EZ$108,LandEmiss!$EY$9:$EY$108,$FG6))*IFERROR($QR$3,0)</f>
        <v>0</v>
      </c>
      <c r="FK6" s="155">
        <f>IF(Tank2!$D$22="NO CONTROL",_xlfn.MAXIFS(Tank2!$G$32:$G$141,Tank2!$E$32:$E$141,$FG6),0)*IFERROR($QR$4,0)</f>
        <v>0</v>
      </c>
      <c r="FL6" s="155">
        <f>_xlfn.MAXIFS(LandEmiss!$AG$20:$AG$119,LandEmiss!$AE$20:$AE$119,$FG6)*IFERROR($QR$4,0)</f>
        <v>0</v>
      </c>
      <c r="FM6" s="155">
        <f>MAX(_xlfn.MAXIFS(LandEmiss!$CP$20:$CP$119,LandEmiss!$CN$20:$CN$119,$FG6),_xlfn.MAXIFS(LandEmiss!$FA$9:$FA$108,LandEmiss!$EY$9:$EY$108,$FG6))*IFERROR($QR$4,0)</f>
        <v>0</v>
      </c>
      <c r="FN6" s="155">
        <f>IF(Tank3!$D$22="NO CONTROL",_xlfn.MAXIFS(Tank3!$G$32:$G$141,Tank3!$E$32:$E$141,$FG6),0)*IFERROR($QR$5,0)</f>
        <v>0</v>
      </c>
      <c r="FO6" s="155">
        <f>_xlfn.MAXIFS(LandEmiss!$AH$20:$AH$119,LandEmiss!$AE$20:$AE$119,$FG6)*IFERROR($QR$5,0)</f>
        <v>0</v>
      </c>
      <c r="FP6" s="155">
        <f>MAX(_xlfn.MAXIFS(LandEmiss!$CQ$20:$CQ$119,LandEmiss!$CN$20:$CN$119,$FG6),_xlfn.MAXIFS(LandEmiss!$FB$9:$FB$108,LandEmiss!$EY$9:$EY$108,$FG6))*IFERROR($QR$5,0)</f>
        <v>0</v>
      </c>
      <c r="FQ6" s="155">
        <f>IF(Tank4!$D$22="NO CONTROL",_xlfn.MAXIFS(Tank4!$G$32:$G$141,Tank4!$E$32:$E$141,$FG6),0)*IFERROR($QR$6,0)</f>
        <v>0</v>
      </c>
      <c r="FR6" s="155">
        <f>_xlfn.MAXIFS(LandEmiss!$AI$20:$AI$119,LandEmiss!$AE$20:$AE$119,$FG6)*IFERROR($QR$6,0)</f>
        <v>0</v>
      </c>
      <c r="FS6" s="155">
        <f>MAX(_xlfn.MAXIFS(LandEmiss!$CR$20:$CR$119,LandEmiss!$CN$20:$CN$119,$FG6),_xlfn.MAXIFS(LandEmiss!$FC$9:$FC$108,LandEmiss!$EY$9:$EY$108,$FG6))*IFERROR($QR$6,0)</f>
        <v>0</v>
      </c>
      <c r="FT6" s="155">
        <f>IF(Tank5!$D$22="NO CONTROL",_xlfn.MAXIFS(Tank5!$G$32:$G$141,Tank5!$E$32:$E$141,$FG6),0)*IFERROR($QR$7,0)</f>
        <v>0</v>
      </c>
      <c r="FU6" s="155">
        <f>_xlfn.MAXIFS(LandEmiss!$AJ$20:$AJ$119,LandEmiss!$AE$20:$AE$119,$FG6)*IFERROR($QR$7,0)</f>
        <v>0</v>
      </c>
      <c r="FV6" s="155">
        <f>MAX(_xlfn.MAXIFS(LandEmiss!$CS$20:$CS$119,LandEmiss!$CN$20:$CN$119,$FG6),_xlfn.MAXIFS(LandEmiss!$FD$9:$FD$108,LandEmiss!$EY$9:$EY$108,$FG6))*IFERROR($QR11,0)</f>
        <v>0</v>
      </c>
      <c r="FW6" s="155">
        <f>_xlfn.MAXIFS('Load-DrumTote'!$K$27:$K$136,'Load-DrumTote'!$F$27:$F$136,$FG6)*IFERROR($QR$8,0)</f>
        <v>0</v>
      </c>
      <c r="FX6" s="155">
        <f>_xlfn.MAXIFS('Load-Truck'!$K$27:$K$136,'Load-Truck'!$F$27:$F$136,$FG6)*IFERROR($QR$9,0)</f>
        <v>0</v>
      </c>
      <c r="FY6" s="155">
        <f>_xlfn.MAXIFS('Load-Rail'!$K$27:$K$136,'Load-Rail'!$F$27:$F$136,$FG6)*IFERROR($QR$10,0)</f>
        <v>0</v>
      </c>
      <c r="FZ6" s="155">
        <f>_xlfn.MAXIFS('Load-MarineBarge'!$K$27:$K$136,'Load-MarineBarge'!$F$27:$F$136,$FG6)*IFERROR($QR$11,0)</f>
        <v>0</v>
      </c>
      <c r="GA6" s="155">
        <f>_xlfn.MAXIFS('Load-MarineShip'!$K$27:$K$136,'Load-MarineShip'!$F$27:$F$136,$FG6)*IFERROR($QR$12,0)</f>
        <v>0</v>
      </c>
      <c r="GB6" s="313">
        <f>IF(OR(Flare!$D$24="fuel gas",Flare!$D$38="fuel gas"),SUMIF(Flare!$E$97:$E$106,$FG6,Flare!$F$97:$F$106),0)*IFERROR($QR$13,0)</f>
        <v>0</v>
      </c>
      <c r="GC6" s="313">
        <f>(_xlfn.MAXIFS(CtrlDevImpacts!$I$57:$I$156,CtrlDevImpacts!$H$57:$H$156,$FG6))*IFERROR($QR$13,0)</f>
        <v>0</v>
      </c>
      <c r="GD6" s="313">
        <f>(_xlfn.MAXIFS(Flare!$F$107:$F$216,Flare!$E$107:$E$216,$FG6)-_xlfn.MAXIFS(CtrlDevImpacts!$I$57:$I$156,CtrlDevImpacts!$H$57:$H$156,$FG6))*IFERROR($QR$13,0)</f>
        <v>0</v>
      </c>
      <c r="GE6" s="155">
        <f>_xlfn.MAXIFS(LandEmiss!$B$335:$B$434,LandEmiss!$A$335:$A$434,$FG6)*IFERROR($QR$13,0)</f>
        <v>0</v>
      </c>
      <c r="GF6" s="155">
        <f>(_xlfn.MAXIFS(LandEmiss!$BK$335:$BK$434,LandEmiss!$BJ$335:$BJ$434,$FG6)+_xlfn.MAXIFS(LandEmiss!$DV$323:$DV$422,LandEmiss!$DU$323:$DU$422,$FG6))*IFERROR($QR$13,0)</f>
        <v>0</v>
      </c>
      <c r="GG6" s="313">
        <f>IF(OR(VCU!$D$26="fuel gas",VCU!$D$42="fuel gas"),SUMIF(VCU!$E$120:$E$129,$FG6,VCU!$F$120:$F$129),0)*IFERROR($QR$14,0)</f>
        <v>0</v>
      </c>
      <c r="GH6" s="313">
        <f>(_xlfn.MAXIFS(CtrlDevImpacts!$X$57:$X$156,CtrlDevImpacts!$W$57:$W$156,$FG6))*IFERROR($QR$14,0)</f>
        <v>0</v>
      </c>
      <c r="GI6" s="313">
        <f>(_xlfn.MAXIFS(VCU!$F$130:$F$239,VCU!$E$130:$E$239,$FG6)-_xlfn.MAXIFS(CtrlDevImpacts!$X$57:$X$156,CtrlDevImpacts!$W$57:$W$156,$FG6))*IFERROR($QR$14,0)</f>
        <v>0</v>
      </c>
      <c r="GJ6" s="155">
        <f>_xlfn.MAXIFS(LandEmiss!$D$335:$D$434,LandEmiss!$A$335:$A$434,$FG6)*IFERROR($QR$14,0)</f>
        <v>0</v>
      </c>
      <c r="GK6" s="155">
        <f>(_xlfn.MAXIFS(LandEmiss!$BM$335:$BM$434,LandEmiss!$BJ$335:$BJ$434,$FG6)+_xlfn.MAXIFS(LandEmiss!$DX$323:$DX$422,LandEmiss!$DU$323:$DU$422,$FG6))*IFERROR($QR$14,0)</f>
        <v>0</v>
      </c>
      <c r="GL6" s="313">
        <f>IF(VaporOxidizer!D37="FUEL GAS",SUMIF(VaporOxidizer!$E$101:$E$110,$FG6,VaporOxidizer!$F$101:$F$110),0)*IFERROR($QR$15,0)</f>
        <v>0</v>
      </c>
      <c r="GM6" s="313">
        <f>(_xlfn.MAXIFS(CtrlDevImpacts!$AN$57:$AN$156,CtrlDevImpacts!$AM$57:$AM$156,$FG6))*IFERROR($QR$15,0)</f>
        <v>0</v>
      </c>
      <c r="GN6" s="313">
        <f>(_xlfn.MAXIFS(VaporOxidizer!$F$111:$F$220,VaporOxidizer!$E$111:$E$220,$FG6)-_xlfn.MAXIFS(CtrlDevImpacts!$AN$57:$AN$156,CtrlDevImpacts!$AM$57:$AM$156,$FG6))*IFERROR($QR$15,0)</f>
        <v>0</v>
      </c>
      <c r="GO6" s="155">
        <f>_xlfn.MAXIFS(LandEmiss!$F$335:$F$434,LandEmiss!$A$335:$A$434,$FG6)*IFERROR($QR$15,0)</f>
        <v>0</v>
      </c>
      <c r="GP6" s="155">
        <f>(_xlfn.MAXIFS(LandEmiss!$BK$335:$BK$434,LandEmiss!$BO$335:$BO$434,$FG6)+_xlfn.MAXIFS(LandEmiss!$DZ$323:$DZ$422,LandEmiss!$DU$323:$DU$422,$FG6))*IFERROR($QR$15,0)</f>
        <v>0</v>
      </c>
      <c r="GQ6" s="313">
        <f>_xlfn.MAXIFS(CtrlDevImpacts!$BD$57:$BD$156,CtrlDevImpacts!$BC$57:$BC$156,$FG6)*IFERROR(Hidden!$QR$16,0)</f>
        <v>0</v>
      </c>
      <c r="GR6" s="313">
        <f>(_xlfn.MAXIFS(CAS!$H$35:$H$144,CAS!$E$35:$E$144,$FG6)-_xlfn.MAXIFS(CtrlDevImpacts!$BD$57:$BD$156,CtrlDevImpacts!$BC$57:$BC$156,$FG6))*IFERROR(Hidden!$QR$16,0)</f>
        <v>0</v>
      </c>
      <c r="GS6" s="155">
        <f>_xlfn.MAXIFS(LandEmiss!$H$335:$H$434,LandEmiss!$A$335:$A$434,$FG6)*IFERROR($QR$27,0)</f>
        <v>0</v>
      </c>
      <c r="GT6" s="155">
        <f>(_xlfn.MAXIFS(LandEmiss!$BK$335:$BK$434,LandEmiss!$BQ$335:$BQ$434,$FG6)+_xlfn.MAXIFS(LandEmiss!$EB$323:$EB$422,LandEmiss!$DU$323:$DU$422,$FG6))*IFERROR($QR$27,0)</f>
        <v>0</v>
      </c>
      <c r="GU6" s="155">
        <f>_xlfn.MAXIFS(LandEmiss!$J$335:$J$434,LandEmiss!$A$335:$A$434,$FG6)*IFERROR($QR$26,0)</f>
        <v>0</v>
      </c>
      <c r="GV6" s="155">
        <f>(_xlfn.MAXIFS(LandEmiss!$BK$335:$BK$434,LandEmiss!$BS$335:$BS$434,$FG6)+_xlfn.MAXIFS(LandEmiss!$ED$323:$ED$422,LandEmiss!$DU$323:$DU$422,$FG6))*IFERROR($QR$26,0)</f>
        <v>0</v>
      </c>
      <c r="GW6" s="155">
        <f>_xlfn.MAXIFS(LandEmiss!$L$335:$L$434,LandEmiss!$A$335:$A$434,$FG6)*IFERROR($QR$25,0)</f>
        <v>0</v>
      </c>
      <c r="GX6" s="155">
        <f>(_xlfn.MAXIFS(LandEmiss!$BK$335:$BK$434,LandEmiss!$BU$335:$BU$434,$FG6)+_xlfn.MAXIFS(LandEmiss!$EF$323:$EF$422,LandEmiss!$DU$323:$DU$422,$FG6))*IFERROR($QR$25,0)</f>
        <v>0</v>
      </c>
      <c r="GY6" s="155">
        <v>0</v>
      </c>
      <c r="GZ6" s="155">
        <v>0</v>
      </c>
      <c r="HA6" s="155">
        <f>IF(OR(HeaterBoiler1!$E$26&lt;&gt;"fuel gas",HeaterBoiler1!$E$15&lt;&gt;"heater"),0,SUMIF(HeaterBoiler1!$A$54:$D$63,$FG6,HeaterBoiler1!$I$54:$I$63))*IFERROR($QR$19,0)</f>
        <v>0</v>
      </c>
      <c r="HB6" s="207">
        <f>IF(OR(HeaterBoiler2!$E$26&lt;&gt;"fuel gas",HeaterBoiler2!$E$15&lt;&gt;"heater"),0,SUMIF(HeaterBoiler2!$A$54:$D$63,$FG6,HeaterBoiler2!$I$54:$I$63))*IFERROR($QR$21,0)</f>
        <v>0</v>
      </c>
      <c r="HC6" s="155">
        <f>IF(OR(HeaterBoiler1!$E$26&lt;&gt;"fuel gas",HeaterBoiler1!$E$15&lt;&gt;"boiler"),0,SUMIF(HeaterBoiler1!$A$41:$A$50,$FG6,HeaterBoiler1!$F$41:$F$50))*IFERROR($QR$20,0)</f>
        <v>0</v>
      </c>
      <c r="HD6" s="207">
        <f>IF(OR(HeaterBoiler2!$E$26&lt;&gt;"fuel gas",HeaterBoiler2!$E$15&lt;&gt;"boiler"),0,SUMIF(HeaterBoiler2!$A$41:$A$50,$FG6,HeaterBoiler2!$F$41:$F$50))*IFERROR($QR$22,0)</f>
        <v>0</v>
      </c>
      <c r="HE6" s="155">
        <f>SUMIF(Fug!$A$96:$A$205,$FG6,Fug!$I$96:$I$205)*IFERROR(Hidden!$QR$23,0)</f>
        <v>0</v>
      </c>
      <c r="HF6" s="155">
        <f t="shared" si="24"/>
        <v>0</v>
      </c>
      <c r="HG6" s="156">
        <f t="shared" si="25"/>
        <v>0</v>
      </c>
      <c r="HH6" s="156">
        <f t="shared" si="26"/>
        <v>0</v>
      </c>
      <c r="HI6" s="156">
        <f t="shared" si="27"/>
        <v>0</v>
      </c>
      <c r="HJ6" s="156">
        <f t="shared" si="28"/>
        <v>0</v>
      </c>
      <c r="HK6" s="156">
        <f t="shared" si="29"/>
        <v>0</v>
      </c>
      <c r="HL6" s="156">
        <f t="shared" si="30"/>
        <v>0</v>
      </c>
      <c r="NO6" s="155">
        <f>IF(Tank1!$D$22="No control",(SUMIF(Tank1!$E$32:$E$141,$FG6,Tank1!$H$32:$H$141)*(2000/8760)*IFERROR($QV$3,0)),0)</f>
        <v>0</v>
      </c>
      <c r="NP6" s="156">
        <f>SUMIF(LandEmiss!$AE$20:$AE$119,$FG6,LandEmiss!$AK$20:$AK$119)*(2000/8760)*IFERROR($QV$3,0)</f>
        <v>0</v>
      </c>
      <c r="NQ6" s="156">
        <f>(SUMIF(LandEmiss!$CN$20:$CN$119,$FG6,LandEmiss!$CT$20:$CT$119)+SUMIF(LandEmiss!$EY$9:$EY$108,$FG6,LandEmiss!$FE$9:$FE$108))*IFERROR($QV$3,0)*(2000/8760)</f>
        <v>0</v>
      </c>
      <c r="NR6" s="155">
        <f>IF(Tank2!$D$22="No control",(SUMIF(Tank2!$E$32:$E$141,$FG6,Tank2!$H$32:$H$141)*(2000/8760)*IFERROR($QV$4,0)),0)</f>
        <v>0</v>
      </c>
      <c r="NS6" s="156">
        <f>SUMIF(LandEmiss!$AE$20:$AE$119,$FG6,LandEmiss!$AL$20:$AL$119)*(2000/8760)*IFERROR($QV$4,0)</f>
        <v>0</v>
      </c>
      <c r="NT6" s="156">
        <f>(SUMIF(LandEmiss!$CN$20:$CN$119,$FG6,LandEmiss!$CU$20:$CU$119)+SUMIF(LandEmiss!$EY$9:$EY$108,$FG6,LandEmiss!$FF$9:$FF$108))*IFERROR($QV$4,0)*(2000/8760)</f>
        <v>0</v>
      </c>
      <c r="NU6" s="155">
        <f>IF(Tank3!$D$22="No control",(SUMIF(Tank3!$E$32:$E$141,$FG6,Tank3!$H$32:$H$141)*(2000/8760)*IFERROR($QV$5,0)),0)</f>
        <v>0</v>
      </c>
      <c r="NV6" s="156">
        <f>SUMIF(LandEmiss!$AE$20:$AE$119,$FG6,LandEmiss!$AM$20:$AM$119)*(2000/8760)*IFERROR($QV$5,0)</f>
        <v>0</v>
      </c>
      <c r="NW6" s="156">
        <f>(SUMIF(LandEmiss!$CN$20:$CN$119,$FG6,LandEmiss!$CV$20:$CV$119)+SUMIF(LandEmiss!$EY$9:$EY$108,$FG6,LandEmiss!$FG$9:$FG$108))*IFERROR($QV$5,0)*(2000/8760)</f>
        <v>0</v>
      </c>
      <c r="NX6" s="155">
        <f>IF(Tank4!$D$22="No control",(SUMIF(Tank4!$E$32:$E$141,$FG6,Tank4!$H$32:$H$141)*(2000/8760)*IFERROR($QV$6,0)),0)</f>
        <v>0</v>
      </c>
      <c r="NY6" s="156">
        <f>SUMIF(LandEmiss!$AE$20:$AE$119,$FG6,LandEmiss!$AN$20:$AN$119)*(2000/8760)*IFERROR($QV$6,0)</f>
        <v>0</v>
      </c>
      <c r="NZ6" s="156">
        <f>(SUMIF(LandEmiss!$CN$20:$CN$119,$FG6,LandEmiss!$CW$20:$CW$119)+SUMIF(LandEmiss!$EY$9:$EY$108,$FG6,LandEmiss!$FH$9:$FH$108))*IFERROR($QV$6,0)*(2000/8760)</f>
        <v>0</v>
      </c>
      <c r="OA6" s="155">
        <f>IF(Tank5!$D$22="No control",(SUMIF(Tank5!$E$32:$E$141,$FG6,Tank5!$H$32:$H$141)*(2000/8760)*IFERROR($QV$7,0)),0)</f>
        <v>0</v>
      </c>
      <c r="OB6" s="156">
        <f>SUMIF(LandEmiss!$AE$20:$AE$119,$FG6,LandEmiss!$AO$20:$AO$119)*(2000/8760)*IFERROR($QV$7,0)</f>
        <v>0</v>
      </c>
      <c r="OC6" s="156">
        <f>(SUMIF(LandEmiss!$CN$20:$CN$119,$FG6,LandEmiss!$CX$20:$CX$119)+SUMIF(LandEmiss!$EY$9:$EY$108,$FG6,LandEmiss!$FI$9:$FI$108))*IFERROR($QV$7,0)*(2000/8760)</f>
        <v>0</v>
      </c>
      <c r="OD6" s="155">
        <f>SUMIFS('Load-DrumTote'!$L$27:$L$136,'Load-DrumTote'!$F$27:$F$136,$FG6)*IFERROR($QV$8,0)*(2000/8760)</f>
        <v>0</v>
      </c>
      <c r="OE6" s="155">
        <f>SUMIFS('Load-Truck'!$L$27:$L$136,'Load-Truck'!$F$27:$F$136,$FG6)*IFERROR($QV$9,0)*(2000/8760)</f>
        <v>0</v>
      </c>
      <c r="OF6" s="155">
        <f>SUMIFS('Load-Rail'!$L$27:$L$136,'Load-Rail'!$F$27:$F$136,$FG6)*IFERROR($QV$10,0)*(2000/8760)</f>
        <v>0</v>
      </c>
      <c r="OG6" s="155">
        <f>SUMIFS('Load-MarineBarge'!$L$27:$L$136,'Load-MarineBarge'!$F$27:$F$136,$FG6)*IFERROR($QV$11,0)*(2000/8760)</f>
        <v>0</v>
      </c>
      <c r="OH6" s="155">
        <f>SUMIFS('Load-MarineShip'!$L$27:$L$136,'Load-MarineShip'!$F$27:$F$136,$FG6)*IFERROR($QV$12,0)*(2000/8760)</f>
        <v>0</v>
      </c>
      <c r="OI6" s="155">
        <f>(IF(OR(Flare!$D$24="FUEL GAS",Flare!$D$38="FUEL GAS"),SUMIF(Flare!$E$97:$E$106,$FG6,Flare!$G$97:$G$105),0)+SUMIF(Flare!$E$107:$E$216,$FG6,Flare!$G$107:$G$216))*(2000/8730)*IFERROR($QV$13,0)</f>
        <v>0</v>
      </c>
      <c r="OJ6" s="155">
        <f>SUMIF(LandEmiss!$A$335:$A$434,$FG6,LandEmiss!$C$335:$C$434)*(2000/8760)*IFERROR($QV$13,0)</f>
        <v>0</v>
      </c>
      <c r="OK6" s="155">
        <f>(SUMIF(LandEmiss!$BJ$335:$BJ$434,$FG6,LandEmiss!$BL$335:$BL$434)+SUMIF(LandEmiss!$DU$323:$DU$422,$FG6,LandEmiss!$DW$323:$DW$422))*(2000/8760)*IFERROR($QV$13,0)</f>
        <v>0</v>
      </c>
      <c r="OL6" s="155">
        <f>(IF(OR(VCU!$D$26="FUEL GAS",VCU!$D$42="FUEL GAS"),SUMIF(VCU!$E$120:$E$129,$FG6,VCU!$G$120:$G$129),0)+SUMIF(VCU!$E$130:$E$239,$FG6,VCU!G134:G243))*(2000/8760)*IFERROR($QV$14,0)</f>
        <v>0</v>
      </c>
      <c r="OM6" s="155">
        <f>SUMIF(LandEmiss!$A$335:$A$434,$FG6,LandEmiss!$E$335:$E$434)*(2000/8760)*IFERROR($QV$14,0)</f>
        <v>0</v>
      </c>
      <c r="ON6" s="155">
        <f>(SUMIF(LandEmiss!$BJ$335:$BJ$434,$FG6,LandEmiss!$BN$335:$BN$434)+SUMIF(LandEmiss!$DU$323:$DU$422,$FG6,LandEmiss!$DY$323:$DY$422))*(2000/8760)*IFERROR($QV$14,0)</f>
        <v>0</v>
      </c>
      <c r="OO6" s="155">
        <f>(IF(VaporOxidizer!$D$33="FUEL GAS",SUMIF(VaporOxidizer!$E$101:$E$110,$FG6,VaporOxidizer!$G$101:$G$110),0)+SUMIF(VaporOxidizer!$E$111:$E$220,$FG6,VaporOxidizer!$G$111:$G$220))*(2000/8760)*IFERROR($QV$15,0)</f>
        <v>0</v>
      </c>
      <c r="OP6" s="155">
        <f>SUMIF(LandEmiss!$A$335:$A$434,$FG6,LandEmiss!$G$335:$G$434)*(2000/8760)*IFERROR($QV$15,0)</f>
        <v>0</v>
      </c>
      <c r="OQ6" s="155">
        <f>(SUMIF(LandEmiss!$BJ$335:$BJ$434,$FG6,LandEmiss!$BP$335:$BP$434)+SUMIF(LandEmiss!$DU$323:$DU$422,$FG6,LandEmiss!$EA$323:$EA$422))*(2000/8760)*IFERROR($QV$15,0)</f>
        <v>0</v>
      </c>
      <c r="OR6" s="155">
        <f>SUMIF(CAS!$E$35:$E$144,Hidden!$FG6,CAS!$I$35:$I$144)*IFERROR($QV$16,0)*(2000/8760)</f>
        <v>0</v>
      </c>
      <c r="OS6" s="155">
        <f>SUMIF(LandEmiss!$A$335:$A$434,$FG6,LandEmiss!$I$335:$I$434)*(2000/8760)*IFERROR($QV$27,0)</f>
        <v>0</v>
      </c>
      <c r="OT6" s="155">
        <f>(SUMIF(LandEmiss!$BJ$335:$BJ$434,$FG6,LandEmiss!$BR$335:$BR$434)+SUMIF(LandEmiss!$DU$323:$DU$422,$FG6,LandEmiss!$EC$323:$EC$422))*(2000/8760)*IFERROR($QV$27,0)</f>
        <v>0</v>
      </c>
      <c r="OU6" s="155">
        <f>SUMIF(LandEmiss!$A$335:$A$434,$FG6,LandEmiss!$K$335:$K$434)*(2000/8760)*IFERROR($QV$26,0)</f>
        <v>0</v>
      </c>
      <c r="OV6" s="155">
        <f>(SUMIF(LandEmiss!$BJ$335:$BJ$434,$FG6,LandEmiss!$BT$335:$BT$434)+SUMIF(LandEmiss!$DU$323:$DU$422,$FG6,LandEmiss!$EE$323:$EE$422))*(2000/8760)*IFERROR($QV$26,0)</f>
        <v>0</v>
      </c>
      <c r="OW6" s="155">
        <f>SUMIF(LandEmiss!$A$335:$A$434,$FG6,LandEmiss!$M$335:$M$434)*(2000/8760)*IFERROR($QV$25,0)</f>
        <v>0</v>
      </c>
      <c r="OX6" s="155">
        <f>(SUMIF(LandEmiss!$BJ$335:$BJ$434,$FG6,LandEmiss!$BV$335:$BV$434)+SUMIF(LandEmiss!$DU$323:$DU$422,$FG6,LandEmiss!$EG$323:$EG$422))*(2000/8760)*IFERROR($QV$25,0)</f>
        <v>0</v>
      </c>
      <c r="OY6" s="8">
        <v>0</v>
      </c>
      <c r="OZ6" s="207">
        <v>0</v>
      </c>
      <c r="PA6" s="207">
        <f>IF(OR(HeaterBoiler1!$E$26&lt;&gt;"fuel gas",HeaterBoiler1!$E$15&lt;&gt;"heater"),0,(SUMIF(HeaterBoiler1!$A$54:$D$63,$FG6,HeaterBoiler1!$J$54:$J$63))*(2000/8760))*IFERROR($QV$19,0)</f>
        <v>0</v>
      </c>
      <c r="PB6" s="207">
        <f>IF(OR(HeaterBoiler2!$E$26&lt;&gt;"fuel gas",HeaterBoiler2!$E$15&lt;&gt;"heater"),0,(SUMIF(HeaterBoiler2!$A$54:$D$63,$FG6,HeaterBoiler2!$J$54:$J$63))*(2000/8760))*IFERROR($QV$21,0)</f>
        <v>0</v>
      </c>
      <c r="PC6" s="207">
        <f>IF(OR(HeaterBoiler1!$E$26&lt;&gt;"fuel gas",HeaterBoiler1!$E$15&lt;&gt;"boiler"),0,(SUMIF(HeaterBoiler1!$A$54:$D$63,$FG6,HeaterBoiler1!$J$54:$J$63))*(2000/8760))*IFERROR($QV$20,0)</f>
        <v>0</v>
      </c>
      <c r="PD6" s="207">
        <f>IF(OR(HeaterBoiler2!$E$26&lt;&gt;"fuel gas",HeaterBoiler2!$E$15&lt;&gt;"boiler"),0,(SUMIF(HeaterBoiler2!$A$54:$D$63,$FG6,HeaterBoiler2!$J$54:$J$63))*(2000/8760))*IFERROR($QV$22,0)</f>
        <v>0</v>
      </c>
      <c r="PE6" s="8">
        <f>(SUMIF(Fug!$A$96:$A$205,$FG6,Fug!$J$96:$J$205))*IFERROR($QV$23,0)*(2000/8760)</f>
        <v>0</v>
      </c>
      <c r="PF6" s="8">
        <f t="shared" si="31"/>
        <v>0</v>
      </c>
      <c r="PG6" s="156">
        <f t="shared" si="32"/>
        <v>0</v>
      </c>
      <c r="PJ6" s="52" t="str">
        <f>IF(Fug!$F$16=Hidden!$PP$2,"Valves","Valves-DTM")</f>
        <v>Valves-DTM</v>
      </c>
      <c r="PK6" s="52" t="str">
        <f>IF(Fug!$F$16=Hidden!$PP$2,"Heavy Oil &lt; 20° API","Light Liquid [4]")</f>
        <v>Light Liquid [4]</v>
      </c>
      <c r="PL6" s="52">
        <v>8.8999999999999999E-3</v>
      </c>
      <c r="PM6" s="52">
        <v>3.5000000000000001E-3</v>
      </c>
      <c r="PN6" s="52">
        <v>4.5900000000000003E-2</v>
      </c>
      <c r="PO6" s="52">
        <v>3.6000000000000002E-4</v>
      </c>
      <c r="PP6" s="52">
        <v>1.8499999999999999E-5</v>
      </c>
      <c r="PQ6" s="52">
        <v>5.5000000000000003E-4</v>
      </c>
      <c r="PR6" s="52">
        <v>1.99E-6</v>
      </c>
      <c r="PS6" s="52">
        <v>3.14E-3</v>
      </c>
      <c r="PT6" s="52" t="s">
        <v>8768</v>
      </c>
      <c r="PU6" s="52" t="s">
        <v>8773</v>
      </c>
      <c r="PV6" s="52">
        <v>0</v>
      </c>
      <c r="PW6" s="52">
        <v>0</v>
      </c>
      <c r="PX6" s="52">
        <v>0</v>
      </c>
      <c r="PY6" s="52">
        <v>0</v>
      </c>
      <c r="PZ6" s="52">
        <v>0</v>
      </c>
      <c r="QA6" s="52">
        <v>0.97</v>
      </c>
      <c r="QB6" s="52" t="s">
        <v>8803</v>
      </c>
      <c r="QC6" s="52" t="s">
        <v>8805</v>
      </c>
      <c r="QD6" s="52">
        <v>0</v>
      </c>
      <c r="QE6" s="52">
        <v>0</v>
      </c>
      <c r="QF6" s="52">
        <v>0</v>
      </c>
      <c r="QG6" s="52">
        <v>0</v>
      </c>
      <c r="QH6" s="52">
        <v>0</v>
      </c>
      <c r="QI6" s="52">
        <v>0</v>
      </c>
      <c r="QK6" s="95" t="s">
        <v>9111</v>
      </c>
      <c r="QM6" s="16" t="s">
        <v>8709</v>
      </c>
      <c r="QN6" s="104" t="e">
        <f t="shared" si="38"/>
        <v>#N/A</v>
      </c>
      <c r="QO6" s="104">
        <f>Tank4!D16</f>
        <v>0</v>
      </c>
      <c r="QP6" s="104">
        <f>Tank4!D15</f>
        <v>0</v>
      </c>
      <c r="QQ6" s="16" t="str">
        <f>IF(QO6&lt;30,$QX$4,IF(QO6&lt;35,$QX$5,IF(QO6&lt;40,$QX$6,IF(QO6&lt;45,$QX$7,IF(QO6&lt;50,$QX$8,$QX$9)))))</f>
        <v>TANK12</v>
      </c>
      <c r="QR6" s="16" t="e">
        <f t="shared" si="33"/>
        <v>#N/A</v>
      </c>
      <c r="QS6" s="16" t="e">
        <f t="shared" si="34"/>
        <v>#N/A</v>
      </c>
      <c r="QT6" s="16" t="e">
        <f t="shared" si="35"/>
        <v>#N/A</v>
      </c>
      <c r="QU6" s="16" t="e">
        <f t="shared" si="36"/>
        <v>#N/A</v>
      </c>
      <c r="QV6" s="16" t="e">
        <f t="shared" si="37"/>
        <v>#N/A</v>
      </c>
      <c r="QX6" s="89" t="s">
        <v>9315</v>
      </c>
      <c r="QY6">
        <v>570</v>
      </c>
      <c r="QZ6">
        <v>464.2</v>
      </c>
      <c r="RA6">
        <v>375.9</v>
      </c>
      <c r="RB6">
        <v>222.5</v>
      </c>
      <c r="RC6">
        <v>159.80000000000001</v>
      </c>
      <c r="RD6">
        <v>136.30000000000001</v>
      </c>
      <c r="RE6">
        <v>118.7</v>
      </c>
      <c r="RF6">
        <v>88.26</v>
      </c>
      <c r="RG6" s="90">
        <v>72.42</v>
      </c>
      <c r="RH6" s="89" t="s">
        <v>9315</v>
      </c>
      <c r="RI6">
        <v>509.8</v>
      </c>
      <c r="RJ6">
        <v>287.7</v>
      </c>
      <c r="RK6">
        <v>195</v>
      </c>
      <c r="RL6">
        <v>125.4</v>
      </c>
      <c r="RM6">
        <v>89.08</v>
      </c>
      <c r="RN6">
        <v>76.36</v>
      </c>
      <c r="RO6">
        <v>75.31</v>
      </c>
      <c r="RP6">
        <v>64.569999999999993</v>
      </c>
      <c r="RQ6" s="90">
        <v>55.02</v>
      </c>
      <c r="RR6" s="89" t="s">
        <v>9315</v>
      </c>
      <c r="RS6">
        <v>429.9</v>
      </c>
      <c r="RT6">
        <v>224.4</v>
      </c>
      <c r="RU6">
        <v>126.4</v>
      </c>
      <c r="RV6">
        <v>80.27</v>
      </c>
      <c r="RW6">
        <v>65.739999999999995</v>
      </c>
      <c r="RX6">
        <v>58.25</v>
      </c>
      <c r="RY6">
        <v>53.12</v>
      </c>
      <c r="RZ6">
        <v>44.03</v>
      </c>
      <c r="SA6" s="90">
        <v>37.94</v>
      </c>
      <c r="SB6" s="89" t="s">
        <v>9315</v>
      </c>
      <c r="SC6">
        <v>205.2</v>
      </c>
      <c r="SD6">
        <v>107</v>
      </c>
      <c r="SE6">
        <v>62.53</v>
      </c>
      <c r="SF6">
        <v>42.63</v>
      </c>
      <c r="SG6">
        <v>35.08</v>
      </c>
      <c r="SH6">
        <v>29.95</v>
      </c>
      <c r="SI6">
        <v>26.03</v>
      </c>
      <c r="SJ6">
        <v>19.54</v>
      </c>
      <c r="SK6" s="90">
        <v>15.49</v>
      </c>
      <c r="SL6" s="89" t="s">
        <v>9315</v>
      </c>
      <c r="SM6">
        <v>37</v>
      </c>
      <c r="SN6">
        <v>19.829999999999998</v>
      </c>
      <c r="SO6">
        <v>11.86</v>
      </c>
      <c r="SP6">
        <v>8.33</v>
      </c>
      <c r="SQ6">
        <v>6.76</v>
      </c>
      <c r="SR6">
        <v>5.56</v>
      </c>
      <c r="SS6">
        <v>4.62</v>
      </c>
      <c r="ST6">
        <v>3.1</v>
      </c>
      <c r="SU6" s="90">
        <v>2.27</v>
      </c>
      <c r="SW6" s="9" t="s">
        <v>191</v>
      </c>
      <c r="SX6" s="16" t="s">
        <v>9375</v>
      </c>
      <c r="SY6" s="29" t="s">
        <v>11134</v>
      </c>
      <c r="SZ6" s="91"/>
      <c r="TA6" s="92"/>
      <c r="TB6" s="50"/>
      <c r="TC6" s="91"/>
      <c r="TD6" s="92"/>
      <c r="TE6" s="92" t="s">
        <v>9542</v>
      </c>
      <c r="TF6" s="50"/>
      <c r="TI6" s="260" t="s">
        <v>10192</v>
      </c>
      <c r="TJ6" s="248" t="s">
        <v>10186</v>
      </c>
      <c r="TK6" s="252" t="s">
        <v>10187</v>
      </c>
      <c r="TL6" t="s">
        <v>10201</v>
      </c>
      <c r="TM6" s="225" t="str">
        <f>"Emissions routed to a "&amp;'Load-Rail'!F19&amp;". 100% collection efficiency of pressure-rated cars ensured by Department of Transportation Testing (49 CFR §173.31)."&amp;" Hard piped or bolted connections, dry lock design. Hard piping loading arms and/or pressure-rated chemical transfer hoses. MSS: Same as normal operations."</f>
        <v>Emissions routed to a . 100% collection efficiency of pressure-rated cars ensured by Department of Transportation Testing (49 CFR §173.31). Hard piped or bolted connections, dry lock design. Hard piping loading arms and/or pressure-rated chemical transfer hoses. MSS: Same as normal operations.</v>
      </c>
    </row>
    <row r="7" spans="1:534" ht="74.25" customHeight="1" thickBot="1" x14ac:dyDescent="0.25">
      <c r="A7" s="8" t="s">
        <v>185</v>
      </c>
      <c r="B7" s="8">
        <v>15</v>
      </c>
      <c r="D7" s="8" t="s">
        <v>10440</v>
      </c>
      <c r="E7" s="8" t="b">
        <f>IF($D7='PI-1-MarineLoading'!$D$73,TRUE,FALSE)</f>
        <v>0</v>
      </c>
      <c r="G7">
        <f>IF(OR(H7=0,ISNUMBER(MATCH(H7,$H$1:H6,0))),0,MAX($G$1:G6)+1)</f>
        <v>0</v>
      </c>
      <c r="H7">
        <f>Products!A109</f>
        <v>0</v>
      </c>
      <c r="I7" t="str">
        <f t="shared" si="0"/>
        <v/>
      </c>
      <c r="O7" s="77">
        <f>IF(OR(P7=0,ISNUMBER(MATCH(P7,$P$1:P6,0))),0,MAX($O$1:O6)+1)</f>
        <v>0</v>
      </c>
      <c r="P7" s="77">
        <f>IF('PI-1-MarineLoading'!$G130&lt;&gt;"yes",0,"temporary VCU")</f>
        <v>0</v>
      </c>
      <c r="Q7" s="77" t="str">
        <f t="shared" si="1"/>
        <v/>
      </c>
      <c r="S7">
        <f>IF(OR(T7=0,ISNUMBER(MATCH(T7,$T$1:T6,0))),0,MAX($S$1:S6)+1)</f>
        <v>0</v>
      </c>
      <c r="T7">
        <f>IF('PI-1-MarineLoading'!$G131&lt;&gt;"yes",0,"temporary thermal oxidizer")</f>
        <v>0</v>
      </c>
      <c r="U7" t="str">
        <f t="shared" si="2"/>
        <v/>
      </c>
      <c r="W7">
        <f>IF(OR(X7=0,ISNUMBER(MATCH(X7,$X$1:X6,0))),0,MAX($W$1:W6)+1)</f>
        <v>0</v>
      </c>
      <c r="X7">
        <f>Products!$E13</f>
        <v>0</v>
      </c>
      <c r="Y7" t="str">
        <f t="shared" si="3"/>
        <v/>
      </c>
      <c r="BL7">
        <f>IF(OR(BM7=0,ISNUMBER(MATCH(BM7,$BM$1:BM6,0))),0,MAX($BL$1:BL6)+1)</f>
        <v>0</v>
      </c>
      <c r="BM7">
        <f>IF('PI-1-MarineLoading'!$G$128&lt;&gt;"yes",0,IF('PI-1-MarineLoading'!$G131&lt;&gt;"yes",0,IF(COUNTIF(TankMSS!$C$14:$D$18,"temporary thermal oxidizer")&gt;0,"temporary thermal oxidizer (FIN "&amp;MSS!$D$119&amp;")",0)))</f>
        <v>0</v>
      </c>
      <c r="BN7">
        <f t="shared" si="4"/>
        <v>0</v>
      </c>
      <c r="BP7">
        <f>IF(OR(BQ7=0,ISNUMBER(MATCH(BQ7,$BQ$1:BQ6,0))),0,MAX($BP$1:BP6)+1)</f>
        <v>0</v>
      </c>
      <c r="BQ7">
        <f>IF('PI-1-MarineLoading'!$G$128&lt;&gt;"yes",0,IF('PI-1-MarineLoading'!$G131&lt;&gt;"yes",0,IF(COUNTIF(TankMSS!$C$107:$D$111,"temporary thermal oxidizer")&gt;0,"temporary thermal oxidizer (FIN "&amp;MSS!$D$119&amp;")",0)))</f>
        <v>0</v>
      </c>
      <c r="BR7">
        <f t="shared" si="5"/>
        <v>0</v>
      </c>
      <c r="BX7" t="s">
        <v>10230</v>
      </c>
      <c r="BY7">
        <f>MSS!$D$119</f>
        <v>0</v>
      </c>
      <c r="CA7">
        <f>IF(OR(CB7=0,ISNUMBER(MATCH(CB7,$CB$1:CB6,0))),0,MAX($CA$1:CA6)+1)</f>
        <v>0</v>
      </c>
      <c r="CB7" s="8">
        <f>IF(OR(Tank1!$D$18="EXTERNAL FLOATING ROOF",Tank1!$D$18="INTERNAL FLOATING ROOF"),IF(Tank1!$E37="",0,Tank1!$E37),0)</f>
        <v>0</v>
      </c>
      <c r="CC7" s="8" t="str">
        <f t="shared" si="6"/>
        <v/>
      </c>
      <c r="CD7" s="8"/>
      <c r="CE7" s="8">
        <f>IF(OR(CF7=0,ISNUMBER(MATCH(CF7,$CF$1:CF6,0))),0,MAX($CE$1:CE6)+1)</f>
        <v>0</v>
      </c>
      <c r="CF7" s="8">
        <f>IF(OR(Tank1!$D$18="HORIZONTAL FIXED ROOF",Tank1!$D$18="VERTICAL FIXED ROOF"),IF(Tank1!$E37="",0,Tank1!$E37),0)</f>
        <v>0</v>
      </c>
      <c r="CG7" s="8" t="str">
        <f t="shared" si="7"/>
        <v/>
      </c>
      <c r="CJ7">
        <f>IF(OR(CK7=0,ISNUMBER(MATCH(CK7,$CK$1:CK6,0))),0,MAX($CJ$1:CJ6)+1)</f>
        <v>0</v>
      </c>
      <c r="CK7">
        <f>Tank1!$A$87</f>
        <v>0</v>
      </c>
      <c r="CL7" t="str">
        <f t="shared" si="8"/>
        <v/>
      </c>
      <c r="CM7">
        <f>IFERROR(VLOOKUP($CK7,Tank1!$A$32:$D$141,3,FALSE),0)</f>
        <v>0</v>
      </c>
      <c r="CN7">
        <f>IFERROR(VLOOKUP($CK7,Tank1!$A$32:$D$141,4,FALSE),0)</f>
        <v>0</v>
      </c>
      <c r="DH7">
        <f>IF(OR(DI7=0,ISNUMBER(MATCH(DI7,$DI$1:DI6,0))),0,MAX($DH$1:DH6)+1)</f>
        <v>0</v>
      </c>
      <c r="DI7">
        <f>IF('PI-1-MarineLoading'!$G$116="yes",IF('Load-DrumTote'!$F$19="CAS",'Load-DrumTote'!$F$7,0),0)</f>
        <v>0</v>
      </c>
      <c r="DJ7">
        <f t="shared" si="9"/>
        <v>0</v>
      </c>
      <c r="DM7">
        <f>IF(OR(DN7=0,ISNUMBER(MATCH(DN7,$DN$1:DN6,0))),0,MAX($DM$1:DM6)+1)</f>
        <v>0</v>
      </c>
      <c r="DN7">
        <f>IF(Tank1!$D$22="Flare",IFERROR(VLOOKUP(Products!$A$109,Tank1!$A$32:$B$141,1,FALSE),0),0)</f>
        <v>0</v>
      </c>
      <c r="DO7">
        <f>IF($DN7=0,0,VLOOKUP($DN7,Tank1!$A$32:$H$141,7,FALSE))</f>
        <v>0</v>
      </c>
      <c r="DP7">
        <f>IF($DN7=0,0,VLOOKUP($DN7,Tank1!$A$32:$H$141,8,FALSE))</f>
        <v>0</v>
      </c>
      <c r="DQ7" t="str">
        <f t="shared" si="10"/>
        <v/>
      </c>
      <c r="DR7">
        <f t="shared" si="15"/>
        <v>0</v>
      </c>
      <c r="DS7">
        <f t="shared" si="16"/>
        <v>0</v>
      </c>
      <c r="DU7">
        <f>IF(OR(DV7=0,ISNUMBER(MATCH(DV7,$DV$1:DV6,0))),0,MAX($DU$1:DU6)+1)</f>
        <v>0</v>
      </c>
      <c r="DV7">
        <f>IF(Tank1!$D$22="VCU",IFERROR(VLOOKUP(Products!$A$109,Tank1!$A$32:$B$141,1,FALSE),0),0)</f>
        <v>0</v>
      </c>
      <c r="DW7">
        <f>IF($DV7=0,0,VLOOKUP($DV7,Tank1!$A$32:$H$141,7,FALSE))</f>
        <v>0</v>
      </c>
      <c r="DX7">
        <f>IF($DV7=0,0,VLOOKUP($DV7,Tank1!$A$32:$H$141,8,FALSE))</f>
        <v>0</v>
      </c>
      <c r="DY7" t="str">
        <f t="shared" si="11"/>
        <v/>
      </c>
      <c r="DZ7">
        <f t="shared" si="17"/>
        <v>0</v>
      </c>
      <c r="EA7">
        <f t="shared" si="18"/>
        <v>0</v>
      </c>
      <c r="EC7">
        <f>IF(OR(ED7=0,ISNUMBER(MATCH(ED7,$ED$1:ED6,0))),0,MAX($EC$1:EC6)+1)</f>
        <v>0</v>
      </c>
      <c r="ED7">
        <f>IF(Tank1!$D$22="vapor oxidizer",IFERROR(VLOOKUP(Products!$A$109,Tank1!$A$32:$B$141,1,FALSE),0),0)</f>
        <v>0</v>
      </c>
      <c r="EE7">
        <f>IF($ED7=0,0,VLOOKUP($ED7,Tank1!$A$32:$H$141,7,FALSE))</f>
        <v>0</v>
      </c>
      <c r="EF7">
        <f>IF($ED7=0,0,VLOOKUP($ED7,Tank1!$A$32:$H$141,8,FALSE))</f>
        <v>0</v>
      </c>
      <c r="EG7" t="str">
        <f t="shared" si="12"/>
        <v/>
      </c>
      <c r="EH7">
        <f t="shared" si="19"/>
        <v>0</v>
      </c>
      <c r="EI7">
        <f t="shared" si="20"/>
        <v>0</v>
      </c>
      <c r="EK7">
        <f>IF(OR(EL7=0,ISNUMBER(MATCH(EL7,$EL$1:EL6,0))),0,MAX($EK$1:EK6)+1)</f>
        <v>0</v>
      </c>
      <c r="EL7">
        <f>IF(Tank1!$D$22="CAS",IFERROR(VLOOKUP(Products!A109,Tank1!$A$32:$B$141,1,FALSE),0),0)</f>
        <v>0</v>
      </c>
      <c r="EM7">
        <f>IF($EL7=0,0,VLOOKUP($EL7,Tank1!$A$32:$H$141,7,FALSE))</f>
        <v>0</v>
      </c>
      <c r="EN7">
        <f>IF($EL7=0,0,VLOOKUP($EL7,Tank1!$A$32:$H$141,8,FALSE))</f>
        <v>0</v>
      </c>
      <c r="EO7" t="str">
        <f t="shared" si="13"/>
        <v/>
      </c>
      <c r="EP7">
        <f t="shared" si="21"/>
        <v>0</v>
      </c>
      <c r="EQ7">
        <f t="shared" si="22"/>
        <v>0</v>
      </c>
      <c r="ES7">
        <f>IF(OR(ET7=0,ISNUMBER(MATCH(ET7,$ET$1:ET6,0))),0,MAX($ES$1:ES6)+1)</f>
        <v>0</v>
      </c>
      <c r="ET7">
        <f>IF(OR(Fug!$F26="",Fug!$F26="N/A"),0,Fug!$F26)</f>
        <v>0</v>
      </c>
      <c r="EU7">
        <f t="shared" si="14"/>
        <v>0</v>
      </c>
      <c r="EX7">
        <f>MSS!$A40</f>
        <v>0</v>
      </c>
      <c r="EY7">
        <f>MSS!$G40*MSS!F$144</f>
        <v>0</v>
      </c>
      <c r="EZ7">
        <f>MSS!$G40*MSS!G$144</f>
        <v>0</v>
      </c>
      <c r="FB7" s="8" t="s">
        <v>367</v>
      </c>
      <c r="FC7" s="8" t="s">
        <v>368</v>
      </c>
      <c r="FD7" s="8">
        <v>2000</v>
      </c>
      <c r="FE7" s="8">
        <v>200</v>
      </c>
      <c r="FG7" s="360" t="str">
        <f t="shared" si="23"/>
        <v/>
      </c>
      <c r="FH7" s="155">
        <f>IF(Tank1!$D$22="NO CONTROL",_xlfn.MAXIFS(Tank1!$G$32:$G$141,Tank1!$E$32:$E$141,$FG7),0)*IFERROR($QR$3,0)</f>
        <v>0</v>
      </c>
      <c r="FI7" s="155">
        <f>_xlfn.MAXIFS(LandEmiss!$AF$20:$AF$119,LandEmiss!$AE$20:$AE$119,$FG7)*IFERROR($QR$3,0)</f>
        <v>0</v>
      </c>
      <c r="FJ7" s="155">
        <f>MAX(_xlfn.MAXIFS(LandEmiss!$CO$20:$CO$119,LandEmiss!$CN$20:$CN$119,$FG7),_xlfn.MAXIFS(LandEmiss!$EZ$9:$EZ$108,LandEmiss!$EY$9:$EY$108,$FG7))*IFERROR($QR$3,0)</f>
        <v>0</v>
      </c>
      <c r="FK7" s="155">
        <f>IF(Tank2!$D$22="NO CONTROL",_xlfn.MAXIFS(Tank2!$G$32:$G$141,Tank2!$E$32:$E$141,$FG7),0)*IFERROR($QR$4,0)</f>
        <v>0</v>
      </c>
      <c r="FL7" s="155">
        <f>_xlfn.MAXIFS(LandEmiss!$AG$20:$AG$119,LandEmiss!$AE$20:$AE$119,$FG7)*IFERROR($QR$4,0)</f>
        <v>0</v>
      </c>
      <c r="FM7" s="155">
        <f>MAX(_xlfn.MAXIFS(LandEmiss!$CP$20:$CP$119,LandEmiss!$CN$20:$CN$119,$FG7),_xlfn.MAXIFS(LandEmiss!$FA$9:$FA$108,LandEmiss!$EY$9:$EY$108,$FG7))*IFERROR($QR$4,0)</f>
        <v>0</v>
      </c>
      <c r="FN7" s="155">
        <f>IF(Tank3!$D$22="NO CONTROL",_xlfn.MAXIFS(Tank3!$G$32:$G$141,Tank3!$E$32:$E$141,$FG7),0)*IFERROR($QR$5,0)</f>
        <v>0</v>
      </c>
      <c r="FO7" s="155">
        <f>_xlfn.MAXIFS(LandEmiss!$AH$20:$AH$119,LandEmiss!$AE$20:$AE$119,$FG7)*IFERROR($QR$5,0)</f>
        <v>0</v>
      </c>
      <c r="FP7" s="155">
        <f>MAX(_xlfn.MAXIFS(LandEmiss!$CQ$20:$CQ$119,LandEmiss!$CN$20:$CN$119,$FG7),_xlfn.MAXIFS(LandEmiss!$FB$9:$FB$108,LandEmiss!$EY$9:$EY$108,$FG7))*IFERROR($QR$5,0)</f>
        <v>0</v>
      </c>
      <c r="FQ7" s="155">
        <f>IF(Tank4!$D$22="NO CONTROL",_xlfn.MAXIFS(Tank4!$G$32:$G$141,Tank4!$E$32:$E$141,$FG7),0)*IFERROR($QR$6,0)</f>
        <v>0</v>
      </c>
      <c r="FR7" s="155">
        <f>_xlfn.MAXIFS(LandEmiss!$AI$20:$AI$119,LandEmiss!$AE$20:$AE$119,$FG7)*IFERROR($QR$6,0)</f>
        <v>0</v>
      </c>
      <c r="FS7" s="155">
        <f>MAX(_xlfn.MAXIFS(LandEmiss!$CR$20:$CR$119,LandEmiss!$CN$20:$CN$119,$FG7),_xlfn.MAXIFS(LandEmiss!$FC$9:$FC$108,LandEmiss!$EY$9:$EY$108,$FG7))*IFERROR($QR$6,0)</f>
        <v>0</v>
      </c>
      <c r="FT7" s="155">
        <f>IF(Tank5!$D$22="NO CONTROL",_xlfn.MAXIFS(Tank5!$G$32:$G$141,Tank5!$E$32:$E$141,$FG7),0)*IFERROR($QR$7,0)</f>
        <v>0</v>
      </c>
      <c r="FU7" s="155">
        <f>_xlfn.MAXIFS(LandEmiss!$AJ$20:$AJ$119,LandEmiss!$AE$20:$AE$119,$FG7)*IFERROR($QR$7,0)</f>
        <v>0</v>
      </c>
      <c r="FV7" s="155">
        <f>MAX(_xlfn.MAXIFS(LandEmiss!$CS$20:$CS$119,LandEmiss!$CN$20:$CN$119,$FG7),_xlfn.MAXIFS(LandEmiss!$FD$9:$FD$108,LandEmiss!$EY$9:$EY$108,$FG7))*IFERROR($QR12,0)</f>
        <v>0</v>
      </c>
      <c r="FW7" s="155">
        <f>_xlfn.MAXIFS('Load-DrumTote'!$K$27:$K$136,'Load-DrumTote'!$F$27:$F$136,$FG7)*IFERROR($QR$8,0)</f>
        <v>0</v>
      </c>
      <c r="FX7" s="155">
        <f>_xlfn.MAXIFS('Load-Truck'!$K$27:$K$136,'Load-Truck'!$F$27:$F$136,$FG7)*IFERROR($QR$9,0)</f>
        <v>0</v>
      </c>
      <c r="FY7" s="155">
        <f>_xlfn.MAXIFS('Load-Rail'!$K$27:$K$136,'Load-Rail'!$F$27:$F$136,$FG7)*IFERROR($QR$10,0)</f>
        <v>0</v>
      </c>
      <c r="FZ7" s="155">
        <f>_xlfn.MAXIFS('Load-MarineBarge'!$K$27:$K$136,'Load-MarineBarge'!$F$27:$F$136,$FG7)*IFERROR($QR$11,0)</f>
        <v>0</v>
      </c>
      <c r="GA7" s="155">
        <f>_xlfn.MAXIFS('Load-MarineShip'!$K$27:$K$136,'Load-MarineShip'!$F$27:$F$136,$FG7)*IFERROR($QR$12,0)</f>
        <v>0</v>
      </c>
      <c r="GB7" s="313">
        <f>IF(OR(Flare!$D$24="fuel gas",Flare!$D$38="fuel gas"),SUMIF(Flare!$E$97:$E$106,$FG7,Flare!$F$97:$F$106),0)*IFERROR($QR$13,0)</f>
        <v>0</v>
      </c>
      <c r="GC7" s="313">
        <f>(_xlfn.MAXIFS(CtrlDevImpacts!$I$57:$I$156,CtrlDevImpacts!$H$57:$H$156,$FG7))*IFERROR($QR$13,0)</f>
        <v>0</v>
      </c>
      <c r="GD7" s="313">
        <f>(_xlfn.MAXIFS(Flare!$F$107:$F$216,Flare!$E$107:$E$216,$FG7)-_xlfn.MAXIFS(CtrlDevImpacts!$I$57:$I$156,CtrlDevImpacts!$H$57:$H$156,$FG7))*IFERROR($QR$13,0)</f>
        <v>0</v>
      </c>
      <c r="GE7" s="155">
        <f>_xlfn.MAXIFS(LandEmiss!$B$335:$B$434,LandEmiss!$A$335:$A$434,$FG7)*IFERROR($QR$13,0)</f>
        <v>0</v>
      </c>
      <c r="GF7" s="155">
        <f>(_xlfn.MAXIFS(LandEmiss!$BK$335:$BK$434,LandEmiss!$BJ$335:$BJ$434,$FG7)+_xlfn.MAXIFS(LandEmiss!$DV$323:$DV$422,LandEmiss!$DU$323:$DU$422,$FG7))*IFERROR($QR$13,0)</f>
        <v>0</v>
      </c>
      <c r="GG7" s="313">
        <f>IF(OR(VCU!$D$26="fuel gas",VCU!$D$42="fuel gas"),SUMIF(VCU!$E$120:$E$129,$FG7,VCU!$F$120:$F$129),0)*IFERROR($QR$14,0)</f>
        <v>0</v>
      </c>
      <c r="GH7" s="313">
        <f>(_xlfn.MAXIFS(CtrlDevImpacts!$X$57:$X$156,CtrlDevImpacts!$W$57:$W$156,$FG7))*IFERROR($QR$14,0)</f>
        <v>0</v>
      </c>
      <c r="GI7" s="313">
        <f>(_xlfn.MAXIFS(VCU!$F$130:$F$239,VCU!$E$130:$E$239,$FG7)-_xlfn.MAXIFS(CtrlDevImpacts!$X$57:$X$156,CtrlDevImpacts!$W$57:$W$156,$FG7))*IFERROR($QR$14,0)</f>
        <v>0</v>
      </c>
      <c r="GJ7" s="155">
        <f>_xlfn.MAXIFS(LandEmiss!$D$335:$D$434,LandEmiss!$A$335:$A$434,$FG7)*IFERROR($QR$14,0)</f>
        <v>0</v>
      </c>
      <c r="GK7" s="155">
        <f>(_xlfn.MAXIFS(LandEmiss!$BM$335:$BM$434,LandEmiss!$BJ$335:$BJ$434,$FG7)+_xlfn.MAXIFS(LandEmiss!$DX$323:$DX$422,LandEmiss!$DU$323:$DU$422,$FG7))*IFERROR($QR$14,0)</f>
        <v>0</v>
      </c>
      <c r="GL7" s="313">
        <f>IF(VaporOxidizer!D38="FUEL GAS",SUMIF(VaporOxidizer!$E$101:$E$110,$FG7,VaporOxidizer!$F$101:$F$110),0)*IFERROR($QR$15,0)</f>
        <v>0</v>
      </c>
      <c r="GM7" s="313">
        <f>(_xlfn.MAXIFS(CtrlDevImpacts!$AN$57:$AN$156,CtrlDevImpacts!$AM$57:$AM$156,$FG7))*IFERROR($QR$15,0)</f>
        <v>0</v>
      </c>
      <c r="GN7" s="313">
        <f>(_xlfn.MAXIFS(VaporOxidizer!$F$111:$F$220,VaporOxidizer!$E$111:$E$220,$FG7)-_xlfn.MAXIFS(CtrlDevImpacts!$AN$57:$AN$156,CtrlDevImpacts!$AM$57:$AM$156,$FG7))*IFERROR($QR$15,0)</f>
        <v>0</v>
      </c>
      <c r="GO7" s="155">
        <f>_xlfn.MAXIFS(LandEmiss!$F$335:$F$434,LandEmiss!$A$335:$A$434,$FG7)*IFERROR($QR$15,0)</f>
        <v>0</v>
      </c>
      <c r="GP7" s="155">
        <f>(_xlfn.MAXIFS(LandEmiss!$BK$335:$BK$434,LandEmiss!$BO$335:$BO$434,$FG7)+_xlfn.MAXIFS(LandEmiss!$DZ$323:$DZ$422,LandEmiss!$DU$323:$DU$422,$FG7))*IFERROR($QR$15,0)</f>
        <v>0</v>
      </c>
      <c r="GQ7" s="313">
        <f>_xlfn.MAXIFS(CtrlDevImpacts!$BD$57:$BD$156,CtrlDevImpacts!$BC$57:$BC$156,$FG7)*IFERROR(Hidden!$QR$16,0)</f>
        <v>0</v>
      </c>
      <c r="GR7" s="313">
        <f>(_xlfn.MAXIFS(CAS!$H$35:$H$144,CAS!$E$35:$E$144,$FG7)-_xlfn.MAXIFS(CtrlDevImpacts!$BD$57:$BD$156,CtrlDevImpacts!$BC$57:$BC$156,$FG7))*IFERROR(Hidden!$QR$16,0)</f>
        <v>0</v>
      </c>
      <c r="GS7" s="155">
        <f>_xlfn.MAXIFS(LandEmiss!$H$335:$H$434,LandEmiss!$A$335:$A$434,$FG7)*IFERROR($QR$27,0)</f>
        <v>0</v>
      </c>
      <c r="GT7" s="155">
        <f>(_xlfn.MAXIFS(LandEmiss!$BK$335:$BK$434,LandEmiss!$BQ$335:$BQ$434,$FG7)+_xlfn.MAXIFS(LandEmiss!$EB$323:$EB$422,LandEmiss!$DU$323:$DU$422,$FG7))*IFERROR($QR$27,0)</f>
        <v>0</v>
      </c>
      <c r="GU7" s="155">
        <f>_xlfn.MAXIFS(LandEmiss!$J$335:$J$434,LandEmiss!$A$335:$A$434,$FG7)*IFERROR($QR$26,0)</f>
        <v>0</v>
      </c>
      <c r="GV7" s="155">
        <f>(_xlfn.MAXIFS(LandEmiss!$BK$335:$BK$434,LandEmiss!$BS$335:$BS$434,$FG7)+_xlfn.MAXIFS(LandEmiss!$ED$323:$ED$422,LandEmiss!$DU$323:$DU$422,$FG7))*IFERROR($QR$26,0)</f>
        <v>0</v>
      </c>
      <c r="GW7" s="155">
        <f>_xlfn.MAXIFS(LandEmiss!$L$335:$L$434,LandEmiss!$A$335:$A$434,$FG7)*IFERROR($QR$25,0)</f>
        <v>0</v>
      </c>
      <c r="GX7" s="155">
        <f>(_xlfn.MAXIFS(LandEmiss!$BK$335:$BK$434,LandEmiss!$BU$335:$BU$434,$FG7)+_xlfn.MAXIFS(LandEmiss!$EF$323:$EF$422,LandEmiss!$DU$323:$DU$422,$FG7))*IFERROR($QR$25,0)</f>
        <v>0</v>
      </c>
      <c r="GY7" s="155">
        <v>0</v>
      </c>
      <c r="GZ7" s="155">
        <v>0</v>
      </c>
      <c r="HA7" s="155">
        <f>IF(OR(HeaterBoiler1!$E$26&lt;&gt;"fuel gas",HeaterBoiler1!$E$15&lt;&gt;"heater"),0,SUMIF(HeaterBoiler1!$A$54:$D$63,$FG7,HeaterBoiler1!$I$54:$I$63))*IFERROR($QR$19,0)</f>
        <v>0</v>
      </c>
      <c r="HB7" s="207">
        <f>IF(OR(HeaterBoiler2!$E$26&lt;&gt;"fuel gas",HeaterBoiler2!$E$15&lt;&gt;"heater"),0,SUMIF(HeaterBoiler2!$A$54:$D$63,$FG7,HeaterBoiler2!$I$54:$I$63))*IFERROR($QR$21,0)</f>
        <v>0</v>
      </c>
      <c r="HC7" s="155">
        <f>IF(OR(HeaterBoiler1!$E$26&lt;&gt;"fuel gas",HeaterBoiler1!$E$15&lt;&gt;"boiler"),0,SUMIF(HeaterBoiler1!$A$41:$A$50,$FG7,HeaterBoiler1!$F$41:$F$50))*IFERROR($QR$20,0)</f>
        <v>0</v>
      </c>
      <c r="HD7" s="207">
        <f>IF(OR(HeaterBoiler2!$E$26&lt;&gt;"fuel gas",HeaterBoiler2!$E$15&lt;&gt;"boiler"),0,SUMIF(HeaterBoiler2!$A$41:$A$50,$FG7,HeaterBoiler2!$F$41:$F$50))*IFERROR($QR$22,0)</f>
        <v>0</v>
      </c>
      <c r="HE7" s="155">
        <f>SUMIF(Fug!$A$96:$A$205,$FG7,Fug!$I$96:$I$205)*IFERROR(Hidden!$QR$23,0)</f>
        <v>0</v>
      </c>
      <c r="HF7" s="155">
        <f t="shared" si="24"/>
        <v>0</v>
      </c>
      <c r="HG7" s="156">
        <f t="shared" si="25"/>
        <v>0</v>
      </c>
      <c r="HH7" s="156">
        <f t="shared" si="26"/>
        <v>0</v>
      </c>
      <c r="HI7" s="156">
        <f t="shared" si="27"/>
        <v>0</v>
      </c>
      <c r="HJ7" s="156">
        <f t="shared" si="28"/>
        <v>0</v>
      </c>
      <c r="HK7" s="156">
        <f t="shared" si="29"/>
        <v>0</v>
      </c>
      <c r="HL7" s="156">
        <f t="shared" si="30"/>
        <v>0</v>
      </c>
      <c r="NO7" s="155">
        <f>IF(Tank1!$D$22="No control",(SUMIF(Tank1!$E$32:$E$141,$FG7,Tank1!$H$32:$H$141)*(2000/8760)*IFERROR($QV$3,0)),0)</f>
        <v>0</v>
      </c>
      <c r="NP7" s="156">
        <f>SUMIF(LandEmiss!$AE$20:$AE$119,$FG7,LandEmiss!$AK$20:$AK$119)*(2000/8760)*IFERROR($QV$3,0)</f>
        <v>0</v>
      </c>
      <c r="NQ7" s="156">
        <f>(SUMIF(LandEmiss!$CN$20:$CN$119,$FG7,LandEmiss!$CT$20:$CT$119)+SUMIF(LandEmiss!$EY$9:$EY$108,$FG7,LandEmiss!$FE$9:$FE$108))*IFERROR($QV$3,0)*(2000/8760)</f>
        <v>0</v>
      </c>
      <c r="NR7" s="155">
        <f>IF(Tank2!$D$22="No control",(SUMIF(Tank2!$E$32:$E$141,$FG7,Tank2!$H$32:$H$141)*(2000/8760)*IFERROR($QV$4,0)),0)</f>
        <v>0</v>
      </c>
      <c r="NS7" s="156">
        <f>SUMIF(LandEmiss!$AE$20:$AE$119,$FG7,LandEmiss!$AL$20:$AL$119)*(2000/8760)*IFERROR($QV$4,0)</f>
        <v>0</v>
      </c>
      <c r="NT7" s="156">
        <f>(SUMIF(LandEmiss!$CN$20:$CN$119,$FG7,LandEmiss!$CU$20:$CU$119)+SUMIF(LandEmiss!$EY$9:$EY$108,$FG7,LandEmiss!$FF$9:$FF$108))*IFERROR($QV$4,0)*(2000/8760)</f>
        <v>0</v>
      </c>
      <c r="NU7" s="155">
        <f>IF(Tank3!$D$22="No control",(SUMIF(Tank3!$E$32:$E$141,$FG7,Tank3!$H$32:$H$141)*(2000/8760)*IFERROR($QV$5,0)),0)</f>
        <v>0</v>
      </c>
      <c r="NV7" s="156">
        <f>SUMIF(LandEmiss!$AE$20:$AE$119,$FG7,LandEmiss!$AM$20:$AM$119)*(2000/8760)*IFERROR($QV$5,0)</f>
        <v>0</v>
      </c>
      <c r="NW7" s="156">
        <f>(SUMIF(LandEmiss!$CN$20:$CN$119,$FG7,LandEmiss!$CV$20:$CV$119)+SUMIF(LandEmiss!$EY$9:$EY$108,$FG7,LandEmiss!$FG$9:$FG$108))*IFERROR($QV$5,0)*(2000/8760)</f>
        <v>0</v>
      </c>
      <c r="NX7" s="155">
        <f>IF(Tank4!$D$22="No control",(SUMIF(Tank4!$E$32:$E$141,$FG7,Tank4!$H$32:$H$141)*(2000/8760)*IFERROR($QV$6,0)),0)</f>
        <v>0</v>
      </c>
      <c r="NY7" s="156">
        <f>SUMIF(LandEmiss!$AE$20:$AE$119,$FG7,LandEmiss!$AN$20:$AN$119)*(2000/8760)*IFERROR($QV$6,0)</f>
        <v>0</v>
      </c>
      <c r="NZ7" s="156">
        <f>(SUMIF(LandEmiss!$CN$20:$CN$119,$FG7,LandEmiss!$CW$20:$CW$119)+SUMIF(LandEmiss!$EY$9:$EY$108,$FG7,LandEmiss!$FH$9:$FH$108))*IFERROR($QV$6,0)*(2000/8760)</f>
        <v>0</v>
      </c>
      <c r="OA7" s="155">
        <f>IF(Tank5!$D$22="No control",(SUMIF(Tank5!$E$32:$E$141,$FG7,Tank5!$H$32:$H$141)*(2000/8760)*IFERROR($QV$7,0)),0)</f>
        <v>0</v>
      </c>
      <c r="OB7" s="156">
        <f>SUMIF(LandEmiss!$AE$20:$AE$119,$FG7,LandEmiss!$AO$20:$AO$119)*(2000/8760)*IFERROR($QV$7,0)</f>
        <v>0</v>
      </c>
      <c r="OC7" s="156">
        <f>(SUMIF(LandEmiss!$CN$20:$CN$119,$FG7,LandEmiss!$CX$20:$CX$119)+SUMIF(LandEmiss!$EY$9:$EY$108,$FG7,LandEmiss!$FI$9:$FI$108))*IFERROR($QV$7,0)*(2000/8760)</f>
        <v>0</v>
      </c>
      <c r="OD7" s="155">
        <f>SUMIFS('Load-DrumTote'!$L$27:$L$136,'Load-DrumTote'!$F$27:$F$136,$FG7)*IFERROR($QV$8,0)*(2000/8760)</f>
        <v>0</v>
      </c>
      <c r="OE7" s="155">
        <f>SUMIFS('Load-Truck'!$L$27:$L$136,'Load-Truck'!$F$27:$F$136,$FG7)*IFERROR($QV$9,0)*(2000/8760)</f>
        <v>0</v>
      </c>
      <c r="OF7" s="155">
        <f>SUMIFS('Load-Rail'!$L$27:$L$136,'Load-Rail'!$F$27:$F$136,$FG7)*IFERROR($QV$10,0)*(2000/8760)</f>
        <v>0</v>
      </c>
      <c r="OG7" s="155">
        <f>SUMIFS('Load-MarineBarge'!$L$27:$L$136,'Load-MarineBarge'!$F$27:$F$136,$FG7)*IFERROR($QV$11,0)*(2000/8760)</f>
        <v>0</v>
      </c>
      <c r="OH7" s="155">
        <f>SUMIFS('Load-MarineShip'!$L$27:$L$136,'Load-MarineShip'!$F$27:$F$136,$FG7)*IFERROR($QV$12,0)*(2000/8760)</f>
        <v>0</v>
      </c>
      <c r="OI7" s="155">
        <f>(IF(OR(Flare!$D$24="FUEL GAS",Flare!$D$38="FUEL GAS"),SUMIF(Flare!$E$97:$E$106,$FG7,Flare!$G$97:$G$105),0)+SUMIF(Flare!$E$107:$E$216,$FG7,Flare!$G$107:$G$216))*(2000/8730)*IFERROR($QV$13,0)</f>
        <v>0</v>
      </c>
      <c r="OJ7" s="155">
        <f>SUMIF(LandEmiss!$A$335:$A$434,$FG7,LandEmiss!$C$335:$C$434)*(2000/8760)*IFERROR($QV$13,0)</f>
        <v>0</v>
      </c>
      <c r="OK7" s="155">
        <f>(SUMIF(LandEmiss!$BJ$335:$BJ$434,$FG7,LandEmiss!$BL$335:$BL$434)+SUMIF(LandEmiss!$DU$323:$DU$422,$FG7,LandEmiss!$DW$323:$DW$422))*(2000/8760)*IFERROR($QV$13,0)</f>
        <v>0</v>
      </c>
      <c r="OL7" s="155">
        <f>(IF(OR(VCU!$D$26="FUEL GAS",VCU!$D$42="FUEL GAS"),SUMIF(VCU!$E$120:$E$129,$FG7,VCU!$G$120:$G$129),0)+SUMIF(VCU!$E$130:$E$239,$FG7,VCU!G135:G244))*(2000/8760)*IFERROR($QV$14,0)</f>
        <v>0</v>
      </c>
      <c r="OM7" s="155">
        <f>SUMIF(LandEmiss!$A$335:$A$434,$FG7,LandEmiss!$E$335:$E$434)*(2000/8760)*IFERROR($QV$14,0)</f>
        <v>0</v>
      </c>
      <c r="ON7" s="155">
        <f>(SUMIF(LandEmiss!$BJ$335:$BJ$434,$FG7,LandEmiss!$BN$335:$BN$434)+SUMIF(LandEmiss!$DU$323:$DU$422,$FG7,LandEmiss!$DY$323:$DY$422))*(2000/8760)*IFERROR($QV$14,0)</f>
        <v>0</v>
      </c>
      <c r="OO7" s="155">
        <f>(IF(VaporOxidizer!$D$33="FUEL GAS",SUMIF(VaporOxidizer!$E$101:$E$110,$FG7,VaporOxidizer!$G$101:$G$110),0)+SUMIF(VaporOxidizer!$E$111:$E$220,$FG7,VaporOxidizer!$G$111:$G$220))*(2000/8760)*IFERROR($QV$15,0)</f>
        <v>0</v>
      </c>
      <c r="OP7" s="155">
        <f>SUMIF(LandEmiss!$A$335:$A$434,$FG7,LandEmiss!$G$335:$G$434)*(2000/8760)*IFERROR($QV$15,0)</f>
        <v>0</v>
      </c>
      <c r="OQ7" s="155">
        <f>(SUMIF(LandEmiss!$BJ$335:$BJ$434,$FG7,LandEmiss!$BP$335:$BP$434)+SUMIF(LandEmiss!$DU$323:$DU$422,$FG7,LandEmiss!$EA$323:$EA$422))*(2000/8760)*IFERROR($QV$15,0)</f>
        <v>0</v>
      </c>
      <c r="OR7" s="155">
        <f>SUMIF(CAS!$E$35:$E$144,Hidden!$FG7,CAS!$I$35:$I$144)*IFERROR($QV$16,0)*(2000/8760)</f>
        <v>0</v>
      </c>
      <c r="OS7" s="155">
        <f>SUMIF(LandEmiss!$A$335:$A$434,$FG7,LandEmiss!$I$335:$I$434)*(2000/8760)*IFERROR($QV$27,0)</f>
        <v>0</v>
      </c>
      <c r="OT7" s="155">
        <f>(SUMIF(LandEmiss!$BJ$335:$BJ$434,$FG7,LandEmiss!$BR$335:$BR$434)+SUMIF(LandEmiss!$DU$323:$DU$422,$FG7,LandEmiss!$EC$323:$EC$422))*(2000/8760)*IFERROR($QV$27,0)</f>
        <v>0</v>
      </c>
      <c r="OU7" s="155">
        <f>SUMIF(LandEmiss!$A$335:$A$434,$FG7,LandEmiss!$K$335:$K$434)*(2000/8760)*IFERROR($QV$26,0)</f>
        <v>0</v>
      </c>
      <c r="OV7" s="155">
        <f>(SUMIF(LandEmiss!$BJ$335:$BJ$434,$FG7,LandEmiss!$BT$335:$BT$434)+SUMIF(LandEmiss!$DU$323:$DU$422,$FG7,LandEmiss!$EE$323:$EE$422))*(2000/8760)*IFERROR($QV$26,0)</f>
        <v>0</v>
      </c>
      <c r="OW7" s="155">
        <f>SUMIF(LandEmiss!$A$335:$A$434,$FG7,LandEmiss!$M$335:$M$434)*(2000/8760)*IFERROR($QV$25,0)</f>
        <v>0</v>
      </c>
      <c r="OX7" s="155">
        <f>(SUMIF(LandEmiss!$BJ$335:$BJ$434,$FG7,LandEmiss!$BV$335:$BV$434)+SUMIF(LandEmiss!$DU$323:$DU$422,$FG7,LandEmiss!$EG$323:$EG$422))*(2000/8760)*IFERROR($QV$25,0)</f>
        <v>0</v>
      </c>
      <c r="OY7" s="8">
        <v>0</v>
      </c>
      <c r="OZ7" s="207">
        <v>0</v>
      </c>
      <c r="PA7" s="207">
        <f>IF(OR(HeaterBoiler1!$E$26&lt;&gt;"fuel gas",HeaterBoiler1!$E$15&lt;&gt;"heater"),0,(SUMIF(HeaterBoiler1!$A$54:$D$63,$FG7,HeaterBoiler1!$J$54:$J$63))*(2000/8760))*IFERROR($QV$19,0)</f>
        <v>0</v>
      </c>
      <c r="PB7" s="207">
        <f>IF(OR(HeaterBoiler2!$E$26&lt;&gt;"fuel gas",HeaterBoiler2!$E$15&lt;&gt;"heater"),0,(SUMIF(HeaterBoiler2!$A$54:$D$63,$FG7,HeaterBoiler2!$J$54:$J$63))*(2000/8760))*IFERROR($QV$21,0)</f>
        <v>0</v>
      </c>
      <c r="PC7" s="207">
        <f>IF(OR(HeaterBoiler1!$E$26&lt;&gt;"fuel gas",HeaterBoiler1!$E$15&lt;&gt;"boiler"),0,(SUMIF(HeaterBoiler1!$A$54:$D$63,$FG7,HeaterBoiler1!$J$54:$J$63))*(2000/8760))*IFERROR($QV$20,0)</f>
        <v>0</v>
      </c>
      <c r="PD7" s="207">
        <f>IF(OR(HeaterBoiler2!$E$26&lt;&gt;"fuel gas",HeaterBoiler2!$E$15&lt;&gt;"boiler"),0,(SUMIF(HeaterBoiler2!$A$54:$D$63,$FG7,HeaterBoiler2!$J$54:$J$63))*(2000/8760))*IFERROR($QV$22,0)</f>
        <v>0</v>
      </c>
      <c r="PE7" s="8">
        <f>(SUMIF(Fug!$A$96:$A$205,$FG7,Fug!$J$96:$J$205))*IFERROR($QV$23,0)*(2000/8760)</f>
        <v>0</v>
      </c>
      <c r="PF7" s="8">
        <f t="shared" si="31"/>
        <v>0</v>
      </c>
      <c r="PG7" s="156">
        <f t="shared" si="32"/>
        <v>0</v>
      </c>
      <c r="PJ7" s="52" t="str">
        <f>IF(Fug!$F$16=Hidden!$PP$2,"Valves","Valves-DTM(AM)")</f>
        <v>Valves-DTM(AM)</v>
      </c>
      <c r="PK7" s="52" t="str">
        <f>IF(Fug!$F$16=Hidden!$PP$2,"Light Oil &gt; 20°","Gas/Vapor [4] [5]")</f>
        <v>Gas/Vapor [4] [5]</v>
      </c>
      <c r="PL7" s="52">
        <v>1.32E-2</v>
      </c>
      <c r="PM7" s="52">
        <v>8.8999999999999999E-3</v>
      </c>
      <c r="PN7" s="52">
        <v>2.58E-2</v>
      </c>
      <c r="PO7" s="52">
        <v>2.9E-4</v>
      </c>
      <c r="PP7" s="52">
        <v>5.4999999999999997E-3</v>
      </c>
      <c r="PQ7" s="52">
        <v>4.44E-4</v>
      </c>
      <c r="PR7" s="52">
        <v>2.1600000000000001E-6</v>
      </c>
      <c r="PS7" s="52">
        <v>1.1050000000000001E-3</v>
      </c>
      <c r="PT7" s="52" t="s">
        <v>8768</v>
      </c>
      <c r="PU7" s="52" t="s">
        <v>8774</v>
      </c>
      <c r="PV7" s="52">
        <v>0</v>
      </c>
      <c r="PW7" s="52">
        <v>0.97</v>
      </c>
      <c r="PX7" s="52">
        <v>0.97</v>
      </c>
      <c r="PY7" s="52">
        <v>0.97</v>
      </c>
      <c r="PZ7" s="52">
        <v>0</v>
      </c>
      <c r="QA7" s="52">
        <v>0.97</v>
      </c>
      <c r="QB7" s="52" t="s">
        <v>8806</v>
      </c>
      <c r="QC7" s="52" t="s">
        <v>8801</v>
      </c>
      <c r="QD7" s="52">
        <v>0</v>
      </c>
      <c r="QE7" s="52">
        <v>0.75</v>
      </c>
      <c r="QF7" s="52">
        <v>0.75</v>
      </c>
      <c r="QG7" s="52">
        <v>0.75</v>
      </c>
      <c r="QH7" s="52">
        <v>0</v>
      </c>
      <c r="QI7" s="52">
        <v>0.75</v>
      </c>
      <c r="QK7" s="95" t="s">
        <v>9112</v>
      </c>
      <c r="QM7" s="16" t="s">
        <v>8710</v>
      </c>
      <c r="QN7" s="104" t="e">
        <f t="shared" si="38"/>
        <v>#N/A</v>
      </c>
      <c r="QO7" s="104">
        <f>Tank5!D16</f>
        <v>0</v>
      </c>
      <c r="QP7" s="104">
        <f>Tank5!D15</f>
        <v>0</v>
      </c>
      <c r="QQ7" s="16" t="str">
        <f>IF(QO7&lt;30,$QX$4,IF(QO7&lt;35,$QX$5,IF(QO7&lt;40,$QX$6,IF(QO7&lt;45,$QX$7,IF(QO7&lt;50,$QX$8,$QX$9)))))</f>
        <v>TANK12</v>
      </c>
      <c r="QR7" s="16" t="e">
        <f t="shared" si="33"/>
        <v>#N/A</v>
      </c>
      <c r="QS7" s="16" t="e">
        <f t="shared" si="34"/>
        <v>#N/A</v>
      </c>
      <c r="QT7" s="16" t="e">
        <f t="shared" si="35"/>
        <v>#N/A</v>
      </c>
      <c r="QU7" s="16" t="e">
        <f t="shared" si="36"/>
        <v>#N/A</v>
      </c>
      <c r="QV7" s="16" t="e">
        <f t="shared" si="37"/>
        <v>#N/A</v>
      </c>
      <c r="QX7" s="89" t="s">
        <v>9316</v>
      </c>
      <c r="QY7">
        <v>470</v>
      </c>
      <c r="QZ7">
        <v>363.1</v>
      </c>
      <c r="RA7">
        <v>308.3</v>
      </c>
      <c r="RB7">
        <v>192.1</v>
      </c>
      <c r="RC7">
        <v>138.19999999999999</v>
      </c>
      <c r="RD7">
        <v>126.7</v>
      </c>
      <c r="RE7">
        <v>113.8</v>
      </c>
      <c r="RF7">
        <v>85.31</v>
      </c>
      <c r="RG7" s="90">
        <v>69.83</v>
      </c>
      <c r="RH7" s="89" t="s">
        <v>9316</v>
      </c>
      <c r="RI7">
        <v>444.4</v>
      </c>
      <c r="RJ7">
        <v>240.3</v>
      </c>
      <c r="RK7">
        <v>157.69999999999999</v>
      </c>
      <c r="RL7">
        <v>104.8</v>
      </c>
      <c r="RM7">
        <v>74.48</v>
      </c>
      <c r="RN7">
        <v>57.59</v>
      </c>
      <c r="RO7">
        <v>56.19</v>
      </c>
      <c r="RP7">
        <v>49.21</v>
      </c>
      <c r="RQ7" s="90">
        <v>43.3</v>
      </c>
      <c r="RR7" s="89" t="s">
        <v>9316</v>
      </c>
      <c r="RS7">
        <v>371</v>
      </c>
      <c r="RT7">
        <v>191.3</v>
      </c>
      <c r="RU7">
        <v>104.7</v>
      </c>
      <c r="RV7">
        <v>63.21</v>
      </c>
      <c r="RW7">
        <v>50.05</v>
      </c>
      <c r="RX7">
        <v>43.64</v>
      </c>
      <c r="RY7">
        <v>39.619999999999997</v>
      </c>
      <c r="RZ7">
        <v>33.36</v>
      </c>
      <c r="SA7" s="90">
        <v>29.8</v>
      </c>
      <c r="SB7" s="89" t="s">
        <v>9316</v>
      </c>
      <c r="SC7">
        <v>176.9</v>
      </c>
      <c r="SD7">
        <v>91.08</v>
      </c>
      <c r="SE7">
        <v>51.5</v>
      </c>
      <c r="SF7">
        <v>33.99</v>
      </c>
      <c r="SG7">
        <v>27.48</v>
      </c>
      <c r="SH7">
        <v>23.68</v>
      </c>
      <c r="SI7">
        <v>20.58</v>
      </c>
      <c r="SJ7">
        <v>15.88</v>
      </c>
      <c r="SK7" s="90">
        <v>12.9</v>
      </c>
      <c r="SL7" s="89" t="s">
        <v>9316</v>
      </c>
      <c r="SM7">
        <v>31.37</v>
      </c>
      <c r="SN7">
        <v>16.57</v>
      </c>
      <c r="SO7">
        <v>9.59</v>
      </c>
      <c r="SP7">
        <v>6.51</v>
      </c>
      <c r="SQ7">
        <v>5.32</v>
      </c>
      <c r="SR7">
        <v>4.46</v>
      </c>
      <c r="SS7">
        <v>3.77</v>
      </c>
      <c r="ST7">
        <v>2.61</v>
      </c>
      <c r="SU7" s="90">
        <v>1.95</v>
      </c>
      <c r="SW7" s="9" t="s">
        <v>195</v>
      </c>
      <c r="SX7" s="16" t="s">
        <v>9375</v>
      </c>
      <c r="SY7" s="29" t="s">
        <v>11134</v>
      </c>
      <c r="SZ7" t="s">
        <v>9635</v>
      </c>
      <c r="TA7" t="s">
        <v>9636</v>
      </c>
      <c r="TB7" s="90" t="s">
        <v>9637</v>
      </c>
      <c r="TC7" t="s">
        <v>9635</v>
      </c>
      <c r="TD7" t="s">
        <v>9638</v>
      </c>
      <c r="TE7" t="s">
        <v>9639</v>
      </c>
      <c r="TF7" t="s">
        <v>9640</v>
      </c>
      <c r="TI7" s="256" t="s">
        <v>10188</v>
      </c>
      <c r="TJ7" s="263" t="s">
        <v>10533</v>
      </c>
      <c r="TK7" s="264" t="s">
        <v>10533</v>
      </c>
      <c r="TL7" t="s">
        <v>10202</v>
      </c>
      <c r="TM7" s="225" t="s">
        <v>10256</v>
      </c>
    </row>
    <row r="8" spans="1:534" ht="74.25" customHeight="1" thickBot="1" x14ac:dyDescent="0.25">
      <c r="A8" s="8" t="s">
        <v>186</v>
      </c>
      <c r="B8" s="8">
        <v>14</v>
      </c>
      <c r="D8" s="8" t="s">
        <v>192</v>
      </c>
      <c r="E8" s="8" t="b">
        <f>IF($D8='PI-1-MarineLoading'!$D$73,TRUE,FALSE)</f>
        <v>0</v>
      </c>
      <c r="G8">
        <f>IF(OR(H8=0,ISNUMBER(MATCH(H8,$H$1:H7,0))),0,MAX($G$1:G7)+1)</f>
        <v>0</v>
      </c>
      <c r="H8">
        <f>Products!A119</f>
        <v>0</v>
      </c>
      <c r="I8" t="str">
        <f t="shared" si="0"/>
        <v/>
      </c>
      <c r="O8" s="77">
        <f>IF(OR(P8=0,ISNUMBER(MATCH(P8,$P$1:P7,0))),0,MAX($O$1:O7)+1)</f>
        <v>0</v>
      </c>
      <c r="P8" s="77">
        <f>IF('PI-1-MarineLoading'!$G131&lt;&gt;"yes",0,"temporary thermal oxidizer")</f>
        <v>0</v>
      </c>
      <c r="Q8" s="77" t="str">
        <f t="shared" si="1"/>
        <v/>
      </c>
      <c r="W8">
        <f>IF(OR(X8=0,ISNUMBER(MATCH(X8,$X$1:X7,0))),0,MAX($W$1:W7)+1)</f>
        <v>0</v>
      </c>
      <c r="X8">
        <f>Products!$E14</f>
        <v>0</v>
      </c>
      <c r="Y8" t="str">
        <f t="shared" si="3"/>
        <v/>
      </c>
      <c r="CA8">
        <f>IF(OR(CB8=0,ISNUMBER(MATCH(CB8,$CB$1:CB7,0))),0,MAX($CA$1:CA7)+1)</f>
        <v>0</v>
      </c>
      <c r="CB8" s="8">
        <f>IF(OR(Tank1!$D$18="EXTERNAL FLOATING ROOF",Tank1!$D$18="INTERNAL FLOATING ROOF"),IF(Tank1!$E38="",0,Tank1!$E38),0)</f>
        <v>0</v>
      </c>
      <c r="CC8" s="8" t="str">
        <f t="shared" si="6"/>
        <v/>
      </c>
      <c r="CD8" s="8"/>
      <c r="CE8" s="8">
        <f>IF(OR(CF8=0,ISNUMBER(MATCH(CF8,$CF$1:CF7,0))),0,MAX($CE$1:CE7)+1)</f>
        <v>0</v>
      </c>
      <c r="CF8" s="8">
        <f>IF(OR(Tank1!$D$18="HORIZONTAL FIXED ROOF",Tank1!$D$18="VERTICAL FIXED ROOF"),IF(Tank1!$E38="",0,Tank1!$E38),0)</f>
        <v>0</v>
      </c>
      <c r="CG8" s="8" t="str">
        <f t="shared" si="7"/>
        <v/>
      </c>
      <c r="CJ8">
        <f>IF(OR(CK8=0,ISNUMBER(MATCH(CK8,$CK$1:CK7,0))),0,MAX($CJ$1:CJ7)+1)</f>
        <v>0</v>
      </c>
      <c r="CK8">
        <f>Tank1!$A$98</f>
        <v>0</v>
      </c>
      <c r="CL8" t="str">
        <f t="shared" si="8"/>
        <v/>
      </c>
      <c r="CM8">
        <f>IFERROR(VLOOKUP($CK8,Tank1!$A$32:$D$141,3,FALSE),0)</f>
        <v>0</v>
      </c>
      <c r="CN8">
        <f>IFERROR(VLOOKUP($CK8,Tank1!$A$32:$D$141,4,FALSE),0)</f>
        <v>0</v>
      </c>
      <c r="DH8">
        <f>IF(OR(DI8=0,ISNUMBER(MATCH(DI8,$DI$1:DI7,0))),0,MAX($DH$1:DH7)+1)</f>
        <v>0</v>
      </c>
      <c r="DI8">
        <f>IF('PI-1-MarineLoading'!$G$117="Yes",IF('Load-Truck'!$F$19="CAS",'Load-Truck'!$F$7,0),0)</f>
        <v>0</v>
      </c>
      <c r="DJ8">
        <f t="shared" si="9"/>
        <v>0</v>
      </c>
      <c r="DM8">
        <f>IF(OR(DN8=0,ISNUMBER(MATCH(DN8,$DN$1:DN7,0))),0,MAX($DM$1:DM7)+1)</f>
        <v>0</v>
      </c>
      <c r="DN8">
        <f>IF(Tank1!$D$22="Flare",IFERROR(VLOOKUP(Products!$A$119,Tank1!$A$32:$B$141,1,FALSE),0),0)</f>
        <v>0</v>
      </c>
      <c r="DO8">
        <f>IF($DN8=0,0,VLOOKUP($DN8,Tank1!$A$32:$H$141,7,FALSE))</f>
        <v>0</v>
      </c>
      <c r="DP8">
        <f>IF($DN8=0,0,VLOOKUP($DN8,Tank1!$A$32:$H$141,8,FALSE))</f>
        <v>0</v>
      </c>
      <c r="DQ8" t="str">
        <f t="shared" si="10"/>
        <v/>
      </c>
      <c r="DR8">
        <f t="shared" si="15"/>
        <v>0</v>
      </c>
      <c r="DS8">
        <f t="shared" si="16"/>
        <v>0</v>
      </c>
      <c r="DU8">
        <f>IF(OR(DV8=0,ISNUMBER(MATCH(DV8,$DV$1:DV7,0))),0,MAX($DU$1:DU7)+1)</f>
        <v>0</v>
      </c>
      <c r="DV8">
        <f>IF(Tank1!$D$22="VCU",IFERROR(VLOOKUP(Products!$A$119,Tank1!$A$32:$B$141,1,FALSE),0),0)</f>
        <v>0</v>
      </c>
      <c r="DW8">
        <f>IF($DV8=0,0,VLOOKUP($DV8,Tank1!$A$32:$H$141,7,FALSE))</f>
        <v>0</v>
      </c>
      <c r="DX8">
        <f>IF($DV8=0,0,VLOOKUP($DV8,Tank1!$A$32:$H$141,8,FALSE))</f>
        <v>0</v>
      </c>
      <c r="DY8" t="str">
        <f t="shared" si="11"/>
        <v/>
      </c>
      <c r="DZ8">
        <f t="shared" si="17"/>
        <v>0</v>
      </c>
      <c r="EA8">
        <f t="shared" si="18"/>
        <v>0</v>
      </c>
      <c r="EC8">
        <f>IF(OR(ED8=0,ISNUMBER(MATCH(ED8,$ED$1:ED7,0))),0,MAX($EC$1:EC7)+1)</f>
        <v>0</v>
      </c>
      <c r="ED8">
        <f>IF(Tank1!$D$22="vapor oxidizer",IFERROR(VLOOKUP(Products!$A$119,Tank1!$A$32:$B$141,1,FALSE),0),0)</f>
        <v>0</v>
      </c>
      <c r="EE8">
        <f>IF($ED8=0,0,VLOOKUP($ED8,Tank1!$A$32:$H$141,7,FALSE))</f>
        <v>0</v>
      </c>
      <c r="EF8">
        <f>IF($ED8=0,0,VLOOKUP($ED8,Tank1!$A$32:$H$141,8,FALSE))</f>
        <v>0</v>
      </c>
      <c r="EG8" t="str">
        <f t="shared" si="12"/>
        <v/>
      </c>
      <c r="EH8">
        <f t="shared" si="19"/>
        <v>0</v>
      </c>
      <c r="EI8">
        <f t="shared" si="20"/>
        <v>0</v>
      </c>
      <c r="EK8">
        <f>IF(OR(EL8=0,ISNUMBER(MATCH(EL8,$EL$1:EL7,0))),0,MAX($EK$1:EK7)+1)</f>
        <v>0</v>
      </c>
      <c r="EL8">
        <f>IF(Tank1!$D$22="CAS",IFERROR(VLOOKUP(Products!A119,Tank1!$A$32:$B$141,1,FALSE),0),0)</f>
        <v>0</v>
      </c>
      <c r="EM8">
        <f>IF($EL8=0,0,VLOOKUP($EL8,Tank1!$A$32:$H$141,7,FALSE))</f>
        <v>0</v>
      </c>
      <c r="EN8">
        <f>IF($EL8=0,0,VLOOKUP($EL8,Tank1!$A$32:$H$141,8,FALSE))</f>
        <v>0</v>
      </c>
      <c r="EO8" t="str">
        <f t="shared" si="13"/>
        <v/>
      </c>
      <c r="EP8">
        <f t="shared" si="21"/>
        <v>0</v>
      </c>
      <c r="EQ8">
        <f t="shared" si="22"/>
        <v>0</v>
      </c>
      <c r="EX8">
        <f>MSS!$A41</f>
        <v>0</v>
      </c>
      <c r="EY8">
        <f>MSS!$G41*MSS!F$144</f>
        <v>0</v>
      </c>
      <c r="EZ8">
        <f>MSS!$G41*MSS!G$144</f>
        <v>0</v>
      </c>
      <c r="FB8" s="8" t="s">
        <v>369</v>
      </c>
      <c r="FC8" s="8" t="s">
        <v>370</v>
      </c>
      <c r="FD8" s="8">
        <v>3500</v>
      </c>
      <c r="FE8" s="8">
        <v>350</v>
      </c>
      <c r="FG8" s="360" t="str">
        <f t="shared" si="23"/>
        <v/>
      </c>
      <c r="FH8" s="155">
        <f>IF(Tank1!$D$22="NO CONTROL",_xlfn.MAXIFS(Tank1!$G$32:$G$141,Tank1!$E$32:$E$141,$FG8),0)*IFERROR($QR$3,0)</f>
        <v>0</v>
      </c>
      <c r="FI8" s="155">
        <f>_xlfn.MAXIFS(LandEmiss!$AF$20:$AF$119,LandEmiss!$AE$20:$AE$119,$FG8)*IFERROR($QR$3,0)</f>
        <v>0</v>
      </c>
      <c r="FJ8" s="155">
        <f>MAX(_xlfn.MAXIFS(LandEmiss!$CO$20:$CO$119,LandEmiss!$CN$20:$CN$119,$FG8),_xlfn.MAXIFS(LandEmiss!$EZ$9:$EZ$108,LandEmiss!$EY$9:$EY$108,$FG8))*IFERROR($QR$3,0)</f>
        <v>0</v>
      </c>
      <c r="FK8" s="155">
        <f>IF(Tank2!$D$22="NO CONTROL",_xlfn.MAXIFS(Tank2!$G$32:$G$141,Tank2!$E$32:$E$141,$FG8),0)*IFERROR($QR$4,0)</f>
        <v>0</v>
      </c>
      <c r="FL8" s="155">
        <f>_xlfn.MAXIFS(LandEmiss!$AG$20:$AG$119,LandEmiss!$AE$20:$AE$119,$FG8)*IFERROR($QR$4,0)</f>
        <v>0</v>
      </c>
      <c r="FM8" s="155">
        <f>MAX(_xlfn.MAXIFS(LandEmiss!$CP$20:$CP$119,LandEmiss!$CN$20:$CN$119,$FG8),_xlfn.MAXIFS(LandEmiss!$FA$9:$FA$108,LandEmiss!$EY$9:$EY$108,$FG8))*IFERROR($QR$4,0)</f>
        <v>0</v>
      </c>
      <c r="FN8" s="155">
        <f>IF(Tank3!$D$22="NO CONTROL",_xlfn.MAXIFS(Tank3!$G$32:$G$141,Tank3!$E$32:$E$141,$FG8),0)*IFERROR($QR$5,0)</f>
        <v>0</v>
      </c>
      <c r="FO8" s="155">
        <f>_xlfn.MAXIFS(LandEmiss!$AH$20:$AH$119,LandEmiss!$AE$20:$AE$119,$FG8)*IFERROR($QR$5,0)</f>
        <v>0</v>
      </c>
      <c r="FP8" s="155">
        <f>MAX(_xlfn.MAXIFS(LandEmiss!$CQ$20:$CQ$119,LandEmiss!$CN$20:$CN$119,$FG8),_xlfn.MAXIFS(LandEmiss!$FB$9:$FB$108,LandEmiss!$EY$9:$EY$108,$FG8))*IFERROR($QR$5,0)</f>
        <v>0</v>
      </c>
      <c r="FQ8" s="155">
        <f>IF(Tank4!$D$22="NO CONTROL",_xlfn.MAXIFS(Tank4!$G$32:$G$141,Tank4!$E$32:$E$141,$FG8),0)*IFERROR($QR$6,0)</f>
        <v>0</v>
      </c>
      <c r="FR8" s="155">
        <f>_xlfn.MAXIFS(LandEmiss!$AI$20:$AI$119,LandEmiss!$AE$20:$AE$119,$FG8)*IFERROR($QR$6,0)</f>
        <v>0</v>
      </c>
      <c r="FS8" s="155">
        <f>MAX(_xlfn.MAXIFS(LandEmiss!$CR$20:$CR$119,LandEmiss!$CN$20:$CN$119,$FG8),_xlfn.MAXIFS(LandEmiss!$FC$9:$FC$108,LandEmiss!$EY$9:$EY$108,$FG8))*IFERROR($QR$6,0)</f>
        <v>0</v>
      </c>
      <c r="FT8" s="155">
        <f>IF(Tank5!$D$22="NO CONTROL",_xlfn.MAXIFS(Tank5!$G$32:$G$141,Tank5!$E$32:$E$141,$FG8),0)*IFERROR($QR$7,0)</f>
        <v>0</v>
      </c>
      <c r="FU8" s="155">
        <f>_xlfn.MAXIFS(LandEmiss!$AJ$20:$AJ$119,LandEmiss!$AE$20:$AE$119,$FG8)*IFERROR($QR$7,0)</f>
        <v>0</v>
      </c>
      <c r="FV8" s="155">
        <f>MAX(_xlfn.MAXIFS(LandEmiss!$CS$20:$CS$119,LandEmiss!$CN$20:$CN$119,$FG8),_xlfn.MAXIFS(LandEmiss!$FD$9:$FD$108,LandEmiss!$EY$9:$EY$108,$FG8))*IFERROR($QR13,0)</f>
        <v>0</v>
      </c>
      <c r="FW8" s="155">
        <f>_xlfn.MAXIFS('Load-DrumTote'!$K$27:$K$136,'Load-DrumTote'!$F$27:$F$136,$FG8)*IFERROR($QR$8,0)</f>
        <v>0</v>
      </c>
      <c r="FX8" s="155">
        <f>_xlfn.MAXIFS('Load-Truck'!$K$27:$K$136,'Load-Truck'!$F$27:$F$136,$FG8)*IFERROR($QR$9,0)</f>
        <v>0</v>
      </c>
      <c r="FY8" s="155">
        <f>_xlfn.MAXIFS('Load-Rail'!$K$27:$K$136,'Load-Rail'!$F$27:$F$136,$FG8)*IFERROR($QR$10,0)</f>
        <v>0</v>
      </c>
      <c r="FZ8" s="155">
        <f>_xlfn.MAXIFS('Load-MarineBarge'!$K$27:$K$136,'Load-MarineBarge'!$F$27:$F$136,$FG8)*IFERROR($QR$11,0)</f>
        <v>0</v>
      </c>
      <c r="GA8" s="155">
        <f>_xlfn.MAXIFS('Load-MarineShip'!$K$27:$K$136,'Load-MarineShip'!$F$27:$F$136,$FG8)*IFERROR($QR$12,0)</f>
        <v>0</v>
      </c>
      <c r="GB8" s="313">
        <f>IF(OR(Flare!$D$24="fuel gas",Flare!$D$38="fuel gas"),SUMIF(Flare!$E$97:$E$106,$FG8,Flare!$F$97:$F$106),0)*IFERROR($QR$13,0)</f>
        <v>0</v>
      </c>
      <c r="GC8" s="313">
        <f>(_xlfn.MAXIFS(CtrlDevImpacts!$I$57:$I$156,CtrlDevImpacts!$H$57:$H$156,$FG8))*IFERROR($QR$13,0)</f>
        <v>0</v>
      </c>
      <c r="GD8" s="313">
        <f>(_xlfn.MAXIFS(Flare!$F$107:$F$216,Flare!$E$107:$E$216,$FG8)-_xlfn.MAXIFS(CtrlDevImpacts!$I$57:$I$156,CtrlDevImpacts!$H$57:$H$156,$FG8))*IFERROR($QR$13,0)</f>
        <v>0</v>
      </c>
      <c r="GE8" s="155">
        <f>_xlfn.MAXIFS(LandEmiss!$B$335:$B$434,LandEmiss!$A$335:$A$434,$FG8)*IFERROR($QR$13,0)</f>
        <v>0</v>
      </c>
      <c r="GF8" s="155">
        <f>(_xlfn.MAXIFS(LandEmiss!$BK$335:$BK$434,LandEmiss!$BJ$335:$BJ$434,$FG8)+_xlfn.MAXIFS(LandEmiss!$DV$323:$DV$422,LandEmiss!$DU$323:$DU$422,$FG8))*IFERROR($QR$13,0)</f>
        <v>0</v>
      </c>
      <c r="GG8" s="313">
        <f>IF(OR(VCU!$D$26="fuel gas",VCU!$D$42="fuel gas"),SUMIF(VCU!$E$120:$E$129,$FG8,VCU!$F$120:$F$129),0)*IFERROR($QR$14,0)</f>
        <v>0</v>
      </c>
      <c r="GH8" s="313">
        <f>(_xlfn.MAXIFS(CtrlDevImpacts!$X$57:$X$156,CtrlDevImpacts!$W$57:$W$156,$FG8))*IFERROR($QR$14,0)</f>
        <v>0</v>
      </c>
      <c r="GI8" s="313">
        <f>(_xlfn.MAXIFS(VCU!$F$130:$F$239,VCU!$E$130:$E$239,$FG8)-_xlfn.MAXIFS(CtrlDevImpacts!$X$57:$X$156,CtrlDevImpacts!$W$57:$W$156,$FG8))*IFERROR($QR$14,0)</f>
        <v>0</v>
      </c>
      <c r="GJ8" s="155">
        <f>_xlfn.MAXIFS(LandEmiss!$D$335:$D$434,LandEmiss!$A$335:$A$434,$FG8)*IFERROR($QR$14,0)</f>
        <v>0</v>
      </c>
      <c r="GK8" s="155">
        <f>(_xlfn.MAXIFS(LandEmiss!$BM$335:$BM$434,LandEmiss!$BJ$335:$BJ$434,$FG8)+_xlfn.MAXIFS(LandEmiss!$DX$323:$DX$422,LandEmiss!$DU$323:$DU$422,$FG8))*IFERROR($QR$14,0)</f>
        <v>0</v>
      </c>
      <c r="GL8" s="313">
        <f>IF(VaporOxidizer!D39="FUEL GAS",SUMIF(VaporOxidizer!$E$101:$E$110,$FG8,VaporOxidizer!$F$101:$F$110),0)*IFERROR($QR$15,0)</f>
        <v>0</v>
      </c>
      <c r="GM8" s="313">
        <f>(_xlfn.MAXIFS(CtrlDevImpacts!$AN$57:$AN$156,CtrlDevImpacts!$AM$57:$AM$156,$FG8))*IFERROR($QR$15,0)</f>
        <v>0</v>
      </c>
      <c r="GN8" s="313">
        <f>(_xlfn.MAXIFS(VaporOxidizer!$F$111:$F$220,VaporOxidizer!$E$111:$E$220,$FG8)-_xlfn.MAXIFS(CtrlDevImpacts!$AN$57:$AN$156,CtrlDevImpacts!$AM$57:$AM$156,$FG8))*IFERROR($QR$15,0)</f>
        <v>0</v>
      </c>
      <c r="GO8" s="155">
        <f>_xlfn.MAXIFS(LandEmiss!$F$335:$F$434,LandEmiss!$A$335:$A$434,$FG8)*IFERROR($QR$15,0)</f>
        <v>0</v>
      </c>
      <c r="GP8" s="155">
        <f>(_xlfn.MAXIFS(LandEmiss!$BK$335:$BK$434,LandEmiss!$BO$335:$BO$434,$FG8)+_xlfn.MAXIFS(LandEmiss!$DZ$323:$DZ$422,LandEmiss!$DU$323:$DU$422,$FG8))*IFERROR($QR$15,0)</f>
        <v>0</v>
      </c>
      <c r="GQ8" s="313">
        <f>_xlfn.MAXIFS(CtrlDevImpacts!$BD$57:$BD$156,CtrlDevImpacts!$BC$57:$BC$156,$FG8)*IFERROR(Hidden!$QR$16,0)</f>
        <v>0</v>
      </c>
      <c r="GR8" s="313">
        <f>(_xlfn.MAXIFS(CAS!$H$35:$H$144,CAS!$E$35:$E$144,$FG8)-_xlfn.MAXIFS(CtrlDevImpacts!$BD$57:$BD$156,CtrlDevImpacts!$BC$57:$BC$156,$FG8))*IFERROR(Hidden!$QR$16,0)</f>
        <v>0</v>
      </c>
      <c r="GS8" s="155">
        <f>_xlfn.MAXIFS(LandEmiss!$H$335:$H$434,LandEmiss!$A$335:$A$434,$FG8)*IFERROR($QR$27,0)</f>
        <v>0</v>
      </c>
      <c r="GT8" s="155">
        <f>(_xlfn.MAXIFS(LandEmiss!$BK$335:$BK$434,LandEmiss!$BQ$335:$BQ$434,$FG8)+_xlfn.MAXIFS(LandEmiss!$EB$323:$EB$422,LandEmiss!$DU$323:$DU$422,$FG8))*IFERROR($QR$27,0)</f>
        <v>0</v>
      </c>
      <c r="GU8" s="155">
        <f>_xlfn.MAXIFS(LandEmiss!$J$335:$J$434,LandEmiss!$A$335:$A$434,$FG8)*IFERROR($QR$26,0)</f>
        <v>0</v>
      </c>
      <c r="GV8" s="155">
        <f>(_xlfn.MAXIFS(LandEmiss!$BK$335:$BK$434,LandEmiss!$BS$335:$BS$434,$FG8)+_xlfn.MAXIFS(LandEmiss!$ED$323:$ED$422,LandEmiss!$DU$323:$DU$422,$FG8))*IFERROR($QR$26,0)</f>
        <v>0</v>
      </c>
      <c r="GW8" s="155">
        <f>_xlfn.MAXIFS(LandEmiss!$L$335:$L$434,LandEmiss!$A$335:$A$434,$FG8)*IFERROR($QR$25,0)</f>
        <v>0</v>
      </c>
      <c r="GX8" s="155">
        <f>(_xlfn.MAXIFS(LandEmiss!$BK$335:$BK$434,LandEmiss!$BU$335:$BU$434,$FG8)+_xlfn.MAXIFS(LandEmiss!$EF$323:$EF$422,LandEmiss!$DU$323:$DU$422,$FG8))*IFERROR($QR$25,0)</f>
        <v>0</v>
      </c>
      <c r="GY8" s="155">
        <v>0</v>
      </c>
      <c r="GZ8" s="155">
        <v>0</v>
      </c>
      <c r="HA8" s="155">
        <f>IF(OR(HeaterBoiler1!$E$26&lt;&gt;"fuel gas",HeaterBoiler1!$E$15&lt;&gt;"heater"),0,SUMIF(HeaterBoiler1!$A$54:$D$63,$FG8,HeaterBoiler1!$I$54:$I$63))*IFERROR($QR$19,0)</f>
        <v>0</v>
      </c>
      <c r="HB8" s="207">
        <f>IF(OR(HeaterBoiler2!$E$26&lt;&gt;"fuel gas",HeaterBoiler2!$E$15&lt;&gt;"heater"),0,SUMIF(HeaterBoiler2!$A$54:$D$63,$FG8,HeaterBoiler2!$I$54:$I$63))*IFERROR($QR$21,0)</f>
        <v>0</v>
      </c>
      <c r="HC8" s="155">
        <f>IF(OR(HeaterBoiler1!$E$26&lt;&gt;"fuel gas",HeaterBoiler1!$E$15&lt;&gt;"boiler"),0,SUMIF(HeaterBoiler1!$A$41:$A$50,$FG8,HeaterBoiler1!$F$41:$F$50))*IFERROR($QR$20,0)</f>
        <v>0</v>
      </c>
      <c r="HD8" s="207">
        <f>IF(OR(HeaterBoiler2!$E$26&lt;&gt;"fuel gas",HeaterBoiler2!$E$15&lt;&gt;"boiler"),0,SUMIF(HeaterBoiler2!$A$41:$A$50,$FG8,HeaterBoiler2!$F$41:$F$50))*IFERROR($QR$22,0)</f>
        <v>0</v>
      </c>
      <c r="HE8" s="155">
        <f>SUMIF(Fug!$A$96:$A$205,$FG8,Fug!$I$96:$I$205)*IFERROR(Hidden!$QR$23,0)</f>
        <v>0</v>
      </c>
      <c r="HF8" s="155">
        <f t="shared" si="24"/>
        <v>0</v>
      </c>
      <c r="HG8" s="156">
        <f t="shared" si="25"/>
        <v>0</v>
      </c>
      <c r="HH8" s="156">
        <f t="shared" si="26"/>
        <v>0</v>
      </c>
      <c r="HI8" s="156">
        <f t="shared" si="27"/>
        <v>0</v>
      </c>
      <c r="HJ8" s="156">
        <f t="shared" si="28"/>
        <v>0</v>
      </c>
      <c r="HK8" s="156">
        <f t="shared" si="29"/>
        <v>0</v>
      </c>
      <c r="HL8" s="156">
        <f t="shared" si="30"/>
        <v>0</v>
      </c>
      <c r="NO8" s="155">
        <f>IF(Tank1!$D$22="No control",(SUMIF(Tank1!$E$32:$E$141,$FG8,Tank1!$H$32:$H$141)*(2000/8760)*IFERROR($QV$3,0)),0)</f>
        <v>0</v>
      </c>
      <c r="NP8" s="156">
        <f>SUMIF(LandEmiss!$AE$20:$AE$119,$FG8,LandEmiss!$AK$20:$AK$119)*(2000/8760)*IFERROR($QV$3,0)</f>
        <v>0</v>
      </c>
      <c r="NQ8" s="156">
        <f>(SUMIF(LandEmiss!$CN$20:$CN$119,$FG8,LandEmiss!$CT$20:$CT$119)+SUMIF(LandEmiss!$EY$9:$EY$108,$FG8,LandEmiss!$FE$9:$FE$108))*IFERROR($QV$3,0)*(2000/8760)</f>
        <v>0</v>
      </c>
      <c r="NR8" s="155">
        <f>IF(Tank2!$D$22="No control",(SUMIF(Tank2!$E$32:$E$141,$FG8,Tank2!$H$32:$H$141)*(2000/8760)*IFERROR($QV$4,0)),0)</f>
        <v>0</v>
      </c>
      <c r="NS8" s="156">
        <f>SUMIF(LandEmiss!$AE$20:$AE$119,$FG8,LandEmiss!$AL$20:$AL$119)*(2000/8760)*IFERROR($QV$4,0)</f>
        <v>0</v>
      </c>
      <c r="NT8" s="156">
        <f>(SUMIF(LandEmiss!$CN$20:$CN$119,$FG8,LandEmiss!$CU$20:$CU$119)+SUMIF(LandEmiss!$EY$9:$EY$108,$FG8,LandEmiss!$FF$9:$FF$108))*IFERROR($QV$4,0)*(2000/8760)</f>
        <v>0</v>
      </c>
      <c r="NU8" s="155">
        <f>IF(Tank3!$D$22="No control",(SUMIF(Tank3!$E$32:$E$141,$FG8,Tank3!$H$32:$H$141)*(2000/8760)*IFERROR($QV$5,0)),0)</f>
        <v>0</v>
      </c>
      <c r="NV8" s="156">
        <f>SUMIF(LandEmiss!$AE$20:$AE$119,$FG8,LandEmiss!$AM$20:$AM$119)*(2000/8760)*IFERROR($QV$5,0)</f>
        <v>0</v>
      </c>
      <c r="NW8" s="156">
        <f>(SUMIF(LandEmiss!$CN$20:$CN$119,$FG8,LandEmiss!$CV$20:$CV$119)+SUMIF(LandEmiss!$EY$9:$EY$108,$FG8,LandEmiss!$FG$9:$FG$108))*IFERROR($QV$5,0)*(2000/8760)</f>
        <v>0</v>
      </c>
      <c r="NX8" s="155">
        <f>IF(Tank4!$D$22="No control",(SUMIF(Tank4!$E$32:$E$141,$FG8,Tank4!$H$32:$H$141)*(2000/8760)*IFERROR($QV$6,0)),0)</f>
        <v>0</v>
      </c>
      <c r="NY8" s="156">
        <f>SUMIF(LandEmiss!$AE$20:$AE$119,$FG8,LandEmiss!$AN$20:$AN$119)*(2000/8760)*IFERROR($QV$6,0)</f>
        <v>0</v>
      </c>
      <c r="NZ8" s="156">
        <f>(SUMIF(LandEmiss!$CN$20:$CN$119,$FG8,LandEmiss!$CW$20:$CW$119)+SUMIF(LandEmiss!$EY$9:$EY$108,$FG8,LandEmiss!$FH$9:$FH$108))*IFERROR($QV$6,0)*(2000/8760)</f>
        <v>0</v>
      </c>
      <c r="OA8" s="155">
        <f>IF(Tank5!$D$22="No control",(SUMIF(Tank5!$E$32:$E$141,$FG8,Tank5!$H$32:$H$141)*(2000/8760)*IFERROR($QV$7,0)),0)</f>
        <v>0</v>
      </c>
      <c r="OB8" s="156">
        <f>SUMIF(LandEmiss!$AE$20:$AE$119,$FG8,LandEmiss!$AO$20:$AO$119)*(2000/8760)*IFERROR($QV$7,0)</f>
        <v>0</v>
      </c>
      <c r="OC8" s="156">
        <f>(SUMIF(LandEmiss!$CN$20:$CN$119,$FG8,LandEmiss!$CX$20:$CX$119)+SUMIF(LandEmiss!$EY$9:$EY$108,$FG8,LandEmiss!$FI$9:$FI$108))*IFERROR($QV$7,0)*(2000/8760)</f>
        <v>0</v>
      </c>
      <c r="OD8" s="155">
        <f>SUMIFS('Load-DrumTote'!$L$27:$L$136,'Load-DrumTote'!$F$27:$F$136,$FG8)*IFERROR($QV$8,0)*(2000/8760)</f>
        <v>0</v>
      </c>
      <c r="OE8" s="155">
        <f>SUMIFS('Load-Truck'!$L$27:$L$136,'Load-Truck'!$F$27:$F$136,$FG8)*IFERROR($QV$9,0)*(2000/8760)</f>
        <v>0</v>
      </c>
      <c r="OF8" s="155">
        <f>SUMIFS('Load-Rail'!$L$27:$L$136,'Load-Rail'!$F$27:$F$136,$FG8)*IFERROR($QV$10,0)*(2000/8760)</f>
        <v>0</v>
      </c>
      <c r="OG8" s="155">
        <f>SUMIFS('Load-MarineBarge'!$L$27:$L$136,'Load-MarineBarge'!$F$27:$F$136,$FG8)*IFERROR($QV$11,0)*(2000/8760)</f>
        <v>0</v>
      </c>
      <c r="OH8" s="155">
        <f>SUMIFS('Load-MarineShip'!$L$27:$L$136,'Load-MarineShip'!$F$27:$F$136,$FG8)*IFERROR($QV$12,0)*(2000/8760)</f>
        <v>0</v>
      </c>
      <c r="OI8" s="155">
        <f>(IF(OR(Flare!$D$24="FUEL GAS",Flare!$D$38="FUEL GAS"),SUMIF(Flare!$E$97:$E$106,$FG8,Flare!$G$97:$G$105),0)+SUMIF(Flare!$E$107:$E$216,$FG8,Flare!$G$107:$G$216))*(2000/8730)*IFERROR($QV$13,0)</f>
        <v>0</v>
      </c>
      <c r="OJ8" s="155">
        <f>SUMIF(LandEmiss!$A$335:$A$434,$FG8,LandEmiss!$C$335:$C$434)*(2000/8760)*IFERROR($QV$13,0)</f>
        <v>0</v>
      </c>
      <c r="OK8" s="155">
        <f>(SUMIF(LandEmiss!$BJ$335:$BJ$434,$FG8,LandEmiss!$BL$335:$BL$434)+SUMIF(LandEmiss!$DU$323:$DU$422,$FG8,LandEmiss!$DW$323:$DW$422))*(2000/8760)*IFERROR($QV$13,0)</f>
        <v>0</v>
      </c>
      <c r="OL8" s="155">
        <f>(IF(OR(VCU!$D$26="FUEL GAS",VCU!$D$42="FUEL GAS"),SUMIF(VCU!$E$120:$E$129,$FG8,VCU!$G$120:$G$129),0)+SUMIF(VCU!$E$130:$E$239,$FG8,VCU!G136:G245))*(2000/8760)*IFERROR($QV$14,0)</f>
        <v>0</v>
      </c>
      <c r="OM8" s="155">
        <f>SUMIF(LandEmiss!$A$335:$A$434,$FG8,LandEmiss!$E$335:$E$434)*(2000/8760)*IFERROR($QV$14,0)</f>
        <v>0</v>
      </c>
      <c r="ON8" s="155">
        <f>(SUMIF(LandEmiss!$BJ$335:$BJ$434,$FG8,LandEmiss!$BN$335:$BN$434)+SUMIF(LandEmiss!$DU$323:$DU$422,$FG8,LandEmiss!$DY$323:$DY$422))*(2000/8760)*IFERROR($QV$14,0)</f>
        <v>0</v>
      </c>
      <c r="OO8" s="155">
        <f>(IF(VaporOxidizer!$D$33="FUEL GAS",SUMIF(VaporOxidizer!$E$101:$E$110,$FG8,VaporOxidizer!$G$101:$G$110),0)+SUMIF(VaporOxidizer!$E$111:$E$220,$FG8,VaporOxidizer!$G$111:$G$220))*(2000/8760)*IFERROR($QV$15,0)</f>
        <v>0</v>
      </c>
      <c r="OP8" s="155">
        <f>SUMIF(LandEmiss!$A$335:$A$434,$FG8,LandEmiss!$G$335:$G$434)*(2000/8760)*IFERROR($QV$15,0)</f>
        <v>0</v>
      </c>
      <c r="OQ8" s="155">
        <f>(SUMIF(LandEmiss!$BJ$335:$BJ$434,$FG8,LandEmiss!$BP$335:$BP$434)+SUMIF(LandEmiss!$DU$323:$DU$422,$FG8,LandEmiss!$EA$323:$EA$422))*(2000/8760)*IFERROR($QV$15,0)</f>
        <v>0</v>
      </c>
      <c r="OR8" s="155">
        <f>SUMIF(CAS!$E$35:$E$144,Hidden!$FG8,CAS!$I$35:$I$144)*IFERROR($QV$16,0)*(2000/8760)</f>
        <v>0</v>
      </c>
      <c r="OS8" s="155">
        <f>SUMIF(LandEmiss!$A$335:$A$434,$FG8,LandEmiss!$I$335:$I$434)*(2000/8760)*IFERROR($QV$27,0)</f>
        <v>0</v>
      </c>
      <c r="OT8" s="155">
        <f>(SUMIF(LandEmiss!$BJ$335:$BJ$434,$FG8,LandEmiss!$BR$335:$BR$434)+SUMIF(LandEmiss!$DU$323:$DU$422,$FG8,LandEmiss!$EC$323:$EC$422))*(2000/8760)*IFERROR($QV$27,0)</f>
        <v>0</v>
      </c>
      <c r="OU8" s="155">
        <f>SUMIF(LandEmiss!$A$335:$A$434,$FG8,LandEmiss!$K$335:$K$434)*(2000/8760)*IFERROR($QV$26,0)</f>
        <v>0</v>
      </c>
      <c r="OV8" s="155">
        <f>(SUMIF(LandEmiss!$BJ$335:$BJ$434,$FG8,LandEmiss!$BT$335:$BT$434)+SUMIF(LandEmiss!$DU$323:$DU$422,$FG8,LandEmiss!$EE$323:$EE$422))*(2000/8760)*IFERROR($QV$26,0)</f>
        <v>0</v>
      </c>
      <c r="OW8" s="155">
        <f>SUMIF(LandEmiss!$A$335:$A$434,$FG8,LandEmiss!$M$335:$M$434)*(2000/8760)*IFERROR($QV$25,0)</f>
        <v>0</v>
      </c>
      <c r="OX8" s="155">
        <f>(SUMIF(LandEmiss!$BJ$335:$BJ$434,$FG8,LandEmiss!$BV$335:$BV$434)+SUMIF(LandEmiss!$DU$323:$DU$422,$FG8,LandEmiss!$EG$323:$EG$422))*(2000/8760)*IFERROR($QV$25,0)</f>
        <v>0</v>
      </c>
      <c r="OY8" s="8">
        <v>0</v>
      </c>
      <c r="OZ8" s="207">
        <v>0</v>
      </c>
      <c r="PA8" s="207">
        <f>IF(OR(HeaterBoiler1!$E$26&lt;&gt;"fuel gas",HeaterBoiler1!$E$15&lt;&gt;"heater"),0,(SUMIF(HeaterBoiler1!$A$54:$D$63,$FG8,HeaterBoiler1!$J$54:$J$63))*(2000/8760))*IFERROR($QV$19,0)</f>
        <v>0</v>
      </c>
      <c r="PB8" s="207">
        <f>IF(OR(HeaterBoiler2!$E$26&lt;&gt;"fuel gas",HeaterBoiler2!$E$15&lt;&gt;"heater"),0,(SUMIF(HeaterBoiler2!$A$54:$D$63,$FG8,HeaterBoiler2!$J$54:$J$63))*(2000/8760))*IFERROR($QV$21,0)</f>
        <v>0</v>
      </c>
      <c r="PC8" s="207">
        <f>IF(OR(HeaterBoiler1!$E$26&lt;&gt;"fuel gas",HeaterBoiler1!$E$15&lt;&gt;"boiler"),0,(SUMIF(HeaterBoiler1!$A$54:$D$63,$FG8,HeaterBoiler1!$J$54:$J$63))*(2000/8760))*IFERROR($QV$20,0)</f>
        <v>0</v>
      </c>
      <c r="PD8" s="207">
        <f>IF(OR(HeaterBoiler2!$E$26&lt;&gt;"fuel gas",HeaterBoiler2!$E$15&lt;&gt;"boiler"),0,(SUMIF(HeaterBoiler2!$A$54:$D$63,$FG8,HeaterBoiler2!$J$54:$J$63))*(2000/8760))*IFERROR($QV$22,0)</f>
        <v>0</v>
      </c>
      <c r="PE8" s="8">
        <f>(SUMIF(Fug!$A$96:$A$205,$FG8,Fug!$J$96:$J$205))*IFERROR($QV$23,0)*(2000/8760)</f>
        <v>0</v>
      </c>
      <c r="PF8" s="8">
        <f t="shared" si="31"/>
        <v>0</v>
      </c>
      <c r="PG8" s="156">
        <f t="shared" si="32"/>
        <v>0</v>
      </c>
      <c r="PJ8" s="52" t="str">
        <f>IF(Fug!$F$16=Hidden!$PP$2,"Valves-DTM","Valves-DTM(AM)")</f>
        <v>Valves-DTM(AM)</v>
      </c>
      <c r="PK8" s="52" t="str">
        <f>IF(Fug!$F$16=Hidden!$PP$2,"Light Oil &gt; 20° [4] [5]","Light Liquid [4] [5]")</f>
        <v>Light Liquid [4] [5]</v>
      </c>
      <c r="PL8" s="52">
        <v>8.8999999999999999E-3</v>
      </c>
      <c r="PM8" s="52">
        <v>3.5000000000000001E-3</v>
      </c>
      <c r="PN8" s="52">
        <v>4.5900000000000003E-2</v>
      </c>
      <c r="PO8" s="52">
        <v>3.6000000000000002E-4</v>
      </c>
      <c r="PP8" s="52">
        <v>5.4999999999999997E-3</v>
      </c>
      <c r="PQ8" s="52">
        <v>5.5000000000000003E-4</v>
      </c>
      <c r="PR8" s="52">
        <v>1.99E-6</v>
      </c>
      <c r="PS8" s="52">
        <v>3.14E-3</v>
      </c>
      <c r="PT8" s="52" t="s">
        <v>8770</v>
      </c>
      <c r="PU8" s="52" t="s">
        <v>8775</v>
      </c>
      <c r="PV8" s="52">
        <v>0</v>
      </c>
      <c r="PW8" s="52">
        <v>0</v>
      </c>
      <c r="PX8" s="52">
        <v>0</v>
      </c>
      <c r="PY8" s="52">
        <v>0</v>
      </c>
      <c r="PZ8" s="52">
        <v>0</v>
      </c>
      <c r="QA8" s="52">
        <v>0</v>
      </c>
      <c r="QB8" s="52" t="s">
        <v>8806</v>
      </c>
      <c r="QC8" s="52" t="s">
        <v>8805</v>
      </c>
      <c r="QD8" s="52">
        <v>0</v>
      </c>
      <c r="QE8" s="52">
        <v>0.75</v>
      </c>
      <c r="QF8" s="52">
        <v>0.75</v>
      </c>
      <c r="QG8" s="52">
        <v>0.75</v>
      </c>
      <c r="QH8" s="52">
        <v>0</v>
      </c>
      <c r="QI8" s="52">
        <v>0.75</v>
      </c>
      <c r="QK8" s="95" t="s">
        <v>9113</v>
      </c>
      <c r="QM8" s="16" t="s">
        <v>9290</v>
      </c>
      <c r="QN8" s="104" t="e">
        <f t="shared" si="38"/>
        <v>#N/A</v>
      </c>
      <c r="QO8" s="104">
        <f>'Load-DrumTote'!F16</f>
        <v>0</v>
      </c>
      <c r="QP8" s="104">
        <f>'Load-DrumTote'!F15</f>
        <v>0</v>
      </c>
      <c r="QQ8" s="104" t="str">
        <f>QX21</f>
        <v>FUG</v>
      </c>
      <c r="QR8" s="16" t="e">
        <f t="shared" si="33"/>
        <v>#N/A</v>
      </c>
      <c r="QS8" s="16" t="e">
        <f t="shared" si="34"/>
        <v>#N/A</v>
      </c>
      <c r="QT8" s="16" t="e">
        <f t="shared" si="35"/>
        <v>#N/A</v>
      </c>
      <c r="QU8" s="16" t="e">
        <f t="shared" si="36"/>
        <v>#N/A</v>
      </c>
      <c r="QV8" s="16" t="e">
        <f t="shared" si="37"/>
        <v>#N/A</v>
      </c>
      <c r="QX8" s="89" t="s">
        <v>9317</v>
      </c>
      <c r="QY8">
        <v>405.8</v>
      </c>
      <c r="QZ8">
        <v>293.5</v>
      </c>
      <c r="RA8">
        <v>254.8</v>
      </c>
      <c r="RB8">
        <v>167.3</v>
      </c>
      <c r="RC8">
        <v>121.9</v>
      </c>
      <c r="RD8">
        <v>118.7</v>
      </c>
      <c r="RE8">
        <v>109.6</v>
      </c>
      <c r="RF8">
        <v>82.82</v>
      </c>
      <c r="RG8" s="90">
        <v>67.63</v>
      </c>
      <c r="RH8" s="89" t="s">
        <v>9317</v>
      </c>
      <c r="RI8">
        <v>394.8</v>
      </c>
      <c r="RJ8">
        <v>206.6</v>
      </c>
      <c r="RK8">
        <v>131.30000000000001</v>
      </c>
      <c r="RL8">
        <v>90.52</v>
      </c>
      <c r="RM8">
        <v>64.03</v>
      </c>
      <c r="RN8">
        <v>49.17</v>
      </c>
      <c r="RO8">
        <v>43.3</v>
      </c>
      <c r="RP8">
        <v>37.869999999999997</v>
      </c>
      <c r="RQ8" s="90">
        <v>34.06</v>
      </c>
      <c r="RR8" s="89" t="s">
        <v>9317</v>
      </c>
      <c r="RS8">
        <v>326.5</v>
      </c>
      <c r="RT8">
        <v>166.9</v>
      </c>
      <c r="RU8">
        <v>89.5</v>
      </c>
      <c r="RV8">
        <v>52.6</v>
      </c>
      <c r="RW8">
        <v>40.1</v>
      </c>
      <c r="RX8">
        <v>34.159999999999997</v>
      </c>
      <c r="RY8">
        <v>30.67</v>
      </c>
      <c r="RZ8">
        <v>25.87</v>
      </c>
      <c r="SA8" s="90">
        <v>23.48</v>
      </c>
      <c r="SB8" s="89" t="s">
        <v>9317</v>
      </c>
      <c r="SC8">
        <v>155.6</v>
      </c>
      <c r="SD8">
        <v>79.400000000000006</v>
      </c>
      <c r="SE8">
        <v>43.85</v>
      </c>
      <c r="SF8">
        <v>28.05</v>
      </c>
      <c r="SG8">
        <v>22.34</v>
      </c>
      <c r="SH8">
        <v>19.510000000000002</v>
      </c>
      <c r="SI8">
        <v>17.05</v>
      </c>
      <c r="SJ8">
        <v>13</v>
      </c>
      <c r="SK8" s="90">
        <v>10.73</v>
      </c>
      <c r="SL8" s="89" t="s">
        <v>9317</v>
      </c>
      <c r="SM8">
        <v>27.18</v>
      </c>
      <c r="SN8">
        <v>14.22</v>
      </c>
      <c r="SO8">
        <v>8.02</v>
      </c>
      <c r="SP8">
        <v>5.28</v>
      </c>
      <c r="SQ8">
        <v>4.3099999999999996</v>
      </c>
      <c r="SR8">
        <v>3.65</v>
      </c>
      <c r="SS8">
        <v>3.12</v>
      </c>
      <c r="ST8">
        <v>2.21</v>
      </c>
      <c r="SU8" s="90">
        <v>1.68</v>
      </c>
      <c r="SW8" s="9" t="s">
        <v>206</v>
      </c>
      <c r="SX8" s="16" t="s">
        <v>9375</v>
      </c>
      <c r="SY8" s="29" t="s">
        <v>11134</v>
      </c>
      <c r="TI8" s="256" t="s">
        <v>10190</v>
      </c>
      <c r="TJ8" s="265" t="s">
        <v>10533</v>
      </c>
      <c r="TK8" s="266" t="s">
        <v>10533</v>
      </c>
      <c r="TL8" t="s">
        <v>10204</v>
      </c>
      <c r="TM8" s="225" t="str">
        <f>"Emissions routed to a "&amp;'Load-Truck'!F19&amp;". "&amp;IF('Load-Truck'!F20=0.987,"Annual truck leak checking per NSPS XX with 98.7% collection efficiency.",IF('Load-Truck'!F20=0.992,"Annual truck leak checking per MACT R with 99.2% collection efficiency.",""))&amp;" MSS: Same as normal operations."</f>
        <v>Emissions routed to a .  MSS: Same as normal operations.</v>
      </c>
    </row>
    <row r="9" spans="1:534" ht="74.25" customHeight="1" thickBot="1" x14ac:dyDescent="0.25">
      <c r="A9" s="8" t="s">
        <v>9349</v>
      </c>
      <c r="B9" s="8">
        <v>15</v>
      </c>
      <c r="D9" s="8" t="s">
        <v>193</v>
      </c>
      <c r="E9" s="8" t="b">
        <f>IF($D9='PI-1-MarineLoading'!$D$73,TRUE,FALSE)</f>
        <v>0</v>
      </c>
      <c r="G9">
        <f>IF(OR(H9=0,ISNUMBER(MATCH(H9,$H$1:H8,0))),0,MAX($G$1:G8)+1)</f>
        <v>0</v>
      </c>
      <c r="H9">
        <f>Products!A129</f>
        <v>0</v>
      </c>
      <c r="I9" t="str">
        <f t="shared" si="0"/>
        <v/>
      </c>
      <c r="W9">
        <f>IF(OR(X9=0,ISNUMBER(MATCH(X9,$X$1:X8,0))),0,MAX($W$1:W8)+1)</f>
        <v>0</v>
      </c>
      <c r="X9">
        <f>Products!$E15</f>
        <v>0</v>
      </c>
      <c r="Y9" t="str">
        <f t="shared" si="3"/>
        <v/>
      </c>
      <c r="BM9" t="str">
        <f>Hidden!BR2&amp;IF(Hidden!BR3=0,"",", "&amp;Hidden!BR3)&amp;IF(Hidden!BR4=0,"",", "&amp;Hidden!BR4)&amp;IF(Hidden!BR5=0,"",", "&amp;Hidden!BR5)&amp;IF(Hidden!BR6=0,"",", "&amp;Hidden!BR6)&amp;IF(Hidden!BR7=0,"",Hidden!BR7)</f>
        <v>0</v>
      </c>
      <c r="CA9">
        <f>IF(OR(CB9=0,ISNUMBER(MATCH(CB9,$CB$1:CB8,0))),0,MAX($CA$1:CA8)+1)</f>
        <v>0</v>
      </c>
      <c r="CB9" s="8">
        <f>IF(OR(Tank1!$D$18="EXTERNAL FLOATING ROOF",Tank1!$D$18="INTERNAL FLOATING ROOF"),IF(Tank1!$E39="",0,Tank1!$E39),0)</f>
        <v>0</v>
      </c>
      <c r="CC9" s="8" t="str">
        <f t="shared" si="6"/>
        <v/>
      </c>
      <c r="CD9" s="8"/>
      <c r="CE9" s="8">
        <f>IF(OR(CF9=0,ISNUMBER(MATCH(CF9,$CF$1:CF8,0))),0,MAX($CE$1:CE8)+1)</f>
        <v>0</v>
      </c>
      <c r="CF9" s="8">
        <f>IF(OR(Tank1!$D$18="HORIZONTAL FIXED ROOF",Tank1!$D$18="VERTICAL FIXED ROOF"),IF(Tank1!$E39="",0,Tank1!$E39),0)</f>
        <v>0</v>
      </c>
      <c r="CG9" s="8" t="str">
        <f t="shared" si="7"/>
        <v/>
      </c>
      <c r="CJ9">
        <f>IF(OR(CK9=0,ISNUMBER(MATCH(CK9,$CK$1:CK8,0))),0,MAX($CJ$1:CJ8)+1)</f>
        <v>0</v>
      </c>
      <c r="CK9">
        <f>Tank1!$A$109</f>
        <v>0</v>
      </c>
      <c r="CL9" t="str">
        <f t="shared" si="8"/>
        <v/>
      </c>
      <c r="CM9">
        <f>IFERROR(VLOOKUP($CK9,Tank1!$A$32:$D$141,3,FALSE),0)</f>
        <v>0</v>
      </c>
      <c r="CN9">
        <f>IFERROR(VLOOKUP($CK9,Tank1!$A$32:$D$141,4,FALSE),0)</f>
        <v>0</v>
      </c>
      <c r="DH9">
        <f>IF(OR(DI9=0,ISNUMBER(MATCH(DI9,$DI$1:DI8,0))),0,MAX($DH$1:DH8)+1)</f>
        <v>0</v>
      </c>
      <c r="DI9">
        <f>IF('PI-1-MarineLoading'!$G$118="yes",IF('Load-Rail'!$F$19="CAS",'Load-Rail'!$F$7,0),0)</f>
        <v>0</v>
      </c>
      <c r="DJ9">
        <f t="shared" si="9"/>
        <v>0</v>
      </c>
      <c r="DM9">
        <f>IF(OR(DN9=0,ISNUMBER(MATCH(DN9,$DN$1:DN8,0))),0,MAX($DM$1:DM8)+1)</f>
        <v>0</v>
      </c>
      <c r="DN9">
        <f>IF(Tank1!$D$22="Flare",IFERROR(VLOOKUP(Products!$A$129,Tank1!$A$32:$B$141,1,FALSE),0),0)</f>
        <v>0</v>
      </c>
      <c r="DO9">
        <f>IF($DN9=0,0,VLOOKUP($DN9,Tank1!$A$32:$H$141,7,FALSE))</f>
        <v>0</v>
      </c>
      <c r="DP9">
        <f>IF($DN9=0,0,VLOOKUP($DN9,Tank1!$A$32:$H$141,8,FALSE))</f>
        <v>0</v>
      </c>
      <c r="DQ9" t="str">
        <f t="shared" si="10"/>
        <v/>
      </c>
      <c r="DR9">
        <f t="shared" si="15"/>
        <v>0</v>
      </c>
      <c r="DS9">
        <f t="shared" si="16"/>
        <v>0</v>
      </c>
      <c r="DU9">
        <f>IF(OR(DV9=0,ISNUMBER(MATCH(DV9,$DV$1:DV8,0))),0,MAX($DU$1:DU8)+1)</f>
        <v>0</v>
      </c>
      <c r="DV9">
        <f>IF(Tank1!$D$22="VCU",IFERROR(VLOOKUP(Products!$A$129,Tank1!$A$32:$B$141,1,FALSE),0),0)</f>
        <v>0</v>
      </c>
      <c r="DW9">
        <f>IF($DV9=0,0,VLOOKUP($DV9,Tank1!$A$32:$H$141,7,FALSE))</f>
        <v>0</v>
      </c>
      <c r="DX9">
        <f>IF($DV9=0,0,VLOOKUP($DV9,Tank1!$A$32:$H$141,8,FALSE))</f>
        <v>0</v>
      </c>
      <c r="DY9" t="str">
        <f t="shared" si="11"/>
        <v/>
      </c>
      <c r="DZ9">
        <f t="shared" si="17"/>
        <v>0</v>
      </c>
      <c r="EA9">
        <f t="shared" si="18"/>
        <v>0</v>
      </c>
      <c r="EC9">
        <f>IF(OR(ED9=0,ISNUMBER(MATCH(ED9,$ED$1:ED8,0))),0,MAX($EC$1:EC8)+1)</f>
        <v>0</v>
      </c>
      <c r="ED9">
        <f>IF(Tank1!$D$22="vapor oxidizer",IFERROR(VLOOKUP(Products!$A$129,Tank1!$A$32:$B$141,1,FALSE),0),0)</f>
        <v>0</v>
      </c>
      <c r="EE9">
        <f>IF($ED9=0,0,VLOOKUP($ED9,Tank1!$A$32:$H$141,7,FALSE))</f>
        <v>0</v>
      </c>
      <c r="EF9">
        <f>IF($ED9=0,0,VLOOKUP($ED9,Tank1!$A$32:$H$141,8,FALSE))</f>
        <v>0</v>
      </c>
      <c r="EG9" t="str">
        <f t="shared" si="12"/>
        <v/>
      </c>
      <c r="EH9">
        <f t="shared" si="19"/>
        <v>0</v>
      </c>
      <c r="EI9">
        <f t="shared" si="20"/>
        <v>0</v>
      </c>
      <c r="EK9">
        <f>IF(OR(EL9=0,ISNUMBER(MATCH(EL9,$EL$1:EL8,0))),0,MAX($EK$1:EK8)+1)</f>
        <v>0</v>
      </c>
      <c r="EL9">
        <f>IF(Tank1!$D$22="CAS",IFERROR(VLOOKUP(Products!A129,Tank1!$A$32:$B$141,1,FALSE),0),0)</f>
        <v>0</v>
      </c>
      <c r="EM9">
        <f>IF($EL9=0,0,VLOOKUP($EL9,Tank1!$A$32:$H$141,7,FALSE))</f>
        <v>0</v>
      </c>
      <c r="EN9">
        <f>IF($EL9=0,0,VLOOKUP($EL9,Tank1!$A$32:$H$141,8,FALSE))</f>
        <v>0</v>
      </c>
      <c r="EO9" t="str">
        <f t="shared" si="13"/>
        <v/>
      </c>
      <c r="EP9">
        <f t="shared" si="21"/>
        <v>0</v>
      </c>
      <c r="EQ9">
        <f t="shared" si="22"/>
        <v>0</v>
      </c>
      <c r="EX9">
        <f>MSS!$A42</f>
        <v>0</v>
      </c>
      <c r="EY9">
        <f>MSS!$G42*MSS!F$144</f>
        <v>0</v>
      </c>
      <c r="EZ9">
        <f>MSS!$G42*MSS!G$144</f>
        <v>0</v>
      </c>
      <c r="FB9" s="8" t="s">
        <v>371</v>
      </c>
      <c r="FC9" s="8" t="s">
        <v>372</v>
      </c>
      <c r="FD9" s="8">
        <v>3500</v>
      </c>
      <c r="FE9" s="8">
        <v>350</v>
      </c>
      <c r="FG9" s="360" t="str">
        <f t="shared" si="23"/>
        <v/>
      </c>
      <c r="FH9" s="155">
        <f>IF(Tank1!$D$22="NO CONTROL",_xlfn.MAXIFS(Tank1!$G$32:$G$141,Tank1!$E$32:$E$141,$FG9),0)*IFERROR($QR$3,0)</f>
        <v>0</v>
      </c>
      <c r="FI9" s="155">
        <f>_xlfn.MAXIFS(LandEmiss!$AF$20:$AF$119,LandEmiss!$AE$20:$AE$119,$FG9)*IFERROR($QR$3,0)</f>
        <v>0</v>
      </c>
      <c r="FJ9" s="155">
        <f>MAX(_xlfn.MAXIFS(LandEmiss!$CO$20:$CO$119,LandEmiss!$CN$20:$CN$119,$FG9),_xlfn.MAXIFS(LandEmiss!$EZ$9:$EZ$108,LandEmiss!$EY$9:$EY$108,$FG9))*IFERROR($QR$3,0)</f>
        <v>0</v>
      </c>
      <c r="FK9" s="155">
        <f>IF(Tank2!$D$22="NO CONTROL",_xlfn.MAXIFS(Tank2!$G$32:$G$141,Tank2!$E$32:$E$141,$FG9),0)*IFERROR($QR$4,0)</f>
        <v>0</v>
      </c>
      <c r="FL9" s="155">
        <f>_xlfn.MAXIFS(LandEmiss!$AG$20:$AG$119,LandEmiss!$AE$20:$AE$119,$FG9)*IFERROR($QR$4,0)</f>
        <v>0</v>
      </c>
      <c r="FM9" s="155">
        <f>MAX(_xlfn.MAXIFS(LandEmiss!$CP$20:$CP$119,LandEmiss!$CN$20:$CN$119,$FG9),_xlfn.MAXIFS(LandEmiss!$FA$9:$FA$108,LandEmiss!$EY$9:$EY$108,$FG9))*IFERROR($QR$4,0)</f>
        <v>0</v>
      </c>
      <c r="FN9" s="155">
        <f>IF(Tank3!$D$22="NO CONTROL",_xlfn.MAXIFS(Tank3!$G$32:$G$141,Tank3!$E$32:$E$141,$FG9),0)*IFERROR($QR$5,0)</f>
        <v>0</v>
      </c>
      <c r="FO9" s="155">
        <f>_xlfn.MAXIFS(LandEmiss!$AH$20:$AH$119,LandEmiss!$AE$20:$AE$119,$FG9)*IFERROR($QR$5,0)</f>
        <v>0</v>
      </c>
      <c r="FP9" s="155">
        <f>MAX(_xlfn.MAXIFS(LandEmiss!$CQ$20:$CQ$119,LandEmiss!$CN$20:$CN$119,$FG9),_xlfn.MAXIFS(LandEmiss!$FB$9:$FB$108,LandEmiss!$EY$9:$EY$108,$FG9))*IFERROR($QR$5,0)</f>
        <v>0</v>
      </c>
      <c r="FQ9" s="155">
        <f>IF(Tank4!$D$22="NO CONTROL",_xlfn.MAXIFS(Tank4!$G$32:$G$141,Tank4!$E$32:$E$141,$FG9),0)*IFERROR($QR$6,0)</f>
        <v>0</v>
      </c>
      <c r="FR9" s="155">
        <f>_xlfn.MAXIFS(LandEmiss!$AI$20:$AI$119,LandEmiss!$AE$20:$AE$119,$FG9)*IFERROR($QR$6,0)</f>
        <v>0</v>
      </c>
      <c r="FS9" s="155">
        <f>MAX(_xlfn.MAXIFS(LandEmiss!$CR$20:$CR$119,LandEmiss!$CN$20:$CN$119,$FG9),_xlfn.MAXIFS(LandEmiss!$FC$9:$FC$108,LandEmiss!$EY$9:$EY$108,$FG9))*IFERROR($QR$6,0)</f>
        <v>0</v>
      </c>
      <c r="FT9" s="155">
        <f>IF(Tank5!$D$22="NO CONTROL",_xlfn.MAXIFS(Tank5!$G$32:$G$141,Tank5!$E$32:$E$141,$FG9),0)*IFERROR($QR$7,0)</f>
        <v>0</v>
      </c>
      <c r="FU9" s="155">
        <f>_xlfn.MAXIFS(LandEmiss!$AJ$20:$AJ$119,LandEmiss!$AE$20:$AE$119,$FG9)*IFERROR($QR$7,0)</f>
        <v>0</v>
      </c>
      <c r="FV9" s="155">
        <f>MAX(_xlfn.MAXIFS(LandEmiss!$CS$20:$CS$119,LandEmiss!$CN$20:$CN$119,$FG9),_xlfn.MAXIFS(LandEmiss!$FD$9:$FD$108,LandEmiss!$EY$9:$EY$108,$FG9))*IFERROR($QR14,0)</f>
        <v>0</v>
      </c>
      <c r="FW9" s="155">
        <f>_xlfn.MAXIFS('Load-DrumTote'!$K$27:$K$136,'Load-DrumTote'!$F$27:$F$136,$FG9)*IFERROR($QR$8,0)</f>
        <v>0</v>
      </c>
      <c r="FX9" s="155">
        <f>_xlfn.MAXIFS('Load-Truck'!$K$27:$K$136,'Load-Truck'!$F$27:$F$136,$FG9)*IFERROR($QR$9,0)</f>
        <v>0</v>
      </c>
      <c r="FY9" s="155">
        <f>_xlfn.MAXIFS('Load-Rail'!$K$27:$K$136,'Load-Rail'!$F$27:$F$136,$FG9)*IFERROR($QR$10,0)</f>
        <v>0</v>
      </c>
      <c r="FZ9" s="155">
        <f>_xlfn.MAXIFS('Load-MarineBarge'!$K$27:$K$136,'Load-MarineBarge'!$F$27:$F$136,$FG9)*IFERROR($QR$11,0)</f>
        <v>0</v>
      </c>
      <c r="GA9" s="155">
        <f>_xlfn.MAXIFS('Load-MarineShip'!$K$27:$K$136,'Load-MarineShip'!$F$27:$F$136,$FG9)*IFERROR($QR$12,0)</f>
        <v>0</v>
      </c>
      <c r="GB9" s="313">
        <f>IF(OR(Flare!$D$24="fuel gas",Flare!$D$38="fuel gas"),SUMIF(Flare!$E$97:$E$106,$FG9,Flare!$F$97:$F$106),0)*IFERROR($QR$13,0)</f>
        <v>0</v>
      </c>
      <c r="GC9" s="313">
        <f>(_xlfn.MAXIFS(CtrlDevImpacts!$I$57:$I$156,CtrlDevImpacts!$H$57:$H$156,$FG9))*IFERROR($QR$13,0)</f>
        <v>0</v>
      </c>
      <c r="GD9" s="313">
        <f>(_xlfn.MAXIFS(Flare!$F$107:$F$216,Flare!$E$107:$E$216,$FG9)-_xlfn.MAXIFS(CtrlDevImpacts!$I$57:$I$156,CtrlDevImpacts!$H$57:$H$156,$FG9))*IFERROR($QR$13,0)</f>
        <v>0</v>
      </c>
      <c r="GE9" s="155">
        <f>_xlfn.MAXIFS(LandEmiss!$B$335:$B$434,LandEmiss!$A$335:$A$434,$FG9)*IFERROR($QR$13,0)</f>
        <v>0</v>
      </c>
      <c r="GF9" s="155">
        <f>(_xlfn.MAXIFS(LandEmiss!$BK$335:$BK$434,LandEmiss!$BJ$335:$BJ$434,$FG9)+_xlfn.MAXIFS(LandEmiss!$DV$323:$DV$422,LandEmiss!$DU$323:$DU$422,$FG9))*IFERROR($QR$13,0)</f>
        <v>0</v>
      </c>
      <c r="GG9" s="313">
        <f>IF(OR(VCU!$D$26="fuel gas",VCU!$D$42="fuel gas"),SUMIF(VCU!$E$120:$E$129,$FG9,VCU!$F$120:$F$129),0)*IFERROR($QR$14,0)</f>
        <v>0</v>
      </c>
      <c r="GH9" s="313">
        <f>(_xlfn.MAXIFS(CtrlDevImpacts!$X$57:$X$156,CtrlDevImpacts!$W$57:$W$156,$FG9))*IFERROR($QR$14,0)</f>
        <v>0</v>
      </c>
      <c r="GI9" s="313">
        <f>(_xlfn.MAXIFS(VCU!$F$130:$F$239,VCU!$E$130:$E$239,$FG9)-_xlfn.MAXIFS(CtrlDevImpacts!$X$57:$X$156,CtrlDevImpacts!$W$57:$W$156,$FG9))*IFERROR($QR$14,0)</f>
        <v>0</v>
      </c>
      <c r="GJ9" s="155">
        <f>_xlfn.MAXIFS(LandEmiss!$D$335:$D$434,LandEmiss!$A$335:$A$434,$FG9)*IFERROR($QR$14,0)</f>
        <v>0</v>
      </c>
      <c r="GK9" s="155">
        <f>(_xlfn.MAXIFS(LandEmiss!$BM$335:$BM$434,LandEmiss!$BJ$335:$BJ$434,$FG9)+_xlfn.MAXIFS(LandEmiss!$DX$323:$DX$422,LandEmiss!$DU$323:$DU$422,$FG9))*IFERROR($QR$14,0)</f>
        <v>0</v>
      </c>
      <c r="GL9" s="313">
        <f>IF(VaporOxidizer!D40="FUEL GAS",SUMIF(VaporOxidizer!$E$101:$E$110,$FG9,VaporOxidizer!$F$101:$F$110),0)*IFERROR($QR$15,0)</f>
        <v>0</v>
      </c>
      <c r="GM9" s="313">
        <f>(_xlfn.MAXIFS(CtrlDevImpacts!$AN$57:$AN$156,CtrlDevImpacts!$AM$57:$AM$156,$FG9))*IFERROR($QR$15,0)</f>
        <v>0</v>
      </c>
      <c r="GN9" s="313">
        <f>(_xlfn.MAXIFS(VaporOxidizer!$F$111:$F$220,VaporOxidizer!$E$111:$E$220,$FG9)-_xlfn.MAXIFS(CtrlDevImpacts!$AN$57:$AN$156,CtrlDevImpacts!$AM$57:$AM$156,$FG9))*IFERROR($QR$15,0)</f>
        <v>0</v>
      </c>
      <c r="GO9" s="155">
        <f>_xlfn.MAXIFS(LandEmiss!$F$335:$F$434,LandEmiss!$A$335:$A$434,$FG9)*IFERROR($QR$15,0)</f>
        <v>0</v>
      </c>
      <c r="GP9" s="155">
        <f>(_xlfn.MAXIFS(LandEmiss!$BK$335:$BK$434,LandEmiss!$BO$335:$BO$434,$FG9)+_xlfn.MAXIFS(LandEmiss!$DZ$323:$DZ$422,LandEmiss!$DU$323:$DU$422,$FG9))*IFERROR($QR$15,0)</f>
        <v>0</v>
      </c>
      <c r="GQ9" s="313">
        <f>_xlfn.MAXIFS(CtrlDevImpacts!$BD$57:$BD$156,CtrlDevImpacts!$BC$57:$BC$156,$FG9)*IFERROR(Hidden!$QR$16,0)</f>
        <v>0</v>
      </c>
      <c r="GR9" s="313">
        <f>(_xlfn.MAXIFS(CAS!$H$35:$H$144,CAS!$E$35:$E$144,$FG9)-_xlfn.MAXIFS(CtrlDevImpacts!$BD$57:$BD$156,CtrlDevImpacts!$BC$57:$BC$156,$FG9))*IFERROR(Hidden!$QR$16,0)</f>
        <v>0</v>
      </c>
      <c r="GS9" s="155">
        <f>_xlfn.MAXIFS(LandEmiss!$H$335:$H$434,LandEmiss!$A$335:$A$434,$FG9)*IFERROR($QR$27,0)</f>
        <v>0</v>
      </c>
      <c r="GT9" s="155">
        <f>(_xlfn.MAXIFS(LandEmiss!$BK$335:$BK$434,LandEmiss!$BQ$335:$BQ$434,$FG9)+_xlfn.MAXIFS(LandEmiss!$EB$323:$EB$422,LandEmiss!$DU$323:$DU$422,$FG9))*IFERROR($QR$27,0)</f>
        <v>0</v>
      </c>
      <c r="GU9" s="155">
        <f>_xlfn.MAXIFS(LandEmiss!$J$335:$J$434,LandEmiss!$A$335:$A$434,$FG9)*IFERROR($QR$26,0)</f>
        <v>0</v>
      </c>
      <c r="GV9" s="155">
        <f>(_xlfn.MAXIFS(LandEmiss!$BK$335:$BK$434,LandEmiss!$BS$335:$BS$434,$FG9)+_xlfn.MAXIFS(LandEmiss!$ED$323:$ED$422,LandEmiss!$DU$323:$DU$422,$FG9))*IFERROR($QR$26,0)</f>
        <v>0</v>
      </c>
      <c r="GW9" s="155">
        <f>_xlfn.MAXIFS(LandEmiss!$L$335:$L$434,LandEmiss!$A$335:$A$434,$FG9)*IFERROR($QR$25,0)</f>
        <v>0</v>
      </c>
      <c r="GX9" s="155">
        <f>(_xlfn.MAXIFS(LandEmiss!$BK$335:$BK$434,LandEmiss!$BU$335:$BU$434,$FG9)+_xlfn.MAXIFS(LandEmiss!$EF$323:$EF$422,LandEmiss!$DU$323:$DU$422,$FG9))*IFERROR($QR$25,0)</f>
        <v>0</v>
      </c>
      <c r="GY9" s="155">
        <v>0</v>
      </c>
      <c r="GZ9" s="155">
        <v>0</v>
      </c>
      <c r="HA9" s="155">
        <f>IF(OR(HeaterBoiler1!$E$26&lt;&gt;"fuel gas",HeaterBoiler1!$E$15&lt;&gt;"heater"),0,SUMIF(HeaterBoiler1!$A$54:$D$63,$FG9,HeaterBoiler1!$I$54:$I$63))*IFERROR($QR$19,0)</f>
        <v>0</v>
      </c>
      <c r="HB9" s="207">
        <f>IF(OR(HeaterBoiler2!$E$26&lt;&gt;"fuel gas",HeaterBoiler2!$E$15&lt;&gt;"heater"),0,SUMIF(HeaterBoiler2!$A$54:$D$63,$FG9,HeaterBoiler2!$I$54:$I$63))*IFERROR($QR$21,0)</f>
        <v>0</v>
      </c>
      <c r="HC9" s="155">
        <f>IF(OR(HeaterBoiler1!$E$26&lt;&gt;"fuel gas",HeaterBoiler1!$E$15&lt;&gt;"boiler"),0,SUMIF(HeaterBoiler1!$A$41:$A$50,$FG9,HeaterBoiler1!$F$41:$F$50))*IFERROR($QR$20,0)</f>
        <v>0</v>
      </c>
      <c r="HD9" s="207">
        <f>IF(OR(HeaterBoiler2!$E$26&lt;&gt;"fuel gas",HeaterBoiler2!$E$15&lt;&gt;"boiler"),0,SUMIF(HeaterBoiler2!$A$41:$A$50,$FG9,HeaterBoiler2!$F$41:$F$50))*IFERROR($QR$22,0)</f>
        <v>0</v>
      </c>
      <c r="HE9" s="155">
        <f>SUMIF(Fug!$A$96:$A$205,$FG9,Fug!$I$96:$I$205)*IFERROR(Hidden!$QR$23,0)</f>
        <v>0</v>
      </c>
      <c r="HF9" s="155">
        <f t="shared" si="24"/>
        <v>0</v>
      </c>
      <c r="HG9" s="156">
        <f t="shared" si="25"/>
        <v>0</v>
      </c>
      <c r="HH9" s="156">
        <f t="shared" si="26"/>
        <v>0</v>
      </c>
      <c r="HI9" s="156">
        <f t="shared" si="27"/>
        <v>0</v>
      </c>
      <c r="HJ9" s="156">
        <f t="shared" si="28"/>
        <v>0</v>
      </c>
      <c r="HK9" s="156">
        <f t="shared" si="29"/>
        <v>0</v>
      </c>
      <c r="HL9" s="156">
        <f t="shared" si="30"/>
        <v>0</v>
      </c>
      <c r="NO9" s="155">
        <f>IF(Tank1!$D$22="No control",(SUMIF(Tank1!$E$32:$E$141,$FG9,Tank1!$H$32:$H$141)*(2000/8760)*IFERROR($QV$3,0)),0)</f>
        <v>0</v>
      </c>
      <c r="NP9" s="156">
        <f>SUMIF(LandEmiss!$AE$20:$AE$119,$FG9,LandEmiss!$AK$20:$AK$119)*(2000/8760)*IFERROR($QV$3,0)</f>
        <v>0</v>
      </c>
      <c r="NQ9" s="156">
        <f>(SUMIF(LandEmiss!$CN$20:$CN$119,$FG9,LandEmiss!$CT$20:$CT$119)+SUMIF(LandEmiss!$EY$9:$EY$108,$FG9,LandEmiss!$FE$9:$FE$108))*IFERROR($QV$3,0)*(2000/8760)</f>
        <v>0</v>
      </c>
      <c r="NR9" s="155">
        <f>IF(Tank2!$D$22="No control",(SUMIF(Tank2!$E$32:$E$141,$FG9,Tank2!$H$32:$H$141)*(2000/8760)*IFERROR($QV$4,0)),0)</f>
        <v>0</v>
      </c>
      <c r="NS9" s="156">
        <f>SUMIF(LandEmiss!$AE$20:$AE$119,$FG9,LandEmiss!$AL$20:$AL$119)*(2000/8760)*IFERROR($QV$4,0)</f>
        <v>0</v>
      </c>
      <c r="NT9" s="156">
        <f>(SUMIF(LandEmiss!$CN$20:$CN$119,$FG9,LandEmiss!$CU$20:$CU$119)+SUMIF(LandEmiss!$EY$9:$EY$108,$FG9,LandEmiss!$FF$9:$FF$108))*IFERROR($QV$4,0)*(2000/8760)</f>
        <v>0</v>
      </c>
      <c r="NU9" s="155">
        <f>IF(Tank3!$D$22="No control",(SUMIF(Tank3!$E$32:$E$141,$FG9,Tank3!$H$32:$H$141)*(2000/8760)*IFERROR($QV$5,0)),0)</f>
        <v>0</v>
      </c>
      <c r="NV9" s="156">
        <f>SUMIF(LandEmiss!$AE$20:$AE$119,$FG9,LandEmiss!$AM$20:$AM$119)*(2000/8760)*IFERROR($QV$5,0)</f>
        <v>0</v>
      </c>
      <c r="NW9" s="156">
        <f>(SUMIF(LandEmiss!$CN$20:$CN$119,$FG9,LandEmiss!$CV$20:$CV$119)+SUMIF(LandEmiss!$EY$9:$EY$108,$FG9,LandEmiss!$FG$9:$FG$108))*IFERROR($QV$5,0)*(2000/8760)</f>
        <v>0</v>
      </c>
      <c r="NX9" s="155">
        <f>IF(Tank4!$D$22="No control",(SUMIF(Tank4!$E$32:$E$141,$FG9,Tank4!$H$32:$H$141)*(2000/8760)*IFERROR($QV$6,0)),0)</f>
        <v>0</v>
      </c>
      <c r="NY9" s="156">
        <f>SUMIF(LandEmiss!$AE$20:$AE$119,$FG9,LandEmiss!$AN$20:$AN$119)*(2000/8760)*IFERROR($QV$6,0)</f>
        <v>0</v>
      </c>
      <c r="NZ9" s="156">
        <f>(SUMIF(LandEmiss!$CN$20:$CN$119,$FG9,LandEmiss!$CW$20:$CW$119)+SUMIF(LandEmiss!$EY$9:$EY$108,$FG9,LandEmiss!$FH$9:$FH$108))*IFERROR($QV$6,0)*(2000/8760)</f>
        <v>0</v>
      </c>
      <c r="OA9" s="155">
        <f>IF(Tank5!$D$22="No control",(SUMIF(Tank5!$E$32:$E$141,$FG9,Tank5!$H$32:$H$141)*(2000/8760)*IFERROR($QV$7,0)),0)</f>
        <v>0</v>
      </c>
      <c r="OB9" s="156">
        <f>SUMIF(LandEmiss!$AE$20:$AE$119,$FG9,LandEmiss!$AO$20:$AO$119)*(2000/8760)*IFERROR($QV$7,0)</f>
        <v>0</v>
      </c>
      <c r="OC9" s="156">
        <f>(SUMIF(LandEmiss!$CN$20:$CN$119,$FG9,LandEmiss!$CX$20:$CX$119)+SUMIF(LandEmiss!$EY$9:$EY$108,$FG9,LandEmiss!$FI$9:$FI$108))*IFERROR($QV$7,0)*(2000/8760)</f>
        <v>0</v>
      </c>
      <c r="OD9" s="155">
        <f>SUMIFS('Load-DrumTote'!$L$27:$L$136,'Load-DrumTote'!$F$27:$F$136,$FG9)*IFERROR($QV$8,0)*(2000/8760)</f>
        <v>0</v>
      </c>
      <c r="OE9" s="155">
        <f>SUMIFS('Load-Truck'!$L$27:$L$136,'Load-Truck'!$F$27:$F$136,$FG9)*IFERROR($QV$9,0)*(2000/8760)</f>
        <v>0</v>
      </c>
      <c r="OF9" s="155">
        <f>SUMIFS('Load-Rail'!$L$27:$L$136,'Load-Rail'!$F$27:$F$136,$FG9)*IFERROR($QV$10,0)*(2000/8760)</f>
        <v>0</v>
      </c>
      <c r="OG9" s="155">
        <f>SUMIFS('Load-MarineBarge'!$L$27:$L$136,'Load-MarineBarge'!$F$27:$F$136,$FG9)*IFERROR($QV$11,0)*(2000/8760)</f>
        <v>0</v>
      </c>
      <c r="OH9" s="155">
        <f>SUMIFS('Load-MarineShip'!$L$27:$L$136,'Load-MarineShip'!$F$27:$F$136,$FG9)*IFERROR($QV$12,0)*(2000/8760)</f>
        <v>0</v>
      </c>
      <c r="OI9" s="155">
        <f>(IF(OR(Flare!$D$24="FUEL GAS",Flare!$D$38="FUEL GAS"),SUMIF(Flare!$E$97:$E$106,$FG9,Flare!$G$97:$G$105),0)+SUMIF(Flare!$E$107:$E$216,$FG9,Flare!$G$107:$G$216))*(2000/8730)*IFERROR($QV$13,0)</f>
        <v>0</v>
      </c>
      <c r="OJ9" s="155">
        <f>SUMIF(LandEmiss!$A$335:$A$434,$FG9,LandEmiss!$C$335:$C$434)*(2000/8760)*IFERROR($QV$13,0)</f>
        <v>0</v>
      </c>
      <c r="OK9" s="155">
        <f>(SUMIF(LandEmiss!$BJ$335:$BJ$434,$FG9,LandEmiss!$BL$335:$BL$434)+SUMIF(LandEmiss!$DU$323:$DU$422,$FG9,LandEmiss!$DW$323:$DW$422))*(2000/8760)*IFERROR($QV$13,0)</f>
        <v>0</v>
      </c>
      <c r="OL9" s="155">
        <f>(IF(OR(VCU!$D$26="FUEL GAS",VCU!$D$42="FUEL GAS"),SUMIF(VCU!$E$120:$E$129,$FG9,VCU!$G$120:$G$129),0)+SUMIF(VCU!$E$130:$E$239,$FG9,VCU!G137:G246))*(2000/8760)*IFERROR($QV$14,0)</f>
        <v>0</v>
      </c>
      <c r="OM9" s="155">
        <f>SUMIF(LandEmiss!$A$335:$A$434,$FG9,LandEmiss!$E$335:$E$434)*(2000/8760)*IFERROR($QV$14,0)</f>
        <v>0</v>
      </c>
      <c r="ON9" s="155">
        <f>(SUMIF(LandEmiss!$BJ$335:$BJ$434,$FG9,LandEmiss!$BN$335:$BN$434)+SUMIF(LandEmiss!$DU$323:$DU$422,$FG9,LandEmiss!$DY$323:$DY$422))*(2000/8760)*IFERROR($QV$14,0)</f>
        <v>0</v>
      </c>
      <c r="OO9" s="155">
        <f>(IF(VaporOxidizer!$D$33="FUEL GAS",SUMIF(VaporOxidizer!$E$101:$E$110,$FG9,VaporOxidizer!$G$101:$G$110),0)+SUMIF(VaporOxidizer!$E$111:$E$220,$FG9,VaporOxidizer!$G$111:$G$220))*(2000/8760)*IFERROR($QV$15,0)</f>
        <v>0</v>
      </c>
      <c r="OP9" s="155">
        <f>SUMIF(LandEmiss!$A$335:$A$434,$FG9,LandEmiss!$G$335:$G$434)*(2000/8760)*IFERROR($QV$15,0)</f>
        <v>0</v>
      </c>
      <c r="OQ9" s="155">
        <f>(SUMIF(LandEmiss!$BJ$335:$BJ$434,$FG9,LandEmiss!$BP$335:$BP$434)+SUMIF(LandEmiss!$DU$323:$DU$422,$FG9,LandEmiss!$EA$323:$EA$422))*(2000/8760)*IFERROR($QV$15,0)</f>
        <v>0</v>
      </c>
      <c r="OR9" s="155">
        <f>SUMIF(CAS!$E$35:$E$144,Hidden!$FG9,CAS!$I$35:$I$144)*IFERROR($QV$16,0)*(2000/8760)</f>
        <v>0</v>
      </c>
      <c r="OS9" s="155">
        <f>SUMIF(LandEmiss!$A$335:$A$434,$FG9,LandEmiss!$I$335:$I$434)*(2000/8760)*IFERROR($QV$27,0)</f>
        <v>0</v>
      </c>
      <c r="OT9" s="155">
        <f>(SUMIF(LandEmiss!$BJ$335:$BJ$434,$FG9,LandEmiss!$BR$335:$BR$434)+SUMIF(LandEmiss!$DU$323:$DU$422,$FG9,LandEmiss!$EC$323:$EC$422))*(2000/8760)*IFERROR($QV$27,0)</f>
        <v>0</v>
      </c>
      <c r="OU9" s="155">
        <f>SUMIF(LandEmiss!$A$335:$A$434,$FG9,LandEmiss!$K$335:$K$434)*(2000/8760)*IFERROR($QV$26,0)</f>
        <v>0</v>
      </c>
      <c r="OV9" s="155">
        <f>(SUMIF(LandEmiss!$BJ$335:$BJ$434,$FG9,LandEmiss!$BT$335:$BT$434)+SUMIF(LandEmiss!$DU$323:$DU$422,$FG9,LandEmiss!$EE$323:$EE$422))*(2000/8760)*IFERROR($QV$26,0)</f>
        <v>0</v>
      </c>
      <c r="OW9" s="155">
        <f>SUMIF(LandEmiss!$A$335:$A$434,$FG9,LandEmiss!$M$335:$M$434)*(2000/8760)*IFERROR($QV$25,0)</f>
        <v>0</v>
      </c>
      <c r="OX9" s="155">
        <f>(SUMIF(LandEmiss!$BJ$335:$BJ$434,$FG9,LandEmiss!$BV$335:$BV$434)+SUMIF(LandEmiss!$DU$323:$DU$422,$FG9,LandEmiss!$EG$323:$EG$422))*(2000/8760)*IFERROR($QV$25,0)</f>
        <v>0</v>
      </c>
      <c r="OY9" s="8">
        <v>0</v>
      </c>
      <c r="OZ9" s="207">
        <v>0</v>
      </c>
      <c r="PA9" s="207">
        <f>IF(OR(HeaterBoiler1!$E$26&lt;&gt;"fuel gas",HeaterBoiler1!$E$15&lt;&gt;"heater"),0,(SUMIF(HeaterBoiler1!$A$54:$D$63,$FG9,HeaterBoiler1!$J$54:$J$63))*(2000/8760))*IFERROR($QV$19,0)</f>
        <v>0</v>
      </c>
      <c r="PB9" s="207">
        <f>IF(OR(HeaterBoiler2!$E$26&lt;&gt;"fuel gas",HeaterBoiler2!$E$15&lt;&gt;"heater"),0,(SUMIF(HeaterBoiler2!$A$54:$D$63,$FG9,HeaterBoiler2!$J$54:$J$63))*(2000/8760))*IFERROR($QV$21,0)</f>
        <v>0</v>
      </c>
      <c r="PC9" s="207">
        <f>IF(OR(HeaterBoiler1!$E$26&lt;&gt;"fuel gas",HeaterBoiler1!$E$15&lt;&gt;"boiler"),0,(SUMIF(HeaterBoiler1!$A$54:$D$63,$FG9,HeaterBoiler1!$J$54:$J$63))*(2000/8760))*IFERROR($QV$20,0)</f>
        <v>0</v>
      </c>
      <c r="PD9" s="207">
        <f>IF(OR(HeaterBoiler2!$E$26&lt;&gt;"fuel gas",HeaterBoiler2!$E$15&lt;&gt;"boiler"),0,(SUMIF(HeaterBoiler2!$A$54:$D$63,$FG9,HeaterBoiler2!$J$54:$J$63))*(2000/8760))*IFERROR($QV$22,0)</f>
        <v>0</v>
      </c>
      <c r="PE9" s="8">
        <f>(SUMIF(Fug!$A$96:$A$205,$FG9,Fug!$J$96:$J$205))*IFERROR($QV$23,0)*(2000/8760)</f>
        <v>0</v>
      </c>
      <c r="PF9" s="8">
        <f t="shared" si="31"/>
        <v>0</v>
      </c>
      <c r="PG9" s="156">
        <f t="shared" si="32"/>
        <v>0</v>
      </c>
      <c r="PJ9" s="389" t="str">
        <f>IF(Fug!$F$16=Hidden!$PP$2,"Valves-DTM(AM)","Valves")</f>
        <v>Valves</v>
      </c>
      <c r="PK9" s="389" t="str">
        <f>IF(Fug!$F$16=Hidden!$PP$2,"Light Oil &gt; 20° [4] [5]","Heavy Liquid")</f>
        <v>Heavy Liquid</v>
      </c>
      <c r="PL9" s="52">
        <v>5.0000000000000001E-4</v>
      </c>
      <c r="PM9" s="52">
        <v>6.9999999999999999E-4</v>
      </c>
      <c r="PN9" s="52">
        <v>5.0000000000000001E-4</v>
      </c>
      <c r="PO9" s="52">
        <v>5.0000000000000001E-4</v>
      </c>
      <c r="PP9" s="52">
        <v>5.4999999999999997E-3</v>
      </c>
      <c r="PQ9" s="52"/>
      <c r="PR9" s="52"/>
      <c r="PS9" s="52"/>
      <c r="PT9" s="52" t="s">
        <v>8772</v>
      </c>
      <c r="PU9" s="52" t="s">
        <v>8775</v>
      </c>
      <c r="PV9" s="52">
        <v>0</v>
      </c>
      <c r="PW9" s="52">
        <v>0.75</v>
      </c>
      <c r="PX9" s="52">
        <v>0.75</v>
      </c>
      <c r="PY9" s="52">
        <v>0.75</v>
      </c>
      <c r="PZ9" s="52">
        <v>0</v>
      </c>
      <c r="QA9" s="52">
        <v>0.75</v>
      </c>
      <c r="QB9" s="52" t="s">
        <v>8768</v>
      </c>
      <c r="QC9" s="52" t="s">
        <v>8807</v>
      </c>
      <c r="QD9" s="52">
        <v>0</v>
      </c>
      <c r="QE9" s="52">
        <v>0</v>
      </c>
      <c r="QF9" s="52">
        <v>0</v>
      </c>
      <c r="QG9" s="52">
        <v>0.3</v>
      </c>
      <c r="QH9" s="52">
        <v>0</v>
      </c>
      <c r="QI9" s="52">
        <v>0.97</v>
      </c>
      <c r="QK9" s="95" t="s">
        <v>9114</v>
      </c>
      <c r="QM9" s="16" t="s">
        <v>9291</v>
      </c>
      <c r="QN9" s="104" t="e">
        <f t="shared" si="38"/>
        <v>#N/A</v>
      </c>
      <c r="QO9" s="104">
        <f>'Load-Truck'!F16</f>
        <v>0</v>
      </c>
      <c r="QP9" s="104">
        <f>'Load-Truck'!F15</f>
        <v>0</v>
      </c>
      <c r="QQ9" s="16" t="str">
        <f>QX19</f>
        <v>TRUCK</v>
      </c>
      <c r="QR9" s="16" t="e">
        <f t="shared" si="33"/>
        <v>#N/A</v>
      </c>
      <c r="QS9" s="16" t="e">
        <f t="shared" si="34"/>
        <v>#N/A</v>
      </c>
      <c r="QT9" s="16" t="e">
        <f t="shared" si="35"/>
        <v>#N/A</v>
      </c>
      <c r="QU9" s="16" t="e">
        <f t="shared" si="36"/>
        <v>#N/A</v>
      </c>
      <c r="QV9" s="16" t="e">
        <f t="shared" si="37"/>
        <v>#N/A</v>
      </c>
      <c r="QX9" s="89" t="s">
        <v>9318</v>
      </c>
      <c r="QY9">
        <v>363.3</v>
      </c>
      <c r="QZ9">
        <v>243.8</v>
      </c>
      <c r="RA9">
        <v>213.4</v>
      </c>
      <c r="RB9">
        <v>148.6</v>
      </c>
      <c r="RC9">
        <v>113.2</v>
      </c>
      <c r="RD9">
        <v>112.6</v>
      </c>
      <c r="RE9">
        <v>106</v>
      </c>
      <c r="RF9">
        <v>80.67</v>
      </c>
      <c r="RG9" s="90">
        <v>65.73</v>
      </c>
      <c r="RH9" s="89" t="s">
        <v>9318</v>
      </c>
      <c r="RI9">
        <v>355.3</v>
      </c>
      <c r="RJ9">
        <v>181.4</v>
      </c>
      <c r="RK9">
        <v>111.8</v>
      </c>
      <c r="RL9">
        <v>78.7</v>
      </c>
      <c r="RM9">
        <v>56.03</v>
      </c>
      <c r="RN9">
        <v>43.4</v>
      </c>
      <c r="RO9">
        <v>39.840000000000003</v>
      </c>
      <c r="RP9">
        <v>29.74</v>
      </c>
      <c r="RQ9" s="90">
        <v>27.21</v>
      </c>
      <c r="RR9" s="89" t="s">
        <v>9318</v>
      </c>
      <c r="RS9">
        <v>291.10000000000002</v>
      </c>
      <c r="RT9">
        <v>148</v>
      </c>
      <c r="RU9">
        <v>78.23</v>
      </c>
      <c r="RV9">
        <v>44.84</v>
      </c>
      <c r="RW9">
        <v>33.950000000000003</v>
      </c>
      <c r="RX9">
        <v>27.75</v>
      </c>
      <c r="RY9">
        <v>24.58</v>
      </c>
      <c r="RZ9">
        <v>20.55</v>
      </c>
      <c r="SA9" s="90">
        <v>18.72</v>
      </c>
      <c r="SB9" s="89" t="s">
        <v>9318</v>
      </c>
      <c r="SC9">
        <v>138.80000000000001</v>
      </c>
      <c r="SD9">
        <v>70.36</v>
      </c>
      <c r="SE9">
        <v>38.19</v>
      </c>
      <c r="SF9">
        <v>23.74</v>
      </c>
      <c r="SG9">
        <v>18.559999999999999</v>
      </c>
      <c r="SH9">
        <v>16.32</v>
      </c>
      <c r="SI9">
        <v>14.42</v>
      </c>
      <c r="SJ9">
        <v>10.79</v>
      </c>
      <c r="SK9" s="90">
        <v>8.9700000000000006</v>
      </c>
      <c r="SL9" s="89" t="s">
        <v>9318</v>
      </c>
      <c r="SM9">
        <v>23.92</v>
      </c>
      <c r="SN9">
        <v>12.42</v>
      </c>
      <c r="SO9">
        <v>6.87</v>
      </c>
      <c r="SP9">
        <v>4.3899999999999997</v>
      </c>
      <c r="SQ9">
        <v>3.57</v>
      </c>
      <c r="SR9">
        <v>3.04</v>
      </c>
      <c r="SS9">
        <v>2.63</v>
      </c>
      <c r="ST9">
        <v>1.89</v>
      </c>
      <c r="SU9" s="90">
        <v>1.45</v>
      </c>
      <c r="SW9" s="9" t="s">
        <v>209</v>
      </c>
      <c r="SX9" s="16" t="s">
        <v>9375</v>
      </c>
      <c r="SY9" s="29" t="s">
        <v>11134</v>
      </c>
      <c r="TI9" s="253" t="s">
        <v>10191</v>
      </c>
      <c r="TJ9" s="267" t="s">
        <v>10193</v>
      </c>
      <c r="TK9" s="268" t="s">
        <v>10193</v>
      </c>
      <c r="TL9" t="s">
        <v>10205</v>
      </c>
      <c r="TM9" s="225" t="str">
        <f>"Emissions routed to a "&amp;'Load-Truck'!F19&amp;". A blower system shall be installed to produce a vacuum in the truck of at least 1.5 inches of water column during loading. Annual certification per 49 CFR §180.407. MSS: Same as normal operations."</f>
        <v>Emissions routed to a . A blower system shall be installed to produce a vacuum in the truck of at least 1.5 inches of water column during loading. Annual certification per 49 CFR §180.407. MSS: Same as normal operations.</v>
      </c>
    </row>
    <row r="10" spans="1:534" ht="74.25" customHeight="1" thickBot="1" x14ac:dyDescent="0.25">
      <c r="A10" s="8" t="s">
        <v>187</v>
      </c>
      <c r="B10" s="8">
        <v>12</v>
      </c>
      <c r="D10" s="8" t="s">
        <v>197</v>
      </c>
      <c r="E10" s="8" t="b">
        <f>IF($D10='PI-1-MarineLoading'!$D$73,TRUE,FALSE)</f>
        <v>0</v>
      </c>
      <c r="G10">
        <f>IF(OR(H10=0,ISNUMBER(MATCH(H10,$H$1:H9,0))),0,MAX($G$1:G9)+1)</f>
        <v>0</v>
      </c>
      <c r="H10">
        <f>Products!A139</f>
        <v>0</v>
      </c>
      <c r="I10" t="str">
        <f t="shared" si="0"/>
        <v/>
      </c>
      <c r="W10">
        <f>IF(OR(X10=0,ISNUMBER(MATCH(X10,$X$1:X9,0))),0,MAX($W$1:W9)+1)</f>
        <v>0</v>
      </c>
      <c r="X10">
        <f>Products!$E16</f>
        <v>0</v>
      </c>
      <c r="Y10" t="str">
        <f t="shared" si="3"/>
        <v/>
      </c>
      <c r="CA10">
        <f>IF(OR(CB10=0,ISNUMBER(MATCH(CB10,$CB$1:CB9,0))),0,MAX($CA$1:CA9)+1)</f>
        <v>0</v>
      </c>
      <c r="CB10" s="8">
        <f>IF(OR(Tank1!$D$18="EXTERNAL FLOATING ROOF",Tank1!$D$18="INTERNAL FLOATING ROOF"),IF(Tank1!$E40="",0,Tank1!$E40),0)</f>
        <v>0</v>
      </c>
      <c r="CC10" s="8" t="str">
        <f t="shared" si="6"/>
        <v/>
      </c>
      <c r="CD10" s="8"/>
      <c r="CE10" s="8">
        <f>IF(OR(CF10=0,ISNUMBER(MATCH(CF10,$CF$1:CF9,0))),0,MAX($CE$1:CE9)+1)</f>
        <v>0</v>
      </c>
      <c r="CF10" s="8">
        <f>IF(OR(Tank1!$D$18="HORIZONTAL FIXED ROOF",Tank1!$D$18="VERTICAL FIXED ROOF"),IF(Tank1!$E40="",0,Tank1!$E40),0)</f>
        <v>0</v>
      </c>
      <c r="CG10" s="8" t="str">
        <f t="shared" si="7"/>
        <v/>
      </c>
      <c r="CJ10">
        <f>IF(OR(CK10=0,ISNUMBER(MATCH(CK10,$CK$1:CK9,0))),0,MAX($CJ$1:CJ9)+1)</f>
        <v>0</v>
      </c>
      <c r="CK10">
        <f>Tank1!$A$120</f>
        <v>0</v>
      </c>
      <c r="CL10" t="str">
        <f t="shared" si="8"/>
        <v/>
      </c>
      <c r="CM10">
        <f>IFERROR(VLOOKUP($CK10,Tank1!$A$32:$D$141,3,FALSE),0)</f>
        <v>0</v>
      </c>
      <c r="CN10">
        <f>IFERROR(VLOOKUP($CK10,Tank1!$A$32:$D$141,4,FALSE),0)</f>
        <v>0</v>
      </c>
      <c r="DH10">
        <f>IF(OR(DI10=0,ISNUMBER(MATCH(DI10,$DI$1:DI9,0))),0,MAX($DH$1:DH9)+1)</f>
        <v>0</v>
      </c>
      <c r="DI10">
        <f>IF('PI-1-MarineLoading'!$G$119="yes",IF('Load-MarineBarge'!$F$19="CAS",'Load-MarineBarge'!$F$7,0),0)</f>
        <v>0</v>
      </c>
      <c r="DJ10">
        <f t="shared" si="9"/>
        <v>0</v>
      </c>
      <c r="DM10">
        <f>IF(OR(DN10=0,ISNUMBER(MATCH(DN10,$DN$1:DN9,0))),0,MAX($DM$1:DM9)+1)</f>
        <v>0</v>
      </c>
      <c r="DN10">
        <f>IF(Tank1!$D$22="Flare",IFERROR(VLOOKUP(Products!$A$139,Tank1!$A$32:$B$141,1,FALSE),0),0)</f>
        <v>0</v>
      </c>
      <c r="DO10">
        <f>IF($DN10=0,0,VLOOKUP($DN10,Tank1!$A$32:$H$141,7,FALSE))</f>
        <v>0</v>
      </c>
      <c r="DP10">
        <f>IF($DN10=0,0,VLOOKUP($DN10,Tank1!$A$32:$H$141,8,FALSE))</f>
        <v>0</v>
      </c>
      <c r="DQ10" t="str">
        <f t="shared" si="10"/>
        <v/>
      </c>
      <c r="DR10">
        <f t="shared" si="15"/>
        <v>0</v>
      </c>
      <c r="DS10">
        <f t="shared" si="16"/>
        <v>0</v>
      </c>
      <c r="DU10">
        <f>IF(OR(DV10=0,ISNUMBER(MATCH(DV10,$DV$1:DV9,0))),0,MAX($DU$1:DU9)+1)</f>
        <v>0</v>
      </c>
      <c r="DV10">
        <f>IF(Tank1!$D$22="VCU",IFERROR(VLOOKUP(Products!$A$139,Tank1!$A$32:$B$141,1,FALSE),0),0)</f>
        <v>0</v>
      </c>
      <c r="DW10">
        <f>IF($DV10=0,0,VLOOKUP($DV10,Tank1!$A$32:$H$141,7,FALSE))</f>
        <v>0</v>
      </c>
      <c r="DX10">
        <f>IF($DV10=0,0,VLOOKUP($DV10,Tank1!$A$32:$H$141,8,FALSE))</f>
        <v>0</v>
      </c>
      <c r="DY10" t="str">
        <f t="shared" si="11"/>
        <v/>
      </c>
      <c r="DZ10">
        <f t="shared" si="17"/>
        <v>0</v>
      </c>
      <c r="EA10">
        <f t="shared" si="18"/>
        <v>0</v>
      </c>
      <c r="EC10">
        <f>IF(OR(ED10=0,ISNUMBER(MATCH(ED10,$ED$1:ED9,0))),0,MAX($EC$1:EC9)+1)</f>
        <v>0</v>
      </c>
      <c r="ED10">
        <f>IF(Tank1!$D$22="vapor oxidizer",IFERROR(VLOOKUP(Products!$A$139,Tank1!$A$32:$B$141,1,FALSE),0),0)</f>
        <v>0</v>
      </c>
      <c r="EE10">
        <f>IF($ED10=0,0,VLOOKUP($ED10,Tank1!$A$32:$H$141,7,FALSE))</f>
        <v>0</v>
      </c>
      <c r="EF10">
        <f>IF($ED10=0,0,VLOOKUP($ED10,Tank1!$A$32:$H$141,8,FALSE))</f>
        <v>0</v>
      </c>
      <c r="EG10" t="str">
        <f t="shared" si="12"/>
        <v/>
      </c>
      <c r="EH10">
        <f t="shared" si="19"/>
        <v>0</v>
      </c>
      <c r="EI10">
        <f t="shared" si="20"/>
        <v>0</v>
      </c>
      <c r="EK10">
        <f>IF(OR(EL10=0,ISNUMBER(MATCH(EL10,$EL$1:EL9,0))),0,MAX($EK$1:EK9)+1)</f>
        <v>0</v>
      </c>
      <c r="EL10">
        <f>IF(Tank1!$D$22="CAS",IFERROR(VLOOKUP(Products!A139,Tank1!$A$32:$B$141,1,FALSE),0),0)</f>
        <v>0</v>
      </c>
      <c r="EM10">
        <f>IF($EL10=0,0,VLOOKUP($EL10,Tank1!$A$32:$H$141,7,FALSE))</f>
        <v>0</v>
      </c>
      <c r="EN10">
        <f>IF($EL10=0,0,VLOOKUP($EL10,Tank1!$A$32:$H$141,8,FALSE))</f>
        <v>0</v>
      </c>
      <c r="EO10" t="str">
        <f t="shared" si="13"/>
        <v/>
      </c>
      <c r="EP10">
        <f t="shared" si="21"/>
        <v>0</v>
      </c>
      <c r="EQ10">
        <f t="shared" si="22"/>
        <v>0</v>
      </c>
      <c r="EX10">
        <f>MSS!$A43</f>
        <v>0</v>
      </c>
      <c r="EY10">
        <f>MSS!$G43*MSS!F$144</f>
        <v>0</v>
      </c>
      <c r="EZ10">
        <f>MSS!$G43*MSS!G$144</f>
        <v>0</v>
      </c>
      <c r="FB10" s="8" t="s">
        <v>373</v>
      </c>
      <c r="FC10" s="8" t="s">
        <v>374</v>
      </c>
      <c r="FD10" s="8">
        <v>10000</v>
      </c>
      <c r="FE10" s="8">
        <v>1000</v>
      </c>
      <c r="FG10" s="360" t="str">
        <f t="shared" si="23"/>
        <v/>
      </c>
      <c r="FH10" s="155">
        <f>IF(Tank1!$D$22="NO CONTROL",_xlfn.MAXIFS(Tank1!$G$32:$G$141,Tank1!$E$32:$E$141,$FG10),0)*IFERROR($QR$3,0)</f>
        <v>0</v>
      </c>
      <c r="FI10" s="155">
        <f>_xlfn.MAXIFS(LandEmiss!$AF$20:$AF$119,LandEmiss!$AE$20:$AE$119,$FG10)*IFERROR($QR$3,0)</f>
        <v>0</v>
      </c>
      <c r="FJ10" s="155">
        <f>MAX(_xlfn.MAXIFS(LandEmiss!$CO$20:$CO$119,LandEmiss!$CN$20:$CN$119,$FG10),_xlfn.MAXIFS(LandEmiss!$EZ$9:$EZ$108,LandEmiss!$EY$9:$EY$108,$FG10))*IFERROR($QR$3,0)</f>
        <v>0</v>
      </c>
      <c r="FK10" s="155">
        <f>IF(Tank2!$D$22="NO CONTROL",_xlfn.MAXIFS(Tank2!$G$32:$G$141,Tank2!$E$32:$E$141,$FG10),0)*IFERROR($QR$4,0)</f>
        <v>0</v>
      </c>
      <c r="FL10" s="155">
        <f>_xlfn.MAXIFS(LandEmiss!$AG$20:$AG$119,LandEmiss!$AE$20:$AE$119,$FG10)*IFERROR($QR$4,0)</f>
        <v>0</v>
      </c>
      <c r="FM10" s="155">
        <f>MAX(_xlfn.MAXIFS(LandEmiss!$CP$20:$CP$119,LandEmiss!$CN$20:$CN$119,$FG10),_xlfn.MAXIFS(LandEmiss!$FA$9:$FA$108,LandEmiss!$EY$9:$EY$108,$FG10))*IFERROR($QR$4,0)</f>
        <v>0</v>
      </c>
      <c r="FN10" s="155">
        <f>IF(Tank3!$D$22="NO CONTROL",_xlfn.MAXIFS(Tank3!$G$32:$G$141,Tank3!$E$32:$E$141,$FG10),0)*IFERROR($QR$5,0)</f>
        <v>0</v>
      </c>
      <c r="FO10" s="155">
        <f>_xlfn.MAXIFS(LandEmiss!$AH$20:$AH$119,LandEmiss!$AE$20:$AE$119,$FG10)*IFERROR($QR$5,0)</f>
        <v>0</v>
      </c>
      <c r="FP10" s="155">
        <f>MAX(_xlfn.MAXIFS(LandEmiss!$CQ$20:$CQ$119,LandEmiss!$CN$20:$CN$119,$FG10),_xlfn.MAXIFS(LandEmiss!$FB$9:$FB$108,LandEmiss!$EY$9:$EY$108,$FG10))*IFERROR($QR$5,0)</f>
        <v>0</v>
      </c>
      <c r="FQ10" s="155">
        <f>IF(Tank4!$D$22="NO CONTROL",_xlfn.MAXIFS(Tank4!$G$32:$G$141,Tank4!$E$32:$E$141,$FG10),0)*IFERROR($QR$6,0)</f>
        <v>0</v>
      </c>
      <c r="FR10" s="155">
        <f>_xlfn.MAXIFS(LandEmiss!$AI$20:$AI$119,LandEmiss!$AE$20:$AE$119,$FG10)*IFERROR($QR$6,0)</f>
        <v>0</v>
      </c>
      <c r="FS10" s="155">
        <f>MAX(_xlfn.MAXIFS(LandEmiss!$CR$20:$CR$119,LandEmiss!$CN$20:$CN$119,$FG10),_xlfn.MAXIFS(LandEmiss!$FC$9:$FC$108,LandEmiss!$EY$9:$EY$108,$FG10))*IFERROR($QR$6,0)</f>
        <v>0</v>
      </c>
      <c r="FT10" s="155">
        <f>IF(Tank5!$D$22="NO CONTROL",_xlfn.MAXIFS(Tank5!$G$32:$G$141,Tank5!$E$32:$E$141,$FG10),0)*IFERROR($QR$7,0)</f>
        <v>0</v>
      </c>
      <c r="FU10" s="155">
        <f>_xlfn.MAXIFS(LandEmiss!$AJ$20:$AJ$119,LandEmiss!$AE$20:$AE$119,$FG10)*IFERROR($QR$7,0)</f>
        <v>0</v>
      </c>
      <c r="FV10" s="155">
        <f>MAX(_xlfn.MAXIFS(LandEmiss!$CS$20:$CS$119,LandEmiss!$CN$20:$CN$119,$FG10),_xlfn.MAXIFS(LandEmiss!$FD$9:$FD$108,LandEmiss!$EY$9:$EY$108,$FG10))*IFERROR($QR15,0)</f>
        <v>0</v>
      </c>
      <c r="FW10" s="155">
        <f>_xlfn.MAXIFS('Load-DrumTote'!$K$27:$K$136,'Load-DrumTote'!$F$27:$F$136,$FG10)*IFERROR($QR$8,0)</f>
        <v>0</v>
      </c>
      <c r="FX10" s="155">
        <f>_xlfn.MAXIFS('Load-Truck'!$K$27:$K$136,'Load-Truck'!$F$27:$F$136,$FG10)*IFERROR($QR$9,0)</f>
        <v>0</v>
      </c>
      <c r="FY10" s="155">
        <f>_xlfn.MAXIFS('Load-Rail'!$K$27:$K$136,'Load-Rail'!$F$27:$F$136,$FG10)*IFERROR($QR$10,0)</f>
        <v>0</v>
      </c>
      <c r="FZ10" s="155">
        <f>_xlfn.MAXIFS('Load-MarineBarge'!$K$27:$K$136,'Load-MarineBarge'!$F$27:$F$136,$FG10)*IFERROR($QR$11,0)</f>
        <v>0</v>
      </c>
      <c r="GA10" s="155">
        <f>_xlfn.MAXIFS('Load-MarineShip'!$K$27:$K$136,'Load-MarineShip'!$F$27:$F$136,$FG10)*IFERROR($QR$12,0)</f>
        <v>0</v>
      </c>
      <c r="GB10" s="313">
        <f>IF(OR(Flare!$D$24="fuel gas",Flare!$D$38="fuel gas"),SUMIF(Flare!$E$97:$E$106,$FG10,Flare!$F$97:$F$106),0)*IFERROR($QR$13,0)</f>
        <v>0</v>
      </c>
      <c r="GC10" s="313">
        <f>(_xlfn.MAXIFS(CtrlDevImpacts!$I$57:$I$156,CtrlDevImpacts!$H$57:$H$156,$FG10))*IFERROR($QR$13,0)</f>
        <v>0</v>
      </c>
      <c r="GD10" s="313">
        <f>(_xlfn.MAXIFS(Flare!$F$107:$F$216,Flare!$E$107:$E$216,$FG10)-_xlfn.MAXIFS(CtrlDevImpacts!$I$57:$I$156,CtrlDevImpacts!$H$57:$H$156,$FG10))*IFERROR($QR$13,0)</f>
        <v>0</v>
      </c>
      <c r="GE10" s="155">
        <f>_xlfn.MAXIFS(LandEmiss!$B$335:$B$434,LandEmiss!$A$335:$A$434,$FG10)*IFERROR($QR$13,0)</f>
        <v>0</v>
      </c>
      <c r="GF10" s="155">
        <f>(_xlfn.MAXIFS(LandEmiss!$BK$335:$BK$434,LandEmiss!$BJ$335:$BJ$434,$FG10)+_xlfn.MAXIFS(LandEmiss!$DV$323:$DV$422,LandEmiss!$DU$323:$DU$422,$FG10))*IFERROR($QR$13,0)</f>
        <v>0</v>
      </c>
      <c r="GG10" s="313">
        <f>IF(OR(VCU!$D$26="fuel gas",VCU!$D$42="fuel gas"),SUMIF(VCU!$E$120:$E$129,$FG10,VCU!$F$120:$F$129),0)*IFERROR($QR$14,0)</f>
        <v>0</v>
      </c>
      <c r="GH10" s="313">
        <f>(_xlfn.MAXIFS(CtrlDevImpacts!$X$57:$X$156,CtrlDevImpacts!$W$57:$W$156,$FG10))*IFERROR($QR$14,0)</f>
        <v>0</v>
      </c>
      <c r="GI10" s="313">
        <f>(_xlfn.MAXIFS(VCU!$F$130:$F$239,VCU!$E$130:$E$239,$FG10)-_xlfn.MAXIFS(CtrlDevImpacts!$X$57:$X$156,CtrlDevImpacts!$W$57:$W$156,$FG10))*IFERROR($QR$14,0)</f>
        <v>0</v>
      </c>
      <c r="GJ10" s="155">
        <f>_xlfn.MAXIFS(LandEmiss!$D$335:$D$434,LandEmiss!$A$335:$A$434,$FG10)*IFERROR($QR$14,0)</f>
        <v>0</v>
      </c>
      <c r="GK10" s="155">
        <f>(_xlfn.MAXIFS(LandEmiss!$BM$335:$BM$434,LandEmiss!$BJ$335:$BJ$434,$FG10)+_xlfn.MAXIFS(LandEmiss!$DX$323:$DX$422,LandEmiss!$DU$323:$DU$422,$FG10))*IFERROR($QR$14,0)</f>
        <v>0</v>
      </c>
      <c r="GL10" s="313">
        <f>IF(VaporOxidizer!D41="FUEL GAS",SUMIF(VaporOxidizer!$E$101:$E$110,$FG10,VaporOxidizer!$F$101:$F$110),0)*IFERROR($QR$15,0)</f>
        <v>0</v>
      </c>
      <c r="GM10" s="313">
        <f>(_xlfn.MAXIFS(CtrlDevImpacts!$AN$57:$AN$156,CtrlDevImpacts!$AM$57:$AM$156,$FG10))*IFERROR($QR$15,0)</f>
        <v>0</v>
      </c>
      <c r="GN10" s="313">
        <f>(_xlfn.MAXIFS(VaporOxidizer!$F$111:$F$220,VaporOxidizer!$E$111:$E$220,$FG10)-_xlfn.MAXIFS(CtrlDevImpacts!$AN$57:$AN$156,CtrlDevImpacts!$AM$57:$AM$156,$FG10))*IFERROR($QR$15,0)</f>
        <v>0</v>
      </c>
      <c r="GO10" s="155">
        <f>_xlfn.MAXIFS(LandEmiss!$F$335:$F$434,LandEmiss!$A$335:$A$434,$FG10)*IFERROR($QR$15,0)</f>
        <v>0</v>
      </c>
      <c r="GP10" s="155">
        <f>(_xlfn.MAXIFS(LandEmiss!$BK$335:$BK$434,LandEmiss!$BO$335:$BO$434,$FG10)+_xlfn.MAXIFS(LandEmiss!$DZ$323:$DZ$422,LandEmiss!$DU$323:$DU$422,$FG10))*IFERROR($QR$15,0)</f>
        <v>0</v>
      </c>
      <c r="GQ10" s="313">
        <f>_xlfn.MAXIFS(CtrlDevImpacts!$BD$57:$BD$156,CtrlDevImpacts!$BC$57:$BC$156,$FG10)*IFERROR(Hidden!$QR$16,0)</f>
        <v>0</v>
      </c>
      <c r="GR10" s="313">
        <f>(_xlfn.MAXIFS(CAS!$H$35:$H$144,CAS!$E$35:$E$144,$FG10)-_xlfn.MAXIFS(CtrlDevImpacts!$BD$57:$BD$156,CtrlDevImpacts!$BC$57:$BC$156,$FG10))*IFERROR(Hidden!$QR$16,0)</f>
        <v>0</v>
      </c>
      <c r="GS10" s="155">
        <f>_xlfn.MAXIFS(LandEmiss!$H$335:$H$434,LandEmiss!$A$335:$A$434,$FG10)*IFERROR($QR$27,0)</f>
        <v>0</v>
      </c>
      <c r="GT10" s="155">
        <f>(_xlfn.MAXIFS(LandEmiss!$BK$335:$BK$434,LandEmiss!$BQ$335:$BQ$434,$FG10)+_xlfn.MAXIFS(LandEmiss!$EB$323:$EB$422,LandEmiss!$DU$323:$DU$422,$FG10))*IFERROR($QR$27,0)</f>
        <v>0</v>
      </c>
      <c r="GU10" s="155">
        <f>_xlfn.MAXIFS(LandEmiss!$J$335:$J$434,LandEmiss!$A$335:$A$434,$FG10)*IFERROR($QR$26,0)</f>
        <v>0</v>
      </c>
      <c r="GV10" s="155">
        <f>(_xlfn.MAXIFS(LandEmiss!$BK$335:$BK$434,LandEmiss!$BS$335:$BS$434,$FG10)+_xlfn.MAXIFS(LandEmiss!$ED$323:$ED$422,LandEmiss!$DU$323:$DU$422,$FG10))*IFERROR($QR$26,0)</f>
        <v>0</v>
      </c>
      <c r="GW10" s="155">
        <f>_xlfn.MAXIFS(LandEmiss!$L$335:$L$434,LandEmiss!$A$335:$A$434,$FG10)*IFERROR($QR$25,0)</f>
        <v>0</v>
      </c>
      <c r="GX10" s="155">
        <f>(_xlfn.MAXIFS(LandEmiss!$BK$335:$BK$434,LandEmiss!$BU$335:$BU$434,$FG10)+_xlfn.MAXIFS(LandEmiss!$EF$323:$EF$422,LandEmiss!$DU$323:$DU$422,$FG10))*IFERROR($QR$25,0)</f>
        <v>0</v>
      </c>
      <c r="GY10" s="155">
        <v>0</v>
      </c>
      <c r="GZ10" s="155">
        <v>0</v>
      </c>
      <c r="HA10" s="155">
        <f>IF(OR(HeaterBoiler1!$E$26&lt;&gt;"fuel gas",HeaterBoiler1!$E$15&lt;&gt;"heater"),0,SUMIF(HeaterBoiler1!$A$54:$D$63,$FG10,HeaterBoiler1!$I$54:$I$63))*IFERROR($QR$19,0)</f>
        <v>0</v>
      </c>
      <c r="HB10" s="207">
        <f>IF(OR(HeaterBoiler2!$E$26&lt;&gt;"fuel gas",HeaterBoiler2!$E$15&lt;&gt;"heater"),0,SUMIF(HeaterBoiler2!$A$54:$D$63,$FG10,HeaterBoiler2!$I$54:$I$63))*IFERROR($QR$21,0)</f>
        <v>0</v>
      </c>
      <c r="HC10" s="155">
        <f>IF(OR(HeaterBoiler1!$E$26&lt;&gt;"fuel gas",HeaterBoiler1!$E$15&lt;&gt;"boiler"),0,SUMIF(HeaterBoiler1!$A$41:$A$50,$FG10,HeaterBoiler1!$F$41:$F$50))*IFERROR($QR$20,0)</f>
        <v>0</v>
      </c>
      <c r="HD10" s="207">
        <f>IF(OR(HeaterBoiler2!$E$26&lt;&gt;"fuel gas",HeaterBoiler2!$E$15&lt;&gt;"boiler"),0,SUMIF(HeaterBoiler2!$A$41:$A$50,$FG10,HeaterBoiler2!$F$41:$F$50))*IFERROR($QR$22,0)</f>
        <v>0</v>
      </c>
      <c r="HE10" s="155">
        <f>SUMIF(Fug!$A$96:$A$205,$FG10,Fug!$I$96:$I$205)*IFERROR(Hidden!$QR$23,0)</f>
        <v>0</v>
      </c>
      <c r="HF10" s="155">
        <f t="shared" si="24"/>
        <v>0</v>
      </c>
      <c r="HG10" s="156">
        <f t="shared" si="25"/>
        <v>0</v>
      </c>
      <c r="HH10" s="156">
        <f t="shared" si="26"/>
        <v>0</v>
      </c>
      <c r="HI10" s="156">
        <f t="shared" si="27"/>
        <v>0</v>
      </c>
      <c r="HJ10" s="156">
        <f t="shared" si="28"/>
        <v>0</v>
      </c>
      <c r="HK10" s="156">
        <f t="shared" si="29"/>
        <v>0</v>
      </c>
      <c r="HL10" s="156">
        <f t="shared" si="30"/>
        <v>0</v>
      </c>
      <c r="NO10" s="155">
        <f>IF(Tank1!$D$22="No control",(SUMIF(Tank1!$E$32:$E$141,$FG10,Tank1!$H$32:$H$141)*(2000/8760)*IFERROR($QV$3,0)),0)</f>
        <v>0</v>
      </c>
      <c r="NP10" s="156">
        <f>SUMIF(LandEmiss!$AE$20:$AE$119,$FG10,LandEmiss!$AK$20:$AK$119)*(2000/8760)*IFERROR($QV$3,0)</f>
        <v>0</v>
      </c>
      <c r="NQ10" s="156">
        <f>(SUMIF(LandEmiss!$CN$20:$CN$119,$FG10,LandEmiss!$CT$20:$CT$119)+SUMIF(LandEmiss!$EY$9:$EY$108,$FG10,LandEmiss!$FE$9:$FE$108))*IFERROR($QV$3,0)*(2000/8760)</f>
        <v>0</v>
      </c>
      <c r="NR10" s="155">
        <f>IF(Tank2!$D$22="No control",(SUMIF(Tank2!$E$32:$E$141,$FG10,Tank2!$H$32:$H$141)*(2000/8760)*IFERROR($QV$4,0)),0)</f>
        <v>0</v>
      </c>
      <c r="NS10" s="156">
        <f>SUMIF(LandEmiss!$AE$20:$AE$119,$FG10,LandEmiss!$AL$20:$AL$119)*(2000/8760)*IFERROR($QV$4,0)</f>
        <v>0</v>
      </c>
      <c r="NT10" s="156">
        <f>(SUMIF(LandEmiss!$CN$20:$CN$119,$FG10,LandEmiss!$CU$20:$CU$119)+SUMIF(LandEmiss!$EY$9:$EY$108,$FG10,LandEmiss!$FF$9:$FF$108))*IFERROR($QV$4,0)*(2000/8760)</f>
        <v>0</v>
      </c>
      <c r="NU10" s="155">
        <f>IF(Tank3!$D$22="No control",(SUMIF(Tank3!$E$32:$E$141,$FG10,Tank3!$H$32:$H$141)*(2000/8760)*IFERROR($QV$5,0)),0)</f>
        <v>0</v>
      </c>
      <c r="NV10" s="156">
        <f>SUMIF(LandEmiss!$AE$20:$AE$119,$FG10,LandEmiss!$AM$20:$AM$119)*(2000/8760)*IFERROR($QV$5,0)</f>
        <v>0</v>
      </c>
      <c r="NW10" s="156">
        <f>(SUMIF(LandEmiss!$CN$20:$CN$119,$FG10,LandEmiss!$CV$20:$CV$119)+SUMIF(LandEmiss!$EY$9:$EY$108,$FG10,LandEmiss!$FG$9:$FG$108))*IFERROR($QV$5,0)*(2000/8760)</f>
        <v>0</v>
      </c>
      <c r="NX10" s="155">
        <f>IF(Tank4!$D$22="No control",(SUMIF(Tank4!$E$32:$E$141,$FG10,Tank4!$H$32:$H$141)*(2000/8760)*IFERROR($QV$6,0)),0)</f>
        <v>0</v>
      </c>
      <c r="NY10" s="156">
        <f>SUMIF(LandEmiss!$AE$20:$AE$119,$FG10,LandEmiss!$AN$20:$AN$119)*(2000/8760)*IFERROR($QV$6,0)</f>
        <v>0</v>
      </c>
      <c r="NZ10" s="156">
        <f>(SUMIF(LandEmiss!$CN$20:$CN$119,$FG10,LandEmiss!$CW$20:$CW$119)+SUMIF(LandEmiss!$EY$9:$EY$108,$FG10,LandEmiss!$FH$9:$FH$108))*IFERROR($QV$6,0)*(2000/8760)</f>
        <v>0</v>
      </c>
      <c r="OA10" s="155">
        <f>IF(Tank5!$D$22="No control",(SUMIF(Tank5!$E$32:$E$141,$FG10,Tank5!$H$32:$H$141)*(2000/8760)*IFERROR($QV$7,0)),0)</f>
        <v>0</v>
      </c>
      <c r="OB10" s="156">
        <f>SUMIF(LandEmiss!$AE$20:$AE$119,$FG10,LandEmiss!$AO$20:$AO$119)*(2000/8760)*IFERROR($QV$7,0)</f>
        <v>0</v>
      </c>
      <c r="OC10" s="156">
        <f>(SUMIF(LandEmiss!$CN$20:$CN$119,$FG10,LandEmiss!$CX$20:$CX$119)+SUMIF(LandEmiss!$EY$9:$EY$108,$FG10,LandEmiss!$FI$9:$FI$108))*IFERROR($QV$7,0)*(2000/8760)</f>
        <v>0</v>
      </c>
      <c r="OD10" s="155">
        <f>SUMIFS('Load-DrumTote'!$L$27:$L$136,'Load-DrumTote'!$F$27:$F$136,$FG10)*IFERROR($QV$8,0)*(2000/8760)</f>
        <v>0</v>
      </c>
      <c r="OE10" s="155">
        <f>SUMIFS('Load-Truck'!$L$27:$L$136,'Load-Truck'!$F$27:$F$136,$FG10)*IFERROR($QV$9,0)*(2000/8760)</f>
        <v>0</v>
      </c>
      <c r="OF10" s="155">
        <f>SUMIFS('Load-Rail'!$L$27:$L$136,'Load-Rail'!$F$27:$F$136,$FG10)*IFERROR($QV$10,0)*(2000/8760)</f>
        <v>0</v>
      </c>
      <c r="OG10" s="155">
        <f>SUMIFS('Load-MarineBarge'!$L$27:$L$136,'Load-MarineBarge'!$F$27:$F$136,$FG10)*IFERROR($QV$11,0)*(2000/8760)</f>
        <v>0</v>
      </c>
      <c r="OH10" s="155">
        <f>SUMIFS('Load-MarineShip'!$L$27:$L$136,'Load-MarineShip'!$F$27:$F$136,$FG10)*IFERROR($QV$12,0)*(2000/8760)</f>
        <v>0</v>
      </c>
      <c r="OI10" s="155">
        <f>(IF(OR(Flare!$D$24="FUEL GAS",Flare!$D$38="FUEL GAS"),SUMIF(Flare!$E$97:$E$106,$FG10,Flare!$G$97:$G$105),0)+SUMIF(Flare!$E$107:$E$216,$FG10,Flare!$G$107:$G$216))*(2000/8730)*IFERROR($QV$13,0)</f>
        <v>0</v>
      </c>
      <c r="OJ10" s="155">
        <f>SUMIF(LandEmiss!$A$335:$A$434,$FG10,LandEmiss!$C$335:$C$434)*(2000/8760)*IFERROR($QV$13,0)</f>
        <v>0</v>
      </c>
      <c r="OK10" s="155">
        <f>(SUMIF(LandEmiss!$BJ$335:$BJ$434,$FG10,LandEmiss!$BL$335:$BL$434)+SUMIF(LandEmiss!$DU$323:$DU$422,$FG10,LandEmiss!$DW$323:$DW$422))*(2000/8760)*IFERROR($QV$13,0)</f>
        <v>0</v>
      </c>
      <c r="OL10" s="155">
        <f>(IF(OR(VCU!$D$26="FUEL GAS",VCU!$D$42="FUEL GAS"),SUMIF(VCU!$E$120:$E$129,$FG10,VCU!$G$120:$G$129),0)+SUMIF(VCU!$E$130:$E$239,$FG10,VCU!G138:G247))*(2000/8760)*IFERROR($QV$14,0)</f>
        <v>0</v>
      </c>
      <c r="OM10" s="155">
        <f>SUMIF(LandEmiss!$A$335:$A$434,$FG10,LandEmiss!$E$335:$E$434)*(2000/8760)*IFERROR($QV$14,0)</f>
        <v>0</v>
      </c>
      <c r="ON10" s="155">
        <f>(SUMIF(LandEmiss!$BJ$335:$BJ$434,$FG10,LandEmiss!$BN$335:$BN$434)+SUMIF(LandEmiss!$DU$323:$DU$422,$FG10,LandEmiss!$DY$323:$DY$422))*(2000/8760)*IFERROR($QV$14,0)</f>
        <v>0</v>
      </c>
      <c r="OO10" s="155">
        <f>(IF(VaporOxidizer!$D$33="FUEL GAS",SUMIF(VaporOxidizer!$E$101:$E$110,$FG10,VaporOxidizer!$G$101:$G$110),0)+SUMIF(VaporOxidizer!$E$111:$E$220,$FG10,VaporOxidizer!$G$111:$G$220))*(2000/8760)*IFERROR($QV$15,0)</f>
        <v>0</v>
      </c>
      <c r="OP10" s="155">
        <f>SUMIF(LandEmiss!$A$335:$A$434,$FG10,LandEmiss!$G$335:$G$434)*(2000/8760)*IFERROR($QV$15,0)</f>
        <v>0</v>
      </c>
      <c r="OQ10" s="155">
        <f>(SUMIF(LandEmiss!$BJ$335:$BJ$434,$FG10,LandEmiss!$BP$335:$BP$434)+SUMIF(LandEmiss!$DU$323:$DU$422,$FG10,LandEmiss!$EA$323:$EA$422))*(2000/8760)*IFERROR($QV$15,0)</f>
        <v>0</v>
      </c>
      <c r="OR10" s="155">
        <f>SUMIF(CAS!$E$35:$E$144,Hidden!$FG10,CAS!$I$35:$I$144)*IFERROR($QV$16,0)*(2000/8760)</f>
        <v>0</v>
      </c>
      <c r="OS10" s="155">
        <f>SUMIF(LandEmiss!$A$335:$A$434,$FG10,LandEmiss!$I$335:$I$434)*(2000/8760)*IFERROR($QV$27,0)</f>
        <v>0</v>
      </c>
      <c r="OT10" s="155">
        <f>(SUMIF(LandEmiss!$BJ$335:$BJ$434,$FG10,LandEmiss!$BR$335:$BR$434)+SUMIF(LandEmiss!$DU$323:$DU$422,$FG10,LandEmiss!$EC$323:$EC$422))*(2000/8760)*IFERROR($QV$27,0)</f>
        <v>0</v>
      </c>
      <c r="OU10" s="155">
        <f>SUMIF(LandEmiss!$A$335:$A$434,$FG10,LandEmiss!$K$335:$K$434)*(2000/8760)*IFERROR($QV$26,0)</f>
        <v>0</v>
      </c>
      <c r="OV10" s="155">
        <f>(SUMIF(LandEmiss!$BJ$335:$BJ$434,$FG10,LandEmiss!$BT$335:$BT$434)+SUMIF(LandEmiss!$DU$323:$DU$422,$FG10,LandEmiss!$EE$323:$EE$422))*(2000/8760)*IFERROR($QV$26,0)</f>
        <v>0</v>
      </c>
      <c r="OW10" s="155">
        <f>SUMIF(LandEmiss!$A$335:$A$434,$FG10,LandEmiss!$M$335:$M$434)*(2000/8760)*IFERROR($QV$25,0)</f>
        <v>0</v>
      </c>
      <c r="OX10" s="155">
        <f>(SUMIF(LandEmiss!$BJ$335:$BJ$434,$FG10,LandEmiss!$BV$335:$BV$434)+SUMIF(LandEmiss!$DU$323:$DU$422,$FG10,LandEmiss!$EG$323:$EG$422))*(2000/8760)*IFERROR($QV$25,0)</f>
        <v>0</v>
      </c>
      <c r="OY10" s="8">
        <v>0</v>
      </c>
      <c r="OZ10" s="207">
        <v>0</v>
      </c>
      <c r="PA10" s="207">
        <f>IF(OR(HeaterBoiler1!$E$26&lt;&gt;"fuel gas",HeaterBoiler1!$E$15&lt;&gt;"heater"),0,(SUMIF(HeaterBoiler1!$A$54:$D$63,$FG10,HeaterBoiler1!$J$54:$J$63))*(2000/8760))*IFERROR($QV$19,0)</f>
        <v>0</v>
      </c>
      <c r="PB10" s="207">
        <f>IF(OR(HeaterBoiler2!$E$26&lt;&gt;"fuel gas",HeaterBoiler2!$E$15&lt;&gt;"heater"),0,(SUMIF(HeaterBoiler2!$A$54:$D$63,$FG10,HeaterBoiler2!$J$54:$J$63))*(2000/8760))*IFERROR($QV$21,0)</f>
        <v>0</v>
      </c>
      <c r="PC10" s="207">
        <f>IF(OR(HeaterBoiler1!$E$26&lt;&gt;"fuel gas",HeaterBoiler1!$E$15&lt;&gt;"boiler"),0,(SUMIF(HeaterBoiler1!$A$54:$D$63,$FG10,HeaterBoiler1!$J$54:$J$63))*(2000/8760))*IFERROR($QV$20,0)</f>
        <v>0</v>
      </c>
      <c r="PD10" s="207">
        <f>IF(OR(HeaterBoiler2!$E$26&lt;&gt;"fuel gas",HeaterBoiler2!$E$15&lt;&gt;"boiler"),0,(SUMIF(HeaterBoiler2!$A$54:$D$63,$FG10,HeaterBoiler2!$J$54:$J$63))*(2000/8760))*IFERROR($QV$22,0)</f>
        <v>0</v>
      </c>
      <c r="PE10" s="8">
        <f>(SUMIF(Fug!$A$96:$A$205,$FG10,Fug!$J$96:$J$205))*IFERROR($QV$23,0)*(2000/8760)</f>
        <v>0</v>
      </c>
      <c r="PF10" s="8">
        <f t="shared" si="31"/>
        <v>0</v>
      </c>
      <c r="PG10" s="156">
        <f t="shared" si="32"/>
        <v>0</v>
      </c>
      <c r="PJ10" s="52" t="str">
        <f>IF(Fug!$F$16=Hidden!$PP$2,"Valves","Valves")</f>
        <v>Valves</v>
      </c>
      <c r="PK10" s="52" t="str">
        <f>IF(Fug!$F$16=Hidden!$PP$2,"Water/Light Oil","Ultra Heavy Liquid")</f>
        <v>Ultra Heavy Liquid</v>
      </c>
      <c r="PL10" s="52">
        <v>5.0000000000000001E-4</v>
      </c>
      <c r="PM10" s="52">
        <v>6.9999999999999999E-4</v>
      </c>
      <c r="PN10" s="52">
        <v>5.0000000000000001E-4</v>
      </c>
      <c r="PO10" s="52">
        <v>5.0000000000000001E-4</v>
      </c>
      <c r="PP10" s="52">
        <v>2.1599999999999999E-4</v>
      </c>
      <c r="PQ10" s="52"/>
      <c r="PR10" s="52"/>
      <c r="PS10" s="52"/>
      <c r="PT10" s="52" t="s">
        <v>8768</v>
      </c>
      <c r="PU10" s="52" t="s">
        <v>8776</v>
      </c>
      <c r="PV10" s="52">
        <v>0</v>
      </c>
      <c r="PW10" s="52">
        <v>0</v>
      </c>
      <c r="PX10" s="52">
        <v>0</v>
      </c>
      <c r="PY10" s="52">
        <v>0</v>
      </c>
      <c r="PZ10" s="52">
        <v>0</v>
      </c>
      <c r="QA10" s="52">
        <v>0</v>
      </c>
      <c r="QB10" s="52" t="s">
        <v>8768</v>
      </c>
      <c r="QC10" s="52" t="s">
        <v>8808</v>
      </c>
      <c r="QD10" s="52">
        <v>0</v>
      </c>
      <c r="QE10" s="52">
        <v>0</v>
      </c>
      <c r="QF10" s="52">
        <v>0</v>
      </c>
      <c r="QG10" s="52">
        <v>0</v>
      </c>
      <c r="QH10" s="52">
        <v>0</v>
      </c>
      <c r="QI10" s="52">
        <v>0.97</v>
      </c>
      <c r="QK10" s="95" t="s">
        <v>9115</v>
      </c>
      <c r="QM10" s="16" t="s">
        <v>9292</v>
      </c>
      <c r="QN10" s="104" t="e">
        <f t="shared" si="38"/>
        <v>#N/A</v>
      </c>
      <c r="QO10" s="104">
        <f>'Load-Rail'!F16</f>
        <v>0</v>
      </c>
      <c r="QP10" s="104">
        <f>'Load-Rail'!F15</f>
        <v>0</v>
      </c>
      <c r="QQ10" s="16" t="str">
        <f>QX20</f>
        <v>RAIL</v>
      </c>
      <c r="QR10" s="16" t="e">
        <f t="shared" si="33"/>
        <v>#N/A</v>
      </c>
      <c r="QS10" s="16" t="e">
        <f t="shared" si="34"/>
        <v>#N/A</v>
      </c>
      <c r="QT10" s="16" t="e">
        <f t="shared" si="35"/>
        <v>#N/A</v>
      </c>
      <c r="QU10" s="16" t="e">
        <f t="shared" si="36"/>
        <v>#N/A</v>
      </c>
      <c r="QV10" s="16" t="e">
        <f t="shared" si="37"/>
        <v>#N/A</v>
      </c>
      <c r="QX10" s="89" t="s">
        <v>9319</v>
      </c>
      <c r="QY10">
        <v>21023.599999999999</v>
      </c>
      <c r="QZ10">
        <v>11972.4</v>
      </c>
      <c r="RA10">
        <v>5342.9</v>
      </c>
      <c r="RB10">
        <v>2116.6</v>
      </c>
      <c r="RC10">
        <v>1209.0999999999999</v>
      </c>
      <c r="RD10">
        <v>810.7</v>
      </c>
      <c r="RE10">
        <v>599</v>
      </c>
      <c r="RF10">
        <v>340.8</v>
      </c>
      <c r="RG10" s="90">
        <v>227.1</v>
      </c>
      <c r="RH10" s="89" t="s">
        <v>9319</v>
      </c>
      <c r="RI10">
        <v>18555.7</v>
      </c>
      <c r="RJ10">
        <v>10871.2</v>
      </c>
      <c r="RK10">
        <v>4736.3999999999996</v>
      </c>
      <c r="RL10">
        <v>1821.4</v>
      </c>
      <c r="RM10">
        <v>1024.2</v>
      </c>
      <c r="RN10">
        <v>680.4</v>
      </c>
      <c r="RO10">
        <v>494.3</v>
      </c>
      <c r="RP10">
        <v>285.3</v>
      </c>
      <c r="RQ10" s="90">
        <v>185.1</v>
      </c>
      <c r="RR10" s="89" t="s">
        <v>9319</v>
      </c>
      <c r="RS10">
        <v>15313.5</v>
      </c>
      <c r="RT10">
        <v>8655.7999999999993</v>
      </c>
      <c r="RU10">
        <v>3532.7</v>
      </c>
      <c r="RV10">
        <v>1273.3</v>
      </c>
      <c r="RW10">
        <v>688.9</v>
      </c>
      <c r="RX10">
        <v>445.6</v>
      </c>
      <c r="RY10">
        <v>317.89999999999998</v>
      </c>
      <c r="RZ10">
        <v>182.2</v>
      </c>
      <c r="SA10" s="90">
        <v>124.1</v>
      </c>
      <c r="SB10" s="89" t="s">
        <v>9319</v>
      </c>
      <c r="SC10">
        <v>6849</v>
      </c>
      <c r="SD10">
        <v>3675.9</v>
      </c>
      <c r="SE10">
        <v>1409</v>
      </c>
      <c r="SF10">
        <v>484</v>
      </c>
      <c r="SG10">
        <v>251.8</v>
      </c>
      <c r="SH10">
        <v>160.30000000000001</v>
      </c>
      <c r="SI10">
        <v>114.5</v>
      </c>
      <c r="SJ10">
        <v>66.569999999999993</v>
      </c>
      <c r="SK10" s="90">
        <v>45.33</v>
      </c>
      <c r="SL10" s="89" t="s">
        <v>9319</v>
      </c>
      <c r="SM10">
        <v>1302.2</v>
      </c>
      <c r="SN10">
        <v>650.20000000000005</v>
      </c>
      <c r="SO10">
        <v>221</v>
      </c>
      <c r="SP10">
        <v>66.010000000000005</v>
      </c>
      <c r="SQ10">
        <v>32.19</v>
      </c>
      <c r="SR10">
        <v>19.350000000000001</v>
      </c>
      <c r="SS10">
        <v>13.36</v>
      </c>
      <c r="ST10">
        <v>6.57</v>
      </c>
      <c r="SU10" s="90">
        <v>4</v>
      </c>
      <c r="SW10" s="112" t="s">
        <v>226</v>
      </c>
      <c r="SX10" s="28" t="s">
        <v>9375</v>
      </c>
      <c r="SY10" s="29" t="s">
        <v>11134</v>
      </c>
      <c r="TI10" s="260" t="s">
        <v>10194</v>
      </c>
      <c r="TJ10" s="249" t="s">
        <v>10186</v>
      </c>
      <c r="TK10" s="250" t="s">
        <v>10187</v>
      </c>
      <c r="TL10" t="s">
        <v>10203</v>
      </c>
      <c r="TM10" s="225" t="s">
        <v>10257</v>
      </c>
    </row>
    <row r="11" spans="1:534" ht="74.25" customHeight="1" thickBot="1" x14ac:dyDescent="0.25">
      <c r="A11" s="8" t="s">
        <v>188</v>
      </c>
      <c r="B11" s="8">
        <v>12</v>
      </c>
      <c r="D11" s="8" t="s">
        <v>198</v>
      </c>
      <c r="E11" s="8" t="b">
        <f>IF($D11='PI-1-MarineLoading'!$D$73,TRUE,FALSE)</f>
        <v>0</v>
      </c>
      <c r="G11">
        <f>IF(OR(H11=0,ISNUMBER(MATCH(H11,$H$1:H10,0))),0,MAX($G$1:G10)+1)</f>
        <v>0</v>
      </c>
      <c r="H11">
        <f>Products!A149</f>
        <v>0</v>
      </c>
      <c r="I11" t="str">
        <f t="shared" si="0"/>
        <v/>
      </c>
      <c r="W11">
        <f>IF(OR(X11=0,ISNUMBER(MATCH(X11,$X$1:X10,0))),0,MAX($W$1:W10)+1)</f>
        <v>0</v>
      </c>
      <c r="X11">
        <f>Products!$E17</f>
        <v>0</v>
      </c>
      <c r="Y11" t="str">
        <f t="shared" si="3"/>
        <v/>
      </c>
      <c r="CA11">
        <f>IF(OR(CB11=0,ISNUMBER(MATCH(CB11,$CB$1:CB10,0))),0,MAX($CA$1:CA10)+1)</f>
        <v>0</v>
      </c>
      <c r="CB11" s="8">
        <f>IF(OR(Tank1!$D$18="EXTERNAL FLOATING ROOF",Tank1!$D$18="INTERNAL FLOATING ROOF"),IF(Tank1!$E41="",0,Tank1!$E41),0)</f>
        <v>0</v>
      </c>
      <c r="CC11" s="8" t="str">
        <f t="shared" si="6"/>
        <v/>
      </c>
      <c r="CD11" s="8"/>
      <c r="CE11" s="8">
        <f>IF(OR(CF11=0,ISNUMBER(MATCH(CF11,$CF$1:CF10,0))),0,MAX($CE$1:CE10)+1)</f>
        <v>0</v>
      </c>
      <c r="CF11" s="8">
        <f>IF(OR(Tank1!$D$18="HORIZONTAL FIXED ROOF",Tank1!$D$18="VERTICAL FIXED ROOF"),IF(Tank1!$E41="",0,Tank1!$E41),0)</f>
        <v>0</v>
      </c>
      <c r="CG11" s="8" t="str">
        <f t="shared" si="7"/>
        <v/>
      </c>
      <c r="CJ11">
        <f>IF(OR(CK11=0,ISNUMBER(MATCH(CK11,$CK$1:CK10,0))),0,MAX($CJ$1:CJ10)+1)</f>
        <v>0</v>
      </c>
      <c r="CK11">
        <f>Tank1!$A$131</f>
        <v>0</v>
      </c>
      <c r="CL11" t="str">
        <f t="shared" si="8"/>
        <v/>
      </c>
      <c r="CM11">
        <f>IFERROR(VLOOKUP($CK11,Tank1!$A$32:$D$141,3,FALSE),0)</f>
        <v>0</v>
      </c>
      <c r="CN11">
        <f>IFERROR(VLOOKUP($CK11,Tank1!$A$32:$D$141,4,FALSE),0)</f>
        <v>0</v>
      </c>
      <c r="DH11">
        <f>IF(OR(DI11=0,ISNUMBER(MATCH(DI11,$DI$1:DI10,0))),0,MAX($DH$1:DH10)+1)</f>
        <v>0</v>
      </c>
      <c r="DI11">
        <f>IF('PI-1-MarineLoading'!$G$120="yes",IF('Load-MarineShip'!$F$19="CAS",'Load-MarineShip'!$F$7,0),0)</f>
        <v>0</v>
      </c>
      <c r="DJ11">
        <f t="shared" si="9"/>
        <v>0</v>
      </c>
      <c r="DM11">
        <f>IF(OR(DN11=0,ISNUMBER(MATCH(DN11,$DN$1:DN10,0))),0,MAX($DM$1:DM10)+1)</f>
        <v>0</v>
      </c>
      <c r="DN11">
        <f>IF(Tank1!$D$22="Flare",IFERROR(VLOOKUP(Products!$A$149,Tank1!$A$32:$B$141,1,FALSE),0),0)</f>
        <v>0</v>
      </c>
      <c r="DO11">
        <f>IF($DN11=0,0,VLOOKUP($DN11,Tank1!$A$32:$H$141,7,FALSE))</f>
        <v>0</v>
      </c>
      <c r="DP11">
        <f>IF($DN11=0,0,VLOOKUP($DN11,Tank1!$A$32:$H$141,8,FALSE))</f>
        <v>0</v>
      </c>
      <c r="DQ11" t="str">
        <f t="shared" si="10"/>
        <v/>
      </c>
      <c r="DR11">
        <f t="shared" si="15"/>
        <v>0</v>
      </c>
      <c r="DS11">
        <f t="shared" si="16"/>
        <v>0</v>
      </c>
      <c r="DU11">
        <f>IF(OR(DV11=0,ISNUMBER(MATCH(DV11,$DV$1:DV10,0))),0,MAX($DU$1:DU10)+1)</f>
        <v>0</v>
      </c>
      <c r="DV11">
        <f>IF(Tank1!$D$22="VCU",IFERROR(VLOOKUP(Products!$A$149,Tank1!$A$32:$B$141,1,FALSE),0),0)</f>
        <v>0</v>
      </c>
      <c r="DW11">
        <f>IF($DV11=0,0,VLOOKUP($DV11,Tank1!$A$32:$H$141,7,FALSE))</f>
        <v>0</v>
      </c>
      <c r="DX11">
        <f>IF($DV11=0,0,VLOOKUP($DV11,Tank1!$A$32:$H$141,8,FALSE))</f>
        <v>0</v>
      </c>
      <c r="DY11" t="str">
        <f t="shared" si="11"/>
        <v/>
      </c>
      <c r="DZ11">
        <f t="shared" si="17"/>
        <v>0</v>
      </c>
      <c r="EA11">
        <f t="shared" si="18"/>
        <v>0</v>
      </c>
      <c r="EC11">
        <f>IF(OR(ED11=0,ISNUMBER(MATCH(ED11,$ED$1:ED10,0))),0,MAX($EC$1:EC10)+1)</f>
        <v>0</v>
      </c>
      <c r="ED11">
        <f>IF(Tank1!$D$22="vapor oxidizer",IFERROR(VLOOKUP(Products!$A$149,Tank1!$A$32:$B$141,1,FALSE),0),0)</f>
        <v>0</v>
      </c>
      <c r="EE11">
        <f>IF($ED11=0,0,VLOOKUP($ED11,Tank1!$A$32:$H$141,7,FALSE))</f>
        <v>0</v>
      </c>
      <c r="EF11">
        <f>IF($ED11=0,0,VLOOKUP($ED11,Tank1!$A$32:$H$141,8,FALSE))</f>
        <v>0</v>
      </c>
      <c r="EG11" t="str">
        <f t="shared" si="12"/>
        <v/>
      </c>
      <c r="EH11">
        <f t="shared" si="19"/>
        <v>0</v>
      </c>
      <c r="EI11">
        <f t="shared" si="20"/>
        <v>0</v>
      </c>
      <c r="EK11">
        <f>IF(OR(EL11=0,ISNUMBER(MATCH(EL11,$EL$1:EL10,0))),0,MAX($EK$1:EK10)+1)</f>
        <v>0</v>
      </c>
      <c r="EL11">
        <f>IF(Tank1!$D$22="CAS",IFERROR(VLOOKUP(Products!A149,Tank1!$A$32:$B$141,1,FALSE),0),0)</f>
        <v>0</v>
      </c>
      <c r="EM11">
        <f>IF($EL11=0,0,VLOOKUP($EL11,Tank1!$A$32:$H$141,7,FALSE))</f>
        <v>0</v>
      </c>
      <c r="EN11">
        <f>IF($EL11=0,0,VLOOKUP($EL11,Tank1!$A$32:$H$141,8,FALSE))</f>
        <v>0</v>
      </c>
      <c r="EO11" t="str">
        <f t="shared" si="13"/>
        <v/>
      </c>
      <c r="EP11">
        <f t="shared" si="21"/>
        <v>0</v>
      </c>
      <c r="EQ11">
        <f t="shared" si="22"/>
        <v>0</v>
      </c>
      <c r="EX11">
        <f>MSS!$A44</f>
        <v>0</v>
      </c>
      <c r="EY11">
        <f>MSS!$G44*MSS!F$144</f>
        <v>0</v>
      </c>
      <c r="EZ11">
        <f>MSS!$G44*MSS!G$144</f>
        <v>0</v>
      </c>
      <c r="FB11" s="8" t="s">
        <v>375</v>
      </c>
      <c r="FC11" s="8" t="s">
        <v>376</v>
      </c>
      <c r="FD11" s="8">
        <v>80</v>
      </c>
      <c r="FE11" s="8">
        <v>8</v>
      </c>
      <c r="FG11" s="360" t="str">
        <f t="shared" si="23"/>
        <v/>
      </c>
      <c r="FH11" s="155">
        <f>IF(Tank1!$D$22="NO CONTROL",_xlfn.MAXIFS(Tank1!$G$32:$G$141,Tank1!$E$32:$E$141,$FG11),0)*IFERROR($QR$3,0)</f>
        <v>0</v>
      </c>
      <c r="FI11" s="155">
        <f>_xlfn.MAXIFS(LandEmiss!$AF$20:$AF$119,LandEmiss!$AE$20:$AE$119,$FG11)*IFERROR($QR$3,0)</f>
        <v>0</v>
      </c>
      <c r="FJ11" s="155">
        <f>MAX(_xlfn.MAXIFS(LandEmiss!$CO$20:$CO$119,LandEmiss!$CN$20:$CN$119,$FG11),_xlfn.MAXIFS(LandEmiss!$EZ$9:$EZ$108,LandEmiss!$EY$9:$EY$108,$FG11))*IFERROR($QR$3,0)</f>
        <v>0</v>
      </c>
      <c r="FK11" s="155">
        <f>IF(Tank2!$D$22="NO CONTROL",_xlfn.MAXIFS(Tank2!$G$32:$G$141,Tank2!$E$32:$E$141,$FG11),0)*IFERROR($QR$4,0)</f>
        <v>0</v>
      </c>
      <c r="FL11" s="155">
        <f>_xlfn.MAXIFS(LandEmiss!$AG$20:$AG$119,LandEmiss!$AE$20:$AE$119,$FG11)*IFERROR($QR$4,0)</f>
        <v>0</v>
      </c>
      <c r="FM11" s="155">
        <f>MAX(_xlfn.MAXIFS(LandEmiss!$CP$20:$CP$119,LandEmiss!$CN$20:$CN$119,$FG11),_xlfn.MAXIFS(LandEmiss!$FA$9:$FA$108,LandEmiss!$EY$9:$EY$108,$FG11))*IFERROR($QR$4,0)</f>
        <v>0</v>
      </c>
      <c r="FN11" s="155">
        <f>IF(Tank3!$D$22="NO CONTROL",_xlfn.MAXIFS(Tank3!$G$32:$G$141,Tank3!$E$32:$E$141,$FG11),0)*IFERROR($QR$5,0)</f>
        <v>0</v>
      </c>
      <c r="FO11" s="155">
        <f>_xlfn.MAXIFS(LandEmiss!$AH$20:$AH$119,LandEmiss!$AE$20:$AE$119,$FG11)*IFERROR($QR$5,0)</f>
        <v>0</v>
      </c>
      <c r="FP11" s="155">
        <f>MAX(_xlfn.MAXIFS(LandEmiss!$CQ$20:$CQ$119,LandEmiss!$CN$20:$CN$119,$FG11),_xlfn.MAXIFS(LandEmiss!$FB$9:$FB$108,LandEmiss!$EY$9:$EY$108,$FG11))*IFERROR($QR$5,0)</f>
        <v>0</v>
      </c>
      <c r="FQ11" s="155">
        <f>IF(Tank4!$D$22="NO CONTROL",_xlfn.MAXIFS(Tank4!$G$32:$G$141,Tank4!$E$32:$E$141,$FG11),0)*IFERROR($QR$6,0)</f>
        <v>0</v>
      </c>
      <c r="FR11" s="155">
        <f>_xlfn.MAXIFS(LandEmiss!$AI$20:$AI$119,LandEmiss!$AE$20:$AE$119,$FG11)*IFERROR($QR$6,0)</f>
        <v>0</v>
      </c>
      <c r="FS11" s="155">
        <f>MAX(_xlfn.MAXIFS(LandEmiss!$CR$20:$CR$119,LandEmiss!$CN$20:$CN$119,$FG11),_xlfn.MAXIFS(LandEmiss!$FC$9:$FC$108,LandEmiss!$EY$9:$EY$108,$FG11))*IFERROR($QR$6,0)</f>
        <v>0</v>
      </c>
      <c r="FT11" s="155">
        <f>IF(Tank5!$D$22="NO CONTROL",_xlfn.MAXIFS(Tank5!$G$32:$G$141,Tank5!$E$32:$E$141,$FG11),0)*IFERROR($QR$7,0)</f>
        <v>0</v>
      </c>
      <c r="FU11" s="155">
        <f>_xlfn.MAXIFS(LandEmiss!$AJ$20:$AJ$119,LandEmiss!$AE$20:$AE$119,$FG11)*IFERROR($QR$7,0)</f>
        <v>0</v>
      </c>
      <c r="FV11" s="155">
        <f>MAX(_xlfn.MAXIFS(LandEmiss!$CS$20:$CS$119,LandEmiss!$CN$20:$CN$119,$FG11),_xlfn.MAXIFS(LandEmiss!$FD$9:$FD$108,LandEmiss!$EY$9:$EY$108,$FG11))*IFERROR($QR16,0)</f>
        <v>0</v>
      </c>
      <c r="FW11" s="155">
        <f>_xlfn.MAXIFS('Load-DrumTote'!$K$27:$K$136,'Load-DrumTote'!$F$27:$F$136,$FG11)*IFERROR($QR$8,0)</f>
        <v>0</v>
      </c>
      <c r="FX11" s="155">
        <f>_xlfn.MAXIFS('Load-Truck'!$K$27:$K$136,'Load-Truck'!$F$27:$F$136,$FG11)*IFERROR($QR$9,0)</f>
        <v>0</v>
      </c>
      <c r="FY11" s="155">
        <f>_xlfn.MAXIFS('Load-Rail'!$K$27:$K$136,'Load-Rail'!$F$27:$F$136,$FG11)*IFERROR($QR$10,0)</f>
        <v>0</v>
      </c>
      <c r="FZ11" s="155">
        <f>_xlfn.MAXIFS('Load-MarineBarge'!$K$27:$K$136,'Load-MarineBarge'!$F$27:$F$136,$FG11)*IFERROR($QR$11,0)</f>
        <v>0</v>
      </c>
      <c r="GA11" s="155">
        <f>_xlfn.MAXIFS('Load-MarineShip'!$K$27:$K$136,'Load-MarineShip'!$F$27:$F$136,$FG11)*IFERROR($QR$12,0)</f>
        <v>0</v>
      </c>
      <c r="GB11" s="313">
        <f>IF(OR(Flare!$D$24="fuel gas",Flare!$D$38="fuel gas"),SUMIF(Flare!$E$97:$E$106,$FG11,Flare!$F$97:$F$106),0)*IFERROR($QR$13,0)</f>
        <v>0</v>
      </c>
      <c r="GC11" s="313">
        <f>(_xlfn.MAXIFS(CtrlDevImpacts!$I$57:$I$156,CtrlDevImpacts!$H$57:$H$156,$FG11))*IFERROR($QR$13,0)</f>
        <v>0</v>
      </c>
      <c r="GD11" s="313">
        <f>(_xlfn.MAXIFS(Flare!$F$107:$F$216,Flare!$E$107:$E$216,$FG11)-_xlfn.MAXIFS(CtrlDevImpacts!$I$57:$I$156,CtrlDevImpacts!$H$57:$H$156,$FG11))*IFERROR($QR$13,0)</f>
        <v>0</v>
      </c>
      <c r="GE11" s="155">
        <f>_xlfn.MAXIFS(LandEmiss!$B$335:$B$434,LandEmiss!$A$335:$A$434,$FG11)*IFERROR($QR$13,0)</f>
        <v>0</v>
      </c>
      <c r="GF11" s="155">
        <f>(_xlfn.MAXIFS(LandEmiss!$BK$335:$BK$434,LandEmiss!$BJ$335:$BJ$434,$FG11)+_xlfn.MAXIFS(LandEmiss!$DV$323:$DV$422,LandEmiss!$DU$323:$DU$422,$FG11))*IFERROR($QR$13,0)</f>
        <v>0</v>
      </c>
      <c r="GG11" s="313">
        <f>IF(OR(VCU!$D$26="fuel gas",VCU!$D$42="fuel gas"),SUMIF(VCU!$E$120:$E$129,$FG11,VCU!$F$120:$F$129),0)*IFERROR($QR$14,0)</f>
        <v>0</v>
      </c>
      <c r="GH11" s="313">
        <f>(_xlfn.MAXIFS(CtrlDevImpacts!$X$57:$X$156,CtrlDevImpacts!$W$57:$W$156,$FG11))*IFERROR($QR$14,0)</f>
        <v>0</v>
      </c>
      <c r="GI11" s="313">
        <f>(_xlfn.MAXIFS(VCU!$F$130:$F$239,VCU!$E$130:$E$239,$FG11)-_xlfn.MAXIFS(CtrlDevImpacts!$X$57:$X$156,CtrlDevImpacts!$W$57:$W$156,$FG11))*IFERROR($QR$14,0)</f>
        <v>0</v>
      </c>
      <c r="GJ11" s="155">
        <f>_xlfn.MAXIFS(LandEmiss!$D$335:$D$434,LandEmiss!$A$335:$A$434,$FG11)*IFERROR($QR$14,0)</f>
        <v>0</v>
      </c>
      <c r="GK11" s="155">
        <f>(_xlfn.MAXIFS(LandEmiss!$BM$335:$BM$434,LandEmiss!$BJ$335:$BJ$434,$FG11)+_xlfn.MAXIFS(LandEmiss!$DX$323:$DX$422,LandEmiss!$DU$323:$DU$422,$FG11))*IFERROR($QR$14,0)</f>
        <v>0</v>
      </c>
      <c r="GL11" s="313">
        <f>IF(VaporOxidizer!D42="FUEL GAS",SUMIF(VaporOxidizer!$E$101:$E$110,$FG11,VaporOxidizer!$F$101:$F$110),0)*IFERROR($QR$15,0)</f>
        <v>0</v>
      </c>
      <c r="GM11" s="313">
        <f>(_xlfn.MAXIFS(CtrlDevImpacts!$AN$57:$AN$156,CtrlDevImpacts!$AM$57:$AM$156,$FG11))*IFERROR($QR$15,0)</f>
        <v>0</v>
      </c>
      <c r="GN11" s="313">
        <f>(_xlfn.MAXIFS(VaporOxidizer!$F$111:$F$220,VaporOxidizer!$E$111:$E$220,$FG11)-_xlfn.MAXIFS(CtrlDevImpacts!$AN$57:$AN$156,CtrlDevImpacts!$AM$57:$AM$156,$FG11))*IFERROR($QR$15,0)</f>
        <v>0</v>
      </c>
      <c r="GO11" s="155">
        <f>_xlfn.MAXIFS(LandEmiss!$F$335:$F$434,LandEmiss!$A$335:$A$434,$FG11)*IFERROR($QR$15,0)</f>
        <v>0</v>
      </c>
      <c r="GP11" s="155">
        <f>(_xlfn.MAXIFS(LandEmiss!$BK$335:$BK$434,LandEmiss!$BO$335:$BO$434,$FG11)+_xlfn.MAXIFS(LandEmiss!$DZ$323:$DZ$422,LandEmiss!$DU$323:$DU$422,$FG11))*IFERROR($QR$15,0)</f>
        <v>0</v>
      </c>
      <c r="GQ11" s="313">
        <f>_xlfn.MAXIFS(CtrlDevImpacts!$BD$57:$BD$156,CtrlDevImpacts!$BC$57:$BC$156,$FG11)*IFERROR(Hidden!$QR$16,0)</f>
        <v>0</v>
      </c>
      <c r="GR11" s="313">
        <f>(_xlfn.MAXIFS(CAS!$H$35:$H$144,CAS!$E$35:$E$144,$FG11)-_xlfn.MAXIFS(CtrlDevImpacts!$BD$57:$BD$156,CtrlDevImpacts!$BC$57:$BC$156,$FG11))*IFERROR(Hidden!$QR$16,0)</f>
        <v>0</v>
      </c>
      <c r="GS11" s="155">
        <f>_xlfn.MAXIFS(LandEmiss!$H$335:$H$434,LandEmiss!$A$335:$A$434,$FG11)*IFERROR($QR$27,0)</f>
        <v>0</v>
      </c>
      <c r="GT11" s="155">
        <f>(_xlfn.MAXIFS(LandEmiss!$BK$335:$BK$434,LandEmiss!$BQ$335:$BQ$434,$FG11)+_xlfn.MAXIFS(LandEmiss!$EB$323:$EB$422,LandEmiss!$DU$323:$DU$422,$FG11))*IFERROR($QR$27,0)</f>
        <v>0</v>
      </c>
      <c r="GU11" s="155">
        <f>_xlfn.MAXIFS(LandEmiss!$J$335:$J$434,LandEmiss!$A$335:$A$434,$FG11)*IFERROR($QR$26,0)</f>
        <v>0</v>
      </c>
      <c r="GV11" s="155">
        <f>(_xlfn.MAXIFS(LandEmiss!$BK$335:$BK$434,LandEmiss!$BS$335:$BS$434,$FG11)+_xlfn.MAXIFS(LandEmiss!$ED$323:$ED$422,LandEmiss!$DU$323:$DU$422,$FG11))*IFERROR($QR$26,0)</f>
        <v>0</v>
      </c>
      <c r="GW11" s="155">
        <f>_xlfn.MAXIFS(LandEmiss!$L$335:$L$434,LandEmiss!$A$335:$A$434,$FG11)*IFERROR($QR$25,0)</f>
        <v>0</v>
      </c>
      <c r="GX11" s="155">
        <f>(_xlfn.MAXIFS(LandEmiss!$BK$335:$BK$434,LandEmiss!$BU$335:$BU$434,$FG11)+_xlfn.MAXIFS(LandEmiss!$EF$323:$EF$422,LandEmiss!$DU$323:$DU$422,$FG11))*IFERROR($QR$25,0)</f>
        <v>0</v>
      </c>
      <c r="GY11" s="155">
        <v>0</v>
      </c>
      <c r="GZ11" s="155">
        <v>0</v>
      </c>
      <c r="HA11" s="155">
        <f>IF(OR(HeaterBoiler1!$E$26&lt;&gt;"fuel gas",HeaterBoiler1!$E$15&lt;&gt;"heater"),0,SUMIF(HeaterBoiler1!$A$54:$D$63,$FG11,HeaterBoiler1!$I$54:$I$63))*IFERROR($QR$19,0)</f>
        <v>0</v>
      </c>
      <c r="HB11" s="207">
        <f>IF(OR(HeaterBoiler2!$E$26&lt;&gt;"fuel gas",HeaterBoiler2!$E$15&lt;&gt;"heater"),0,SUMIF(HeaterBoiler2!$A$54:$D$63,$FG11,HeaterBoiler2!$I$54:$I$63))*IFERROR($QR$21,0)</f>
        <v>0</v>
      </c>
      <c r="HC11" s="155">
        <f>IF(OR(HeaterBoiler1!$E$26&lt;&gt;"fuel gas",HeaterBoiler1!$E$15&lt;&gt;"boiler"),0,SUMIF(HeaterBoiler1!$A$41:$A$50,$FG11,HeaterBoiler1!$F$41:$F$50))*IFERROR($QR$20,0)</f>
        <v>0</v>
      </c>
      <c r="HD11" s="207">
        <f>IF(OR(HeaterBoiler2!$E$26&lt;&gt;"fuel gas",HeaterBoiler2!$E$15&lt;&gt;"boiler"),0,SUMIF(HeaterBoiler2!$A$41:$A$50,$FG11,HeaterBoiler2!$F$41:$F$50))*IFERROR($QR$22,0)</f>
        <v>0</v>
      </c>
      <c r="HE11" s="155">
        <f>SUMIF(Fug!$A$96:$A$205,$FG11,Fug!$I$96:$I$205)*IFERROR(Hidden!$QR$23,0)</f>
        <v>0</v>
      </c>
      <c r="HF11" s="155">
        <f t="shared" si="24"/>
        <v>0</v>
      </c>
      <c r="HG11" s="156">
        <f t="shared" si="25"/>
        <v>0</v>
      </c>
      <c r="HH11" s="156">
        <f t="shared" si="26"/>
        <v>0</v>
      </c>
      <c r="HI11" s="156">
        <f t="shared" si="27"/>
        <v>0</v>
      </c>
      <c r="HJ11" s="156">
        <f t="shared" si="28"/>
        <v>0</v>
      </c>
      <c r="HK11" s="156">
        <f t="shared" si="29"/>
        <v>0</v>
      </c>
      <c r="HL11" s="156">
        <f t="shared" si="30"/>
        <v>0</v>
      </c>
      <c r="NO11" s="155">
        <f>IF(Tank1!$D$22="No control",(SUMIF(Tank1!$E$32:$E$141,$FG11,Tank1!$H$32:$H$141)*(2000/8760)*IFERROR($QV$3,0)),0)</f>
        <v>0</v>
      </c>
      <c r="NP11" s="156">
        <f>SUMIF(LandEmiss!$AE$20:$AE$119,$FG11,LandEmiss!$AK$20:$AK$119)*(2000/8760)*IFERROR($QV$3,0)</f>
        <v>0</v>
      </c>
      <c r="NQ11" s="156">
        <f>(SUMIF(LandEmiss!$CN$20:$CN$119,$FG11,LandEmiss!$CT$20:$CT$119)+SUMIF(LandEmiss!$EY$9:$EY$108,$FG11,LandEmiss!$FE$9:$FE$108))*IFERROR($QV$3,0)*(2000/8760)</f>
        <v>0</v>
      </c>
      <c r="NR11" s="155">
        <f>IF(Tank2!$D$22="No control",(SUMIF(Tank2!$E$32:$E$141,$FG11,Tank2!$H$32:$H$141)*(2000/8760)*IFERROR($QV$4,0)),0)</f>
        <v>0</v>
      </c>
      <c r="NS11" s="156">
        <f>SUMIF(LandEmiss!$AE$20:$AE$119,$FG11,LandEmiss!$AL$20:$AL$119)*(2000/8760)*IFERROR($QV$4,0)</f>
        <v>0</v>
      </c>
      <c r="NT11" s="156">
        <f>(SUMIF(LandEmiss!$CN$20:$CN$119,$FG11,LandEmiss!$CU$20:$CU$119)+SUMIF(LandEmiss!$EY$9:$EY$108,$FG11,LandEmiss!$FF$9:$FF$108))*IFERROR($QV$4,0)*(2000/8760)</f>
        <v>0</v>
      </c>
      <c r="NU11" s="155">
        <f>IF(Tank3!$D$22="No control",(SUMIF(Tank3!$E$32:$E$141,$FG11,Tank3!$H$32:$H$141)*(2000/8760)*IFERROR($QV$5,0)),0)</f>
        <v>0</v>
      </c>
      <c r="NV11" s="156">
        <f>SUMIF(LandEmiss!$AE$20:$AE$119,$FG11,LandEmiss!$AM$20:$AM$119)*(2000/8760)*IFERROR($QV$5,0)</f>
        <v>0</v>
      </c>
      <c r="NW11" s="156">
        <f>(SUMIF(LandEmiss!$CN$20:$CN$119,$FG11,LandEmiss!$CV$20:$CV$119)+SUMIF(LandEmiss!$EY$9:$EY$108,$FG11,LandEmiss!$FG$9:$FG$108))*IFERROR($QV$5,0)*(2000/8760)</f>
        <v>0</v>
      </c>
      <c r="NX11" s="155">
        <f>IF(Tank4!$D$22="No control",(SUMIF(Tank4!$E$32:$E$141,$FG11,Tank4!$H$32:$H$141)*(2000/8760)*IFERROR($QV$6,0)),0)</f>
        <v>0</v>
      </c>
      <c r="NY11" s="156">
        <f>SUMIF(LandEmiss!$AE$20:$AE$119,$FG11,LandEmiss!$AN$20:$AN$119)*(2000/8760)*IFERROR($QV$6,0)</f>
        <v>0</v>
      </c>
      <c r="NZ11" s="156">
        <f>(SUMIF(LandEmiss!$CN$20:$CN$119,$FG11,LandEmiss!$CW$20:$CW$119)+SUMIF(LandEmiss!$EY$9:$EY$108,$FG11,LandEmiss!$FH$9:$FH$108))*IFERROR($QV$6,0)*(2000/8760)</f>
        <v>0</v>
      </c>
      <c r="OA11" s="155">
        <f>IF(Tank5!$D$22="No control",(SUMIF(Tank5!$E$32:$E$141,$FG11,Tank5!$H$32:$H$141)*(2000/8760)*IFERROR($QV$7,0)),0)</f>
        <v>0</v>
      </c>
      <c r="OB11" s="156">
        <f>SUMIF(LandEmiss!$AE$20:$AE$119,$FG11,LandEmiss!$AO$20:$AO$119)*(2000/8760)*IFERROR($QV$7,0)</f>
        <v>0</v>
      </c>
      <c r="OC11" s="156">
        <f>(SUMIF(LandEmiss!$CN$20:$CN$119,$FG11,LandEmiss!$CX$20:$CX$119)+SUMIF(LandEmiss!$EY$9:$EY$108,$FG11,LandEmiss!$FI$9:$FI$108))*IFERROR($QV$7,0)*(2000/8760)</f>
        <v>0</v>
      </c>
      <c r="OD11" s="155">
        <f>SUMIFS('Load-DrumTote'!$L$27:$L$136,'Load-DrumTote'!$F$27:$F$136,$FG11)*IFERROR($QV$8,0)*(2000/8760)</f>
        <v>0</v>
      </c>
      <c r="OE11" s="155">
        <f>SUMIFS('Load-Truck'!$L$27:$L$136,'Load-Truck'!$F$27:$F$136,$FG11)*IFERROR($QV$9,0)*(2000/8760)</f>
        <v>0</v>
      </c>
      <c r="OF11" s="155">
        <f>SUMIFS('Load-Rail'!$L$27:$L$136,'Load-Rail'!$F$27:$F$136,$FG11)*IFERROR($QV$10,0)*(2000/8760)</f>
        <v>0</v>
      </c>
      <c r="OG11" s="155">
        <f>SUMIFS('Load-MarineBarge'!$L$27:$L$136,'Load-MarineBarge'!$F$27:$F$136,$FG11)*IFERROR($QV$11,0)*(2000/8760)</f>
        <v>0</v>
      </c>
      <c r="OH11" s="155">
        <f>SUMIFS('Load-MarineShip'!$L$27:$L$136,'Load-MarineShip'!$F$27:$F$136,$FG11)*IFERROR($QV$12,0)*(2000/8760)</f>
        <v>0</v>
      </c>
      <c r="OI11" s="155">
        <f>(IF(OR(Flare!$D$24="FUEL GAS",Flare!$D$38="FUEL GAS"),SUMIF(Flare!$E$97:$E$106,$FG11,Flare!$G$97:$G$105),0)+SUMIF(Flare!$E$107:$E$216,$FG11,Flare!$G$107:$G$216))*(2000/8730)*IFERROR($QV$13,0)</f>
        <v>0</v>
      </c>
      <c r="OJ11" s="155">
        <f>SUMIF(LandEmiss!$A$335:$A$434,$FG11,LandEmiss!$C$335:$C$434)*(2000/8760)*IFERROR($QV$13,0)</f>
        <v>0</v>
      </c>
      <c r="OK11" s="155">
        <f>(SUMIF(LandEmiss!$BJ$335:$BJ$434,$FG11,LandEmiss!$BL$335:$BL$434)+SUMIF(LandEmiss!$DU$323:$DU$422,$FG11,LandEmiss!$DW$323:$DW$422))*(2000/8760)*IFERROR($QV$13,0)</f>
        <v>0</v>
      </c>
      <c r="OL11" s="155">
        <f>(IF(OR(VCU!$D$26="FUEL GAS",VCU!$D$42="FUEL GAS"),SUMIF(VCU!$E$120:$E$129,$FG11,VCU!$G$120:$G$129),0)+SUMIF(VCU!$E$130:$E$239,$FG11,VCU!G139:G248))*(2000/8760)*IFERROR($QV$14,0)</f>
        <v>0</v>
      </c>
      <c r="OM11" s="155">
        <f>SUMIF(LandEmiss!$A$335:$A$434,$FG11,LandEmiss!$E$335:$E$434)*(2000/8760)*IFERROR($QV$14,0)</f>
        <v>0</v>
      </c>
      <c r="ON11" s="155">
        <f>(SUMIF(LandEmiss!$BJ$335:$BJ$434,$FG11,LandEmiss!$BN$335:$BN$434)+SUMIF(LandEmiss!$DU$323:$DU$422,$FG11,LandEmiss!$DY$323:$DY$422))*(2000/8760)*IFERROR($QV$14,0)</f>
        <v>0</v>
      </c>
      <c r="OO11" s="155">
        <f>(IF(VaporOxidizer!$D$33="FUEL GAS",SUMIF(VaporOxidizer!$E$101:$E$110,$FG11,VaporOxidizer!$G$101:$G$110),0)+SUMIF(VaporOxidizer!$E$111:$E$220,$FG11,VaporOxidizer!$G$111:$G$220))*(2000/8760)*IFERROR($QV$15,0)</f>
        <v>0</v>
      </c>
      <c r="OP11" s="155">
        <f>SUMIF(LandEmiss!$A$335:$A$434,$FG11,LandEmiss!$G$335:$G$434)*(2000/8760)*IFERROR($QV$15,0)</f>
        <v>0</v>
      </c>
      <c r="OQ11" s="155">
        <f>(SUMIF(LandEmiss!$BJ$335:$BJ$434,$FG11,LandEmiss!$BP$335:$BP$434)+SUMIF(LandEmiss!$DU$323:$DU$422,$FG11,LandEmiss!$EA$323:$EA$422))*(2000/8760)*IFERROR($QV$15,0)</f>
        <v>0</v>
      </c>
      <c r="OR11" s="155">
        <f>SUMIF(CAS!$E$35:$E$144,Hidden!$FG11,CAS!$I$35:$I$144)*IFERROR($QV$16,0)*(2000/8760)</f>
        <v>0</v>
      </c>
      <c r="OS11" s="155">
        <f>SUMIF(LandEmiss!$A$335:$A$434,$FG11,LandEmiss!$I$335:$I$434)*(2000/8760)*IFERROR($QV$27,0)</f>
        <v>0</v>
      </c>
      <c r="OT11" s="155">
        <f>(SUMIF(LandEmiss!$BJ$335:$BJ$434,$FG11,LandEmiss!$BR$335:$BR$434)+SUMIF(LandEmiss!$DU$323:$DU$422,$FG11,LandEmiss!$EC$323:$EC$422))*(2000/8760)*IFERROR($QV$27,0)</f>
        <v>0</v>
      </c>
      <c r="OU11" s="155">
        <f>SUMIF(LandEmiss!$A$335:$A$434,$FG11,LandEmiss!$K$335:$K$434)*(2000/8760)*IFERROR($QV$26,0)</f>
        <v>0</v>
      </c>
      <c r="OV11" s="155">
        <f>(SUMIF(LandEmiss!$BJ$335:$BJ$434,$FG11,LandEmiss!$BT$335:$BT$434)+SUMIF(LandEmiss!$DU$323:$DU$422,$FG11,LandEmiss!$EE$323:$EE$422))*(2000/8760)*IFERROR($QV$26,0)</f>
        <v>0</v>
      </c>
      <c r="OW11" s="155">
        <f>SUMIF(LandEmiss!$A$335:$A$434,$FG11,LandEmiss!$M$335:$M$434)*(2000/8760)*IFERROR($QV$25,0)</f>
        <v>0</v>
      </c>
      <c r="OX11" s="155">
        <f>(SUMIF(LandEmiss!$BJ$335:$BJ$434,$FG11,LandEmiss!$BV$335:$BV$434)+SUMIF(LandEmiss!$DU$323:$DU$422,$FG11,LandEmiss!$EG$323:$EG$422))*(2000/8760)*IFERROR($QV$25,0)</f>
        <v>0</v>
      </c>
      <c r="OY11" s="8">
        <v>0</v>
      </c>
      <c r="OZ11" s="207">
        <v>0</v>
      </c>
      <c r="PA11" s="207">
        <f>IF(OR(HeaterBoiler1!$E$26&lt;&gt;"fuel gas",HeaterBoiler1!$E$15&lt;&gt;"heater"),0,(SUMIF(HeaterBoiler1!$A$54:$D$63,$FG11,HeaterBoiler1!$J$54:$J$63))*(2000/8760))*IFERROR($QV$19,0)</f>
        <v>0</v>
      </c>
      <c r="PB11" s="207">
        <f>IF(OR(HeaterBoiler2!$E$26&lt;&gt;"fuel gas",HeaterBoiler2!$E$15&lt;&gt;"heater"),0,(SUMIF(HeaterBoiler2!$A$54:$D$63,$FG11,HeaterBoiler2!$J$54:$J$63))*(2000/8760))*IFERROR($QV$21,0)</f>
        <v>0</v>
      </c>
      <c r="PC11" s="207">
        <f>IF(OR(HeaterBoiler1!$E$26&lt;&gt;"fuel gas",HeaterBoiler1!$E$15&lt;&gt;"boiler"),0,(SUMIF(HeaterBoiler1!$A$54:$D$63,$FG11,HeaterBoiler1!$J$54:$J$63))*(2000/8760))*IFERROR($QV$20,0)</f>
        <v>0</v>
      </c>
      <c r="PD11" s="207">
        <f>IF(OR(HeaterBoiler2!$E$26&lt;&gt;"fuel gas",HeaterBoiler2!$E$15&lt;&gt;"boiler"),0,(SUMIF(HeaterBoiler2!$A$54:$D$63,$FG11,HeaterBoiler2!$J$54:$J$63))*(2000/8760))*IFERROR($QV$22,0)</f>
        <v>0</v>
      </c>
      <c r="PE11" s="8">
        <f>(SUMIF(Fug!$A$96:$A$205,$FG11,Fug!$J$96:$J$205))*IFERROR($QV$23,0)*(2000/8760)</f>
        <v>0</v>
      </c>
      <c r="PF11" s="8">
        <f t="shared" si="31"/>
        <v>0</v>
      </c>
      <c r="PG11" s="156">
        <f t="shared" si="32"/>
        <v>0</v>
      </c>
      <c r="PJ11" s="52" t="str">
        <f>IF(Fug!$F$16=Hidden!$PP$2,"Valves (controlled)","Valves (controlled)")</f>
        <v>Valves (controlled)</v>
      </c>
      <c r="PK11" s="52" t="str">
        <f>IF(Fug!$F$16=Hidden!$PP$2,"All","All")</f>
        <v>All</v>
      </c>
      <c r="PL11" s="52">
        <v>0</v>
      </c>
      <c r="PM11" s="52">
        <v>0</v>
      </c>
      <c r="PN11" s="52">
        <v>0</v>
      </c>
      <c r="PO11" s="52">
        <v>0</v>
      </c>
      <c r="PP11" s="52">
        <v>0</v>
      </c>
      <c r="PQ11" s="52">
        <v>0</v>
      </c>
      <c r="PR11" s="52">
        <v>0</v>
      </c>
      <c r="PS11" s="52">
        <v>0</v>
      </c>
      <c r="PT11" s="52" t="s">
        <v>8777</v>
      </c>
      <c r="PU11" s="52" t="s">
        <v>8778</v>
      </c>
      <c r="PV11" s="52">
        <v>1</v>
      </c>
      <c r="PW11" s="52">
        <v>1</v>
      </c>
      <c r="PX11" s="52">
        <v>1</v>
      </c>
      <c r="PY11" s="52">
        <v>1</v>
      </c>
      <c r="PZ11" s="52">
        <v>1</v>
      </c>
      <c r="QA11" s="52">
        <v>1</v>
      </c>
      <c r="QB11" s="52" t="s">
        <v>8809</v>
      </c>
      <c r="QC11" s="52" t="s">
        <v>8778</v>
      </c>
      <c r="QD11" s="52">
        <v>1</v>
      </c>
      <c r="QE11" s="52">
        <v>1</v>
      </c>
      <c r="QF11" s="52">
        <v>1</v>
      </c>
      <c r="QG11" s="52">
        <v>1</v>
      </c>
      <c r="QH11" s="52">
        <v>1</v>
      </c>
      <c r="QI11" s="52">
        <v>1</v>
      </c>
      <c r="QK11" s="95" t="s">
        <v>9116</v>
      </c>
      <c r="QM11" s="16" t="s">
        <v>9302</v>
      </c>
      <c r="QN11" s="104" t="e">
        <f t="shared" si="38"/>
        <v>#N/A</v>
      </c>
      <c r="QO11" s="104">
        <f>'Load-MarineBarge'!F16</f>
        <v>0</v>
      </c>
      <c r="QP11" s="104">
        <f>'Load-MarineBarge'!F15</f>
        <v>0</v>
      </c>
      <c r="QQ11" s="16" t="str">
        <f>IF(QO11&lt;15,QX26,IF(QO11&lt;20,QX27,QX28))</f>
        <v>BARGE10</v>
      </c>
      <c r="QR11" s="16" t="e">
        <f t="shared" si="33"/>
        <v>#N/A</v>
      </c>
      <c r="QS11" s="16" t="e">
        <f>IF(QN11=10,VLOOKUP(QQ11,$RH$2:$RQ$31,MATCH(QP11,$RH$2:$RQ$2,1),FALSE),IF(QN11=12,VLOOKUP(QQ11,$RH$33:$RQ$62,MATCH(QP11,$RH$33:$RQ$33,1),FALSE),IF(QN11=14,VLOOKUP(QQ11,$RH$64:$RQ$94,MATCH(QP11,$RH$64:$RQ$64,1),FALSE),IF(QN11=15,VLOOKUP(QQ11,$RH$96:$RQ$125,MATCH(QP11,$RH$96:$RQ$96,1),FALSE)))))</f>
        <v>#N/A</v>
      </c>
      <c r="QT11" s="16" t="e">
        <f t="shared" si="35"/>
        <v>#N/A</v>
      </c>
      <c r="QU11" s="16" t="e">
        <f t="shared" si="36"/>
        <v>#N/A</v>
      </c>
      <c r="QV11" s="16" t="e">
        <f t="shared" si="37"/>
        <v>#N/A</v>
      </c>
      <c r="QX11" s="89" t="s">
        <v>9320</v>
      </c>
      <c r="QY11">
        <v>2.77</v>
      </c>
      <c r="QZ11">
        <v>2.77</v>
      </c>
      <c r="RA11">
        <v>2.77</v>
      </c>
      <c r="RB11">
        <v>2.77</v>
      </c>
      <c r="RC11">
        <v>2.77</v>
      </c>
      <c r="RD11">
        <v>2.77</v>
      </c>
      <c r="RE11">
        <v>2.77</v>
      </c>
      <c r="RF11">
        <v>2.77</v>
      </c>
      <c r="RG11" s="90">
        <v>2.35</v>
      </c>
      <c r="RH11" s="89" t="s">
        <v>9320</v>
      </c>
      <c r="RI11">
        <v>2.63</v>
      </c>
      <c r="RJ11">
        <v>2.63</v>
      </c>
      <c r="RK11">
        <v>2.63</v>
      </c>
      <c r="RL11">
        <v>2.63</v>
      </c>
      <c r="RM11">
        <v>2.63</v>
      </c>
      <c r="RN11">
        <v>2.63</v>
      </c>
      <c r="RO11">
        <v>2.63</v>
      </c>
      <c r="RP11">
        <v>2.63</v>
      </c>
      <c r="RQ11" s="90">
        <v>2.29</v>
      </c>
      <c r="RR11" s="89" t="s">
        <v>9320</v>
      </c>
      <c r="RS11">
        <v>1.52</v>
      </c>
      <c r="RT11">
        <v>1.52</v>
      </c>
      <c r="RU11">
        <v>1.52</v>
      </c>
      <c r="RV11">
        <v>1.52</v>
      </c>
      <c r="RW11">
        <v>1.52</v>
      </c>
      <c r="RX11">
        <v>1.52</v>
      </c>
      <c r="RY11">
        <v>1.52</v>
      </c>
      <c r="RZ11">
        <v>1.51</v>
      </c>
      <c r="SA11" s="90">
        <v>1.34</v>
      </c>
      <c r="SB11" s="89" t="s">
        <v>9320</v>
      </c>
      <c r="SC11">
        <v>0.54</v>
      </c>
      <c r="SD11">
        <v>0.54</v>
      </c>
      <c r="SE11">
        <v>0.54</v>
      </c>
      <c r="SF11">
        <v>0.54</v>
      </c>
      <c r="SG11">
        <v>0.54</v>
      </c>
      <c r="SH11">
        <v>0.54</v>
      </c>
      <c r="SI11">
        <v>0.54</v>
      </c>
      <c r="SJ11">
        <v>0.54</v>
      </c>
      <c r="SK11" s="90">
        <v>0.54</v>
      </c>
      <c r="SL11" s="89" t="s">
        <v>9320</v>
      </c>
      <c r="SM11">
        <v>0.05</v>
      </c>
      <c r="SN11">
        <v>0.05</v>
      </c>
      <c r="SO11">
        <v>0.05</v>
      </c>
      <c r="SP11">
        <v>0.05</v>
      </c>
      <c r="SQ11">
        <v>0.05</v>
      </c>
      <c r="SR11">
        <v>0.05</v>
      </c>
      <c r="SS11">
        <v>0.05</v>
      </c>
      <c r="ST11">
        <v>0.05</v>
      </c>
      <c r="SU11" s="90">
        <v>0.05</v>
      </c>
      <c r="TI11" s="256" t="s">
        <v>10188</v>
      </c>
      <c r="TJ11" s="263" t="s">
        <v>10534</v>
      </c>
      <c r="TK11" s="264" t="s">
        <v>10534</v>
      </c>
      <c r="TL11" t="s">
        <v>10258</v>
      </c>
      <c r="TM11" s="225" t="s">
        <v>10259</v>
      </c>
    </row>
    <row r="12" spans="1:534" ht="74.25" customHeight="1" thickBot="1" x14ac:dyDescent="0.25">
      <c r="A12" s="8" t="s">
        <v>189</v>
      </c>
      <c r="B12" s="8">
        <v>14</v>
      </c>
      <c r="D12" s="8" t="s">
        <v>199</v>
      </c>
      <c r="E12" s="8" t="b">
        <f>IF($D12='PI-1-MarineLoading'!$D$73,TRUE,FALSE)</f>
        <v>0</v>
      </c>
      <c r="W12">
        <f>IF(OR(X12=0,ISNUMBER(MATCH(X12,$X$1:X11,0))),0,MAX($W$1:W11)+1)</f>
        <v>0</v>
      </c>
      <c r="X12" s="123">
        <f>Products!$E59</f>
        <v>0</v>
      </c>
      <c r="Y12" t="str">
        <f t="shared" si="3"/>
        <v/>
      </c>
      <c r="CA12">
        <f>IF(OR(CB12=0,ISNUMBER(MATCH(CB12,$CB$1:CB11,0))),0,MAX($CA$1:CA11)+1)</f>
        <v>0</v>
      </c>
      <c r="CB12" s="8">
        <f>IF(OR(Tank1!$D$18="EXTERNAL FLOATING ROOF",Tank1!$D$18="INTERNAL FLOATING ROOF"),IF(Tank1!$E42="",0,Tank1!$E42),0)</f>
        <v>0</v>
      </c>
      <c r="CC12" s="8" t="str">
        <f t="shared" si="6"/>
        <v/>
      </c>
      <c r="CD12" s="8"/>
      <c r="CE12" s="8">
        <f>IF(OR(CF12=0,ISNUMBER(MATCH(CF12,$CF$1:CF11,0))),0,MAX($CE$1:CE11)+1)</f>
        <v>0</v>
      </c>
      <c r="CF12" s="8">
        <f>IF(OR(Tank1!$D$18="HORIZONTAL FIXED ROOF",Tank1!$D$18="VERTICAL FIXED ROOF"),IF(Tank1!$E42="",0,Tank1!$E42),0)</f>
        <v>0</v>
      </c>
      <c r="CG12" s="8" t="str">
        <f t="shared" si="7"/>
        <v/>
      </c>
      <c r="CI12" t="s">
        <v>8707</v>
      </c>
      <c r="CJ12">
        <f>IF(OR(CK12=0,ISNUMBER(MATCH(CK12,$CK$1:CK11,0))),0,MAX($CJ$1:CJ11)+1)</f>
        <v>0</v>
      </c>
      <c r="CK12">
        <f>Tank2!$A$32</f>
        <v>0</v>
      </c>
      <c r="CM12">
        <f>IFERROR(VLOOKUP($CK12,Tank2!$A$32:$D$141,3,FALSE),0)</f>
        <v>0</v>
      </c>
      <c r="CN12">
        <f>IFERROR(VLOOKUP($CK12,Tank2!$A$32:$D$141,4,FALSE),0)</f>
        <v>0</v>
      </c>
      <c r="DL12" t="s">
        <v>8707</v>
      </c>
      <c r="DM12">
        <f>IF(OR(DN12=0,ISNUMBER(MATCH(DN12,$DN$1:DN11,0))),0,MAX($DM$1:DM11)+1)</f>
        <v>0</v>
      </c>
      <c r="DN12">
        <f>IF(Tank2!$D$22="Flare",IFERROR(VLOOKUP(Products!$A$59,Tank2!$A$32:$B$141,1,FALSE),0),0)</f>
        <v>0</v>
      </c>
      <c r="DO12">
        <f>IF($DN12=0,0,VLOOKUP($DN12,Tank2!$A$32:$H$141,7,FALSE))</f>
        <v>0</v>
      </c>
      <c r="DP12">
        <f>IF($DN12=0,0,VLOOKUP($DN12,Tank2!$A$32:$H$141,8,FALSE))</f>
        <v>0</v>
      </c>
      <c r="DU12">
        <f>IF(OR(DV12=0,ISNUMBER(MATCH(DV12,$DV$1:DV11,0))),0,MAX($DU$1:DU11)+1)</f>
        <v>0</v>
      </c>
      <c r="DV12">
        <f>IF(Tank2!$D$22="VCU",IFERROR(VLOOKUP(Products!$A$59,Tank2!$A$32:$B$141,1,FALSE),0),0)</f>
        <v>0</v>
      </c>
      <c r="DW12">
        <f>IF($DV12=0,0,VLOOKUP($DV12,Tank2!$A$32:$H$141,7,FALSE))</f>
        <v>0</v>
      </c>
      <c r="DX12">
        <f>IF($DV12=0,0,VLOOKUP($DV12,Tank2!$A$32:$H$141,8,FALSE))</f>
        <v>0</v>
      </c>
      <c r="EC12">
        <f>IF(OR(ED12=0,ISNUMBER(MATCH(ED12,$ED$1:ED11,0))),0,MAX($EC$1:EC11)+1)</f>
        <v>0</v>
      </c>
      <c r="ED12">
        <f>IF(Tank2!$D$22="vapor oxidizer",IFERROR(VLOOKUP(Products!$A$59,Tank2!$A$32:$B$141,1,FALSE),0),0)</f>
        <v>0</v>
      </c>
      <c r="EE12">
        <f>IF($ED12=0,0,VLOOKUP($ED12,Tank2!$A$32:$H$141,7,FALSE))</f>
        <v>0</v>
      </c>
      <c r="EF12">
        <f>IF($ED12=0,0,VLOOKUP($ED12,Tank2!$A$32:$H$141,8,FALSE))</f>
        <v>0</v>
      </c>
      <c r="EK12">
        <f>IF(OR(EL12=0,ISNUMBER(MATCH(EL12,$EL$1:EL11,0))),0,MAX($EK$1:EK11)+1)</f>
        <v>0</v>
      </c>
      <c r="EL12">
        <f>IF(Tank2!$D$22="CAS",IFERROR(VLOOKUP(Products!A59,Tank2!$A$32:$B$141,1,FALSE),0),0)</f>
        <v>0</v>
      </c>
      <c r="EM12">
        <f>IF($EL12=0,0,VLOOKUP($EL12,Tank2!$A$32:$H$141,7,FALSE))</f>
        <v>0</v>
      </c>
      <c r="EN12">
        <f>IF($EL12=0,0,VLOOKUP($EL12,Tank2!$A$32:$H$141,8,FALSE))</f>
        <v>0</v>
      </c>
      <c r="EX12">
        <f>MSS!$A45</f>
        <v>0</v>
      </c>
      <c r="EY12">
        <f>MSS!$G45*MSS!F$144</f>
        <v>0</v>
      </c>
      <c r="EZ12">
        <f>MSS!$G45*MSS!G$144</f>
        <v>0</v>
      </c>
      <c r="FB12" s="8" t="s">
        <v>377</v>
      </c>
      <c r="FC12" s="8" t="s">
        <v>378</v>
      </c>
      <c r="FD12" s="8">
        <v>530</v>
      </c>
      <c r="FE12" s="8">
        <v>53</v>
      </c>
      <c r="FG12" s="360" t="str">
        <f t="shared" si="23"/>
        <v/>
      </c>
      <c r="FH12" s="155">
        <f>IF(Tank1!$D$22="NO CONTROL",_xlfn.MAXIFS(Tank1!$G$32:$G$141,Tank1!$E$32:$E$141,$FG12),0)*IFERROR($QR$3,0)</f>
        <v>0</v>
      </c>
      <c r="FI12" s="155">
        <f>_xlfn.MAXIFS(LandEmiss!$AF$20:$AF$119,LandEmiss!$AE$20:$AE$119,$FG12)*IFERROR($QR$3,0)</f>
        <v>0</v>
      </c>
      <c r="FJ12" s="155">
        <f>MAX(_xlfn.MAXIFS(LandEmiss!$CO$20:$CO$119,LandEmiss!$CN$20:$CN$119,$FG12),_xlfn.MAXIFS(LandEmiss!$EZ$9:$EZ$108,LandEmiss!$EY$9:$EY$108,$FG12))*IFERROR($QR$3,0)</f>
        <v>0</v>
      </c>
      <c r="FK12" s="155">
        <f>IF(Tank2!$D$22="NO CONTROL",_xlfn.MAXIFS(Tank2!$G$32:$G$141,Tank2!$E$32:$E$141,$FG12),0)*IFERROR($QR$4,0)</f>
        <v>0</v>
      </c>
      <c r="FL12" s="155">
        <f>_xlfn.MAXIFS(LandEmiss!$AG$20:$AG$119,LandEmiss!$AE$20:$AE$119,$FG12)*IFERROR($QR$4,0)</f>
        <v>0</v>
      </c>
      <c r="FM12" s="155">
        <f>MAX(_xlfn.MAXIFS(LandEmiss!$CP$20:$CP$119,LandEmiss!$CN$20:$CN$119,$FG12),_xlfn.MAXIFS(LandEmiss!$FA$9:$FA$108,LandEmiss!$EY$9:$EY$108,$FG12))*IFERROR($QR$4,0)</f>
        <v>0</v>
      </c>
      <c r="FN12" s="155">
        <f>IF(Tank3!$D$22="NO CONTROL",_xlfn.MAXIFS(Tank3!$G$32:$G$141,Tank3!$E$32:$E$141,$FG12),0)*IFERROR($QR$5,0)</f>
        <v>0</v>
      </c>
      <c r="FO12" s="155">
        <f>_xlfn.MAXIFS(LandEmiss!$AH$20:$AH$119,LandEmiss!$AE$20:$AE$119,$FG12)*IFERROR($QR$5,0)</f>
        <v>0</v>
      </c>
      <c r="FP12" s="155">
        <f>MAX(_xlfn.MAXIFS(LandEmiss!$CQ$20:$CQ$119,LandEmiss!$CN$20:$CN$119,$FG12),_xlfn.MAXIFS(LandEmiss!$FB$9:$FB$108,LandEmiss!$EY$9:$EY$108,$FG12))*IFERROR($QR$5,0)</f>
        <v>0</v>
      </c>
      <c r="FQ12" s="155">
        <f>IF(Tank4!$D$22="NO CONTROL",_xlfn.MAXIFS(Tank4!$G$32:$G$141,Tank4!$E$32:$E$141,$FG12),0)*IFERROR($QR$6,0)</f>
        <v>0</v>
      </c>
      <c r="FR12" s="155">
        <f>_xlfn.MAXIFS(LandEmiss!$AI$20:$AI$119,LandEmiss!$AE$20:$AE$119,$FG12)*IFERROR($QR$6,0)</f>
        <v>0</v>
      </c>
      <c r="FS12" s="155">
        <f>MAX(_xlfn.MAXIFS(LandEmiss!$CR$20:$CR$119,LandEmiss!$CN$20:$CN$119,$FG12),_xlfn.MAXIFS(LandEmiss!$FC$9:$FC$108,LandEmiss!$EY$9:$EY$108,$FG12))*IFERROR($QR$6,0)</f>
        <v>0</v>
      </c>
      <c r="FT12" s="155">
        <f>IF(Tank5!$D$22="NO CONTROL",_xlfn.MAXIFS(Tank5!$G$32:$G$141,Tank5!$E$32:$E$141,$FG12),0)*IFERROR($QR$7,0)</f>
        <v>0</v>
      </c>
      <c r="FU12" s="155">
        <f>_xlfn.MAXIFS(LandEmiss!$AJ$20:$AJ$119,LandEmiss!$AE$20:$AE$119,$FG12)*IFERROR($QR$7,0)</f>
        <v>0</v>
      </c>
      <c r="FV12" s="155">
        <f>MAX(_xlfn.MAXIFS(LandEmiss!$CS$20:$CS$119,LandEmiss!$CN$20:$CN$119,$FG12),_xlfn.MAXIFS(LandEmiss!$FD$9:$FD$108,LandEmiss!$EY$9:$EY$108,$FG12))*IFERROR($QR17,0)</f>
        <v>0</v>
      </c>
      <c r="FW12" s="155">
        <f>_xlfn.MAXIFS('Load-DrumTote'!$K$27:$K$136,'Load-DrumTote'!$F$27:$F$136,$FG12)*IFERROR($QR$8,0)</f>
        <v>0</v>
      </c>
      <c r="FX12" s="155">
        <f>_xlfn.MAXIFS('Load-Truck'!$K$27:$K$136,'Load-Truck'!$F$27:$F$136,$FG12)*IFERROR($QR$9,0)</f>
        <v>0</v>
      </c>
      <c r="FY12" s="155">
        <f>_xlfn.MAXIFS('Load-Rail'!$K$27:$K$136,'Load-Rail'!$F$27:$F$136,$FG12)*IFERROR($QR$10,0)</f>
        <v>0</v>
      </c>
      <c r="FZ12" s="155">
        <f>_xlfn.MAXIFS('Load-MarineBarge'!$K$27:$K$136,'Load-MarineBarge'!$F$27:$F$136,$FG12)*IFERROR($QR$11,0)</f>
        <v>0</v>
      </c>
      <c r="GA12" s="155">
        <f>_xlfn.MAXIFS('Load-MarineShip'!$K$27:$K$136,'Load-MarineShip'!$F$27:$F$136,$FG12)*IFERROR($QR$12,0)</f>
        <v>0</v>
      </c>
      <c r="GB12" s="313">
        <f>IF(OR(Flare!$D$24="fuel gas",Flare!$D$38="fuel gas"),SUMIF(Flare!$E$97:$E$106,$FG12,Flare!$F$97:$F$106),0)*IFERROR($QR$13,0)</f>
        <v>0</v>
      </c>
      <c r="GC12" s="313">
        <f>(_xlfn.MAXIFS(CtrlDevImpacts!$I$57:$I$156,CtrlDevImpacts!$H$57:$H$156,$FG12))*IFERROR($QR$13,0)</f>
        <v>0</v>
      </c>
      <c r="GD12" s="313">
        <f>(_xlfn.MAXIFS(Flare!$F$107:$F$216,Flare!$E$107:$E$216,$FG12)-_xlfn.MAXIFS(CtrlDevImpacts!$I$57:$I$156,CtrlDevImpacts!$H$57:$H$156,$FG12))*IFERROR($QR$13,0)</f>
        <v>0</v>
      </c>
      <c r="GE12" s="155">
        <f>_xlfn.MAXIFS(LandEmiss!$B$335:$B$434,LandEmiss!$A$335:$A$434,$FG12)*IFERROR($QR$13,0)</f>
        <v>0</v>
      </c>
      <c r="GF12" s="155">
        <f>(_xlfn.MAXIFS(LandEmiss!$BK$335:$BK$434,LandEmiss!$BJ$335:$BJ$434,$FG12)+_xlfn.MAXIFS(LandEmiss!$DV$323:$DV$422,LandEmiss!$DU$323:$DU$422,$FG12))*IFERROR($QR$13,0)</f>
        <v>0</v>
      </c>
      <c r="GG12" s="313">
        <f>IF(OR(VCU!$D$26="fuel gas",VCU!$D$42="fuel gas"),SUMIF(VCU!$E$120:$E$129,$FG12,VCU!$F$120:$F$129),0)*IFERROR($QR$14,0)</f>
        <v>0</v>
      </c>
      <c r="GH12" s="313">
        <f>(_xlfn.MAXIFS(CtrlDevImpacts!$X$57:$X$156,CtrlDevImpacts!$W$57:$W$156,$FG12))*IFERROR($QR$14,0)</f>
        <v>0</v>
      </c>
      <c r="GI12" s="313">
        <f>(_xlfn.MAXIFS(VCU!$F$130:$F$239,VCU!$E$130:$E$239,$FG12)-_xlfn.MAXIFS(CtrlDevImpacts!$X$57:$X$156,CtrlDevImpacts!$W$57:$W$156,$FG12))*IFERROR($QR$14,0)</f>
        <v>0</v>
      </c>
      <c r="GJ12" s="155">
        <f>_xlfn.MAXIFS(LandEmiss!$D$335:$D$434,LandEmiss!$A$335:$A$434,$FG12)*IFERROR($QR$14,0)</f>
        <v>0</v>
      </c>
      <c r="GK12" s="155">
        <f>(_xlfn.MAXIFS(LandEmiss!$BM$335:$BM$434,LandEmiss!$BJ$335:$BJ$434,$FG12)+_xlfn.MAXIFS(LandEmiss!$DX$323:$DX$422,LandEmiss!$DU$323:$DU$422,$FG12))*IFERROR($QR$14,0)</f>
        <v>0</v>
      </c>
      <c r="GL12" s="313">
        <f>IF(VaporOxidizer!D43="FUEL GAS",SUMIF(VaporOxidizer!$E$101:$E$110,$FG12,VaporOxidizer!$F$101:$F$110),0)*IFERROR($QR$15,0)</f>
        <v>0</v>
      </c>
      <c r="GM12" s="313">
        <f>(_xlfn.MAXIFS(CtrlDevImpacts!$AN$57:$AN$156,CtrlDevImpacts!$AM$57:$AM$156,$FG12))*IFERROR($QR$15,0)</f>
        <v>0</v>
      </c>
      <c r="GN12" s="313">
        <f>(_xlfn.MAXIFS(VaporOxidizer!$F$111:$F$220,VaporOxidizer!$E$111:$E$220,$FG12)-_xlfn.MAXIFS(CtrlDevImpacts!$AN$57:$AN$156,CtrlDevImpacts!$AM$57:$AM$156,$FG12))*IFERROR($QR$15,0)</f>
        <v>0</v>
      </c>
      <c r="GO12" s="155">
        <f>_xlfn.MAXIFS(LandEmiss!$F$335:$F$434,LandEmiss!$A$335:$A$434,$FG12)*IFERROR($QR$15,0)</f>
        <v>0</v>
      </c>
      <c r="GP12" s="155">
        <f>(_xlfn.MAXIFS(LandEmiss!$BK$335:$BK$434,LandEmiss!$BO$335:$BO$434,$FG12)+_xlfn.MAXIFS(LandEmiss!$DZ$323:$DZ$422,LandEmiss!$DU$323:$DU$422,$FG12))*IFERROR($QR$15,0)</f>
        <v>0</v>
      </c>
      <c r="GQ12" s="313">
        <f>_xlfn.MAXIFS(CtrlDevImpacts!$BD$57:$BD$156,CtrlDevImpacts!$BC$57:$BC$156,$FG12)*IFERROR(Hidden!$QR$16,0)</f>
        <v>0</v>
      </c>
      <c r="GR12" s="313">
        <f>(_xlfn.MAXIFS(CAS!$H$35:$H$144,CAS!$E$35:$E$144,$FG12)-_xlfn.MAXIFS(CtrlDevImpacts!$BD$57:$BD$156,CtrlDevImpacts!$BC$57:$BC$156,$FG12))*IFERROR(Hidden!$QR$16,0)</f>
        <v>0</v>
      </c>
      <c r="GS12" s="155">
        <f>_xlfn.MAXIFS(LandEmiss!$H$335:$H$434,LandEmiss!$A$335:$A$434,$FG12)*IFERROR($QR$27,0)</f>
        <v>0</v>
      </c>
      <c r="GT12" s="155">
        <f>(_xlfn.MAXIFS(LandEmiss!$BK$335:$BK$434,LandEmiss!$BQ$335:$BQ$434,$FG12)+_xlfn.MAXIFS(LandEmiss!$EB$323:$EB$422,LandEmiss!$DU$323:$DU$422,$FG12))*IFERROR($QR$27,0)</f>
        <v>0</v>
      </c>
      <c r="GU12" s="155">
        <f>_xlfn.MAXIFS(LandEmiss!$J$335:$J$434,LandEmiss!$A$335:$A$434,$FG12)*IFERROR($QR$26,0)</f>
        <v>0</v>
      </c>
      <c r="GV12" s="155">
        <f>(_xlfn.MAXIFS(LandEmiss!$BK$335:$BK$434,LandEmiss!$BS$335:$BS$434,$FG12)+_xlfn.MAXIFS(LandEmiss!$ED$323:$ED$422,LandEmiss!$DU$323:$DU$422,$FG12))*IFERROR($QR$26,0)</f>
        <v>0</v>
      </c>
      <c r="GW12" s="155">
        <f>_xlfn.MAXIFS(LandEmiss!$L$335:$L$434,LandEmiss!$A$335:$A$434,$FG12)*IFERROR($QR$25,0)</f>
        <v>0</v>
      </c>
      <c r="GX12" s="155">
        <f>(_xlfn.MAXIFS(LandEmiss!$BK$335:$BK$434,LandEmiss!$BU$335:$BU$434,$FG12)+_xlfn.MAXIFS(LandEmiss!$EF$323:$EF$422,LandEmiss!$DU$323:$DU$422,$FG12))*IFERROR($QR$25,0)</f>
        <v>0</v>
      </c>
      <c r="GY12" s="155">
        <v>0</v>
      </c>
      <c r="GZ12" s="155">
        <v>0</v>
      </c>
      <c r="HA12" s="155">
        <f>IF(OR(HeaterBoiler1!$E$26&lt;&gt;"fuel gas",HeaterBoiler1!$E$15&lt;&gt;"heater"),0,SUMIF(HeaterBoiler1!$A$54:$D$63,$FG12,HeaterBoiler1!$I$54:$I$63))*IFERROR($QR$19,0)</f>
        <v>0</v>
      </c>
      <c r="HB12" s="207">
        <f>IF(OR(HeaterBoiler2!$E$26&lt;&gt;"fuel gas",HeaterBoiler2!$E$15&lt;&gt;"heater"),0,SUMIF(HeaterBoiler2!$A$54:$D$63,$FG12,HeaterBoiler2!$I$54:$I$63))*IFERROR($QR$21,0)</f>
        <v>0</v>
      </c>
      <c r="HC12" s="155">
        <f>IF(OR(HeaterBoiler1!$E$26&lt;&gt;"fuel gas",HeaterBoiler1!$E$15&lt;&gt;"boiler"),0,SUMIF(HeaterBoiler1!$A$41:$A$50,$FG12,HeaterBoiler1!$F$41:$F$50))*IFERROR($QR$20,0)</f>
        <v>0</v>
      </c>
      <c r="HD12" s="207">
        <f>IF(OR(HeaterBoiler2!$E$26&lt;&gt;"fuel gas",HeaterBoiler2!$E$15&lt;&gt;"boiler"),0,SUMIF(HeaterBoiler2!$A$41:$A$50,$FG12,HeaterBoiler2!$F$41:$F$50))*IFERROR($QR$22,0)</f>
        <v>0</v>
      </c>
      <c r="HE12" s="155">
        <f>SUMIF(Fug!$A$96:$A$205,$FG12,Fug!$I$96:$I$205)*IFERROR(Hidden!$QR$23,0)</f>
        <v>0</v>
      </c>
      <c r="HF12" s="155">
        <f t="shared" si="24"/>
        <v>0</v>
      </c>
      <c r="HG12" s="156">
        <f t="shared" si="25"/>
        <v>0</v>
      </c>
      <c r="HH12" s="156">
        <f t="shared" si="26"/>
        <v>0</v>
      </c>
      <c r="HI12" s="156">
        <f t="shared" si="27"/>
        <v>0</v>
      </c>
      <c r="HJ12" s="156">
        <f t="shared" si="28"/>
        <v>0</v>
      </c>
      <c r="HK12" s="156">
        <f t="shared" si="29"/>
        <v>0</v>
      </c>
      <c r="HL12" s="156">
        <f t="shared" si="30"/>
        <v>0</v>
      </c>
      <c r="NO12" s="155">
        <f>IF(Tank1!$D$22="No control",(SUMIF(Tank1!$E$32:$E$141,$FG12,Tank1!$H$32:$H$141)*(2000/8760)*IFERROR($QV$3,0)),0)</f>
        <v>0</v>
      </c>
      <c r="NP12" s="156">
        <f>SUMIF(LandEmiss!$AE$20:$AE$119,$FG12,LandEmiss!$AK$20:$AK$119)*(2000/8760)*IFERROR($QV$3,0)</f>
        <v>0</v>
      </c>
      <c r="NQ12" s="156">
        <f>(SUMIF(LandEmiss!$CN$20:$CN$119,$FG12,LandEmiss!$CT$20:$CT$119)+SUMIF(LandEmiss!$EY$9:$EY$108,$FG12,LandEmiss!$FE$9:$FE$108))*IFERROR($QV$3,0)*(2000/8760)</f>
        <v>0</v>
      </c>
      <c r="NR12" s="155">
        <f>IF(Tank2!$D$22="No control",(SUMIF(Tank2!$E$32:$E$141,$FG12,Tank2!$H$32:$H$141)*(2000/8760)*IFERROR($QV$4,0)),0)</f>
        <v>0</v>
      </c>
      <c r="NS12" s="156">
        <f>SUMIF(LandEmiss!$AE$20:$AE$119,$FG12,LandEmiss!$AL$20:$AL$119)*(2000/8760)*IFERROR($QV$4,0)</f>
        <v>0</v>
      </c>
      <c r="NT12" s="156">
        <f>(SUMIF(LandEmiss!$CN$20:$CN$119,$FG12,LandEmiss!$CU$20:$CU$119)+SUMIF(LandEmiss!$EY$9:$EY$108,$FG12,LandEmiss!$FF$9:$FF$108))*IFERROR($QV$4,0)*(2000/8760)</f>
        <v>0</v>
      </c>
      <c r="NU12" s="155">
        <f>IF(Tank3!$D$22="No control",(SUMIF(Tank3!$E$32:$E$141,$FG12,Tank3!$H$32:$H$141)*(2000/8760)*IFERROR($QV$5,0)),0)</f>
        <v>0</v>
      </c>
      <c r="NV12" s="156">
        <f>SUMIF(LandEmiss!$AE$20:$AE$119,$FG12,LandEmiss!$AM$20:$AM$119)*(2000/8760)*IFERROR($QV$5,0)</f>
        <v>0</v>
      </c>
      <c r="NW12" s="156">
        <f>(SUMIF(LandEmiss!$CN$20:$CN$119,$FG12,LandEmiss!$CV$20:$CV$119)+SUMIF(LandEmiss!$EY$9:$EY$108,$FG12,LandEmiss!$FG$9:$FG$108))*IFERROR($QV$5,0)*(2000/8760)</f>
        <v>0</v>
      </c>
      <c r="NX12" s="155">
        <f>IF(Tank4!$D$22="No control",(SUMIF(Tank4!$E$32:$E$141,$FG12,Tank4!$H$32:$H$141)*(2000/8760)*IFERROR($QV$6,0)),0)</f>
        <v>0</v>
      </c>
      <c r="NY12" s="156">
        <f>SUMIF(LandEmiss!$AE$20:$AE$119,$FG12,LandEmiss!$AN$20:$AN$119)*(2000/8760)*IFERROR($QV$6,0)</f>
        <v>0</v>
      </c>
      <c r="NZ12" s="156">
        <f>(SUMIF(LandEmiss!$CN$20:$CN$119,$FG12,LandEmiss!$CW$20:$CW$119)+SUMIF(LandEmiss!$EY$9:$EY$108,$FG12,LandEmiss!$FH$9:$FH$108))*IFERROR($QV$6,0)*(2000/8760)</f>
        <v>0</v>
      </c>
      <c r="OA12" s="155">
        <f>IF(Tank5!$D$22="No control",(SUMIF(Tank5!$E$32:$E$141,$FG12,Tank5!$H$32:$H$141)*(2000/8760)*IFERROR($QV$7,0)),0)</f>
        <v>0</v>
      </c>
      <c r="OB12" s="156">
        <f>SUMIF(LandEmiss!$AE$20:$AE$119,$FG12,LandEmiss!$AO$20:$AO$119)*(2000/8760)*IFERROR($QV$7,0)</f>
        <v>0</v>
      </c>
      <c r="OC12" s="156">
        <f>(SUMIF(LandEmiss!$CN$20:$CN$119,$FG12,LandEmiss!$CX$20:$CX$119)+SUMIF(LandEmiss!$EY$9:$EY$108,$FG12,LandEmiss!$FI$9:$FI$108))*IFERROR($QV$7,0)*(2000/8760)</f>
        <v>0</v>
      </c>
      <c r="OD12" s="155">
        <f>SUMIFS('Load-DrumTote'!$L$27:$L$136,'Load-DrumTote'!$F$27:$F$136,$FG12)*IFERROR($QV$8,0)*(2000/8760)</f>
        <v>0</v>
      </c>
      <c r="OE12" s="155">
        <f>SUMIFS('Load-Truck'!$L$27:$L$136,'Load-Truck'!$F$27:$F$136,$FG12)*IFERROR($QV$9,0)*(2000/8760)</f>
        <v>0</v>
      </c>
      <c r="OF12" s="155">
        <f>SUMIFS('Load-Rail'!$L$27:$L$136,'Load-Rail'!$F$27:$F$136,$FG12)*IFERROR($QV$10,0)*(2000/8760)</f>
        <v>0</v>
      </c>
      <c r="OG12" s="155">
        <f>SUMIFS('Load-MarineBarge'!$L$27:$L$136,'Load-MarineBarge'!$F$27:$F$136,$FG12)*IFERROR($QV$11,0)*(2000/8760)</f>
        <v>0</v>
      </c>
      <c r="OH12" s="155">
        <f>SUMIFS('Load-MarineShip'!$L$27:$L$136,'Load-MarineShip'!$F$27:$F$136,$FG12)*IFERROR($QV$12,0)*(2000/8760)</f>
        <v>0</v>
      </c>
      <c r="OI12" s="155">
        <f>(IF(OR(Flare!$D$24="FUEL GAS",Flare!$D$38="FUEL GAS"),SUMIF(Flare!$E$97:$E$106,$FG12,Flare!$G$97:$G$105),0)+SUMIF(Flare!$E$107:$E$216,$FG12,Flare!$G$107:$G$216))*(2000/8730)*IFERROR($QV$13,0)</f>
        <v>0</v>
      </c>
      <c r="OJ12" s="155">
        <f>SUMIF(LandEmiss!$A$335:$A$434,$FG12,LandEmiss!$C$335:$C$434)*(2000/8760)*IFERROR($QV$13,0)</f>
        <v>0</v>
      </c>
      <c r="OK12" s="155">
        <f>(SUMIF(LandEmiss!$BJ$335:$BJ$434,$FG12,LandEmiss!$BL$335:$BL$434)+SUMIF(LandEmiss!$DU$323:$DU$422,$FG12,LandEmiss!$DW$323:$DW$422))*(2000/8760)*IFERROR($QV$13,0)</f>
        <v>0</v>
      </c>
      <c r="OL12" s="155">
        <f>(IF(OR(VCU!$D$26="FUEL GAS",VCU!$D$42="FUEL GAS"),SUMIF(VCU!$E$120:$E$129,$FG12,VCU!$G$120:$G$129),0)+SUMIF(VCU!$E$130:$E$239,$FG12,VCU!G140:G249))*(2000/8760)*IFERROR($QV$14,0)</f>
        <v>0</v>
      </c>
      <c r="OM12" s="155">
        <f>SUMIF(LandEmiss!$A$335:$A$434,$FG12,LandEmiss!$E$335:$E$434)*(2000/8760)*IFERROR($QV$14,0)</f>
        <v>0</v>
      </c>
      <c r="ON12" s="155">
        <f>(SUMIF(LandEmiss!$BJ$335:$BJ$434,$FG12,LandEmiss!$BN$335:$BN$434)+SUMIF(LandEmiss!$DU$323:$DU$422,$FG12,LandEmiss!$DY$323:$DY$422))*(2000/8760)*IFERROR($QV$14,0)</f>
        <v>0</v>
      </c>
      <c r="OO12" s="155">
        <f>(IF(VaporOxidizer!$D$33="FUEL GAS",SUMIF(VaporOxidizer!$E$101:$E$110,$FG12,VaporOxidizer!$G$101:$G$110),0)+SUMIF(VaporOxidizer!$E$111:$E$220,$FG12,VaporOxidizer!$G$111:$G$220))*(2000/8760)*IFERROR($QV$15,0)</f>
        <v>0</v>
      </c>
      <c r="OP12" s="155">
        <f>SUMIF(LandEmiss!$A$335:$A$434,$FG12,LandEmiss!$G$335:$G$434)*(2000/8760)*IFERROR($QV$15,0)</f>
        <v>0</v>
      </c>
      <c r="OQ12" s="155">
        <f>(SUMIF(LandEmiss!$BJ$335:$BJ$434,$FG12,LandEmiss!$BP$335:$BP$434)+SUMIF(LandEmiss!$DU$323:$DU$422,$FG12,LandEmiss!$EA$323:$EA$422))*(2000/8760)*IFERROR($QV$15,0)</f>
        <v>0</v>
      </c>
      <c r="OR12" s="155">
        <f>SUMIF(CAS!$E$35:$E$144,Hidden!$FG12,CAS!$I$35:$I$144)*IFERROR($QV$16,0)*(2000/8760)</f>
        <v>0</v>
      </c>
      <c r="OS12" s="155">
        <f>SUMIF(LandEmiss!$A$335:$A$434,$FG12,LandEmiss!$I$335:$I$434)*(2000/8760)*IFERROR($QV$27,0)</f>
        <v>0</v>
      </c>
      <c r="OT12" s="155">
        <f>(SUMIF(LandEmiss!$BJ$335:$BJ$434,$FG12,LandEmiss!$BR$335:$BR$434)+SUMIF(LandEmiss!$DU$323:$DU$422,$FG12,LandEmiss!$EC$323:$EC$422))*(2000/8760)*IFERROR($QV$27,0)</f>
        <v>0</v>
      </c>
      <c r="OU12" s="155">
        <f>SUMIF(LandEmiss!$A$335:$A$434,$FG12,LandEmiss!$K$335:$K$434)*(2000/8760)*IFERROR($QV$26,0)</f>
        <v>0</v>
      </c>
      <c r="OV12" s="155">
        <f>(SUMIF(LandEmiss!$BJ$335:$BJ$434,$FG12,LandEmiss!$BT$335:$BT$434)+SUMIF(LandEmiss!$DU$323:$DU$422,$FG12,LandEmiss!$EE$323:$EE$422))*(2000/8760)*IFERROR($QV$26,0)</f>
        <v>0</v>
      </c>
      <c r="OW12" s="155">
        <f>SUMIF(LandEmiss!$A$335:$A$434,$FG12,LandEmiss!$M$335:$M$434)*(2000/8760)*IFERROR($QV$25,0)</f>
        <v>0</v>
      </c>
      <c r="OX12" s="155">
        <f>(SUMIF(LandEmiss!$BJ$335:$BJ$434,$FG12,LandEmiss!$BV$335:$BV$434)+SUMIF(LandEmiss!$DU$323:$DU$422,$FG12,LandEmiss!$EG$323:$EG$422))*(2000/8760)*IFERROR($QV$25,0)</f>
        <v>0</v>
      </c>
      <c r="OY12" s="8">
        <v>0</v>
      </c>
      <c r="OZ12" s="207">
        <v>0</v>
      </c>
      <c r="PA12" s="207">
        <f>IF(OR(HeaterBoiler1!$E$26&lt;&gt;"fuel gas",HeaterBoiler1!$E$15&lt;&gt;"heater"),0,(SUMIF(HeaterBoiler1!$A$54:$D$63,$FG12,HeaterBoiler1!$J$54:$J$63))*(2000/8760))*IFERROR($QV$19,0)</f>
        <v>0</v>
      </c>
      <c r="PB12" s="207">
        <f>IF(OR(HeaterBoiler2!$E$26&lt;&gt;"fuel gas",HeaterBoiler2!$E$15&lt;&gt;"heater"),0,(SUMIF(HeaterBoiler2!$A$54:$D$63,$FG12,HeaterBoiler2!$J$54:$J$63))*(2000/8760))*IFERROR($QV$21,0)</f>
        <v>0</v>
      </c>
      <c r="PC12" s="207">
        <f>IF(OR(HeaterBoiler1!$E$26&lt;&gt;"fuel gas",HeaterBoiler1!$E$15&lt;&gt;"boiler"),0,(SUMIF(HeaterBoiler1!$A$54:$D$63,$FG12,HeaterBoiler1!$J$54:$J$63))*(2000/8760))*IFERROR($QV$20,0)</f>
        <v>0</v>
      </c>
      <c r="PD12" s="207">
        <f>IF(OR(HeaterBoiler2!$E$26&lt;&gt;"fuel gas",HeaterBoiler2!$E$15&lt;&gt;"boiler"),0,(SUMIF(HeaterBoiler2!$A$54:$D$63,$FG12,HeaterBoiler2!$J$54:$J$63))*(2000/8760))*IFERROR($QV$22,0)</f>
        <v>0</v>
      </c>
      <c r="PE12" s="8">
        <f>(SUMIF(Fug!$A$96:$A$205,$FG12,Fug!$J$96:$J$205))*IFERROR($QV$23,0)*(2000/8760)</f>
        <v>0</v>
      </c>
      <c r="PF12" s="8">
        <f t="shared" si="31"/>
        <v>0</v>
      </c>
      <c r="PG12" s="156">
        <f t="shared" si="32"/>
        <v>0</v>
      </c>
      <c r="PJ12" s="52" t="str">
        <f>IF(Fug!$F$16=Hidden!$PP$2,"Pumps","Pumps")</f>
        <v>Pumps</v>
      </c>
      <c r="PK12" s="52" t="str">
        <f>IF(Fug!$F$16=Hidden!$PP$2,"Gas","Light Liquid")</f>
        <v>Light Liquid</v>
      </c>
      <c r="PL12" s="52">
        <v>4.3900000000000002E-2</v>
      </c>
      <c r="PM12" s="52">
        <v>3.8600000000000002E-2</v>
      </c>
      <c r="PN12" s="52">
        <v>0.14399999999999999</v>
      </c>
      <c r="PO12" s="52">
        <v>4.1000000000000003E-3</v>
      </c>
      <c r="PP12" s="52">
        <v>5.2900000000000004E-3</v>
      </c>
      <c r="PQ12" s="52">
        <v>4.2651000000000001E-2</v>
      </c>
      <c r="PR12" s="52">
        <v>2.0100000000000001E-5</v>
      </c>
      <c r="PS12" s="52">
        <v>5.6340000000000001E-2</v>
      </c>
      <c r="PT12" s="52" t="s">
        <v>8779</v>
      </c>
      <c r="PU12" s="52" t="s">
        <v>8769</v>
      </c>
      <c r="PV12" s="52">
        <v>0</v>
      </c>
      <c r="PW12" s="52">
        <v>0.85</v>
      </c>
      <c r="PX12" s="52">
        <v>0.93</v>
      </c>
      <c r="PY12" s="52">
        <v>0.93</v>
      </c>
      <c r="PZ12" s="52">
        <v>0</v>
      </c>
      <c r="QA12" s="52">
        <v>0.93</v>
      </c>
      <c r="QB12" s="52" t="s">
        <v>8779</v>
      </c>
      <c r="QC12" s="52" t="s">
        <v>8802</v>
      </c>
      <c r="QD12" s="52">
        <v>0</v>
      </c>
      <c r="QE12" s="52">
        <v>0.85</v>
      </c>
      <c r="QF12" s="52">
        <v>0.93</v>
      </c>
      <c r="QG12" s="52">
        <v>0.93</v>
      </c>
      <c r="QH12" s="52">
        <v>0</v>
      </c>
      <c r="QI12" s="52">
        <v>0.93</v>
      </c>
      <c r="QK12" s="95" t="s">
        <v>9117</v>
      </c>
      <c r="QM12" s="16" t="s">
        <v>9303</v>
      </c>
      <c r="QN12" s="104" t="e">
        <f t="shared" si="38"/>
        <v>#N/A</v>
      </c>
      <c r="QO12" s="104">
        <f>'Load-MarineShip'!F16</f>
        <v>0</v>
      </c>
      <c r="QP12" s="104">
        <f>'Load-MarineBarge'!F15</f>
        <v>0</v>
      </c>
      <c r="QQ12" s="16" t="str">
        <f>IF(QO12&lt;40,QX29,IF(QO12&lt;40,QX30,QX31))</f>
        <v>SHIP30</v>
      </c>
      <c r="QR12" s="16" t="e">
        <f t="shared" si="33"/>
        <v>#N/A</v>
      </c>
      <c r="QS12" s="16" t="e">
        <f t="shared" si="34"/>
        <v>#N/A</v>
      </c>
      <c r="QT12" s="16" t="e">
        <f t="shared" si="35"/>
        <v>#N/A</v>
      </c>
      <c r="QU12" s="16" t="e">
        <f>IF(QN12=10,VLOOKUP(QQ12,$SB$2:$SK$31,MATCH(QP12,$SB$2:$SK$2,1),FALSE),IF(QN12=12,VLOOKUP(QQ12,$SB$33:$SK$62,MATCH(QP12,$SB$33:$SK$33,1),FALSE),IF(QN12=14,VLOOKUP(QQ12,$SB$64:$SK$94,MATCH(QP12,$SB$64:$SK$64,1),FALSE),IF(QN12=15,VLOOKUP(QQ12,$SB$96:$SK$125,MATCH(QP12,$SB$96:$SK$96,1),FALSE)))))</f>
        <v>#N/A</v>
      </c>
      <c r="QV12" s="16" t="e">
        <f t="shared" si="37"/>
        <v>#N/A</v>
      </c>
      <c r="QX12" s="89" t="s">
        <v>9321</v>
      </c>
      <c r="QY12">
        <v>1.88</v>
      </c>
      <c r="QZ12">
        <v>1.88</v>
      </c>
      <c r="RA12">
        <v>1.88</v>
      </c>
      <c r="RB12">
        <v>1.88</v>
      </c>
      <c r="RC12">
        <v>1.88</v>
      </c>
      <c r="RD12">
        <v>1.88</v>
      </c>
      <c r="RE12">
        <v>1.88</v>
      </c>
      <c r="RF12">
        <v>1.88</v>
      </c>
      <c r="RG12" s="90">
        <v>1.83</v>
      </c>
      <c r="RH12" s="89" t="s">
        <v>9321</v>
      </c>
      <c r="RI12">
        <v>1.79</v>
      </c>
      <c r="RJ12">
        <v>1.79</v>
      </c>
      <c r="RK12">
        <v>1.79</v>
      </c>
      <c r="RL12">
        <v>1.79</v>
      </c>
      <c r="RM12">
        <v>1.79</v>
      </c>
      <c r="RN12">
        <v>1.79</v>
      </c>
      <c r="RO12">
        <v>1.79</v>
      </c>
      <c r="RP12">
        <v>1.79</v>
      </c>
      <c r="RQ12" s="90">
        <v>1.76</v>
      </c>
      <c r="RR12" s="89" t="s">
        <v>9321</v>
      </c>
      <c r="RS12">
        <v>1.05</v>
      </c>
      <c r="RT12">
        <v>1.05</v>
      </c>
      <c r="RU12">
        <v>1.05</v>
      </c>
      <c r="RV12">
        <v>1.05</v>
      </c>
      <c r="RW12">
        <v>1.05</v>
      </c>
      <c r="RX12">
        <v>1.05</v>
      </c>
      <c r="RY12">
        <v>1.05</v>
      </c>
      <c r="RZ12">
        <v>1.05</v>
      </c>
      <c r="SA12" s="90">
        <v>1.04</v>
      </c>
      <c r="SB12" s="89" t="s">
        <v>9321</v>
      </c>
      <c r="SC12">
        <v>0.42</v>
      </c>
      <c r="SD12">
        <v>0.42</v>
      </c>
      <c r="SE12">
        <v>0.42</v>
      </c>
      <c r="SF12">
        <v>0.42</v>
      </c>
      <c r="SG12">
        <v>0.42</v>
      </c>
      <c r="SH12">
        <v>0.42</v>
      </c>
      <c r="SI12">
        <v>0.42</v>
      </c>
      <c r="SJ12">
        <v>0.42</v>
      </c>
      <c r="SK12" s="90">
        <v>0.42</v>
      </c>
      <c r="SL12" s="89" t="s">
        <v>9321</v>
      </c>
      <c r="SM12">
        <v>0.05</v>
      </c>
      <c r="SN12">
        <v>0.05</v>
      </c>
      <c r="SO12">
        <v>0.05</v>
      </c>
      <c r="SP12">
        <v>0.05</v>
      </c>
      <c r="SQ12">
        <v>0.05</v>
      </c>
      <c r="SR12">
        <v>0.05</v>
      </c>
      <c r="SS12">
        <v>0.05</v>
      </c>
      <c r="ST12">
        <v>0.05</v>
      </c>
      <c r="SU12" s="90">
        <v>0.05</v>
      </c>
      <c r="TI12" s="256" t="s">
        <v>10190</v>
      </c>
      <c r="TJ12" s="265" t="s">
        <v>10534</v>
      </c>
      <c r="TK12" s="266" t="s">
        <v>10534</v>
      </c>
      <c r="TL12" t="s">
        <v>10206</v>
      </c>
      <c r="TM12" s="225" t="str">
        <f>"Minimum of two carbon canisters in parallel. CEMS on the carbon bed outlet vent(s), monitor for vacuum during regeneration. Breakthrough concentration of "&amp;CAS!D19&amp;" ppm. Automatic alarm if breakthrough is approached; automatic shutdown if breakthrough occurs. MSS: Same as normal operations."</f>
        <v>Minimum of two carbon canisters in parallel. CEMS on the carbon bed outlet vent(s), monitor for vacuum during regeneration. Breakthrough concentration of  ppm. Automatic alarm if breakthrough is approached; automatic shutdown if breakthrough occurs. MSS: Same as normal operations.</v>
      </c>
    </row>
    <row r="13" spans="1:534" ht="74.25" customHeight="1" x14ac:dyDescent="0.2">
      <c r="A13" s="8" t="s">
        <v>190</v>
      </c>
      <c r="B13" s="8">
        <v>12</v>
      </c>
      <c r="D13" s="8" t="s">
        <v>205</v>
      </c>
      <c r="E13" s="8" t="b">
        <f>IF($D13='PI-1-MarineLoading'!$D$73,TRUE,FALSE)</f>
        <v>0</v>
      </c>
      <c r="W13">
        <f>IF(OR(X13=0,ISNUMBER(MATCH(X13,$X$1:X12,0))),0,MAX($W$1:W12)+1)</f>
        <v>0</v>
      </c>
      <c r="X13" s="123">
        <f>Products!$E60</f>
        <v>0</v>
      </c>
      <c r="Y13" t="str">
        <f t="shared" si="3"/>
        <v/>
      </c>
      <c r="CA13">
        <f>IF(OR(CB13=0,ISNUMBER(MATCH(CB13,$CB$1:CB12,0))),0,MAX($CA$1:CA12)+1)</f>
        <v>0</v>
      </c>
      <c r="CB13" s="8">
        <f>IF(OR(Tank1!$D$18="EXTERNAL FLOATING ROOF",Tank1!$D$18="INTERNAL FLOATING ROOF"),IF(Tank1!$E43="",0,Tank1!$E43),0)</f>
        <v>0</v>
      </c>
      <c r="CC13" s="8" t="str">
        <f t="shared" si="6"/>
        <v/>
      </c>
      <c r="CD13" s="8"/>
      <c r="CE13" s="8">
        <f>IF(OR(CF13=0,ISNUMBER(MATCH(CF13,$CF$1:CF12,0))),0,MAX($CE$1:CE12)+1)</f>
        <v>0</v>
      </c>
      <c r="CF13" s="8">
        <f>IF(OR(Tank1!$D$18="HORIZONTAL FIXED ROOF",Tank1!$D$18="VERTICAL FIXED ROOF"),IF(Tank1!$E43="",0,Tank1!$E43),0)</f>
        <v>0</v>
      </c>
      <c r="CG13" s="8" t="str">
        <f t="shared" si="7"/>
        <v/>
      </c>
      <c r="CJ13">
        <f>IF(OR(CK13=0,ISNUMBER(MATCH(CK13,$CK$1:CK12,0))),0,MAX($CJ$1:CJ12)+1)</f>
        <v>0</v>
      </c>
      <c r="CK13">
        <f>Tank2!$A$43</f>
        <v>0</v>
      </c>
      <c r="CM13">
        <f>IFERROR(VLOOKUP($CK13,Tank2!$A$32:$D$141,3,FALSE),0)</f>
        <v>0</v>
      </c>
      <c r="CN13">
        <f>IFERROR(VLOOKUP($CK13,Tank2!$A$32:$D$141,4,FALSE),0)</f>
        <v>0</v>
      </c>
      <c r="DM13">
        <f>IF(OR(DN13=0,ISNUMBER(MATCH(DN13,$DN$1:DN12,0))),0,MAX($DM$1:DM12)+1)</f>
        <v>0</v>
      </c>
      <c r="DN13">
        <f>IF(Tank2!$D$22="Flare",IFERROR(VLOOKUP(Products!$A$69,Tank2!$A$32:$B$141,1,FALSE),0),0)</f>
        <v>0</v>
      </c>
      <c r="DO13">
        <f>IF($DN13=0,0,VLOOKUP($DN13,Tank2!$A$32:$H$141,7,FALSE))</f>
        <v>0</v>
      </c>
      <c r="DP13">
        <f>IF($DN13=0,0,VLOOKUP($DN13,Tank2!$A$32:$H$141,8,FALSE))</f>
        <v>0</v>
      </c>
      <c r="DU13">
        <f>IF(OR(DV13=0,ISNUMBER(MATCH(DV13,$DV$1:DV12,0))),0,MAX($DU$1:DU12)+1)</f>
        <v>0</v>
      </c>
      <c r="DV13">
        <f>IF(Tank2!$D$22="VCU",IFERROR(VLOOKUP(Products!$A$69,Tank2!$A$32:$B$141,1,FALSE),0),0)</f>
        <v>0</v>
      </c>
      <c r="DW13">
        <f>IF($DV13=0,0,VLOOKUP($DV13,Tank2!$A$32:$H$141,7,FALSE))</f>
        <v>0</v>
      </c>
      <c r="DX13">
        <f>IF($DV13=0,0,VLOOKUP($DV13,Tank2!$A$32:$H$141,8,FALSE))</f>
        <v>0</v>
      </c>
      <c r="EC13">
        <f>IF(OR(ED13=0,ISNUMBER(MATCH(ED13,$ED$1:ED12,0))),0,MAX($EC$1:EC12)+1)</f>
        <v>0</v>
      </c>
      <c r="ED13">
        <f>IF(Tank2!$D$22="vapor oxidizer",IFERROR(VLOOKUP(Products!$A$69,Tank2!$A$32:$B$141,1,FALSE),0),0)</f>
        <v>0</v>
      </c>
      <c r="EE13">
        <f>IF($ED13=0,0,VLOOKUP($ED13,Tank2!$A$32:$H$141,7,FALSE))</f>
        <v>0</v>
      </c>
      <c r="EF13">
        <f>IF($ED13=0,0,VLOOKUP($ED13,Tank2!$A$32:$H$141,8,FALSE))</f>
        <v>0</v>
      </c>
      <c r="EK13">
        <f>IF(OR(EL13=0,ISNUMBER(MATCH(EL13,$EL$1:EL12,0))),0,MAX($EK$1:EK12)+1)</f>
        <v>0</v>
      </c>
      <c r="EL13">
        <f>IF(Tank2!$D$22="CAS",IFERROR(VLOOKUP(Products!A69,Tank2!$A$32:$B$141,1,FALSE),0),0)</f>
        <v>0</v>
      </c>
      <c r="EM13">
        <f>IF($EL13=0,0,VLOOKUP($EL13,Tank2!$A$32:$H$141,7,FALSE))</f>
        <v>0</v>
      </c>
      <c r="EN13">
        <f>IF($EL13=0,0,VLOOKUP($EL13,Tank2!$A$32:$H$141,8,FALSE))</f>
        <v>0</v>
      </c>
      <c r="EX13">
        <f>MSS!$A46</f>
        <v>0</v>
      </c>
      <c r="EY13">
        <f>MSS!$G46*MSS!F$144</f>
        <v>0</v>
      </c>
      <c r="EZ13">
        <f>MSS!$G46*MSS!G$144</f>
        <v>0</v>
      </c>
      <c r="FB13" s="8" t="s">
        <v>379</v>
      </c>
      <c r="FC13" s="8" t="s">
        <v>380</v>
      </c>
      <c r="FD13" s="8">
        <v>20</v>
      </c>
      <c r="FE13" s="8">
        <v>2</v>
      </c>
      <c r="FG13" s="360" t="str">
        <f t="shared" si="23"/>
        <v/>
      </c>
      <c r="FH13" s="155">
        <f>IF(Tank1!$D$22="NO CONTROL",_xlfn.MAXIFS(Tank1!$G$32:$G$141,Tank1!$E$32:$E$141,$FG13),0)*IFERROR($QR$3,0)</f>
        <v>0</v>
      </c>
      <c r="FI13" s="155">
        <f>_xlfn.MAXIFS(LandEmiss!$AF$20:$AF$119,LandEmiss!$AE$20:$AE$119,$FG13)*IFERROR($QR$3,0)</f>
        <v>0</v>
      </c>
      <c r="FJ13" s="155">
        <f>MAX(_xlfn.MAXIFS(LandEmiss!$CO$20:$CO$119,LandEmiss!$CN$20:$CN$119,$FG13),_xlfn.MAXIFS(LandEmiss!$EZ$9:$EZ$108,LandEmiss!$EY$9:$EY$108,$FG13))*IFERROR($QR$3,0)</f>
        <v>0</v>
      </c>
      <c r="FK13" s="155">
        <f>IF(Tank2!$D$22="NO CONTROL",_xlfn.MAXIFS(Tank2!$G$32:$G$141,Tank2!$E$32:$E$141,$FG13),0)*IFERROR($QR$4,0)</f>
        <v>0</v>
      </c>
      <c r="FL13" s="155">
        <f>_xlfn.MAXIFS(LandEmiss!$AG$20:$AG$119,LandEmiss!$AE$20:$AE$119,$FG13)*IFERROR($QR$4,0)</f>
        <v>0</v>
      </c>
      <c r="FM13" s="155">
        <f>MAX(_xlfn.MAXIFS(LandEmiss!$CP$20:$CP$119,LandEmiss!$CN$20:$CN$119,$FG13),_xlfn.MAXIFS(LandEmiss!$FA$9:$FA$108,LandEmiss!$EY$9:$EY$108,$FG13))*IFERROR($QR$4,0)</f>
        <v>0</v>
      </c>
      <c r="FN13" s="155">
        <f>IF(Tank3!$D$22="NO CONTROL",_xlfn.MAXIFS(Tank3!$G$32:$G$141,Tank3!$E$32:$E$141,$FG13),0)*IFERROR($QR$5,0)</f>
        <v>0</v>
      </c>
      <c r="FO13" s="155">
        <f>_xlfn.MAXIFS(LandEmiss!$AH$20:$AH$119,LandEmiss!$AE$20:$AE$119,$FG13)*IFERROR($QR$5,0)</f>
        <v>0</v>
      </c>
      <c r="FP13" s="155">
        <f>MAX(_xlfn.MAXIFS(LandEmiss!$CQ$20:$CQ$119,LandEmiss!$CN$20:$CN$119,$FG13),_xlfn.MAXIFS(LandEmiss!$FB$9:$FB$108,LandEmiss!$EY$9:$EY$108,$FG13))*IFERROR($QR$5,0)</f>
        <v>0</v>
      </c>
      <c r="FQ13" s="155">
        <f>IF(Tank4!$D$22="NO CONTROL",_xlfn.MAXIFS(Tank4!$G$32:$G$141,Tank4!$E$32:$E$141,$FG13),0)*IFERROR($QR$6,0)</f>
        <v>0</v>
      </c>
      <c r="FR13" s="155">
        <f>_xlfn.MAXIFS(LandEmiss!$AI$20:$AI$119,LandEmiss!$AE$20:$AE$119,$FG13)*IFERROR($QR$6,0)</f>
        <v>0</v>
      </c>
      <c r="FS13" s="155">
        <f>MAX(_xlfn.MAXIFS(LandEmiss!$CR$20:$CR$119,LandEmiss!$CN$20:$CN$119,$FG13),_xlfn.MAXIFS(LandEmiss!$FC$9:$FC$108,LandEmiss!$EY$9:$EY$108,$FG13))*IFERROR($QR$6,0)</f>
        <v>0</v>
      </c>
      <c r="FT13" s="155">
        <f>IF(Tank5!$D$22="NO CONTROL",_xlfn.MAXIFS(Tank5!$G$32:$G$141,Tank5!$E$32:$E$141,$FG13),0)*IFERROR($QR$7,0)</f>
        <v>0</v>
      </c>
      <c r="FU13" s="155">
        <f>_xlfn.MAXIFS(LandEmiss!$AJ$20:$AJ$119,LandEmiss!$AE$20:$AE$119,$FG13)*IFERROR($QR$7,0)</f>
        <v>0</v>
      </c>
      <c r="FV13" s="155">
        <f>MAX(_xlfn.MAXIFS(LandEmiss!$CS$20:$CS$119,LandEmiss!$CN$20:$CN$119,$FG13),_xlfn.MAXIFS(LandEmiss!$FD$9:$FD$108,LandEmiss!$EY$9:$EY$108,$FG13))*IFERROR($QR18,0)</f>
        <v>0</v>
      </c>
      <c r="FW13" s="155">
        <f>_xlfn.MAXIFS('Load-DrumTote'!$K$27:$K$136,'Load-DrumTote'!$F$27:$F$136,$FG13)*IFERROR($QR$8,0)</f>
        <v>0</v>
      </c>
      <c r="FX13" s="155">
        <f>_xlfn.MAXIFS('Load-Truck'!$K$27:$K$136,'Load-Truck'!$F$27:$F$136,$FG13)*IFERROR($QR$9,0)</f>
        <v>0</v>
      </c>
      <c r="FY13" s="155">
        <f>_xlfn.MAXIFS('Load-Rail'!$K$27:$K$136,'Load-Rail'!$F$27:$F$136,$FG13)*IFERROR($QR$10,0)</f>
        <v>0</v>
      </c>
      <c r="FZ13" s="155">
        <f>_xlfn.MAXIFS('Load-MarineBarge'!$K$27:$K$136,'Load-MarineBarge'!$F$27:$F$136,$FG13)*IFERROR($QR$11,0)</f>
        <v>0</v>
      </c>
      <c r="GA13" s="155">
        <f>_xlfn.MAXIFS('Load-MarineShip'!$K$27:$K$136,'Load-MarineShip'!$F$27:$F$136,$FG13)*IFERROR($QR$12,0)</f>
        <v>0</v>
      </c>
      <c r="GB13" s="313">
        <f>IF(OR(Flare!$D$24="fuel gas",Flare!$D$38="fuel gas"),SUMIF(Flare!$E$97:$E$106,$FG13,Flare!$F$97:$F$106),0)*IFERROR($QR$13,0)</f>
        <v>0</v>
      </c>
      <c r="GC13" s="313">
        <f>(_xlfn.MAXIFS(CtrlDevImpacts!$I$57:$I$156,CtrlDevImpacts!$H$57:$H$156,$FG13))*IFERROR($QR$13,0)</f>
        <v>0</v>
      </c>
      <c r="GD13" s="313">
        <f>(_xlfn.MAXIFS(Flare!$F$107:$F$216,Flare!$E$107:$E$216,$FG13)-_xlfn.MAXIFS(CtrlDevImpacts!$I$57:$I$156,CtrlDevImpacts!$H$57:$H$156,$FG13))*IFERROR($QR$13,0)</f>
        <v>0</v>
      </c>
      <c r="GE13" s="155">
        <f>_xlfn.MAXIFS(LandEmiss!$B$335:$B$434,LandEmiss!$A$335:$A$434,$FG13)*IFERROR($QR$13,0)</f>
        <v>0</v>
      </c>
      <c r="GF13" s="155">
        <f>(_xlfn.MAXIFS(LandEmiss!$BK$335:$BK$434,LandEmiss!$BJ$335:$BJ$434,$FG13)+_xlfn.MAXIFS(LandEmiss!$DV$323:$DV$422,LandEmiss!$DU$323:$DU$422,$FG13))*IFERROR($QR$13,0)</f>
        <v>0</v>
      </c>
      <c r="GG13" s="313">
        <f>IF(OR(VCU!$D$26="fuel gas",VCU!$D$42="fuel gas"),SUMIF(VCU!$E$120:$E$129,$FG13,VCU!$F$120:$F$129),0)*IFERROR($QR$14,0)</f>
        <v>0</v>
      </c>
      <c r="GH13" s="313">
        <f>(_xlfn.MAXIFS(CtrlDevImpacts!$X$57:$X$156,CtrlDevImpacts!$W$57:$W$156,$FG13))*IFERROR($QR$14,0)</f>
        <v>0</v>
      </c>
      <c r="GI13" s="313">
        <f>(_xlfn.MAXIFS(VCU!$F$130:$F$239,VCU!$E$130:$E$239,$FG13)-_xlfn.MAXIFS(CtrlDevImpacts!$X$57:$X$156,CtrlDevImpacts!$W$57:$W$156,$FG13))*IFERROR($QR$14,0)</f>
        <v>0</v>
      </c>
      <c r="GJ13" s="155">
        <f>_xlfn.MAXIFS(LandEmiss!$D$335:$D$434,LandEmiss!$A$335:$A$434,$FG13)*IFERROR($QR$14,0)</f>
        <v>0</v>
      </c>
      <c r="GK13" s="155">
        <f>(_xlfn.MAXIFS(LandEmiss!$BM$335:$BM$434,LandEmiss!$BJ$335:$BJ$434,$FG13)+_xlfn.MAXIFS(LandEmiss!$DX$323:$DX$422,LandEmiss!$DU$323:$DU$422,$FG13))*IFERROR($QR$14,0)</f>
        <v>0</v>
      </c>
      <c r="GL13" s="313">
        <f>IF(VaporOxidizer!D44="FUEL GAS",SUMIF(VaporOxidizer!$E$101:$E$110,$FG13,VaporOxidizer!$F$101:$F$110),0)*IFERROR($QR$15,0)</f>
        <v>0</v>
      </c>
      <c r="GM13" s="313">
        <f>(_xlfn.MAXIFS(CtrlDevImpacts!$AN$57:$AN$156,CtrlDevImpacts!$AM$57:$AM$156,$FG13))*IFERROR($QR$15,0)</f>
        <v>0</v>
      </c>
      <c r="GN13" s="313">
        <f>(_xlfn.MAXIFS(VaporOxidizer!$F$111:$F$220,VaporOxidizer!$E$111:$E$220,$FG13)-_xlfn.MAXIFS(CtrlDevImpacts!$AN$57:$AN$156,CtrlDevImpacts!$AM$57:$AM$156,$FG13))*IFERROR($QR$15,0)</f>
        <v>0</v>
      </c>
      <c r="GO13" s="155">
        <f>_xlfn.MAXIFS(LandEmiss!$F$335:$F$434,LandEmiss!$A$335:$A$434,$FG13)*IFERROR($QR$15,0)</f>
        <v>0</v>
      </c>
      <c r="GP13" s="155">
        <f>(_xlfn.MAXIFS(LandEmiss!$BK$335:$BK$434,LandEmiss!$BO$335:$BO$434,$FG13)+_xlfn.MAXIFS(LandEmiss!$DZ$323:$DZ$422,LandEmiss!$DU$323:$DU$422,$FG13))*IFERROR($QR$15,0)</f>
        <v>0</v>
      </c>
      <c r="GQ13" s="313">
        <f>_xlfn.MAXIFS(CtrlDevImpacts!$BD$57:$BD$156,CtrlDevImpacts!$BC$57:$BC$156,$FG13)*IFERROR(Hidden!$QR$16,0)</f>
        <v>0</v>
      </c>
      <c r="GR13" s="313">
        <f>(_xlfn.MAXIFS(CAS!$H$35:$H$144,CAS!$E$35:$E$144,$FG13)-_xlfn.MAXIFS(CtrlDevImpacts!$BD$57:$BD$156,CtrlDevImpacts!$BC$57:$BC$156,$FG13))*IFERROR(Hidden!$QR$16,0)</f>
        <v>0</v>
      </c>
      <c r="GS13" s="155">
        <f>_xlfn.MAXIFS(LandEmiss!$H$335:$H$434,LandEmiss!$A$335:$A$434,$FG13)*IFERROR($QR$27,0)</f>
        <v>0</v>
      </c>
      <c r="GT13" s="155">
        <f>(_xlfn.MAXIFS(LandEmiss!$BK$335:$BK$434,LandEmiss!$BQ$335:$BQ$434,$FG13)+_xlfn.MAXIFS(LandEmiss!$EB$323:$EB$422,LandEmiss!$DU$323:$DU$422,$FG13))*IFERROR($QR$27,0)</f>
        <v>0</v>
      </c>
      <c r="GU13" s="155">
        <f>_xlfn.MAXIFS(LandEmiss!$J$335:$J$434,LandEmiss!$A$335:$A$434,$FG13)*IFERROR($QR$26,0)</f>
        <v>0</v>
      </c>
      <c r="GV13" s="155">
        <f>(_xlfn.MAXIFS(LandEmiss!$BK$335:$BK$434,LandEmiss!$BS$335:$BS$434,$FG13)+_xlfn.MAXIFS(LandEmiss!$ED$323:$ED$422,LandEmiss!$DU$323:$DU$422,$FG13))*IFERROR($QR$26,0)</f>
        <v>0</v>
      </c>
      <c r="GW13" s="155">
        <f>_xlfn.MAXIFS(LandEmiss!$L$335:$L$434,LandEmiss!$A$335:$A$434,$FG13)*IFERROR($QR$25,0)</f>
        <v>0</v>
      </c>
      <c r="GX13" s="155">
        <f>(_xlfn.MAXIFS(LandEmiss!$BK$335:$BK$434,LandEmiss!$BU$335:$BU$434,$FG13)+_xlfn.MAXIFS(LandEmiss!$EF$323:$EF$422,LandEmiss!$DU$323:$DU$422,$FG13))*IFERROR($QR$25,0)</f>
        <v>0</v>
      </c>
      <c r="GY13" s="155">
        <v>0</v>
      </c>
      <c r="GZ13" s="155">
        <v>0</v>
      </c>
      <c r="HA13" s="155">
        <f>IF(OR(HeaterBoiler1!$E$26&lt;&gt;"fuel gas",HeaterBoiler1!$E$15&lt;&gt;"heater"),0,SUMIF(HeaterBoiler1!$A$54:$D$63,$FG13,HeaterBoiler1!$I$54:$I$63))*IFERROR($QR$19,0)</f>
        <v>0</v>
      </c>
      <c r="HB13" s="207">
        <f>IF(OR(HeaterBoiler2!$E$26&lt;&gt;"fuel gas",HeaterBoiler2!$E$15&lt;&gt;"heater"),0,SUMIF(HeaterBoiler2!$A$54:$D$63,$FG13,HeaterBoiler2!$I$54:$I$63))*IFERROR($QR$21,0)</f>
        <v>0</v>
      </c>
      <c r="HC13" s="155">
        <f>IF(OR(HeaterBoiler1!$E$26&lt;&gt;"fuel gas",HeaterBoiler1!$E$15&lt;&gt;"boiler"),0,SUMIF(HeaterBoiler1!$A$41:$A$50,$FG13,HeaterBoiler1!$F$41:$F$50))*IFERROR($QR$20,0)</f>
        <v>0</v>
      </c>
      <c r="HD13" s="207">
        <f>IF(OR(HeaterBoiler2!$E$26&lt;&gt;"fuel gas",HeaterBoiler2!$E$15&lt;&gt;"boiler"),0,SUMIF(HeaterBoiler2!$A$41:$A$50,$FG13,HeaterBoiler2!$F$41:$F$50))*IFERROR($QR$22,0)</f>
        <v>0</v>
      </c>
      <c r="HE13" s="155">
        <f>SUMIF(Fug!$A$96:$A$205,$FG13,Fug!$I$96:$I$205)*IFERROR(Hidden!$QR$23,0)</f>
        <v>0</v>
      </c>
      <c r="HF13" s="155">
        <f t="shared" si="24"/>
        <v>0</v>
      </c>
      <c r="HG13" s="156">
        <f t="shared" si="25"/>
        <v>0</v>
      </c>
      <c r="HH13" s="156">
        <f t="shared" si="26"/>
        <v>0</v>
      </c>
      <c r="HI13" s="156">
        <f t="shared" si="27"/>
        <v>0</v>
      </c>
      <c r="HJ13" s="156">
        <f t="shared" si="28"/>
        <v>0</v>
      </c>
      <c r="HK13" s="156">
        <f t="shared" si="29"/>
        <v>0</v>
      </c>
      <c r="HL13" s="156">
        <f t="shared" si="30"/>
        <v>0</v>
      </c>
      <c r="NO13" s="155">
        <f>IF(Tank1!$D$22="No control",(SUMIF(Tank1!$E$32:$E$141,$FG13,Tank1!$H$32:$H$141)*(2000/8760)*IFERROR($QV$3,0)),0)</f>
        <v>0</v>
      </c>
      <c r="NP13" s="156">
        <f>SUMIF(LandEmiss!$AE$20:$AE$119,$FG13,LandEmiss!$AK$20:$AK$119)*(2000/8760)*IFERROR($QV$3,0)</f>
        <v>0</v>
      </c>
      <c r="NQ13" s="156">
        <f>(SUMIF(LandEmiss!$CN$20:$CN$119,$FG13,LandEmiss!$CT$20:$CT$119)+SUMIF(LandEmiss!$EY$9:$EY$108,$FG13,LandEmiss!$FE$9:$FE$108))*IFERROR($QV$3,0)*(2000/8760)</f>
        <v>0</v>
      </c>
      <c r="NR13" s="155">
        <f>IF(Tank2!$D$22="No control",(SUMIF(Tank2!$E$32:$E$141,$FG13,Tank2!$H$32:$H$141)*(2000/8760)*IFERROR($QV$4,0)),0)</f>
        <v>0</v>
      </c>
      <c r="NS13" s="156">
        <f>SUMIF(LandEmiss!$AE$20:$AE$119,$FG13,LandEmiss!$AL$20:$AL$119)*(2000/8760)*IFERROR($QV$4,0)</f>
        <v>0</v>
      </c>
      <c r="NT13" s="156">
        <f>(SUMIF(LandEmiss!$CN$20:$CN$119,$FG13,LandEmiss!$CU$20:$CU$119)+SUMIF(LandEmiss!$EY$9:$EY$108,$FG13,LandEmiss!$FF$9:$FF$108))*IFERROR($QV$4,0)*(2000/8760)</f>
        <v>0</v>
      </c>
      <c r="NU13" s="155">
        <f>IF(Tank3!$D$22="No control",(SUMIF(Tank3!$E$32:$E$141,$FG13,Tank3!$H$32:$H$141)*(2000/8760)*IFERROR($QV$5,0)),0)</f>
        <v>0</v>
      </c>
      <c r="NV13" s="156">
        <f>SUMIF(LandEmiss!$AE$20:$AE$119,$FG13,LandEmiss!$AM$20:$AM$119)*(2000/8760)*IFERROR($QV$5,0)</f>
        <v>0</v>
      </c>
      <c r="NW13" s="156">
        <f>(SUMIF(LandEmiss!$CN$20:$CN$119,$FG13,LandEmiss!$CV$20:$CV$119)+SUMIF(LandEmiss!$EY$9:$EY$108,$FG13,LandEmiss!$FG$9:$FG$108))*IFERROR($QV$5,0)*(2000/8760)</f>
        <v>0</v>
      </c>
      <c r="NX13" s="155">
        <f>IF(Tank4!$D$22="No control",(SUMIF(Tank4!$E$32:$E$141,$FG13,Tank4!$H$32:$H$141)*(2000/8760)*IFERROR($QV$6,0)),0)</f>
        <v>0</v>
      </c>
      <c r="NY13" s="156">
        <f>SUMIF(LandEmiss!$AE$20:$AE$119,$FG13,LandEmiss!$AN$20:$AN$119)*(2000/8760)*IFERROR($QV$6,0)</f>
        <v>0</v>
      </c>
      <c r="NZ13" s="156">
        <f>(SUMIF(LandEmiss!$CN$20:$CN$119,$FG13,LandEmiss!$CW$20:$CW$119)+SUMIF(LandEmiss!$EY$9:$EY$108,$FG13,LandEmiss!$FH$9:$FH$108))*IFERROR($QV$6,0)*(2000/8760)</f>
        <v>0</v>
      </c>
      <c r="OA13" s="155">
        <f>IF(Tank5!$D$22="No control",(SUMIF(Tank5!$E$32:$E$141,$FG13,Tank5!$H$32:$H$141)*(2000/8760)*IFERROR($QV$7,0)),0)</f>
        <v>0</v>
      </c>
      <c r="OB13" s="156">
        <f>SUMIF(LandEmiss!$AE$20:$AE$119,$FG13,LandEmiss!$AO$20:$AO$119)*(2000/8760)*IFERROR($QV$7,0)</f>
        <v>0</v>
      </c>
      <c r="OC13" s="156">
        <f>(SUMIF(LandEmiss!$CN$20:$CN$119,$FG13,LandEmiss!$CX$20:$CX$119)+SUMIF(LandEmiss!$EY$9:$EY$108,$FG13,LandEmiss!$FI$9:$FI$108))*IFERROR($QV$7,0)*(2000/8760)</f>
        <v>0</v>
      </c>
      <c r="OD13" s="155">
        <f>SUMIFS('Load-DrumTote'!$L$27:$L$136,'Load-DrumTote'!$F$27:$F$136,$FG13)*IFERROR($QV$8,0)*(2000/8760)</f>
        <v>0</v>
      </c>
      <c r="OE13" s="155">
        <f>SUMIFS('Load-Truck'!$L$27:$L$136,'Load-Truck'!$F$27:$F$136,$FG13)*IFERROR($QV$9,0)*(2000/8760)</f>
        <v>0</v>
      </c>
      <c r="OF13" s="155">
        <f>SUMIFS('Load-Rail'!$L$27:$L$136,'Load-Rail'!$F$27:$F$136,$FG13)*IFERROR($QV$10,0)*(2000/8760)</f>
        <v>0</v>
      </c>
      <c r="OG13" s="155">
        <f>SUMIFS('Load-MarineBarge'!$L$27:$L$136,'Load-MarineBarge'!$F$27:$F$136,$FG13)*IFERROR($QV$11,0)*(2000/8760)</f>
        <v>0</v>
      </c>
      <c r="OH13" s="155">
        <f>SUMIFS('Load-MarineShip'!$L$27:$L$136,'Load-MarineShip'!$F$27:$F$136,$FG13)*IFERROR($QV$12,0)*(2000/8760)</f>
        <v>0</v>
      </c>
      <c r="OI13" s="155">
        <f>(IF(OR(Flare!$D$24="FUEL GAS",Flare!$D$38="FUEL GAS"),SUMIF(Flare!$E$97:$E$106,$FG13,Flare!$G$97:$G$105),0)+SUMIF(Flare!$E$107:$E$216,$FG13,Flare!$G$107:$G$216))*(2000/8730)*IFERROR($QV$13,0)</f>
        <v>0</v>
      </c>
      <c r="OJ13" s="155">
        <f>SUMIF(LandEmiss!$A$335:$A$434,$FG13,LandEmiss!$C$335:$C$434)*(2000/8760)*IFERROR($QV$13,0)</f>
        <v>0</v>
      </c>
      <c r="OK13" s="155">
        <f>(SUMIF(LandEmiss!$BJ$335:$BJ$434,$FG13,LandEmiss!$BL$335:$BL$434)+SUMIF(LandEmiss!$DU$323:$DU$422,$FG13,LandEmiss!$DW$323:$DW$422))*(2000/8760)*IFERROR($QV$13,0)</f>
        <v>0</v>
      </c>
      <c r="OL13" s="155">
        <f>(IF(OR(VCU!$D$26="FUEL GAS",VCU!$D$42="FUEL GAS"),SUMIF(VCU!$E$120:$E$129,$FG13,VCU!$G$120:$G$129),0)+SUMIF(VCU!$E$130:$E$239,$FG13,VCU!G141:G250))*(2000/8760)*IFERROR($QV$14,0)</f>
        <v>0</v>
      </c>
      <c r="OM13" s="155">
        <f>SUMIF(LandEmiss!$A$335:$A$434,$FG13,LandEmiss!$E$335:$E$434)*(2000/8760)*IFERROR($QV$14,0)</f>
        <v>0</v>
      </c>
      <c r="ON13" s="155">
        <f>(SUMIF(LandEmiss!$BJ$335:$BJ$434,$FG13,LandEmiss!$BN$335:$BN$434)+SUMIF(LandEmiss!$DU$323:$DU$422,$FG13,LandEmiss!$DY$323:$DY$422))*(2000/8760)*IFERROR($QV$14,0)</f>
        <v>0</v>
      </c>
      <c r="OO13" s="155">
        <f>(IF(VaporOxidizer!$D$33="FUEL GAS",SUMIF(VaporOxidizer!$E$101:$E$110,$FG13,VaporOxidizer!$G$101:$G$110),0)+SUMIF(VaporOxidizer!$E$111:$E$220,$FG13,VaporOxidizer!$G$111:$G$220))*(2000/8760)*IFERROR($QV$15,0)</f>
        <v>0</v>
      </c>
      <c r="OP13" s="155">
        <f>SUMIF(LandEmiss!$A$335:$A$434,$FG13,LandEmiss!$G$335:$G$434)*(2000/8760)*IFERROR($QV$15,0)</f>
        <v>0</v>
      </c>
      <c r="OQ13" s="155">
        <f>(SUMIF(LandEmiss!$BJ$335:$BJ$434,$FG13,LandEmiss!$BP$335:$BP$434)+SUMIF(LandEmiss!$DU$323:$DU$422,$FG13,LandEmiss!$EA$323:$EA$422))*(2000/8760)*IFERROR($QV$15,0)</f>
        <v>0</v>
      </c>
      <c r="OR13" s="155">
        <f>SUMIF(CAS!$E$35:$E$144,Hidden!$FG13,CAS!$I$35:$I$144)*IFERROR($QV$16,0)*(2000/8760)</f>
        <v>0</v>
      </c>
      <c r="OS13" s="155">
        <f>SUMIF(LandEmiss!$A$335:$A$434,$FG13,LandEmiss!$I$335:$I$434)*(2000/8760)*IFERROR($QV$27,0)</f>
        <v>0</v>
      </c>
      <c r="OT13" s="155">
        <f>(SUMIF(LandEmiss!$BJ$335:$BJ$434,$FG13,LandEmiss!$BR$335:$BR$434)+SUMIF(LandEmiss!$DU$323:$DU$422,$FG13,LandEmiss!$EC$323:$EC$422))*(2000/8760)*IFERROR($QV$27,0)</f>
        <v>0</v>
      </c>
      <c r="OU13" s="155">
        <f>SUMIF(LandEmiss!$A$335:$A$434,$FG13,LandEmiss!$K$335:$K$434)*(2000/8760)*IFERROR($QV$26,0)</f>
        <v>0</v>
      </c>
      <c r="OV13" s="155">
        <f>(SUMIF(LandEmiss!$BJ$335:$BJ$434,$FG13,LandEmiss!$BT$335:$BT$434)+SUMIF(LandEmiss!$DU$323:$DU$422,$FG13,LandEmiss!$EE$323:$EE$422))*(2000/8760)*IFERROR($QV$26,0)</f>
        <v>0</v>
      </c>
      <c r="OW13" s="155">
        <f>SUMIF(LandEmiss!$A$335:$A$434,$FG13,LandEmiss!$M$335:$M$434)*(2000/8760)*IFERROR($QV$25,0)</f>
        <v>0</v>
      </c>
      <c r="OX13" s="155">
        <f>(SUMIF(LandEmiss!$BJ$335:$BJ$434,$FG13,LandEmiss!$BV$335:$BV$434)+SUMIF(LandEmiss!$DU$323:$DU$422,$FG13,LandEmiss!$EG$323:$EG$422))*(2000/8760)*IFERROR($QV$25,0)</f>
        <v>0</v>
      </c>
      <c r="OY13" s="8">
        <v>0</v>
      </c>
      <c r="OZ13" s="207">
        <v>0</v>
      </c>
      <c r="PA13" s="207">
        <f>IF(OR(HeaterBoiler1!$E$26&lt;&gt;"fuel gas",HeaterBoiler1!$E$15&lt;&gt;"heater"),0,(SUMIF(HeaterBoiler1!$A$54:$D$63,$FG13,HeaterBoiler1!$J$54:$J$63))*(2000/8760))*IFERROR($QV$19,0)</f>
        <v>0</v>
      </c>
      <c r="PB13" s="207">
        <f>IF(OR(HeaterBoiler2!$E$26&lt;&gt;"fuel gas",HeaterBoiler2!$E$15&lt;&gt;"heater"),0,(SUMIF(HeaterBoiler2!$A$54:$D$63,$FG13,HeaterBoiler2!$J$54:$J$63))*(2000/8760))*IFERROR($QV$21,0)</f>
        <v>0</v>
      </c>
      <c r="PC13" s="207">
        <f>IF(OR(HeaterBoiler1!$E$26&lt;&gt;"fuel gas",HeaterBoiler1!$E$15&lt;&gt;"boiler"),0,(SUMIF(HeaterBoiler1!$A$54:$D$63,$FG13,HeaterBoiler1!$J$54:$J$63))*(2000/8760))*IFERROR($QV$20,0)</f>
        <v>0</v>
      </c>
      <c r="PD13" s="207">
        <f>IF(OR(HeaterBoiler2!$E$26&lt;&gt;"fuel gas",HeaterBoiler2!$E$15&lt;&gt;"boiler"),0,(SUMIF(HeaterBoiler2!$A$54:$D$63,$FG13,HeaterBoiler2!$J$54:$J$63))*(2000/8760))*IFERROR($QV$22,0)</f>
        <v>0</v>
      </c>
      <c r="PE13" s="8">
        <f>(SUMIF(Fug!$A$96:$A$205,$FG13,Fug!$J$96:$J$205))*IFERROR($QV$23,0)*(2000/8760)</f>
        <v>0</v>
      </c>
      <c r="PF13" s="8">
        <f t="shared" si="31"/>
        <v>0</v>
      </c>
      <c r="PG13" s="156">
        <f t="shared" si="32"/>
        <v>0</v>
      </c>
      <c r="PJ13" s="52" t="str">
        <f>IF(Fug!$F$16=Hidden!$PP$2,"Pumps","Pumps")</f>
        <v>Pumps</v>
      </c>
      <c r="PK13" s="52" t="str">
        <f>IF(Fug!$F$16=Hidden!$PP$2,"Heavy Oil &lt; 20° API","Heavy Liquid")</f>
        <v>Heavy Liquid</v>
      </c>
      <c r="PL13" s="52">
        <v>1.9E-2</v>
      </c>
      <c r="PM13" s="52">
        <v>1.61E-2</v>
      </c>
      <c r="PN13" s="52">
        <v>4.5999999999999999E-3</v>
      </c>
      <c r="PO13" s="52">
        <v>4.5999999999999999E-3</v>
      </c>
      <c r="PP13" s="52">
        <v>1.1299999999999999E-3</v>
      </c>
      <c r="PQ13" s="52">
        <v>4.2651000000000001E-2</v>
      </c>
      <c r="PR13" s="52">
        <v>2.0100000000000001E-5</v>
      </c>
      <c r="PS13" s="52">
        <v>5.6340000000000001E-2</v>
      </c>
      <c r="PT13" s="52" t="s">
        <v>8779</v>
      </c>
      <c r="PU13" s="52" t="s">
        <v>8780</v>
      </c>
      <c r="PV13" s="52">
        <v>0</v>
      </c>
      <c r="PW13" s="52">
        <v>0</v>
      </c>
      <c r="PX13" s="52">
        <v>0</v>
      </c>
      <c r="PY13" s="52">
        <v>0</v>
      </c>
      <c r="PZ13" s="52">
        <v>0</v>
      </c>
      <c r="QA13" s="52">
        <v>0</v>
      </c>
      <c r="QB13" s="52" t="s">
        <v>8779</v>
      </c>
      <c r="QC13" s="52" t="s">
        <v>8807</v>
      </c>
      <c r="QD13" s="52">
        <v>0</v>
      </c>
      <c r="QE13" s="52">
        <v>0</v>
      </c>
      <c r="QF13" s="52">
        <v>0</v>
      </c>
      <c r="QG13" s="52">
        <v>0.3</v>
      </c>
      <c r="QH13" s="52">
        <v>0</v>
      </c>
      <c r="QI13" s="52">
        <v>0</v>
      </c>
      <c r="QK13" s="95" t="s">
        <v>9118</v>
      </c>
      <c r="QM13" s="16" t="s">
        <v>274</v>
      </c>
      <c r="QN13" s="104" t="e">
        <f t="shared" si="38"/>
        <v>#N/A</v>
      </c>
      <c r="QO13" s="104">
        <f>Flare!D16</f>
        <v>0</v>
      </c>
      <c r="QP13" s="104">
        <f>Flare!D15</f>
        <v>0</v>
      </c>
      <c r="QQ13" s="16" t="str">
        <f>IF(QO13&lt;40,QX14,IF(QO13&lt;50,QX15,QX16))</f>
        <v>FLARE30</v>
      </c>
      <c r="QR13" s="16" t="e">
        <f t="shared" si="33"/>
        <v>#N/A</v>
      </c>
      <c r="QS13" s="16" t="e">
        <f t="shared" si="34"/>
        <v>#N/A</v>
      </c>
      <c r="QT13" s="16" t="e">
        <f t="shared" si="35"/>
        <v>#N/A</v>
      </c>
      <c r="QU13" s="16" t="e">
        <f t="shared" si="36"/>
        <v>#N/A</v>
      </c>
      <c r="QV13" s="16" t="e">
        <f t="shared" si="37"/>
        <v>#N/A</v>
      </c>
      <c r="QX13" s="89" t="s">
        <v>9322</v>
      </c>
      <c r="QY13">
        <v>1.35</v>
      </c>
      <c r="QZ13">
        <v>1.35</v>
      </c>
      <c r="RA13">
        <v>1.35</v>
      </c>
      <c r="RB13">
        <v>1.35</v>
      </c>
      <c r="RC13">
        <v>1.35</v>
      </c>
      <c r="RD13">
        <v>1.35</v>
      </c>
      <c r="RE13">
        <v>1.35</v>
      </c>
      <c r="RF13">
        <v>1.35</v>
      </c>
      <c r="RG13" s="90">
        <v>1.35</v>
      </c>
      <c r="RH13" s="89" t="s">
        <v>9322</v>
      </c>
      <c r="RI13">
        <v>1.28</v>
      </c>
      <c r="RJ13">
        <v>1.28</v>
      </c>
      <c r="RK13">
        <v>1.28</v>
      </c>
      <c r="RL13">
        <v>1.28</v>
      </c>
      <c r="RM13">
        <v>1.28</v>
      </c>
      <c r="RN13">
        <v>1.28</v>
      </c>
      <c r="RO13">
        <v>1.28</v>
      </c>
      <c r="RP13">
        <v>1.28</v>
      </c>
      <c r="RQ13" s="90">
        <v>1.28</v>
      </c>
      <c r="RR13" s="89" t="s">
        <v>9322</v>
      </c>
      <c r="RS13">
        <v>0.77</v>
      </c>
      <c r="RT13">
        <v>0.77</v>
      </c>
      <c r="RU13">
        <v>0.77</v>
      </c>
      <c r="RV13">
        <v>0.77</v>
      </c>
      <c r="RW13">
        <v>0.77</v>
      </c>
      <c r="RX13">
        <v>0.77</v>
      </c>
      <c r="RY13">
        <v>0.77</v>
      </c>
      <c r="RZ13">
        <v>0.77</v>
      </c>
      <c r="SA13" s="90">
        <v>0.77</v>
      </c>
      <c r="SB13" s="89" t="s">
        <v>9322</v>
      </c>
      <c r="SC13">
        <v>0.34</v>
      </c>
      <c r="SD13">
        <v>0.34</v>
      </c>
      <c r="SE13">
        <v>0.34</v>
      </c>
      <c r="SF13">
        <v>0.34</v>
      </c>
      <c r="SG13">
        <v>0.34</v>
      </c>
      <c r="SH13">
        <v>0.34</v>
      </c>
      <c r="SI13">
        <v>0.34</v>
      </c>
      <c r="SJ13">
        <v>0.34</v>
      </c>
      <c r="SK13" s="90">
        <v>0.34</v>
      </c>
      <c r="SL13" s="89" t="s">
        <v>9322</v>
      </c>
      <c r="SM13">
        <v>0.04</v>
      </c>
      <c r="SN13">
        <v>0.04</v>
      </c>
      <c r="SO13">
        <v>0.04</v>
      </c>
      <c r="SP13">
        <v>0.04</v>
      </c>
      <c r="SQ13">
        <v>0.04</v>
      </c>
      <c r="SR13">
        <v>0.04</v>
      </c>
      <c r="SS13">
        <v>0.04</v>
      </c>
      <c r="ST13">
        <v>0.04</v>
      </c>
      <c r="SU13" s="90">
        <v>0.04</v>
      </c>
      <c r="TI13" s="269" t="s">
        <v>10191</v>
      </c>
      <c r="TJ13" s="270" t="s">
        <v>10532</v>
      </c>
      <c r="TK13" s="271" t="s">
        <v>10532</v>
      </c>
      <c r="TL13" t="s">
        <v>10207</v>
      </c>
      <c r="TM13" s="225" t="str">
        <f>"Minimum of two carbon canisters in series. CEMS and recorder before the last canister. Breakthrough concentration of "&amp;CAS!D19&amp;" ppm. MSS: Same as normal operations."</f>
        <v>Minimum of two carbon canisters in series. CEMS and recorder before the last canister. Breakthrough concentration of  ppm. MSS: Same as normal operations.</v>
      </c>
    </row>
    <row r="14" spans="1:534" ht="74.25" customHeight="1" thickBot="1" x14ac:dyDescent="0.25">
      <c r="A14" s="8" t="s">
        <v>191</v>
      </c>
      <c r="B14" s="8">
        <v>12</v>
      </c>
      <c r="D14" s="8" t="s">
        <v>208</v>
      </c>
      <c r="E14" s="8" t="b">
        <f>IF($D14='PI-1-MarineLoading'!$D$73,TRUE,FALSE)</f>
        <v>0</v>
      </c>
      <c r="W14">
        <f>IF(OR(X14=0,ISNUMBER(MATCH(X14,$X$1:X13,0))),0,MAX($W$1:W13)+1)</f>
        <v>0</v>
      </c>
      <c r="X14" s="123">
        <f>Products!$E61</f>
        <v>0</v>
      </c>
      <c r="Y14" t="str">
        <f t="shared" si="3"/>
        <v/>
      </c>
      <c r="CA14">
        <f>IF(OR(CB14=0,ISNUMBER(MATCH(CB14,$CB$1:CB13,0))),0,MAX($CA$1:CA13)+1)</f>
        <v>0</v>
      </c>
      <c r="CB14" s="8">
        <f>IF(OR(Tank1!$D$18="EXTERNAL FLOATING ROOF",Tank1!$D$18="INTERNAL FLOATING ROOF"),IF(Tank1!$E44="",0,Tank1!$E44),0)</f>
        <v>0</v>
      </c>
      <c r="CC14" s="8" t="str">
        <f t="shared" si="6"/>
        <v/>
      </c>
      <c r="CD14" s="8"/>
      <c r="CE14" s="8">
        <f>IF(OR(CF14=0,ISNUMBER(MATCH(CF14,$CF$1:CF13,0))),0,MAX($CE$1:CE13)+1)</f>
        <v>0</v>
      </c>
      <c r="CF14" s="8">
        <f>IF(OR(Tank1!$D$18="HORIZONTAL FIXED ROOF",Tank1!$D$18="VERTICAL FIXED ROOF"),IF(Tank1!$E44="",0,Tank1!$E44),0)</f>
        <v>0</v>
      </c>
      <c r="CG14" s="8" t="str">
        <f t="shared" si="7"/>
        <v/>
      </c>
      <c r="CJ14">
        <f>IF(OR(CK14=0,ISNUMBER(MATCH(CK14,$CK$1:CK13,0))),0,MAX($CJ$1:CJ13)+1)</f>
        <v>0</v>
      </c>
      <c r="CK14">
        <f>Tank2!$A$54</f>
        <v>0</v>
      </c>
      <c r="CM14">
        <f>IFERROR(VLOOKUP($CK14,Tank2!$A$32:$D$141,3,FALSE),0)</f>
        <v>0</v>
      </c>
      <c r="CN14">
        <f>IFERROR(VLOOKUP($CK14,Tank2!$A$32:$D$141,4,FALSE),0)</f>
        <v>0</v>
      </c>
      <c r="DM14">
        <f>IF(OR(DN14=0,ISNUMBER(MATCH(DN14,$DN$1:DN13,0))),0,MAX($DM$1:DM13)+1)</f>
        <v>0</v>
      </c>
      <c r="DN14">
        <f>IF(Tank2!$D$22="Flare",IFERROR(VLOOKUP(Products!$A$79,Tank2!$A$32:$B$141,1,FALSE),0),0)</f>
        <v>0</v>
      </c>
      <c r="DO14">
        <f>IF($DN14=0,0,VLOOKUP($DN14,Tank2!$A$32:$H$141,7,FALSE))</f>
        <v>0</v>
      </c>
      <c r="DP14">
        <f>IF($DN14=0,0,VLOOKUP($DN14,Tank2!$A$32:$H$141,8,FALSE))</f>
        <v>0</v>
      </c>
      <c r="DU14">
        <f>IF(OR(DV14=0,ISNUMBER(MATCH(DV14,$DV$1:DV13,0))),0,MAX($DU$1:DU13)+1)</f>
        <v>0</v>
      </c>
      <c r="DV14">
        <f>IF(Tank2!$D$22="VCU",IFERROR(VLOOKUP(Products!$A$79,Tank2!$A$32:$B$141,1,FALSE),0),0)</f>
        <v>0</v>
      </c>
      <c r="DW14">
        <f>IF($DV14=0,0,VLOOKUP($DV14,Tank2!$A$32:$H$141,7,FALSE))</f>
        <v>0</v>
      </c>
      <c r="DX14">
        <f>IF($DV14=0,0,VLOOKUP($DV14,Tank2!$A$32:$H$141,8,FALSE))</f>
        <v>0</v>
      </c>
      <c r="EC14">
        <f>IF(OR(ED14=0,ISNUMBER(MATCH(ED14,$ED$1:ED13,0))),0,MAX($EC$1:EC13)+1)</f>
        <v>0</v>
      </c>
      <c r="ED14">
        <f>IF(Tank2!$D$22="vapor oxidizer",IFERROR(VLOOKUP(Products!$A$79,Tank2!$A$32:$B$141,1,FALSE),0),0)</f>
        <v>0</v>
      </c>
      <c r="EE14">
        <f>IF($ED14=0,0,VLOOKUP($ED14,Tank2!$A$32:$H$141,7,FALSE))</f>
        <v>0</v>
      </c>
      <c r="EF14">
        <f>IF($ED14=0,0,VLOOKUP($ED14,Tank2!$A$32:$H$141,8,FALSE))</f>
        <v>0</v>
      </c>
      <c r="EK14">
        <f>IF(OR(EL14=0,ISNUMBER(MATCH(EL14,$EL$1:EL13,0))),0,MAX($EK$1:EK13)+1)</f>
        <v>0</v>
      </c>
      <c r="EL14">
        <f>IF(Tank2!$D$22="CAS",IFERROR(VLOOKUP(Products!A79,Tank2!$A$32:$B$141,1,FALSE),0),0)</f>
        <v>0</v>
      </c>
      <c r="EM14">
        <f>IF($EL14=0,0,VLOOKUP($EL14,Tank2!$A$32:$H$141,7,FALSE))</f>
        <v>0</v>
      </c>
      <c r="EN14">
        <f>IF($EL14=0,0,VLOOKUP($EL14,Tank2!$A$32:$H$141,8,FALSE))</f>
        <v>0</v>
      </c>
      <c r="EX14">
        <f>MSS!$A47</f>
        <v>0</v>
      </c>
      <c r="EY14">
        <f>MSS!$G47*MSS!F$144</f>
        <v>0</v>
      </c>
      <c r="EZ14">
        <f>MSS!$G47*MSS!G$144</f>
        <v>0</v>
      </c>
      <c r="FB14" s="8" t="s">
        <v>381</v>
      </c>
      <c r="FC14" s="8" t="s">
        <v>382</v>
      </c>
      <c r="FD14" s="8">
        <v>2500</v>
      </c>
      <c r="FE14" s="8">
        <v>250</v>
      </c>
      <c r="FG14" s="360" t="str">
        <f t="shared" si="23"/>
        <v/>
      </c>
      <c r="FH14" s="155">
        <f>IF(Tank1!$D$22="NO CONTROL",_xlfn.MAXIFS(Tank1!$G$32:$G$141,Tank1!$E$32:$E$141,$FG14),0)*IFERROR($QR$3,0)</f>
        <v>0</v>
      </c>
      <c r="FI14" s="155">
        <f>_xlfn.MAXIFS(LandEmiss!$AF$20:$AF$119,LandEmiss!$AE$20:$AE$119,$FG14)*IFERROR($QR$3,0)</f>
        <v>0</v>
      </c>
      <c r="FJ14" s="155">
        <f>MAX(_xlfn.MAXIFS(LandEmiss!$CO$20:$CO$119,LandEmiss!$CN$20:$CN$119,$FG14),_xlfn.MAXIFS(LandEmiss!$EZ$9:$EZ$108,LandEmiss!$EY$9:$EY$108,$FG14))*IFERROR($QR$3,0)</f>
        <v>0</v>
      </c>
      <c r="FK14" s="155">
        <f>IF(Tank2!$D$22="NO CONTROL",_xlfn.MAXIFS(Tank2!$G$32:$G$141,Tank2!$E$32:$E$141,$FG14),0)*IFERROR($QR$4,0)</f>
        <v>0</v>
      </c>
      <c r="FL14" s="155">
        <f>_xlfn.MAXIFS(LandEmiss!$AG$20:$AG$119,LandEmiss!$AE$20:$AE$119,$FG14)*IFERROR($QR$4,0)</f>
        <v>0</v>
      </c>
      <c r="FM14" s="155">
        <f>MAX(_xlfn.MAXIFS(LandEmiss!$CP$20:$CP$119,LandEmiss!$CN$20:$CN$119,$FG14),_xlfn.MAXIFS(LandEmiss!$FA$9:$FA$108,LandEmiss!$EY$9:$EY$108,$FG14))*IFERROR($QR$4,0)</f>
        <v>0</v>
      </c>
      <c r="FN14" s="155">
        <f>IF(Tank3!$D$22="NO CONTROL",_xlfn.MAXIFS(Tank3!$G$32:$G$141,Tank3!$E$32:$E$141,$FG14),0)*IFERROR($QR$5,0)</f>
        <v>0</v>
      </c>
      <c r="FO14" s="155">
        <f>_xlfn.MAXIFS(LandEmiss!$AH$20:$AH$119,LandEmiss!$AE$20:$AE$119,$FG14)*IFERROR($QR$5,0)</f>
        <v>0</v>
      </c>
      <c r="FP14" s="155">
        <f>MAX(_xlfn.MAXIFS(LandEmiss!$CQ$20:$CQ$119,LandEmiss!$CN$20:$CN$119,$FG14),_xlfn.MAXIFS(LandEmiss!$FB$9:$FB$108,LandEmiss!$EY$9:$EY$108,$FG14))*IFERROR($QR$5,0)</f>
        <v>0</v>
      </c>
      <c r="FQ14" s="155">
        <f>IF(Tank4!$D$22="NO CONTROL",_xlfn.MAXIFS(Tank4!$G$32:$G$141,Tank4!$E$32:$E$141,$FG14),0)*IFERROR($QR$6,0)</f>
        <v>0</v>
      </c>
      <c r="FR14" s="155">
        <f>_xlfn.MAXIFS(LandEmiss!$AI$20:$AI$119,LandEmiss!$AE$20:$AE$119,$FG14)*IFERROR($QR$6,0)</f>
        <v>0</v>
      </c>
      <c r="FS14" s="155">
        <f>MAX(_xlfn.MAXIFS(LandEmiss!$CR$20:$CR$119,LandEmiss!$CN$20:$CN$119,$FG14),_xlfn.MAXIFS(LandEmiss!$FC$9:$FC$108,LandEmiss!$EY$9:$EY$108,$FG14))*IFERROR($QR$6,0)</f>
        <v>0</v>
      </c>
      <c r="FT14" s="155">
        <f>IF(Tank5!$D$22="NO CONTROL",_xlfn.MAXIFS(Tank5!$G$32:$G$141,Tank5!$E$32:$E$141,$FG14),0)*IFERROR($QR$7,0)</f>
        <v>0</v>
      </c>
      <c r="FU14" s="155">
        <f>_xlfn.MAXIFS(LandEmiss!$AJ$20:$AJ$119,LandEmiss!$AE$20:$AE$119,$FG14)*IFERROR($QR$7,0)</f>
        <v>0</v>
      </c>
      <c r="FV14" s="155">
        <f>MAX(_xlfn.MAXIFS(LandEmiss!$CS$20:$CS$119,LandEmiss!$CN$20:$CN$119,$FG14),_xlfn.MAXIFS(LandEmiss!$FD$9:$FD$108,LandEmiss!$EY$9:$EY$108,$FG14))*IFERROR($QR19,0)</f>
        <v>0</v>
      </c>
      <c r="FW14" s="155">
        <f>_xlfn.MAXIFS('Load-DrumTote'!$K$27:$K$136,'Load-DrumTote'!$F$27:$F$136,$FG14)*IFERROR($QR$8,0)</f>
        <v>0</v>
      </c>
      <c r="FX14" s="155">
        <f>_xlfn.MAXIFS('Load-Truck'!$K$27:$K$136,'Load-Truck'!$F$27:$F$136,$FG14)*IFERROR($QR$9,0)</f>
        <v>0</v>
      </c>
      <c r="FY14" s="155">
        <f>_xlfn.MAXIFS('Load-Rail'!$K$27:$K$136,'Load-Rail'!$F$27:$F$136,$FG14)*IFERROR($QR$10,0)</f>
        <v>0</v>
      </c>
      <c r="FZ14" s="155">
        <f>_xlfn.MAXIFS('Load-MarineBarge'!$K$27:$K$136,'Load-MarineBarge'!$F$27:$F$136,$FG14)*IFERROR($QR$11,0)</f>
        <v>0</v>
      </c>
      <c r="GA14" s="155">
        <f>_xlfn.MAXIFS('Load-MarineShip'!$K$27:$K$136,'Load-MarineShip'!$F$27:$F$136,$FG14)*IFERROR($QR$12,0)</f>
        <v>0</v>
      </c>
      <c r="GB14" s="313">
        <f>IF(OR(Flare!$D$24="fuel gas",Flare!$D$38="fuel gas"),SUMIF(Flare!$E$97:$E$106,$FG14,Flare!$F$97:$F$106),0)*IFERROR($QR$13,0)</f>
        <v>0</v>
      </c>
      <c r="GC14" s="313">
        <f>(_xlfn.MAXIFS(CtrlDevImpacts!$I$57:$I$156,CtrlDevImpacts!$H$57:$H$156,$FG14))*IFERROR($QR$13,0)</f>
        <v>0</v>
      </c>
      <c r="GD14" s="313">
        <f>(_xlfn.MAXIFS(Flare!$F$107:$F$216,Flare!$E$107:$E$216,$FG14)-_xlfn.MAXIFS(CtrlDevImpacts!$I$57:$I$156,CtrlDevImpacts!$H$57:$H$156,$FG14))*IFERROR($QR$13,0)</f>
        <v>0</v>
      </c>
      <c r="GE14" s="155">
        <f>_xlfn.MAXIFS(LandEmiss!$B$335:$B$434,LandEmiss!$A$335:$A$434,$FG14)*IFERROR($QR$13,0)</f>
        <v>0</v>
      </c>
      <c r="GF14" s="155">
        <f>(_xlfn.MAXIFS(LandEmiss!$BK$335:$BK$434,LandEmiss!$BJ$335:$BJ$434,$FG14)+_xlfn.MAXIFS(LandEmiss!$DV$323:$DV$422,LandEmiss!$DU$323:$DU$422,$FG14))*IFERROR($QR$13,0)</f>
        <v>0</v>
      </c>
      <c r="GG14" s="313">
        <f>IF(OR(VCU!$D$26="fuel gas",VCU!$D$42="fuel gas"),SUMIF(VCU!$E$120:$E$129,$FG14,VCU!$F$120:$F$129),0)*IFERROR($QR$14,0)</f>
        <v>0</v>
      </c>
      <c r="GH14" s="313">
        <f>(_xlfn.MAXIFS(CtrlDevImpacts!$X$57:$X$156,CtrlDevImpacts!$W$57:$W$156,$FG14))*IFERROR($QR$14,0)</f>
        <v>0</v>
      </c>
      <c r="GI14" s="313">
        <f>(_xlfn.MAXIFS(VCU!$F$130:$F$239,VCU!$E$130:$E$239,$FG14)-_xlfn.MAXIFS(CtrlDevImpacts!$X$57:$X$156,CtrlDevImpacts!$W$57:$W$156,$FG14))*IFERROR($QR$14,0)</f>
        <v>0</v>
      </c>
      <c r="GJ14" s="155">
        <f>_xlfn.MAXIFS(LandEmiss!$D$335:$D$434,LandEmiss!$A$335:$A$434,$FG14)*IFERROR($QR$14,0)</f>
        <v>0</v>
      </c>
      <c r="GK14" s="155">
        <f>(_xlfn.MAXIFS(LandEmiss!$BM$335:$BM$434,LandEmiss!$BJ$335:$BJ$434,$FG14)+_xlfn.MAXIFS(LandEmiss!$DX$323:$DX$422,LandEmiss!$DU$323:$DU$422,$FG14))*IFERROR($QR$14,0)</f>
        <v>0</v>
      </c>
      <c r="GL14" s="313">
        <f>IF(VaporOxidizer!D45="FUEL GAS",SUMIF(VaporOxidizer!$E$101:$E$110,$FG14,VaporOxidizer!$F$101:$F$110),0)*IFERROR($QR$15,0)</f>
        <v>0</v>
      </c>
      <c r="GM14" s="313">
        <f>(_xlfn.MAXIFS(CtrlDevImpacts!$AN$57:$AN$156,CtrlDevImpacts!$AM$57:$AM$156,$FG14))*IFERROR($QR$15,0)</f>
        <v>0</v>
      </c>
      <c r="GN14" s="313">
        <f>(_xlfn.MAXIFS(VaporOxidizer!$F$111:$F$220,VaporOxidizer!$E$111:$E$220,$FG14)-_xlfn.MAXIFS(CtrlDevImpacts!$AN$57:$AN$156,CtrlDevImpacts!$AM$57:$AM$156,$FG14))*IFERROR($QR$15,0)</f>
        <v>0</v>
      </c>
      <c r="GO14" s="155">
        <f>_xlfn.MAXIFS(LandEmiss!$F$335:$F$434,LandEmiss!$A$335:$A$434,$FG14)*IFERROR($QR$15,0)</f>
        <v>0</v>
      </c>
      <c r="GP14" s="155">
        <f>(_xlfn.MAXIFS(LandEmiss!$BK$335:$BK$434,LandEmiss!$BO$335:$BO$434,$FG14)+_xlfn.MAXIFS(LandEmiss!$DZ$323:$DZ$422,LandEmiss!$DU$323:$DU$422,$FG14))*IFERROR($QR$15,0)</f>
        <v>0</v>
      </c>
      <c r="GQ14" s="313">
        <f>_xlfn.MAXIFS(CtrlDevImpacts!$BD$57:$BD$156,CtrlDevImpacts!$BC$57:$BC$156,$FG14)*IFERROR(Hidden!$QR$16,0)</f>
        <v>0</v>
      </c>
      <c r="GR14" s="313">
        <f>(_xlfn.MAXIFS(CAS!$H$35:$H$144,CAS!$E$35:$E$144,$FG14)-_xlfn.MAXIFS(CtrlDevImpacts!$BD$57:$BD$156,CtrlDevImpacts!$BC$57:$BC$156,$FG14))*IFERROR(Hidden!$QR$16,0)</f>
        <v>0</v>
      </c>
      <c r="GS14" s="155">
        <f>_xlfn.MAXIFS(LandEmiss!$H$335:$H$434,LandEmiss!$A$335:$A$434,$FG14)*IFERROR($QR$27,0)</f>
        <v>0</v>
      </c>
      <c r="GT14" s="155">
        <f>(_xlfn.MAXIFS(LandEmiss!$BK$335:$BK$434,LandEmiss!$BQ$335:$BQ$434,$FG14)+_xlfn.MAXIFS(LandEmiss!$EB$323:$EB$422,LandEmiss!$DU$323:$DU$422,$FG14))*IFERROR($QR$27,0)</f>
        <v>0</v>
      </c>
      <c r="GU14" s="155">
        <f>_xlfn.MAXIFS(LandEmiss!$J$335:$J$434,LandEmiss!$A$335:$A$434,$FG14)*IFERROR($QR$26,0)</f>
        <v>0</v>
      </c>
      <c r="GV14" s="155">
        <f>(_xlfn.MAXIFS(LandEmiss!$BK$335:$BK$434,LandEmiss!$BS$335:$BS$434,$FG14)+_xlfn.MAXIFS(LandEmiss!$ED$323:$ED$422,LandEmiss!$DU$323:$DU$422,$FG14))*IFERROR($QR$26,0)</f>
        <v>0</v>
      </c>
      <c r="GW14" s="155">
        <f>_xlfn.MAXIFS(LandEmiss!$L$335:$L$434,LandEmiss!$A$335:$A$434,$FG14)*IFERROR($QR$25,0)</f>
        <v>0</v>
      </c>
      <c r="GX14" s="155">
        <f>(_xlfn.MAXIFS(LandEmiss!$BK$335:$BK$434,LandEmiss!$BU$335:$BU$434,$FG14)+_xlfn.MAXIFS(LandEmiss!$EF$323:$EF$422,LandEmiss!$DU$323:$DU$422,$FG14))*IFERROR($QR$25,0)</f>
        <v>0</v>
      </c>
      <c r="GY14" s="155">
        <v>0</v>
      </c>
      <c r="GZ14" s="155">
        <v>0</v>
      </c>
      <c r="HA14" s="155">
        <f>IF(OR(HeaterBoiler1!$E$26&lt;&gt;"fuel gas",HeaterBoiler1!$E$15&lt;&gt;"heater"),0,SUMIF(HeaterBoiler1!$A$54:$D$63,$FG14,HeaterBoiler1!$I$54:$I$63))*IFERROR($QR$19,0)</f>
        <v>0</v>
      </c>
      <c r="HB14" s="207">
        <f>IF(OR(HeaterBoiler2!$E$26&lt;&gt;"fuel gas",HeaterBoiler2!$E$15&lt;&gt;"heater"),0,SUMIF(HeaterBoiler2!$A$54:$D$63,$FG14,HeaterBoiler2!$I$54:$I$63))*IFERROR($QR$21,0)</f>
        <v>0</v>
      </c>
      <c r="HC14" s="155">
        <f>IF(OR(HeaterBoiler1!$E$26&lt;&gt;"fuel gas",HeaterBoiler1!$E$15&lt;&gt;"boiler"),0,SUMIF(HeaterBoiler1!$A$41:$A$50,$FG14,HeaterBoiler1!$F$41:$F$50))*IFERROR($QR$20,0)</f>
        <v>0</v>
      </c>
      <c r="HD14" s="207">
        <f>IF(OR(HeaterBoiler2!$E$26&lt;&gt;"fuel gas",HeaterBoiler2!$E$15&lt;&gt;"boiler"),0,SUMIF(HeaterBoiler2!$A$41:$A$50,$FG14,HeaterBoiler2!$F$41:$F$50))*IFERROR($QR$22,0)</f>
        <v>0</v>
      </c>
      <c r="HE14" s="155">
        <f>SUMIF(Fug!$A$96:$A$205,$FG14,Fug!$I$96:$I$205)*IFERROR(Hidden!$QR$23,0)</f>
        <v>0</v>
      </c>
      <c r="HF14" s="155">
        <f t="shared" si="24"/>
        <v>0</v>
      </c>
      <c r="HG14" s="156">
        <f t="shared" si="25"/>
        <v>0</v>
      </c>
      <c r="HH14" s="156">
        <f t="shared" si="26"/>
        <v>0</v>
      </c>
      <c r="HI14" s="156">
        <f t="shared" si="27"/>
        <v>0</v>
      </c>
      <c r="HJ14" s="156">
        <f t="shared" si="28"/>
        <v>0</v>
      </c>
      <c r="HK14" s="156">
        <f t="shared" si="29"/>
        <v>0</v>
      </c>
      <c r="HL14" s="156">
        <f t="shared" si="30"/>
        <v>0</v>
      </c>
      <c r="NO14" s="155">
        <f>IF(Tank1!$D$22="No control",(SUMIF(Tank1!$E$32:$E$141,$FG14,Tank1!$H$32:$H$141)*(2000/8760)*IFERROR($QV$3,0)),0)</f>
        <v>0</v>
      </c>
      <c r="NP14" s="156">
        <f>SUMIF(LandEmiss!$AE$20:$AE$119,$FG14,LandEmiss!$AK$20:$AK$119)*(2000/8760)*IFERROR($QV$3,0)</f>
        <v>0</v>
      </c>
      <c r="NQ14" s="156">
        <f>(SUMIF(LandEmiss!$CN$20:$CN$119,$FG14,LandEmiss!$CT$20:$CT$119)+SUMIF(LandEmiss!$EY$9:$EY$108,$FG14,LandEmiss!$FE$9:$FE$108))*IFERROR($QV$3,0)*(2000/8760)</f>
        <v>0</v>
      </c>
      <c r="NR14" s="155">
        <f>IF(Tank2!$D$22="No control",(SUMIF(Tank2!$E$32:$E$141,$FG14,Tank2!$H$32:$H$141)*(2000/8760)*IFERROR($QV$4,0)),0)</f>
        <v>0</v>
      </c>
      <c r="NS14" s="156">
        <f>SUMIF(LandEmiss!$AE$20:$AE$119,$FG14,LandEmiss!$AL$20:$AL$119)*(2000/8760)*IFERROR($QV$4,0)</f>
        <v>0</v>
      </c>
      <c r="NT14" s="156">
        <f>(SUMIF(LandEmiss!$CN$20:$CN$119,$FG14,LandEmiss!$CU$20:$CU$119)+SUMIF(LandEmiss!$EY$9:$EY$108,$FG14,LandEmiss!$FF$9:$FF$108))*IFERROR($QV$4,0)*(2000/8760)</f>
        <v>0</v>
      </c>
      <c r="NU14" s="155">
        <f>IF(Tank3!$D$22="No control",(SUMIF(Tank3!$E$32:$E$141,$FG14,Tank3!$H$32:$H$141)*(2000/8760)*IFERROR($QV$5,0)),0)</f>
        <v>0</v>
      </c>
      <c r="NV14" s="156">
        <f>SUMIF(LandEmiss!$AE$20:$AE$119,$FG14,LandEmiss!$AM$20:$AM$119)*(2000/8760)*IFERROR($QV$5,0)</f>
        <v>0</v>
      </c>
      <c r="NW14" s="156">
        <f>(SUMIF(LandEmiss!$CN$20:$CN$119,$FG14,LandEmiss!$CV$20:$CV$119)+SUMIF(LandEmiss!$EY$9:$EY$108,$FG14,LandEmiss!$FG$9:$FG$108))*IFERROR($QV$5,0)*(2000/8760)</f>
        <v>0</v>
      </c>
      <c r="NX14" s="155">
        <f>IF(Tank4!$D$22="No control",(SUMIF(Tank4!$E$32:$E$141,$FG14,Tank4!$H$32:$H$141)*(2000/8760)*IFERROR($QV$6,0)),0)</f>
        <v>0</v>
      </c>
      <c r="NY14" s="156">
        <f>SUMIF(LandEmiss!$AE$20:$AE$119,$FG14,LandEmiss!$AN$20:$AN$119)*(2000/8760)*IFERROR($QV$6,0)</f>
        <v>0</v>
      </c>
      <c r="NZ14" s="156">
        <f>(SUMIF(LandEmiss!$CN$20:$CN$119,$FG14,LandEmiss!$CW$20:$CW$119)+SUMIF(LandEmiss!$EY$9:$EY$108,$FG14,LandEmiss!$FH$9:$FH$108))*IFERROR($QV$6,0)*(2000/8760)</f>
        <v>0</v>
      </c>
      <c r="OA14" s="155">
        <f>IF(Tank5!$D$22="No control",(SUMIF(Tank5!$E$32:$E$141,$FG14,Tank5!$H$32:$H$141)*(2000/8760)*IFERROR($QV$7,0)),0)</f>
        <v>0</v>
      </c>
      <c r="OB14" s="156">
        <f>SUMIF(LandEmiss!$AE$20:$AE$119,$FG14,LandEmiss!$AO$20:$AO$119)*(2000/8760)*IFERROR($QV$7,0)</f>
        <v>0</v>
      </c>
      <c r="OC14" s="156">
        <f>(SUMIF(LandEmiss!$CN$20:$CN$119,$FG14,LandEmiss!$CX$20:$CX$119)+SUMIF(LandEmiss!$EY$9:$EY$108,$FG14,LandEmiss!$FI$9:$FI$108))*IFERROR($QV$7,0)*(2000/8760)</f>
        <v>0</v>
      </c>
      <c r="OD14" s="155">
        <f>SUMIFS('Load-DrumTote'!$L$27:$L$136,'Load-DrumTote'!$F$27:$F$136,$FG14)*IFERROR($QV$8,0)*(2000/8760)</f>
        <v>0</v>
      </c>
      <c r="OE14" s="155">
        <f>SUMIFS('Load-Truck'!$L$27:$L$136,'Load-Truck'!$F$27:$F$136,$FG14)*IFERROR($QV$9,0)*(2000/8760)</f>
        <v>0</v>
      </c>
      <c r="OF14" s="155">
        <f>SUMIFS('Load-Rail'!$L$27:$L$136,'Load-Rail'!$F$27:$F$136,$FG14)*IFERROR($QV$10,0)*(2000/8760)</f>
        <v>0</v>
      </c>
      <c r="OG14" s="155">
        <f>SUMIFS('Load-MarineBarge'!$L$27:$L$136,'Load-MarineBarge'!$F$27:$F$136,$FG14)*IFERROR($QV$11,0)*(2000/8760)</f>
        <v>0</v>
      </c>
      <c r="OH14" s="155">
        <f>SUMIFS('Load-MarineShip'!$L$27:$L$136,'Load-MarineShip'!$F$27:$F$136,$FG14)*IFERROR($QV$12,0)*(2000/8760)</f>
        <v>0</v>
      </c>
      <c r="OI14" s="155">
        <f>(IF(OR(Flare!$D$24="FUEL GAS",Flare!$D$38="FUEL GAS"),SUMIF(Flare!$E$97:$E$106,$FG14,Flare!$G$97:$G$105),0)+SUMIF(Flare!$E$107:$E$216,$FG14,Flare!$G$107:$G$216))*(2000/8730)*IFERROR($QV$13,0)</f>
        <v>0</v>
      </c>
      <c r="OJ14" s="155">
        <f>SUMIF(LandEmiss!$A$335:$A$434,$FG14,LandEmiss!$C$335:$C$434)*(2000/8760)*IFERROR($QV$13,0)</f>
        <v>0</v>
      </c>
      <c r="OK14" s="155">
        <f>(SUMIF(LandEmiss!$BJ$335:$BJ$434,$FG14,LandEmiss!$BL$335:$BL$434)+SUMIF(LandEmiss!$DU$323:$DU$422,$FG14,LandEmiss!$DW$323:$DW$422))*(2000/8760)*IFERROR($QV$13,0)</f>
        <v>0</v>
      </c>
      <c r="OL14" s="155">
        <f>(IF(OR(VCU!$D$26="FUEL GAS",VCU!$D$42="FUEL GAS"),SUMIF(VCU!$E$120:$E$129,$FG14,VCU!$G$120:$G$129),0)+SUMIF(VCU!$E$130:$E$239,$FG14,VCU!G142:G251))*(2000/8760)*IFERROR($QV$14,0)</f>
        <v>0</v>
      </c>
      <c r="OM14" s="155">
        <f>SUMIF(LandEmiss!$A$335:$A$434,$FG14,LandEmiss!$E$335:$E$434)*(2000/8760)*IFERROR($QV$14,0)</f>
        <v>0</v>
      </c>
      <c r="ON14" s="155">
        <f>(SUMIF(LandEmiss!$BJ$335:$BJ$434,$FG14,LandEmiss!$BN$335:$BN$434)+SUMIF(LandEmiss!$DU$323:$DU$422,$FG14,LandEmiss!$DY$323:$DY$422))*(2000/8760)*IFERROR($QV$14,0)</f>
        <v>0</v>
      </c>
      <c r="OO14" s="155">
        <f>(IF(VaporOxidizer!$D$33="FUEL GAS",SUMIF(VaporOxidizer!$E$101:$E$110,$FG14,VaporOxidizer!$G$101:$G$110),0)+SUMIF(VaporOxidizer!$E$111:$E$220,$FG14,VaporOxidizer!$G$111:$G$220))*(2000/8760)*IFERROR($QV$15,0)</f>
        <v>0</v>
      </c>
      <c r="OP14" s="155">
        <f>SUMIF(LandEmiss!$A$335:$A$434,$FG14,LandEmiss!$G$335:$G$434)*(2000/8760)*IFERROR($QV$15,0)</f>
        <v>0</v>
      </c>
      <c r="OQ14" s="155">
        <f>(SUMIF(LandEmiss!$BJ$335:$BJ$434,$FG14,LandEmiss!$BP$335:$BP$434)+SUMIF(LandEmiss!$DU$323:$DU$422,$FG14,LandEmiss!$EA$323:$EA$422))*(2000/8760)*IFERROR($QV$15,0)</f>
        <v>0</v>
      </c>
      <c r="OR14" s="155">
        <f>SUMIF(CAS!$E$35:$E$144,Hidden!$FG14,CAS!$I$35:$I$144)*IFERROR($QV$16,0)*(2000/8760)</f>
        <v>0</v>
      </c>
      <c r="OS14" s="155">
        <f>SUMIF(LandEmiss!$A$335:$A$434,$FG14,LandEmiss!$I$335:$I$434)*(2000/8760)*IFERROR($QV$27,0)</f>
        <v>0</v>
      </c>
      <c r="OT14" s="155">
        <f>(SUMIF(LandEmiss!$BJ$335:$BJ$434,$FG14,LandEmiss!$BR$335:$BR$434)+SUMIF(LandEmiss!$DU$323:$DU$422,$FG14,LandEmiss!$EC$323:$EC$422))*(2000/8760)*IFERROR($QV$27,0)</f>
        <v>0</v>
      </c>
      <c r="OU14" s="155">
        <f>SUMIF(LandEmiss!$A$335:$A$434,$FG14,LandEmiss!$K$335:$K$434)*(2000/8760)*IFERROR($QV$26,0)</f>
        <v>0</v>
      </c>
      <c r="OV14" s="155">
        <f>(SUMIF(LandEmiss!$BJ$335:$BJ$434,$FG14,LandEmiss!$BT$335:$BT$434)+SUMIF(LandEmiss!$DU$323:$DU$422,$FG14,LandEmiss!$EE$323:$EE$422))*(2000/8760)*IFERROR($QV$26,0)</f>
        <v>0</v>
      </c>
      <c r="OW14" s="155">
        <f>SUMIF(LandEmiss!$A$335:$A$434,$FG14,LandEmiss!$M$335:$M$434)*(2000/8760)*IFERROR($QV$25,0)</f>
        <v>0</v>
      </c>
      <c r="OX14" s="155">
        <f>(SUMIF(LandEmiss!$BJ$335:$BJ$434,$FG14,LandEmiss!$BV$335:$BV$434)+SUMIF(LandEmiss!$DU$323:$DU$422,$FG14,LandEmiss!$EG$323:$EG$422))*(2000/8760)*IFERROR($QV$25,0)</f>
        <v>0</v>
      </c>
      <c r="OY14" s="8">
        <v>0</v>
      </c>
      <c r="OZ14" s="207">
        <v>0</v>
      </c>
      <c r="PA14" s="207">
        <f>IF(OR(HeaterBoiler1!$E$26&lt;&gt;"fuel gas",HeaterBoiler1!$E$15&lt;&gt;"heater"),0,(SUMIF(HeaterBoiler1!$A$54:$D$63,$FG14,HeaterBoiler1!$J$54:$J$63))*(2000/8760))*IFERROR($QV$19,0)</f>
        <v>0</v>
      </c>
      <c r="PB14" s="207">
        <f>IF(OR(HeaterBoiler2!$E$26&lt;&gt;"fuel gas",HeaterBoiler2!$E$15&lt;&gt;"heater"),0,(SUMIF(HeaterBoiler2!$A$54:$D$63,$FG14,HeaterBoiler2!$J$54:$J$63))*(2000/8760))*IFERROR($QV$21,0)</f>
        <v>0</v>
      </c>
      <c r="PC14" s="207">
        <f>IF(OR(HeaterBoiler1!$E$26&lt;&gt;"fuel gas",HeaterBoiler1!$E$15&lt;&gt;"boiler"),0,(SUMIF(HeaterBoiler1!$A$54:$D$63,$FG14,HeaterBoiler1!$J$54:$J$63))*(2000/8760))*IFERROR($QV$20,0)</f>
        <v>0</v>
      </c>
      <c r="PD14" s="207">
        <f>IF(OR(HeaterBoiler2!$E$26&lt;&gt;"fuel gas",HeaterBoiler2!$E$15&lt;&gt;"boiler"),0,(SUMIF(HeaterBoiler2!$A$54:$D$63,$FG14,HeaterBoiler2!$J$54:$J$63))*(2000/8760))*IFERROR($QV$22,0)</f>
        <v>0</v>
      </c>
      <c r="PE14" s="8">
        <f>(SUMIF(Fug!$A$96:$A$205,$FG14,Fug!$J$96:$J$205))*IFERROR($QV$23,0)*(2000/8760)</f>
        <v>0</v>
      </c>
      <c r="PF14" s="8">
        <f t="shared" si="31"/>
        <v>0</v>
      </c>
      <c r="PG14" s="156">
        <f t="shared" si="32"/>
        <v>0</v>
      </c>
      <c r="PJ14" s="52" t="str">
        <f>IF(Fug!$F$16=Hidden!$PP$2,"Pumps","Pumps")</f>
        <v>Pumps</v>
      </c>
      <c r="PK14" s="52" t="str">
        <f>IF(Fug!$F$16=Hidden!$PP$2,"Light Oil &gt;20°","Ultra Heavy Liquid")</f>
        <v>Ultra Heavy Liquid</v>
      </c>
      <c r="PL14" s="52">
        <v>1.9E-2</v>
      </c>
      <c r="PM14" s="52">
        <v>1.61E-2</v>
      </c>
      <c r="PN14" s="52">
        <v>4.5999999999999999E-3</v>
      </c>
      <c r="PO14" s="52">
        <v>4.5999999999999999E-3</v>
      </c>
      <c r="PP14" s="52">
        <v>2.8660000000000001E-2</v>
      </c>
      <c r="PQ14" s="52">
        <v>4.2651000000000001E-2</v>
      </c>
      <c r="PR14" s="52">
        <v>2.0100000000000001E-5</v>
      </c>
      <c r="PS14" s="52">
        <v>5.6340000000000001E-2</v>
      </c>
      <c r="PT14" s="52" t="s">
        <v>8779</v>
      </c>
      <c r="PU14" s="52" t="s">
        <v>8781</v>
      </c>
      <c r="PV14" s="52">
        <v>0</v>
      </c>
      <c r="PW14" s="52">
        <v>0.85</v>
      </c>
      <c r="PX14" s="52">
        <v>0.93</v>
      </c>
      <c r="PY14" s="52">
        <v>0.93</v>
      </c>
      <c r="PZ14" s="52">
        <v>0</v>
      </c>
      <c r="QA14" s="52">
        <v>0.93</v>
      </c>
      <c r="QB14" s="52" t="s">
        <v>8779</v>
      </c>
      <c r="QC14" s="52" t="s">
        <v>8808</v>
      </c>
      <c r="QD14" s="52">
        <v>0</v>
      </c>
      <c r="QE14" s="52">
        <v>0</v>
      </c>
      <c r="QF14" s="52">
        <v>0</v>
      </c>
      <c r="QG14" s="52">
        <v>0.3</v>
      </c>
      <c r="QH14" s="52">
        <v>0</v>
      </c>
      <c r="QI14" s="52">
        <v>0</v>
      </c>
      <c r="QK14" s="95" t="s">
        <v>9119</v>
      </c>
      <c r="QM14" s="16" t="s">
        <v>8916</v>
      </c>
      <c r="QN14" s="104" t="e">
        <f t="shared" si="38"/>
        <v>#N/A</v>
      </c>
      <c r="QO14" s="104">
        <f>VCU!D16</f>
        <v>0</v>
      </c>
      <c r="QP14" s="104">
        <f>VCU!D15</f>
        <v>0</v>
      </c>
      <c r="QQ14" s="16" t="str">
        <f>IF(QO14&lt;50,QX11,IF(QO14&lt;60,QX12,QX13))</f>
        <v>VCU40</v>
      </c>
      <c r="QR14" s="16" t="e">
        <f t="shared" si="33"/>
        <v>#N/A</v>
      </c>
      <c r="QS14" s="16" t="e">
        <f t="shared" si="34"/>
        <v>#N/A</v>
      </c>
      <c r="QT14" s="16" t="e">
        <f t="shared" si="35"/>
        <v>#N/A</v>
      </c>
      <c r="QU14" s="16" t="e">
        <f t="shared" si="36"/>
        <v>#N/A</v>
      </c>
      <c r="QV14" s="16" t="e">
        <f t="shared" si="37"/>
        <v>#N/A</v>
      </c>
      <c r="QX14" s="89" t="s">
        <v>9323</v>
      </c>
      <c r="QY14">
        <v>9.8699999999999992</v>
      </c>
      <c r="QZ14">
        <v>9.8699999999999992</v>
      </c>
      <c r="RA14">
        <v>9.8699999999999992</v>
      </c>
      <c r="RB14">
        <v>9.8699999999999992</v>
      </c>
      <c r="RC14">
        <v>9.8699999999999992</v>
      </c>
      <c r="RD14">
        <v>9.8699999999999992</v>
      </c>
      <c r="RE14">
        <v>9.8699999999999992</v>
      </c>
      <c r="RF14">
        <v>8.16</v>
      </c>
      <c r="RG14" s="90">
        <v>6.45</v>
      </c>
      <c r="RH14" s="89" t="s">
        <v>9323</v>
      </c>
      <c r="RI14">
        <v>9.2100000000000009</v>
      </c>
      <c r="RJ14">
        <v>9.2100000000000009</v>
      </c>
      <c r="RK14">
        <v>9.2100000000000009</v>
      </c>
      <c r="RL14">
        <v>9.2100000000000009</v>
      </c>
      <c r="RM14">
        <v>9.2100000000000009</v>
      </c>
      <c r="RN14">
        <v>9.2100000000000009</v>
      </c>
      <c r="RO14">
        <v>9.2100000000000009</v>
      </c>
      <c r="RP14">
        <v>7.87</v>
      </c>
      <c r="RQ14" s="90">
        <v>6.29</v>
      </c>
      <c r="RR14" s="89" t="s">
        <v>9323</v>
      </c>
      <c r="RS14">
        <v>8.8800000000000008</v>
      </c>
      <c r="RT14">
        <v>8.8800000000000008</v>
      </c>
      <c r="RU14">
        <v>8.8800000000000008</v>
      </c>
      <c r="RV14">
        <v>8.8800000000000008</v>
      </c>
      <c r="RW14">
        <v>8.8800000000000008</v>
      </c>
      <c r="RX14">
        <v>8.8800000000000008</v>
      </c>
      <c r="RY14">
        <v>8.8800000000000008</v>
      </c>
      <c r="RZ14">
        <v>7.68</v>
      </c>
      <c r="SA14" s="90">
        <v>6.06</v>
      </c>
      <c r="SB14" s="89" t="s">
        <v>9323</v>
      </c>
      <c r="SC14">
        <v>5.89</v>
      </c>
      <c r="SD14">
        <v>5.89</v>
      </c>
      <c r="SE14">
        <v>5.89</v>
      </c>
      <c r="SF14">
        <v>5.89</v>
      </c>
      <c r="SG14">
        <v>5.89</v>
      </c>
      <c r="SH14">
        <v>5.89</v>
      </c>
      <c r="SI14">
        <v>5.89</v>
      </c>
      <c r="SJ14">
        <v>5.47</v>
      </c>
      <c r="SK14" s="90">
        <v>4.24</v>
      </c>
      <c r="SL14" s="89" t="s">
        <v>9323</v>
      </c>
      <c r="SM14">
        <v>0.61</v>
      </c>
      <c r="SN14">
        <v>0.61</v>
      </c>
      <c r="SO14">
        <v>0.61</v>
      </c>
      <c r="SP14">
        <v>0.61</v>
      </c>
      <c r="SQ14">
        <v>0.61</v>
      </c>
      <c r="SR14">
        <v>0.61</v>
      </c>
      <c r="SS14">
        <v>0.61</v>
      </c>
      <c r="ST14">
        <v>0.56999999999999995</v>
      </c>
      <c r="SU14" s="90">
        <v>0.49</v>
      </c>
      <c r="TL14" t="s">
        <v>8916</v>
      </c>
      <c r="TM14" s="225" t="str">
        <f>VCU!D23*100&amp;"% destruction efficiency. Monitor temperature. Perform initial test. MSS: Same as normal operations."</f>
        <v>0% destruction efficiency. Monitor temperature. Perform initial test. MSS: Same as normal operations.</v>
      </c>
    </row>
    <row r="15" spans="1:534" ht="74.25" customHeight="1" x14ac:dyDescent="0.2">
      <c r="A15" s="8" t="s">
        <v>192</v>
      </c>
      <c r="B15" s="8">
        <v>14</v>
      </c>
      <c r="D15" s="8" t="s">
        <v>210</v>
      </c>
      <c r="E15" s="8" t="b">
        <f>IF($D15='PI-1-MarineLoading'!$D$73,TRUE,FALSE)</f>
        <v>0</v>
      </c>
      <c r="W15">
        <f>IF(OR(X15=0,ISNUMBER(MATCH(X15,$X$1:X14,0))),0,MAX($W$1:W14)+1)</f>
        <v>0</v>
      </c>
      <c r="X15" s="123">
        <f>Products!$E62</f>
        <v>0</v>
      </c>
      <c r="Y15" t="str">
        <f t="shared" si="3"/>
        <v/>
      </c>
      <c r="CA15">
        <f>IF(OR(CB15=0,ISNUMBER(MATCH(CB15,$CB$1:CB14,0))),0,MAX($CA$1:CA14)+1)</f>
        <v>0</v>
      </c>
      <c r="CB15" s="8">
        <f>IF(OR(Tank1!$D$18="EXTERNAL FLOATING ROOF",Tank1!$D$18="INTERNAL FLOATING ROOF"),IF(Tank1!$E45="",0,Tank1!$E45),0)</f>
        <v>0</v>
      </c>
      <c r="CC15" s="8" t="str">
        <f t="shared" si="6"/>
        <v/>
      </c>
      <c r="CD15" s="8"/>
      <c r="CE15" s="8">
        <f>IF(OR(CF15=0,ISNUMBER(MATCH(CF15,$CF$1:CF14,0))),0,MAX($CE$1:CE14)+1)</f>
        <v>0</v>
      </c>
      <c r="CF15" s="8">
        <f>IF(OR(Tank1!$D$18="HORIZONTAL FIXED ROOF",Tank1!$D$18="VERTICAL FIXED ROOF"),IF(Tank1!$E45="",0,Tank1!$E45),0)</f>
        <v>0</v>
      </c>
      <c r="CG15" s="8" t="str">
        <f t="shared" si="7"/>
        <v/>
      </c>
      <c r="CJ15">
        <f>IF(OR(CK15=0,ISNUMBER(MATCH(CK15,$CK$1:CK14,0))),0,MAX($CJ$1:CJ14)+1)</f>
        <v>0</v>
      </c>
      <c r="CK15">
        <f>Tank2!$A$65</f>
        <v>0</v>
      </c>
      <c r="CM15">
        <f>IFERROR(VLOOKUP($CK15,Tank2!$A$32:$D$141,3,FALSE),0)</f>
        <v>0</v>
      </c>
      <c r="CN15">
        <f>IFERROR(VLOOKUP($CK15,Tank2!$A$32:$D$141,4,FALSE),0)</f>
        <v>0</v>
      </c>
      <c r="DM15">
        <f>IF(OR(DN15=0,ISNUMBER(MATCH(DN15,$DN$1:DN14,0))),0,MAX($DM$1:DM14)+1)</f>
        <v>0</v>
      </c>
      <c r="DN15">
        <f>IF(Tank2!$D$22="Flare",IFERROR(VLOOKUP(Products!$A$89,Tank2!$A$32:$B$141,1,FALSE),0),0)</f>
        <v>0</v>
      </c>
      <c r="DO15">
        <f>IF($DN15=0,0,VLOOKUP($DN15,Tank2!$A$32:$H$141,7,FALSE))</f>
        <v>0</v>
      </c>
      <c r="DP15">
        <f>IF($DN15=0,0,VLOOKUP($DN15,Tank2!$A$32:$H$141,8,FALSE))</f>
        <v>0</v>
      </c>
      <c r="DU15">
        <f>IF(OR(DV15=0,ISNUMBER(MATCH(DV15,$DV$1:DV14,0))),0,MAX($DU$1:DU14)+1)</f>
        <v>0</v>
      </c>
      <c r="DV15">
        <f>IF(Tank2!$D$22="VCU",IFERROR(VLOOKUP(Products!$A$89,Tank2!$A$32:$B$141,1,FALSE),0),0)</f>
        <v>0</v>
      </c>
      <c r="DW15">
        <f>IF($DV15=0,0,VLOOKUP($DV15,Tank2!$A$32:$H$141,7,FALSE))</f>
        <v>0</v>
      </c>
      <c r="DX15">
        <f>IF($DV15=0,0,VLOOKUP($DV15,Tank2!$A$32:$H$141,8,FALSE))</f>
        <v>0</v>
      </c>
      <c r="EC15">
        <f>IF(OR(ED15=0,ISNUMBER(MATCH(ED15,$ED$1:ED14,0))),0,MAX($EC$1:EC14)+1)</f>
        <v>0</v>
      </c>
      <c r="ED15">
        <f>IF(Tank2!$D$22="vapor oxidizer",IFERROR(VLOOKUP(Products!$A$89,Tank2!$A$32:$B$141,1,FALSE),0),0)</f>
        <v>0</v>
      </c>
      <c r="EE15">
        <f>IF($ED15=0,0,VLOOKUP($ED15,Tank2!$A$32:$H$141,7,FALSE))</f>
        <v>0</v>
      </c>
      <c r="EF15">
        <f>IF($ED15=0,0,VLOOKUP($ED15,Tank2!$A$32:$H$141,8,FALSE))</f>
        <v>0</v>
      </c>
      <c r="EK15">
        <f>IF(OR(EL15=0,ISNUMBER(MATCH(EL15,$EL$1:EL14,0))),0,MAX($EK$1:EK14)+1)</f>
        <v>0</v>
      </c>
      <c r="EL15">
        <f>IF(Tank2!$D$22="CAS",IFERROR(VLOOKUP(Products!A89,Tank2!$A$32:$B$141,1,FALSE),0),0)</f>
        <v>0</v>
      </c>
      <c r="EM15">
        <f>IF($EL15=0,0,VLOOKUP($EL15,Tank2!$A$32:$H$141,7,FALSE))</f>
        <v>0</v>
      </c>
      <c r="EN15">
        <f>IF($EL15=0,0,VLOOKUP($EL15,Tank2!$A$32:$H$141,8,FALSE))</f>
        <v>0</v>
      </c>
      <c r="EX15">
        <f>MSS!$A48</f>
        <v>0</v>
      </c>
      <c r="EY15">
        <f>MSS!$G48*MSS!F$144</f>
        <v>0</v>
      </c>
      <c r="EZ15">
        <f>MSS!$G48*MSS!G$144</f>
        <v>0</v>
      </c>
      <c r="FB15" s="8" t="s">
        <v>383</v>
      </c>
      <c r="FC15" s="8" t="s">
        <v>384</v>
      </c>
      <c r="FD15" s="8">
        <v>2340</v>
      </c>
      <c r="FE15" s="8">
        <v>234</v>
      </c>
      <c r="FG15" s="360" t="str">
        <f t="shared" si="23"/>
        <v/>
      </c>
      <c r="FH15" s="155">
        <f>IF(Tank1!$D$22="NO CONTROL",_xlfn.MAXIFS(Tank1!$G$32:$G$141,Tank1!$E$32:$E$141,$FG15),0)*IFERROR($QR$3,0)</f>
        <v>0</v>
      </c>
      <c r="FI15" s="155">
        <f>_xlfn.MAXIFS(LandEmiss!$AF$20:$AF$119,LandEmiss!$AE$20:$AE$119,$FG15)*IFERROR($QR$3,0)</f>
        <v>0</v>
      </c>
      <c r="FJ15" s="155">
        <f>MAX(_xlfn.MAXIFS(LandEmiss!$CO$20:$CO$119,LandEmiss!$CN$20:$CN$119,$FG15),_xlfn.MAXIFS(LandEmiss!$EZ$9:$EZ$108,LandEmiss!$EY$9:$EY$108,$FG15))*IFERROR($QR$3,0)</f>
        <v>0</v>
      </c>
      <c r="FK15" s="155">
        <f>IF(Tank2!$D$22="NO CONTROL",_xlfn.MAXIFS(Tank2!$G$32:$G$141,Tank2!$E$32:$E$141,$FG15),0)*IFERROR($QR$4,0)</f>
        <v>0</v>
      </c>
      <c r="FL15" s="155">
        <f>_xlfn.MAXIFS(LandEmiss!$AG$20:$AG$119,LandEmiss!$AE$20:$AE$119,$FG15)*IFERROR($QR$4,0)</f>
        <v>0</v>
      </c>
      <c r="FM15" s="155">
        <f>MAX(_xlfn.MAXIFS(LandEmiss!$CP$20:$CP$119,LandEmiss!$CN$20:$CN$119,$FG15),_xlfn.MAXIFS(LandEmiss!$FA$9:$FA$108,LandEmiss!$EY$9:$EY$108,$FG15))*IFERROR($QR$4,0)</f>
        <v>0</v>
      </c>
      <c r="FN15" s="155">
        <f>IF(Tank3!$D$22="NO CONTROL",_xlfn.MAXIFS(Tank3!$G$32:$G$141,Tank3!$E$32:$E$141,$FG15),0)*IFERROR($QR$5,0)</f>
        <v>0</v>
      </c>
      <c r="FO15" s="155">
        <f>_xlfn.MAXIFS(LandEmiss!$AH$20:$AH$119,LandEmiss!$AE$20:$AE$119,$FG15)*IFERROR($QR$5,0)</f>
        <v>0</v>
      </c>
      <c r="FP15" s="155">
        <f>MAX(_xlfn.MAXIFS(LandEmiss!$CQ$20:$CQ$119,LandEmiss!$CN$20:$CN$119,$FG15),_xlfn.MAXIFS(LandEmiss!$FB$9:$FB$108,LandEmiss!$EY$9:$EY$108,$FG15))*IFERROR($QR$5,0)</f>
        <v>0</v>
      </c>
      <c r="FQ15" s="155">
        <f>IF(Tank4!$D$22="NO CONTROL",_xlfn.MAXIFS(Tank4!$G$32:$G$141,Tank4!$E$32:$E$141,$FG15),0)*IFERROR($QR$6,0)</f>
        <v>0</v>
      </c>
      <c r="FR15" s="155">
        <f>_xlfn.MAXIFS(LandEmiss!$AI$20:$AI$119,LandEmiss!$AE$20:$AE$119,$FG15)*IFERROR($QR$6,0)</f>
        <v>0</v>
      </c>
      <c r="FS15" s="155">
        <f>MAX(_xlfn.MAXIFS(LandEmiss!$CR$20:$CR$119,LandEmiss!$CN$20:$CN$119,$FG15),_xlfn.MAXIFS(LandEmiss!$FC$9:$FC$108,LandEmiss!$EY$9:$EY$108,$FG15))*IFERROR($QR$6,0)</f>
        <v>0</v>
      </c>
      <c r="FT15" s="155">
        <f>IF(Tank5!$D$22="NO CONTROL",_xlfn.MAXIFS(Tank5!$G$32:$G$141,Tank5!$E$32:$E$141,$FG15),0)*IFERROR($QR$7,0)</f>
        <v>0</v>
      </c>
      <c r="FU15" s="155">
        <f>_xlfn.MAXIFS(LandEmiss!$AJ$20:$AJ$119,LandEmiss!$AE$20:$AE$119,$FG15)*IFERROR($QR$7,0)</f>
        <v>0</v>
      </c>
      <c r="FV15" s="155">
        <f>MAX(_xlfn.MAXIFS(LandEmiss!$CS$20:$CS$119,LandEmiss!$CN$20:$CN$119,$FG15),_xlfn.MAXIFS(LandEmiss!$FD$9:$FD$108,LandEmiss!$EY$9:$EY$108,$FG15))*IFERROR($QR20,0)</f>
        <v>0</v>
      </c>
      <c r="FW15" s="155">
        <f>_xlfn.MAXIFS('Load-DrumTote'!$K$27:$K$136,'Load-DrumTote'!$F$27:$F$136,$FG15)*IFERROR($QR$8,0)</f>
        <v>0</v>
      </c>
      <c r="FX15" s="155">
        <f>_xlfn.MAXIFS('Load-Truck'!$K$27:$K$136,'Load-Truck'!$F$27:$F$136,$FG15)*IFERROR($QR$9,0)</f>
        <v>0</v>
      </c>
      <c r="FY15" s="155">
        <f>_xlfn.MAXIFS('Load-Rail'!$K$27:$K$136,'Load-Rail'!$F$27:$F$136,$FG15)*IFERROR($QR$10,0)</f>
        <v>0</v>
      </c>
      <c r="FZ15" s="155">
        <f>_xlfn.MAXIFS('Load-MarineBarge'!$K$27:$K$136,'Load-MarineBarge'!$F$27:$F$136,$FG15)*IFERROR($QR$11,0)</f>
        <v>0</v>
      </c>
      <c r="GA15" s="155">
        <f>_xlfn.MAXIFS('Load-MarineShip'!$K$27:$K$136,'Load-MarineShip'!$F$27:$F$136,$FG15)*IFERROR($QR$12,0)</f>
        <v>0</v>
      </c>
      <c r="GB15" s="313">
        <f>IF(OR(Flare!$D$24="fuel gas",Flare!$D$38="fuel gas"),SUMIF(Flare!$E$97:$E$106,$FG15,Flare!$F$97:$F$106),0)*IFERROR($QR$13,0)</f>
        <v>0</v>
      </c>
      <c r="GC15" s="313">
        <f>(_xlfn.MAXIFS(CtrlDevImpacts!$I$57:$I$156,CtrlDevImpacts!$H$57:$H$156,$FG15))*IFERROR($QR$13,0)</f>
        <v>0</v>
      </c>
      <c r="GD15" s="313">
        <f>(_xlfn.MAXIFS(Flare!$F$107:$F$216,Flare!$E$107:$E$216,$FG15)-_xlfn.MAXIFS(CtrlDevImpacts!$I$57:$I$156,CtrlDevImpacts!$H$57:$H$156,$FG15))*IFERROR($QR$13,0)</f>
        <v>0</v>
      </c>
      <c r="GE15" s="155">
        <f>_xlfn.MAXIFS(LandEmiss!$B$335:$B$434,LandEmiss!$A$335:$A$434,$FG15)*IFERROR($QR$13,0)</f>
        <v>0</v>
      </c>
      <c r="GF15" s="155">
        <f>(_xlfn.MAXIFS(LandEmiss!$BK$335:$BK$434,LandEmiss!$BJ$335:$BJ$434,$FG15)+_xlfn.MAXIFS(LandEmiss!$DV$323:$DV$422,LandEmiss!$DU$323:$DU$422,$FG15))*IFERROR($QR$13,0)</f>
        <v>0</v>
      </c>
      <c r="GG15" s="313">
        <f>IF(OR(VCU!$D$26="fuel gas",VCU!$D$42="fuel gas"),SUMIF(VCU!$E$120:$E$129,$FG15,VCU!$F$120:$F$129),0)*IFERROR($QR$14,0)</f>
        <v>0</v>
      </c>
      <c r="GH15" s="313">
        <f>(_xlfn.MAXIFS(CtrlDevImpacts!$X$57:$X$156,CtrlDevImpacts!$W$57:$W$156,$FG15))*IFERROR($QR$14,0)</f>
        <v>0</v>
      </c>
      <c r="GI15" s="313">
        <f>(_xlfn.MAXIFS(VCU!$F$130:$F$239,VCU!$E$130:$E$239,$FG15)-_xlfn.MAXIFS(CtrlDevImpacts!$X$57:$X$156,CtrlDevImpacts!$W$57:$W$156,$FG15))*IFERROR($QR$14,0)</f>
        <v>0</v>
      </c>
      <c r="GJ15" s="155">
        <f>_xlfn.MAXIFS(LandEmiss!$D$335:$D$434,LandEmiss!$A$335:$A$434,$FG15)*IFERROR($QR$14,0)</f>
        <v>0</v>
      </c>
      <c r="GK15" s="155">
        <f>(_xlfn.MAXIFS(LandEmiss!$BM$335:$BM$434,LandEmiss!$BJ$335:$BJ$434,$FG15)+_xlfn.MAXIFS(LandEmiss!$DX$323:$DX$422,LandEmiss!$DU$323:$DU$422,$FG15))*IFERROR($QR$14,0)</f>
        <v>0</v>
      </c>
      <c r="GL15" s="313">
        <f>IF(VaporOxidizer!D46="FUEL GAS",SUMIF(VaporOxidizer!$E$101:$E$110,$FG15,VaporOxidizer!$F$101:$F$110),0)*IFERROR($QR$15,0)</f>
        <v>0</v>
      </c>
      <c r="GM15" s="313">
        <f>(_xlfn.MAXIFS(CtrlDevImpacts!$AN$57:$AN$156,CtrlDevImpacts!$AM$57:$AM$156,$FG15))*IFERROR($QR$15,0)</f>
        <v>0</v>
      </c>
      <c r="GN15" s="313">
        <f>(_xlfn.MAXIFS(VaporOxidizer!$F$111:$F$220,VaporOxidizer!$E$111:$E$220,$FG15)-_xlfn.MAXIFS(CtrlDevImpacts!$AN$57:$AN$156,CtrlDevImpacts!$AM$57:$AM$156,$FG15))*IFERROR($QR$15,0)</f>
        <v>0</v>
      </c>
      <c r="GO15" s="155">
        <f>_xlfn.MAXIFS(LandEmiss!$F$335:$F$434,LandEmiss!$A$335:$A$434,$FG15)*IFERROR($QR$15,0)</f>
        <v>0</v>
      </c>
      <c r="GP15" s="155">
        <f>(_xlfn.MAXIFS(LandEmiss!$BK$335:$BK$434,LandEmiss!$BO$335:$BO$434,$FG15)+_xlfn.MAXIFS(LandEmiss!$DZ$323:$DZ$422,LandEmiss!$DU$323:$DU$422,$FG15))*IFERROR($QR$15,0)</f>
        <v>0</v>
      </c>
      <c r="GQ15" s="313">
        <f>_xlfn.MAXIFS(CtrlDevImpacts!$BD$57:$BD$156,CtrlDevImpacts!$BC$57:$BC$156,$FG15)*IFERROR(Hidden!$QR$16,0)</f>
        <v>0</v>
      </c>
      <c r="GR15" s="313">
        <f>(_xlfn.MAXIFS(CAS!$H$35:$H$144,CAS!$E$35:$E$144,$FG15)-_xlfn.MAXIFS(CtrlDevImpacts!$BD$57:$BD$156,CtrlDevImpacts!$BC$57:$BC$156,$FG15))*IFERROR(Hidden!$QR$16,0)</f>
        <v>0</v>
      </c>
      <c r="GS15" s="155">
        <f>_xlfn.MAXIFS(LandEmiss!$H$335:$H$434,LandEmiss!$A$335:$A$434,$FG15)*IFERROR($QR$27,0)</f>
        <v>0</v>
      </c>
      <c r="GT15" s="155">
        <f>(_xlfn.MAXIFS(LandEmiss!$BK$335:$BK$434,LandEmiss!$BQ$335:$BQ$434,$FG15)+_xlfn.MAXIFS(LandEmiss!$EB$323:$EB$422,LandEmiss!$DU$323:$DU$422,$FG15))*IFERROR($QR$27,0)</f>
        <v>0</v>
      </c>
      <c r="GU15" s="155">
        <f>_xlfn.MAXIFS(LandEmiss!$J$335:$J$434,LandEmiss!$A$335:$A$434,$FG15)*IFERROR($QR$26,0)</f>
        <v>0</v>
      </c>
      <c r="GV15" s="155">
        <f>(_xlfn.MAXIFS(LandEmiss!$BK$335:$BK$434,LandEmiss!$BS$335:$BS$434,$FG15)+_xlfn.MAXIFS(LandEmiss!$ED$323:$ED$422,LandEmiss!$DU$323:$DU$422,$FG15))*IFERROR($QR$26,0)</f>
        <v>0</v>
      </c>
      <c r="GW15" s="155">
        <f>_xlfn.MAXIFS(LandEmiss!$L$335:$L$434,LandEmiss!$A$335:$A$434,$FG15)*IFERROR($QR$25,0)</f>
        <v>0</v>
      </c>
      <c r="GX15" s="155">
        <f>(_xlfn.MAXIFS(LandEmiss!$BK$335:$BK$434,LandEmiss!$BU$335:$BU$434,$FG15)+_xlfn.MAXIFS(LandEmiss!$EF$323:$EF$422,LandEmiss!$DU$323:$DU$422,$FG15))*IFERROR($QR$25,0)</f>
        <v>0</v>
      </c>
      <c r="GY15" s="155">
        <v>0</v>
      </c>
      <c r="GZ15" s="155">
        <v>0</v>
      </c>
      <c r="HA15" s="155">
        <f>IF(OR(HeaterBoiler1!$E$26&lt;&gt;"fuel gas",HeaterBoiler1!$E$15&lt;&gt;"heater"),0,SUMIF(HeaterBoiler1!$A$54:$D$63,$FG15,HeaterBoiler1!$I$54:$I$63))*IFERROR($QR$19,0)</f>
        <v>0</v>
      </c>
      <c r="HB15" s="207">
        <f>IF(OR(HeaterBoiler2!$E$26&lt;&gt;"fuel gas",HeaterBoiler2!$E$15&lt;&gt;"heater"),0,SUMIF(HeaterBoiler2!$A$54:$D$63,$FG15,HeaterBoiler2!$I$54:$I$63))*IFERROR($QR$21,0)</f>
        <v>0</v>
      </c>
      <c r="HC15" s="155">
        <f>IF(OR(HeaterBoiler1!$E$26&lt;&gt;"fuel gas",HeaterBoiler1!$E$15&lt;&gt;"boiler"),0,SUMIF(HeaterBoiler1!$A$41:$A$50,$FG15,HeaterBoiler1!$F$41:$F$50))*IFERROR($QR$20,0)</f>
        <v>0</v>
      </c>
      <c r="HD15" s="207">
        <f>IF(OR(HeaterBoiler2!$E$26&lt;&gt;"fuel gas",HeaterBoiler2!$E$15&lt;&gt;"boiler"),0,SUMIF(HeaterBoiler2!$A$41:$A$50,$FG15,HeaterBoiler2!$F$41:$F$50))*IFERROR($QR$22,0)</f>
        <v>0</v>
      </c>
      <c r="HE15" s="155">
        <f>SUMIF(Fug!$A$96:$A$205,$FG15,Fug!$I$96:$I$205)*IFERROR(Hidden!$QR$23,0)</f>
        <v>0</v>
      </c>
      <c r="HF15" s="155">
        <f t="shared" si="24"/>
        <v>0</v>
      </c>
      <c r="HG15" s="156">
        <f t="shared" si="25"/>
        <v>0</v>
      </c>
      <c r="HH15" s="156">
        <f t="shared" si="26"/>
        <v>0</v>
      </c>
      <c r="HI15" s="156">
        <f t="shared" si="27"/>
        <v>0</v>
      </c>
      <c r="HJ15" s="156">
        <f t="shared" si="28"/>
        <v>0</v>
      </c>
      <c r="HK15" s="156">
        <f t="shared" si="29"/>
        <v>0</v>
      </c>
      <c r="HL15" s="156">
        <f t="shared" si="30"/>
        <v>0</v>
      </c>
      <c r="NO15" s="155">
        <f>IF(Tank1!$D$22="No control",(SUMIF(Tank1!$E$32:$E$141,$FG15,Tank1!$H$32:$H$141)*(2000/8760)*IFERROR($QV$3,0)),0)</f>
        <v>0</v>
      </c>
      <c r="NP15" s="156">
        <f>SUMIF(LandEmiss!$AE$20:$AE$119,$FG15,LandEmiss!$AK$20:$AK$119)*(2000/8760)*IFERROR($QV$3,0)</f>
        <v>0</v>
      </c>
      <c r="NQ15" s="156">
        <f>(SUMIF(LandEmiss!$CN$20:$CN$119,$FG15,LandEmiss!$CT$20:$CT$119)+SUMIF(LandEmiss!$EY$9:$EY$108,$FG15,LandEmiss!$FE$9:$FE$108))*IFERROR($QV$3,0)*(2000/8760)</f>
        <v>0</v>
      </c>
      <c r="NR15" s="155">
        <f>IF(Tank2!$D$22="No control",(SUMIF(Tank2!$E$32:$E$141,$FG15,Tank2!$H$32:$H$141)*(2000/8760)*IFERROR($QV$4,0)),0)</f>
        <v>0</v>
      </c>
      <c r="NS15" s="156">
        <f>SUMIF(LandEmiss!$AE$20:$AE$119,$FG15,LandEmiss!$AL$20:$AL$119)*(2000/8760)*IFERROR($QV$4,0)</f>
        <v>0</v>
      </c>
      <c r="NT15" s="156">
        <f>(SUMIF(LandEmiss!$CN$20:$CN$119,$FG15,LandEmiss!$CU$20:$CU$119)+SUMIF(LandEmiss!$EY$9:$EY$108,$FG15,LandEmiss!$FF$9:$FF$108))*IFERROR($QV$4,0)*(2000/8760)</f>
        <v>0</v>
      </c>
      <c r="NU15" s="155">
        <f>IF(Tank3!$D$22="No control",(SUMIF(Tank3!$E$32:$E$141,$FG15,Tank3!$H$32:$H$141)*(2000/8760)*IFERROR($QV$5,0)),0)</f>
        <v>0</v>
      </c>
      <c r="NV15" s="156">
        <f>SUMIF(LandEmiss!$AE$20:$AE$119,$FG15,LandEmiss!$AM$20:$AM$119)*(2000/8760)*IFERROR($QV$5,0)</f>
        <v>0</v>
      </c>
      <c r="NW15" s="156">
        <f>(SUMIF(LandEmiss!$CN$20:$CN$119,$FG15,LandEmiss!$CV$20:$CV$119)+SUMIF(LandEmiss!$EY$9:$EY$108,$FG15,LandEmiss!$FG$9:$FG$108))*IFERROR($QV$5,0)*(2000/8760)</f>
        <v>0</v>
      </c>
      <c r="NX15" s="155">
        <f>IF(Tank4!$D$22="No control",(SUMIF(Tank4!$E$32:$E$141,$FG15,Tank4!$H$32:$H$141)*(2000/8760)*IFERROR($QV$6,0)),0)</f>
        <v>0</v>
      </c>
      <c r="NY15" s="156">
        <f>SUMIF(LandEmiss!$AE$20:$AE$119,$FG15,LandEmiss!$AN$20:$AN$119)*(2000/8760)*IFERROR($QV$6,0)</f>
        <v>0</v>
      </c>
      <c r="NZ15" s="156">
        <f>(SUMIF(LandEmiss!$CN$20:$CN$119,$FG15,LandEmiss!$CW$20:$CW$119)+SUMIF(LandEmiss!$EY$9:$EY$108,$FG15,LandEmiss!$FH$9:$FH$108))*IFERROR($QV$6,0)*(2000/8760)</f>
        <v>0</v>
      </c>
      <c r="OA15" s="155">
        <f>IF(Tank5!$D$22="No control",(SUMIF(Tank5!$E$32:$E$141,$FG15,Tank5!$H$32:$H$141)*(2000/8760)*IFERROR($QV$7,0)),0)</f>
        <v>0</v>
      </c>
      <c r="OB15" s="156">
        <f>SUMIF(LandEmiss!$AE$20:$AE$119,$FG15,LandEmiss!$AO$20:$AO$119)*(2000/8760)*IFERROR($QV$7,0)</f>
        <v>0</v>
      </c>
      <c r="OC15" s="156">
        <f>(SUMIF(LandEmiss!$CN$20:$CN$119,$FG15,LandEmiss!$CX$20:$CX$119)+SUMIF(LandEmiss!$EY$9:$EY$108,$FG15,LandEmiss!$FI$9:$FI$108))*IFERROR($QV$7,0)*(2000/8760)</f>
        <v>0</v>
      </c>
      <c r="OD15" s="155">
        <f>SUMIFS('Load-DrumTote'!$L$27:$L$136,'Load-DrumTote'!$F$27:$F$136,$FG15)*IFERROR($QV$8,0)*(2000/8760)</f>
        <v>0</v>
      </c>
      <c r="OE15" s="155">
        <f>SUMIFS('Load-Truck'!$L$27:$L$136,'Load-Truck'!$F$27:$F$136,$FG15)*IFERROR($QV$9,0)*(2000/8760)</f>
        <v>0</v>
      </c>
      <c r="OF15" s="155">
        <f>SUMIFS('Load-Rail'!$L$27:$L$136,'Load-Rail'!$F$27:$F$136,$FG15)*IFERROR($QV$10,0)*(2000/8760)</f>
        <v>0</v>
      </c>
      <c r="OG15" s="155">
        <f>SUMIFS('Load-MarineBarge'!$L$27:$L$136,'Load-MarineBarge'!$F$27:$F$136,$FG15)*IFERROR($QV$11,0)*(2000/8760)</f>
        <v>0</v>
      </c>
      <c r="OH15" s="155">
        <f>SUMIFS('Load-MarineShip'!$L$27:$L$136,'Load-MarineShip'!$F$27:$F$136,$FG15)*IFERROR($QV$12,0)*(2000/8760)</f>
        <v>0</v>
      </c>
      <c r="OI15" s="155">
        <f>(IF(OR(Flare!$D$24="FUEL GAS",Flare!$D$38="FUEL GAS"),SUMIF(Flare!$E$97:$E$106,$FG15,Flare!$G$97:$G$105),0)+SUMIF(Flare!$E$107:$E$216,$FG15,Flare!$G$107:$G$216))*(2000/8730)*IFERROR($QV$13,0)</f>
        <v>0</v>
      </c>
      <c r="OJ15" s="155">
        <f>SUMIF(LandEmiss!$A$335:$A$434,$FG15,LandEmiss!$C$335:$C$434)*(2000/8760)*IFERROR($QV$13,0)</f>
        <v>0</v>
      </c>
      <c r="OK15" s="155">
        <f>(SUMIF(LandEmiss!$BJ$335:$BJ$434,$FG15,LandEmiss!$BL$335:$BL$434)+SUMIF(LandEmiss!$DU$323:$DU$422,$FG15,LandEmiss!$DW$323:$DW$422))*(2000/8760)*IFERROR($QV$13,0)</f>
        <v>0</v>
      </c>
      <c r="OL15" s="155">
        <f>(IF(OR(VCU!$D$26="FUEL GAS",VCU!$D$42="FUEL GAS"),SUMIF(VCU!$E$120:$E$129,$FG15,VCU!$G$120:$G$129),0)+SUMIF(VCU!$E$130:$E$239,$FG15,VCU!G143:G252))*(2000/8760)*IFERROR($QV$14,0)</f>
        <v>0</v>
      </c>
      <c r="OM15" s="155">
        <f>SUMIF(LandEmiss!$A$335:$A$434,$FG15,LandEmiss!$E$335:$E$434)*(2000/8760)*IFERROR($QV$14,0)</f>
        <v>0</v>
      </c>
      <c r="ON15" s="155">
        <f>(SUMIF(LandEmiss!$BJ$335:$BJ$434,$FG15,LandEmiss!$BN$335:$BN$434)+SUMIF(LandEmiss!$DU$323:$DU$422,$FG15,LandEmiss!$DY$323:$DY$422))*(2000/8760)*IFERROR($QV$14,0)</f>
        <v>0</v>
      </c>
      <c r="OO15" s="155">
        <f>(IF(VaporOxidizer!$D$33="FUEL GAS",SUMIF(VaporOxidizer!$E$101:$E$110,$FG15,VaporOxidizer!$G$101:$G$110),0)+SUMIF(VaporOxidizer!$E$111:$E$220,$FG15,VaporOxidizer!$G$111:$G$220))*(2000/8760)*IFERROR($QV$15,0)</f>
        <v>0</v>
      </c>
      <c r="OP15" s="155">
        <f>SUMIF(LandEmiss!$A$335:$A$434,$FG15,LandEmiss!$G$335:$G$434)*(2000/8760)*IFERROR($QV$15,0)</f>
        <v>0</v>
      </c>
      <c r="OQ15" s="155">
        <f>(SUMIF(LandEmiss!$BJ$335:$BJ$434,$FG15,LandEmiss!$BP$335:$BP$434)+SUMIF(LandEmiss!$DU$323:$DU$422,$FG15,LandEmiss!$EA$323:$EA$422))*(2000/8760)*IFERROR($QV$15,0)</f>
        <v>0</v>
      </c>
      <c r="OR15" s="155">
        <f>SUMIF(CAS!$E$35:$E$144,Hidden!$FG15,CAS!$I$35:$I$144)*IFERROR($QV$16,0)*(2000/8760)</f>
        <v>0</v>
      </c>
      <c r="OS15" s="155">
        <f>SUMIF(LandEmiss!$A$335:$A$434,$FG15,LandEmiss!$I$335:$I$434)*(2000/8760)*IFERROR($QV$27,0)</f>
        <v>0</v>
      </c>
      <c r="OT15" s="155">
        <f>(SUMIF(LandEmiss!$BJ$335:$BJ$434,$FG15,LandEmiss!$BR$335:$BR$434)+SUMIF(LandEmiss!$DU$323:$DU$422,$FG15,LandEmiss!$EC$323:$EC$422))*(2000/8760)*IFERROR($QV$27,0)</f>
        <v>0</v>
      </c>
      <c r="OU15" s="155">
        <f>SUMIF(LandEmiss!$A$335:$A$434,$FG15,LandEmiss!$K$335:$K$434)*(2000/8760)*IFERROR($QV$26,0)</f>
        <v>0</v>
      </c>
      <c r="OV15" s="155">
        <f>(SUMIF(LandEmiss!$BJ$335:$BJ$434,$FG15,LandEmiss!$BT$335:$BT$434)+SUMIF(LandEmiss!$DU$323:$DU$422,$FG15,LandEmiss!$EE$323:$EE$422))*(2000/8760)*IFERROR($QV$26,0)</f>
        <v>0</v>
      </c>
      <c r="OW15" s="155">
        <f>SUMIF(LandEmiss!$A$335:$A$434,$FG15,LandEmiss!$M$335:$M$434)*(2000/8760)*IFERROR($QV$25,0)</f>
        <v>0</v>
      </c>
      <c r="OX15" s="155">
        <f>(SUMIF(LandEmiss!$BJ$335:$BJ$434,$FG15,LandEmiss!$BV$335:$BV$434)+SUMIF(LandEmiss!$DU$323:$DU$422,$FG15,LandEmiss!$EG$323:$EG$422))*(2000/8760)*IFERROR($QV$25,0)</f>
        <v>0</v>
      </c>
      <c r="OY15" s="8">
        <v>0</v>
      </c>
      <c r="OZ15" s="207">
        <v>0</v>
      </c>
      <c r="PA15" s="207">
        <f>IF(OR(HeaterBoiler1!$E$26&lt;&gt;"fuel gas",HeaterBoiler1!$E$15&lt;&gt;"heater"),0,(SUMIF(HeaterBoiler1!$A$54:$D$63,$FG15,HeaterBoiler1!$J$54:$J$63))*(2000/8760))*IFERROR($QV$19,0)</f>
        <v>0</v>
      </c>
      <c r="PB15" s="207">
        <f>IF(OR(HeaterBoiler2!$E$26&lt;&gt;"fuel gas",HeaterBoiler2!$E$15&lt;&gt;"heater"),0,(SUMIF(HeaterBoiler2!$A$54:$D$63,$FG15,HeaterBoiler2!$J$54:$J$63))*(2000/8760))*IFERROR($QV$21,0)</f>
        <v>0</v>
      </c>
      <c r="PC15" s="207">
        <f>IF(OR(HeaterBoiler1!$E$26&lt;&gt;"fuel gas",HeaterBoiler1!$E$15&lt;&gt;"boiler"),0,(SUMIF(HeaterBoiler1!$A$54:$D$63,$FG15,HeaterBoiler1!$J$54:$J$63))*(2000/8760))*IFERROR($QV$20,0)</f>
        <v>0</v>
      </c>
      <c r="PD15" s="207">
        <f>IF(OR(HeaterBoiler2!$E$26&lt;&gt;"fuel gas",HeaterBoiler2!$E$15&lt;&gt;"boiler"),0,(SUMIF(HeaterBoiler2!$A$54:$D$63,$FG15,HeaterBoiler2!$J$54:$J$63))*(2000/8760))*IFERROR($QV$22,0)</f>
        <v>0</v>
      </c>
      <c r="PE15" s="8">
        <f>(SUMIF(Fug!$A$96:$A$205,$FG15,Fug!$J$96:$J$205))*IFERROR($QV$23,0)*(2000/8760)</f>
        <v>0</v>
      </c>
      <c r="PF15" s="8">
        <f t="shared" si="31"/>
        <v>0</v>
      </c>
      <c r="PG15" s="156">
        <f t="shared" si="32"/>
        <v>0</v>
      </c>
      <c r="PJ15" s="52" t="str">
        <f>IF(Fug!$F$16=Hidden!$PP$2,"Pumps","Pumps (controlled)")</f>
        <v>Pumps (controlled)</v>
      </c>
      <c r="PK15" s="52" t="str">
        <f>IF(Fug!$F$16=Hidden!$PP$2,"Water/Light Oil","All")</f>
        <v>All</v>
      </c>
      <c r="PL15" s="52">
        <v>0</v>
      </c>
      <c r="PM15" s="52">
        <v>0</v>
      </c>
      <c r="PN15" s="52">
        <v>0</v>
      </c>
      <c r="PO15" s="52">
        <v>0</v>
      </c>
      <c r="PP15" s="52">
        <v>5.1999999999999997E-5</v>
      </c>
      <c r="PQ15" s="52">
        <v>0</v>
      </c>
      <c r="PR15" s="52">
        <v>0</v>
      </c>
      <c r="PS15" s="52">
        <v>0</v>
      </c>
      <c r="PT15" s="52" t="s">
        <v>8779</v>
      </c>
      <c r="PU15" s="52" t="s">
        <v>8776</v>
      </c>
      <c r="PV15" s="52">
        <v>0</v>
      </c>
      <c r="PW15" s="52">
        <v>0</v>
      </c>
      <c r="PX15" s="52">
        <v>0</v>
      </c>
      <c r="PY15" s="52">
        <v>0</v>
      </c>
      <c r="PZ15" s="52">
        <v>0</v>
      </c>
      <c r="QA15" s="52">
        <v>0</v>
      </c>
      <c r="QB15" s="52" t="s">
        <v>8782</v>
      </c>
      <c r="QC15" s="52" t="s">
        <v>8778</v>
      </c>
      <c r="QD15" s="52">
        <v>1</v>
      </c>
      <c r="QE15" s="52">
        <v>1</v>
      </c>
      <c r="QF15" s="52">
        <v>1</v>
      </c>
      <c r="QG15" s="52">
        <v>1</v>
      </c>
      <c r="QH15" s="52">
        <v>1</v>
      </c>
      <c r="QI15" s="52">
        <v>1</v>
      </c>
      <c r="QK15" s="95" t="s">
        <v>9120</v>
      </c>
      <c r="QM15" s="16" t="s">
        <v>9304</v>
      </c>
      <c r="QN15" s="104" t="e">
        <f t="shared" si="38"/>
        <v>#N/A</v>
      </c>
      <c r="QO15" s="104">
        <f>VaporOxidizer!D16</f>
        <v>0</v>
      </c>
      <c r="QP15" s="104">
        <f>VaporOxidizer!D15</f>
        <v>0</v>
      </c>
      <c r="QQ15" s="16" t="str">
        <f>IF(QO14&lt;50,QX11,IF(QO14&lt;60,QX12,QX13))</f>
        <v>VCU40</v>
      </c>
      <c r="QR15" s="16" t="e">
        <f t="shared" si="33"/>
        <v>#N/A</v>
      </c>
      <c r="QS15" s="16" t="e">
        <f t="shared" si="34"/>
        <v>#N/A</v>
      </c>
      <c r="QT15" s="16" t="e">
        <f t="shared" si="35"/>
        <v>#N/A</v>
      </c>
      <c r="QU15" s="16" t="e">
        <f t="shared" si="36"/>
        <v>#N/A</v>
      </c>
      <c r="QV15" s="16" t="e">
        <f t="shared" si="37"/>
        <v>#N/A</v>
      </c>
      <c r="QX15" s="89" t="s">
        <v>9324</v>
      </c>
      <c r="QY15">
        <v>6.98</v>
      </c>
      <c r="QZ15">
        <v>6.98</v>
      </c>
      <c r="RA15">
        <v>6.98</v>
      </c>
      <c r="RB15">
        <v>6.98</v>
      </c>
      <c r="RC15">
        <v>6.98</v>
      </c>
      <c r="RD15">
        <v>6.98</v>
      </c>
      <c r="RE15">
        <v>6.37</v>
      </c>
      <c r="RF15">
        <v>5.88</v>
      </c>
      <c r="RG15" s="90">
        <v>5.07</v>
      </c>
      <c r="RH15" s="89" t="s">
        <v>9324</v>
      </c>
      <c r="RI15">
        <v>5.58</v>
      </c>
      <c r="RJ15">
        <v>5.58</v>
      </c>
      <c r="RK15">
        <v>5.58</v>
      </c>
      <c r="RL15">
        <v>5.58</v>
      </c>
      <c r="RM15">
        <v>5.58</v>
      </c>
      <c r="RN15">
        <v>5.58</v>
      </c>
      <c r="RO15">
        <v>5.58</v>
      </c>
      <c r="RP15">
        <v>5.32</v>
      </c>
      <c r="RQ15" s="90">
        <v>4.7699999999999996</v>
      </c>
      <c r="RR15" s="89" t="s">
        <v>9324</v>
      </c>
      <c r="RS15">
        <v>5.1100000000000003</v>
      </c>
      <c r="RT15">
        <v>5.1100000000000003</v>
      </c>
      <c r="RU15">
        <v>5.1100000000000003</v>
      </c>
      <c r="RV15">
        <v>5.1100000000000003</v>
      </c>
      <c r="RW15">
        <v>5.1100000000000003</v>
      </c>
      <c r="RX15">
        <v>5.1100000000000003</v>
      </c>
      <c r="RY15">
        <v>5.1100000000000003</v>
      </c>
      <c r="RZ15">
        <v>5.04</v>
      </c>
      <c r="SA15" s="90">
        <v>4.63</v>
      </c>
      <c r="SB15" s="89" t="s">
        <v>9324</v>
      </c>
      <c r="SC15">
        <v>3.71</v>
      </c>
      <c r="SD15">
        <v>3.71</v>
      </c>
      <c r="SE15">
        <v>3.71</v>
      </c>
      <c r="SF15">
        <v>3.71</v>
      </c>
      <c r="SG15">
        <v>3.71</v>
      </c>
      <c r="SH15">
        <v>3.71</v>
      </c>
      <c r="SI15">
        <v>3.71</v>
      </c>
      <c r="SJ15">
        <v>3.71</v>
      </c>
      <c r="SK15" s="90">
        <v>3.32</v>
      </c>
      <c r="SL15" s="89" t="s">
        <v>9324</v>
      </c>
      <c r="SM15">
        <v>0.42</v>
      </c>
      <c r="SN15">
        <v>0.42</v>
      </c>
      <c r="SO15">
        <v>0.42</v>
      </c>
      <c r="SP15">
        <v>0.42</v>
      </c>
      <c r="SQ15">
        <v>0.42</v>
      </c>
      <c r="SR15">
        <v>0.42</v>
      </c>
      <c r="SS15">
        <v>0.42</v>
      </c>
      <c r="ST15">
        <v>0.41</v>
      </c>
      <c r="SU15" s="90">
        <v>0.37</v>
      </c>
      <c r="TI15" s="251"/>
      <c r="TJ15" s="249" t="s">
        <v>10502</v>
      </c>
      <c r="TK15" s="250" t="s">
        <v>10503</v>
      </c>
      <c r="TL15" t="s">
        <v>9391</v>
      </c>
      <c r="TM15" s="225" t="str">
        <f>"Meet the requirements of 40 CFR § 60.18. Destruction efficiency of "&amp;Flare!D18*100&amp;"%. No flaring of halogenated compounds is allowed. A flow monitor and a "&amp;Flare!D21&amp;" is required. NOx: "&amp;IF(Flare!D30="",Flare!D34,Flare!D30)&amp;" lb/MMBtu emission factor. SO2: "&amp;IF(Flare!D32="",Flare!D36,Flare!D32)&amp;" lb/MMBtu emission factor. CO: "&amp;IF(Flare!D31="",Flare!D35,Flare!D31)&amp;" lb/MMBtu emission factor. MSS: Same as normal operations."</f>
        <v>Meet the requirements of 40 CFR § 60.18. Destruction efficiency of 0%. No flaring of halogenated compounds is allowed. A flow monitor and a  is required. NOx:  lb/MMBtu emission factor. SO2:  lb/MMBtu emission factor. CO:  lb/MMBtu emission factor. MSS: Same as normal operations.</v>
      </c>
    </row>
    <row r="16" spans="1:534" ht="74.25" customHeight="1" x14ac:dyDescent="0.2">
      <c r="A16" s="8" t="s">
        <v>193</v>
      </c>
      <c r="B16" s="8">
        <v>14</v>
      </c>
      <c r="D16" s="8" t="s">
        <v>211</v>
      </c>
      <c r="E16" s="8" t="b">
        <f>IF($D16='PI-1-MarineLoading'!$D$73,TRUE,FALSE)</f>
        <v>0</v>
      </c>
      <c r="W16">
        <f>IF(OR(X16=0,ISNUMBER(MATCH(X16,$X$1:X15,0))),0,MAX($W$1:W15)+1)</f>
        <v>0</v>
      </c>
      <c r="X16" s="123">
        <f>Products!$E63</f>
        <v>0</v>
      </c>
      <c r="Y16" t="str">
        <f t="shared" si="3"/>
        <v/>
      </c>
      <c r="CA16">
        <f>IF(OR(CB16=0,ISNUMBER(MATCH(CB16,$CB$1:CB15,0))),0,MAX($CA$1:CA15)+1)</f>
        <v>0</v>
      </c>
      <c r="CB16" s="8">
        <f>IF(OR(Tank1!$D$18="EXTERNAL FLOATING ROOF",Tank1!$D$18="INTERNAL FLOATING ROOF"),IF(Tank1!$E46="",0,Tank1!$E46),0)</f>
        <v>0</v>
      </c>
      <c r="CC16" s="8" t="str">
        <f t="shared" si="6"/>
        <v/>
      </c>
      <c r="CD16" s="8"/>
      <c r="CE16" s="8">
        <f>IF(OR(CF16=0,ISNUMBER(MATCH(CF16,$CF$1:CF15,0))),0,MAX($CE$1:CE15)+1)</f>
        <v>0</v>
      </c>
      <c r="CF16" s="8">
        <f>IF(OR(Tank1!$D$18="HORIZONTAL FIXED ROOF",Tank1!$D$18="VERTICAL FIXED ROOF"),IF(Tank1!$E46="",0,Tank1!$E46),0)</f>
        <v>0</v>
      </c>
      <c r="CG16" s="8" t="str">
        <f t="shared" si="7"/>
        <v/>
      </c>
      <c r="CJ16">
        <f>IF(OR(CK16=0,ISNUMBER(MATCH(CK16,$CK$1:CK15,0))),0,MAX($CJ$1:CJ15)+1)</f>
        <v>0</v>
      </c>
      <c r="CK16">
        <f>Tank2!$A$76</f>
        <v>0</v>
      </c>
      <c r="CM16">
        <f>IFERROR(VLOOKUP($CK16,Tank2!$A$32:$D$141,3,FALSE),0)</f>
        <v>0</v>
      </c>
      <c r="CN16">
        <f>IFERROR(VLOOKUP($CK16,Tank2!$A$32:$D$141,4,FALSE),0)</f>
        <v>0</v>
      </c>
      <c r="DM16">
        <f>IF(OR(DN16=0,ISNUMBER(MATCH(DN16,$DN$1:DN15,0))),0,MAX($DM$1:DM15)+1)</f>
        <v>0</v>
      </c>
      <c r="DN16">
        <f>IF(Tank2!$D$22="Flare",IFERROR(VLOOKUP(Products!$A$99,Tank2!$A$32:$B$141,1,FALSE),0),0)</f>
        <v>0</v>
      </c>
      <c r="DO16">
        <f>IF($DN16=0,0,VLOOKUP($DN16,Tank2!$A$32:$H$141,7,FALSE))</f>
        <v>0</v>
      </c>
      <c r="DP16">
        <f>IF($DN16=0,0,VLOOKUP($DN16,Tank2!$A$32:$H$141,8,FALSE))</f>
        <v>0</v>
      </c>
      <c r="DU16">
        <f>IF(OR(DV16=0,ISNUMBER(MATCH(DV16,$DV$1:DV15,0))),0,MAX($DU$1:DU15)+1)</f>
        <v>0</v>
      </c>
      <c r="DV16">
        <f>IF(Tank2!$D$22="VCU",IFERROR(VLOOKUP(Products!$A$99,Tank2!$A$32:$B$141,1,FALSE),0),0)</f>
        <v>0</v>
      </c>
      <c r="DW16">
        <f>IF($DV16=0,0,VLOOKUP($DV16,Tank2!$A$32:$H$141,7,FALSE))</f>
        <v>0</v>
      </c>
      <c r="DX16">
        <f>IF($DV16=0,0,VLOOKUP($DV16,Tank2!$A$32:$H$141,8,FALSE))</f>
        <v>0</v>
      </c>
      <c r="EC16">
        <f>IF(OR(ED16=0,ISNUMBER(MATCH(ED16,$ED$1:ED15,0))),0,MAX($EC$1:EC15)+1)</f>
        <v>0</v>
      </c>
      <c r="ED16">
        <f>IF(Tank2!$D$22="vapor oxidizer",IFERROR(VLOOKUP(Products!$A$99,Tank2!$A$32:$B$141,1,FALSE),0),0)</f>
        <v>0</v>
      </c>
      <c r="EE16">
        <f>IF($ED16=0,0,VLOOKUP($ED16,Tank2!$A$32:$H$141,7,FALSE))</f>
        <v>0</v>
      </c>
      <c r="EF16">
        <f>IF($ED16=0,0,VLOOKUP($ED16,Tank2!$A$32:$H$141,8,FALSE))</f>
        <v>0</v>
      </c>
      <c r="EK16">
        <f>IF(OR(EL16=0,ISNUMBER(MATCH(EL16,$EL$1:EL15,0))),0,MAX($EK$1:EK15)+1)</f>
        <v>0</v>
      </c>
      <c r="EL16">
        <f>IF(Tank2!$D$22="CAS",IFERROR(VLOOKUP(Products!A99,Tank2!$A$32:$B$141,1,FALSE),0),0)</f>
        <v>0</v>
      </c>
      <c r="EM16">
        <f>IF($EL16=0,0,VLOOKUP($EL16,Tank2!$A$32:$H$141,7,FALSE))</f>
        <v>0</v>
      </c>
      <c r="EN16">
        <f>IF($EL16=0,0,VLOOKUP($EL16,Tank2!$A$32:$H$141,8,FALSE))</f>
        <v>0</v>
      </c>
      <c r="EX16">
        <f>MSS!$A49</f>
        <v>0</v>
      </c>
      <c r="EY16">
        <f>MSS!$G49*MSS!F$144</f>
        <v>0</v>
      </c>
      <c r="EZ16">
        <f>MSS!$G49*MSS!G$144</f>
        <v>0</v>
      </c>
      <c r="FB16" s="8" t="s">
        <v>385</v>
      </c>
      <c r="FC16" s="8" t="s">
        <v>386</v>
      </c>
      <c r="FD16" s="8">
        <v>3500</v>
      </c>
      <c r="FE16" s="8">
        <v>350</v>
      </c>
      <c r="FG16" s="360" t="str">
        <f t="shared" si="23"/>
        <v/>
      </c>
      <c r="FH16" s="155">
        <f>IF(Tank1!$D$22="NO CONTROL",_xlfn.MAXIFS(Tank1!$G$32:$G$141,Tank1!$E$32:$E$141,$FG16),0)*IFERROR($QR$3,0)</f>
        <v>0</v>
      </c>
      <c r="FI16" s="155">
        <f>_xlfn.MAXIFS(LandEmiss!$AF$20:$AF$119,LandEmiss!$AE$20:$AE$119,$FG16)*IFERROR($QR$3,0)</f>
        <v>0</v>
      </c>
      <c r="FJ16" s="155">
        <f>MAX(_xlfn.MAXIFS(LandEmiss!$CO$20:$CO$119,LandEmiss!$CN$20:$CN$119,$FG16),_xlfn.MAXIFS(LandEmiss!$EZ$9:$EZ$108,LandEmiss!$EY$9:$EY$108,$FG16))*IFERROR($QR$3,0)</f>
        <v>0</v>
      </c>
      <c r="FK16" s="155">
        <f>IF(Tank2!$D$22="NO CONTROL",_xlfn.MAXIFS(Tank2!$G$32:$G$141,Tank2!$E$32:$E$141,$FG16),0)*IFERROR($QR$4,0)</f>
        <v>0</v>
      </c>
      <c r="FL16" s="155">
        <f>_xlfn.MAXIFS(LandEmiss!$AG$20:$AG$119,LandEmiss!$AE$20:$AE$119,$FG16)*IFERROR($QR$4,0)</f>
        <v>0</v>
      </c>
      <c r="FM16" s="155">
        <f>MAX(_xlfn.MAXIFS(LandEmiss!$CP$20:$CP$119,LandEmiss!$CN$20:$CN$119,$FG16),_xlfn.MAXIFS(LandEmiss!$FA$9:$FA$108,LandEmiss!$EY$9:$EY$108,$FG16))*IFERROR($QR$4,0)</f>
        <v>0</v>
      </c>
      <c r="FN16" s="155">
        <f>IF(Tank3!$D$22="NO CONTROL",_xlfn.MAXIFS(Tank3!$G$32:$G$141,Tank3!$E$32:$E$141,$FG16),0)*IFERROR($QR$5,0)</f>
        <v>0</v>
      </c>
      <c r="FO16" s="155">
        <f>_xlfn.MAXIFS(LandEmiss!$AH$20:$AH$119,LandEmiss!$AE$20:$AE$119,$FG16)*IFERROR($QR$5,0)</f>
        <v>0</v>
      </c>
      <c r="FP16" s="155">
        <f>MAX(_xlfn.MAXIFS(LandEmiss!$CQ$20:$CQ$119,LandEmiss!$CN$20:$CN$119,$FG16),_xlfn.MAXIFS(LandEmiss!$FB$9:$FB$108,LandEmiss!$EY$9:$EY$108,$FG16))*IFERROR($QR$5,0)</f>
        <v>0</v>
      </c>
      <c r="FQ16" s="155">
        <f>IF(Tank4!$D$22="NO CONTROL",_xlfn.MAXIFS(Tank4!$G$32:$G$141,Tank4!$E$32:$E$141,$FG16),0)*IFERROR($QR$6,0)</f>
        <v>0</v>
      </c>
      <c r="FR16" s="155">
        <f>_xlfn.MAXIFS(LandEmiss!$AI$20:$AI$119,LandEmiss!$AE$20:$AE$119,$FG16)*IFERROR($QR$6,0)</f>
        <v>0</v>
      </c>
      <c r="FS16" s="155">
        <f>MAX(_xlfn.MAXIFS(LandEmiss!$CR$20:$CR$119,LandEmiss!$CN$20:$CN$119,$FG16),_xlfn.MAXIFS(LandEmiss!$FC$9:$FC$108,LandEmiss!$EY$9:$EY$108,$FG16))*IFERROR($QR$6,0)</f>
        <v>0</v>
      </c>
      <c r="FT16" s="155">
        <f>IF(Tank5!$D$22="NO CONTROL",_xlfn.MAXIFS(Tank5!$G$32:$G$141,Tank5!$E$32:$E$141,$FG16),0)*IFERROR($QR$7,0)</f>
        <v>0</v>
      </c>
      <c r="FU16" s="155">
        <f>_xlfn.MAXIFS(LandEmiss!$AJ$20:$AJ$119,LandEmiss!$AE$20:$AE$119,$FG16)*IFERROR($QR$7,0)</f>
        <v>0</v>
      </c>
      <c r="FV16" s="155">
        <f>MAX(_xlfn.MAXIFS(LandEmiss!$CS$20:$CS$119,LandEmiss!$CN$20:$CN$119,$FG16),_xlfn.MAXIFS(LandEmiss!$FD$9:$FD$108,LandEmiss!$EY$9:$EY$108,$FG16))*IFERROR($QR21,0)</f>
        <v>0</v>
      </c>
      <c r="FW16" s="155">
        <f>_xlfn.MAXIFS('Load-DrumTote'!$K$27:$K$136,'Load-DrumTote'!$F$27:$F$136,$FG16)*IFERROR($QR$8,0)</f>
        <v>0</v>
      </c>
      <c r="FX16" s="155">
        <f>_xlfn.MAXIFS('Load-Truck'!$K$27:$K$136,'Load-Truck'!$F$27:$F$136,$FG16)*IFERROR($QR$9,0)</f>
        <v>0</v>
      </c>
      <c r="FY16" s="155">
        <f>_xlfn.MAXIFS('Load-Rail'!$K$27:$K$136,'Load-Rail'!$F$27:$F$136,$FG16)*IFERROR($QR$10,0)</f>
        <v>0</v>
      </c>
      <c r="FZ16" s="155">
        <f>_xlfn.MAXIFS('Load-MarineBarge'!$K$27:$K$136,'Load-MarineBarge'!$F$27:$F$136,$FG16)*IFERROR($QR$11,0)</f>
        <v>0</v>
      </c>
      <c r="GA16" s="155">
        <f>_xlfn.MAXIFS('Load-MarineShip'!$K$27:$K$136,'Load-MarineShip'!$F$27:$F$136,$FG16)*IFERROR($QR$12,0)</f>
        <v>0</v>
      </c>
      <c r="GB16" s="313">
        <f>IF(OR(Flare!$D$24="fuel gas",Flare!$D$38="fuel gas"),SUMIF(Flare!$E$97:$E$106,$FG16,Flare!$F$97:$F$106),0)*IFERROR($QR$13,0)</f>
        <v>0</v>
      </c>
      <c r="GC16" s="313">
        <f>(_xlfn.MAXIFS(CtrlDevImpacts!$I$57:$I$156,CtrlDevImpacts!$H$57:$H$156,$FG16))*IFERROR($QR$13,0)</f>
        <v>0</v>
      </c>
      <c r="GD16" s="313">
        <f>(_xlfn.MAXIFS(Flare!$F$107:$F$216,Flare!$E$107:$E$216,$FG16)-_xlfn.MAXIFS(CtrlDevImpacts!$I$57:$I$156,CtrlDevImpacts!$H$57:$H$156,$FG16))*IFERROR($QR$13,0)</f>
        <v>0</v>
      </c>
      <c r="GE16" s="155">
        <f>_xlfn.MAXIFS(LandEmiss!$B$335:$B$434,LandEmiss!$A$335:$A$434,$FG16)*IFERROR($QR$13,0)</f>
        <v>0</v>
      </c>
      <c r="GF16" s="155">
        <f>(_xlfn.MAXIFS(LandEmiss!$BK$335:$BK$434,LandEmiss!$BJ$335:$BJ$434,$FG16)+_xlfn.MAXIFS(LandEmiss!$DV$323:$DV$422,LandEmiss!$DU$323:$DU$422,$FG16))*IFERROR($QR$13,0)</f>
        <v>0</v>
      </c>
      <c r="GG16" s="313">
        <f>IF(OR(VCU!$D$26="fuel gas",VCU!$D$42="fuel gas"),SUMIF(VCU!$E$120:$E$129,$FG16,VCU!$F$120:$F$129),0)*IFERROR($QR$14,0)</f>
        <v>0</v>
      </c>
      <c r="GH16" s="313">
        <f>(_xlfn.MAXIFS(CtrlDevImpacts!$X$57:$X$156,CtrlDevImpacts!$W$57:$W$156,$FG16))*IFERROR($QR$14,0)</f>
        <v>0</v>
      </c>
      <c r="GI16" s="313">
        <f>(_xlfn.MAXIFS(VCU!$F$130:$F$239,VCU!$E$130:$E$239,$FG16)-_xlfn.MAXIFS(CtrlDevImpacts!$X$57:$X$156,CtrlDevImpacts!$W$57:$W$156,$FG16))*IFERROR($QR$14,0)</f>
        <v>0</v>
      </c>
      <c r="GJ16" s="155">
        <f>_xlfn.MAXIFS(LandEmiss!$D$335:$D$434,LandEmiss!$A$335:$A$434,$FG16)*IFERROR($QR$14,0)</f>
        <v>0</v>
      </c>
      <c r="GK16" s="155">
        <f>(_xlfn.MAXIFS(LandEmiss!$BM$335:$BM$434,LandEmiss!$BJ$335:$BJ$434,$FG16)+_xlfn.MAXIFS(LandEmiss!$DX$323:$DX$422,LandEmiss!$DU$323:$DU$422,$FG16))*IFERROR($QR$14,0)</f>
        <v>0</v>
      </c>
      <c r="GL16" s="313">
        <f>IF(VaporOxidizer!D47="FUEL GAS",SUMIF(VaporOxidizer!$E$101:$E$110,$FG16,VaporOxidizer!$F$101:$F$110),0)*IFERROR($QR$15,0)</f>
        <v>0</v>
      </c>
      <c r="GM16" s="313">
        <f>(_xlfn.MAXIFS(CtrlDevImpacts!$AN$57:$AN$156,CtrlDevImpacts!$AM$57:$AM$156,$FG16))*IFERROR($QR$15,0)</f>
        <v>0</v>
      </c>
      <c r="GN16" s="313">
        <f>(_xlfn.MAXIFS(VaporOxidizer!$F$111:$F$220,VaporOxidizer!$E$111:$E$220,$FG16)-_xlfn.MAXIFS(CtrlDevImpacts!$AN$57:$AN$156,CtrlDevImpacts!$AM$57:$AM$156,$FG16))*IFERROR($QR$15,0)</f>
        <v>0</v>
      </c>
      <c r="GO16" s="155">
        <f>_xlfn.MAXIFS(LandEmiss!$F$335:$F$434,LandEmiss!$A$335:$A$434,$FG16)*IFERROR($QR$15,0)</f>
        <v>0</v>
      </c>
      <c r="GP16" s="155">
        <f>(_xlfn.MAXIFS(LandEmiss!$BK$335:$BK$434,LandEmiss!$BO$335:$BO$434,$FG16)+_xlfn.MAXIFS(LandEmiss!$DZ$323:$DZ$422,LandEmiss!$DU$323:$DU$422,$FG16))*IFERROR($QR$15,0)</f>
        <v>0</v>
      </c>
      <c r="GQ16" s="313">
        <f>_xlfn.MAXIFS(CtrlDevImpacts!$BD$57:$BD$156,CtrlDevImpacts!$BC$57:$BC$156,$FG16)*IFERROR(Hidden!$QR$16,0)</f>
        <v>0</v>
      </c>
      <c r="GR16" s="313">
        <f>(_xlfn.MAXIFS(CAS!$H$35:$H$144,CAS!$E$35:$E$144,$FG16)-_xlfn.MAXIFS(CtrlDevImpacts!$BD$57:$BD$156,CtrlDevImpacts!$BC$57:$BC$156,$FG16))*IFERROR(Hidden!$QR$16,0)</f>
        <v>0</v>
      </c>
      <c r="GS16" s="155">
        <f>_xlfn.MAXIFS(LandEmiss!$H$335:$H$434,LandEmiss!$A$335:$A$434,$FG16)*IFERROR($QR$27,0)</f>
        <v>0</v>
      </c>
      <c r="GT16" s="155">
        <f>(_xlfn.MAXIFS(LandEmiss!$BK$335:$BK$434,LandEmiss!$BQ$335:$BQ$434,$FG16)+_xlfn.MAXIFS(LandEmiss!$EB$323:$EB$422,LandEmiss!$DU$323:$DU$422,$FG16))*IFERROR($QR$27,0)</f>
        <v>0</v>
      </c>
      <c r="GU16" s="155">
        <f>_xlfn.MAXIFS(LandEmiss!$J$335:$J$434,LandEmiss!$A$335:$A$434,$FG16)*IFERROR($QR$26,0)</f>
        <v>0</v>
      </c>
      <c r="GV16" s="155">
        <f>(_xlfn.MAXIFS(LandEmiss!$BK$335:$BK$434,LandEmiss!$BS$335:$BS$434,$FG16)+_xlfn.MAXIFS(LandEmiss!$ED$323:$ED$422,LandEmiss!$DU$323:$DU$422,$FG16))*IFERROR($QR$26,0)</f>
        <v>0</v>
      </c>
      <c r="GW16" s="155">
        <f>_xlfn.MAXIFS(LandEmiss!$L$335:$L$434,LandEmiss!$A$335:$A$434,$FG16)*IFERROR($QR$25,0)</f>
        <v>0</v>
      </c>
      <c r="GX16" s="155">
        <f>(_xlfn.MAXIFS(LandEmiss!$BK$335:$BK$434,LandEmiss!$BU$335:$BU$434,$FG16)+_xlfn.MAXIFS(LandEmiss!$EF$323:$EF$422,LandEmiss!$DU$323:$DU$422,$FG16))*IFERROR($QR$25,0)</f>
        <v>0</v>
      </c>
      <c r="GY16" s="155">
        <v>0</v>
      </c>
      <c r="GZ16" s="155">
        <v>0</v>
      </c>
      <c r="HA16" s="155">
        <f>IF(OR(HeaterBoiler1!$E$26&lt;&gt;"fuel gas",HeaterBoiler1!$E$15&lt;&gt;"heater"),0,SUMIF(HeaterBoiler1!$A$54:$D$63,$FG16,HeaterBoiler1!$I$54:$I$63))*IFERROR($QR$19,0)</f>
        <v>0</v>
      </c>
      <c r="HB16" s="207">
        <f>IF(OR(HeaterBoiler2!$E$26&lt;&gt;"fuel gas",HeaterBoiler2!$E$15&lt;&gt;"heater"),0,SUMIF(HeaterBoiler2!$A$54:$D$63,$FG16,HeaterBoiler2!$I$54:$I$63))*IFERROR($QR$21,0)</f>
        <v>0</v>
      </c>
      <c r="HC16" s="155">
        <f>IF(OR(HeaterBoiler1!$E$26&lt;&gt;"fuel gas",HeaterBoiler1!$E$15&lt;&gt;"boiler"),0,SUMIF(HeaterBoiler1!$A$41:$A$50,$FG16,HeaterBoiler1!$F$41:$F$50))*IFERROR($QR$20,0)</f>
        <v>0</v>
      </c>
      <c r="HD16" s="207">
        <f>IF(OR(HeaterBoiler2!$E$26&lt;&gt;"fuel gas",HeaterBoiler2!$E$15&lt;&gt;"boiler"),0,SUMIF(HeaterBoiler2!$A$41:$A$50,$FG16,HeaterBoiler2!$F$41:$F$50))*IFERROR($QR$22,0)</f>
        <v>0</v>
      </c>
      <c r="HE16" s="155">
        <f>SUMIF(Fug!$A$96:$A$205,$FG16,Fug!$I$96:$I$205)*IFERROR(Hidden!$QR$23,0)</f>
        <v>0</v>
      </c>
      <c r="HF16" s="155">
        <f t="shared" si="24"/>
        <v>0</v>
      </c>
      <c r="HG16" s="156">
        <f t="shared" si="25"/>
        <v>0</v>
      </c>
      <c r="HH16" s="156">
        <f t="shared" si="26"/>
        <v>0</v>
      </c>
      <c r="HI16" s="156">
        <f t="shared" si="27"/>
        <v>0</v>
      </c>
      <c r="HJ16" s="156">
        <f t="shared" si="28"/>
        <v>0</v>
      </c>
      <c r="HK16" s="156">
        <f t="shared" si="29"/>
        <v>0</v>
      </c>
      <c r="HL16" s="156">
        <f t="shared" si="30"/>
        <v>0</v>
      </c>
      <c r="NO16" s="155">
        <f>IF(Tank1!$D$22="No control",(SUMIF(Tank1!$E$32:$E$141,$FG16,Tank1!$H$32:$H$141)*(2000/8760)*IFERROR($QV$3,0)),0)</f>
        <v>0</v>
      </c>
      <c r="NP16" s="156">
        <f>SUMIF(LandEmiss!$AE$20:$AE$119,$FG16,LandEmiss!$AK$20:$AK$119)*(2000/8760)*IFERROR($QV$3,0)</f>
        <v>0</v>
      </c>
      <c r="NQ16" s="156">
        <f>(SUMIF(LandEmiss!$CN$20:$CN$119,$FG16,LandEmiss!$CT$20:$CT$119)+SUMIF(LandEmiss!$EY$9:$EY$108,$FG16,LandEmiss!$FE$9:$FE$108))*IFERROR($QV$3,0)*(2000/8760)</f>
        <v>0</v>
      </c>
      <c r="NR16" s="155">
        <f>IF(Tank2!$D$22="No control",(SUMIF(Tank2!$E$32:$E$141,$FG16,Tank2!$H$32:$H$141)*(2000/8760)*IFERROR($QV$4,0)),0)</f>
        <v>0</v>
      </c>
      <c r="NS16" s="156">
        <f>SUMIF(LandEmiss!$AE$20:$AE$119,$FG16,LandEmiss!$AL$20:$AL$119)*(2000/8760)*IFERROR($QV$4,0)</f>
        <v>0</v>
      </c>
      <c r="NT16" s="156">
        <f>(SUMIF(LandEmiss!$CN$20:$CN$119,$FG16,LandEmiss!$CU$20:$CU$119)+SUMIF(LandEmiss!$EY$9:$EY$108,$FG16,LandEmiss!$FF$9:$FF$108))*IFERROR($QV$4,0)*(2000/8760)</f>
        <v>0</v>
      </c>
      <c r="NU16" s="155">
        <f>IF(Tank3!$D$22="No control",(SUMIF(Tank3!$E$32:$E$141,$FG16,Tank3!$H$32:$H$141)*(2000/8760)*IFERROR($QV$5,0)),0)</f>
        <v>0</v>
      </c>
      <c r="NV16" s="156">
        <f>SUMIF(LandEmiss!$AE$20:$AE$119,$FG16,LandEmiss!$AM$20:$AM$119)*(2000/8760)*IFERROR($QV$5,0)</f>
        <v>0</v>
      </c>
      <c r="NW16" s="156">
        <f>(SUMIF(LandEmiss!$CN$20:$CN$119,$FG16,LandEmiss!$CV$20:$CV$119)+SUMIF(LandEmiss!$EY$9:$EY$108,$FG16,LandEmiss!$FG$9:$FG$108))*IFERROR($QV$5,0)*(2000/8760)</f>
        <v>0</v>
      </c>
      <c r="NX16" s="155">
        <f>IF(Tank4!$D$22="No control",(SUMIF(Tank4!$E$32:$E$141,$FG16,Tank4!$H$32:$H$141)*(2000/8760)*IFERROR($QV$6,0)),0)</f>
        <v>0</v>
      </c>
      <c r="NY16" s="156">
        <f>SUMIF(LandEmiss!$AE$20:$AE$119,$FG16,LandEmiss!$AN$20:$AN$119)*(2000/8760)*IFERROR($QV$6,0)</f>
        <v>0</v>
      </c>
      <c r="NZ16" s="156">
        <f>(SUMIF(LandEmiss!$CN$20:$CN$119,$FG16,LandEmiss!$CW$20:$CW$119)+SUMIF(LandEmiss!$EY$9:$EY$108,$FG16,LandEmiss!$FH$9:$FH$108))*IFERROR($QV$6,0)*(2000/8760)</f>
        <v>0</v>
      </c>
      <c r="OA16" s="155">
        <f>IF(Tank5!$D$22="No control",(SUMIF(Tank5!$E$32:$E$141,$FG16,Tank5!$H$32:$H$141)*(2000/8760)*IFERROR($QV$7,0)),0)</f>
        <v>0</v>
      </c>
      <c r="OB16" s="156">
        <f>SUMIF(LandEmiss!$AE$20:$AE$119,$FG16,LandEmiss!$AO$20:$AO$119)*(2000/8760)*IFERROR($QV$7,0)</f>
        <v>0</v>
      </c>
      <c r="OC16" s="156">
        <f>(SUMIF(LandEmiss!$CN$20:$CN$119,$FG16,LandEmiss!$CX$20:$CX$119)+SUMIF(LandEmiss!$EY$9:$EY$108,$FG16,LandEmiss!$FI$9:$FI$108))*IFERROR($QV$7,0)*(2000/8760)</f>
        <v>0</v>
      </c>
      <c r="OD16" s="155">
        <f>SUMIFS('Load-DrumTote'!$L$27:$L$136,'Load-DrumTote'!$F$27:$F$136,$FG16)*IFERROR($QV$8,0)*(2000/8760)</f>
        <v>0</v>
      </c>
      <c r="OE16" s="155">
        <f>SUMIFS('Load-Truck'!$L$27:$L$136,'Load-Truck'!$F$27:$F$136,$FG16)*IFERROR($QV$9,0)*(2000/8760)</f>
        <v>0</v>
      </c>
      <c r="OF16" s="155">
        <f>SUMIFS('Load-Rail'!$L$27:$L$136,'Load-Rail'!$F$27:$F$136,$FG16)*IFERROR($QV$10,0)*(2000/8760)</f>
        <v>0</v>
      </c>
      <c r="OG16" s="155">
        <f>SUMIFS('Load-MarineBarge'!$L$27:$L$136,'Load-MarineBarge'!$F$27:$F$136,$FG16)*IFERROR($QV$11,0)*(2000/8760)</f>
        <v>0</v>
      </c>
      <c r="OH16" s="155">
        <f>SUMIFS('Load-MarineShip'!$L$27:$L$136,'Load-MarineShip'!$F$27:$F$136,$FG16)*IFERROR($QV$12,0)*(2000/8760)</f>
        <v>0</v>
      </c>
      <c r="OI16" s="155">
        <f>(IF(OR(Flare!$D$24="FUEL GAS",Flare!$D$38="FUEL GAS"),SUMIF(Flare!$E$97:$E$106,$FG16,Flare!$G$97:$G$105),0)+SUMIF(Flare!$E$107:$E$216,$FG16,Flare!$G$107:$G$216))*(2000/8730)*IFERROR($QV$13,0)</f>
        <v>0</v>
      </c>
      <c r="OJ16" s="155">
        <f>SUMIF(LandEmiss!$A$335:$A$434,$FG16,LandEmiss!$C$335:$C$434)*(2000/8760)*IFERROR($QV$13,0)</f>
        <v>0</v>
      </c>
      <c r="OK16" s="155">
        <f>(SUMIF(LandEmiss!$BJ$335:$BJ$434,$FG16,LandEmiss!$BL$335:$BL$434)+SUMIF(LandEmiss!$DU$323:$DU$422,$FG16,LandEmiss!$DW$323:$DW$422))*(2000/8760)*IFERROR($QV$13,0)</f>
        <v>0</v>
      </c>
      <c r="OL16" s="155">
        <f>(IF(OR(VCU!$D$26="FUEL GAS",VCU!$D$42="FUEL GAS"),SUMIF(VCU!$E$120:$E$129,$FG16,VCU!$G$120:$G$129),0)+SUMIF(VCU!$E$130:$E$239,$FG16,VCU!G144:G253))*(2000/8760)*IFERROR($QV$14,0)</f>
        <v>0</v>
      </c>
      <c r="OM16" s="155">
        <f>SUMIF(LandEmiss!$A$335:$A$434,$FG16,LandEmiss!$E$335:$E$434)*(2000/8760)*IFERROR($QV$14,0)</f>
        <v>0</v>
      </c>
      <c r="ON16" s="155">
        <f>(SUMIF(LandEmiss!$BJ$335:$BJ$434,$FG16,LandEmiss!$BN$335:$BN$434)+SUMIF(LandEmiss!$DU$323:$DU$422,$FG16,LandEmiss!$DY$323:$DY$422))*(2000/8760)*IFERROR($QV$14,0)</f>
        <v>0</v>
      </c>
      <c r="OO16" s="155">
        <f>(IF(VaporOxidizer!$D$33="FUEL GAS",SUMIF(VaporOxidizer!$E$101:$E$110,$FG16,VaporOxidizer!$G$101:$G$110),0)+SUMIF(VaporOxidizer!$E$111:$E$220,$FG16,VaporOxidizer!$G$111:$G$220))*(2000/8760)*IFERROR($QV$15,0)</f>
        <v>0</v>
      </c>
      <c r="OP16" s="155">
        <f>SUMIF(LandEmiss!$A$335:$A$434,$FG16,LandEmiss!$G$335:$G$434)*(2000/8760)*IFERROR($QV$15,0)</f>
        <v>0</v>
      </c>
      <c r="OQ16" s="155">
        <f>(SUMIF(LandEmiss!$BJ$335:$BJ$434,$FG16,LandEmiss!$BP$335:$BP$434)+SUMIF(LandEmiss!$DU$323:$DU$422,$FG16,LandEmiss!$EA$323:$EA$422))*(2000/8760)*IFERROR($QV$15,0)</f>
        <v>0</v>
      </c>
      <c r="OR16" s="155">
        <f>SUMIF(CAS!$E$35:$E$144,Hidden!$FG16,CAS!$I$35:$I$144)*IFERROR($QV$16,0)*(2000/8760)</f>
        <v>0</v>
      </c>
      <c r="OS16" s="155">
        <f>SUMIF(LandEmiss!$A$335:$A$434,$FG16,LandEmiss!$I$335:$I$434)*(2000/8760)*IFERROR($QV$27,0)</f>
        <v>0</v>
      </c>
      <c r="OT16" s="155">
        <f>(SUMIF(LandEmiss!$BJ$335:$BJ$434,$FG16,LandEmiss!$BR$335:$BR$434)+SUMIF(LandEmiss!$DU$323:$DU$422,$FG16,LandEmiss!$EC$323:$EC$422))*(2000/8760)*IFERROR($QV$27,0)</f>
        <v>0</v>
      </c>
      <c r="OU16" s="155">
        <f>SUMIF(LandEmiss!$A$335:$A$434,$FG16,LandEmiss!$K$335:$K$434)*(2000/8760)*IFERROR($QV$26,0)</f>
        <v>0</v>
      </c>
      <c r="OV16" s="155">
        <f>(SUMIF(LandEmiss!$BJ$335:$BJ$434,$FG16,LandEmiss!$BT$335:$BT$434)+SUMIF(LandEmiss!$DU$323:$DU$422,$FG16,LandEmiss!$EE$323:$EE$422))*(2000/8760)*IFERROR($QV$26,0)</f>
        <v>0</v>
      </c>
      <c r="OW16" s="155">
        <f>SUMIF(LandEmiss!$A$335:$A$434,$FG16,LandEmiss!$M$335:$M$434)*(2000/8760)*IFERROR($QV$25,0)</f>
        <v>0</v>
      </c>
      <c r="OX16" s="155">
        <f>(SUMIF(LandEmiss!$BJ$335:$BJ$434,$FG16,LandEmiss!$BV$335:$BV$434)+SUMIF(LandEmiss!$DU$323:$DU$422,$FG16,LandEmiss!$EG$323:$EG$422))*(2000/8760)*IFERROR($QV$25,0)</f>
        <v>0</v>
      </c>
      <c r="OY16" s="8">
        <v>0</v>
      </c>
      <c r="OZ16" s="207">
        <v>0</v>
      </c>
      <c r="PA16" s="207">
        <f>IF(OR(HeaterBoiler1!$E$26&lt;&gt;"fuel gas",HeaterBoiler1!$E$15&lt;&gt;"heater"),0,(SUMIF(HeaterBoiler1!$A$54:$D$63,$FG16,HeaterBoiler1!$J$54:$J$63))*(2000/8760))*IFERROR($QV$19,0)</f>
        <v>0</v>
      </c>
      <c r="PB16" s="207">
        <f>IF(OR(HeaterBoiler2!$E$26&lt;&gt;"fuel gas",HeaterBoiler2!$E$15&lt;&gt;"heater"),0,(SUMIF(HeaterBoiler2!$A$54:$D$63,$FG16,HeaterBoiler2!$J$54:$J$63))*(2000/8760))*IFERROR($QV$21,0)</f>
        <v>0</v>
      </c>
      <c r="PC16" s="207">
        <f>IF(OR(HeaterBoiler1!$E$26&lt;&gt;"fuel gas",HeaterBoiler1!$E$15&lt;&gt;"boiler"),0,(SUMIF(HeaterBoiler1!$A$54:$D$63,$FG16,HeaterBoiler1!$J$54:$J$63))*(2000/8760))*IFERROR($QV$20,0)</f>
        <v>0</v>
      </c>
      <c r="PD16" s="207">
        <f>IF(OR(HeaterBoiler2!$E$26&lt;&gt;"fuel gas",HeaterBoiler2!$E$15&lt;&gt;"boiler"),0,(SUMIF(HeaterBoiler2!$A$54:$D$63,$FG16,HeaterBoiler2!$J$54:$J$63))*(2000/8760))*IFERROR($QV$22,0)</f>
        <v>0</v>
      </c>
      <c r="PE16" s="8">
        <f>(SUMIF(Fug!$A$96:$A$205,$FG16,Fug!$J$96:$J$205))*IFERROR($QV$23,0)*(2000/8760)</f>
        <v>0</v>
      </c>
      <c r="PF16" s="8">
        <f t="shared" si="31"/>
        <v>0</v>
      </c>
      <c r="PG16" s="156">
        <f t="shared" si="32"/>
        <v>0</v>
      </c>
      <c r="PJ16" s="52" t="str">
        <f>IF(Fug!$F$16=Hidden!$PP$2,"Pumps (controlled)","Flanges/Connectors")</f>
        <v>Flanges/Connectors</v>
      </c>
      <c r="PK16" s="52" t="str">
        <f>IF(Fug!$F$16=Hidden!$PP$2,"All","Gas/Vapor")</f>
        <v>Gas/Vapor</v>
      </c>
      <c r="PL16" s="52">
        <v>3.8999999999999998E-3</v>
      </c>
      <c r="PM16" s="52">
        <v>2.8999999999999998E-3</v>
      </c>
      <c r="PN16" s="52">
        <v>5.3E-3</v>
      </c>
      <c r="PO16" s="52">
        <v>1.8000000000000001E-4</v>
      </c>
      <c r="PP16" s="52">
        <v>0</v>
      </c>
      <c r="PQ16" s="52">
        <v>5.5500000000000005E-4</v>
      </c>
      <c r="PR16" s="52">
        <v>1.1000000000000001E-7</v>
      </c>
      <c r="PS16" s="52">
        <v>3.0699999999999998E-4</v>
      </c>
      <c r="PT16" s="52" t="s">
        <v>8782</v>
      </c>
      <c r="PU16" s="52" t="s">
        <v>8778</v>
      </c>
      <c r="PV16" s="52">
        <v>1</v>
      </c>
      <c r="PW16" s="52">
        <v>1</v>
      </c>
      <c r="PX16" s="52">
        <v>1</v>
      </c>
      <c r="PY16" s="52">
        <v>1</v>
      </c>
      <c r="PZ16" s="52">
        <v>1</v>
      </c>
      <c r="QA16" s="52">
        <v>1</v>
      </c>
      <c r="QB16" s="52" t="s">
        <v>8810</v>
      </c>
      <c r="QC16" s="52" t="s">
        <v>8801</v>
      </c>
      <c r="QD16" s="52">
        <v>0</v>
      </c>
      <c r="QE16" s="52">
        <v>0.3</v>
      </c>
      <c r="QF16" s="52">
        <v>0.3</v>
      </c>
      <c r="QG16" s="52">
        <v>0.97</v>
      </c>
      <c r="QH16" s="52">
        <v>0</v>
      </c>
      <c r="QI16" s="52">
        <v>0.97</v>
      </c>
      <c r="QK16" s="95" t="s">
        <v>9121</v>
      </c>
      <c r="QM16" s="16" t="s">
        <v>282</v>
      </c>
      <c r="QN16" s="104" t="e">
        <f t="shared" si="38"/>
        <v>#N/A</v>
      </c>
      <c r="QO16" s="104">
        <f>CAS!D16</f>
        <v>0</v>
      </c>
      <c r="QP16" s="104">
        <f>CAS!D15</f>
        <v>0</v>
      </c>
      <c r="QQ16" s="16" t="str">
        <f>QX10</f>
        <v>FUELTANK</v>
      </c>
      <c r="QR16" s="16" t="e">
        <f t="shared" si="33"/>
        <v>#N/A</v>
      </c>
      <c r="QS16" s="16" t="e">
        <f t="shared" si="34"/>
        <v>#N/A</v>
      </c>
      <c r="QT16" s="16" t="e">
        <f t="shared" si="35"/>
        <v>#N/A</v>
      </c>
      <c r="QU16" s="16" t="e">
        <f t="shared" si="36"/>
        <v>#N/A</v>
      </c>
      <c r="QV16" s="16" t="e">
        <f t="shared" si="37"/>
        <v>#N/A</v>
      </c>
      <c r="QX16" s="89" t="s">
        <v>9325</v>
      </c>
      <c r="QY16">
        <v>5.41</v>
      </c>
      <c r="QZ16">
        <v>5.41</v>
      </c>
      <c r="RA16">
        <v>5.41</v>
      </c>
      <c r="RB16">
        <v>5.41</v>
      </c>
      <c r="RC16">
        <v>5.41</v>
      </c>
      <c r="RD16">
        <v>5.41</v>
      </c>
      <c r="RE16">
        <v>5.27</v>
      </c>
      <c r="RF16">
        <v>4.1500000000000004</v>
      </c>
      <c r="RG16" s="90">
        <v>3.93</v>
      </c>
      <c r="RH16" s="89" t="s">
        <v>9325</v>
      </c>
      <c r="RI16">
        <v>4.5599999999999996</v>
      </c>
      <c r="RJ16">
        <v>4.5599999999999996</v>
      </c>
      <c r="RK16">
        <v>4.5599999999999996</v>
      </c>
      <c r="RL16">
        <v>4.5599999999999996</v>
      </c>
      <c r="RM16">
        <v>4.5599999999999996</v>
      </c>
      <c r="RN16">
        <v>4.5599999999999996</v>
      </c>
      <c r="RO16">
        <v>4.5599999999999996</v>
      </c>
      <c r="RP16">
        <v>3.73</v>
      </c>
      <c r="RQ16" s="90">
        <v>3.42</v>
      </c>
      <c r="RR16" s="89" t="s">
        <v>9325</v>
      </c>
      <c r="RS16">
        <v>3.33</v>
      </c>
      <c r="RT16">
        <v>3.33</v>
      </c>
      <c r="RU16">
        <v>3.33</v>
      </c>
      <c r="RV16">
        <v>3.33</v>
      </c>
      <c r="RW16">
        <v>3.33</v>
      </c>
      <c r="RX16">
        <v>3.33</v>
      </c>
      <c r="RY16">
        <v>3.33</v>
      </c>
      <c r="RZ16">
        <v>3.29</v>
      </c>
      <c r="SA16" s="90">
        <v>3.26</v>
      </c>
      <c r="SB16" s="89" t="s">
        <v>9325</v>
      </c>
      <c r="SC16">
        <v>2.4500000000000002</v>
      </c>
      <c r="SD16">
        <v>2.4500000000000002</v>
      </c>
      <c r="SE16">
        <v>2.4500000000000002</v>
      </c>
      <c r="SF16">
        <v>2.4500000000000002</v>
      </c>
      <c r="SG16">
        <v>2.4500000000000002</v>
      </c>
      <c r="SH16">
        <v>2.4500000000000002</v>
      </c>
      <c r="SI16">
        <v>2.4500000000000002</v>
      </c>
      <c r="SJ16">
        <v>2.4500000000000002</v>
      </c>
      <c r="SK16" s="90">
        <v>2.4500000000000002</v>
      </c>
      <c r="SL16" s="89" t="s">
        <v>9325</v>
      </c>
      <c r="SM16">
        <v>0.3</v>
      </c>
      <c r="SN16">
        <v>0.3</v>
      </c>
      <c r="SO16">
        <v>0.3</v>
      </c>
      <c r="SP16">
        <v>0.3</v>
      </c>
      <c r="SQ16">
        <v>0.3</v>
      </c>
      <c r="SR16">
        <v>0.3</v>
      </c>
      <c r="SS16">
        <v>0.3</v>
      </c>
      <c r="ST16">
        <v>0.3</v>
      </c>
      <c r="SU16" s="90">
        <v>0.28999999999999998</v>
      </c>
      <c r="TI16" s="256" t="s">
        <v>8706</v>
      </c>
      <c r="TJ16" s="158" t="str">
        <f>IF(Tank1!D20&lt;0.5,"TVP &lt; 0.50",IF(AND(Tank1!D20&gt;=0.5,Tank1!D20&lt;11),"0.50 ≤ TVP &lt; 11.0",IF(Tank1!D20&gt;=11,"TVP ≥ 11.0 TVP","")))</f>
        <v>TVP &lt; 0.50</v>
      </c>
      <c r="TK16" s="115" t="str">
        <f>IF(Tank1!D19&lt;25000,"&lt; 25 Mgal","≥ 25 Mgal")</f>
        <v>&lt; 25 Mgal</v>
      </c>
      <c r="TL16" t="s">
        <v>9417</v>
      </c>
      <c r="TM16" s="225" t="str">
        <f>VaporOxidizer!D23*100&amp;"% destruction removal efficiency or "&amp;VaporOxidizer!D22&amp;" ppmv at 3% oxygen VOC exhaust concentration. Monitor chamber exit temperature and perform initial test. "&amp;IF(VaporOxidizer!D30="Yes","CEMS is required.","")&amp;" Low NOx burners (0.06 lb/MMBtu or less). MSS: Same as normal operations."</f>
        <v>0% destruction removal efficiency or  ppmv at 3% oxygen VOC exhaust concentration. Monitor chamber exit temperature and perform initial test.  Low NOx burners (0.06 lb/MMBtu or less). MSS: Same as normal operations.</v>
      </c>
    </row>
    <row r="17" spans="1:533" ht="74.25" customHeight="1" x14ac:dyDescent="0.2">
      <c r="A17" s="8" t="s">
        <v>194</v>
      </c>
      <c r="B17" s="8">
        <v>10</v>
      </c>
      <c r="D17" s="8" t="s">
        <v>212</v>
      </c>
      <c r="E17" s="8" t="b">
        <f>IF($D17='PI-1-MarineLoading'!$D$73,TRUE,FALSE)</f>
        <v>0</v>
      </c>
      <c r="W17">
        <f>IF(OR(X17=0,ISNUMBER(MATCH(X17,$X$1:X16,0))),0,MAX($W$1:W16)+1)</f>
        <v>0</v>
      </c>
      <c r="X17" s="123">
        <f>Products!$E64</f>
        <v>0</v>
      </c>
      <c r="Y17" t="str">
        <f t="shared" si="3"/>
        <v/>
      </c>
      <c r="CA17">
        <f>IF(OR(CB17=0,ISNUMBER(MATCH(CB17,$CB$1:CB16,0))),0,MAX($CA$1:CA16)+1)</f>
        <v>0</v>
      </c>
      <c r="CB17" s="8">
        <f>IF(OR(Tank1!$D$18="EXTERNAL FLOATING ROOF",Tank1!$D$18="INTERNAL FLOATING ROOF"),IF(Tank1!$E47="",0,Tank1!$E47),0)</f>
        <v>0</v>
      </c>
      <c r="CC17" s="8" t="str">
        <f t="shared" si="6"/>
        <v/>
      </c>
      <c r="CD17" s="8"/>
      <c r="CE17" s="8">
        <f>IF(OR(CF17=0,ISNUMBER(MATCH(CF17,$CF$1:CF16,0))),0,MAX($CE$1:CE16)+1)</f>
        <v>0</v>
      </c>
      <c r="CF17" s="8">
        <f>IF(OR(Tank1!$D$18="HORIZONTAL FIXED ROOF",Tank1!$D$18="VERTICAL FIXED ROOF"),IF(Tank1!$E47="",0,Tank1!$E47),0)</f>
        <v>0</v>
      </c>
      <c r="CG17" s="8" t="str">
        <f t="shared" si="7"/>
        <v/>
      </c>
      <c r="CJ17">
        <f>IF(OR(CK17=0,ISNUMBER(MATCH(CK17,$CK$1:CK16,0))),0,MAX($CJ$1:CJ16)+1)</f>
        <v>0</v>
      </c>
      <c r="CK17">
        <f>Tank2!$A$87</f>
        <v>0</v>
      </c>
      <c r="CM17">
        <f>IFERROR(VLOOKUP($CK17,Tank2!$A$32:$D$141,3,FALSE),0)</f>
        <v>0</v>
      </c>
      <c r="CN17">
        <f>IFERROR(VLOOKUP($CK17,Tank2!$A$32:$D$141,4,FALSE),0)</f>
        <v>0</v>
      </c>
      <c r="DM17">
        <f>IF(OR(DN17=0,ISNUMBER(MATCH(DN17,$DN$1:DN16,0))),0,MAX($DM$1:DM16)+1)</f>
        <v>0</v>
      </c>
      <c r="DN17">
        <f>IF(Tank2!$D$22="Flare",IFERROR(VLOOKUP(Products!$A$109,Tank2!$A$32:$B$141,1,FALSE),0),0)</f>
        <v>0</v>
      </c>
      <c r="DO17">
        <f>IF($DN17=0,0,VLOOKUP($DN17,Tank2!$A$32:$H$141,7,FALSE))</f>
        <v>0</v>
      </c>
      <c r="DP17">
        <f>IF($DN17=0,0,VLOOKUP($DN17,Tank2!$A$32:$H$141,8,FALSE))</f>
        <v>0</v>
      </c>
      <c r="DU17">
        <f>IF(OR(DV17=0,ISNUMBER(MATCH(DV17,$DV$1:DV16,0))),0,MAX($DU$1:DU16)+1)</f>
        <v>0</v>
      </c>
      <c r="DV17">
        <f>IF(Tank2!$D$22="VCU",IFERROR(VLOOKUP(Products!$A$109,Tank2!$A$32:$B$141,1,FALSE),0),0)</f>
        <v>0</v>
      </c>
      <c r="DW17">
        <f>IF($DV17=0,0,VLOOKUP($DV17,Tank2!$A$32:$H$141,7,FALSE))</f>
        <v>0</v>
      </c>
      <c r="DX17">
        <f>IF($DV17=0,0,VLOOKUP($DV17,Tank2!$A$32:$H$141,8,FALSE))</f>
        <v>0</v>
      </c>
      <c r="EC17">
        <f>IF(OR(ED17=0,ISNUMBER(MATCH(ED17,$ED$1:ED16,0))),0,MAX($EC$1:EC16)+1)</f>
        <v>0</v>
      </c>
      <c r="ED17">
        <f>IF(Tank2!$D$22="vapor oxidizer",IFERROR(VLOOKUP(Products!$A$109,Tank2!$A$32:$B$141,1,FALSE),0),0)</f>
        <v>0</v>
      </c>
      <c r="EE17">
        <f>IF($ED17=0,0,VLOOKUP($ED17,Tank2!$A$32:$H$141,7,FALSE))</f>
        <v>0</v>
      </c>
      <c r="EF17">
        <f>IF($ED17=0,0,VLOOKUP($ED17,Tank2!$A$32:$H$141,8,FALSE))</f>
        <v>0</v>
      </c>
      <c r="EK17">
        <f>IF(OR(EL17=0,ISNUMBER(MATCH(EL17,$EL$1:EL16,0))),0,MAX($EK$1:EK16)+1)</f>
        <v>0</v>
      </c>
      <c r="EL17">
        <f>IF(Tank2!$D$22="CAS",IFERROR(VLOOKUP(Products!A109,Tank2!$A$32:$B$141,1,FALSE),0),0)</f>
        <v>0</v>
      </c>
      <c r="EM17">
        <f>IF($EL17=0,0,VLOOKUP($EL17,Tank2!$A$32:$H$141,7,FALSE))</f>
        <v>0</v>
      </c>
      <c r="EN17">
        <f>IF($EL17=0,0,VLOOKUP($EL17,Tank2!$A$32:$H$141,8,FALSE))</f>
        <v>0</v>
      </c>
      <c r="EX17">
        <f>MSS!$A50</f>
        <v>0</v>
      </c>
      <c r="EY17">
        <f>MSS!$G50*MSS!F$144</f>
        <v>0</v>
      </c>
      <c r="EZ17">
        <f>MSS!$G50*MSS!G$144</f>
        <v>0</v>
      </c>
      <c r="FB17" s="8" t="s">
        <v>387</v>
      </c>
      <c r="FC17" s="8" t="s">
        <v>388</v>
      </c>
      <c r="FD17" s="8">
        <v>3400</v>
      </c>
      <c r="FE17" s="8">
        <v>340</v>
      </c>
      <c r="FG17" s="360" t="str">
        <f t="shared" si="23"/>
        <v/>
      </c>
      <c r="FH17" s="155">
        <f>IF(Tank1!$D$22="NO CONTROL",_xlfn.MAXIFS(Tank1!$G$32:$G$141,Tank1!$E$32:$E$141,$FG17),0)*IFERROR($QR$3,0)</f>
        <v>0</v>
      </c>
      <c r="FI17" s="155">
        <f>_xlfn.MAXIFS(LandEmiss!$AF$20:$AF$119,LandEmiss!$AE$20:$AE$119,$FG17)*IFERROR($QR$3,0)</f>
        <v>0</v>
      </c>
      <c r="FJ17" s="155">
        <f>MAX(_xlfn.MAXIFS(LandEmiss!$CO$20:$CO$119,LandEmiss!$CN$20:$CN$119,$FG17),_xlfn.MAXIFS(LandEmiss!$EZ$9:$EZ$108,LandEmiss!$EY$9:$EY$108,$FG17))*IFERROR($QR$3,0)</f>
        <v>0</v>
      </c>
      <c r="FK17" s="155">
        <f>IF(Tank2!$D$22="NO CONTROL",_xlfn.MAXIFS(Tank2!$G$32:$G$141,Tank2!$E$32:$E$141,$FG17),0)*IFERROR($QR$4,0)</f>
        <v>0</v>
      </c>
      <c r="FL17" s="155">
        <f>_xlfn.MAXIFS(LandEmiss!$AG$20:$AG$119,LandEmiss!$AE$20:$AE$119,$FG17)*IFERROR($QR$4,0)</f>
        <v>0</v>
      </c>
      <c r="FM17" s="155">
        <f>MAX(_xlfn.MAXIFS(LandEmiss!$CP$20:$CP$119,LandEmiss!$CN$20:$CN$119,$FG17),_xlfn.MAXIFS(LandEmiss!$FA$9:$FA$108,LandEmiss!$EY$9:$EY$108,$FG17))*IFERROR($QR$4,0)</f>
        <v>0</v>
      </c>
      <c r="FN17" s="155">
        <f>IF(Tank3!$D$22="NO CONTROL",_xlfn.MAXIFS(Tank3!$G$32:$G$141,Tank3!$E$32:$E$141,$FG17),0)*IFERROR($QR$5,0)</f>
        <v>0</v>
      </c>
      <c r="FO17" s="155">
        <f>_xlfn.MAXIFS(LandEmiss!$AH$20:$AH$119,LandEmiss!$AE$20:$AE$119,$FG17)*IFERROR($QR$5,0)</f>
        <v>0</v>
      </c>
      <c r="FP17" s="155">
        <f>MAX(_xlfn.MAXIFS(LandEmiss!$CQ$20:$CQ$119,LandEmiss!$CN$20:$CN$119,$FG17),_xlfn.MAXIFS(LandEmiss!$FB$9:$FB$108,LandEmiss!$EY$9:$EY$108,$FG17))*IFERROR($QR$5,0)</f>
        <v>0</v>
      </c>
      <c r="FQ17" s="155">
        <f>IF(Tank4!$D$22="NO CONTROL",_xlfn.MAXIFS(Tank4!$G$32:$G$141,Tank4!$E$32:$E$141,$FG17),0)*IFERROR($QR$6,0)</f>
        <v>0</v>
      </c>
      <c r="FR17" s="155">
        <f>_xlfn.MAXIFS(LandEmiss!$AI$20:$AI$119,LandEmiss!$AE$20:$AE$119,$FG17)*IFERROR($QR$6,0)</f>
        <v>0</v>
      </c>
      <c r="FS17" s="155">
        <f>MAX(_xlfn.MAXIFS(LandEmiss!$CR$20:$CR$119,LandEmiss!$CN$20:$CN$119,$FG17),_xlfn.MAXIFS(LandEmiss!$FC$9:$FC$108,LandEmiss!$EY$9:$EY$108,$FG17))*IFERROR($QR$6,0)</f>
        <v>0</v>
      </c>
      <c r="FT17" s="155">
        <f>IF(Tank5!$D$22="NO CONTROL",_xlfn.MAXIFS(Tank5!$G$32:$G$141,Tank5!$E$32:$E$141,$FG17),0)*IFERROR($QR$7,0)</f>
        <v>0</v>
      </c>
      <c r="FU17" s="155">
        <f>_xlfn.MAXIFS(LandEmiss!$AJ$20:$AJ$119,LandEmiss!$AE$20:$AE$119,$FG17)*IFERROR($QR$7,0)</f>
        <v>0</v>
      </c>
      <c r="FV17" s="155">
        <f>MAX(_xlfn.MAXIFS(LandEmiss!$CS$20:$CS$119,LandEmiss!$CN$20:$CN$119,$FG17),_xlfn.MAXIFS(LandEmiss!$FD$9:$FD$108,LandEmiss!$EY$9:$EY$108,$FG17))*IFERROR($QR22,0)</f>
        <v>0</v>
      </c>
      <c r="FW17" s="155">
        <f>_xlfn.MAXIFS('Load-DrumTote'!$K$27:$K$136,'Load-DrumTote'!$F$27:$F$136,$FG17)*IFERROR($QR$8,0)</f>
        <v>0</v>
      </c>
      <c r="FX17" s="155">
        <f>_xlfn.MAXIFS('Load-Truck'!$K$27:$K$136,'Load-Truck'!$F$27:$F$136,$FG17)*IFERROR($QR$9,0)</f>
        <v>0</v>
      </c>
      <c r="FY17" s="155">
        <f>_xlfn.MAXIFS('Load-Rail'!$K$27:$K$136,'Load-Rail'!$F$27:$F$136,$FG17)*IFERROR($QR$10,0)</f>
        <v>0</v>
      </c>
      <c r="FZ17" s="155">
        <f>_xlfn.MAXIFS('Load-MarineBarge'!$K$27:$K$136,'Load-MarineBarge'!$F$27:$F$136,$FG17)*IFERROR($QR$11,0)</f>
        <v>0</v>
      </c>
      <c r="GA17" s="155">
        <f>_xlfn.MAXIFS('Load-MarineShip'!$K$27:$K$136,'Load-MarineShip'!$F$27:$F$136,$FG17)*IFERROR($QR$12,0)</f>
        <v>0</v>
      </c>
      <c r="GB17" s="313">
        <f>IF(OR(Flare!$D$24="fuel gas",Flare!$D$38="fuel gas"),SUMIF(Flare!$E$97:$E$106,$FG17,Flare!$F$97:$F$106),0)*IFERROR($QR$13,0)</f>
        <v>0</v>
      </c>
      <c r="GC17" s="313">
        <f>(_xlfn.MAXIFS(CtrlDevImpacts!$I$57:$I$156,CtrlDevImpacts!$H$57:$H$156,$FG17))*IFERROR($QR$13,0)</f>
        <v>0</v>
      </c>
      <c r="GD17" s="313">
        <f>(_xlfn.MAXIFS(Flare!$F$107:$F$216,Flare!$E$107:$E$216,$FG17)-_xlfn.MAXIFS(CtrlDevImpacts!$I$57:$I$156,CtrlDevImpacts!$H$57:$H$156,$FG17))*IFERROR($QR$13,0)</f>
        <v>0</v>
      </c>
      <c r="GE17" s="155">
        <f>_xlfn.MAXIFS(LandEmiss!$B$335:$B$434,LandEmiss!$A$335:$A$434,$FG17)*IFERROR($QR$13,0)</f>
        <v>0</v>
      </c>
      <c r="GF17" s="155">
        <f>(_xlfn.MAXIFS(LandEmiss!$BK$335:$BK$434,LandEmiss!$BJ$335:$BJ$434,$FG17)+_xlfn.MAXIFS(LandEmiss!$DV$323:$DV$422,LandEmiss!$DU$323:$DU$422,$FG17))*IFERROR($QR$13,0)</f>
        <v>0</v>
      </c>
      <c r="GG17" s="313">
        <f>IF(OR(VCU!$D$26="fuel gas",VCU!$D$42="fuel gas"),SUMIF(VCU!$E$120:$E$129,$FG17,VCU!$F$120:$F$129),0)*IFERROR($QR$14,0)</f>
        <v>0</v>
      </c>
      <c r="GH17" s="313">
        <f>(_xlfn.MAXIFS(CtrlDevImpacts!$X$57:$X$156,CtrlDevImpacts!$W$57:$W$156,$FG17))*IFERROR($QR$14,0)</f>
        <v>0</v>
      </c>
      <c r="GI17" s="313">
        <f>(_xlfn.MAXIFS(VCU!$F$130:$F$239,VCU!$E$130:$E$239,$FG17)-_xlfn.MAXIFS(CtrlDevImpacts!$X$57:$X$156,CtrlDevImpacts!$W$57:$W$156,$FG17))*IFERROR($QR$14,0)</f>
        <v>0</v>
      </c>
      <c r="GJ17" s="155">
        <f>_xlfn.MAXIFS(LandEmiss!$D$335:$D$434,LandEmiss!$A$335:$A$434,$FG17)*IFERROR($QR$14,0)</f>
        <v>0</v>
      </c>
      <c r="GK17" s="155">
        <f>(_xlfn.MAXIFS(LandEmiss!$BM$335:$BM$434,LandEmiss!$BJ$335:$BJ$434,$FG17)+_xlfn.MAXIFS(LandEmiss!$DX$323:$DX$422,LandEmiss!$DU$323:$DU$422,$FG17))*IFERROR($QR$14,0)</f>
        <v>0</v>
      </c>
      <c r="GL17" s="313">
        <f>IF(VaporOxidizer!D48="FUEL GAS",SUMIF(VaporOxidizer!$E$101:$E$110,$FG17,VaporOxidizer!$F$101:$F$110),0)*IFERROR($QR$15,0)</f>
        <v>0</v>
      </c>
      <c r="GM17" s="313">
        <f>(_xlfn.MAXIFS(CtrlDevImpacts!$AN$57:$AN$156,CtrlDevImpacts!$AM$57:$AM$156,$FG17))*IFERROR($QR$15,0)</f>
        <v>0</v>
      </c>
      <c r="GN17" s="313">
        <f>(_xlfn.MAXIFS(VaporOxidizer!$F$111:$F$220,VaporOxidizer!$E$111:$E$220,$FG17)-_xlfn.MAXIFS(CtrlDevImpacts!$AN$57:$AN$156,CtrlDevImpacts!$AM$57:$AM$156,$FG17))*IFERROR($QR$15,0)</f>
        <v>0</v>
      </c>
      <c r="GO17" s="155">
        <f>_xlfn.MAXIFS(LandEmiss!$F$335:$F$434,LandEmiss!$A$335:$A$434,$FG17)*IFERROR($QR$15,0)</f>
        <v>0</v>
      </c>
      <c r="GP17" s="155">
        <f>(_xlfn.MAXIFS(LandEmiss!$BK$335:$BK$434,LandEmiss!$BO$335:$BO$434,$FG17)+_xlfn.MAXIFS(LandEmiss!$DZ$323:$DZ$422,LandEmiss!$DU$323:$DU$422,$FG17))*IFERROR($QR$15,0)</f>
        <v>0</v>
      </c>
      <c r="GQ17" s="313">
        <f>_xlfn.MAXIFS(CtrlDevImpacts!$BD$57:$BD$156,CtrlDevImpacts!$BC$57:$BC$156,$FG17)*IFERROR(Hidden!$QR$16,0)</f>
        <v>0</v>
      </c>
      <c r="GR17" s="313">
        <f>(_xlfn.MAXIFS(CAS!$H$35:$H$144,CAS!$E$35:$E$144,$FG17)-_xlfn.MAXIFS(CtrlDevImpacts!$BD$57:$BD$156,CtrlDevImpacts!$BC$57:$BC$156,$FG17))*IFERROR(Hidden!$QR$16,0)</f>
        <v>0</v>
      </c>
      <c r="GS17" s="155">
        <f>_xlfn.MAXIFS(LandEmiss!$H$335:$H$434,LandEmiss!$A$335:$A$434,$FG17)*IFERROR($QR$27,0)</f>
        <v>0</v>
      </c>
      <c r="GT17" s="155">
        <f>(_xlfn.MAXIFS(LandEmiss!$BK$335:$BK$434,LandEmiss!$BQ$335:$BQ$434,$FG17)+_xlfn.MAXIFS(LandEmiss!$EB$323:$EB$422,LandEmiss!$DU$323:$DU$422,$FG17))*IFERROR($QR$27,0)</f>
        <v>0</v>
      </c>
      <c r="GU17" s="155">
        <f>_xlfn.MAXIFS(LandEmiss!$J$335:$J$434,LandEmiss!$A$335:$A$434,$FG17)*IFERROR($QR$26,0)</f>
        <v>0</v>
      </c>
      <c r="GV17" s="155">
        <f>(_xlfn.MAXIFS(LandEmiss!$BK$335:$BK$434,LandEmiss!$BS$335:$BS$434,$FG17)+_xlfn.MAXIFS(LandEmiss!$ED$323:$ED$422,LandEmiss!$DU$323:$DU$422,$FG17))*IFERROR($QR$26,0)</f>
        <v>0</v>
      </c>
      <c r="GW17" s="155">
        <f>_xlfn.MAXIFS(LandEmiss!$L$335:$L$434,LandEmiss!$A$335:$A$434,$FG17)*IFERROR($QR$25,0)</f>
        <v>0</v>
      </c>
      <c r="GX17" s="155">
        <f>(_xlfn.MAXIFS(LandEmiss!$BK$335:$BK$434,LandEmiss!$BU$335:$BU$434,$FG17)+_xlfn.MAXIFS(LandEmiss!$EF$323:$EF$422,LandEmiss!$DU$323:$DU$422,$FG17))*IFERROR($QR$25,0)</f>
        <v>0</v>
      </c>
      <c r="GY17" s="155">
        <v>0</v>
      </c>
      <c r="GZ17" s="155">
        <v>0</v>
      </c>
      <c r="HA17" s="155">
        <f>IF(OR(HeaterBoiler1!$E$26&lt;&gt;"fuel gas",HeaterBoiler1!$E$15&lt;&gt;"heater"),0,SUMIF(HeaterBoiler1!$A$54:$D$63,$FG17,HeaterBoiler1!$I$54:$I$63))*IFERROR($QR$19,0)</f>
        <v>0</v>
      </c>
      <c r="HB17" s="207">
        <f>IF(OR(HeaterBoiler2!$E$26&lt;&gt;"fuel gas",HeaterBoiler2!$E$15&lt;&gt;"heater"),0,SUMIF(HeaterBoiler2!$A$54:$D$63,$FG17,HeaterBoiler2!$I$54:$I$63))*IFERROR($QR$21,0)</f>
        <v>0</v>
      </c>
      <c r="HC17" s="155">
        <f>IF(OR(HeaterBoiler1!$E$26&lt;&gt;"fuel gas",HeaterBoiler1!$E$15&lt;&gt;"boiler"),0,SUMIF(HeaterBoiler1!$A$41:$A$50,$FG17,HeaterBoiler1!$F$41:$F$50))*IFERROR($QR$20,0)</f>
        <v>0</v>
      </c>
      <c r="HD17" s="207">
        <f>IF(OR(HeaterBoiler2!$E$26&lt;&gt;"fuel gas",HeaterBoiler2!$E$15&lt;&gt;"boiler"),0,SUMIF(HeaterBoiler2!$A$41:$A$50,$FG17,HeaterBoiler2!$F$41:$F$50))*IFERROR($QR$22,0)</f>
        <v>0</v>
      </c>
      <c r="HE17" s="155">
        <f>SUMIF(Fug!$A$96:$A$205,$FG17,Fug!$I$96:$I$205)*IFERROR(Hidden!$QR$23,0)</f>
        <v>0</v>
      </c>
      <c r="HF17" s="155">
        <f t="shared" si="24"/>
        <v>0</v>
      </c>
      <c r="HG17" s="156">
        <f t="shared" si="25"/>
        <v>0</v>
      </c>
      <c r="HH17" s="156">
        <f t="shared" si="26"/>
        <v>0</v>
      </c>
      <c r="HI17" s="156">
        <f t="shared" si="27"/>
        <v>0</v>
      </c>
      <c r="HJ17" s="156">
        <f t="shared" si="28"/>
        <v>0</v>
      </c>
      <c r="HK17" s="156">
        <f t="shared" si="29"/>
        <v>0</v>
      </c>
      <c r="HL17" s="156">
        <f t="shared" si="30"/>
        <v>0</v>
      </c>
      <c r="NO17" s="155">
        <f>IF(Tank1!$D$22="No control",(SUMIF(Tank1!$E$32:$E$141,$FG17,Tank1!$H$32:$H$141)*(2000/8760)*IFERROR($QV$3,0)),0)</f>
        <v>0</v>
      </c>
      <c r="NP17" s="156">
        <f>SUMIF(LandEmiss!$AE$20:$AE$119,$FG17,LandEmiss!$AK$20:$AK$119)*(2000/8760)*IFERROR($QV$3,0)</f>
        <v>0</v>
      </c>
      <c r="NQ17" s="156">
        <f>(SUMIF(LandEmiss!$CN$20:$CN$119,$FG17,LandEmiss!$CT$20:$CT$119)+SUMIF(LandEmiss!$EY$9:$EY$108,$FG17,LandEmiss!$FE$9:$FE$108))*IFERROR($QV$3,0)*(2000/8760)</f>
        <v>0</v>
      </c>
      <c r="NR17" s="155">
        <f>IF(Tank2!$D$22="No control",(SUMIF(Tank2!$E$32:$E$141,$FG17,Tank2!$H$32:$H$141)*(2000/8760)*IFERROR($QV$4,0)),0)</f>
        <v>0</v>
      </c>
      <c r="NS17" s="156">
        <f>SUMIF(LandEmiss!$AE$20:$AE$119,$FG17,LandEmiss!$AL$20:$AL$119)*(2000/8760)*IFERROR($QV$4,0)</f>
        <v>0</v>
      </c>
      <c r="NT17" s="156">
        <f>(SUMIF(LandEmiss!$CN$20:$CN$119,$FG17,LandEmiss!$CU$20:$CU$119)+SUMIF(LandEmiss!$EY$9:$EY$108,$FG17,LandEmiss!$FF$9:$FF$108))*IFERROR($QV$4,0)*(2000/8760)</f>
        <v>0</v>
      </c>
      <c r="NU17" s="155">
        <f>IF(Tank3!$D$22="No control",(SUMIF(Tank3!$E$32:$E$141,$FG17,Tank3!$H$32:$H$141)*(2000/8760)*IFERROR($QV$5,0)),0)</f>
        <v>0</v>
      </c>
      <c r="NV17" s="156">
        <f>SUMIF(LandEmiss!$AE$20:$AE$119,$FG17,LandEmiss!$AM$20:$AM$119)*(2000/8760)*IFERROR($QV$5,0)</f>
        <v>0</v>
      </c>
      <c r="NW17" s="156">
        <f>(SUMIF(LandEmiss!$CN$20:$CN$119,$FG17,LandEmiss!$CV$20:$CV$119)+SUMIF(LandEmiss!$EY$9:$EY$108,$FG17,LandEmiss!$FG$9:$FG$108))*IFERROR($QV$5,0)*(2000/8760)</f>
        <v>0</v>
      </c>
      <c r="NX17" s="155">
        <f>IF(Tank4!$D$22="No control",(SUMIF(Tank4!$E$32:$E$141,$FG17,Tank4!$H$32:$H$141)*(2000/8760)*IFERROR($QV$6,0)),0)</f>
        <v>0</v>
      </c>
      <c r="NY17" s="156">
        <f>SUMIF(LandEmiss!$AE$20:$AE$119,$FG17,LandEmiss!$AN$20:$AN$119)*(2000/8760)*IFERROR($QV$6,0)</f>
        <v>0</v>
      </c>
      <c r="NZ17" s="156">
        <f>(SUMIF(LandEmiss!$CN$20:$CN$119,$FG17,LandEmiss!$CW$20:$CW$119)+SUMIF(LandEmiss!$EY$9:$EY$108,$FG17,LandEmiss!$FH$9:$FH$108))*IFERROR($QV$6,0)*(2000/8760)</f>
        <v>0</v>
      </c>
      <c r="OA17" s="155">
        <f>IF(Tank5!$D$22="No control",(SUMIF(Tank5!$E$32:$E$141,$FG17,Tank5!$H$32:$H$141)*(2000/8760)*IFERROR($QV$7,0)),0)</f>
        <v>0</v>
      </c>
      <c r="OB17" s="156">
        <f>SUMIF(LandEmiss!$AE$20:$AE$119,$FG17,LandEmiss!$AO$20:$AO$119)*(2000/8760)*IFERROR($QV$7,0)</f>
        <v>0</v>
      </c>
      <c r="OC17" s="156">
        <f>(SUMIF(LandEmiss!$CN$20:$CN$119,$FG17,LandEmiss!$CX$20:$CX$119)+SUMIF(LandEmiss!$EY$9:$EY$108,$FG17,LandEmiss!$FI$9:$FI$108))*IFERROR($QV$7,0)*(2000/8760)</f>
        <v>0</v>
      </c>
      <c r="OD17" s="155">
        <f>SUMIFS('Load-DrumTote'!$L$27:$L$136,'Load-DrumTote'!$F$27:$F$136,$FG17)*IFERROR($QV$8,0)*(2000/8760)</f>
        <v>0</v>
      </c>
      <c r="OE17" s="155">
        <f>SUMIFS('Load-Truck'!$L$27:$L$136,'Load-Truck'!$F$27:$F$136,$FG17)*IFERROR($QV$9,0)*(2000/8760)</f>
        <v>0</v>
      </c>
      <c r="OF17" s="155">
        <f>SUMIFS('Load-Rail'!$L$27:$L$136,'Load-Rail'!$F$27:$F$136,$FG17)*IFERROR($QV$10,0)*(2000/8760)</f>
        <v>0</v>
      </c>
      <c r="OG17" s="155">
        <f>SUMIFS('Load-MarineBarge'!$L$27:$L$136,'Load-MarineBarge'!$F$27:$F$136,$FG17)*IFERROR($QV$11,0)*(2000/8760)</f>
        <v>0</v>
      </c>
      <c r="OH17" s="155">
        <f>SUMIFS('Load-MarineShip'!$L$27:$L$136,'Load-MarineShip'!$F$27:$F$136,$FG17)*IFERROR($QV$12,0)*(2000/8760)</f>
        <v>0</v>
      </c>
      <c r="OI17" s="155">
        <f>(IF(OR(Flare!$D$24="FUEL GAS",Flare!$D$38="FUEL GAS"),SUMIF(Flare!$E$97:$E$106,$FG17,Flare!$G$97:$G$105),0)+SUMIF(Flare!$E$107:$E$216,$FG17,Flare!$G$107:$G$216))*(2000/8730)*IFERROR($QV$13,0)</f>
        <v>0</v>
      </c>
      <c r="OJ17" s="155">
        <f>SUMIF(LandEmiss!$A$335:$A$434,$FG17,LandEmiss!$C$335:$C$434)*(2000/8760)*IFERROR($QV$13,0)</f>
        <v>0</v>
      </c>
      <c r="OK17" s="155">
        <f>(SUMIF(LandEmiss!$BJ$335:$BJ$434,$FG17,LandEmiss!$BL$335:$BL$434)+SUMIF(LandEmiss!$DU$323:$DU$422,$FG17,LandEmiss!$DW$323:$DW$422))*(2000/8760)*IFERROR($QV$13,0)</f>
        <v>0</v>
      </c>
      <c r="OL17" s="155">
        <f>(IF(OR(VCU!$D$26="FUEL GAS",VCU!$D$42="FUEL GAS"),SUMIF(VCU!$E$120:$E$129,$FG17,VCU!$G$120:$G$129),0)+SUMIF(VCU!$E$130:$E$239,$FG17,VCU!G145:G254))*(2000/8760)*IFERROR($QV$14,0)</f>
        <v>0</v>
      </c>
      <c r="OM17" s="155">
        <f>SUMIF(LandEmiss!$A$335:$A$434,$FG17,LandEmiss!$E$335:$E$434)*(2000/8760)*IFERROR($QV$14,0)</f>
        <v>0</v>
      </c>
      <c r="ON17" s="155">
        <f>(SUMIF(LandEmiss!$BJ$335:$BJ$434,$FG17,LandEmiss!$BN$335:$BN$434)+SUMIF(LandEmiss!$DU$323:$DU$422,$FG17,LandEmiss!$DY$323:$DY$422))*(2000/8760)*IFERROR($QV$14,0)</f>
        <v>0</v>
      </c>
      <c r="OO17" s="155">
        <f>(IF(VaporOxidizer!$D$33="FUEL GAS",SUMIF(VaporOxidizer!$E$101:$E$110,$FG17,VaporOxidizer!$G$101:$G$110),0)+SUMIF(VaporOxidizer!$E$111:$E$220,$FG17,VaporOxidizer!$G$111:$G$220))*(2000/8760)*IFERROR($QV$15,0)</f>
        <v>0</v>
      </c>
      <c r="OP17" s="155">
        <f>SUMIF(LandEmiss!$A$335:$A$434,$FG17,LandEmiss!$G$335:$G$434)*(2000/8760)*IFERROR($QV$15,0)</f>
        <v>0</v>
      </c>
      <c r="OQ17" s="155">
        <f>(SUMIF(LandEmiss!$BJ$335:$BJ$434,$FG17,LandEmiss!$BP$335:$BP$434)+SUMIF(LandEmiss!$DU$323:$DU$422,$FG17,LandEmiss!$EA$323:$EA$422))*(2000/8760)*IFERROR($QV$15,0)</f>
        <v>0</v>
      </c>
      <c r="OR17" s="155">
        <f>SUMIF(CAS!$E$35:$E$144,Hidden!$FG17,CAS!$I$35:$I$144)*IFERROR($QV$16,0)*(2000/8760)</f>
        <v>0</v>
      </c>
      <c r="OS17" s="155">
        <f>SUMIF(LandEmiss!$A$335:$A$434,$FG17,LandEmiss!$I$335:$I$434)*(2000/8760)*IFERROR($QV$27,0)</f>
        <v>0</v>
      </c>
      <c r="OT17" s="155">
        <f>(SUMIF(LandEmiss!$BJ$335:$BJ$434,$FG17,LandEmiss!$BR$335:$BR$434)+SUMIF(LandEmiss!$DU$323:$DU$422,$FG17,LandEmiss!$EC$323:$EC$422))*(2000/8760)*IFERROR($QV$27,0)</f>
        <v>0</v>
      </c>
      <c r="OU17" s="155">
        <f>SUMIF(LandEmiss!$A$335:$A$434,$FG17,LandEmiss!$K$335:$K$434)*(2000/8760)*IFERROR($QV$26,0)</f>
        <v>0</v>
      </c>
      <c r="OV17" s="155">
        <f>(SUMIF(LandEmiss!$BJ$335:$BJ$434,$FG17,LandEmiss!$BT$335:$BT$434)+SUMIF(LandEmiss!$DU$323:$DU$422,$FG17,LandEmiss!$EE$323:$EE$422))*(2000/8760)*IFERROR($QV$26,0)</f>
        <v>0</v>
      </c>
      <c r="OW17" s="155">
        <f>SUMIF(LandEmiss!$A$335:$A$434,$FG17,LandEmiss!$M$335:$M$434)*(2000/8760)*IFERROR($QV$25,0)</f>
        <v>0</v>
      </c>
      <c r="OX17" s="155">
        <f>(SUMIF(LandEmiss!$BJ$335:$BJ$434,$FG17,LandEmiss!$BV$335:$BV$434)+SUMIF(LandEmiss!$DU$323:$DU$422,$FG17,LandEmiss!$EG$323:$EG$422))*(2000/8760)*IFERROR($QV$25,0)</f>
        <v>0</v>
      </c>
      <c r="OY17" s="8">
        <v>0</v>
      </c>
      <c r="OZ17" s="207">
        <v>0</v>
      </c>
      <c r="PA17" s="207">
        <f>IF(OR(HeaterBoiler1!$E$26&lt;&gt;"fuel gas",HeaterBoiler1!$E$15&lt;&gt;"heater"),0,(SUMIF(HeaterBoiler1!$A$54:$D$63,$FG17,HeaterBoiler1!$J$54:$J$63))*(2000/8760))*IFERROR($QV$19,0)</f>
        <v>0</v>
      </c>
      <c r="PB17" s="207">
        <f>IF(OR(HeaterBoiler2!$E$26&lt;&gt;"fuel gas",HeaterBoiler2!$E$15&lt;&gt;"heater"),0,(SUMIF(HeaterBoiler2!$A$54:$D$63,$FG17,HeaterBoiler2!$J$54:$J$63))*(2000/8760))*IFERROR($QV$21,0)</f>
        <v>0</v>
      </c>
      <c r="PC17" s="207">
        <f>IF(OR(HeaterBoiler1!$E$26&lt;&gt;"fuel gas",HeaterBoiler1!$E$15&lt;&gt;"boiler"),0,(SUMIF(HeaterBoiler1!$A$54:$D$63,$FG17,HeaterBoiler1!$J$54:$J$63))*(2000/8760))*IFERROR($QV$20,0)</f>
        <v>0</v>
      </c>
      <c r="PD17" s="207">
        <f>IF(OR(HeaterBoiler2!$E$26&lt;&gt;"fuel gas",HeaterBoiler2!$E$15&lt;&gt;"boiler"),0,(SUMIF(HeaterBoiler2!$A$54:$D$63,$FG17,HeaterBoiler2!$J$54:$J$63))*(2000/8760))*IFERROR($QV$22,0)</f>
        <v>0</v>
      </c>
      <c r="PE17" s="8">
        <f>(SUMIF(Fug!$A$96:$A$205,$FG17,Fug!$J$96:$J$205))*IFERROR($QV$23,0)*(2000/8760)</f>
        <v>0</v>
      </c>
      <c r="PF17" s="8">
        <f t="shared" si="31"/>
        <v>0</v>
      </c>
      <c r="PG17" s="156">
        <f t="shared" si="32"/>
        <v>0</v>
      </c>
      <c r="PJ17" s="52" t="str">
        <f>IF(Fug!$F$16=Hidden!$PP$2,"Flanges [8]","Flanges/Connectors")</f>
        <v>Flanges/Connectors</v>
      </c>
      <c r="PK17" s="52" t="str">
        <f>IF(Fug!$F$16=Hidden!$PP$2,"Gas","Light Liquid")</f>
        <v>Light Liquid</v>
      </c>
      <c r="PL17" s="52">
        <v>5.0000000000000001E-4</v>
      </c>
      <c r="PM17" s="52">
        <v>5.0000000000000001E-4</v>
      </c>
      <c r="PN17" s="52">
        <v>5.1999999999999998E-3</v>
      </c>
      <c r="PO17" s="52">
        <v>1.8000000000000001E-4</v>
      </c>
      <c r="PP17" s="52">
        <v>8.5999999999999998E-4</v>
      </c>
      <c r="PQ17" s="52">
        <v>5.5500000000000005E-4</v>
      </c>
      <c r="PR17" s="52">
        <v>1.1000000000000001E-7</v>
      </c>
      <c r="PS17" s="52">
        <v>3.0699999999999998E-4</v>
      </c>
      <c r="PT17" s="52" t="s">
        <v>8783</v>
      </c>
      <c r="PU17" s="52" t="s">
        <v>8769</v>
      </c>
      <c r="PV17" s="52">
        <v>0</v>
      </c>
      <c r="PW17" s="52">
        <v>0.3</v>
      </c>
      <c r="PX17" s="52">
        <v>0.3</v>
      </c>
      <c r="PY17" s="52">
        <v>0.97</v>
      </c>
      <c r="PZ17" s="52">
        <v>0</v>
      </c>
      <c r="QA17" s="52">
        <v>0.97</v>
      </c>
      <c r="QB17" s="52" t="s">
        <v>8810</v>
      </c>
      <c r="QC17" s="52" t="s">
        <v>8802</v>
      </c>
      <c r="QD17" s="52">
        <v>0</v>
      </c>
      <c r="QE17" s="52">
        <v>0.3</v>
      </c>
      <c r="QF17" s="52">
        <v>0.3</v>
      </c>
      <c r="QG17" s="52">
        <v>0.97</v>
      </c>
      <c r="QH17" s="52">
        <v>0</v>
      </c>
      <c r="QI17" s="52">
        <v>0.97</v>
      </c>
      <c r="QK17" s="95" t="s">
        <v>9122</v>
      </c>
      <c r="QM17" s="16" t="s">
        <v>9199</v>
      </c>
      <c r="QN17" s="104" t="e">
        <f t="shared" si="38"/>
        <v>#N/A</v>
      </c>
      <c r="QO17" s="104">
        <f>Engine1!E16</f>
        <v>0</v>
      </c>
      <c r="QP17" s="104">
        <f>Engine1!E15</f>
        <v>0</v>
      </c>
      <c r="QQ17" s="16" t="str">
        <f>IF(QO17&lt;12,QX17,QX18)</f>
        <v>ENGINE8</v>
      </c>
      <c r="QR17" s="16" t="e">
        <f t="shared" si="33"/>
        <v>#N/A</v>
      </c>
      <c r="QS17" s="16" t="e">
        <f t="shared" si="34"/>
        <v>#N/A</v>
      </c>
      <c r="QT17" s="16" t="e">
        <f t="shared" si="35"/>
        <v>#N/A</v>
      </c>
      <c r="QU17" s="16" t="e">
        <f t="shared" si="36"/>
        <v>#N/A</v>
      </c>
      <c r="QV17" s="16" t="e">
        <f t="shared" si="37"/>
        <v>#N/A</v>
      </c>
      <c r="QX17" s="89" t="s">
        <v>9326</v>
      </c>
      <c r="QY17">
        <v>223.2</v>
      </c>
      <c r="QZ17">
        <v>223.2</v>
      </c>
      <c r="RA17">
        <v>223.2</v>
      </c>
      <c r="RB17">
        <v>166.2</v>
      </c>
      <c r="RC17">
        <v>120.2</v>
      </c>
      <c r="RD17">
        <v>107</v>
      </c>
      <c r="RE17">
        <v>97.64</v>
      </c>
      <c r="RF17">
        <v>69.97</v>
      </c>
      <c r="RG17" s="90">
        <v>55.04</v>
      </c>
      <c r="RH17" s="89" t="s">
        <v>9326</v>
      </c>
      <c r="RI17">
        <v>213.9</v>
      </c>
      <c r="RJ17">
        <v>213.9</v>
      </c>
      <c r="RK17">
        <v>213.9</v>
      </c>
      <c r="RL17">
        <v>161.5</v>
      </c>
      <c r="RM17">
        <v>110.9</v>
      </c>
      <c r="RN17">
        <v>85.98</v>
      </c>
      <c r="RO17">
        <v>76.040000000000006</v>
      </c>
      <c r="RP17">
        <v>59.87</v>
      </c>
      <c r="RQ17" s="90">
        <v>51.51</v>
      </c>
      <c r="RR17" s="89" t="s">
        <v>9326</v>
      </c>
      <c r="RS17">
        <v>210.3</v>
      </c>
      <c r="RT17">
        <v>210.3</v>
      </c>
      <c r="RU17">
        <v>210.3</v>
      </c>
      <c r="RV17">
        <v>158.1</v>
      </c>
      <c r="RW17">
        <v>103.9</v>
      </c>
      <c r="RX17">
        <v>75.59</v>
      </c>
      <c r="RY17">
        <v>64.819999999999993</v>
      </c>
      <c r="RZ17">
        <v>45.38</v>
      </c>
      <c r="SA17" s="90">
        <v>37.869999999999997</v>
      </c>
      <c r="SB17" s="89" t="s">
        <v>9326</v>
      </c>
      <c r="SC17">
        <v>149.5</v>
      </c>
      <c r="SD17">
        <v>149.5</v>
      </c>
      <c r="SE17">
        <v>149.5</v>
      </c>
      <c r="SF17">
        <v>111.8</v>
      </c>
      <c r="SG17">
        <v>77.709999999999994</v>
      </c>
      <c r="SH17">
        <v>56.35</v>
      </c>
      <c r="SI17">
        <v>42.1</v>
      </c>
      <c r="SJ17">
        <v>25.66</v>
      </c>
      <c r="SK17" s="90">
        <v>19.82</v>
      </c>
      <c r="SL17" s="89" t="s">
        <v>9326</v>
      </c>
      <c r="SM17">
        <v>17.13</v>
      </c>
      <c r="SN17">
        <v>17.13</v>
      </c>
      <c r="SO17">
        <v>17.13</v>
      </c>
      <c r="SP17">
        <v>17.13</v>
      </c>
      <c r="SQ17">
        <v>12.14</v>
      </c>
      <c r="SR17">
        <v>8.83</v>
      </c>
      <c r="SS17">
        <v>6.71</v>
      </c>
      <c r="ST17">
        <v>3.91</v>
      </c>
      <c r="SU17" s="90">
        <v>2.66</v>
      </c>
      <c r="TI17" s="256" t="s">
        <v>8707</v>
      </c>
      <c r="TJ17" s="158" t="str">
        <f>IF(Tank2!D20&lt;0.5,"TVP &lt; 0.50",IF(AND(Tank2!D20&gt;=0.5,Tank2!D20&lt;11),"0.50 ≤ TVP &lt; 11.0",IF(Tank2!D20&gt;=11,"TVP ≥ 11.0 TVP","")))</f>
        <v>TVP &lt; 0.50</v>
      </c>
      <c r="TK17" s="115" t="str">
        <f>IF(Tank2!D19&lt;25000,"&lt; 25 Mgal","≥ 25 Mgal")</f>
        <v>&lt; 25 Mgal</v>
      </c>
      <c r="TL17" t="s">
        <v>10022</v>
      </c>
      <c r="TM17" s="225" t="str">
        <f>"Meet the requirements of 40 CFR Part 60, Subpart IIII. Fire ultra-low sulfur diesel fuel (no more than 15 ppm sulfur by weight). Limited to "&amp;Engine1!E28&amp;" hrs/yr of non-emergency operation. Will have a non-resettable runtime meter. No visible emissions leave the property. MSS: Minimize duration and occurrence of MSS activities."</f>
        <v>Meet the requirements of 40 CFR Part 60, Subpart IIII. Fire ultra-low sulfur diesel fuel (no more than 15 ppm sulfur by weight). Limited to  hrs/yr of non-emergency operation. Will have a non-resettable runtime meter. No visible emissions leave the property. MSS: Minimize duration and occurrence of MSS activities.</v>
      </c>
    </row>
    <row r="18" spans="1:533" ht="74.25" customHeight="1" x14ac:dyDescent="0.2">
      <c r="A18" s="8" t="s">
        <v>195</v>
      </c>
      <c r="B18" s="8">
        <v>12</v>
      </c>
      <c r="D18" s="8" t="s">
        <v>214</v>
      </c>
      <c r="E18" s="8" t="b">
        <f>IF($D18='PI-1-MarineLoading'!$D$73,TRUE,FALSE)</f>
        <v>0</v>
      </c>
      <c r="W18">
        <f>IF(OR(X18=0,ISNUMBER(MATCH(X18,$X$1:X17,0))),0,MAX($W$1:W17)+1)</f>
        <v>0</v>
      </c>
      <c r="X18" s="123">
        <f>Products!$E65</f>
        <v>0</v>
      </c>
      <c r="Y18" t="str">
        <f t="shared" si="3"/>
        <v/>
      </c>
      <c r="CA18">
        <f>IF(OR(CB18=0,ISNUMBER(MATCH(CB18,$CB$1:CB17,0))),0,MAX($CA$1:CA17)+1)</f>
        <v>0</v>
      </c>
      <c r="CB18" s="8">
        <f>IF(OR(Tank1!$D$18="EXTERNAL FLOATING ROOF",Tank1!$D$18="INTERNAL FLOATING ROOF"),IF(Tank1!$E48="",0,Tank1!$E48),0)</f>
        <v>0</v>
      </c>
      <c r="CC18" s="8" t="str">
        <f t="shared" si="6"/>
        <v/>
      </c>
      <c r="CD18" s="8"/>
      <c r="CE18" s="8">
        <f>IF(OR(CF18=0,ISNUMBER(MATCH(CF18,$CF$1:CF17,0))),0,MAX($CE$1:CE17)+1)</f>
        <v>0</v>
      </c>
      <c r="CF18" s="8">
        <f>IF(OR(Tank1!$D$18="HORIZONTAL FIXED ROOF",Tank1!$D$18="VERTICAL FIXED ROOF"),IF(Tank1!$E48="",0,Tank1!$E48),0)</f>
        <v>0</v>
      </c>
      <c r="CG18" s="8" t="str">
        <f t="shared" si="7"/>
        <v/>
      </c>
      <c r="CJ18">
        <f>IF(OR(CK18=0,ISNUMBER(MATCH(CK18,$CK$1:CK17,0))),0,MAX($CJ$1:CJ17)+1)</f>
        <v>0</v>
      </c>
      <c r="CK18">
        <f>Tank2!$A$98</f>
        <v>0</v>
      </c>
      <c r="CM18">
        <f>IFERROR(VLOOKUP($CK18,Tank2!$A$32:$D$141,3,FALSE),0)</f>
        <v>0</v>
      </c>
      <c r="CN18">
        <f>IFERROR(VLOOKUP($CK18,Tank2!$A$32:$D$141,4,FALSE),0)</f>
        <v>0</v>
      </c>
      <c r="DM18">
        <f>IF(OR(DN18=0,ISNUMBER(MATCH(DN18,$DN$1:DN17,0))),0,MAX($DM$1:DM17)+1)</f>
        <v>0</v>
      </c>
      <c r="DN18">
        <f>IF(Tank2!$D$22="Flare",IFERROR(VLOOKUP(Products!$A$119,Tank2!$A$32:$B$141,1,FALSE),0),0)</f>
        <v>0</v>
      </c>
      <c r="DO18">
        <f>IF($DN18=0,0,VLOOKUP($DN18,Tank2!$A$32:$H$141,7,FALSE))</f>
        <v>0</v>
      </c>
      <c r="DP18">
        <f>IF($DN18=0,0,VLOOKUP($DN18,Tank2!$A$32:$H$141,8,FALSE))</f>
        <v>0</v>
      </c>
      <c r="DU18">
        <f>IF(OR(DV18=0,ISNUMBER(MATCH(DV18,$DV$1:DV17,0))),0,MAX($DU$1:DU17)+1)</f>
        <v>0</v>
      </c>
      <c r="DV18">
        <f>IF(Tank2!$D$22="VCU",IFERROR(VLOOKUP(Products!$A$119,Tank2!$A$32:$B$141,1,FALSE),0),0)</f>
        <v>0</v>
      </c>
      <c r="DW18">
        <f>IF($DV18=0,0,VLOOKUP($DV18,Tank2!$A$32:$H$141,7,FALSE))</f>
        <v>0</v>
      </c>
      <c r="DX18">
        <f>IF($DV18=0,0,VLOOKUP($DV18,Tank2!$A$32:$H$141,8,FALSE))</f>
        <v>0</v>
      </c>
      <c r="EC18">
        <f>IF(OR(ED18=0,ISNUMBER(MATCH(ED18,$ED$1:ED17,0))),0,MAX($EC$1:EC17)+1)</f>
        <v>0</v>
      </c>
      <c r="ED18">
        <f>IF(Tank2!$D$22="vapor oxidizer",IFERROR(VLOOKUP(Products!$A$119,Tank2!$A$32:$B$141,1,FALSE),0),0)</f>
        <v>0</v>
      </c>
      <c r="EE18">
        <f>IF($ED18=0,0,VLOOKUP($ED18,Tank2!$A$32:$H$141,7,FALSE))</f>
        <v>0</v>
      </c>
      <c r="EF18">
        <f>IF($ED18=0,0,VLOOKUP($ED18,Tank2!$A$32:$H$141,8,FALSE))</f>
        <v>0</v>
      </c>
      <c r="EK18">
        <f>IF(OR(EL18=0,ISNUMBER(MATCH(EL18,$EL$1:EL17,0))),0,MAX($EK$1:EK17)+1)</f>
        <v>0</v>
      </c>
      <c r="EL18">
        <f>IF(Tank2!$D$22="CAS",IFERROR(VLOOKUP(Products!A119,Tank2!$A$32:$B$141,1,FALSE),0),0)</f>
        <v>0</v>
      </c>
      <c r="EM18">
        <f>IF($EL18=0,0,VLOOKUP($EL18,Tank2!$A$32:$H$141,7,FALSE))</f>
        <v>0</v>
      </c>
      <c r="EN18">
        <f>IF($EL18=0,0,VLOOKUP($EL18,Tank2!$A$32:$H$141,8,FALSE))</f>
        <v>0</v>
      </c>
      <c r="EX18">
        <f>MSS!$A51</f>
        <v>0</v>
      </c>
      <c r="EY18">
        <f>MSS!$G51*MSS!F$144</f>
        <v>0</v>
      </c>
      <c r="EZ18">
        <f>MSS!$G51*MSS!G$144</f>
        <v>0</v>
      </c>
      <c r="FB18" s="8" t="s">
        <v>389</v>
      </c>
      <c r="FC18" s="8" t="s">
        <v>390</v>
      </c>
      <c r="FD18" s="8">
        <v>490</v>
      </c>
      <c r="FE18" s="8">
        <v>49</v>
      </c>
      <c r="FG18" s="360" t="str">
        <f t="shared" si="23"/>
        <v/>
      </c>
      <c r="FH18" s="155">
        <f>IF(Tank1!$D$22="NO CONTROL",_xlfn.MAXIFS(Tank1!$G$32:$G$141,Tank1!$E$32:$E$141,$FG18),0)*IFERROR($QR$3,0)</f>
        <v>0</v>
      </c>
      <c r="FI18" s="155">
        <f>_xlfn.MAXIFS(LandEmiss!$AF$20:$AF$119,LandEmiss!$AE$20:$AE$119,$FG18)*IFERROR($QR$3,0)</f>
        <v>0</v>
      </c>
      <c r="FJ18" s="155">
        <f>MAX(_xlfn.MAXIFS(LandEmiss!$CO$20:$CO$119,LandEmiss!$CN$20:$CN$119,$FG18),_xlfn.MAXIFS(LandEmiss!$EZ$9:$EZ$108,LandEmiss!$EY$9:$EY$108,$FG18))*IFERROR($QR$3,0)</f>
        <v>0</v>
      </c>
      <c r="FK18" s="155">
        <f>IF(Tank2!$D$22="NO CONTROL",_xlfn.MAXIFS(Tank2!$G$32:$G$141,Tank2!$E$32:$E$141,$FG18),0)*IFERROR($QR$4,0)</f>
        <v>0</v>
      </c>
      <c r="FL18" s="155">
        <f>_xlfn.MAXIFS(LandEmiss!$AG$20:$AG$119,LandEmiss!$AE$20:$AE$119,$FG18)*IFERROR($QR$4,0)</f>
        <v>0</v>
      </c>
      <c r="FM18" s="155">
        <f>MAX(_xlfn.MAXIFS(LandEmiss!$CP$20:$CP$119,LandEmiss!$CN$20:$CN$119,$FG18),_xlfn.MAXIFS(LandEmiss!$FA$9:$FA$108,LandEmiss!$EY$9:$EY$108,$FG18))*IFERROR($QR$4,0)</f>
        <v>0</v>
      </c>
      <c r="FN18" s="155">
        <f>IF(Tank3!$D$22="NO CONTROL",_xlfn.MAXIFS(Tank3!$G$32:$G$141,Tank3!$E$32:$E$141,$FG18),0)*IFERROR($QR$5,0)</f>
        <v>0</v>
      </c>
      <c r="FO18" s="155">
        <f>_xlfn.MAXIFS(LandEmiss!$AH$20:$AH$119,LandEmiss!$AE$20:$AE$119,$FG18)*IFERROR($QR$5,0)</f>
        <v>0</v>
      </c>
      <c r="FP18" s="155">
        <f>MAX(_xlfn.MAXIFS(LandEmiss!$CQ$20:$CQ$119,LandEmiss!$CN$20:$CN$119,$FG18),_xlfn.MAXIFS(LandEmiss!$FB$9:$FB$108,LandEmiss!$EY$9:$EY$108,$FG18))*IFERROR($QR$5,0)</f>
        <v>0</v>
      </c>
      <c r="FQ18" s="155">
        <f>IF(Tank4!$D$22="NO CONTROL",_xlfn.MAXIFS(Tank4!$G$32:$G$141,Tank4!$E$32:$E$141,$FG18),0)*IFERROR($QR$6,0)</f>
        <v>0</v>
      </c>
      <c r="FR18" s="155">
        <f>_xlfn.MAXIFS(LandEmiss!$AI$20:$AI$119,LandEmiss!$AE$20:$AE$119,$FG18)*IFERROR($QR$6,0)</f>
        <v>0</v>
      </c>
      <c r="FS18" s="155">
        <f>MAX(_xlfn.MAXIFS(LandEmiss!$CR$20:$CR$119,LandEmiss!$CN$20:$CN$119,$FG18),_xlfn.MAXIFS(LandEmiss!$FC$9:$FC$108,LandEmiss!$EY$9:$EY$108,$FG18))*IFERROR($QR$6,0)</f>
        <v>0</v>
      </c>
      <c r="FT18" s="155">
        <f>IF(Tank5!$D$22="NO CONTROL",_xlfn.MAXIFS(Tank5!$G$32:$G$141,Tank5!$E$32:$E$141,$FG18),0)*IFERROR($QR$7,0)</f>
        <v>0</v>
      </c>
      <c r="FU18" s="155">
        <f>_xlfn.MAXIFS(LandEmiss!$AJ$20:$AJ$119,LandEmiss!$AE$20:$AE$119,$FG18)*IFERROR($QR$7,0)</f>
        <v>0</v>
      </c>
      <c r="FV18" s="155">
        <f>MAX(_xlfn.MAXIFS(LandEmiss!$CS$20:$CS$119,LandEmiss!$CN$20:$CN$119,$FG18),_xlfn.MAXIFS(LandEmiss!$FD$9:$FD$108,LandEmiss!$EY$9:$EY$108,$FG18))*IFERROR($QR23,0)</f>
        <v>0</v>
      </c>
      <c r="FW18" s="155">
        <f>_xlfn.MAXIFS('Load-DrumTote'!$K$27:$K$136,'Load-DrumTote'!$F$27:$F$136,$FG18)*IFERROR($QR$8,0)</f>
        <v>0</v>
      </c>
      <c r="FX18" s="155">
        <f>_xlfn.MAXIFS('Load-Truck'!$K$27:$K$136,'Load-Truck'!$F$27:$F$136,$FG18)*IFERROR($QR$9,0)</f>
        <v>0</v>
      </c>
      <c r="FY18" s="155">
        <f>_xlfn.MAXIFS('Load-Rail'!$K$27:$K$136,'Load-Rail'!$F$27:$F$136,$FG18)*IFERROR($QR$10,0)</f>
        <v>0</v>
      </c>
      <c r="FZ18" s="155">
        <f>_xlfn.MAXIFS('Load-MarineBarge'!$K$27:$K$136,'Load-MarineBarge'!$F$27:$F$136,$FG18)*IFERROR($QR$11,0)</f>
        <v>0</v>
      </c>
      <c r="GA18" s="155">
        <f>_xlfn.MAXIFS('Load-MarineShip'!$K$27:$K$136,'Load-MarineShip'!$F$27:$F$136,$FG18)*IFERROR($QR$12,0)</f>
        <v>0</v>
      </c>
      <c r="GB18" s="313">
        <f>IF(OR(Flare!$D$24="fuel gas",Flare!$D$38="fuel gas"),SUMIF(Flare!$E$97:$E$106,$FG18,Flare!$F$97:$F$106),0)*IFERROR($QR$13,0)</f>
        <v>0</v>
      </c>
      <c r="GC18" s="313">
        <f>(_xlfn.MAXIFS(CtrlDevImpacts!$I$57:$I$156,CtrlDevImpacts!$H$57:$H$156,$FG18))*IFERROR($QR$13,0)</f>
        <v>0</v>
      </c>
      <c r="GD18" s="313">
        <f>(_xlfn.MAXIFS(Flare!$F$107:$F$216,Flare!$E$107:$E$216,$FG18)-_xlfn.MAXIFS(CtrlDevImpacts!$I$57:$I$156,CtrlDevImpacts!$H$57:$H$156,$FG18))*IFERROR($QR$13,0)</f>
        <v>0</v>
      </c>
      <c r="GE18" s="155">
        <f>_xlfn.MAXIFS(LandEmiss!$B$335:$B$434,LandEmiss!$A$335:$A$434,$FG18)*IFERROR($QR$13,0)</f>
        <v>0</v>
      </c>
      <c r="GF18" s="155">
        <f>(_xlfn.MAXIFS(LandEmiss!$BK$335:$BK$434,LandEmiss!$BJ$335:$BJ$434,$FG18)+_xlfn.MAXIFS(LandEmiss!$DV$323:$DV$422,LandEmiss!$DU$323:$DU$422,$FG18))*IFERROR($QR$13,0)</f>
        <v>0</v>
      </c>
      <c r="GG18" s="313">
        <f>IF(OR(VCU!$D$26="fuel gas",VCU!$D$42="fuel gas"),SUMIF(VCU!$E$120:$E$129,$FG18,VCU!$F$120:$F$129),0)*IFERROR($QR$14,0)</f>
        <v>0</v>
      </c>
      <c r="GH18" s="313">
        <f>(_xlfn.MAXIFS(CtrlDevImpacts!$X$57:$X$156,CtrlDevImpacts!$W$57:$W$156,$FG18))*IFERROR($QR$14,0)</f>
        <v>0</v>
      </c>
      <c r="GI18" s="313">
        <f>(_xlfn.MAXIFS(VCU!$F$130:$F$239,VCU!$E$130:$E$239,$FG18)-_xlfn.MAXIFS(CtrlDevImpacts!$X$57:$X$156,CtrlDevImpacts!$W$57:$W$156,$FG18))*IFERROR($QR$14,0)</f>
        <v>0</v>
      </c>
      <c r="GJ18" s="155">
        <f>_xlfn.MAXIFS(LandEmiss!$D$335:$D$434,LandEmiss!$A$335:$A$434,$FG18)*IFERROR($QR$14,0)</f>
        <v>0</v>
      </c>
      <c r="GK18" s="155">
        <f>(_xlfn.MAXIFS(LandEmiss!$BM$335:$BM$434,LandEmiss!$BJ$335:$BJ$434,$FG18)+_xlfn.MAXIFS(LandEmiss!$DX$323:$DX$422,LandEmiss!$DU$323:$DU$422,$FG18))*IFERROR($QR$14,0)</f>
        <v>0</v>
      </c>
      <c r="GL18" s="313">
        <f>IF(VaporOxidizer!D49="FUEL GAS",SUMIF(VaporOxidizer!$E$101:$E$110,$FG18,VaporOxidizer!$F$101:$F$110),0)*IFERROR($QR$15,0)</f>
        <v>0</v>
      </c>
      <c r="GM18" s="313">
        <f>(_xlfn.MAXIFS(CtrlDevImpacts!$AN$57:$AN$156,CtrlDevImpacts!$AM$57:$AM$156,$FG18))*IFERROR($QR$15,0)</f>
        <v>0</v>
      </c>
      <c r="GN18" s="313">
        <f>(_xlfn.MAXIFS(VaporOxidizer!$F$111:$F$220,VaporOxidizer!$E$111:$E$220,$FG18)-_xlfn.MAXIFS(CtrlDevImpacts!$AN$57:$AN$156,CtrlDevImpacts!$AM$57:$AM$156,$FG18))*IFERROR($QR$15,0)</f>
        <v>0</v>
      </c>
      <c r="GO18" s="155">
        <f>_xlfn.MAXIFS(LandEmiss!$F$335:$F$434,LandEmiss!$A$335:$A$434,$FG18)*IFERROR($QR$15,0)</f>
        <v>0</v>
      </c>
      <c r="GP18" s="155">
        <f>(_xlfn.MAXIFS(LandEmiss!$BK$335:$BK$434,LandEmiss!$BO$335:$BO$434,$FG18)+_xlfn.MAXIFS(LandEmiss!$DZ$323:$DZ$422,LandEmiss!$DU$323:$DU$422,$FG18))*IFERROR($QR$15,0)</f>
        <v>0</v>
      </c>
      <c r="GQ18" s="313">
        <f>_xlfn.MAXIFS(CtrlDevImpacts!$BD$57:$BD$156,CtrlDevImpacts!$BC$57:$BC$156,$FG18)*IFERROR(Hidden!$QR$16,0)</f>
        <v>0</v>
      </c>
      <c r="GR18" s="313">
        <f>(_xlfn.MAXIFS(CAS!$H$35:$H$144,CAS!$E$35:$E$144,$FG18)-_xlfn.MAXIFS(CtrlDevImpacts!$BD$57:$BD$156,CtrlDevImpacts!$BC$57:$BC$156,$FG18))*IFERROR(Hidden!$QR$16,0)</f>
        <v>0</v>
      </c>
      <c r="GS18" s="155">
        <f>_xlfn.MAXIFS(LandEmiss!$H$335:$H$434,LandEmiss!$A$335:$A$434,$FG18)*IFERROR($QR$27,0)</f>
        <v>0</v>
      </c>
      <c r="GT18" s="155">
        <f>(_xlfn.MAXIFS(LandEmiss!$BK$335:$BK$434,LandEmiss!$BQ$335:$BQ$434,$FG18)+_xlfn.MAXIFS(LandEmiss!$EB$323:$EB$422,LandEmiss!$DU$323:$DU$422,$FG18))*IFERROR($QR$27,0)</f>
        <v>0</v>
      </c>
      <c r="GU18" s="155">
        <f>_xlfn.MAXIFS(LandEmiss!$J$335:$J$434,LandEmiss!$A$335:$A$434,$FG18)*IFERROR($QR$26,0)</f>
        <v>0</v>
      </c>
      <c r="GV18" s="155">
        <f>(_xlfn.MAXIFS(LandEmiss!$BK$335:$BK$434,LandEmiss!$BS$335:$BS$434,$FG18)+_xlfn.MAXIFS(LandEmiss!$ED$323:$ED$422,LandEmiss!$DU$323:$DU$422,$FG18))*IFERROR($QR$26,0)</f>
        <v>0</v>
      </c>
      <c r="GW18" s="155">
        <f>_xlfn.MAXIFS(LandEmiss!$L$335:$L$434,LandEmiss!$A$335:$A$434,$FG18)*IFERROR($QR$25,0)</f>
        <v>0</v>
      </c>
      <c r="GX18" s="155">
        <f>(_xlfn.MAXIFS(LandEmiss!$BK$335:$BK$434,LandEmiss!$BU$335:$BU$434,$FG18)+_xlfn.MAXIFS(LandEmiss!$EF$323:$EF$422,LandEmiss!$DU$323:$DU$422,$FG18))*IFERROR($QR$25,0)</f>
        <v>0</v>
      </c>
      <c r="GY18" s="155">
        <v>0</v>
      </c>
      <c r="GZ18" s="155">
        <v>0</v>
      </c>
      <c r="HA18" s="155">
        <f>IF(OR(HeaterBoiler1!$E$26&lt;&gt;"fuel gas",HeaterBoiler1!$E$15&lt;&gt;"heater"),0,SUMIF(HeaterBoiler1!$A$54:$D$63,$FG18,HeaterBoiler1!$I$54:$I$63))*IFERROR($QR$19,0)</f>
        <v>0</v>
      </c>
      <c r="HB18" s="207">
        <f>IF(OR(HeaterBoiler2!$E$26&lt;&gt;"fuel gas",HeaterBoiler2!$E$15&lt;&gt;"heater"),0,SUMIF(HeaterBoiler2!$A$54:$D$63,$FG18,HeaterBoiler2!$I$54:$I$63))*IFERROR($QR$21,0)</f>
        <v>0</v>
      </c>
      <c r="HC18" s="155">
        <f>IF(OR(HeaterBoiler1!$E$26&lt;&gt;"fuel gas",HeaterBoiler1!$E$15&lt;&gt;"boiler"),0,SUMIF(HeaterBoiler1!$A$41:$A$50,$FG18,HeaterBoiler1!$F$41:$F$50))*IFERROR($QR$20,0)</f>
        <v>0</v>
      </c>
      <c r="HD18" s="207">
        <f>IF(OR(HeaterBoiler2!$E$26&lt;&gt;"fuel gas",HeaterBoiler2!$E$15&lt;&gt;"boiler"),0,SUMIF(HeaterBoiler2!$A$41:$A$50,$FG18,HeaterBoiler2!$F$41:$F$50))*IFERROR($QR$22,0)</f>
        <v>0</v>
      </c>
      <c r="HE18" s="155">
        <f>SUMIF(Fug!$A$96:$A$205,$FG18,Fug!$I$96:$I$205)*IFERROR(Hidden!$QR$23,0)</f>
        <v>0</v>
      </c>
      <c r="HF18" s="155">
        <f t="shared" si="24"/>
        <v>0</v>
      </c>
      <c r="HG18" s="156">
        <f t="shared" si="25"/>
        <v>0</v>
      </c>
      <c r="HH18" s="156">
        <f t="shared" si="26"/>
        <v>0</v>
      </c>
      <c r="HI18" s="156">
        <f t="shared" si="27"/>
        <v>0</v>
      </c>
      <c r="HJ18" s="156">
        <f t="shared" si="28"/>
        <v>0</v>
      </c>
      <c r="HK18" s="156">
        <f t="shared" si="29"/>
        <v>0</v>
      </c>
      <c r="HL18" s="156">
        <f t="shared" si="30"/>
        <v>0</v>
      </c>
      <c r="NO18" s="155">
        <f>IF(Tank1!$D$22="No control",(SUMIF(Tank1!$E$32:$E$141,$FG18,Tank1!$H$32:$H$141)*(2000/8760)*IFERROR($QV$3,0)),0)</f>
        <v>0</v>
      </c>
      <c r="NP18" s="156">
        <f>SUMIF(LandEmiss!$AE$20:$AE$119,$FG18,LandEmiss!$AK$20:$AK$119)*(2000/8760)*IFERROR($QV$3,0)</f>
        <v>0</v>
      </c>
      <c r="NQ18" s="156">
        <f>(SUMIF(LandEmiss!$CN$20:$CN$119,$FG18,LandEmiss!$CT$20:$CT$119)+SUMIF(LandEmiss!$EY$9:$EY$108,$FG18,LandEmiss!$FE$9:$FE$108))*IFERROR($QV$3,0)*(2000/8760)</f>
        <v>0</v>
      </c>
      <c r="NR18" s="155">
        <f>IF(Tank2!$D$22="No control",(SUMIF(Tank2!$E$32:$E$141,$FG18,Tank2!$H$32:$H$141)*(2000/8760)*IFERROR($QV$4,0)),0)</f>
        <v>0</v>
      </c>
      <c r="NS18" s="156">
        <f>SUMIF(LandEmiss!$AE$20:$AE$119,$FG18,LandEmiss!$AL$20:$AL$119)*(2000/8760)*IFERROR($QV$4,0)</f>
        <v>0</v>
      </c>
      <c r="NT18" s="156">
        <f>(SUMIF(LandEmiss!$CN$20:$CN$119,$FG18,LandEmiss!$CU$20:$CU$119)+SUMIF(LandEmiss!$EY$9:$EY$108,$FG18,LandEmiss!$FF$9:$FF$108))*IFERROR($QV$4,0)*(2000/8760)</f>
        <v>0</v>
      </c>
      <c r="NU18" s="155">
        <f>IF(Tank3!$D$22="No control",(SUMIF(Tank3!$E$32:$E$141,$FG18,Tank3!$H$32:$H$141)*(2000/8760)*IFERROR($QV$5,0)),0)</f>
        <v>0</v>
      </c>
      <c r="NV18" s="156">
        <f>SUMIF(LandEmiss!$AE$20:$AE$119,$FG18,LandEmiss!$AM$20:$AM$119)*(2000/8760)*IFERROR($QV$5,0)</f>
        <v>0</v>
      </c>
      <c r="NW18" s="156">
        <f>(SUMIF(LandEmiss!$CN$20:$CN$119,$FG18,LandEmiss!$CV$20:$CV$119)+SUMIF(LandEmiss!$EY$9:$EY$108,$FG18,LandEmiss!$FG$9:$FG$108))*IFERROR($QV$5,0)*(2000/8760)</f>
        <v>0</v>
      </c>
      <c r="NX18" s="155">
        <f>IF(Tank4!$D$22="No control",(SUMIF(Tank4!$E$32:$E$141,$FG18,Tank4!$H$32:$H$141)*(2000/8760)*IFERROR($QV$6,0)),0)</f>
        <v>0</v>
      </c>
      <c r="NY18" s="156">
        <f>SUMIF(LandEmiss!$AE$20:$AE$119,$FG18,LandEmiss!$AN$20:$AN$119)*(2000/8760)*IFERROR($QV$6,0)</f>
        <v>0</v>
      </c>
      <c r="NZ18" s="156">
        <f>(SUMIF(LandEmiss!$CN$20:$CN$119,$FG18,LandEmiss!$CW$20:$CW$119)+SUMIF(LandEmiss!$EY$9:$EY$108,$FG18,LandEmiss!$FH$9:$FH$108))*IFERROR($QV$6,0)*(2000/8760)</f>
        <v>0</v>
      </c>
      <c r="OA18" s="155">
        <f>IF(Tank5!$D$22="No control",(SUMIF(Tank5!$E$32:$E$141,$FG18,Tank5!$H$32:$H$141)*(2000/8760)*IFERROR($QV$7,0)),0)</f>
        <v>0</v>
      </c>
      <c r="OB18" s="156">
        <f>SUMIF(LandEmiss!$AE$20:$AE$119,$FG18,LandEmiss!$AO$20:$AO$119)*(2000/8760)*IFERROR($QV$7,0)</f>
        <v>0</v>
      </c>
      <c r="OC18" s="156">
        <f>(SUMIF(LandEmiss!$CN$20:$CN$119,$FG18,LandEmiss!$CX$20:$CX$119)+SUMIF(LandEmiss!$EY$9:$EY$108,$FG18,LandEmiss!$FI$9:$FI$108))*IFERROR($QV$7,0)*(2000/8760)</f>
        <v>0</v>
      </c>
      <c r="OD18" s="155">
        <f>SUMIFS('Load-DrumTote'!$L$27:$L$136,'Load-DrumTote'!$F$27:$F$136,$FG18)*IFERROR($QV$8,0)*(2000/8760)</f>
        <v>0</v>
      </c>
      <c r="OE18" s="155">
        <f>SUMIFS('Load-Truck'!$L$27:$L$136,'Load-Truck'!$F$27:$F$136,$FG18)*IFERROR($QV$9,0)*(2000/8760)</f>
        <v>0</v>
      </c>
      <c r="OF18" s="155">
        <f>SUMIFS('Load-Rail'!$L$27:$L$136,'Load-Rail'!$F$27:$F$136,$FG18)*IFERROR($QV$10,0)*(2000/8760)</f>
        <v>0</v>
      </c>
      <c r="OG18" s="155">
        <f>SUMIFS('Load-MarineBarge'!$L$27:$L$136,'Load-MarineBarge'!$F$27:$F$136,$FG18)*IFERROR($QV$11,0)*(2000/8760)</f>
        <v>0</v>
      </c>
      <c r="OH18" s="155">
        <f>SUMIFS('Load-MarineShip'!$L$27:$L$136,'Load-MarineShip'!$F$27:$F$136,$FG18)*IFERROR($QV$12,0)*(2000/8760)</f>
        <v>0</v>
      </c>
      <c r="OI18" s="155">
        <f>(IF(OR(Flare!$D$24="FUEL GAS",Flare!$D$38="FUEL GAS"),SUMIF(Flare!$E$97:$E$106,$FG18,Flare!$G$97:$G$105),0)+SUMIF(Flare!$E$107:$E$216,$FG18,Flare!$G$107:$G$216))*(2000/8730)*IFERROR($QV$13,0)</f>
        <v>0</v>
      </c>
      <c r="OJ18" s="155">
        <f>SUMIF(LandEmiss!$A$335:$A$434,$FG18,LandEmiss!$C$335:$C$434)*(2000/8760)*IFERROR($QV$13,0)</f>
        <v>0</v>
      </c>
      <c r="OK18" s="155">
        <f>(SUMIF(LandEmiss!$BJ$335:$BJ$434,$FG18,LandEmiss!$BL$335:$BL$434)+SUMIF(LandEmiss!$DU$323:$DU$422,$FG18,LandEmiss!$DW$323:$DW$422))*(2000/8760)*IFERROR($QV$13,0)</f>
        <v>0</v>
      </c>
      <c r="OL18" s="155">
        <f>(IF(OR(VCU!$D$26="FUEL GAS",VCU!$D$42="FUEL GAS"),SUMIF(VCU!$E$120:$E$129,$FG18,VCU!$G$120:$G$129),0)+SUMIF(VCU!$E$130:$E$239,$FG18,VCU!G146:G255))*(2000/8760)*IFERROR($QV$14,0)</f>
        <v>0</v>
      </c>
      <c r="OM18" s="155">
        <f>SUMIF(LandEmiss!$A$335:$A$434,$FG18,LandEmiss!$E$335:$E$434)*(2000/8760)*IFERROR($QV$14,0)</f>
        <v>0</v>
      </c>
      <c r="ON18" s="155">
        <f>(SUMIF(LandEmiss!$BJ$335:$BJ$434,$FG18,LandEmiss!$BN$335:$BN$434)+SUMIF(LandEmiss!$DU$323:$DU$422,$FG18,LandEmiss!$DY$323:$DY$422))*(2000/8760)*IFERROR($QV$14,0)</f>
        <v>0</v>
      </c>
      <c r="OO18" s="155">
        <f>(IF(VaporOxidizer!$D$33="FUEL GAS",SUMIF(VaporOxidizer!$E$101:$E$110,$FG18,VaporOxidizer!$G$101:$G$110),0)+SUMIF(VaporOxidizer!$E$111:$E$220,$FG18,VaporOxidizer!$G$111:$G$220))*(2000/8760)*IFERROR($QV$15,0)</f>
        <v>0</v>
      </c>
      <c r="OP18" s="155">
        <f>SUMIF(LandEmiss!$A$335:$A$434,$FG18,LandEmiss!$G$335:$G$434)*(2000/8760)*IFERROR($QV$15,0)</f>
        <v>0</v>
      </c>
      <c r="OQ18" s="155">
        <f>(SUMIF(LandEmiss!$BJ$335:$BJ$434,$FG18,LandEmiss!$BP$335:$BP$434)+SUMIF(LandEmiss!$DU$323:$DU$422,$FG18,LandEmiss!$EA$323:$EA$422))*(2000/8760)*IFERROR($QV$15,0)</f>
        <v>0</v>
      </c>
      <c r="OR18" s="155">
        <f>SUMIF(CAS!$E$35:$E$144,Hidden!$FG18,CAS!$I$35:$I$144)*IFERROR($QV$16,0)*(2000/8760)</f>
        <v>0</v>
      </c>
      <c r="OS18" s="155">
        <f>SUMIF(LandEmiss!$A$335:$A$434,$FG18,LandEmiss!$I$335:$I$434)*(2000/8760)*IFERROR($QV$27,0)</f>
        <v>0</v>
      </c>
      <c r="OT18" s="155">
        <f>(SUMIF(LandEmiss!$BJ$335:$BJ$434,$FG18,LandEmiss!$BR$335:$BR$434)+SUMIF(LandEmiss!$DU$323:$DU$422,$FG18,LandEmiss!$EC$323:$EC$422))*(2000/8760)*IFERROR($QV$27,0)</f>
        <v>0</v>
      </c>
      <c r="OU18" s="155">
        <f>SUMIF(LandEmiss!$A$335:$A$434,$FG18,LandEmiss!$K$335:$K$434)*(2000/8760)*IFERROR($QV$26,0)</f>
        <v>0</v>
      </c>
      <c r="OV18" s="155">
        <f>(SUMIF(LandEmiss!$BJ$335:$BJ$434,$FG18,LandEmiss!$BT$335:$BT$434)+SUMIF(LandEmiss!$DU$323:$DU$422,$FG18,LandEmiss!$EE$323:$EE$422))*(2000/8760)*IFERROR($QV$26,0)</f>
        <v>0</v>
      </c>
      <c r="OW18" s="155">
        <f>SUMIF(LandEmiss!$A$335:$A$434,$FG18,LandEmiss!$M$335:$M$434)*(2000/8760)*IFERROR($QV$25,0)</f>
        <v>0</v>
      </c>
      <c r="OX18" s="155">
        <f>(SUMIF(LandEmiss!$BJ$335:$BJ$434,$FG18,LandEmiss!$BV$335:$BV$434)+SUMIF(LandEmiss!$DU$323:$DU$422,$FG18,LandEmiss!$EG$323:$EG$422))*(2000/8760)*IFERROR($QV$25,0)</f>
        <v>0</v>
      </c>
      <c r="OY18" s="8">
        <v>0</v>
      </c>
      <c r="OZ18" s="207">
        <v>0</v>
      </c>
      <c r="PA18" s="207">
        <f>IF(OR(HeaterBoiler1!$E$26&lt;&gt;"fuel gas",HeaterBoiler1!$E$15&lt;&gt;"heater"),0,(SUMIF(HeaterBoiler1!$A$54:$D$63,$FG18,HeaterBoiler1!$J$54:$J$63))*(2000/8760))*IFERROR($QV$19,0)</f>
        <v>0</v>
      </c>
      <c r="PB18" s="207">
        <f>IF(OR(HeaterBoiler2!$E$26&lt;&gt;"fuel gas",HeaterBoiler2!$E$15&lt;&gt;"heater"),0,(SUMIF(HeaterBoiler2!$A$54:$D$63,$FG18,HeaterBoiler2!$J$54:$J$63))*(2000/8760))*IFERROR($QV$21,0)</f>
        <v>0</v>
      </c>
      <c r="PC18" s="207">
        <f>IF(OR(HeaterBoiler1!$E$26&lt;&gt;"fuel gas",HeaterBoiler1!$E$15&lt;&gt;"boiler"),0,(SUMIF(HeaterBoiler1!$A$54:$D$63,$FG18,HeaterBoiler1!$J$54:$J$63))*(2000/8760))*IFERROR($QV$20,0)</f>
        <v>0</v>
      </c>
      <c r="PD18" s="207">
        <f>IF(OR(HeaterBoiler2!$E$26&lt;&gt;"fuel gas",HeaterBoiler2!$E$15&lt;&gt;"boiler"),0,(SUMIF(HeaterBoiler2!$A$54:$D$63,$FG18,HeaterBoiler2!$J$54:$J$63))*(2000/8760))*IFERROR($QV$22,0)</f>
        <v>0</v>
      </c>
      <c r="PE18" s="8">
        <f>(SUMIF(Fug!$A$96:$A$205,$FG18,Fug!$J$96:$J$205))*IFERROR($QV$23,0)*(2000/8760)</f>
        <v>0</v>
      </c>
      <c r="PF18" s="8">
        <f t="shared" si="31"/>
        <v>0</v>
      </c>
      <c r="PG18" s="156">
        <f t="shared" si="32"/>
        <v>0</v>
      </c>
      <c r="PJ18" s="52" t="str">
        <f>IF(Fug!$F$16=Hidden!$PP$2,"Flanges-DTM [8]","Flanges/Connectors-DTM")</f>
        <v>Flanges/Connectors-DTM</v>
      </c>
      <c r="PK18" s="52" t="str">
        <f>IF(Fug!$F$16=Hidden!$PP$2,"Gas [4]","Gas/Vapor [4]")</f>
        <v>Gas/Vapor [4]</v>
      </c>
      <c r="PL18" s="52">
        <v>3.8999999999999998E-3</v>
      </c>
      <c r="PM18" s="52">
        <v>2.8999999999999998E-3</v>
      </c>
      <c r="PN18" s="52">
        <v>5.3E-3</v>
      </c>
      <c r="PO18" s="52">
        <v>1.8000000000000001E-4</v>
      </c>
      <c r="PP18" s="52">
        <v>8.5999999999999998E-4</v>
      </c>
      <c r="PQ18" s="52">
        <v>5.5500000000000005E-4</v>
      </c>
      <c r="PR18" s="52">
        <v>1.1000000000000001E-7</v>
      </c>
      <c r="PS18" s="52">
        <v>3.0699999999999998E-4</v>
      </c>
      <c r="PT18" s="52" t="s">
        <v>8784</v>
      </c>
      <c r="PU18" s="52" t="s">
        <v>8769</v>
      </c>
      <c r="PV18" s="52">
        <v>0</v>
      </c>
      <c r="PW18" s="52">
        <v>0</v>
      </c>
      <c r="PX18" s="52">
        <v>0</v>
      </c>
      <c r="PY18" s="52">
        <v>0</v>
      </c>
      <c r="PZ18" s="52">
        <v>0</v>
      </c>
      <c r="QA18" s="52">
        <v>0</v>
      </c>
      <c r="QB18" s="52" t="s">
        <v>8811</v>
      </c>
      <c r="QC18" s="52" t="s">
        <v>8801</v>
      </c>
      <c r="QD18" s="52">
        <v>0</v>
      </c>
      <c r="QE18" s="52">
        <v>0</v>
      </c>
      <c r="QF18" s="52">
        <v>0</v>
      </c>
      <c r="QG18" s="52">
        <v>0</v>
      </c>
      <c r="QH18" s="52">
        <v>0</v>
      </c>
      <c r="QI18" s="52">
        <v>0</v>
      </c>
      <c r="QK18" s="95" t="s">
        <v>9123</v>
      </c>
      <c r="QM18" s="16" t="s">
        <v>9200</v>
      </c>
      <c r="QN18" s="104" t="e">
        <f t="shared" si="38"/>
        <v>#N/A</v>
      </c>
      <c r="QO18" s="104">
        <f>Engine2!E16</f>
        <v>0</v>
      </c>
      <c r="QP18" s="104">
        <f>Engine2!E15</f>
        <v>0</v>
      </c>
      <c r="QQ18" s="16" t="str">
        <f>IF(QO18&lt;12,QX17,QX18)</f>
        <v>ENGINE8</v>
      </c>
      <c r="QR18" s="16" t="e">
        <f t="shared" si="33"/>
        <v>#N/A</v>
      </c>
      <c r="QS18" s="16" t="e">
        <f t="shared" si="34"/>
        <v>#N/A</v>
      </c>
      <c r="QT18" s="16" t="e">
        <f t="shared" si="35"/>
        <v>#N/A</v>
      </c>
      <c r="QU18" s="16" t="e">
        <f t="shared" si="36"/>
        <v>#N/A</v>
      </c>
      <c r="QV18" s="16" t="e">
        <f t="shared" si="37"/>
        <v>#N/A</v>
      </c>
      <c r="QX18" s="89" t="s">
        <v>9327</v>
      </c>
      <c r="QY18">
        <v>117</v>
      </c>
      <c r="QZ18">
        <v>117</v>
      </c>
      <c r="RA18">
        <v>117</v>
      </c>
      <c r="RB18">
        <v>113.6</v>
      </c>
      <c r="RC18">
        <v>96.28</v>
      </c>
      <c r="RD18">
        <v>90.87</v>
      </c>
      <c r="RE18">
        <v>86.74</v>
      </c>
      <c r="RF18">
        <v>62.83</v>
      </c>
      <c r="RG18" s="90">
        <v>50.79</v>
      </c>
      <c r="RH18" s="89" t="s">
        <v>9327</v>
      </c>
      <c r="RI18">
        <v>107.9</v>
      </c>
      <c r="RJ18">
        <v>107.9</v>
      </c>
      <c r="RK18">
        <v>107.9</v>
      </c>
      <c r="RL18">
        <v>107.4</v>
      </c>
      <c r="RM18">
        <v>82.94</v>
      </c>
      <c r="RN18">
        <v>67.75</v>
      </c>
      <c r="RO18">
        <v>62.09</v>
      </c>
      <c r="RP18">
        <v>51.2</v>
      </c>
      <c r="RQ18" s="90">
        <v>45.55</v>
      </c>
      <c r="RR18" s="89" t="s">
        <v>9327</v>
      </c>
      <c r="RS18">
        <v>105.8</v>
      </c>
      <c r="RT18">
        <v>105.8</v>
      </c>
      <c r="RU18">
        <v>105.8</v>
      </c>
      <c r="RV18">
        <v>103.3</v>
      </c>
      <c r="RW18">
        <v>80.010000000000005</v>
      </c>
      <c r="RX18">
        <v>61.86</v>
      </c>
      <c r="RY18">
        <v>53.92</v>
      </c>
      <c r="RZ18">
        <v>39.57</v>
      </c>
      <c r="SA18" s="90">
        <v>33.46</v>
      </c>
      <c r="SB18" s="89" t="s">
        <v>9327</v>
      </c>
      <c r="SC18">
        <v>77.44</v>
      </c>
      <c r="SD18">
        <v>77.44</v>
      </c>
      <c r="SE18">
        <v>77.44</v>
      </c>
      <c r="SF18">
        <v>77.44</v>
      </c>
      <c r="SG18">
        <v>59.41</v>
      </c>
      <c r="SH18">
        <v>47.63</v>
      </c>
      <c r="SI18">
        <v>37.42</v>
      </c>
      <c r="SJ18">
        <v>22.72</v>
      </c>
      <c r="SK18" s="90">
        <v>18.18</v>
      </c>
      <c r="SL18" s="89" t="s">
        <v>9327</v>
      </c>
      <c r="SM18">
        <v>11.28</v>
      </c>
      <c r="SN18">
        <v>11.28</v>
      </c>
      <c r="SO18">
        <v>11.28</v>
      </c>
      <c r="SP18">
        <v>11.28</v>
      </c>
      <c r="SQ18">
        <v>9.5299999999999994</v>
      </c>
      <c r="SR18">
        <v>7.44</v>
      </c>
      <c r="SS18">
        <v>5.88</v>
      </c>
      <c r="ST18">
        <v>3.59</v>
      </c>
      <c r="SU18" s="90">
        <v>2.48</v>
      </c>
      <c r="TI18" s="256" t="s">
        <v>8708</v>
      </c>
      <c r="TJ18" s="158" t="str">
        <f>IF(Tank3!D20&lt;0.5,"TVP &lt; 0.50",IF(AND(Tank3!D20&gt;=0.5,Tank3!D20&lt;11),"0.50 ≤ TVP &lt; 11.0",IF(Tank3!D20&gt;=11,"TVP ≥ 11.0 TVP","")))</f>
        <v>TVP &lt; 0.50</v>
      </c>
      <c r="TK18" s="115" t="str">
        <f>IF(Tank3!D19&lt;25000,"&lt; 25 Mgal","≥ 25 Mgal")</f>
        <v>&lt; 25 Mgal</v>
      </c>
      <c r="TL18" t="s">
        <v>10209</v>
      </c>
      <c r="TM18" s="225" t="str">
        <f>"Meet the requirements of 40 CFR Part 60, Subpart IIII. Fire ultra-low sulfur diesel fuel (no more than 15 ppm sulfur by weight). Limited to "&amp;Engine2!E28&amp;" hrs/yr of non-emergency operation. Will have a non-resettable runtime meter. No visible emissions leave the property. MSS: Minimize duration and occurrence of MSS activities."</f>
        <v>Meet the requirements of 40 CFR Part 60, Subpart IIII. Fire ultra-low sulfur diesel fuel (no more than 15 ppm sulfur by weight). Limited to  hrs/yr of non-emergency operation. Will have a non-resettable runtime meter. No visible emissions leave the property. MSS: Minimize duration and occurrence of MSS activities.</v>
      </c>
    </row>
    <row r="19" spans="1:533" ht="74.25" customHeight="1" x14ac:dyDescent="0.2">
      <c r="A19" s="8" t="s">
        <v>196</v>
      </c>
      <c r="B19" s="8">
        <v>15</v>
      </c>
      <c r="D19" s="8" t="s">
        <v>215</v>
      </c>
      <c r="E19" s="8" t="b">
        <f>IF($D19='PI-1-MarineLoading'!$D$73,TRUE,FALSE)</f>
        <v>0</v>
      </c>
      <c r="W19">
        <f>IF(OR(X19=0,ISNUMBER(MATCH(X19,$X$1:X18,0))),0,MAX($W$1:W18)+1)</f>
        <v>0</v>
      </c>
      <c r="X19" s="123">
        <f>Products!$E66</f>
        <v>0</v>
      </c>
      <c r="Y19" t="str">
        <f t="shared" si="3"/>
        <v/>
      </c>
      <c r="CA19">
        <f>IF(OR(CB19=0,ISNUMBER(MATCH(CB19,$CB$1:CB18,0))),0,MAX($CA$1:CA18)+1)</f>
        <v>0</v>
      </c>
      <c r="CB19" s="8">
        <f>IF(OR(Tank1!$D$18="EXTERNAL FLOATING ROOF",Tank1!$D$18="INTERNAL FLOATING ROOF"),IF(Tank1!$E49="",0,Tank1!$E49),0)</f>
        <v>0</v>
      </c>
      <c r="CC19" s="8" t="str">
        <f t="shared" si="6"/>
        <v/>
      </c>
      <c r="CD19" s="8"/>
      <c r="CE19" s="8">
        <f>IF(OR(CF19=0,ISNUMBER(MATCH(CF19,$CF$1:CF18,0))),0,MAX($CE$1:CE18)+1)</f>
        <v>0</v>
      </c>
      <c r="CF19" s="8">
        <f>IF(OR(Tank1!$D$18="HORIZONTAL FIXED ROOF",Tank1!$D$18="VERTICAL FIXED ROOF"),IF(Tank1!$E49="",0,Tank1!$E49),0)</f>
        <v>0</v>
      </c>
      <c r="CG19" s="8" t="str">
        <f t="shared" si="7"/>
        <v/>
      </c>
      <c r="CJ19">
        <f>IF(OR(CK19=0,ISNUMBER(MATCH(CK19,$CK$1:CK18,0))),0,MAX($CJ$1:CJ18)+1)</f>
        <v>0</v>
      </c>
      <c r="CK19">
        <f>Tank2!$A$109</f>
        <v>0</v>
      </c>
      <c r="CM19">
        <f>IFERROR(VLOOKUP($CK19,Tank2!$A$32:$D$141,3,FALSE),0)</f>
        <v>0</v>
      </c>
      <c r="CN19">
        <f>IFERROR(VLOOKUP($CK19,Tank2!$A$32:$D$141,4,FALSE),0)</f>
        <v>0</v>
      </c>
      <c r="DM19">
        <f>IF(OR(DN19=0,ISNUMBER(MATCH(DN19,$DN$1:DN18,0))),0,MAX($DM$1:DM18)+1)</f>
        <v>0</v>
      </c>
      <c r="DN19">
        <f>IF(Tank2!$D$22="Flare",IFERROR(VLOOKUP(Products!$A$129,Tank2!$A$32:$B$141,1,FALSE),0),0)</f>
        <v>0</v>
      </c>
      <c r="DO19">
        <f>IF($DN19=0,0,VLOOKUP($DN19,Tank2!$A$32:$H$141,7,FALSE))</f>
        <v>0</v>
      </c>
      <c r="DP19">
        <f>IF($DN19=0,0,VLOOKUP($DN19,Tank2!$A$32:$H$141,8,FALSE))</f>
        <v>0</v>
      </c>
      <c r="DU19">
        <f>IF(OR(DV19=0,ISNUMBER(MATCH(DV19,$DV$1:DV18,0))),0,MAX($DU$1:DU18)+1)</f>
        <v>0</v>
      </c>
      <c r="DV19">
        <f>IF(Tank2!$D$22="VCU",IFERROR(VLOOKUP(Products!$A$129,Tank2!$A$32:$B$141,1,FALSE),0),0)</f>
        <v>0</v>
      </c>
      <c r="DW19">
        <f>IF($DV19=0,0,VLOOKUP($DV19,Tank2!$A$32:$H$141,7,FALSE))</f>
        <v>0</v>
      </c>
      <c r="DX19">
        <f>IF($DV19=0,0,VLOOKUP($DV19,Tank2!$A$32:$H$141,8,FALSE))</f>
        <v>0</v>
      </c>
      <c r="EC19">
        <f>IF(OR(ED19=0,ISNUMBER(MATCH(ED19,$ED$1:ED18,0))),0,MAX($EC$1:EC18)+1)</f>
        <v>0</v>
      </c>
      <c r="ED19">
        <f>IF(Tank2!$D$22="vapor oxidizer",IFERROR(VLOOKUP(Products!$A$129,Tank2!$A$32:$B$141,1,FALSE),0),0)</f>
        <v>0</v>
      </c>
      <c r="EE19">
        <f>IF($ED19=0,0,VLOOKUP($ED19,Tank2!$A$32:$H$141,7,FALSE))</f>
        <v>0</v>
      </c>
      <c r="EF19">
        <f>IF($ED19=0,0,VLOOKUP($ED19,Tank2!$A$32:$H$141,8,FALSE))</f>
        <v>0</v>
      </c>
      <c r="EK19">
        <f>IF(OR(EL19=0,ISNUMBER(MATCH(EL19,$EL$1:EL18,0))),0,MAX($EK$1:EK18)+1)</f>
        <v>0</v>
      </c>
      <c r="EL19">
        <f>IF(Tank2!$D$22="CAS",IFERROR(VLOOKUP(Products!A129,Tank2!$A$32:$B$141,1,FALSE),0),0)</f>
        <v>0</v>
      </c>
      <c r="EM19">
        <f>IF($EL19=0,0,VLOOKUP($EL19,Tank2!$A$32:$H$141,7,FALSE))</f>
        <v>0</v>
      </c>
      <c r="EN19">
        <f>IF($EL19=0,0,VLOOKUP($EL19,Tank2!$A$32:$H$141,8,FALSE))</f>
        <v>0</v>
      </c>
      <c r="EX19">
        <f>MSS!$A52</f>
        <v>0</v>
      </c>
      <c r="EY19">
        <f>MSS!$G52*MSS!F$144</f>
        <v>0</v>
      </c>
      <c r="EZ19">
        <f>MSS!$G52*MSS!G$144</f>
        <v>0</v>
      </c>
      <c r="FB19" s="8" t="s">
        <v>391</v>
      </c>
      <c r="FC19" s="8" t="s">
        <v>392</v>
      </c>
      <c r="FD19" s="8">
        <v>260</v>
      </c>
      <c r="FE19" s="8">
        <v>26</v>
      </c>
      <c r="FG19" s="360" t="str">
        <f t="shared" si="23"/>
        <v/>
      </c>
      <c r="FH19" s="155">
        <f>IF(Tank1!$D$22="NO CONTROL",_xlfn.MAXIFS(Tank1!$G$32:$G$141,Tank1!$E$32:$E$141,$FG19),0)*IFERROR($QR$3,0)</f>
        <v>0</v>
      </c>
      <c r="FI19" s="155">
        <f>_xlfn.MAXIFS(LandEmiss!$AF$20:$AF$119,LandEmiss!$AE$20:$AE$119,$FG19)*IFERROR($QR$3,0)</f>
        <v>0</v>
      </c>
      <c r="FJ19" s="155">
        <f>MAX(_xlfn.MAXIFS(LandEmiss!$CO$20:$CO$119,LandEmiss!$CN$20:$CN$119,$FG19),_xlfn.MAXIFS(LandEmiss!$EZ$9:$EZ$108,LandEmiss!$EY$9:$EY$108,$FG19))*IFERROR($QR$3,0)</f>
        <v>0</v>
      </c>
      <c r="FK19" s="155">
        <f>IF(Tank2!$D$22="NO CONTROL",_xlfn.MAXIFS(Tank2!$G$32:$G$141,Tank2!$E$32:$E$141,$FG19),0)*IFERROR($QR$4,0)</f>
        <v>0</v>
      </c>
      <c r="FL19" s="155">
        <f>_xlfn.MAXIFS(LandEmiss!$AG$20:$AG$119,LandEmiss!$AE$20:$AE$119,$FG19)*IFERROR($QR$4,0)</f>
        <v>0</v>
      </c>
      <c r="FM19" s="155">
        <f>MAX(_xlfn.MAXIFS(LandEmiss!$CP$20:$CP$119,LandEmiss!$CN$20:$CN$119,$FG19),_xlfn.MAXIFS(LandEmiss!$FA$9:$FA$108,LandEmiss!$EY$9:$EY$108,$FG19))*IFERROR($QR$4,0)</f>
        <v>0</v>
      </c>
      <c r="FN19" s="155">
        <f>IF(Tank3!$D$22="NO CONTROL",_xlfn.MAXIFS(Tank3!$G$32:$G$141,Tank3!$E$32:$E$141,$FG19),0)*IFERROR($QR$5,0)</f>
        <v>0</v>
      </c>
      <c r="FO19" s="155">
        <f>_xlfn.MAXIFS(LandEmiss!$AH$20:$AH$119,LandEmiss!$AE$20:$AE$119,$FG19)*IFERROR($QR$5,0)</f>
        <v>0</v>
      </c>
      <c r="FP19" s="155">
        <f>MAX(_xlfn.MAXIFS(LandEmiss!$CQ$20:$CQ$119,LandEmiss!$CN$20:$CN$119,$FG19),_xlfn.MAXIFS(LandEmiss!$FB$9:$FB$108,LandEmiss!$EY$9:$EY$108,$FG19))*IFERROR($QR$5,0)</f>
        <v>0</v>
      </c>
      <c r="FQ19" s="155">
        <f>IF(Tank4!$D$22="NO CONTROL",_xlfn.MAXIFS(Tank4!$G$32:$G$141,Tank4!$E$32:$E$141,$FG19),0)*IFERROR($QR$6,0)</f>
        <v>0</v>
      </c>
      <c r="FR19" s="155">
        <f>_xlfn.MAXIFS(LandEmiss!$AI$20:$AI$119,LandEmiss!$AE$20:$AE$119,$FG19)*IFERROR($QR$6,0)</f>
        <v>0</v>
      </c>
      <c r="FS19" s="155">
        <f>MAX(_xlfn.MAXIFS(LandEmiss!$CR$20:$CR$119,LandEmiss!$CN$20:$CN$119,$FG19),_xlfn.MAXIFS(LandEmiss!$FC$9:$FC$108,LandEmiss!$EY$9:$EY$108,$FG19))*IFERROR($QR$6,0)</f>
        <v>0</v>
      </c>
      <c r="FT19" s="155">
        <f>IF(Tank5!$D$22="NO CONTROL",_xlfn.MAXIFS(Tank5!$G$32:$G$141,Tank5!$E$32:$E$141,$FG19),0)*IFERROR($QR$7,0)</f>
        <v>0</v>
      </c>
      <c r="FU19" s="155">
        <f>_xlfn.MAXIFS(LandEmiss!$AJ$20:$AJ$119,LandEmiss!$AE$20:$AE$119,$FG19)*IFERROR($QR$7,0)</f>
        <v>0</v>
      </c>
      <c r="FV19" s="155">
        <f>MAX(_xlfn.MAXIFS(LandEmiss!$CS$20:$CS$119,LandEmiss!$CN$20:$CN$119,$FG19),_xlfn.MAXIFS(LandEmiss!$FD$9:$FD$108,LandEmiss!$EY$9:$EY$108,$FG19))*IFERROR($QR24,0)</f>
        <v>0</v>
      </c>
      <c r="FW19" s="155">
        <f>_xlfn.MAXIFS('Load-DrumTote'!$K$27:$K$136,'Load-DrumTote'!$F$27:$F$136,$FG19)*IFERROR($QR$8,0)</f>
        <v>0</v>
      </c>
      <c r="FX19" s="155">
        <f>_xlfn.MAXIFS('Load-Truck'!$K$27:$K$136,'Load-Truck'!$F$27:$F$136,$FG19)*IFERROR($QR$9,0)</f>
        <v>0</v>
      </c>
      <c r="FY19" s="155">
        <f>_xlfn.MAXIFS('Load-Rail'!$K$27:$K$136,'Load-Rail'!$F$27:$F$136,$FG19)*IFERROR($QR$10,0)</f>
        <v>0</v>
      </c>
      <c r="FZ19" s="155">
        <f>_xlfn.MAXIFS('Load-MarineBarge'!$K$27:$K$136,'Load-MarineBarge'!$F$27:$F$136,$FG19)*IFERROR($QR$11,0)</f>
        <v>0</v>
      </c>
      <c r="GA19" s="155">
        <f>_xlfn.MAXIFS('Load-MarineShip'!$K$27:$K$136,'Load-MarineShip'!$F$27:$F$136,$FG19)*IFERROR($QR$12,0)</f>
        <v>0</v>
      </c>
      <c r="GB19" s="313">
        <f>IF(OR(Flare!$D$24="fuel gas",Flare!$D$38="fuel gas"),SUMIF(Flare!$E$97:$E$106,$FG19,Flare!$F$97:$F$106),0)*IFERROR($QR$13,0)</f>
        <v>0</v>
      </c>
      <c r="GC19" s="313">
        <f>(_xlfn.MAXIFS(CtrlDevImpacts!$I$57:$I$156,CtrlDevImpacts!$H$57:$H$156,$FG19))*IFERROR($QR$13,0)</f>
        <v>0</v>
      </c>
      <c r="GD19" s="313">
        <f>(_xlfn.MAXIFS(Flare!$F$107:$F$216,Flare!$E$107:$E$216,$FG19)-_xlfn.MAXIFS(CtrlDevImpacts!$I$57:$I$156,CtrlDevImpacts!$H$57:$H$156,$FG19))*IFERROR($QR$13,0)</f>
        <v>0</v>
      </c>
      <c r="GE19" s="155">
        <f>_xlfn.MAXIFS(LandEmiss!$B$335:$B$434,LandEmiss!$A$335:$A$434,$FG19)*IFERROR($QR$13,0)</f>
        <v>0</v>
      </c>
      <c r="GF19" s="155">
        <f>(_xlfn.MAXIFS(LandEmiss!$BK$335:$BK$434,LandEmiss!$BJ$335:$BJ$434,$FG19)+_xlfn.MAXIFS(LandEmiss!$DV$323:$DV$422,LandEmiss!$DU$323:$DU$422,$FG19))*IFERROR($QR$13,0)</f>
        <v>0</v>
      </c>
      <c r="GG19" s="313">
        <f>IF(OR(VCU!$D$26="fuel gas",VCU!$D$42="fuel gas"),SUMIF(VCU!$E$120:$E$129,$FG19,VCU!$F$120:$F$129),0)*IFERROR($QR$14,0)</f>
        <v>0</v>
      </c>
      <c r="GH19" s="313">
        <f>(_xlfn.MAXIFS(CtrlDevImpacts!$X$57:$X$156,CtrlDevImpacts!$W$57:$W$156,$FG19))*IFERROR($QR$14,0)</f>
        <v>0</v>
      </c>
      <c r="GI19" s="313">
        <f>(_xlfn.MAXIFS(VCU!$F$130:$F$239,VCU!$E$130:$E$239,$FG19)-_xlfn.MAXIFS(CtrlDevImpacts!$X$57:$X$156,CtrlDevImpacts!$W$57:$W$156,$FG19))*IFERROR($QR$14,0)</f>
        <v>0</v>
      </c>
      <c r="GJ19" s="155">
        <f>_xlfn.MAXIFS(LandEmiss!$D$335:$D$434,LandEmiss!$A$335:$A$434,$FG19)*IFERROR($QR$14,0)</f>
        <v>0</v>
      </c>
      <c r="GK19" s="155">
        <f>(_xlfn.MAXIFS(LandEmiss!$BM$335:$BM$434,LandEmiss!$BJ$335:$BJ$434,$FG19)+_xlfn.MAXIFS(LandEmiss!$DX$323:$DX$422,LandEmiss!$DU$323:$DU$422,$FG19))*IFERROR($QR$14,0)</f>
        <v>0</v>
      </c>
      <c r="GL19" s="313">
        <f>IF(VaporOxidizer!D50="FUEL GAS",SUMIF(VaporOxidizer!$E$101:$E$110,$FG19,VaporOxidizer!$F$101:$F$110),0)*IFERROR($QR$15,0)</f>
        <v>0</v>
      </c>
      <c r="GM19" s="313">
        <f>(_xlfn.MAXIFS(CtrlDevImpacts!$AN$57:$AN$156,CtrlDevImpacts!$AM$57:$AM$156,$FG19))*IFERROR($QR$15,0)</f>
        <v>0</v>
      </c>
      <c r="GN19" s="313">
        <f>(_xlfn.MAXIFS(VaporOxidizer!$F$111:$F$220,VaporOxidizer!$E$111:$E$220,$FG19)-_xlfn.MAXIFS(CtrlDevImpacts!$AN$57:$AN$156,CtrlDevImpacts!$AM$57:$AM$156,$FG19))*IFERROR($QR$15,0)</f>
        <v>0</v>
      </c>
      <c r="GO19" s="155">
        <f>_xlfn.MAXIFS(LandEmiss!$F$335:$F$434,LandEmiss!$A$335:$A$434,$FG19)*IFERROR($QR$15,0)</f>
        <v>0</v>
      </c>
      <c r="GP19" s="155">
        <f>(_xlfn.MAXIFS(LandEmiss!$BK$335:$BK$434,LandEmiss!$BO$335:$BO$434,$FG19)+_xlfn.MAXIFS(LandEmiss!$DZ$323:$DZ$422,LandEmiss!$DU$323:$DU$422,$FG19))*IFERROR($QR$15,0)</f>
        <v>0</v>
      </c>
      <c r="GQ19" s="313">
        <f>_xlfn.MAXIFS(CtrlDevImpacts!$BD$57:$BD$156,CtrlDevImpacts!$BC$57:$BC$156,$FG19)*IFERROR(Hidden!$QR$16,0)</f>
        <v>0</v>
      </c>
      <c r="GR19" s="313">
        <f>(_xlfn.MAXIFS(CAS!$H$35:$H$144,CAS!$E$35:$E$144,$FG19)-_xlfn.MAXIFS(CtrlDevImpacts!$BD$57:$BD$156,CtrlDevImpacts!$BC$57:$BC$156,$FG19))*IFERROR(Hidden!$QR$16,0)</f>
        <v>0</v>
      </c>
      <c r="GS19" s="155">
        <f>_xlfn.MAXIFS(LandEmiss!$H$335:$H$434,LandEmiss!$A$335:$A$434,$FG19)*IFERROR($QR$27,0)</f>
        <v>0</v>
      </c>
      <c r="GT19" s="155">
        <f>(_xlfn.MAXIFS(LandEmiss!$BK$335:$BK$434,LandEmiss!$BQ$335:$BQ$434,$FG19)+_xlfn.MAXIFS(LandEmiss!$EB$323:$EB$422,LandEmiss!$DU$323:$DU$422,$FG19))*IFERROR($QR$27,0)</f>
        <v>0</v>
      </c>
      <c r="GU19" s="155">
        <f>_xlfn.MAXIFS(LandEmiss!$J$335:$J$434,LandEmiss!$A$335:$A$434,$FG19)*IFERROR($QR$26,0)</f>
        <v>0</v>
      </c>
      <c r="GV19" s="155">
        <f>(_xlfn.MAXIFS(LandEmiss!$BK$335:$BK$434,LandEmiss!$BS$335:$BS$434,$FG19)+_xlfn.MAXIFS(LandEmiss!$ED$323:$ED$422,LandEmiss!$DU$323:$DU$422,$FG19))*IFERROR($QR$26,0)</f>
        <v>0</v>
      </c>
      <c r="GW19" s="155">
        <f>_xlfn.MAXIFS(LandEmiss!$L$335:$L$434,LandEmiss!$A$335:$A$434,$FG19)*IFERROR($QR$25,0)</f>
        <v>0</v>
      </c>
      <c r="GX19" s="155">
        <f>(_xlfn.MAXIFS(LandEmiss!$BK$335:$BK$434,LandEmiss!$BU$335:$BU$434,$FG19)+_xlfn.MAXIFS(LandEmiss!$EF$323:$EF$422,LandEmiss!$DU$323:$DU$422,$FG19))*IFERROR($QR$25,0)</f>
        <v>0</v>
      </c>
      <c r="GY19" s="155">
        <v>0</v>
      </c>
      <c r="GZ19" s="155">
        <v>0</v>
      </c>
      <c r="HA19" s="155">
        <f>IF(OR(HeaterBoiler1!$E$26&lt;&gt;"fuel gas",HeaterBoiler1!$E$15&lt;&gt;"heater"),0,SUMIF(HeaterBoiler1!$A$54:$D$63,$FG19,HeaterBoiler1!$I$54:$I$63))*IFERROR($QR$19,0)</f>
        <v>0</v>
      </c>
      <c r="HB19" s="207">
        <f>IF(OR(HeaterBoiler2!$E$26&lt;&gt;"fuel gas",HeaterBoiler2!$E$15&lt;&gt;"heater"),0,SUMIF(HeaterBoiler2!$A$54:$D$63,$FG19,HeaterBoiler2!$I$54:$I$63))*IFERROR($QR$21,0)</f>
        <v>0</v>
      </c>
      <c r="HC19" s="155">
        <f>IF(OR(HeaterBoiler1!$E$26&lt;&gt;"fuel gas",HeaterBoiler1!$E$15&lt;&gt;"boiler"),0,SUMIF(HeaterBoiler1!$A$41:$A$50,$FG19,HeaterBoiler1!$F$41:$F$50))*IFERROR($QR$20,0)</f>
        <v>0</v>
      </c>
      <c r="HD19" s="207">
        <f>IF(OR(HeaterBoiler2!$E$26&lt;&gt;"fuel gas",HeaterBoiler2!$E$15&lt;&gt;"boiler"),0,SUMIF(HeaterBoiler2!$A$41:$A$50,$FG19,HeaterBoiler2!$F$41:$F$50))*IFERROR($QR$22,0)</f>
        <v>0</v>
      </c>
      <c r="HE19" s="155">
        <f>SUMIF(Fug!$A$96:$A$205,$FG19,Fug!$I$96:$I$205)*IFERROR(Hidden!$QR$23,0)</f>
        <v>0</v>
      </c>
      <c r="HF19" s="155">
        <f t="shared" si="24"/>
        <v>0</v>
      </c>
      <c r="HG19" s="156">
        <f t="shared" si="25"/>
        <v>0</v>
      </c>
      <c r="HH19" s="156">
        <f t="shared" si="26"/>
        <v>0</v>
      </c>
      <c r="HI19" s="156">
        <f t="shared" si="27"/>
        <v>0</v>
      </c>
      <c r="HJ19" s="156">
        <f t="shared" si="28"/>
        <v>0</v>
      </c>
      <c r="HK19" s="156">
        <f t="shared" si="29"/>
        <v>0</v>
      </c>
      <c r="HL19" s="156">
        <f t="shared" si="30"/>
        <v>0</v>
      </c>
      <c r="NO19" s="155">
        <f>IF(Tank1!$D$22="No control",(SUMIF(Tank1!$E$32:$E$141,$FG19,Tank1!$H$32:$H$141)*(2000/8760)*IFERROR($QV$3,0)),0)</f>
        <v>0</v>
      </c>
      <c r="NP19" s="156">
        <f>SUMIF(LandEmiss!$AE$20:$AE$119,$FG19,LandEmiss!$AK$20:$AK$119)*(2000/8760)*IFERROR($QV$3,0)</f>
        <v>0</v>
      </c>
      <c r="NQ19" s="156">
        <f>(SUMIF(LandEmiss!$CN$20:$CN$119,$FG19,LandEmiss!$CT$20:$CT$119)+SUMIF(LandEmiss!$EY$9:$EY$108,$FG19,LandEmiss!$FE$9:$FE$108))*IFERROR($QV$3,0)*(2000/8760)</f>
        <v>0</v>
      </c>
      <c r="NR19" s="155">
        <f>IF(Tank2!$D$22="No control",(SUMIF(Tank2!$E$32:$E$141,$FG19,Tank2!$H$32:$H$141)*(2000/8760)*IFERROR($QV$4,0)),0)</f>
        <v>0</v>
      </c>
      <c r="NS19" s="156">
        <f>SUMIF(LandEmiss!$AE$20:$AE$119,$FG19,LandEmiss!$AL$20:$AL$119)*(2000/8760)*IFERROR($QV$4,0)</f>
        <v>0</v>
      </c>
      <c r="NT19" s="156">
        <f>(SUMIF(LandEmiss!$CN$20:$CN$119,$FG19,LandEmiss!$CU$20:$CU$119)+SUMIF(LandEmiss!$EY$9:$EY$108,$FG19,LandEmiss!$FF$9:$FF$108))*IFERROR($QV$4,0)*(2000/8760)</f>
        <v>0</v>
      </c>
      <c r="NU19" s="155">
        <f>IF(Tank3!$D$22="No control",(SUMIF(Tank3!$E$32:$E$141,$FG19,Tank3!$H$32:$H$141)*(2000/8760)*IFERROR($QV$5,0)),0)</f>
        <v>0</v>
      </c>
      <c r="NV19" s="156">
        <f>SUMIF(LandEmiss!$AE$20:$AE$119,$FG19,LandEmiss!$AM$20:$AM$119)*(2000/8760)*IFERROR($QV$5,0)</f>
        <v>0</v>
      </c>
      <c r="NW19" s="156">
        <f>(SUMIF(LandEmiss!$CN$20:$CN$119,$FG19,LandEmiss!$CV$20:$CV$119)+SUMIF(LandEmiss!$EY$9:$EY$108,$FG19,LandEmiss!$FG$9:$FG$108))*IFERROR($QV$5,0)*(2000/8760)</f>
        <v>0</v>
      </c>
      <c r="NX19" s="155">
        <f>IF(Tank4!$D$22="No control",(SUMIF(Tank4!$E$32:$E$141,$FG19,Tank4!$H$32:$H$141)*(2000/8760)*IFERROR($QV$6,0)),0)</f>
        <v>0</v>
      </c>
      <c r="NY19" s="156">
        <f>SUMIF(LandEmiss!$AE$20:$AE$119,$FG19,LandEmiss!$AN$20:$AN$119)*(2000/8760)*IFERROR($QV$6,0)</f>
        <v>0</v>
      </c>
      <c r="NZ19" s="156">
        <f>(SUMIF(LandEmiss!$CN$20:$CN$119,$FG19,LandEmiss!$CW$20:$CW$119)+SUMIF(LandEmiss!$EY$9:$EY$108,$FG19,LandEmiss!$FH$9:$FH$108))*IFERROR($QV$6,0)*(2000/8760)</f>
        <v>0</v>
      </c>
      <c r="OA19" s="155">
        <f>IF(Tank5!$D$22="No control",(SUMIF(Tank5!$E$32:$E$141,$FG19,Tank5!$H$32:$H$141)*(2000/8760)*IFERROR($QV$7,0)),0)</f>
        <v>0</v>
      </c>
      <c r="OB19" s="156">
        <f>SUMIF(LandEmiss!$AE$20:$AE$119,$FG19,LandEmiss!$AO$20:$AO$119)*(2000/8760)*IFERROR($QV$7,0)</f>
        <v>0</v>
      </c>
      <c r="OC19" s="156">
        <f>(SUMIF(LandEmiss!$CN$20:$CN$119,$FG19,LandEmiss!$CX$20:$CX$119)+SUMIF(LandEmiss!$EY$9:$EY$108,$FG19,LandEmiss!$FI$9:$FI$108))*IFERROR($QV$7,0)*(2000/8760)</f>
        <v>0</v>
      </c>
      <c r="OD19" s="155">
        <f>SUMIFS('Load-DrumTote'!$L$27:$L$136,'Load-DrumTote'!$F$27:$F$136,$FG19)*IFERROR($QV$8,0)*(2000/8760)</f>
        <v>0</v>
      </c>
      <c r="OE19" s="155">
        <f>SUMIFS('Load-Truck'!$L$27:$L$136,'Load-Truck'!$F$27:$F$136,$FG19)*IFERROR($QV$9,0)*(2000/8760)</f>
        <v>0</v>
      </c>
      <c r="OF19" s="155">
        <f>SUMIFS('Load-Rail'!$L$27:$L$136,'Load-Rail'!$F$27:$F$136,$FG19)*IFERROR($QV$10,0)*(2000/8760)</f>
        <v>0</v>
      </c>
      <c r="OG19" s="155">
        <f>SUMIFS('Load-MarineBarge'!$L$27:$L$136,'Load-MarineBarge'!$F$27:$F$136,$FG19)*IFERROR($QV$11,0)*(2000/8760)</f>
        <v>0</v>
      </c>
      <c r="OH19" s="155">
        <f>SUMIFS('Load-MarineShip'!$L$27:$L$136,'Load-MarineShip'!$F$27:$F$136,$FG19)*IFERROR($QV$12,0)*(2000/8760)</f>
        <v>0</v>
      </c>
      <c r="OI19" s="155">
        <f>(IF(OR(Flare!$D$24="FUEL GAS",Flare!$D$38="FUEL GAS"),SUMIF(Flare!$E$97:$E$106,$FG19,Flare!$G$97:$G$105),0)+SUMIF(Flare!$E$107:$E$216,$FG19,Flare!$G$107:$G$216))*(2000/8730)*IFERROR($QV$13,0)</f>
        <v>0</v>
      </c>
      <c r="OJ19" s="155">
        <f>SUMIF(LandEmiss!$A$335:$A$434,$FG19,LandEmiss!$C$335:$C$434)*(2000/8760)*IFERROR($QV$13,0)</f>
        <v>0</v>
      </c>
      <c r="OK19" s="155">
        <f>(SUMIF(LandEmiss!$BJ$335:$BJ$434,$FG19,LandEmiss!$BL$335:$BL$434)+SUMIF(LandEmiss!$DU$323:$DU$422,$FG19,LandEmiss!$DW$323:$DW$422))*(2000/8760)*IFERROR($QV$13,0)</f>
        <v>0</v>
      </c>
      <c r="OL19" s="155">
        <f>(IF(OR(VCU!$D$26="FUEL GAS",VCU!$D$42="FUEL GAS"),SUMIF(VCU!$E$120:$E$129,$FG19,VCU!$G$120:$G$129),0)+SUMIF(VCU!$E$130:$E$239,$FG19,VCU!G147:G256))*(2000/8760)*IFERROR($QV$14,0)</f>
        <v>0</v>
      </c>
      <c r="OM19" s="155">
        <f>SUMIF(LandEmiss!$A$335:$A$434,$FG19,LandEmiss!$E$335:$E$434)*(2000/8760)*IFERROR($QV$14,0)</f>
        <v>0</v>
      </c>
      <c r="ON19" s="155">
        <f>(SUMIF(LandEmiss!$BJ$335:$BJ$434,$FG19,LandEmiss!$BN$335:$BN$434)+SUMIF(LandEmiss!$DU$323:$DU$422,$FG19,LandEmiss!$DY$323:$DY$422))*(2000/8760)*IFERROR($QV$14,0)</f>
        <v>0</v>
      </c>
      <c r="OO19" s="155">
        <f>(IF(VaporOxidizer!$D$33="FUEL GAS",SUMIF(VaporOxidizer!$E$101:$E$110,$FG19,VaporOxidizer!$G$101:$G$110),0)+SUMIF(VaporOxidizer!$E$111:$E$220,$FG19,VaporOxidizer!$G$111:$G$220))*(2000/8760)*IFERROR($QV$15,0)</f>
        <v>0</v>
      </c>
      <c r="OP19" s="155">
        <f>SUMIF(LandEmiss!$A$335:$A$434,$FG19,LandEmiss!$G$335:$G$434)*(2000/8760)*IFERROR($QV$15,0)</f>
        <v>0</v>
      </c>
      <c r="OQ19" s="155">
        <f>(SUMIF(LandEmiss!$BJ$335:$BJ$434,$FG19,LandEmiss!$BP$335:$BP$434)+SUMIF(LandEmiss!$DU$323:$DU$422,$FG19,LandEmiss!$EA$323:$EA$422))*(2000/8760)*IFERROR($QV$15,0)</f>
        <v>0</v>
      </c>
      <c r="OR19" s="155">
        <f>SUMIF(CAS!$E$35:$E$144,Hidden!$FG19,CAS!$I$35:$I$144)*IFERROR($QV$16,0)*(2000/8760)</f>
        <v>0</v>
      </c>
      <c r="OS19" s="155">
        <f>SUMIF(LandEmiss!$A$335:$A$434,$FG19,LandEmiss!$I$335:$I$434)*(2000/8760)*IFERROR($QV$27,0)</f>
        <v>0</v>
      </c>
      <c r="OT19" s="155">
        <f>(SUMIF(LandEmiss!$BJ$335:$BJ$434,$FG19,LandEmiss!$BR$335:$BR$434)+SUMIF(LandEmiss!$DU$323:$DU$422,$FG19,LandEmiss!$EC$323:$EC$422))*(2000/8760)*IFERROR($QV$27,0)</f>
        <v>0</v>
      </c>
      <c r="OU19" s="155">
        <f>SUMIF(LandEmiss!$A$335:$A$434,$FG19,LandEmiss!$K$335:$K$434)*(2000/8760)*IFERROR($QV$26,0)</f>
        <v>0</v>
      </c>
      <c r="OV19" s="155">
        <f>(SUMIF(LandEmiss!$BJ$335:$BJ$434,$FG19,LandEmiss!$BT$335:$BT$434)+SUMIF(LandEmiss!$DU$323:$DU$422,$FG19,LandEmiss!$EE$323:$EE$422))*(2000/8760)*IFERROR($QV$26,0)</f>
        <v>0</v>
      </c>
      <c r="OW19" s="155">
        <f>SUMIF(LandEmiss!$A$335:$A$434,$FG19,LandEmiss!$M$335:$M$434)*(2000/8760)*IFERROR($QV$25,0)</f>
        <v>0</v>
      </c>
      <c r="OX19" s="155">
        <f>(SUMIF(LandEmiss!$BJ$335:$BJ$434,$FG19,LandEmiss!$BV$335:$BV$434)+SUMIF(LandEmiss!$DU$323:$DU$422,$FG19,LandEmiss!$EG$323:$EG$422))*(2000/8760)*IFERROR($QV$25,0)</f>
        <v>0</v>
      </c>
      <c r="OY19" s="8">
        <v>0</v>
      </c>
      <c r="OZ19" s="207">
        <v>0</v>
      </c>
      <c r="PA19" s="207">
        <f>IF(OR(HeaterBoiler1!$E$26&lt;&gt;"fuel gas",HeaterBoiler1!$E$15&lt;&gt;"heater"),0,(SUMIF(HeaterBoiler1!$A$54:$D$63,$FG19,HeaterBoiler1!$J$54:$J$63))*(2000/8760))*IFERROR($QV$19,0)</f>
        <v>0</v>
      </c>
      <c r="PB19" s="207">
        <f>IF(OR(HeaterBoiler2!$E$26&lt;&gt;"fuel gas",HeaterBoiler2!$E$15&lt;&gt;"heater"),0,(SUMIF(HeaterBoiler2!$A$54:$D$63,$FG19,HeaterBoiler2!$J$54:$J$63))*(2000/8760))*IFERROR($QV$21,0)</f>
        <v>0</v>
      </c>
      <c r="PC19" s="207">
        <f>IF(OR(HeaterBoiler1!$E$26&lt;&gt;"fuel gas",HeaterBoiler1!$E$15&lt;&gt;"boiler"),0,(SUMIF(HeaterBoiler1!$A$54:$D$63,$FG19,HeaterBoiler1!$J$54:$J$63))*(2000/8760))*IFERROR($QV$20,0)</f>
        <v>0</v>
      </c>
      <c r="PD19" s="207">
        <f>IF(OR(HeaterBoiler2!$E$26&lt;&gt;"fuel gas",HeaterBoiler2!$E$15&lt;&gt;"boiler"),0,(SUMIF(HeaterBoiler2!$A$54:$D$63,$FG19,HeaterBoiler2!$J$54:$J$63))*(2000/8760))*IFERROR($QV$22,0)</f>
        <v>0</v>
      </c>
      <c r="PE19" s="8">
        <f>(SUMIF(Fug!$A$96:$A$205,$FG19,Fug!$J$96:$J$205))*IFERROR($QV$23,0)*(2000/8760)</f>
        <v>0</v>
      </c>
      <c r="PF19" s="8">
        <f t="shared" si="31"/>
        <v>0</v>
      </c>
      <c r="PG19" s="156">
        <f t="shared" si="32"/>
        <v>0</v>
      </c>
      <c r="PJ19" s="52" t="str">
        <f>IF(Fug!$F$16=Hidden!$PP$2,"Flanges-DTM(AM) [8]","Flanges/Connectors-DTM")</f>
        <v>Flanges/Connectors-DTM</v>
      </c>
      <c r="PK19" s="52" t="str">
        <f>IF(Fug!$F$16=Hidden!$PP$2,"Gas [4] [5]","Light Liquid [4]")</f>
        <v>Light Liquid [4]</v>
      </c>
      <c r="PL19" s="52">
        <v>5.0000000000000001E-4</v>
      </c>
      <c r="PM19" s="52">
        <v>5.0000000000000001E-4</v>
      </c>
      <c r="PN19" s="52">
        <v>5.1999999999999998E-3</v>
      </c>
      <c r="PO19" s="52">
        <v>1.8000000000000001E-4</v>
      </c>
      <c r="PP19" s="52">
        <v>8.5999999999999998E-4</v>
      </c>
      <c r="PQ19" s="52">
        <v>5.5500000000000005E-4</v>
      </c>
      <c r="PR19" s="52">
        <v>1.1000000000000001E-7</v>
      </c>
      <c r="PS19" s="52">
        <v>3.0699999999999998E-4</v>
      </c>
      <c r="PT19" s="52" t="s">
        <v>8785</v>
      </c>
      <c r="PU19" s="52" t="s">
        <v>8769</v>
      </c>
      <c r="PV19" s="52">
        <v>0</v>
      </c>
      <c r="PW19" s="52">
        <v>0.75</v>
      </c>
      <c r="PX19" s="52">
        <v>0.75</v>
      </c>
      <c r="PY19" s="52">
        <v>0.75</v>
      </c>
      <c r="PZ19" s="52">
        <v>0</v>
      </c>
      <c r="QA19" s="52">
        <v>0.75</v>
      </c>
      <c r="QB19" s="52" t="s">
        <v>8811</v>
      </c>
      <c r="QC19" s="52" t="s">
        <v>8802</v>
      </c>
      <c r="QD19" s="52">
        <v>0</v>
      </c>
      <c r="QE19" s="52">
        <v>0</v>
      </c>
      <c r="QF19" s="52">
        <v>0</v>
      </c>
      <c r="QG19" s="52">
        <v>0</v>
      </c>
      <c r="QH19" s="52">
        <v>0</v>
      </c>
      <c r="QI19" s="52">
        <v>0</v>
      </c>
      <c r="QK19" s="95" t="s">
        <v>9124</v>
      </c>
      <c r="QM19" s="16" t="s">
        <v>9353</v>
      </c>
      <c r="QN19" s="104" t="e">
        <f t="shared" si="38"/>
        <v>#N/A</v>
      </c>
      <c r="QO19" s="104">
        <f>HeaterBoiler1!E17</f>
        <v>0</v>
      </c>
      <c r="QP19" s="104">
        <f>HeaterBoiler1!E16</f>
        <v>0</v>
      </c>
      <c r="QQ19" s="16" t="str">
        <f>QX22</f>
        <v>HEATER</v>
      </c>
      <c r="QR19" s="16" t="e">
        <f t="shared" si="33"/>
        <v>#N/A</v>
      </c>
      <c r="QS19" s="16" t="e">
        <f t="shared" si="34"/>
        <v>#N/A</v>
      </c>
      <c r="QT19" s="16" t="e">
        <f t="shared" si="35"/>
        <v>#N/A</v>
      </c>
      <c r="QU19" s="16" t="e">
        <f t="shared" si="36"/>
        <v>#N/A</v>
      </c>
      <c r="QV19" s="16" t="e">
        <f t="shared" si="37"/>
        <v>#N/A</v>
      </c>
      <c r="QX19" s="89" t="s">
        <v>9328</v>
      </c>
      <c r="QY19">
        <v>6452.3</v>
      </c>
      <c r="QZ19">
        <v>3975.5</v>
      </c>
      <c r="RA19">
        <v>2082.6999999999998</v>
      </c>
      <c r="RB19">
        <v>1227.0999999999999</v>
      </c>
      <c r="RC19">
        <v>796</v>
      </c>
      <c r="RD19">
        <v>563</v>
      </c>
      <c r="RE19">
        <v>429</v>
      </c>
      <c r="RF19">
        <v>252.7</v>
      </c>
      <c r="RG19" s="90">
        <v>170.3</v>
      </c>
      <c r="RH19" s="89" t="s">
        <v>9328</v>
      </c>
      <c r="RI19">
        <v>2479.1999999999998</v>
      </c>
      <c r="RJ19">
        <v>1969.3</v>
      </c>
      <c r="RK19">
        <v>1860.9</v>
      </c>
      <c r="RL19">
        <v>1098.7</v>
      </c>
      <c r="RM19">
        <v>694.3</v>
      </c>
      <c r="RN19">
        <v>484.3</v>
      </c>
      <c r="RO19">
        <v>361.7</v>
      </c>
      <c r="RP19">
        <v>212.3</v>
      </c>
      <c r="RQ19" s="90">
        <v>142.1</v>
      </c>
      <c r="RR19" s="89" t="s">
        <v>9328</v>
      </c>
      <c r="RS19">
        <v>1472.7</v>
      </c>
      <c r="RT19">
        <v>1472.7</v>
      </c>
      <c r="RU19">
        <v>1472.7</v>
      </c>
      <c r="RV19">
        <v>850.5</v>
      </c>
      <c r="RW19">
        <v>513.79999999999995</v>
      </c>
      <c r="RX19">
        <v>347.8</v>
      </c>
      <c r="RY19">
        <v>254</v>
      </c>
      <c r="RZ19">
        <v>145.5</v>
      </c>
      <c r="SA19" s="90">
        <v>99.77</v>
      </c>
      <c r="SB19" s="89" t="s">
        <v>9328</v>
      </c>
      <c r="SC19">
        <v>666.1</v>
      </c>
      <c r="SD19">
        <v>666.1</v>
      </c>
      <c r="SE19">
        <v>666.1</v>
      </c>
      <c r="SF19">
        <v>343.2</v>
      </c>
      <c r="SG19">
        <v>200.9</v>
      </c>
      <c r="SH19">
        <v>133.19999999999999</v>
      </c>
      <c r="SI19">
        <v>95.56</v>
      </c>
      <c r="SJ19">
        <v>53.22</v>
      </c>
      <c r="SK19" s="90">
        <v>36.479999999999997</v>
      </c>
      <c r="SL19" s="89" t="s">
        <v>9328</v>
      </c>
      <c r="SM19">
        <v>131.6</v>
      </c>
      <c r="SN19">
        <v>131.6</v>
      </c>
      <c r="SO19">
        <v>125.9</v>
      </c>
      <c r="SP19">
        <v>54.4</v>
      </c>
      <c r="SQ19">
        <v>28.71</v>
      </c>
      <c r="SR19">
        <v>17.809999999999999</v>
      </c>
      <c r="SS19">
        <v>12.55</v>
      </c>
      <c r="ST19">
        <v>6.3</v>
      </c>
      <c r="SU19" s="90">
        <v>3.87</v>
      </c>
      <c r="TI19" s="256" t="s">
        <v>8709</v>
      </c>
      <c r="TJ19" s="158" t="str">
        <f>IF(Tank4!D20&lt;0.5,"TVP &lt; 0.50",IF(AND(Tank4!D20&gt;=0.5,Tank4!D20&lt;11),"0.50 ≤ TVP &lt; 11.0",IF(Tank4!D20&gt;=11,"TVP ≥ 11.0 TVP","")))</f>
        <v>TVP &lt; 0.50</v>
      </c>
      <c r="TK19" s="115" t="str">
        <f>IF(Tank4!D19&lt;25000,"&lt; 25 Mgal","≥ 25 Mgal")</f>
        <v>&lt; 25 Mgal</v>
      </c>
      <c r="TL19" t="s">
        <v>10024</v>
      </c>
      <c r="TM19" s="225" t="str">
        <f>"VOC: Good combustion practices. NOx: "&amp;HeaterBoiler1!C45&amp;" lb/MMBtu emission factor. "&amp;IF(HeaterBoiler1!E37="","",HeaterBoiler1!E37&amp;". ")&amp;IF(HeaterBoiler1!E38="","",HeaterBoiler1!E38&amp;". ")&amp;IF(HeaterBoiler1!E39="","",HeaterBoiler1!E39&amp;". ")&amp;IF(HeaterBoiler1!E35="Yes","CEMS is required.","")&amp;" CO: "&amp;HeaterBoiler1!C46&amp;" lb/MMBtu corrected to 3% O2. PM/PM10/PM2.5: Less than 5% opacity. Good combustion practices."&amp;" SO2: "&amp;IF(HeaterBoiler1!E26="natural gas","Fire pipeline quality natural gas containing no more than "&amp;HeaterBoiler1!E28&amp;" ppmw of total sulfur.",IF(HeaterBoiler1!E26="fuel gas","Fire plant fuel gas containing no more than "&amp;HeaterBoiler1!E28&amp;" ppmw of total sulfur.",""))&amp;" MSS: Minimizing the duration of these activities and operating the facility in accordance with best management practices and good air pollution control practices."</f>
        <v>VOC: Good combustion practices. NOx:  lb/MMBtu emission factor.  CO:  lb/MMBtu corrected to 3% O2. PM/PM10/PM2.5: Less than 5% opacity. Good combustion practices. SO2:  MSS: Minimizing the duration of these activities and operating the facility in accordance with best management practices and good air pollution control practices.</v>
      </c>
    </row>
    <row r="20" spans="1:533" ht="74.25" customHeight="1" thickBot="1" x14ac:dyDescent="0.25">
      <c r="A20" s="8" t="s">
        <v>197</v>
      </c>
      <c r="B20" s="8">
        <v>10</v>
      </c>
      <c r="D20" s="8" t="s">
        <v>216</v>
      </c>
      <c r="E20" s="8" t="b">
        <f>IF($D20='PI-1-MarineLoading'!$D$73,TRUE,FALSE)</f>
        <v>0</v>
      </c>
      <c r="W20">
        <f>IF(OR(X20=0,ISNUMBER(MATCH(X20,$X$1:X19,0))),0,MAX($W$1:W19)+1)</f>
        <v>0</v>
      </c>
      <c r="X20" s="123">
        <f>Products!$E67</f>
        <v>0</v>
      </c>
      <c r="Y20" t="str">
        <f t="shared" si="3"/>
        <v/>
      </c>
      <c r="CA20">
        <f>IF(OR(CB20=0,ISNUMBER(MATCH(CB20,$CB$1:CB19,0))),0,MAX($CA$1:CA19)+1)</f>
        <v>0</v>
      </c>
      <c r="CB20" s="8">
        <f>IF(OR(Tank1!$D$18="EXTERNAL FLOATING ROOF",Tank1!$D$18="INTERNAL FLOATING ROOF"),IF(Tank1!$E50="",0,Tank1!$E50),0)</f>
        <v>0</v>
      </c>
      <c r="CC20" s="8" t="str">
        <f t="shared" si="6"/>
        <v/>
      </c>
      <c r="CD20" s="8"/>
      <c r="CE20" s="8">
        <f>IF(OR(CF20=0,ISNUMBER(MATCH(CF20,$CF$1:CF19,0))),0,MAX($CE$1:CE19)+1)</f>
        <v>0</v>
      </c>
      <c r="CF20" s="8">
        <f>IF(OR(Tank1!$D$18="HORIZONTAL FIXED ROOF",Tank1!$D$18="VERTICAL FIXED ROOF"),IF(Tank1!$E50="",0,Tank1!$E50),0)</f>
        <v>0</v>
      </c>
      <c r="CG20" s="8" t="str">
        <f t="shared" si="7"/>
        <v/>
      </c>
      <c r="CJ20">
        <f>IF(OR(CK20=0,ISNUMBER(MATCH(CK20,$CK$1:CK19,0))),0,MAX($CJ$1:CJ19)+1)</f>
        <v>0</v>
      </c>
      <c r="CK20">
        <f>Tank2!$A$120</f>
        <v>0</v>
      </c>
      <c r="CM20">
        <f>IFERROR(VLOOKUP($CK20,Tank2!$A$32:$D$141,3,FALSE),0)</f>
        <v>0</v>
      </c>
      <c r="CN20">
        <f>IFERROR(VLOOKUP($CK20,Tank2!$A$32:$D$141,4,FALSE),0)</f>
        <v>0</v>
      </c>
      <c r="DM20">
        <f>IF(OR(DN20=0,ISNUMBER(MATCH(DN20,$DN$1:DN19,0))),0,MAX($DM$1:DM19)+1)</f>
        <v>0</v>
      </c>
      <c r="DN20">
        <f>IF(Tank2!$D$22="Flare",IFERROR(VLOOKUP(Products!$A$139,Tank2!$A$32:$B$141,1,FALSE),0),0)</f>
        <v>0</v>
      </c>
      <c r="DO20">
        <f>IF($DN20=0,0,VLOOKUP($DN20,Tank2!$A$32:$H$141,7,FALSE))</f>
        <v>0</v>
      </c>
      <c r="DP20">
        <f>IF($DN20=0,0,VLOOKUP($DN20,Tank2!$A$32:$H$141,8,FALSE))</f>
        <v>0</v>
      </c>
      <c r="DU20">
        <f>IF(OR(DV20=0,ISNUMBER(MATCH(DV20,$DV$1:DV19,0))),0,MAX($DU$1:DU19)+1)</f>
        <v>0</v>
      </c>
      <c r="DV20">
        <f>IF(Tank2!$D$22="VCU",IFERROR(VLOOKUP(Products!$A$139,Tank2!$A$32:$B$141,1,FALSE),0),0)</f>
        <v>0</v>
      </c>
      <c r="DW20">
        <f>IF($DV20=0,0,VLOOKUP($DV20,Tank2!$A$32:$H$141,7,FALSE))</f>
        <v>0</v>
      </c>
      <c r="DX20">
        <f>IF($DV20=0,0,VLOOKUP($DV20,Tank2!$A$32:$H$141,8,FALSE))</f>
        <v>0</v>
      </c>
      <c r="EC20">
        <f>IF(OR(ED20=0,ISNUMBER(MATCH(ED20,$ED$1:ED19,0))),0,MAX($EC$1:EC19)+1)</f>
        <v>0</v>
      </c>
      <c r="ED20">
        <f>IF(Tank2!$D$22="vapor oxidizer",IFERROR(VLOOKUP(Products!$A$139,Tank2!$A$32:$B$141,1,FALSE),0),0)</f>
        <v>0</v>
      </c>
      <c r="EE20">
        <f>IF($ED20=0,0,VLOOKUP($ED20,Tank2!$A$32:$H$141,7,FALSE))</f>
        <v>0</v>
      </c>
      <c r="EF20">
        <f>IF($ED20=0,0,VLOOKUP($ED20,Tank2!$A$32:$H$141,8,FALSE))</f>
        <v>0</v>
      </c>
      <c r="EK20">
        <f>IF(OR(EL20=0,ISNUMBER(MATCH(EL20,$EL$1:EL19,0))),0,MAX($EK$1:EK19)+1)</f>
        <v>0</v>
      </c>
      <c r="EL20">
        <f>IF(Tank2!$D$22="CAS",IFERROR(VLOOKUP(Products!A139,Tank2!$A$32:$B$141,1,FALSE),0),0)</f>
        <v>0</v>
      </c>
      <c r="EM20">
        <f>IF($EL20=0,0,VLOOKUP($EL20,Tank2!$A$32:$H$141,7,FALSE))</f>
        <v>0</v>
      </c>
      <c r="EN20">
        <f>IF($EL20=0,0,VLOOKUP($EL20,Tank2!$A$32:$H$141,8,FALSE))</f>
        <v>0</v>
      </c>
      <c r="EX20">
        <f>MSS!$A53</f>
        <v>0</v>
      </c>
      <c r="EY20">
        <f>MSS!$G53*MSS!F$144</f>
        <v>0</v>
      </c>
      <c r="EZ20">
        <f>MSS!$G53*MSS!G$144</f>
        <v>0</v>
      </c>
      <c r="FB20" s="8" t="s">
        <v>393</v>
      </c>
      <c r="FC20" s="8" t="s">
        <v>394</v>
      </c>
      <c r="FD20" s="8">
        <v>520</v>
      </c>
      <c r="FE20" s="8">
        <v>52</v>
      </c>
      <c r="FG20" s="360" t="str">
        <f t="shared" si="23"/>
        <v/>
      </c>
      <c r="FH20" s="155">
        <f>IF(Tank1!$D$22="NO CONTROL",_xlfn.MAXIFS(Tank1!$G$32:$G$141,Tank1!$E$32:$E$141,$FG20),0)*IFERROR($QR$3,0)</f>
        <v>0</v>
      </c>
      <c r="FI20" s="155">
        <f>_xlfn.MAXIFS(LandEmiss!$AF$20:$AF$119,LandEmiss!$AE$20:$AE$119,$FG20)*IFERROR($QR$3,0)</f>
        <v>0</v>
      </c>
      <c r="FJ20" s="155">
        <f>MAX(_xlfn.MAXIFS(LandEmiss!$CO$20:$CO$119,LandEmiss!$CN$20:$CN$119,$FG20),_xlfn.MAXIFS(LandEmiss!$EZ$9:$EZ$108,LandEmiss!$EY$9:$EY$108,$FG20))*IFERROR($QR$3,0)</f>
        <v>0</v>
      </c>
      <c r="FK20" s="155">
        <f>IF(Tank2!$D$22="NO CONTROL",_xlfn.MAXIFS(Tank2!$G$32:$G$141,Tank2!$E$32:$E$141,$FG20),0)*IFERROR($QR$4,0)</f>
        <v>0</v>
      </c>
      <c r="FL20" s="155">
        <f>_xlfn.MAXIFS(LandEmiss!$AG$20:$AG$119,LandEmiss!$AE$20:$AE$119,$FG20)*IFERROR($QR$4,0)</f>
        <v>0</v>
      </c>
      <c r="FM20" s="155">
        <f>MAX(_xlfn.MAXIFS(LandEmiss!$CP$20:$CP$119,LandEmiss!$CN$20:$CN$119,$FG20),_xlfn.MAXIFS(LandEmiss!$FA$9:$FA$108,LandEmiss!$EY$9:$EY$108,$FG20))*IFERROR($QR$4,0)</f>
        <v>0</v>
      </c>
      <c r="FN20" s="155">
        <f>IF(Tank3!$D$22="NO CONTROL",_xlfn.MAXIFS(Tank3!$G$32:$G$141,Tank3!$E$32:$E$141,$FG20),0)*IFERROR($QR$5,0)</f>
        <v>0</v>
      </c>
      <c r="FO20" s="155">
        <f>_xlfn.MAXIFS(LandEmiss!$AH$20:$AH$119,LandEmiss!$AE$20:$AE$119,$FG20)*IFERROR($QR$5,0)</f>
        <v>0</v>
      </c>
      <c r="FP20" s="155">
        <f>MAX(_xlfn.MAXIFS(LandEmiss!$CQ$20:$CQ$119,LandEmiss!$CN$20:$CN$119,$FG20),_xlfn.MAXIFS(LandEmiss!$FB$9:$FB$108,LandEmiss!$EY$9:$EY$108,$FG20))*IFERROR($QR$5,0)</f>
        <v>0</v>
      </c>
      <c r="FQ20" s="155">
        <f>IF(Tank4!$D$22="NO CONTROL",_xlfn.MAXIFS(Tank4!$G$32:$G$141,Tank4!$E$32:$E$141,$FG20),0)*IFERROR($QR$6,0)</f>
        <v>0</v>
      </c>
      <c r="FR20" s="155">
        <f>_xlfn.MAXIFS(LandEmiss!$AI$20:$AI$119,LandEmiss!$AE$20:$AE$119,$FG20)*IFERROR($QR$6,0)</f>
        <v>0</v>
      </c>
      <c r="FS20" s="155">
        <f>MAX(_xlfn.MAXIFS(LandEmiss!$CR$20:$CR$119,LandEmiss!$CN$20:$CN$119,$FG20),_xlfn.MAXIFS(LandEmiss!$FC$9:$FC$108,LandEmiss!$EY$9:$EY$108,$FG20))*IFERROR($QR$6,0)</f>
        <v>0</v>
      </c>
      <c r="FT20" s="155">
        <f>IF(Tank5!$D$22="NO CONTROL",_xlfn.MAXIFS(Tank5!$G$32:$G$141,Tank5!$E$32:$E$141,$FG20),0)*IFERROR($QR$7,0)</f>
        <v>0</v>
      </c>
      <c r="FU20" s="155">
        <f>_xlfn.MAXIFS(LandEmiss!$AJ$20:$AJ$119,LandEmiss!$AE$20:$AE$119,$FG20)*IFERROR($QR$7,0)</f>
        <v>0</v>
      </c>
      <c r="FV20" s="155">
        <f>MAX(_xlfn.MAXIFS(LandEmiss!$CS$20:$CS$119,LandEmiss!$CN$20:$CN$119,$FG20),_xlfn.MAXIFS(LandEmiss!$FD$9:$FD$108,LandEmiss!$EY$9:$EY$108,$FG20))*IFERROR($QR25,0)</f>
        <v>0</v>
      </c>
      <c r="FW20" s="155">
        <f>_xlfn.MAXIFS('Load-DrumTote'!$K$27:$K$136,'Load-DrumTote'!$F$27:$F$136,$FG20)*IFERROR($QR$8,0)</f>
        <v>0</v>
      </c>
      <c r="FX20" s="155">
        <f>_xlfn.MAXIFS('Load-Truck'!$K$27:$K$136,'Load-Truck'!$F$27:$F$136,$FG20)*IFERROR($QR$9,0)</f>
        <v>0</v>
      </c>
      <c r="FY20" s="155">
        <f>_xlfn.MAXIFS('Load-Rail'!$K$27:$K$136,'Load-Rail'!$F$27:$F$136,$FG20)*IFERROR($QR$10,0)</f>
        <v>0</v>
      </c>
      <c r="FZ20" s="155">
        <f>_xlfn.MAXIFS('Load-MarineBarge'!$K$27:$K$136,'Load-MarineBarge'!$F$27:$F$136,$FG20)*IFERROR($QR$11,0)</f>
        <v>0</v>
      </c>
      <c r="GA20" s="155">
        <f>_xlfn.MAXIFS('Load-MarineShip'!$K$27:$K$136,'Load-MarineShip'!$F$27:$F$136,$FG20)*IFERROR($QR$12,0)</f>
        <v>0</v>
      </c>
      <c r="GB20" s="313">
        <f>IF(OR(Flare!$D$24="fuel gas",Flare!$D$38="fuel gas"),SUMIF(Flare!$E$97:$E$106,$FG20,Flare!$F$97:$F$106),0)*IFERROR($QR$13,0)</f>
        <v>0</v>
      </c>
      <c r="GC20" s="313">
        <f>(_xlfn.MAXIFS(CtrlDevImpacts!$I$57:$I$156,CtrlDevImpacts!$H$57:$H$156,$FG20))*IFERROR($QR$13,0)</f>
        <v>0</v>
      </c>
      <c r="GD20" s="313">
        <f>(_xlfn.MAXIFS(Flare!$F$107:$F$216,Flare!$E$107:$E$216,$FG20)-_xlfn.MAXIFS(CtrlDevImpacts!$I$57:$I$156,CtrlDevImpacts!$H$57:$H$156,$FG20))*IFERROR($QR$13,0)</f>
        <v>0</v>
      </c>
      <c r="GE20" s="155">
        <f>_xlfn.MAXIFS(LandEmiss!$B$335:$B$434,LandEmiss!$A$335:$A$434,$FG20)*IFERROR($QR$13,0)</f>
        <v>0</v>
      </c>
      <c r="GF20" s="155">
        <f>(_xlfn.MAXIFS(LandEmiss!$BK$335:$BK$434,LandEmiss!$BJ$335:$BJ$434,$FG20)+_xlfn.MAXIFS(LandEmiss!$DV$323:$DV$422,LandEmiss!$DU$323:$DU$422,$FG20))*IFERROR($QR$13,0)</f>
        <v>0</v>
      </c>
      <c r="GG20" s="313">
        <f>IF(OR(VCU!$D$26="fuel gas",VCU!$D$42="fuel gas"),SUMIF(VCU!$E$120:$E$129,$FG20,VCU!$F$120:$F$129),0)*IFERROR($QR$14,0)</f>
        <v>0</v>
      </c>
      <c r="GH20" s="313">
        <f>(_xlfn.MAXIFS(CtrlDevImpacts!$X$57:$X$156,CtrlDevImpacts!$W$57:$W$156,$FG20))*IFERROR($QR$14,0)</f>
        <v>0</v>
      </c>
      <c r="GI20" s="313">
        <f>(_xlfn.MAXIFS(VCU!$F$130:$F$239,VCU!$E$130:$E$239,$FG20)-_xlfn.MAXIFS(CtrlDevImpacts!$X$57:$X$156,CtrlDevImpacts!$W$57:$W$156,$FG20))*IFERROR($QR$14,0)</f>
        <v>0</v>
      </c>
      <c r="GJ20" s="155">
        <f>_xlfn.MAXIFS(LandEmiss!$D$335:$D$434,LandEmiss!$A$335:$A$434,$FG20)*IFERROR($QR$14,0)</f>
        <v>0</v>
      </c>
      <c r="GK20" s="155">
        <f>(_xlfn.MAXIFS(LandEmiss!$BM$335:$BM$434,LandEmiss!$BJ$335:$BJ$434,$FG20)+_xlfn.MAXIFS(LandEmiss!$DX$323:$DX$422,LandEmiss!$DU$323:$DU$422,$FG20))*IFERROR($QR$14,0)</f>
        <v>0</v>
      </c>
      <c r="GL20" s="313">
        <f>IF(VaporOxidizer!D51="FUEL GAS",SUMIF(VaporOxidizer!$E$101:$E$110,$FG20,VaporOxidizer!$F$101:$F$110),0)*IFERROR($QR$15,0)</f>
        <v>0</v>
      </c>
      <c r="GM20" s="313">
        <f>(_xlfn.MAXIFS(CtrlDevImpacts!$AN$57:$AN$156,CtrlDevImpacts!$AM$57:$AM$156,$FG20))*IFERROR($QR$15,0)</f>
        <v>0</v>
      </c>
      <c r="GN20" s="313">
        <f>(_xlfn.MAXIFS(VaporOxidizer!$F$111:$F$220,VaporOxidizer!$E$111:$E$220,$FG20)-_xlfn.MAXIFS(CtrlDevImpacts!$AN$57:$AN$156,CtrlDevImpacts!$AM$57:$AM$156,$FG20))*IFERROR($QR$15,0)</f>
        <v>0</v>
      </c>
      <c r="GO20" s="155">
        <f>_xlfn.MAXIFS(LandEmiss!$F$335:$F$434,LandEmiss!$A$335:$A$434,$FG20)*IFERROR($QR$15,0)</f>
        <v>0</v>
      </c>
      <c r="GP20" s="155">
        <f>(_xlfn.MAXIFS(LandEmiss!$BK$335:$BK$434,LandEmiss!$BO$335:$BO$434,$FG20)+_xlfn.MAXIFS(LandEmiss!$DZ$323:$DZ$422,LandEmiss!$DU$323:$DU$422,$FG20))*IFERROR($QR$15,0)</f>
        <v>0</v>
      </c>
      <c r="GQ20" s="313">
        <f>_xlfn.MAXIFS(CtrlDevImpacts!$BD$57:$BD$156,CtrlDevImpacts!$BC$57:$BC$156,$FG20)*IFERROR(Hidden!$QR$16,0)</f>
        <v>0</v>
      </c>
      <c r="GR20" s="313">
        <f>(_xlfn.MAXIFS(CAS!$H$35:$H$144,CAS!$E$35:$E$144,$FG20)-_xlfn.MAXIFS(CtrlDevImpacts!$BD$57:$BD$156,CtrlDevImpacts!$BC$57:$BC$156,$FG20))*IFERROR(Hidden!$QR$16,0)</f>
        <v>0</v>
      </c>
      <c r="GS20" s="155">
        <f>_xlfn.MAXIFS(LandEmiss!$H$335:$H$434,LandEmiss!$A$335:$A$434,$FG20)*IFERROR($QR$27,0)</f>
        <v>0</v>
      </c>
      <c r="GT20" s="155">
        <f>(_xlfn.MAXIFS(LandEmiss!$BK$335:$BK$434,LandEmiss!$BQ$335:$BQ$434,$FG20)+_xlfn.MAXIFS(LandEmiss!$EB$323:$EB$422,LandEmiss!$DU$323:$DU$422,$FG20))*IFERROR($QR$27,0)</f>
        <v>0</v>
      </c>
      <c r="GU20" s="155">
        <f>_xlfn.MAXIFS(LandEmiss!$J$335:$J$434,LandEmiss!$A$335:$A$434,$FG20)*IFERROR($QR$26,0)</f>
        <v>0</v>
      </c>
      <c r="GV20" s="155">
        <f>(_xlfn.MAXIFS(LandEmiss!$BK$335:$BK$434,LandEmiss!$BS$335:$BS$434,$FG20)+_xlfn.MAXIFS(LandEmiss!$ED$323:$ED$422,LandEmiss!$DU$323:$DU$422,$FG20))*IFERROR($QR$26,0)</f>
        <v>0</v>
      </c>
      <c r="GW20" s="155">
        <f>_xlfn.MAXIFS(LandEmiss!$L$335:$L$434,LandEmiss!$A$335:$A$434,$FG20)*IFERROR($QR$25,0)</f>
        <v>0</v>
      </c>
      <c r="GX20" s="155">
        <f>(_xlfn.MAXIFS(LandEmiss!$BK$335:$BK$434,LandEmiss!$BU$335:$BU$434,$FG20)+_xlfn.MAXIFS(LandEmiss!$EF$323:$EF$422,LandEmiss!$DU$323:$DU$422,$FG20))*IFERROR($QR$25,0)</f>
        <v>0</v>
      </c>
      <c r="GY20" s="155">
        <v>0</v>
      </c>
      <c r="GZ20" s="155">
        <v>0</v>
      </c>
      <c r="HA20" s="155">
        <f>IF(OR(HeaterBoiler1!$E$26&lt;&gt;"fuel gas",HeaterBoiler1!$E$15&lt;&gt;"heater"),0,SUMIF(HeaterBoiler1!$A$54:$D$63,$FG20,HeaterBoiler1!$I$54:$I$63))*IFERROR($QR$19,0)</f>
        <v>0</v>
      </c>
      <c r="HB20" s="207">
        <f>IF(OR(HeaterBoiler2!$E$26&lt;&gt;"fuel gas",HeaterBoiler2!$E$15&lt;&gt;"heater"),0,SUMIF(HeaterBoiler2!$A$54:$D$63,$FG20,HeaterBoiler2!$I$54:$I$63))*IFERROR($QR$21,0)</f>
        <v>0</v>
      </c>
      <c r="HC20" s="155">
        <f>IF(OR(HeaterBoiler1!$E$26&lt;&gt;"fuel gas",HeaterBoiler1!$E$15&lt;&gt;"boiler"),0,SUMIF(HeaterBoiler1!$A$41:$A$50,$FG20,HeaterBoiler1!$F$41:$F$50))*IFERROR($QR$20,0)</f>
        <v>0</v>
      </c>
      <c r="HD20" s="207">
        <f>IF(OR(HeaterBoiler2!$E$26&lt;&gt;"fuel gas",HeaterBoiler2!$E$15&lt;&gt;"boiler"),0,SUMIF(HeaterBoiler2!$A$41:$A$50,$FG20,HeaterBoiler2!$F$41:$F$50))*IFERROR($QR$22,0)</f>
        <v>0</v>
      </c>
      <c r="HE20" s="155">
        <f>SUMIF(Fug!$A$96:$A$205,$FG20,Fug!$I$96:$I$205)*IFERROR(Hidden!$QR$23,0)</f>
        <v>0</v>
      </c>
      <c r="HF20" s="155">
        <f t="shared" si="24"/>
        <v>0</v>
      </c>
      <c r="HG20" s="156">
        <f t="shared" si="25"/>
        <v>0</v>
      </c>
      <c r="HH20" s="156">
        <f t="shared" si="26"/>
        <v>0</v>
      </c>
      <c r="HI20" s="156">
        <f t="shared" si="27"/>
        <v>0</v>
      </c>
      <c r="HJ20" s="156">
        <f t="shared" si="28"/>
        <v>0</v>
      </c>
      <c r="HK20" s="156">
        <f t="shared" si="29"/>
        <v>0</v>
      </c>
      <c r="HL20" s="156">
        <f t="shared" si="30"/>
        <v>0</v>
      </c>
      <c r="NO20" s="155">
        <f>IF(Tank1!$D$22="No control",(SUMIF(Tank1!$E$32:$E$141,$FG20,Tank1!$H$32:$H$141)*(2000/8760)*IFERROR($QV$3,0)),0)</f>
        <v>0</v>
      </c>
      <c r="NP20" s="156">
        <f>SUMIF(LandEmiss!$AE$20:$AE$119,$FG20,LandEmiss!$AK$20:$AK$119)*(2000/8760)*IFERROR($QV$3,0)</f>
        <v>0</v>
      </c>
      <c r="NQ20" s="156">
        <f>(SUMIF(LandEmiss!$CN$20:$CN$119,$FG20,LandEmiss!$CT$20:$CT$119)+SUMIF(LandEmiss!$EY$9:$EY$108,$FG20,LandEmiss!$FE$9:$FE$108))*IFERROR($QV$3,0)*(2000/8760)</f>
        <v>0</v>
      </c>
      <c r="NR20" s="155">
        <f>IF(Tank2!$D$22="No control",(SUMIF(Tank2!$E$32:$E$141,$FG20,Tank2!$H$32:$H$141)*(2000/8760)*IFERROR($QV$4,0)),0)</f>
        <v>0</v>
      </c>
      <c r="NS20" s="156">
        <f>SUMIF(LandEmiss!$AE$20:$AE$119,$FG20,LandEmiss!$AL$20:$AL$119)*(2000/8760)*IFERROR($QV$4,0)</f>
        <v>0</v>
      </c>
      <c r="NT20" s="156">
        <f>(SUMIF(LandEmiss!$CN$20:$CN$119,$FG20,LandEmiss!$CU$20:$CU$119)+SUMIF(LandEmiss!$EY$9:$EY$108,$FG20,LandEmiss!$FF$9:$FF$108))*IFERROR($QV$4,0)*(2000/8760)</f>
        <v>0</v>
      </c>
      <c r="NU20" s="155">
        <f>IF(Tank3!$D$22="No control",(SUMIF(Tank3!$E$32:$E$141,$FG20,Tank3!$H$32:$H$141)*(2000/8760)*IFERROR($QV$5,0)),0)</f>
        <v>0</v>
      </c>
      <c r="NV20" s="156">
        <f>SUMIF(LandEmiss!$AE$20:$AE$119,$FG20,LandEmiss!$AM$20:$AM$119)*(2000/8760)*IFERROR($QV$5,0)</f>
        <v>0</v>
      </c>
      <c r="NW20" s="156">
        <f>(SUMIF(LandEmiss!$CN$20:$CN$119,$FG20,LandEmiss!$CV$20:$CV$119)+SUMIF(LandEmiss!$EY$9:$EY$108,$FG20,LandEmiss!$FG$9:$FG$108))*IFERROR($QV$5,0)*(2000/8760)</f>
        <v>0</v>
      </c>
      <c r="NX20" s="155">
        <f>IF(Tank4!$D$22="No control",(SUMIF(Tank4!$E$32:$E$141,$FG20,Tank4!$H$32:$H$141)*(2000/8760)*IFERROR($QV$6,0)),0)</f>
        <v>0</v>
      </c>
      <c r="NY20" s="156">
        <f>SUMIF(LandEmiss!$AE$20:$AE$119,$FG20,LandEmiss!$AN$20:$AN$119)*(2000/8760)*IFERROR($QV$6,0)</f>
        <v>0</v>
      </c>
      <c r="NZ20" s="156">
        <f>(SUMIF(LandEmiss!$CN$20:$CN$119,$FG20,LandEmiss!$CW$20:$CW$119)+SUMIF(LandEmiss!$EY$9:$EY$108,$FG20,LandEmiss!$FH$9:$FH$108))*IFERROR($QV$6,0)*(2000/8760)</f>
        <v>0</v>
      </c>
      <c r="OA20" s="155">
        <f>IF(Tank5!$D$22="No control",(SUMIF(Tank5!$E$32:$E$141,$FG20,Tank5!$H$32:$H$141)*(2000/8760)*IFERROR($QV$7,0)),0)</f>
        <v>0</v>
      </c>
      <c r="OB20" s="156">
        <f>SUMIF(LandEmiss!$AE$20:$AE$119,$FG20,LandEmiss!$AO$20:$AO$119)*(2000/8760)*IFERROR($QV$7,0)</f>
        <v>0</v>
      </c>
      <c r="OC20" s="156">
        <f>(SUMIF(LandEmiss!$CN$20:$CN$119,$FG20,LandEmiss!$CX$20:$CX$119)+SUMIF(LandEmiss!$EY$9:$EY$108,$FG20,LandEmiss!$FI$9:$FI$108))*IFERROR($QV$7,0)*(2000/8760)</f>
        <v>0</v>
      </c>
      <c r="OD20" s="155">
        <f>SUMIFS('Load-DrumTote'!$L$27:$L$136,'Load-DrumTote'!$F$27:$F$136,$FG20)*IFERROR($QV$8,0)*(2000/8760)</f>
        <v>0</v>
      </c>
      <c r="OE20" s="155">
        <f>SUMIFS('Load-Truck'!$L$27:$L$136,'Load-Truck'!$F$27:$F$136,$FG20)*IFERROR($QV$9,0)*(2000/8760)</f>
        <v>0</v>
      </c>
      <c r="OF20" s="155">
        <f>SUMIFS('Load-Rail'!$L$27:$L$136,'Load-Rail'!$F$27:$F$136,$FG20)*IFERROR($QV$10,0)*(2000/8760)</f>
        <v>0</v>
      </c>
      <c r="OG20" s="155">
        <f>SUMIFS('Load-MarineBarge'!$L$27:$L$136,'Load-MarineBarge'!$F$27:$F$136,$FG20)*IFERROR($QV$11,0)*(2000/8760)</f>
        <v>0</v>
      </c>
      <c r="OH20" s="155">
        <f>SUMIFS('Load-MarineShip'!$L$27:$L$136,'Load-MarineShip'!$F$27:$F$136,$FG20)*IFERROR($QV$12,0)*(2000/8760)</f>
        <v>0</v>
      </c>
      <c r="OI20" s="155">
        <f>(IF(OR(Flare!$D$24="FUEL GAS",Flare!$D$38="FUEL GAS"),SUMIF(Flare!$E$97:$E$106,$FG20,Flare!$G$97:$G$105),0)+SUMIF(Flare!$E$107:$E$216,$FG20,Flare!$G$107:$G$216))*(2000/8730)*IFERROR($QV$13,0)</f>
        <v>0</v>
      </c>
      <c r="OJ20" s="155">
        <f>SUMIF(LandEmiss!$A$335:$A$434,$FG20,LandEmiss!$C$335:$C$434)*(2000/8760)*IFERROR($QV$13,0)</f>
        <v>0</v>
      </c>
      <c r="OK20" s="155">
        <f>(SUMIF(LandEmiss!$BJ$335:$BJ$434,$FG20,LandEmiss!$BL$335:$BL$434)+SUMIF(LandEmiss!$DU$323:$DU$422,$FG20,LandEmiss!$DW$323:$DW$422))*(2000/8760)*IFERROR($QV$13,0)</f>
        <v>0</v>
      </c>
      <c r="OL20" s="155">
        <f>(IF(OR(VCU!$D$26="FUEL GAS",VCU!$D$42="FUEL GAS"),SUMIF(VCU!$E$120:$E$129,$FG20,VCU!$G$120:$G$129),0)+SUMIF(VCU!$E$130:$E$239,$FG20,VCU!G148:G257))*(2000/8760)*IFERROR($QV$14,0)</f>
        <v>0</v>
      </c>
      <c r="OM20" s="155">
        <f>SUMIF(LandEmiss!$A$335:$A$434,$FG20,LandEmiss!$E$335:$E$434)*(2000/8760)*IFERROR($QV$14,0)</f>
        <v>0</v>
      </c>
      <c r="ON20" s="155">
        <f>(SUMIF(LandEmiss!$BJ$335:$BJ$434,$FG20,LandEmiss!$BN$335:$BN$434)+SUMIF(LandEmiss!$DU$323:$DU$422,$FG20,LandEmiss!$DY$323:$DY$422))*(2000/8760)*IFERROR($QV$14,0)</f>
        <v>0</v>
      </c>
      <c r="OO20" s="155">
        <f>(IF(VaporOxidizer!$D$33="FUEL GAS",SUMIF(VaporOxidizer!$E$101:$E$110,$FG20,VaporOxidizer!$G$101:$G$110),0)+SUMIF(VaporOxidizer!$E$111:$E$220,$FG20,VaporOxidizer!$G$111:$G$220))*(2000/8760)*IFERROR($QV$15,0)</f>
        <v>0</v>
      </c>
      <c r="OP20" s="155">
        <f>SUMIF(LandEmiss!$A$335:$A$434,$FG20,LandEmiss!$G$335:$G$434)*(2000/8760)*IFERROR($QV$15,0)</f>
        <v>0</v>
      </c>
      <c r="OQ20" s="155">
        <f>(SUMIF(LandEmiss!$BJ$335:$BJ$434,$FG20,LandEmiss!$BP$335:$BP$434)+SUMIF(LandEmiss!$DU$323:$DU$422,$FG20,LandEmiss!$EA$323:$EA$422))*(2000/8760)*IFERROR($QV$15,0)</f>
        <v>0</v>
      </c>
      <c r="OR20" s="155">
        <f>SUMIF(CAS!$E$35:$E$144,Hidden!$FG20,CAS!$I$35:$I$144)*IFERROR($QV$16,0)*(2000/8760)</f>
        <v>0</v>
      </c>
      <c r="OS20" s="155">
        <f>SUMIF(LandEmiss!$A$335:$A$434,$FG20,LandEmiss!$I$335:$I$434)*(2000/8760)*IFERROR($QV$27,0)</f>
        <v>0</v>
      </c>
      <c r="OT20" s="155">
        <f>(SUMIF(LandEmiss!$BJ$335:$BJ$434,$FG20,LandEmiss!$BR$335:$BR$434)+SUMIF(LandEmiss!$DU$323:$DU$422,$FG20,LandEmiss!$EC$323:$EC$422))*(2000/8760)*IFERROR($QV$27,0)</f>
        <v>0</v>
      </c>
      <c r="OU20" s="155">
        <f>SUMIF(LandEmiss!$A$335:$A$434,$FG20,LandEmiss!$K$335:$K$434)*(2000/8760)*IFERROR($QV$26,0)</f>
        <v>0</v>
      </c>
      <c r="OV20" s="155">
        <f>(SUMIF(LandEmiss!$BJ$335:$BJ$434,$FG20,LandEmiss!$BT$335:$BT$434)+SUMIF(LandEmiss!$DU$323:$DU$422,$FG20,LandEmiss!$EE$323:$EE$422))*(2000/8760)*IFERROR($QV$26,0)</f>
        <v>0</v>
      </c>
      <c r="OW20" s="155">
        <f>SUMIF(LandEmiss!$A$335:$A$434,$FG20,LandEmiss!$M$335:$M$434)*(2000/8760)*IFERROR($QV$25,0)</f>
        <v>0</v>
      </c>
      <c r="OX20" s="155">
        <f>(SUMIF(LandEmiss!$BJ$335:$BJ$434,$FG20,LandEmiss!$BV$335:$BV$434)+SUMIF(LandEmiss!$DU$323:$DU$422,$FG20,LandEmiss!$EG$323:$EG$422))*(2000/8760)*IFERROR($QV$25,0)</f>
        <v>0</v>
      </c>
      <c r="OY20" s="8">
        <v>0</v>
      </c>
      <c r="OZ20" s="207">
        <v>0</v>
      </c>
      <c r="PA20" s="207">
        <f>IF(OR(HeaterBoiler1!$E$26&lt;&gt;"fuel gas",HeaterBoiler1!$E$15&lt;&gt;"heater"),0,(SUMIF(HeaterBoiler1!$A$54:$D$63,$FG20,HeaterBoiler1!$J$54:$J$63))*(2000/8760))*IFERROR($QV$19,0)</f>
        <v>0</v>
      </c>
      <c r="PB20" s="207">
        <f>IF(OR(HeaterBoiler2!$E$26&lt;&gt;"fuel gas",HeaterBoiler2!$E$15&lt;&gt;"heater"),0,(SUMIF(HeaterBoiler2!$A$54:$D$63,$FG20,HeaterBoiler2!$J$54:$J$63))*(2000/8760))*IFERROR($QV$21,0)</f>
        <v>0</v>
      </c>
      <c r="PC20" s="207">
        <f>IF(OR(HeaterBoiler1!$E$26&lt;&gt;"fuel gas",HeaterBoiler1!$E$15&lt;&gt;"boiler"),0,(SUMIF(HeaterBoiler1!$A$54:$D$63,$FG20,HeaterBoiler1!$J$54:$J$63))*(2000/8760))*IFERROR($QV$20,0)</f>
        <v>0</v>
      </c>
      <c r="PD20" s="207">
        <f>IF(OR(HeaterBoiler2!$E$26&lt;&gt;"fuel gas",HeaterBoiler2!$E$15&lt;&gt;"boiler"),0,(SUMIF(HeaterBoiler2!$A$54:$D$63,$FG20,HeaterBoiler2!$J$54:$J$63))*(2000/8760))*IFERROR($QV$22,0)</f>
        <v>0</v>
      </c>
      <c r="PE20" s="8">
        <f>(SUMIF(Fug!$A$96:$A$205,$FG20,Fug!$J$96:$J$205))*IFERROR($QV$23,0)*(2000/8760)</f>
        <v>0</v>
      </c>
      <c r="PF20" s="8">
        <f t="shared" si="31"/>
        <v>0</v>
      </c>
      <c r="PG20" s="156">
        <f t="shared" si="32"/>
        <v>0</v>
      </c>
      <c r="PJ20" s="52" t="str">
        <f>IF(Fug!$F$16=Hidden!$PP$2,"Flanges [8]","Flanges/Connectors-DTM(AM)")</f>
        <v>Flanges/Connectors-DTM(AM)</v>
      </c>
      <c r="PK20" s="52" t="str">
        <f>IF(Fug!$F$16=Hidden!$PP$2,"Heavy Oil &lt; 20° API","Gas/Vapor [4] [5]")</f>
        <v>Gas/Vapor [4] [5]</v>
      </c>
      <c r="PL20" s="52">
        <v>3.8999999999999998E-3</v>
      </c>
      <c r="PM20" s="52">
        <v>2.8999999999999998E-3</v>
      </c>
      <c r="PN20" s="52">
        <v>5.3E-3</v>
      </c>
      <c r="PO20" s="52">
        <v>1.8000000000000001E-4</v>
      </c>
      <c r="PP20" s="52">
        <v>8.6000000000000002E-7</v>
      </c>
      <c r="PQ20" s="52">
        <v>5.5500000000000005E-4</v>
      </c>
      <c r="PR20" s="52">
        <v>1.1000000000000001E-7</v>
      </c>
      <c r="PS20" s="52">
        <v>3.0699999999999998E-4</v>
      </c>
      <c r="PT20" s="52" t="s">
        <v>8783</v>
      </c>
      <c r="PU20" s="52" t="s">
        <v>8780</v>
      </c>
      <c r="PV20" s="52">
        <v>0</v>
      </c>
      <c r="PW20" s="52">
        <v>0.3</v>
      </c>
      <c r="PX20" s="52">
        <v>0.3</v>
      </c>
      <c r="PY20" s="52">
        <v>0.3</v>
      </c>
      <c r="PZ20" s="52">
        <v>0</v>
      </c>
      <c r="QA20" s="52">
        <v>0.97</v>
      </c>
      <c r="QB20" s="52" t="s">
        <v>8812</v>
      </c>
      <c r="QC20" s="52" t="s">
        <v>8804</v>
      </c>
      <c r="QD20" s="52">
        <v>0</v>
      </c>
      <c r="QE20" s="52">
        <v>0.75</v>
      </c>
      <c r="QF20" s="52">
        <v>0.75</v>
      </c>
      <c r="QG20" s="52">
        <v>0.75</v>
      </c>
      <c r="QH20" s="52">
        <v>0</v>
      </c>
      <c r="QI20" s="52">
        <v>0.75</v>
      </c>
      <c r="QK20" s="95" t="s">
        <v>9125</v>
      </c>
      <c r="QM20" s="16" t="s">
        <v>9354</v>
      </c>
      <c r="QN20" s="104" t="e">
        <f t="shared" si="38"/>
        <v>#N/A</v>
      </c>
      <c r="QO20" s="104">
        <f>HeaterBoiler1!E17</f>
        <v>0</v>
      </c>
      <c r="QP20" s="104">
        <f>HeaterBoiler1!E16</f>
        <v>0</v>
      </c>
      <c r="QQ20" s="16" t="str">
        <f>QX23</f>
        <v>BOILER</v>
      </c>
      <c r="QR20" s="16" t="e">
        <f t="shared" si="33"/>
        <v>#N/A</v>
      </c>
      <c r="QS20" s="16" t="e">
        <f t="shared" si="34"/>
        <v>#N/A</v>
      </c>
      <c r="QT20" s="16" t="e">
        <f t="shared" si="35"/>
        <v>#N/A</v>
      </c>
      <c r="QU20" s="16" t="e">
        <f t="shared" si="36"/>
        <v>#N/A</v>
      </c>
      <c r="QV20" s="16" t="e">
        <f t="shared" si="37"/>
        <v>#N/A</v>
      </c>
      <c r="QX20" s="89" t="s">
        <v>9329</v>
      </c>
      <c r="QY20">
        <v>3990.4</v>
      </c>
      <c r="QZ20">
        <v>3123.6</v>
      </c>
      <c r="RA20">
        <v>1588.9</v>
      </c>
      <c r="RB20">
        <v>967.2</v>
      </c>
      <c r="RC20">
        <v>673.3</v>
      </c>
      <c r="RD20">
        <v>494.5</v>
      </c>
      <c r="RE20">
        <v>385.1</v>
      </c>
      <c r="RF20">
        <v>232.2</v>
      </c>
      <c r="RG20" s="90">
        <v>158</v>
      </c>
      <c r="RH20" s="89" t="s">
        <v>9329</v>
      </c>
      <c r="RI20">
        <v>1383.6</v>
      </c>
      <c r="RJ20">
        <v>1336.8</v>
      </c>
      <c r="RK20">
        <v>1164.0999999999999</v>
      </c>
      <c r="RL20">
        <v>884.4</v>
      </c>
      <c r="RM20">
        <v>595.6</v>
      </c>
      <c r="RN20">
        <v>429.1</v>
      </c>
      <c r="RO20">
        <v>326.3</v>
      </c>
      <c r="RP20">
        <v>195.2</v>
      </c>
      <c r="RQ20" s="90">
        <v>132.6</v>
      </c>
      <c r="RR20" s="89" t="s">
        <v>9329</v>
      </c>
      <c r="RS20">
        <v>871.9</v>
      </c>
      <c r="RT20">
        <v>871.9</v>
      </c>
      <c r="RU20">
        <v>871.9</v>
      </c>
      <c r="RV20">
        <v>693.1</v>
      </c>
      <c r="RW20">
        <v>452.1</v>
      </c>
      <c r="RX20">
        <v>315.89999999999998</v>
      </c>
      <c r="RY20">
        <v>234.6</v>
      </c>
      <c r="RZ20">
        <v>135.6</v>
      </c>
      <c r="SA20" s="90">
        <v>93.66</v>
      </c>
      <c r="SB20" s="89" t="s">
        <v>9329</v>
      </c>
      <c r="SC20">
        <v>430.2</v>
      </c>
      <c r="SD20">
        <v>430.2</v>
      </c>
      <c r="SE20">
        <v>430.2</v>
      </c>
      <c r="SF20">
        <v>285.7</v>
      </c>
      <c r="SG20">
        <v>179.2</v>
      </c>
      <c r="SH20">
        <v>122.5</v>
      </c>
      <c r="SI20">
        <v>89.49</v>
      </c>
      <c r="SJ20">
        <v>49.61</v>
      </c>
      <c r="SK20" s="90">
        <v>34.26</v>
      </c>
      <c r="SL20" s="89" t="s">
        <v>9329</v>
      </c>
      <c r="SM20">
        <v>87.66</v>
      </c>
      <c r="SN20">
        <v>87.66</v>
      </c>
      <c r="SO20">
        <v>87.66</v>
      </c>
      <c r="SP20">
        <v>48.25</v>
      </c>
      <c r="SQ20">
        <v>26.87</v>
      </c>
      <c r="SR20">
        <v>17.03</v>
      </c>
      <c r="SS20">
        <v>12.12</v>
      </c>
      <c r="ST20">
        <v>6.17</v>
      </c>
      <c r="SU20" s="90">
        <v>3.81</v>
      </c>
      <c r="TI20" s="253" t="s">
        <v>326</v>
      </c>
      <c r="TJ20" s="160" t="str">
        <f>IF(Tank1!D20&lt;0.5,"TVP &lt; 0.50",IF(AND(Tank1!D20&gt;=0.5,Tank1!D20&lt;11),"0.50 ≤ TVP &lt; 11.0",IF(Tank1!D20&gt;=11,"TVP ≥ 11.0 TVP","")))</f>
        <v>TVP &lt; 0.50</v>
      </c>
      <c r="TK20" s="201" t="str">
        <f>IF(Tank5!D19&lt;25000,"&lt; 25 Mgal","≥ 25 Mgal")</f>
        <v>&lt; 25 Mgal</v>
      </c>
      <c r="TL20" t="s">
        <v>10026</v>
      </c>
      <c r="TM20" s="240" t="str">
        <f>"VOC: Good combustion practices. NOx: "&amp;HeaterBoiler2!C45&amp;" lb/MMBtu emission factor. "&amp;IF(HeaterBoiler2!E37="","",HeaterBoiler2!E37&amp;". ")&amp;IF(HeaterBoiler2!E38="","",HeaterBoiler2!E38&amp;". ")&amp;IF(HeaterBoiler2!E39="","",HeaterBoiler2!E39&amp;". ")&amp;IF(HeaterBoiler2!E35="Yes","CEMS is required.","")&amp;" CO: "&amp;HeaterBoiler2!C46&amp;" lb/MMBtu corrected to 3% O2. PM/PM10/PM2.5: Less than 5% opacity. Good combustion practices."&amp;" SO2: "&amp;IF(HeaterBoiler2!E26="natural gas","Fire pipeline quality natural gas containing no more than "&amp;HeaterBoiler2!E28&amp;" ppmw of total sulfur.",IF(HeaterBoiler2!E26="fuel gas","Fire plant fuel gas containing no more than "&amp;HeaterBoiler2!E28&amp;" ppmw of total sulfur.",""))&amp;" MSS: Minimizing the duration of these activities and operating the facility in accordance with best management practices and good air pollution control practices."</f>
        <v>VOC: Good combustion practices. NOx:  lb/MMBtu emission factor.  CO:  lb/MMBtu corrected to 3% O2. PM/PM10/PM2.5: Less than 5% opacity. Good combustion practices. SO2:  MSS: Minimizing the duration of these activities and operating the facility in accordance with best management practices and good air pollution control practices.</v>
      </c>
    </row>
    <row r="21" spans="1:533" ht="74.25" customHeight="1" x14ac:dyDescent="0.2">
      <c r="A21" s="8" t="s">
        <v>198</v>
      </c>
      <c r="B21" s="8">
        <v>14</v>
      </c>
      <c r="D21" s="8" t="s">
        <v>217</v>
      </c>
      <c r="E21" s="8" t="b">
        <f>IF($D21='PI-1-MarineLoading'!$D$73,TRUE,FALSE)</f>
        <v>0</v>
      </c>
      <c r="W21">
        <f>IF(OR(X21=0,ISNUMBER(MATCH(X21,$X$1:X20,0))),0,MAX($W$1:W20)+1)</f>
        <v>0</v>
      </c>
      <c r="X21" s="123">
        <f>Products!$E68</f>
        <v>0</v>
      </c>
      <c r="Y21" t="str">
        <f t="shared" si="3"/>
        <v/>
      </c>
      <c r="CA21">
        <f>IF(OR(CB21=0,ISNUMBER(MATCH(CB21,$CB$1:CB20,0))),0,MAX($CA$1:CA20)+1)</f>
        <v>0</v>
      </c>
      <c r="CB21" s="8">
        <f>IF(OR(Tank1!$D$18="EXTERNAL FLOATING ROOF",Tank1!$D$18="INTERNAL FLOATING ROOF"),IF(Tank1!$E51="",0,Tank1!$E51),0)</f>
        <v>0</v>
      </c>
      <c r="CC21" s="8" t="str">
        <f t="shared" si="6"/>
        <v/>
      </c>
      <c r="CD21" s="8"/>
      <c r="CE21" s="8">
        <f>IF(OR(CF21=0,ISNUMBER(MATCH(CF21,$CF$1:CF20,0))),0,MAX($CE$1:CE20)+1)</f>
        <v>0</v>
      </c>
      <c r="CF21" s="8">
        <f>IF(OR(Tank1!$D$18="HORIZONTAL FIXED ROOF",Tank1!$D$18="VERTICAL FIXED ROOF"),IF(Tank1!$E51="",0,Tank1!$E51),0)</f>
        <v>0</v>
      </c>
      <c r="CG21" s="8" t="str">
        <f t="shared" si="7"/>
        <v/>
      </c>
      <c r="CJ21">
        <f>IF(OR(CK21=0,ISNUMBER(MATCH(CK21,$CK$1:CK20,0))),0,MAX($CJ$1:CJ20)+1)</f>
        <v>0</v>
      </c>
      <c r="CK21">
        <f>Tank2!$A$131</f>
        <v>0</v>
      </c>
      <c r="CM21">
        <f>IFERROR(VLOOKUP($CK21,Tank2!$A$32:$D$141,3,FALSE),0)</f>
        <v>0</v>
      </c>
      <c r="CN21">
        <f>IFERROR(VLOOKUP($CK21,Tank2!$A$32:$D$141,4,FALSE),0)</f>
        <v>0</v>
      </c>
      <c r="DM21">
        <f>IF(OR(DN21=0,ISNUMBER(MATCH(DN21,$DN$1:DN20,0))),0,MAX($DM$1:DM20)+1)</f>
        <v>0</v>
      </c>
      <c r="DN21">
        <f>IF(Tank2!$D$22="Flare",IFERROR(VLOOKUP(Products!$A$149,Tank2!$A$32:$B$141,1,FALSE),0),0)</f>
        <v>0</v>
      </c>
      <c r="DO21">
        <f>IF($DN21=0,0,VLOOKUP($DN21,Tank2!$A$32:$H$141,7,FALSE))</f>
        <v>0</v>
      </c>
      <c r="DP21">
        <f>IF($DN21=0,0,VLOOKUP($DN21,Tank2!$A$32:$H$141,8,FALSE))</f>
        <v>0</v>
      </c>
      <c r="DU21">
        <f>IF(OR(DV21=0,ISNUMBER(MATCH(DV21,$DV$1:DV20,0))),0,MAX($DU$1:DU20)+1)</f>
        <v>0</v>
      </c>
      <c r="DV21">
        <f>IF(Tank2!$D$22="VCU",IFERROR(VLOOKUP(Products!$A$149,Tank2!$A$32:$B$141,1,FALSE),0),0)</f>
        <v>0</v>
      </c>
      <c r="DW21">
        <f>IF($DV21=0,0,VLOOKUP($DV21,Tank2!$A$32:$H$141,7,FALSE))</f>
        <v>0</v>
      </c>
      <c r="DX21">
        <f>IF($DV21=0,0,VLOOKUP($DV21,Tank2!$A$32:$H$141,8,FALSE))</f>
        <v>0</v>
      </c>
      <c r="EC21">
        <f>IF(OR(ED21=0,ISNUMBER(MATCH(ED21,$ED$1:ED20,0))),0,MAX($EC$1:EC20)+1)</f>
        <v>0</v>
      </c>
      <c r="ED21">
        <f>IF(Tank2!$D$22="vapor oxidizer",IFERROR(VLOOKUP(Products!$A$149,Tank2!$A$32:$B$141,1,FALSE),0),0)</f>
        <v>0</v>
      </c>
      <c r="EE21">
        <f>IF($ED21=0,0,VLOOKUP($ED21,Tank2!$A$32:$H$141,7,FALSE))</f>
        <v>0</v>
      </c>
      <c r="EF21">
        <f>IF($ED21=0,0,VLOOKUP($ED21,Tank2!$A$32:$H$141,8,FALSE))</f>
        <v>0</v>
      </c>
      <c r="EK21">
        <f>IF(OR(EL21=0,ISNUMBER(MATCH(EL21,$EL$1:EL20,0))),0,MAX($EK$1:EK20)+1)</f>
        <v>0</v>
      </c>
      <c r="EL21">
        <f>IF(Tank2!$D$22="CAS",IFERROR(VLOOKUP(Products!A149,Tank2!$A$32:$B$141,1,FALSE),0),0)</f>
        <v>0</v>
      </c>
      <c r="EM21">
        <f>IF($EL21=0,0,VLOOKUP($EL21,Tank2!$A$32:$H$141,7,FALSE))</f>
        <v>0</v>
      </c>
      <c r="EN21">
        <f>IF($EL21=0,0,VLOOKUP($EL21,Tank2!$A$32:$H$141,8,FALSE))</f>
        <v>0</v>
      </c>
      <c r="EX21">
        <f>MSS!$A54</f>
        <v>0</v>
      </c>
      <c r="EY21">
        <f>MSS!$G54*MSS!F$144</f>
        <v>0</v>
      </c>
      <c r="EZ21">
        <f>MSS!$G54*MSS!G$144</f>
        <v>0</v>
      </c>
      <c r="FB21" s="8" t="s">
        <v>395</v>
      </c>
      <c r="FC21" s="8" t="s">
        <v>396</v>
      </c>
      <c r="FD21" s="8">
        <v>20</v>
      </c>
      <c r="FE21" s="8">
        <v>2</v>
      </c>
      <c r="FG21" s="360" t="str">
        <f t="shared" si="23"/>
        <v/>
      </c>
      <c r="FH21" s="155">
        <f>IF(Tank1!$D$22="NO CONTROL",_xlfn.MAXIFS(Tank1!$G$32:$G$141,Tank1!$E$32:$E$141,$FG21),0)*IFERROR($QR$3,0)</f>
        <v>0</v>
      </c>
      <c r="FI21" s="155">
        <f>_xlfn.MAXIFS(LandEmiss!$AF$20:$AF$119,LandEmiss!$AE$20:$AE$119,$FG21)*IFERROR($QR$3,0)</f>
        <v>0</v>
      </c>
      <c r="FJ21" s="155">
        <f>MAX(_xlfn.MAXIFS(LandEmiss!$CO$20:$CO$119,LandEmiss!$CN$20:$CN$119,$FG21),_xlfn.MAXIFS(LandEmiss!$EZ$9:$EZ$108,LandEmiss!$EY$9:$EY$108,$FG21))*IFERROR($QR$3,0)</f>
        <v>0</v>
      </c>
      <c r="FK21" s="155">
        <f>IF(Tank2!$D$22="NO CONTROL",_xlfn.MAXIFS(Tank2!$G$32:$G$141,Tank2!$E$32:$E$141,$FG21),0)*IFERROR($QR$4,0)</f>
        <v>0</v>
      </c>
      <c r="FL21" s="155">
        <f>_xlfn.MAXIFS(LandEmiss!$AG$20:$AG$119,LandEmiss!$AE$20:$AE$119,$FG21)*IFERROR($QR$4,0)</f>
        <v>0</v>
      </c>
      <c r="FM21" s="155">
        <f>MAX(_xlfn.MAXIFS(LandEmiss!$CP$20:$CP$119,LandEmiss!$CN$20:$CN$119,$FG21),_xlfn.MAXIFS(LandEmiss!$FA$9:$FA$108,LandEmiss!$EY$9:$EY$108,$FG21))*IFERROR($QR$4,0)</f>
        <v>0</v>
      </c>
      <c r="FN21" s="155">
        <f>IF(Tank3!$D$22="NO CONTROL",_xlfn.MAXIFS(Tank3!$G$32:$G$141,Tank3!$E$32:$E$141,$FG21),0)*IFERROR($QR$5,0)</f>
        <v>0</v>
      </c>
      <c r="FO21" s="155">
        <f>_xlfn.MAXIFS(LandEmiss!$AH$20:$AH$119,LandEmiss!$AE$20:$AE$119,$FG21)*IFERROR($QR$5,0)</f>
        <v>0</v>
      </c>
      <c r="FP21" s="155">
        <f>MAX(_xlfn.MAXIFS(LandEmiss!$CQ$20:$CQ$119,LandEmiss!$CN$20:$CN$119,$FG21),_xlfn.MAXIFS(LandEmiss!$FB$9:$FB$108,LandEmiss!$EY$9:$EY$108,$FG21))*IFERROR($QR$5,0)</f>
        <v>0</v>
      </c>
      <c r="FQ21" s="155">
        <f>IF(Tank4!$D$22="NO CONTROL",_xlfn.MAXIFS(Tank4!$G$32:$G$141,Tank4!$E$32:$E$141,$FG21),0)*IFERROR($QR$6,0)</f>
        <v>0</v>
      </c>
      <c r="FR21" s="155">
        <f>_xlfn.MAXIFS(LandEmiss!$AI$20:$AI$119,LandEmiss!$AE$20:$AE$119,$FG21)*IFERROR($QR$6,0)</f>
        <v>0</v>
      </c>
      <c r="FS21" s="155">
        <f>MAX(_xlfn.MAXIFS(LandEmiss!$CR$20:$CR$119,LandEmiss!$CN$20:$CN$119,$FG21),_xlfn.MAXIFS(LandEmiss!$FC$9:$FC$108,LandEmiss!$EY$9:$EY$108,$FG21))*IFERROR($QR$6,0)</f>
        <v>0</v>
      </c>
      <c r="FT21" s="155">
        <f>IF(Tank5!$D$22="NO CONTROL",_xlfn.MAXIFS(Tank5!$G$32:$G$141,Tank5!$E$32:$E$141,$FG21),0)*IFERROR($QR$7,0)</f>
        <v>0</v>
      </c>
      <c r="FU21" s="155">
        <f>_xlfn.MAXIFS(LandEmiss!$AJ$20:$AJ$119,LandEmiss!$AE$20:$AE$119,$FG21)*IFERROR($QR$7,0)</f>
        <v>0</v>
      </c>
      <c r="FV21" s="155">
        <f>MAX(_xlfn.MAXIFS(LandEmiss!$CS$20:$CS$119,LandEmiss!$CN$20:$CN$119,$FG21),_xlfn.MAXIFS(LandEmiss!$FD$9:$FD$108,LandEmiss!$EY$9:$EY$108,$FG21))*IFERROR($QR26,0)</f>
        <v>0</v>
      </c>
      <c r="FW21" s="155">
        <f>_xlfn.MAXIFS('Load-DrumTote'!$K$27:$K$136,'Load-DrumTote'!$F$27:$F$136,$FG21)*IFERROR($QR$8,0)</f>
        <v>0</v>
      </c>
      <c r="FX21" s="155">
        <f>_xlfn.MAXIFS('Load-Truck'!$K$27:$K$136,'Load-Truck'!$F$27:$F$136,$FG21)*IFERROR($QR$9,0)</f>
        <v>0</v>
      </c>
      <c r="FY21" s="155">
        <f>_xlfn.MAXIFS('Load-Rail'!$K$27:$K$136,'Load-Rail'!$F$27:$F$136,$FG21)*IFERROR($QR$10,0)</f>
        <v>0</v>
      </c>
      <c r="FZ21" s="155">
        <f>_xlfn.MAXIFS('Load-MarineBarge'!$K$27:$K$136,'Load-MarineBarge'!$F$27:$F$136,$FG21)*IFERROR($QR$11,0)</f>
        <v>0</v>
      </c>
      <c r="GA21" s="155">
        <f>_xlfn.MAXIFS('Load-MarineShip'!$K$27:$K$136,'Load-MarineShip'!$F$27:$F$136,$FG21)*IFERROR($QR$12,0)</f>
        <v>0</v>
      </c>
      <c r="GB21" s="313">
        <f>IF(OR(Flare!$D$24="fuel gas",Flare!$D$38="fuel gas"),SUMIF(Flare!$E$97:$E$106,$FG21,Flare!$F$97:$F$106),0)*IFERROR($QR$13,0)</f>
        <v>0</v>
      </c>
      <c r="GC21" s="313">
        <f>(_xlfn.MAXIFS(CtrlDevImpacts!$I$57:$I$156,CtrlDevImpacts!$H$57:$H$156,$FG21))*IFERROR($QR$13,0)</f>
        <v>0</v>
      </c>
      <c r="GD21" s="313">
        <f>(_xlfn.MAXIFS(Flare!$F$107:$F$216,Flare!$E$107:$E$216,$FG21)-_xlfn.MAXIFS(CtrlDevImpacts!$I$57:$I$156,CtrlDevImpacts!$H$57:$H$156,$FG21))*IFERROR($QR$13,0)</f>
        <v>0</v>
      </c>
      <c r="GE21" s="155">
        <f>_xlfn.MAXIFS(LandEmiss!$B$335:$B$434,LandEmiss!$A$335:$A$434,$FG21)*IFERROR($QR$13,0)</f>
        <v>0</v>
      </c>
      <c r="GF21" s="155">
        <f>(_xlfn.MAXIFS(LandEmiss!$BK$335:$BK$434,LandEmiss!$BJ$335:$BJ$434,$FG21)+_xlfn.MAXIFS(LandEmiss!$DV$323:$DV$422,LandEmiss!$DU$323:$DU$422,$FG21))*IFERROR($QR$13,0)</f>
        <v>0</v>
      </c>
      <c r="GG21" s="313">
        <f>IF(OR(VCU!$D$26="fuel gas",VCU!$D$42="fuel gas"),SUMIF(VCU!$E$120:$E$129,$FG21,VCU!$F$120:$F$129),0)*IFERROR($QR$14,0)</f>
        <v>0</v>
      </c>
      <c r="GH21" s="313">
        <f>(_xlfn.MAXIFS(CtrlDevImpacts!$X$57:$X$156,CtrlDevImpacts!$W$57:$W$156,$FG21))*IFERROR($QR$14,0)</f>
        <v>0</v>
      </c>
      <c r="GI21" s="313">
        <f>(_xlfn.MAXIFS(VCU!$F$130:$F$239,VCU!$E$130:$E$239,$FG21)-_xlfn.MAXIFS(CtrlDevImpacts!$X$57:$X$156,CtrlDevImpacts!$W$57:$W$156,$FG21))*IFERROR($QR$14,0)</f>
        <v>0</v>
      </c>
      <c r="GJ21" s="155">
        <f>_xlfn.MAXIFS(LandEmiss!$D$335:$D$434,LandEmiss!$A$335:$A$434,$FG21)*IFERROR($QR$14,0)</f>
        <v>0</v>
      </c>
      <c r="GK21" s="155">
        <f>(_xlfn.MAXIFS(LandEmiss!$BM$335:$BM$434,LandEmiss!$BJ$335:$BJ$434,$FG21)+_xlfn.MAXIFS(LandEmiss!$DX$323:$DX$422,LandEmiss!$DU$323:$DU$422,$FG21))*IFERROR($QR$14,0)</f>
        <v>0</v>
      </c>
      <c r="GL21" s="313">
        <f>IF(VaporOxidizer!D52="FUEL GAS",SUMIF(VaporOxidizer!$E$101:$E$110,$FG21,VaporOxidizer!$F$101:$F$110),0)*IFERROR($QR$15,0)</f>
        <v>0</v>
      </c>
      <c r="GM21" s="313">
        <f>(_xlfn.MAXIFS(CtrlDevImpacts!$AN$57:$AN$156,CtrlDevImpacts!$AM$57:$AM$156,$FG21))*IFERROR($QR$15,0)</f>
        <v>0</v>
      </c>
      <c r="GN21" s="313">
        <f>(_xlfn.MAXIFS(VaporOxidizer!$F$111:$F$220,VaporOxidizer!$E$111:$E$220,$FG21)-_xlfn.MAXIFS(CtrlDevImpacts!$AN$57:$AN$156,CtrlDevImpacts!$AM$57:$AM$156,$FG21))*IFERROR($QR$15,0)</f>
        <v>0</v>
      </c>
      <c r="GO21" s="155">
        <f>_xlfn.MAXIFS(LandEmiss!$F$335:$F$434,LandEmiss!$A$335:$A$434,$FG21)*IFERROR($QR$15,0)</f>
        <v>0</v>
      </c>
      <c r="GP21" s="155">
        <f>(_xlfn.MAXIFS(LandEmiss!$BK$335:$BK$434,LandEmiss!$BO$335:$BO$434,$FG21)+_xlfn.MAXIFS(LandEmiss!$DZ$323:$DZ$422,LandEmiss!$DU$323:$DU$422,$FG21))*IFERROR($QR$15,0)</f>
        <v>0</v>
      </c>
      <c r="GQ21" s="313">
        <f>_xlfn.MAXIFS(CtrlDevImpacts!$BD$57:$BD$156,CtrlDevImpacts!$BC$57:$BC$156,$FG21)*IFERROR(Hidden!$QR$16,0)</f>
        <v>0</v>
      </c>
      <c r="GR21" s="313">
        <f>(_xlfn.MAXIFS(CAS!$H$35:$H$144,CAS!$E$35:$E$144,$FG21)-_xlfn.MAXIFS(CtrlDevImpacts!$BD$57:$BD$156,CtrlDevImpacts!$BC$57:$BC$156,$FG21))*IFERROR(Hidden!$QR$16,0)</f>
        <v>0</v>
      </c>
      <c r="GS21" s="155">
        <f>_xlfn.MAXIFS(LandEmiss!$H$335:$H$434,LandEmiss!$A$335:$A$434,$FG21)*IFERROR($QR$27,0)</f>
        <v>0</v>
      </c>
      <c r="GT21" s="155">
        <f>(_xlfn.MAXIFS(LandEmiss!$BK$335:$BK$434,LandEmiss!$BQ$335:$BQ$434,$FG21)+_xlfn.MAXIFS(LandEmiss!$EB$323:$EB$422,LandEmiss!$DU$323:$DU$422,$FG21))*IFERROR($QR$27,0)</f>
        <v>0</v>
      </c>
      <c r="GU21" s="155">
        <f>_xlfn.MAXIFS(LandEmiss!$J$335:$J$434,LandEmiss!$A$335:$A$434,$FG21)*IFERROR($QR$26,0)</f>
        <v>0</v>
      </c>
      <c r="GV21" s="155">
        <f>(_xlfn.MAXIFS(LandEmiss!$BK$335:$BK$434,LandEmiss!$BS$335:$BS$434,$FG21)+_xlfn.MAXIFS(LandEmiss!$ED$323:$ED$422,LandEmiss!$DU$323:$DU$422,$FG21))*IFERROR($QR$26,0)</f>
        <v>0</v>
      </c>
      <c r="GW21" s="155">
        <f>_xlfn.MAXIFS(LandEmiss!$L$335:$L$434,LandEmiss!$A$335:$A$434,$FG21)*IFERROR($QR$25,0)</f>
        <v>0</v>
      </c>
      <c r="GX21" s="155">
        <f>(_xlfn.MAXIFS(LandEmiss!$BK$335:$BK$434,LandEmiss!$BU$335:$BU$434,$FG21)+_xlfn.MAXIFS(LandEmiss!$EF$323:$EF$422,LandEmiss!$DU$323:$DU$422,$FG21))*IFERROR($QR$25,0)</f>
        <v>0</v>
      </c>
      <c r="GY21" s="155">
        <v>0</v>
      </c>
      <c r="GZ21" s="155">
        <v>0</v>
      </c>
      <c r="HA21" s="155">
        <f>IF(OR(HeaterBoiler1!$E$26&lt;&gt;"fuel gas",HeaterBoiler1!$E$15&lt;&gt;"heater"),0,SUMIF(HeaterBoiler1!$A$54:$D$63,$FG21,HeaterBoiler1!$I$54:$I$63))*IFERROR($QR$19,0)</f>
        <v>0</v>
      </c>
      <c r="HB21" s="207">
        <f>IF(OR(HeaterBoiler2!$E$26&lt;&gt;"fuel gas",HeaterBoiler2!$E$15&lt;&gt;"heater"),0,SUMIF(HeaterBoiler2!$A$54:$D$63,$FG21,HeaterBoiler2!$I$54:$I$63))*IFERROR($QR$21,0)</f>
        <v>0</v>
      </c>
      <c r="HC21" s="155">
        <f>IF(OR(HeaterBoiler1!$E$26&lt;&gt;"fuel gas",HeaterBoiler1!$E$15&lt;&gt;"boiler"),0,SUMIF(HeaterBoiler1!$A$41:$A$50,$FG21,HeaterBoiler1!$F$41:$F$50))*IFERROR($QR$20,0)</f>
        <v>0</v>
      </c>
      <c r="HD21" s="207">
        <f>IF(OR(HeaterBoiler2!$E$26&lt;&gt;"fuel gas",HeaterBoiler2!$E$15&lt;&gt;"boiler"),0,SUMIF(HeaterBoiler2!$A$41:$A$50,$FG21,HeaterBoiler2!$F$41:$F$50))*IFERROR($QR$22,0)</f>
        <v>0</v>
      </c>
      <c r="HE21" s="155">
        <f>SUMIF(Fug!$A$96:$A$205,$FG21,Fug!$I$96:$I$205)*IFERROR(Hidden!$QR$23,0)</f>
        <v>0</v>
      </c>
      <c r="HF21" s="155">
        <f t="shared" si="24"/>
        <v>0</v>
      </c>
      <c r="HG21" s="156">
        <f t="shared" si="25"/>
        <v>0</v>
      </c>
      <c r="HH21" s="156">
        <f t="shared" si="26"/>
        <v>0</v>
      </c>
      <c r="HI21" s="156">
        <f t="shared" si="27"/>
        <v>0</v>
      </c>
      <c r="HJ21" s="156">
        <f t="shared" si="28"/>
        <v>0</v>
      </c>
      <c r="HK21" s="156">
        <f t="shared" si="29"/>
        <v>0</v>
      </c>
      <c r="HL21" s="156">
        <f t="shared" si="30"/>
        <v>0</v>
      </c>
      <c r="NO21" s="155">
        <f>IF(Tank1!$D$22="No control",(SUMIF(Tank1!$E$32:$E$141,$FG21,Tank1!$H$32:$H$141)*(2000/8760)*IFERROR($QV$3,0)),0)</f>
        <v>0</v>
      </c>
      <c r="NP21" s="156">
        <f>SUMIF(LandEmiss!$AE$20:$AE$119,$FG21,LandEmiss!$AK$20:$AK$119)*(2000/8760)*IFERROR($QV$3,0)</f>
        <v>0</v>
      </c>
      <c r="NQ21" s="156">
        <f>(SUMIF(LandEmiss!$CN$20:$CN$119,$FG21,LandEmiss!$CT$20:$CT$119)+SUMIF(LandEmiss!$EY$9:$EY$108,$FG21,LandEmiss!$FE$9:$FE$108))*IFERROR($QV$3,0)*(2000/8760)</f>
        <v>0</v>
      </c>
      <c r="NR21" s="155">
        <f>IF(Tank2!$D$22="No control",(SUMIF(Tank2!$E$32:$E$141,$FG21,Tank2!$H$32:$H$141)*(2000/8760)*IFERROR($QV$4,0)),0)</f>
        <v>0</v>
      </c>
      <c r="NS21" s="156">
        <f>SUMIF(LandEmiss!$AE$20:$AE$119,$FG21,LandEmiss!$AL$20:$AL$119)*(2000/8760)*IFERROR($QV$4,0)</f>
        <v>0</v>
      </c>
      <c r="NT21" s="156">
        <f>(SUMIF(LandEmiss!$CN$20:$CN$119,$FG21,LandEmiss!$CU$20:$CU$119)+SUMIF(LandEmiss!$EY$9:$EY$108,$FG21,LandEmiss!$FF$9:$FF$108))*IFERROR($QV$4,0)*(2000/8760)</f>
        <v>0</v>
      </c>
      <c r="NU21" s="155">
        <f>IF(Tank3!$D$22="No control",(SUMIF(Tank3!$E$32:$E$141,$FG21,Tank3!$H$32:$H$141)*(2000/8760)*IFERROR($QV$5,0)),0)</f>
        <v>0</v>
      </c>
      <c r="NV21" s="156">
        <f>SUMIF(LandEmiss!$AE$20:$AE$119,$FG21,LandEmiss!$AM$20:$AM$119)*(2000/8760)*IFERROR($QV$5,0)</f>
        <v>0</v>
      </c>
      <c r="NW21" s="156">
        <f>(SUMIF(LandEmiss!$CN$20:$CN$119,$FG21,LandEmiss!$CV$20:$CV$119)+SUMIF(LandEmiss!$EY$9:$EY$108,$FG21,LandEmiss!$FG$9:$FG$108))*IFERROR($QV$5,0)*(2000/8760)</f>
        <v>0</v>
      </c>
      <c r="NX21" s="155">
        <f>IF(Tank4!$D$22="No control",(SUMIF(Tank4!$E$32:$E$141,$FG21,Tank4!$H$32:$H$141)*(2000/8760)*IFERROR($QV$6,0)),0)</f>
        <v>0</v>
      </c>
      <c r="NY21" s="156">
        <f>SUMIF(LandEmiss!$AE$20:$AE$119,$FG21,LandEmiss!$AN$20:$AN$119)*(2000/8760)*IFERROR($QV$6,0)</f>
        <v>0</v>
      </c>
      <c r="NZ21" s="156">
        <f>(SUMIF(LandEmiss!$CN$20:$CN$119,$FG21,LandEmiss!$CW$20:$CW$119)+SUMIF(LandEmiss!$EY$9:$EY$108,$FG21,LandEmiss!$FH$9:$FH$108))*IFERROR($QV$6,0)*(2000/8760)</f>
        <v>0</v>
      </c>
      <c r="OA21" s="155">
        <f>IF(Tank5!$D$22="No control",(SUMIF(Tank5!$E$32:$E$141,$FG21,Tank5!$H$32:$H$141)*(2000/8760)*IFERROR($QV$7,0)),0)</f>
        <v>0</v>
      </c>
      <c r="OB21" s="156">
        <f>SUMIF(LandEmiss!$AE$20:$AE$119,$FG21,LandEmiss!$AO$20:$AO$119)*(2000/8760)*IFERROR($QV$7,0)</f>
        <v>0</v>
      </c>
      <c r="OC21" s="156">
        <f>(SUMIF(LandEmiss!$CN$20:$CN$119,$FG21,LandEmiss!$CX$20:$CX$119)+SUMIF(LandEmiss!$EY$9:$EY$108,$FG21,LandEmiss!$FI$9:$FI$108))*IFERROR($QV$7,0)*(2000/8760)</f>
        <v>0</v>
      </c>
      <c r="OD21" s="155">
        <f>SUMIFS('Load-DrumTote'!$L$27:$L$136,'Load-DrumTote'!$F$27:$F$136,$FG21)*IFERROR($QV$8,0)*(2000/8760)</f>
        <v>0</v>
      </c>
      <c r="OE21" s="155">
        <f>SUMIFS('Load-Truck'!$L$27:$L$136,'Load-Truck'!$F$27:$F$136,$FG21)*IFERROR($QV$9,0)*(2000/8760)</f>
        <v>0</v>
      </c>
      <c r="OF21" s="155">
        <f>SUMIFS('Load-Rail'!$L$27:$L$136,'Load-Rail'!$F$27:$F$136,$FG21)*IFERROR($QV$10,0)*(2000/8760)</f>
        <v>0</v>
      </c>
      <c r="OG21" s="155">
        <f>SUMIFS('Load-MarineBarge'!$L$27:$L$136,'Load-MarineBarge'!$F$27:$F$136,$FG21)*IFERROR($QV$11,0)*(2000/8760)</f>
        <v>0</v>
      </c>
      <c r="OH21" s="155">
        <f>SUMIFS('Load-MarineShip'!$L$27:$L$136,'Load-MarineShip'!$F$27:$F$136,$FG21)*IFERROR($QV$12,0)*(2000/8760)</f>
        <v>0</v>
      </c>
      <c r="OI21" s="155">
        <f>(IF(OR(Flare!$D$24="FUEL GAS",Flare!$D$38="FUEL GAS"),SUMIF(Flare!$E$97:$E$106,$FG21,Flare!$G$97:$G$105),0)+SUMIF(Flare!$E$107:$E$216,$FG21,Flare!$G$107:$G$216))*(2000/8730)*IFERROR($QV$13,0)</f>
        <v>0</v>
      </c>
      <c r="OJ21" s="155">
        <f>SUMIF(LandEmiss!$A$335:$A$434,$FG21,LandEmiss!$C$335:$C$434)*(2000/8760)*IFERROR($QV$13,0)</f>
        <v>0</v>
      </c>
      <c r="OK21" s="155">
        <f>(SUMIF(LandEmiss!$BJ$335:$BJ$434,$FG21,LandEmiss!$BL$335:$BL$434)+SUMIF(LandEmiss!$DU$323:$DU$422,$FG21,LandEmiss!$DW$323:$DW$422))*(2000/8760)*IFERROR($QV$13,0)</f>
        <v>0</v>
      </c>
      <c r="OL21" s="155">
        <f>(IF(OR(VCU!$D$26="FUEL GAS",VCU!$D$42="FUEL GAS"),SUMIF(VCU!$E$120:$E$129,$FG21,VCU!$G$120:$G$129),0)+SUMIF(VCU!$E$130:$E$239,$FG21,VCU!G149:G258))*(2000/8760)*IFERROR($QV$14,0)</f>
        <v>0</v>
      </c>
      <c r="OM21" s="155">
        <f>SUMIF(LandEmiss!$A$335:$A$434,$FG21,LandEmiss!$E$335:$E$434)*(2000/8760)*IFERROR($QV$14,0)</f>
        <v>0</v>
      </c>
      <c r="ON21" s="155">
        <f>(SUMIF(LandEmiss!$BJ$335:$BJ$434,$FG21,LandEmiss!$BN$335:$BN$434)+SUMIF(LandEmiss!$DU$323:$DU$422,$FG21,LandEmiss!$DY$323:$DY$422))*(2000/8760)*IFERROR($QV$14,0)</f>
        <v>0</v>
      </c>
      <c r="OO21" s="155">
        <f>(IF(VaporOxidizer!$D$33="FUEL GAS",SUMIF(VaporOxidizer!$E$101:$E$110,$FG21,VaporOxidizer!$G$101:$G$110),0)+SUMIF(VaporOxidizer!$E$111:$E$220,$FG21,VaporOxidizer!$G$111:$G$220))*(2000/8760)*IFERROR($QV$15,0)</f>
        <v>0</v>
      </c>
      <c r="OP21" s="155">
        <f>SUMIF(LandEmiss!$A$335:$A$434,$FG21,LandEmiss!$G$335:$G$434)*(2000/8760)*IFERROR($QV$15,0)</f>
        <v>0</v>
      </c>
      <c r="OQ21" s="155">
        <f>(SUMIF(LandEmiss!$BJ$335:$BJ$434,$FG21,LandEmiss!$BP$335:$BP$434)+SUMIF(LandEmiss!$DU$323:$DU$422,$FG21,LandEmiss!$EA$323:$EA$422))*(2000/8760)*IFERROR($QV$15,0)</f>
        <v>0</v>
      </c>
      <c r="OR21" s="155">
        <f>SUMIF(CAS!$E$35:$E$144,Hidden!$FG21,CAS!$I$35:$I$144)*IFERROR($QV$16,0)*(2000/8760)</f>
        <v>0</v>
      </c>
      <c r="OS21" s="155">
        <f>SUMIF(LandEmiss!$A$335:$A$434,$FG21,LandEmiss!$I$335:$I$434)*(2000/8760)*IFERROR($QV$27,0)</f>
        <v>0</v>
      </c>
      <c r="OT21" s="155">
        <f>(SUMIF(LandEmiss!$BJ$335:$BJ$434,$FG21,LandEmiss!$BR$335:$BR$434)+SUMIF(LandEmiss!$DU$323:$DU$422,$FG21,LandEmiss!$EC$323:$EC$422))*(2000/8760)*IFERROR($QV$27,0)</f>
        <v>0</v>
      </c>
      <c r="OU21" s="155">
        <f>SUMIF(LandEmiss!$A$335:$A$434,$FG21,LandEmiss!$K$335:$K$434)*(2000/8760)*IFERROR($QV$26,0)</f>
        <v>0</v>
      </c>
      <c r="OV21" s="155">
        <f>(SUMIF(LandEmiss!$BJ$335:$BJ$434,$FG21,LandEmiss!$BT$335:$BT$434)+SUMIF(LandEmiss!$DU$323:$DU$422,$FG21,LandEmiss!$EE$323:$EE$422))*(2000/8760)*IFERROR($QV$26,0)</f>
        <v>0</v>
      </c>
      <c r="OW21" s="155">
        <f>SUMIF(LandEmiss!$A$335:$A$434,$FG21,LandEmiss!$M$335:$M$434)*(2000/8760)*IFERROR($QV$25,0)</f>
        <v>0</v>
      </c>
      <c r="OX21" s="155">
        <f>(SUMIF(LandEmiss!$BJ$335:$BJ$434,$FG21,LandEmiss!$BV$335:$BV$434)+SUMIF(LandEmiss!$DU$323:$DU$422,$FG21,LandEmiss!$EG$323:$EG$422))*(2000/8760)*IFERROR($QV$25,0)</f>
        <v>0</v>
      </c>
      <c r="OY21" s="8">
        <v>0</v>
      </c>
      <c r="OZ21" s="207">
        <v>0</v>
      </c>
      <c r="PA21" s="207">
        <f>IF(OR(HeaterBoiler1!$E$26&lt;&gt;"fuel gas",HeaterBoiler1!$E$15&lt;&gt;"heater"),0,(SUMIF(HeaterBoiler1!$A$54:$D$63,$FG21,HeaterBoiler1!$J$54:$J$63))*(2000/8760))*IFERROR($QV$19,0)</f>
        <v>0</v>
      </c>
      <c r="PB21" s="207">
        <f>IF(OR(HeaterBoiler2!$E$26&lt;&gt;"fuel gas",HeaterBoiler2!$E$15&lt;&gt;"heater"),0,(SUMIF(HeaterBoiler2!$A$54:$D$63,$FG21,HeaterBoiler2!$J$54:$J$63))*(2000/8760))*IFERROR($QV$21,0)</f>
        <v>0</v>
      </c>
      <c r="PC21" s="207">
        <f>IF(OR(HeaterBoiler1!$E$26&lt;&gt;"fuel gas",HeaterBoiler1!$E$15&lt;&gt;"boiler"),0,(SUMIF(HeaterBoiler1!$A$54:$D$63,$FG21,HeaterBoiler1!$J$54:$J$63))*(2000/8760))*IFERROR($QV$20,0)</f>
        <v>0</v>
      </c>
      <c r="PD21" s="207">
        <f>IF(OR(HeaterBoiler2!$E$26&lt;&gt;"fuel gas",HeaterBoiler2!$E$15&lt;&gt;"boiler"),0,(SUMIF(HeaterBoiler2!$A$54:$D$63,$FG21,HeaterBoiler2!$J$54:$J$63))*(2000/8760))*IFERROR($QV$22,0)</f>
        <v>0</v>
      </c>
      <c r="PE21" s="8">
        <f>(SUMIF(Fug!$A$96:$A$205,$FG21,Fug!$J$96:$J$205))*IFERROR($QV$23,0)*(2000/8760)</f>
        <v>0</v>
      </c>
      <c r="PF21" s="8">
        <f t="shared" si="31"/>
        <v>0</v>
      </c>
      <c r="PG21" s="156">
        <f t="shared" si="32"/>
        <v>0</v>
      </c>
      <c r="PJ21" s="52" t="str">
        <f>IF(Fug!$F$16=Hidden!$PP$2,"Flanges [8]","Flanges/Connectors-DTM(AM)")</f>
        <v>Flanges/Connectors-DTM(AM)</v>
      </c>
      <c r="PK21" s="52" t="str">
        <f>IF(Fug!$F$16=Hidden!$PP$2,"Light Oil &gt; 20°","Light Liquid [4] [5]")</f>
        <v>Light Liquid [4] [5]</v>
      </c>
      <c r="PL21" s="52">
        <v>5.0000000000000001E-4</v>
      </c>
      <c r="PM21" s="52">
        <v>5.0000000000000001E-4</v>
      </c>
      <c r="PN21" s="52">
        <v>5.1999999999999998E-3</v>
      </c>
      <c r="PO21" s="52">
        <v>1.8000000000000001E-4</v>
      </c>
      <c r="PP21" s="52">
        <v>2.43E-4</v>
      </c>
      <c r="PQ21" s="52">
        <v>5.5500000000000005E-4</v>
      </c>
      <c r="PR21" s="52">
        <v>1.1000000000000001E-7</v>
      </c>
      <c r="PS21" s="52">
        <v>3.0699999999999998E-4</v>
      </c>
      <c r="PT21" s="52" t="s">
        <v>8783</v>
      </c>
      <c r="PU21" s="52" t="s">
        <v>8781</v>
      </c>
      <c r="PV21" s="52">
        <v>0</v>
      </c>
      <c r="PW21" s="52">
        <v>0.3</v>
      </c>
      <c r="PX21" s="52">
        <v>0.3</v>
      </c>
      <c r="PY21" s="52">
        <v>0.97</v>
      </c>
      <c r="PZ21" s="52">
        <v>0</v>
      </c>
      <c r="QA21" s="52">
        <v>0.97</v>
      </c>
      <c r="QB21" s="52" t="s">
        <v>8812</v>
      </c>
      <c r="QC21" s="52" t="s">
        <v>8805</v>
      </c>
      <c r="QD21" s="52">
        <v>0</v>
      </c>
      <c r="QE21" s="52">
        <v>0.75</v>
      </c>
      <c r="QF21" s="52">
        <v>0.75</v>
      </c>
      <c r="QG21" s="52">
        <v>0.75</v>
      </c>
      <c r="QH21" s="52">
        <v>0</v>
      </c>
      <c r="QI21" s="52">
        <v>0.75</v>
      </c>
      <c r="QK21" s="95" t="s">
        <v>9126</v>
      </c>
      <c r="QM21" s="16" t="s">
        <v>9355</v>
      </c>
      <c r="QN21" s="104" t="e">
        <f t="shared" si="38"/>
        <v>#N/A</v>
      </c>
      <c r="QO21" s="104">
        <f>HeaterBoiler2!E19</f>
        <v>0</v>
      </c>
      <c r="QP21" s="104">
        <f>HeaterBoiler2!E18</f>
        <v>0</v>
      </c>
      <c r="QQ21" s="16" t="str">
        <f>QX22</f>
        <v>HEATER</v>
      </c>
      <c r="QR21" s="16" t="e">
        <f t="shared" si="33"/>
        <v>#N/A</v>
      </c>
      <c r="QS21" s="16" t="e">
        <f t="shared" si="34"/>
        <v>#N/A</v>
      </c>
      <c r="QT21" s="16" t="e">
        <f t="shared" si="35"/>
        <v>#N/A</v>
      </c>
      <c r="QU21" s="16" t="e">
        <f t="shared" si="36"/>
        <v>#N/A</v>
      </c>
      <c r="QV21" s="16" t="e">
        <f t="shared" si="37"/>
        <v>#N/A</v>
      </c>
      <c r="QX21" s="89" t="s">
        <v>9293</v>
      </c>
      <c r="QY21">
        <v>21386.9</v>
      </c>
      <c r="QZ21">
        <v>12210.6</v>
      </c>
      <c r="RA21">
        <v>5453.7</v>
      </c>
      <c r="RB21">
        <v>2135.6999999999998</v>
      </c>
      <c r="RC21">
        <v>1215.5</v>
      </c>
      <c r="RD21">
        <v>813.6</v>
      </c>
      <c r="RE21">
        <v>600.6</v>
      </c>
      <c r="RF21">
        <v>341.3</v>
      </c>
      <c r="RG21" s="90">
        <v>227.3</v>
      </c>
      <c r="RH21" s="89" t="s">
        <v>9293</v>
      </c>
      <c r="RI21">
        <v>15962.3</v>
      </c>
      <c r="RJ21">
        <v>11085.3</v>
      </c>
      <c r="RK21">
        <v>4832.8999999999996</v>
      </c>
      <c r="RL21">
        <v>1837.3</v>
      </c>
      <c r="RM21">
        <v>1029.4000000000001</v>
      </c>
      <c r="RN21">
        <v>682.7</v>
      </c>
      <c r="RO21">
        <v>495.6</v>
      </c>
      <c r="RP21">
        <v>285.7</v>
      </c>
      <c r="RQ21" s="90">
        <v>185.3</v>
      </c>
      <c r="RR21" s="89" t="s">
        <v>9293</v>
      </c>
      <c r="RS21">
        <v>12038.4</v>
      </c>
      <c r="RT21">
        <v>8841.7000000000007</v>
      </c>
      <c r="RU21">
        <v>3601.4</v>
      </c>
      <c r="RV21">
        <v>1283.8</v>
      </c>
      <c r="RW21">
        <v>692.1</v>
      </c>
      <c r="RX21">
        <v>447</v>
      </c>
      <c r="RY21">
        <v>318.60000000000002</v>
      </c>
      <c r="RZ21">
        <v>182.4</v>
      </c>
      <c r="SA21" s="90">
        <v>124.3</v>
      </c>
      <c r="SB21" s="89" t="s">
        <v>9293</v>
      </c>
      <c r="SC21">
        <v>5672.9</v>
      </c>
      <c r="SD21">
        <v>3758.9</v>
      </c>
      <c r="SE21">
        <v>1435</v>
      </c>
      <c r="SF21">
        <v>487.7</v>
      </c>
      <c r="SG21">
        <v>252.9</v>
      </c>
      <c r="SH21">
        <v>160.80000000000001</v>
      </c>
      <c r="SI21">
        <v>114.7</v>
      </c>
      <c r="SJ21">
        <v>66.66</v>
      </c>
      <c r="SK21" s="90">
        <v>45.38</v>
      </c>
      <c r="SL21" s="89" t="s">
        <v>9293</v>
      </c>
      <c r="SM21">
        <v>1078.2</v>
      </c>
      <c r="SN21">
        <v>666.3</v>
      </c>
      <c r="SO21">
        <v>224.6</v>
      </c>
      <c r="SP21">
        <v>66.41</v>
      </c>
      <c r="SQ21">
        <v>32.29</v>
      </c>
      <c r="SR21">
        <v>19.39</v>
      </c>
      <c r="SS21">
        <v>13.38</v>
      </c>
      <c r="ST21">
        <v>6.57</v>
      </c>
      <c r="SU21" s="90">
        <v>4.01</v>
      </c>
      <c r="TL21" t="s">
        <v>10025</v>
      </c>
      <c r="TM21" s="225" t="str">
        <f>"VOC: Good combustion practices. NOx: "&amp;HeaterBoiler1!C45&amp;" lb/MMBtu emission factor. "&amp;IF(HeaterBoiler1!E37="","",HeaterBoiler1!E37&amp;". ")&amp;IF(HeaterBoiler1!E38="","",HeaterBoiler1!E38&amp;". ")&amp;IF(HeaterBoiler1!E39="","",HeaterBoiler1!E39&amp;". ")&amp;IF(HeaterBoiler1!E35="Yes","CEMS is required.","")&amp;" CO: "&amp;HeaterBoiler1!C46&amp;" lb/MMBtu corrected to 3% O2. PM/PM10/PM2.5: Less than 5% opacity. Good combustion practices."&amp;" SO2: "&amp;IF(HeaterBoiler1!E26="natural gas","Fire pipeline quality natural gas containing no more than "&amp;HeaterBoiler1!E28&amp;" ppmw of total sulfur.",IF(HeaterBoiler1!E26="fuel gas","Fire plant fuel gas containing no more than "&amp;HeaterBoiler1!E28&amp;" ppmw of total sulfur.",""))&amp;" MSS: Minimizing the duration of these activities and operating the facility in accordance with best management practices and good air pollution control practices."</f>
        <v>VOC: Good combustion practices. NOx:  lb/MMBtu emission factor.  CO:  lb/MMBtu corrected to 3% O2. PM/PM10/PM2.5: Less than 5% opacity. Good combustion practices. SO2:  MSS: Minimizing the duration of these activities and operating the facility in accordance with best management practices and good air pollution control practices.</v>
      </c>
    </row>
    <row r="22" spans="1:533" ht="74.25" customHeight="1" x14ac:dyDescent="0.2">
      <c r="A22" s="8" t="s">
        <v>199</v>
      </c>
      <c r="B22" s="8">
        <v>10</v>
      </c>
      <c r="D22" s="8" t="s">
        <v>218</v>
      </c>
      <c r="E22" s="8" t="b">
        <f>IF($D22='PI-1-MarineLoading'!$D$73,TRUE,FALSE)</f>
        <v>0</v>
      </c>
      <c r="W22">
        <f>IF(OR(X22=0,ISNUMBER(MATCH(X22,$X$1:X21,0))),0,MAX($W$1:W21)+1)</f>
        <v>0</v>
      </c>
      <c r="X22" s="123">
        <f>Products!$E69</f>
        <v>0</v>
      </c>
      <c r="Y22" t="str">
        <f t="shared" si="3"/>
        <v/>
      </c>
      <c r="CA22">
        <f>IF(OR(CB22=0,ISNUMBER(MATCH(CB22,$CB$1:CB21,0))),0,MAX($CA$1:CA21)+1)</f>
        <v>0</v>
      </c>
      <c r="CB22" s="8">
        <f>IF(OR(Tank1!$D$18="EXTERNAL FLOATING ROOF",Tank1!$D$18="INTERNAL FLOATING ROOF"),IF(Tank1!$E52="",0,Tank1!$E52),0)</f>
        <v>0</v>
      </c>
      <c r="CC22" s="8" t="str">
        <f t="shared" si="6"/>
        <v/>
      </c>
      <c r="CD22" s="8"/>
      <c r="CE22" s="8">
        <f>IF(OR(CF22=0,ISNUMBER(MATCH(CF22,$CF$1:CF21,0))),0,MAX($CE$1:CE21)+1)</f>
        <v>0</v>
      </c>
      <c r="CF22" s="8">
        <f>IF(OR(Tank1!$D$18="HORIZONTAL FIXED ROOF",Tank1!$D$18="VERTICAL FIXED ROOF"),IF(Tank1!$E52="",0,Tank1!$E52),0)</f>
        <v>0</v>
      </c>
      <c r="CG22" s="8" t="str">
        <f t="shared" si="7"/>
        <v/>
      </c>
      <c r="CI22" t="s">
        <v>8708</v>
      </c>
      <c r="CJ22">
        <f>IF(OR(CK22=0,ISNUMBER(MATCH(CK22,$CK$1:CK21,0))),0,MAX($CJ$1:CJ21)+1)</f>
        <v>0</v>
      </c>
      <c r="CK22">
        <f>Tank3!$A$32</f>
        <v>0</v>
      </c>
      <c r="CM22">
        <f>IFERROR(VLOOKUP($CK22,Tank3!$A$32:$D$141,3,FALSE),0)</f>
        <v>0</v>
      </c>
      <c r="CN22">
        <f>IFERROR(VLOOKUP($CK22,Tank3!$A$32:$D$141,4,FALSE),0)</f>
        <v>0</v>
      </c>
      <c r="DL22" t="s">
        <v>8708</v>
      </c>
      <c r="DM22">
        <f>IF(OR(DN22=0,ISNUMBER(MATCH(DN22,$DN$1:DN21,0))),0,MAX($DM$1:DM21)+1)</f>
        <v>0</v>
      </c>
      <c r="DN22">
        <f>IF(Tank3!$D$22="Flare",IFERROR(VLOOKUP(Products!$A$59,Tank3!$A$32:$B$141,1,FALSE),0),0)</f>
        <v>0</v>
      </c>
      <c r="DO22">
        <f>IF($DN22=0,0,VLOOKUP($DN22,Tank3!$A$32:$H$141,7,FALSE))</f>
        <v>0</v>
      </c>
      <c r="DP22">
        <f>IF($DN22=0,0,VLOOKUP($DN22,Tank3!$A$32:$H$141,8,FALSE))</f>
        <v>0</v>
      </c>
      <c r="DU22">
        <f>IF(OR(DV22=0,ISNUMBER(MATCH(DV22,$DV$1:DV21,0))),0,MAX($DU$1:DU21)+1)</f>
        <v>0</v>
      </c>
      <c r="DV22">
        <f>IF(Tank3!$D$22="VCU",IFERROR(VLOOKUP(Products!$A$59,Tank3!$A$32:$B$141,1,FALSE),0),0)</f>
        <v>0</v>
      </c>
      <c r="DW22">
        <f>IF($DV22=0,0,VLOOKUP($DV22,Tank3!$A$32:$H$141,7,FALSE))</f>
        <v>0</v>
      </c>
      <c r="DX22">
        <f>IF($DV22=0,0,VLOOKUP($DV22,Tank3!$A$32:$H$141,8,FALSE))</f>
        <v>0</v>
      </c>
      <c r="EC22">
        <f>IF(OR(ED22=0,ISNUMBER(MATCH(ED22,$ED$1:ED21,0))),0,MAX($EC$1:EC21)+1)</f>
        <v>0</v>
      </c>
      <c r="ED22">
        <f>IF(Tank3!$D$22="vapor oxidizer",IFERROR(VLOOKUP(Products!$A$59,Tank3!$A$32:$B$141,1,FALSE),0),0)</f>
        <v>0</v>
      </c>
      <c r="EE22">
        <f>IF($ED22=0,0,VLOOKUP($ED22,Tank3!$A$32:$H$141,7,FALSE))</f>
        <v>0</v>
      </c>
      <c r="EF22">
        <f>IF($ED22=0,0,VLOOKUP($ED22,Tank3!$A$32:$H$141,8,FALSE))</f>
        <v>0</v>
      </c>
      <c r="EK22">
        <f>IF(OR(EL22=0,ISNUMBER(MATCH(EL22,$EL$1:EL21,0))),0,MAX($EK$1:EK21)+1)</f>
        <v>0</v>
      </c>
      <c r="EL22">
        <f>IF(Tank3!$D$22="CAS",IFERROR(VLOOKUP(Products!A59,Tank3!$A$32:$B$141,1,FALSE),0),0)</f>
        <v>0</v>
      </c>
      <c r="EM22">
        <f>IF($EL22=0,0,VLOOKUP($EL22,Tank3!$A$32:$H$141,7,FALSE))</f>
        <v>0</v>
      </c>
      <c r="EN22">
        <f>IF($EL22=0,0,VLOOKUP($EL22,Tank3!$A$32:$H$141,8,FALSE))</f>
        <v>0</v>
      </c>
      <c r="EX22">
        <f>MSS!$A55</f>
        <v>0</v>
      </c>
      <c r="EY22">
        <f>MSS!$G55*MSS!F$144</f>
        <v>0</v>
      </c>
      <c r="EZ22">
        <f>MSS!$G55*MSS!G$144</f>
        <v>0</v>
      </c>
      <c r="FB22" s="8" t="s">
        <v>397</v>
      </c>
      <c r="FC22" s="8" t="s">
        <v>398</v>
      </c>
      <c r="FD22" s="8">
        <v>2900</v>
      </c>
      <c r="FE22" s="8">
        <v>3700</v>
      </c>
      <c r="FG22" s="360" t="str">
        <f t="shared" si="23"/>
        <v/>
      </c>
      <c r="FH22" s="155">
        <f>IF(Tank1!$D$22="NO CONTROL",_xlfn.MAXIFS(Tank1!$G$32:$G$141,Tank1!$E$32:$E$141,$FG22),0)*IFERROR($QR$3,0)</f>
        <v>0</v>
      </c>
      <c r="FI22" s="155">
        <f>_xlfn.MAXIFS(LandEmiss!$AF$20:$AF$119,LandEmiss!$AE$20:$AE$119,$FG22)*IFERROR($QR$3,0)</f>
        <v>0</v>
      </c>
      <c r="FJ22" s="155">
        <f>MAX(_xlfn.MAXIFS(LandEmiss!$CO$20:$CO$119,LandEmiss!$CN$20:$CN$119,$FG22),_xlfn.MAXIFS(LandEmiss!$EZ$9:$EZ$108,LandEmiss!$EY$9:$EY$108,$FG22))*IFERROR($QR$3,0)</f>
        <v>0</v>
      </c>
      <c r="FK22" s="155">
        <f>IF(Tank2!$D$22="NO CONTROL",_xlfn.MAXIFS(Tank2!$G$32:$G$141,Tank2!$E$32:$E$141,$FG22),0)*IFERROR($QR$4,0)</f>
        <v>0</v>
      </c>
      <c r="FL22" s="155">
        <f>_xlfn.MAXIFS(LandEmiss!$AG$20:$AG$119,LandEmiss!$AE$20:$AE$119,$FG22)*IFERROR($QR$4,0)</f>
        <v>0</v>
      </c>
      <c r="FM22" s="155">
        <f>MAX(_xlfn.MAXIFS(LandEmiss!$CP$20:$CP$119,LandEmiss!$CN$20:$CN$119,$FG22),_xlfn.MAXIFS(LandEmiss!$FA$9:$FA$108,LandEmiss!$EY$9:$EY$108,$FG22))*IFERROR($QR$4,0)</f>
        <v>0</v>
      </c>
      <c r="FN22" s="155">
        <f>IF(Tank3!$D$22="NO CONTROL",_xlfn.MAXIFS(Tank3!$G$32:$G$141,Tank3!$E$32:$E$141,$FG22),0)*IFERROR($QR$5,0)</f>
        <v>0</v>
      </c>
      <c r="FO22" s="155">
        <f>_xlfn.MAXIFS(LandEmiss!$AH$20:$AH$119,LandEmiss!$AE$20:$AE$119,$FG22)*IFERROR($QR$5,0)</f>
        <v>0</v>
      </c>
      <c r="FP22" s="155">
        <f>MAX(_xlfn.MAXIFS(LandEmiss!$CQ$20:$CQ$119,LandEmiss!$CN$20:$CN$119,$FG22),_xlfn.MAXIFS(LandEmiss!$FB$9:$FB$108,LandEmiss!$EY$9:$EY$108,$FG22))*IFERROR($QR$5,0)</f>
        <v>0</v>
      </c>
      <c r="FQ22" s="155">
        <f>IF(Tank4!$D$22="NO CONTROL",_xlfn.MAXIFS(Tank4!$G$32:$G$141,Tank4!$E$32:$E$141,$FG22),0)*IFERROR($QR$6,0)</f>
        <v>0</v>
      </c>
      <c r="FR22" s="155">
        <f>_xlfn.MAXIFS(LandEmiss!$AI$20:$AI$119,LandEmiss!$AE$20:$AE$119,$FG22)*IFERROR($QR$6,0)</f>
        <v>0</v>
      </c>
      <c r="FS22" s="155">
        <f>MAX(_xlfn.MAXIFS(LandEmiss!$CR$20:$CR$119,LandEmiss!$CN$20:$CN$119,$FG22),_xlfn.MAXIFS(LandEmiss!$FC$9:$FC$108,LandEmiss!$EY$9:$EY$108,$FG22))*IFERROR($QR$6,0)</f>
        <v>0</v>
      </c>
      <c r="FT22" s="155">
        <f>IF(Tank5!$D$22="NO CONTROL",_xlfn.MAXIFS(Tank5!$G$32:$G$141,Tank5!$E$32:$E$141,$FG22),0)*IFERROR($QR$7,0)</f>
        <v>0</v>
      </c>
      <c r="FU22" s="155">
        <f>_xlfn.MAXIFS(LandEmiss!$AJ$20:$AJ$119,LandEmiss!$AE$20:$AE$119,$FG22)*IFERROR($QR$7,0)</f>
        <v>0</v>
      </c>
      <c r="FV22" s="155">
        <f>MAX(_xlfn.MAXIFS(LandEmiss!$CS$20:$CS$119,LandEmiss!$CN$20:$CN$119,$FG22),_xlfn.MAXIFS(LandEmiss!$FD$9:$FD$108,LandEmiss!$EY$9:$EY$108,$FG22))*IFERROR($QR27,0)</f>
        <v>0</v>
      </c>
      <c r="FW22" s="155">
        <f>_xlfn.MAXIFS('Load-DrumTote'!$K$27:$K$136,'Load-DrumTote'!$F$27:$F$136,$FG22)*IFERROR($QR$8,0)</f>
        <v>0</v>
      </c>
      <c r="FX22" s="155">
        <f>_xlfn.MAXIFS('Load-Truck'!$K$27:$K$136,'Load-Truck'!$F$27:$F$136,$FG22)*IFERROR($QR$9,0)</f>
        <v>0</v>
      </c>
      <c r="FY22" s="155">
        <f>_xlfn.MAXIFS('Load-Rail'!$K$27:$K$136,'Load-Rail'!$F$27:$F$136,$FG22)*IFERROR($QR$10,0)</f>
        <v>0</v>
      </c>
      <c r="FZ22" s="155">
        <f>_xlfn.MAXIFS('Load-MarineBarge'!$K$27:$K$136,'Load-MarineBarge'!$F$27:$F$136,$FG22)*IFERROR($QR$11,0)</f>
        <v>0</v>
      </c>
      <c r="GA22" s="155">
        <f>_xlfn.MAXIFS('Load-MarineShip'!$K$27:$K$136,'Load-MarineShip'!$F$27:$F$136,$FG22)*IFERROR($QR$12,0)</f>
        <v>0</v>
      </c>
      <c r="GB22" s="313">
        <f>IF(OR(Flare!$D$24="fuel gas",Flare!$D$38="fuel gas"),SUMIF(Flare!$E$97:$E$106,$FG22,Flare!$F$97:$F$106),0)*IFERROR($QR$13,0)</f>
        <v>0</v>
      </c>
      <c r="GC22" s="313">
        <f>(_xlfn.MAXIFS(CtrlDevImpacts!$I$57:$I$156,CtrlDevImpacts!$H$57:$H$156,$FG22))*IFERROR($QR$13,0)</f>
        <v>0</v>
      </c>
      <c r="GD22" s="313">
        <f>(_xlfn.MAXIFS(Flare!$F$107:$F$216,Flare!$E$107:$E$216,$FG22)-_xlfn.MAXIFS(CtrlDevImpacts!$I$57:$I$156,CtrlDevImpacts!$H$57:$H$156,$FG22))*IFERROR($QR$13,0)</f>
        <v>0</v>
      </c>
      <c r="GE22" s="155">
        <f>_xlfn.MAXIFS(LandEmiss!$B$335:$B$434,LandEmiss!$A$335:$A$434,$FG22)*IFERROR($QR$13,0)</f>
        <v>0</v>
      </c>
      <c r="GF22" s="155">
        <f>(_xlfn.MAXIFS(LandEmiss!$BK$335:$BK$434,LandEmiss!$BJ$335:$BJ$434,$FG22)+_xlfn.MAXIFS(LandEmiss!$DV$323:$DV$422,LandEmiss!$DU$323:$DU$422,$FG22))*IFERROR($QR$13,0)</f>
        <v>0</v>
      </c>
      <c r="GG22" s="313">
        <f>IF(OR(VCU!$D$26="fuel gas",VCU!$D$42="fuel gas"),SUMIF(VCU!$E$120:$E$129,$FG22,VCU!$F$120:$F$129),0)*IFERROR($QR$14,0)</f>
        <v>0</v>
      </c>
      <c r="GH22" s="313">
        <f>(_xlfn.MAXIFS(CtrlDevImpacts!$X$57:$X$156,CtrlDevImpacts!$W$57:$W$156,$FG22))*IFERROR($QR$14,0)</f>
        <v>0</v>
      </c>
      <c r="GI22" s="313">
        <f>(_xlfn.MAXIFS(VCU!$F$130:$F$239,VCU!$E$130:$E$239,$FG22)-_xlfn.MAXIFS(CtrlDevImpacts!$X$57:$X$156,CtrlDevImpacts!$W$57:$W$156,$FG22))*IFERROR($QR$14,0)</f>
        <v>0</v>
      </c>
      <c r="GJ22" s="155">
        <f>_xlfn.MAXIFS(LandEmiss!$D$335:$D$434,LandEmiss!$A$335:$A$434,$FG22)*IFERROR($QR$14,0)</f>
        <v>0</v>
      </c>
      <c r="GK22" s="155">
        <f>(_xlfn.MAXIFS(LandEmiss!$BM$335:$BM$434,LandEmiss!$BJ$335:$BJ$434,$FG22)+_xlfn.MAXIFS(LandEmiss!$DX$323:$DX$422,LandEmiss!$DU$323:$DU$422,$FG22))*IFERROR($QR$14,0)</f>
        <v>0</v>
      </c>
      <c r="GL22" s="313">
        <f>IF(VaporOxidizer!D53="FUEL GAS",SUMIF(VaporOxidizer!$E$101:$E$110,$FG22,VaporOxidizer!$F$101:$F$110),0)*IFERROR($QR$15,0)</f>
        <v>0</v>
      </c>
      <c r="GM22" s="313">
        <f>(_xlfn.MAXIFS(CtrlDevImpacts!$AN$57:$AN$156,CtrlDevImpacts!$AM$57:$AM$156,$FG22))*IFERROR($QR$15,0)</f>
        <v>0</v>
      </c>
      <c r="GN22" s="313">
        <f>(_xlfn.MAXIFS(VaporOxidizer!$F$111:$F$220,VaporOxidizer!$E$111:$E$220,$FG22)-_xlfn.MAXIFS(CtrlDevImpacts!$AN$57:$AN$156,CtrlDevImpacts!$AM$57:$AM$156,$FG22))*IFERROR($QR$15,0)</f>
        <v>0</v>
      </c>
      <c r="GO22" s="155">
        <f>_xlfn.MAXIFS(LandEmiss!$F$335:$F$434,LandEmiss!$A$335:$A$434,$FG22)*IFERROR($QR$15,0)</f>
        <v>0</v>
      </c>
      <c r="GP22" s="155">
        <f>(_xlfn.MAXIFS(LandEmiss!$BK$335:$BK$434,LandEmiss!$BO$335:$BO$434,$FG22)+_xlfn.MAXIFS(LandEmiss!$DZ$323:$DZ$422,LandEmiss!$DU$323:$DU$422,$FG22))*IFERROR($QR$15,0)</f>
        <v>0</v>
      </c>
      <c r="GQ22" s="313">
        <f>_xlfn.MAXIFS(CtrlDevImpacts!$BD$57:$BD$156,CtrlDevImpacts!$BC$57:$BC$156,$FG22)*IFERROR(Hidden!$QR$16,0)</f>
        <v>0</v>
      </c>
      <c r="GR22" s="313">
        <f>(_xlfn.MAXIFS(CAS!$H$35:$H$144,CAS!$E$35:$E$144,$FG22)-_xlfn.MAXIFS(CtrlDevImpacts!$BD$57:$BD$156,CtrlDevImpacts!$BC$57:$BC$156,$FG22))*IFERROR(Hidden!$QR$16,0)</f>
        <v>0</v>
      </c>
      <c r="GS22" s="155">
        <f>_xlfn.MAXIFS(LandEmiss!$H$335:$H$434,LandEmiss!$A$335:$A$434,$FG22)*IFERROR($QR$27,0)</f>
        <v>0</v>
      </c>
      <c r="GT22" s="155">
        <f>(_xlfn.MAXIFS(LandEmiss!$BK$335:$BK$434,LandEmiss!$BQ$335:$BQ$434,$FG22)+_xlfn.MAXIFS(LandEmiss!$EB$323:$EB$422,LandEmiss!$DU$323:$DU$422,$FG22))*IFERROR($QR$27,0)</f>
        <v>0</v>
      </c>
      <c r="GU22" s="155">
        <f>_xlfn.MAXIFS(LandEmiss!$J$335:$J$434,LandEmiss!$A$335:$A$434,$FG22)*IFERROR($QR$26,0)</f>
        <v>0</v>
      </c>
      <c r="GV22" s="155">
        <f>(_xlfn.MAXIFS(LandEmiss!$BK$335:$BK$434,LandEmiss!$BS$335:$BS$434,$FG22)+_xlfn.MAXIFS(LandEmiss!$ED$323:$ED$422,LandEmiss!$DU$323:$DU$422,$FG22))*IFERROR($QR$26,0)</f>
        <v>0</v>
      </c>
      <c r="GW22" s="155">
        <f>_xlfn.MAXIFS(LandEmiss!$L$335:$L$434,LandEmiss!$A$335:$A$434,$FG22)*IFERROR($QR$25,0)</f>
        <v>0</v>
      </c>
      <c r="GX22" s="155">
        <f>(_xlfn.MAXIFS(LandEmiss!$BK$335:$BK$434,LandEmiss!$BU$335:$BU$434,$FG22)+_xlfn.MAXIFS(LandEmiss!$EF$323:$EF$422,LandEmiss!$DU$323:$DU$422,$FG22))*IFERROR($QR$25,0)</f>
        <v>0</v>
      </c>
      <c r="GY22" s="155">
        <v>0</v>
      </c>
      <c r="GZ22" s="155">
        <v>0</v>
      </c>
      <c r="HA22" s="155">
        <f>IF(OR(HeaterBoiler1!$E$26&lt;&gt;"fuel gas",HeaterBoiler1!$E$15&lt;&gt;"heater"),0,SUMIF(HeaterBoiler1!$A$54:$D$63,$FG22,HeaterBoiler1!$I$54:$I$63))*IFERROR($QR$19,0)</f>
        <v>0</v>
      </c>
      <c r="HB22" s="207">
        <f>IF(OR(HeaterBoiler2!$E$26&lt;&gt;"fuel gas",HeaterBoiler2!$E$15&lt;&gt;"heater"),0,SUMIF(HeaterBoiler2!$A$54:$D$63,$FG22,HeaterBoiler2!$I$54:$I$63))*IFERROR($QR$21,0)</f>
        <v>0</v>
      </c>
      <c r="HC22" s="155">
        <f>IF(OR(HeaterBoiler1!$E$26&lt;&gt;"fuel gas",HeaterBoiler1!$E$15&lt;&gt;"boiler"),0,SUMIF(HeaterBoiler1!$A$41:$A$50,$FG22,HeaterBoiler1!$F$41:$F$50))*IFERROR($QR$20,0)</f>
        <v>0</v>
      </c>
      <c r="HD22" s="207">
        <f>IF(OR(HeaterBoiler2!$E$26&lt;&gt;"fuel gas",HeaterBoiler2!$E$15&lt;&gt;"boiler"),0,SUMIF(HeaterBoiler2!$A$41:$A$50,$FG22,HeaterBoiler2!$F$41:$F$50))*IFERROR($QR$22,0)</f>
        <v>0</v>
      </c>
      <c r="HE22" s="155">
        <f>SUMIF(Fug!$A$96:$A$205,$FG22,Fug!$I$96:$I$205)*IFERROR(Hidden!$QR$23,0)</f>
        <v>0</v>
      </c>
      <c r="HF22" s="155">
        <f t="shared" si="24"/>
        <v>0</v>
      </c>
      <c r="HG22" s="156">
        <f t="shared" si="25"/>
        <v>0</v>
      </c>
      <c r="HH22" s="156">
        <f t="shared" si="26"/>
        <v>0</v>
      </c>
      <c r="HI22" s="156">
        <f t="shared" si="27"/>
        <v>0</v>
      </c>
      <c r="HJ22" s="156">
        <f t="shared" si="28"/>
        <v>0</v>
      </c>
      <c r="HK22" s="156">
        <f t="shared" si="29"/>
        <v>0</v>
      </c>
      <c r="HL22" s="156">
        <f t="shared" si="30"/>
        <v>0</v>
      </c>
      <c r="NO22" s="155">
        <f>IF(Tank1!$D$22="No control",(SUMIF(Tank1!$E$32:$E$141,$FG22,Tank1!$H$32:$H$141)*(2000/8760)*IFERROR($QV$3,0)),0)</f>
        <v>0</v>
      </c>
      <c r="NP22" s="156">
        <f>SUMIF(LandEmiss!$AE$20:$AE$119,$FG22,LandEmiss!$AK$20:$AK$119)*(2000/8760)*IFERROR($QV$3,0)</f>
        <v>0</v>
      </c>
      <c r="NQ22" s="156">
        <f>(SUMIF(LandEmiss!$CN$20:$CN$119,$FG22,LandEmiss!$CT$20:$CT$119)+SUMIF(LandEmiss!$EY$9:$EY$108,$FG22,LandEmiss!$FE$9:$FE$108))*IFERROR($QV$3,0)*(2000/8760)</f>
        <v>0</v>
      </c>
      <c r="NR22" s="155">
        <f>IF(Tank2!$D$22="No control",(SUMIF(Tank2!$E$32:$E$141,$FG22,Tank2!$H$32:$H$141)*(2000/8760)*IFERROR($QV$4,0)),0)</f>
        <v>0</v>
      </c>
      <c r="NS22" s="156">
        <f>SUMIF(LandEmiss!$AE$20:$AE$119,$FG22,LandEmiss!$AL$20:$AL$119)*(2000/8760)*IFERROR($QV$4,0)</f>
        <v>0</v>
      </c>
      <c r="NT22" s="156">
        <f>(SUMIF(LandEmiss!$CN$20:$CN$119,$FG22,LandEmiss!$CU$20:$CU$119)+SUMIF(LandEmiss!$EY$9:$EY$108,$FG22,LandEmiss!$FF$9:$FF$108))*IFERROR($QV$4,0)*(2000/8760)</f>
        <v>0</v>
      </c>
      <c r="NU22" s="155">
        <f>IF(Tank3!$D$22="No control",(SUMIF(Tank3!$E$32:$E$141,$FG22,Tank3!$H$32:$H$141)*(2000/8760)*IFERROR($QV$5,0)),0)</f>
        <v>0</v>
      </c>
      <c r="NV22" s="156">
        <f>SUMIF(LandEmiss!$AE$20:$AE$119,$FG22,LandEmiss!$AM$20:$AM$119)*(2000/8760)*IFERROR($QV$5,0)</f>
        <v>0</v>
      </c>
      <c r="NW22" s="156">
        <f>(SUMIF(LandEmiss!$CN$20:$CN$119,$FG22,LandEmiss!$CV$20:$CV$119)+SUMIF(LandEmiss!$EY$9:$EY$108,$FG22,LandEmiss!$FG$9:$FG$108))*IFERROR($QV$5,0)*(2000/8760)</f>
        <v>0</v>
      </c>
      <c r="NX22" s="155">
        <f>IF(Tank4!$D$22="No control",(SUMIF(Tank4!$E$32:$E$141,$FG22,Tank4!$H$32:$H$141)*(2000/8760)*IFERROR($QV$6,0)),0)</f>
        <v>0</v>
      </c>
      <c r="NY22" s="156">
        <f>SUMIF(LandEmiss!$AE$20:$AE$119,$FG22,LandEmiss!$AN$20:$AN$119)*(2000/8760)*IFERROR($QV$6,0)</f>
        <v>0</v>
      </c>
      <c r="NZ22" s="156">
        <f>(SUMIF(LandEmiss!$CN$20:$CN$119,$FG22,LandEmiss!$CW$20:$CW$119)+SUMIF(LandEmiss!$EY$9:$EY$108,$FG22,LandEmiss!$FH$9:$FH$108))*IFERROR($QV$6,0)*(2000/8760)</f>
        <v>0</v>
      </c>
      <c r="OA22" s="155">
        <f>IF(Tank5!$D$22="No control",(SUMIF(Tank5!$E$32:$E$141,$FG22,Tank5!$H$32:$H$141)*(2000/8760)*IFERROR($QV$7,0)),0)</f>
        <v>0</v>
      </c>
      <c r="OB22" s="156">
        <f>SUMIF(LandEmiss!$AE$20:$AE$119,$FG22,LandEmiss!$AO$20:$AO$119)*(2000/8760)*IFERROR($QV$7,0)</f>
        <v>0</v>
      </c>
      <c r="OC22" s="156">
        <f>(SUMIF(LandEmiss!$CN$20:$CN$119,$FG22,LandEmiss!$CX$20:$CX$119)+SUMIF(LandEmiss!$EY$9:$EY$108,$FG22,LandEmiss!$FI$9:$FI$108))*IFERROR($QV$7,0)*(2000/8760)</f>
        <v>0</v>
      </c>
      <c r="OD22" s="155">
        <f>SUMIFS('Load-DrumTote'!$L$27:$L$136,'Load-DrumTote'!$F$27:$F$136,$FG22)*IFERROR($QV$8,0)*(2000/8760)</f>
        <v>0</v>
      </c>
      <c r="OE22" s="155">
        <f>SUMIFS('Load-Truck'!$L$27:$L$136,'Load-Truck'!$F$27:$F$136,$FG22)*IFERROR($QV$9,0)*(2000/8760)</f>
        <v>0</v>
      </c>
      <c r="OF22" s="155">
        <f>SUMIFS('Load-Rail'!$L$27:$L$136,'Load-Rail'!$F$27:$F$136,$FG22)*IFERROR($QV$10,0)*(2000/8760)</f>
        <v>0</v>
      </c>
      <c r="OG22" s="155">
        <f>SUMIFS('Load-MarineBarge'!$L$27:$L$136,'Load-MarineBarge'!$F$27:$F$136,$FG22)*IFERROR($QV$11,0)*(2000/8760)</f>
        <v>0</v>
      </c>
      <c r="OH22" s="155">
        <f>SUMIFS('Load-MarineShip'!$L$27:$L$136,'Load-MarineShip'!$F$27:$F$136,$FG22)*IFERROR($QV$12,0)*(2000/8760)</f>
        <v>0</v>
      </c>
      <c r="OI22" s="155">
        <f>(IF(OR(Flare!$D$24="FUEL GAS",Flare!$D$38="FUEL GAS"),SUMIF(Flare!$E$97:$E$106,$FG22,Flare!$G$97:$G$105),0)+SUMIF(Flare!$E$107:$E$216,$FG22,Flare!$G$107:$G$216))*(2000/8730)*IFERROR($QV$13,0)</f>
        <v>0</v>
      </c>
      <c r="OJ22" s="155">
        <f>SUMIF(LandEmiss!$A$335:$A$434,$FG22,LandEmiss!$C$335:$C$434)*(2000/8760)*IFERROR($QV$13,0)</f>
        <v>0</v>
      </c>
      <c r="OK22" s="155">
        <f>(SUMIF(LandEmiss!$BJ$335:$BJ$434,$FG22,LandEmiss!$BL$335:$BL$434)+SUMIF(LandEmiss!$DU$323:$DU$422,$FG22,LandEmiss!$DW$323:$DW$422))*(2000/8760)*IFERROR($QV$13,0)</f>
        <v>0</v>
      </c>
      <c r="OL22" s="155">
        <f>(IF(OR(VCU!$D$26="FUEL GAS",VCU!$D$42="FUEL GAS"),SUMIF(VCU!$E$120:$E$129,$FG22,VCU!$G$120:$G$129),0)+SUMIF(VCU!$E$130:$E$239,$FG22,VCU!G150:G259))*(2000/8760)*IFERROR($QV$14,0)</f>
        <v>0</v>
      </c>
      <c r="OM22" s="155">
        <f>SUMIF(LandEmiss!$A$335:$A$434,$FG22,LandEmiss!$E$335:$E$434)*(2000/8760)*IFERROR($QV$14,0)</f>
        <v>0</v>
      </c>
      <c r="ON22" s="155">
        <f>(SUMIF(LandEmiss!$BJ$335:$BJ$434,$FG22,LandEmiss!$BN$335:$BN$434)+SUMIF(LandEmiss!$DU$323:$DU$422,$FG22,LandEmiss!$DY$323:$DY$422))*(2000/8760)*IFERROR($QV$14,0)</f>
        <v>0</v>
      </c>
      <c r="OO22" s="155">
        <f>(IF(VaporOxidizer!$D$33="FUEL GAS",SUMIF(VaporOxidizer!$E$101:$E$110,$FG22,VaporOxidizer!$G$101:$G$110),0)+SUMIF(VaporOxidizer!$E$111:$E$220,$FG22,VaporOxidizer!$G$111:$G$220))*(2000/8760)*IFERROR($QV$15,0)</f>
        <v>0</v>
      </c>
      <c r="OP22" s="155">
        <f>SUMIF(LandEmiss!$A$335:$A$434,$FG22,LandEmiss!$G$335:$G$434)*(2000/8760)*IFERROR($QV$15,0)</f>
        <v>0</v>
      </c>
      <c r="OQ22" s="155">
        <f>(SUMIF(LandEmiss!$BJ$335:$BJ$434,$FG22,LandEmiss!$BP$335:$BP$434)+SUMIF(LandEmiss!$DU$323:$DU$422,$FG22,LandEmiss!$EA$323:$EA$422))*(2000/8760)*IFERROR($QV$15,0)</f>
        <v>0</v>
      </c>
      <c r="OR22" s="155">
        <f>SUMIF(CAS!$E$35:$E$144,Hidden!$FG22,CAS!$I$35:$I$144)*IFERROR($QV$16,0)*(2000/8760)</f>
        <v>0</v>
      </c>
      <c r="OS22" s="155">
        <f>SUMIF(LandEmiss!$A$335:$A$434,$FG22,LandEmiss!$I$335:$I$434)*(2000/8760)*IFERROR($QV$27,0)</f>
        <v>0</v>
      </c>
      <c r="OT22" s="155">
        <f>(SUMIF(LandEmiss!$BJ$335:$BJ$434,$FG22,LandEmiss!$BR$335:$BR$434)+SUMIF(LandEmiss!$DU$323:$DU$422,$FG22,LandEmiss!$EC$323:$EC$422))*(2000/8760)*IFERROR($QV$27,0)</f>
        <v>0</v>
      </c>
      <c r="OU22" s="155">
        <f>SUMIF(LandEmiss!$A$335:$A$434,$FG22,LandEmiss!$K$335:$K$434)*(2000/8760)*IFERROR($QV$26,0)</f>
        <v>0</v>
      </c>
      <c r="OV22" s="155">
        <f>(SUMIF(LandEmiss!$BJ$335:$BJ$434,$FG22,LandEmiss!$BT$335:$BT$434)+SUMIF(LandEmiss!$DU$323:$DU$422,$FG22,LandEmiss!$EE$323:$EE$422))*(2000/8760)*IFERROR($QV$26,0)</f>
        <v>0</v>
      </c>
      <c r="OW22" s="155">
        <f>SUMIF(LandEmiss!$A$335:$A$434,$FG22,LandEmiss!$M$335:$M$434)*(2000/8760)*IFERROR($QV$25,0)</f>
        <v>0</v>
      </c>
      <c r="OX22" s="155">
        <f>(SUMIF(LandEmiss!$BJ$335:$BJ$434,$FG22,LandEmiss!$BV$335:$BV$434)+SUMIF(LandEmiss!$DU$323:$DU$422,$FG22,LandEmiss!$EG$323:$EG$422))*(2000/8760)*IFERROR($QV$25,0)</f>
        <v>0</v>
      </c>
      <c r="OY22" s="8">
        <v>0</v>
      </c>
      <c r="OZ22" s="207">
        <v>0</v>
      </c>
      <c r="PA22" s="207">
        <f>IF(OR(HeaterBoiler1!$E$26&lt;&gt;"fuel gas",HeaterBoiler1!$E$15&lt;&gt;"heater"),0,(SUMIF(HeaterBoiler1!$A$54:$D$63,$FG22,HeaterBoiler1!$J$54:$J$63))*(2000/8760))*IFERROR($QV$19,0)</f>
        <v>0</v>
      </c>
      <c r="PB22" s="207">
        <f>IF(OR(HeaterBoiler2!$E$26&lt;&gt;"fuel gas",HeaterBoiler2!$E$15&lt;&gt;"heater"),0,(SUMIF(HeaterBoiler2!$A$54:$D$63,$FG22,HeaterBoiler2!$J$54:$J$63))*(2000/8760))*IFERROR($QV$21,0)</f>
        <v>0</v>
      </c>
      <c r="PC22" s="207">
        <f>IF(OR(HeaterBoiler1!$E$26&lt;&gt;"fuel gas",HeaterBoiler1!$E$15&lt;&gt;"boiler"),0,(SUMIF(HeaterBoiler1!$A$54:$D$63,$FG22,HeaterBoiler1!$J$54:$J$63))*(2000/8760))*IFERROR($QV$20,0)</f>
        <v>0</v>
      </c>
      <c r="PD22" s="207">
        <f>IF(OR(HeaterBoiler2!$E$26&lt;&gt;"fuel gas",HeaterBoiler2!$E$15&lt;&gt;"boiler"),0,(SUMIF(HeaterBoiler2!$A$54:$D$63,$FG22,HeaterBoiler2!$J$54:$J$63))*(2000/8760))*IFERROR($QV$22,0)</f>
        <v>0</v>
      </c>
      <c r="PE22" s="8">
        <f>(SUMIF(Fug!$A$96:$A$205,$FG22,Fug!$J$96:$J$205))*IFERROR($QV$23,0)*(2000/8760)</f>
        <v>0</v>
      </c>
      <c r="PF22" s="8">
        <f t="shared" si="31"/>
        <v>0</v>
      </c>
      <c r="PG22" s="156">
        <f t="shared" si="32"/>
        <v>0</v>
      </c>
      <c r="PJ22" s="52" t="str">
        <f>IF(Fug!$F$16=Hidden!$PP$2,"Flanges-DTM [8]","Flanges/Connectors")</f>
        <v>Flanges/Connectors</v>
      </c>
      <c r="PK22" s="52" t="str">
        <f>IF(Fug!$F$16=Hidden!$PP$2,"Light Oil &gt; 20° [4] [5]","Heavy Liquid")</f>
        <v>Heavy Liquid</v>
      </c>
      <c r="PL22" s="52">
        <v>6.9999999999999994E-5</v>
      </c>
      <c r="PM22" s="52">
        <v>6.9999999999999994E-5</v>
      </c>
      <c r="PN22" s="52">
        <v>6.9999999999999994E-5</v>
      </c>
      <c r="PO22" s="52">
        <v>1.8000000000000001E-4</v>
      </c>
      <c r="PP22" s="52">
        <v>2.43E-4</v>
      </c>
      <c r="PQ22" s="52">
        <v>5.5500000000000005E-4</v>
      </c>
      <c r="PR22" s="52">
        <v>1.1000000000000001E-7</v>
      </c>
      <c r="PS22" s="52">
        <v>3.0699999999999998E-4</v>
      </c>
      <c r="PT22" s="52" t="s">
        <v>8784</v>
      </c>
      <c r="PU22" s="52" t="s">
        <v>8775</v>
      </c>
      <c r="PV22" s="52">
        <v>0</v>
      </c>
      <c r="PW22" s="52">
        <v>0</v>
      </c>
      <c r="PX22" s="52">
        <v>0</v>
      </c>
      <c r="PY22" s="52">
        <v>0</v>
      </c>
      <c r="PZ22" s="52">
        <v>0</v>
      </c>
      <c r="QA22" s="52">
        <v>0</v>
      </c>
      <c r="QB22" s="52" t="s">
        <v>8810</v>
      </c>
      <c r="QC22" s="52" t="s">
        <v>8807</v>
      </c>
      <c r="QD22" s="52">
        <v>0</v>
      </c>
      <c r="QE22" s="52">
        <v>0.3</v>
      </c>
      <c r="QF22" s="52">
        <v>0.3</v>
      </c>
      <c r="QG22" s="52">
        <v>0.3</v>
      </c>
      <c r="QH22" s="52">
        <v>0</v>
      </c>
      <c r="QI22" s="52">
        <v>0.97</v>
      </c>
      <c r="QK22" s="95" t="s">
        <v>9127</v>
      </c>
      <c r="QM22" s="16" t="s">
        <v>9356</v>
      </c>
      <c r="QN22" s="104" t="e">
        <f t="shared" si="38"/>
        <v>#N/A</v>
      </c>
      <c r="QO22" s="104">
        <f>HeaterBoiler2!E19</f>
        <v>0</v>
      </c>
      <c r="QP22" s="104">
        <f>HeaterBoiler2!E18</f>
        <v>0</v>
      </c>
      <c r="QQ22" s="16" t="str">
        <f>QX23</f>
        <v>BOILER</v>
      </c>
      <c r="QR22" s="16" t="e">
        <f t="shared" si="33"/>
        <v>#N/A</v>
      </c>
      <c r="QS22" s="16" t="e">
        <f t="shared" si="34"/>
        <v>#N/A</v>
      </c>
      <c r="QT22" s="16" t="e">
        <f t="shared" si="35"/>
        <v>#N/A</v>
      </c>
      <c r="QU22" s="16" t="e">
        <f t="shared" si="36"/>
        <v>#N/A</v>
      </c>
      <c r="QV22" s="16" t="e">
        <f t="shared" si="37"/>
        <v>#N/A</v>
      </c>
      <c r="QX22" s="89" t="s">
        <v>9330</v>
      </c>
      <c r="QY22">
        <v>43.8</v>
      </c>
      <c r="QZ22">
        <v>43.8</v>
      </c>
      <c r="RA22">
        <v>43.8</v>
      </c>
      <c r="RB22">
        <v>41.57</v>
      </c>
      <c r="RC22">
        <v>28.92</v>
      </c>
      <c r="RD22">
        <v>21.84</v>
      </c>
      <c r="RE22">
        <v>17.13</v>
      </c>
      <c r="RF22">
        <v>10.61</v>
      </c>
      <c r="RG22" s="90">
        <v>7.57</v>
      </c>
      <c r="RH22" s="89" t="s">
        <v>9330</v>
      </c>
      <c r="RI22">
        <v>43.07</v>
      </c>
      <c r="RJ22">
        <v>43.07</v>
      </c>
      <c r="RK22">
        <v>43.07</v>
      </c>
      <c r="RL22">
        <v>39.6</v>
      </c>
      <c r="RM22">
        <v>27.33</v>
      </c>
      <c r="RN22">
        <v>21.4</v>
      </c>
      <c r="RO22">
        <v>17</v>
      </c>
      <c r="RP22">
        <v>10.57</v>
      </c>
      <c r="RQ22" s="90">
        <v>7.39</v>
      </c>
      <c r="RR22" s="89" t="s">
        <v>9330</v>
      </c>
      <c r="RS22">
        <v>26.56</v>
      </c>
      <c r="RT22">
        <v>26.56</v>
      </c>
      <c r="RU22">
        <v>26.56</v>
      </c>
      <c r="RV22">
        <v>26.56</v>
      </c>
      <c r="RW22">
        <v>23.63</v>
      </c>
      <c r="RX22">
        <v>19.670000000000002</v>
      </c>
      <c r="RY22">
        <v>15.99</v>
      </c>
      <c r="RZ22">
        <v>10.07</v>
      </c>
      <c r="SA22" s="90">
        <v>7</v>
      </c>
      <c r="SB22" s="89" t="s">
        <v>9330</v>
      </c>
      <c r="SC22">
        <v>15.22</v>
      </c>
      <c r="SD22">
        <v>15.22</v>
      </c>
      <c r="SE22">
        <v>15.22</v>
      </c>
      <c r="SF22">
        <v>15.22</v>
      </c>
      <c r="SG22">
        <v>15.15</v>
      </c>
      <c r="SH22">
        <v>12.23</v>
      </c>
      <c r="SI22">
        <v>9.61</v>
      </c>
      <c r="SJ22">
        <v>6.85</v>
      </c>
      <c r="SK22" s="90">
        <v>4.82</v>
      </c>
      <c r="SL22" s="89" t="s">
        <v>9330</v>
      </c>
      <c r="SM22">
        <v>0.84</v>
      </c>
      <c r="SN22">
        <v>0.84</v>
      </c>
      <c r="SO22">
        <v>0.84</v>
      </c>
      <c r="SP22">
        <v>0.84</v>
      </c>
      <c r="SQ22">
        <v>0.84</v>
      </c>
      <c r="SR22">
        <v>0.82</v>
      </c>
      <c r="SS22">
        <v>0.76</v>
      </c>
      <c r="ST22">
        <v>0.56999999999999995</v>
      </c>
      <c r="SU22" s="90">
        <v>0.44</v>
      </c>
      <c r="TJ22" s="259" t="s">
        <v>10535</v>
      </c>
      <c r="TL22" t="s">
        <v>10027</v>
      </c>
      <c r="TM22" s="225" t="str">
        <f>"VOC: Good combustion practices. NOx: "&amp;HeaterBoiler1!C45&amp;" lb/MMBtu emission factor. "&amp;IF(HeaterBoiler1!E37="","",HeaterBoiler1!E37&amp;". ")&amp;IF(HeaterBoiler1!E38="","",HeaterBoiler1!E38&amp;". ")&amp;IF(HeaterBoiler1!E39="","",HeaterBoiler1!E39&amp;". ")&amp;IF(HeaterBoiler1!E35="Yes","CEMS is required.","")&amp;" CO: "&amp;HeaterBoiler1!C46&amp;" lb/MMBtu corrected to 3% O2. PM/PM10/PM2.5: Less than 5% opacity. Good combustion practices."&amp;" SO2: "&amp;IF(HeaterBoiler1!E26="natural gas","Fire pipeline quality natural gas containing no more than "&amp;HeaterBoiler1!E28&amp;" ppmw of total sulfur.",IF(HeaterBoiler1!E26="fuel gas","Fire plant fuel gas containing no more than "&amp;HeaterBoiler1!E28&amp;" ppmw of total sulfur.",""))&amp;" MSS: Minimizing the duration of these activities and operating the facility in accordance with best management practices and good air pollution control practices."</f>
        <v>VOC: Good combustion practices. NOx:  lb/MMBtu emission factor.  CO:  lb/MMBtu corrected to 3% O2. PM/PM10/PM2.5: Less than 5% opacity. Good combustion practices. SO2:  MSS: Minimizing the duration of these activities and operating the facility in accordance with best management practices and good air pollution control practices.</v>
      </c>
    </row>
    <row r="23" spans="1:533" ht="71.25" x14ac:dyDescent="0.2">
      <c r="A23" s="8" t="s">
        <v>200</v>
      </c>
      <c r="B23" s="8">
        <v>10</v>
      </c>
      <c r="D23" s="8" t="s">
        <v>219</v>
      </c>
      <c r="E23" s="8" t="b">
        <f>IF($D23='PI-1-MarineLoading'!$D$73,TRUE,FALSE)</f>
        <v>0</v>
      </c>
      <c r="W23">
        <f>IF(OR(X23=0,ISNUMBER(MATCH(X23,$X$1:X22,0))),0,MAX($W$1:W22)+1)</f>
        <v>0</v>
      </c>
      <c r="X23" s="123">
        <f>Products!$E70</f>
        <v>0</v>
      </c>
      <c r="Y23" t="str">
        <f t="shared" si="3"/>
        <v/>
      </c>
      <c r="CA23">
        <f>IF(OR(CB23=0,ISNUMBER(MATCH(CB23,$CB$1:CB22,0))),0,MAX($CA$1:CA22)+1)</f>
        <v>0</v>
      </c>
      <c r="CB23" s="8">
        <f>IF(OR(Tank1!$D$18="EXTERNAL FLOATING ROOF",Tank1!$D$18="INTERNAL FLOATING ROOF"),IF(Tank1!$E53="",0,Tank1!$E53),0)</f>
        <v>0</v>
      </c>
      <c r="CC23" s="8" t="str">
        <f t="shared" si="6"/>
        <v/>
      </c>
      <c r="CD23" s="8"/>
      <c r="CE23" s="8">
        <f>IF(OR(CF23=0,ISNUMBER(MATCH(CF23,$CF$1:CF22,0))),0,MAX($CE$1:CE22)+1)</f>
        <v>0</v>
      </c>
      <c r="CF23" s="8">
        <f>IF(OR(Tank1!$D$18="HORIZONTAL FIXED ROOF",Tank1!$D$18="VERTICAL FIXED ROOF"),IF(Tank1!$E53="",0,Tank1!$E53),0)</f>
        <v>0</v>
      </c>
      <c r="CG23" s="8" t="str">
        <f t="shared" si="7"/>
        <v/>
      </c>
      <c r="CJ23">
        <f>IF(OR(CK23=0,ISNUMBER(MATCH(CK23,$CK$1:CK22,0))),0,MAX($CJ$1:CJ22)+1)</f>
        <v>0</v>
      </c>
      <c r="CK23">
        <f>Tank3!$A$43</f>
        <v>0</v>
      </c>
      <c r="CM23">
        <f>IFERROR(VLOOKUP($CK23,Tank3!$A$32:$D$141,3,FALSE),0)</f>
        <v>0</v>
      </c>
      <c r="CN23">
        <f>IFERROR(VLOOKUP($CK23,Tank3!$A$32:$D$141,4,FALSE),0)</f>
        <v>0</v>
      </c>
      <c r="DM23">
        <f>IF(OR(DN23=0,ISNUMBER(MATCH(DN23,$DN$1:DN22,0))),0,MAX($DM$1:DM22)+1)</f>
        <v>0</v>
      </c>
      <c r="DN23">
        <f>IF(Tank3!$D$22="Flare",IFERROR(VLOOKUP(Products!$A$69,Tank3!$A$32:$B$141,1,FALSE),0),0)</f>
        <v>0</v>
      </c>
      <c r="DO23">
        <f>IF($DN23=0,0,VLOOKUP($DN23,Tank3!$A$32:$H$141,7,FALSE))</f>
        <v>0</v>
      </c>
      <c r="DP23">
        <f>IF($DN23=0,0,VLOOKUP($DN23,Tank3!$A$32:$H$141,8,FALSE))</f>
        <v>0</v>
      </c>
      <c r="DU23">
        <f>IF(OR(DV23=0,ISNUMBER(MATCH(DV23,$DV$1:DV22,0))),0,MAX($DU$1:DU22)+1)</f>
        <v>0</v>
      </c>
      <c r="DV23">
        <f>IF(Tank3!$D$22="VCU",IFERROR(VLOOKUP(Products!$A$69,Tank3!$A$32:$B$141,1,FALSE),0),0)</f>
        <v>0</v>
      </c>
      <c r="DW23">
        <f>IF($DV23=0,0,VLOOKUP($DV23,Tank3!$A$32:$H$141,7,FALSE))</f>
        <v>0</v>
      </c>
      <c r="DX23">
        <f>IF($DV23=0,0,VLOOKUP($DV23,Tank3!$A$32:$H$141,8,FALSE))</f>
        <v>0</v>
      </c>
      <c r="EC23">
        <f>IF(OR(ED23=0,ISNUMBER(MATCH(ED23,$ED$1:ED22,0))),0,MAX($EC$1:EC22)+1)</f>
        <v>0</v>
      </c>
      <c r="ED23">
        <f>IF(Tank3!$D$22="vapor oxidizer",IFERROR(VLOOKUP(Products!$A$69,Tank3!$A$32:$B$141,1,FALSE),0),0)</f>
        <v>0</v>
      </c>
      <c r="EE23">
        <f>IF($ED23=0,0,VLOOKUP($ED23,Tank3!$A$32:$H$141,7,FALSE))</f>
        <v>0</v>
      </c>
      <c r="EF23">
        <f>IF($ED23=0,0,VLOOKUP($ED23,Tank3!$A$32:$H$141,8,FALSE))</f>
        <v>0</v>
      </c>
      <c r="EK23">
        <f>IF(OR(EL23=0,ISNUMBER(MATCH(EL23,$EL$1:EL22,0))),0,MAX($EK$1:EK22)+1)</f>
        <v>0</v>
      </c>
      <c r="EL23">
        <f>IF(Tank3!$D$22="CAS",IFERROR(VLOOKUP(Products!A69,Tank3!$A$32:$B$141,1,FALSE),0),0)</f>
        <v>0</v>
      </c>
      <c r="EM23">
        <f>IF($EL23=0,0,VLOOKUP($EL23,Tank3!$A$32:$H$141,7,FALSE))</f>
        <v>0</v>
      </c>
      <c r="EN23">
        <f>IF($EL23=0,0,VLOOKUP($EL23,Tank3!$A$32:$H$141,8,FALSE))</f>
        <v>0</v>
      </c>
      <c r="EX23">
        <f>MSS!$A56</f>
        <v>0</v>
      </c>
      <c r="EY23">
        <f>MSS!$G56*MSS!F$144</f>
        <v>0</v>
      </c>
      <c r="EZ23">
        <f>MSS!$G56*MSS!G$144</f>
        <v>0</v>
      </c>
      <c r="FB23" s="8" t="s">
        <v>399</v>
      </c>
      <c r="FC23" s="8" t="s">
        <v>400</v>
      </c>
      <c r="FD23" s="8">
        <v>1700</v>
      </c>
      <c r="FE23" s="8">
        <v>170</v>
      </c>
      <c r="FG23" s="360" t="str">
        <f t="shared" si="23"/>
        <v/>
      </c>
      <c r="FH23" s="155">
        <f>IF(Tank1!$D$22="NO CONTROL",_xlfn.MAXIFS(Tank1!$G$32:$G$141,Tank1!$E$32:$E$141,$FG23),0)*IFERROR($QR$3,0)</f>
        <v>0</v>
      </c>
      <c r="FI23" s="155">
        <f>_xlfn.MAXIFS(LandEmiss!$AF$20:$AF$119,LandEmiss!$AE$20:$AE$119,$FG23)*IFERROR($QR$3,0)</f>
        <v>0</v>
      </c>
      <c r="FJ23" s="155">
        <f>MAX(_xlfn.MAXIFS(LandEmiss!$CO$20:$CO$119,LandEmiss!$CN$20:$CN$119,$FG23),_xlfn.MAXIFS(LandEmiss!$EZ$9:$EZ$108,LandEmiss!$EY$9:$EY$108,$FG23))*IFERROR($QR$3,0)</f>
        <v>0</v>
      </c>
      <c r="FK23" s="155">
        <f>IF(Tank2!$D$22="NO CONTROL",_xlfn.MAXIFS(Tank2!$G$32:$G$141,Tank2!$E$32:$E$141,$FG23),0)*IFERROR($QR$4,0)</f>
        <v>0</v>
      </c>
      <c r="FL23" s="155">
        <f>_xlfn.MAXIFS(LandEmiss!$AG$20:$AG$119,LandEmiss!$AE$20:$AE$119,$FG23)*IFERROR($QR$4,0)</f>
        <v>0</v>
      </c>
      <c r="FM23" s="155">
        <f>MAX(_xlfn.MAXIFS(LandEmiss!$CP$20:$CP$119,LandEmiss!$CN$20:$CN$119,$FG23),_xlfn.MAXIFS(LandEmiss!$FA$9:$FA$108,LandEmiss!$EY$9:$EY$108,$FG23))*IFERROR($QR$4,0)</f>
        <v>0</v>
      </c>
      <c r="FN23" s="155">
        <f>IF(Tank3!$D$22="NO CONTROL",_xlfn.MAXIFS(Tank3!$G$32:$G$141,Tank3!$E$32:$E$141,$FG23),0)*IFERROR($QR$5,0)</f>
        <v>0</v>
      </c>
      <c r="FO23" s="155">
        <f>_xlfn.MAXIFS(LandEmiss!$AH$20:$AH$119,LandEmiss!$AE$20:$AE$119,$FG23)*IFERROR($QR$5,0)</f>
        <v>0</v>
      </c>
      <c r="FP23" s="155">
        <f>MAX(_xlfn.MAXIFS(LandEmiss!$CQ$20:$CQ$119,LandEmiss!$CN$20:$CN$119,$FG23),_xlfn.MAXIFS(LandEmiss!$FB$9:$FB$108,LandEmiss!$EY$9:$EY$108,$FG23))*IFERROR($QR$5,0)</f>
        <v>0</v>
      </c>
      <c r="FQ23" s="155">
        <f>IF(Tank4!$D$22="NO CONTROL",_xlfn.MAXIFS(Tank4!$G$32:$G$141,Tank4!$E$32:$E$141,$FG23),0)*IFERROR($QR$6,0)</f>
        <v>0</v>
      </c>
      <c r="FR23" s="155">
        <f>_xlfn.MAXIFS(LandEmiss!$AI$20:$AI$119,LandEmiss!$AE$20:$AE$119,$FG23)*IFERROR($QR$6,0)</f>
        <v>0</v>
      </c>
      <c r="FS23" s="155">
        <f>MAX(_xlfn.MAXIFS(LandEmiss!$CR$20:$CR$119,LandEmiss!$CN$20:$CN$119,$FG23),_xlfn.MAXIFS(LandEmiss!$FC$9:$FC$108,LandEmiss!$EY$9:$EY$108,$FG23))*IFERROR($QR$6,0)</f>
        <v>0</v>
      </c>
      <c r="FT23" s="155">
        <f>IF(Tank5!$D$22="NO CONTROL",_xlfn.MAXIFS(Tank5!$G$32:$G$141,Tank5!$E$32:$E$141,$FG23),0)*IFERROR($QR$7,0)</f>
        <v>0</v>
      </c>
      <c r="FU23" s="155">
        <f>_xlfn.MAXIFS(LandEmiss!$AJ$20:$AJ$119,LandEmiss!$AE$20:$AE$119,$FG23)*IFERROR($QR$7,0)</f>
        <v>0</v>
      </c>
      <c r="FV23" s="155">
        <f>MAX(_xlfn.MAXIFS(LandEmiss!$CS$20:$CS$119,LandEmiss!$CN$20:$CN$119,$FG23),_xlfn.MAXIFS(LandEmiss!$FD$9:$FD$108,LandEmiss!$EY$9:$EY$108,$FG23))*IFERROR($QR28,0)</f>
        <v>0</v>
      </c>
      <c r="FW23" s="155">
        <f>_xlfn.MAXIFS('Load-DrumTote'!$K$27:$K$136,'Load-DrumTote'!$F$27:$F$136,$FG23)*IFERROR($QR$8,0)</f>
        <v>0</v>
      </c>
      <c r="FX23" s="155">
        <f>_xlfn.MAXIFS('Load-Truck'!$K$27:$K$136,'Load-Truck'!$F$27:$F$136,$FG23)*IFERROR($QR$9,0)</f>
        <v>0</v>
      </c>
      <c r="FY23" s="155">
        <f>_xlfn.MAXIFS('Load-Rail'!$K$27:$K$136,'Load-Rail'!$F$27:$F$136,$FG23)*IFERROR($QR$10,0)</f>
        <v>0</v>
      </c>
      <c r="FZ23" s="155">
        <f>_xlfn.MAXIFS('Load-MarineBarge'!$K$27:$K$136,'Load-MarineBarge'!$F$27:$F$136,$FG23)*IFERROR($QR$11,0)</f>
        <v>0</v>
      </c>
      <c r="GA23" s="155">
        <f>_xlfn.MAXIFS('Load-MarineShip'!$K$27:$K$136,'Load-MarineShip'!$F$27:$F$136,$FG23)*IFERROR($QR$12,0)</f>
        <v>0</v>
      </c>
      <c r="GB23" s="313">
        <f>IF(OR(Flare!$D$24="fuel gas",Flare!$D$38="fuel gas"),SUMIF(Flare!$E$97:$E$106,$FG23,Flare!$F$97:$F$106),0)*IFERROR($QR$13,0)</f>
        <v>0</v>
      </c>
      <c r="GC23" s="313">
        <f>(_xlfn.MAXIFS(CtrlDevImpacts!$I$57:$I$156,CtrlDevImpacts!$H$57:$H$156,$FG23))*IFERROR($QR$13,0)</f>
        <v>0</v>
      </c>
      <c r="GD23" s="313">
        <f>(_xlfn.MAXIFS(Flare!$F$107:$F$216,Flare!$E$107:$E$216,$FG23)-_xlfn.MAXIFS(CtrlDevImpacts!$I$57:$I$156,CtrlDevImpacts!$H$57:$H$156,$FG23))*IFERROR($QR$13,0)</f>
        <v>0</v>
      </c>
      <c r="GE23" s="155">
        <f>_xlfn.MAXIFS(LandEmiss!$B$335:$B$434,LandEmiss!$A$335:$A$434,$FG23)*IFERROR($QR$13,0)</f>
        <v>0</v>
      </c>
      <c r="GF23" s="155">
        <f>(_xlfn.MAXIFS(LandEmiss!$BK$335:$BK$434,LandEmiss!$BJ$335:$BJ$434,$FG23)+_xlfn.MAXIFS(LandEmiss!$DV$323:$DV$422,LandEmiss!$DU$323:$DU$422,$FG23))*IFERROR($QR$13,0)</f>
        <v>0</v>
      </c>
      <c r="GG23" s="313">
        <f>IF(OR(VCU!$D$26="fuel gas",VCU!$D$42="fuel gas"),SUMIF(VCU!$E$120:$E$129,$FG23,VCU!$F$120:$F$129),0)*IFERROR($QR$14,0)</f>
        <v>0</v>
      </c>
      <c r="GH23" s="313">
        <f>(_xlfn.MAXIFS(CtrlDevImpacts!$X$57:$X$156,CtrlDevImpacts!$W$57:$W$156,$FG23))*IFERROR($QR$14,0)</f>
        <v>0</v>
      </c>
      <c r="GI23" s="313">
        <f>(_xlfn.MAXIFS(VCU!$F$130:$F$239,VCU!$E$130:$E$239,$FG23)-_xlfn.MAXIFS(CtrlDevImpacts!$X$57:$X$156,CtrlDevImpacts!$W$57:$W$156,$FG23))*IFERROR($QR$14,0)</f>
        <v>0</v>
      </c>
      <c r="GJ23" s="155">
        <f>_xlfn.MAXIFS(LandEmiss!$D$335:$D$434,LandEmiss!$A$335:$A$434,$FG23)*IFERROR($QR$14,0)</f>
        <v>0</v>
      </c>
      <c r="GK23" s="155">
        <f>(_xlfn.MAXIFS(LandEmiss!$BM$335:$BM$434,LandEmiss!$BJ$335:$BJ$434,$FG23)+_xlfn.MAXIFS(LandEmiss!$DX$323:$DX$422,LandEmiss!$DU$323:$DU$422,$FG23))*IFERROR($QR$14,0)</f>
        <v>0</v>
      </c>
      <c r="GL23" s="313">
        <f>IF(VaporOxidizer!D54="FUEL GAS",SUMIF(VaporOxidizer!$E$101:$E$110,$FG23,VaporOxidizer!$F$101:$F$110),0)*IFERROR($QR$15,0)</f>
        <v>0</v>
      </c>
      <c r="GM23" s="313">
        <f>(_xlfn.MAXIFS(CtrlDevImpacts!$AN$57:$AN$156,CtrlDevImpacts!$AM$57:$AM$156,$FG23))*IFERROR($QR$15,0)</f>
        <v>0</v>
      </c>
      <c r="GN23" s="313">
        <f>(_xlfn.MAXIFS(VaporOxidizer!$F$111:$F$220,VaporOxidizer!$E$111:$E$220,$FG23)-_xlfn.MAXIFS(CtrlDevImpacts!$AN$57:$AN$156,CtrlDevImpacts!$AM$57:$AM$156,$FG23))*IFERROR($QR$15,0)</f>
        <v>0</v>
      </c>
      <c r="GO23" s="155">
        <f>_xlfn.MAXIFS(LandEmiss!$F$335:$F$434,LandEmiss!$A$335:$A$434,$FG23)*IFERROR($QR$15,0)</f>
        <v>0</v>
      </c>
      <c r="GP23" s="155">
        <f>(_xlfn.MAXIFS(LandEmiss!$BK$335:$BK$434,LandEmiss!$BO$335:$BO$434,$FG23)+_xlfn.MAXIFS(LandEmiss!$DZ$323:$DZ$422,LandEmiss!$DU$323:$DU$422,$FG23))*IFERROR($QR$15,0)</f>
        <v>0</v>
      </c>
      <c r="GQ23" s="313">
        <f>_xlfn.MAXIFS(CtrlDevImpacts!$BD$57:$BD$156,CtrlDevImpacts!$BC$57:$BC$156,$FG23)*IFERROR(Hidden!$QR$16,0)</f>
        <v>0</v>
      </c>
      <c r="GR23" s="313">
        <f>(_xlfn.MAXIFS(CAS!$H$35:$H$144,CAS!$E$35:$E$144,$FG23)-_xlfn.MAXIFS(CtrlDevImpacts!$BD$57:$BD$156,CtrlDevImpacts!$BC$57:$BC$156,$FG23))*IFERROR(Hidden!$QR$16,0)</f>
        <v>0</v>
      </c>
      <c r="GS23" s="155">
        <f>_xlfn.MAXIFS(LandEmiss!$H$335:$H$434,LandEmiss!$A$335:$A$434,$FG23)*IFERROR($QR$27,0)</f>
        <v>0</v>
      </c>
      <c r="GT23" s="155">
        <f>(_xlfn.MAXIFS(LandEmiss!$BK$335:$BK$434,LandEmiss!$BQ$335:$BQ$434,$FG23)+_xlfn.MAXIFS(LandEmiss!$EB$323:$EB$422,LandEmiss!$DU$323:$DU$422,$FG23))*IFERROR($QR$27,0)</f>
        <v>0</v>
      </c>
      <c r="GU23" s="155">
        <f>_xlfn.MAXIFS(LandEmiss!$J$335:$J$434,LandEmiss!$A$335:$A$434,$FG23)*IFERROR($QR$26,0)</f>
        <v>0</v>
      </c>
      <c r="GV23" s="155">
        <f>(_xlfn.MAXIFS(LandEmiss!$BK$335:$BK$434,LandEmiss!$BS$335:$BS$434,$FG23)+_xlfn.MAXIFS(LandEmiss!$ED$323:$ED$422,LandEmiss!$DU$323:$DU$422,$FG23))*IFERROR($QR$26,0)</f>
        <v>0</v>
      </c>
      <c r="GW23" s="155">
        <f>_xlfn.MAXIFS(LandEmiss!$L$335:$L$434,LandEmiss!$A$335:$A$434,$FG23)*IFERROR($QR$25,0)</f>
        <v>0</v>
      </c>
      <c r="GX23" s="155">
        <f>(_xlfn.MAXIFS(LandEmiss!$BK$335:$BK$434,LandEmiss!$BU$335:$BU$434,$FG23)+_xlfn.MAXIFS(LandEmiss!$EF$323:$EF$422,LandEmiss!$DU$323:$DU$422,$FG23))*IFERROR($QR$25,0)</f>
        <v>0</v>
      </c>
      <c r="GY23" s="155">
        <v>0</v>
      </c>
      <c r="GZ23" s="155">
        <v>0</v>
      </c>
      <c r="HA23" s="155">
        <f>IF(OR(HeaterBoiler1!$E$26&lt;&gt;"fuel gas",HeaterBoiler1!$E$15&lt;&gt;"heater"),0,SUMIF(HeaterBoiler1!$A$54:$D$63,$FG23,HeaterBoiler1!$I$54:$I$63))*IFERROR($QR$19,0)</f>
        <v>0</v>
      </c>
      <c r="HB23" s="207">
        <f>IF(OR(HeaterBoiler2!$E$26&lt;&gt;"fuel gas",HeaterBoiler2!$E$15&lt;&gt;"heater"),0,SUMIF(HeaterBoiler2!$A$54:$D$63,$FG23,HeaterBoiler2!$I$54:$I$63))*IFERROR($QR$21,0)</f>
        <v>0</v>
      </c>
      <c r="HC23" s="155">
        <f>IF(OR(HeaterBoiler1!$E$26&lt;&gt;"fuel gas",HeaterBoiler1!$E$15&lt;&gt;"boiler"),0,SUMIF(HeaterBoiler1!$A$41:$A$50,$FG23,HeaterBoiler1!$F$41:$F$50))*IFERROR($QR$20,0)</f>
        <v>0</v>
      </c>
      <c r="HD23" s="207">
        <f>IF(OR(HeaterBoiler2!$E$26&lt;&gt;"fuel gas",HeaterBoiler2!$E$15&lt;&gt;"boiler"),0,SUMIF(HeaterBoiler2!$A$41:$A$50,$FG23,HeaterBoiler2!$F$41:$F$50))*IFERROR($QR$22,0)</f>
        <v>0</v>
      </c>
      <c r="HE23" s="155">
        <f>SUMIF(Fug!$A$96:$A$205,$FG23,Fug!$I$96:$I$205)*IFERROR(Hidden!$QR$23,0)</f>
        <v>0</v>
      </c>
      <c r="HF23" s="155">
        <f t="shared" si="24"/>
        <v>0</v>
      </c>
      <c r="HG23" s="156">
        <f t="shared" si="25"/>
        <v>0</v>
      </c>
      <c r="HH23" s="156">
        <f t="shared" si="26"/>
        <v>0</v>
      </c>
      <c r="HI23" s="156">
        <f t="shared" si="27"/>
        <v>0</v>
      </c>
      <c r="HJ23" s="156">
        <f t="shared" si="28"/>
        <v>0</v>
      </c>
      <c r="HK23" s="156">
        <f t="shared" si="29"/>
        <v>0</v>
      </c>
      <c r="HL23" s="156">
        <f t="shared" si="30"/>
        <v>0</v>
      </c>
      <c r="NO23" s="155">
        <f>IF(Tank1!$D$22="No control",(SUMIF(Tank1!$E$32:$E$141,$FG23,Tank1!$H$32:$H$141)*(2000/8760)*IFERROR($QV$3,0)),0)</f>
        <v>0</v>
      </c>
      <c r="NP23" s="156">
        <f>SUMIF(LandEmiss!$AE$20:$AE$119,$FG23,LandEmiss!$AK$20:$AK$119)*(2000/8760)*IFERROR($QV$3,0)</f>
        <v>0</v>
      </c>
      <c r="NQ23" s="156">
        <f>(SUMIF(LandEmiss!$CN$20:$CN$119,$FG23,LandEmiss!$CT$20:$CT$119)+SUMIF(LandEmiss!$EY$9:$EY$108,$FG23,LandEmiss!$FE$9:$FE$108))*IFERROR($QV$3,0)*(2000/8760)</f>
        <v>0</v>
      </c>
      <c r="NR23" s="155">
        <f>IF(Tank2!$D$22="No control",(SUMIF(Tank2!$E$32:$E$141,$FG23,Tank2!$H$32:$H$141)*(2000/8760)*IFERROR($QV$4,0)),0)</f>
        <v>0</v>
      </c>
      <c r="NS23" s="156">
        <f>SUMIF(LandEmiss!$AE$20:$AE$119,$FG23,LandEmiss!$AL$20:$AL$119)*(2000/8760)*IFERROR($QV$4,0)</f>
        <v>0</v>
      </c>
      <c r="NT23" s="156">
        <f>(SUMIF(LandEmiss!$CN$20:$CN$119,$FG23,LandEmiss!$CU$20:$CU$119)+SUMIF(LandEmiss!$EY$9:$EY$108,$FG23,LandEmiss!$FF$9:$FF$108))*IFERROR($QV$4,0)*(2000/8760)</f>
        <v>0</v>
      </c>
      <c r="NU23" s="155">
        <f>IF(Tank3!$D$22="No control",(SUMIF(Tank3!$E$32:$E$141,$FG23,Tank3!$H$32:$H$141)*(2000/8760)*IFERROR($QV$5,0)),0)</f>
        <v>0</v>
      </c>
      <c r="NV23" s="156">
        <f>SUMIF(LandEmiss!$AE$20:$AE$119,$FG23,LandEmiss!$AM$20:$AM$119)*(2000/8760)*IFERROR($QV$5,0)</f>
        <v>0</v>
      </c>
      <c r="NW23" s="156">
        <f>(SUMIF(LandEmiss!$CN$20:$CN$119,$FG23,LandEmiss!$CV$20:$CV$119)+SUMIF(LandEmiss!$EY$9:$EY$108,$FG23,LandEmiss!$FG$9:$FG$108))*IFERROR($QV$5,0)*(2000/8760)</f>
        <v>0</v>
      </c>
      <c r="NX23" s="155">
        <f>IF(Tank4!$D$22="No control",(SUMIF(Tank4!$E$32:$E$141,$FG23,Tank4!$H$32:$H$141)*(2000/8760)*IFERROR($QV$6,0)),0)</f>
        <v>0</v>
      </c>
      <c r="NY23" s="156">
        <f>SUMIF(LandEmiss!$AE$20:$AE$119,$FG23,LandEmiss!$AN$20:$AN$119)*(2000/8760)*IFERROR($QV$6,0)</f>
        <v>0</v>
      </c>
      <c r="NZ23" s="156">
        <f>(SUMIF(LandEmiss!$CN$20:$CN$119,$FG23,LandEmiss!$CW$20:$CW$119)+SUMIF(LandEmiss!$EY$9:$EY$108,$FG23,LandEmiss!$FH$9:$FH$108))*IFERROR($QV$6,0)*(2000/8760)</f>
        <v>0</v>
      </c>
      <c r="OA23" s="155">
        <f>IF(Tank5!$D$22="No control",(SUMIF(Tank5!$E$32:$E$141,$FG23,Tank5!$H$32:$H$141)*(2000/8760)*IFERROR($QV$7,0)),0)</f>
        <v>0</v>
      </c>
      <c r="OB23" s="156">
        <f>SUMIF(LandEmiss!$AE$20:$AE$119,$FG23,LandEmiss!$AO$20:$AO$119)*(2000/8760)*IFERROR($QV$7,0)</f>
        <v>0</v>
      </c>
      <c r="OC23" s="156">
        <f>(SUMIF(LandEmiss!$CN$20:$CN$119,$FG23,LandEmiss!$CX$20:$CX$119)+SUMIF(LandEmiss!$EY$9:$EY$108,$FG23,LandEmiss!$FI$9:$FI$108))*IFERROR($QV$7,0)*(2000/8760)</f>
        <v>0</v>
      </c>
      <c r="OD23" s="155">
        <f>SUMIFS('Load-DrumTote'!$L$27:$L$136,'Load-DrumTote'!$F$27:$F$136,$FG23)*IFERROR($QV$8,0)*(2000/8760)</f>
        <v>0</v>
      </c>
      <c r="OE23" s="155">
        <f>SUMIFS('Load-Truck'!$L$27:$L$136,'Load-Truck'!$F$27:$F$136,$FG23)*IFERROR($QV$9,0)*(2000/8760)</f>
        <v>0</v>
      </c>
      <c r="OF23" s="155">
        <f>SUMIFS('Load-Rail'!$L$27:$L$136,'Load-Rail'!$F$27:$F$136,$FG23)*IFERROR($QV$10,0)*(2000/8760)</f>
        <v>0</v>
      </c>
      <c r="OG23" s="155">
        <f>SUMIFS('Load-MarineBarge'!$L$27:$L$136,'Load-MarineBarge'!$F$27:$F$136,$FG23)*IFERROR($QV$11,0)*(2000/8760)</f>
        <v>0</v>
      </c>
      <c r="OH23" s="155">
        <f>SUMIFS('Load-MarineShip'!$L$27:$L$136,'Load-MarineShip'!$F$27:$F$136,$FG23)*IFERROR($QV$12,0)*(2000/8760)</f>
        <v>0</v>
      </c>
      <c r="OI23" s="155">
        <f>(IF(OR(Flare!$D$24="FUEL GAS",Flare!$D$38="FUEL GAS"),SUMIF(Flare!$E$97:$E$106,$FG23,Flare!$G$97:$G$105),0)+SUMIF(Flare!$E$107:$E$216,$FG23,Flare!$G$107:$G$216))*(2000/8730)*IFERROR($QV$13,0)</f>
        <v>0</v>
      </c>
      <c r="OJ23" s="155">
        <f>SUMIF(LandEmiss!$A$335:$A$434,$FG23,LandEmiss!$C$335:$C$434)*(2000/8760)*IFERROR($QV$13,0)</f>
        <v>0</v>
      </c>
      <c r="OK23" s="155">
        <f>(SUMIF(LandEmiss!$BJ$335:$BJ$434,$FG23,LandEmiss!$BL$335:$BL$434)+SUMIF(LandEmiss!$DU$323:$DU$422,$FG23,LandEmiss!$DW$323:$DW$422))*(2000/8760)*IFERROR($QV$13,0)</f>
        <v>0</v>
      </c>
      <c r="OL23" s="155">
        <f>(IF(OR(VCU!$D$26="FUEL GAS",VCU!$D$42="FUEL GAS"),SUMIF(VCU!$E$120:$E$129,$FG23,VCU!$G$120:$G$129),0)+SUMIF(VCU!$E$130:$E$239,$FG23,VCU!G151:G260))*(2000/8760)*IFERROR($QV$14,0)</f>
        <v>0</v>
      </c>
      <c r="OM23" s="155">
        <f>SUMIF(LandEmiss!$A$335:$A$434,$FG23,LandEmiss!$E$335:$E$434)*(2000/8760)*IFERROR($QV$14,0)</f>
        <v>0</v>
      </c>
      <c r="ON23" s="155">
        <f>(SUMIF(LandEmiss!$BJ$335:$BJ$434,$FG23,LandEmiss!$BN$335:$BN$434)+SUMIF(LandEmiss!$DU$323:$DU$422,$FG23,LandEmiss!$DY$323:$DY$422))*(2000/8760)*IFERROR($QV$14,0)</f>
        <v>0</v>
      </c>
      <c r="OO23" s="155">
        <f>(IF(VaporOxidizer!$D$33="FUEL GAS",SUMIF(VaporOxidizer!$E$101:$E$110,$FG23,VaporOxidizer!$G$101:$G$110),0)+SUMIF(VaporOxidizer!$E$111:$E$220,$FG23,VaporOxidizer!$G$111:$G$220))*(2000/8760)*IFERROR($QV$15,0)</f>
        <v>0</v>
      </c>
      <c r="OP23" s="155">
        <f>SUMIF(LandEmiss!$A$335:$A$434,$FG23,LandEmiss!$G$335:$G$434)*(2000/8760)*IFERROR($QV$15,0)</f>
        <v>0</v>
      </c>
      <c r="OQ23" s="155">
        <f>(SUMIF(LandEmiss!$BJ$335:$BJ$434,$FG23,LandEmiss!$BP$335:$BP$434)+SUMIF(LandEmiss!$DU$323:$DU$422,$FG23,LandEmiss!$EA$323:$EA$422))*(2000/8760)*IFERROR($QV$15,0)</f>
        <v>0</v>
      </c>
      <c r="OR23" s="155">
        <f>SUMIF(CAS!$E$35:$E$144,Hidden!$FG23,CAS!$I$35:$I$144)*IFERROR($QV$16,0)*(2000/8760)</f>
        <v>0</v>
      </c>
      <c r="OS23" s="155">
        <f>SUMIF(LandEmiss!$A$335:$A$434,$FG23,LandEmiss!$I$335:$I$434)*(2000/8760)*IFERROR($QV$27,0)</f>
        <v>0</v>
      </c>
      <c r="OT23" s="155">
        <f>(SUMIF(LandEmiss!$BJ$335:$BJ$434,$FG23,LandEmiss!$BR$335:$BR$434)+SUMIF(LandEmiss!$DU$323:$DU$422,$FG23,LandEmiss!$EC$323:$EC$422))*(2000/8760)*IFERROR($QV$27,0)</f>
        <v>0</v>
      </c>
      <c r="OU23" s="155">
        <f>SUMIF(LandEmiss!$A$335:$A$434,$FG23,LandEmiss!$K$335:$K$434)*(2000/8760)*IFERROR($QV$26,0)</f>
        <v>0</v>
      </c>
      <c r="OV23" s="155">
        <f>(SUMIF(LandEmiss!$BJ$335:$BJ$434,$FG23,LandEmiss!$BT$335:$BT$434)+SUMIF(LandEmiss!$DU$323:$DU$422,$FG23,LandEmiss!$EE$323:$EE$422))*(2000/8760)*IFERROR($QV$26,0)</f>
        <v>0</v>
      </c>
      <c r="OW23" s="155">
        <f>SUMIF(LandEmiss!$A$335:$A$434,$FG23,LandEmiss!$M$335:$M$434)*(2000/8760)*IFERROR($QV$25,0)</f>
        <v>0</v>
      </c>
      <c r="OX23" s="155">
        <f>(SUMIF(LandEmiss!$BJ$335:$BJ$434,$FG23,LandEmiss!$BV$335:$BV$434)+SUMIF(LandEmiss!$DU$323:$DU$422,$FG23,LandEmiss!$EG$323:$EG$422))*(2000/8760)*IFERROR($QV$25,0)</f>
        <v>0</v>
      </c>
      <c r="OY23" s="8">
        <v>0</v>
      </c>
      <c r="OZ23" s="207">
        <v>0</v>
      </c>
      <c r="PA23" s="207">
        <f>IF(OR(HeaterBoiler1!$E$26&lt;&gt;"fuel gas",HeaterBoiler1!$E$15&lt;&gt;"heater"),0,(SUMIF(HeaterBoiler1!$A$54:$D$63,$FG23,HeaterBoiler1!$J$54:$J$63))*(2000/8760))*IFERROR($QV$19,0)</f>
        <v>0</v>
      </c>
      <c r="PB23" s="207">
        <f>IF(OR(HeaterBoiler2!$E$26&lt;&gt;"fuel gas",HeaterBoiler2!$E$15&lt;&gt;"heater"),0,(SUMIF(HeaterBoiler2!$A$54:$D$63,$FG23,HeaterBoiler2!$J$54:$J$63))*(2000/8760))*IFERROR($QV$21,0)</f>
        <v>0</v>
      </c>
      <c r="PC23" s="207">
        <f>IF(OR(HeaterBoiler1!$E$26&lt;&gt;"fuel gas",HeaterBoiler1!$E$15&lt;&gt;"boiler"),0,(SUMIF(HeaterBoiler1!$A$54:$D$63,$FG23,HeaterBoiler1!$J$54:$J$63))*(2000/8760))*IFERROR($QV$20,0)</f>
        <v>0</v>
      </c>
      <c r="PD23" s="207">
        <f>IF(OR(HeaterBoiler2!$E$26&lt;&gt;"fuel gas",HeaterBoiler2!$E$15&lt;&gt;"boiler"),0,(SUMIF(HeaterBoiler2!$A$54:$D$63,$FG23,HeaterBoiler2!$J$54:$J$63))*(2000/8760))*IFERROR($QV$22,0)</f>
        <v>0</v>
      </c>
      <c r="PE23" s="8">
        <f>(SUMIF(Fug!$A$96:$A$205,$FG23,Fug!$J$96:$J$205))*IFERROR($QV$23,0)*(2000/8760)</f>
        <v>0</v>
      </c>
      <c r="PF23" s="8">
        <f t="shared" si="31"/>
        <v>0</v>
      </c>
      <c r="PG23" s="156">
        <f t="shared" si="32"/>
        <v>0</v>
      </c>
      <c r="PJ23" s="52" t="str">
        <f>IF(Fug!$F$16=Hidden!$PP$2,"Flanges-DTM(AM) [8]","Flanges/Connectors")</f>
        <v>Flanges/Connectors</v>
      </c>
      <c r="PK23" s="52" t="str">
        <f>IF(Fug!$F$16=Hidden!$PP$2,"Light Oil &gt; 20° [4] [5]","Ultra Heavy Liquid")</f>
        <v>Ultra Heavy Liquid</v>
      </c>
      <c r="PL23" s="52">
        <v>6.9999999999999994E-5</v>
      </c>
      <c r="PM23" s="52">
        <v>6.9999999999999994E-5</v>
      </c>
      <c r="PN23" s="52">
        <v>6.9999999999999994E-5</v>
      </c>
      <c r="PO23" s="52">
        <v>1.8000000000000001E-4</v>
      </c>
      <c r="PP23" s="52">
        <v>2.43E-4</v>
      </c>
      <c r="PQ23" s="52">
        <v>5.5500000000000005E-4</v>
      </c>
      <c r="PR23" s="52">
        <v>1.1000000000000001E-7</v>
      </c>
      <c r="PS23" s="52">
        <v>3.0699999999999998E-4</v>
      </c>
      <c r="PT23" s="52" t="s">
        <v>8786</v>
      </c>
      <c r="PU23" s="52" t="s">
        <v>8775</v>
      </c>
      <c r="PV23" s="52">
        <v>0</v>
      </c>
      <c r="PW23" s="52">
        <v>0.75</v>
      </c>
      <c r="PX23" s="52">
        <v>0.75</v>
      </c>
      <c r="PY23" s="52">
        <v>0.75</v>
      </c>
      <c r="PZ23" s="52">
        <v>0</v>
      </c>
      <c r="QA23" s="52">
        <v>0.75</v>
      </c>
      <c r="QB23" s="52" t="s">
        <v>8810</v>
      </c>
      <c r="QC23" s="52" t="s">
        <v>8808</v>
      </c>
      <c r="QD23" s="52">
        <v>0</v>
      </c>
      <c r="QE23" s="52">
        <v>0.3</v>
      </c>
      <c r="QF23" s="52">
        <v>0.3</v>
      </c>
      <c r="QG23" s="52">
        <v>0.3</v>
      </c>
      <c r="QH23" s="52">
        <v>0</v>
      </c>
      <c r="QI23" s="52">
        <v>0.97</v>
      </c>
      <c r="QK23" s="95" t="s">
        <v>9128</v>
      </c>
      <c r="QM23" s="16" t="s">
        <v>9201</v>
      </c>
      <c r="QN23" s="104" t="e">
        <f t="shared" si="38"/>
        <v>#N/A</v>
      </c>
      <c r="QO23" s="104">
        <f>Fug!F13</f>
        <v>0</v>
      </c>
      <c r="QP23" s="104">
        <f>Fug!F12</f>
        <v>0</v>
      </c>
      <c r="QQ23" s="16" t="str">
        <f>QX21</f>
        <v>FUG</v>
      </c>
      <c r="QR23" s="16" t="e">
        <f t="shared" si="33"/>
        <v>#N/A</v>
      </c>
      <c r="QS23" s="16" t="e">
        <f t="shared" si="34"/>
        <v>#N/A</v>
      </c>
      <c r="QT23" s="16" t="e">
        <f t="shared" si="35"/>
        <v>#N/A</v>
      </c>
      <c r="QU23" s="16" t="e">
        <f t="shared" si="36"/>
        <v>#N/A</v>
      </c>
      <c r="QV23" s="16" t="e">
        <f t="shared" si="37"/>
        <v>#N/A</v>
      </c>
      <c r="QX23" s="89" t="s">
        <v>9331</v>
      </c>
      <c r="QY23">
        <v>12.18</v>
      </c>
      <c r="QZ23">
        <v>12.18</v>
      </c>
      <c r="RA23">
        <v>12.18</v>
      </c>
      <c r="RB23">
        <v>12.18</v>
      </c>
      <c r="RC23">
        <v>12.18</v>
      </c>
      <c r="RD23">
        <v>11.89</v>
      </c>
      <c r="RE23">
        <v>11.14</v>
      </c>
      <c r="RF23">
        <v>8.3800000000000008</v>
      </c>
      <c r="RG23" s="90">
        <v>6.48</v>
      </c>
      <c r="RH23" s="89" t="s">
        <v>9331</v>
      </c>
      <c r="RI23">
        <v>11.73</v>
      </c>
      <c r="RJ23">
        <v>11.73</v>
      </c>
      <c r="RK23">
        <v>11.73</v>
      </c>
      <c r="RL23">
        <v>11.73</v>
      </c>
      <c r="RM23">
        <v>11.73</v>
      </c>
      <c r="RN23">
        <v>11.13</v>
      </c>
      <c r="RO23">
        <v>10.86</v>
      </c>
      <c r="RP23">
        <v>8.2799999999999994</v>
      </c>
      <c r="RQ23" s="90">
        <v>6.36</v>
      </c>
      <c r="RR23" s="89" t="s">
        <v>9331</v>
      </c>
      <c r="RS23">
        <v>10.36</v>
      </c>
      <c r="RT23">
        <v>10.36</v>
      </c>
      <c r="RU23">
        <v>10.36</v>
      </c>
      <c r="RV23">
        <v>10.36</v>
      </c>
      <c r="RW23">
        <v>10.36</v>
      </c>
      <c r="RX23">
        <v>10.36</v>
      </c>
      <c r="RY23">
        <v>10.36</v>
      </c>
      <c r="RZ23">
        <v>7.89</v>
      </c>
      <c r="SA23" s="90">
        <v>6.1</v>
      </c>
      <c r="SB23" s="89" t="s">
        <v>9331</v>
      </c>
      <c r="SC23">
        <v>6.8</v>
      </c>
      <c r="SD23">
        <v>6.8</v>
      </c>
      <c r="SE23">
        <v>6.8</v>
      </c>
      <c r="SF23">
        <v>6.8</v>
      </c>
      <c r="SG23">
        <v>6.8</v>
      </c>
      <c r="SH23">
        <v>6.8</v>
      </c>
      <c r="SI23">
        <v>6.37</v>
      </c>
      <c r="SJ23">
        <v>5.55</v>
      </c>
      <c r="SK23" s="90">
        <v>4.26</v>
      </c>
      <c r="SL23" s="89" t="s">
        <v>9331</v>
      </c>
      <c r="SM23">
        <v>0.57999999999999996</v>
      </c>
      <c r="SN23">
        <v>0.57999999999999996</v>
      </c>
      <c r="SO23">
        <v>0.57999999999999996</v>
      </c>
      <c r="SP23">
        <v>0.57999999999999996</v>
      </c>
      <c r="SQ23">
        <v>0.57999999999999996</v>
      </c>
      <c r="SR23">
        <v>0.57999999999999996</v>
      </c>
      <c r="SS23">
        <v>0.57999999999999996</v>
      </c>
      <c r="ST23">
        <v>0.52</v>
      </c>
      <c r="SU23" s="90">
        <v>0.44</v>
      </c>
      <c r="TI23" s="256" t="s">
        <v>8706</v>
      </c>
      <c r="TJ23" s="259" t="str">
        <f>IF(Tank1!D18="","",
IF(Tank1!D18="vertical fixed roof",VLOOKUP(Hidden!TJ16,Hidden!TI3:TK5,MATCH(Hidden!TK16,Hidden!TI2:TK2,0),FALSE),
IF(Tank1!D18="horizontal fixed roof",VLOOKUP(Hidden!TJ16,Hidden!TI3:TK5,MATCH(Hidden!TK16,Hidden!TI2:TK2,0),FALSE),
IF(Tank1!D18="internal floating roof",VLOOKUP(Hidden!TJ16,Hidden!TI11:TK13,MATCH(Hidden!TK16,Hidden!TI10:TK10,0),FALSE),
IF(Tank1!D18="external floating roof",VLOOKUP(Hidden!TJ16,Hidden!TI7:TK9,MATCH(Hidden!TK16,Hidden!TI6:TK6,0),FALSE),"")))))</f>
        <v/>
      </c>
      <c r="TL23" t="s">
        <v>10208</v>
      </c>
      <c r="TM23" s="225" t="str">
        <f>TM24&amp;". MSS: Depressurized to a control device or a controlled recovery system prior to venting to atmosphere, degassing, or draining liquid. "&amp;"All liquids from process equipment or storage vessels removed to the maximum extent practical prior to opening equipment to commence degassing"&amp;" and/or maintenance. Liquids drained into a closed vessel or closed liquid recovery system. For VOC partial pressure &gt; 0.50 psi, degassing conducted according to good"&amp;" engineering practice to ensure removal of pollutants to a control device or controlled recovery system. Facilities (excluding FINS "&amp;IF(Tank1!D7="","",Tank1!D7&amp;", ")&amp;IF(Tank2!D7="","",Tank2!D7&amp;", ")&amp;IF(Tank3!D7="","",Tank3!D7&amp;", ")&amp;IF(Tank4!D7="","",Tank4!D7&amp;", ")&amp;IF(Tank5!D7="","",Tank5!D7&amp;", ")&amp;") degassed to VOC concentration less than 10,000 ppmv or 10%"&amp;" of the lower explosive limit (LEL)."</f>
        <v>. MSS: Depressurized to a control device or a controlled recovery system prior to venting to atmosphere, degassing, or draining liquid. All liquids from process equipment or storage vessels removed to the maximum extent practical prior to opening equipment to commence degassing and/or maintenance. Liquids drained into a closed vessel or closed liquid recovery system. For VOC partial pressure &gt; 0.50 psi, degassing conducted according to good engineering practice to ensure removal of pollutants to a control device or controlled recovery system. Facilities (excluding FINS ) degassed to VOC concentration less than 10,000 ppmv or 10% of the lower explosive limit (LEL).</v>
      </c>
    </row>
    <row r="24" spans="1:533" ht="74.25" customHeight="1" x14ac:dyDescent="0.2">
      <c r="A24" s="8" t="s">
        <v>201</v>
      </c>
      <c r="B24" s="8">
        <v>15</v>
      </c>
      <c r="D24" s="8" t="s">
        <v>220</v>
      </c>
      <c r="E24" s="8" t="b">
        <f>IF($D24='PI-1-MarineLoading'!$D$73,TRUE,FALSE)</f>
        <v>0</v>
      </c>
      <c r="W24">
        <f>IF(OR(X24=0,ISNUMBER(MATCH(X24,$X$1:X23,0))),0,MAX($W$1:W23)+1)</f>
        <v>0</v>
      </c>
      <c r="X24" s="123">
        <f>Products!$E71</f>
        <v>0</v>
      </c>
      <c r="Y24" t="str">
        <f t="shared" si="3"/>
        <v/>
      </c>
      <c r="CA24">
        <f>IF(OR(CB24=0,ISNUMBER(MATCH(CB24,$CB$1:CB23,0))),0,MAX($CA$1:CA23)+1)</f>
        <v>0</v>
      </c>
      <c r="CB24" s="8">
        <f>IF(OR(Tank1!$D$18="EXTERNAL FLOATING ROOF",Tank1!$D$18="INTERNAL FLOATING ROOF"),IF(Tank1!$E54="",0,Tank1!$E54),0)</f>
        <v>0</v>
      </c>
      <c r="CC24" s="8" t="str">
        <f t="shared" si="6"/>
        <v/>
      </c>
      <c r="CD24" s="8"/>
      <c r="CE24" s="8">
        <f>IF(OR(CF24=0,ISNUMBER(MATCH(CF24,$CF$1:CF23,0))),0,MAX($CE$1:CE23)+1)</f>
        <v>0</v>
      </c>
      <c r="CF24" s="8">
        <f>IF(OR(Tank1!$D$18="HORIZONTAL FIXED ROOF",Tank1!$D$18="VERTICAL FIXED ROOF"),IF(Tank1!$E54="",0,Tank1!$E54),0)</f>
        <v>0</v>
      </c>
      <c r="CG24" s="8" t="str">
        <f t="shared" si="7"/>
        <v/>
      </c>
      <c r="CJ24">
        <f>IF(OR(CK24=0,ISNUMBER(MATCH(CK24,$CK$1:CK23,0))),0,MAX($CJ$1:CJ23)+1)</f>
        <v>0</v>
      </c>
      <c r="CK24">
        <f>Tank3!$A$54</f>
        <v>0</v>
      </c>
      <c r="CM24">
        <f>IFERROR(VLOOKUP($CK24,Tank3!$A$32:$D$141,3,FALSE),0)</f>
        <v>0</v>
      </c>
      <c r="CN24">
        <f>IFERROR(VLOOKUP($CK24,Tank3!$A$32:$D$141,4,FALSE),0)</f>
        <v>0</v>
      </c>
      <c r="DM24">
        <f>IF(OR(DN24=0,ISNUMBER(MATCH(DN24,$DN$1:DN23,0))),0,MAX($DM$1:DM23)+1)</f>
        <v>0</v>
      </c>
      <c r="DN24">
        <f>IF(Tank3!$D$22="Flare",IFERROR(VLOOKUP(Products!$A$79,Tank3!$A$32:$B$141,1,FALSE),0),0)</f>
        <v>0</v>
      </c>
      <c r="DO24">
        <f>IF($DN24=0,0,VLOOKUP($DN24,Tank3!$A$32:$H$141,7,FALSE))</f>
        <v>0</v>
      </c>
      <c r="DP24">
        <f>IF($DN24=0,0,VLOOKUP($DN24,Tank3!$A$32:$H$141,8,FALSE))</f>
        <v>0</v>
      </c>
      <c r="DU24">
        <f>IF(OR(DV24=0,ISNUMBER(MATCH(DV24,$DV$1:DV23,0))),0,MAX($DU$1:DU23)+1)</f>
        <v>0</v>
      </c>
      <c r="DV24">
        <f>IF(Tank3!$D$22="VCU",IFERROR(VLOOKUP(Products!$A$79,Tank3!$A$32:$B$141,1,FALSE),0),0)</f>
        <v>0</v>
      </c>
      <c r="DW24">
        <f>IF($DV24=0,0,VLOOKUP($DV24,Tank3!$A$32:$H$141,7,FALSE))</f>
        <v>0</v>
      </c>
      <c r="DX24">
        <f>IF($DV24=0,0,VLOOKUP($DV24,Tank3!$A$32:$H$141,8,FALSE))</f>
        <v>0</v>
      </c>
      <c r="EC24">
        <f>IF(OR(ED24=0,ISNUMBER(MATCH(ED24,$ED$1:ED23,0))),0,MAX($EC$1:EC23)+1)</f>
        <v>0</v>
      </c>
      <c r="ED24">
        <f>IF(Tank3!$D$22="vapor oxidizer",IFERROR(VLOOKUP(Products!$A$79,Tank3!$A$32:$B$141,1,FALSE),0),0)</f>
        <v>0</v>
      </c>
      <c r="EE24">
        <f>IF($ED24=0,0,VLOOKUP($ED24,Tank3!$A$32:$H$141,7,FALSE))</f>
        <v>0</v>
      </c>
      <c r="EF24">
        <f>IF($ED24=0,0,VLOOKUP($ED24,Tank3!$A$32:$H$141,8,FALSE))</f>
        <v>0</v>
      </c>
      <c r="EK24">
        <f>IF(OR(EL24=0,ISNUMBER(MATCH(EL24,$EL$1:EL23,0))),0,MAX($EK$1:EK23)+1)</f>
        <v>0</v>
      </c>
      <c r="EL24">
        <f>IF(Tank3!$D$22="CAS",IFERROR(VLOOKUP(Products!A79,Tank3!$A$32:$B$141,1,FALSE),0),0)</f>
        <v>0</v>
      </c>
      <c r="EM24">
        <f>IF($EL24=0,0,VLOOKUP($EL24,Tank3!$A$32:$H$141,7,FALSE))</f>
        <v>0</v>
      </c>
      <c r="EN24">
        <f>IF($EL24=0,0,VLOOKUP($EL24,Tank3!$A$32:$H$141,8,FALSE))</f>
        <v>0</v>
      </c>
      <c r="EX24">
        <f>MSS!$A57</f>
        <v>0</v>
      </c>
      <c r="EY24">
        <f>MSS!$G57*MSS!F$144</f>
        <v>0</v>
      </c>
      <c r="EZ24">
        <f>MSS!$G57*MSS!G$144</f>
        <v>0</v>
      </c>
      <c r="FB24" s="8" t="s">
        <v>401</v>
      </c>
      <c r="FC24" s="8" t="s">
        <v>402</v>
      </c>
      <c r="FD24" s="8">
        <v>460</v>
      </c>
      <c r="FE24" s="8">
        <v>46</v>
      </c>
      <c r="FG24" s="360" t="str">
        <f t="shared" si="23"/>
        <v/>
      </c>
      <c r="FH24" s="155">
        <f>IF(Tank1!$D$22="NO CONTROL",_xlfn.MAXIFS(Tank1!$G$32:$G$141,Tank1!$E$32:$E$141,$FG24),0)*IFERROR($QR$3,0)</f>
        <v>0</v>
      </c>
      <c r="FI24" s="155">
        <f>_xlfn.MAXIFS(LandEmiss!$AF$20:$AF$119,LandEmiss!$AE$20:$AE$119,$FG24)*IFERROR($QR$3,0)</f>
        <v>0</v>
      </c>
      <c r="FJ24" s="155">
        <f>MAX(_xlfn.MAXIFS(LandEmiss!$CO$20:$CO$119,LandEmiss!$CN$20:$CN$119,$FG24),_xlfn.MAXIFS(LandEmiss!$EZ$9:$EZ$108,LandEmiss!$EY$9:$EY$108,$FG24))*IFERROR($QR$3,0)</f>
        <v>0</v>
      </c>
      <c r="FK24" s="155">
        <f>IF(Tank2!$D$22="NO CONTROL",_xlfn.MAXIFS(Tank2!$G$32:$G$141,Tank2!$E$32:$E$141,$FG24),0)*IFERROR($QR$4,0)</f>
        <v>0</v>
      </c>
      <c r="FL24" s="155">
        <f>_xlfn.MAXIFS(LandEmiss!$AG$20:$AG$119,LandEmiss!$AE$20:$AE$119,$FG24)*IFERROR($QR$4,0)</f>
        <v>0</v>
      </c>
      <c r="FM24" s="155">
        <f>MAX(_xlfn.MAXIFS(LandEmiss!$CP$20:$CP$119,LandEmiss!$CN$20:$CN$119,$FG24),_xlfn.MAXIFS(LandEmiss!$FA$9:$FA$108,LandEmiss!$EY$9:$EY$108,$FG24))*IFERROR($QR$4,0)</f>
        <v>0</v>
      </c>
      <c r="FN24" s="155">
        <f>IF(Tank3!$D$22="NO CONTROL",_xlfn.MAXIFS(Tank3!$G$32:$G$141,Tank3!$E$32:$E$141,$FG24),0)*IFERROR($QR$5,0)</f>
        <v>0</v>
      </c>
      <c r="FO24" s="155">
        <f>_xlfn.MAXIFS(LandEmiss!$AH$20:$AH$119,LandEmiss!$AE$20:$AE$119,$FG24)*IFERROR($QR$5,0)</f>
        <v>0</v>
      </c>
      <c r="FP24" s="155">
        <f>MAX(_xlfn.MAXIFS(LandEmiss!$CQ$20:$CQ$119,LandEmiss!$CN$20:$CN$119,$FG24),_xlfn.MAXIFS(LandEmiss!$FB$9:$FB$108,LandEmiss!$EY$9:$EY$108,$FG24))*IFERROR($QR$5,0)</f>
        <v>0</v>
      </c>
      <c r="FQ24" s="155">
        <f>IF(Tank4!$D$22="NO CONTROL",_xlfn.MAXIFS(Tank4!$G$32:$G$141,Tank4!$E$32:$E$141,$FG24),0)*IFERROR($QR$6,0)</f>
        <v>0</v>
      </c>
      <c r="FR24" s="155">
        <f>_xlfn.MAXIFS(LandEmiss!$AI$20:$AI$119,LandEmiss!$AE$20:$AE$119,$FG24)*IFERROR($QR$6,0)</f>
        <v>0</v>
      </c>
      <c r="FS24" s="155">
        <f>MAX(_xlfn.MAXIFS(LandEmiss!$CR$20:$CR$119,LandEmiss!$CN$20:$CN$119,$FG24),_xlfn.MAXIFS(LandEmiss!$FC$9:$FC$108,LandEmiss!$EY$9:$EY$108,$FG24))*IFERROR($QR$6,0)</f>
        <v>0</v>
      </c>
      <c r="FT24" s="155">
        <f>IF(Tank5!$D$22="NO CONTROL",_xlfn.MAXIFS(Tank5!$G$32:$G$141,Tank5!$E$32:$E$141,$FG24),0)*IFERROR($QR$7,0)</f>
        <v>0</v>
      </c>
      <c r="FU24" s="155">
        <f>_xlfn.MAXIFS(LandEmiss!$AJ$20:$AJ$119,LandEmiss!$AE$20:$AE$119,$FG24)*IFERROR($QR$7,0)</f>
        <v>0</v>
      </c>
      <c r="FV24" s="155">
        <f>MAX(_xlfn.MAXIFS(LandEmiss!$CS$20:$CS$119,LandEmiss!$CN$20:$CN$119,$FG24),_xlfn.MAXIFS(LandEmiss!$FD$9:$FD$108,LandEmiss!$EY$9:$EY$108,$FG24))*IFERROR($QR29,0)</f>
        <v>0</v>
      </c>
      <c r="FW24" s="155">
        <f>_xlfn.MAXIFS('Load-DrumTote'!$K$27:$K$136,'Load-DrumTote'!$F$27:$F$136,$FG24)*IFERROR($QR$8,0)</f>
        <v>0</v>
      </c>
      <c r="FX24" s="155">
        <f>_xlfn.MAXIFS('Load-Truck'!$K$27:$K$136,'Load-Truck'!$F$27:$F$136,$FG24)*IFERROR($QR$9,0)</f>
        <v>0</v>
      </c>
      <c r="FY24" s="155">
        <f>_xlfn.MAXIFS('Load-Rail'!$K$27:$K$136,'Load-Rail'!$F$27:$F$136,$FG24)*IFERROR($QR$10,0)</f>
        <v>0</v>
      </c>
      <c r="FZ24" s="155">
        <f>_xlfn.MAXIFS('Load-MarineBarge'!$K$27:$K$136,'Load-MarineBarge'!$F$27:$F$136,$FG24)*IFERROR($QR$11,0)</f>
        <v>0</v>
      </c>
      <c r="GA24" s="155">
        <f>_xlfn.MAXIFS('Load-MarineShip'!$K$27:$K$136,'Load-MarineShip'!$F$27:$F$136,$FG24)*IFERROR($QR$12,0)</f>
        <v>0</v>
      </c>
      <c r="GB24" s="313">
        <f>IF(OR(Flare!$D$24="fuel gas",Flare!$D$38="fuel gas"),SUMIF(Flare!$E$97:$E$106,$FG24,Flare!$F$97:$F$106),0)*IFERROR($QR$13,0)</f>
        <v>0</v>
      </c>
      <c r="GC24" s="313">
        <f>(_xlfn.MAXIFS(CtrlDevImpacts!$I$57:$I$156,CtrlDevImpacts!$H$57:$H$156,$FG24))*IFERROR($QR$13,0)</f>
        <v>0</v>
      </c>
      <c r="GD24" s="313">
        <f>(_xlfn.MAXIFS(Flare!$F$107:$F$216,Flare!$E$107:$E$216,$FG24)-_xlfn.MAXIFS(CtrlDevImpacts!$I$57:$I$156,CtrlDevImpacts!$H$57:$H$156,$FG24))*IFERROR($QR$13,0)</f>
        <v>0</v>
      </c>
      <c r="GE24" s="155">
        <f>_xlfn.MAXIFS(LandEmiss!$B$335:$B$434,LandEmiss!$A$335:$A$434,$FG24)*IFERROR($QR$13,0)</f>
        <v>0</v>
      </c>
      <c r="GF24" s="155">
        <f>(_xlfn.MAXIFS(LandEmiss!$BK$335:$BK$434,LandEmiss!$BJ$335:$BJ$434,$FG24)+_xlfn.MAXIFS(LandEmiss!$DV$323:$DV$422,LandEmiss!$DU$323:$DU$422,$FG24))*IFERROR($QR$13,0)</f>
        <v>0</v>
      </c>
      <c r="GG24" s="313">
        <f>IF(OR(VCU!$D$26="fuel gas",VCU!$D$42="fuel gas"),SUMIF(VCU!$E$120:$E$129,$FG24,VCU!$F$120:$F$129),0)*IFERROR($QR$14,0)</f>
        <v>0</v>
      </c>
      <c r="GH24" s="313">
        <f>(_xlfn.MAXIFS(CtrlDevImpacts!$X$57:$X$156,CtrlDevImpacts!$W$57:$W$156,$FG24))*IFERROR($QR$14,0)</f>
        <v>0</v>
      </c>
      <c r="GI24" s="313">
        <f>(_xlfn.MAXIFS(VCU!$F$130:$F$239,VCU!$E$130:$E$239,$FG24)-_xlfn.MAXIFS(CtrlDevImpacts!$X$57:$X$156,CtrlDevImpacts!$W$57:$W$156,$FG24))*IFERROR($QR$14,0)</f>
        <v>0</v>
      </c>
      <c r="GJ24" s="155">
        <f>_xlfn.MAXIFS(LandEmiss!$D$335:$D$434,LandEmiss!$A$335:$A$434,$FG24)*IFERROR($QR$14,0)</f>
        <v>0</v>
      </c>
      <c r="GK24" s="155">
        <f>(_xlfn.MAXIFS(LandEmiss!$BM$335:$BM$434,LandEmiss!$BJ$335:$BJ$434,$FG24)+_xlfn.MAXIFS(LandEmiss!$DX$323:$DX$422,LandEmiss!$DU$323:$DU$422,$FG24))*IFERROR($QR$14,0)</f>
        <v>0</v>
      </c>
      <c r="GL24" s="313">
        <f>IF(VaporOxidizer!D55="FUEL GAS",SUMIF(VaporOxidizer!$E$101:$E$110,$FG24,VaporOxidizer!$F$101:$F$110),0)*IFERROR($QR$15,0)</f>
        <v>0</v>
      </c>
      <c r="GM24" s="313">
        <f>(_xlfn.MAXIFS(CtrlDevImpacts!$AN$57:$AN$156,CtrlDevImpacts!$AM$57:$AM$156,$FG24))*IFERROR($QR$15,0)</f>
        <v>0</v>
      </c>
      <c r="GN24" s="313">
        <f>(_xlfn.MAXIFS(VaporOxidizer!$F$111:$F$220,VaporOxidizer!$E$111:$E$220,$FG24)-_xlfn.MAXIFS(CtrlDevImpacts!$AN$57:$AN$156,CtrlDevImpacts!$AM$57:$AM$156,$FG24))*IFERROR($QR$15,0)</f>
        <v>0</v>
      </c>
      <c r="GO24" s="155">
        <f>_xlfn.MAXIFS(LandEmiss!$F$335:$F$434,LandEmiss!$A$335:$A$434,$FG24)*IFERROR($QR$15,0)</f>
        <v>0</v>
      </c>
      <c r="GP24" s="155">
        <f>(_xlfn.MAXIFS(LandEmiss!$BK$335:$BK$434,LandEmiss!$BO$335:$BO$434,$FG24)+_xlfn.MAXIFS(LandEmiss!$DZ$323:$DZ$422,LandEmiss!$DU$323:$DU$422,$FG24))*IFERROR($QR$15,0)</f>
        <v>0</v>
      </c>
      <c r="GQ24" s="313">
        <f>_xlfn.MAXIFS(CtrlDevImpacts!$BD$57:$BD$156,CtrlDevImpacts!$BC$57:$BC$156,$FG24)*IFERROR(Hidden!$QR$16,0)</f>
        <v>0</v>
      </c>
      <c r="GR24" s="313">
        <f>(_xlfn.MAXIFS(CAS!$H$35:$H$144,CAS!$E$35:$E$144,$FG24)-_xlfn.MAXIFS(CtrlDevImpacts!$BD$57:$BD$156,CtrlDevImpacts!$BC$57:$BC$156,$FG24))*IFERROR(Hidden!$QR$16,0)</f>
        <v>0</v>
      </c>
      <c r="GS24" s="155">
        <f>_xlfn.MAXIFS(LandEmiss!$H$335:$H$434,LandEmiss!$A$335:$A$434,$FG24)*IFERROR($QR$27,0)</f>
        <v>0</v>
      </c>
      <c r="GT24" s="155">
        <f>(_xlfn.MAXIFS(LandEmiss!$BK$335:$BK$434,LandEmiss!$BQ$335:$BQ$434,$FG24)+_xlfn.MAXIFS(LandEmiss!$EB$323:$EB$422,LandEmiss!$DU$323:$DU$422,$FG24))*IFERROR($QR$27,0)</f>
        <v>0</v>
      </c>
      <c r="GU24" s="155">
        <f>_xlfn.MAXIFS(LandEmiss!$J$335:$J$434,LandEmiss!$A$335:$A$434,$FG24)*IFERROR($QR$26,0)</f>
        <v>0</v>
      </c>
      <c r="GV24" s="155">
        <f>(_xlfn.MAXIFS(LandEmiss!$BK$335:$BK$434,LandEmiss!$BS$335:$BS$434,$FG24)+_xlfn.MAXIFS(LandEmiss!$ED$323:$ED$422,LandEmiss!$DU$323:$DU$422,$FG24))*IFERROR($QR$26,0)</f>
        <v>0</v>
      </c>
      <c r="GW24" s="155">
        <f>_xlfn.MAXIFS(LandEmiss!$L$335:$L$434,LandEmiss!$A$335:$A$434,$FG24)*IFERROR($QR$25,0)</f>
        <v>0</v>
      </c>
      <c r="GX24" s="155">
        <f>(_xlfn.MAXIFS(LandEmiss!$BK$335:$BK$434,LandEmiss!$BU$335:$BU$434,$FG24)+_xlfn.MAXIFS(LandEmiss!$EF$323:$EF$422,LandEmiss!$DU$323:$DU$422,$FG24))*IFERROR($QR$25,0)</f>
        <v>0</v>
      </c>
      <c r="GY24" s="155">
        <v>0</v>
      </c>
      <c r="GZ24" s="155">
        <v>0</v>
      </c>
      <c r="HA24" s="155">
        <f>IF(OR(HeaterBoiler1!$E$26&lt;&gt;"fuel gas",HeaterBoiler1!$E$15&lt;&gt;"heater"),0,SUMIF(HeaterBoiler1!$A$54:$D$63,$FG24,HeaterBoiler1!$I$54:$I$63))*IFERROR($QR$19,0)</f>
        <v>0</v>
      </c>
      <c r="HB24" s="207">
        <f>IF(OR(HeaterBoiler2!$E$26&lt;&gt;"fuel gas",HeaterBoiler2!$E$15&lt;&gt;"heater"),0,SUMIF(HeaterBoiler2!$A$54:$D$63,$FG24,HeaterBoiler2!$I$54:$I$63))*IFERROR($QR$21,0)</f>
        <v>0</v>
      </c>
      <c r="HC24" s="155">
        <f>IF(OR(HeaterBoiler1!$E$26&lt;&gt;"fuel gas",HeaterBoiler1!$E$15&lt;&gt;"boiler"),0,SUMIF(HeaterBoiler1!$A$41:$A$50,$FG24,HeaterBoiler1!$F$41:$F$50))*IFERROR($QR$20,0)</f>
        <v>0</v>
      </c>
      <c r="HD24" s="207">
        <f>IF(OR(HeaterBoiler2!$E$26&lt;&gt;"fuel gas",HeaterBoiler2!$E$15&lt;&gt;"boiler"),0,SUMIF(HeaterBoiler2!$A$41:$A$50,$FG24,HeaterBoiler2!$F$41:$F$50))*IFERROR($QR$22,0)</f>
        <v>0</v>
      </c>
      <c r="HE24" s="155">
        <f>SUMIF(Fug!$A$96:$A$205,$FG24,Fug!$I$96:$I$205)*IFERROR(Hidden!$QR$23,0)</f>
        <v>0</v>
      </c>
      <c r="HF24" s="155">
        <f t="shared" si="24"/>
        <v>0</v>
      </c>
      <c r="HG24" s="156">
        <f t="shared" si="25"/>
        <v>0</v>
      </c>
      <c r="HH24" s="156">
        <f t="shared" si="26"/>
        <v>0</v>
      </c>
      <c r="HI24" s="156">
        <f t="shared" si="27"/>
        <v>0</v>
      </c>
      <c r="HJ24" s="156">
        <f t="shared" si="28"/>
        <v>0</v>
      </c>
      <c r="HK24" s="156">
        <f t="shared" si="29"/>
        <v>0</v>
      </c>
      <c r="HL24" s="156">
        <f t="shared" si="30"/>
        <v>0</v>
      </c>
      <c r="NO24" s="155">
        <f>IF(Tank1!$D$22="No control",(SUMIF(Tank1!$E$32:$E$141,$FG24,Tank1!$H$32:$H$141)*(2000/8760)*IFERROR($QV$3,0)),0)</f>
        <v>0</v>
      </c>
      <c r="NP24" s="156">
        <f>SUMIF(LandEmiss!$AE$20:$AE$119,$FG24,LandEmiss!$AK$20:$AK$119)*(2000/8760)*IFERROR($QV$3,0)</f>
        <v>0</v>
      </c>
      <c r="NQ24" s="156">
        <f>(SUMIF(LandEmiss!$CN$20:$CN$119,$FG24,LandEmiss!$CT$20:$CT$119)+SUMIF(LandEmiss!$EY$9:$EY$108,$FG24,LandEmiss!$FE$9:$FE$108))*IFERROR($QV$3,0)*(2000/8760)</f>
        <v>0</v>
      </c>
      <c r="NR24" s="155">
        <f>IF(Tank2!$D$22="No control",(SUMIF(Tank2!$E$32:$E$141,$FG24,Tank2!$H$32:$H$141)*(2000/8760)*IFERROR($QV$4,0)),0)</f>
        <v>0</v>
      </c>
      <c r="NS24" s="156">
        <f>SUMIF(LandEmiss!$AE$20:$AE$119,$FG24,LandEmiss!$AL$20:$AL$119)*(2000/8760)*IFERROR($QV$4,0)</f>
        <v>0</v>
      </c>
      <c r="NT24" s="156">
        <f>(SUMIF(LandEmiss!$CN$20:$CN$119,$FG24,LandEmiss!$CU$20:$CU$119)+SUMIF(LandEmiss!$EY$9:$EY$108,$FG24,LandEmiss!$FF$9:$FF$108))*IFERROR($QV$4,0)*(2000/8760)</f>
        <v>0</v>
      </c>
      <c r="NU24" s="155">
        <f>IF(Tank3!$D$22="No control",(SUMIF(Tank3!$E$32:$E$141,$FG24,Tank3!$H$32:$H$141)*(2000/8760)*IFERROR($QV$5,0)),0)</f>
        <v>0</v>
      </c>
      <c r="NV24" s="156">
        <f>SUMIF(LandEmiss!$AE$20:$AE$119,$FG24,LandEmiss!$AM$20:$AM$119)*(2000/8760)*IFERROR($QV$5,0)</f>
        <v>0</v>
      </c>
      <c r="NW24" s="156">
        <f>(SUMIF(LandEmiss!$CN$20:$CN$119,$FG24,LandEmiss!$CV$20:$CV$119)+SUMIF(LandEmiss!$EY$9:$EY$108,$FG24,LandEmiss!$FG$9:$FG$108))*IFERROR($QV$5,0)*(2000/8760)</f>
        <v>0</v>
      </c>
      <c r="NX24" s="155">
        <f>IF(Tank4!$D$22="No control",(SUMIF(Tank4!$E$32:$E$141,$FG24,Tank4!$H$32:$H$141)*(2000/8760)*IFERROR($QV$6,0)),0)</f>
        <v>0</v>
      </c>
      <c r="NY24" s="156">
        <f>SUMIF(LandEmiss!$AE$20:$AE$119,$FG24,LandEmiss!$AN$20:$AN$119)*(2000/8760)*IFERROR($QV$6,0)</f>
        <v>0</v>
      </c>
      <c r="NZ24" s="156">
        <f>(SUMIF(LandEmiss!$CN$20:$CN$119,$FG24,LandEmiss!$CW$20:$CW$119)+SUMIF(LandEmiss!$EY$9:$EY$108,$FG24,LandEmiss!$FH$9:$FH$108))*IFERROR($QV$6,0)*(2000/8760)</f>
        <v>0</v>
      </c>
      <c r="OA24" s="155">
        <f>IF(Tank5!$D$22="No control",(SUMIF(Tank5!$E$32:$E$141,$FG24,Tank5!$H$32:$H$141)*(2000/8760)*IFERROR($QV$7,0)),0)</f>
        <v>0</v>
      </c>
      <c r="OB24" s="156">
        <f>SUMIF(LandEmiss!$AE$20:$AE$119,$FG24,LandEmiss!$AO$20:$AO$119)*(2000/8760)*IFERROR($QV$7,0)</f>
        <v>0</v>
      </c>
      <c r="OC24" s="156">
        <f>(SUMIF(LandEmiss!$CN$20:$CN$119,$FG24,LandEmiss!$CX$20:$CX$119)+SUMIF(LandEmiss!$EY$9:$EY$108,$FG24,LandEmiss!$FI$9:$FI$108))*IFERROR($QV$7,0)*(2000/8760)</f>
        <v>0</v>
      </c>
      <c r="OD24" s="155">
        <f>SUMIFS('Load-DrumTote'!$L$27:$L$136,'Load-DrumTote'!$F$27:$F$136,$FG24)*IFERROR($QV$8,0)*(2000/8760)</f>
        <v>0</v>
      </c>
      <c r="OE24" s="155">
        <f>SUMIFS('Load-Truck'!$L$27:$L$136,'Load-Truck'!$F$27:$F$136,$FG24)*IFERROR($QV$9,0)*(2000/8760)</f>
        <v>0</v>
      </c>
      <c r="OF24" s="155">
        <f>SUMIFS('Load-Rail'!$L$27:$L$136,'Load-Rail'!$F$27:$F$136,$FG24)*IFERROR($QV$10,0)*(2000/8760)</f>
        <v>0</v>
      </c>
      <c r="OG24" s="155">
        <f>SUMIFS('Load-MarineBarge'!$L$27:$L$136,'Load-MarineBarge'!$F$27:$F$136,$FG24)*IFERROR($QV$11,0)*(2000/8760)</f>
        <v>0</v>
      </c>
      <c r="OH24" s="155">
        <f>SUMIFS('Load-MarineShip'!$L$27:$L$136,'Load-MarineShip'!$F$27:$F$136,$FG24)*IFERROR($QV$12,0)*(2000/8760)</f>
        <v>0</v>
      </c>
      <c r="OI24" s="155">
        <f>(IF(OR(Flare!$D$24="FUEL GAS",Flare!$D$38="FUEL GAS"),SUMIF(Flare!$E$97:$E$106,$FG24,Flare!$G$97:$G$105),0)+SUMIF(Flare!$E$107:$E$216,$FG24,Flare!$G$107:$G$216))*(2000/8730)*IFERROR($QV$13,0)</f>
        <v>0</v>
      </c>
      <c r="OJ24" s="155">
        <f>SUMIF(LandEmiss!$A$335:$A$434,$FG24,LandEmiss!$C$335:$C$434)*(2000/8760)*IFERROR($QV$13,0)</f>
        <v>0</v>
      </c>
      <c r="OK24" s="155">
        <f>(SUMIF(LandEmiss!$BJ$335:$BJ$434,$FG24,LandEmiss!$BL$335:$BL$434)+SUMIF(LandEmiss!$DU$323:$DU$422,$FG24,LandEmiss!$DW$323:$DW$422))*(2000/8760)*IFERROR($QV$13,0)</f>
        <v>0</v>
      </c>
      <c r="OL24" s="155">
        <f>(IF(OR(VCU!$D$26="FUEL GAS",VCU!$D$42="FUEL GAS"),SUMIF(VCU!$E$120:$E$129,$FG24,VCU!$G$120:$G$129),0)+SUMIF(VCU!$E$130:$E$239,$FG24,VCU!G152:G261))*(2000/8760)*IFERROR($QV$14,0)</f>
        <v>0</v>
      </c>
      <c r="OM24" s="155">
        <f>SUMIF(LandEmiss!$A$335:$A$434,$FG24,LandEmiss!$E$335:$E$434)*(2000/8760)*IFERROR($QV$14,0)</f>
        <v>0</v>
      </c>
      <c r="ON24" s="155">
        <f>(SUMIF(LandEmiss!$BJ$335:$BJ$434,$FG24,LandEmiss!$BN$335:$BN$434)+SUMIF(LandEmiss!$DU$323:$DU$422,$FG24,LandEmiss!$DY$323:$DY$422))*(2000/8760)*IFERROR($QV$14,0)</f>
        <v>0</v>
      </c>
      <c r="OO24" s="155">
        <f>(IF(VaporOxidizer!$D$33="FUEL GAS",SUMIF(VaporOxidizer!$E$101:$E$110,$FG24,VaporOxidizer!$G$101:$G$110),0)+SUMIF(VaporOxidizer!$E$111:$E$220,$FG24,VaporOxidizer!$G$111:$G$220))*(2000/8760)*IFERROR($QV$15,0)</f>
        <v>0</v>
      </c>
      <c r="OP24" s="155">
        <f>SUMIF(LandEmiss!$A$335:$A$434,$FG24,LandEmiss!$G$335:$G$434)*(2000/8760)*IFERROR($QV$15,0)</f>
        <v>0</v>
      </c>
      <c r="OQ24" s="155">
        <f>(SUMIF(LandEmiss!$BJ$335:$BJ$434,$FG24,LandEmiss!$BP$335:$BP$434)+SUMIF(LandEmiss!$DU$323:$DU$422,$FG24,LandEmiss!$EA$323:$EA$422))*(2000/8760)*IFERROR($QV$15,0)</f>
        <v>0</v>
      </c>
      <c r="OR24" s="155">
        <f>SUMIF(CAS!$E$35:$E$144,Hidden!$FG24,CAS!$I$35:$I$144)*IFERROR($QV$16,0)*(2000/8760)</f>
        <v>0</v>
      </c>
      <c r="OS24" s="155">
        <f>SUMIF(LandEmiss!$A$335:$A$434,$FG24,LandEmiss!$I$335:$I$434)*(2000/8760)*IFERROR($QV$27,0)</f>
        <v>0</v>
      </c>
      <c r="OT24" s="155">
        <f>(SUMIF(LandEmiss!$BJ$335:$BJ$434,$FG24,LandEmiss!$BR$335:$BR$434)+SUMIF(LandEmiss!$DU$323:$DU$422,$FG24,LandEmiss!$EC$323:$EC$422))*(2000/8760)*IFERROR($QV$27,0)</f>
        <v>0</v>
      </c>
      <c r="OU24" s="155">
        <f>SUMIF(LandEmiss!$A$335:$A$434,$FG24,LandEmiss!$K$335:$K$434)*(2000/8760)*IFERROR($QV$26,0)</f>
        <v>0</v>
      </c>
      <c r="OV24" s="155">
        <f>(SUMIF(LandEmiss!$BJ$335:$BJ$434,$FG24,LandEmiss!$BT$335:$BT$434)+SUMIF(LandEmiss!$DU$323:$DU$422,$FG24,LandEmiss!$EE$323:$EE$422))*(2000/8760)*IFERROR($QV$26,0)</f>
        <v>0</v>
      </c>
      <c r="OW24" s="155">
        <f>SUMIF(LandEmiss!$A$335:$A$434,$FG24,LandEmiss!$M$335:$M$434)*(2000/8760)*IFERROR($QV$25,0)</f>
        <v>0</v>
      </c>
      <c r="OX24" s="155">
        <f>(SUMIF(LandEmiss!$BJ$335:$BJ$434,$FG24,LandEmiss!$BV$335:$BV$434)+SUMIF(LandEmiss!$DU$323:$DU$422,$FG24,LandEmiss!$EG$323:$EG$422))*(2000/8760)*IFERROR($QV$25,0)</f>
        <v>0</v>
      </c>
      <c r="OY24" s="8">
        <v>0</v>
      </c>
      <c r="OZ24" s="207">
        <v>0</v>
      </c>
      <c r="PA24" s="207">
        <f>IF(OR(HeaterBoiler1!$E$26&lt;&gt;"fuel gas",HeaterBoiler1!$E$15&lt;&gt;"heater"),0,(SUMIF(HeaterBoiler1!$A$54:$D$63,$FG24,HeaterBoiler1!$J$54:$J$63))*(2000/8760))*IFERROR($QV$19,0)</f>
        <v>0</v>
      </c>
      <c r="PB24" s="207">
        <f>IF(OR(HeaterBoiler2!$E$26&lt;&gt;"fuel gas",HeaterBoiler2!$E$15&lt;&gt;"heater"),0,(SUMIF(HeaterBoiler2!$A$54:$D$63,$FG24,HeaterBoiler2!$J$54:$J$63))*(2000/8760))*IFERROR($QV$21,0)</f>
        <v>0</v>
      </c>
      <c r="PC24" s="207">
        <f>IF(OR(HeaterBoiler1!$E$26&lt;&gt;"fuel gas",HeaterBoiler1!$E$15&lt;&gt;"boiler"),0,(SUMIF(HeaterBoiler1!$A$54:$D$63,$FG24,HeaterBoiler1!$J$54:$J$63))*(2000/8760))*IFERROR($QV$20,0)</f>
        <v>0</v>
      </c>
      <c r="PD24" s="207">
        <f>IF(OR(HeaterBoiler2!$E$26&lt;&gt;"fuel gas",HeaterBoiler2!$E$15&lt;&gt;"boiler"),0,(SUMIF(HeaterBoiler2!$A$54:$D$63,$FG24,HeaterBoiler2!$J$54:$J$63))*(2000/8760))*IFERROR($QV$22,0)</f>
        <v>0</v>
      </c>
      <c r="PE24" s="8">
        <f>(SUMIF(Fug!$A$96:$A$205,$FG24,Fug!$J$96:$J$205))*IFERROR($QV$23,0)*(2000/8760)</f>
        <v>0</v>
      </c>
      <c r="PF24" s="8">
        <f t="shared" si="31"/>
        <v>0</v>
      </c>
      <c r="PG24" s="156">
        <f t="shared" si="32"/>
        <v>0</v>
      </c>
      <c r="PJ24" s="52" t="str">
        <f>IF(Fug!$F$16=Hidden!$PP$2,"Flanges [8]","Flanges/Connectors (controlled)")</f>
        <v>Flanges/Connectors (controlled)</v>
      </c>
      <c r="PK24" s="52" t="str">
        <f>IF(Fug!$F$16=Hidden!$PP$2,"Water/Light Oil","All")</f>
        <v>All</v>
      </c>
      <c r="PL24" s="52">
        <v>0</v>
      </c>
      <c r="PM24" s="52">
        <v>0</v>
      </c>
      <c r="PN24" s="52">
        <v>0</v>
      </c>
      <c r="PO24" s="52">
        <v>0</v>
      </c>
      <c r="PP24" s="52">
        <v>6.0000000000000002E-6</v>
      </c>
      <c r="PQ24" s="52">
        <v>0</v>
      </c>
      <c r="PR24" s="52">
        <v>0</v>
      </c>
      <c r="PS24" s="52">
        <v>0</v>
      </c>
      <c r="PT24" s="52" t="s">
        <v>8783</v>
      </c>
      <c r="PU24" s="52" t="s">
        <v>8776</v>
      </c>
      <c r="PV24" s="52">
        <v>0</v>
      </c>
      <c r="PW24" s="52">
        <v>0</v>
      </c>
      <c r="PX24" s="52">
        <v>0</v>
      </c>
      <c r="PY24" s="52">
        <v>0</v>
      </c>
      <c r="PZ24" s="52">
        <v>0</v>
      </c>
      <c r="QA24" s="52">
        <v>0</v>
      </c>
      <c r="QB24" s="52" t="s">
        <v>8813</v>
      </c>
      <c r="QC24" s="52" t="s">
        <v>8778</v>
      </c>
      <c r="QD24" s="52">
        <v>1</v>
      </c>
      <c r="QE24" s="52">
        <v>1</v>
      </c>
      <c r="QF24" s="52">
        <v>1</v>
      </c>
      <c r="QG24" s="52">
        <v>1</v>
      </c>
      <c r="QH24" s="52">
        <v>1</v>
      </c>
      <c r="QI24" s="52">
        <v>1</v>
      </c>
      <c r="QK24" s="95" t="s">
        <v>9129</v>
      </c>
      <c r="QM24" s="16" t="s">
        <v>240</v>
      </c>
      <c r="QN24" s="104" t="e">
        <f t="shared" si="38"/>
        <v>#N/A</v>
      </c>
      <c r="QO24" s="104">
        <f>MSS!D93</f>
        <v>0</v>
      </c>
      <c r="QP24" s="104">
        <f>MSS!D10</f>
        <v>0</v>
      </c>
      <c r="QQ24" s="104" t="str">
        <f>QX21</f>
        <v>FUG</v>
      </c>
      <c r="QR24" s="16" t="e">
        <f t="shared" si="33"/>
        <v>#N/A</v>
      </c>
      <c r="QS24" s="16" t="e">
        <f t="shared" si="34"/>
        <v>#N/A</v>
      </c>
      <c r="QT24" s="16" t="e">
        <f t="shared" si="35"/>
        <v>#N/A</v>
      </c>
      <c r="QU24" s="16" t="e">
        <f t="shared" si="36"/>
        <v>#N/A</v>
      </c>
      <c r="QV24" s="16" t="e">
        <f t="shared" si="37"/>
        <v>#N/A</v>
      </c>
      <c r="QX24" s="89" t="s">
        <v>9332</v>
      </c>
      <c r="QY24">
        <v>53.12</v>
      </c>
      <c r="QZ24">
        <v>53.12</v>
      </c>
      <c r="RA24">
        <v>53.12</v>
      </c>
      <c r="RB24">
        <v>48.71</v>
      </c>
      <c r="RC24">
        <v>32.130000000000003</v>
      </c>
      <c r="RD24">
        <v>23.25</v>
      </c>
      <c r="RE24">
        <v>17.93</v>
      </c>
      <c r="RF24">
        <v>11.01</v>
      </c>
      <c r="RG24" s="90">
        <v>7.84</v>
      </c>
      <c r="RH24" s="89" t="s">
        <v>9332</v>
      </c>
      <c r="RI24">
        <v>52.1</v>
      </c>
      <c r="RJ24">
        <v>52.1</v>
      </c>
      <c r="RK24">
        <v>52.1</v>
      </c>
      <c r="RL24">
        <v>46.56</v>
      </c>
      <c r="RM24">
        <v>30.5</v>
      </c>
      <c r="RN24">
        <v>22.85</v>
      </c>
      <c r="RO24">
        <v>17.87</v>
      </c>
      <c r="RP24">
        <v>10.98</v>
      </c>
      <c r="RQ24" s="90">
        <v>7.69</v>
      </c>
      <c r="RR24" s="89" t="s">
        <v>9332</v>
      </c>
      <c r="RS24">
        <v>32.92</v>
      </c>
      <c r="RT24">
        <v>32.92</v>
      </c>
      <c r="RU24">
        <v>32.92</v>
      </c>
      <c r="RV24">
        <v>32.92</v>
      </c>
      <c r="RW24">
        <v>26.42</v>
      </c>
      <c r="RX24">
        <v>21.18</v>
      </c>
      <c r="RY24">
        <v>16.78</v>
      </c>
      <c r="RZ24">
        <v>10.64</v>
      </c>
      <c r="SA24" s="90">
        <v>7.3</v>
      </c>
      <c r="SB24" s="89" t="s">
        <v>9332</v>
      </c>
      <c r="SC24">
        <v>18.43</v>
      </c>
      <c r="SD24">
        <v>18.43</v>
      </c>
      <c r="SE24">
        <v>18.43</v>
      </c>
      <c r="SF24">
        <v>18.43</v>
      </c>
      <c r="SG24">
        <v>16.989999999999998</v>
      </c>
      <c r="SH24">
        <v>13.03</v>
      </c>
      <c r="SI24">
        <v>10.53</v>
      </c>
      <c r="SJ24">
        <v>7.2</v>
      </c>
      <c r="SK24" s="90">
        <v>4.9800000000000004</v>
      </c>
      <c r="SL24" s="89" t="s">
        <v>9332</v>
      </c>
      <c r="SM24">
        <v>0.97</v>
      </c>
      <c r="SN24">
        <v>0.97</v>
      </c>
      <c r="SO24">
        <v>0.97</v>
      </c>
      <c r="SP24">
        <v>0.97</v>
      </c>
      <c r="SQ24">
        <v>0.97</v>
      </c>
      <c r="SR24">
        <v>0.92</v>
      </c>
      <c r="SS24">
        <v>0.82</v>
      </c>
      <c r="ST24">
        <v>0.6</v>
      </c>
      <c r="SU24" s="90">
        <v>0.47</v>
      </c>
      <c r="TI24" s="256" t="s">
        <v>8707</v>
      </c>
      <c r="TJ24" s="259" t="str">
        <f>IF(Tank2!D18="","",
IF(Tank2!D18="vertical fixed roof",VLOOKUP(Hidden!TJ17,Hidden!TI3:TK5,MATCH(Hidden!TK17,Hidden!TI2:TK2,0),FALSE),
IF(Tank2!D18="horizontal fixed roof",VLOOKUP(Hidden!TJ17,Hidden!TI3:TK5,MATCH(Hidden!TK17,Hidden!TI2:TK2,0),FALSE),
IF(Tank2!D18="internal floating roof",VLOOKUP(Hidden!TJ17,Hidden!TI11:TK13,MATCH(Hidden!TK17,Hidden!TI10:TK10,0),FALSE),
IF(Tank2!D18="external floating roof",VLOOKUP(Hidden!TJ17,Hidden!TI7:TK9,MATCH(Hidden!TK17,Hidden!TI6:TK6,0),FALSE),"")))))</f>
        <v/>
      </c>
      <c r="TL24" t="s">
        <v>10210</v>
      </c>
      <c r="TM24" s="225" t="str">
        <f>IF(Fug!F19="","",Fug!F19)</f>
        <v/>
      </c>
    </row>
    <row r="25" spans="1:533" ht="74.25" customHeight="1" x14ac:dyDescent="0.2">
      <c r="A25" s="8" t="s">
        <v>202</v>
      </c>
      <c r="B25" s="8">
        <v>14</v>
      </c>
      <c r="D25" s="8" t="s">
        <v>222</v>
      </c>
      <c r="E25" s="8" t="b">
        <f>IF($D25='PI-1-MarineLoading'!$D$73,TRUE,FALSE)</f>
        <v>0</v>
      </c>
      <c r="W25">
        <f>IF(OR(X25=0,ISNUMBER(MATCH(X25,$X$1:X24,0))),0,MAX($W$1:W24)+1)</f>
        <v>0</v>
      </c>
      <c r="X25" s="123">
        <f>Products!$E72</f>
        <v>0</v>
      </c>
      <c r="Y25" t="str">
        <f t="shared" si="3"/>
        <v/>
      </c>
      <c r="CA25">
        <f>IF(OR(CB25=0,ISNUMBER(MATCH(CB25,$CB$1:CB24,0))),0,MAX($CA$1:CA24)+1)</f>
        <v>0</v>
      </c>
      <c r="CB25" s="8">
        <f>IF(OR(Tank1!$D$18="EXTERNAL FLOATING ROOF",Tank1!$D$18="INTERNAL FLOATING ROOF"),IF(Tank1!$E55="",0,Tank1!$E55),0)</f>
        <v>0</v>
      </c>
      <c r="CC25" s="8" t="str">
        <f t="shared" si="6"/>
        <v/>
      </c>
      <c r="CD25" s="8"/>
      <c r="CE25" s="8">
        <f>IF(OR(CF25=0,ISNUMBER(MATCH(CF25,$CF$1:CF24,0))),0,MAX($CE$1:CE24)+1)</f>
        <v>0</v>
      </c>
      <c r="CF25" s="8">
        <f>IF(OR(Tank1!$D$18="HORIZONTAL FIXED ROOF",Tank1!$D$18="VERTICAL FIXED ROOF"),IF(Tank1!$E55="",0,Tank1!$E55),0)</f>
        <v>0</v>
      </c>
      <c r="CG25" s="8" t="str">
        <f t="shared" si="7"/>
        <v/>
      </c>
      <c r="CJ25">
        <f>IF(OR(CK25=0,ISNUMBER(MATCH(CK25,$CK$1:CK24,0))),0,MAX($CJ$1:CJ24)+1)</f>
        <v>0</v>
      </c>
      <c r="CK25">
        <f>Tank3!$A$65</f>
        <v>0</v>
      </c>
      <c r="CM25">
        <f>IFERROR(VLOOKUP($CK25,Tank3!$A$32:$D$141,3,FALSE),0)</f>
        <v>0</v>
      </c>
      <c r="CN25">
        <f>IFERROR(VLOOKUP($CK25,Tank3!$A$32:$D$141,4,FALSE),0)</f>
        <v>0</v>
      </c>
      <c r="DM25">
        <f>IF(OR(DN25=0,ISNUMBER(MATCH(DN25,$DN$1:DN24,0))),0,MAX($DM$1:DM24)+1)</f>
        <v>0</v>
      </c>
      <c r="DN25">
        <f>IF(Tank3!$D$22="Flare",IFERROR(VLOOKUP(Products!$A$89,Tank3!$A$32:$B$141,1,FALSE),0),0)</f>
        <v>0</v>
      </c>
      <c r="DO25">
        <f>IF($DN25=0,0,VLOOKUP($DN25,Tank3!$A$32:$H$141,7,FALSE))</f>
        <v>0</v>
      </c>
      <c r="DP25">
        <f>IF($DN25=0,0,VLOOKUP($DN25,Tank3!$A$32:$H$141,8,FALSE))</f>
        <v>0</v>
      </c>
      <c r="DU25">
        <f>IF(OR(DV25=0,ISNUMBER(MATCH(DV25,$DV$1:DV24,0))),0,MAX($DU$1:DU24)+1)</f>
        <v>0</v>
      </c>
      <c r="DV25">
        <f>IF(Tank3!$D$22="VCU",IFERROR(VLOOKUP(Products!$A$89,Tank3!$A$32:$B$141,1,FALSE),0),0)</f>
        <v>0</v>
      </c>
      <c r="DW25">
        <f>IF($DV25=0,0,VLOOKUP($DV25,Tank3!$A$32:$H$141,7,FALSE))</f>
        <v>0</v>
      </c>
      <c r="DX25">
        <f>IF($DV25=0,0,VLOOKUP($DV25,Tank3!$A$32:$H$141,8,FALSE))</f>
        <v>0</v>
      </c>
      <c r="EC25">
        <f>IF(OR(ED25=0,ISNUMBER(MATCH(ED25,$ED$1:ED24,0))),0,MAX($EC$1:EC24)+1)</f>
        <v>0</v>
      </c>
      <c r="ED25">
        <f>IF(Tank3!$D$22="vapor oxidizer",IFERROR(VLOOKUP(Products!$A$89,Tank3!$A$32:$B$141,1,FALSE),0),0)</f>
        <v>0</v>
      </c>
      <c r="EE25">
        <f>IF($ED25=0,0,VLOOKUP($ED25,Tank3!$A$32:$H$141,7,FALSE))</f>
        <v>0</v>
      </c>
      <c r="EF25">
        <f>IF($ED25=0,0,VLOOKUP($ED25,Tank3!$A$32:$H$141,8,FALSE))</f>
        <v>0</v>
      </c>
      <c r="EK25">
        <f>IF(OR(EL25=0,ISNUMBER(MATCH(EL25,$EL$1:EL24,0))),0,MAX($EK$1:EK24)+1)</f>
        <v>0</v>
      </c>
      <c r="EL25">
        <f>IF(Tank3!$D$22="CAS",IFERROR(VLOOKUP(Products!A89,Tank3!$A$32:$B$141,1,FALSE),0),0)</f>
        <v>0</v>
      </c>
      <c r="EM25">
        <f>IF($EL25=0,0,VLOOKUP($EL25,Tank3!$A$32:$H$141,7,FALSE))</f>
        <v>0</v>
      </c>
      <c r="EN25">
        <f>IF($EL25=0,0,VLOOKUP($EL25,Tank3!$A$32:$H$141,8,FALSE))</f>
        <v>0</v>
      </c>
      <c r="EX25">
        <f>MSS!$A58</f>
        <v>0</v>
      </c>
      <c r="EY25">
        <f>MSS!$G58*MSS!F$144</f>
        <v>0</v>
      </c>
      <c r="EZ25">
        <f>MSS!$G58*MSS!G$144</f>
        <v>0</v>
      </c>
      <c r="FB25" s="8" t="s">
        <v>403</v>
      </c>
      <c r="FC25" s="8" t="s">
        <v>404</v>
      </c>
      <c r="FD25" s="8">
        <v>40</v>
      </c>
      <c r="FE25" s="8">
        <v>4</v>
      </c>
      <c r="FG25" s="360" t="str">
        <f t="shared" si="23"/>
        <v/>
      </c>
      <c r="FH25" s="155">
        <f>IF(Tank1!$D$22="NO CONTROL",_xlfn.MAXIFS(Tank1!$G$32:$G$141,Tank1!$E$32:$E$141,$FG25),0)*IFERROR($QR$3,0)</f>
        <v>0</v>
      </c>
      <c r="FI25" s="155">
        <f>_xlfn.MAXIFS(LandEmiss!$AF$20:$AF$119,LandEmiss!$AE$20:$AE$119,$FG25)*IFERROR($QR$3,0)</f>
        <v>0</v>
      </c>
      <c r="FJ25" s="155">
        <f>MAX(_xlfn.MAXIFS(LandEmiss!$CO$20:$CO$119,LandEmiss!$CN$20:$CN$119,$FG25),_xlfn.MAXIFS(LandEmiss!$EZ$9:$EZ$108,LandEmiss!$EY$9:$EY$108,$FG25))*IFERROR($QR$3,0)</f>
        <v>0</v>
      </c>
      <c r="FK25" s="155">
        <f>IF(Tank2!$D$22="NO CONTROL",_xlfn.MAXIFS(Tank2!$G$32:$G$141,Tank2!$E$32:$E$141,$FG25),0)*IFERROR($QR$4,0)</f>
        <v>0</v>
      </c>
      <c r="FL25" s="155">
        <f>_xlfn.MAXIFS(LandEmiss!$AG$20:$AG$119,LandEmiss!$AE$20:$AE$119,$FG25)*IFERROR($QR$4,0)</f>
        <v>0</v>
      </c>
      <c r="FM25" s="155">
        <f>MAX(_xlfn.MAXIFS(LandEmiss!$CP$20:$CP$119,LandEmiss!$CN$20:$CN$119,$FG25),_xlfn.MAXIFS(LandEmiss!$FA$9:$FA$108,LandEmiss!$EY$9:$EY$108,$FG25))*IFERROR($QR$4,0)</f>
        <v>0</v>
      </c>
      <c r="FN25" s="155">
        <f>IF(Tank3!$D$22="NO CONTROL",_xlfn.MAXIFS(Tank3!$G$32:$G$141,Tank3!$E$32:$E$141,$FG25),0)*IFERROR($QR$5,0)</f>
        <v>0</v>
      </c>
      <c r="FO25" s="155">
        <f>_xlfn.MAXIFS(LandEmiss!$AH$20:$AH$119,LandEmiss!$AE$20:$AE$119,$FG25)*IFERROR($QR$5,0)</f>
        <v>0</v>
      </c>
      <c r="FP25" s="155">
        <f>MAX(_xlfn.MAXIFS(LandEmiss!$CQ$20:$CQ$119,LandEmiss!$CN$20:$CN$119,$FG25),_xlfn.MAXIFS(LandEmiss!$FB$9:$FB$108,LandEmiss!$EY$9:$EY$108,$FG25))*IFERROR($QR$5,0)</f>
        <v>0</v>
      </c>
      <c r="FQ25" s="155">
        <f>IF(Tank4!$D$22="NO CONTROL",_xlfn.MAXIFS(Tank4!$G$32:$G$141,Tank4!$E$32:$E$141,$FG25),0)*IFERROR($QR$6,0)</f>
        <v>0</v>
      </c>
      <c r="FR25" s="155">
        <f>_xlfn.MAXIFS(LandEmiss!$AI$20:$AI$119,LandEmiss!$AE$20:$AE$119,$FG25)*IFERROR($QR$6,0)</f>
        <v>0</v>
      </c>
      <c r="FS25" s="155">
        <f>MAX(_xlfn.MAXIFS(LandEmiss!$CR$20:$CR$119,LandEmiss!$CN$20:$CN$119,$FG25),_xlfn.MAXIFS(LandEmiss!$FC$9:$FC$108,LandEmiss!$EY$9:$EY$108,$FG25))*IFERROR($QR$6,0)</f>
        <v>0</v>
      </c>
      <c r="FT25" s="155">
        <f>IF(Tank5!$D$22="NO CONTROL",_xlfn.MAXIFS(Tank5!$G$32:$G$141,Tank5!$E$32:$E$141,$FG25),0)*IFERROR($QR$7,0)</f>
        <v>0</v>
      </c>
      <c r="FU25" s="155">
        <f>_xlfn.MAXIFS(LandEmiss!$AJ$20:$AJ$119,LandEmiss!$AE$20:$AE$119,$FG25)*IFERROR($QR$7,0)</f>
        <v>0</v>
      </c>
      <c r="FV25" s="155">
        <f>MAX(_xlfn.MAXIFS(LandEmiss!$CS$20:$CS$119,LandEmiss!$CN$20:$CN$119,$FG25),_xlfn.MAXIFS(LandEmiss!$FD$9:$FD$108,LandEmiss!$EY$9:$EY$108,$FG25))*IFERROR($QR30,0)</f>
        <v>0</v>
      </c>
      <c r="FW25" s="155">
        <f>_xlfn.MAXIFS('Load-DrumTote'!$K$27:$K$136,'Load-DrumTote'!$F$27:$F$136,$FG25)*IFERROR($QR$8,0)</f>
        <v>0</v>
      </c>
      <c r="FX25" s="155">
        <f>_xlfn.MAXIFS('Load-Truck'!$K$27:$K$136,'Load-Truck'!$F$27:$F$136,$FG25)*IFERROR($QR$9,0)</f>
        <v>0</v>
      </c>
      <c r="FY25" s="155">
        <f>_xlfn.MAXIFS('Load-Rail'!$K$27:$K$136,'Load-Rail'!$F$27:$F$136,$FG25)*IFERROR($QR$10,0)</f>
        <v>0</v>
      </c>
      <c r="FZ25" s="155">
        <f>_xlfn.MAXIFS('Load-MarineBarge'!$K$27:$K$136,'Load-MarineBarge'!$F$27:$F$136,$FG25)*IFERROR($QR$11,0)</f>
        <v>0</v>
      </c>
      <c r="GA25" s="155">
        <f>_xlfn.MAXIFS('Load-MarineShip'!$K$27:$K$136,'Load-MarineShip'!$F$27:$F$136,$FG25)*IFERROR($QR$12,0)</f>
        <v>0</v>
      </c>
      <c r="GB25" s="313">
        <f>IF(OR(Flare!$D$24="fuel gas",Flare!$D$38="fuel gas"),SUMIF(Flare!$E$97:$E$106,$FG25,Flare!$F$97:$F$106),0)*IFERROR($QR$13,0)</f>
        <v>0</v>
      </c>
      <c r="GC25" s="313">
        <f>(_xlfn.MAXIFS(CtrlDevImpacts!$I$57:$I$156,CtrlDevImpacts!$H$57:$H$156,$FG25))*IFERROR($QR$13,0)</f>
        <v>0</v>
      </c>
      <c r="GD25" s="313">
        <f>(_xlfn.MAXIFS(Flare!$F$107:$F$216,Flare!$E$107:$E$216,$FG25)-_xlfn.MAXIFS(CtrlDevImpacts!$I$57:$I$156,CtrlDevImpacts!$H$57:$H$156,$FG25))*IFERROR($QR$13,0)</f>
        <v>0</v>
      </c>
      <c r="GE25" s="155">
        <f>_xlfn.MAXIFS(LandEmiss!$B$335:$B$434,LandEmiss!$A$335:$A$434,$FG25)*IFERROR($QR$13,0)</f>
        <v>0</v>
      </c>
      <c r="GF25" s="155">
        <f>(_xlfn.MAXIFS(LandEmiss!$BK$335:$BK$434,LandEmiss!$BJ$335:$BJ$434,$FG25)+_xlfn.MAXIFS(LandEmiss!$DV$323:$DV$422,LandEmiss!$DU$323:$DU$422,$FG25))*IFERROR($QR$13,0)</f>
        <v>0</v>
      </c>
      <c r="GG25" s="313">
        <f>IF(OR(VCU!$D$26="fuel gas",VCU!$D$42="fuel gas"),SUMIF(VCU!$E$120:$E$129,$FG25,VCU!$F$120:$F$129),0)*IFERROR($QR$14,0)</f>
        <v>0</v>
      </c>
      <c r="GH25" s="313">
        <f>(_xlfn.MAXIFS(CtrlDevImpacts!$X$57:$X$156,CtrlDevImpacts!$W$57:$W$156,$FG25))*IFERROR($QR$14,0)</f>
        <v>0</v>
      </c>
      <c r="GI25" s="313">
        <f>(_xlfn.MAXIFS(VCU!$F$130:$F$239,VCU!$E$130:$E$239,$FG25)-_xlfn.MAXIFS(CtrlDevImpacts!$X$57:$X$156,CtrlDevImpacts!$W$57:$W$156,$FG25))*IFERROR($QR$14,0)</f>
        <v>0</v>
      </c>
      <c r="GJ25" s="155">
        <f>_xlfn.MAXIFS(LandEmiss!$D$335:$D$434,LandEmiss!$A$335:$A$434,$FG25)*IFERROR($QR$14,0)</f>
        <v>0</v>
      </c>
      <c r="GK25" s="155">
        <f>(_xlfn.MAXIFS(LandEmiss!$BM$335:$BM$434,LandEmiss!$BJ$335:$BJ$434,$FG25)+_xlfn.MAXIFS(LandEmiss!$DX$323:$DX$422,LandEmiss!$DU$323:$DU$422,$FG25))*IFERROR($QR$14,0)</f>
        <v>0</v>
      </c>
      <c r="GL25" s="313">
        <f>IF(VaporOxidizer!D56="FUEL GAS",SUMIF(VaporOxidizer!$E$101:$E$110,$FG25,VaporOxidizer!$F$101:$F$110),0)*IFERROR($QR$15,0)</f>
        <v>0</v>
      </c>
      <c r="GM25" s="313">
        <f>(_xlfn.MAXIFS(CtrlDevImpacts!$AN$57:$AN$156,CtrlDevImpacts!$AM$57:$AM$156,$FG25))*IFERROR($QR$15,0)</f>
        <v>0</v>
      </c>
      <c r="GN25" s="313">
        <f>(_xlfn.MAXIFS(VaporOxidizer!$F$111:$F$220,VaporOxidizer!$E$111:$E$220,$FG25)-_xlfn.MAXIFS(CtrlDevImpacts!$AN$57:$AN$156,CtrlDevImpacts!$AM$57:$AM$156,$FG25))*IFERROR($QR$15,0)</f>
        <v>0</v>
      </c>
      <c r="GO25" s="155">
        <f>_xlfn.MAXIFS(LandEmiss!$F$335:$F$434,LandEmiss!$A$335:$A$434,$FG25)*IFERROR($QR$15,0)</f>
        <v>0</v>
      </c>
      <c r="GP25" s="155">
        <f>(_xlfn.MAXIFS(LandEmiss!$BK$335:$BK$434,LandEmiss!$BO$335:$BO$434,$FG25)+_xlfn.MAXIFS(LandEmiss!$DZ$323:$DZ$422,LandEmiss!$DU$323:$DU$422,$FG25))*IFERROR($QR$15,0)</f>
        <v>0</v>
      </c>
      <c r="GQ25" s="313">
        <f>_xlfn.MAXIFS(CtrlDevImpacts!$BD$57:$BD$156,CtrlDevImpacts!$BC$57:$BC$156,$FG25)*IFERROR(Hidden!$QR$16,0)</f>
        <v>0</v>
      </c>
      <c r="GR25" s="313">
        <f>(_xlfn.MAXIFS(CAS!$H$35:$H$144,CAS!$E$35:$E$144,$FG25)-_xlfn.MAXIFS(CtrlDevImpacts!$BD$57:$BD$156,CtrlDevImpacts!$BC$57:$BC$156,$FG25))*IFERROR(Hidden!$QR$16,0)</f>
        <v>0</v>
      </c>
      <c r="GS25" s="155">
        <f>_xlfn.MAXIFS(LandEmiss!$H$335:$H$434,LandEmiss!$A$335:$A$434,$FG25)*IFERROR($QR$27,0)</f>
        <v>0</v>
      </c>
      <c r="GT25" s="155">
        <f>(_xlfn.MAXIFS(LandEmiss!$BK$335:$BK$434,LandEmiss!$BQ$335:$BQ$434,$FG25)+_xlfn.MAXIFS(LandEmiss!$EB$323:$EB$422,LandEmiss!$DU$323:$DU$422,$FG25))*IFERROR($QR$27,0)</f>
        <v>0</v>
      </c>
      <c r="GU25" s="155">
        <f>_xlfn.MAXIFS(LandEmiss!$J$335:$J$434,LandEmiss!$A$335:$A$434,$FG25)*IFERROR($QR$26,0)</f>
        <v>0</v>
      </c>
      <c r="GV25" s="155">
        <f>(_xlfn.MAXIFS(LandEmiss!$BK$335:$BK$434,LandEmiss!$BS$335:$BS$434,$FG25)+_xlfn.MAXIFS(LandEmiss!$ED$323:$ED$422,LandEmiss!$DU$323:$DU$422,$FG25))*IFERROR($QR$26,0)</f>
        <v>0</v>
      </c>
      <c r="GW25" s="155">
        <f>_xlfn.MAXIFS(LandEmiss!$L$335:$L$434,LandEmiss!$A$335:$A$434,$FG25)*IFERROR($QR$25,0)</f>
        <v>0</v>
      </c>
      <c r="GX25" s="155">
        <f>(_xlfn.MAXIFS(LandEmiss!$BK$335:$BK$434,LandEmiss!$BU$335:$BU$434,$FG25)+_xlfn.MAXIFS(LandEmiss!$EF$323:$EF$422,LandEmiss!$DU$323:$DU$422,$FG25))*IFERROR($QR$25,0)</f>
        <v>0</v>
      </c>
      <c r="GY25" s="155">
        <v>0</v>
      </c>
      <c r="GZ25" s="155">
        <v>0</v>
      </c>
      <c r="HA25" s="155">
        <f>IF(OR(HeaterBoiler1!$E$26&lt;&gt;"fuel gas",HeaterBoiler1!$E$15&lt;&gt;"heater"),0,SUMIF(HeaterBoiler1!$A$54:$D$63,$FG25,HeaterBoiler1!$I$54:$I$63))*IFERROR($QR$19,0)</f>
        <v>0</v>
      </c>
      <c r="HB25" s="207">
        <f>IF(OR(HeaterBoiler2!$E$26&lt;&gt;"fuel gas",HeaterBoiler2!$E$15&lt;&gt;"heater"),0,SUMIF(HeaterBoiler2!$A$54:$D$63,$FG25,HeaterBoiler2!$I$54:$I$63))*IFERROR($QR$21,0)</f>
        <v>0</v>
      </c>
      <c r="HC25" s="155">
        <f>IF(OR(HeaterBoiler1!$E$26&lt;&gt;"fuel gas",HeaterBoiler1!$E$15&lt;&gt;"boiler"),0,SUMIF(HeaterBoiler1!$A$41:$A$50,$FG25,HeaterBoiler1!$F$41:$F$50))*IFERROR($QR$20,0)</f>
        <v>0</v>
      </c>
      <c r="HD25" s="207">
        <f>IF(OR(HeaterBoiler2!$E$26&lt;&gt;"fuel gas",HeaterBoiler2!$E$15&lt;&gt;"boiler"),0,SUMIF(HeaterBoiler2!$A$41:$A$50,$FG25,HeaterBoiler2!$F$41:$F$50))*IFERROR($QR$22,0)</f>
        <v>0</v>
      </c>
      <c r="HE25" s="155">
        <f>SUMIF(Fug!$A$96:$A$205,$FG25,Fug!$I$96:$I$205)*IFERROR(Hidden!$QR$23,0)</f>
        <v>0</v>
      </c>
      <c r="HF25" s="155">
        <f t="shared" si="24"/>
        <v>0</v>
      </c>
      <c r="HG25" s="156">
        <f t="shared" si="25"/>
        <v>0</v>
      </c>
      <c r="HH25" s="156">
        <f t="shared" si="26"/>
        <v>0</v>
      </c>
      <c r="HI25" s="156">
        <f t="shared" si="27"/>
        <v>0</v>
      </c>
      <c r="HJ25" s="156">
        <f t="shared" si="28"/>
        <v>0</v>
      </c>
      <c r="HK25" s="156">
        <f t="shared" si="29"/>
        <v>0</v>
      </c>
      <c r="HL25" s="156">
        <f t="shared" si="30"/>
        <v>0</v>
      </c>
      <c r="NO25" s="155">
        <f>IF(Tank1!$D$22="No control",(SUMIF(Tank1!$E$32:$E$141,$FG25,Tank1!$H$32:$H$141)*(2000/8760)*IFERROR($QV$3,0)),0)</f>
        <v>0</v>
      </c>
      <c r="NP25" s="156">
        <f>SUMIF(LandEmiss!$AE$20:$AE$119,$FG25,LandEmiss!$AK$20:$AK$119)*(2000/8760)*IFERROR($QV$3,0)</f>
        <v>0</v>
      </c>
      <c r="NQ25" s="156">
        <f>(SUMIF(LandEmiss!$CN$20:$CN$119,$FG25,LandEmiss!$CT$20:$CT$119)+SUMIF(LandEmiss!$EY$9:$EY$108,$FG25,LandEmiss!$FE$9:$FE$108))*IFERROR($QV$3,0)*(2000/8760)</f>
        <v>0</v>
      </c>
      <c r="NR25" s="155">
        <f>IF(Tank2!$D$22="No control",(SUMIF(Tank2!$E$32:$E$141,$FG25,Tank2!$H$32:$H$141)*(2000/8760)*IFERROR($QV$4,0)),0)</f>
        <v>0</v>
      </c>
      <c r="NS25" s="156">
        <f>SUMIF(LandEmiss!$AE$20:$AE$119,$FG25,LandEmiss!$AL$20:$AL$119)*(2000/8760)*IFERROR($QV$4,0)</f>
        <v>0</v>
      </c>
      <c r="NT25" s="156">
        <f>(SUMIF(LandEmiss!$CN$20:$CN$119,$FG25,LandEmiss!$CU$20:$CU$119)+SUMIF(LandEmiss!$EY$9:$EY$108,$FG25,LandEmiss!$FF$9:$FF$108))*IFERROR($QV$4,0)*(2000/8760)</f>
        <v>0</v>
      </c>
      <c r="NU25" s="155">
        <f>IF(Tank3!$D$22="No control",(SUMIF(Tank3!$E$32:$E$141,$FG25,Tank3!$H$32:$H$141)*(2000/8760)*IFERROR($QV$5,0)),0)</f>
        <v>0</v>
      </c>
      <c r="NV25" s="156">
        <f>SUMIF(LandEmiss!$AE$20:$AE$119,$FG25,LandEmiss!$AM$20:$AM$119)*(2000/8760)*IFERROR($QV$5,0)</f>
        <v>0</v>
      </c>
      <c r="NW25" s="156">
        <f>(SUMIF(LandEmiss!$CN$20:$CN$119,$FG25,LandEmiss!$CV$20:$CV$119)+SUMIF(LandEmiss!$EY$9:$EY$108,$FG25,LandEmiss!$FG$9:$FG$108))*IFERROR($QV$5,0)*(2000/8760)</f>
        <v>0</v>
      </c>
      <c r="NX25" s="155">
        <f>IF(Tank4!$D$22="No control",(SUMIF(Tank4!$E$32:$E$141,$FG25,Tank4!$H$32:$H$141)*(2000/8760)*IFERROR($QV$6,0)),0)</f>
        <v>0</v>
      </c>
      <c r="NY25" s="156">
        <f>SUMIF(LandEmiss!$AE$20:$AE$119,$FG25,LandEmiss!$AN$20:$AN$119)*(2000/8760)*IFERROR($QV$6,0)</f>
        <v>0</v>
      </c>
      <c r="NZ25" s="156">
        <f>(SUMIF(LandEmiss!$CN$20:$CN$119,$FG25,LandEmiss!$CW$20:$CW$119)+SUMIF(LandEmiss!$EY$9:$EY$108,$FG25,LandEmiss!$FH$9:$FH$108))*IFERROR($QV$6,0)*(2000/8760)</f>
        <v>0</v>
      </c>
      <c r="OA25" s="155">
        <f>IF(Tank5!$D$22="No control",(SUMIF(Tank5!$E$32:$E$141,$FG25,Tank5!$H$32:$H$141)*(2000/8760)*IFERROR($QV$7,0)),0)</f>
        <v>0</v>
      </c>
      <c r="OB25" s="156">
        <f>SUMIF(LandEmiss!$AE$20:$AE$119,$FG25,LandEmiss!$AO$20:$AO$119)*(2000/8760)*IFERROR($QV$7,0)</f>
        <v>0</v>
      </c>
      <c r="OC25" s="156">
        <f>(SUMIF(LandEmiss!$CN$20:$CN$119,$FG25,LandEmiss!$CX$20:$CX$119)+SUMIF(LandEmiss!$EY$9:$EY$108,$FG25,LandEmiss!$FI$9:$FI$108))*IFERROR($QV$7,0)*(2000/8760)</f>
        <v>0</v>
      </c>
      <c r="OD25" s="155">
        <f>SUMIFS('Load-DrumTote'!$L$27:$L$136,'Load-DrumTote'!$F$27:$F$136,$FG25)*IFERROR($QV$8,0)*(2000/8760)</f>
        <v>0</v>
      </c>
      <c r="OE25" s="155">
        <f>SUMIFS('Load-Truck'!$L$27:$L$136,'Load-Truck'!$F$27:$F$136,$FG25)*IFERROR($QV$9,0)*(2000/8760)</f>
        <v>0</v>
      </c>
      <c r="OF25" s="155">
        <f>SUMIFS('Load-Rail'!$L$27:$L$136,'Load-Rail'!$F$27:$F$136,$FG25)*IFERROR($QV$10,0)*(2000/8760)</f>
        <v>0</v>
      </c>
      <c r="OG25" s="155">
        <f>SUMIFS('Load-MarineBarge'!$L$27:$L$136,'Load-MarineBarge'!$F$27:$F$136,$FG25)*IFERROR($QV$11,0)*(2000/8760)</f>
        <v>0</v>
      </c>
      <c r="OH25" s="155">
        <f>SUMIFS('Load-MarineShip'!$L$27:$L$136,'Load-MarineShip'!$F$27:$F$136,$FG25)*IFERROR($QV$12,0)*(2000/8760)</f>
        <v>0</v>
      </c>
      <c r="OI25" s="155">
        <f>(IF(OR(Flare!$D$24="FUEL GAS",Flare!$D$38="FUEL GAS"),SUMIF(Flare!$E$97:$E$106,$FG25,Flare!$G$97:$G$105),0)+SUMIF(Flare!$E$107:$E$216,$FG25,Flare!$G$107:$G$216))*(2000/8730)*IFERROR($QV$13,0)</f>
        <v>0</v>
      </c>
      <c r="OJ25" s="155">
        <f>SUMIF(LandEmiss!$A$335:$A$434,$FG25,LandEmiss!$C$335:$C$434)*(2000/8760)*IFERROR($QV$13,0)</f>
        <v>0</v>
      </c>
      <c r="OK25" s="155">
        <f>(SUMIF(LandEmiss!$BJ$335:$BJ$434,$FG25,LandEmiss!$BL$335:$BL$434)+SUMIF(LandEmiss!$DU$323:$DU$422,$FG25,LandEmiss!$DW$323:$DW$422))*(2000/8760)*IFERROR($QV$13,0)</f>
        <v>0</v>
      </c>
      <c r="OL25" s="155">
        <f>(IF(OR(VCU!$D$26="FUEL GAS",VCU!$D$42="FUEL GAS"),SUMIF(VCU!$E$120:$E$129,$FG25,VCU!$G$120:$G$129),0)+SUMIF(VCU!$E$130:$E$239,$FG25,VCU!G153:G262))*(2000/8760)*IFERROR($QV$14,0)</f>
        <v>0</v>
      </c>
      <c r="OM25" s="155">
        <f>SUMIF(LandEmiss!$A$335:$A$434,$FG25,LandEmiss!$E$335:$E$434)*(2000/8760)*IFERROR($QV$14,0)</f>
        <v>0</v>
      </c>
      <c r="ON25" s="155">
        <f>(SUMIF(LandEmiss!$BJ$335:$BJ$434,$FG25,LandEmiss!$BN$335:$BN$434)+SUMIF(LandEmiss!$DU$323:$DU$422,$FG25,LandEmiss!$DY$323:$DY$422))*(2000/8760)*IFERROR($QV$14,0)</f>
        <v>0</v>
      </c>
      <c r="OO25" s="155">
        <f>(IF(VaporOxidizer!$D$33="FUEL GAS",SUMIF(VaporOxidizer!$E$101:$E$110,$FG25,VaporOxidizer!$G$101:$G$110),0)+SUMIF(VaporOxidizer!$E$111:$E$220,$FG25,VaporOxidizer!$G$111:$G$220))*(2000/8760)*IFERROR($QV$15,0)</f>
        <v>0</v>
      </c>
      <c r="OP25" s="155">
        <f>SUMIF(LandEmiss!$A$335:$A$434,$FG25,LandEmiss!$G$335:$G$434)*(2000/8760)*IFERROR($QV$15,0)</f>
        <v>0</v>
      </c>
      <c r="OQ25" s="155">
        <f>(SUMIF(LandEmiss!$BJ$335:$BJ$434,$FG25,LandEmiss!$BP$335:$BP$434)+SUMIF(LandEmiss!$DU$323:$DU$422,$FG25,LandEmiss!$EA$323:$EA$422))*(2000/8760)*IFERROR($QV$15,0)</f>
        <v>0</v>
      </c>
      <c r="OR25" s="155">
        <f>SUMIF(CAS!$E$35:$E$144,Hidden!$FG25,CAS!$I$35:$I$144)*IFERROR($QV$16,0)*(2000/8760)</f>
        <v>0</v>
      </c>
      <c r="OS25" s="155">
        <f>SUMIF(LandEmiss!$A$335:$A$434,$FG25,LandEmiss!$I$335:$I$434)*(2000/8760)*IFERROR($QV$27,0)</f>
        <v>0</v>
      </c>
      <c r="OT25" s="155">
        <f>(SUMIF(LandEmiss!$BJ$335:$BJ$434,$FG25,LandEmiss!$BR$335:$BR$434)+SUMIF(LandEmiss!$DU$323:$DU$422,$FG25,LandEmiss!$EC$323:$EC$422))*(2000/8760)*IFERROR($QV$27,0)</f>
        <v>0</v>
      </c>
      <c r="OU25" s="155">
        <f>SUMIF(LandEmiss!$A$335:$A$434,$FG25,LandEmiss!$K$335:$K$434)*(2000/8760)*IFERROR($QV$26,0)</f>
        <v>0</v>
      </c>
      <c r="OV25" s="155">
        <f>(SUMIF(LandEmiss!$BJ$335:$BJ$434,$FG25,LandEmiss!$BT$335:$BT$434)+SUMIF(LandEmiss!$DU$323:$DU$422,$FG25,LandEmiss!$EE$323:$EE$422))*(2000/8760)*IFERROR($QV$26,0)</f>
        <v>0</v>
      </c>
      <c r="OW25" s="155">
        <f>SUMIF(LandEmiss!$A$335:$A$434,$FG25,LandEmiss!$M$335:$M$434)*(2000/8760)*IFERROR($QV$25,0)</f>
        <v>0</v>
      </c>
      <c r="OX25" s="155">
        <f>(SUMIF(LandEmiss!$BJ$335:$BJ$434,$FG25,LandEmiss!$BV$335:$BV$434)+SUMIF(LandEmiss!$DU$323:$DU$422,$FG25,LandEmiss!$EG$323:$EG$422))*(2000/8760)*IFERROR($QV$25,0)</f>
        <v>0</v>
      </c>
      <c r="OY25" s="8">
        <v>0</v>
      </c>
      <c r="OZ25" s="207">
        <v>0</v>
      </c>
      <c r="PA25" s="207">
        <f>IF(OR(HeaterBoiler1!$E$26&lt;&gt;"fuel gas",HeaterBoiler1!$E$15&lt;&gt;"heater"),0,(SUMIF(HeaterBoiler1!$A$54:$D$63,$FG25,HeaterBoiler1!$J$54:$J$63))*(2000/8760))*IFERROR($QV$19,0)</f>
        <v>0</v>
      </c>
      <c r="PB25" s="207">
        <f>IF(OR(HeaterBoiler2!$E$26&lt;&gt;"fuel gas",HeaterBoiler2!$E$15&lt;&gt;"heater"),0,(SUMIF(HeaterBoiler2!$A$54:$D$63,$FG25,HeaterBoiler2!$J$54:$J$63))*(2000/8760))*IFERROR($QV$21,0)</f>
        <v>0</v>
      </c>
      <c r="PC25" s="207">
        <f>IF(OR(HeaterBoiler1!$E$26&lt;&gt;"fuel gas",HeaterBoiler1!$E$15&lt;&gt;"boiler"),0,(SUMIF(HeaterBoiler1!$A$54:$D$63,$FG25,HeaterBoiler1!$J$54:$J$63))*(2000/8760))*IFERROR($QV$20,0)</f>
        <v>0</v>
      </c>
      <c r="PD25" s="207">
        <f>IF(OR(HeaterBoiler2!$E$26&lt;&gt;"fuel gas",HeaterBoiler2!$E$15&lt;&gt;"boiler"),0,(SUMIF(HeaterBoiler2!$A$54:$D$63,$FG25,HeaterBoiler2!$J$54:$J$63))*(2000/8760))*IFERROR($QV$22,0)</f>
        <v>0</v>
      </c>
      <c r="PE25" s="8">
        <f>(SUMIF(Fug!$A$96:$A$205,$FG25,Fug!$J$96:$J$205))*IFERROR($QV$23,0)*(2000/8760)</f>
        <v>0</v>
      </c>
      <c r="PF25" s="8">
        <f t="shared" si="31"/>
        <v>0</v>
      </c>
      <c r="PG25" s="156">
        <f t="shared" si="32"/>
        <v>0</v>
      </c>
      <c r="PJ25" s="52" t="str">
        <f>IF(Fug!$F$16=Hidden!$PP$2,"Flanges (controlled)","Compressors")</f>
        <v>Compressors</v>
      </c>
      <c r="PK25" s="52" t="str">
        <f>IF(Fug!$F$16=Hidden!$PP$2,"All","Gas/Vapor")</f>
        <v>Gas/Vapor</v>
      </c>
      <c r="PL25" s="52">
        <v>0.50270000000000004</v>
      </c>
      <c r="PM25" s="52">
        <v>0.50270000000000004</v>
      </c>
      <c r="PN25" s="52">
        <v>0.50270000000000004</v>
      </c>
      <c r="PO25" s="52">
        <v>0.1971</v>
      </c>
      <c r="PP25" s="52">
        <v>0</v>
      </c>
      <c r="PQ25" s="52">
        <v>7.67E-4</v>
      </c>
      <c r="PR25" s="52"/>
      <c r="PS25" s="52">
        <v>3.9999999999999998E-6</v>
      </c>
      <c r="PT25" s="52" t="s">
        <v>8787</v>
      </c>
      <c r="PU25" s="52" t="s">
        <v>8778</v>
      </c>
      <c r="PV25" s="52">
        <v>1</v>
      </c>
      <c r="PW25" s="52">
        <v>1</v>
      </c>
      <c r="PX25" s="52">
        <v>1</v>
      </c>
      <c r="PY25" s="52">
        <v>1</v>
      </c>
      <c r="PZ25" s="52">
        <v>1</v>
      </c>
      <c r="QA25" s="52">
        <v>1</v>
      </c>
      <c r="QB25" s="52" t="s">
        <v>8788</v>
      </c>
      <c r="QC25" s="52" t="s">
        <v>8801</v>
      </c>
      <c r="QD25" s="52">
        <v>0</v>
      </c>
      <c r="QE25" s="52">
        <v>0.85</v>
      </c>
      <c r="QF25" s="52">
        <v>0.95</v>
      </c>
      <c r="QG25" s="52">
        <v>0.95</v>
      </c>
      <c r="QH25" s="52">
        <v>0</v>
      </c>
      <c r="QI25" s="52">
        <v>0.95</v>
      </c>
      <c r="QK25" s="95" t="s">
        <v>9130</v>
      </c>
      <c r="QM25" s="16" t="s">
        <v>9357</v>
      </c>
      <c r="QN25" s="104" t="e">
        <f t="shared" si="38"/>
        <v>#N/A</v>
      </c>
      <c r="QO25" s="104">
        <f>MSS!D123</f>
        <v>0</v>
      </c>
      <c r="QP25" s="104">
        <f>MSS!D122</f>
        <v>0</v>
      </c>
      <c r="QQ25" s="16" t="str">
        <f>IF(QO25&lt;20,QX24,QX25)</f>
        <v>PORTCD12</v>
      </c>
      <c r="QR25" s="16" t="e">
        <f>IF(QN25=10,VLOOKUP(QQ25,$QX$2:$RG$31,MATCH(QP25,$QX$2:$RG$2,1),FALSE),IF(QN25=12,VLOOKUP(QQ25,$QX$33:$RG$62,MATCH(QP25,$QX$33:$RG$33,1),FALSE),IF(QN25=14,VLOOKUP(QQ25,$QX$64:$RG$94,MATCH(QP25,$QX$64:$RG$64,1),FALSE),IF(QN25=15,VLOOKUP(QQ25,$QX$96:$RG$125,MATCH(QP25,$QX$96:$RG$96,1),FALSE)))))</f>
        <v>#N/A</v>
      </c>
      <c r="QS25" s="16" t="e">
        <f>IF(QN25=10,VLOOKUP(QQ25,$RH$2:$RQ$31,MATCH(QP25,$RH$2:$RQ$2,1),FALSE),IF(QN25=12,VLOOKUP(QQ25,$RH$33:$RQ$62,MATCH(QP25,$RH$33:$RQ$33,1),FALSE),IF(QN25=14,VLOOKUP(QQ25,$RH$64:$RQ$94,MATCH(QP25,$RH$64:$RQ$64,1),FALSE),IF(QN25=15,VLOOKUP(QQ25,$RH$96:$RQ$125,MATCH(QP25,$RH$96:$RQ$96,1),FALSE)))))</f>
        <v>#N/A</v>
      </c>
      <c r="QT25" s="16" t="e">
        <f>IF(QN25=10,VLOOKUP(QQ25,$RR$2:$SA$31,MATCH(QP25,$RR$2:$SA$2,1),FALSE),IF(QN25=12,VLOOKUP(QQ25,$RR$33:$SA$62,MATCH(QP25,$RR$33:$SA$33,1),FALSE),IF(QN25=14,VLOOKUP(QQ25,$RR$64:$SA$94,MATCH(QP25,$RR$64:$SA$64,1),FALSE),IF(QN25=15,VLOOKUP(QQ25,$RR$96:$SA$125,MATCH(QP25,$RR$96:$SA$96,1),FALSE)))))</f>
        <v>#N/A</v>
      </c>
      <c r="QU25" s="16" t="e">
        <f>IF(QN25=10,VLOOKUP(QQ25,$SB$2:$SK$31,MATCH(QP25,$SB$2:$SK$2,1),FALSE),IF(QN25=12,VLOOKUP(QQ25,$SB$33:$SK$62,MATCH(QP25,$SB$33:$SK$33,1),FALSE),IF(QN25=14,VLOOKUP(QQ25,$SB$64:$SK$94,MATCH(QP25,$SB$64:$SK$64,1),FALSE),IF(QN25=15,VLOOKUP(QQ25,$SB$96:$SK$125,MATCH(QP25,$SB$96:$SK$96,1),FALSE)))))</f>
        <v>#N/A</v>
      </c>
      <c r="QV25" s="16" t="e">
        <f>IF(QN25=10,VLOOKUP(QQ25,$SL$2:$SU$31,MATCH(QP25,$SL$2:$SU$2,1),FALSE),IF(QN25=12,VLOOKUP(QQ25,$SL$33:$SU$62,MATCH(QP25,$SL$33:$SU$33,1),FALSE),IF(QN25=14,VLOOKUP(QQ25,$SL$64:$SU$94,MATCH(QP25,$SL$64:$SU$64,1),FALSE),IF(QN25=15,VLOOKUP(QQ25,$SL$96:$SU$125,MATCH(QP25,$SL$96:$SU$96,1),FALSE)))))</f>
        <v>#N/A</v>
      </c>
      <c r="QX25" s="89" t="s">
        <v>9333</v>
      </c>
      <c r="QY25">
        <v>21.25</v>
      </c>
      <c r="QZ25">
        <v>21.25</v>
      </c>
      <c r="RA25">
        <v>21.25</v>
      </c>
      <c r="RB25">
        <v>21.25</v>
      </c>
      <c r="RC25">
        <v>19.940000000000001</v>
      </c>
      <c r="RD25">
        <v>16.53</v>
      </c>
      <c r="RE25">
        <v>13.76</v>
      </c>
      <c r="RF25">
        <v>9.15</v>
      </c>
      <c r="RG25" s="90">
        <v>6.67</v>
      </c>
      <c r="RH25" s="89" t="s">
        <v>9333</v>
      </c>
      <c r="RI25">
        <v>19.79</v>
      </c>
      <c r="RJ25">
        <v>19.79</v>
      </c>
      <c r="RK25">
        <v>19.79</v>
      </c>
      <c r="RL25">
        <v>19.79</v>
      </c>
      <c r="RM25">
        <v>18.989999999999998</v>
      </c>
      <c r="RN25">
        <v>15.64</v>
      </c>
      <c r="RO25">
        <v>13.51</v>
      </c>
      <c r="RP25">
        <v>9.07</v>
      </c>
      <c r="RQ25" s="90">
        <v>6.59</v>
      </c>
      <c r="RR25" s="89" t="s">
        <v>9333</v>
      </c>
      <c r="RS25">
        <v>14.75</v>
      </c>
      <c r="RT25">
        <v>14.75</v>
      </c>
      <c r="RU25">
        <v>14.75</v>
      </c>
      <c r="RV25">
        <v>14.75</v>
      </c>
      <c r="RW25">
        <v>14.75</v>
      </c>
      <c r="RX25">
        <v>13.64</v>
      </c>
      <c r="RY25">
        <v>12.7</v>
      </c>
      <c r="RZ25">
        <v>8.65</v>
      </c>
      <c r="SA25" s="90">
        <v>6.42</v>
      </c>
      <c r="SB25" s="89" t="s">
        <v>9333</v>
      </c>
      <c r="SC25">
        <v>9.15</v>
      </c>
      <c r="SD25">
        <v>9.15</v>
      </c>
      <c r="SE25">
        <v>9.15</v>
      </c>
      <c r="SF25">
        <v>9.15</v>
      </c>
      <c r="SG25">
        <v>9.15</v>
      </c>
      <c r="SH25">
        <v>9.15</v>
      </c>
      <c r="SI25">
        <v>7.7</v>
      </c>
      <c r="SJ25">
        <v>5.84</v>
      </c>
      <c r="SK25" s="90">
        <v>4.37</v>
      </c>
      <c r="SL25" s="89" t="s">
        <v>9333</v>
      </c>
      <c r="SM25">
        <v>0.63</v>
      </c>
      <c r="SN25">
        <v>0.63</v>
      </c>
      <c r="SO25">
        <v>0.63</v>
      </c>
      <c r="SP25">
        <v>0.63</v>
      </c>
      <c r="SQ25">
        <v>0.63</v>
      </c>
      <c r="SR25">
        <v>0.63</v>
      </c>
      <c r="SS25">
        <v>0.62</v>
      </c>
      <c r="ST25">
        <v>0.5</v>
      </c>
      <c r="SU25" s="90">
        <v>0.41</v>
      </c>
      <c r="TI25" s="256" t="s">
        <v>8708</v>
      </c>
      <c r="TJ25" s="259" t="str">
        <f>IF(Tank3!D18="","",
IF(Tank3!D18="vertical fixed roof",VLOOKUP(Hidden!TJ18,Hidden!TI3:TK5,MATCH(Hidden!TK18,Hidden!TI2:TK2,0),FALSE),
IF(Tank3!D18="horizontal fixed roof",VLOOKUP(Hidden!TJ18,Hidden!TI3:TK5,MATCH(Hidden!TK18,Hidden!TI2:TK2,0),FALSE),
IF(Tank3!D18="internal floating roof",VLOOKUP(Hidden!TJ18,Hidden!TI11:TK13,MATCH(Hidden!TK18,Hidden!TI10:TK10,0),FALSE),
IF(Tank3!D18="external floating roof",VLOOKUP(Hidden!TJ18,Hidden!TI7:TK9,MATCH(Hidden!TK18,Hidden!TI6:TK6,0),FALSE),"")))))</f>
        <v/>
      </c>
      <c r="TL25" t="s">
        <v>10211</v>
      </c>
      <c r="TM25" s="225" t="str">
        <f>" For emissions of approved odorous compounds ("&amp;Hidden!EU2&amp;IF(Hidden!EU3=0,"",", "&amp;Hidden!EU3)&amp;IF(Hidden!EU4=0,"",", "&amp;Hidden!EU4)&amp;IF(Hidden!EU5=0,"",", "&amp;Hidden!EU5)&amp;IF(Hidden!EU6=0,"",", "&amp;Hidden!EU6)&amp;IF(Hidden!EU7=0,"",Hidden!EU7)&amp;"): AVO inspection twice per shift"</f>
        <v xml:space="preserve"> For emissions of approved odorous compounds (0): AVO inspection twice per shift</v>
      </c>
    </row>
    <row r="26" spans="1:533" ht="74.25" customHeight="1" x14ac:dyDescent="0.2">
      <c r="A26" s="8" t="s">
        <v>203</v>
      </c>
      <c r="B26" s="8">
        <v>15</v>
      </c>
      <c r="D26" s="8" t="s">
        <v>223</v>
      </c>
      <c r="E26" s="8" t="b">
        <f>IF($D26='PI-1-MarineLoading'!$D$73,TRUE,FALSE)</f>
        <v>0</v>
      </c>
      <c r="W26">
        <f>IF(OR(X26=0,ISNUMBER(MATCH(X26,$X$1:X25,0))),0,MAX($W$1:W25)+1)</f>
        <v>0</v>
      </c>
      <c r="X26" s="123">
        <f>Products!$E73</f>
        <v>0</v>
      </c>
      <c r="Y26" t="str">
        <f t="shared" si="3"/>
        <v/>
      </c>
      <c r="CA26">
        <f>IF(OR(CB26=0,ISNUMBER(MATCH(CB26,$CB$1:CB25,0))),0,MAX($CA$1:CA25)+1)</f>
        <v>0</v>
      </c>
      <c r="CB26" s="8">
        <f>IF(OR(Tank1!$D$18="EXTERNAL FLOATING ROOF",Tank1!$D$18="INTERNAL FLOATING ROOF"),IF(Tank1!$E56="",0,Tank1!$E56),0)</f>
        <v>0</v>
      </c>
      <c r="CC26" s="8" t="str">
        <f t="shared" si="6"/>
        <v/>
      </c>
      <c r="CD26" s="8"/>
      <c r="CE26" s="8">
        <f>IF(OR(CF26=0,ISNUMBER(MATCH(CF26,$CF$1:CF25,0))),0,MAX($CE$1:CE25)+1)</f>
        <v>0</v>
      </c>
      <c r="CF26" s="8">
        <f>IF(OR(Tank1!$D$18="HORIZONTAL FIXED ROOF",Tank1!$D$18="VERTICAL FIXED ROOF"),IF(Tank1!$E56="",0,Tank1!$E56),0)</f>
        <v>0</v>
      </c>
      <c r="CG26" s="8" t="str">
        <f t="shared" si="7"/>
        <v/>
      </c>
      <c r="CJ26">
        <f>IF(OR(CK26=0,ISNUMBER(MATCH(CK26,$CK$1:CK25,0))),0,MAX($CJ$1:CJ25)+1)</f>
        <v>0</v>
      </c>
      <c r="CK26">
        <f>Tank3!$A$76</f>
        <v>0</v>
      </c>
      <c r="CM26">
        <f>IFERROR(VLOOKUP($CK26,Tank3!$A$32:$D$141,3,FALSE),0)</f>
        <v>0</v>
      </c>
      <c r="CN26">
        <f>IFERROR(VLOOKUP($CK26,Tank3!$A$32:$D$141,4,FALSE),0)</f>
        <v>0</v>
      </c>
      <c r="DM26">
        <f>IF(OR(DN26=0,ISNUMBER(MATCH(DN26,$DN$1:DN25,0))),0,MAX($DM$1:DM25)+1)</f>
        <v>0</v>
      </c>
      <c r="DN26">
        <f>IF(Tank3!$D$22="Flare",IFERROR(VLOOKUP(Products!$A$99,Tank3!$A$32:$B$141,1,FALSE),0),0)</f>
        <v>0</v>
      </c>
      <c r="DO26">
        <f>IF($DN26=0,0,VLOOKUP($DN26,Tank3!$A$32:$H$141,7,FALSE))</f>
        <v>0</v>
      </c>
      <c r="DP26">
        <f>IF($DN26=0,0,VLOOKUP($DN26,Tank3!$A$32:$H$141,8,FALSE))</f>
        <v>0</v>
      </c>
      <c r="DU26">
        <f>IF(OR(DV26=0,ISNUMBER(MATCH(DV26,$DV$1:DV25,0))),0,MAX($DU$1:DU25)+1)</f>
        <v>0</v>
      </c>
      <c r="DV26">
        <f>IF(Tank3!$D$22="VCU",IFERROR(VLOOKUP(Products!$A$99,Tank3!$A$32:$B$141,1,FALSE),0),0)</f>
        <v>0</v>
      </c>
      <c r="DW26">
        <f>IF($DV26=0,0,VLOOKUP($DV26,Tank3!$A$32:$H$141,7,FALSE))</f>
        <v>0</v>
      </c>
      <c r="DX26">
        <f>IF($DV26=0,0,VLOOKUP($DV26,Tank3!$A$32:$H$141,8,FALSE))</f>
        <v>0</v>
      </c>
      <c r="EC26">
        <f>IF(OR(ED26=0,ISNUMBER(MATCH(ED26,$ED$1:ED25,0))),0,MAX($EC$1:EC25)+1)</f>
        <v>0</v>
      </c>
      <c r="ED26">
        <f>IF(Tank3!$D$22="vapor oxidizer",IFERROR(VLOOKUP(Products!$A$99,Tank3!$A$32:$B$141,1,FALSE),0),0)</f>
        <v>0</v>
      </c>
      <c r="EE26">
        <f>IF($ED26=0,0,VLOOKUP($ED26,Tank3!$A$32:$H$141,7,FALSE))</f>
        <v>0</v>
      </c>
      <c r="EF26">
        <f>IF($ED26=0,0,VLOOKUP($ED26,Tank3!$A$32:$H$141,8,FALSE))</f>
        <v>0</v>
      </c>
      <c r="EK26">
        <f>IF(OR(EL26=0,ISNUMBER(MATCH(EL26,$EL$1:EL25,0))),0,MAX($EK$1:EK25)+1)</f>
        <v>0</v>
      </c>
      <c r="EL26">
        <f>IF(Tank3!$D$22="CAS",IFERROR(VLOOKUP(Products!A99,Tank3!$A$32:$B$141,1,FALSE),0),0)</f>
        <v>0</v>
      </c>
      <c r="EM26">
        <f>IF($EL26=0,0,VLOOKUP($EL26,Tank3!$A$32:$H$141,7,FALSE))</f>
        <v>0</v>
      </c>
      <c r="EN26">
        <f>IF($EL26=0,0,VLOOKUP($EL26,Tank3!$A$32:$H$141,8,FALSE))</f>
        <v>0</v>
      </c>
      <c r="EX26">
        <f>MSS!$A59</f>
        <v>0</v>
      </c>
      <c r="EY26">
        <f>MSS!$G59*MSS!F$144</f>
        <v>0</v>
      </c>
      <c r="EZ26">
        <f>MSS!$G59*MSS!G$144</f>
        <v>0</v>
      </c>
      <c r="FB26" s="8" t="s">
        <v>405</v>
      </c>
      <c r="FC26" s="8" t="s">
        <v>406</v>
      </c>
      <c r="FD26" s="8">
        <v>110</v>
      </c>
      <c r="FE26" s="8">
        <v>11</v>
      </c>
      <c r="FG26" s="360" t="str">
        <f t="shared" si="23"/>
        <v/>
      </c>
      <c r="FH26" s="155">
        <f>IF(Tank1!$D$22="NO CONTROL",_xlfn.MAXIFS(Tank1!$G$32:$G$141,Tank1!$E$32:$E$141,$FG26),0)*IFERROR($QR$3,0)</f>
        <v>0</v>
      </c>
      <c r="FI26" s="155">
        <f>_xlfn.MAXIFS(LandEmiss!$AF$20:$AF$119,LandEmiss!$AE$20:$AE$119,$FG26)*IFERROR($QR$3,0)</f>
        <v>0</v>
      </c>
      <c r="FJ26" s="155">
        <f>MAX(_xlfn.MAXIFS(LandEmiss!$CO$20:$CO$119,LandEmiss!$CN$20:$CN$119,$FG26),_xlfn.MAXIFS(LandEmiss!$EZ$9:$EZ$108,LandEmiss!$EY$9:$EY$108,$FG26))*IFERROR($QR$3,0)</f>
        <v>0</v>
      </c>
      <c r="FK26" s="155">
        <f>IF(Tank2!$D$22="NO CONTROL",_xlfn.MAXIFS(Tank2!$G$32:$G$141,Tank2!$E$32:$E$141,$FG26),0)*IFERROR($QR$4,0)</f>
        <v>0</v>
      </c>
      <c r="FL26" s="155">
        <f>_xlfn.MAXIFS(LandEmiss!$AG$20:$AG$119,LandEmiss!$AE$20:$AE$119,$FG26)*IFERROR($QR$4,0)</f>
        <v>0</v>
      </c>
      <c r="FM26" s="155">
        <f>MAX(_xlfn.MAXIFS(LandEmiss!$CP$20:$CP$119,LandEmiss!$CN$20:$CN$119,$FG26),_xlfn.MAXIFS(LandEmiss!$FA$9:$FA$108,LandEmiss!$EY$9:$EY$108,$FG26))*IFERROR($QR$4,0)</f>
        <v>0</v>
      </c>
      <c r="FN26" s="155">
        <f>IF(Tank3!$D$22="NO CONTROL",_xlfn.MAXIFS(Tank3!$G$32:$G$141,Tank3!$E$32:$E$141,$FG26),0)*IFERROR($QR$5,0)</f>
        <v>0</v>
      </c>
      <c r="FO26" s="155">
        <f>_xlfn.MAXIFS(LandEmiss!$AH$20:$AH$119,LandEmiss!$AE$20:$AE$119,$FG26)*IFERROR($QR$5,0)</f>
        <v>0</v>
      </c>
      <c r="FP26" s="155">
        <f>MAX(_xlfn.MAXIFS(LandEmiss!$CQ$20:$CQ$119,LandEmiss!$CN$20:$CN$119,$FG26),_xlfn.MAXIFS(LandEmiss!$FB$9:$FB$108,LandEmiss!$EY$9:$EY$108,$FG26))*IFERROR($QR$5,0)</f>
        <v>0</v>
      </c>
      <c r="FQ26" s="155">
        <f>IF(Tank4!$D$22="NO CONTROL",_xlfn.MAXIFS(Tank4!$G$32:$G$141,Tank4!$E$32:$E$141,$FG26),0)*IFERROR($QR$6,0)</f>
        <v>0</v>
      </c>
      <c r="FR26" s="155">
        <f>_xlfn.MAXIFS(LandEmiss!$AI$20:$AI$119,LandEmiss!$AE$20:$AE$119,$FG26)*IFERROR($QR$6,0)</f>
        <v>0</v>
      </c>
      <c r="FS26" s="155">
        <f>MAX(_xlfn.MAXIFS(LandEmiss!$CR$20:$CR$119,LandEmiss!$CN$20:$CN$119,$FG26),_xlfn.MAXIFS(LandEmiss!$FC$9:$FC$108,LandEmiss!$EY$9:$EY$108,$FG26))*IFERROR($QR$6,0)</f>
        <v>0</v>
      </c>
      <c r="FT26" s="155">
        <f>IF(Tank5!$D$22="NO CONTROL",_xlfn.MAXIFS(Tank5!$G$32:$G$141,Tank5!$E$32:$E$141,$FG26),0)*IFERROR($QR$7,0)</f>
        <v>0</v>
      </c>
      <c r="FU26" s="155">
        <f>_xlfn.MAXIFS(LandEmiss!$AJ$20:$AJ$119,LandEmiss!$AE$20:$AE$119,$FG26)*IFERROR($QR$7,0)</f>
        <v>0</v>
      </c>
      <c r="FV26" s="155">
        <f>MAX(_xlfn.MAXIFS(LandEmiss!$CS$20:$CS$119,LandEmiss!$CN$20:$CN$119,$FG26),_xlfn.MAXIFS(LandEmiss!$FD$9:$FD$108,LandEmiss!$EY$9:$EY$108,$FG26))*IFERROR($QR31,0)</f>
        <v>0</v>
      </c>
      <c r="FW26" s="155">
        <f>_xlfn.MAXIFS('Load-DrumTote'!$K$27:$K$136,'Load-DrumTote'!$F$27:$F$136,$FG26)*IFERROR($QR$8,0)</f>
        <v>0</v>
      </c>
      <c r="FX26" s="155">
        <f>_xlfn.MAXIFS('Load-Truck'!$K$27:$K$136,'Load-Truck'!$F$27:$F$136,$FG26)*IFERROR($QR$9,0)</f>
        <v>0</v>
      </c>
      <c r="FY26" s="155">
        <f>_xlfn.MAXIFS('Load-Rail'!$K$27:$K$136,'Load-Rail'!$F$27:$F$136,$FG26)*IFERROR($QR$10,0)</f>
        <v>0</v>
      </c>
      <c r="FZ26" s="155">
        <f>_xlfn.MAXIFS('Load-MarineBarge'!$K$27:$K$136,'Load-MarineBarge'!$F$27:$F$136,$FG26)*IFERROR($QR$11,0)</f>
        <v>0</v>
      </c>
      <c r="GA26" s="155">
        <f>_xlfn.MAXIFS('Load-MarineShip'!$K$27:$K$136,'Load-MarineShip'!$F$27:$F$136,$FG26)*IFERROR($QR$12,0)</f>
        <v>0</v>
      </c>
      <c r="GB26" s="313">
        <f>IF(OR(Flare!$D$24="fuel gas",Flare!$D$38="fuel gas"),SUMIF(Flare!$E$97:$E$106,$FG26,Flare!$F$97:$F$106),0)*IFERROR($QR$13,0)</f>
        <v>0</v>
      </c>
      <c r="GC26" s="313">
        <f>(_xlfn.MAXIFS(CtrlDevImpacts!$I$57:$I$156,CtrlDevImpacts!$H$57:$H$156,$FG26))*IFERROR($QR$13,0)</f>
        <v>0</v>
      </c>
      <c r="GD26" s="313">
        <f>(_xlfn.MAXIFS(Flare!$F$107:$F$216,Flare!$E$107:$E$216,$FG26)-_xlfn.MAXIFS(CtrlDevImpacts!$I$57:$I$156,CtrlDevImpacts!$H$57:$H$156,$FG26))*IFERROR($QR$13,0)</f>
        <v>0</v>
      </c>
      <c r="GE26" s="155">
        <f>_xlfn.MAXIFS(LandEmiss!$B$335:$B$434,LandEmiss!$A$335:$A$434,$FG26)*IFERROR($QR$13,0)</f>
        <v>0</v>
      </c>
      <c r="GF26" s="155">
        <f>(_xlfn.MAXIFS(LandEmiss!$BK$335:$BK$434,LandEmiss!$BJ$335:$BJ$434,$FG26)+_xlfn.MAXIFS(LandEmiss!$DV$323:$DV$422,LandEmiss!$DU$323:$DU$422,$FG26))*IFERROR($QR$13,0)</f>
        <v>0</v>
      </c>
      <c r="GG26" s="313">
        <f>IF(OR(VCU!$D$26="fuel gas",VCU!$D$42="fuel gas"),SUMIF(VCU!$E$120:$E$129,$FG26,VCU!$F$120:$F$129),0)*IFERROR($QR$14,0)</f>
        <v>0</v>
      </c>
      <c r="GH26" s="313">
        <f>(_xlfn.MAXIFS(CtrlDevImpacts!$X$57:$X$156,CtrlDevImpacts!$W$57:$W$156,$FG26))*IFERROR($QR$14,0)</f>
        <v>0</v>
      </c>
      <c r="GI26" s="313">
        <f>(_xlfn.MAXIFS(VCU!$F$130:$F$239,VCU!$E$130:$E$239,$FG26)-_xlfn.MAXIFS(CtrlDevImpacts!$X$57:$X$156,CtrlDevImpacts!$W$57:$W$156,$FG26))*IFERROR($QR$14,0)</f>
        <v>0</v>
      </c>
      <c r="GJ26" s="155">
        <f>_xlfn.MAXIFS(LandEmiss!$D$335:$D$434,LandEmiss!$A$335:$A$434,$FG26)*IFERROR($QR$14,0)</f>
        <v>0</v>
      </c>
      <c r="GK26" s="155">
        <f>(_xlfn.MAXIFS(LandEmiss!$BM$335:$BM$434,LandEmiss!$BJ$335:$BJ$434,$FG26)+_xlfn.MAXIFS(LandEmiss!$DX$323:$DX$422,LandEmiss!$DU$323:$DU$422,$FG26))*IFERROR($QR$14,0)</f>
        <v>0</v>
      </c>
      <c r="GL26" s="313">
        <f>IF(VaporOxidizer!D57="FUEL GAS",SUMIF(VaporOxidizer!$E$101:$E$110,$FG26,VaporOxidizer!$F$101:$F$110),0)*IFERROR($QR$15,0)</f>
        <v>0</v>
      </c>
      <c r="GM26" s="313">
        <f>(_xlfn.MAXIFS(CtrlDevImpacts!$AN$57:$AN$156,CtrlDevImpacts!$AM$57:$AM$156,$FG26))*IFERROR($QR$15,0)</f>
        <v>0</v>
      </c>
      <c r="GN26" s="313">
        <f>(_xlfn.MAXIFS(VaporOxidizer!$F$111:$F$220,VaporOxidizer!$E$111:$E$220,$FG26)-_xlfn.MAXIFS(CtrlDevImpacts!$AN$57:$AN$156,CtrlDevImpacts!$AM$57:$AM$156,$FG26))*IFERROR($QR$15,0)</f>
        <v>0</v>
      </c>
      <c r="GO26" s="155">
        <f>_xlfn.MAXIFS(LandEmiss!$F$335:$F$434,LandEmiss!$A$335:$A$434,$FG26)*IFERROR($QR$15,0)</f>
        <v>0</v>
      </c>
      <c r="GP26" s="155">
        <f>(_xlfn.MAXIFS(LandEmiss!$BK$335:$BK$434,LandEmiss!$BO$335:$BO$434,$FG26)+_xlfn.MAXIFS(LandEmiss!$DZ$323:$DZ$422,LandEmiss!$DU$323:$DU$422,$FG26))*IFERROR($QR$15,0)</f>
        <v>0</v>
      </c>
      <c r="GQ26" s="313">
        <f>_xlfn.MAXIFS(CtrlDevImpacts!$BD$57:$BD$156,CtrlDevImpacts!$BC$57:$BC$156,$FG26)*IFERROR(Hidden!$QR$16,0)</f>
        <v>0</v>
      </c>
      <c r="GR26" s="313">
        <f>(_xlfn.MAXIFS(CAS!$H$35:$H$144,CAS!$E$35:$E$144,$FG26)-_xlfn.MAXIFS(CtrlDevImpacts!$BD$57:$BD$156,CtrlDevImpacts!$BC$57:$BC$156,$FG26))*IFERROR(Hidden!$QR$16,0)</f>
        <v>0</v>
      </c>
      <c r="GS26" s="155">
        <f>_xlfn.MAXIFS(LandEmiss!$H$335:$H$434,LandEmiss!$A$335:$A$434,$FG26)*IFERROR($QR$27,0)</f>
        <v>0</v>
      </c>
      <c r="GT26" s="155">
        <f>(_xlfn.MAXIFS(LandEmiss!$BK$335:$BK$434,LandEmiss!$BQ$335:$BQ$434,$FG26)+_xlfn.MAXIFS(LandEmiss!$EB$323:$EB$422,LandEmiss!$DU$323:$DU$422,$FG26))*IFERROR($QR$27,0)</f>
        <v>0</v>
      </c>
      <c r="GU26" s="155">
        <f>_xlfn.MAXIFS(LandEmiss!$J$335:$J$434,LandEmiss!$A$335:$A$434,$FG26)*IFERROR($QR$26,0)</f>
        <v>0</v>
      </c>
      <c r="GV26" s="155">
        <f>(_xlfn.MAXIFS(LandEmiss!$BK$335:$BK$434,LandEmiss!$BS$335:$BS$434,$FG26)+_xlfn.MAXIFS(LandEmiss!$ED$323:$ED$422,LandEmiss!$DU$323:$DU$422,$FG26))*IFERROR($QR$26,0)</f>
        <v>0</v>
      </c>
      <c r="GW26" s="155">
        <f>_xlfn.MAXIFS(LandEmiss!$L$335:$L$434,LandEmiss!$A$335:$A$434,$FG26)*IFERROR($QR$25,0)</f>
        <v>0</v>
      </c>
      <c r="GX26" s="155">
        <f>(_xlfn.MAXIFS(LandEmiss!$BK$335:$BK$434,LandEmiss!$BU$335:$BU$434,$FG26)+_xlfn.MAXIFS(LandEmiss!$EF$323:$EF$422,LandEmiss!$DU$323:$DU$422,$FG26))*IFERROR($QR$25,0)</f>
        <v>0</v>
      </c>
      <c r="GY26" s="155">
        <v>0</v>
      </c>
      <c r="GZ26" s="155">
        <v>0</v>
      </c>
      <c r="HA26" s="155">
        <f>IF(OR(HeaterBoiler1!$E$26&lt;&gt;"fuel gas",HeaterBoiler1!$E$15&lt;&gt;"heater"),0,SUMIF(HeaterBoiler1!$A$54:$D$63,$FG26,HeaterBoiler1!$I$54:$I$63))*IFERROR($QR$19,0)</f>
        <v>0</v>
      </c>
      <c r="HB26" s="207">
        <f>IF(OR(HeaterBoiler2!$E$26&lt;&gt;"fuel gas",HeaterBoiler2!$E$15&lt;&gt;"heater"),0,SUMIF(HeaterBoiler2!$A$54:$D$63,$FG26,HeaterBoiler2!$I$54:$I$63))*IFERROR($QR$21,0)</f>
        <v>0</v>
      </c>
      <c r="HC26" s="155">
        <f>IF(OR(HeaterBoiler1!$E$26&lt;&gt;"fuel gas",HeaterBoiler1!$E$15&lt;&gt;"boiler"),0,SUMIF(HeaterBoiler1!$A$41:$A$50,$FG26,HeaterBoiler1!$F$41:$F$50))*IFERROR($QR$20,0)</f>
        <v>0</v>
      </c>
      <c r="HD26" s="207">
        <f>IF(OR(HeaterBoiler2!$E$26&lt;&gt;"fuel gas",HeaterBoiler2!$E$15&lt;&gt;"boiler"),0,SUMIF(HeaterBoiler2!$A$41:$A$50,$FG26,HeaterBoiler2!$F$41:$F$50))*IFERROR($QR$22,0)</f>
        <v>0</v>
      </c>
      <c r="HE26" s="155">
        <f>SUMIF(Fug!$A$96:$A$205,$FG26,Fug!$I$96:$I$205)*IFERROR(Hidden!$QR$23,0)</f>
        <v>0</v>
      </c>
      <c r="HF26" s="155">
        <f t="shared" si="24"/>
        <v>0</v>
      </c>
      <c r="HG26" s="156">
        <f t="shared" si="25"/>
        <v>0</v>
      </c>
      <c r="HH26" s="156">
        <f t="shared" si="26"/>
        <v>0</v>
      </c>
      <c r="HI26" s="156">
        <f t="shared" si="27"/>
        <v>0</v>
      </c>
      <c r="HJ26" s="156">
        <f t="shared" si="28"/>
        <v>0</v>
      </c>
      <c r="HK26" s="156">
        <f t="shared" si="29"/>
        <v>0</v>
      </c>
      <c r="HL26" s="156">
        <f t="shared" si="30"/>
        <v>0</v>
      </c>
      <c r="NO26" s="155">
        <f>IF(Tank1!$D$22="No control",(SUMIF(Tank1!$E$32:$E$141,$FG26,Tank1!$H$32:$H$141)*(2000/8760)*IFERROR($QV$3,0)),0)</f>
        <v>0</v>
      </c>
      <c r="NP26" s="156">
        <f>SUMIF(LandEmiss!$AE$20:$AE$119,$FG26,LandEmiss!$AK$20:$AK$119)*(2000/8760)*IFERROR($QV$3,0)</f>
        <v>0</v>
      </c>
      <c r="NQ26" s="156">
        <f>(SUMIF(LandEmiss!$CN$20:$CN$119,$FG26,LandEmiss!$CT$20:$CT$119)+SUMIF(LandEmiss!$EY$9:$EY$108,$FG26,LandEmiss!$FE$9:$FE$108))*IFERROR($QV$3,0)*(2000/8760)</f>
        <v>0</v>
      </c>
      <c r="NR26" s="155">
        <f>IF(Tank2!$D$22="No control",(SUMIF(Tank2!$E$32:$E$141,$FG26,Tank2!$H$32:$H$141)*(2000/8760)*IFERROR($QV$4,0)),0)</f>
        <v>0</v>
      </c>
      <c r="NS26" s="156">
        <f>SUMIF(LandEmiss!$AE$20:$AE$119,$FG26,LandEmiss!$AL$20:$AL$119)*(2000/8760)*IFERROR($QV$4,0)</f>
        <v>0</v>
      </c>
      <c r="NT26" s="156">
        <f>(SUMIF(LandEmiss!$CN$20:$CN$119,$FG26,LandEmiss!$CU$20:$CU$119)+SUMIF(LandEmiss!$EY$9:$EY$108,$FG26,LandEmiss!$FF$9:$FF$108))*IFERROR($QV$4,0)*(2000/8760)</f>
        <v>0</v>
      </c>
      <c r="NU26" s="155">
        <f>IF(Tank3!$D$22="No control",(SUMIF(Tank3!$E$32:$E$141,$FG26,Tank3!$H$32:$H$141)*(2000/8760)*IFERROR($QV$5,0)),0)</f>
        <v>0</v>
      </c>
      <c r="NV26" s="156">
        <f>SUMIF(LandEmiss!$AE$20:$AE$119,$FG26,LandEmiss!$AM$20:$AM$119)*(2000/8760)*IFERROR($QV$5,0)</f>
        <v>0</v>
      </c>
      <c r="NW26" s="156">
        <f>(SUMIF(LandEmiss!$CN$20:$CN$119,$FG26,LandEmiss!$CV$20:$CV$119)+SUMIF(LandEmiss!$EY$9:$EY$108,$FG26,LandEmiss!$FG$9:$FG$108))*IFERROR($QV$5,0)*(2000/8760)</f>
        <v>0</v>
      </c>
      <c r="NX26" s="155">
        <f>IF(Tank4!$D$22="No control",(SUMIF(Tank4!$E$32:$E$141,$FG26,Tank4!$H$32:$H$141)*(2000/8760)*IFERROR($QV$6,0)),0)</f>
        <v>0</v>
      </c>
      <c r="NY26" s="156">
        <f>SUMIF(LandEmiss!$AE$20:$AE$119,$FG26,LandEmiss!$AN$20:$AN$119)*(2000/8760)*IFERROR($QV$6,0)</f>
        <v>0</v>
      </c>
      <c r="NZ26" s="156">
        <f>(SUMIF(LandEmiss!$CN$20:$CN$119,$FG26,LandEmiss!$CW$20:$CW$119)+SUMIF(LandEmiss!$EY$9:$EY$108,$FG26,LandEmiss!$FH$9:$FH$108))*IFERROR($QV$6,0)*(2000/8760)</f>
        <v>0</v>
      </c>
      <c r="OA26" s="155">
        <f>IF(Tank5!$D$22="No control",(SUMIF(Tank5!$E$32:$E$141,$FG26,Tank5!$H$32:$H$141)*(2000/8760)*IFERROR($QV$7,0)),0)</f>
        <v>0</v>
      </c>
      <c r="OB26" s="156">
        <f>SUMIF(LandEmiss!$AE$20:$AE$119,$FG26,LandEmiss!$AO$20:$AO$119)*(2000/8760)*IFERROR($QV$7,0)</f>
        <v>0</v>
      </c>
      <c r="OC26" s="156">
        <f>(SUMIF(LandEmiss!$CN$20:$CN$119,$FG26,LandEmiss!$CX$20:$CX$119)+SUMIF(LandEmiss!$EY$9:$EY$108,$FG26,LandEmiss!$FI$9:$FI$108))*IFERROR($QV$7,0)*(2000/8760)</f>
        <v>0</v>
      </c>
      <c r="OD26" s="155">
        <f>SUMIFS('Load-DrumTote'!$L$27:$L$136,'Load-DrumTote'!$F$27:$F$136,$FG26)*IFERROR($QV$8,0)*(2000/8760)</f>
        <v>0</v>
      </c>
      <c r="OE26" s="155">
        <f>SUMIFS('Load-Truck'!$L$27:$L$136,'Load-Truck'!$F$27:$F$136,$FG26)*IFERROR($QV$9,0)*(2000/8760)</f>
        <v>0</v>
      </c>
      <c r="OF26" s="155">
        <f>SUMIFS('Load-Rail'!$L$27:$L$136,'Load-Rail'!$F$27:$F$136,$FG26)*IFERROR($QV$10,0)*(2000/8760)</f>
        <v>0</v>
      </c>
      <c r="OG26" s="155">
        <f>SUMIFS('Load-MarineBarge'!$L$27:$L$136,'Load-MarineBarge'!$F$27:$F$136,$FG26)*IFERROR($QV$11,0)*(2000/8760)</f>
        <v>0</v>
      </c>
      <c r="OH26" s="155">
        <f>SUMIFS('Load-MarineShip'!$L$27:$L$136,'Load-MarineShip'!$F$27:$F$136,$FG26)*IFERROR($QV$12,0)*(2000/8760)</f>
        <v>0</v>
      </c>
      <c r="OI26" s="155">
        <f>(IF(OR(Flare!$D$24="FUEL GAS",Flare!$D$38="FUEL GAS"),SUMIF(Flare!$E$97:$E$106,$FG26,Flare!$G$97:$G$105),0)+SUMIF(Flare!$E$107:$E$216,$FG26,Flare!$G$107:$G$216))*(2000/8730)*IFERROR($QV$13,0)</f>
        <v>0</v>
      </c>
      <c r="OJ26" s="155">
        <f>SUMIF(LandEmiss!$A$335:$A$434,$FG26,LandEmiss!$C$335:$C$434)*(2000/8760)*IFERROR($QV$13,0)</f>
        <v>0</v>
      </c>
      <c r="OK26" s="155">
        <f>(SUMIF(LandEmiss!$BJ$335:$BJ$434,$FG26,LandEmiss!$BL$335:$BL$434)+SUMIF(LandEmiss!$DU$323:$DU$422,$FG26,LandEmiss!$DW$323:$DW$422))*(2000/8760)*IFERROR($QV$13,0)</f>
        <v>0</v>
      </c>
      <c r="OL26" s="155">
        <f>(IF(OR(VCU!$D$26="FUEL GAS",VCU!$D$42="FUEL GAS"),SUMIF(VCU!$E$120:$E$129,$FG26,VCU!$G$120:$G$129),0)+SUMIF(VCU!$E$130:$E$239,$FG26,VCU!G154:G263))*(2000/8760)*IFERROR($QV$14,0)</f>
        <v>0</v>
      </c>
      <c r="OM26" s="155">
        <f>SUMIF(LandEmiss!$A$335:$A$434,$FG26,LandEmiss!$E$335:$E$434)*(2000/8760)*IFERROR($QV$14,0)</f>
        <v>0</v>
      </c>
      <c r="ON26" s="155">
        <f>(SUMIF(LandEmiss!$BJ$335:$BJ$434,$FG26,LandEmiss!$BN$335:$BN$434)+SUMIF(LandEmiss!$DU$323:$DU$422,$FG26,LandEmiss!$DY$323:$DY$422))*(2000/8760)*IFERROR($QV$14,0)</f>
        <v>0</v>
      </c>
      <c r="OO26" s="155">
        <f>(IF(VaporOxidizer!$D$33="FUEL GAS",SUMIF(VaporOxidizer!$E$101:$E$110,$FG26,VaporOxidizer!$G$101:$G$110),0)+SUMIF(VaporOxidizer!$E$111:$E$220,$FG26,VaporOxidizer!$G$111:$G$220))*(2000/8760)*IFERROR($QV$15,0)</f>
        <v>0</v>
      </c>
      <c r="OP26" s="155">
        <f>SUMIF(LandEmiss!$A$335:$A$434,$FG26,LandEmiss!$G$335:$G$434)*(2000/8760)*IFERROR($QV$15,0)</f>
        <v>0</v>
      </c>
      <c r="OQ26" s="155">
        <f>(SUMIF(LandEmiss!$BJ$335:$BJ$434,$FG26,LandEmiss!$BP$335:$BP$434)+SUMIF(LandEmiss!$DU$323:$DU$422,$FG26,LandEmiss!$EA$323:$EA$422))*(2000/8760)*IFERROR($QV$15,0)</f>
        <v>0</v>
      </c>
      <c r="OR26" s="155">
        <f>SUMIF(CAS!$E$35:$E$144,Hidden!$FG26,CAS!$I$35:$I$144)*IFERROR($QV$16,0)*(2000/8760)</f>
        <v>0</v>
      </c>
      <c r="OS26" s="155">
        <f>SUMIF(LandEmiss!$A$335:$A$434,$FG26,LandEmiss!$I$335:$I$434)*(2000/8760)*IFERROR($QV$27,0)</f>
        <v>0</v>
      </c>
      <c r="OT26" s="155">
        <f>(SUMIF(LandEmiss!$BJ$335:$BJ$434,$FG26,LandEmiss!$BR$335:$BR$434)+SUMIF(LandEmiss!$DU$323:$DU$422,$FG26,LandEmiss!$EC$323:$EC$422))*(2000/8760)*IFERROR($QV$27,0)</f>
        <v>0</v>
      </c>
      <c r="OU26" s="155">
        <f>SUMIF(LandEmiss!$A$335:$A$434,$FG26,LandEmiss!$K$335:$K$434)*(2000/8760)*IFERROR($QV$26,0)</f>
        <v>0</v>
      </c>
      <c r="OV26" s="155">
        <f>(SUMIF(LandEmiss!$BJ$335:$BJ$434,$FG26,LandEmiss!$BT$335:$BT$434)+SUMIF(LandEmiss!$DU$323:$DU$422,$FG26,LandEmiss!$EE$323:$EE$422))*(2000/8760)*IFERROR($QV$26,0)</f>
        <v>0</v>
      </c>
      <c r="OW26" s="155">
        <f>SUMIF(LandEmiss!$A$335:$A$434,$FG26,LandEmiss!$M$335:$M$434)*(2000/8760)*IFERROR($QV$25,0)</f>
        <v>0</v>
      </c>
      <c r="OX26" s="155">
        <f>(SUMIF(LandEmiss!$BJ$335:$BJ$434,$FG26,LandEmiss!$BV$335:$BV$434)+SUMIF(LandEmiss!$DU$323:$DU$422,$FG26,LandEmiss!$EG$323:$EG$422))*(2000/8760)*IFERROR($QV$25,0)</f>
        <v>0</v>
      </c>
      <c r="OY26" s="8">
        <v>0</v>
      </c>
      <c r="OZ26" s="207">
        <v>0</v>
      </c>
      <c r="PA26" s="207">
        <f>IF(OR(HeaterBoiler1!$E$26&lt;&gt;"fuel gas",HeaterBoiler1!$E$15&lt;&gt;"heater"),0,(SUMIF(HeaterBoiler1!$A$54:$D$63,$FG26,HeaterBoiler1!$J$54:$J$63))*(2000/8760))*IFERROR($QV$19,0)</f>
        <v>0</v>
      </c>
      <c r="PB26" s="207">
        <f>IF(OR(HeaterBoiler2!$E$26&lt;&gt;"fuel gas",HeaterBoiler2!$E$15&lt;&gt;"heater"),0,(SUMIF(HeaterBoiler2!$A$54:$D$63,$FG26,HeaterBoiler2!$J$54:$J$63))*(2000/8760))*IFERROR($QV$21,0)</f>
        <v>0</v>
      </c>
      <c r="PC26" s="207">
        <f>IF(OR(HeaterBoiler1!$E$26&lt;&gt;"fuel gas",HeaterBoiler1!$E$15&lt;&gt;"boiler"),0,(SUMIF(HeaterBoiler1!$A$54:$D$63,$FG26,HeaterBoiler1!$J$54:$J$63))*(2000/8760))*IFERROR($QV$20,0)</f>
        <v>0</v>
      </c>
      <c r="PD26" s="207">
        <f>IF(OR(HeaterBoiler2!$E$26&lt;&gt;"fuel gas",HeaterBoiler2!$E$15&lt;&gt;"boiler"),0,(SUMIF(HeaterBoiler2!$A$54:$D$63,$FG26,HeaterBoiler2!$J$54:$J$63))*(2000/8760))*IFERROR($QV$22,0)</f>
        <v>0</v>
      </c>
      <c r="PE26" s="8">
        <f>(SUMIF(Fug!$A$96:$A$205,$FG26,Fug!$J$96:$J$205))*IFERROR($QV$23,0)*(2000/8760)</f>
        <v>0</v>
      </c>
      <c r="PF26" s="8">
        <f t="shared" si="31"/>
        <v>0</v>
      </c>
      <c r="PG26" s="156">
        <f t="shared" si="32"/>
        <v>0</v>
      </c>
      <c r="PJ26" s="52" t="str">
        <f>IF(Fug!$F$16=Hidden!$PP$2,"Compressors","Compressors (controlled)")</f>
        <v>Compressors (controlled)</v>
      </c>
      <c r="PK26" s="52" t="str">
        <f>IF(Fug!$F$16=Hidden!$PP$2,"Gas","All")</f>
        <v>All</v>
      </c>
      <c r="PL26" s="52">
        <v>0</v>
      </c>
      <c r="PM26" s="52">
        <v>0</v>
      </c>
      <c r="PN26" s="52">
        <v>0</v>
      </c>
      <c r="PO26" s="52">
        <v>0</v>
      </c>
      <c r="PP26" s="52">
        <v>1.9400000000000001E-2</v>
      </c>
      <c r="PQ26" s="52">
        <v>0</v>
      </c>
      <c r="PR26" s="52">
        <v>0</v>
      </c>
      <c r="PS26" s="52">
        <v>0</v>
      </c>
      <c r="PT26" s="52" t="s">
        <v>8788</v>
      </c>
      <c r="PU26" s="52" t="s">
        <v>8769</v>
      </c>
      <c r="PV26" s="52">
        <v>0</v>
      </c>
      <c r="PW26" s="52">
        <v>0.85</v>
      </c>
      <c r="PX26" s="52">
        <v>0.95</v>
      </c>
      <c r="PY26" s="52">
        <v>0.95</v>
      </c>
      <c r="PZ26" s="52">
        <v>0</v>
      </c>
      <c r="QA26" s="52">
        <v>0.95</v>
      </c>
      <c r="QB26" s="52" t="s">
        <v>8789</v>
      </c>
      <c r="QC26" s="52" t="s">
        <v>8778</v>
      </c>
      <c r="QD26" s="52">
        <v>1</v>
      </c>
      <c r="QE26" s="52">
        <v>1</v>
      </c>
      <c r="QF26" s="52">
        <v>1</v>
      </c>
      <c r="QG26" s="52">
        <v>1</v>
      </c>
      <c r="QH26" s="52">
        <v>1</v>
      </c>
      <c r="QI26" s="52">
        <v>1</v>
      </c>
      <c r="QK26" s="95" t="s">
        <v>9131</v>
      </c>
      <c r="QM26" s="16" t="s">
        <v>9358</v>
      </c>
      <c r="QN26" s="104" t="e">
        <f t="shared" si="38"/>
        <v>#N/A</v>
      </c>
      <c r="QO26" s="104">
        <f>MSS!D93</f>
        <v>0</v>
      </c>
      <c r="QP26" s="104">
        <f>MSS!D92</f>
        <v>0</v>
      </c>
      <c r="QQ26" s="16" t="str">
        <f>IF(QO26&lt;20,QX24,QX25)</f>
        <v>PORTCD12</v>
      </c>
      <c r="QR26" s="16" t="e">
        <f>IF(QN26=10,VLOOKUP(QQ26,$QX$2:$RG$31,MATCH(QP26,$QX$2:$RG$2,1),FALSE),IF(QN26=12,VLOOKUP(QQ26,$QX$33:$RG$62,MATCH(QP26,$QX$33:$RG$33,1),FALSE),IF(QN26=14,VLOOKUP(QQ26,$QX$64:$RG$94,MATCH(QP26,$QX$64:$RG$64,1),FALSE),IF(QN26=15,VLOOKUP(QQ26,$QX$96:$RG$125,MATCH(QP26,$QX$96:$RG$96,1),FALSE)))))</f>
        <v>#N/A</v>
      </c>
      <c r="QS26" s="16" t="e">
        <f>IF(QN26=10,VLOOKUP(QQ26,$RH$2:$RQ$31,MATCH(QP26,$RH$2:$RQ$2,1),FALSE),IF(QN26=12,VLOOKUP(QQ26,$RH$33:$RQ$62,MATCH(QP26,$RH$33:$RQ$33,1),FALSE),IF(QN26=14,VLOOKUP(QQ26,$RH$64:$RQ$94,MATCH(QP26,$RH$64:$RQ$64,1),FALSE),IF(QN26=15,VLOOKUP(QQ26,$RH$96:$RQ$125,MATCH(QP26,$RH$96:$RQ$96,1),FALSE)))))</f>
        <v>#N/A</v>
      </c>
      <c r="QT26" s="16" t="e">
        <f>IF(QN26=10,VLOOKUP(QQ26,$RR$2:$SA$31,MATCH(QP26,$RR$2:$SA$2,1),FALSE),IF(QN26=12,VLOOKUP(QQ26,$RR$33:$SA$62,MATCH(QP26,$RR$33:$SA$33,1),FALSE),IF(QN26=14,VLOOKUP(QQ26,$RR$64:$SA$94,MATCH(QP26,$RR$64:$SA$64,1),FALSE),IF(QN26=15,VLOOKUP(QQ26,$RR$96:$SA$125,MATCH(QP26,$RR$96:$SA$96,1),FALSE)))))</f>
        <v>#N/A</v>
      </c>
      <c r="QU26" s="16" t="e">
        <f>IF(QN26=10,VLOOKUP(QQ26,$SB$2:$SK$31,MATCH(QP26,$SB$2:$SK$2,1),FALSE),IF(QN26=12,VLOOKUP(QQ26,$SB$33:$SK$62,MATCH(QP26,$SB$33:$SK$33,1),FALSE),IF(QN26=14,VLOOKUP(QQ26,$SB$64:$SK$94,MATCH(QP26,$SB$64:$SK$64,1),FALSE),IF(QN26=15,VLOOKUP(QQ26,$SB$96:$SK$125,MATCH(QP26,$SB$96:$SK$96,1),FALSE)))))</f>
        <v>#N/A</v>
      </c>
      <c r="QV26" s="16" t="e">
        <f>IF(QN26=10,VLOOKUP(QQ26,$SL$2:$SU$31,MATCH(QP26,$SL$2:$SU$2,1),FALSE),IF(QN26=12,VLOOKUP(QQ26,$SL$33:$SU$62,MATCH(QP26,$SL$33:$SU$33,1),FALSE),IF(QN26=14,VLOOKUP(QQ26,$SL$64:$SU$94,MATCH(QP26,$SL$64:$SU$64,1),FALSE),IF(QN26=15,VLOOKUP(QQ26,$SL$96:$SU$125,MATCH(QP26,$SL$96:$SU$96,1),FALSE)))))</f>
        <v>#N/A</v>
      </c>
      <c r="QX26" s="89" t="s">
        <v>9334</v>
      </c>
      <c r="QY26">
        <v>1929.4</v>
      </c>
      <c r="QZ26">
        <v>1929.4</v>
      </c>
      <c r="RA26">
        <v>1929.4</v>
      </c>
      <c r="RB26">
        <v>1929.4</v>
      </c>
      <c r="RC26">
        <v>1929.4</v>
      </c>
      <c r="RD26">
        <v>1929.4</v>
      </c>
      <c r="RE26">
        <v>1929.4</v>
      </c>
      <c r="RF26">
        <v>1929.4</v>
      </c>
      <c r="RG26">
        <v>1929.4</v>
      </c>
      <c r="RH26" s="89" t="s">
        <v>9334</v>
      </c>
      <c r="RQ26" s="90"/>
      <c r="RR26" s="89" t="s">
        <v>9334</v>
      </c>
      <c r="SA26" s="90"/>
      <c r="SB26" s="89" t="s">
        <v>9334</v>
      </c>
      <c r="SK26" s="90"/>
      <c r="SL26" s="89" t="s">
        <v>9334</v>
      </c>
      <c r="SM26">
        <v>84.68</v>
      </c>
      <c r="SN26">
        <v>84.68</v>
      </c>
      <c r="SO26">
        <v>84.68</v>
      </c>
      <c r="SP26">
        <v>84.68</v>
      </c>
      <c r="SQ26">
        <v>84.68</v>
      </c>
      <c r="SR26">
        <v>84.68</v>
      </c>
      <c r="SS26">
        <v>84.68</v>
      </c>
      <c r="ST26">
        <v>84.68</v>
      </c>
      <c r="SU26" s="90">
        <v>84.68</v>
      </c>
      <c r="TI26" s="256" t="s">
        <v>8709</v>
      </c>
      <c r="TJ26" s="259" t="str">
        <f>IF(Tank4!D18="","",
IF(Tank4!D18="vertical fixed roof",VLOOKUP(Hidden!TJ19,Hidden!TI3:TK5,MATCH(Hidden!TK19,Hidden!TI2:TK2,0),FALSE),
IF(Tank4!D18="horizontal fixed roof",VLOOKUP(Hidden!TJ19,Hidden!TI3:TK5,MATCH(Hidden!TK19,Hidden!TI2:TK2,0),FALSE),
IF(Tank4!D18="internal floating roof",VLOOKUP(Hidden!TJ19,Hidden!TI11:TK13,MATCH(Hidden!TK19,Hidden!TI10:TK10,0),FALSE),
IF(Tank4!D18="external floating roof",VLOOKUP(Hidden!TJ19,Hidden!TI7:TK9,MATCH(Hidden!TK19,Hidden!TI6:TK6,0),FALSE),"")))))</f>
        <v/>
      </c>
      <c r="TL26" t="s">
        <v>10261</v>
      </c>
      <c r="TM26" s="225" t="s">
        <v>11003</v>
      </c>
    </row>
    <row r="27" spans="1:533" ht="74.25" customHeight="1" thickBot="1" x14ac:dyDescent="0.25">
      <c r="A27" s="8" t="s">
        <v>204</v>
      </c>
      <c r="B27" s="8">
        <v>14</v>
      </c>
      <c r="D27" s="8" t="s">
        <v>224</v>
      </c>
      <c r="E27" s="8" t="b">
        <f>IF($D27='PI-1-MarineLoading'!$D$73,TRUE,FALSE)</f>
        <v>0</v>
      </c>
      <c r="W27">
        <f>IF(OR(X27=0,ISNUMBER(MATCH(X27,$X$1:X26,0))),0,MAX($W$1:W26)+1)</f>
        <v>0</v>
      </c>
      <c r="X27" s="123">
        <f>Products!$E74</f>
        <v>0</v>
      </c>
      <c r="Y27" t="str">
        <f t="shared" si="3"/>
        <v/>
      </c>
      <c r="CA27">
        <f>IF(OR(CB27=0,ISNUMBER(MATCH(CB27,$CB$1:CB26,0))),0,MAX($CA$1:CA26)+1)</f>
        <v>0</v>
      </c>
      <c r="CB27" s="8">
        <f>IF(OR(Tank1!$D$18="EXTERNAL FLOATING ROOF",Tank1!$D$18="INTERNAL FLOATING ROOF"),IF(Tank1!$E57="",0,Tank1!$E57),0)</f>
        <v>0</v>
      </c>
      <c r="CC27" s="8" t="str">
        <f t="shared" si="6"/>
        <v/>
      </c>
      <c r="CD27" s="8"/>
      <c r="CE27" s="8">
        <f>IF(OR(CF27=0,ISNUMBER(MATCH(CF27,$CF$1:CF26,0))),0,MAX($CE$1:CE26)+1)</f>
        <v>0</v>
      </c>
      <c r="CF27" s="8">
        <f>IF(OR(Tank1!$D$18="HORIZONTAL FIXED ROOF",Tank1!$D$18="VERTICAL FIXED ROOF"),IF(Tank1!$E57="",0,Tank1!$E57),0)</f>
        <v>0</v>
      </c>
      <c r="CG27" s="8" t="str">
        <f t="shared" si="7"/>
        <v/>
      </c>
      <c r="CJ27">
        <f>IF(OR(CK27=0,ISNUMBER(MATCH(CK27,$CK$1:CK26,0))),0,MAX($CJ$1:CJ26)+1)</f>
        <v>0</v>
      </c>
      <c r="CK27">
        <f>Tank3!$A$87</f>
        <v>0</v>
      </c>
      <c r="CM27">
        <f>IFERROR(VLOOKUP($CK27,Tank3!$A$32:$D$141,3,FALSE),0)</f>
        <v>0</v>
      </c>
      <c r="CN27">
        <f>IFERROR(VLOOKUP($CK27,Tank3!$A$32:$D$141,4,FALSE),0)</f>
        <v>0</v>
      </c>
      <c r="DM27">
        <f>IF(OR(DN27=0,ISNUMBER(MATCH(DN27,$DN$1:DN26,0))),0,MAX($DM$1:DM26)+1)</f>
        <v>0</v>
      </c>
      <c r="DN27">
        <f>IF(Tank3!$D$22="Flare",IFERROR(VLOOKUP(Products!$A$109,Tank3!$A$32:$B$141,1,FALSE),0),0)</f>
        <v>0</v>
      </c>
      <c r="DO27">
        <f>IF($DN27=0,0,VLOOKUP($DN27,Tank3!$A$32:$H$141,7,FALSE))</f>
        <v>0</v>
      </c>
      <c r="DP27">
        <f>IF($DN27=0,0,VLOOKUP($DN27,Tank3!$A$32:$H$141,8,FALSE))</f>
        <v>0</v>
      </c>
      <c r="DU27">
        <f>IF(OR(DV27=0,ISNUMBER(MATCH(DV27,$DV$1:DV26,0))),0,MAX($DU$1:DU26)+1)</f>
        <v>0</v>
      </c>
      <c r="DV27">
        <f>IF(Tank3!$D$22="VCU",IFERROR(VLOOKUP(Products!$A$109,Tank3!$A$32:$B$141,1,FALSE),0),0)</f>
        <v>0</v>
      </c>
      <c r="DW27">
        <f>IF($DV27=0,0,VLOOKUP($DV27,Tank3!$A$32:$H$141,7,FALSE))</f>
        <v>0</v>
      </c>
      <c r="DX27">
        <f>IF($DV27=0,0,VLOOKUP($DV27,Tank3!$A$32:$H$141,8,FALSE))</f>
        <v>0</v>
      </c>
      <c r="EC27">
        <f>IF(OR(ED27=0,ISNUMBER(MATCH(ED27,$ED$1:ED26,0))),0,MAX($EC$1:EC26)+1)</f>
        <v>0</v>
      </c>
      <c r="ED27">
        <f>IF(Tank3!$D$22="vapor oxidizer",IFERROR(VLOOKUP(Products!$A$109,Tank3!$A$32:$B$141,1,FALSE),0),0)</f>
        <v>0</v>
      </c>
      <c r="EE27">
        <f>IF($ED27=0,0,VLOOKUP($ED27,Tank3!$A$32:$H$141,7,FALSE))</f>
        <v>0</v>
      </c>
      <c r="EF27">
        <f>IF($ED27=0,0,VLOOKUP($ED27,Tank3!$A$32:$H$141,8,FALSE))</f>
        <v>0</v>
      </c>
      <c r="EK27">
        <f>IF(OR(EL27=0,ISNUMBER(MATCH(EL27,$EL$1:EL26,0))),0,MAX($EK$1:EK26)+1)</f>
        <v>0</v>
      </c>
      <c r="EL27">
        <f>IF(Tank3!$D$22="CAS",IFERROR(VLOOKUP(Products!A109,Tank3!$A$32:$B$141,1,FALSE),0),0)</f>
        <v>0</v>
      </c>
      <c r="EM27">
        <f>IF($EL27=0,0,VLOOKUP($EL27,Tank3!$A$32:$H$141,7,FALSE))</f>
        <v>0</v>
      </c>
      <c r="EN27">
        <f>IF($EL27=0,0,VLOOKUP($EL27,Tank3!$A$32:$H$141,8,FALSE))</f>
        <v>0</v>
      </c>
      <c r="FB27" s="8" t="s">
        <v>407</v>
      </c>
      <c r="FC27" s="8" t="s">
        <v>408</v>
      </c>
      <c r="FD27" s="8">
        <v>16400</v>
      </c>
      <c r="FE27" s="8">
        <v>1640</v>
      </c>
      <c r="FG27" s="360" t="str">
        <f t="shared" si="23"/>
        <v/>
      </c>
      <c r="FH27" s="155">
        <f>IF(Tank1!$D$22="NO CONTROL",_xlfn.MAXIFS(Tank1!$G$32:$G$141,Tank1!$E$32:$E$141,$FG27),0)*IFERROR($QR$3,0)</f>
        <v>0</v>
      </c>
      <c r="FI27" s="155">
        <f>_xlfn.MAXIFS(LandEmiss!$AF$20:$AF$119,LandEmiss!$AE$20:$AE$119,$FG27)*IFERROR($QR$3,0)</f>
        <v>0</v>
      </c>
      <c r="FJ27" s="155">
        <f>MAX(_xlfn.MAXIFS(LandEmiss!$CO$20:$CO$119,LandEmiss!$CN$20:$CN$119,$FG27),_xlfn.MAXIFS(LandEmiss!$EZ$9:$EZ$108,LandEmiss!$EY$9:$EY$108,$FG27))*IFERROR($QR$3,0)</f>
        <v>0</v>
      </c>
      <c r="FK27" s="155">
        <f>IF(Tank2!$D$22="NO CONTROL",_xlfn.MAXIFS(Tank2!$G$32:$G$141,Tank2!$E$32:$E$141,$FG27),0)*IFERROR($QR$4,0)</f>
        <v>0</v>
      </c>
      <c r="FL27" s="155">
        <f>_xlfn.MAXIFS(LandEmiss!$AG$20:$AG$119,LandEmiss!$AE$20:$AE$119,$FG27)*IFERROR($QR$4,0)</f>
        <v>0</v>
      </c>
      <c r="FM27" s="155">
        <f>MAX(_xlfn.MAXIFS(LandEmiss!$CP$20:$CP$119,LandEmiss!$CN$20:$CN$119,$FG27),_xlfn.MAXIFS(LandEmiss!$FA$9:$FA$108,LandEmiss!$EY$9:$EY$108,$FG27))*IFERROR($QR$4,0)</f>
        <v>0</v>
      </c>
      <c r="FN27" s="155">
        <f>IF(Tank3!$D$22="NO CONTROL",_xlfn.MAXIFS(Tank3!$G$32:$G$141,Tank3!$E$32:$E$141,$FG27),0)*IFERROR($QR$5,0)</f>
        <v>0</v>
      </c>
      <c r="FO27" s="155">
        <f>_xlfn.MAXIFS(LandEmiss!$AH$20:$AH$119,LandEmiss!$AE$20:$AE$119,$FG27)*IFERROR($QR$5,0)</f>
        <v>0</v>
      </c>
      <c r="FP27" s="155">
        <f>MAX(_xlfn.MAXIFS(LandEmiss!$CQ$20:$CQ$119,LandEmiss!$CN$20:$CN$119,$FG27),_xlfn.MAXIFS(LandEmiss!$FB$9:$FB$108,LandEmiss!$EY$9:$EY$108,$FG27))*IFERROR($QR$5,0)</f>
        <v>0</v>
      </c>
      <c r="FQ27" s="155">
        <f>IF(Tank4!$D$22="NO CONTROL",_xlfn.MAXIFS(Tank4!$G$32:$G$141,Tank4!$E$32:$E$141,$FG27),0)*IFERROR($QR$6,0)</f>
        <v>0</v>
      </c>
      <c r="FR27" s="155">
        <f>_xlfn.MAXIFS(LandEmiss!$AI$20:$AI$119,LandEmiss!$AE$20:$AE$119,$FG27)*IFERROR($QR$6,0)</f>
        <v>0</v>
      </c>
      <c r="FS27" s="155">
        <f>MAX(_xlfn.MAXIFS(LandEmiss!$CR$20:$CR$119,LandEmiss!$CN$20:$CN$119,$FG27),_xlfn.MAXIFS(LandEmiss!$FC$9:$FC$108,LandEmiss!$EY$9:$EY$108,$FG27))*IFERROR($QR$6,0)</f>
        <v>0</v>
      </c>
      <c r="FT27" s="155">
        <f>IF(Tank5!$D$22="NO CONTROL",_xlfn.MAXIFS(Tank5!$G$32:$G$141,Tank5!$E$32:$E$141,$FG27),0)*IFERROR($QR$7,0)</f>
        <v>0</v>
      </c>
      <c r="FU27" s="155">
        <f>_xlfn.MAXIFS(LandEmiss!$AJ$20:$AJ$119,LandEmiss!$AE$20:$AE$119,$FG27)*IFERROR($QR$7,0)</f>
        <v>0</v>
      </c>
      <c r="FV27" s="155">
        <f>MAX(_xlfn.MAXIFS(LandEmiss!$CS$20:$CS$119,LandEmiss!$CN$20:$CN$119,$FG27),_xlfn.MAXIFS(LandEmiss!$FD$9:$FD$108,LandEmiss!$EY$9:$EY$108,$FG27))*IFERROR($QR32,0)</f>
        <v>0</v>
      </c>
      <c r="FW27" s="155">
        <f>_xlfn.MAXIFS('Load-DrumTote'!$K$27:$K$136,'Load-DrumTote'!$F$27:$F$136,$FG27)*IFERROR($QR$8,0)</f>
        <v>0</v>
      </c>
      <c r="FX27" s="155">
        <f>_xlfn.MAXIFS('Load-Truck'!$K$27:$K$136,'Load-Truck'!$F$27:$F$136,$FG27)*IFERROR($QR$9,0)</f>
        <v>0</v>
      </c>
      <c r="FY27" s="155">
        <f>_xlfn.MAXIFS('Load-Rail'!$K$27:$K$136,'Load-Rail'!$F$27:$F$136,$FG27)*IFERROR($QR$10,0)</f>
        <v>0</v>
      </c>
      <c r="FZ27" s="155">
        <f>_xlfn.MAXIFS('Load-MarineBarge'!$K$27:$K$136,'Load-MarineBarge'!$F$27:$F$136,$FG27)*IFERROR($QR$11,0)</f>
        <v>0</v>
      </c>
      <c r="GA27" s="155">
        <f>_xlfn.MAXIFS('Load-MarineShip'!$K$27:$K$136,'Load-MarineShip'!$F$27:$F$136,$FG27)*IFERROR($QR$12,0)</f>
        <v>0</v>
      </c>
      <c r="GB27" s="313">
        <f>IF(OR(Flare!$D$24="fuel gas",Flare!$D$38="fuel gas"),SUMIF(Flare!$E$97:$E$106,$FG27,Flare!$F$97:$F$106),0)*IFERROR($QR$13,0)</f>
        <v>0</v>
      </c>
      <c r="GC27" s="313">
        <f>(_xlfn.MAXIFS(CtrlDevImpacts!$I$57:$I$156,CtrlDevImpacts!$H$57:$H$156,$FG27))*IFERROR($QR$13,0)</f>
        <v>0</v>
      </c>
      <c r="GD27" s="313">
        <f>(_xlfn.MAXIFS(Flare!$F$107:$F$216,Flare!$E$107:$E$216,$FG27)-_xlfn.MAXIFS(CtrlDevImpacts!$I$57:$I$156,CtrlDevImpacts!$H$57:$H$156,$FG27))*IFERROR($QR$13,0)</f>
        <v>0</v>
      </c>
      <c r="GE27" s="155">
        <f>_xlfn.MAXIFS(LandEmiss!$B$335:$B$434,LandEmiss!$A$335:$A$434,$FG27)*IFERROR($QR$13,0)</f>
        <v>0</v>
      </c>
      <c r="GF27" s="155">
        <f>(_xlfn.MAXIFS(LandEmiss!$BK$335:$BK$434,LandEmiss!$BJ$335:$BJ$434,$FG27)+_xlfn.MAXIFS(LandEmiss!$DV$323:$DV$422,LandEmiss!$DU$323:$DU$422,$FG27))*IFERROR($QR$13,0)</f>
        <v>0</v>
      </c>
      <c r="GG27" s="313">
        <f>IF(OR(VCU!$D$26="fuel gas",VCU!$D$42="fuel gas"),SUMIF(VCU!$E$120:$E$129,$FG27,VCU!$F$120:$F$129),0)*IFERROR($QR$14,0)</f>
        <v>0</v>
      </c>
      <c r="GH27" s="313">
        <f>(_xlfn.MAXIFS(CtrlDevImpacts!$X$57:$X$156,CtrlDevImpacts!$W$57:$W$156,$FG27))*IFERROR($QR$14,0)</f>
        <v>0</v>
      </c>
      <c r="GI27" s="313">
        <f>(_xlfn.MAXIFS(VCU!$F$130:$F$239,VCU!$E$130:$E$239,$FG27)-_xlfn.MAXIFS(CtrlDevImpacts!$X$57:$X$156,CtrlDevImpacts!$W$57:$W$156,$FG27))*IFERROR($QR$14,0)</f>
        <v>0</v>
      </c>
      <c r="GJ27" s="155">
        <f>_xlfn.MAXIFS(LandEmiss!$D$335:$D$434,LandEmiss!$A$335:$A$434,$FG27)*IFERROR($QR$14,0)</f>
        <v>0</v>
      </c>
      <c r="GK27" s="155">
        <f>(_xlfn.MAXIFS(LandEmiss!$BM$335:$BM$434,LandEmiss!$BJ$335:$BJ$434,$FG27)+_xlfn.MAXIFS(LandEmiss!$DX$323:$DX$422,LandEmiss!$DU$323:$DU$422,$FG27))*IFERROR($QR$14,0)</f>
        <v>0</v>
      </c>
      <c r="GL27" s="313">
        <f>IF(VaporOxidizer!D58="FUEL GAS",SUMIF(VaporOxidizer!$E$101:$E$110,$FG27,VaporOxidizer!$F$101:$F$110),0)*IFERROR($QR$15,0)</f>
        <v>0</v>
      </c>
      <c r="GM27" s="313">
        <f>(_xlfn.MAXIFS(CtrlDevImpacts!$AN$57:$AN$156,CtrlDevImpacts!$AM$57:$AM$156,$FG27))*IFERROR($QR$15,0)</f>
        <v>0</v>
      </c>
      <c r="GN27" s="313">
        <f>(_xlfn.MAXIFS(VaporOxidizer!$F$111:$F$220,VaporOxidizer!$E$111:$E$220,$FG27)-_xlfn.MAXIFS(CtrlDevImpacts!$AN$57:$AN$156,CtrlDevImpacts!$AM$57:$AM$156,$FG27))*IFERROR($QR$15,0)</f>
        <v>0</v>
      </c>
      <c r="GO27" s="155">
        <f>_xlfn.MAXIFS(LandEmiss!$F$335:$F$434,LandEmiss!$A$335:$A$434,$FG27)*IFERROR($QR$15,0)</f>
        <v>0</v>
      </c>
      <c r="GP27" s="155">
        <f>(_xlfn.MAXIFS(LandEmiss!$BK$335:$BK$434,LandEmiss!$BO$335:$BO$434,$FG27)+_xlfn.MAXIFS(LandEmiss!$DZ$323:$DZ$422,LandEmiss!$DU$323:$DU$422,$FG27))*IFERROR($QR$15,0)</f>
        <v>0</v>
      </c>
      <c r="GQ27" s="313">
        <f>_xlfn.MAXIFS(CtrlDevImpacts!$BD$57:$BD$156,CtrlDevImpacts!$BC$57:$BC$156,$FG27)*IFERROR(Hidden!$QR$16,0)</f>
        <v>0</v>
      </c>
      <c r="GR27" s="313">
        <f>(_xlfn.MAXIFS(CAS!$H$35:$H$144,CAS!$E$35:$E$144,$FG27)-_xlfn.MAXIFS(CtrlDevImpacts!$BD$57:$BD$156,CtrlDevImpacts!$BC$57:$BC$156,$FG27))*IFERROR(Hidden!$QR$16,0)</f>
        <v>0</v>
      </c>
      <c r="GS27" s="155">
        <f>_xlfn.MAXIFS(LandEmiss!$H$335:$H$434,LandEmiss!$A$335:$A$434,$FG27)*IFERROR($QR$27,0)</f>
        <v>0</v>
      </c>
      <c r="GT27" s="155">
        <f>(_xlfn.MAXIFS(LandEmiss!$BK$335:$BK$434,LandEmiss!$BQ$335:$BQ$434,$FG27)+_xlfn.MAXIFS(LandEmiss!$EB$323:$EB$422,LandEmiss!$DU$323:$DU$422,$FG27))*IFERROR($QR$27,0)</f>
        <v>0</v>
      </c>
      <c r="GU27" s="155">
        <f>_xlfn.MAXIFS(LandEmiss!$J$335:$J$434,LandEmiss!$A$335:$A$434,$FG27)*IFERROR($QR$26,0)</f>
        <v>0</v>
      </c>
      <c r="GV27" s="155">
        <f>(_xlfn.MAXIFS(LandEmiss!$BK$335:$BK$434,LandEmiss!$BS$335:$BS$434,$FG27)+_xlfn.MAXIFS(LandEmiss!$ED$323:$ED$422,LandEmiss!$DU$323:$DU$422,$FG27))*IFERROR($QR$26,0)</f>
        <v>0</v>
      </c>
      <c r="GW27" s="155">
        <f>_xlfn.MAXIFS(LandEmiss!$L$335:$L$434,LandEmiss!$A$335:$A$434,$FG27)*IFERROR($QR$25,0)</f>
        <v>0</v>
      </c>
      <c r="GX27" s="155">
        <f>(_xlfn.MAXIFS(LandEmiss!$BK$335:$BK$434,LandEmiss!$BU$335:$BU$434,$FG27)+_xlfn.MAXIFS(LandEmiss!$EF$323:$EF$422,LandEmiss!$DU$323:$DU$422,$FG27))*IFERROR($QR$25,0)</f>
        <v>0</v>
      </c>
      <c r="GY27" s="155">
        <v>0</v>
      </c>
      <c r="GZ27" s="155">
        <v>0</v>
      </c>
      <c r="HA27" s="155">
        <f>IF(OR(HeaterBoiler1!$E$26&lt;&gt;"fuel gas",HeaterBoiler1!$E$15&lt;&gt;"heater"),0,SUMIF(HeaterBoiler1!$A$54:$D$63,$FG27,HeaterBoiler1!$I$54:$I$63))*IFERROR($QR$19,0)</f>
        <v>0</v>
      </c>
      <c r="HB27" s="207">
        <f>IF(OR(HeaterBoiler2!$E$26&lt;&gt;"fuel gas",HeaterBoiler2!$E$15&lt;&gt;"heater"),0,SUMIF(HeaterBoiler2!$A$54:$D$63,$FG27,HeaterBoiler2!$I$54:$I$63))*IFERROR($QR$21,0)</f>
        <v>0</v>
      </c>
      <c r="HC27" s="155">
        <f>IF(OR(HeaterBoiler1!$E$26&lt;&gt;"fuel gas",HeaterBoiler1!$E$15&lt;&gt;"boiler"),0,SUMIF(HeaterBoiler1!$A$41:$A$50,$FG27,HeaterBoiler1!$F$41:$F$50))*IFERROR($QR$20,0)</f>
        <v>0</v>
      </c>
      <c r="HD27" s="207">
        <f>IF(OR(HeaterBoiler2!$E$26&lt;&gt;"fuel gas",HeaterBoiler2!$E$15&lt;&gt;"boiler"),0,SUMIF(HeaterBoiler2!$A$41:$A$50,$FG27,HeaterBoiler2!$F$41:$F$50))*IFERROR($QR$22,0)</f>
        <v>0</v>
      </c>
      <c r="HE27" s="155">
        <f>SUMIF(Fug!$A$96:$A$205,$FG27,Fug!$I$96:$I$205)*IFERROR(Hidden!$QR$23,0)</f>
        <v>0</v>
      </c>
      <c r="HF27" s="155">
        <f t="shared" si="24"/>
        <v>0</v>
      </c>
      <c r="HG27" s="156">
        <f t="shared" si="25"/>
        <v>0</v>
      </c>
      <c r="HH27" s="156">
        <f t="shared" si="26"/>
        <v>0</v>
      </c>
      <c r="HI27" s="156">
        <f t="shared" si="27"/>
        <v>0</v>
      </c>
      <c r="HJ27" s="156">
        <f t="shared" si="28"/>
        <v>0</v>
      </c>
      <c r="HK27" s="156">
        <f t="shared" si="29"/>
        <v>0</v>
      </c>
      <c r="HL27" s="156">
        <f t="shared" si="30"/>
        <v>0</v>
      </c>
      <c r="NO27" s="155">
        <f>IF(Tank1!$D$22="No control",(SUMIF(Tank1!$E$32:$E$141,$FG27,Tank1!$H$32:$H$141)*(2000/8760)*IFERROR($QV$3,0)),0)</f>
        <v>0</v>
      </c>
      <c r="NP27" s="156">
        <f>SUMIF(LandEmiss!$AE$20:$AE$119,$FG27,LandEmiss!$AK$20:$AK$119)*(2000/8760)*IFERROR($QV$3,0)</f>
        <v>0</v>
      </c>
      <c r="NQ27" s="156">
        <f>(SUMIF(LandEmiss!$CN$20:$CN$119,$FG27,LandEmiss!$CT$20:$CT$119)+SUMIF(LandEmiss!$EY$9:$EY$108,$FG27,LandEmiss!$FE$9:$FE$108))*IFERROR($QV$3,0)*(2000/8760)</f>
        <v>0</v>
      </c>
      <c r="NR27" s="155">
        <f>IF(Tank2!$D$22="No control",(SUMIF(Tank2!$E$32:$E$141,$FG27,Tank2!$H$32:$H$141)*(2000/8760)*IFERROR($QV$4,0)),0)</f>
        <v>0</v>
      </c>
      <c r="NS27" s="156">
        <f>SUMIF(LandEmiss!$AE$20:$AE$119,$FG27,LandEmiss!$AL$20:$AL$119)*(2000/8760)*IFERROR($QV$4,0)</f>
        <v>0</v>
      </c>
      <c r="NT27" s="156">
        <f>(SUMIF(LandEmiss!$CN$20:$CN$119,$FG27,LandEmiss!$CU$20:$CU$119)+SUMIF(LandEmiss!$EY$9:$EY$108,$FG27,LandEmiss!$FF$9:$FF$108))*IFERROR($QV$4,0)*(2000/8760)</f>
        <v>0</v>
      </c>
      <c r="NU27" s="155">
        <f>IF(Tank3!$D$22="No control",(SUMIF(Tank3!$E$32:$E$141,$FG27,Tank3!$H$32:$H$141)*(2000/8760)*IFERROR($QV$5,0)),0)</f>
        <v>0</v>
      </c>
      <c r="NV27" s="156">
        <f>SUMIF(LandEmiss!$AE$20:$AE$119,$FG27,LandEmiss!$AM$20:$AM$119)*(2000/8760)*IFERROR($QV$5,0)</f>
        <v>0</v>
      </c>
      <c r="NW27" s="156">
        <f>(SUMIF(LandEmiss!$CN$20:$CN$119,$FG27,LandEmiss!$CV$20:$CV$119)+SUMIF(LandEmiss!$EY$9:$EY$108,$FG27,LandEmiss!$FG$9:$FG$108))*IFERROR($QV$5,0)*(2000/8760)</f>
        <v>0</v>
      </c>
      <c r="NX27" s="155">
        <f>IF(Tank4!$D$22="No control",(SUMIF(Tank4!$E$32:$E$141,$FG27,Tank4!$H$32:$H$141)*(2000/8760)*IFERROR($QV$6,0)),0)</f>
        <v>0</v>
      </c>
      <c r="NY27" s="156">
        <f>SUMIF(LandEmiss!$AE$20:$AE$119,$FG27,LandEmiss!$AN$20:$AN$119)*(2000/8760)*IFERROR($QV$6,0)</f>
        <v>0</v>
      </c>
      <c r="NZ27" s="156">
        <f>(SUMIF(LandEmiss!$CN$20:$CN$119,$FG27,LandEmiss!$CW$20:$CW$119)+SUMIF(LandEmiss!$EY$9:$EY$108,$FG27,LandEmiss!$FH$9:$FH$108))*IFERROR($QV$6,0)*(2000/8760)</f>
        <v>0</v>
      </c>
      <c r="OA27" s="155">
        <f>IF(Tank5!$D$22="No control",(SUMIF(Tank5!$E$32:$E$141,$FG27,Tank5!$H$32:$H$141)*(2000/8760)*IFERROR($QV$7,0)),0)</f>
        <v>0</v>
      </c>
      <c r="OB27" s="156">
        <f>SUMIF(LandEmiss!$AE$20:$AE$119,$FG27,LandEmiss!$AO$20:$AO$119)*(2000/8760)*IFERROR($QV$7,0)</f>
        <v>0</v>
      </c>
      <c r="OC27" s="156">
        <f>(SUMIF(LandEmiss!$CN$20:$CN$119,$FG27,LandEmiss!$CX$20:$CX$119)+SUMIF(LandEmiss!$EY$9:$EY$108,$FG27,LandEmiss!$FI$9:$FI$108))*IFERROR($QV$7,0)*(2000/8760)</f>
        <v>0</v>
      </c>
      <c r="OD27" s="155">
        <f>SUMIFS('Load-DrumTote'!$L$27:$L$136,'Load-DrumTote'!$F$27:$F$136,$FG27)*IFERROR($QV$8,0)*(2000/8760)</f>
        <v>0</v>
      </c>
      <c r="OE27" s="155">
        <f>SUMIFS('Load-Truck'!$L$27:$L$136,'Load-Truck'!$F$27:$F$136,$FG27)*IFERROR($QV$9,0)*(2000/8760)</f>
        <v>0</v>
      </c>
      <c r="OF27" s="155">
        <f>SUMIFS('Load-Rail'!$L$27:$L$136,'Load-Rail'!$F$27:$F$136,$FG27)*IFERROR($QV$10,0)*(2000/8760)</f>
        <v>0</v>
      </c>
      <c r="OG27" s="155">
        <f>SUMIFS('Load-MarineBarge'!$L$27:$L$136,'Load-MarineBarge'!$F$27:$F$136,$FG27)*IFERROR($QV$11,0)*(2000/8760)</f>
        <v>0</v>
      </c>
      <c r="OH27" s="155">
        <f>SUMIFS('Load-MarineShip'!$L$27:$L$136,'Load-MarineShip'!$F$27:$F$136,$FG27)*IFERROR($QV$12,0)*(2000/8760)</f>
        <v>0</v>
      </c>
      <c r="OI27" s="155">
        <f>(IF(OR(Flare!$D$24="FUEL GAS",Flare!$D$38="FUEL GAS"),SUMIF(Flare!$E$97:$E$106,$FG27,Flare!$G$97:$G$105),0)+SUMIF(Flare!$E$107:$E$216,$FG27,Flare!$G$107:$G$216))*(2000/8730)*IFERROR($QV$13,0)</f>
        <v>0</v>
      </c>
      <c r="OJ27" s="155">
        <f>SUMIF(LandEmiss!$A$335:$A$434,$FG27,LandEmiss!$C$335:$C$434)*(2000/8760)*IFERROR($QV$13,0)</f>
        <v>0</v>
      </c>
      <c r="OK27" s="155">
        <f>(SUMIF(LandEmiss!$BJ$335:$BJ$434,$FG27,LandEmiss!$BL$335:$BL$434)+SUMIF(LandEmiss!$DU$323:$DU$422,$FG27,LandEmiss!$DW$323:$DW$422))*(2000/8760)*IFERROR($QV$13,0)</f>
        <v>0</v>
      </c>
      <c r="OL27" s="155">
        <f>(IF(OR(VCU!$D$26="FUEL GAS",VCU!$D$42="FUEL GAS"),SUMIF(VCU!$E$120:$E$129,$FG27,VCU!$G$120:$G$129),0)+SUMIF(VCU!$E$130:$E$239,$FG27,VCU!G155:G264))*(2000/8760)*IFERROR($QV$14,0)</f>
        <v>0</v>
      </c>
      <c r="OM27" s="155">
        <f>SUMIF(LandEmiss!$A$335:$A$434,$FG27,LandEmiss!$E$335:$E$434)*(2000/8760)*IFERROR($QV$14,0)</f>
        <v>0</v>
      </c>
      <c r="ON27" s="155">
        <f>(SUMIF(LandEmiss!$BJ$335:$BJ$434,$FG27,LandEmiss!$BN$335:$BN$434)+SUMIF(LandEmiss!$DU$323:$DU$422,$FG27,LandEmiss!$DY$323:$DY$422))*(2000/8760)*IFERROR($QV$14,0)</f>
        <v>0</v>
      </c>
      <c r="OO27" s="155">
        <f>(IF(VaporOxidizer!$D$33="FUEL GAS",SUMIF(VaporOxidizer!$E$101:$E$110,$FG27,VaporOxidizer!$G$101:$G$110),0)+SUMIF(VaporOxidizer!$E$111:$E$220,$FG27,VaporOxidizer!$G$111:$G$220))*(2000/8760)*IFERROR($QV$15,0)</f>
        <v>0</v>
      </c>
      <c r="OP27" s="155">
        <f>SUMIF(LandEmiss!$A$335:$A$434,$FG27,LandEmiss!$G$335:$G$434)*(2000/8760)*IFERROR($QV$15,0)</f>
        <v>0</v>
      </c>
      <c r="OQ27" s="155">
        <f>(SUMIF(LandEmiss!$BJ$335:$BJ$434,$FG27,LandEmiss!$BP$335:$BP$434)+SUMIF(LandEmiss!$DU$323:$DU$422,$FG27,LandEmiss!$EA$323:$EA$422))*(2000/8760)*IFERROR($QV$15,0)</f>
        <v>0</v>
      </c>
      <c r="OR27" s="155">
        <f>SUMIF(CAS!$E$35:$E$144,Hidden!$FG27,CAS!$I$35:$I$144)*IFERROR($QV$16,0)*(2000/8760)</f>
        <v>0</v>
      </c>
      <c r="OS27" s="155">
        <f>SUMIF(LandEmiss!$A$335:$A$434,$FG27,LandEmiss!$I$335:$I$434)*(2000/8760)*IFERROR($QV$27,0)</f>
        <v>0</v>
      </c>
      <c r="OT27" s="155">
        <f>(SUMIF(LandEmiss!$BJ$335:$BJ$434,$FG27,LandEmiss!$BR$335:$BR$434)+SUMIF(LandEmiss!$DU$323:$DU$422,$FG27,LandEmiss!$EC$323:$EC$422))*(2000/8760)*IFERROR($QV$27,0)</f>
        <v>0</v>
      </c>
      <c r="OU27" s="155">
        <f>SUMIF(LandEmiss!$A$335:$A$434,$FG27,LandEmiss!$K$335:$K$434)*(2000/8760)*IFERROR($QV$26,0)</f>
        <v>0</v>
      </c>
      <c r="OV27" s="155">
        <f>(SUMIF(LandEmiss!$BJ$335:$BJ$434,$FG27,LandEmiss!$BT$335:$BT$434)+SUMIF(LandEmiss!$DU$323:$DU$422,$FG27,LandEmiss!$EE$323:$EE$422))*(2000/8760)*IFERROR($QV$26,0)</f>
        <v>0</v>
      </c>
      <c r="OW27" s="155">
        <f>SUMIF(LandEmiss!$A$335:$A$434,$FG27,LandEmiss!$M$335:$M$434)*(2000/8760)*IFERROR($QV$25,0)</f>
        <v>0</v>
      </c>
      <c r="OX27" s="155">
        <f>(SUMIF(LandEmiss!$BJ$335:$BJ$434,$FG27,LandEmiss!$BV$335:$BV$434)+SUMIF(LandEmiss!$DU$323:$DU$422,$FG27,LandEmiss!$EG$323:$EG$422))*(2000/8760)*IFERROR($QV$25,0)</f>
        <v>0</v>
      </c>
      <c r="OY27" s="8">
        <v>0</v>
      </c>
      <c r="OZ27" s="207">
        <v>0</v>
      </c>
      <c r="PA27" s="207">
        <f>IF(OR(HeaterBoiler1!$E$26&lt;&gt;"fuel gas",HeaterBoiler1!$E$15&lt;&gt;"heater"),0,(SUMIF(HeaterBoiler1!$A$54:$D$63,$FG27,HeaterBoiler1!$J$54:$J$63))*(2000/8760))*IFERROR($QV$19,0)</f>
        <v>0</v>
      </c>
      <c r="PB27" s="207">
        <f>IF(OR(HeaterBoiler2!$E$26&lt;&gt;"fuel gas",HeaterBoiler2!$E$15&lt;&gt;"heater"),0,(SUMIF(HeaterBoiler2!$A$54:$D$63,$FG27,HeaterBoiler2!$J$54:$J$63))*(2000/8760))*IFERROR($QV$21,0)</f>
        <v>0</v>
      </c>
      <c r="PC27" s="207">
        <f>IF(OR(HeaterBoiler1!$E$26&lt;&gt;"fuel gas",HeaterBoiler1!$E$15&lt;&gt;"boiler"),0,(SUMIF(HeaterBoiler1!$A$54:$D$63,$FG27,HeaterBoiler1!$J$54:$J$63))*(2000/8760))*IFERROR($QV$20,0)</f>
        <v>0</v>
      </c>
      <c r="PD27" s="207">
        <f>IF(OR(HeaterBoiler2!$E$26&lt;&gt;"fuel gas",HeaterBoiler2!$E$15&lt;&gt;"boiler"),0,(SUMIF(HeaterBoiler2!$A$54:$D$63,$FG27,HeaterBoiler2!$J$54:$J$63))*(2000/8760))*IFERROR($QV$22,0)</f>
        <v>0</v>
      </c>
      <c r="PE27" s="8">
        <f>(SUMIF(Fug!$A$96:$A$205,$FG27,Fug!$J$96:$J$205))*IFERROR($QV$23,0)*(2000/8760)</f>
        <v>0</v>
      </c>
      <c r="PF27" s="8">
        <f t="shared" si="31"/>
        <v>0</v>
      </c>
      <c r="PG27" s="156">
        <f t="shared" si="32"/>
        <v>0</v>
      </c>
      <c r="PJ27" s="52" t="str">
        <f>IF(Fug!$F$16=Hidden!$PP$2,"Compressors","Relief Valves")</f>
        <v>Relief Valves</v>
      </c>
      <c r="PK27" s="52" t="str">
        <f>IF(Fug!$F$16=Hidden!$PP$2,"Heavy Oil &lt; 20° API","Gas/Vapor")</f>
        <v>Gas/Vapor</v>
      </c>
      <c r="PL27" s="52">
        <v>0.2293</v>
      </c>
      <c r="PM27" s="52">
        <v>0.2293</v>
      </c>
      <c r="PN27" s="52">
        <v>0.2293</v>
      </c>
      <c r="PO27" s="52">
        <v>9.8599999999999993E-2</v>
      </c>
      <c r="PP27" s="52">
        <v>6.8300000000000007E-5</v>
      </c>
      <c r="PQ27" s="52">
        <v>1.65E-4</v>
      </c>
      <c r="PR27" s="52">
        <v>1.6200000000000001E-5</v>
      </c>
      <c r="PS27" s="52">
        <v>2.9960000000000001E-2</v>
      </c>
      <c r="PT27" s="52" t="s">
        <v>8788</v>
      </c>
      <c r="PU27" s="52" t="s">
        <v>8780</v>
      </c>
      <c r="PV27" s="52">
        <v>0</v>
      </c>
      <c r="PW27" s="52">
        <v>0</v>
      </c>
      <c r="PX27" s="52">
        <v>0</v>
      </c>
      <c r="PY27" s="52">
        <v>0</v>
      </c>
      <c r="PZ27" s="52">
        <v>0</v>
      </c>
      <c r="QA27" s="52">
        <v>0</v>
      </c>
      <c r="QB27" s="52" t="s">
        <v>8790</v>
      </c>
      <c r="QC27" s="52" t="s">
        <v>8801</v>
      </c>
      <c r="QD27" s="52">
        <v>0</v>
      </c>
      <c r="QE27" s="52">
        <v>0.97</v>
      </c>
      <c r="QF27" s="52">
        <v>0.97</v>
      </c>
      <c r="QG27" s="52">
        <v>0.97</v>
      </c>
      <c r="QH27" s="52">
        <v>0</v>
      </c>
      <c r="QI27" s="52">
        <v>0.97</v>
      </c>
      <c r="QK27" s="95" t="s">
        <v>9132</v>
      </c>
      <c r="QM27" s="16" t="s">
        <v>9805</v>
      </c>
      <c r="QN27" s="104" t="e">
        <f t="shared" si="38"/>
        <v>#N/A</v>
      </c>
      <c r="QO27" s="16">
        <f>MSS!D67</f>
        <v>0</v>
      </c>
      <c r="QP27" s="16">
        <f>MSS!D66</f>
        <v>0</v>
      </c>
      <c r="QQ27" s="16" t="str">
        <f>IF(QO27&lt;12,QX24,IF(QO27&lt;20,QX25,IF(QO27&lt;30,QX14,IF(QO27&lt;40,QX15,QX16))))</f>
        <v>PORTCD12</v>
      </c>
      <c r="QR27" s="16" t="e">
        <f>IF(QN27=10,VLOOKUP(QQ27,$QX$2:$RG$31,MATCH(QP27,$QX$2:$RG$2,1),FALSE),IF(QN27=12,VLOOKUP(QQ27,$QX$33:$RG$62,MATCH(QP27,$QX$33:$RG$33,1),FALSE),IF(QN27=14,VLOOKUP(QQ27,$QX$64:$RG$94,MATCH(QP27,$QX$64:$RG$64,1),FALSE),IF(QN27=15,VLOOKUP(QQ27,$QX$96:$RG$125,MATCH(QP27,$QX$96:$RG$96,1),FALSE)))))</f>
        <v>#N/A</v>
      </c>
      <c r="QS27" s="16" t="e">
        <f>IF(QN27=10,VLOOKUP(QQ27,$RH$2:$RQ$31,MATCH(QP27,$RH$2:$RQ$2,1),FALSE),IF(QN27=12,VLOOKUP(QQ27,$RH$33:$RQ$62,MATCH(QP27,$RH$33:$RQ$33,1),FALSE),IF(QN27=14,VLOOKUP(QQ27,$RH$64:$RQ$94,MATCH(QP27,$RH$64:$RQ$64,1),FALSE),IF(QN27=15,VLOOKUP(QQ27,$RH$96:$RQ$125,MATCH(QP27,$RH$96:$RQ$96,1),FALSE)))))</f>
        <v>#N/A</v>
      </c>
      <c r="QT27" s="16" t="e">
        <f>IF(QN27=10,VLOOKUP(QQ27,$RR$2:$SA$31,MATCH(QP27,$RR$2:$SA$2,1),FALSE),IF(QN27=12,VLOOKUP(QQ27,$RR$33:$SA$62,MATCH(QP27,$RR$33:$SA$33,1),FALSE),IF(QN27=14,VLOOKUP(QQ27,$RR$64:$SA$94,MATCH(QP27,$RR$64:$SA$64,1),FALSE),IF(QN27=15,VLOOKUP(QQ27,$RR$96:$SA$125,MATCH(QP27,$RR$96:$SA$96,1),FALSE)))))</f>
        <v>#N/A</v>
      </c>
      <c r="QU27" s="16" t="e">
        <f>IF(QN27=10,VLOOKUP(QQ27,$SB$2:$SK$31,MATCH(QP27,$SB$2:$SK$2,1),FALSE),IF(QN27=12,VLOOKUP(QQ27,$SB$33:$SK$62,MATCH(QP27,$SB$33:$SK$33,1),FALSE),IF(QN27=14,VLOOKUP(QQ27,$SB$64:$SK$94,MATCH(QP27,$SB$64:$SK$64,1),FALSE),IF(QN27=15,VLOOKUP(QQ27,$SB$96:$SK$125,MATCH(QP27,$SB$96:$SK$96,1),FALSE)))))</f>
        <v>#N/A</v>
      </c>
      <c r="QV27" s="16" t="e">
        <f>IF(QN27=10,VLOOKUP(QQ27,$SL$2:$SU$31,MATCH(QP27,$SL$2:$SU$2,1),FALSE),IF(QN27=12,VLOOKUP(QQ27,$SL$33:$SU$62,MATCH(QP27,$SL$33:$SU$33,1),FALSE),IF(QN27=14,VLOOKUP(QQ27,$SL$64:$SU$94,MATCH(QP27,$SL$64:$SU$64,1),FALSE),IF(QN27=15,VLOOKUP(QQ27,$SL$96:$SU$125,MATCH(QP27,$SL$96:$SU$96,1),FALSE)))))</f>
        <v>#N/A</v>
      </c>
      <c r="QX27" s="89" t="s">
        <v>9335</v>
      </c>
      <c r="QY27">
        <v>1286.0999999999999</v>
      </c>
      <c r="QZ27">
        <v>1286.0999999999999</v>
      </c>
      <c r="RA27">
        <v>1286.0999999999999</v>
      </c>
      <c r="RB27">
        <v>1286.0999999999999</v>
      </c>
      <c r="RC27">
        <v>1286.0999999999999</v>
      </c>
      <c r="RD27">
        <v>1286.0999999999999</v>
      </c>
      <c r="RE27">
        <v>1286.0999999999999</v>
      </c>
      <c r="RF27">
        <v>1286.0999999999999</v>
      </c>
      <c r="RG27">
        <v>1286.0999999999999</v>
      </c>
      <c r="RH27" s="89" t="s">
        <v>9335</v>
      </c>
      <c r="RQ27" s="90"/>
      <c r="RR27" s="89" t="s">
        <v>9335</v>
      </c>
      <c r="SA27" s="90"/>
      <c r="SB27" s="89" t="s">
        <v>9335</v>
      </c>
      <c r="SK27" s="90"/>
      <c r="SL27" s="89" t="s">
        <v>9335</v>
      </c>
      <c r="SM27">
        <v>33.14</v>
      </c>
      <c r="SN27">
        <v>33.14</v>
      </c>
      <c r="SO27">
        <v>33.14</v>
      </c>
      <c r="SP27">
        <v>33.14</v>
      </c>
      <c r="SQ27">
        <v>33.14</v>
      </c>
      <c r="SR27">
        <v>33.14</v>
      </c>
      <c r="SS27">
        <v>33.14</v>
      </c>
      <c r="ST27">
        <v>33.14</v>
      </c>
      <c r="SU27" s="90">
        <v>33.14</v>
      </c>
      <c r="TI27" s="253" t="s">
        <v>326</v>
      </c>
      <c r="TJ27" s="259" t="str">
        <f>IF(Tank5!D18="","",
IF(Tank5!D18="vertical fixed roof",VLOOKUP(Hidden!TJ20,Hidden!TI3:TK5,MATCH(Hidden!TK20,Hidden!TI2:TK2,0),FALSE),
IF(Tank5!D18="horizontal fixed roof",VLOOKUP(Hidden!TJ20,Hidden!TI3:TK5,MATCH(Hidden!TK20,Hidden!TI2:TK2,0),FALSE),
IF(Tank5!D18="internal floating roof",VLOOKUP(Hidden!TJ20,Hidden!TI11:TK13,MATCH(Hidden!TK20,Hidden!TI10:TK10,0),FALSE),
IF(Tank5!D18="external floating roof",VLOOKUP(Hidden!TJ20,Hidden!TI7:TK9,MATCH(Hidden!TK20,Hidden!TI6:TK6,0),FALSE),"")))))</f>
        <v/>
      </c>
      <c r="TL27" t="s">
        <v>10212</v>
      </c>
      <c r="TM27" s="225" t="s">
        <v>10499</v>
      </c>
    </row>
    <row r="28" spans="1:533" ht="42.75" x14ac:dyDescent="0.2">
      <c r="A28" s="8" t="s">
        <v>205</v>
      </c>
      <c r="B28" s="8">
        <v>14</v>
      </c>
      <c r="D28" s="8" t="s">
        <v>225</v>
      </c>
      <c r="E28" s="8" t="b">
        <f>IF($D28='PI-1-MarineLoading'!$D$73,TRUE,FALSE)</f>
        <v>0</v>
      </c>
      <c r="W28">
        <f>IF(OR(X28=0,ISNUMBER(MATCH(X28,$X$1:X27,0))),0,MAX($W$1:W27)+1)</f>
        <v>0</v>
      </c>
      <c r="X28" s="123">
        <f>Products!$E75</f>
        <v>0</v>
      </c>
      <c r="Y28" t="str">
        <f t="shared" si="3"/>
        <v/>
      </c>
      <c r="CA28">
        <f>IF(OR(CB28=0,ISNUMBER(MATCH(CB28,$CB$1:CB27,0))),0,MAX($CA$1:CA27)+1)</f>
        <v>0</v>
      </c>
      <c r="CB28" s="8">
        <f>IF(OR(Tank1!$D$18="EXTERNAL FLOATING ROOF",Tank1!$D$18="INTERNAL FLOATING ROOF"),IF(Tank1!$E58="",0,Tank1!$E58),0)</f>
        <v>0</v>
      </c>
      <c r="CC28" s="8" t="str">
        <f t="shared" si="6"/>
        <v/>
      </c>
      <c r="CD28" s="8"/>
      <c r="CE28" s="8">
        <f>IF(OR(CF28=0,ISNUMBER(MATCH(CF28,$CF$1:CF27,0))),0,MAX($CE$1:CE27)+1)</f>
        <v>0</v>
      </c>
      <c r="CF28" s="8">
        <f>IF(OR(Tank1!$D$18="HORIZONTAL FIXED ROOF",Tank1!$D$18="VERTICAL FIXED ROOF"),IF(Tank1!$E58="",0,Tank1!$E58),0)</f>
        <v>0</v>
      </c>
      <c r="CG28" s="8" t="str">
        <f t="shared" si="7"/>
        <v/>
      </c>
      <c r="CJ28">
        <f>IF(OR(CK28=0,ISNUMBER(MATCH(CK28,$CK$1:CK27,0))),0,MAX($CJ$1:CJ27)+1)</f>
        <v>0</v>
      </c>
      <c r="CK28">
        <f>Tank3!$A$98</f>
        <v>0</v>
      </c>
      <c r="CM28">
        <f>IFERROR(VLOOKUP($CK28,Tank3!$A$32:$D$141,3,FALSE),0)</f>
        <v>0</v>
      </c>
      <c r="CN28">
        <f>IFERROR(VLOOKUP($CK28,Tank3!$A$32:$D$141,4,FALSE),0)</f>
        <v>0</v>
      </c>
      <c r="DM28">
        <f>IF(OR(DN28=0,ISNUMBER(MATCH(DN28,$DN$1:DN27,0))),0,MAX($DM$1:DM27)+1)</f>
        <v>0</v>
      </c>
      <c r="DN28">
        <f>IF(Tank3!$D$22="Flare",IFERROR(VLOOKUP(Products!$A$119,Tank3!$A$32:$B$141,1,FALSE),0),0)</f>
        <v>0</v>
      </c>
      <c r="DO28">
        <f>IF($DN28=0,0,VLOOKUP($DN28,Tank3!$A$32:$H$141,7,FALSE))</f>
        <v>0</v>
      </c>
      <c r="DP28">
        <f>IF($DN28=0,0,VLOOKUP($DN28,Tank3!$A$32:$H$141,8,FALSE))</f>
        <v>0</v>
      </c>
      <c r="DU28">
        <f>IF(OR(DV28=0,ISNUMBER(MATCH(DV28,$DV$1:DV27,0))),0,MAX($DU$1:DU27)+1)</f>
        <v>0</v>
      </c>
      <c r="DV28">
        <f>IF(Tank3!$D$22="VCU",IFERROR(VLOOKUP(Products!$A$119,Tank3!$A$32:$B$141,1,FALSE),0),0)</f>
        <v>0</v>
      </c>
      <c r="DW28">
        <f>IF($DV28=0,0,VLOOKUP($DV28,Tank3!$A$32:$H$141,7,FALSE))</f>
        <v>0</v>
      </c>
      <c r="DX28">
        <f>IF($DV28=0,0,VLOOKUP($DV28,Tank3!$A$32:$H$141,8,FALSE))</f>
        <v>0</v>
      </c>
      <c r="EC28">
        <f>IF(OR(ED28=0,ISNUMBER(MATCH(ED28,$ED$1:ED27,0))),0,MAX($EC$1:EC27)+1)</f>
        <v>0</v>
      </c>
      <c r="ED28">
        <f>IF(Tank3!$D$22="vapor oxidizer",IFERROR(VLOOKUP(Products!$A$119,Tank3!$A$32:$B$141,1,FALSE),0),0)</f>
        <v>0</v>
      </c>
      <c r="EE28">
        <f>IF($ED28=0,0,VLOOKUP($ED28,Tank3!$A$32:$H$141,7,FALSE))</f>
        <v>0</v>
      </c>
      <c r="EF28">
        <f>IF($ED28=0,0,VLOOKUP($ED28,Tank3!$A$32:$H$141,8,FALSE))</f>
        <v>0</v>
      </c>
      <c r="EK28">
        <f>IF(OR(EL28=0,ISNUMBER(MATCH(EL28,$EL$1:EL27,0))),0,MAX($EK$1:EK27)+1)</f>
        <v>0</v>
      </c>
      <c r="EL28">
        <f>IF(Tank3!$D$22="CAS",IFERROR(VLOOKUP(Products!A119,Tank3!$A$32:$B$141,1,FALSE),0),0)</f>
        <v>0</v>
      </c>
      <c r="EM28">
        <f>IF($EL28=0,0,VLOOKUP($EL28,Tank3!$A$32:$H$141,7,FALSE))</f>
        <v>0</v>
      </c>
      <c r="EN28">
        <f>IF($EL28=0,0,VLOOKUP($EL28,Tank3!$A$32:$H$141,8,FALSE))</f>
        <v>0</v>
      </c>
      <c r="FB28" s="8" t="s">
        <v>409</v>
      </c>
      <c r="FC28" s="8" t="s">
        <v>410</v>
      </c>
      <c r="FD28" s="8">
        <v>2200</v>
      </c>
      <c r="FE28" s="8">
        <v>220</v>
      </c>
      <c r="FG28" s="360" t="str">
        <f t="shared" si="23"/>
        <v/>
      </c>
      <c r="FH28" s="155">
        <f>IF(Tank1!$D$22="NO CONTROL",_xlfn.MAXIFS(Tank1!$G$32:$G$141,Tank1!$E$32:$E$141,$FG28),0)*IFERROR($QR$3,0)</f>
        <v>0</v>
      </c>
      <c r="FI28" s="155">
        <f>_xlfn.MAXIFS(LandEmiss!$AF$20:$AF$119,LandEmiss!$AE$20:$AE$119,$FG28)*IFERROR($QR$3,0)</f>
        <v>0</v>
      </c>
      <c r="FJ28" s="155">
        <f>MAX(_xlfn.MAXIFS(LandEmiss!$CO$20:$CO$119,LandEmiss!$CN$20:$CN$119,$FG28),_xlfn.MAXIFS(LandEmiss!$EZ$9:$EZ$108,LandEmiss!$EY$9:$EY$108,$FG28))*IFERROR($QR$3,0)</f>
        <v>0</v>
      </c>
      <c r="FK28" s="155">
        <f>IF(Tank2!$D$22="NO CONTROL",_xlfn.MAXIFS(Tank2!$G$32:$G$141,Tank2!$E$32:$E$141,$FG28),0)*IFERROR($QR$4,0)</f>
        <v>0</v>
      </c>
      <c r="FL28" s="155">
        <f>_xlfn.MAXIFS(LandEmiss!$AG$20:$AG$119,LandEmiss!$AE$20:$AE$119,$FG28)*IFERROR($QR$4,0)</f>
        <v>0</v>
      </c>
      <c r="FM28" s="155">
        <f>MAX(_xlfn.MAXIFS(LandEmiss!$CP$20:$CP$119,LandEmiss!$CN$20:$CN$119,$FG28),_xlfn.MAXIFS(LandEmiss!$FA$9:$FA$108,LandEmiss!$EY$9:$EY$108,$FG28))*IFERROR($QR$4,0)</f>
        <v>0</v>
      </c>
      <c r="FN28" s="155">
        <f>IF(Tank3!$D$22="NO CONTROL",_xlfn.MAXIFS(Tank3!$G$32:$G$141,Tank3!$E$32:$E$141,$FG28),0)*IFERROR($QR$5,0)</f>
        <v>0</v>
      </c>
      <c r="FO28" s="155">
        <f>_xlfn.MAXIFS(LandEmiss!$AH$20:$AH$119,LandEmiss!$AE$20:$AE$119,$FG28)*IFERROR($QR$5,0)</f>
        <v>0</v>
      </c>
      <c r="FP28" s="155">
        <f>MAX(_xlfn.MAXIFS(LandEmiss!$CQ$20:$CQ$119,LandEmiss!$CN$20:$CN$119,$FG28),_xlfn.MAXIFS(LandEmiss!$FB$9:$FB$108,LandEmiss!$EY$9:$EY$108,$FG28))*IFERROR($QR$5,0)</f>
        <v>0</v>
      </c>
      <c r="FQ28" s="155">
        <f>IF(Tank4!$D$22="NO CONTROL",_xlfn.MAXIFS(Tank4!$G$32:$G$141,Tank4!$E$32:$E$141,$FG28),0)*IFERROR($QR$6,0)</f>
        <v>0</v>
      </c>
      <c r="FR28" s="155">
        <f>_xlfn.MAXIFS(LandEmiss!$AI$20:$AI$119,LandEmiss!$AE$20:$AE$119,$FG28)*IFERROR($QR$6,0)</f>
        <v>0</v>
      </c>
      <c r="FS28" s="155">
        <f>MAX(_xlfn.MAXIFS(LandEmiss!$CR$20:$CR$119,LandEmiss!$CN$20:$CN$119,$FG28),_xlfn.MAXIFS(LandEmiss!$FC$9:$FC$108,LandEmiss!$EY$9:$EY$108,$FG28))*IFERROR($QR$6,0)</f>
        <v>0</v>
      </c>
      <c r="FT28" s="155">
        <f>IF(Tank5!$D$22="NO CONTROL",_xlfn.MAXIFS(Tank5!$G$32:$G$141,Tank5!$E$32:$E$141,$FG28),0)*IFERROR($QR$7,0)</f>
        <v>0</v>
      </c>
      <c r="FU28" s="155">
        <f>_xlfn.MAXIFS(LandEmiss!$AJ$20:$AJ$119,LandEmiss!$AE$20:$AE$119,$FG28)*IFERROR($QR$7,0)</f>
        <v>0</v>
      </c>
      <c r="FV28" s="155">
        <f>MAX(_xlfn.MAXIFS(LandEmiss!$CS$20:$CS$119,LandEmiss!$CN$20:$CN$119,$FG28),_xlfn.MAXIFS(LandEmiss!$FD$9:$FD$108,LandEmiss!$EY$9:$EY$108,$FG28))*IFERROR($QR33,0)</f>
        <v>0</v>
      </c>
      <c r="FW28" s="155">
        <f>_xlfn.MAXIFS('Load-DrumTote'!$K$27:$K$136,'Load-DrumTote'!$F$27:$F$136,$FG28)*IFERROR($QR$8,0)</f>
        <v>0</v>
      </c>
      <c r="FX28" s="155">
        <f>_xlfn.MAXIFS('Load-Truck'!$K$27:$K$136,'Load-Truck'!$F$27:$F$136,$FG28)*IFERROR($QR$9,0)</f>
        <v>0</v>
      </c>
      <c r="FY28" s="155">
        <f>_xlfn.MAXIFS('Load-Rail'!$K$27:$K$136,'Load-Rail'!$F$27:$F$136,$FG28)*IFERROR($QR$10,0)</f>
        <v>0</v>
      </c>
      <c r="FZ28" s="155">
        <f>_xlfn.MAXIFS('Load-MarineBarge'!$K$27:$K$136,'Load-MarineBarge'!$F$27:$F$136,$FG28)*IFERROR($QR$11,0)</f>
        <v>0</v>
      </c>
      <c r="GA28" s="155">
        <f>_xlfn.MAXIFS('Load-MarineShip'!$K$27:$K$136,'Load-MarineShip'!$F$27:$F$136,$FG28)*IFERROR($QR$12,0)</f>
        <v>0</v>
      </c>
      <c r="GB28" s="313">
        <f>IF(OR(Flare!$D$24="fuel gas",Flare!$D$38="fuel gas"),SUMIF(Flare!$E$97:$E$106,$FG28,Flare!$F$97:$F$106),0)*IFERROR($QR$13,0)</f>
        <v>0</v>
      </c>
      <c r="GC28" s="313">
        <f>(_xlfn.MAXIFS(CtrlDevImpacts!$I$57:$I$156,CtrlDevImpacts!$H$57:$H$156,$FG28))*IFERROR($QR$13,0)</f>
        <v>0</v>
      </c>
      <c r="GD28" s="313">
        <f>(_xlfn.MAXIFS(Flare!$F$107:$F$216,Flare!$E$107:$E$216,$FG28)-_xlfn.MAXIFS(CtrlDevImpacts!$I$57:$I$156,CtrlDevImpacts!$H$57:$H$156,$FG28))*IFERROR($QR$13,0)</f>
        <v>0</v>
      </c>
      <c r="GE28" s="155">
        <f>_xlfn.MAXIFS(LandEmiss!$B$335:$B$434,LandEmiss!$A$335:$A$434,$FG28)*IFERROR($QR$13,0)</f>
        <v>0</v>
      </c>
      <c r="GF28" s="155">
        <f>(_xlfn.MAXIFS(LandEmiss!$BK$335:$BK$434,LandEmiss!$BJ$335:$BJ$434,$FG28)+_xlfn.MAXIFS(LandEmiss!$DV$323:$DV$422,LandEmiss!$DU$323:$DU$422,$FG28))*IFERROR($QR$13,0)</f>
        <v>0</v>
      </c>
      <c r="GG28" s="313">
        <f>IF(OR(VCU!$D$26="fuel gas",VCU!$D$42="fuel gas"),SUMIF(VCU!$E$120:$E$129,$FG28,VCU!$F$120:$F$129),0)*IFERROR($QR$14,0)</f>
        <v>0</v>
      </c>
      <c r="GH28" s="313">
        <f>(_xlfn.MAXIFS(CtrlDevImpacts!$X$57:$X$156,CtrlDevImpacts!$W$57:$W$156,$FG28))*IFERROR($QR$14,0)</f>
        <v>0</v>
      </c>
      <c r="GI28" s="313">
        <f>(_xlfn.MAXIFS(VCU!$F$130:$F$239,VCU!$E$130:$E$239,$FG28)-_xlfn.MAXIFS(CtrlDevImpacts!$X$57:$X$156,CtrlDevImpacts!$W$57:$W$156,$FG28))*IFERROR($QR$14,0)</f>
        <v>0</v>
      </c>
      <c r="GJ28" s="155">
        <f>_xlfn.MAXIFS(LandEmiss!$D$335:$D$434,LandEmiss!$A$335:$A$434,$FG28)*IFERROR($QR$14,0)</f>
        <v>0</v>
      </c>
      <c r="GK28" s="155">
        <f>(_xlfn.MAXIFS(LandEmiss!$BM$335:$BM$434,LandEmiss!$BJ$335:$BJ$434,$FG28)+_xlfn.MAXIFS(LandEmiss!$DX$323:$DX$422,LandEmiss!$DU$323:$DU$422,$FG28))*IFERROR($QR$14,0)</f>
        <v>0</v>
      </c>
      <c r="GL28" s="313">
        <f>IF(VaporOxidizer!D59="FUEL GAS",SUMIF(VaporOxidizer!$E$101:$E$110,$FG28,VaporOxidizer!$F$101:$F$110),0)*IFERROR($QR$15,0)</f>
        <v>0</v>
      </c>
      <c r="GM28" s="313">
        <f>(_xlfn.MAXIFS(CtrlDevImpacts!$AN$57:$AN$156,CtrlDevImpacts!$AM$57:$AM$156,$FG28))*IFERROR($QR$15,0)</f>
        <v>0</v>
      </c>
      <c r="GN28" s="313">
        <f>(_xlfn.MAXIFS(VaporOxidizer!$F$111:$F$220,VaporOxidizer!$E$111:$E$220,$FG28)-_xlfn.MAXIFS(CtrlDevImpacts!$AN$57:$AN$156,CtrlDevImpacts!$AM$57:$AM$156,$FG28))*IFERROR($QR$15,0)</f>
        <v>0</v>
      </c>
      <c r="GO28" s="155">
        <f>_xlfn.MAXIFS(LandEmiss!$F$335:$F$434,LandEmiss!$A$335:$A$434,$FG28)*IFERROR($QR$15,0)</f>
        <v>0</v>
      </c>
      <c r="GP28" s="155">
        <f>(_xlfn.MAXIFS(LandEmiss!$BK$335:$BK$434,LandEmiss!$BO$335:$BO$434,$FG28)+_xlfn.MAXIFS(LandEmiss!$DZ$323:$DZ$422,LandEmiss!$DU$323:$DU$422,$FG28))*IFERROR($QR$15,0)</f>
        <v>0</v>
      </c>
      <c r="GQ28" s="313">
        <f>_xlfn.MAXIFS(CtrlDevImpacts!$BD$57:$BD$156,CtrlDevImpacts!$BC$57:$BC$156,$FG28)*IFERROR(Hidden!$QR$16,0)</f>
        <v>0</v>
      </c>
      <c r="GR28" s="313">
        <f>(_xlfn.MAXIFS(CAS!$H$35:$H$144,CAS!$E$35:$E$144,$FG28)-_xlfn.MAXIFS(CtrlDevImpacts!$BD$57:$BD$156,CtrlDevImpacts!$BC$57:$BC$156,$FG28))*IFERROR(Hidden!$QR$16,0)</f>
        <v>0</v>
      </c>
      <c r="GS28" s="155">
        <f>_xlfn.MAXIFS(LandEmiss!$H$335:$H$434,LandEmiss!$A$335:$A$434,$FG28)*IFERROR($QR$27,0)</f>
        <v>0</v>
      </c>
      <c r="GT28" s="155">
        <f>(_xlfn.MAXIFS(LandEmiss!$BK$335:$BK$434,LandEmiss!$BQ$335:$BQ$434,$FG28)+_xlfn.MAXIFS(LandEmiss!$EB$323:$EB$422,LandEmiss!$DU$323:$DU$422,$FG28))*IFERROR($QR$27,0)</f>
        <v>0</v>
      </c>
      <c r="GU28" s="155">
        <f>_xlfn.MAXIFS(LandEmiss!$J$335:$J$434,LandEmiss!$A$335:$A$434,$FG28)*IFERROR($QR$26,0)</f>
        <v>0</v>
      </c>
      <c r="GV28" s="155">
        <f>(_xlfn.MAXIFS(LandEmiss!$BK$335:$BK$434,LandEmiss!$BS$335:$BS$434,$FG28)+_xlfn.MAXIFS(LandEmiss!$ED$323:$ED$422,LandEmiss!$DU$323:$DU$422,$FG28))*IFERROR($QR$26,0)</f>
        <v>0</v>
      </c>
      <c r="GW28" s="155">
        <f>_xlfn.MAXIFS(LandEmiss!$L$335:$L$434,LandEmiss!$A$335:$A$434,$FG28)*IFERROR($QR$25,0)</f>
        <v>0</v>
      </c>
      <c r="GX28" s="155">
        <f>(_xlfn.MAXIFS(LandEmiss!$BK$335:$BK$434,LandEmiss!$BU$335:$BU$434,$FG28)+_xlfn.MAXIFS(LandEmiss!$EF$323:$EF$422,LandEmiss!$DU$323:$DU$422,$FG28))*IFERROR($QR$25,0)</f>
        <v>0</v>
      </c>
      <c r="GY28" s="155">
        <v>0</v>
      </c>
      <c r="GZ28" s="155">
        <v>0</v>
      </c>
      <c r="HA28" s="155">
        <f>IF(OR(HeaterBoiler1!$E$26&lt;&gt;"fuel gas",HeaterBoiler1!$E$15&lt;&gt;"heater"),0,SUMIF(HeaterBoiler1!$A$54:$D$63,$FG28,HeaterBoiler1!$I$54:$I$63))*IFERROR($QR$19,0)</f>
        <v>0</v>
      </c>
      <c r="HB28" s="207">
        <f>IF(OR(HeaterBoiler2!$E$26&lt;&gt;"fuel gas",HeaterBoiler2!$E$15&lt;&gt;"heater"),0,SUMIF(HeaterBoiler2!$A$54:$D$63,$FG28,HeaterBoiler2!$I$54:$I$63))*IFERROR($QR$21,0)</f>
        <v>0</v>
      </c>
      <c r="HC28" s="155">
        <f>IF(OR(HeaterBoiler1!$E$26&lt;&gt;"fuel gas",HeaterBoiler1!$E$15&lt;&gt;"boiler"),0,SUMIF(HeaterBoiler1!$A$41:$A$50,$FG28,HeaterBoiler1!$F$41:$F$50))*IFERROR($QR$20,0)</f>
        <v>0</v>
      </c>
      <c r="HD28" s="207">
        <f>IF(OR(HeaterBoiler2!$E$26&lt;&gt;"fuel gas",HeaterBoiler2!$E$15&lt;&gt;"boiler"),0,SUMIF(HeaterBoiler2!$A$41:$A$50,$FG28,HeaterBoiler2!$F$41:$F$50))*IFERROR($QR$22,0)</f>
        <v>0</v>
      </c>
      <c r="HE28" s="155">
        <f>SUMIF(Fug!$A$96:$A$205,$FG28,Fug!$I$96:$I$205)*IFERROR(Hidden!$QR$23,0)</f>
        <v>0</v>
      </c>
      <c r="HF28" s="155">
        <f t="shared" si="24"/>
        <v>0</v>
      </c>
      <c r="HG28" s="156">
        <f t="shared" si="25"/>
        <v>0</v>
      </c>
      <c r="HH28" s="156">
        <f t="shared" si="26"/>
        <v>0</v>
      </c>
      <c r="HI28" s="156">
        <f t="shared" si="27"/>
        <v>0</v>
      </c>
      <c r="HJ28" s="156">
        <f t="shared" si="28"/>
        <v>0</v>
      </c>
      <c r="HK28" s="156">
        <f t="shared" si="29"/>
        <v>0</v>
      </c>
      <c r="HL28" s="156">
        <f t="shared" si="30"/>
        <v>0</v>
      </c>
      <c r="NO28" s="155">
        <f>IF(Tank1!$D$22="No control",(SUMIF(Tank1!$E$32:$E$141,$FG28,Tank1!$H$32:$H$141)*(2000/8760)*IFERROR($QV$3,0)),0)</f>
        <v>0</v>
      </c>
      <c r="NP28" s="156">
        <f>SUMIF(LandEmiss!$AE$20:$AE$119,$FG28,LandEmiss!$AK$20:$AK$119)*(2000/8760)*IFERROR($QV$3,0)</f>
        <v>0</v>
      </c>
      <c r="NQ28" s="156">
        <f>(SUMIF(LandEmiss!$CN$20:$CN$119,$FG28,LandEmiss!$CT$20:$CT$119)+SUMIF(LandEmiss!$EY$9:$EY$108,$FG28,LandEmiss!$FE$9:$FE$108))*IFERROR($QV$3,0)*(2000/8760)</f>
        <v>0</v>
      </c>
      <c r="NR28" s="155">
        <f>IF(Tank2!$D$22="No control",(SUMIF(Tank2!$E$32:$E$141,$FG28,Tank2!$H$32:$H$141)*(2000/8760)*IFERROR($QV$4,0)),0)</f>
        <v>0</v>
      </c>
      <c r="NS28" s="156">
        <f>SUMIF(LandEmiss!$AE$20:$AE$119,$FG28,LandEmiss!$AL$20:$AL$119)*(2000/8760)*IFERROR($QV$4,0)</f>
        <v>0</v>
      </c>
      <c r="NT28" s="156">
        <f>(SUMIF(LandEmiss!$CN$20:$CN$119,$FG28,LandEmiss!$CU$20:$CU$119)+SUMIF(LandEmiss!$EY$9:$EY$108,$FG28,LandEmiss!$FF$9:$FF$108))*IFERROR($QV$4,0)*(2000/8760)</f>
        <v>0</v>
      </c>
      <c r="NU28" s="155">
        <f>IF(Tank3!$D$22="No control",(SUMIF(Tank3!$E$32:$E$141,$FG28,Tank3!$H$32:$H$141)*(2000/8760)*IFERROR($QV$5,0)),0)</f>
        <v>0</v>
      </c>
      <c r="NV28" s="156">
        <f>SUMIF(LandEmiss!$AE$20:$AE$119,$FG28,LandEmiss!$AM$20:$AM$119)*(2000/8760)*IFERROR($QV$5,0)</f>
        <v>0</v>
      </c>
      <c r="NW28" s="156">
        <f>(SUMIF(LandEmiss!$CN$20:$CN$119,$FG28,LandEmiss!$CV$20:$CV$119)+SUMIF(LandEmiss!$EY$9:$EY$108,$FG28,LandEmiss!$FG$9:$FG$108))*IFERROR($QV$5,0)*(2000/8760)</f>
        <v>0</v>
      </c>
      <c r="NX28" s="155">
        <f>IF(Tank4!$D$22="No control",(SUMIF(Tank4!$E$32:$E$141,$FG28,Tank4!$H$32:$H$141)*(2000/8760)*IFERROR($QV$6,0)),0)</f>
        <v>0</v>
      </c>
      <c r="NY28" s="156">
        <f>SUMIF(LandEmiss!$AE$20:$AE$119,$FG28,LandEmiss!$AN$20:$AN$119)*(2000/8760)*IFERROR($QV$6,0)</f>
        <v>0</v>
      </c>
      <c r="NZ28" s="156">
        <f>(SUMIF(LandEmiss!$CN$20:$CN$119,$FG28,LandEmiss!$CW$20:$CW$119)+SUMIF(LandEmiss!$EY$9:$EY$108,$FG28,LandEmiss!$FH$9:$FH$108))*IFERROR($QV$6,0)*(2000/8760)</f>
        <v>0</v>
      </c>
      <c r="OA28" s="155">
        <f>IF(Tank5!$D$22="No control",(SUMIF(Tank5!$E$32:$E$141,$FG28,Tank5!$H$32:$H$141)*(2000/8760)*IFERROR($QV$7,0)),0)</f>
        <v>0</v>
      </c>
      <c r="OB28" s="156">
        <f>SUMIF(LandEmiss!$AE$20:$AE$119,$FG28,LandEmiss!$AO$20:$AO$119)*(2000/8760)*IFERROR($QV$7,0)</f>
        <v>0</v>
      </c>
      <c r="OC28" s="156">
        <f>(SUMIF(LandEmiss!$CN$20:$CN$119,$FG28,LandEmiss!$CX$20:$CX$119)+SUMIF(LandEmiss!$EY$9:$EY$108,$FG28,LandEmiss!$FI$9:$FI$108))*IFERROR($QV$7,0)*(2000/8760)</f>
        <v>0</v>
      </c>
      <c r="OD28" s="155">
        <f>SUMIFS('Load-DrumTote'!$L$27:$L$136,'Load-DrumTote'!$F$27:$F$136,$FG28)*IFERROR($QV$8,0)*(2000/8760)</f>
        <v>0</v>
      </c>
      <c r="OE28" s="155">
        <f>SUMIFS('Load-Truck'!$L$27:$L$136,'Load-Truck'!$F$27:$F$136,$FG28)*IFERROR($QV$9,0)*(2000/8760)</f>
        <v>0</v>
      </c>
      <c r="OF28" s="155">
        <f>SUMIFS('Load-Rail'!$L$27:$L$136,'Load-Rail'!$F$27:$F$136,$FG28)*IFERROR($QV$10,0)*(2000/8760)</f>
        <v>0</v>
      </c>
      <c r="OG28" s="155">
        <f>SUMIFS('Load-MarineBarge'!$L$27:$L$136,'Load-MarineBarge'!$F$27:$F$136,$FG28)*IFERROR($QV$11,0)*(2000/8760)</f>
        <v>0</v>
      </c>
      <c r="OH28" s="155">
        <f>SUMIFS('Load-MarineShip'!$L$27:$L$136,'Load-MarineShip'!$F$27:$F$136,$FG28)*IFERROR($QV$12,0)*(2000/8760)</f>
        <v>0</v>
      </c>
      <c r="OI28" s="155">
        <f>(IF(OR(Flare!$D$24="FUEL GAS",Flare!$D$38="FUEL GAS"),SUMIF(Flare!$E$97:$E$106,$FG28,Flare!$G$97:$G$105),0)+SUMIF(Flare!$E$107:$E$216,$FG28,Flare!$G$107:$G$216))*(2000/8730)*IFERROR($QV$13,0)</f>
        <v>0</v>
      </c>
      <c r="OJ28" s="155">
        <f>SUMIF(LandEmiss!$A$335:$A$434,$FG28,LandEmiss!$C$335:$C$434)*(2000/8760)*IFERROR($QV$13,0)</f>
        <v>0</v>
      </c>
      <c r="OK28" s="155">
        <f>(SUMIF(LandEmiss!$BJ$335:$BJ$434,$FG28,LandEmiss!$BL$335:$BL$434)+SUMIF(LandEmiss!$DU$323:$DU$422,$FG28,LandEmiss!$DW$323:$DW$422))*(2000/8760)*IFERROR($QV$13,0)</f>
        <v>0</v>
      </c>
      <c r="OL28" s="155">
        <f>(IF(OR(VCU!$D$26="FUEL GAS",VCU!$D$42="FUEL GAS"),SUMIF(VCU!$E$120:$E$129,$FG28,VCU!$G$120:$G$129),0)+SUMIF(VCU!$E$130:$E$239,$FG28,VCU!G156:G265))*(2000/8760)*IFERROR($QV$14,0)</f>
        <v>0</v>
      </c>
      <c r="OM28" s="155">
        <f>SUMIF(LandEmiss!$A$335:$A$434,$FG28,LandEmiss!$E$335:$E$434)*(2000/8760)*IFERROR($QV$14,0)</f>
        <v>0</v>
      </c>
      <c r="ON28" s="155">
        <f>(SUMIF(LandEmiss!$BJ$335:$BJ$434,$FG28,LandEmiss!$BN$335:$BN$434)+SUMIF(LandEmiss!$DU$323:$DU$422,$FG28,LandEmiss!$DY$323:$DY$422))*(2000/8760)*IFERROR($QV$14,0)</f>
        <v>0</v>
      </c>
      <c r="OO28" s="155">
        <f>(IF(VaporOxidizer!$D$33="FUEL GAS",SUMIF(VaporOxidizer!$E$101:$E$110,$FG28,VaporOxidizer!$G$101:$G$110),0)+SUMIF(VaporOxidizer!$E$111:$E$220,$FG28,VaporOxidizer!$G$111:$G$220))*(2000/8760)*IFERROR($QV$15,0)</f>
        <v>0</v>
      </c>
      <c r="OP28" s="155">
        <f>SUMIF(LandEmiss!$A$335:$A$434,$FG28,LandEmiss!$G$335:$G$434)*(2000/8760)*IFERROR($QV$15,0)</f>
        <v>0</v>
      </c>
      <c r="OQ28" s="155">
        <f>(SUMIF(LandEmiss!$BJ$335:$BJ$434,$FG28,LandEmiss!$BP$335:$BP$434)+SUMIF(LandEmiss!$DU$323:$DU$422,$FG28,LandEmiss!$EA$323:$EA$422))*(2000/8760)*IFERROR($QV$15,0)</f>
        <v>0</v>
      </c>
      <c r="OR28" s="155">
        <f>SUMIF(CAS!$E$35:$E$144,Hidden!$FG28,CAS!$I$35:$I$144)*IFERROR($QV$16,0)*(2000/8760)</f>
        <v>0</v>
      </c>
      <c r="OS28" s="155">
        <f>SUMIF(LandEmiss!$A$335:$A$434,$FG28,LandEmiss!$I$335:$I$434)*(2000/8760)*IFERROR($QV$27,0)</f>
        <v>0</v>
      </c>
      <c r="OT28" s="155">
        <f>(SUMIF(LandEmiss!$BJ$335:$BJ$434,$FG28,LandEmiss!$BR$335:$BR$434)+SUMIF(LandEmiss!$DU$323:$DU$422,$FG28,LandEmiss!$EC$323:$EC$422))*(2000/8760)*IFERROR($QV$27,0)</f>
        <v>0</v>
      </c>
      <c r="OU28" s="155">
        <f>SUMIF(LandEmiss!$A$335:$A$434,$FG28,LandEmiss!$K$335:$K$434)*(2000/8760)*IFERROR($QV$26,0)</f>
        <v>0</v>
      </c>
      <c r="OV28" s="155">
        <f>(SUMIF(LandEmiss!$BJ$335:$BJ$434,$FG28,LandEmiss!$BT$335:$BT$434)+SUMIF(LandEmiss!$DU$323:$DU$422,$FG28,LandEmiss!$EE$323:$EE$422))*(2000/8760)*IFERROR($QV$26,0)</f>
        <v>0</v>
      </c>
      <c r="OW28" s="155">
        <f>SUMIF(LandEmiss!$A$335:$A$434,$FG28,LandEmiss!$M$335:$M$434)*(2000/8760)*IFERROR($QV$25,0)</f>
        <v>0</v>
      </c>
      <c r="OX28" s="155">
        <f>(SUMIF(LandEmiss!$BJ$335:$BJ$434,$FG28,LandEmiss!$BV$335:$BV$434)+SUMIF(LandEmiss!$DU$323:$DU$422,$FG28,LandEmiss!$EG$323:$EG$422))*(2000/8760)*IFERROR($QV$25,0)</f>
        <v>0</v>
      </c>
      <c r="OY28" s="8">
        <v>0</v>
      </c>
      <c r="OZ28" s="207">
        <v>0</v>
      </c>
      <c r="PA28" s="207">
        <f>IF(OR(HeaterBoiler1!$E$26&lt;&gt;"fuel gas",HeaterBoiler1!$E$15&lt;&gt;"heater"),0,(SUMIF(HeaterBoiler1!$A$54:$D$63,$FG28,HeaterBoiler1!$J$54:$J$63))*(2000/8760))*IFERROR($QV$19,0)</f>
        <v>0</v>
      </c>
      <c r="PB28" s="207">
        <f>IF(OR(HeaterBoiler2!$E$26&lt;&gt;"fuel gas",HeaterBoiler2!$E$15&lt;&gt;"heater"),0,(SUMIF(HeaterBoiler2!$A$54:$D$63,$FG28,HeaterBoiler2!$J$54:$J$63))*(2000/8760))*IFERROR($QV$21,0)</f>
        <v>0</v>
      </c>
      <c r="PC28" s="207">
        <f>IF(OR(HeaterBoiler1!$E$26&lt;&gt;"fuel gas",HeaterBoiler1!$E$15&lt;&gt;"boiler"),0,(SUMIF(HeaterBoiler1!$A$54:$D$63,$FG28,HeaterBoiler1!$J$54:$J$63))*(2000/8760))*IFERROR($QV$20,0)</f>
        <v>0</v>
      </c>
      <c r="PD28" s="207">
        <f>IF(OR(HeaterBoiler2!$E$26&lt;&gt;"fuel gas",HeaterBoiler2!$E$15&lt;&gt;"boiler"),0,(SUMIF(HeaterBoiler2!$A$54:$D$63,$FG28,HeaterBoiler2!$J$54:$J$63))*(2000/8760))*IFERROR($QV$22,0)</f>
        <v>0</v>
      </c>
      <c r="PE28" s="8">
        <f>(SUMIF(Fug!$A$96:$A$205,$FG28,Fug!$J$96:$J$205))*IFERROR($QV$23,0)*(2000/8760)</f>
        <v>0</v>
      </c>
      <c r="PF28" s="8">
        <f t="shared" si="31"/>
        <v>0</v>
      </c>
      <c r="PG28" s="156">
        <f t="shared" si="32"/>
        <v>0</v>
      </c>
      <c r="PJ28" s="52" t="str">
        <f>IF(Fug!$F$16=Hidden!$PP$2,"Compressors","Relief Valves")</f>
        <v>Relief Valves</v>
      </c>
      <c r="PK28" s="52" t="str">
        <f>IF(Fug!$F$16=Hidden!$PP$2,"Light Oil &gt; 20°","Light Liquid [1]")</f>
        <v>Light Liquid [1]</v>
      </c>
      <c r="PL28" s="52">
        <v>0</v>
      </c>
      <c r="PM28" s="52">
        <v>0</v>
      </c>
      <c r="PN28" s="52">
        <v>0</v>
      </c>
      <c r="PO28" s="52">
        <v>0</v>
      </c>
      <c r="PP28" s="52">
        <v>1.6500000000000001E-2</v>
      </c>
      <c r="PQ28" s="52">
        <v>0</v>
      </c>
      <c r="PR28" s="52">
        <v>0</v>
      </c>
      <c r="PS28" s="52">
        <v>0</v>
      </c>
      <c r="PT28" s="52" t="s">
        <v>8788</v>
      </c>
      <c r="PU28" s="52" t="s">
        <v>8781</v>
      </c>
      <c r="PV28" s="52">
        <v>0</v>
      </c>
      <c r="PW28" s="52">
        <v>0.85</v>
      </c>
      <c r="PX28" s="52">
        <v>0.95</v>
      </c>
      <c r="PY28" s="52">
        <v>0.95</v>
      </c>
      <c r="PZ28" s="52">
        <v>0</v>
      </c>
      <c r="QA28" s="52">
        <v>0.95</v>
      </c>
      <c r="QB28" s="52" t="s">
        <v>8790</v>
      </c>
      <c r="QC28" s="52" t="s">
        <v>8802</v>
      </c>
      <c r="QD28" s="52">
        <v>0</v>
      </c>
      <c r="QE28" s="52">
        <v>0.97</v>
      </c>
      <c r="QF28" s="52">
        <v>0.97</v>
      </c>
      <c r="QG28" s="52">
        <v>0.97</v>
      </c>
      <c r="QH28" s="52">
        <v>0</v>
      </c>
      <c r="QI28" s="52">
        <v>0.97</v>
      </c>
      <c r="QK28" s="95" t="s">
        <v>9133</v>
      </c>
      <c r="QX28" s="89" t="s">
        <v>9336</v>
      </c>
      <c r="QY28">
        <v>930.1</v>
      </c>
      <c r="QZ28">
        <v>930.1</v>
      </c>
      <c r="RA28">
        <v>930.1</v>
      </c>
      <c r="RB28">
        <v>930.1</v>
      </c>
      <c r="RC28">
        <v>930.1</v>
      </c>
      <c r="RD28">
        <v>930.1</v>
      </c>
      <c r="RE28">
        <v>930.1</v>
      </c>
      <c r="RF28">
        <v>930.1</v>
      </c>
      <c r="RG28">
        <v>930.1</v>
      </c>
      <c r="RH28" s="89" t="s">
        <v>9336</v>
      </c>
      <c r="RQ28" s="90"/>
      <c r="RR28" s="89" t="s">
        <v>9336</v>
      </c>
      <c r="SA28" s="90"/>
      <c r="SB28" s="89" t="s">
        <v>9336</v>
      </c>
      <c r="SK28" s="90"/>
      <c r="SL28" s="89" t="s">
        <v>9336</v>
      </c>
      <c r="SM28">
        <v>15.53</v>
      </c>
      <c r="SN28">
        <v>15.53</v>
      </c>
      <c r="SO28">
        <v>15.53</v>
      </c>
      <c r="SP28">
        <v>15.53</v>
      </c>
      <c r="SQ28">
        <v>15.53</v>
      </c>
      <c r="SR28">
        <v>15.53</v>
      </c>
      <c r="SS28">
        <v>15.53</v>
      </c>
      <c r="ST28">
        <v>15.53</v>
      </c>
      <c r="SU28" s="90">
        <v>15.53</v>
      </c>
      <c r="TL28" t="s">
        <v>10213</v>
      </c>
      <c r="TM28" s="225" t="s">
        <v>10260</v>
      </c>
    </row>
    <row r="29" spans="1:533" ht="74.25" customHeight="1" thickBot="1" x14ac:dyDescent="0.25">
      <c r="A29" s="8" t="s">
        <v>206</v>
      </c>
      <c r="B29" s="8">
        <v>12</v>
      </c>
      <c r="D29" s="8" t="s">
        <v>227</v>
      </c>
      <c r="E29" s="8" t="b">
        <f>IF($D29='PI-1-MarineLoading'!$D$73,TRUE,FALSE)</f>
        <v>0</v>
      </c>
      <c r="W29">
        <f>IF(OR(X29=0,ISNUMBER(MATCH(X29,$X$1:X28,0))),0,MAX($W$1:W28)+1)</f>
        <v>0</v>
      </c>
      <c r="X29" s="123">
        <f>Products!$E76</f>
        <v>0</v>
      </c>
      <c r="Y29" t="str">
        <f t="shared" si="3"/>
        <v/>
      </c>
      <c r="CA29">
        <f>IF(OR(CB29=0,ISNUMBER(MATCH(CB29,$CB$1:CB28,0))),0,MAX($CA$1:CA28)+1)</f>
        <v>0</v>
      </c>
      <c r="CB29" s="8">
        <f>IF(OR(Tank1!$D$18="EXTERNAL FLOATING ROOF",Tank1!$D$18="INTERNAL FLOATING ROOF"),IF(Tank1!$E59="",0,Tank1!$E59),0)</f>
        <v>0</v>
      </c>
      <c r="CC29" s="8" t="str">
        <f t="shared" si="6"/>
        <v/>
      </c>
      <c r="CD29" s="8"/>
      <c r="CE29" s="8">
        <f>IF(OR(CF29=0,ISNUMBER(MATCH(CF29,$CF$1:CF28,0))),0,MAX($CE$1:CE28)+1)</f>
        <v>0</v>
      </c>
      <c r="CF29" s="8">
        <f>IF(OR(Tank1!$D$18="HORIZONTAL FIXED ROOF",Tank1!$D$18="VERTICAL FIXED ROOF"),IF(Tank1!$E59="",0,Tank1!$E59),0)</f>
        <v>0</v>
      </c>
      <c r="CG29" s="8" t="str">
        <f t="shared" si="7"/>
        <v/>
      </c>
      <c r="CJ29">
        <f>IF(OR(CK29=0,ISNUMBER(MATCH(CK29,$CK$1:CK28,0))),0,MAX($CJ$1:CJ28)+1)</f>
        <v>0</v>
      </c>
      <c r="CK29">
        <f>Tank3!$A$109</f>
        <v>0</v>
      </c>
      <c r="CM29">
        <f>IFERROR(VLOOKUP($CK29,Tank3!$A$32:$D$141,3,FALSE),0)</f>
        <v>0</v>
      </c>
      <c r="CN29">
        <f>IFERROR(VLOOKUP($CK29,Tank3!$A$32:$D$141,4,FALSE),0)</f>
        <v>0</v>
      </c>
      <c r="DM29">
        <f>IF(OR(DN29=0,ISNUMBER(MATCH(DN29,$DN$1:DN28,0))),0,MAX($DM$1:DM28)+1)</f>
        <v>0</v>
      </c>
      <c r="DN29">
        <f>IF(Tank3!$D$22="Flare",IFERROR(VLOOKUP(Products!$A$129,Tank3!$A$32:$B$141,1,FALSE),0),0)</f>
        <v>0</v>
      </c>
      <c r="DO29">
        <f>IF($DN29=0,0,VLOOKUP($DN29,Tank3!$A$32:$H$141,7,FALSE))</f>
        <v>0</v>
      </c>
      <c r="DP29">
        <f>IF($DN29=0,0,VLOOKUP($DN29,Tank3!$A$32:$H$141,8,FALSE))</f>
        <v>0</v>
      </c>
      <c r="DU29">
        <f>IF(OR(DV29=0,ISNUMBER(MATCH(DV29,$DV$1:DV28,0))),0,MAX($DU$1:DU28)+1)</f>
        <v>0</v>
      </c>
      <c r="DV29">
        <f>IF(Tank3!$D$22="VCU",IFERROR(VLOOKUP(Products!$A$129,Tank3!$A$32:$B$141,1,FALSE),0),0)</f>
        <v>0</v>
      </c>
      <c r="DW29">
        <f>IF($DV29=0,0,VLOOKUP($DV29,Tank3!$A$32:$H$141,7,FALSE))</f>
        <v>0</v>
      </c>
      <c r="DX29">
        <f>IF($DV29=0,0,VLOOKUP($DV29,Tank3!$A$32:$H$141,8,FALSE))</f>
        <v>0</v>
      </c>
      <c r="EC29">
        <f>IF(OR(ED29=0,ISNUMBER(MATCH(ED29,$ED$1:ED28,0))),0,MAX($EC$1:EC28)+1)</f>
        <v>0</v>
      </c>
      <c r="ED29">
        <f>IF(Tank3!$D$22="vapor oxidizer",IFERROR(VLOOKUP(Products!$A$129,Tank3!$A$32:$B$141,1,FALSE),0),0)</f>
        <v>0</v>
      </c>
      <c r="EE29">
        <f>IF($ED29=0,0,VLOOKUP($ED29,Tank3!$A$32:$H$141,7,FALSE))</f>
        <v>0</v>
      </c>
      <c r="EF29">
        <f>IF($ED29=0,0,VLOOKUP($ED29,Tank3!$A$32:$H$141,8,FALSE))</f>
        <v>0</v>
      </c>
      <c r="EK29">
        <f>IF(OR(EL29=0,ISNUMBER(MATCH(EL29,$EL$1:EL28,0))),0,MAX($EK$1:EK28)+1)</f>
        <v>0</v>
      </c>
      <c r="EL29">
        <f>IF(Tank3!$D$22="CAS",IFERROR(VLOOKUP(Products!A129,Tank3!$A$32:$B$141,1,FALSE),0),0)</f>
        <v>0</v>
      </c>
      <c r="EM29">
        <f>IF($EL29=0,0,VLOOKUP($EL29,Tank3!$A$32:$H$141,7,FALSE))</f>
        <v>0</v>
      </c>
      <c r="EN29">
        <f>IF($EL29=0,0,VLOOKUP($EL29,Tank3!$A$32:$H$141,8,FALSE))</f>
        <v>0</v>
      </c>
      <c r="FB29" s="8" t="s">
        <v>411</v>
      </c>
      <c r="FC29" s="8" t="s">
        <v>412</v>
      </c>
      <c r="FD29" s="8">
        <v>5700</v>
      </c>
      <c r="FE29" s="8">
        <v>570</v>
      </c>
      <c r="FG29" s="360" t="str">
        <f t="shared" si="23"/>
        <v/>
      </c>
      <c r="FH29" s="155">
        <f>IF(Tank1!$D$22="NO CONTROL",_xlfn.MAXIFS(Tank1!$G$32:$G$141,Tank1!$E$32:$E$141,$FG29),0)*IFERROR($QR$3,0)</f>
        <v>0</v>
      </c>
      <c r="FI29" s="155">
        <f>_xlfn.MAXIFS(LandEmiss!$AF$20:$AF$119,LandEmiss!$AE$20:$AE$119,$FG29)*IFERROR($QR$3,0)</f>
        <v>0</v>
      </c>
      <c r="FJ29" s="155">
        <f>MAX(_xlfn.MAXIFS(LandEmiss!$CO$20:$CO$119,LandEmiss!$CN$20:$CN$119,$FG29),_xlfn.MAXIFS(LandEmiss!$EZ$9:$EZ$108,LandEmiss!$EY$9:$EY$108,$FG29))*IFERROR($QR$3,0)</f>
        <v>0</v>
      </c>
      <c r="FK29" s="155">
        <f>IF(Tank2!$D$22="NO CONTROL",_xlfn.MAXIFS(Tank2!$G$32:$G$141,Tank2!$E$32:$E$141,$FG29),0)*IFERROR($QR$4,0)</f>
        <v>0</v>
      </c>
      <c r="FL29" s="155">
        <f>_xlfn.MAXIFS(LandEmiss!$AG$20:$AG$119,LandEmiss!$AE$20:$AE$119,$FG29)*IFERROR($QR$4,0)</f>
        <v>0</v>
      </c>
      <c r="FM29" s="155">
        <f>MAX(_xlfn.MAXIFS(LandEmiss!$CP$20:$CP$119,LandEmiss!$CN$20:$CN$119,$FG29),_xlfn.MAXIFS(LandEmiss!$FA$9:$FA$108,LandEmiss!$EY$9:$EY$108,$FG29))*IFERROR($QR$4,0)</f>
        <v>0</v>
      </c>
      <c r="FN29" s="155">
        <f>IF(Tank3!$D$22="NO CONTROL",_xlfn.MAXIFS(Tank3!$G$32:$G$141,Tank3!$E$32:$E$141,$FG29),0)*IFERROR($QR$5,0)</f>
        <v>0</v>
      </c>
      <c r="FO29" s="155">
        <f>_xlfn.MAXIFS(LandEmiss!$AH$20:$AH$119,LandEmiss!$AE$20:$AE$119,$FG29)*IFERROR($QR$5,0)</f>
        <v>0</v>
      </c>
      <c r="FP29" s="155">
        <f>MAX(_xlfn.MAXIFS(LandEmiss!$CQ$20:$CQ$119,LandEmiss!$CN$20:$CN$119,$FG29),_xlfn.MAXIFS(LandEmiss!$FB$9:$FB$108,LandEmiss!$EY$9:$EY$108,$FG29))*IFERROR($QR$5,0)</f>
        <v>0</v>
      </c>
      <c r="FQ29" s="155">
        <f>IF(Tank4!$D$22="NO CONTROL",_xlfn.MAXIFS(Tank4!$G$32:$G$141,Tank4!$E$32:$E$141,$FG29),0)*IFERROR($QR$6,0)</f>
        <v>0</v>
      </c>
      <c r="FR29" s="155">
        <f>_xlfn.MAXIFS(LandEmiss!$AI$20:$AI$119,LandEmiss!$AE$20:$AE$119,$FG29)*IFERROR($QR$6,0)</f>
        <v>0</v>
      </c>
      <c r="FS29" s="155">
        <f>MAX(_xlfn.MAXIFS(LandEmiss!$CR$20:$CR$119,LandEmiss!$CN$20:$CN$119,$FG29),_xlfn.MAXIFS(LandEmiss!$FC$9:$FC$108,LandEmiss!$EY$9:$EY$108,$FG29))*IFERROR($QR$6,0)</f>
        <v>0</v>
      </c>
      <c r="FT29" s="155">
        <f>IF(Tank5!$D$22="NO CONTROL",_xlfn.MAXIFS(Tank5!$G$32:$G$141,Tank5!$E$32:$E$141,$FG29),0)*IFERROR($QR$7,0)</f>
        <v>0</v>
      </c>
      <c r="FU29" s="155">
        <f>_xlfn.MAXIFS(LandEmiss!$AJ$20:$AJ$119,LandEmiss!$AE$20:$AE$119,$FG29)*IFERROR($QR$7,0)</f>
        <v>0</v>
      </c>
      <c r="FV29" s="155">
        <f>MAX(_xlfn.MAXIFS(LandEmiss!$CS$20:$CS$119,LandEmiss!$CN$20:$CN$119,$FG29),_xlfn.MAXIFS(LandEmiss!$FD$9:$FD$108,LandEmiss!$EY$9:$EY$108,$FG29))*IFERROR($QR34,0)</f>
        <v>0</v>
      </c>
      <c r="FW29" s="155">
        <f>_xlfn.MAXIFS('Load-DrumTote'!$K$27:$K$136,'Load-DrumTote'!$F$27:$F$136,$FG29)*IFERROR($QR$8,0)</f>
        <v>0</v>
      </c>
      <c r="FX29" s="155">
        <f>_xlfn.MAXIFS('Load-Truck'!$K$27:$K$136,'Load-Truck'!$F$27:$F$136,$FG29)*IFERROR($QR$9,0)</f>
        <v>0</v>
      </c>
      <c r="FY29" s="155">
        <f>_xlfn.MAXIFS('Load-Rail'!$K$27:$K$136,'Load-Rail'!$F$27:$F$136,$FG29)*IFERROR($QR$10,0)</f>
        <v>0</v>
      </c>
      <c r="FZ29" s="155">
        <f>_xlfn.MAXIFS('Load-MarineBarge'!$K$27:$K$136,'Load-MarineBarge'!$F$27:$F$136,$FG29)*IFERROR($QR$11,0)</f>
        <v>0</v>
      </c>
      <c r="GA29" s="155">
        <f>_xlfn.MAXIFS('Load-MarineShip'!$K$27:$K$136,'Load-MarineShip'!$F$27:$F$136,$FG29)*IFERROR($QR$12,0)</f>
        <v>0</v>
      </c>
      <c r="GB29" s="313">
        <f>IF(OR(Flare!$D$24="fuel gas",Flare!$D$38="fuel gas"),SUMIF(Flare!$E$97:$E$106,$FG29,Flare!$F$97:$F$106),0)*IFERROR($QR$13,0)</f>
        <v>0</v>
      </c>
      <c r="GC29" s="313">
        <f>(_xlfn.MAXIFS(CtrlDevImpacts!$I$57:$I$156,CtrlDevImpacts!$H$57:$H$156,$FG29))*IFERROR($QR$13,0)</f>
        <v>0</v>
      </c>
      <c r="GD29" s="313">
        <f>(_xlfn.MAXIFS(Flare!$F$107:$F$216,Flare!$E$107:$E$216,$FG29)-_xlfn.MAXIFS(CtrlDevImpacts!$I$57:$I$156,CtrlDevImpacts!$H$57:$H$156,$FG29))*IFERROR($QR$13,0)</f>
        <v>0</v>
      </c>
      <c r="GE29" s="155">
        <f>_xlfn.MAXIFS(LandEmiss!$B$335:$B$434,LandEmiss!$A$335:$A$434,$FG29)*IFERROR($QR$13,0)</f>
        <v>0</v>
      </c>
      <c r="GF29" s="155">
        <f>(_xlfn.MAXIFS(LandEmiss!$BK$335:$BK$434,LandEmiss!$BJ$335:$BJ$434,$FG29)+_xlfn.MAXIFS(LandEmiss!$DV$323:$DV$422,LandEmiss!$DU$323:$DU$422,$FG29))*IFERROR($QR$13,0)</f>
        <v>0</v>
      </c>
      <c r="GG29" s="313">
        <f>IF(OR(VCU!$D$26="fuel gas",VCU!$D$42="fuel gas"),SUMIF(VCU!$E$120:$E$129,$FG29,VCU!$F$120:$F$129),0)*IFERROR($QR$14,0)</f>
        <v>0</v>
      </c>
      <c r="GH29" s="313">
        <f>(_xlfn.MAXIFS(CtrlDevImpacts!$X$57:$X$156,CtrlDevImpacts!$W$57:$W$156,$FG29))*IFERROR($QR$14,0)</f>
        <v>0</v>
      </c>
      <c r="GI29" s="313">
        <f>(_xlfn.MAXIFS(VCU!$F$130:$F$239,VCU!$E$130:$E$239,$FG29)-_xlfn.MAXIFS(CtrlDevImpacts!$X$57:$X$156,CtrlDevImpacts!$W$57:$W$156,$FG29))*IFERROR($QR$14,0)</f>
        <v>0</v>
      </c>
      <c r="GJ29" s="155">
        <f>_xlfn.MAXIFS(LandEmiss!$D$335:$D$434,LandEmiss!$A$335:$A$434,$FG29)*IFERROR($QR$14,0)</f>
        <v>0</v>
      </c>
      <c r="GK29" s="155">
        <f>(_xlfn.MAXIFS(LandEmiss!$BM$335:$BM$434,LandEmiss!$BJ$335:$BJ$434,$FG29)+_xlfn.MAXIFS(LandEmiss!$DX$323:$DX$422,LandEmiss!$DU$323:$DU$422,$FG29))*IFERROR($QR$14,0)</f>
        <v>0</v>
      </c>
      <c r="GL29" s="313">
        <f>IF(VaporOxidizer!D60="FUEL GAS",SUMIF(VaporOxidizer!$E$101:$E$110,$FG29,VaporOxidizer!$F$101:$F$110),0)*IFERROR($QR$15,0)</f>
        <v>0</v>
      </c>
      <c r="GM29" s="313">
        <f>(_xlfn.MAXIFS(CtrlDevImpacts!$AN$57:$AN$156,CtrlDevImpacts!$AM$57:$AM$156,$FG29))*IFERROR($QR$15,0)</f>
        <v>0</v>
      </c>
      <c r="GN29" s="313">
        <f>(_xlfn.MAXIFS(VaporOxidizer!$F$111:$F$220,VaporOxidizer!$E$111:$E$220,$FG29)-_xlfn.MAXIFS(CtrlDevImpacts!$AN$57:$AN$156,CtrlDevImpacts!$AM$57:$AM$156,$FG29))*IFERROR($QR$15,0)</f>
        <v>0</v>
      </c>
      <c r="GO29" s="155">
        <f>_xlfn.MAXIFS(LandEmiss!$F$335:$F$434,LandEmiss!$A$335:$A$434,$FG29)*IFERROR($QR$15,0)</f>
        <v>0</v>
      </c>
      <c r="GP29" s="155">
        <f>(_xlfn.MAXIFS(LandEmiss!$BK$335:$BK$434,LandEmiss!$BO$335:$BO$434,$FG29)+_xlfn.MAXIFS(LandEmiss!$DZ$323:$DZ$422,LandEmiss!$DU$323:$DU$422,$FG29))*IFERROR($QR$15,0)</f>
        <v>0</v>
      </c>
      <c r="GQ29" s="313">
        <f>_xlfn.MAXIFS(CtrlDevImpacts!$BD$57:$BD$156,CtrlDevImpacts!$BC$57:$BC$156,$FG29)*IFERROR(Hidden!$QR$16,0)</f>
        <v>0</v>
      </c>
      <c r="GR29" s="313">
        <f>(_xlfn.MAXIFS(CAS!$H$35:$H$144,CAS!$E$35:$E$144,$FG29)-_xlfn.MAXIFS(CtrlDevImpacts!$BD$57:$BD$156,CtrlDevImpacts!$BC$57:$BC$156,$FG29))*IFERROR(Hidden!$QR$16,0)</f>
        <v>0</v>
      </c>
      <c r="GS29" s="155">
        <f>_xlfn.MAXIFS(LandEmiss!$H$335:$H$434,LandEmiss!$A$335:$A$434,$FG29)*IFERROR($QR$27,0)</f>
        <v>0</v>
      </c>
      <c r="GT29" s="155">
        <f>(_xlfn.MAXIFS(LandEmiss!$BK$335:$BK$434,LandEmiss!$BQ$335:$BQ$434,$FG29)+_xlfn.MAXIFS(LandEmiss!$EB$323:$EB$422,LandEmiss!$DU$323:$DU$422,$FG29))*IFERROR($QR$27,0)</f>
        <v>0</v>
      </c>
      <c r="GU29" s="155">
        <f>_xlfn.MAXIFS(LandEmiss!$J$335:$J$434,LandEmiss!$A$335:$A$434,$FG29)*IFERROR($QR$26,0)</f>
        <v>0</v>
      </c>
      <c r="GV29" s="155">
        <f>(_xlfn.MAXIFS(LandEmiss!$BK$335:$BK$434,LandEmiss!$BS$335:$BS$434,$FG29)+_xlfn.MAXIFS(LandEmiss!$ED$323:$ED$422,LandEmiss!$DU$323:$DU$422,$FG29))*IFERROR($QR$26,0)</f>
        <v>0</v>
      </c>
      <c r="GW29" s="155">
        <f>_xlfn.MAXIFS(LandEmiss!$L$335:$L$434,LandEmiss!$A$335:$A$434,$FG29)*IFERROR($QR$25,0)</f>
        <v>0</v>
      </c>
      <c r="GX29" s="155">
        <f>(_xlfn.MAXIFS(LandEmiss!$BK$335:$BK$434,LandEmiss!$BU$335:$BU$434,$FG29)+_xlfn.MAXIFS(LandEmiss!$EF$323:$EF$422,LandEmiss!$DU$323:$DU$422,$FG29))*IFERROR($QR$25,0)</f>
        <v>0</v>
      </c>
      <c r="GY29" s="155">
        <v>0</v>
      </c>
      <c r="GZ29" s="155">
        <v>0</v>
      </c>
      <c r="HA29" s="155">
        <f>IF(OR(HeaterBoiler1!$E$26&lt;&gt;"fuel gas",HeaterBoiler1!$E$15&lt;&gt;"heater"),0,SUMIF(HeaterBoiler1!$A$54:$D$63,$FG29,HeaterBoiler1!$I$54:$I$63))*IFERROR($QR$19,0)</f>
        <v>0</v>
      </c>
      <c r="HB29" s="207">
        <f>IF(OR(HeaterBoiler2!$E$26&lt;&gt;"fuel gas",HeaterBoiler2!$E$15&lt;&gt;"heater"),0,SUMIF(HeaterBoiler2!$A$54:$D$63,$FG29,HeaterBoiler2!$I$54:$I$63))*IFERROR($QR$21,0)</f>
        <v>0</v>
      </c>
      <c r="HC29" s="155">
        <f>IF(OR(HeaterBoiler1!$E$26&lt;&gt;"fuel gas",HeaterBoiler1!$E$15&lt;&gt;"boiler"),0,SUMIF(HeaterBoiler1!$A$41:$A$50,$FG29,HeaterBoiler1!$F$41:$F$50))*IFERROR($QR$20,0)</f>
        <v>0</v>
      </c>
      <c r="HD29" s="207">
        <f>IF(OR(HeaterBoiler2!$E$26&lt;&gt;"fuel gas",HeaterBoiler2!$E$15&lt;&gt;"boiler"),0,SUMIF(HeaterBoiler2!$A$41:$A$50,$FG29,HeaterBoiler2!$F$41:$F$50))*IFERROR($QR$22,0)</f>
        <v>0</v>
      </c>
      <c r="HE29" s="155">
        <f>SUMIF(Fug!$A$96:$A$205,$FG29,Fug!$I$96:$I$205)*IFERROR(Hidden!$QR$23,0)</f>
        <v>0</v>
      </c>
      <c r="HF29" s="155">
        <f t="shared" si="24"/>
        <v>0</v>
      </c>
      <c r="HG29" s="156">
        <f t="shared" si="25"/>
        <v>0</v>
      </c>
      <c r="HH29" s="156">
        <f t="shared" si="26"/>
        <v>0</v>
      </c>
      <c r="HI29" s="156">
        <f t="shared" si="27"/>
        <v>0</v>
      </c>
      <c r="HJ29" s="156">
        <f t="shared" si="28"/>
        <v>0</v>
      </c>
      <c r="HK29" s="156">
        <f t="shared" si="29"/>
        <v>0</v>
      </c>
      <c r="HL29" s="156">
        <f t="shared" si="30"/>
        <v>0</v>
      </c>
      <c r="NO29" s="155">
        <f>IF(Tank1!$D$22="No control",(SUMIF(Tank1!$E$32:$E$141,$FG29,Tank1!$H$32:$H$141)*(2000/8760)*IFERROR($QV$3,0)),0)</f>
        <v>0</v>
      </c>
      <c r="NP29" s="156">
        <f>SUMIF(LandEmiss!$AE$20:$AE$119,$FG29,LandEmiss!$AK$20:$AK$119)*(2000/8760)*IFERROR($QV$3,0)</f>
        <v>0</v>
      </c>
      <c r="NQ29" s="156">
        <f>(SUMIF(LandEmiss!$CN$20:$CN$119,$FG29,LandEmiss!$CT$20:$CT$119)+SUMIF(LandEmiss!$EY$9:$EY$108,$FG29,LandEmiss!$FE$9:$FE$108))*IFERROR($QV$3,0)*(2000/8760)</f>
        <v>0</v>
      </c>
      <c r="NR29" s="155">
        <f>IF(Tank2!$D$22="No control",(SUMIF(Tank2!$E$32:$E$141,$FG29,Tank2!$H$32:$H$141)*(2000/8760)*IFERROR($QV$4,0)),0)</f>
        <v>0</v>
      </c>
      <c r="NS29" s="156">
        <f>SUMIF(LandEmiss!$AE$20:$AE$119,$FG29,LandEmiss!$AL$20:$AL$119)*(2000/8760)*IFERROR($QV$4,0)</f>
        <v>0</v>
      </c>
      <c r="NT29" s="156">
        <f>(SUMIF(LandEmiss!$CN$20:$CN$119,$FG29,LandEmiss!$CU$20:$CU$119)+SUMIF(LandEmiss!$EY$9:$EY$108,$FG29,LandEmiss!$FF$9:$FF$108))*IFERROR($QV$4,0)*(2000/8760)</f>
        <v>0</v>
      </c>
      <c r="NU29" s="155">
        <f>IF(Tank3!$D$22="No control",(SUMIF(Tank3!$E$32:$E$141,$FG29,Tank3!$H$32:$H$141)*(2000/8760)*IFERROR($QV$5,0)),0)</f>
        <v>0</v>
      </c>
      <c r="NV29" s="156">
        <f>SUMIF(LandEmiss!$AE$20:$AE$119,$FG29,LandEmiss!$AM$20:$AM$119)*(2000/8760)*IFERROR($QV$5,0)</f>
        <v>0</v>
      </c>
      <c r="NW29" s="156">
        <f>(SUMIF(LandEmiss!$CN$20:$CN$119,$FG29,LandEmiss!$CV$20:$CV$119)+SUMIF(LandEmiss!$EY$9:$EY$108,$FG29,LandEmiss!$FG$9:$FG$108))*IFERROR($QV$5,0)*(2000/8760)</f>
        <v>0</v>
      </c>
      <c r="NX29" s="155">
        <f>IF(Tank4!$D$22="No control",(SUMIF(Tank4!$E$32:$E$141,$FG29,Tank4!$H$32:$H$141)*(2000/8760)*IFERROR($QV$6,0)),0)</f>
        <v>0</v>
      </c>
      <c r="NY29" s="156">
        <f>SUMIF(LandEmiss!$AE$20:$AE$119,$FG29,LandEmiss!$AN$20:$AN$119)*(2000/8760)*IFERROR($QV$6,0)</f>
        <v>0</v>
      </c>
      <c r="NZ29" s="156">
        <f>(SUMIF(LandEmiss!$CN$20:$CN$119,$FG29,LandEmiss!$CW$20:$CW$119)+SUMIF(LandEmiss!$EY$9:$EY$108,$FG29,LandEmiss!$FH$9:$FH$108))*IFERROR($QV$6,0)*(2000/8760)</f>
        <v>0</v>
      </c>
      <c r="OA29" s="155">
        <f>IF(Tank5!$D$22="No control",(SUMIF(Tank5!$E$32:$E$141,$FG29,Tank5!$H$32:$H$141)*(2000/8760)*IFERROR($QV$7,0)),0)</f>
        <v>0</v>
      </c>
      <c r="OB29" s="156">
        <f>SUMIF(LandEmiss!$AE$20:$AE$119,$FG29,LandEmiss!$AO$20:$AO$119)*(2000/8760)*IFERROR($QV$7,0)</f>
        <v>0</v>
      </c>
      <c r="OC29" s="156">
        <f>(SUMIF(LandEmiss!$CN$20:$CN$119,$FG29,LandEmiss!$CX$20:$CX$119)+SUMIF(LandEmiss!$EY$9:$EY$108,$FG29,LandEmiss!$FI$9:$FI$108))*IFERROR($QV$7,0)*(2000/8760)</f>
        <v>0</v>
      </c>
      <c r="OD29" s="155">
        <f>SUMIFS('Load-DrumTote'!$L$27:$L$136,'Load-DrumTote'!$F$27:$F$136,$FG29)*IFERROR($QV$8,0)*(2000/8760)</f>
        <v>0</v>
      </c>
      <c r="OE29" s="155">
        <f>SUMIFS('Load-Truck'!$L$27:$L$136,'Load-Truck'!$F$27:$F$136,$FG29)*IFERROR($QV$9,0)*(2000/8760)</f>
        <v>0</v>
      </c>
      <c r="OF29" s="155">
        <f>SUMIFS('Load-Rail'!$L$27:$L$136,'Load-Rail'!$F$27:$F$136,$FG29)*IFERROR($QV$10,0)*(2000/8760)</f>
        <v>0</v>
      </c>
      <c r="OG29" s="155">
        <f>SUMIFS('Load-MarineBarge'!$L$27:$L$136,'Load-MarineBarge'!$F$27:$F$136,$FG29)*IFERROR($QV$11,0)*(2000/8760)</f>
        <v>0</v>
      </c>
      <c r="OH29" s="155">
        <f>SUMIFS('Load-MarineShip'!$L$27:$L$136,'Load-MarineShip'!$F$27:$F$136,$FG29)*IFERROR($QV$12,0)*(2000/8760)</f>
        <v>0</v>
      </c>
      <c r="OI29" s="155">
        <f>(IF(OR(Flare!$D$24="FUEL GAS",Flare!$D$38="FUEL GAS"),SUMIF(Flare!$E$97:$E$106,$FG29,Flare!$G$97:$G$105),0)+SUMIF(Flare!$E$107:$E$216,$FG29,Flare!$G$107:$G$216))*(2000/8730)*IFERROR($QV$13,0)</f>
        <v>0</v>
      </c>
      <c r="OJ29" s="155">
        <f>SUMIF(LandEmiss!$A$335:$A$434,$FG29,LandEmiss!$C$335:$C$434)*(2000/8760)*IFERROR($QV$13,0)</f>
        <v>0</v>
      </c>
      <c r="OK29" s="155">
        <f>(SUMIF(LandEmiss!$BJ$335:$BJ$434,$FG29,LandEmiss!$BL$335:$BL$434)+SUMIF(LandEmiss!$DU$323:$DU$422,$FG29,LandEmiss!$DW$323:$DW$422))*(2000/8760)*IFERROR($QV$13,0)</f>
        <v>0</v>
      </c>
      <c r="OL29" s="155">
        <f>(IF(OR(VCU!$D$26="FUEL GAS",VCU!$D$42="FUEL GAS"),SUMIF(VCU!$E$120:$E$129,$FG29,VCU!$G$120:$G$129),0)+SUMIF(VCU!$E$130:$E$239,$FG29,VCU!G157:G266))*(2000/8760)*IFERROR($QV$14,0)</f>
        <v>0</v>
      </c>
      <c r="OM29" s="155">
        <f>SUMIF(LandEmiss!$A$335:$A$434,$FG29,LandEmiss!$E$335:$E$434)*(2000/8760)*IFERROR($QV$14,0)</f>
        <v>0</v>
      </c>
      <c r="ON29" s="155">
        <f>(SUMIF(LandEmiss!$BJ$335:$BJ$434,$FG29,LandEmiss!$BN$335:$BN$434)+SUMIF(LandEmiss!$DU$323:$DU$422,$FG29,LandEmiss!$DY$323:$DY$422))*(2000/8760)*IFERROR($QV$14,0)</f>
        <v>0</v>
      </c>
      <c r="OO29" s="155">
        <f>(IF(VaporOxidizer!$D$33="FUEL GAS",SUMIF(VaporOxidizer!$E$101:$E$110,$FG29,VaporOxidizer!$G$101:$G$110),0)+SUMIF(VaporOxidizer!$E$111:$E$220,$FG29,VaporOxidizer!$G$111:$G$220))*(2000/8760)*IFERROR($QV$15,0)</f>
        <v>0</v>
      </c>
      <c r="OP29" s="155">
        <f>SUMIF(LandEmiss!$A$335:$A$434,$FG29,LandEmiss!$G$335:$G$434)*(2000/8760)*IFERROR($QV$15,0)</f>
        <v>0</v>
      </c>
      <c r="OQ29" s="155">
        <f>(SUMIF(LandEmiss!$BJ$335:$BJ$434,$FG29,LandEmiss!$BP$335:$BP$434)+SUMIF(LandEmiss!$DU$323:$DU$422,$FG29,LandEmiss!$EA$323:$EA$422))*(2000/8760)*IFERROR($QV$15,0)</f>
        <v>0</v>
      </c>
      <c r="OR29" s="155">
        <f>SUMIF(CAS!$E$35:$E$144,Hidden!$FG29,CAS!$I$35:$I$144)*IFERROR($QV$16,0)*(2000/8760)</f>
        <v>0</v>
      </c>
      <c r="OS29" s="155">
        <f>SUMIF(LandEmiss!$A$335:$A$434,$FG29,LandEmiss!$I$335:$I$434)*(2000/8760)*IFERROR($QV$27,0)</f>
        <v>0</v>
      </c>
      <c r="OT29" s="155">
        <f>(SUMIF(LandEmiss!$BJ$335:$BJ$434,$FG29,LandEmiss!$BR$335:$BR$434)+SUMIF(LandEmiss!$DU$323:$DU$422,$FG29,LandEmiss!$EC$323:$EC$422))*(2000/8760)*IFERROR($QV$27,0)</f>
        <v>0</v>
      </c>
      <c r="OU29" s="155">
        <f>SUMIF(LandEmiss!$A$335:$A$434,$FG29,LandEmiss!$K$335:$K$434)*(2000/8760)*IFERROR($QV$26,0)</f>
        <v>0</v>
      </c>
      <c r="OV29" s="155">
        <f>(SUMIF(LandEmiss!$BJ$335:$BJ$434,$FG29,LandEmiss!$BT$335:$BT$434)+SUMIF(LandEmiss!$DU$323:$DU$422,$FG29,LandEmiss!$EE$323:$EE$422))*(2000/8760)*IFERROR($QV$26,0)</f>
        <v>0</v>
      </c>
      <c r="OW29" s="155">
        <f>SUMIF(LandEmiss!$A$335:$A$434,$FG29,LandEmiss!$M$335:$M$434)*(2000/8760)*IFERROR($QV$25,0)</f>
        <v>0</v>
      </c>
      <c r="OX29" s="155">
        <f>(SUMIF(LandEmiss!$BJ$335:$BJ$434,$FG29,LandEmiss!$BV$335:$BV$434)+SUMIF(LandEmiss!$DU$323:$DU$422,$FG29,LandEmiss!$EG$323:$EG$422))*(2000/8760)*IFERROR($QV$25,0)</f>
        <v>0</v>
      </c>
      <c r="OY29" s="8">
        <v>0</v>
      </c>
      <c r="OZ29" s="207">
        <v>0</v>
      </c>
      <c r="PA29" s="207">
        <f>IF(OR(HeaterBoiler1!$E$26&lt;&gt;"fuel gas",HeaterBoiler1!$E$15&lt;&gt;"heater"),0,(SUMIF(HeaterBoiler1!$A$54:$D$63,$FG29,HeaterBoiler1!$J$54:$J$63))*(2000/8760))*IFERROR($QV$19,0)</f>
        <v>0</v>
      </c>
      <c r="PB29" s="207">
        <f>IF(OR(HeaterBoiler2!$E$26&lt;&gt;"fuel gas",HeaterBoiler2!$E$15&lt;&gt;"heater"),0,(SUMIF(HeaterBoiler2!$A$54:$D$63,$FG29,HeaterBoiler2!$J$54:$J$63))*(2000/8760))*IFERROR($QV$21,0)</f>
        <v>0</v>
      </c>
      <c r="PC29" s="207">
        <f>IF(OR(HeaterBoiler1!$E$26&lt;&gt;"fuel gas",HeaterBoiler1!$E$15&lt;&gt;"boiler"),0,(SUMIF(HeaterBoiler1!$A$54:$D$63,$FG29,HeaterBoiler1!$J$54:$J$63))*(2000/8760))*IFERROR($QV$20,0)</f>
        <v>0</v>
      </c>
      <c r="PD29" s="207">
        <f>IF(OR(HeaterBoiler2!$E$26&lt;&gt;"fuel gas",HeaterBoiler2!$E$15&lt;&gt;"boiler"),0,(SUMIF(HeaterBoiler2!$A$54:$D$63,$FG29,HeaterBoiler2!$J$54:$J$63))*(2000/8760))*IFERROR($QV$22,0)</f>
        <v>0</v>
      </c>
      <c r="PE29" s="8">
        <f>(SUMIF(Fug!$A$96:$A$205,$FG29,Fug!$J$96:$J$205))*IFERROR($QV$23,0)*(2000/8760)</f>
        <v>0</v>
      </c>
      <c r="PF29" s="8">
        <f t="shared" si="31"/>
        <v>0</v>
      </c>
      <c r="PG29" s="156">
        <f t="shared" si="32"/>
        <v>0</v>
      </c>
      <c r="PJ29" s="52" t="str">
        <f>IF(Fug!$F$16=Hidden!$PP$2,"Compressors","Relief Valves (controlled)")</f>
        <v>Relief Valves (controlled)</v>
      </c>
      <c r="PK29" s="52" t="str">
        <f>IF(Fug!$F$16=Hidden!$PP$2,"Water/Light Oil","All")</f>
        <v>All</v>
      </c>
      <c r="PL29" s="52">
        <v>0</v>
      </c>
      <c r="PM29" s="52">
        <v>0</v>
      </c>
      <c r="PN29" s="52">
        <v>0</v>
      </c>
      <c r="PO29" s="52">
        <v>0</v>
      </c>
      <c r="PP29" s="52">
        <v>3.09E-2</v>
      </c>
      <c r="PQ29" s="52">
        <v>0</v>
      </c>
      <c r="PR29" s="52">
        <v>0</v>
      </c>
      <c r="PS29" s="52">
        <v>0</v>
      </c>
      <c r="PT29" s="52" t="s">
        <v>8788</v>
      </c>
      <c r="PU29" s="52" t="s">
        <v>8776</v>
      </c>
      <c r="PV29" s="52">
        <v>0</v>
      </c>
      <c r="PW29" s="52">
        <v>0</v>
      </c>
      <c r="PX29" s="52">
        <v>0</v>
      </c>
      <c r="PY29" s="52">
        <v>0</v>
      </c>
      <c r="PZ29" s="52">
        <v>0</v>
      </c>
      <c r="QA29" s="52">
        <v>0</v>
      </c>
      <c r="QB29" s="52" t="s">
        <v>8791</v>
      </c>
      <c r="QC29" s="52" t="s">
        <v>8778</v>
      </c>
      <c r="QD29" s="52">
        <v>1</v>
      </c>
      <c r="QE29" s="52">
        <v>1</v>
      </c>
      <c r="QF29" s="52">
        <v>1</v>
      </c>
      <c r="QG29" s="52">
        <v>1</v>
      </c>
      <c r="QH29" s="52">
        <v>1</v>
      </c>
      <c r="QI29" s="52">
        <v>1</v>
      </c>
      <c r="QK29" s="96" t="s">
        <v>9134</v>
      </c>
      <c r="QX29" s="89" t="s">
        <v>9337</v>
      </c>
      <c r="QY29">
        <v>492.4</v>
      </c>
      <c r="QZ29">
        <v>492.4</v>
      </c>
      <c r="RA29">
        <v>492.4</v>
      </c>
      <c r="RB29">
        <v>492.4</v>
      </c>
      <c r="RC29">
        <v>492.4</v>
      </c>
      <c r="RD29">
        <v>492.4</v>
      </c>
      <c r="RE29">
        <v>492.4</v>
      </c>
      <c r="RF29">
        <v>492.4</v>
      </c>
      <c r="RG29">
        <v>492.4</v>
      </c>
      <c r="RH29" s="89" t="s">
        <v>9337</v>
      </c>
      <c r="RQ29" s="90"/>
      <c r="RR29" s="89" t="s">
        <v>9337</v>
      </c>
      <c r="SA29" s="90"/>
      <c r="SB29" s="89" t="s">
        <v>9337</v>
      </c>
      <c r="SK29" s="90"/>
      <c r="SL29" s="89" t="s">
        <v>9337</v>
      </c>
      <c r="SM29">
        <v>5.37</v>
      </c>
      <c r="SN29">
        <v>5.37</v>
      </c>
      <c r="SO29">
        <v>5.37</v>
      </c>
      <c r="SP29">
        <v>5.37</v>
      </c>
      <c r="SQ29">
        <v>5.37</v>
      </c>
      <c r="SR29">
        <v>5.37</v>
      </c>
      <c r="SS29">
        <v>5.37</v>
      </c>
      <c r="ST29">
        <v>5.37</v>
      </c>
      <c r="SU29" s="90">
        <v>5.37</v>
      </c>
      <c r="TJ29" s="259" t="s">
        <v>10536</v>
      </c>
      <c r="TK29" s="259" t="s">
        <v>10537</v>
      </c>
    </row>
    <row r="30" spans="1:533" ht="74.25" customHeight="1" x14ac:dyDescent="0.2">
      <c r="A30" s="8" t="s">
        <v>207</v>
      </c>
      <c r="B30" s="8">
        <v>14</v>
      </c>
      <c r="W30">
        <f>IF(OR(X30=0,ISNUMBER(MATCH(X30,$X$1:X29,0))),0,MAX($W$1:W29)+1)</f>
        <v>0</v>
      </c>
      <c r="X30" s="123">
        <f>Products!$E77</f>
        <v>0</v>
      </c>
      <c r="Y30" t="str">
        <f t="shared" si="3"/>
        <v/>
      </c>
      <c r="CA30">
        <f>IF(OR(CB30=0,ISNUMBER(MATCH(CB30,$CB$1:CB29,0))),0,MAX($CA$1:CA29)+1)</f>
        <v>0</v>
      </c>
      <c r="CB30" s="8">
        <f>IF(OR(Tank1!$D$18="EXTERNAL FLOATING ROOF",Tank1!$D$18="INTERNAL FLOATING ROOF"),IF(Tank1!$E60="",0,Tank1!$E60),0)</f>
        <v>0</v>
      </c>
      <c r="CC30" s="8" t="str">
        <f t="shared" si="6"/>
        <v/>
      </c>
      <c r="CD30" s="8"/>
      <c r="CE30" s="8">
        <f>IF(OR(CF30=0,ISNUMBER(MATCH(CF30,$CF$1:CF29,0))),0,MAX($CE$1:CE29)+1)</f>
        <v>0</v>
      </c>
      <c r="CF30" s="8">
        <f>IF(OR(Tank1!$D$18="HORIZONTAL FIXED ROOF",Tank1!$D$18="VERTICAL FIXED ROOF"),IF(Tank1!$E60="",0,Tank1!$E60),0)</f>
        <v>0</v>
      </c>
      <c r="CG30" s="8" t="str">
        <f t="shared" si="7"/>
        <v/>
      </c>
      <c r="CJ30">
        <f>IF(OR(CK30=0,ISNUMBER(MATCH(CK30,$CK$1:CK29,0))),0,MAX($CJ$1:CJ29)+1)</f>
        <v>0</v>
      </c>
      <c r="CK30">
        <f>Tank3!$A$120</f>
        <v>0</v>
      </c>
      <c r="CM30">
        <f>IFERROR(VLOOKUP($CK30,Tank3!$A$32:$D$141,3,FALSE),0)</f>
        <v>0</v>
      </c>
      <c r="CN30">
        <f>IFERROR(VLOOKUP($CK30,Tank3!$A$32:$D$141,4,FALSE),0)</f>
        <v>0</v>
      </c>
      <c r="DM30">
        <f>IF(OR(DN30=0,ISNUMBER(MATCH(DN30,$DN$1:DN29,0))),0,MAX($DM$1:DM29)+1)</f>
        <v>0</v>
      </c>
      <c r="DN30">
        <f>IF(Tank3!$D$22="Flare",IFERROR(VLOOKUP(Products!$A$139,Tank3!$A$32:$B$141,1,FALSE),0),0)</f>
        <v>0</v>
      </c>
      <c r="DO30">
        <f>IF($DN30=0,0,VLOOKUP($DN30,Tank3!$A$32:$H$141,7,FALSE))</f>
        <v>0</v>
      </c>
      <c r="DP30">
        <f>IF($DN30=0,0,VLOOKUP($DN30,Tank3!$A$32:$H$141,8,FALSE))</f>
        <v>0</v>
      </c>
      <c r="DU30">
        <f>IF(OR(DV30=0,ISNUMBER(MATCH(DV30,$DV$1:DV29,0))),0,MAX($DU$1:DU29)+1)</f>
        <v>0</v>
      </c>
      <c r="DV30">
        <f>IF(Tank3!$D$22="VCU",IFERROR(VLOOKUP(Products!$A$139,Tank3!$A$32:$B$141,1,FALSE),0),0)</f>
        <v>0</v>
      </c>
      <c r="DW30">
        <f>IF($DV30=0,0,VLOOKUP($DV30,Tank3!$A$32:$H$141,7,FALSE))</f>
        <v>0</v>
      </c>
      <c r="DX30">
        <f>IF($DV30=0,0,VLOOKUP($DV30,Tank3!$A$32:$H$141,8,FALSE))</f>
        <v>0</v>
      </c>
      <c r="EC30">
        <f>IF(OR(ED30=0,ISNUMBER(MATCH(ED30,$ED$1:ED29,0))),0,MAX($EC$1:EC29)+1)</f>
        <v>0</v>
      </c>
      <c r="ED30">
        <f>IF(Tank3!$D$22="vapor oxidizer",IFERROR(VLOOKUP(Products!$A$139,Tank3!$A$32:$B$141,1,FALSE),0),0)</f>
        <v>0</v>
      </c>
      <c r="EE30">
        <f>IF($ED30=0,0,VLOOKUP($ED30,Tank3!$A$32:$H$141,7,FALSE))</f>
        <v>0</v>
      </c>
      <c r="EF30">
        <f>IF($ED30=0,0,VLOOKUP($ED30,Tank3!$A$32:$H$141,8,FALSE))</f>
        <v>0</v>
      </c>
      <c r="EK30">
        <f>IF(OR(EL30=0,ISNUMBER(MATCH(EL30,$EL$1:EL29,0))),0,MAX($EK$1:EK29)+1)</f>
        <v>0</v>
      </c>
      <c r="EL30">
        <f>IF(Tank3!$D$22="CAS",IFERROR(VLOOKUP(Products!A139,Tank3!$A$32:$B$141,1,FALSE),0),0)</f>
        <v>0</v>
      </c>
      <c r="EM30">
        <f>IF($EL30=0,0,VLOOKUP($EL30,Tank3!$A$32:$H$141,7,FALSE))</f>
        <v>0</v>
      </c>
      <c r="EN30">
        <f>IF($EL30=0,0,VLOOKUP($EL30,Tank3!$A$32:$H$141,8,FALSE))</f>
        <v>0</v>
      </c>
      <c r="FB30" s="8" t="s">
        <v>413</v>
      </c>
      <c r="FC30" s="8" t="s">
        <v>414</v>
      </c>
      <c r="FD30" s="8">
        <v>5700</v>
      </c>
      <c r="FE30" s="8">
        <v>570</v>
      </c>
      <c r="FG30" s="360" t="str">
        <f t="shared" si="23"/>
        <v/>
      </c>
      <c r="FH30" s="155">
        <f>IF(Tank1!$D$22="NO CONTROL",_xlfn.MAXIFS(Tank1!$G$32:$G$141,Tank1!$E$32:$E$141,$FG30),0)*IFERROR($QR$3,0)</f>
        <v>0</v>
      </c>
      <c r="FI30" s="155">
        <f>_xlfn.MAXIFS(LandEmiss!$AF$20:$AF$119,LandEmiss!$AE$20:$AE$119,$FG30)*IFERROR($QR$3,0)</f>
        <v>0</v>
      </c>
      <c r="FJ30" s="155">
        <f>MAX(_xlfn.MAXIFS(LandEmiss!$CO$20:$CO$119,LandEmiss!$CN$20:$CN$119,$FG30),_xlfn.MAXIFS(LandEmiss!$EZ$9:$EZ$108,LandEmiss!$EY$9:$EY$108,$FG30))*IFERROR($QR$3,0)</f>
        <v>0</v>
      </c>
      <c r="FK30" s="155">
        <f>IF(Tank2!$D$22="NO CONTROL",_xlfn.MAXIFS(Tank2!$G$32:$G$141,Tank2!$E$32:$E$141,$FG30),0)*IFERROR($QR$4,0)</f>
        <v>0</v>
      </c>
      <c r="FL30" s="155">
        <f>_xlfn.MAXIFS(LandEmiss!$AG$20:$AG$119,LandEmiss!$AE$20:$AE$119,$FG30)*IFERROR($QR$4,0)</f>
        <v>0</v>
      </c>
      <c r="FM30" s="155">
        <f>MAX(_xlfn.MAXIFS(LandEmiss!$CP$20:$CP$119,LandEmiss!$CN$20:$CN$119,$FG30),_xlfn.MAXIFS(LandEmiss!$FA$9:$FA$108,LandEmiss!$EY$9:$EY$108,$FG30))*IFERROR($QR$4,0)</f>
        <v>0</v>
      </c>
      <c r="FN30" s="155">
        <f>IF(Tank3!$D$22="NO CONTROL",_xlfn.MAXIFS(Tank3!$G$32:$G$141,Tank3!$E$32:$E$141,$FG30),0)*IFERROR($QR$5,0)</f>
        <v>0</v>
      </c>
      <c r="FO30" s="155">
        <f>_xlfn.MAXIFS(LandEmiss!$AH$20:$AH$119,LandEmiss!$AE$20:$AE$119,$FG30)*IFERROR($QR$5,0)</f>
        <v>0</v>
      </c>
      <c r="FP30" s="155">
        <f>MAX(_xlfn.MAXIFS(LandEmiss!$CQ$20:$CQ$119,LandEmiss!$CN$20:$CN$119,$FG30),_xlfn.MAXIFS(LandEmiss!$FB$9:$FB$108,LandEmiss!$EY$9:$EY$108,$FG30))*IFERROR($QR$5,0)</f>
        <v>0</v>
      </c>
      <c r="FQ30" s="155">
        <f>IF(Tank4!$D$22="NO CONTROL",_xlfn.MAXIFS(Tank4!$G$32:$G$141,Tank4!$E$32:$E$141,$FG30),0)*IFERROR($QR$6,0)</f>
        <v>0</v>
      </c>
      <c r="FR30" s="155">
        <f>_xlfn.MAXIFS(LandEmiss!$AI$20:$AI$119,LandEmiss!$AE$20:$AE$119,$FG30)*IFERROR($QR$6,0)</f>
        <v>0</v>
      </c>
      <c r="FS30" s="155">
        <f>MAX(_xlfn.MAXIFS(LandEmiss!$CR$20:$CR$119,LandEmiss!$CN$20:$CN$119,$FG30),_xlfn.MAXIFS(LandEmiss!$FC$9:$FC$108,LandEmiss!$EY$9:$EY$108,$FG30))*IFERROR($QR$6,0)</f>
        <v>0</v>
      </c>
      <c r="FT30" s="155">
        <f>IF(Tank5!$D$22="NO CONTROL",_xlfn.MAXIFS(Tank5!$G$32:$G$141,Tank5!$E$32:$E$141,$FG30),0)*IFERROR($QR$7,0)</f>
        <v>0</v>
      </c>
      <c r="FU30" s="155">
        <f>_xlfn.MAXIFS(LandEmiss!$AJ$20:$AJ$119,LandEmiss!$AE$20:$AE$119,$FG30)*IFERROR($QR$7,0)</f>
        <v>0</v>
      </c>
      <c r="FV30" s="155">
        <f>MAX(_xlfn.MAXIFS(LandEmiss!$CS$20:$CS$119,LandEmiss!$CN$20:$CN$119,$FG30),_xlfn.MAXIFS(LandEmiss!$FD$9:$FD$108,LandEmiss!$EY$9:$EY$108,$FG30))*IFERROR($QR35,0)</f>
        <v>0</v>
      </c>
      <c r="FW30" s="155">
        <f>_xlfn.MAXIFS('Load-DrumTote'!$K$27:$K$136,'Load-DrumTote'!$F$27:$F$136,$FG30)*IFERROR($QR$8,0)</f>
        <v>0</v>
      </c>
      <c r="FX30" s="155">
        <f>_xlfn.MAXIFS('Load-Truck'!$K$27:$K$136,'Load-Truck'!$F$27:$F$136,$FG30)*IFERROR($QR$9,0)</f>
        <v>0</v>
      </c>
      <c r="FY30" s="155">
        <f>_xlfn.MAXIFS('Load-Rail'!$K$27:$K$136,'Load-Rail'!$F$27:$F$136,$FG30)*IFERROR($QR$10,0)</f>
        <v>0</v>
      </c>
      <c r="FZ30" s="155">
        <f>_xlfn.MAXIFS('Load-MarineBarge'!$K$27:$K$136,'Load-MarineBarge'!$F$27:$F$136,$FG30)*IFERROR($QR$11,0)</f>
        <v>0</v>
      </c>
      <c r="GA30" s="155">
        <f>_xlfn.MAXIFS('Load-MarineShip'!$K$27:$K$136,'Load-MarineShip'!$F$27:$F$136,$FG30)*IFERROR($QR$12,0)</f>
        <v>0</v>
      </c>
      <c r="GB30" s="313">
        <f>IF(OR(Flare!$D$24="fuel gas",Flare!$D$38="fuel gas"),SUMIF(Flare!$E$97:$E$106,$FG30,Flare!$F$97:$F$106),0)*IFERROR($QR$13,0)</f>
        <v>0</v>
      </c>
      <c r="GC30" s="313">
        <f>(_xlfn.MAXIFS(CtrlDevImpacts!$I$57:$I$156,CtrlDevImpacts!$H$57:$H$156,$FG30))*IFERROR($QR$13,0)</f>
        <v>0</v>
      </c>
      <c r="GD30" s="313">
        <f>(_xlfn.MAXIFS(Flare!$F$107:$F$216,Flare!$E$107:$E$216,$FG30)-_xlfn.MAXIFS(CtrlDevImpacts!$I$57:$I$156,CtrlDevImpacts!$H$57:$H$156,$FG30))*IFERROR($QR$13,0)</f>
        <v>0</v>
      </c>
      <c r="GE30" s="155">
        <f>_xlfn.MAXIFS(LandEmiss!$B$335:$B$434,LandEmiss!$A$335:$A$434,$FG30)*IFERROR($QR$13,0)</f>
        <v>0</v>
      </c>
      <c r="GF30" s="155">
        <f>(_xlfn.MAXIFS(LandEmiss!$BK$335:$BK$434,LandEmiss!$BJ$335:$BJ$434,$FG30)+_xlfn.MAXIFS(LandEmiss!$DV$323:$DV$422,LandEmiss!$DU$323:$DU$422,$FG30))*IFERROR($QR$13,0)</f>
        <v>0</v>
      </c>
      <c r="GG30" s="313">
        <f>IF(OR(VCU!$D$26="fuel gas",VCU!$D$42="fuel gas"),SUMIF(VCU!$E$120:$E$129,$FG30,VCU!$F$120:$F$129),0)*IFERROR($QR$14,0)</f>
        <v>0</v>
      </c>
      <c r="GH30" s="313">
        <f>(_xlfn.MAXIFS(CtrlDevImpacts!$X$57:$X$156,CtrlDevImpacts!$W$57:$W$156,$FG30))*IFERROR($QR$14,0)</f>
        <v>0</v>
      </c>
      <c r="GI30" s="313">
        <f>(_xlfn.MAXIFS(VCU!$F$130:$F$239,VCU!$E$130:$E$239,$FG30)-_xlfn.MAXIFS(CtrlDevImpacts!$X$57:$X$156,CtrlDevImpacts!$W$57:$W$156,$FG30))*IFERROR($QR$14,0)</f>
        <v>0</v>
      </c>
      <c r="GJ30" s="155">
        <f>_xlfn.MAXIFS(LandEmiss!$D$335:$D$434,LandEmiss!$A$335:$A$434,$FG30)*IFERROR($QR$14,0)</f>
        <v>0</v>
      </c>
      <c r="GK30" s="155">
        <f>(_xlfn.MAXIFS(LandEmiss!$BM$335:$BM$434,LandEmiss!$BJ$335:$BJ$434,$FG30)+_xlfn.MAXIFS(LandEmiss!$DX$323:$DX$422,LandEmiss!$DU$323:$DU$422,$FG30))*IFERROR($QR$14,0)</f>
        <v>0</v>
      </c>
      <c r="GL30" s="313">
        <f>IF(VaporOxidizer!D61="FUEL GAS",SUMIF(VaporOxidizer!$E$101:$E$110,$FG30,VaporOxidizer!$F$101:$F$110),0)*IFERROR($QR$15,0)</f>
        <v>0</v>
      </c>
      <c r="GM30" s="313">
        <f>(_xlfn.MAXIFS(CtrlDevImpacts!$AN$57:$AN$156,CtrlDevImpacts!$AM$57:$AM$156,$FG30))*IFERROR($QR$15,0)</f>
        <v>0</v>
      </c>
      <c r="GN30" s="313">
        <f>(_xlfn.MAXIFS(VaporOxidizer!$F$111:$F$220,VaporOxidizer!$E$111:$E$220,$FG30)-_xlfn.MAXIFS(CtrlDevImpacts!$AN$57:$AN$156,CtrlDevImpacts!$AM$57:$AM$156,$FG30))*IFERROR($QR$15,0)</f>
        <v>0</v>
      </c>
      <c r="GO30" s="155">
        <f>_xlfn.MAXIFS(LandEmiss!$F$335:$F$434,LandEmiss!$A$335:$A$434,$FG30)*IFERROR($QR$15,0)</f>
        <v>0</v>
      </c>
      <c r="GP30" s="155">
        <f>(_xlfn.MAXIFS(LandEmiss!$BK$335:$BK$434,LandEmiss!$BO$335:$BO$434,$FG30)+_xlfn.MAXIFS(LandEmiss!$DZ$323:$DZ$422,LandEmiss!$DU$323:$DU$422,$FG30))*IFERROR($QR$15,0)</f>
        <v>0</v>
      </c>
      <c r="GQ30" s="313">
        <f>_xlfn.MAXIFS(CtrlDevImpacts!$BD$57:$BD$156,CtrlDevImpacts!$BC$57:$BC$156,$FG30)*IFERROR(Hidden!$QR$16,0)</f>
        <v>0</v>
      </c>
      <c r="GR30" s="313">
        <f>(_xlfn.MAXIFS(CAS!$H$35:$H$144,CAS!$E$35:$E$144,$FG30)-_xlfn.MAXIFS(CtrlDevImpacts!$BD$57:$BD$156,CtrlDevImpacts!$BC$57:$BC$156,$FG30))*IFERROR(Hidden!$QR$16,0)</f>
        <v>0</v>
      </c>
      <c r="GS30" s="155">
        <f>_xlfn.MAXIFS(LandEmiss!$H$335:$H$434,LandEmiss!$A$335:$A$434,$FG30)*IFERROR($QR$27,0)</f>
        <v>0</v>
      </c>
      <c r="GT30" s="155">
        <f>(_xlfn.MAXIFS(LandEmiss!$BK$335:$BK$434,LandEmiss!$BQ$335:$BQ$434,$FG30)+_xlfn.MAXIFS(LandEmiss!$EB$323:$EB$422,LandEmiss!$DU$323:$DU$422,$FG30))*IFERROR($QR$27,0)</f>
        <v>0</v>
      </c>
      <c r="GU30" s="155">
        <f>_xlfn.MAXIFS(LandEmiss!$J$335:$J$434,LandEmiss!$A$335:$A$434,$FG30)*IFERROR($QR$26,0)</f>
        <v>0</v>
      </c>
      <c r="GV30" s="155">
        <f>(_xlfn.MAXIFS(LandEmiss!$BK$335:$BK$434,LandEmiss!$BS$335:$BS$434,$FG30)+_xlfn.MAXIFS(LandEmiss!$ED$323:$ED$422,LandEmiss!$DU$323:$DU$422,$FG30))*IFERROR($QR$26,0)</f>
        <v>0</v>
      </c>
      <c r="GW30" s="155">
        <f>_xlfn.MAXIFS(LandEmiss!$L$335:$L$434,LandEmiss!$A$335:$A$434,$FG30)*IFERROR($QR$25,0)</f>
        <v>0</v>
      </c>
      <c r="GX30" s="155">
        <f>(_xlfn.MAXIFS(LandEmiss!$BK$335:$BK$434,LandEmiss!$BU$335:$BU$434,$FG30)+_xlfn.MAXIFS(LandEmiss!$EF$323:$EF$422,LandEmiss!$DU$323:$DU$422,$FG30))*IFERROR($QR$25,0)</f>
        <v>0</v>
      </c>
      <c r="GY30" s="155">
        <v>0</v>
      </c>
      <c r="GZ30" s="155">
        <v>0</v>
      </c>
      <c r="HA30" s="155">
        <f>IF(OR(HeaterBoiler1!$E$26&lt;&gt;"fuel gas",HeaterBoiler1!$E$15&lt;&gt;"heater"),0,SUMIF(HeaterBoiler1!$A$54:$D$63,$FG30,HeaterBoiler1!$I$54:$I$63))*IFERROR($QR$19,0)</f>
        <v>0</v>
      </c>
      <c r="HB30" s="207">
        <f>IF(OR(HeaterBoiler2!$E$26&lt;&gt;"fuel gas",HeaterBoiler2!$E$15&lt;&gt;"heater"),0,SUMIF(HeaterBoiler2!$A$54:$D$63,$FG30,HeaterBoiler2!$I$54:$I$63))*IFERROR($QR$21,0)</f>
        <v>0</v>
      </c>
      <c r="HC30" s="155">
        <f>IF(OR(HeaterBoiler1!$E$26&lt;&gt;"fuel gas",HeaterBoiler1!$E$15&lt;&gt;"boiler"),0,SUMIF(HeaterBoiler1!$A$41:$A$50,$FG30,HeaterBoiler1!$F$41:$F$50))*IFERROR($QR$20,0)</f>
        <v>0</v>
      </c>
      <c r="HD30" s="207">
        <f>IF(OR(HeaterBoiler2!$E$26&lt;&gt;"fuel gas",HeaterBoiler2!$E$15&lt;&gt;"boiler"),0,SUMIF(HeaterBoiler2!$A$41:$A$50,$FG30,HeaterBoiler2!$F$41:$F$50))*IFERROR($QR$22,0)</f>
        <v>0</v>
      </c>
      <c r="HE30" s="155">
        <f>SUMIF(Fug!$A$96:$A$205,$FG30,Fug!$I$96:$I$205)*IFERROR(Hidden!$QR$23,0)</f>
        <v>0</v>
      </c>
      <c r="HF30" s="155">
        <f t="shared" si="24"/>
        <v>0</v>
      </c>
      <c r="HG30" s="156">
        <f t="shared" si="25"/>
        <v>0</v>
      </c>
      <c r="HH30" s="156">
        <f t="shared" si="26"/>
        <v>0</v>
      </c>
      <c r="HI30" s="156">
        <f t="shared" si="27"/>
        <v>0</v>
      </c>
      <c r="HJ30" s="156">
        <f t="shared" si="28"/>
        <v>0</v>
      </c>
      <c r="HK30" s="156">
        <f t="shared" si="29"/>
        <v>0</v>
      </c>
      <c r="HL30" s="156">
        <f t="shared" si="30"/>
        <v>0</v>
      </c>
      <c r="NO30" s="155">
        <f>IF(Tank1!$D$22="No control",(SUMIF(Tank1!$E$32:$E$141,$FG30,Tank1!$H$32:$H$141)*(2000/8760)*IFERROR($QV$3,0)),0)</f>
        <v>0</v>
      </c>
      <c r="NP30" s="156">
        <f>SUMIF(LandEmiss!$AE$20:$AE$119,$FG30,LandEmiss!$AK$20:$AK$119)*(2000/8760)*IFERROR($QV$3,0)</f>
        <v>0</v>
      </c>
      <c r="NQ30" s="156">
        <f>(SUMIF(LandEmiss!$CN$20:$CN$119,$FG30,LandEmiss!$CT$20:$CT$119)+SUMIF(LandEmiss!$EY$9:$EY$108,$FG30,LandEmiss!$FE$9:$FE$108))*IFERROR($QV$3,0)*(2000/8760)</f>
        <v>0</v>
      </c>
      <c r="NR30" s="155">
        <f>IF(Tank2!$D$22="No control",(SUMIF(Tank2!$E$32:$E$141,$FG30,Tank2!$H$32:$H$141)*(2000/8760)*IFERROR($QV$4,0)),0)</f>
        <v>0</v>
      </c>
      <c r="NS30" s="156">
        <f>SUMIF(LandEmiss!$AE$20:$AE$119,$FG30,LandEmiss!$AL$20:$AL$119)*(2000/8760)*IFERROR($QV$4,0)</f>
        <v>0</v>
      </c>
      <c r="NT30" s="156">
        <f>(SUMIF(LandEmiss!$CN$20:$CN$119,$FG30,LandEmiss!$CU$20:$CU$119)+SUMIF(LandEmiss!$EY$9:$EY$108,$FG30,LandEmiss!$FF$9:$FF$108))*IFERROR($QV$4,0)*(2000/8760)</f>
        <v>0</v>
      </c>
      <c r="NU30" s="155">
        <f>IF(Tank3!$D$22="No control",(SUMIF(Tank3!$E$32:$E$141,$FG30,Tank3!$H$32:$H$141)*(2000/8760)*IFERROR($QV$5,0)),0)</f>
        <v>0</v>
      </c>
      <c r="NV30" s="156">
        <f>SUMIF(LandEmiss!$AE$20:$AE$119,$FG30,LandEmiss!$AM$20:$AM$119)*(2000/8760)*IFERROR($QV$5,0)</f>
        <v>0</v>
      </c>
      <c r="NW30" s="156">
        <f>(SUMIF(LandEmiss!$CN$20:$CN$119,$FG30,LandEmiss!$CV$20:$CV$119)+SUMIF(LandEmiss!$EY$9:$EY$108,$FG30,LandEmiss!$FG$9:$FG$108))*IFERROR($QV$5,0)*(2000/8760)</f>
        <v>0</v>
      </c>
      <c r="NX30" s="155">
        <f>IF(Tank4!$D$22="No control",(SUMIF(Tank4!$E$32:$E$141,$FG30,Tank4!$H$32:$H$141)*(2000/8760)*IFERROR($QV$6,0)),0)</f>
        <v>0</v>
      </c>
      <c r="NY30" s="156">
        <f>SUMIF(LandEmiss!$AE$20:$AE$119,$FG30,LandEmiss!$AN$20:$AN$119)*(2000/8760)*IFERROR($QV$6,0)</f>
        <v>0</v>
      </c>
      <c r="NZ30" s="156">
        <f>(SUMIF(LandEmiss!$CN$20:$CN$119,$FG30,LandEmiss!$CW$20:$CW$119)+SUMIF(LandEmiss!$EY$9:$EY$108,$FG30,LandEmiss!$FH$9:$FH$108))*IFERROR($QV$6,0)*(2000/8760)</f>
        <v>0</v>
      </c>
      <c r="OA30" s="155">
        <f>IF(Tank5!$D$22="No control",(SUMIF(Tank5!$E$32:$E$141,$FG30,Tank5!$H$32:$H$141)*(2000/8760)*IFERROR($QV$7,0)),0)</f>
        <v>0</v>
      </c>
      <c r="OB30" s="156">
        <f>SUMIF(LandEmiss!$AE$20:$AE$119,$FG30,LandEmiss!$AO$20:$AO$119)*(2000/8760)*IFERROR($QV$7,0)</f>
        <v>0</v>
      </c>
      <c r="OC30" s="156">
        <f>(SUMIF(LandEmiss!$CN$20:$CN$119,$FG30,LandEmiss!$CX$20:$CX$119)+SUMIF(LandEmiss!$EY$9:$EY$108,$FG30,LandEmiss!$FI$9:$FI$108))*IFERROR($QV$7,0)*(2000/8760)</f>
        <v>0</v>
      </c>
      <c r="OD30" s="155">
        <f>SUMIFS('Load-DrumTote'!$L$27:$L$136,'Load-DrumTote'!$F$27:$F$136,$FG30)*IFERROR($QV$8,0)*(2000/8760)</f>
        <v>0</v>
      </c>
      <c r="OE30" s="155">
        <f>SUMIFS('Load-Truck'!$L$27:$L$136,'Load-Truck'!$F$27:$F$136,$FG30)*IFERROR($QV$9,0)*(2000/8760)</f>
        <v>0</v>
      </c>
      <c r="OF30" s="155">
        <f>SUMIFS('Load-Rail'!$L$27:$L$136,'Load-Rail'!$F$27:$F$136,$FG30)*IFERROR($QV$10,0)*(2000/8760)</f>
        <v>0</v>
      </c>
      <c r="OG30" s="155">
        <f>SUMIFS('Load-MarineBarge'!$L$27:$L$136,'Load-MarineBarge'!$F$27:$F$136,$FG30)*IFERROR($QV$11,0)*(2000/8760)</f>
        <v>0</v>
      </c>
      <c r="OH30" s="155">
        <f>SUMIFS('Load-MarineShip'!$L$27:$L$136,'Load-MarineShip'!$F$27:$F$136,$FG30)*IFERROR($QV$12,0)*(2000/8760)</f>
        <v>0</v>
      </c>
      <c r="OI30" s="155">
        <f>(IF(OR(Flare!$D$24="FUEL GAS",Flare!$D$38="FUEL GAS"),SUMIF(Flare!$E$97:$E$106,$FG30,Flare!$G$97:$G$105),0)+SUMIF(Flare!$E$107:$E$216,$FG30,Flare!$G$107:$G$216))*(2000/8730)*IFERROR($QV$13,0)</f>
        <v>0</v>
      </c>
      <c r="OJ30" s="155">
        <f>SUMIF(LandEmiss!$A$335:$A$434,$FG30,LandEmiss!$C$335:$C$434)*(2000/8760)*IFERROR($QV$13,0)</f>
        <v>0</v>
      </c>
      <c r="OK30" s="155">
        <f>(SUMIF(LandEmiss!$BJ$335:$BJ$434,$FG30,LandEmiss!$BL$335:$BL$434)+SUMIF(LandEmiss!$DU$323:$DU$422,$FG30,LandEmiss!$DW$323:$DW$422))*(2000/8760)*IFERROR($QV$13,0)</f>
        <v>0</v>
      </c>
      <c r="OL30" s="155">
        <f>(IF(OR(VCU!$D$26="FUEL GAS",VCU!$D$42="FUEL GAS"),SUMIF(VCU!$E$120:$E$129,$FG30,VCU!$G$120:$G$129),0)+SUMIF(VCU!$E$130:$E$239,$FG30,VCU!G158:G267))*(2000/8760)*IFERROR($QV$14,0)</f>
        <v>0</v>
      </c>
      <c r="OM30" s="155">
        <f>SUMIF(LandEmiss!$A$335:$A$434,$FG30,LandEmiss!$E$335:$E$434)*(2000/8760)*IFERROR($QV$14,0)</f>
        <v>0</v>
      </c>
      <c r="ON30" s="155">
        <f>(SUMIF(LandEmiss!$BJ$335:$BJ$434,$FG30,LandEmiss!$BN$335:$BN$434)+SUMIF(LandEmiss!$DU$323:$DU$422,$FG30,LandEmiss!$DY$323:$DY$422))*(2000/8760)*IFERROR($QV$14,0)</f>
        <v>0</v>
      </c>
      <c r="OO30" s="155">
        <f>(IF(VaporOxidizer!$D$33="FUEL GAS",SUMIF(VaporOxidizer!$E$101:$E$110,$FG30,VaporOxidizer!$G$101:$G$110),0)+SUMIF(VaporOxidizer!$E$111:$E$220,$FG30,VaporOxidizer!$G$111:$G$220))*(2000/8760)*IFERROR($QV$15,0)</f>
        <v>0</v>
      </c>
      <c r="OP30" s="155">
        <f>SUMIF(LandEmiss!$A$335:$A$434,$FG30,LandEmiss!$G$335:$G$434)*(2000/8760)*IFERROR($QV$15,0)</f>
        <v>0</v>
      </c>
      <c r="OQ30" s="155">
        <f>(SUMIF(LandEmiss!$BJ$335:$BJ$434,$FG30,LandEmiss!$BP$335:$BP$434)+SUMIF(LandEmiss!$DU$323:$DU$422,$FG30,LandEmiss!$EA$323:$EA$422))*(2000/8760)*IFERROR($QV$15,0)</f>
        <v>0</v>
      </c>
      <c r="OR30" s="155">
        <f>SUMIF(CAS!$E$35:$E$144,Hidden!$FG30,CAS!$I$35:$I$144)*IFERROR($QV$16,0)*(2000/8760)</f>
        <v>0</v>
      </c>
      <c r="OS30" s="155">
        <f>SUMIF(LandEmiss!$A$335:$A$434,$FG30,LandEmiss!$I$335:$I$434)*(2000/8760)*IFERROR($QV$27,0)</f>
        <v>0</v>
      </c>
      <c r="OT30" s="155">
        <f>(SUMIF(LandEmiss!$BJ$335:$BJ$434,$FG30,LandEmiss!$BR$335:$BR$434)+SUMIF(LandEmiss!$DU$323:$DU$422,$FG30,LandEmiss!$EC$323:$EC$422))*(2000/8760)*IFERROR($QV$27,0)</f>
        <v>0</v>
      </c>
      <c r="OU30" s="155">
        <f>SUMIF(LandEmiss!$A$335:$A$434,$FG30,LandEmiss!$K$335:$K$434)*(2000/8760)*IFERROR($QV$26,0)</f>
        <v>0</v>
      </c>
      <c r="OV30" s="155">
        <f>(SUMIF(LandEmiss!$BJ$335:$BJ$434,$FG30,LandEmiss!$BT$335:$BT$434)+SUMIF(LandEmiss!$DU$323:$DU$422,$FG30,LandEmiss!$EE$323:$EE$422))*(2000/8760)*IFERROR($QV$26,0)</f>
        <v>0</v>
      </c>
      <c r="OW30" s="155">
        <f>SUMIF(LandEmiss!$A$335:$A$434,$FG30,LandEmiss!$M$335:$M$434)*(2000/8760)*IFERROR($QV$25,0)</f>
        <v>0</v>
      </c>
      <c r="OX30" s="155">
        <f>(SUMIF(LandEmiss!$BJ$335:$BJ$434,$FG30,LandEmiss!$BV$335:$BV$434)+SUMIF(LandEmiss!$DU$323:$DU$422,$FG30,LandEmiss!$EG$323:$EG$422))*(2000/8760)*IFERROR($QV$25,0)</f>
        <v>0</v>
      </c>
      <c r="OY30" s="8">
        <v>0</v>
      </c>
      <c r="OZ30" s="207">
        <v>0</v>
      </c>
      <c r="PA30" s="207">
        <f>IF(OR(HeaterBoiler1!$E$26&lt;&gt;"fuel gas",HeaterBoiler1!$E$15&lt;&gt;"heater"),0,(SUMIF(HeaterBoiler1!$A$54:$D$63,$FG30,HeaterBoiler1!$J$54:$J$63))*(2000/8760))*IFERROR($QV$19,0)</f>
        <v>0</v>
      </c>
      <c r="PB30" s="207">
        <f>IF(OR(HeaterBoiler2!$E$26&lt;&gt;"fuel gas",HeaterBoiler2!$E$15&lt;&gt;"heater"),0,(SUMIF(HeaterBoiler2!$A$54:$D$63,$FG30,HeaterBoiler2!$J$54:$J$63))*(2000/8760))*IFERROR($QV$21,0)</f>
        <v>0</v>
      </c>
      <c r="PC30" s="207">
        <f>IF(OR(HeaterBoiler1!$E$26&lt;&gt;"fuel gas",HeaterBoiler1!$E$15&lt;&gt;"boiler"),0,(SUMIF(HeaterBoiler1!$A$54:$D$63,$FG30,HeaterBoiler1!$J$54:$J$63))*(2000/8760))*IFERROR($QV$20,0)</f>
        <v>0</v>
      </c>
      <c r="PD30" s="207">
        <f>IF(OR(HeaterBoiler2!$E$26&lt;&gt;"fuel gas",HeaterBoiler2!$E$15&lt;&gt;"boiler"),0,(SUMIF(HeaterBoiler2!$A$54:$D$63,$FG30,HeaterBoiler2!$J$54:$J$63))*(2000/8760))*IFERROR($QV$22,0)</f>
        <v>0</v>
      </c>
      <c r="PE30" s="8">
        <f>(SUMIF(Fug!$A$96:$A$205,$FG30,Fug!$J$96:$J$205))*IFERROR($QV$23,0)*(2000/8760)</f>
        <v>0</v>
      </c>
      <c r="PF30" s="8">
        <f t="shared" si="31"/>
        <v>0</v>
      </c>
      <c r="PG30" s="156">
        <f t="shared" si="32"/>
        <v>0</v>
      </c>
      <c r="PJ30" s="52" t="str">
        <f>IF(Fug!$F$16=Hidden!$PP$2,"Compressors (controlled)","Open-Ended Lines")</f>
        <v>Open-Ended Lines</v>
      </c>
      <c r="PK30" s="52" t="str">
        <f>IF(Fug!$F$16=Hidden!$PP$2,"All","All")</f>
        <v>All</v>
      </c>
      <c r="PL30" s="52">
        <v>3.8E-3</v>
      </c>
      <c r="PM30" s="52">
        <v>4.0000000000000001E-3</v>
      </c>
      <c r="PN30" s="52">
        <v>7.4999999999999997E-3</v>
      </c>
      <c r="PO30" s="52">
        <v>3.3E-3</v>
      </c>
      <c r="PP30" s="52">
        <v>0</v>
      </c>
      <c r="PQ30" s="52">
        <v>1.078E-3</v>
      </c>
      <c r="PR30" s="52">
        <v>7.0000000000000005E-8</v>
      </c>
      <c r="PS30" s="52">
        <v>1.2E-4</v>
      </c>
      <c r="PT30" s="52" t="s">
        <v>8789</v>
      </c>
      <c r="PU30" s="52" t="s">
        <v>8778</v>
      </c>
      <c r="PV30" s="52">
        <v>1</v>
      </c>
      <c r="PW30" s="52">
        <v>1</v>
      </c>
      <c r="PX30" s="52">
        <v>1</v>
      </c>
      <c r="PY30" s="52">
        <v>1</v>
      </c>
      <c r="PZ30" s="52">
        <v>1</v>
      </c>
      <c r="QA30" s="52">
        <v>1</v>
      </c>
      <c r="QB30" s="52" t="s">
        <v>8792</v>
      </c>
      <c r="QC30" s="52" t="s">
        <v>8778</v>
      </c>
      <c r="QD30" s="52">
        <v>0</v>
      </c>
      <c r="QE30" s="52">
        <v>0.97</v>
      </c>
      <c r="QF30" s="52">
        <v>0.97</v>
      </c>
      <c r="QG30" s="52">
        <v>0.97</v>
      </c>
      <c r="QH30" s="52">
        <v>0</v>
      </c>
      <c r="QI30" s="52">
        <v>0</v>
      </c>
      <c r="QX30" s="89" t="s">
        <v>9338</v>
      </c>
      <c r="QY30">
        <v>262.89999999999998</v>
      </c>
      <c r="QZ30">
        <v>262.89999999999998</v>
      </c>
      <c r="RA30">
        <v>262.89999999999998</v>
      </c>
      <c r="RB30">
        <v>262.89999999999998</v>
      </c>
      <c r="RC30">
        <v>262.89999999999998</v>
      </c>
      <c r="RD30">
        <v>262.89999999999998</v>
      </c>
      <c r="RE30">
        <v>262.89999999999998</v>
      </c>
      <c r="RF30">
        <v>262.89999999999998</v>
      </c>
      <c r="RG30">
        <v>262.89999999999998</v>
      </c>
      <c r="RH30" s="89" t="s">
        <v>9338</v>
      </c>
      <c r="RQ30" s="90"/>
      <c r="RR30" s="89" t="s">
        <v>9338</v>
      </c>
      <c r="SA30" s="90"/>
      <c r="SB30" s="89" t="s">
        <v>9338</v>
      </c>
      <c r="SK30" s="90"/>
      <c r="SL30" s="89" t="s">
        <v>9338</v>
      </c>
      <c r="SM30">
        <v>2.39</v>
      </c>
      <c r="SN30">
        <v>2.39</v>
      </c>
      <c r="SO30">
        <v>2.39</v>
      </c>
      <c r="SP30">
        <v>2.39</v>
      </c>
      <c r="SQ30">
        <v>2.39</v>
      </c>
      <c r="SR30">
        <v>2.39</v>
      </c>
      <c r="SS30">
        <v>2.39</v>
      </c>
      <c r="ST30">
        <v>2.39</v>
      </c>
      <c r="SU30" s="90">
        <v>2.39</v>
      </c>
      <c r="TI30" s="256" t="s">
        <v>8706</v>
      </c>
      <c r="TJ30" s="259" t="str">
        <f>IF(OR(TJ23="Vent to a control and meet the specific control device requirements. Fixed roof with submerged fill. Uninsulated exterior surfaces exposed to the sun shall be white or aluminum.",TJ23="Vent to a control and meet the specific control device requirements."),"Yes","No")</f>
        <v>No</v>
      </c>
      <c r="TK30" s="259" t="str">
        <f>IF(OR(TJ23="White or aluminum uninsulated exterior surface exposed to the sun. Slotted guide pole fittings must have a gasketed cover, and at least 2 of the following: wiper, float, or sleeve.",TJ23="White or aluminum uninsulated exterior surface exposed to the sun."),"Yes","No")</f>
        <v>No</v>
      </c>
      <c r="TM30" s="225"/>
    </row>
    <row r="31" spans="1:533" ht="74.25" customHeight="1" thickBot="1" x14ac:dyDescent="0.25">
      <c r="A31" s="8" t="s">
        <v>208</v>
      </c>
      <c r="B31" s="8">
        <v>12</v>
      </c>
      <c r="W31">
        <f>IF(OR(X31=0,ISNUMBER(MATCH(X31,$X$1:X30,0))),0,MAX($W$1:W30)+1)</f>
        <v>0</v>
      </c>
      <c r="X31" s="123">
        <f>Products!$E78</f>
        <v>0</v>
      </c>
      <c r="Y31" t="str">
        <f t="shared" si="3"/>
        <v/>
      </c>
      <c r="CA31">
        <f>IF(OR(CB31=0,ISNUMBER(MATCH(CB31,$CB$1:CB30,0))),0,MAX($CA$1:CA30)+1)</f>
        <v>0</v>
      </c>
      <c r="CB31" s="8">
        <f>IF(OR(Tank1!$D$18="EXTERNAL FLOATING ROOF",Tank1!$D$18="INTERNAL FLOATING ROOF"),IF(Tank1!$E61="",0,Tank1!$E61),0)</f>
        <v>0</v>
      </c>
      <c r="CC31" s="8" t="str">
        <f t="shared" si="6"/>
        <v/>
      </c>
      <c r="CD31" s="8"/>
      <c r="CE31" s="8">
        <f>IF(OR(CF31=0,ISNUMBER(MATCH(CF31,$CF$1:CF30,0))),0,MAX($CE$1:CE30)+1)</f>
        <v>0</v>
      </c>
      <c r="CF31" s="8">
        <f>IF(OR(Tank1!$D$18="HORIZONTAL FIXED ROOF",Tank1!$D$18="VERTICAL FIXED ROOF"),IF(Tank1!$E61="",0,Tank1!$E61),0)</f>
        <v>0</v>
      </c>
      <c r="CG31" s="8" t="str">
        <f t="shared" si="7"/>
        <v/>
      </c>
      <c r="CJ31">
        <f>IF(OR(CK31=0,ISNUMBER(MATCH(CK31,$CK$1:CK30,0))),0,MAX($CJ$1:CJ30)+1)</f>
        <v>0</v>
      </c>
      <c r="CK31">
        <f>Tank3!$A$131</f>
        <v>0</v>
      </c>
      <c r="CM31">
        <f>IFERROR(VLOOKUP($CK31,Tank3!$A$32:$D$141,3,FALSE),0)</f>
        <v>0</v>
      </c>
      <c r="CN31">
        <f>IFERROR(VLOOKUP($CK31,Tank3!$A$32:$D$141,4,FALSE),0)</f>
        <v>0</v>
      </c>
      <c r="DM31">
        <f>IF(OR(DN31=0,ISNUMBER(MATCH(DN31,$DN$1:DN30,0))),0,MAX($DM$1:DM30)+1)</f>
        <v>0</v>
      </c>
      <c r="DN31">
        <f>IF(Tank3!$D$22="Flare",IFERROR(VLOOKUP(Products!$A$149,Tank3!$A$32:$B$141,1,FALSE),0),0)</f>
        <v>0</v>
      </c>
      <c r="DO31">
        <f>IF($DN31=0,0,VLOOKUP($DN31,Tank3!$A$32:$H$141,7,FALSE))</f>
        <v>0</v>
      </c>
      <c r="DP31">
        <f>IF($DN31=0,0,VLOOKUP($DN31,Tank3!$A$32:$H$141,8,FALSE))</f>
        <v>0</v>
      </c>
      <c r="DU31">
        <f>IF(OR(DV31=0,ISNUMBER(MATCH(DV31,$DV$1:DV30,0))),0,MAX($DU$1:DU30)+1)</f>
        <v>0</v>
      </c>
      <c r="DV31">
        <f>IF(Tank3!$D$22="VCU",IFERROR(VLOOKUP(Products!$A$149,Tank3!$A$32:$B$141,1,FALSE),0),0)</f>
        <v>0</v>
      </c>
      <c r="DW31">
        <f>IF($DV31=0,0,VLOOKUP($DV31,Tank3!$A$32:$H$141,7,FALSE))</f>
        <v>0</v>
      </c>
      <c r="DX31">
        <f>IF($DV31=0,0,VLOOKUP($DV31,Tank3!$A$32:$H$141,8,FALSE))</f>
        <v>0</v>
      </c>
      <c r="EC31">
        <f>IF(OR(ED31=0,ISNUMBER(MATCH(ED31,$ED$1:ED30,0))),0,MAX($EC$1:EC30)+1)</f>
        <v>0</v>
      </c>
      <c r="ED31">
        <f>IF(Tank3!$D$22="vapor oxidizer",IFERROR(VLOOKUP(Products!$A$149,Tank3!$A$32:$B$141,1,FALSE),0),0)</f>
        <v>0</v>
      </c>
      <c r="EE31">
        <f>IF($ED31=0,0,VLOOKUP($ED31,Tank3!$A$32:$H$141,7,FALSE))</f>
        <v>0</v>
      </c>
      <c r="EF31">
        <f>IF($ED31=0,0,VLOOKUP($ED31,Tank3!$A$32:$H$141,8,FALSE))</f>
        <v>0</v>
      </c>
      <c r="EK31">
        <f>IF(OR(EL31=0,ISNUMBER(MATCH(EL31,$EL$1:EL30,0))),0,MAX($EK$1:EK30)+1)</f>
        <v>0</v>
      </c>
      <c r="EL31">
        <f>IF(Tank3!$D$22="CAS",IFERROR(VLOOKUP(Products!A149,Tank3!$A$32:$B$141,1,FALSE),0),0)</f>
        <v>0</v>
      </c>
      <c r="EM31">
        <f>IF($EL31=0,0,VLOOKUP($EL31,Tank3!$A$32:$H$141,7,FALSE))</f>
        <v>0</v>
      </c>
      <c r="EN31">
        <f>IF($EL31=0,0,VLOOKUP($EL31,Tank3!$A$32:$H$141,8,FALSE))</f>
        <v>0</v>
      </c>
      <c r="FB31" s="8" t="s">
        <v>415</v>
      </c>
      <c r="FC31" s="8" t="s">
        <v>416</v>
      </c>
      <c r="FD31" s="8">
        <v>190</v>
      </c>
      <c r="FE31" s="8">
        <v>19</v>
      </c>
      <c r="FG31" s="360" t="str">
        <f t="shared" si="23"/>
        <v/>
      </c>
      <c r="FH31" s="155">
        <f>IF(Tank1!$D$22="NO CONTROL",_xlfn.MAXIFS(Tank1!$G$32:$G$141,Tank1!$E$32:$E$141,$FG31),0)*IFERROR($QR$3,0)</f>
        <v>0</v>
      </c>
      <c r="FI31" s="155">
        <f>_xlfn.MAXIFS(LandEmiss!$AF$20:$AF$119,LandEmiss!$AE$20:$AE$119,$FG31)*IFERROR($QR$3,0)</f>
        <v>0</v>
      </c>
      <c r="FJ31" s="155">
        <f>MAX(_xlfn.MAXIFS(LandEmiss!$CO$20:$CO$119,LandEmiss!$CN$20:$CN$119,$FG31),_xlfn.MAXIFS(LandEmiss!$EZ$9:$EZ$108,LandEmiss!$EY$9:$EY$108,$FG31))*IFERROR($QR$3,0)</f>
        <v>0</v>
      </c>
      <c r="FK31" s="155">
        <f>IF(Tank2!$D$22="NO CONTROL",_xlfn.MAXIFS(Tank2!$G$32:$G$141,Tank2!$E$32:$E$141,$FG31),0)*IFERROR($QR$4,0)</f>
        <v>0</v>
      </c>
      <c r="FL31" s="155">
        <f>_xlfn.MAXIFS(LandEmiss!$AG$20:$AG$119,LandEmiss!$AE$20:$AE$119,$FG31)*IFERROR($QR$4,0)</f>
        <v>0</v>
      </c>
      <c r="FM31" s="155">
        <f>MAX(_xlfn.MAXIFS(LandEmiss!$CP$20:$CP$119,LandEmiss!$CN$20:$CN$119,$FG31),_xlfn.MAXIFS(LandEmiss!$FA$9:$FA$108,LandEmiss!$EY$9:$EY$108,$FG31))*IFERROR($QR$4,0)</f>
        <v>0</v>
      </c>
      <c r="FN31" s="155">
        <f>IF(Tank3!$D$22="NO CONTROL",_xlfn.MAXIFS(Tank3!$G$32:$G$141,Tank3!$E$32:$E$141,$FG31),0)*IFERROR($QR$5,0)</f>
        <v>0</v>
      </c>
      <c r="FO31" s="155">
        <f>_xlfn.MAXIFS(LandEmiss!$AH$20:$AH$119,LandEmiss!$AE$20:$AE$119,$FG31)*IFERROR($QR$5,0)</f>
        <v>0</v>
      </c>
      <c r="FP31" s="155">
        <f>MAX(_xlfn.MAXIFS(LandEmiss!$CQ$20:$CQ$119,LandEmiss!$CN$20:$CN$119,$FG31),_xlfn.MAXIFS(LandEmiss!$FB$9:$FB$108,LandEmiss!$EY$9:$EY$108,$FG31))*IFERROR($QR$5,0)</f>
        <v>0</v>
      </c>
      <c r="FQ31" s="155">
        <f>IF(Tank4!$D$22="NO CONTROL",_xlfn.MAXIFS(Tank4!$G$32:$G$141,Tank4!$E$32:$E$141,$FG31),0)*IFERROR($QR$6,0)</f>
        <v>0</v>
      </c>
      <c r="FR31" s="155">
        <f>_xlfn.MAXIFS(LandEmiss!$AI$20:$AI$119,LandEmiss!$AE$20:$AE$119,$FG31)*IFERROR($QR$6,0)</f>
        <v>0</v>
      </c>
      <c r="FS31" s="155">
        <f>MAX(_xlfn.MAXIFS(LandEmiss!$CR$20:$CR$119,LandEmiss!$CN$20:$CN$119,$FG31),_xlfn.MAXIFS(LandEmiss!$FC$9:$FC$108,LandEmiss!$EY$9:$EY$108,$FG31))*IFERROR($QR$6,0)</f>
        <v>0</v>
      </c>
      <c r="FT31" s="155">
        <f>IF(Tank5!$D$22="NO CONTROL",_xlfn.MAXIFS(Tank5!$G$32:$G$141,Tank5!$E$32:$E$141,$FG31),0)*IFERROR($QR$7,0)</f>
        <v>0</v>
      </c>
      <c r="FU31" s="155">
        <f>_xlfn.MAXIFS(LandEmiss!$AJ$20:$AJ$119,LandEmiss!$AE$20:$AE$119,$FG31)*IFERROR($QR$7,0)</f>
        <v>0</v>
      </c>
      <c r="FV31" s="155">
        <f>MAX(_xlfn.MAXIFS(LandEmiss!$CS$20:$CS$119,LandEmiss!$CN$20:$CN$119,$FG31),_xlfn.MAXIFS(LandEmiss!$FD$9:$FD$108,LandEmiss!$EY$9:$EY$108,$FG31))*IFERROR($QR36,0)</f>
        <v>0</v>
      </c>
      <c r="FW31" s="155">
        <f>_xlfn.MAXIFS('Load-DrumTote'!$K$27:$K$136,'Load-DrumTote'!$F$27:$F$136,$FG31)*IFERROR($QR$8,0)</f>
        <v>0</v>
      </c>
      <c r="FX31" s="155">
        <f>_xlfn.MAXIFS('Load-Truck'!$K$27:$K$136,'Load-Truck'!$F$27:$F$136,$FG31)*IFERROR($QR$9,0)</f>
        <v>0</v>
      </c>
      <c r="FY31" s="155">
        <f>_xlfn.MAXIFS('Load-Rail'!$K$27:$K$136,'Load-Rail'!$F$27:$F$136,$FG31)*IFERROR($QR$10,0)</f>
        <v>0</v>
      </c>
      <c r="FZ31" s="155">
        <f>_xlfn.MAXIFS('Load-MarineBarge'!$K$27:$K$136,'Load-MarineBarge'!$F$27:$F$136,$FG31)*IFERROR($QR$11,0)</f>
        <v>0</v>
      </c>
      <c r="GA31" s="155">
        <f>_xlfn.MAXIFS('Load-MarineShip'!$K$27:$K$136,'Load-MarineShip'!$F$27:$F$136,$FG31)*IFERROR($QR$12,0)</f>
        <v>0</v>
      </c>
      <c r="GB31" s="313">
        <f>IF(OR(Flare!$D$24="fuel gas",Flare!$D$38="fuel gas"),SUMIF(Flare!$E$97:$E$106,$FG31,Flare!$F$97:$F$106),0)*IFERROR($QR$13,0)</f>
        <v>0</v>
      </c>
      <c r="GC31" s="313">
        <f>(_xlfn.MAXIFS(CtrlDevImpacts!$I$57:$I$156,CtrlDevImpacts!$H$57:$H$156,$FG31))*IFERROR($QR$13,0)</f>
        <v>0</v>
      </c>
      <c r="GD31" s="313">
        <f>(_xlfn.MAXIFS(Flare!$F$107:$F$216,Flare!$E$107:$E$216,$FG31)-_xlfn.MAXIFS(CtrlDevImpacts!$I$57:$I$156,CtrlDevImpacts!$H$57:$H$156,$FG31))*IFERROR($QR$13,0)</f>
        <v>0</v>
      </c>
      <c r="GE31" s="155">
        <f>_xlfn.MAXIFS(LandEmiss!$B$335:$B$434,LandEmiss!$A$335:$A$434,$FG31)*IFERROR($QR$13,0)</f>
        <v>0</v>
      </c>
      <c r="GF31" s="155">
        <f>(_xlfn.MAXIFS(LandEmiss!$BK$335:$BK$434,LandEmiss!$BJ$335:$BJ$434,$FG31)+_xlfn.MAXIFS(LandEmiss!$DV$323:$DV$422,LandEmiss!$DU$323:$DU$422,$FG31))*IFERROR($QR$13,0)</f>
        <v>0</v>
      </c>
      <c r="GG31" s="313">
        <f>IF(OR(VCU!$D$26="fuel gas",VCU!$D$42="fuel gas"),SUMIF(VCU!$E$120:$E$129,$FG31,VCU!$F$120:$F$129),0)*IFERROR($QR$14,0)</f>
        <v>0</v>
      </c>
      <c r="GH31" s="313">
        <f>(_xlfn.MAXIFS(CtrlDevImpacts!$X$57:$X$156,CtrlDevImpacts!$W$57:$W$156,$FG31))*IFERROR($QR$14,0)</f>
        <v>0</v>
      </c>
      <c r="GI31" s="313">
        <f>(_xlfn.MAXIFS(VCU!$F$130:$F$239,VCU!$E$130:$E$239,$FG31)-_xlfn.MAXIFS(CtrlDevImpacts!$X$57:$X$156,CtrlDevImpacts!$W$57:$W$156,$FG31))*IFERROR($QR$14,0)</f>
        <v>0</v>
      </c>
      <c r="GJ31" s="155">
        <f>_xlfn.MAXIFS(LandEmiss!$D$335:$D$434,LandEmiss!$A$335:$A$434,$FG31)*IFERROR($QR$14,0)</f>
        <v>0</v>
      </c>
      <c r="GK31" s="155">
        <f>(_xlfn.MAXIFS(LandEmiss!$BM$335:$BM$434,LandEmiss!$BJ$335:$BJ$434,$FG31)+_xlfn.MAXIFS(LandEmiss!$DX$323:$DX$422,LandEmiss!$DU$323:$DU$422,$FG31))*IFERROR($QR$14,0)</f>
        <v>0</v>
      </c>
      <c r="GL31" s="313">
        <f>IF(VaporOxidizer!D62="FUEL GAS",SUMIF(VaporOxidizer!$E$101:$E$110,$FG31,VaporOxidizer!$F$101:$F$110),0)*IFERROR($QR$15,0)</f>
        <v>0</v>
      </c>
      <c r="GM31" s="313">
        <f>(_xlfn.MAXIFS(CtrlDevImpacts!$AN$57:$AN$156,CtrlDevImpacts!$AM$57:$AM$156,$FG31))*IFERROR($QR$15,0)</f>
        <v>0</v>
      </c>
      <c r="GN31" s="313">
        <f>(_xlfn.MAXIFS(VaporOxidizer!$F$111:$F$220,VaporOxidizer!$E$111:$E$220,$FG31)-_xlfn.MAXIFS(CtrlDevImpacts!$AN$57:$AN$156,CtrlDevImpacts!$AM$57:$AM$156,$FG31))*IFERROR($QR$15,0)</f>
        <v>0</v>
      </c>
      <c r="GO31" s="155">
        <f>_xlfn.MAXIFS(LandEmiss!$F$335:$F$434,LandEmiss!$A$335:$A$434,$FG31)*IFERROR($QR$15,0)</f>
        <v>0</v>
      </c>
      <c r="GP31" s="155">
        <f>(_xlfn.MAXIFS(LandEmiss!$BK$335:$BK$434,LandEmiss!$BO$335:$BO$434,$FG31)+_xlfn.MAXIFS(LandEmiss!$DZ$323:$DZ$422,LandEmiss!$DU$323:$DU$422,$FG31))*IFERROR($QR$15,0)</f>
        <v>0</v>
      </c>
      <c r="GQ31" s="313">
        <f>_xlfn.MAXIFS(CtrlDevImpacts!$BD$57:$BD$156,CtrlDevImpacts!$BC$57:$BC$156,$FG31)*IFERROR(Hidden!$QR$16,0)</f>
        <v>0</v>
      </c>
      <c r="GR31" s="313">
        <f>(_xlfn.MAXIFS(CAS!$H$35:$H$144,CAS!$E$35:$E$144,$FG31)-_xlfn.MAXIFS(CtrlDevImpacts!$BD$57:$BD$156,CtrlDevImpacts!$BC$57:$BC$156,$FG31))*IFERROR(Hidden!$QR$16,0)</f>
        <v>0</v>
      </c>
      <c r="GS31" s="155">
        <f>_xlfn.MAXIFS(LandEmiss!$H$335:$H$434,LandEmiss!$A$335:$A$434,$FG31)*IFERROR($QR$27,0)</f>
        <v>0</v>
      </c>
      <c r="GT31" s="155">
        <f>(_xlfn.MAXIFS(LandEmiss!$BK$335:$BK$434,LandEmiss!$BQ$335:$BQ$434,$FG31)+_xlfn.MAXIFS(LandEmiss!$EB$323:$EB$422,LandEmiss!$DU$323:$DU$422,$FG31))*IFERROR($QR$27,0)</f>
        <v>0</v>
      </c>
      <c r="GU31" s="155">
        <f>_xlfn.MAXIFS(LandEmiss!$J$335:$J$434,LandEmiss!$A$335:$A$434,$FG31)*IFERROR($QR$26,0)</f>
        <v>0</v>
      </c>
      <c r="GV31" s="155">
        <f>(_xlfn.MAXIFS(LandEmiss!$BK$335:$BK$434,LandEmiss!$BS$335:$BS$434,$FG31)+_xlfn.MAXIFS(LandEmiss!$ED$323:$ED$422,LandEmiss!$DU$323:$DU$422,$FG31))*IFERROR($QR$26,0)</f>
        <v>0</v>
      </c>
      <c r="GW31" s="155">
        <f>_xlfn.MAXIFS(LandEmiss!$L$335:$L$434,LandEmiss!$A$335:$A$434,$FG31)*IFERROR($QR$25,0)</f>
        <v>0</v>
      </c>
      <c r="GX31" s="155">
        <f>(_xlfn.MAXIFS(LandEmiss!$BK$335:$BK$434,LandEmiss!$BU$335:$BU$434,$FG31)+_xlfn.MAXIFS(LandEmiss!$EF$323:$EF$422,LandEmiss!$DU$323:$DU$422,$FG31))*IFERROR($QR$25,0)</f>
        <v>0</v>
      </c>
      <c r="GY31" s="155">
        <v>0</v>
      </c>
      <c r="GZ31" s="155">
        <v>0</v>
      </c>
      <c r="HA31" s="155">
        <f>IF(OR(HeaterBoiler1!$E$26&lt;&gt;"fuel gas",HeaterBoiler1!$E$15&lt;&gt;"heater"),0,SUMIF(HeaterBoiler1!$A$54:$D$63,$FG31,HeaterBoiler1!$I$54:$I$63))*IFERROR($QR$19,0)</f>
        <v>0</v>
      </c>
      <c r="HB31" s="207">
        <f>IF(OR(HeaterBoiler2!$E$26&lt;&gt;"fuel gas",HeaterBoiler2!$E$15&lt;&gt;"heater"),0,SUMIF(HeaterBoiler2!$A$54:$D$63,$FG31,HeaterBoiler2!$I$54:$I$63))*IFERROR($QR$21,0)</f>
        <v>0</v>
      </c>
      <c r="HC31" s="155">
        <f>IF(OR(HeaterBoiler1!$E$26&lt;&gt;"fuel gas",HeaterBoiler1!$E$15&lt;&gt;"boiler"),0,SUMIF(HeaterBoiler1!$A$41:$A$50,$FG31,HeaterBoiler1!$F$41:$F$50))*IFERROR($QR$20,0)</f>
        <v>0</v>
      </c>
      <c r="HD31" s="207">
        <f>IF(OR(HeaterBoiler2!$E$26&lt;&gt;"fuel gas",HeaterBoiler2!$E$15&lt;&gt;"boiler"),0,SUMIF(HeaterBoiler2!$A$41:$A$50,$FG31,HeaterBoiler2!$F$41:$F$50))*IFERROR($QR$22,0)</f>
        <v>0</v>
      </c>
      <c r="HE31" s="155">
        <f>SUMIF(Fug!$A$96:$A$205,$FG31,Fug!$I$96:$I$205)*IFERROR(Hidden!$QR$23,0)</f>
        <v>0</v>
      </c>
      <c r="HF31" s="155">
        <f t="shared" si="24"/>
        <v>0</v>
      </c>
      <c r="HG31" s="156">
        <f t="shared" si="25"/>
        <v>0</v>
      </c>
      <c r="HH31" s="156">
        <f t="shared" si="26"/>
        <v>0</v>
      </c>
      <c r="HI31" s="156">
        <f t="shared" si="27"/>
        <v>0</v>
      </c>
      <c r="HJ31" s="156">
        <f t="shared" si="28"/>
        <v>0</v>
      </c>
      <c r="HK31" s="156">
        <f t="shared" si="29"/>
        <v>0</v>
      </c>
      <c r="HL31" s="156">
        <f t="shared" si="30"/>
        <v>0</v>
      </c>
      <c r="NO31" s="155">
        <f>IF(Tank1!$D$22="No control",(SUMIF(Tank1!$E$32:$E$141,$FG31,Tank1!$H$32:$H$141)*(2000/8760)*IFERROR($QV$3,0)),0)</f>
        <v>0</v>
      </c>
      <c r="NP31" s="156">
        <f>SUMIF(LandEmiss!$AE$20:$AE$119,$FG31,LandEmiss!$AK$20:$AK$119)*(2000/8760)*IFERROR($QV$3,0)</f>
        <v>0</v>
      </c>
      <c r="NQ31" s="156">
        <f>(SUMIF(LandEmiss!$CN$20:$CN$119,$FG31,LandEmiss!$CT$20:$CT$119)+SUMIF(LandEmiss!$EY$9:$EY$108,$FG31,LandEmiss!$FE$9:$FE$108))*IFERROR($QV$3,0)*(2000/8760)</f>
        <v>0</v>
      </c>
      <c r="NR31" s="155">
        <f>IF(Tank2!$D$22="No control",(SUMIF(Tank2!$E$32:$E$141,$FG31,Tank2!$H$32:$H$141)*(2000/8760)*IFERROR($QV$4,0)),0)</f>
        <v>0</v>
      </c>
      <c r="NS31" s="156">
        <f>SUMIF(LandEmiss!$AE$20:$AE$119,$FG31,LandEmiss!$AL$20:$AL$119)*(2000/8760)*IFERROR($QV$4,0)</f>
        <v>0</v>
      </c>
      <c r="NT31" s="156">
        <f>(SUMIF(LandEmiss!$CN$20:$CN$119,$FG31,LandEmiss!$CU$20:$CU$119)+SUMIF(LandEmiss!$EY$9:$EY$108,$FG31,LandEmiss!$FF$9:$FF$108))*IFERROR($QV$4,0)*(2000/8760)</f>
        <v>0</v>
      </c>
      <c r="NU31" s="155">
        <f>IF(Tank3!$D$22="No control",(SUMIF(Tank3!$E$32:$E$141,$FG31,Tank3!$H$32:$H$141)*(2000/8760)*IFERROR($QV$5,0)),0)</f>
        <v>0</v>
      </c>
      <c r="NV31" s="156">
        <f>SUMIF(LandEmiss!$AE$20:$AE$119,$FG31,LandEmiss!$AM$20:$AM$119)*(2000/8760)*IFERROR($QV$5,0)</f>
        <v>0</v>
      </c>
      <c r="NW31" s="156">
        <f>(SUMIF(LandEmiss!$CN$20:$CN$119,$FG31,LandEmiss!$CV$20:$CV$119)+SUMIF(LandEmiss!$EY$9:$EY$108,$FG31,LandEmiss!$FG$9:$FG$108))*IFERROR($QV$5,0)*(2000/8760)</f>
        <v>0</v>
      </c>
      <c r="NX31" s="155">
        <f>IF(Tank4!$D$22="No control",(SUMIF(Tank4!$E$32:$E$141,$FG31,Tank4!$H$32:$H$141)*(2000/8760)*IFERROR($QV$6,0)),0)</f>
        <v>0</v>
      </c>
      <c r="NY31" s="156">
        <f>SUMIF(LandEmiss!$AE$20:$AE$119,$FG31,LandEmiss!$AN$20:$AN$119)*(2000/8760)*IFERROR($QV$6,0)</f>
        <v>0</v>
      </c>
      <c r="NZ31" s="156">
        <f>(SUMIF(LandEmiss!$CN$20:$CN$119,$FG31,LandEmiss!$CW$20:$CW$119)+SUMIF(LandEmiss!$EY$9:$EY$108,$FG31,LandEmiss!$FH$9:$FH$108))*IFERROR($QV$6,0)*(2000/8760)</f>
        <v>0</v>
      </c>
      <c r="OA31" s="155">
        <f>IF(Tank5!$D$22="No control",(SUMIF(Tank5!$E$32:$E$141,$FG31,Tank5!$H$32:$H$141)*(2000/8760)*IFERROR($QV$7,0)),0)</f>
        <v>0</v>
      </c>
      <c r="OB31" s="156">
        <f>SUMIF(LandEmiss!$AE$20:$AE$119,$FG31,LandEmiss!$AO$20:$AO$119)*(2000/8760)*IFERROR($QV$7,0)</f>
        <v>0</v>
      </c>
      <c r="OC31" s="156">
        <f>(SUMIF(LandEmiss!$CN$20:$CN$119,$FG31,LandEmiss!$CX$20:$CX$119)+SUMIF(LandEmiss!$EY$9:$EY$108,$FG31,LandEmiss!$FI$9:$FI$108))*IFERROR($QV$7,0)*(2000/8760)</f>
        <v>0</v>
      </c>
      <c r="OD31" s="155">
        <f>SUMIFS('Load-DrumTote'!$L$27:$L$136,'Load-DrumTote'!$F$27:$F$136,$FG31)*IFERROR($QV$8,0)*(2000/8760)</f>
        <v>0</v>
      </c>
      <c r="OE31" s="155">
        <f>SUMIFS('Load-Truck'!$L$27:$L$136,'Load-Truck'!$F$27:$F$136,$FG31)*IFERROR($QV$9,0)*(2000/8760)</f>
        <v>0</v>
      </c>
      <c r="OF31" s="155">
        <f>SUMIFS('Load-Rail'!$L$27:$L$136,'Load-Rail'!$F$27:$F$136,$FG31)*IFERROR($QV$10,0)*(2000/8760)</f>
        <v>0</v>
      </c>
      <c r="OG31" s="155">
        <f>SUMIFS('Load-MarineBarge'!$L$27:$L$136,'Load-MarineBarge'!$F$27:$F$136,$FG31)*IFERROR($QV$11,0)*(2000/8760)</f>
        <v>0</v>
      </c>
      <c r="OH31" s="155">
        <f>SUMIFS('Load-MarineShip'!$L$27:$L$136,'Load-MarineShip'!$F$27:$F$136,$FG31)*IFERROR($QV$12,0)*(2000/8760)</f>
        <v>0</v>
      </c>
      <c r="OI31" s="155">
        <f>(IF(OR(Flare!$D$24="FUEL GAS",Flare!$D$38="FUEL GAS"),SUMIF(Flare!$E$97:$E$106,$FG31,Flare!$G$97:$G$105),0)+SUMIF(Flare!$E$107:$E$216,$FG31,Flare!$G$107:$G$216))*(2000/8730)*IFERROR($QV$13,0)</f>
        <v>0</v>
      </c>
      <c r="OJ31" s="155">
        <f>SUMIF(LandEmiss!$A$335:$A$434,$FG31,LandEmiss!$C$335:$C$434)*(2000/8760)*IFERROR($QV$13,0)</f>
        <v>0</v>
      </c>
      <c r="OK31" s="155">
        <f>(SUMIF(LandEmiss!$BJ$335:$BJ$434,$FG31,LandEmiss!$BL$335:$BL$434)+SUMIF(LandEmiss!$DU$323:$DU$422,$FG31,LandEmiss!$DW$323:$DW$422))*(2000/8760)*IFERROR($QV$13,0)</f>
        <v>0</v>
      </c>
      <c r="OL31" s="155">
        <f>(IF(OR(VCU!$D$26="FUEL GAS",VCU!$D$42="FUEL GAS"),SUMIF(VCU!$E$120:$E$129,$FG31,VCU!$G$120:$G$129),0)+SUMIF(VCU!$E$130:$E$239,$FG31,VCU!G159:G268))*(2000/8760)*IFERROR($QV$14,0)</f>
        <v>0</v>
      </c>
      <c r="OM31" s="155">
        <f>SUMIF(LandEmiss!$A$335:$A$434,$FG31,LandEmiss!$E$335:$E$434)*(2000/8760)*IFERROR($QV$14,0)</f>
        <v>0</v>
      </c>
      <c r="ON31" s="155">
        <f>(SUMIF(LandEmiss!$BJ$335:$BJ$434,$FG31,LandEmiss!$BN$335:$BN$434)+SUMIF(LandEmiss!$DU$323:$DU$422,$FG31,LandEmiss!$DY$323:$DY$422))*(2000/8760)*IFERROR($QV$14,0)</f>
        <v>0</v>
      </c>
      <c r="OO31" s="155">
        <f>(IF(VaporOxidizer!$D$33="FUEL GAS",SUMIF(VaporOxidizer!$E$101:$E$110,$FG31,VaporOxidizer!$G$101:$G$110),0)+SUMIF(VaporOxidizer!$E$111:$E$220,$FG31,VaporOxidizer!$G$111:$G$220))*(2000/8760)*IFERROR($QV$15,0)</f>
        <v>0</v>
      </c>
      <c r="OP31" s="155">
        <f>SUMIF(LandEmiss!$A$335:$A$434,$FG31,LandEmiss!$G$335:$G$434)*(2000/8760)*IFERROR($QV$15,0)</f>
        <v>0</v>
      </c>
      <c r="OQ31" s="155">
        <f>(SUMIF(LandEmiss!$BJ$335:$BJ$434,$FG31,LandEmiss!$BP$335:$BP$434)+SUMIF(LandEmiss!$DU$323:$DU$422,$FG31,LandEmiss!$EA$323:$EA$422))*(2000/8760)*IFERROR($QV$15,0)</f>
        <v>0</v>
      </c>
      <c r="OR31" s="155">
        <f>SUMIF(CAS!$E$35:$E$144,Hidden!$FG31,CAS!$I$35:$I$144)*IFERROR($QV$16,0)*(2000/8760)</f>
        <v>0</v>
      </c>
      <c r="OS31" s="155">
        <f>SUMIF(LandEmiss!$A$335:$A$434,$FG31,LandEmiss!$I$335:$I$434)*(2000/8760)*IFERROR($QV$27,0)</f>
        <v>0</v>
      </c>
      <c r="OT31" s="155">
        <f>(SUMIF(LandEmiss!$BJ$335:$BJ$434,$FG31,LandEmiss!$BR$335:$BR$434)+SUMIF(LandEmiss!$DU$323:$DU$422,$FG31,LandEmiss!$EC$323:$EC$422))*(2000/8760)*IFERROR($QV$27,0)</f>
        <v>0</v>
      </c>
      <c r="OU31" s="155">
        <f>SUMIF(LandEmiss!$A$335:$A$434,$FG31,LandEmiss!$K$335:$K$434)*(2000/8760)*IFERROR($QV$26,0)</f>
        <v>0</v>
      </c>
      <c r="OV31" s="155">
        <f>(SUMIF(LandEmiss!$BJ$335:$BJ$434,$FG31,LandEmiss!$BT$335:$BT$434)+SUMIF(LandEmiss!$DU$323:$DU$422,$FG31,LandEmiss!$EE$323:$EE$422))*(2000/8760)*IFERROR($QV$26,0)</f>
        <v>0</v>
      </c>
      <c r="OW31" s="155">
        <f>SUMIF(LandEmiss!$A$335:$A$434,$FG31,LandEmiss!$M$335:$M$434)*(2000/8760)*IFERROR($QV$25,0)</f>
        <v>0</v>
      </c>
      <c r="OX31" s="155">
        <f>(SUMIF(LandEmiss!$BJ$335:$BJ$434,$FG31,LandEmiss!$BV$335:$BV$434)+SUMIF(LandEmiss!$DU$323:$DU$422,$FG31,LandEmiss!$EG$323:$EG$422))*(2000/8760)*IFERROR($QV$25,0)</f>
        <v>0</v>
      </c>
      <c r="OY31" s="8">
        <v>0</v>
      </c>
      <c r="OZ31" s="207">
        <v>0</v>
      </c>
      <c r="PA31" s="207">
        <f>IF(OR(HeaterBoiler1!$E$26&lt;&gt;"fuel gas",HeaterBoiler1!$E$15&lt;&gt;"heater"),0,(SUMIF(HeaterBoiler1!$A$54:$D$63,$FG31,HeaterBoiler1!$J$54:$J$63))*(2000/8760))*IFERROR($QV$19,0)</f>
        <v>0</v>
      </c>
      <c r="PB31" s="207">
        <f>IF(OR(HeaterBoiler2!$E$26&lt;&gt;"fuel gas",HeaterBoiler2!$E$15&lt;&gt;"heater"),0,(SUMIF(HeaterBoiler2!$A$54:$D$63,$FG31,HeaterBoiler2!$J$54:$J$63))*(2000/8760))*IFERROR($QV$21,0)</f>
        <v>0</v>
      </c>
      <c r="PC31" s="207">
        <f>IF(OR(HeaterBoiler1!$E$26&lt;&gt;"fuel gas",HeaterBoiler1!$E$15&lt;&gt;"boiler"),0,(SUMIF(HeaterBoiler1!$A$54:$D$63,$FG31,HeaterBoiler1!$J$54:$J$63))*(2000/8760))*IFERROR($QV$20,0)</f>
        <v>0</v>
      </c>
      <c r="PD31" s="207">
        <f>IF(OR(HeaterBoiler2!$E$26&lt;&gt;"fuel gas",HeaterBoiler2!$E$15&lt;&gt;"boiler"),0,(SUMIF(HeaterBoiler2!$A$54:$D$63,$FG31,HeaterBoiler2!$J$54:$J$63))*(2000/8760))*IFERROR($QV$22,0)</f>
        <v>0</v>
      </c>
      <c r="PE31" s="8">
        <f>(SUMIF(Fug!$A$96:$A$205,$FG31,Fug!$J$96:$J$205))*IFERROR($QV$23,0)*(2000/8760)</f>
        <v>0</v>
      </c>
      <c r="PF31" s="8">
        <f t="shared" si="31"/>
        <v>0</v>
      </c>
      <c r="PG31" s="156">
        <f t="shared" si="32"/>
        <v>0</v>
      </c>
      <c r="PJ31" s="52" t="str">
        <f>IF(Fug!$F$16=Hidden!$PP$2,"Relief Valves","Open-Ended Lines (controlled)")</f>
        <v>Open-Ended Lines (controlled)</v>
      </c>
      <c r="PK31" s="52" t="str">
        <f>IF(Fug!$F$16=Hidden!$PP$2,"Gas","All")</f>
        <v>All</v>
      </c>
      <c r="PL31" s="52">
        <v>0</v>
      </c>
      <c r="PM31" s="52">
        <v>0</v>
      </c>
      <c r="PN31" s="52">
        <v>0</v>
      </c>
      <c r="PO31" s="52">
        <v>0</v>
      </c>
      <c r="PP31" s="52">
        <v>1.9400000000000001E-2</v>
      </c>
      <c r="PQ31" s="52">
        <v>0</v>
      </c>
      <c r="PR31" s="52">
        <v>0</v>
      </c>
      <c r="PS31" s="52">
        <v>0</v>
      </c>
      <c r="PT31" s="52" t="s">
        <v>8790</v>
      </c>
      <c r="PU31" s="52" t="s">
        <v>8769</v>
      </c>
      <c r="PV31" s="52">
        <v>0</v>
      </c>
      <c r="PW31" s="52">
        <v>0.97</v>
      </c>
      <c r="PX31" s="52">
        <v>0.97</v>
      </c>
      <c r="PY31" s="52">
        <v>0.97</v>
      </c>
      <c r="PZ31" s="52">
        <v>0</v>
      </c>
      <c r="QA31" s="52">
        <v>0.97</v>
      </c>
      <c r="QB31" s="52" t="s">
        <v>8793</v>
      </c>
      <c r="QC31" s="52" t="s">
        <v>8778</v>
      </c>
      <c r="QD31" s="52">
        <v>1</v>
      </c>
      <c r="QE31" s="52">
        <v>1</v>
      </c>
      <c r="QF31" s="52">
        <v>1</v>
      </c>
      <c r="QG31" s="52">
        <v>1</v>
      </c>
      <c r="QH31" s="52">
        <v>1</v>
      </c>
      <c r="QI31" s="52">
        <v>1</v>
      </c>
      <c r="QX31" s="91" t="s">
        <v>9339</v>
      </c>
      <c r="QY31" s="92">
        <v>176</v>
      </c>
      <c r="QZ31" s="92">
        <v>176</v>
      </c>
      <c r="RA31" s="92">
        <v>176</v>
      </c>
      <c r="RB31" s="92">
        <v>176</v>
      </c>
      <c r="RC31" s="92">
        <v>176</v>
      </c>
      <c r="RD31" s="92">
        <v>176</v>
      </c>
      <c r="RE31" s="92">
        <v>176</v>
      </c>
      <c r="RF31" s="92">
        <v>176</v>
      </c>
      <c r="RG31" s="92">
        <v>176</v>
      </c>
      <c r="RH31" s="91" t="s">
        <v>9339</v>
      </c>
      <c r="RI31" s="92"/>
      <c r="RJ31" s="92"/>
      <c r="RK31" s="92"/>
      <c r="RL31" s="92"/>
      <c r="RM31" s="92"/>
      <c r="RN31" s="92"/>
      <c r="RO31" s="92"/>
      <c r="RP31" s="92"/>
      <c r="RQ31" s="50"/>
      <c r="RR31" s="91" t="s">
        <v>9339</v>
      </c>
      <c r="RS31" s="92"/>
      <c r="RT31" s="92"/>
      <c r="RU31" s="92"/>
      <c r="RV31" s="92"/>
      <c r="RW31" s="92"/>
      <c r="RX31" s="92"/>
      <c r="RY31" s="92"/>
      <c r="RZ31" s="92"/>
      <c r="SA31" s="50"/>
      <c r="SB31" s="91" t="s">
        <v>9339</v>
      </c>
      <c r="SC31" s="92"/>
      <c r="SD31" s="92"/>
      <c r="SE31" s="92"/>
      <c r="SF31" s="92"/>
      <c r="SG31" s="92"/>
      <c r="SH31" s="92"/>
      <c r="SI31" s="92"/>
      <c r="SJ31" s="92"/>
      <c r="SK31" s="50"/>
      <c r="SL31" s="91" t="s">
        <v>9339</v>
      </c>
      <c r="SM31" s="92">
        <v>1.29</v>
      </c>
      <c r="SN31" s="92">
        <v>1.29</v>
      </c>
      <c r="SO31" s="92">
        <v>1.29</v>
      </c>
      <c r="SP31" s="92">
        <v>1.29</v>
      </c>
      <c r="SQ31" s="92">
        <v>1.29</v>
      </c>
      <c r="SR31" s="92">
        <v>1.29</v>
      </c>
      <c r="SS31" s="92">
        <v>1.29</v>
      </c>
      <c r="ST31" s="92">
        <v>1.29</v>
      </c>
      <c r="SU31" s="50">
        <v>1.29</v>
      </c>
      <c r="TI31" s="256" t="s">
        <v>8707</v>
      </c>
      <c r="TJ31" s="259" t="str">
        <f>IF(OR(TJ24="Vent to a control and meet the specific control device requirements. Fixed roof with submerged fill. Uninsulated exterior surfaces exposed to the sun shall be white or aluminum.",TJ24="Vent to a control and meet the specific control device requirements."),"Yes","No")</f>
        <v>No</v>
      </c>
      <c r="TK31" s="259" t="str">
        <f>IF(OR(TJ24="White or aluminum uninsulated exterior surface exposed to the sun. Slotted guide pole fittings must have a gasketed cover, and at least 2 of the following: wiper, float, or sleeve.",TJ24="White or aluminum uninsulated exterior surface exposed to the sun."),"Yes","No")</f>
        <v>No</v>
      </c>
      <c r="TL31" s="225"/>
      <c r="TM31" s="225"/>
    </row>
    <row r="32" spans="1:533" ht="74.25" customHeight="1" thickBot="1" x14ac:dyDescent="0.25">
      <c r="A32" s="8" t="s">
        <v>209</v>
      </c>
      <c r="B32" s="8">
        <v>12</v>
      </c>
      <c r="W32">
        <f>IF(OR(X32=0,ISNUMBER(MATCH(X32,$X$1:X31,0))),0,MAX($W$1:W31)+1)</f>
        <v>0</v>
      </c>
      <c r="X32" s="123">
        <f>Products!$E79</f>
        <v>0</v>
      </c>
      <c r="Y32" t="str">
        <f t="shared" si="3"/>
        <v/>
      </c>
      <c r="CA32">
        <f>IF(OR(CB32=0,ISNUMBER(MATCH(CB32,$CB$1:CB31,0))),0,MAX($CA$1:CA31)+1)</f>
        <v>0</v>
      </c>
      <c r="CB32" s="8">
        <f>IF(OR(Tank1!$D$18="EXTERNAL FLOATING ROOF",Tank1!$D$18="INTERNAL FLOATING ROOF"),IF(Tank1!$E62="",0,Tank1!$E62),0)</f>
        <v>0</v>
      </c>
      <c r="CC32" s="8" t="str">
        <f t="shared" si="6"/>
        <v/>
      </c>
      <c r="CD32" s="8"/>
      <c r="CE32" s="8">
        <f>IF(OR(CF32=0,ISNUMBER(MATCH(CF32,$CF$1:CF31,0))),0,MAX($CE$1:CE31)+1)</f>
        <v>0</v>
      </c>
      <c r="CF32" s="8">
        <f>IF(OR(Tank1!$D$18="HORIZONTAL FIXED ROOF",Tank1!$D$18="VERTICAL FIXED ROOF"),IF(Tank1!$E62="",0,Tank1!$E62),0)</f>
        <v>0</v>
      </c>
      <c r="CG32" s="8" t="str">
        <f t="shared" si="7"/>
        <v/>
      </c>
      <c r="CI32" t="s">
        <v>8709</v>
      </c>
      <c r="CJ32">
        <f>IF(OR(CK32=0,ISNUMBER(MATCH(CK32,$CK$1:CK31,0))),0,MAX($CJ$1:CJ31)+1)</f>
        <v>0</v>
      </c>
      <c r="CK32">
        <f>Tank4!$A$32</f>
        <v>0</v>
      </c>
      <c r="CM32">
        <f>IFERROR(VLOOKUP($CK32,Tank4!$A$32:$D$141,3,FALSE),0)</f>
        <v>0</v>
      </c>
      <c r="CN32">
        <f>IFERROR(VLOOKUP($CK32,Tank4!$A$32:$D$141,4,FALSE),0)</f>
        <v>0</v>
      </c>
      <c r="DL32" t="s">
        <v>8709</v>
      </c>
      <c r="DM32">
        <f>IF(OR(DN32=0,ISNUMBER(MATCH(DN32,$DN$1:DN31,0))),0,MAX($DM$1:DM31)+1)</f>
        <v>0</v>
      </c>
      <c r="DN32">
        <f>IF(Tank4!$D$22="Flare",IFERROR(VLOOKUP(Products!$A$59,Tank4!$A$32:$B$141,1,FALSE),0),0)</f>
        <v>0</v>
      </c>
      <c r="DO32">
        <f>IF($DN32=0,0,VLOOKUP($DN32,Tank4!$A$32:$H$141,7,FALSE))</f>
        <v>0</v>
      </c>
      <c r="DP32">
        <f>IF($DN32=0,0,VLOOKUP($DN32,Tank4!$A$32:$H$141,8,FALSE))</f>
        <v>0</v>
      </c>
      <c r="DU32">
        <f>IF(OR(DV32=0,ISNUMBER(MATCH(DV32,$DV$1:DV31,0))),0,MAX($DU$1:DU31)+1)</f>
        <v>0</v>
      </c>
      <c r="DV32">
        <f>IF(Tank4!$D$22="VCU",IFERROR(VLOOKUP(Products!$A$59,Tank4!$A$32:$B$141,1,FALSE),0),0)</f>
        <v>0</v>
      </c>
      <c r="DW32">
        <f>IF($DV32=0,0,VLOOKUP($DV32,Tank4!$A$32:$H$141,7,FALSE))</f>
        <v>0</v>
      </c>
      <c r="DX32">
        <f>IF($DV32=0,0,VLOOKUP($DV32,Tank4!$A$32:$H$141,8,FALSE))</f>
        <v>0</v>
      </c>
      <c r="EC32">
        <f>IF(OR(ED32=0,ISNUMBER(MATCH(ED32,$ED$1:ED31,0))),0,MAX($EC$1:EC31)+1)</f>
        <v>0</v>
      </c>
      <c r="ED32">
        <f>IF(Tank4!$D$22="vapor oxidizer",IFERROR(VLOOKUP(Products!$A$59,Tank4!$A$32:$B$141,1,FALSE),0),0)</f>
        <v>0</v>
      </c>
      <c r="EE32">
        <f>IF($ED32=0,0,VLOOKUP($ED32,Tank4!$A$32:$H$141,7,FALSE))</f>
        <v>0</v>
      </c>
      <c r="EF32">
        <f>IF($ED32=0,0,VLOOKUP($ED32,Tank4!$A$32:$H$141,8,FALSE))</f>
        <v>0</v>
      </c>
      <c r="EK32">
        <f>IF(OR(EL32=0,ISNUMBER(MATCH(EL32,$EL$1:EL31,0))),0,MAX($EK$1:EK31)+1)</f>
        <v>0</v>
      </c>
      <c r="EL32">
        <f>IF(Tank4!$D$22="CAS",IFERROR(VLOOKUP(Products!A59,Tank4!$A$32:$B$141,1,FALSE),0),0)</f>
        <v>0</v>
      </c>
      <c r="EM32">
        <f>IF($EL32=0,0,VLOOKUP($EL32,Tank4!$A$32:$H$141,7,FALSE))</f>
        <v>0</v>
      </c>
      <c r="EN32">
        <f>IF($EL32=0,0,VLOOKUP($EL32,Tank4!$A$32:$H$141,8,FALSE))</f>
        <v>0</v>
      </c>
      <c r="FB32" s="8" t="s">
        <v>417</v>
      </c>
      <c r="FC32" s="8" t="s">
        <v>418</v>
      </c>
      <c r="FD32" s="8">
        <v>1400</v>
      </c>
      <c r="FE32" s="8">
        <v>140</v>
      </c>
      <c r="FG32" s="360" t="str">
        <f t="shared" si="23"/>
        <v/>
      </c>
      <c r="FH32" s="155">
        <f>IF(Tank1!$D$22="NO CONTROL",_xlfn.MAXIFS(Tank1!$G$32:$G$141,Tank1!$E$32:$E$141,$FG32),0)*IFERROR($QR$3,0)</f>
        <v>0</v>
      </c>
      <c r="FI32" s="155">
        <f>_xlfn.MAXIFS(LandEmiss!$AF$20:$AF$119,LandEmiss!$AE$20:$AE$119,$FG32)*IFERROR($QR$3,0)</f>
        <v>0</v>
      </c>
      <c r="FJ32" s="155">
        <f>MAX(_xlfn.MAXIFS(LandEmiss!$CO$20:$CO$119,LandEmiss!$CN$20:$CN$119,$FG32),_xlfn.MAXIFS(LandEmiss!$EZ$9:$EZ$108,LandEmiss!$EY$9:$EY$108,$FG32))*IFERROR($QR$3,0)</f>
        <v>0</v>
      </c>
      <c r="FK32" s="155">
        <f>IF(Tank2!$D$22="NO CONTROL",_xlfn.MAXIFS(Tank2!$G$32:$G$141,Tank2!$E$32:$E$141,$FG32),0)*IFERROR($QR$4,0)</f>
        <v>0</v>
      </c>
      <c r="FL32" s="155">
        <f>_xlfn.MAXIFS(LandEmiss!$AG$20:$AG$119,LandEmiss!$AE$20:$AE$119,$FG32)*IFERROR($QR$4,0)</f>
        <v>0</v>
      </c>
      <c r="FM32" s="155">
        <f>MAX(_xlfn.MAXIFS(LandEmiss!$CP$20:$CP$119,LandEmiss!$CN$20:$CN$119,$FG32),_xlfn.MAXIFS(LandEmiss!$FA$9:$FA$108,LandEmiss!$EY$9:$EY$108,$FG32))*IFERROR($QR$4,0)</f>
        <v>0</v>
      </c>
      <c r="FN32" s="155">
        <f>IF(Tank3!$D$22="NO CONTROL",_xlfn.MAXIFS(Tank3!$G$32:$G$141,Tank3!$E$32:$E$141,$FG32),0)*IFERROR($QR$5,0)</f>
        <v>0</v>
      </c>
      <c r="FO32" s="155">
        <f>_xlfn.MAXIFS(LandEmiss!$AH$20:$AH$119,LandEmiss!$AE$20:$AE$119,$FG32)*IFERROR($QR$5,0)</f>
        <v>0</v>
      </c>
      <c r="FP32" s="155">
        <f>MAX(_xlfn.MAXIFS(LandEmiss!$CQ$20:$CQ$119,LandEmiss!$CN$20:$CN$119,$FG32),_xlfn.MAXIFS(LandEmiss!$FB$9:$FB$108,LandEmiss!$EY$9:$EY$108,$FG32))*IFERROR($QR$5,0)</f>
        <v>0</v>
      </c>
      <c r="FQ32" s="155">
        <f>IF(Tank4!$D$22="NO CONTROL",_xlfn.MAXIFS(Tank4!$G$32:$G$141,Tank4!$E$32:$E$141,$FG32),0)*IFERROR($QR$6,0)</f>
        <v>0</v>
      </c>
      <c r="FR32" s="155">
        <f>_xlfn.MAXIFS(LandEmiss!$AI$20:$AI$119,LandEmiss!$AE$20:$AE$119,$FG32)*IFERROR($QR$6,0)</f>
        <v>0</v>
      </c>
      <c r="FS32" s="155">
        <f>MAX(_xlfn.MAXIFS(LandEmiss!$CR$20:$CR$119,LandEmiss!$CN$20:$CN$119,$FG32),_xlfn.MAXIFS(LandEmiss!$FC$9:$FC$108,LandEmiss!$EY$9:$EY$108,$FG32))*IFERROR($QR$6,0)</f>
        <v>0</v>
      </c>
      <c r="FT32" s="155">
        <f>IF(Tank5!$D$22="NO CONTROL",_xlfn.MAXIFS(Tank5!$G$32:$G$141,Tank5!$E$32:$E$141,$FG32),0)*IFERROR($QR$7,0)</f>
        <v>0</v>
      </c>
      <c r="FU32" s="155">
        <f>_xlfn.MAXIFS(LandEmiss!$AJ$20:$AJ$119,LandEmiss!$AE$20:$AE$119,$FG32)*IFERROR($QR$7,0)</f>
        <v>0</v>
      </c>
      <c r="FV32" s="155">
        <f>MAX(_xlfn.MAXIFS(LandEmiss!$CS$20:$CS$119,LandEmiss!$CN$20:$CN$119,$FG32),_xlfn.MAXIFS(LandEmiss!$FD$9:$FD$108,LandEmiss!$EY$9:$EY$108,$FG32))*IFERROR($QR37,0)</f>
        <v>0</v>
      </c>
      <c r="FW32" s="155">
        <f>_xlfn.MAXIFS('Load-DrumTote'!$K$27:$K$136,'Load-DrumTote'!$F$27:$F$136,$FG32)*IFERROR($QR$8,0)</f>
        <v>0</v>
      </c>
      <c r="FX32" s="155">
        <f>_xlfn.MAXIFS('Load-Truck'!$K$27:$K$136,'Load-Truck'!$F$27:$F$136,$FG32)*IFERROR($QR$9,0)</f>
        <v>0</v>
      </c>
      <c r="FY32" s="155">
        <f>_xlfn.MAXIFS('Load-Rail'!$K$27:$K$136,'Load-Rail'!$F$27:$F$136,$FG32)*IFERROR($QR$10,0)</f>
        <v>0</v>
      </c>
      <c r="FZ32" s="155">
        <f>_xlfn.MAXIFS('Load-MarineBarge'!$K$27:$K$136,'Load-MarineBarge'!$F$27:$F$136,$FG32)*IFERROR($QR$11,0)</f>
        <v>0</v>
      </c>
      <c r="GA32" s="155">
        <f>_xlfn.MAXIFS('Load-MarineShip'!$K$27:$K$136,'Load-MarineShip'!$F$27:$F$136,$FG32)*IFERROR($QR$12,0)</f>
        <v>0</v>
      </c>
      <c r="GB32" s="313">
        <f>IF(OR(Flare!$D$24="fuel gas",Flare!$D$38="fuel gas"),SUMIF(Flare!$E$97:$E$106,$FG32,Flare!$F$97:$F$106),0)*IFERROR($QR$13,0)</f>
        <v>0</v>
      </c>
      <c r="GC32" s="313">
        <f>(_xlfn.MAXIFS(CtrlDevImpacts!$I$57:$I$156,CtrlDevImpacts!$H$57:$H$156,$FG32))*IFERROR($QR$13,0)</f>
        <v>0</v>
      </c>
      <c r="GD32" s="313">
        <f>(_xlfn.MAXIFS(Flare!$F$107:$F$216,Flare!$E$107:$E$216,$FG32)-_xlfn.MAXIFS(CtrlDevImpacts!$I$57:$I$156,CtrlDevImpacts!$H$57:$H$156,$FG32))*IFERROR($QR$13,0)</f>
        <v>0</v>
      </c>
      <c r="GE32" s="155">
        <f>_xlfn.MAXIFS(LandEmiss!$B$335:$B$434,LandEmiss!$A$335:$A$434,$FG32)*IFERROR($QR$13,0)</f>
        <v>0</v>
      </c>
      <c r="GF32" s="155">
        <f>(_xlfn.MAXIFS(LandEmiss!$BK$335:$BK$434,LandEmiss!$BJ$335:$BJ$434,$FG32)+_xlfn.MAXIFS(LandEmiss!$DV$323:$DV$422,LandEmiss!$DU$323:$DU$422,$FG32))*IFERROR($QR$13,0)</f>
        <v>0</v>
      </c>
      <c r="GG32" s="313">
        <f>IF(OR(VCU!$D$26="fuel gas",VCU!$D$42="fuel gas"),SUMIF(VCU!$E$120:$E$129,$FG32,VCU!$F$120:$F$129),0)*IFERROR($QR$14,0)</f>
        <v>0</v>
      </c>
      <c r="GH32" s="313">
        <f>(_xlfn.MAXIFS(CtrlDevImpacts!$X$57:$X$156,CtrlDevImpacts!$W$57:$W$156,$FG32))*IFERROR($QR$14,0)</f>
        <v>0</v>
      </c>
      <c r="GI32" s="313">
        <f>(_xlfn.MAXIFS(VCU!$F$130:$F$239,VCU!$E$130:$E$239,$FG32)-_xlfn.MAXIFS(CtrlDevImpacts!$X$57:$X$156,CtrlDevImpacts!$W$57:$W$156,$FG32))*IFERROR($QR$14,0)</f>
        <v>0</v>
      </c>
      <c r="GJ32" s="155">
        <f>_xlfn.MAXIFS(LandEmiss!$D$335:$D$434,LandEmiss!$A$335:$A$434,$FG32)*IFERROR($QR$14,0)</f>
        <v>0</v>
      </c>
      <c r="GK32" s="155">
        <f>(_xlfn.MAXIFS(LandEmiss!$BM$335:$BM$434,LandEmiss!$BJ$335:$BJ$434,$FG32)+_xlfn.MAXIFS(LandEmiss!$DX$323:$DX$422,LandEmiss!$DU$323:$DU$422,$FG32))*IFERROR($QR$14,0)</f>
        <v>0</v>
      </c>
      <c r="GL32" s="313">
        <f>IF(VaporOxidizer!D63="FUEL GAS",SUMIF(VaporOxidizer!$E$101:$E$110,$FG32,VaporOxidizer!$F$101:$F$110),0)*IFERROR($QR$15,0)</f>
        <v>0</v>
      </c>
      <c r="GM32" s="313">
        <f>(_xlfn.MAXIFS(CtrlDevImpacts!$AN$57:$AN$156,CtrlDevImpacts!$AM$57:$AM$156,$FG32))*IFERROR($QR$15,0)</f>
        <v>0</v>
      </c>
      <c r="GN32" s="313">
        <f>(_xlfn.MAXIFS(VaporOxidizer!$F$111:$F$220,VaporOxidizer!$E$111:$E$220,$FG32)-_xlfn.MAXIFS(CtrlDevImpacts!$AN$57:$AN$156,CtrlDevImpacts!$AM$57:$AM$156,$FG32))*IFERROR($QR$15,0)</f>
        <v>0</v>
      </c>
      <c r="GO32" s="155">
        <f>_xlfn.MAXIFS(LandEmiss!$F$335:$F$434,LandEmiss!$A$335:$A$434,$FG32)*IFERROR($QR$15,0)</f>
        <v>0</v>
      </c>
      <c r="GP32" s="155">
        <f>(_xlfn.MAXIFS(LandEmiss!$BK$335:$BK$434,LandEmiss!$BO$335:$BO$434,$FG32)+_xlfn.MAXIFS(LandEmiss!$DZ$323:$DZ$422,LandEmiss!$DU$323:$DU$422,$FG32))*IFERROR($QR$15,0)</f>
        <v>0</v>
      </c>
      <c r="GQ32" s="313">
        <f>_xlfn.MAXIFS(CtrlDevImpacts!$BD$57:$BD$156,CtrlDevImpacts!$BC$57:$BC$156,$FG32)*IFERROR(Hidden!$QR$16,0)</f>
        <v>0</v>
      </c>
      <c r="GR32" s="313">
        <f>(_xlfn.MAXIFS(CAS!$H$35:$H$144,CAS!$E$35:$E$144,$FG32)-_xlfn.MAXIFS(CtrlDevImpacts!$BD$57:$BD$156,CtrlDevImpacts!$BC$57:$BC$156,$FG32))*IFERROR(Hidden!$QR$16,0)</f>
        <v>0</v>
      </c>
      <c r="GS32" s="155">
        <f>_xlfn.MAXIFS(LandEmiss!$H$335:$H$434,LandEmiss!$A$335:$A$434,$FG32)*IFERROR($QR$27,0)</f>
        <v>0</v>
      </c>
      <c r="GT32" s="155">
        <f>(_xlfn.MAXIFS(LandEmiss!$BK$335:$BK$434,LandEmiss!$BQ$335:$BQ$434,$FG32)+_xlfn.MAXIFS(LandEmiss!$EB$323:$EB$422,LandEmiss!$DU$323:$DU$422,$FG32))*IFERROR($QR$27,0)</f>
        <v>0</v>
      </c>
      <c r="GU32" s="155">
        <f>_xlfn.MAXIFS(LandEmiss!$J$335:$J$434,LandEmiss!$A$335:$A$434,$FG32)*IFERROR($QR$26,0)</f>
        <v>0</v>
      </c>
      <c r="GV32" s="155">
        <f>(_xlfn.MAXIFS(LandEmiss!$BK$335:$BK$434,LandEmiss!$BS$335:$BS$434,$FG32)+_xlfn.MAXIFS(LandEmiss!$ED$323:$ED$422,LandEmiss!$DU$323:$DU$422,$FG32))*IFERROR($QR$26,0)</f>
        <v>0</v>
      </c>
      <c r="GW32" s="155">
        <f>_xlfn.MAXIFS(LandEmiss!$L$335:$L$434,LandEmiss!$A$335:$A$434,$FG32)*IFERROR($QR$25,0)</f>
        <v>0</v>
      </c>
      <c r="GX32" s="155">
        <f>(_xlfn.MAXIFS(LandEmiss!$BK$335:$BK$434,LandEmiss!$BU$335:$BU$434,$FG32)+_xlfn.MAXIFS(LandEmiss!$EF$323:$EF$422,LandEmiss!$DU$323:$DU$422,$FG32))*IFERROR($QR$25,0)</f>
        <v>0</v>
      </c>
      <c r="GY32" s="155">
        <v>0</v>
      </c>
      <c r="GZ32" s="155">
        <v>0</v>
      </c>
      <c r="HA32" s="155">
        <f>IF(OR(HeaterBoiler1!$E$26&lt;&gt;"fuel gas",HeaterBoiler1!$E$15&lt;&gt;"heater"),0,SUMIF(HeaterBoiler1!$A$54:$D$63,$FG32,HeaterBoiler1!$I$54:$I$63))*IFERROR($QR$19,0)</f>
        <v>0</v>
      </c>
      <c r="HB32" s="207">
        <f>IF(OR(HeaterBoiler2!$E$26&lt;&gt;"fuel gas",HeaterBoiler2!$E$15&lt;&gt;"heater"),0,SUMIF(HeaterBoiler2!$A$54:$D$63,$FG32,HeaterBoiler2!$I$54:$I$63))*IFERROR($QR$21,0)</f>
        <v>0</v>
      </c>
      <c r="HC32" s="155">
        <f>IF(OR(HeaterBoiler1!$E$26&lt;&gt;"fuel gas",HeaterBoiler1!$E$15&lt;&gt;"boiler"),0,SUMIF(HeaterBoiler1!$A$41:$A$50,$FG32,HeaterBoiler1!$F$41:$F$50))*IFERROR($QR$20,0)</f>
        <v>0</v>
      </c>
      <c r="HD32" s="207">
        <f>IF(OR(HeaterBoiler2!$E$26&lt;&gt;"fuel gas",HeaterBoiler2!$E$15&lt;&gt;"boiler"),0,SUMIF(HeaterBoiler2!$A$41:$A$50,$FG32,HeaterBoiler2!$F$41:$F$50))*IFERROR($QR$22,0)</f>
        <v>0</v>
      </c>
      <c r="HE32" s="155">
        <f>SUMIF(Fug!$A$96:$A$205,$FG32,Fug!$I$96:$I$205)*IFERROR(Hidden!$QR$23,0)</f>
        <v>0</v>
      </c>
      <c r="HF32" s="155">
        <f t="shared" si="24"/>
        <v>0</v>
      </c>
      <c r="HG32" s="156">
        <f t="shared" si="25"/>
        <v>0</v>
      </c>
      <c r="HH32" s="156">
        <f t="shared" si="26"/>
        <v>0</v>
      </c>
      <c r="HI32" s="156">
        <f t="shared" si="27"/>
        <v>0</v>
      </c>
      <c r="HJ32" s="156">
        <f t="shared" si="28"/>
        <v>0</v>
      </c>
      <c r="HK32" s="156">
        <f t="shared" si="29"/>
        <v>0</v>
      </c>
      <c r="HL32" s="156">
        <f t="shared" si="30"/>
        <v>0</v>
      </c>
      <c r="NO32" s="155">
        <f>IF(Tank1!$D$22="No control",(SUMIF(Tank1!$E$32:$E$141,$FG32,Tank1!$H$32:$H$141)*(2000/8760)*IFERROR($QV$3,0)),0)</f>
        <v>0</v>
      </c>
      <c r="NP32" s="156">
        <f>SUMIF(LandEmiss!$AE$20:$AE$119,$FG32,LandEmiss!$AK$20:$AK$119)*(2000/8760)*IFERROR($QV$3,0)</f>
        <v>0</v>
      </c>
      <c r="NQ32" s="156">
        <f>(SUMIF(LandEmiss!$CN$20:$CN$119,$FG32,LandEmiss!$CT$20:$CT$119)+SUMIF(LandEmiss!$EY$9:$EY$108,$FG32,LandEmiss!$FE$9:$FE$108))*IFERROR($QV$3,0)*(2000/8760)</f>
        <v>0</v>
      </c>
      <c r="NR32" s="155">
        <f>IF(Tank2!$D$22="No control",(SUMIF(Tank2!$E$32:$E$141,$FG32,Tank2!$H$32:$H$141)*(2000/8760)*IFERROR($QV$4,0)),0)</f>
        <v>0</v>
      </c>
      <c r="NS32" s="156">
        <f>SUMIF(LandEmiss!$AE$20:$AE$119,$FG32,LandEmiss!$AL$20:$AL$119)*(2000/8760)*IFERROR($QV$4,0)</f>
        <v>0</v>
      </c>
      <c r="NT32" s="156">
        <f>(SUMIF(LandEmiss!$CN$20:$CN$119,$FG32,LandEmiss!$CU$20:$CU$119)+SUMIF(LandEmiss!$EY$9:$EY$108,$FG32,LandEmiss!$FF$9:$FF$108))*IFERROR($QV$4,0)*(2000/8760)</f>
        <v>0</v>
      </c>
      <c r="NU32" s="155">
        <f>IF(Tank3!$D$22="No control",(SUMIF(Tank3!$E$32:$E$141,$FG32,Tank3!$H$32:$H$141)*(2000/8760)*IFERROR($QV$5,0)),0)</f>
        <v>0</v>
      </c>
      <c r="NV32" s="156">
        <f>SUMIF(LandEmiss!$AE$20:$AE$119,$FG32,LandEmiss!$AM$20:$AM$119)*(2000/8760)*IFERROR($QV$5,0)</f>
        <v>0</v>
      </c>
      <c r="NW32" s="156">
        <f>(SUMIF(LandEmiss!$CN$20:$CN$119,$FG32,LandEmiss!$CV$20:$CV$119)+SUMIF(LandEmiss!$EY$9:$EY$108,$FG32,LandEmiss!$FG$9:$FG$108))*IFERROR($QV$5,0)*(2000/8760)</f>
        <v>0</v>
      </c>
      <c r="NX32" s="155">
        <f>IF(Tank4!$D$22="No control",(SUMIF(Tank4!$E$32:$E$141,$FG32,Tank4!$H$32:$H$141)*(2000/8760)*IFERROR($QV$6,0)),0)</f>
        <v>0</v>
      </c>
      <c r="NY32" s="156">
        <f>SUMIF(LandEmiss!$AE$20:$AE$119,$FG32,LandEmiss!$AN$20:$AN$119)*(2000/8760)*IFERROR($QV$6,0)</f>
        <v>0</v>
      </c>
      <c r="NZ32" s="156">
        <f>(SUMIF(LandEmiss!$CN$20:$CN$119,$FG32,LandEmiss!$CW$20:$CW$119)+SUMIF(LandEmiss!$EY$9:$EY$108,$FG32,LandEmiss!$FH$9:$FH$108))*IFERROR($QV$6,0)*(2000/8760)</f>
        <v>0</v>
      </c>
      <c r="OA32" s="155">
        <f>IF(Tank5!$D$22="No control",(SUMIF(Tank5!$E$32:$E$141,$FG32,Tank5!$H$32:$H$141)*(2000/8760)*IFERROR($QV$7,0)),0)</f>
        <v>0</v>
      </c>
      <c r="OB32" s="156">
        <f>SUMIF(LandEmiss!$AE$20:$AE$119,$FG32,LandEmiss!$AO$20:$AO$119)*(2000/8760)*IFERROR($QV$7,0)</f>
        <v>0</v>
      </c>
      <c r="OC32" s="156">
        <f>(SUMIF(LandEmiss!$CN$20:$CN$119,$FG32,LandEmiss!$CX$20:$CX$119)+SUMIF(LandEmiss!$EY$9:$EY$108,$FG32,LandEmiss!$FI$9:$FI$108))*IFERROR($QV$7,0)*(2000/8760)</f>
        <v>0</v>
      </c>
      <c r="OD32" s="155">
        <f>SUMIFS('Load-DrumTote'!$L$27:$L$136,'Load-DrumTote'!$F$27:$F$136,$FG32)*IFERROR($QV$8,0)*(2000/8760)</f>
        <v>0</v>
      </c>
      <c r="OE32" s="155">
        <f>SUMIFS('Load-Truck'!$L$27:$L$136,'Load-Truck'!$F$27:$F$136,$FG32)*IFERROR($QV$9,0)*(2000/8760)</f>
        <v>0</v>
      </c>
      <c r="OF32" s="155">
        <f>SUMIFS('Load-Rail'!$L$27:$L$136,'Load-Rail'!$F$27:$F$136,$FG32)*IFERROR($QV$10,0)*(2000/8760)</f>
        <v>0</v>
      </c>
      <c r="OG32" s="155">
        <f>SUMIFS('Load-MarineBarge'!$L$27:$L$136,'Load-MarineBarge'!$F$27:$F$136,$FG32)*IFERROR($QV$11,0)*(2000/8760)</f>
        <v>0</v>
      </c>
      <c r="OH32" s="155">
        <f>SUMIFS('Load-MarineShip'!$L$27:$L$136,'Load-MarineShip'!$F$27:$F$136,$FG32)*IFERROR($QV$12,0)*(2000/8760)</f>
        <v>0</v>
      </c>
      <c r="OI32" s="155">
        <f>(IF(OR(Flare!$D$24="FUEL GAS",Flare!$D$38="FUEL GAS"),SUMIF(Flare!$E$97:$E$106,$FG32,Flare!$G$97:$G$105),0)+SUMIF(Flare!$E$107:$E$216,$FG32,Flare!$G$107:$G$216))*(2000/8730)*IFERROR($QV$13,0)</f>
        <v>0</v>
      </c>
      <c r="OJ32" s="155">
        <f>SUMIF(LandEmiss!$A$335:$A$434,$FG32,LandEmiss!$C$335:$C$434)*(2000/8760)*IFERROR($QV$13,0)</f>
        <v>0</v>
      </c>
      <c r="OK32" s="155">
        <f>(SUMIF(LandEmiss!$BJ$335:$BJ$434,$FG32,LandEmiss!$BL$335:$BL$434)+SUMIF(LandEmiss!$DU$323:$DU$422,$FG32,LandEmiss!$DW$323:$DW$422))*(2000/8760)*IFERROR($QV$13,0)</f>
        <v>0</v>
      </c>
      <c r="OL32" s="155">
        <f>(IF(OR(VCU!$D$26="FUEL GAS",VCU!$D$42="FUEL GAS"),SUMIF(VCU!$E$120:$E$129,$FG32,VCU!$G$120:$G$129),0)+SUMIF(VCU!$E$130:$E$239,$FG32,VCU!G160:G269))*(2000/8760)*IFERROR($QV$14,0)</f>
        <v>0</v>
      </c>
      <c r="OM32" s="155">
        <f>SUMIF(LandEmiss!$A$335:$A$434,$FG32,LandEmiss!$E$335:$E$434)*(2000/8760)*IFERROR($QV$14,0)</f>
        <v>0</v>
      </c>
      <c r="ON32" s="155">
        <f>(SUMIF(LandEmiss!$BJ$335:$BJ$434,$FG32,LandEmiss!$BN$335:$BN$434)+SUMIF(LandEmiss!$DU$323:$DU$422,$FG32,LandEmiss!$DY$323:$DY$422))*(2000/8760)*IFERROR($QV$14,0)</f>
        <v>0</v>
      </c>
      <c r="OO32" s="155">
        <f>(IF(VaporOxidizer!$D$33="FUEL GAS",SUMIF(VaporOxidizer!$E$101:$E$110,$FG32,VaporOxidizer!$G$101:$G$110),0)+SUMIF(VaporOxidizer!$E$111:$E$220,$FG32,VaporOxidizer!$G$111:$G$220))*(2000/8760)*IFERROR($QV$15,0)</f>
        <v>0</v>
      </c>
      <c r="OP32" s="155">
        <f>SUMIF(LandEmiss!$A$335:$A$434,$FG32,LandEmiss!$G$335:$G$434)*(2000/8760)*IFERROR($QV$15,0)</f>
        <v>0</v>
      </c>
      <c r="OQ32" s="155">
        <f>(SUMIF(LandEmiss!$BJ$335:$BJ$434,$FG32,LandEmiss!$BP$335:$BP$434)+SUMIF(LandEmiss!$DU$323:$DU$422,$FG32,LandEmiss!$EA$323:$EA$422))*(2000/8760)*IFERROR($QV$15,0)</f>
        <v>0</v>
      </c>
      <c r="OR32" s="155">
        <f>SUMIF(CAS!$E$35:$E$144,Hidden!$FG32,CAS!$I$35:$I$144)*IFERROR($QV$16,0)*(2000/8760)</f>
        <v>0</v>
      </c>
      <c r="OS32" s="155">
        <f>SUMIF(LandEmiss!$A$335:$A$434,$FG32,LandEmiss!$I$335:$I$434)*(2000/8760)*IFERROR($QV$27,0)</f>
        <v>0</v>
      </c>
      <c r="OT32" s="155">
        <f>(SUMIF(LandEmiss!$BJ$335:$BJ$434,$FG32,LandEmiss!$BR$335:$BR$434)+SUMIF(LandEmiss!$DU$323:$DU$422,$FG32,LandEmiss!$EC$323:$EC$422))*(2000/8760)*IFERROR($QV$27,0)</f>
        <v>0</v>
      </c>
      <c r="OU32" s="155">
        <f>SUMIF(LandEmiss!$A$335:$A$434,$FG32,LandEmiss!$K$335:$K$434)*(2000/8760)*IFERROR($QV$26,0)</f>
        <v>0</v>
      </c>
      <c r="OV32" s="155">
        <f>(SUMIF(LandEmiss!$BJ$335:$BJ$434,$FG32,LandEmiss!$BT$335:$BT$434)+SUMIF(LandEmiss!$DU$323:$DU$422,$FG32,LandEmiss!$EE$323:$EE$422))*(2000/8760)*IFERROR($QV$26,0)</f>
        <v>0</v>
      </c>
      <c r="OW32" s="155">
        <f>SUMIF(LandEmiss!$A$335:$A$434,$FG32,LandEmiss!$M$335:$M$434)*(2000/8760)*IFERROR($QV$25,0)</f>
        <v>0</v>
      </c>
      <c r="OX32" s="155">
        <f>(SUMIF(LandEmiss!$BJ$335:$BJ$434,$FG32,LandEmiss!$BV$335:$BV$434)+SUMIF(LandEmiss!$DU$323:$DU$422,$FG32,LandEmiss!$EG$323:$EG$422))*(2000/8760)*IFERROR($QV$25,0)</f>
        <v>0</v>
      </c>
      <c r="OY32" s="8">
        <v>0</v>
      </c>
      <c r="OZ32" s="207">
        <v>0</v>
      </c>
      <c r="PA32" s="207">
        <f>IF(OR(HeaterBoiler1!$E$26&lt;&gt;"fuel gas",HeaterBoiler1!$E$15&lt;&gt;"heater"),0,(SUMIF(HeaterBoiler1!$A$54:$D$63,$FG32,HeaterBoiler1!$J$54:$J$63))*(2000/8760))*IFERROR($QV$19,0)</f>
        <v>0</v>
      </c>
      <c r="PB32" s="207">
        <f>IF(OR(HeaterBoiler2!$E$26&lt;&gt;"fuel gas",HeaterBoiler2!$E$15&lt;&gt;"heater"),0,(SUMIF(HeaterBoiler2!$A$54:$D$63,$FG32,HeaterBoiler2!$J$54:$J$63))*(2000/8760))*IFERROR($QV$21,0)</f>
        <v>0</v>
      </c>
      <c r="PC32" s="207">
        <f>IF(OR(HeaterBoiler1!$E$26&lt;&gt;"fuel gas",HeaterBoiler1!$E$15&lt;&gt;"boiler"),0,(SUMIF(HeaterBoiler1!$A$54:$D$63,$FG32,HeaterBoiler1!$J$54:$J$63))*(2000/8760))*IFERROR($QV$20,0)</f>
        <v>0</v>
      </c>
      <c r="PD32" s="207">
        <f>IF(OR(HeaterBoiler2!$E$26&lt;&gt;"fuel gas",HeaterBoiler2!$E$15&lt;&gt;"boiler"),0,(SUMIF(HeaterBoiler2!$A$54:$D$63,$FG32,HeaterBoiler2!$J$54:$J$63))*(2000/8760))*IFERROR($QV$22,0)</f>
        <v>0</v>
      </c>
      <c r="PE32" s="8">
        <f>(SUMIF(Fug!$A$96:$A$205,$FG32,Fug!$J$96:$J$205))*IFERROR($QV$23,0)*(2000/8760)</f>
        <v>0</v>
      </c>
      <c r="PF32" s="8">
        <f t="shared" si="31"/>
        <v>0</v>
      </c>
      <c r="PG32" s="156">
        <f t="shared" si="32"/>
        <v>0</v>
      </c>
      <c r="PJ32" s="52" t="str">
        <f>IF(Fug!$F$16=Hidden!$PP$2,"Relief Valves","Sampling Connections (hourly)")</f>
        <v>Sampling Connections (hourly)</v>
      </c>
      <c r="PK32" s="52" t="str">
        <f>IF(Fug!$F$16=Hidden!$PP$2,"Heavy Oil &lt;20°API","All [3]")</f>
        <v>All [3]</v>
      </c>
      <c r="PL32" s="52">
        <v>3.3000000000000002E-2</v>
      </c>
      <c r="PM32" s="52">
        <v>3.3000000000000002E-2</v>
      </c>
      <c r="PN32" s="52">
        <v>3.3000000000000002E-2</v>
      </c>
      <c r="PO32" s="52">
        <v>3.3000000000000002E-2</v>
      </c>
      <c r="PP32" s="52">
        <v>6.8300000000000007E-5</v>
      </c>
      <c r="PQ32" s="52">
        <v>8.7999999999999998E-5</v>
      </c>
      <c r="PR32" s="52"/>
      <c r="PS32" s="52">
        <v>1.2E-4</v>
      </c>
      <c r="PT32" s="52" t="s">
        <v>8790</v>
      </c>
      <c r="PU32" s="52" t="s">
        <v>8780</v>
      </c>
      <c r="PV32" s="52">
        <v>0</v>
      </c>
      <c r="PW32" s="52">
        <v>0</v>
      </c>
      <c r="PX32" s="52">
        <v>0</v>
      </c>
      <c r="PY32" s="52">
        <v>0</v>
      </c>
      <c r="PZ32" s="52">
        <v>0</v>
      </c>
      <c r="QA32" s="52">
        <v>0</v>
      </c>
      <c r="QB32" s="52" t="s">
        <v>9350</v>
      </c>
      <c r="QC32" s="52" t="s">
        <v>8778</v>
      </c>
      <c r="QD32" s="52">
        <v>0</v>
      </c>
      <c r="QE32" s="52">
        <v>0</v>
      </c>
      <c r="QF32" s="52">
        <v>0</v>
      </c>
      <c r="QG32" s="52">
        <v>0</v>
      </c>
      <c r="QH32" s="52">
        <v>0</v>
      </c>
      <c r="QI32" s="52">
        <v>0</v>
      </c>
      <c r="QX32" s="1084" t="s">
        <v>9307</v>
      </c>
      <c r="QY32" s="1084"/>
      <c r="QZ32" s="1084"/>
      <c r="RA32" s="1084"/>
      <c r="RB32" s="1084"/>
      <c r="RC32" s="1084"/>
      <c r="RD32" s="1084"/>
      <c r="RE32" s="1084"/>
      <c r="RF32" s="1084"/>
      <c r="RG32" s="1084"/>
      <c r="RH32" s="1084"/>
      <c r="RI32" s="1084"/>
      <c r="RJ32" s="1084"/>
      <c r="RK32" s="1084"/>
      <c r="RL32" s="1084"/>
      <c r="RM32" s="1084"/>
      <c r="RN32" s="1084"/>
      <c r="RO32" s="1084"/>
      <c r="RP32" s="1084"/>
      <c r="RQ32" s="1084"/>
      <c r="RR32" s="1084"/>
      <c r="RS32" s="1084"/>
      <c r="RT32" s="1084"/>
      <c r="RU32" s="1084"/>
      <c r="RV32" s="1084"/>
      <c r="RW32" s="1084"/>
      <c r="RX32" s="1084"/>
      <c r="RY32" s="1084"/>
      <c r="RZ32" s="1084"/>
      <c r="SA32" s="1084"/>
      <c r="SB32" s="1084"/>
      <c r="SC32" s="1084"/>
      <c r="SD32" s="1084"/>
      <c r="SE32" s="1084"/>
      <c r="SF32" s="1084"/>
      <c r="SG32" s="1084"/>
      <c r="SH32" s="1084"/>
      <c r="SI32" s="1084"/>
      <c r="SJ32" s="1084"/>
      <c r="SK32" s="1084"/>
      <c r="SL32" s="1084"/>
      <c r="SM32" s="1084"/>
      <c r="SN32" s="1084"/>
      <c r="SO32" s="1084"/>
      <c r="SP32" s="1084"/>
      <c r="SQ32" s="1084"/>
      <c r="SR32" s="1084"/>
      <c r="SS32" s="1084"/>
      <c r="ST32" s="1084"/>
      <c r="SU32" s="1084"/>
      <c r="TI32" s="256" t="s">
        <v>8708</v>
      </c>
      <c r="TJ32" s="259" t="str">
        <f>IF(OR(TJ25="Vent to a control and meet the specific control device requirements. Fixed roof with submerged fill. Uninsulated exterior surfaces exposed to the sun shall be white or aluminum.",TJ25="Vent to a control and meet the specific control device requirements."),"Yes","No")</f>
        <v>No</v>
      </c>
      <c r="TK32" s="259" t="str">
        <f>IF(OR(TJ25="White or aluminum uninsulated exterior surface exposed to the sun. Slotted guide pole fittings must have a gasketed cover, and at least 2 of the following: wiper, float, or sleeve.",TJ25="White or aluminum uninsulated exterior surface exposed to the sun."),"Yes","No")</f>
        <v>No</v>
      </c>
      <c r="TL32" s="225"/>
      <c r="TM32" s="225"/>
    </row>
    <row r="33" spans="1:533" ht="74.25" customHeight="1" x14ac:dyDescent="0.2">
      <c r="A33" s="8" t="s">
        <v>210</v>
      </c>
      <c r="B33" s="8">
        <v>10</v>
      </c>
      <c r="W33">
        <f>IF(OR(X33=0,ISNUMBER(MATCH(X33,$X$1:X32,0))),0,MAX($W$1:W32)+1)</f>
        <v>0</v>
      </c>
      <c r="X33" s="123">
        <f>Products!$E80</f>
        <v>0</v>
      </c>
      <c r="Y33" t="str">
        <f t="shared" si="3"/>
        <v/>
      </c>
      <c r="CA33">
        <f>IF(OR(CB33=0,ISNUMBER(MATCH(CB33,$CB$1:CB32,0))),0,MAX($CA$1:CA32)+1)</f>
        <v>0</v>
      </c>
      <c r="CB33" s="8">
        <f>IF(OR(Tank1!$D$18="EXTERNAL FLOATING ROOF",Tank1!$D$18="INTERNAL FLOATING ROOF"),IF(Tank1!$E63="",0,Tank1!$E63),0)</f>
        <v>0</v>
      </c>
      <c r="CC33" s="8" t="str">
        <f t="shared" si="6"/>
        <v/>
      </c>
      <c r="CD33" s="8"/>
      <c r="CE33" s="8">
        <f>IF(OR(CF33=0,ISNUMBER(MATCH(CF33,$CF$1:CF32,0))),0,MAX($CE$1:CE32)+1)</f>
        <v>0</v>
      </c>
      <c r="CF33" s="8">
        <f>IF(OR(Tank1!$D$18="HORIZONTAL FIXED ROOF",Tank1!$D$18="VERTICAL FIXED ROOF"),IF(Tank1!$E63="",0,Tank1!$E63),0)</f>
        <v>0</v>
      </c>
      <c r="CG33" s="8" t="str">
        <f t="shared" si="7"/>
        <v/>
      </c>
      <c r="CJ33">
        <f>IF(OR(CK33=0,ISNUMBER(MATCH(CK33,$CK$1:CK32,0))),0,MAX($CJ$1:CJ32)+1)</f>
        <v>0</v>
      </c>
      <c r="CK33">
        <f>Tank4!$A$43</f>
        <v>0</v>
      </c>
      <c r="CM33">
        <f>IFERROR(VLOOKUP($CK33,Tank4!$A$32:$D$141,3,FALSE),0)</f>
        <v>0</v>
      </c>
      <c r="CN33">
        <f>IFERROR(VLOOKUP($CK33,Tank4!$A$32:$D$141,4,FALSE),0)</f>
        <v>0</v>
      </c>
      <c r="DM33">
        <f>IF(OR(DN33=0,ISNUMBER(MATCH(DN33,$DN$1:DN32,0))),0,MAX($DM$1:DM32)+1)</f>
        <v>0</v>
      </c>
      <c r="DN33">
        <f>IF(Tank4!$D$22="Flare",IFERROR(VLOOKUP(Products!$A$69,Tank4!$A$32:$B$141,1,FALSE),0),0)</f>
        <v>0</v>
      </c>
      <c r="DO33">
        <f>IF($DN33=0,0,VLOOKUP($DN33,Tank4!$A$32:$H$141,7,FALSE))</f>
        <v>0</v>
      </c>
      <c r="DP33">
        <f>IF($DN33=0,0,VLOOKUP($DN33,Tank4!$A$32:$H$141,8,FALSE))</f>
        <v>0</v>
      </c>
      <c r="DU33">
        <f>IF(OR(DV33=0,ISNUMBER(MATCH(DV33,$DV$1:DV32,0))),0,MAX($DU$1:DU32)+1)</f>
        <v>0</v>
      </c>
      <c r="DV33">
        <f>IF(Tank4!$D$22="VCU",IFERROR(VLOOKUP(Products!$A$69,Tank4!$A$32:$B$141,1,FALSE),0),0)</f>
        <v>0</v>
      </c>
      <c r="DW33">
        <f>IF($DV33=0,0,VLOOKUP($DV33,Tank4!$A$32:$H$141,7,FALSE))</f>
        <v>0</v>
      </c>
      <c r="DX33">
        <f>IF($DV33=0,0,VLOOKUP($DV33,Tank4!$A$32:$H$141,8,FALSE))</f>
        <v>0</v>
      </c>
      <c r="EC33">
        <f>IF(OR(ED33=0,ISNUMBER(MATCH(ED33,$ED$1:ED32,0))),0,MAX($EC$1:EC32)+1)</f>
        <v>0</v>
      </c>
      <c r="ED33">
        <f>IF(Tank4!$D$22="vapor oxidizer",IFERROR(VLOOKUP(Products!$A$69,Tank4!$A$32:$B$141,1,FALSE),0),0)</f>
        <v>0</v>
      </c>
      <c r="EE33">
        <f>IF($ED33=0,0,VLOOKUP($ED33,Tank4!$A$32:$H$141,7,FALSE))</f>
        <v>0</v>
      </c>
      <c r="EF33">
        <f>IF($ED33=0,0,VLOOKUP($ED33,Tank4!$A$32:$H$141,8,FALSE))</f>
        <v>0</v>
      </c>
      <c r="EK33">
        <f>IF(OR(EL33=0,ISNUMBER(MATCH(EL33,$EL$1:EL32,0))),0,MAX($EK$1:EK32)+1)</f>
        <v>0</v>
      </c>
      <c r="EL33">
        <f>IF(Tank4!$D$22="CAS",IFERROR(VLOOKUP(Products!A69,Tank4!$A$32:$B$141,1,FALSE),0),0)</f>
        <v>0</v>
      </c>
      <c r="EM33">
        <f>IF($EL33=0,0,VLOOKUP($EL33,Tank4!$A$32:$H$141,7,FALSE))</f>
        <v>0</v>
      </c>
      <c r="EN33">
        <f>IF($EL33=0,0,VLOOKUP($EL33,Tank4!$A$32:$H$141,8,FALSE))</f>
        <v>0</v>
      </c>
      <c r="FB33" s="8" t="s">
        <v>419</v>
      </c>
      <c r="FC33" s="8" t="s">
        <v>420</v>
      </c>
      <c r="FD33" s="8">
        <v>3500</v>
      </c>
      <c r="FE33" s="8">
        <v>350</v>
      </c>
      <c r="FG33" s="360" t="str">
        <f t="shared" si="23"/>
        <v/>
      </c>
      <c r="FH33" s="155">
        <f>IF(Tank1!$D$22="NO CONTROL",_xlfn.MAXIFS(Tank1!$G$32:$G$141,Tank1!$E$32:$E$141,$FG33),0)*IFERROR($QR$3,0)</f>
        <v>0</v>
      </c>
      <c r="FI33" s="155">
        <f>_xlfn.MAXIFS(LandEmiss!$AF$20:$AF$119,LandEmiss!$AE$20:$AE$119,$FG33)*IFERROR($QR$3,0)</f>
        <v>0</v>
      </c>
      <c r="FJ33" s="155">
        <f>MAX(_xlfn.MAXIFS(LandEmiss!$CO$20:$CO$119,LandEmiss!$CN$20:$CN$119,$FG33),_xlfn.MAXIFS(LandEmiss!$EZ$9:$EZ$108,LandEmiss!$EY$9:$EY$108,$FG33))*IFERROR($QR$3,0)</f>
        <v>0</v>
      </c>
      <c r="FK33" s="155">
        <f>IF(Tank2!$D$22="NO CONTROL",_xlfn.MAXIFS(Tank2!$G$32:$G$141,Tank2!$E$32:$E$141,$FG33),0)*IFERROR($QR$4,0)</f>
        <v>0</v>
      </c>
      <c r="FL33" s="155">
        <f>_xlfn.MAXIFS(LandEmiss!$AG$20:$AG$119,LandEmiss!$AE$20:$AE$119,$FG33)*IFERROR($QR$4,0)</f>
        <v>0</v>
      </c>
      <c r="FM33" s="155">
        <f>MAX(_xlfn.MAXIFS(LandEmiss!$CP$20:$CP$119,LandEmiss!$CN$20:$CN$119,$FG33),_xlfn.MAXIFS(LandEmiss!$FA$9:$FA$108,LandEmiss!$EY$9:$EY$108,$FG33))*IFERROR($QR$4,0)</f>
        <v>0</v>
      </c>
      <c r="FN33" s="155">
        <f>IF(Tank3!$D$22="NO CONTROL",_xlfn.MAXIFS(Tank3!$G$32:$G$141,Tank3!$E$32:$E$141,$FG33),0)*IFERROR($QR$5,0)</f>
        <v>0</v>
      </c>
      <c r="FO33" s="155">
        <f>_xlfn.MAXIFS(LandEmiss!$AH$20:$AH$119,LandEmiss!$AE$20:$AE$119,$FG33)*IFERROR($QR$5,0)</f>
        <v>0</v>
      </c>
      <c r="FP33" s="155">
        <f>MAX(_xlfn.MAXIFS(LandEmiss!$CQ$20:$CQ$119,LandEmiss!$CN$20:$CN$119,$FG33),_xlfn.MAXIFS(LandEmiss!$FB$9:$FB$108,LandEmiss!$EY$9:$EY$108,$FG33))*IFERROR($QR$5,0)</f>
        <v>0</v>
      </c>
      <c r="FQ33" s="155">
        <f>IF(Tank4!$D$22="NO CONTROL",_xlfn.MAXIFS(Tank4!$G$32:$G$141,Tank4!$E$32:$E$141,$FG33),0)*IFERROR($QR$6,0)</f>
        <v>0</v>
      </c>
      <c r="FR33" s="155">
        <f>_xlfn.MAXIFS(LandEmiss!$AI$20:$AI$119,LandEmiss!$AE$20:$AE$119,$FG33)*IFERROR($QR$6,0)</f>
        <v>0</v>
      </c>
      <c r="FS33" s="155">
        <f>MAX(_xlfn.MAXIFS(LandEmiss!$CR$20:$CR$119,LandEmiss!$CN$20:$CN$119,$FG33),_xlfn.MAXIFS(LandEmiss!$FC$9:$FC$108,LandEmiss!$EY$9:$EY$108,$FG33))*IFERROR($QR$6,0)</f>
        <v>0</v>
      </c>
      <c r="FT33" s="155">
        <f>IF(Tank5!$D$22="NO CONTROL",_xlfn.MAXIFS(Tank5!$G$32:$G$141,Tank5!$E$32:$E$141,$FG33),0)*IFERROR($QR$7,0)</f>
        <v>0</v>
      </c>
      <c r="FU33" s="155">
        <f>_xlfn.MAXIFS(LandEmiss!$AJ$20:$AJ$119,LandEmiss!$AE$20:$AE$119,$FG33)*IFERROR($QR$7,0)</f>
        <v>0</v>
      </c>
      <c r="FV33" s="155">
        <f>MAX(_xlfn.MAXIFS(LandEmiss!$CS$20:$CS$119,LandEmiss!$CN$20:$CN$119,$FG33),_xlfn.MAXIFS(LandEmiss!$FD$9:$FD$108,LandEmiss!$EY$9:$EY$108,$FG33))*IFERROR($QR38,0)</f>
        <v>0</v>
      </c>
      <c r="FW33" s="155">
        <f>_xlfn.MAXIFS('Load-DrumTote'!$K$27:$K$136,'Load-DrumTote'!$F$27:$F$136,$FG33)*IFERROR($QR$8,0)</f>
        <v>0</v>
      </c>
      <c r="FX33" s="155">
        <f>_xlfn.MAXIFS('Load-Truck'!$K$27:$K$136,'Load-Truck'!$F$27:$F$136,$FG33)*IFERROR($QR$9,0)</f>
        <v>0</v>
      </c>
      <c r="FY33" s="155">
        <f>_xlfn.MAXIFS('Load-Rail'!$K$27:$K$136,'Load-Rail'!$F$27:$F$136,$FG33)*IFERROR($QR$10,0)</f>
        <v>0</v>
      </c>
      <c r="FZ33" s="155">
        <f>_xlfn.MAXIFS('Load-MarineBarge'!$K$27:$K$136,'Load-MarineBarge'!$F$27:$F$136,$FG33)*IFERROR($QR$11,0)</f>
        <v>0</v>
      </c>
      <c r="GA33" s="155">
        <f>_xlfn.MAXIFS('Load-MarineShip'!$K$27:$K$136,'Load-MarineShip'!$F$27:$F$136,$FG33)*IFERROR($QR$12,0)</f>
        <v>0</v>
      </c>
      <c r="GB33" s="313">
        <f>IF(OR(Flare!$D$24="fuel gas",Flare!$D$38="fuel gas"),SUMIF(Flare!$E$97:$E$106,$FG33,Flare!$F$97:$F$106),0)*IFERROR($QR$13,0)</f>
        <v>0</v>
      </c>
      <c r="GC33" s="313">
        <f>(_xlfn.MAXIFS(CtrlDevImpacts!$I$57:$I$156,CtrlDevImpacts!$H$57:$H$156,$FG33))*IFERROR($QR$13,0)</f>
        <v>0</v>
      </c>
      <c r="GD33" s="313">
        <f>(_xlfn.MAXIFS(Flare!$F$107:$F$216,Flare!$E$107:$E$216,$FG33)-_xlfn.MAXIFS(CtrlDevImpacts!$I$57:$I$156,CtrlDevImpacts!$H$57:$H$156,$FG33))*IFERROR($QR$13,0)</f>
        <v>0</v>
      </c>
      <c r="GE33" s="155">
        <f>_xlfn.MAXIFS(LandEmiss!$B$335:$B$434,LandEmiss!$A$335:$A$434,$FG33)*IFERROR($QR$13,0)</f>
        <v>0</v>
      </c>
      <c r="GF33" s="155">
        <f>(_xlfn.MAXIFS(LandEmiss!$BK$335:$BK$434,LandEmiss!$BJ$335:$BJ$434,$FG33)+_xlfn.MAXIFS(LandEmiss!$DV$323:$DV$422,LandEmiss!$DU$323:$DU$422,$FG33))*IFERROR($QR$13,0)</f>
        <v>0</v>
      </c>
      <c r="GG33" s="313">
        <f>IF(OR(VCU!$D$26="fuel gas",VCU!$D$42="fuel gas"),SUMIF(VCU!$E$120:$E$129,$FG33,VCU!$F$120:$F$129),0)*IFERROR($QR$14,0)</f>
        <v>0</v>
      </c>
      <c r="GH33" s="313">
        <f>(_xlfn.MAXIFS(CtrlDevImpacts!$X$57:$X$156,CtrlDevImpacts!$W$57:$W$156,$FG33))*IFERROR($QR$14,0)</f>
        <v>0</v>
      </c>
      <c r="GI33" s="313">
        <f>(_xlfn.MAXIFS(VCU!$F$130:$F$239,VCU!$E$130:$E$239,$FG33)-_xlfn.MAXIFS(CtrlDevImpacts!$X$57:$X$156,CtrlDevImpacts!$W$57:$W$156,$FG33))*IFERROR($QR$14,0)</f>
        <v>0</v>
      </c>
      <c r="GJ33" s="155">
        <f>_xlfn.MAXIFS(LandEmiss!$D$335:$D$434,LandEmiss!$A$335:$A$434,$FG33)*IFERROR($QR$14,0)</f>
        <v>0</v>
      </c>
      <c r="GK33" s="155">
        <f>(_xlfn.MAXIFS(LandEmiss!$BM$335:$BM$434,LandEmiss!$BJ$335:$BJ$434,$FG33)+_xlfn.MAXIFS(LandEmiss!$DX$323:$DX$422,LandEmiss!$DU$323:$DU$422,$FG33))*IFERROR($QR$14,0)</f>
        <v>0</v>
      </c>
      <c r="GL33" s="313">
        <f>IF(VaporOxidizer!D64="FUEL GAS",SUMIF(VaporOxidizer!$E$101:$E$110,$FG33,VaporOxidizer!$F$101:$F$110),0)*IFERROR($QR$15,0)</f>
        <v>0</v>
      </c>
      <c r="GM33" s="313">
        <f>(_xlfn.MAXIFS(CtrlDevImpacts!$AN$57:$AN$156,CtrlDevImpacts!$AM$57:$AM$156,$FG33))*IFERROR($QR$15,0)</f>
        <v>0</v>
      </c>
      <c r="GN33" s="313">
        <f>(_xlfn.MAXIFS(VaporOxidizer!$F$111:$F$220,VaporOxidizer!$E$111:$E$220,$FG33)-_xlfn.MAXIFS(CtrlDevImpacts!$AN$57:$AN$156,CtrlDevImpacts!$AM$57:$AM$156,$FG33))*IFERROR($QR$15,0)</f>
        <v>0</v>
      </c>
      <c r="GO33" s="155">
        <f>_xlfn.MAXIFS(LandEmiss!$F$335:$F$434,LandEmiss!$A$335:$A$434,$FG33)*IFERROR($QR$15,0)</f>
        <v>0</v>
      </c>
      <c r="GP33" s="155">
        <f>(_xlfn.MAXIFS(LandEmiss!$BK$335:$BK$434,LandEmiss!$BO$335:$BO$434,$FG33)+_xlfn.MAXIFS(LandEmiss!$DZ$323:$DZ$422,LandEmiss!$DU$323:$DU$422,$FG33))*IFERROR($QR$15,0)</f>
        <v>0</v>
      </c>
      <c r="GQ33" s="313">
        <f>_xlfn.MAXIFS(CtrlDevImpacts!$BD$57:$BD$156,CtrlDevImpacts!$BC$57:$BC$156,$FG33)*IFERROR(Hidden!$QR$16,0)</f>
        <v>0</v>
      </c>
      <c r="GR33" s="313">
        <f>(_xlfn.MAXIFS(CAS!$H$35:$H$144,CAS!$E$35:$E$144,$FG33)-_xlfn.MAXIFS(CtrlDevImpacts!$BD$57:$BD$156,CtrlDevImpacts!$BC$57:$BC$156,$FG33))*IFERROR(Hidden!$QR$16,0)</f>
        <v>0</v>
      </c>
      <c r="GS33" s="155">
        <f>_xlfn.MAXIFS(LandEmiss!$H$335:$H$434,LandEmiss!$A$335:$A$434,$FG33)*IFERROR($QR$27,0)</f>
        <v>0</v>
      </c>
      <c r="GT33" s="155">
        <f>(_xlfn.MAXIFS(LandEmiss!$BK$335:$BK$434,LandEmiss!$BQ$335:$BQ$434,$FG33)+_xlfn.MAXIFS(LandEmiss!$EB$323:$EB$422,LandEmiss!$DU$323:$DU$422,$FG33))*IFERROR($QR$27,0)</f>
        <v>0</v>
      </c>
      <c r="GU33" s="155">
        <f>_xlfn.MAXIFS(LandEmiss!$J$335:$J$434,LandEmiss!$A$335:$A$434,$FG33)*IFERROR($QR$26,0)</f>
        <v>0</v>
      </c>
      <c r="GV33" s="155">
        <f>(_xlfn.MAXIFS(LandEmiss!$BK$335:$BK$434,LandEmiss!$BS$335:$BS$434,$FG33)+_xlfn.MAXIFS(LandEmiss!$ED$323:$ED$422,LandEmiss!$DU$323:$DU$422,$FG33))*IFERROR($QR$26,0)</f>
        <v>0</v>
      </c>
      <c r="GW33" s="155">
        <f>_xlfn.MAXIFS(LandEmiss!$L$335:$L$434,LandEmiss!$A$335:$A$434,$FG33)*IFERROR($QR$25,0)</f>
        <v>0</v>
      </c>
      <c r="GX33" s="155">
        <f>(_xlfn.MAXIFS(LandEmiss!$BK$335:$BK$434,LandEmiss!$BU$335:$BU$434,$FG33)+_xlfn.MAXIFS(LandEmiss!$EF$323:$EF$422,LandEmiss!$DU$323:$DU$422,$FG33))*IFERROR($QR$25,0)</f>
        <v>0</v>
      </c>
      <c r="GY33" s="155">
        <v>0</v>
      </c>
      <c r="GZ33" s="155">
        <v>0</v>
      </c>
      <c r="HA33" s="155">
        <f>IF(OR(HeaterBoiler1!$E$26&lt;&gt;"fuel gas",HeaterBoiler1!$E$15&lt;&gt;"heater"),0,SUMIF(HeaterBoiler1!$A$54:$D$63,$FG33,HeaterBoiler1!$I$54:$I$63))*IFERROR($QR$19,0)</f>
        <v>0</v>
      </c>
      <c r="HB33" s="207">
        <f>IF(OR(HeaterBoiler2!$E$26&lt;&gt;"fuel gas",HeaterBoiler2!$E$15&lt;&gt;"heater"),0,SUMIF(HeaterBoiler2!$A$54:$D$63,$FG33,HeaterBoiler2!$I$54:$I$63))*IFERROR($QR$21,0)</f>
        <v>0</v>
      </c>
      <c r="HC33" s="155">
        <f>IF(OR(HeaterBoiler1!$E$26&lt;&gt;"fuel gas",HeaterBoiler1!$E$15&lt;&gt;"boiler"),0,SUMIF(HeaterBoiler1!$A$41:$A$50,$FG33,HeaterBoiler1!$F$41:$F$50))*IFERROR($QR$20,0)</f>
        <v>0</v>
      </c>
      <c r="HD33" s="207">
        <f>IF(OR(HeaterBoiler2!$E$26&lt;&gt;"fuel gas",HeaterBoiler2!$E$15&lt;&gt;"boiler"),0,SUMIF(HeaterBoiler2!$A$41:$A$50,$FG33,HeaterBoiler2!$F$41:$F$50))*IFERROR($QR$22,0)</f>
        <v>0</v>
      </c>
      <c r="HE33" s="155">
        <f>SUMIF(Fug!$A$96:$A$205,$FG33,Fug!$I$96:$I$205)*IFERROR(Hidden!$QR$23,0)</f>
        <v>0</v>
      </c>
      <c r="HF33" s="155">
        <f t="shared" si="24"/>
        <v>0</v>
      </c>
      <c r="HG33" s="156">
        <f t="shared" si="25"/>
        <v>0</v>
      </c>
      <c r="HH33" s="156">
        <f t="shared" si="26"/>
        <v>0</v>
      </c>
      <c r="HI33" s="156">
        <f t="shared" si="27"/>
        <v>0</v>
      </c>
      <c r="HJ33" s="156">
        <f t="shared" si="28"/>
        <v>0</v>
      </c>
      <c r="HK33" s="156">
        <f t="shared" si="29"/>
        <v>0</v>
      </c>
      <c r="HL33" s="156">
        <f t="shared" si="30"/>
        <v>0</v>
      </c>
      <c r="NO33" s="155">
        <f>IF(Tank1!$D$22="No control",(SUMIF(Tank1!$E$32:$E$141,$FG33,Tank1!$H$32:$H$141)*(2000/8760)*IFERROR($QV$3,0)),0)</f>
        <v>0</v>
      </c>
      <c r="NP33" s="156">
        <f>SUMIF(LandEmiss!$AE$20:$AE$119,$FG33,LandEmiss!$AK$20:$AK$119)*(2000/8760)*IFERROR($QV$3,0)</f>
        <v>0</v>
      </c>
      <c r="NQ33" s="156">
        <f>(SUMIF(LandEmiss!$CN$20:$CN$119,$FG33,LandEmiss!$CT$20:$CT$119)+SUMIF(LandEmiss!$EY$9:$EY$108,$FG33,LandEmiss!$FE$9:$FE$108))*IFERROR($QV$3,0)*(2000/8760)</f>
        <v>0</v>
      </c>
      <c r="NR33" s="155">
        <f>IF(Tank2!$D$22="No control",(SUMIF(Tank2!$E$32:$E$141,$FG33,Tank2!$H$32:$H$141)*(2000/8760)*IFERROR($QV$4,0)),0)</f>
        <v>0</v>
      </c>
      <c r="NS33" s="156">
        <f>SUMIF(LandEmiss!$AE$20:$AE$119,$FG33,LandEmiss!$AL$20:$AL$119)*(2000/8760)*IFERROR($QV$4,0)</f>
        <v>0</v>
      </c>
      <c r="NT33" s="156">
        <f>(SUMIF(LandEmiss!$CN$20:$CN$119,$FG33,LandEmiss!$CU$20:$CU$119)+SUMIF(LandEmiss!$EY$9:$EY$108,$FG33,LandEmiss!$FF$9:$FF$108))*IFERROR($QV$4,0)*(2000/8760)</f>
        <v>0</v>
      </c>
      <c r="NU33" s="155">
        <f>IF(Tank3!$D$22="No control",(SUMIF(Tank3!$E$32:$E$141,$FG33,Tank3!$H$32:$H$141)*(2000/8760)*IFERROR($QV$5,0)),0)</f>
        <v>0</v>
      </c>
      <c r="NV33" s="156">
        <f>SUMIF(LandEmiss!$AE$20:$AE$119,$FG33,LandEmiss!$AM$20:$AM$119)*(2000/8760)*IFERROR($QV$5,0)</f>
        <v>0</v>
      </c>
      <c r="NW33" s="156">
        <f>(SUMIF(LandEmiss!$CN$20:$CN$119,$FG33,LandEmiss!$CV$20:$CV$119)+SUMIF(LandEmiss!$EY$9:$EY$108,$FG33,LandEmiss!$FG$9:$FG$108))*IFERROR($QV$5,0)*(2000/8760)</f>
        <v>0</v>
      </c>
      <c r="NX33" s="155">
        <f>IF(Tank4!$D$22="No control",(SUMIF(Tank4!$E$32:$E$141,$FG33,Tank4!$H$32:$H$141)*(2000/8760)*IFERROR($QV$6,0)),0)</f>
        <v>0</v>
      </c>
      <c r="NY33" s="156">
        <f>SUMIF(LandEmiss!$AE$20:$AE$119,$FG33,LandEmiss!$AN$20:$AN$119)*(2000/8760)*IFERROR($QV$6,0)</f>
        <v>0</v>
      </c>
      <c r="NZ33" s="156">
        <f>(SUMIF(LandEmiss!$CN$20:$CN$119,$FG33,LandEmiss!$CW$20:$CW$119)+SUMIF(LandEmiss!$EY$9:$EY$108,$FG33,LandEmiss!$FH$9:$FH$108))*IFERROR($QV$6,0)*(2000/8760)</f>
        <v>0</v>
      </c>
      <c r="OA33" s="155">
        <f>IF(Tank5!$D$22="No control",(SUMIF(Tank5!$E$32:$E$141,$FG33,Tank5!$H$32:$H$141)*(2000/8760)*IFERROR($QV$7,0)),0)</f>
        <v>0</v>
      </c>
      <c r="OB33" s="156">
        <f>SUMIF(LandEmiss!$AE$20:$AE$119,$FG33,LandEmiss!$AO$20:$AO$119)*(2000/8760)*IFERROR($QV$7,0)</f>
        <v>0</v>
      </c>
      <c r="OC33" s="156">
        <f>(SUMIF(LandEmiss!$CN$20:$CN$119,$FG33,LandEmiss!$CX$20:$CX$119)+SUMIF(LandEmiss!$EY$9:$EY$108,$FG33,LandEmiss!$FI$9:$FI$108))*IFERROR($QV$7,0)*(2000/8760)</f>
        <v>0</v>
      </c>
      <c r="OD33" s="155">
        <f>SUMIFS('Load-DrumTote'!$L$27:$L$136,'Load-DrumTote'!$F$27:$F$136,$FG33)*IFERROR($QV$8,0)*(2000/8760)</f>
        <v>0</v>
      </c>
      <c r="OE33" s="155">
        <f>SUMIFS('Load-Truck'!$L$27:$L$136,'Load-Truck'!$F$27:$F$136,$FG33)*IFERROR($QV$9,0)*(2000/8760)</f>
        <v>0</v>
      </c>
      <c r="OF33" s="155">
        <f>SUMIFS('Load-Rail'!$L$27:$L$136,'Load-Rail'!$F$27:$F$136,$FG33)*IFERROR($QV$10,0)*(2000/8760)</f>
        <v>0</v>
      </c>
      <c r="OG33" s="155">
        <f>SUMIFS('Load-MarineBarge'!$L$27:$L$136,'Load-MarineBarge'!$F$27:$F$136,$FG33)*IFERROR($QV$11,0)*(2000/8760)</f>
        <v>0</v>
      </c>
      <c r="OH33" s="155">
        <f>SUMIFS('Load-MarineShip'!$L$27:$L$136,'Load-MarineShip'!$F$27:$F$136,$FG33)*IFERROR($QV$12,0)*(2000/8760)</f>
        <v>0</v>
      </c>
      <c r="OI33" s="155">
        <f>(IF(OR(Flare!$D$24="FUEL GAS",Flare!$D$38="FUEL GAS"),SUMIF(Flare!$E$97:$E$106,$FG33,Flare!$G$97:$G$105),0)+SUMIF(Flare!$E$107:$E$216,$FG33,Flare!$G$107:$G$216))*(2000/8730)*IFERROR($QV$13,0)</f>
        <v>0</v>
      </c>
      <c r="OJ33" s="155">
        <f>SUMIF(LandEmiss!$A$335:$A$434,$FG33,LandEmiss!$C$335:$C$434)*(2000/8760)*IFERROR($QV$13,0)</f>
        <v>0</v>
      </c>
      <c r="OK33" s="155">
        <f>(SUMIF(LandEmiss!$BJ$335:$BJ$434,$FG33,LandEmiss!$BL$335:$BL$434)+SUMIF(LandEmiss!$DU$323:$DU$422,$FG33,LandEmiss!$DW$323:$DW$422))*(2000/8760)*IFERROR($QV$13,0)</f>
        <v>0</v>
      </c>
      <c r="OL33" s="155">
        <f>(IF(OR(VCU!$D$26="FUEL GAS",VCU!$D$42="FUEL GAS"),SUMIF(VCU!$E$120:$E$129,$FG33,VCU!$G$120:$G$129),0)+SUMIF(VCU!$E$130:$E$239,$FG33,VCU!G161:G270))*(2000/8760)*IFERROR($QV$14,0)</f>
        <v>0</v>
      </c>
      <c r="OM33" s="155">
        <f>SUMIF(LandEmiss!$A$335:$A$434,$FG33,LandEmiss!$E$335:$E$434)*(2000/8760)*IFERROR($QV$14,0)</f>
        <v>0</v>
      </c>
      <c r="ON33" s="155">
        <f>(SUMIF(LandEmiss!$BJ$335:$BJ$434,$FG33,LandEmiss!$BN$335:$BN$434)+SUMIF(LandEmiss!$DU$323:$DU$422,$FG33,LandEmiss!$DY$323:$DY$422))*(2000/8760)*IFERROR($QV$14,0)</f>
        <v>0</v>
      </c>
      <c r="OO33" s="155">
        <f>(IF(VaporOxidizer!$D$33="FUEL GAS",SUMIF(VaporOxidizer!$E$101:$E$110,$FG33,VaporOxidizer!$G$101:$G$110),0)+SUMIF(VaporOxidizer!$E$111:$E$220,$FG33,VaporOxidizer!$G$111:$G$220))*(2000/8760)*IFERROR($QV$15,0)</f>
        <v>0</v>
      </c>
      <c r="OP33" s="155">
        <f>SUMIF(LandEmiss!$A$335:$A$434,$FG33,LandEmiss!$G$335:$G$434)*(2000/8760)*IFERROR($QV$15,0)</f>
        <v>0</v>
      </c>
      <c r="OQ33" s="155">
        <f>(SUMIF(LandEmiss!$BJ$335:$BJ$434,$FG33,LandEmiss!$BP$335:$BP$434)+SUMIF(LandEmiss!$DU$323:$DU$422,$FG33,LandEmiss!$EA$323:$EA$422))*(2000/8760)*IFERROR($QV$15,0)</f>
        <v>0</v>
      </c>
      <c r="OR33" s="155">
        <f>SUMIF(CAS!$E$35:$E$144,Hidden!$FG33,CAS!$I$35:$I$144)*IFERROR($QV$16,0)*(2000/8760)</f>
        <v>0</v>
      </c>
      <c r="OS33" s="155">
        <f>SUMIF(LandEmiss!$A$335:$A$434,$FG33,LandEmiss!$I$335:$I$434)*(2000/8760)*IFERROR($QV$27,0)</f>
        <v>0</v>
      </c>
      <c r="OT33" s="155">
        <f>(SUMIF(LandEmiss!$BJ$335:$BJ$434,$FG33,LandEmiss!$BR$335:$BR$434)+SUMIF(LandEmiss!$DU$323:$DU$422,$FG33,LandEmiss!$EC$323:$EC$422))*(2000/8760)*IFERROR($QV$27,0)</f>
        <v>0</v>
      </c>
      <c r="OU33" s="155">
        <f>SUMIF(LandEmiss!$A$335:$A$434,$FG33,LandEmiss!$K$335:$K$434)*(2000/8760)*IFERROR($QV$26,0)</f>
        <v>0</v>
      </c>
      <c r="OV33" s="155">
        <f>(SUMIF(LandEmiss!$BJ$335:$BJ$434,$FG33,LandEmiss!$BT$335:$BT$434)+SUMIF(LandEmiss!$DU$323:$DU$422,$FG33,LandEmiss!$EE$323:$EE$422))*(2000/8760)*IFERROR($QV$26,0)</f>
        <v>0</v>
      </c>
      <c r="OW33" s="155">
        <f>SUMIF(LandEmiss!$A$335:$A$434,$FG33,LandEmiss!$M$335:$M$434)*(2000/8760)*IFERROR($QV$25,0)</f>
        <v>0</v>
      </c>
      <c r="OX33" s="155">
        <f>(SUMIF(LandEmiss!$BJ$335:$BJ$434,$FG33,LandEmiss!$BV$335:$BV$434)+SUMIF(LandEmiss!$DU$323:$DU$422,$FG33,LandEmiss!$EG$323:$EG$422))*(2000/8760)*IFERROR($QV$25,0)</f>
        <v>0</v>
      </c>
      <c r="OY33" s="8">
        <v>0</v>
      </c>
      <c r="OZ33" s="207">
        <v>0</v>
      </c>
      <c r="PA33" s="207">
        <f>IF(OR(HeaterBoiler1!$E$26&lt;&gt;"fuel gas",HeaterBoiler1!$E$15&lt;&gt;"heater"),0,(SUMIF(HeaterBoiler1!$A$54:$D$63,$FG33,HeaterBoiler1!$J$54:$J$63))*(2000/8760))*IFERROR($QV$19,0)</f>
        <v>0</v>
      </c>
      <c r="PB33" s="207">
        <f>IF(OR(HeaterBoiler2!$E$26&lt;&gt;"fuel gas",HeaterBoiler2!$E$15&lt;&gt;"heater"),0,(SUMIF(HeaterBoiler2!$A$54:$D$63,$FG33,HeaterBoiler2!$J$54:$J$63))*(2000/8760))*IFERROR($QV$21,0)</f>
        <v>0</v>
      </c>
      <c r="PC33" s="207">
        <f>IF(OR(HeaterBoiler1!$E$26&lt;&gt;"fuel gas",HeaterBoiler1!$E$15&lt;&gt;"boiler"),0,(SUMIF(HeaterBoiler1!$A$54:$D$63,$FG33,HeaterBoiler1!$J$54:$J$63))*(2000/8760))*IFERROR($QV$20,0)</f>
        <v>0</v>
      </c>
      <c r="PD33" s="207">
        <f>IF(OR(HeaterBoiler2!$E$26&lt;&gt;"fuel gas",HeaterBoiler2!$E$15&lt;&gt;"boiler"),0,(SUMIF(HeaterBoiler2!$A$54:$D$63,$FG33,HeaterBoiler2!$J$54:$J$63))*(2000/8760))*IFERROR($QV$22,0)</f>
        <v>0</v>
      </c>
      <c r="PE33" s="8">
        <f>(SUMIF(Fug!$A$96:$A$205,$FG33,Fug!$J$96:$J$205))*IFERROR($QV$23,0)*(2000/8760)</f>
        <v>0</v>
      </c>
      <c r="PF33" s="8">
        <f t="shared" si="31"/>
        <v>0</v>
      </c>
      <c r="PG33" s="156">
        <f t="shared" si="32"/>
        <v>0</v>
      </c>
      <c r="PJ33" s="52" t="str">
        <f>IF(Fug!$F$16=Hidden!$PP$2,"Relief Valves","Sampling Connections (annual)")</f>
        <v>Sampling Connections (annual)</v>
      </c>
      <c r="PK33" s="52" t="str">
        <f>IF(Fug!$F$16=Hidden!$PP$2,"Light Oil &gt;20°","All [3]")</f>
        <v>All [3]</v>
      </c>
      <c r="PL33" s="52">
        <v>3.3000000000000002E-2</v>
      </c>
      <c r="PM33" s="52">
        <v>3.3000000000000002E-2</v>
      </c>
      <c r="PN33" s="52">
        <v>3.3000000000000002E-2</v>
      </c>
      <c r="PO33" s="52">
        <v>3.3000000000000002E-2</v>
      </c>
      <c r="PP33" s="52">
        <v>1.6500000000000001E-2</v>
      </c>
      <c r="PQ33" s="52">
        <v>8.7999999999999998E-5</v>
      </c>
      <c r="PR33" s="52"/>
      <c r="PS33" s="52">
        <v>1.2E-4</v>
      </c>
      <c r="PT33" s="52" t="s">
        <v>8790</v>
      </c>
      <c r="PU33" s="52" t="s">
        <v>8781</v>
      </c>
      <c r="PV33" s="52">
        <v>0</v>
      </c>
      <c r="PW33" s="52">
        <v>0.97</v>
      </c>
      <c r="PX33" s="52">
        <v>0.97</v>
      </c>
      <c r="PY33" s="52">
        <v>0.97</v>
      </c>
      <c r="PZ33" s="52">
        <v>0</v>
      </c>
      <c r="QA33" s="52">
        <v>0.97</v>
      </c>
      <c r="QB33" s="52" t="s">
        <v>9351</v>
      </c>
      <c r="QC33" s="52" t="s">
        <v>8778</v>
      </c>
      <c r="QD33" s="52">
        <v>0</v>
      </c>
      <c r="QE33" s="52">
        <v>0</v>
      </c>
      <c r="QF33" s="52">
        <v>0</v>
      </c>
      <c r="QG33" s="52">
        <v>0</v>
      </c>
      <c r="QH33" s="52">
        <v>0</v>
      </c>
      <c r="QI33" s="52">
        <v>0</v>
      </c>
      <c r="QX33" s="86" t="s">
        <v>9306</v>
      </c>
      <c r="QY33" s="87">
        <v>25</v>
      </c>
      <c r="QZ33" s="87">
        <v>50</v>
      </c>
      <c r="RA33" s="87">
        <v>100</v>
      </c>
      <c r="RB33" s="87">
        <v>200</v>
      </c>
      <c r="RC33" s="87">
        <v>300</v>
      </c>
      <c r="RD33" s="87">
        <v>400</v>
      </c>
      <c r="RE33" s="87">
        <v>500</v>
      </c>
      <c r="RF33" s="87">
        <v>750</v>
      </c>
      <c r="RG33" s="88">
        <v>1000</v>
      </c>
      <c r="RH33" s="86" t="s">
        <v>9306</v>
      </c>
      <c r="RI33" s="87">
        <v>25</v>
      </c>
      <c r="RJ33" s="87">
        <v>50</v>
      </c>
      <c r="RK33" s="87">
        <v>100</v>
      </c>
      <c r="RL33" s="87">
        <v>200</v>
      </c>
      <c r="RM33" s="87">
        <v>300</v>
      </c>
      <c r="RN33" s="87">
        <v>400</v>
      </c>
      <c r="RO33" s="87">
        <v>500</v>
      </c>
      <c r="RP33" s="87">
        <v>750</v>
      </c>
      <c r="RQ33" s="88">
        <v>1000</v>
      </c>
      <c r="RR33" s="86" t="s">
        <v>9306</v>
      </c>
      <c r="RS33" s="87">
        <v>25</v>
      </c>
      <c r="RT33" s="87">
        <v>50</v>
      </c>
      <c r="RU33" s="87">
        <v>100</v>
      </c>
      <c r="RV33" s="87">
        <v>200</v>
      </c>
      <c r="RW33" s="87">
        <v>300</v>
      </c>
      <c r="RX33" s="87">
        <v>400</v>
      </c>
      <c r="RY33" s="87">
        <v>500</v>
      </c>
      <c r="RZ33" s="87">
        <v>750</v>
      </c>
      <c r="SA33" s="88">
        <v>1000</v>
      </c>
      <c r="SB33" s="86" t="s">
        <v>9306</v>
      </c>
      <c r="SC33" s="87">
        <v>25</v>
      </c>
      <c r="SD33" s="87">
        <v>50</v>
      </c>
      <c r="SE33" s="87">
        <v>100</v>
      </c>
      <c r="SF33" s="87">
        <v>200</v>
      </c>
      <c r="SG33" s="87">
        <v>300</v>
      </c>
      <c r="SH33" s="87">
        <v>400</v>
      </c>
      <c r="SI33" s="87">
        <v>500</v>
      </c>
      <c r="SJ33" s="87">
        <v>750</v>
      </c>
      <c r="SK33" s="88">
        <v>1000</v>
      </c>
      <c r="SL33" s="86" t="s">
        <v>9306</v>
      </c>
      <c r="SM33" s="87">
        <v>25</v>
      </c>
      <c r="SN33" s="87">
        <v>50</v>
      </c>
      <c r="SO33" s="87">
        <v>100</v>
      </c>
      <c r="SP33" s="87">
        <v>200</v>
      </c>
      <c r="SQ33" s="87">
        <v>300</v>
      </c>
      <c r="SR33" s="87">
        <v>400</v>
      </c>
      <c r="SS33" s="87">
        <v>500</v>
      </c>
      <c r="ST33" s="87">
        <v>750</v>
      </c>
      <c r="SU33" s="88">
        <v>1000</v>
      </c>
      <c r="TI33" s="256" t="s">
        <v>8709</v>
      </c>
      <c r="TJ33" s="259" t="str">
        <f>IF(OR(TJ26="Vent to a control and meet the specific control device requirements. Fixed roof with submerged fill. Uninsulated exterior surfaces exposed to the sun shall be white or aluminum.",TJ26="Vent to a control and meet the specific control device requirements."),"Yes","No")</f>
        <v>No</v>
      </c>
      <c r="TK33" s="259" t="str">
        <f>IF(OR(TJ26="White or aluminum uninsulated exterior surface exposed to the sun. Slotted guide pole fittings must have a gasketed cover, and at least 2 of the following: wiper, float, or sleeve.",TJ26="White or aluminum uninsulated exterior surface exposed to the sun."),"Yes","No")</f>
        <v>No</v>
      </c>
      <c r="TL33" s="225"/>
      <c r="TM33" s="225"/>
    </row>
    <row r="34" spans="1:533" ht="74.25" customHeight="1" thickBot="1" x14ac:dyDescent="0.25">
      <c r="A34" s="8" t="s">
        <v>211</v>
      </c>
      <c r="B34" s="8">
        <v>10</v>
      </c>
      <c r="W34">
        <f>IF(OR(X34=0,ISNUMBER(MATCH(X34,$X$1:X33,0))),0,MAX($W$1:W33)+1)</f>
        <v>0</v>
      </c>
      <c r="X34" s="123">
        <f>Products!$E81</f>
        <v>0</v>
      </c>
      <c r="Y34" t="str">
        <f t="shared" ref="Y34:Y65" si="39">IFERROR(VLOOKUP(ROW(A33),$W$2:$X$111,2,FALSE),"")</f>
        <v/>
      </c>
      <c r="CA34">
        <f>IF(OR(CB34=0,ISNUMBER(MATCH(CB34,$CB$1:CB33,0))),0,MAX($CA$1:CA33)+1)</f>
        <v>0</v>
      </c>
      <c r="CB34" s="8">
        <f>IF(OR(Tank1!$D$18="EXTERNAL FLOATING ROOF",Tank1!$D$18="INTERNAL FLOATING ROOF"),IF(Tank1!$E64="",0,Tank1!$E64),0)</f>
        <v>0</v>
      </c>
      <c r="CC34" s="8" t="str">
        <f t="shared" ref="CC34:CC65" si="40">IFERROR(VLOOKUP(ROW(A33),$CA$2:$CB$501,2,FALSE),"")</f>
        <v/>
      </c>
      <c r="CD34" s="8"/>
      <c r="CE34" s="8">
        <f>IF(OR(CF34=0,ISNUMBER(MATCH(CF34,$CF$1:CF33,0))),0,MAX($CE$1:CE33)+1)</f>
        <v>0</v>
      </c>
      <c r="CF34" s="8">
        <f>IF(OR(Tank1!$D$18="HORIZONTAL FIXED ROOF",Tank1!$D$18="VERTICAL FIXED ROOF"),IF(Tank1!$E64="",0,Tank1!$E64),0)</f>
        <v>0</v>
      </c>
      <c r="CG34" s="8" t="str">
        <f t="shared" ref="CG34:CG65" si="41">IFERROR(VLOOKUP(ROW(A33),$CA$2:$CB$501,2,FALSE),"")</f>
        <v/>
      </c>
      <c r="CJ34">
        <f>IF(OR(CK34=0,ISNUMBER(MATCH(CK34,$CK$1:CK33,0))),0,MAX($CJ$1:CJ33)+1)</f>
        <v>0</v>
      </c>
      <c r="CK34">
        <f>Tank4!$A$54</f>
        <v>0</v>
      </c>
      <c r="CM34">
        <f>IFERROR(VLOOKUP($CK34,Tank4!$A$32:$D$141,3,FALSE),0)</f>
        <v>0</v>
      </c>
      <c r="CN34">
        <f>IFERROR(VLOOKUP($CK34,Tank4!$A$32:$D$141,4,FALSE),0)</f>
        <v>0</v>
      </c>
      <c r="DM34">
        <f>IF(OR(DN34=0,ISNUMBER(MATCH(DN34,$DN$1:DN33,0))),0,MAX($DM$1:DM33)+1)</f>
        <v>0</v>
      </c>
      <c r="DN34">
        <f>IF(Tank4!$D$22="Flare",IFERROR(VLOOKUP(Products!$A$79,Tank4!$A$32:$B$141,1,FALSE),0),0)</f>
        <v>0</v>
      </c>
      <c r="DO34">
        <f>IF($DN34=0,0,VLOOKUP($DN34,Tank4!$A$32:$H$141,7,FALSE))</f>
        <v>0</v>
      </c>
      <c r="DP34">
        <f>IF($DN34=0,0,VLOOKUP($DN34,Tank4!$A$32:$H$141,8,FALSE))</f>
        <v>0</v>
      </c>
      <c r="DU34">
        <f>IF(OR(DV34=0,ISNUMBER(MATCH(DV34,$DV$1:DV33,0))),0,MAX($DU$1:DU33)+1)</f>
        <v>0</v>
      </c>
      <c r="DV34">
        <f>IF(Tank4!$D$22="VCU",IFERROR(VLOOKUP(Products!$A$79,Tank4!$A$32:$B$141,1,FALSE),0),0)</f>
        <v>0</v>
      </c>
      <c r="DW34">
        <f>IF($DV34=0,0,VLOOKUP($DV34,Tank4!$A$32:$H$141,7,FALSE))</f>
        <v>0</v>
      </c>
      <c r="DX34">
        <f>IF($DV34=0,0,VLOOKUP($DV34,Tank4!$A$32:$H$141,8,FALSE))</f>
        <v>0</v>
      </c>
      <c r="EC34">
        <f>IF(OR(ED34=0,ISNUMBER(MATCH(ED34,$ED$1:ED33,0))),0,MAX($EC$1:EC33)+1)</f>
        <v>0</v>
      </c>
      <c r="ED34">
        <f>IF(Tank4!$D$22="vapor oxidizer",IFERROR(VLOOKUP(Products!$A$79,Tank4!$A$32:$B$141,1,FALSE),0),0)</f>
        <v>0</v>
      </c>
      <c r="EE34">
        <f>IF($ED34=0,0,VLOOKUP($ED34,Tank4!$A$32:$H$141,7,FALSE))</f>
        <v>0</v>
      </c>
      <c r="EF34">
        <f>IF($ED34=0,0,VLOOKUP($ED34,Tank4!$A$32:$H$141,8,FALSE))</f>
        <v>0</v>
      </c>
      <c r="EK34">
        <f>IF(OR(EL34=0,ISNUMBER(MATCH(EL34,$EL$1:EL33,0))),0,MAX($EK$1:EK33)+1)</f>
        <v>0</v>
      </c>
      <c r="EL34">
        <f>IF(Tank4!$D$22="CAS",IFERROR(VLOOKUP(Products!A79,Tank4!$A$32:$B$141,1,FALSE),0),0)</f>
        <v>0</v>
      </c>
      <c r="EM34">
        <f>IF($EL34=0,0,VLOOKUP($EL34,Tank4!$A$32:$H$141,7,FALSE))</f>
        <v>0</v>
      </c>
      <c r="EN34">
        <f>IF($EL34=0,0,VLOOKUP($EL34,Tank4!$A$32:$H$141,8,FALSE))</f>
        <v>0</v>
      </c>
      <c r="FB34" s="8" t="s">
        <v>421</v>
      </c>
      <c r="FC34" s="8" t="s">
        <v>422</v>
      </c>
      <c r="FD34" s="8">
        <v>8200</v>
      </c>
      <c r="FE34" s="8">
        <v>820</v>
      </c>
      <c r="FG34" s="360" t="str">
        <f t="shared" si="23"/>
        <v/>
      </c>
      <c r="FH34" s="155">
        <f>IF(Tank1!$D$22="NO CONTROL",_xlfn.MAXIFS(Tank1!$G$32:$G$141,Tank1!$E$32:$E$141,$FG34),0)*IFERROR($QR$3,0)</f>
        <v>0</v>
      </c>
      <c r="FI34" s="155">
        <f>_xlfn.MAXIFS(LandEmiss!$AF$20:$AF$119,LandEmiss!$AE$20:$AE$119,$FG34)*IFERROR($QR$3,0)</f>
        <v>0</v>
      </c>
      <c r="FJ34" s="155">
        <f>MAX(_xlfn.MAXIFS(LandEmiss!$CO$20:$CO$119,LandEmiss!$CN$20:$CN$119,$FG34),_xlfn.MAXIFS(LandEmiss!$EZ$9:$EZ$108,LandEmiss!$EY$9:$EY$108,$FG34))*IFERROR($QR$3,0)</f>
        <v>0</v>
      </c>
      <c r="FK34" s="155">
        <f>IF(Tank2!$D$22="NO CONTROL",_xlfn.MAXIFS(Tank2!$G$32:$G$141,Tank2!$E$32:$E$141,$FG34),0)*IFERROR($QR$4,0)</f>
        <v>0</v>
      </c>
      <c r="FL34" s="155">
        <f>_xlfn.MAXIFS(LandEmiss!$AG$20:$AG$119,LandEmiss!$AE$20:$AE$119,$FG34)*IFERROR($QR$4,0)</f>
        <v>0</v>
      </c>
      <c r="FM34" s="155">
        <f>MAX(_xlfn.MAXIFS(LandEmiss!$CP$20:$CP$119,LandEmiss!$CN$20:$CN$119,$FG34),_xlfn.MAXIFS(LandEmiss!$FA$9:$FA$108,LandEmiss!$EY$9:$EY$108,$FG34))*IFERROR($QR$4,0)</f>
        <v>0</v>
      </c>
      <c r="FN34" s="155">
        <f>IF(Tank3!$D$22="NO CONTROL",_xlfn.MAXIFS(Tank3!$G$32:$G$141,Tank3!$E$32:$E$141,$FG34),0)*IFERROR($QR$5,0)</f>
        <v>0</v>
      </c>
      <c r="FO34" s="155">
        <f>_xlfn.MAXIFS(LandEmiss!$AH$20:$AH$119,LandEmiss!$AE$20:$AE$119,$FG34)*IFERROR($QR$5,0)</f>
        <v>0</v>
      </c>
      <c r="FP34" s="155">
        <f>MAX(_xlfn.MAXIFS(LandEmiss!$CQ$20:$CQ$119,LandEmiss!$CN$20:$CN$119,$FG34),_xlfn.MAXIFS(LandEmiss!$FB$9:$FB$108,LandEmiss!$EY$9:$EY$108,$FG34))*IFERROR($QR$5,0)</f>
        <v>0</v>
      </c>
      <c r="FQ34" s="155">
        <f>IF(Tank4!$D$22="NO CONTROL",_xlfn.MAXIFS(Tank4!$G$32:$G$141,Tank4!$E$32:$E$141,$FG34),0)*IFERROR($QR$6,0)</f>
        <v>0</v>
      </c>
      <c r="FR34" s="155">
        <f>_xlfn.MAXIFS(LandEmiss!$AI$20:$AI$119,LandEmiss!$AE$20:$AE$119,$FG34)*IFERROR($QR$6,0)</f>
        <v>0</v>
      </c>
      <c r="FS34" s="155">
        <f>MAX(_xlfn.MAXIFS(LandEmiss!$CR$20:$CR$119,LandEmiss!$CN$20:$CN$119,$FG34),_xlfn.MAXIFS(LandEmiss!$FC$9:$FC$108,LandEmiss!$EY$9:$EY$108,$FG34))*IFERROR($QR$6,0)</f>
        <v>0</v>
      </c>
      <c r="FT34" s="155">
        <f>IF(Tank5!$D$22="NO CONTROL",_xlfn.MAXIFS(Tank5!$G$32:$G$141,Tank5!$E$32:$E$141,$FG34),0)*IFERROR($QR$7,0)</f>
        <v>0</v>
      </c>
      <c r="FU34" s="155">
        <f>_xlfn.MAXIFS(LandEmiss!$AJ$20:$AJ$119,LandEmiss!$AE$20:$AE$119,$FG34)*IFERROR($QR$7,0)</f>
        <v>0</v>
      </c>
      <c r="FV34" s="155">
        <f>MAX(_xlfn.MAXIFS(LandEmiss!$CS$20:$CS$119,LandEmiss!$CN$20:$CN$119,$FG34),_xlfn.MAXIFS(LandEmiss!$FD$9:$FD$108,LandEmiss!$EY$9:$EY$108,$FG34))*IFERROR($QR39,0)</f>
        <v>0</v>
      </c>
      <c r="FW34" s="155">
        <f>_xlfn.MAXIFS('Load-DrumTote'!$K$27:$K$136,'Load-DrumTote'!$F$27:$F$136,$FG34)*IFERROR($QR$8,0)</f>
        <v>0</v>
      </c>
      <c r="FX34" s="155">
        <f>_xlfn.MAXIFS('Load-Truck'!$K$27:$K$136,'Load-Truck'!$F$27:$F$136,$FG34)*IFERROR($QR$9,0)</f>
        <v>0</v>
      </c>
      <c r="FY34" s="155">
        <f>_xlfn.MAXIFS('Load-Rail'!$K$27:$K$136,'Load-Rail'!$F$27:$F$136,$FG34)*IFERROR($QR$10,0)</f>
        <v>0</v>
      </c>
      <c r="FZ34" s="155">
        <f>_xlfn.MAXIFS('Load-MarineBarge'!$K$27:$K$136,'Load-MarineBarge'!$F$27:$F$136,$FG34)*IFERROR($QR$11,0)</f>
        <v>0</v>
      </c>
      <c r="GA34" s="155">
        <f>_xlfn.MAXIFS('Load-MarineShip'!$K$27:$K$136,'Load-MarineShip'!$F$27:$F$136,$FG34)*IFERROR($QR$12,0)</f>
        <v>0</v>
      </c>
      <c r="GB34" s="313">
        <f>IF(OR(Flare!$D$24="fuel gas",Flare!$D$38="fuel gas"),SUMIF(Flare!$E$97:$E$106,$FG34,Flare!$F$97:$F$106),0)*IFERROR($QR$13,0)</f>
        <v>0</v>
      </c>
      <c r="GC34" s="313">
        <f>(_xlfn.MAXIFS(CtrlDevImpacts!$I$57:$I$156,CtrlDevImpacts!$H$57:$H$156,$FG34))*IFERROR($QR$13,0)</f>
        <v>0</v>
      </c>
      <c r="GD34" s="313">
        <f>(_xlfn.MAXIFS(Flare!$F$107:$F$216,Flare!$E$107:$E$216,$FG34)-_xlfn.MAXIFS(CtrlDevImpacts!$I$57:$I$156,CtrlDevImpacts!$H$57:$H$156,$FG34))*IFERROR($QR$13,0)</f>
        <v>0</v>
      </c>
      <c r="GE34" s="155">
        <f>_xlfn.MAXIFS(LandEmiss!$B$335:$B$434,LandEmiss!$A$335:$A$434,$FG34)*IFERROR($QR$13,0)</f>
        <v>0</v>
      </c>
      <c r="GF34" s="155">
        <f>(_xlfn.MAXIFS(LandEmiss!$BK$335:$BK$434,LandEmiss!$BJ$335:$BJ$434,$FG34)+_xlfn.MAXIFS(LandEmiss!$DV$323:$DV$422,LandEmiss!$DU$323:$DU$422,$FG34))*IFERROR($QR$13,0)</f>
        <v>0</v>
      </c>
      <c r="GG34" s="313">
        <f>IF(OR(VCU!$D$26="fuel gas",VCU!$D$42="fuel gas"),SUMIF(VCU!$E$120:$E$129,$FG34,VCU!$F$120:$F$129),0)*IFERROR($QR$14,0)</f>
        <v>0</v>
      </c>
      <c r="GH34" s="313">
        <f>(_xlfn.MAXIFS(CtrlDevImpacts!$X$57:$X$156,CtrlDevImpacts!$W$57:$W$156,$FG34))*IFERROR($QR$14,0)</f>
        <v>0</v>
      </c>
      <c r="GI34" s="313">
        <f>(_xlfn.MAXIFS(VCU!$F$130:$F$239,VCU!$E$130:$E$239,$FG34)-_xlfn.MAXIFS(CtrlDevImpacts!$X$57:$X$156,CtrlDevImpacts!$W$57:$W$156,$FG34))*IFERROR($QR$14,0)</f>
        <v>0</v>
      </c>
      <c r="GJ34" s="155">
        <f>_xlfn.MAXIFS(LandEmiss!$D$335:$D$434,LandEmiss!$A$335:$A$434,$FG34)*IFERROR($QR$14,0)</f>
        <v>0</v>
      </c>
      <c r="GK34" s="155">
        <f>(_xlfn.MAXIFS(LandEmiss!$BM$335:$BM$434,LandEmiss!$BJ$335:$BJ$434,$FG34)+_xlfn.MAXIFS(LandEmiss!$DX$323:$DX$422,LandEmiss!$DU$323:$DU$422,$FG34))*IFERROR($QR$14,0)</f>
        <v>0</v>
      </c>
      <c r="GL34" s="313">
        <f>IF(VaporOxidizer!D65="FUEL GAS",SUMIF(VaporOxidizer!$E$101:$E$110,$FG34,VaporOxidizer!$F$101:$F$110),0)*IFERROR($QR$15,0)</f>
        <v>0</v>
      </c>
      <c r="GM34" s="313">
        <f>(_xlfn.MAXIFS(CtrlDevImpacts!$AN$57:$AN$156,CtrlDevImpacts!$AM$57:$AM$156,$FG34))*IFERROR($QR$15,0)</f>
        <v>0</v>
      </c>
      <c r="GN34" s="313">
        <f>(_xlfn.MAXIFS(VaporOxidizer!$F$111:$F$220,VaporOxidizer!$E$111:$E$220,$FG34)-_xlfn.MAXIFS(CtrlDevImpacts!$AN$57:$AN$156,CtrlDevImpacts!$AM$57:$AM$156,$FG34))*IFERROR($QR$15,0)</f>
        <v>0</v>
      </c>
      <c r="GO34" s="155">
        <f>_xlfn.MAXIFS(LandEmiss!$F$335:$F$434,LandEmiss!$A$335:$A$434,$FG34)*IFERROR($QR$15,0)</f>
        <v>0</v>
      </c>
      <c r="GP34" s="155">
        <f>(_xlfn.MAXIFS(LandEmiss!$BK$335:$BK$434,LandEmiss!$BO$335:$BO$434,$FG34)+_xlfn.MAXIFS(LandEmiss!$DZ$323:$DZ$422,LandEmiss!$DU$323:$DU$422,$FG34))*IFERROR($QR$15,0)</f>
        <v>0</v>
      </c>
      <c r="GQ34" s="313">
        <f>_xlfn.MAXIFS(CtrlDevImpacts!$BD$57:$BD$156,CtrlDevImpacts!$BC$57:$BC$156,$FG34)*IFERROR(Hidden!$QR$16,0)</f>
        <v>0</v>
      </c>
      <c r="GR34" s="313">
        <f>(_xlfn.MAXIFS(CAS!$H$35:$H$144,CAS!$E$35:$E$144,$FG34)-_xlfn.MAXIFS(CtrlDevImpacts!$BD$57:$BD$156,CtrlDevImpacts!$BC$57:$BC$156,$FG34))*IFERROR(Hidden!$QR$16,0)</f>
        <v>0</v>
      </c>
      <c r="GS34" s="155">
        <f>_xlfn.MAXIFS(LandEmiss!$H$335:$H$434,LandEmiss!$A$335:$A$434,$FG34)*IFERROR($QR$27,0)</f>
        <v>0</v>
      </c>
      <c r="GT34" s="155">
        <f>(_xlfn.MAXIFS(LandEmiss!$BK$335:$BK$434,LandEmiss!$BQ$335:$BQ$434,$FG34)+_xlfn.MAXIFS(LandEmiss!$EB$323:$EB$422,LandEmiss!$DU$323:$DU$422,$FG34))*IFERROR($QR$27,0)</f>
        <v>0</v>
      </c>
      <c r="GU34" s="155">
        <f>_xlfn.MAXIFS(LandEmiss!$J$335:$J$434,LandEmiss!$A$335:$A$434,$FG34)*IFERROR($QR$26,0)</f>
        <v>0</v>
      </c>
      <c r="GV34" s="155">
        <f>(_xlfn.MAXIFS(LandEmiss!$BK$335:$BK$434,LandEmiss!$BS$335:$BS$434,$FG34)+_xlfn.MAXIFS(LandEmiss!$ED$323:$ED$422,LandEmiss!$DU$323:$DU$422,$FG34))*IFERROR($QR$26,0)</f>
        <v>0</v>
      </c>
      <c r="GW34" s="155">
        <f>_xlfn.MAXIFS(LandEmiss!$L$335:$L$434,LandEmiss!$A$335:$A$434,$FG34)*IFERROR($QR$25,0)</f>
        <v>0</v>
      </c>
      <c r="GX34" s="155">
        <f>(_xlfn.MAXIFS(LandEmiss!$BK$335:$BK$434,LandEmiss!$BU$335:$BU$434,$FG34)+_xlfn.MAXIFS(LandEmiss!$EF$323:$EF$422,LandEmiss!$DU$323:$DU$422,$FG34))*IFERROR($QR$25,0)</f>
        <v>0</v>
      </c>
      <c r="GY34" s="155">
        <v>0</v>
      </c>
      <c r="GZ34" s="155">
        <v>0</v>
      </c>
      <c r="HA34" s="155">
        <f>IF(OR(HeaterBoiler1!$E$26&lt;&gt;"fuel gas",HeaterBoiler1!$E$15&lt;&gt;"heater"),0,SUMIF(HeaterBoiler1!$A$54:$D$63,$FG34,HeaterBoiler1!$I$54:$I$63))*IFERROR($QR$19,0)</f>
        <v>0</v>
      </c>
      <c r="HB34" s="207">
        <f>IF(OR(HeaterBoiler2!$E$26&lt;&gt;"fuel gas",HeaterBoiler2!$E$15&lt;&gt;"heater"),0,SUMIF(HeaterBoiler2!$A$54:$D$63,$FG34,HeaterBoiler2!$I$54:$I$63))*IFERROR($QR$21,0)</f>
        <v>0</v>
      </c>
      <c r="HC34" s="155">
        <f>IF(OR(HeaterBoiler1!$E$26&lt;&gt;"fuel gas",HeaterBoiler1!$E$15&lt;&gt;"boiler"),0,SUMIF(HeaterBoiler1!$A$41:$A$50,$FG34,HeaterBoiler1!$F$41:$F$50))*IFERROR($QR$20,0)</f>
        <v>0</v>
      </c>
      <c r="HD34" s="207">
        <f>IF(OR(HeaterBoiler2!$E$26&lt;&gt;"fuel gas",HeaterBoiler2!$E$15&lt;&gt;"boiler"),0,SUMIF(HeaterBoiler2!$A$41:$A$50,$FG34,HeaterBoiler2!$F$41:$F$50))*IFERROR($QR$22,0)</f>
        <v>0</v>
      </c>
      <c r="HE34" s="155">
        <f>SUMIF(Fug!$A$96:$A$205,$FG34,Fug!$I$96:$I$205)*IFERROR(Hidden!$QR$23,0)</f>
        <v>0</v>
      </c>
      <c r="HF34" s="155">
        <f t="shared" si="24"/>
        <v>0</v>
      </c>
      <c r="HG34" s="156">
        <f t="shared" si="25"/>
        <v>0</v>
      </c>
      <c r="HH34" s="156">
        <f t="shared" si="26"/>
        <v>0</v>
      </c>
      <c r="HI34" s="156">
        <f t="shared" si="27"/>
        <v>0</v>
      </c>
      <c r="HJ34" s="156">
        <f t="shared" si="28"/>
        <v>0</v>
      </c>
      <c r="HK34" s="156">
        <f t="shared" si="29"/>
        <v>0</v>
      </c>
      <c r="HL34" s="156">
        <f t="shared" si="30"/>
        <v>0</v>
      </c>
      <c r="NO34" s="155">
        <f>IF(Tank1!$D$22="No control",(SUMIF(Tank1!$E$32:$E$141,$FG34,Tank1!$H$32:$H$141)*(2000/8760)*IFERROR($QV$3,0)),0)</f>
        <v>0</v>
      </c>
      <c r="NP34" s="156">
        <f>SUMIF(LandEmiss!$AE$20:$AE$119,$FG34,LandEmiss!$AK$20:$AK$119)*(2000/8760)*IFERROR($QV$3,0)</f>
        <v>0</v>
      </c>
      <c r="NQ34" s="156">
        <f>(SUMIF(LandEmiss!$CN$20:$CN$119,$FG34,LandEmiss!$CT$20:$CT$119)+SUMIF(LandEmiss!$EY$9:$EY$108,$FG34,LandEmiss!$FE$9:$FE$108))*IFERROR($QV$3,0)*(2000/8760)</f>
        <v>0</v>
      </c>
      <c r="NR34" s="155">
        <f>IF(Tank2!$D$22="No control",(SUMIF(Tank2!$E$32:$E$141,$FG34,Tank2!$H$32:$H$141)*(2000/8760)*IFERROR($QV$4,0)),0)</f>
        <v>0</v>
      </c>
      <c r="NS34" s="156">
        <f>SUMIF(LandEmiss!$AE$20:$AE$119,$FG34,LandEmiss!$AL$20:$AL$119)*(2000/8760)*IFERROR($QV$4,0)</f>
        <v>0</v>
      </c>
      <c r="NT34" s="156">
        <f>(SUMIF(LandEmiss!$CN$20:$CN$119,$FG34,LandEmiss!$CU$20:$CU$119)+SUMIF(LandEmiss!$EY$9:$EY$108,$FG34,LandEmiss!$FF$9:$FF$108))*IFERROR($QV$4,0)*(2000/8760)</f>
        <v>0</v>
      </c>
      <c r="NU34" s="155">
        <f>IF(Tank3!$D$22="No control",(SUMIF(Tank3!$E$32:$E$141,$FG34,Tank3!$H$32:$H$141)*(2000/8760)*IFERROR($QV$5,0)),0)</f>
        <v>0</v>
      </c>
      <c r="NV34" s="156">
        <f>SUMIF(LandEmiss!$AE$20:$AE$119,$FG34,LandEmiss!$AM$20:$AM$119)*(2000/8760)*IFERROR($QV$5,0)</f>
        <v>0</v>
      </c>
      <c r="NW34" s="156">
        <f>(SUMIF(LandEmiss!$CN$20:$CN$119,$FG34,LandEmiss!$CV$20:$CV$119)+SUMIF(LandEmiss!$EY$9:$EY$108,$FG34,LandEmiss!$FG$9:$FG$108))*IFERROR($QV$5,0)*(2000/8760)</f>
        <v>0</v>
      </c>
      <c r="NX34" s="155">
        <f>IF(Tank4!$D$22="No control",(SUMIF(Tank4!$E$32:$E$141,$FG34,Tank4!$H$32:$H$141)*(2000/8760)*IFERROR($QV$6,0)),0)</f>
        <v>0</v>
      </c>
      <c r="NY34" s="156">
        <f>SUMIF(LandEmiss!$AE$20:$AE$119,$FG34,LandEmiss!$AN$20:$AN$119)*(2000/8760)*IFERROR($QV$6,0)</f>
        <v>0</v>
      </c>
      <c r="NZ34" s="156">
        <f>(SUMIF(LandEmiss!$CN$20:$CN$119,$FG34,LandEmiss!$CW$20:$CW$119)+SUMIF(LandEmiss!$EY$9:$EY$108,$FG34,LandEmiss!$FH$9:$FH$108))*IFERROR($QV$6,0)*(2000/8760)</f>
        <v>0</v>
      </c>
      <c r="OA34" s="155">
        <f>IF(Tank5!$D$22="No control",(SUMIF(Tank5!$E$32:$E$141,$FG34,Tank5!$H$32:$H$141)*(2000/8760)*IFERROR($QV$7,0)),0)</f>
        <v>0</v>
      </c>
      <c r="OB34" s="156">
        <f>SUMIF(LandEmiss!$AE$20:$AE$119,$FG34,LandEmiss!$AO$20:$AO$119)*(2000/8760)*IFERROR($QV$7,0)</f>
        <v>0</v>
      </c>
      <c r="OC34" s="156">
        <f>(SUMIF(LandEmiss!$CN$20:$CN$119,$FG34,LandEmiss!$CX$20:$CX$119)+SUMIF(LandEmiss!$EY$9:$EY$108,$FG34,LandEmiss!$FI$9:$FI$108))*IFERROR($QV$7,0)*(2000/8760)</f>
        <v>0</v>
      </c>
      <c r="OD34" s="155">
        <f>SUMIFS('Load-DrumTote'!$L$27:$L$136,'Load-DrumTote'!$F$27:$F$136,$FG34)*IFERROR($QV$8,0)*(2000/8760)</f>
        <v>0</v>
      </c>
      <c r="OE34" s="155">
        <f>SUMIFS('Load-Truck'!$L$27:$L$136,'Load-Truck'!$F$27:$F$136,$FG34)*IFERROR($QV$9,0)*(2000/8760)</f>
        <v>0</v>
      </c>
      <c r="OF34" s="155">
        <f>SUMIFS('Load-Rail'!$L$27:$L$136,'Load-Rail'!$F$27:$F$136,$FG34)*IFERROR($QV$10,0)*(2000/8760)</f>
        <v>0</v>
      </c>
      <c r="OG34" s="155">
        <f>SUMIFS('Load-MarineBarge'!$L$27:$L$136,'Load-MarineBarge'!$F$27:$F$136,$FG34)*IFERROR($QV$11,0)*(2000/8760)</f>
        <v>0</v>
      </c>
      <c r="OH34" s="155">
        <f>SUMIFS('Load-MarineShip'!$L$27:$L$136,'Load-MarineShip'!$F$27:$F$136,$FG34)*IFERROR($QV$12,0)*(2000/8760)</f>
        <v>0</v>
      </c>
      <c r="OI34" s="155">
        <f>(IF(OR(Flare!$D$24="FUEL GAS",Flare!$D$38="FUEL GAS"),SUMIF(Flare!$E$97:$E$106,$FG34,Flare!$G$97:$G$105),0)+SUMIF(Flare!$E$107:$E$216,$FG34,Flare!$G$107:$G$216))*(2000/8730)*IFERROR($QV$13,0)</f>
        <v>0</v>
      </c>
      <c r="OJ34" s="155">
        <f>SUMIF(LandEmiss!$A$335:$A$434,$FG34,LandEmiss!$C$335:$C$434)*(2000/8760)*IFERROR($QV$13,0)</f>
        <v>0</v>
      </c>
      <c r="OK34" s="155">
        <f>(SUMIF(LandEmiss!$BJ$335:$BJ$434,$FG34,LandEmiss!$BL$335:$BL$434)+SUMIF(LandEmiss!$DU$323:$DU$422,$FG34,LandEmiss!$DW$323:$DW$422))*(2000/8760)*IFERROR($QV$13,0)</f>
        <v>0</v>
      </c>
      <c r="OL34" s="155">
        <f>(IF(OR(VCU!$D$26="FUEL GAS",VCU!$D$42="FUEL GAS"),SUMIF(VCU!$E$120:$E$129,$FG34,VCU!$G$120:$G$129),0)+SUMIF(VCU!$E$130:$E$239,$FG34,VCU!G162:G271))*(2000/8760)*IFERROR($QV$14,0)</f>
        <v>0</v>
      </c>
      <c r="OM34" s="155">
        <f>SUMIF(LandEmiss!$A$335:$A$434,$FG34,LandEmiss!$E$335:$E$434)*(2000/8760)*IFERROR($QV$14,0)</f>
        <v>0</v>
      </c>
      <c r="ON34" s="155">
        <f>(SUMIF(LandEmiss!$BJ$335:$BJ$434,$FG34,LandEmiss!$BN$335:$BN$434)+SUMIF(LandEmiss!$DU$323:$DU$422,$FG34,LandEmiss!$DY$323:$DY$422))*(2000/8760)*IFERROR($QV$14,0)</f>
        <v>0</v>
      </c>
      <c r="OO34" s="155">
        <f>(IF(VaporOxidizer!$D$33="FUEL GAS",SUMIF(VaporOxidizer!$E$101:$E$110,$FG34,VaporOxidizer!$G$101:$G$110),0)+SUMIF(VaporOxidizer!$E$111:$E$220,$FG34,VaporOxidizer!$G$111:$G$220))*(2000/8760)*IFERROR($QV$15,0)</f>
        <v>0</v>
      </c>
      <c r="OP34" s="155">
        <f>SUMIF(LandEmiss!$A$335:$A$434,$FG34,LandEmiss!$G$335:$G$434)*(2000/8760)*IFERROR($QV$15,0)</f>
        <v>0</v>
      </c>
      <c r="OQ34" s="155">
        <f>(SUMIF(LandEmiss!$BJ$335:$BJ$434,$FG34,LandEmiss!$BP$335:$BP$434)+SUMIF(LandEmiss!$DU$323:$DU$422,$FG34,LandEmiss!$EA$323:$EA$422))*(2000/8760)*IFERROR($QV$15,0)</f>
        <v>0</v>
      </c>
      <c r="OR34" s="155">
        <f>SUMIF(CAS!$E$35:$E$144,Hidden!$FG34,CAS!$I$35:$I$144)*IFERROR($QV$16,0)*(2000/8760)</f>
        <v>0</v>
      </c>
      <c r="OS34" s="155">
        <f>SUMIF(LandEmiss!$A$335:$A$434,$FG34,LandEmiss!$I$335:$I$434)*(2000/8760)*IFERROR($QV$27,0)</f>
        <v>0</v>
      </c>
      <c r="OT34" s="155">
        <f>(SUMIF(LandEmiss!$BJ$335:$BJ$434,$FG34,LandEmiss!$BR$335:$BR$434)+SUMIF(LandEmiss!$DU$323:$DU$422,$FG34,LandEmiss!$EC$323:$EC$422))*(2000/8760)*IFERROR($QV$27,0)</f>
        <v>0</v>
      </c>
      <c r="OU34" s="155">
        <f>SUMIF(LandEmiss!$A$335:$A$434,$FG34,LandEmiss!$K$335:$K$434)*(2000/8760)*IFERROR($QV$26,0)</f>
        <v>0</v>
      </c>
      <c r="OV34" s="155">
        <f>(SUMIF(LandEmiss!$BJ$335:$BJ$434,$FG34,LandEmiss!$BT$335:$BT$434)+SUMIF(LandEmiss!$DU$323:$DU$422,$FG34,LandEmiss!$EE$323:$EE$422))*(2000/8760)*IFERROR($QV$26,0)</f>
        <v>0</v>
      </c>
      <c r="OW34" s="155">
        <f>SUMIF(LandEmiss!$A$335:$A$434,$FG34,LandEmiss!$M$335:$M$434)*(2000/8760)*IFERROR($QV$25,0)</f>
        <v>0</v>
      </c>
      <c r="OX34" s="155">
        <f>(SUMIF(LandEmiss!$BJ$335:$BJ$434,$FG34,LandEmiss!$BV$335:$BV$434)+SUMIF(LandEmiss!$DU$323:$DU$422,$FG34,LandEmiss!$EG$323:$EG$422))*(2000/8760)*IFERROR($QV$25,0)</f>
        <v>0</v>
      </c>
      <c r="OY34" s="8">
        <v>0</v>
      </c>
      <c r="OZ34" s="207">
        <v>0</v>
      </c>
      <c r="PA34" s="207">
        <f>IF(OR(HeaterBoiler1!$E$26&lt;&gt;"fuel gas",HeaterBoiler1!$E$15&lt;&gt;"heater"),0,(SUMIF(HeaterBoiler1!$A$54:$D$63,$FG34,HeaterBoiler1!$J$54:$J$63))*(2000/8760))*IFERROR($QV$19,0)</f>
        <v>0</v>
      </c>
      <c r="PB34" s="207">
        <f>IF(OR(HeaterBoiler2!$E$26&lt;&gt;"fuel gas",HeaterBoiler2!$E$15&lt;&gt;"heater"),0,(SUMIF(HeaterBoiler2!$A$54:$D$63,$FG34,HeaterBoiler2!$J$54:$J$63))*(2000/8760))*IFERROR($QV$21,0)</f>
        <v>0</v>
      </c>
      <c r="PC34" s="207">
        <f>IF(OR(HeaterBoiler1!$E$26&lt;&gt;"fuel gas",HeaterBoiler1!$E$15&lt;&gt;"boiler"),0,(SUMIF(HeaterBoiler1!$A$54:$D$63,$FG34,HeaterBoiler1!$J$54:$J$63))*(2000/8760))*IFERROR($QV$20,0)</f>
        <v>0</v>
      </c>
      <c r="PD34" s="207">
        <f>IF(OR(HeaterBoiler2!$E$26&lt;&gt;"fuel gas",HeaterBoiler2!$E$15&lt;&gt;"boiler"),0,(SUMIF(HeaterBoiler2!$A$54:$D$63,$FG34,HeaterBoiler2!$J$54:$J$63))*(2000/8760))*IFERROR($QV$22,0)</f>
        <v>0</v>
      </c>
      <c r="PE34" s="8">
        <f>(SUMIF(Fug!$A$96:$A$205,$FG34,Fug!$J$96:$J$205))*IFERROR($QV$23,0)*(2000/8760)</f>
        <v>0</v>
      </c>
      <c r="PF34" s="8">
        <f t="shared" si="31"/>
        <v>0</v>
      </c>
      <c r="PG34" s="156">
        <f t="shared" si="32"/>
        <v>0</v>
      </c>
      <c r="PJ34" s="52" t="str">
        <f>IF(OR(Fug!F16="ethylene oxide w/MID",Fug!F16="phosgene w/MID",Fug!F16="butadiene w/MID"),"",IF(Fug!$F$16=Hidden!$PP$2,"Relief Valves","Agitators"))</f>
        <v>Agitators</v>
      </c>
      <c r="PK34" s="52" t="str">
        <f>IF(OR(Fug!F16="ethylene oxide w/MID",Fug!F16="phosgene w/MID",Fug!F16="butadiene w/MID"),"",IF(Fug!$F$16=Hidden!$PP$2,"Water/Light Oil","All"))</f>
        <v>All</v>
      </c>
      <c r="PL34" s="52">
        <v>4.3900000000000002E-2</v>
      </c>
      <c r="PM34" s="52">
        <v>3.8600000000000002E-2</v>
      </c>
      <c r="PN34" s="52">
        <v>0.14399999999999999</v>
      </c>
      <c r="PO34" s="52">
        <v>4.1000000000000003E-3</v>
      </c>
      <c r="PP34" s="52">
        <v>3.09E-2</v>
      </c>
      <c r="PQ34" s="52"/>
      <c r="PR34" s="52"/>
      <c r="PS34" s="52"/>
      <c r="PT34" s="52" t="s">
        <v>8790</v>
      </c>
      <c r="PU34" s="52" t="s">
        <v>8776</v>
      </c>
      <c r="PV34" s="52">
        <v>0</v>
      </c>
      <c r="PW34" s="52">
        <v>0</v>
      </c>
      <c r="PX34" s="52">
        <v>0</v>
      </c>
      <c r="PY34" s="52">
        <v>0</v>
      </c>
      <c r="PZ34" s="52">
        <v>0</v>
      </c>
      <c r="QA34" s="52">
        <v>0</v>
      </c>
      <c r="QB34" s="52" t="s">
        <v>9352</v>
      </c>
      <c r="QC34" s="52" t="s">
        <v>8778</v>
      </c>
      <c r="QD34" s="52">
        <v>0</v>
      </c>
      <c r="QE34" s="52">
        <v>0.85</v>
      </c>
      <c r="QF34" s="52">
        <v>0.93</v>
      </c>
      <c r="QG34" s="52">
        <v>0.93</v>
      </c>
      <c r="QH34" s="52">
        <v>0</v>
      </c>
      <c r="QI34" s="52">
        <v>0.93</v>
      </c>
      <c r="QX34" s="89"/>
      <c r="QY34" t="s">
        <v>9308</v>
      </c>
      <c r="QZ34" t="s">
        <v>9308</v>
      </c>
      <c r="RA34" t="s">
        <v>9308</v>
      </c>
      <c r="RB34" t="s">
        <v>9308</v>
      </c>
      <c r="RC34" t="s">
        <v>9308</v>
      </c>
      <c r="RD34" t="s">
        <v>9308</v>
      </c>
      <c r="RE34" t="s">
        <v>9308</v>
      </c>
      <c r="RF34" t="s">
        <v>9308</v>
      </c>
      <c r="RG34" s="90" t="s">
        <v>9308</v>
      </c>
      <c r="RH34" s="89"/>
      <c r="RI34" t="s">
        <v>9309</v>
      </c>
      <c r="RJ34" t="s">
        <v>9309</v>
      </c>
      <c r="RK34" t="s">
        <v>9309</v>
      </c>
      <c r="RL34" t="s">
        <v>9309</v>
      </c>
      <c r="RM34" t="s">
        <v>9309</v>
      </c>
      <c r="RN34" t="s">
        <v>9309</v>
      </c>
      <c r="RO34" t="s">
        <v>9309</v>
      </c>
      <c r="RP34" t="s">
        <v>9309</v>
      </c>
      <c r="RQ34" s="90" t="s">
        <v>9309</v>
      </c>
      <c r="RR34" s="89"/>
      <c r="RS34" t="s">
        <v>9310</v>
      </c>
      <c r="RT34" t="s">
        <v>9310</v>
      </c>
      <c r="RU34" t="s">
        <v>9310</v>
      </c>
      <c r="RV34" t="s">
        <v>9310</v>
      </c>
      <c r="RW34" t="s">
        <v>9310</v>
      </c>
      <c r="RX34" t="s">
        <v>9310</v>
      </c>
      <c r="RY34" t="s">
        <v>9310</v>
      </c>
      <c r="RZ34" t="s">
        <v>9310</v>
      </c>
      <c r="SA34" s="90" t="s">
        <v>9310</v>
      </c>
      <c r="SB34" s="89"/>
      <c r="SC34" t="s">
        <v>9311</v>
      </c>
      <c r="SD34" t="s">
        <v>9311</v>
      </c>
      <c r="SE34" t="s">
        <v>9311</v>
      </c>
      <c r="SF34" t="s">
        <v>9311</v>
      </c>
      <c r="SG34" t="s">
        <v>9311</v>
      </c>
      <c r="SH34" t="s">
        <v>9311</v>
      </c>
      <c r="SI34" t="s">
        <v>9311</v>
      </c>
      <c r="SJ34" t="s">
        <v>9311</v>
      </c>
      <c r="SK34" s="90" t="s">
        <v>9311</v>
      </c>
      <c r="SL34" s="89"/>
      <c r="SM34" t="s">
        <v>9312</v>
      </c>
      <c r="SN34" t="s">
        <v>9312</v>
      </c>
      <c r="SO34" t="s">
        <v>9312</v>
      </c>
      <c r="SP34" t="s">
        <v>9312</v>
      </c>
      <c r="SQ34" t="s">
        <v>9312</v>
      </c>
      <c r="SR34" t="s">
        <v>9312</v>
      </c>
      <c r="SS34" t="s">
        <v>9312</v>
      </c>
      <c r="ST34" t="s">
        <v>9312</v>
      </c>
      <c r="SU34" s="90" t="s">
        <v>9312</v>
      </c>
      <c r="TI34" s="253" t="s">
        <v>326</v>
      </c>
      <c r="TJ34" s="259" t="str">
        <f>IF(OR(TJ27="Vent to a control and meet the specific control device requirements. Fixed roof with submerged fill. Uninsulated exterior surfaces exposed to the sun shall be white or aluminum.",TJ27="Vent to a control and meet the specific control device requirements."),"Yes","No")</f>
        <v>No</v>
      </c>
      <c r="TK34" s="259" t="str">
        <f>IF(OR(TJ27="White or aluminum uninsulated exterior surface exposed to the sun. Slotted guide pole fittings must have a gasketed cover, and at least 2 of the following: wiper, float, or sleeve.",TJ27="White or aluminum uninsulated exterior surface exposed to the sun."),"Yes","No")</f>
        <v>No</v>
      </c>
    </row>
    <row r="35" spans="1:533" ht="74.25" customHeight="1" x14ac:dyDescent="0.2">
      <c r="A35" s="8" t="s">
        <v>212</v>
      </c>
      <c r="B35" s="8">
        <v>14</v>
      </c>
      <c r="W35">
        <f>IF(OR(X35=0,ISNUMBER(MATCH(X35,$X$1:X34,0))),0,MAX($W$1:W34)+1)</f>
        <v>0</v>
      </c>
      <c r="X35" s="123">
        <f>Products!$E82</f>
        <v>0</v>
      </c>
      <c r="Y35" t="str">
        <f t="shared" si="39"/>
        <v/>
      </c>
      <c r="CA35">
        <f>IF(OR(CB35=0,ISNUMBER(MATCH(CB35,$CB$1:CB34,0))),0,MAX($CA$1:CA34)+1)</f>
        <v>0</v>
      </c>
      <c r="CB35" s="8">
        <f>IF(OR(Tank1!$D$18="EXTERNAL FLOATING ROOF",Tank1!$D$18="INTERNAL FLOATING ROOF"),IF(Tank1!$E65="",0,Tank1!$E65),0)</f>
        <v>0</v>
      </c>
      <c r="CC35" s="8" t="str">
        <f t="shared" si="40"/>
        <v/>
      </c>
      <c r="CD35" s="8"/>
      <c r="CE35" s="8">
        <f>IF(OR(CF35=0,ISNUMBER(MATCH(CF35,$CF$1:CF34,0))),0,MAX($CE$1:CE34)+1)</f>
        <v>0</v>
      </c>
      <c r="CF35" s="8">
        <f>IF(OR(Tank1!$D$18="HORIZONTAL FIXED ROOF",Tank1!$D$18="VERTICAL FIXED ROOF"),IF(Tank1!$E65="",0,Tank1!$E65),0)</f>
        <v>0</v>
      </c>
      <c r="CG35" s="8" t="str">
        <f t="shared" si="41"/>
        <v/>
      </c>
      <c r="CJ35">
        <f>IF(OR(CK35=0,ISNUMBER(MATCH(CK35,$CK$1:CK34,0))),0,MAX($CJ$1:CJ34)+1)</f>
        <v>0</v>
      </c>
      <c r="CK35">
        <f>Tank4!$A$65</f>
        <v>0</v>
      </c>
      <c r="CM35">
        <f>IFERROR(VLOOKUP($CK35,Tank4!$A$32:$D$141,3,FALSE),0)</f>
        <v>0</v>
      </c>
      <c r="CN35">
        <f>IFERROR(VLOOKUP($CK35,Tank4!$A$32:$D$141,4,FALSE),0)</f>
        <v>0</v>
      </c>
      <c r="DM35">
        <f>IF(OR(DN35=0,ISNUMBER(MATCH(DN35,$DN$1:DN34,0))),0,MAX($DM$1:DM34)+1)</f>
        <v>0</v>
      </c>
      <c r="DN35">
        <f>IF(Tank4!$D$22="Flare",IFERROR(VLOOKUP(Products!$A$89,Tank4!$A$32:$B$141,1,FALSE),0),0)</f>
        <v>0</v>
      </c>
      <c r="DO35">
        <f>IF($DN35=0,0,VLOOKUP($DN35,Tank4!$A$32:$H$141,7,FALSE))</f>
        <v>0</v>
      </c>
      <c r="DP35">
        <f>IF($DN35=0,0,VLOOKUP($DN35,Tank4!$A$32:$H$141,8,FALSE))</f>
        <v>0</v>
      </c>
      <c r="DU35">
        <f>IF(OR(DV35=0,ISNUMBER(MATCH(DV35,$DV$1:DV34,0))),0,MAX($DU$1:DU34)+1)</f>
        <v>0</v>
      </c>
      <c r="DV35">
        <f>IF(Tank4!$D$22="VCU",IFERROR(VLOOKUP(Products!$A$89,Tank4!$A$32:$B$141,1,FALSE),0),0)</f>
        <v>0</v>
      </c>
      <c r="DW35">
        <f>IF($DV35=0,0,VLOOKUP($DV35,Tank4!$A$32:$H$141,7,FALSE))</f>
        <v>0</v>
      </c>
      <c r="DX35">
        <f>IF($DV35=0,0,VLOOKUP($DV35,Tank4!$A$32:$H$141,8,FALSE))</f>
        <v>0</v>
      </c>
      <c r="EC35">
        <f>IF(OR(ED35=0,ISNUMBER(MATCH(ED35,$ED$1:ED34,0))),0,MAX($EC$1:EC34)+1)</f>
        <v>0</v>
      </c>
      <c r="ED35">
        <f>IF(Tank4!$D$22="vapor oxidizer",IFERROR(VLOOKUP(Products!$A$89,Tank4!$A$32:$B$141,1,FALSE),0),0)</f>
        <v>0</v>
      </c>
      <c r="EE35">
        <f>IF($ED35=0,0,VLOOKUP($ED35,Tank4!$A$32:$H$141,7,FALSE))</f>
        <v>0</v>
      </c>
      <c r="EF35">
        <f>IF($ED35=0,0,VLOOKUP($ED35,Tank4!$A$32:$H$141,8,FALSE))</f>
        <v>0</v>
      </c>
      <c r="EK35">
        <f>IF(OR(EL35=0,ISNUMBER(MATCH(EL35,$EL$1:EL34,0))),0,MAX($EK$1:EK34)+1)</f>
        <v>0</v>
      </c>
      <c r="EL35">
        <f>IF(Tank4!$D$22="CAS",IFERROR(VLOOKUP(Products!A89,Tank4!$A$32:$B$141,1,FALSE),0),0)</f>
        <v>0</v>
      </c>
      <c r="EM35">
        <f>IF($EL35=0,0,VLOOKUP($EL35,Tank4!$A$32:$H$141,7,FALSE))</f>
        <v>0</v>
      </c>
      <c r="EN35">
        <f>IF($EL35=0,0,VLOOKUP($EL35,Tank4!$A$32:$H$141,8,FALSE))</f>
        <v>0</v>
      </c>
      <c r="FB35" s="8" t="s">
        <v>423</v>
      </c>
      <c r="FC35" s="8" t="s">
        <v>424</v>
      </c>
      <c r="FD35" s="8">
        <v>5700</v>
      </c>
      <c r="FE35" s="8">
        <v>570</v>
      </c>
      <c r="FG35" s="360" t="str">
        <f t="shared" si="23"/>
        <v/>
      </c>
      <c r="FH35" s="155">
        <f>IF(Tank1!$D$22="NO CONTROL",_xlfn.MAXIFS(Tank1!$G$32:$G$141,Tank1!$E$32:$E$141,$FG35),0)*IFERROR($QR$3,0)</f>
        <v>0</v>
      </c>
      <c r="FI35" s="155">
        <f>_xlfn.MAXIFS(LandEmiss!$AF$20:$AF$119,LandEmiss!$AE$20:$AE$119,$FG35)*IFERROR($QR$3,0)</f>
        <v>0</v>
      </c>
      <c r="FJ35" s="155">
        <f>MAX(_xlfn.MAXIFS(LandEmiss!$CO$20:$CO$119,LandEmiss!$CN$20:$CN$119,$FG35),_xlfn.MAXIFS(LandEmiss!$EZ$9:$EZ$108,LandEmiss!$EY$9:$EY$108,$FG35))*IFERROR($QR$3,0)</f>
        <v>0</v>
      </c>
      <c r="FK35" s="155">
        <f>IF(Tank2!$D$22="NO CONTROL",_xlfn.MAXIFS(Tank2!$G$32:$G$141,Tank2!$E$32:$E$141,$FG35),0)*IFERROR($QR$4,0)</f>
        <v>0</v>
      </c>
      <c r="FL35" s="155">
        <f>_xlfn.MAXIFS(LandEmiss!$AG$20:$AG$119,LandEmiss!$AE$20:$AE$119,$FG35)*IFERROR($QR$4,0)</f>
        <v>0</v>
      </c>
      <c r="FM35" s="155">
        <f>MAX(_xlfn.MAXIFS(LandEmiss!$CP$20:$CP$119,LandEmiss!$CN$20:$CN$119,$FG35),_xlfn.MAXIFS(LandEmiss!$FA$9:$FA$108,LandEmiss!$EY$9:$EY$108,$FG35))*IFERROR($QR$4,0)</f>
        <v>0</v>
      </c>
      <c r="FN35" s="155">
        <f>IF(Tank3!$D$22="NO CONTROL",_xlfn.MAXIFS(Tank3!$G$32:$G$141,Tank3!$E$32:$E$141,$FG35),0)*IFERROR($QR$5,0)</f>
        <v>0</v>
      </c>
      <c r="FO35" s="155">
        <f>_xlfn.MAXIFS(LandEmiss!$AH$20:$AH$119,LandEmiss!$AE$20:$AE$119,$FG35)*IFERROR($QR$5,0)</f>
        <v>0</v>
      </c>
      <c r="FP35" s="155">
        <f>MAX(_xlfn.MAXIFS(LandEmiss!$CQ$20:$CQ$119,LandEmiss!$CN$20:$CN$119,$FG35),_xlfn.MAXIFS(LandEmiss!$FB$9:$FB$108,LandEmiss!$EY$9:$EY$108,$FG35))*IFERROR($QR$5,0)</f>
        <v>0</v>
      </c>
      <c r="FQ35" s="155">
        <f>IF(Tank4!$D$22="NO CONTROL",_xlfn.MAXIFS(Tank4!$G$32:$G$141,Tank4!$E$32:$E$141,$FG35),0)*IFERROR($QR$6,0)</f>
        <v>0</v>
      </c>
      <c r="FR35" s="155">
        <f>_xlfn.MAXIFS(LandEmiss!$AI$20:$AI$119,LandEmiss!$AE$20:$AE$119,$FG35)*IFERROR($QR$6,0)</f>
        <v>0</v>
      </c>
      <c r="FS35" s="155">
        <f>MAX(_xlfn.MAXIFS(LandEmiss!$CR$20:$CR$119,LandEmiss!$CN$20:$CN$119,$FG35),_xlfn.MAXIFS(LandEmiss!$FC$9:$FC$108,LandEmiss!$EY$9:$EY$108,$FG35))*IFERROR($QR$6,0)</f>
        <v>0</v>
      </c>
      <c r="FT35" s="155">
        <f>IF(Tank5!$D$22="NO CONTROL",_xlfn.MAXIFS(Tank5!$G$32:$G$141,Tank5!$E$32:$E$141,$FG35),0)*IFERROR($QR$7,0)</f>
        <v>0</v>
      </c>
      <c r="FU35" s="155">
        <f>_xlfn.MAXIFS(LandEmiss!$AJ$20:$AJ$119,LandEmiss!$AE$20:$AE$119,$FG35)*IFERROR($QR$7,0)</f>
        <v>0</v>
      </c>
      <c r="FV35" s="155">
        <f>MAX(_xlfn.MAXIFS(LandEmiss!$CS$20:$CS$119,LandEmiss!$CN$20:$CN$119,$FG35),_xlfn.MAXIFS(LandEmiss!$FD$9:$FD$108,LandEmiss!$EY$9:$EY$108,$FG35))*IFERROR($QR40,0)</f>
        <v>0</v>
      </c>
      <c r="FW35" s="155">
        <f>_xlfn.MAXIFS('Load-DrumTote'!$K$27:$K$136,'Load-DrumTote'!$F$27:$F$136,$FG35)*IFERROR($QR$8,0)</f>
        <v>0</v>
      </c>
      <c r="FX35" s="155">
        <f>_xlfn.MAXIFS('Load-Truck'!$K$27:$K$136,'Load-Truck'!$F$27:$F$136,$FG35)*IFERROR($QR$9,0)</f>
        <v>0</v>
      </c>
      <c r="FY35" s="155">
        <f>_xlfn.MAXIFS('Load-Rail'!$K$27:$K$136,'Load-Rail'!$F$27:$F$136,$FG35)*IFERROR($QR$10,0)</f>
        <v>0</v>
      </c>
      <c r="FZ35" s="155">
        <f>_xlfn.MAXIFS('Load-MarineBarge'!$K$27:$K$136,'Load-MarineBarge'!$F$27:$F$136,$FG35)*IFERROR($QR$11,0)</f>
        <v>0</v>
      </c>
      <c r="GA35" s="155">
        <f>_xlfn.MAXIFS('Load-MarineShip'!$K$27:$K$136,'Load-MarineShip'!$F$27:$F$136,$FG35)*IFERROR($QR$12,0)</f>
        <v>0</v>
      </c>
      <c r="GB35" s="313">
        <f>IF(OR(Flare!$D$24="fuel gas",Flare!$D$38="fuel gas"),SUMIF(Flare!$E$97:$E$106,$FG35,Flare!$F$97:$F$106),0)*IFERROR($QR$13,0)</f>
        <v>0</v>
      </c>
      <c r="GC35" s="313">
        <f>(_xlfn.MAXIFS(CtrlDevImpacts!$I$57:$I$156,CtrlDevImpacts!$H$57:$H$156,$FG35))*IFERROR($QR$13,0)</f>
        <v>0</v>
      </c>
      <c r="GD35" s="313">
        <f>(_xlfn.MAXIFS(Flare!$F$107:$F$216,Flare!$E$107:$E$216,$FG35)-_xlfn.MAXIFS(CtrlDevImpacts!$I$57:$I$156,CtrlDevImpacts!$H$57:$H$156,$FG35))*IFERROR($QR$13,0)</f>
        <v>0</v>
      </c>
      <c r="GE35" s="155">
        <f>_xlfn.MAXIFS(LandEmiss!$B$335:$B$434,LandEmiss!$A$335:$A$434,$FG35)*IFERROR($QR$13,0)</f>
        <v>0</v>
      </c>
      <c r="GF35" s="155">
        <f>(_xlfn.MAXIFS(LandEmiss!$BK$335:$BK$434,LandEmiss!$BJ$335:$BJ$434,$FG35)+_xlfn.MAXIFS(LandEmiss!$DV$323:$DV$422,LandEmiss!$DU$323:$DU$422,$FG35))*IFERROR($QR$13,0)</f>
        <v>0</v>
      </c>
      <c r="GG35" s="313">
        <f>IF(OR(VCU!$D$26="fuel gas",VCU!$D$42="fuel gas"),SUMIF(VCU!$E$120:$E$129,$FG35,VCU!$F$120:$F$129),0)*IFERROR($QR$14,0)</f>
        <v>0</v>
      </c>
      <c r="GH35" s="313">
        <f>(_xlfn.MAXIFS(CtrlDevImpacts!$X$57:$X$156,CtrlDevImpacts!$W$57:$W$156,$FG35))*IFERROR($QR$14,0)</f>
        <v>0</v>
      </c>
      <c r="GI35" s="313">
        <f>(_xlfn.MAXIFS(VCU!$F$130:$F$239,VCU!$E$130:$E$239,$FG35)-_xlfn.MAXIFS(CtrlDevImpacts!$X$57:$X$156,CtrlDevImpacts!$W$57:$W$156,$FG35))*IFERROR($QR$14,0)</f>
        <v>0</v>
      </c>
      <c r="GJ35" s="155">
        <f>_xlfn.MAXIFS(LandEmiss!$D$335:$D$434,LandEmiss!$A$335:$A$434,$FG35)*IFERROR($QR$14,0)</f>
        <v>0</v>
      </c>
      <c r="GK35" s="155">
        <f>(_xlfn.MAXIFS(LandEmiss!$BM$335:$BM$434,LandEmiss!$BJ$335:$BJ$434,$FG35)+_xlfn.MAXIFS(LandEmiss!$DX$323:$DX$422,LandEmiss!$DU$323:$DU$422,$FG35))*IFERROR($QR$14,0)</f>
        <v>0</v>
      </c>
      <c r="GL35" s="313">
        <f>IF(VaporOxidizer!D66="FUEL GAS",SUMIF(VaporOxidizer!$E$101:$E$110,$FG35,VaporOxidizer!$F$101:$F$110),0)*IFERROR($QR$15,0)</f>
        <v>0</v>
      </c>
      <c r="GM35" s="313">
        <f>(_xlfn.MAXIFS(CtrlDevImpacts!$AN$57:$AN$156,CtrlDevImpacts!$AM$57:$AM$156,$FG35))*IFERROR($QR$15,0)</f>
        <v>0</v>
      </c>
      <c r="GN35" s="313">
        <f>(_xlfn.MAXIFS(VaporOxidizer!$F$111:$F$220,VaporOxidizer!$E$111:$E$220,$FG35)-_xlfn.MAXIFS(CtrlDevImpacts!$AN$57:$AN$156,CtrlDevImpacts!$AM$57:$AM$156,$FG35))*IFERROR($QR$15,0)</f>
        <v>0</v>
      </c>
      <c r="GO35" s="155">
        <f>_xlfn.MAXIFS(LandEmiss!$F$335:$F$434,LandEmiss!$A$335:$A$434,$FG35)*IFERROR($QR$15,0)</f>
        <v>0</v>
      </c>
      <c r="GP35" s="155">
        <f>(_xlfn.MAXIFS(LandEmiss!$BK$335:$BK$434,LandEmiss!$BO$335:$BO$434,$FG35)+_xlfn.MAXIFS(LandEmiss!$DZ$323:$DZ$422,LandEmiss!$DU$323:$DU$422,$FG35))*IFERROR($QR$15,0)</f>
        <v>0</v>
      </c>
      <c r="GQ35" s="313">
        <f>_xlfn.MAXIFS(CtrlDevImpacts!$BD$57:$BD$156,CtrlDevImpacts!$BC$57:$BC$156,$FG35)*IFERROR(Hidden!$QR$16,0)</f>
        <v>0</v>
      </c>
      <c r="GR35" s="313">
        <f>(_xlfn.MAXIFS(CAS!$H$35:$H$144,CAS!$E$35:$E$144,$FG35)-_xlfn.MAXIFS(CtrlDevImpacts!$BD$57:$BD$156,CtrlDevImpacts!$BC$57:$BC$156,$FG35))*IFERROR(Hidden!$QR$16,0)</f>
        <v>0</v>
      </c>
      <c r="GS35" s="155">
        <f>_xlfn.MAXIFS(LandEmiss!$H$335:$H$434,LandEmiss!$A$335:$A$434,$FG35)*IFERROR($QR$27,0)</f>
        <v>0</v>
      </c>
      <c r="GT35" s="155">
        <f>(_xlfn.MAXIFS(LandEmiss!$BK$335:$BK$434,LandEmiss!$BQ$335:$BQ$434,$FG35)+_xlfn.MAXIFS(LandEmiss!$EB$323:$EB$422,LandEmiss!$DU$323:$DU$422,$FG35))*IFERROR($QR$27,0)</f>
        <v>0</v>
      </c>
      <c r="GU35" s="155">
        <f>_xlfn.MAXIFS(LandEmiss!$J$335:$J$434,LandEmiss!$A$335:$A$434,$FG35)*IFERROR($QR$26,0)</f>
        <v>0</v>
      </c>
      <c r="GV35" s="155">
        <f>(_xlfn.MAXIFS(LandEmiss!$BK$335:$BK$434,LandEmiss!$BS$335:$BS$434,$FG35)+_xlfn.MAXIFS(LandEmiss!$ED$323:$ED$422,LandEmiss!$DU$323:$DU$422,$FG35))*IFERROR($QR$26,0)</f>
        <v>0</v>
      </c>
      <c r="GW35" s="155">
        <f>_xlfn.MAXIFS(LandEmiss!$L$335:$L$434,LandEmiss!$A$335:$A$434,$FG35)*IFERROR($QR$25,0)</f>
        <v>0</v>
      </c>
      <c r="GX35" s="155">
        <f>(_xlfn.MAXIFS(LandEmiss!$BK$335:$BK$434,LandEmiss!$BU$335:$BU$434,$FG35)+_xlfn.MAXIFS(LandEmiss!$EF$323:$EF$422,LandEmiss!$DU$323:$DU$422,$FG35))*IFERROR($QR$25,0)</f>
        <v>0</v>
      </c>
      <c r="GY35" s="155">
        <v>0</v>
      </c>
      <c r="GZ35" s="155">
        <v>0</v>
      </c>
      <c r="HA35" s="155">
        <f>IF(OR(HeaterBoiler1!$E$26&lt;&gt;"fuel gas",HeaterBoiler1!$E$15&lt;&gt;"heater"),0,SUMIF(HeaterBoiler1!$A$54:$D$63,$FG35,HeaterBoiler1!$I$54:$I$63))*IFERROR($QR$19,0)</f>
        <v>0</v>
      </c>
      <c r="HB35" s="207">
        <f>IF(OR(HeaterBoiler2!$E$26&lt;&gt;"fuel gas",HeaterBoiler2!$E$15&lt;&gt;"heater"),0,SUMIF(HeaterBoiler2!$A$54:$D$63,$FG35,HeaterBoiler2!$I$54:$I$63))*IFERROR($QR$21,0)</f>
        <v>0</v>
      </c>
      <c r="HC35" s="155">
        <f>IF(OR(HeaterBoiler1!$E$26&lt;&gt;"fuel gas",HeaterBoiler1!$E$15&lt;&gt;"boiler"),0,SUMIF(HeaterBoiler1!$A$41:$A$50,$FG35,HeaterBoiler1!$F$41:$F$50))*IFERROR($QR$20,0)</f>
        <v>0</v>
      </c>
      <c r="HD35" s="207">
        <f>IF(OR(HeaterBoiler2!$E$26&lt;&gt;"fuel gas",HeaterBoiler2!$E$15&lt;&gt;"boiler"),0,SUMIF(HeaterBoiler2!$A$41:$A$50,$FG35,HeaterBoiler2!$F$41:$F$50))*IFERROR($QR$22,0)</f>
        <v>0</v>
      </c>
      <c r="HE35" s="155">
        <f>SUMIF(Fug!$A$96:$A$205,$FG35,Fug!$I$96:$I$205)*IFERROR(Hidden!$QR$23,0)</f>
        <v>0</v>
      </c>
      <c r="HF35" s="155">
        <f t="shared" si="24"/>
        <v>0</v>
      </c>
      <c r="HG35" s="156">
        <f t="shared" si="25"/>
        <v>0</v>
      </c>
      <c r="HH35" s="156">
        <f t="shared" si="26"/>
        <v>0</v>
      </c>
      <c r="HI35" s="156">
        <f t="shared" si="27"/>
        <v>0</v>
      </c>
      <c r="HJ35" s="156">
        <f t="shared" si="28"/>
        <v>0</v>
      </c>
      <c r="HK35" s="156">
        <f t="shared" si="29"/>
        <v>0</v>
      </c>
      <c r="HL35" s="156">
        <f t="shared" si="30"/>
        <v>0</v>
      </c>
      <c r="NO35" s="155">
        <f>IF(Tank1!$D$22="No control",(SUMIF(Tank1!$E$32:$E$141,$FG35,Tank1!$H$32:$H$141)*(2000/8760)*IFERROR($QV$3,0)),0)</f>
        <v>0</v>
      </c>
      <c r="NP35" s="156">
        <f>SUMIF(LandEmiss!$AE$20:$AE$119,$FG35,LandEmiss!$AK$20:$AK$119)*(2000/8760)*IFERROR($QV$3,0)</f>
        <v>0</v>
      </c>
      <c r="NQ35" s="156">
        <f>(SUMIF(LandEmiss!$CN$20:$CN$119,$FG35,LandEmiss!$CT$20:$CT$119)+SUMIF(LandEmiss!$EY$9:$EY$108,$FG35,LandEmiss!$FE$9:$FE$108))*IFERROR($QV$3,0)*(2000/8760)</f>
        <v>0</v>
      </c>
      <c r="NR35" s="155">
        <f>IF(Tank2!$D$22="No control",(SUMIF(Tank2!$E$32:$E$141,$FG35,Tank2!$H$32:$H$141)*(2000/8760)*IFERROR($QV$4,0)),0)</f>
        <v>0</v>
      </c>
      <c r="NS35" s="156">
        <f>SUMIF(LandEmiss!$AE$20:$AE$119,$FG35,LandEmiss!$AL$20:$AL$119)*(2000/8760)*IFERROR($QV$4,0)</f>
        <v>0</v>
      </c>
      <c r="NT35" s="156">
        <f>(SUMIF(LandEmiss!$CN$20:$CN$119,$FG35,LandEmiss!$CU$20:$CU$119)+SUMIF(LandEmiss!$EY$9:$EY$108,$FG35,LandEmiss!$FF$9:$FF$108))*IFERROR($QV$4,0)*(2000/8760)</f>
        <v>0</v>
      </c>
      <c r="NU35" s="155">
        <f>IF(Tank3!$D$22="No control",(SUMIF(Tank3!$E$32:$E$141,$FG35,Tank3!$H$32:$H$141)*(2000/8760)*IFERROR($QV$5,0)),0)</f>
        <v>0</v>
      </c>
      <c r="NV35" s="156">
        <f>SUMIF(LandEmiss!$AE$20:$AE$119,$FG35,LandEmiss!$AM$20:$AM$119)*(2000/8760)*IFERROR($QV$5,0)</f>
        <v>0</v>
      </c>
      <c r="NW35" s="156">
        <f>(SUMIF(LandEmiss!$CN$20:$CN$119,$FG35,LandEmiss!$CV$20:$CV$119)+SUMIF(LandEmiss!$EY$9:$EY$108,$FG35,LandEmiss!$FG$9:$FG$108))*IFERROR($QV$5,0)*(2000/8760)</f>
        <v>0</v>
      </c>
      <c r="NX35" s="155">
        <f>IF(Tank4!$D$22="No control",(SUMIF(Tank4!$E$32:$E$141,$FG35,Tank4!$H$32:$H$141)*(2000/8760)*IFERROR($QV$6,0)),0)</f>
        <v>0</v>
      </c>
      <c r="NY35" s="156">
        <f>SUMIF(LandEmiss!$AE$20:$AE$119,$FG35,LandEmiss!$AN$20:$AN$119)*(2000/8760)*IFERROR($QV$6,0)</f>
        <v>0</v>
      </c>
      <c r="NZ35" s="156">
        <f>(SUMIF(LandEmiss!$CN$20:$CN$119,$FG35,LandEmiss!$CW$20:$CW$119)+SUMIF(LandEmiss!$EY$9:$EY$108,$FG35,LandEmiss!$FH$9:$FH$108))*IFERROR($QV$6,0)*(2000/8760)</f>
        <v>0</v>
      </c>
      <c r="OA35" s="155">
        <f>IF(Tank5!$D$22="No control",(SUMIF(Tank5!$E$32:$E$141,$FG35,Tank5!$H$32:$H$141)*(2000/8760)*IFERROR($QV$7,0)),0)</f>
        <v>0</v>
      </c>
      <c r="OB35" s="156">
        <f>SUMIF(LandEmiss!$AE$20:$AE$119,$FG35,LandEmiss!$AO$20:$AO$119)*(2000/8760)*IFERROR($QV$7,0)</f>
        <v>0</v>
      </c>
      <c r="OC35" s="156">
        <f>(SUMIF(LandEmiss!$CN$20:$CN$119,$FG35,LandEmiss!$CX$20:$CX$119)+SUMIF(LandEmiss!$EY$9:$EY$108,$FG35,LandEmiss!$FI$9:$FI$108))*IFERROR($QV$7,0)*(2000/8760)</f>
        <v>0</v>
      </c>
      <c r="OD35" s="155">
        <f>SUMIFS('Load-DrumTote'!$L$27:$L$136,'Load-DrumTote'!$F$27:$F$136,$FG35)*IFERROR($QV$8,0)*(2000/8760)</f>
        <v>0</v>
      </c>
      <c r="OE35" s="155">
        <f>SUMIFS('Load-Truck'!$L$27:$L$136,'Load-Truck'!$F$27:$F$136,$FG35)*IFERROR($QV$9,0)*(2000/8760)</f>
        <v>0</v>
      </c>
      <c r="OF35" s="155">
        <f>SUMIFS('Load-Rail'!$L$27:$L$136,'Load-Rail'!$F$27:$F$136,$FG35)*IFERROR($QV$10,0)*(2000/8760)</f>
        <v>0</v>
      </c>
      <c r="OG35" s="155">
        <f>SUMIFS('Load-MarineBarge'!$L$27:$L$136,'Load-MarineBarge'!$F$27:$F$136,$FG35)*IFERROR($QV$11,0)*(2000/8760)</f>
        <v>0</v>
      </c>
      <c r="OH35" s="155">
        <f>SUMIFS('Load-MarineShip'!$L$27:$L$136,'Load-MarineShip'!$F$27:$F$136,$FG35)*IFERROR($QV$12,0)*(2000/8760)</f>
        <v>0</v>
      </c>
      <c r="OI35" s="155">
        <f>(IF(OR(Flare!$D$24="FUEL GAS",Flare!$D$38="FUEL GAS"),SUMIF(Flare!$E$97:$E$106,$FG35,Flare!$G$97:$G$105),0)+SUMIF(Flare!$E$107:$E$216,$FG35,Flare!$G$107:$G$216))*(2000/8730)*IFERROR($QV$13,0)</f>
        <v>0</v>
      </c>
      <c r="OJ35" s="155">
        <f>SUMIF(LandEmiss!$A$335:$A$434,$FG35,LandEmiss!$C$335:$C$434)*(2000/8760)*IFERROR($QV$13,0)</f>
        <v>0</v>
      </c>
      <c r="OK35" s="155">
        <f>(SUMIF(LandEmiss!$BJ$335:$BJ$434,$FG35,LandEmiss!$BL$335:$BL$434)+SUMIF(LandEmiss!$DU$323:$DU$422,$FG35,LandEmiss!$DW$323:$DW$422))*(2000/8760)*IFERROR($QV$13,0)</f>
        <v>0</v>
      </c>
      <c r="OL35" s="155">
        <f>(IF(OR(VCU!$D$26="FUEL GAS",VCU!$D$42="FUEL GAS"),SUMIF(VCU!$E$120:$E$129,$FG35,VCU!$G$120:$G$129),0)+SUMIF(VCU!$E$130:$E$239,$FG35,VCU!G163:G272))*(2000/8760)*IFERROR($QV$14,0)</f>
        <v>0</v>
      </c>
      <c r="OM35" s="155">
        <f>SUMIF(LandEmiss!$A$335:$A$434,$FG35,LandEmiss!$E$335:$E$434)*(2000/8760)*IFERROR($QV$14,0)</f>
        <v>0</v>
      </c>
      <c r="ON35" s="155">
        <f>(SUMIF(LandEmiss!$BJ$335:$BJ$434,$FG35,LandEmiss!$BN$335:$BN$434)+SUMIF(LandEmiss!$DU$323:$DU$422,$FG35,LandEmiss!$DY$323:$DY$422))*(2000/8760)*IFERROR($QV$14,0)</f>
        <v>0</v>
      </c>
      <c r="OO35" s="155">
        <f>(IF(VaporOxidizer!$D$33="FUEL GAS",SUMIF(VaporOxidizer!$E$101:$E$110,$FG35,VaporOxidizer!$G$101:$G$110),0)+SUMIF(VaporOxidizer!$E$111:$E$220,$FG35,VaporOxidizer!$G$111:$G$220))*(2000/8760)*IFERROR($QV$15,0)</f>
        <v>0</v>
      </c>
      <c r="OP35" s="155">
        <f>SUMIF(LandEmiss!$A$335:$A$434,$FG35,LandEmiss!$G$335:$G$434)*(2000/8760)*IFERROR($QV$15,0)</f>
        <v>0</v>
      </c>
      <c r="OQ35" s="155">
        <f>(SUMIF(LandEmiss!$BJ$335:$BJ$434,$FG35,LandEmiss!$BP$335:$BP$434)+SUMIF(LandEmiss!$DU$323:$DU$422,$FG35,LandEmiss!$EA$323:$EA$422))*(2000/8760)*IFERROR($QV$15,0)</f>
        <v>0</v>
      </c>
      <c r="OR35" s="155">
        <f>SUMIF(CAS!$E$35:$E$144,Hidden!$FG35,CAS!$I$35:$I$144)*IFERROR($QV$16,0)*(2000/8760)</f>
        <v>0</v>
      </c>
      <c r="OS35" s="155">
        <f>SUMIF(LandEmiss!$A$335:$A$434,$FG35,LandEmiss!$I$335:$I$434)*(2000/8760)*IFERROR($QV$27,0)</f>
        <v>0</v>
      </c>
      <c r="OT35" s="155">
        <f>(SUMIF(LandEmiss!$BJ$335:$BJ$434,$FG35,LandEmiss!$BR$335:$BR$434)+SUMIF(LandEmiss!$DU$323:$DU$422,$FG35,LandEmiss!$EC$323:$EC$422))*(2000/8760)*IFERROR($QV$27,0)</f>
        <v>0</v>
      </c>
      <c r="OU35" s="155">
        <f>SUMIF(LandEmiss!$A$335:$A$434,$FG35,LandEmiss!$K$335:$K$434)*(2000/8760)*IFERROR($QV$26,0)</f>
        <v>0</v>
      </c>
      <c r="OV35" s="155">
        <f>(SUMIF(LandEmiss!$BJ$335:$BJ$434,$FG35,LandEmiss!$BT$335:$BT$434)+SUMIF(LandEmiss!$DU$323:$DU$422,$FG35,LandEmiss!$EE$323:$EE$422))*(2000/8760)*IFERROR($QV$26,0)</f>
        <v>0</v>
      </c>
      <c r="OW35" s="155">
        <f>SUMIF(LandEmiss!$A$335:$A$434,$FG35,LandEmiss!$M$335:$M$434)*(2000/8760)*IFERROR($QV$25,0)</f>
        <v>0</v>
      </c>
      <c r="OX35" s="155">
        <f>(SUMIF(LandEmiss!$BJ$335:$BJ$434,$FG35,LandEmiss!$BV$335:$BV$434)+SUMIF(LandEmiss!$DU$323:$DU$422,$FG35,LandEmiss!$EG$323:$EG$422))*(2000/8760)*IFERROR($QV$25,0)</f>
        <v>0</v>
      </c>
      <c r="OY35" s="8">
        <v>0</v>
      </c>
      <c r="OZ35" s="207">
        <v>0</v>
      </c>
      <c r="PA35" s="207">
        <f>IF(OR(HeaterBoiler1!$E$26&lt;&gt;"fuel gas",HeaterBoiler1!$E$15&lt;&gt;"heater"),0,(SUMIF(HeaterBoiler1!$A$54:$D$63,$FG35,HeaterBoiler1!$J$54:$J$63))*(2000/8760))*IFERROR($QV$19,0)</f>
        <v>0</v>
      </c>
      <c r="PB35" s="207">
        <f>IF(OR(HeaterBoiler2!$E$26&lt;&gt;"fuel gas",HeaterBoiler2!$E$15&lt;&gt;"heater"),0,(SUMIF(HeaterBoiler2!$A$54:$D$63,$FG35,HeaterBoiler2!$J$54:$J$63))*(2000/8760))*IFERROR($QV$21,0)</f>
        <v>0</v>
      </c>
      <c r="PC35" s="207">
        <f>IF(OR(HeaterBoiler1!$E$26&lt;&gt;"fuel gas",HeaterBoiler1!$E$15&lt;&gt;"boiler"),0,(SUMIF(HeaterBoiler1!$A$54:$D$63,$FG35,HeaterBoiler1!$J$54:$J$63))*(2000/8760))*IFERROR($QV$20,0)</f>
        <v>0</v>
      </c>
      <c r="PD35" s="207">
        <f>IF(OR(HeaterBoiler2!$E$26&lt;&gt;"fuel gas",HeaterBoiler2!$E$15&lt;&gt;"boiler"),0,(SUMIF(HeaterBoiler2!$A$54:$D$63,$FG35,HeaterBoiler2!$J$54:$J$63))*(2000/8760))*IFERROR($QV$22,0)</f>
        <v>0</v>
      </c>
      <c r="PE35" s="8">
        <f>(SUMIF(Fug!$A$96:$A$205,$FG35,Fug!$J$96:$J$205))*IFERROR($QV$23,0)*(2000/8760)</f>
        <v>0</v>
      </c>
      <c r="PF35" s="8">
        <f t="shared" si="31"/>
        <v>0</v>
      </c>
      <c r="PG35" s="156">
        <f t="shared" si="32"/>
        <v>0</v>
      </c>
      <c r="PJ35" s="52" t="str">
        <f>IF(OR(Fug!F16="ethylene oxide w/MID",Fug!F16="phosgene w/MID",Fug!F16="butadiene w/MID"),"",IF(Fug!$F$16=Hidden!$PP$2,"Relief Valves (controlled)","Process Drains"))</f>
        <v>Process Drains</v>
      </c>
      <c r="PK35" s="52" t="str">
        <f>IF(OR(Fug!F16="ethylene oxide w/MID",Fug!F16="phosgene w/MID",Fug!F16="butadiene w/MID"),"",IF(Fug!$F$16=Hidden!$PP$2,"All","All [2]"))</f>
        <v>All [2]</v>
      </c>
      <c r="PL35" s="52">
        <v>7.0000000000000007E-2</v>
      </c>
      <c r="PM35" s="52">
        <v>7.0000000000000007E-2</v>
      </c>
      <c r="PN35" s="52">
        <v>7.0000000000000007E-2</v>
      </c>
      <c r="PO35" s="52">
        <v>7.0000000000000007E-2</v>
      </c>
      <c r="PP35" s="52">
        <v>0</v>
      </c>
      <c r="PQ35" s="52"/>
      <c r="PR35" s="52"/>
      <c r="PS35" s="52"/>
      <c r="PT35" s="52" t="s">
        <v>8791</v>
      </c>
      <c r="PU35" s="52" t="s">
        <v>8778</v>
      </c>
      <c r="PV35" s="52">
        <v>1</v>
      </c>
      <c r="PW35" s="52">
        <v>1</v>
      </c>
      <c r="PX35" s="52">
        <v>1</v>
      </c>
      <c r="PY35" s="52">
        <v>1</v>
      </c>
      <c r="PZ35" s="52">
        <v>1</v>
      </c>
      <c r="QA35" s="52">
        <v>1</v>
      </c>
      <c r="QB35" s="52" t="s">
        <v>8814</v>
      </c>
      <c r="QC35" s="52" t="s">
        <v>8778</v>
      </c>
      <c r="QD35" s="52">
        <v>0</v>
      </c>
      <c r="QE35" s="52">
        <v>0</v>
      </c>
      <c r="QF35" s="52">
        <v>0</v>
      </c>
      <c r="QG35" s="52">
        <v>0</v>
      </c>
      <c r="QH35" s="52">
        <v>0</v>
      </c>
      <c r="QI35" s="52">
        <v>0</v>
      </c>
      <c r="QX35" s="89" t="s">
        <v>9313</v>
      </c>
      <c r="QY35">
        <v>3291.4</v>
      </c>
      <c r="QZ35">
        <v>2150.6999999999998</v>
      </c>
      <c r="RA35">
        <v>1181.2</v>
      </c>
      <c r="RB35">
        <v>604.9</v>
      </c>
      <c r="RC35">
        <v>379.9</v>
      </c>
      <c r="RD35">
        <v>265.10000000000002</v>
      </c>
      <c r="RE35">
        <v>198.6</v>
      </c>
      <c r="RF35">
        <v>115.8</v>
      </c>
      <c r="RG35" s="90">
        <v>78.37</v>
      </c>
      <c r="RH35" s="89" t="s">
        <v>9313</v>
      </c>
      <c r="RI35">
        <v>2148.5</v>
      </c>
      <c r="RJ35">
        <v>1558.7</v>
      </c>
      <c r="RK35">
        <v>1127.8</v>
      </c>
      <c r="RL35">
        <v>596.9</v>
      </c>
      <c r="RM35">
        <v>369.3</v>
      </c>
      <c r="RN35">
        <v>255.5</v>
      </c>
      <c r="RO35">
        <v>190.3</v>
      </c>
      <c r="RP35">
        <v>110</v>
      </c>
      <c r="RQ35" s="90">
        <v>74.12</v>
      </c>
      <c r="RR35" s="89" t="s">
        <v>9313</v>
      </c>
      <c r="RS35">
        <v>1741.9</v>
      </c>
      <c r="RT35">
        <v>1372.4</v>
      </c>
      <c r="RU35">
        <v>949.3</v>
      </c>
      <c r="RV35">
        <v>488.3</v>
      </c>
      <c r="RW35">
        <v>294.3</v>
      </c>
      <c r="RX35">
        <v>199.7</v>
      </c>
      <c r="RY35">
        <v>148.80000000000001</v>
      </c>
      <c r="RZ35">
        <v>83.18</v>
      </c>
      <c r="SA35" s="90">
        <v>56.22</v>
      </c>
      <c r="SB35" s="89" t="s">
        <v>9313</v>
      </c>
      <c r="SC35">
        <v>856.5</v>
      </c>
      <c r="SD35">
        <v>663.7</v>
      </c>
      <c r="SE35">
        <v>445.7</v>
      </c>
      <c r="SF35">
        <v>213.3</v>
      </c>
      <c r="SG35">
        <v>123.9</v>
      </c>
      <c r="SH35">
        <v>81.94</v>
      </c>
      <c r="SI35">
        <v>58.92</v>
      </c>
      <c r="SJ35">
        <v>31.92</v>
      </c>
      <c r="SK35" s="90">
        <v>20.52</v>
      </c>
      <c r="SL35" s="89" t="s">
        <v>9313</v>
      </c>
      <c r="SM35">
        <v>236.6</v>
      </c>
      <c r="SN35">
        <v>183.7</v>
      </c>
      <c r="SO35">
        <v>115.4</v>
      </c>
      <c r="SP35">
        <v>48.68</v>
      </c>
      <c r="SQ35">
        <v>26.23</v>
      </c>
      <c r="SR35">
        <v>16.5</v>
      </c>
      <c r="SS35">
        <v>11.73</v>
      </c>
      <c r="ST35">
        <v>5.98</v>
      </c>
      <c r="SU35" s="90">
        <v>3.69</v>
      </c>
    </row>
    <row r="36" spans="1:533" ht="74.25" customHeight="1" x14ac:dyDescent="0.2">
      <c r="A36" s="8" t="s">
        <v>213</v>
      </c>
      <c r="B36" s="8">
        <v>10</v>
      </c>
      <c r="W36">
        <f>IF(OR(X36=0,ISNUMBER(MATCH(X36,$X$1:X35,0))),0,MAX($W$1:W35)+1)</f>
        <v>0</v>
      </c>
      <c r="X36" s="123">
        <f>Products!$E83</f>
        <v>0</v>
      </c>
      <c r="Y36" t="str">
        <f t="shared" si="39"/>
        <v/>
      </c>
      <c r="CA36">
        <f>IF(OR(CB36=0,ISNUMBER(MATCH(CB36,$CB$1:CB35,0))),0,MAX($CA$1:CA35)+1)</f>
        <v>0</v>
      </c>
      <c r="CB36" s="8">
        <f>IF(OR(Tank1!$D$18="EXTERNAL FLOATING ROOF",Tank1!$D$18="INTERNAL FLOATING ROOF"),IF(Tank1!$E66="",0,Tank1!$E66),0)</f>
        <v>0</v>
      </c>
      <c r="CC36" s="8" t="str">
        <f t="shared" si="40"/>
        <v/>
      </c>
      <c r="CD36" s="8"/>
      <c r="CE36" s="8">
        <f>IF(OR(CF36=0,ISNUMBER(MATCH(CF36,$CF$1:CF35,0))),0,MAX($CE$1:CE35)+1)</f>
        <v>0</v>
      </c>
      <c r="CF36" s="8">
        <f>IF(OR(Tank1!$D$18="HORIZONTAL FIXED ROOF",Tank1!$D$18="VERTICAL FIXED ROOF"),IF(Tank1!$E66="",0,Tank1!$E66),0)</f>
        <v>0</v>
      </c>
      <c r="CG36" s="8" t="str">
        <f t="shared" si="41"/>
        <v/>
      </c>
      <c r="CJ36">
        <f>IF(OR(CK36=0,ISNUMBER(MATCH(CK36,$CK$1:CK35,0))),0,MAX($CJ$1:CJ35)+1)</f>
        <v>0</v>
      </c>
      <c r="CK36">
        <f>Tank4!$A$76</f>
        <v>0</v>
      </c>
      <c r="CM36">
        <f>IFERROR(VLOOKUP($CK36,Tank4!$A$32:$D$141,3,FALSE),0)</f>
        <v>0</v>
      </c>
      <c r="CN36">
        <f>IFERROR(VLOOKUP($CK36,Tank4!$A$32:$D$141,4,FALSE),0)</f>
        <v>0</v>
      </c>
      <c r="DM36">
        <f>IF(OR(DN36=0,ISNUMBER(MATCH(DN36,$DN$1:DN35,0))),0,MAX($DM$1:DM35)+1)</f>
        <v>0</v>
      </c>
      <c r="DN36">
        <f>IF(Tank4!$D$22="Flare",IFERROR(VLOOKUP(Products!$A$99,Tank4!$A$32:$B$141,1,FALSE),0),0)</f>
        <v>0</v>
      </c>
      <c r="DO36">
        <f>IF($DN36=0,0,VLOOKUP($DN36,Tank4!$A$32:$H$141,7,FALSE))</f>
        <v>0</v>
      </c>
      <c r="DP36">
        <f>IF($DN36=0,0,VLOOKUP($DN36,Tank4!$A$32:$H$141,8,FALSE))</f>
        <v>0</v>
      </c>
      <c r="DU36">
        <f>IF(OR(DV36=0,ISNUMBER(MATCH(DV36,$DV$1:DV35,0))),0,MAX($DU$1:DU35)+1)</f>
        <v>0</v>
      </c>
      <c r="DV36">
        <f>IF(Tank4!$D$22="VCU",IFERROR(VLOOKUP(Products!$A$99,Tank4!$A$32:$B$141,1,FALSE),0),0)</f>
        <v>0</v>
      </c>
      <c r="DW36">
        <f>IF($DV36=0,0,VLOOKUP($DV36,Tank4!$A$32:$H$141,7,FALSE))</f>
        <v>0</v>
      </c>
      <c r="DX36">
        <f>IF($DV36=0,0,VLOOKUP($DV36,Tank4!$A$32:$H$141,8,FALSE))</f>
        <v>0</v>
      </c>
      <c r="EC36">
        <f>IF(OR(ED36=0,ISNUMBER(MATCH(ED36,$ED$1:ED35,0))),0,MAX($EC$1:EC35)+1)</f>
        <v>0</v>
      </c>
      <c r="ED36">
        <f>IF(Tank4!$D$22="vapor oxidizer",IFERROR(VLOOKUP(Products!$A$99,Tank4!$A$32:$B$141,1,FALSE),0),0)</f>
        <v>0</v>
      </c>
      <c r="EE36">
        <f>IF($ED36=0,0,VLOOKUP($ED36,Tank4!$A$32:$H$141,7,FALSE))</f>
        <v>0</v>
      </c>
      <c r="EF36">
        <f>IF($ED36=0,0,VLOOKUP($ED36,Tank4!$A$32:$H$141,8,FALSE))</f>
        <v>0</v>
      </c>
      <c r="EK36">
        <f>IF(OR(EL36=0,ISNUMBER(MATCH(EL36,$EL$1:EL35,0))),0,MAX($EK$1:EK35)+1)</f>
        <v>0</v>
      </c>
      <c r="EL36">
        <f>IF(Tank4!$D$22="CAS",IFERROR(VLOOKUP(Products!A99,Tank4!$A$32:$B$141,1,FALSE),0),0)</f>
        <v>0</v>
      </c>
      <c r="EM36">
        <f>IF($EL36=0,0,VLOOKUP($EL36,Tank4!$A$32:$H$141,7,FALSE))</f>
        <v>0</v>
      </c>
      <c r="EN36">
        <f>IF($EL36=0,0,VLOOKUP($EL36,Tank4!$A$32:$H$141,8,FALSE))</f>
        <v>0</v>
      </c>
      <c r="FB36" s="8" t="s">
        <v>425</v>
      </c>
      <c r="FC36" s="8" t="s">
        <v>426</v>
      </c>
      <c r="FD36" s="8">
        <v>340</v>
      </c>
      <c r="FE36" s="8">
        <v>34</v>
      </c>
      <c r="FG36" s="360" t="str">
        <f t="shared" si="23"/>
        <v/>
      </c>
      <c r="FH36" s="155">
        <f>IF(Tank1!$D$22="NO CONTROL",_xlfn.MAXIFS(Tank1!$G$32:$G$141,Tank1!$E$32:$E$141,$FG36),0)*IFERROR($QR$3,0)</f>
        <v>0</v>
      </c>
      <c r="FI36" s="155">
        <f>_xlfn.MAXIFS(LandEmiss!$AF$20:$AF$119,LandEmiss!$AE$20:$AE$119,$FG36)*IFERROR($QR$3,0)</f>
        <v>0</v>
      </c>
      <c r="FJ36" s="155">
        <f>MAX(_xlfn.MAXIFS(LandEmiss!$CO$20:$CO$119,LandEmiss!$CN$20:$CN$119,$FG36),_xlfn.MAXIFS(LandEmiss!$EZ$9:$EZ$108,LandEmiss!$EY$9:$EY$108,$FG36))*IFERROR($QR$3,0)</f>
        <v>0</v>
      </c>
      <c r="FK36" s="155">
        <f>IF(Tank2!$D$22="NO CONTROL",_xlfn.MAXIFS(Tank2!$G$32:$G$141,Tank2!$E$32:$E$141,$FG36),0)*IFERROR($QR$4,0)</f>
        <v>0</v>
      </c>
      <c r="FL36" s="155">
        <f>_xlfn.MAXIFS(LandEmiss!$AG$20:$AG$119,LandEmiss!$AE$20:$AE$119,$FG36)*IFERROR($QR$4,0)</f>
        <v>0</v>
      </c>
      <c r="FM36" s="155">
        <f>MAX(_xlfn.MAXIFS(LandEmiss!$CP$20:$CP$119,LandEmiss!$CN$20:$CN$119,$FG36),_xlfn.MAXIFS(LandEmiss!$FA$9:$FA$108,LandEmiss!$EY$9:$EY$108,$FG36))*IFERROR($QR$4,0)</f>
        <v>0</v>
      </c>
      <c r="FN36" s="155">
        <f>IF(Tank3!$D$22="NO CONTROL",_xlfn.MAXIFS(Tank3!$G$32:$G$141,Tank3!$E$32:$E$141,$FG36),0)*IFERROR($QR$5,0)</f>
        <v>0</v>
      </c>
      <c r="FO36" s="155">
        <f>_xlfn.MAXIFS(LandEmiss!$AH$20:$AH$119,LandEmiss!$AE$20:$AE$119,$FG36)*IFERROR($QR$5,0)</f>
        <v>0</v>
      </c>
      <c r="FP36" s="155">
        <f>MAX(_xlfn.MAXIFS(LandEmiss!$CQ$20:$CQ$119,LandEmiss!$CN$20:$CN$119,$FG36),_xlfn.MAXIFS(LandEmiss!$FB$9:$FB$108,LandEmiss!$EY$9:$EY$108,$FG36))*IFERROR($QR$5,0)</f>
        <v>0</v>
      </c>
      <c r="FQ36" s="155">
        <f>IF(Tank4!$D$22="NO CONTROL",_xlfn.MAXIFS(Tank4!$G$32:$G$141,Tank4!$E$32:$E$141,$FG36),0)*IFERROR($QR$6,0)</f>
        <v>0</v>
      </c>
      <c r="FR36" s="155">
        <f>_xlfn.MAXIFS(LandEmiss!$AI$20:$AI$119,LandEmiss!$AE$20:$AE$119,$FG36)*IFERROR($QR$6,0)</f>
        <v>0</v>
      </c>
      <c r="FS36" s="155">
        <f>MAX(_xlfn.MAXIFS(LandEmiss!$CR$20:$CR$119,LandEmiss!$CN$20:$CN$119,$FG36),_xlfn.MAXIFS(LandEmiss!$FC$9:$FC$108,LandEmiss!$EY$9:$EY$108,$FG36))*IFERROR($QR$6,0)</f>
        <v>0</v>
      </c>
      <c r="FT36" s="155">
        <f>IF(Tank5!$D$22="NO CONTROL",_xlfn.MAXIFS(Tank5!$G$32:$G$141,Tank5!$E$32:$E$141,$FG36),0)*IFERROR($QR$7,0)</f>
        <v>0</v>
      </c>
      <c r="FU36" s="155">
        <f>_xlfn.MAXIFS(LandEmiss!$AJ$20:$AJ$119,LandEmiss!$AE$20:$AE$119,$FG36)*IFERROR($QR$7,0)</f>
        <v>0</v>
      </c>
      <c r="FV36" s="155">
        <f>MAX(_xlfn.MAXIFS(LandEmiss!$CS$20:$CS$119,LandEmiss!$CN$20:$CN$119,$FG36),_xlfn.MAXIFS(LandEmiss!$FD$9:$FD$108,LandEmiss!$EY$9:$EY$108,$FG36))*IFERROR($QR41,0)</f>
        <v>0</v>
      </c>
      <c r="FW36" s="155">
        <f>_xlfn.MAXIFS('Load-DrumTote'!$K$27:$K$136,'Load-DrumTote'!$F$27:$F$136,$FG36)*IFERROR($QR$8,0)</f>
        <v>0</v>
      </c>
      <c r="FX36" s="155">
        <f>_xlfn.MAXIFS('Load-Truck'!$K$27:$K$136,'Load-Truck'!$F$27:$F$136,$FG36)*IFERROR($QR$9,0)</f>
        <v>0</v>
      </c>
      <c r="FY36" s="155">
        <f>_xlfn.MAXIFS('Load-Rail'!$K$27:$K$136,'Load-Rail'!$F$27:$F$136,$FG36)*IFERROR($QR$10,0)</f>
        <v>0</v>
      </c>
      <c r="FZ36" s="155">
        <f>_xlfn.MAXIFS('Load-MarineBarge'!$K$27:$K$136,'Load-MarineBarge'!$F$27:$F$136,$FG36)*IFERROR($QR$11,0)</f>
        <v>0</v>
      </c>
      <c r="GA36" s="155">
        <f>_xlfn.MAXIFS('Load-MarineShip'!$K$27:$K$136,'Load-MarineShip'!$F$27:$F$136,$FG36)*IFERROR($QR$12,0)</f>
        <v>0</v>
      </c>
      <c r="GB36" s="313">
        <f>IF(OR(Flare!$D$24="fuel gas",Flare!$D$38="fuel gas"),SUMIF(Flare!$E$97:$E$106,$FG36,Flare!$F$97:$F$106),0)*IFERROR($QR$13,0)</f>
        <v>0</v>
      </c>
      <c r="GC36" s="313">
        <f>(_xlfn.MAXIFS(CtrlDevImpacts!$I$57:$I$156,CtrlDevImpacts!$H$57:$H$156,$FG36))*IFERROR($QR$13,0)</f>
        <v>0</v>
      </c>
      <c r="GD36" s="313">
        <f>(_xlfn.MAXIFS(Flare!$F$107:$F$216,Flare!$E$107:$E$216,$FG36)-_xlfn.MAXIFS(CtrlDevImpacts!$I$57:$I$156,CtrlDevImpacts!$H$57:$H$156,$FG36))*IFERROR($QR$13,0)</f>
        <v>0</v>
      </c>
      <c r="GE36" s="155">
        <f>_xlfn.MAXIFS(LandEmiss!$B$335:$B$434,LandEmiss!$A$335:$A$434,$FG36)*IFERROR($QR$13,0)</f>
        <v>0</v>
      </c>
      <c r="GF36" s="155">
        <f>(_xlfn.MAXIFS(LandEmiss!$BK$335:$BK$434,LandEmiss!$BJ$335:$BJ$434,$FG36)+_xlfn.MAXIFS(LandEmiss!$DV$323:$DV$422,LandEmiss!$DU$323:$DU$422,$FG36))*IFERROR($QR$13,0)</f>
        <v>0</v>
      </c>
      <c r="GG36" s="313">
        <f>IF(OR(VCU!$D$26="fuel gas",VCU!$D$42="fuel gas"),SUMIF(VCU!$E$120:$E$129,$FG36,VCU!$F$120:$F$129),0)*IFERROR($QR$14,0)</f>
        <v>0</v>
      </c>
      <c r="GH36" s="313">
        <f>(_xlfn.MAXIFS(CtrlDevImpacts!$X$57:$X$156,CtrlDevImpacts!$W$57:$W$156,$FG36))*IFERROR($QR$14,0)</f>
        <v>0</v>
      </c>
      <c r="GI36" s="313">
        <f>(_xlfn.MAXIFS(VCU!$F$130:$F$239,VCU!$E$130:$E$239,$FG36)-_xlfn.MAXIFS(CtrlDevImpacts!$X$57:$X$156,CtrlDevImpacts!$W$57:$W$156,$FG36))*IFERROR($QR$14,0)</f>
        <v>0</v>
      </c>
      <c r="GJ36" s="155">
        <f>_xlfn.MAXIFS(LandEmiss!$D$335:$D$434,LandEmiss!$A$335:$A$434,$FG36)*IFERROR($QR$14,0)</f>
        <v>0</v>
      </c>
      <c r="GK36" s="155">
        <f>(_xlfn.MAXIFS(LandEmiss!$BM$335:$BM$434,LandEmiss!$BJ$335:$BJ$434,$FG36)+_xlfn.MAXIFS(LandEmiss!$DX$323:$DX$422,LandEmiss!$DU$323:$DU$422,$FG36))*IFERROR($QR$14,0)</f>
        <v>0</v>
      </c>
      <c r="GL36" s="313">
        <f>IF(VaporOxidizer!D67="FUEL GAS",SUMIF(VaporOxidizer!$E$101:$E$110,$FG36,VaporOxidizer!$F$101:$F$110),0)*IFERROR($QR$15,0)</f>
        <v>0</v>
      </c>
      <c r="GM36" s="313">
        <f>(_xlfn.MAXIFS(CtrlDevImpacts!$AN$57:$AN$156,CtrlDevImpacts!$AM$57:$AM$156,$FG36))*IFERROR($QR$15,0)</f>
        <v>0</v>
      </c>
      <c r="GN36" s="313">
        <f>(_xlfn.MAXIFS(VaporOxidizer!$F$111:$F$220,VaporOxidizer!$E$111:$E$220,$FG36)-_xlfn.MAXIFS(CtrlDevImpacts!$AN$57:$AN$156,CtrlDevImpacts!$AM$57:$AM$156,$FG36))*IFERROR($QR$15,0)</f>
        <v>0</v>
      </c>
      <c r="GO36" s="155">
        <f>_xlfn.MAXIFS(LandEmiss!$F$335:$F$434,LandEmiss!$A$335:$A$434,$FG36)*IFERROR($QR$15,0)</f>
        <v>0</v>
      </c>
      <c r="GP36" s="155">
        <f>(_xlfn.MAXIFS(LandEmiss!$BK$335:$BK$434,LandEmiss!$BO$335:$BO$434,$FG36)+_xlfn.MAXIFS(LandEmiss!$DZ$323:$DZ$422,LandEmiss!$DU$323:$DU$422,$FG36))*IFERROR($QR$15,0)</f>
        <v>0</v>
      </c>
      <c r="GQ36" s="313">
        <f>_xlfn.MAXIFS(CtrlDevImpacts!$BD$57:$BD$156,CtrlDevImpacts!$BC$57:$BC$156,$FG36)*IFERROR(Hidden!$QR$16,0)</f>
        <v>0</v>
      </c>
      <c r="GR36" s="313">
        <f>(_xlfn.MAXIFS(CAS!$H$35:$H$144,CAS!$E$35:$E$144,$FG36)-_xlfn.MAXIFS(CtrlDevImpacts!$BD$57:$BD$156,CtrlDevImpacts!$BC$57:$BC$156,$FG36))*IFERROR(Hidden!$QR$16,0)</f>
        <v>0</v>
      </c>
      <c r="GS36" s="155">
        <f>_xlfn.MAXIFS(LandEmiss!$H$335:$H$434,LandEmiss!$A$335:$A$434,$FG36)*IFERROR($QR$27,0)</f>
        <v>0</v>
      </c>
      <c r="GT36" s="155">
        <f>(_xlfn.MAXIFS(LandEmiss!$BK$335:$BK$434,LandEmiss!$BQ$335:$BQ$434,$FG36)+_xlfn.MAXIFS(LandEmiss!$EB$323:$EB$422,LandEmiss!$DU$323:$DU$422,$FG36))*IFERROR($QR$27,0)</f>
        <v>0</v>
      </c>
      <c r="GU36" s="155">
        <f>_xlfn.MAXIFS(LandEmiss!$J$335:$J$434,LandEmiss!$A$335:$A$434,$FG36)*IFERROR($QR$26,0)</f>
        <v>0</v>
      </c>
      <c r="GV36" s="155">
        <f>(_xlfn.MAXIFS(LandEmiss!$BK$335:$BK$434,LandEmiss!$BS$335:$BS$434,$FG36)+_xlfn.MAXIFS(LandEmiss!$ED$323:$ED$422,LandEmiss!$DU$323:$DU$422,$FG36))*IFERROR($QR$26,0)</f>
        <v>0</v>
      </c>
      <c r="GW36" s="155">
        <f>_xlfn.MAXIFS(LandEmiss!$L$335:$L$434,LandEmiss!$A$335:$A$434,$FG36)*IFERROR($QR$25,0)</f>
        <v>0</v>
      </c>
      <c r="GX36" s="155">
        <f>(_xlfn.MAXIFS(LandEmiss!$BK$335:$BK$434,LandEmiss!$BU$335:$BU$434,$FG36)+_xlfn.MAXIFS(LandEmiss!$EF$323:$EF$422,LandEmiss!$DU$323:$DU$422,$FG36))*IFERROR($QR$25,0)</f>
        <v>0</v>
      </c>
      <c r="GY36" s="155">
        <v>0</v>
      </c>
      <c r="GZ36" s="155">
        <v>0</v>
      </c>
      <c r="HA36" s="155">
        <f>IF(OR(HeaterBoiler1!$E$26&lt;&gt;"fuel gas",HeaterBoiler1!$E$15&lt;&gt;"heater"),0,SUMIF(HeaterBoiler1!$A$54:$D$63,$FG36,HeaterBoiler1!$I$54:$I$63))*IFERROR($QR$19,0)</f>
        <v>0</v>
      </c>
      <c r="HB36" s="207">
        <f>IF(OR(HeaterBoiler2!$E$26&lt;&gt;"fuel gas",HeaterBoiler2!$E$15&lt;&gt;"heater"),0,SUMIF(HeaterBoiler2!$A$54:$D$63,$FG36,HeaterBoiler2!$I$54:$I$63))*IFERROR($QR$21,0)</f>
        <v>0</v>
      </c>
      <c r="HC36" s="155">
        <f>IF(OR(HeaterBoiler1!$E$26&lt;&gt;"fuel gas",HeaterBoiler1!$E$15&lt;&gt;"boiler"),0,SUMIF(HeaterBoiler1!$A$41:$A$50,$FG36,HeaterBoiler1!$F$41:$F$50))*IFERROR($QR$20,0)</f>
        <v>0</v>
      </c>
      <c r="HD36" s="207">
        <f>IF(OR(HeaterBoiler2!$E$26&lt;&gt;"fuel gas",HeaterBoiler2!$E$15&lt;&gt;"boiler"),0,SUMIF(HeaterBoiler2!$A$41:$A$50,$FG36,HeaterBoiler2!$F$41:$F$50))*IFERROR($QR$22,0)</f>
        <v>0</v>
      </c>
      <c r="HE36" s="155">
        <f>SUMIF(Fug!$A$96:$A$205,$FG36,Fug!$I$96:$I$205)*IFERROR(Hidden!$QR$23,0)</f>
        <v>0</v>
      </c>
      <c r="HF36" s="155">
        <f t="shared" si="24"/>
        <v>0</v>
      </c>
      <c r="HG36" s="156">
        <f t="shared" si="25"/>
        <v>0</v>
      </c>
      <c r="HH36" s="156">
        <f t="shared" si="26"/>
        <v>0</v>
      </c>
      <c r="HI36" s="156">
        <f t="shared" si="27"/>
        <v>0</v>
      </c>
      <c r="HJ36" s="156">
        <f t="shared" si="28"/>
        <v>0</v>
      </c>
      <c r="HK36" s="156">
        <f t="shared" si="29"/>
        <v>0</v>
      </c>
      <c r="HL36" s="156">
        <f t="shared" si="30"/>
        <v>0</v>
      </c>
      <c r="NO36" s="155">
        <f>IF(Tank1!$D$22="No control",(SUMIF(Tank1!$E$32:$E$141,$FG36,Tank1!$H$32:$H$141)*(2000/8760)*IFERROR($QV$3,0)),0)</f>
        <v>0</v>
      </c>
      <c r="NP36" s="156">
        <f>SUMIF(LandEmiss!$AE$20:$AE$119,$FG36,LandEmiss!$AK$20:$AK$119)*(2000/8760)*IFERROR($QV$3,0)</f>
        <v>0</v>
      </c>
      <c r="NQ36" s="156">
        <f>(SUMIF(LandEmiss!$CN$20:$CN$119,$FG36,LandEmiss!$CT$20:$CT$119)+SUMIF(LandEmiss!$EY$9:$EY$108,$FG36,LandEmiss!$FE$9:$FE$108))*IFERROR($QV$3,0)*(2000/8760)</f>
        <v>0</v>
      </c>
      <c r="NR36" s="155">
        <f>IF(Tank2!$D$22="No control",(SUMIF(Tank2!$E$32:$E$141,$FG36,Tank2!$H$32:$H$141)*(2000/8760)*IFERROR($QV$4,0)),0)</f>
        <v>0</v>
      </c>
      <c r="NS36" s="156">
        <f>SUMIF(LandEmiss!$AE$20:$AE$119,$FG36,LandEmiss!$AL$20:$AL$119)*(2000/8760)*IFERROR($QV$4,0)</f>
        <v>0</v>
      </c>
      <c r="NT36" s="156">
        <f>(SUMIF(LandEmiss!$CN$20:$CN$119,$FG36,LandEmiss!$CU$20:$CU$119)+SUMIF(LandEmiss!$EY$9:$EY$108,$FG36,LandEmiss!$FF$9:$FF$108))*IFERROR($QV$4,0)*(2000/8760)</f>
        <v>0</v>
      </c>
      <c r="NU36" s="155">
        <f>IF(Tank3!$D$22="No control",(SUMIF(Tank3!$E$32:$E$141,$FG36,Tank3!$H$32:$H$141)*(2000/8760)*IFERROR($QV$5,0)),0)</f>
        <v>0</v>
      </c>
      <c r="NV36" s="156">
        <f>SUMIF(LandEmiss!$AE$20:$AE$119,$FG36,LandEmiss!$AM$20:$AM$119)*(2000/8760)*IFERROR($QV$5,0)</f>
        <v>0</v>
      </c>
      <c r="NW36" s="156">
        <f>(SUMIF(LandEmiss!$CN$20:$CN$119,$FG36,LandEmiss!$CV$20:$CV$119)+SUMIF(LandEmiss!$EY$9:$EY$108,$FG36,LandEmiss!$FG$9:$FG$108))*IFERROR($QV$5,0)*(2000/8760)</f>
        <v>0</v>
      </c>
      <c r="NX36" s="155">
        <f>IF(Tank4!$D$22="No control",(SUMIF(Tank4!$E$32:$E$141,$FG36,Tank4!$H$32:$H$141)*(2000/8760)*IFERROR($QV$6,0)),0)</f>
        <v>0</v>
      </c>
      <c r="NY36" s="156">
        <f>SUMIF(LandEmiss!$AE$20:$AE$119,$FG36,LandEmiss!$AN$20:$AN$119)*(2000/8760)*IFERROR($QV$6,0)</f>
        <v>0</v>
      </c>
      <c r="NZ36" s="156">
        <f>(SUMIF(LandEmiss!$CN$20:$CN$119,$FG36,LandEmiss!$CW$20:$CW$119)+SUMIF(LandEmiss!$EY$9:$EY$108,$FG36,LandEmiss!$FH$9:$FH$108))*IFERROR($QV$6,0)*(2000/8760)</f>
        <v>0</v>
      </c>
      <c r="OA36" s="155">
        <f>IF(Tank5!$D$22="No control",(SUMIF(Tank5!$E$32:$E$141,$FG36,Tank5!$H$32:$H$141)*(2000/8760)*IFERROR($QV$7,0)),0)</f>
        <v>0</v>
      </c>
      <c r="OB36" s="156">
        <f>SUMIF(LandEmiss!$AE$20:$AE$119,$FG36,LandEmiss!$AO$20:$AO$119)*(2000/8760)*IFERROR($QV$7,0)</f>
        <v>0</v>
      </c>
      <c r="OC36" s="156">
        <f>(SUMIF(LandEmiss!$CN$20:$CN$119,$FG36,LandEmiss!$CX$20:$CX$119)+SUMIF(LandEmiss!$EY$9:$EY$108,$FG36,LandEmiss!$FI$9:$FI$108))*IFERROR($QV$7,0)*(2000/8760)</f>
        <v>0</v>
      </c>
      <c r="OD36" s="155">
        <f>SUMIFS('Load-DrumTote'!$L$27:$L$136,'Load-DrumTote'!$F$27:$F$136,$FG36)*IFERROR($QV$8,0)*(2000/8760)</f>
        <v>0</v>
      </c>
      <c r="OE36" s="155">
        <f>SUMIFS('Load-Truck'!$L$27:$L$136,'Load-Truck'!$F$27:$F$136,$FG36)*IFERROR($QV$9,0)*(2000/8760)</f>
        <v>0</v>
      </c>
      <c r="OF36" s="155">
        <f>SUMIFS('Load-Rail'!$L$27:$L$136,'Load-Rail'!$F$27:$F$136,$FG36)*IFERROR($QV$10,0)*(2000/8760)</f>
        <v>0</v>
      </c>
      <c r="OG36" s="155">
        <f>SUMIFS('Load-MarineBarge'!$L$27:$L$136,'Load-MarineBarge'!$F$27:$F$136,$FG36)*IFERROR($QV$11,0)*(2000/8760)</f>
        <v>0</v>
      </c>
      <c r="OH36" s="155">
        <f>SUMIFS('Load-MarineShip'!$L$27:$L$136,'Load-MarineShip'!$F$27:$F$136,$FG36)*IFERROR($QV$12,0)*(2000/8760)</f>
        <v>0</v>
      </c>
      <c r="OI36" s="155">
        <f>(IF(OR(Flare!$D$24="FUEL GAS",Flare!$D$38="FUEL GAS"),SUMIF(Flare!$E$97:$E$106,$FG36,Flare!$G$97:$G$105),0)+SUMIF(Flare!$E$107:$E$216,$FG36,Flare!$G$107:$G$216))*(2000/8730)*IFERROR($QV$13,0)</f>
        <v>0</v>
      </c>
      <c r="OJ36" s="155">
        <f>SUMIF(LandEmiss!$A$335:$A$434,$FG36,LandEmiss!$C$335:$C$434)*(2000/8760)*IFERROR($QV$13,0)</f>
        <v>0</v>
      </c>
      <c r="OK36" s="155">
        <f>(SUMIF(LandEmiss!$BJ$335:$BJ$434,$FG36,LandEmiss!$BL$335:$BL$434)+SUMIF(LandEmiss!$DU$323:$DU$422,$FG36,LandEmiss!$DW$323:$DW$422))*(2000/8760)*IFERROR($QV$13,0)</f>
        <v>0</v>
      </c>
      <c r="OL36" s="155">
        <f>(IF(OR(VCU!$D$26="FUEL GAS",VCU!$D$42="FUEL GAS"),SUMIF(VCU!$E$120:$E$129,$FG36,VCU!$G$120:$G$129),0)+SUMIF(VCU!$E$130:$E$239,$FG36,VCU!G164:G273))*(2000/8760)*IFERROR($QV$14,0)</f>
        <v>0</v>
      </c>
      <c r="OM36" s="155">
        <f>SUMIF(LandEmiss!$A$335:$A$434,$FG36,LandEmiss!$E$335:$E$434)*(2000/8760)*IFERROR($QV$14,0)</f>
        <v>0</v>
      </c>
      <c r="ON36" s="155">
        <f>(SUMIF(LandEmiss!$BJ$335:$BJ$434,$FG36,LandEmiss!$BN$335:$BN$434)+SUMIF(LandEmiss!$DU$323:$DU$422,$FG36,LandEmiss!$DY$323:$DY$422))*(2000/8760)*IFERROR($QV$14,0)</f>
        <v>0</v>
      </c>
      <c r="OO36" s="155">
        <f>(IF(VaporOxidizer!$D$33="FUEL GAS",SUMIF(VaporOxidizer!$E$101:$E$110,$FG36,VaporOxidizer!$G$101:$G$110),0)+SUMIF(VaporOxidizer!$E$111:$E$220,$FG36,VaporOxidizer!$G$111:$G$220))*(2000/8760)*IFERROR($QV$15,0)</f>
        <v>0</v>
      </c>
      <c r="OP36" s="155">
        <f>SUMIF(LandEmiss!$A$335:$A$434,$FG36,LandEmiss!$G$335:$G$434)*(2000/8760)*IFERROR($QV$15,0)</f>
        <v>0</v>
      </c>
      <c r="OQ36" s="155">
        <f>(SUMIF(LandEmiss!$BJ$335:$BJ$434,$FG36,LandEmiss!$BP$335:$BP$434)+SUMIF(LandEmiss!$DU$323:$DU$422,$FG36,LandEmiss!$EA$323:$EA$422))*(2000/8760)*IFERROR($QV$15,0)</f>
        <v>0</v>
      </c>
      <c r="OR36" s="155">
        <f>SUMIF(CAS!$E$35:$E$144,Hidden!$FG36,CAS!$I$35:$I$144)*IFERROR($QV$16,0)*(2000/8760)</f>
        <v>0</v>
      </c>
      <c r="OS36" s="155">
        <f>SUMIF(LandEmiss!$A$335:$A$434,$FG36,LandEmiss!$I$335:$I$434)*(2000/8760)*IFERROR($QV$27,0)</f>
        <v>0</v>
      </c>
      <c r="OT36" s="155">
        <f>(SUMIF(LandEmiss!$BJ$335:$BJ$434,$FG36,LandEmiss!$BR$335:$BR$434)+SUMIF(LandEmiss!$DU$323:$DU$422,$FG36,LandEmiss!$EC$323:$EC$422))*(2000/8760)*IFERROR($QV$27,0)</f>
        <v>0</v>
      </c>
      <c r="OU36" s="155">
        <f>SUMIF(LandEmiss!$A$335:$A$434,$FG36,LandEmiss!$K$335:$K$434)*(2000/8760)*IFERROR($QV$26,0)</f>
        <v>0</v>
      </c>
      <c r="OV36" s="155">
        <f>(SUMIF(LandEmiss!$BJ$335:$BJ$434,$FG36,LandEmiss!$BT$335:$BT$434)+SUMIF(LandEmiss!$DU$323:$DU$422,$FG36,LandEmiss!$EE$323:$EE$422))*(2000/8760)*IFERROR($QV$26,0)</f>
        <v>0</v>
      </c>
      <c r="OW36" s="155">
        <f>SUMIF(LandEmiss!$A$335:$A$434,$FG36,LandEmiss!$M$335:$M$434)*(2000/8760)*IFERROR($QV$25,0)</f>
        <v>0</v>
      </c>
      <c r="OX36" s="155">
        <f>(SUMIF(LandEmiss!$BJ$335:$BJ$434,$FG36,LandEmiss!$BV$335:$BV$434)+SUMIF(LandEmiss!$DU$323:$DU$422,$FG36,LandEmiss!$EG$323:$EG$422))*(2000/8760)*IFERROR($QV$25,0)</f>
        <v>0</v>
      </c>
      <c r="OY36" s="8">
        <v>0</v>
      </c>
      <c r="OZ36" s="207">
        <v>0</v>
      </c>
      <c r="PA36" s="207">
        <f>IF(OR(HeaterBoiler1!$E$26&lt;&gt;"fuel gas",HeaterBoiler1!$E$15&lt;&gt;"heater"),0,(SUMIF(HeaterBoiler1!$A$54:$D$63,$FG36,HeaterBoiler1!$J$54:$J$63))*(2000/8760))*IFERROR($QV$19,0)</f>
        <v>0</v>
      </c>
      <c r="PB36" s="207">
        <f>IF(OR(HeaterBoiler2!$E$26&lt;&gt;"fuel gas",HeaterBoiler2!$E$15&lt;&gt;"heater"),0,(SUMIF(HeaterBoiler2!$A$54:$D$63,$FG36,HeaterBoiler2!$J$54:$J$63))*(2000/8760))*IFERROR($QV$21,0)</f>
        <v>0</v>
      </c>
      <c r="PC36" s="207">
        <f>IF(OR(HeaterBoiler1!$E$26&lt;&gt;"fuel gas",HeaterBoiler1!$E$15&lt;&gt;"boiler"),0,(SUMIF(HeaterBoiler1!$A$54:$D$63,$FG36,HeaterBoiler1!$J$54:$J$63))*(2000/8760))*IFERROR($QV$20,0)</f>
        <v>0</v>
      </c>
      <c r="PD36" s="207">
        <f>IF(OR(HeaterBoiler2!$E$26&lt;&gt;"fuel gas",HeaterBoiler2!$E$15&lt;&gt;"boiler"),0,(SUMIF(HeaterBoiler2!$A$54:$D$63,$FG36,HeaterBoiler2!$J$54:$J$63))*(2000/8760))*IFERROR($QV$22,0)</f>
        <v>0</v>
      </c>
      <c r="PE36" s="8">
        <f>(SUMIF(Fug!$A$96:$A$205,$FG36,Fug!$J$96:$J$205))*IFERROR($QV$23,0)*(2000/8760)</f>
        <v>0</v>
      </c>
      <c r="PF36" s="8">
        <f t="shared" si="31"/>
        <v>0</v>
      </c>
      <c r="PG36" s="156">
        <f t="shared" si="32"/>
        <v>0</v>
      </c>
      <c r="PJ36" s="52" t="str">
        <f>IF(Fug!$F$16=Hidden!$PP$2,"Open-Ended Lines","")</f>
        <v/>
      </c>
      <c r="PK36" s="52" t="str">
        <f>IF(Fug!$F$16=Hidden!$PP$2,"Gas","")</f>
        <v/>
      </c>
      <c r="PL36" s="52"/>
      <c r="PM36" s="52"/>
      <c r="PN36" s="52"/>
      <c r="PO36" s="52"/>
      <c r="PP36" s="52">
        <v>4.4099999999999999E-3</v>
      </c>
      <c r="PQ36" s="52"/>
      <c r="PR36" s="52"/>
      <c r="PS36" s="52"/>
      <c r="PT36" s="52" t="s">
        <v>8792</v>
      </c>
      <c r="PU36" s="52" t="s">
        <v>8769</v>
      </c>
      <c r="PV36" s="52">
        <v>0</v>
      </c>
      <c r="PW36" s="52">
        <v>0.97</v>
      </c>
      <c r="PX36" s="52">
        <v>0.97</v>
      </c>
      <c r="PY36" s="52">
        <v>0.97</v>
      </c>
      <c r="PZ36" s="52">
        <v>0</v>
      </c>
      <c r="QA36" s="52">
        <v>0</v>
      </c>
      <c r="QB36" s="52"/>
      <c r="QC36" s="52"/>
      <c r="QD36" s="52"/>
      <c r="QE36" s="52"/>
      <c r="QF36" s="52"/>
      <c r="QG36" s="52"/>
      <c r="QH36" s="52"/>
      <c r="QI36" s="52"/>
      <c r="QX36" s="89" t="s">
        <v>9314</v>
      </c>
      <c r="QY36">
        <v>705.6</v>
      </c>
      <c r="QZ36">
        <v>597.4</v>
      </c>
      <c r="RA36">
        <v>425.3</v>
      </c>
      <c r="RB36">
        <v>237.7</v>
      </c>
      <c r="RC36">
        <v>169.2</v>
      </c>
      <c r="RD36">
        <v>139.1</v>
      </c>
      <c r="RE36">
        <v>115.6</v>
      </c>
      <c r="RF36">
        <v>84.32</v>
      </c>
      <c r="RG36" s="90">
        <v>65.95</v>
      </c>
      <c r="RH36" s="89" t="s">
        <v>9314</v>
      </c>
      <c r="RI36">
        <v>587.6</v>
      </c>
      <c r="RJ36">
        <v>362.5</v>
      </c>
      <c r="RK36">
        <v>257.89999999999998</v>
      </c>
      <c r="RL36">
        <v>165.1</v>
      </c>
      <c r="RM36">
        <v>142.6</v>
      </c>
      <c r="RN36">
        <v>123.8</v>
      </c>
      <c r="RO36">
        <v>108.5</v>
      </c>
      <c r="RP36">
        <v>79.12</v>
      </c>
      <c r="RQ36" s="90">
        <v>60.64</v>
      </c>
      <c r="RR36" s="89" t="s">
        <v>9314</v>
      </c>
      <c r="RS36">
        <v>492</v>
      </c>
      <c r="RT36">
        <v>287.89999999999998</v>
      </c>
      <c r="RU36">
        <v>196.8</v>
      </c>
      <c r="RV36">
        <v>142.19999999999999</v>
      </c>
      <c r="RW36">
        <v>114.2</v>
      </c>
      <c r="RX36">
        <v>95.61</v>
      </c>
      <c r="RY36">
        <v>86.84</v>
      </c>
      <c r="RZ36">
        <v>62.95</v>
      </c>
      <c r="SA36" s="90">
        <v>47.46</v>
      </c>
      <c r="SB36" s="89" t="s">
        <v>9314</v>
      </c>
      <c r="SC36">
        <v>241.3</v>
      </c>
      <c r="SD36">
        <v>137.9</v>
      </c>
      <c r="SE36">
        <v>90.51</v>
      </c>
      <c r="SF36">
        <v>66.959999999999994</v>
      </c>
      <c r="SG36">
        <v>53.56</v>
      </c>
      <c r="SH36">
        <v>44.13</v>
      </c>
      <c r="SI36">
        <v>36.840000000000003</v>
      </c>
      <c r="SJ36">
        <v>24.78</v>
      </c>
      <c r="SK36" s="90">
        <v>17.829999999999998</v>
      </c>
      <c r="SL36" s="89" t="s">
        <v>9314</v>
      </c>
      <c r="SM36">
        <v>60.29</v>
      </c>
      <c r="SN36">
        <v>35.06</v>
      </c>
      <c r="SO36">
        <v>24.18</v>
      </c>
      <c r="SP36">
        <v>17.38</v>
      </c>
      <c r="SQ36">
        <v>12.88</v>
      </c>
      <c r="SR36">
        <v>9.77</v>
      </c>
      <c r="SS36">
        <v>7.76</v>
      </c>
      <c r="ST36">
        <v>4.68</v>
      </c>
      <c r="SU36" s="90">
        <v>3.15</v>
      </c>
    </row>
    <row r="37" spans="1:533" ht="74.25" customHeight="1" x14ac:dyDescent="0.2">
      <c r="A37" s="8" t="s">
        <v>214</v>
      </c>
      <c r="B37" s="8">
        <v>10</v>
      </c>
      <c r="W37">
        <f>IF(OR(X37=0,ISNUMBER(MATCH(X37,$X$1:X36,0))),0,MAX($W$1:W36)+1)</f>
        <v>0</v>
      </c>
      <c r="X37" s="123">
        <f>Products!$E84</f>
        <v>0</v>
      </c>
      <c r="Y37" t="str">
        <f t="shared" si="39"/>
        <v/>
      </c>
      <c r="CA37">
        <f>IF(OR(CB37=0,ISNUMBER(MATCH(CB37,$CB$1:CB36,0))),0,MAX($CA$1:CA36)+1)</f>
        <v>0</v>
      </c>
      <c r="CB37" s="8">
        <f>IF(OR(Tank1!$D$18="EXTERNAL FLOATING ROOF",Tank1!$D$18="INTERNAL FLOATING ROOF"),IF(Tank1!$E67="",0,Tank1!$E67),0)</f>
        <v>0</v>
      </c>
      <c r="CC37" s="8" t="str">
        <f t="shared" si="40"/>
        <v/>
      </c>
      <c r="CD37" s="8"/>
      <c r="CE37" s="8">
        <f>IF(OR(CF37=0,ISNUMBER(MATCH(CF37,$CF$1:CF36,0))),0,MAX($CE$1:CE36)+1)</f>
        <v>0</v>
      </c>
      <c r="CF37" s="8">
        <f>IF(OR(Tank1!$D$18="HORIZONTAL FIXED ROOF",Tank1!$D$18="VERTICAL FIXED ROOF"),IF(Tank1!$E67="",0,Tank1!$E67),0)</f>
        <v>0</v>
      </c>
      <c r="CG37" s="8" t="str">
        <f t="shared" si="41"/>
        <v/>
      </c>
      <c r="CJ37">
        <f>IF(OR(CK37=0,ISNUMBER(MATCH(CK37,$CK$1:CK36,0))),0,MAX($CJ$1:CJ36)+1)</f>
        <v>0</v>
      </c>
      <c r="CK37">
        <f>Tank4!$A$87</f>
        <v>0</v>
      </c>
      <c r="CM37">
        <f>IFERROR(VLOOKUP($CK37,Tank4!$A$32:$D$141,3,FALSE),0)</f>
        <v>0</v>
      </c>
      <c r="CN37">
        <f>IFERROR(VLOOKUP($CK37,Tank4!$A$32:$D$141,4,FALSE),0)</f>
        <v>0</v>
      </c>
      <c r="DM37">
        <f>IF(OR(DN37=0,ISNUMBER(MATCH(DN37,$DN$1:DN36,0))),0,MAX($DM$1:DM36)+1)</f>
        <v>0</v>
      </c>
      <c r="DN37">
        <f>IF(Tank4!$D$22="Flare",IFERROR(VLOOKUP(Products!$A$109,Tank4!$A$32:$B$141,1,FALSE),0),0)</f>
        <v>0</v>
      </c>
      <c r="DO37">
        <f>IF($DN37=0,0,VLOOKUP($DN37,Tank4!$A$32:$H$141,7,FALSE))</f>
        <v>0</v>
      </c>
      <c r="DP37">
        <f>IF($DN37=0,0,VLOOKUP($DN37,Tank4!$A$32:$H$141,8,FALSE))</f>
        <v>0</v>
      </c>
      <c r="DU37">
        <f>IF(OR(DV37=0,ISNUMBER(MATCH(DV37,$DV$1:DV36,0))),0,MAX($DU$1:DU36)+1)</f>
        <v>0</v>
      </c>
      <c r="DV37">
        <f>IF(Tank4!$D$22="VCU",IFERROR(VLOOKUP(Products!$A$109,Tank4!$A$32:$B$141,1,FALSE),0),0)</f>
        <v>0</v>
      </c>
      <c r="DW37">
        <f>IF($DV37=0,0,VLOOKUP($DV37,Tank4!$A$32:$H$141,7,FALSE))</f>
        <v>0</v>
      </c>
      <c r="DX37">
        <f>IF($DV37=0,0,VLOOKUP($DV37,Tank4!$A$32:$H$141,8,FALSE))</f>
        <v>0</v>
      </c>
      <c r="EC37">
        <f>IF(OR(ED37=0,ISNUMBER(MATCH(ED37,$ED$1:ED36,0))),0,MAX($EC$1:EC36)+1)</f>
        <v>0</v>
      </c>
      <c r="ED37">
        <f>IF(Tank4!$D$22="vapor oxidizer",IFERROR(VLOOKUP(Products!$A$109,Tank4!$A$32:$B$141,1,FALSE),0),0)</f>
        <v>0</v>
      </c>
      <c r="EE37">
        <f>IF($ED37=0,0,VLOOKUP($ED37,Tank4!$A$32:$H$141,7,FALSE))</f>
        <v>0</v>
      </c>
      <c r="EF37">
        <f>IF($ED37=0,0,VLOOKUP($ED37,Tank4!$A$32:$H$141,8,FALSE))</f>
        <v>0</v>
      </c>
      <c r="EK37">
        <f>IF(OR(EL37=0,ISNUMBER(MATCH(EL37,$EL$1:EL36,0))),0,MAX($EK$1:EK36)+1)</f>
        <v>0</v>
      </c>
      <c r="EL37">
        <f>IF(Tank4!$D$22="CAS",IFERROR(VLOOKUP(Products!A109,Tank4!$A$32:$B$141,1,FALSE),0),0)</f>
        <v>0</v>
      </c>
      <c r="EM37">
        <f>IF($EL37=0,0,VLOOKUP($EL37,Tank4!$A$32:$H$141,7,FALSE))</f>
        <v>0</v>
      </c>
      <c r="EN37">
        <f>IF($EL37=0,0,VLOOKUP($EL37,Tank4!$A$32:$H$141,8,FALSE))</f>
        <v>0</v>
      </c>
      <c r="FB37" s="8" t="s">
        <v>427</v>
      </c>
      <c r="FC37" s="8" t="s">
        <v>428</v>
      </c>
      <c r="FD37" s="8">
        <v>5700</v>
      </c>
      <c r="FE37" s="8">
        <v>570</v>
      </c>
      <c r="FG37" s="360" t="str">
        <f t="shared" si="23"/>
        <v/>
      </c>
      <c r="FH37" s="155">
        <f>IF(Tank1!$D$22="NO CONTROL",_xlfn.MAXIFS(Tank1!$G$32:$G$141,Tank1!$E$32:$E$141,$FG37),0)*IFERROR($QR$3,0)</f>
        <v>0</v>
      </c>
      <c r="FI37" s="155">
        <f>_xlfn.MAXIFS(LandEmiss!$AF$20:$AF$119,LandEmiss!$AE$20:$AE$119,$FG37)*IFERROR($QR$3,0)</f>
        <v>0</v>
      </c>
      <c r="FJ37" s="155">
        <f>MAX(_xlfn.MAXIFS(LandEmiss!$CO$20:$CO$119,LandEmiss!$CN$20:$CN$119,$FG37),_xlfn.MAXIFS(LandEmiss!$EZ$9:$EZ$108,LandEmiss!$EY$9:$EY$108,$FG37))*IFERROR($QR$3,0)</f>
        <v>0</v>
      </c>
      <c r="FK37" s="155">
        <f>IF(Tank2!$D$22="NO CONTROL",_xlfn.MAXIFS(Tank2!$G$32:$G$141,Tank2!$E$32:$E$141,$FG37),0)*IFERROR($QR$4,0)</f>
        <v>0</v>
      </c>
      <c r="FL37" s="155">
        <f>_xlfn.MAXIFS(LandEmiss!$AG$20:$AG$119,LandEmiss!$AE$20:$AE$119,$FG37)*IFERROR($QR$4,0)</f>
        <v>0</v>
      </c>
      <c r="FM37" s="155">
        <f>MAX(_xlfn.MAXIFS(LandEmiss!$CP$20:$CP$119,LandEmiss!$CN$20:$CN$119,$FG37),_xlfn.MAXIFS(LandEmiss!$FA$9:$FA$108,LandEmiss!$EY$9:$EY$108,$FG37))*IFERROR($QR$4,0)</f>
        <v>0</v>
      </c>
      <c r="FN37" s="155">
        <f>IF(Tank3!$D$22="NO CONTROL",_xlfn.MAXIFS(Tank3!$G$32:$G$141,Tank3!$E$32:$E$141,$FG37),0)*IFERROR($QR$5,0)</f>
        <v>0</v>
      </c>
      <c r="FO37" s="155">
        <f>_xlfn.MAXIFS(LandEmiss!$AH$20:$AH$119,LandEmiss!$AE$20:$AE$119,$FG37)*IFERROR($QR$5,0)</f>
        <v>0</v>
      </c>
      <c r="FP37" s="155">
        <f>MAX(_xlfn.MAXIFS(LandEmiss!$CQ$20:$CQ$119,LandEmiss!$CN$20:$CN$119,$FG37),_xlfn.MAXIFS(LandEmiss!$FB$9:$FB$108,LandEmiss!$EY$9:$EY$108,$FG37))*IFERROR($QR$5,0)</f>
        <v>0</v>
      </c>
      <c r="FQ37" s="155">
        <f>IF(Tank4!$D$22="NO CONTROL",_xlfn.MAXIFS(Tank4!$G$32:$G$141,Tank4!$E$32:$E$141,$FG37),0)*IFERROR($QR$6,0)</f>
        <v>0</v>
      </c>
      <c r="FR37" s="155">
        <f>_xlfn.MAXIFS(LandEmiss!$AI$20:$AI$119,LandEmiss!$AE$20:$AE$119,$FG37)*IFERROR($QR$6,0)</f>
        <v>0</v>
      </c>
      <c r="FS37" s="155">
        <f>MAX(_xlfn.MAXIFS(LandEmiss!$CR$20:$CR$119,LandEmiss!$CN$20:$CN$119,$FG37),_xlfn.MAXIFS(LandEmiss!$FC$9:$FC$108,LandEmiss!$EY$9:$EY$108,$FG37))*IFERROR($QR$6,0)</f>
        <v>0</v>
      </c>
      <c r="FT37" s="155">
        <f>IF(Tank5!$D$22="NO CONTROL",_xlfn.MAXIFS(Tank5!$G$32:$G$141,Tank5!$E$32:$E$141,$FG37),0)*IFERROR($QR$7,0)</f>
        <v>0</v>
      </c>
      <c r="FU37" s="155">
        <f>_xlfn.MAXIFS(LandEmiss!$AJ$20:$AJ$119,LandEmiss!$AE$20:$AE$119,$FG37)*IFERROR($QR$7,0)</f>
        <v>0</v>
      </c>
      <c r="FV37" s="155">
        <f>MAX(_xlfn.MAXIFS(LandEmiss!$CS$20:$CS$119,LandEmiss!$CN$20:$CN$119,$FG37),_xlfn.MAXIFS(LandEmiss!$FD$9:$FD$108,LandEmiss!$EY$9:$EY$108,$FG37))*IFERROR($QR42,0)</f>
        <v>0</v>
      </c>
      <c r="FW37" s="155">
        <f>_xlfn.MAXIFS('Load-DrumTote'!$K$27:$K$136,'Load-DrumTote'!$F$27:$F$136,$FG37)*IFERROR($QR$8,0)</f>
        <v>0</v>
      </c>
      <c r="FX37" s="155">
        <f>_xlfn.MAXIFS('Load-Truck'!$K$27:$K$136,'Load-Truck'!$F$27:$F$136,$FG37)*IFERROR($QR$9,0)</f>
        <v>0</v>
      </c>
      <c r="FY37" s="155">
        <f>_xlfn.MAXIFS('Load-Rail'!$K$27:$K$136,'Load-Rail'!$F$27:$F$136,$FG37)*IFERROR($QR$10,0)</f>
        <v>0</v>
      </c>
      <c r="FZ37" s="155">
        <f>_xlfn.MAXIFS('Load-MarineBarge'!$K$27:$K$136,'Load-MarineBarge'!$F$27:$F$136,$FG37)*IFERROR($QR$11,0)</f>
        <v>0</v>
      </c>
      <c r="GA37" s="155">
        <f>_xlfn.MAXIFS('Load-MarineShip'!$K$27:$K$136,'Load-MarineShip'!$F$27:$F$136,$FG37)*IFERROR($QR$12,0)</f>
        <v>0</v>
      </c>
      <c r="GB37" s="313">
        <f>IF(OR(Flare!$D$24="fuel gas",Flare!$D$38="fuel gas"),SUMIF(Flare!$E$97:$E$106,$FG37,Flare!$F$97:$F$106),0)*IFERROR($QR$13,0)</f>
        <v>0</v>
      </c>
      <c r="GC37" s="313">
        <f>(_xlfn.MAXIFS(CtrlDevImpacts!$I$57:$I$156,CtrlDevImpacts!$H$57:$H$156,$FG37))*IFERROR($QR$13,0)</f>
        <v>0</v>
      </c>
      <c r="GD37" s="313">
        <f>(_xlfn.MAXIFS(Flare!$F$107:$F$216,Flare!$E$107:$E$216,$FG37)-_xlfn.MAXIFS(CtrlDevImpacts!$I$57:$I$156,CtrlDevImpacts!$H$57:$H$156,$FG37))*IFERROR($QR$13,0)</f>
        <v>0</v>
      </c>
      <c r="GE37" s="155">
        <f>_xlfn.MAXIFS(LandEmiss!$B$335:$B$434,LandEmiss!$A$335:$A$434,$FG37)*IFERROR($QR$13,0)</f>
        <v>0</v>
      </c>
      <c r="GF37" s="155">
        <f>(_xlfn.MAXIFS(LandEmiss!$BK$335:$BK$434,LandEmiss!$BJ$335:$BJ$434,$FG37)+_xlfn.MAXIFS(LandEmiss!$DV$323:$DV$422,LandEmiss!$DU$323:$DU$422,$FG37))*IFERROR($QR$13,0)</f>
        <v>0</v>
      </c>
      <c r="GG37" s="313">
        <f>IF(OR(VCU!$D$26="fuel gas",VCU!$D$42="fuel gas"),SUMIF(VCU!$E$120:$E$129,$FG37,VCU!$F$120:$F$129),0)*IFERROR($QR$14,0)</f>
        <v>0</v>
      </c>
      <c r="GH37" s="313">
        <f>(_xlfn.MAXIFS(CtrlDevImpacts!$X$57:$X$156,CtrlDevImpacts!$W$57:$W$156,$FG37))*IFERROR($QR$14,0)</f>
        <v>0</v>
      </c>
      <c r="GI37" s="313">
        <f>(_xlfn.MAXIFS(VCU!$F$130:$F$239,VCU!$E$130:$E$239,$FG37)-_xlfn.MAXIFS(CtrlDevImpacts!$X$57:$X$156,CtrlDevImpacts!$W$57:$W$156,$FG37))*IFERROR($QR$14,0)</f>
        <v>0</v>
      </c>
      <c r="GJ37" s="155">
        <f>_xlfn.MAXIFS(LandEmiss!$D$335:$D$434,LandEmiss!$A$335:$A$434,$FG37)*IFERROR($QR$14,0)</f>
        <v>0</v>
      </c>
      <c r="GK37" s="155">
        <f>(_xlfn.MAXIFS(LandEmiss!$BM$335:$BM$434,LandEmiss!$BJ$335:$BJ$434,$FG37)+_xlfn.MAXIFS(LandEmiss!$DX$323:$DX$422,LandEmiss!$DU$323:$DU$422,$FG37))*IFERROR($QR$14,0)</f>
        <v>0</v>
      </c>
      <c r="GL37" s="313">
        <f>IF(VaporOxidizer!D68="FUEL GAS",SUMIF(VaporOxidizer!$E$101:$E$110,$FG37,VaporOxidizer!$F$101:$F$110),0)*IFERROR($QR$15,0)</f>
        <v>0</v>
      </c>
      <c r="GM37" s="313">
        <f>(_xlfn.MAXIFS(CtrlDevImpacts!$AN$57:$AN$156,CtrlDevImpacts!$AM$57:$AM$156,$FG37))*IFERROR($QR$15,0)</f>
        <v>0</v>
      </c>
      <c r="GN37" s="313">
        <f>(_xlfn.MAXIFS(VaporOxidizer!$F$111:$F$220,VaporOxidizer!$E$111:$E$220,$FG37)-_xlfn.MAXIFS(CtrlDevImpacts!$AN$57:$AN$156,CtrlDevImpacts!$AM$57:$AM$156,$FG37))*IFERROR($QR$15,0)</f>
        <v>0</v>
      </c>
      <c r="GO37" s="155">
        <f>_xlfn.MAXIFS(LandEmiss!$F$335:$F$434,LandEmiss!$A$335:$A$434,$FG37)*IFERROR($QR$15,0)</f>
        <v>0</v>
      </c>
      <c r="GP37" s="155">
        <f>(_xlfn.MAXIFS(LandEmiss!$BK$335:$BK$434,LandEmiss!$BO$335:$BO$434,$FG37)+_xlfn.MAXIFS(LandEmiss!$DZ$323:$DZ$422,LandEmiss!$DU$323:$DU$422,$FG37))*IFERROR($QR$15,0)</f>
        <v>0</v>
      </c>
      <c r="GQ37" s="313">
        <f>_xlfn.MAXIFS(CtrlDevImpacts!$BD$57:$BD$156,CtrlDevImpacts!$BC$57:$BC$156,$FG37)*IFERROR(Hidden!$QR$16,0)</f>
        <v>0</v>
      </c>
      <c r="GR37" s="313">
        <f>(_xlfn.MAXIFS(CAS!$H$35:$H$144,CAS!$E$35:$E$144,$FG37)-_xlfn.MAXIFS(CtrlDevImpacts!$BD$57:$BD$156,CtrlDevImpacts!$BC$57:$BC$156,$FG37))*IFERROR(Hidden!$QR$16,0)</f>
        <v>0</v>
      </c>
      <c r="GS37" s="155">
        <f>_xlfn.MAXIFS(LandEmiss!$H$335:$H$434,LandEmiss!$A$335:$A$434,$FG37)*IFERROR($QR$27,0)</f>
        <v>0</v>
      </c>
      <c r="GT37" s="155">
        <f>(_xlfn.MAXIFS(LandEmiss!$BK$335:$BK$434,LandEmiss!$BQ$335:$BQ$434,$FG37)+_xlfn.MAXIFS(LandEmiss!$EB$323:$EB$422,LandEmiss!$DU$323:$DU$422,$FG37))*IFERROR($QR$27,0)</f>
        <v>0</v>
      </c>
      <c r="GU37" s="155">
        <f>_xlfn.MAXIFS(LandEmiss!$J$335:$J$434,LandEmiss!$A$335:$A$434,$FG37)*IFERROR($QR$26,0)</f>
        <v>0</v>
      </c>
      <c r="GV37" s="155">
        <f>(_xlfn.MAXIFS(LandEmiss!$BK$335:$BK$434,LandEmiss!$BS$335:$BS$434,$FG37)+_xlfn.MAXIFS(LandEmiss!$ED$323:$ED$422,LandEmiss!$DU$323:$DU$422,$FG37))*IFERROR($QR$26,0)</f>
        <v>0</v>
      </c>
      <c r="GW37" s="155">
        <f>_xlfn.MAXIFS(LandEmiss!$L$335:$L$434,LandEmiss!$A$335:$A$434,$FG37)*IFERROR($QR$25,0)</f>
        <v>0</v>
      </c>
      <c r="GX37" s="155">
        <f>(_xlfn.MAXIFS(LandEmiss!$BK$335:$BK$434,LandEmiss!$BU$335:$BU$434,$FG37)+_xlfn.MAXIFS(LandEmiss!$EF$323:$EF$422,LandEmiss!$DU$323:$DU$422,$FG37))*IFERROR($QR$25,0)</f>
        <v>0</v>
      </c>
      <c r="GY37" s="155">
        <v>0</v>
      </c>
      <c r="GZ37" s="155">
        <v>0</v>
      </c>
      <c r="HA37" s="155">
        <f>IF(OR(HeaterBoiler1!$E$26&lt;&gt;"fuel gas",HeaterBoiler1!$E$15&lt;&gt;"heater"),0,SUMIF(HeaterBoiler1!$A$54:$D$63,$FG37,HeaterBoiler1!$I$54:$I$63))*IFERROR($QR$19,0)</f>
        <v>0</v>
      </c>
      <c r="HB37" s="207">
        <f>IF(OR(HeaterBoiler2!$E$26&lt;&gt;"fuel gas",HeaterBoiler2!$E$15&lt;&gt;"heater"),0,SUMIF(HeaterBoiler2!$A$54:$D$63,$FG37,HeaterBoiler2!$I$54:$I$63))*IFERROR($QR$21,0)</f>
        <v>0</v>
      </c>
      <c r="HC37" s="155">
        <f>IF(OR(HeaterBoiler1!$E$26&lt;&gt;"fuel gas",HeaterBoiler1!$E$15&lt;&gt;"boiler"),0,SUMIF(HeaterBoiler1!$A$41:$A$50,$FG37,HeaterBoiler1!$F$41:$F$50))*IFERROR($QR$20,0)</f>
        <v>0</v>
      </c>
      <c r="HD37" s="207">
        <f>IF(OR(HeaterBoiler2!$E$26&lt;&gt;"fuel gas",HeaterBoiler2!$E$15&lt;&gt;"boiler"),0,SUMIF(HeaterBoiler2!$A$41:$A$50,$FG37,HeaterBoiler2!$F$41:$F$50))*IFERROR($QR$22,0)</f>
        <v>0</v>
      </c>
      <c r="HE37" s="155">
        <f>SUMIF(Fug!$A$96:$A$205,$FG37,Fug!$I$96:$I$205)*IFERROR(Hidden!$QR$23,0)</f>
        <v>0</v>
      </c>
      <c r="HF37" s="155">
        <f t="shared" si="24"/>
        <v>0</v>
      </c>
      <c r="HG37" s="156">
        <f t="shared" si="25"/>
        <v>0</v>
      </c>
      <c r="HH37" s="156">
        <f t="shared" si="26"/>
        <v>0</v>
      </c>
      <c r="HI37" s="156">
        <f t="shared" si="27"/>
        <v>0</v>
      </c>
      <c r="HJ37" s="156">
        <f t="shared" si="28"/>
        <v>0</v>
      </c>
      <c r="HK37" s="156">
        <f t="shared" si="29"/>
        <v>0</v>
      </c>
      <c r="HL37" s="156">
        <f t="shared" si="30"/>
        <v>0</v>
      </c>
      <c r="NO37" s="155">
        <f>IF(Tank1!$D$22="No control",(SUMIF(Tank1!$E$32:$E$141,$FG37,Tank1!$H$32:$H$141)*(2000/8760)*IFERROR($QV$3,0)),0)</f>
        <v>0</v>
      </c>
      <c r="NP37" s="156">
        <f>SUMIF(LandEmiss!$AE$20:$AE$119,$FG37,LandEmiss!$AK$20:$AK$119)*(2000/8760)*IFERROR($QV$3,0)</f>
        <v>0</v>
      </c>
      <c r="NQ37" s="156">
        <f>(SUMIF(LandEmiss!$CN$20:$CN$119,$FG37,LandEmiss!$CT$20:$CT$119)+SUMIF(LandEmiss!$EY$9:$EY$108,$FG37,LandEmiss!$FE$9:$FE$108))*IFERROR($QV$3,0)*(2000/8760)</f>
        <v>0</v>
      </c>
      <c r="NR37" s="155">
        <f>IF(Tank2!$D$22="No control",(SUMIF(Tank2!$E$32:$E$141,$FG37,Tank2!$H$32:$H$141)*(2000/8760)*IFERROR($QV$4,0)),0)</f>
        <v>0</v>
      </c>
      <c r="NS37" s="156">
        <f>SUMIF(LandEmiss!$AE$20:$AE$119,$FG37,LandEmiss!$AL$20:$AL$119)*(2000/8760)*IFERROR($QV$4,0)</f>
        <v>0</v>
      </c>
      <c r="NT37" s="156">
        <f>(SUMIF(LandEmiss!$CN$20:$CN$119,$FG37,LandEmiss!$CU$20:$CU$119)+SUMIF(LandEmiss!$EY$9:$EY$108,$FG37,LandEmiss!$FF$9:$FF$108))*IFERROR($QV$4,0)*(2000/8760)</f>
        <v>0</v>
      </c>
      <c r="NU37" s="155">
        <f>IF(Tank3!$D$22="No control",(SUMIF(Tank3!$E$32:$E$141,$FG37,Tank3!$H$32:$H$141)*(2000/8760)*IFERROR($QV$5,0)),0)</f>
        <v>0</v>
      </c>
      <c r="NV37" s="156">
        <f>SUMIF(LandEmiss!$AE$20:$AE$119,$FG37,LandEmiss!$AM$20:$AM$119)*(2000/8760)*IFERROR($QV$5,0)</f>
        <v>0</v>
      </c>
      <c r="NW37" s="156">
        <f>(SUMIF(LandEmiss!$CN$20:$CN$119,$FG37,LandEmiss!$CV$20:$CV$119)+SUMIF(LandEmiss!$EY$9:$EY$108,$FG37,LandEmiss!$FG$9:$FG$108))*IFERROR($QV$5,0)*(2000/8760)</f>
        <v>0</v>
      </c>
      <c r="NX37" s="155">
        <f>IF(Tank4!$D$22="No control",(SUMIF(Tank4!$E$32:$E$141,$FG37,Tank4!$H$32:$H$141)*(2000/8760)*IFERROR($QV$6,0)),0)</f>
        <v>0</v>
      </c>
      <c r="NY37" s="156">
        <f>SUMIF(LandEmiss!$AE$20:$AE$119,$FG37,LandEmiss!$AN$20:$AN$119)*(2000/8760)*IFERROR($QV$6,0)</f>
        <v>0</v>
      </c>
      <c r="NZ37" s="156">
        <f>(SUMIF(LandEmiss!$CN$20:$CN$119,$FG37,LandEmiss!$CW$20:$CW$119)+SUMIF(LandEmiss!$EY$9:$EY$108,$FG37,LandEmiss!$FH$9:$FH$108))*IFERROR($QV$6,0)*(2000/8760)</f>
        <v>0</v>
      </c>
      <c r="OA37" s="155">
        <f>IF(Tank5!$D$22="No control",(SUMIF(Tank5!$E$32:$E$141,$FG37,Tank5!$H$32:$H$141)*(2000/8760)*IFERROR($QV$7,0)),0)</f>
        <v>0</v>
      </c>
      <c r="OB37" s="156">
        <f>SUMIF(LandEmiss!$AE$20:$AE$119,$FG37,LandEmiss!$AO$20:$AO$119)*(2000/8760)*IFERROR($QV$7,0)</f>
        <v>0</v>
      </c>
      <c r="OC37" s="156">
        <f>(SUMIF(LandEmiss!$CN$20:$CN$119,$FG37,LandEmiss!$CX$20:$CX$119)+SUMIF(LandEmiss!$EY$9:$EY$108,$FG37,LandEmiss!$FI$9:$FI$108))*IFERROR($QV$7,0)*(2000/8760)</f>
        <v>0</v>
      </c>
      <c r="OD37" s="155">
        <f>SUMIFS('Load-DrumTote'!$L$27:$L$136,'Load-DrumTote'!$F$27:$F$136,$FG37)*IFERROR($QV$8,0)*(2000/8760)</f>
        <v>0</v>
      </c>
      <c r="OE37" s="155">
        <f>SUMIFS('Load-Truck'!$L$27:$L$136,'Load-Truck'!$F$27:$F$136,$FG37)*IFERROR($QV$9,0)*(2000/8760)</f>
        <v>0</v>
      </c>
      <c r="OF37" s="155">
        <f>SUMIFS('Load-Rail'!$L$27:$L$136,'Load-Rail'!$F$27:$F$136,$FG37)*IFERROR($QV$10,0)*(2000/8760)</f>
        <v>0</v>
      </c>
      <c r="OG37" s="155">
        <f>SUMIFS('Load-MarineBarge'!$L$27:$L$136,'Load-MarineBarge'!$F$27:$F$136,$FG37)*IFERROR($QV$11,0)*(2000/8760)</f>
        <v>0</v>
      </c>
      <c r="OH37" s="155">
        <f>SUMIFS('Load-MarineShip'!$L$27:$L$136,'Load-MarineShip'!$F$27:$F$136,$FG37)*IFERROR($QV$12,0)*(2000/8760)</f>
        <v>0</v>
      </c>
      <c r="OI37" s="155">
        <f>(IF(OR(Flare!$D$24="FUEL GAS",Flare!$D$38="FUEL GAS"),SUMIF(Flare!$E$97:$E$106,$FG37,Flare!$G$97:$G$105),0)+SUMIF(Flare!$E$107:$E$216,$FG37,Flare!$G$107:$G$216))*(2000/8730)*IFERROR($QV$13,0)</f>
        <v>0</v>
      </c>
      <c r="OJ37" s="155">
        <f>SUMIF(LandEmiss!$A$335:$A$434,$FG37,LandEmiss!$C$335:$C$434)*(2000/8760)*IFERROR($QV$13,0)</f>
        <v>0</v>
      </c>
      <c r="OK37" s="155">
        <f>(SUMIF(LandEmiss!$BJ$335:$BJ$434,$FG37,LandEmiss!$BL$335:$BL$434)+SUMIF(LandEmiss!$DU$323:$DU$422,$FG37,LandEmiss!$DW$323:$DW$422))*(2000/8760)*IFERROR($QV$13,0)</f>
        <v>0</v>
      </c>
      <c r="OL37" s="155">
        <f>(IF(OR(VCU!$D$26="FUEL GAS",VCU!$D$42="FUEL GAS"),SUMIF(VCU!$E$120:$E$129,$FG37,VCU!$G$120:$G$129),0)+SUMIF(VCU!$E$130:$E$239,$FG37,VCU!G165:G274))*(2000/8760)*IFERROR($QV$14,0)</f>
        <v>0</v>
      </c>
      <c r="OM37" s="155">
        <f>SUMIF(LandEmiss!$A$335:$A$434,$FG37,LandEmiss!$E$335:$E$434)*(2000/8760)*IFERROR($QV$14,0)</f>
        <v>0</v>
      </c>
      <c r="ON37" s="155">
        <f>(SUMIF(LandEmiss!$BJ$335:$BJ$434,$FG37,LandEmiss!$BN$335:$BN$434)+SUMIF(LandEmiss!$DU$323:$DU$422,$FG37,LandEmiss!$DY$323:$DY$422))*(2000/8760)*IFERROR($QV$14,0)</f>
        <v>0</v>
      </c>
      <c r="OO37" s="155">
        <f>(IF(VaporOxidizer!$D$33="FUEL GAS",SUMIF(VaporOxidizer!$E$101:$E$110,$FG37,VaporOxidizer!$G$101:$G$110),0)+SUMIF(VaporOxidizer!$E$111:$E$220,$FG37,VaporOxidizer!$G$111:$G$220))*(2000/8760)*IFERROR($QV$15,0)</f>
        <v>0</v>
      </c>
      <c r="OP37" s="155">
        <f>SUMIF(LandEmiss!$A$335:$A$434,$FG37,LandEmiss!$G$335:$G$434)*(2000/8760)*IFERROR($QV$15,0)</f>
        <v>0</v>
      </c>
      <c r="OQ37" s="155">
        <f>(SUMIF(LandEmiss!$BJ$335:$BJ$434,$FG37,LandEmiss!$BP$335:$BP$434)+SUMIF(LandEmiss!$DU$323:$DU$422,$FG37,LandEmiss!$EA$323:$EA$422))*(2000/8760)*IFERROR($QV$15,0)</f>
        <v>0</v>
      </c>
      <c r="OR37" s="155">
        <f>SUMIF(CAS!$E$35:$E$144,Hidden!$FG37,CAS!$I$35:$I$144)*IFERROR($QV$16,0)*(2000/8760)</f>
        <v>0</v>
      </c>
      <c r="OS37" s="155">
        <f>SUMIF(LandEmiss!$A$335:$A$434,$FG37,LandEmiss!$I$335:$I$434)*(2000/8760)*IFERROR($QV$27,0)</f>
        <v>0</v>
      </c>
      <c r="OT37" s="155">
        <f>(SUMIF(LandEmiss!$BJ$335:$BJ$434,$FG37,LandEmiss!$BR$335:$BR$434)+SUMIF(LandEmiss!$DU$323:$DU$422,$FG37,LandEmiss!$EC$323:$EC$422))*(2000/8760)*IFERROR($QV$27,0)</f>
        <v>0</v>
      </c>
      <c r="OU37" s="155">
        <f>SUMIF(LandEmiss!$A$335:$A$434,$FG37,LandEmiss!$K$335:$K$434)*(2000/8760)*IFERROR($QV$26,0)</f>
        <v>0</v>
      </c>
      <c r="OV37" s="155">
        <f>(SUMIF(LandEmiss!$BJ$335:$BJ$434,$FG37,LandEmiss!$BT$335:$BT$434)+SUMIF(LandEmiss!$DU$323:$DU$422,$FG37,LandEmiss!$EE$323:$EE$422))*(2000/8760)*IFERROR($QV$26,0)</f>
        <v>0</v>
      </c>
      <c r="OW37" s="155">
        <f>SUMIF(LandEmiss!$A$335:$A$434,$FG37,LandEmiss!$M$335:$M$434)*(2000/8760)*IFERROR($QV$25,0)</f>
        <v>0</v>
      </c>
      <c r="OX37" s="155">
        <f>(SUMIF(LandEmiss!$BJ$335:$BJ$434,$FG37,LandEmiss!$BV$335:$BV$434)+SUMIF(LandEmiss!$DU$323:$DU$422,$FG37,LandEmiss!$EG$323:$EG$422))*(2000/8760)*IFERROR($QV$25,0)</f>
        <v>0</v>
      </c>
      <c r="OY37" s="8">
        <v>0</v>
      </c>
      <c r="OZ37" s="207">
        <v>0</v>
      </c>
      <c r="PA37" s="207">
        <f>IF(OR(HeaterBoiler1!$E$26&lt;&gt;"fuel gas",HeaterBoiler1!$E$15&lt;&gt;"heater"),0,(SUMIF(HeaterBoiler1!$A$54:$D$63,$FG37,HeaterBoiler1!$J$54:$J$63))*(2000/8760))*IFERROR($QV$19,0)</f>
        <v>0</v>
      </c>
      <c r="PB37" s="207">
        <f>IF(OR(HeaterBoiler2!$E$26&lt;&gt;"fuel gas",HeaterBoiler2!$E$15&lt;&gt;"heater"),0,(SUMIF(HeaterBoiler2!$A$54:$D$63,$FG37,HeaterBoiler2!$J$54:$J$63))*(2000/8760))*IFERROR($QV$21,0)</f>
        <v>0</v>
      </c>
      <c r="PC37" s="207">
        <f>IF(OR(HeaterBoiler1!$E$26&lt;&gt;"fuel gas",HeaterBoiler1!$E$15&lt;&gt;"boiler"),0,(SUMIF(HeaterBoiler1!$A$54:$D$63,$FG37,HeaterBoiler1!$J$54:$J$63))*(2000/8760))*IFERROR($QV$20,0)</f>
        <v>0</v>
      </c>
      <c r="PD37" s="207">
        <f>IF(OR(HeaterBoiler2!$E$26&lt;&gt;"fuel gas",HeaterBoiler2!$E$15&lt;&gt;"boiler"),0,(SUMIF(HeaterBoiler2!$A$54:$D$63,$FG37,HeaterBoiler2!$J$54:$J$63))*(2000/8760))*IFERROR($QV$22,0)</f>
        <v>0</v>
      </c>
      <c r="PE37" s="8">
        <f>(SUMIF(Fug!$A$96:$A$205,$FG37,Fug!$J$96:$J$205))*IFERROR($QV$23,0)*(2000/8760)</f>
        <v>0</v>
      </c>
      <c r="PF37" s="8">
        <f t="shared" si="31"/>
        <v>0</v>
      </c>
      <c r="PG37" s="156">
        <f t="shared" si="32"/>
        <v>0</v>
      </c>
      <c r="PJ37" s="52" t="str">
        <f>IF(Fug!$F$16=Hidden!$PP$2,"Open-Ended Lines","")</f>
        <v/>
      </c>
      <c r="PK37" s="52" t="str">
        <f>IF(Fug!$F$16=Hidden!$PP$2,"Heavy Oil &lt; 20° API","")</f>
        <v/>
      </c>
      <c r="PL37" s="52"/>
      <c r="PM37" s="52"/>
      <c r="PN37" s="52"/>
      <c r="PO37" s="52"/>
      <c r="PP37" s="52">
        <v>3.0899999999999998E-4</v>
      </c>
      <c r="PQ37" s="52"/>
      <c r="PR37" s="52"/>
      <c r="PS37" s="52"/>
      <c r="PT37" s="52" t="s">
        <v>8792</v>
      </c>
      <c r="PU37" s="52" t="s">
        <v>8780</v>
      </c>
      <c r="PV37" s="52">
        <v>0</v>
      </c>
      <c r="PW37" s="52">
        <v>0.97</v>
      </c>
      <c r="PX37" s="52">
        <v>0.97</v>
      </c>
      <c r="PY37" s="52">
        <v>0.97</v>
      </c>
      <c r="PZ37" s="52">
        <v>0</v>
      </c>
      <c r="QA37" s="52">
        <v>0</v>
      </c>
      <c r="QB37" s="52"/>
      <c r="QC37" s="52"/>
      <c r="QD37" s="52"/>
      <c r="QE37" s="52"/>
      <c r="QF37" s="52"/>
      <c r="QG37" s="52"/>
      <c r="QH37" s="52"/>
      <c r="QI37" s="52"/>
      <c r="QX37" s="89" t="s">
        <v>9315</v>
      </c>
      <c r="QY37">
        <v>558.29999999999995</v>
      </c>
      <c r="QZ37">
        <v>453</v>
      </c>
      <c r="RA37">
        <v>352.5</v>
      </c>
      <c r="RB37">
        <v>202.9</v>
      </c>
      <c r="RC37">
        <v>137.5</v>
      </c>
      <c r="RD37">
        <v>114.3</v>
      </c>
      <c r="RE37">
        <v>98.15</v>
      </c>
      <c r="RF37">
        <v>71.260000000000005</v>
      </c>
      <c r="RG37" s="90">
        <v>58.3</v>
      </c>
      <c r="RH37" s="89" t="s">
        <v>9315</v>
      </c>
      <c r="RI37">
        <v>500.8</v>
      </c>
      <c r="RJ37">
        <v>283</v>
      </c>
      <c r="RK37">
        <v>201.6</v>
      </c>
      <c r="RL37">
        <v>127.3</v>
      </c>
      <c r="RM37">
        <v>105.3</v>
      </c>
      <c r="RN37">
        <v>94.62</v>
      </c>
      <c r="RO37">
        <v>85.48</v>
      </c>
      <c r="RP37">
        <v>66.930000000000007</v>
      </c>
      <c r="RQ37" s="90">
        <v>53.88</v>
      </c>
      <c r="RR37" s="89" t="s">
        <v>9315</v>
      </c>
      <c r="RS37">
        <v>413.7</v>
      </c>
      <c r="RT37">
        <v>231.1</v>
      </c>
      <c r="RU37">
        <v>149.4</v>
      </c>
      <c r="RV37">
        <v>106.1</v>
      </c>
      <c r="RW37">
        <v>86.17</v>
      </c>
      <c r="RX37">
        <v>73.510000000000005</v>
      </c>
      <c r="RY37">
        <v>68.53</v>
      </c>
      <c r="RZ37">
        <v>53.51</v>
      </c>
      <c r="SA37" s="90">
        <v>42.44</v>
      </c>
      <c r="SB37" s="89" t="s">
        <v>9315</v>
      </c>
      <c r="SC37">
        <v>201.3</v>
      </c>
      <c r="SD37">
        <v>111</v>
      </c>
      <c r="SE37">
        <v>68.48</v>
      </c>
      <c r="SF37">
        <v>50.07</v>
      </c>
      <c r="SG37">
        <v>40.35</v>
      </c>
      <c r="SH37">
        <v>34.01</v>
      </c>
      <c r="SI37">
        <v>29.61</v>
      </c>
      <c r="SJ37">
        <v>21.22</v>
      </c>
      <c r="SK37" s="90">
        <v>15.97</v>
      </c>
      <c r="SL37" s="89" t="s">
        <v>9315</v>
      </c>
      <c r="SM37">
        <v>49.26</v>
      </c>
      <c r="SN37">
        <v>27.59</v>
      </c>
      <c r="SO37">
        <v>17.989999999999998</v>
      </c>
      <c r="SP37">
        <v>12.99</v>
      </c>
      <c r="SQ37">
        <v>10.050000000000001</v>
      </c>
      <c r="SR37">
        <v>7.91</v>
      </c>
      <c r="SS37">
        <v>6.45</v>
      </c>
      <c r="ST37">
        <v>4.1100000000000003</v>
      </c>
      <c r="SU37" s="90">
        <v>2.87</v>
      </c>
    </row>
    <row r="38" spans="1:533" ht="74.25" customHeight="1" x14ac:dyDescent="0.2">
      <c r="A38" s="8" t="s">
        <v>215</v>
      </c>
      <c r="B38" s="8">
        <v>14</v>
      </c>
      <c r="W38">
        <f>IF(OR(X38=0,ISNUMBER(MATCH(X38,$X$1:X37,0))),0,MAX($W$1:W37)+1)</f>
        <v>0</v>
      </c>
      <c r="X38" s="123">
        <f>Products!$E85</f>
        <v>0</v>
      </c>
      <c r="Y38" t="str">
        <f t="shared" si="39"/>
        <v/>
      </c>
      <c r="CA38">
        <f>IF(OR(CB38=0,ISNUMBER(MATCH(CB38,$CB$1:CB37,0))),0,MAX($CA$1:CA37)+1)</f>
        <v>0</v>
      </c>
      <c r="CB38" s="8">
        <f>IF(OR(Tank1!$D$18="EXTERNAL FLOATING ROOF",Tank1!$D$18="INTERNAL FLOATING ROOF"),IF(Tank1!$E68="",0,Tank1!$E68),0)</f>
        <v>0</v>
      </c>
      <c r="CC38" s="8" t="str">
        <f t="shared" si="40"/>
        <v/>
      </c>
      <c r="CD38" s="8"/>
      <c r="CE38" s="8">
        <f>IF(OR(CF38=0,ISNUMBER(MATCH(CF38,$CF$1:CF37,0))),0,MAX($CE$1:CE37)+1)</f>
        <v>0</v>
      </c>
      <c r="CF38" s="8">
        <f>IF(OR(Tank1!$D$18="HORIZONTAL FIXED ROOF",Tank1!$D$18="VERTICAL FIXED ROOF"),IF(Tank1!$E68="",0,Tank1!$E68),0)</f>
        <v>0</v>
      </c>
      <c r="CG38" s="8" t="str">
        <f t="shared" si="41"/>
        <v/>
      </c>
      <c r="CJ38">
        <f>IF(OR(CK38=0,ISNUMBER(MATCH(CK38,$CK$1:CK37,0))),0,MAX($CJ$1:CJ37)+1)</f>
        <v>0</v>
      </c>
      <c r="CK38">
        <f>Tank4!$A$98</f>
        <v>0</v>
      </c>
      <c r="CM38">
        <f>IFERROR(VLOOKUP($CK38,Tank4!$A$32:$D$141,3,FALSE),0)</f>
        <v>0</v>
      </c>
      <c r="CN38">
        <f>IFERROR(VLOOKUP($CK38,Tank4!$A$32:$D$141,4,FALSE),0)</f>
        <v>0</v>
      </c>
      <c r="DM38">
        <f>IF(OR(DN38=0,ISNUMBER(MATCH(DN38,$DN$1:DN37,0))),0,MAX($DM$1:DM37)+1)</f>
        <v>0</v>
      </c>
      <c r="DN38">
        <f>IF(Tank4!$D$22="Flare",IFERROR(VLOOKUP(Products!$A$119,Tank4!$A$32:$B$141,1,FALSE),0),0)</f>
        <v>0</v>
      </c>
      <c r="DO38">
        <f>IF($DN38=0,0,VLOOKUP($DN38,Tank4!$A$32:$H$141,7,FALSE))</f>
        <v>0</v>
      </c>
      <c r="DP38">
        <f>IF($DN38=0,0,VLOOKUP($DN38,Tank4!$A$32:$H$141,8,FALSE))</f>
        <v>0</v>
      </c>
      <c r="DU38">
        <f>IF(OR(DV38=0,ISNUMBER(MATCH(DV38,$DV$1:DV37,0))),0,MAX($DU$1:DU37)+1)</f>
        <v>0</v>
      </c>
      <c r="DV38">
        <f>IF(Tank4!$D$22="VCU",IFERROR(VLOOKUP(Products!$A$119,Tank4!$A$32:$B$141,1,FALSE),0),0)</f>
        <v>0</v>
      </c>
      <c r="DW38">
        <f>IF($DV38=0,0,VLOOKUP($DV38,Tank4!$A$32:$H$141,7,FALSE))</f>
        <v>0</v>
      </c>
      <c r="DX38">
        <f>IF($DV38=0,0,VLOOKUP($DV38,Tank4!$A$32:$H$141,8,FALSE))</f>
        <v>0</v>
      </c>
      <c r="EC38">
        <f>IF(OR(ED38=0,ISNUMBER(MATCH(ED38,$ED$1:ED37,0))),0,MAX($EC$1:EC37)+1)</f>
        <v>0</v>
      </c>
      <c r="ED38">
        <f>IF(Tank4!$D$22="vapor oxidizer",IFERROR(VLOOKUP(Products!$A$119,Tank4!$A$32:$B$141,1,FALSE),0),0)</f>
        <v>0</v>
      </c>
      <c r="EE38">
        <f>IF($ED38=0,0,VLOOKUP($ED38,Tank4!$A$32:$H$141,7,FALSE))</f>
        <v>0</v>
      </c>
      <c r="EF38">
        <f>IF($ED38=0,0,VLOOKUP($ED38,Tank4!$A$32:$H$141,8,FALSE))</f>
        <v>0</v>
      </c>
      <c r="EK38">
        <f>IF(OR(EL38=0,ISNUMBER(MATCH(EL38,$EL$1:EL37,0))),0,MAX($EK$1:EK37)+1)</f>
        <v>0</v>
      </c>
      <c r="EL38">
        <f>IF(Tank4!$D$22="CAS",IFERROR(VLOOKUP(Products!A119,Tank4!$A$32:$B$141,1,FALSE),0),0)</f>
        <v>0</v>
      </c>
      <c r="EM38">
        <f>IF($EL38=0,0,VLOOKUP($EL38,Tank4!$A$32:$H$141,7,FALSE))</f>
        <v>0</v>
      </c>
      <c r="EN38">
        <f>IF($EL38=0,0,VLOOKUP($EL38,Tank4!$A$32:$H$141,8,FALSE))</f>
        <v>0</v>
      </c>
      <c r="FB38" s="8" t="s">
        <v>429</v>
      </c>
      <c r="FC38" s="8" t="s">
        <v>430</v>
      </c>
      <c r="FD38" s="8">
        <v>960</v>
      </c>
      <c r="FE38" s="8">
        <v>96</v>
      </c>
      <c r="FG38" s="360" t="str">
        <f t="shared" si="23"/>
        <v/>
      </c>
      <c r="FH38" s="155">
        <f>IF(Tank1!$D$22="NO CONTROL",_xlfn.MAXIFS(Tank1!$G$32:$G$141,Tank1!$E$32:$E$141,$FG38),0)*IFERROR($QR$3,0)</f>
        <v>0</v>
      </c>
      <c r="FI38" s="155">
        <f>_xlfn.MAXIFS(LandEmiss!$AF$20:$AF$119,LandEmiss!$AE$20:$AE$119,$FG38)*IFERROR($QR$3,0)</f>
        <v>0</v>
      </c>
      <c r="FJ38" s="155">
        <f>MAX(_xlfn.MAXIFS(LandEmiss!$CO$20:$CO$119,LandEmiss!$CN$20:$CN$119,$FG38),_xlfn.MAXIFS(LandEmiss!$EZ$9:$EZ$108,LandEmiss!$EY$9:$EY$108,$FG38))*IFERROR($QR$3,0)</f>
        <v>0</v>
      </c>
      <c r="FK38" s="155">
        <f>IF(Tank2!$D$22="NO CONTROL",_xlfn.MAXIFS(Tank2!$G$32:$G$141,Tank2!$E$32:$E$141,$FG38),0)*IFERROR($QR$4,0)</f>
        <v>0</v>
      </c>
      <c r="FL38" s="155">
        <f>_xlfn.MAXIFS(LandEmiss!$AG$20:$AG$119,LandEmiss!$AE$20:$AE$119,$FG38)*IFERROR($QR$4,0)</f>
        <v>0</v>
      </c>
      <c r="FM38" s="155">
        <f>MAX(_xlfn.MAXIFS(LandEmiss!$CP$20:$CP$119,LandEmiss!$CN$20:$CN$119,$FG38),_xlfn.MAXIFS(LandEmiss!$FA$9:$FA$108,LandEmiss!$EY$9:$EY$108,$FG38))*IFERROR($QR$4,0)</f>
        <v>0</v>
      </c>
      <c r="FN38" s="155">
        <f>IF(Tank3!$D$22="NO CONTROL",_xlfn.MAXIFS(Tank3!$G$32:$G$141,Tank3!$E$32:$E$141,$FG38),0)*IFERROR($QR$5,0)</f>
        <v>0</v>
      </c>
      <c r="FO38" s="155">
        <f>_xlfn.MAXIFS(LandEmiss!$AH$20:$AH$119,LandEmiss!$AE$20:$AE$119,$FG38)*IFERROR($QR$5,0)</f>
        <v>0</v>
      </c>
      <c r="FP38" s="155">
        <f>MAX(_xlfn.MAXIFS(LandEmiss!$CQ$20:$CQ$119,LandEmiss!$CN$20:$CN$119,$FG38),_xlfn.MAXIFS(LandEmiss!$FB$9:$FB$108,LandEmiss!$EY$9:$EY$108,$FG38))*IFERROR($QR$5,0)</f>
        <v>0</v>
      </c>
      <c r="FQ38" s="155">
        <f>IF(Tank4!$D$22="NO CONTROL",_xlfn.MAXIFS(Tank4!$G$32:$G$141,Tank4!$E$32:$E$141,$FG38),0)*IFERROR($QR$6,0)</f>
        <v>0</v>
      </c>
      <c r="FR38" s="155">
        <f>_xlfn.MAXIFS(LandEmiss!$AI$20:$AI$119,LandEmiss!$AE$20:$AE$119,$FG38)*IFERROR($QR$6,0)</f>
        <v>0</v>
      </c>
      <c r="FS38" s="155">
        <f>MAX(_xlfn.MAXIFS(LandEmiss!$CR$20:$CR$119,LandEmiss!$CN$20:$CN$119,$FG38),_xlfn.MAXIFS(LandEmiss!$FC$9:$FC$108,LandEmiss!$EY$9:$EY$108,$FG38))*IFERROR($QR$6,0)</f>
        <v>0</v>
      </c>
      <c r="FT38" s="155">
        <f>IF(Tank5!$D$22="NO CONTROL",_xlfn.MAXIFS(Tank5!$G$32:$G$141,Tank5!$E$32:$E$141,$FG38),0)*IFERROR($QR$7,0)</f>
        <v>0</v>
      </c>
      <c r="FU38" s="155">
        <f>_xlfn.MAXIFS(LandEmiss!$AJ$20:$AJ$119,LandEmiss!$AE$20:$AE$119,$FG38)*IFERROR($QR$7,0)</f>
        <v>0</v>
      </c>
      <c r="FV38" s="155">
        <f>MAX(_xlfn.MAXIFS(LandEmiss!$CS$20:$CS$119,LandEmiss!$CN$20:$CN$119,$FG38),_xlfn.MAXIFS(LandEmiss!$FD$9:$FD$108,LandEmiss!$EY$9:$EY$108,$FG38))*IFERROR($QR43,0)</f>
        <v>0</v>
      </c>
      <c r="FW38" s="155">
        <f>_xlfn.MAXIFS('Load-DrumTote'!$K$27:$K$136,'Load-DrumTote'!$F$27:$F$136,$FG38)*IFERROR($QR$8,0)</f>
        <v>0</v>
      </c>
      <c r="FX38" s="155">
        <f>_xlfn.MAXIFS('Load-Truck'!$K$27:$K$136,'Load-Truck'!$F$27:$F$136,$FG38)*IFERROR($QR$9,0)</f>
        <v>0</v>
      </c>
      <c r="FY38" s="155">
        <f>_xlfn.MAXIFS('Load-Rail'!$K$27:$K$136,'Load-Rail'!$F$27:$F$136,$FG38)*IFERROR($QR$10,0)</f>
        <v>0</v>
      </c>
      <c r="FZ38" s="155">
        <f>_xlfn.MAXIFS('Load-MarineBarge'!$K$27:$K$136,'Load-MarineBarge'!$F$27:$F$136,$FG38)*IFERROR($QR$11,0)</f>
        <v>0</v>
      </c>
      <c r="GA38" s="155">
        <f>_xlfn.MAXIFS('Load-MarineShip'!$K$27:$K$136,'Load-MarineShip'!$F$27:$F$136,$FG38)*IFERROR($QR$12,0)</f>
        <v>0</v>
      </c>
      <c r="GB38" s="313">
        <f>IF(OR(Flare!$D$24="fuel gas",Flare!$D$38="fuel gas"),SUMIF(Flare!$E$97:$E$106,$FG38,Flare!$F$97:$F$106),0)*IFERROR($QR$13,0)</f>
        <v>0</v>
      </c>
      <c r="GC38" s="313">
        <f>(_xlfn.MAXIFS(CtrlDevImpacts!$I$57:$I$156,CtrlDevImpacts!$H$57:$H$156,$FG38))*IFERROR($QR$13,0)</f>
        <v>0</v>
      </c>
      <c r="GD38" s="313">
        <f>(_xlfn.MAXIFS(Flare!$F$107:$F$216,Flare!$E$107:$E$216,$FG38)-_xlfn.MAXIFS(CtrlDevImpacts!$I$57:$I$156,CtrlDevImpacts!$H$57:$H$156,$FG38))*IFERROR($QR$13,0)</f>
        <v>0</v>
      </c>
      <c r="GE38" s="155">
        <f>_xlfn.MAXIFS(LandEmiss!$B$335:$B$434,LandEmiss!$A$335:$A$434,$FG38)*IFERROR($QR$13,0)</f>
        <v>0</v>
      </c>
      <c r="GF38" s="155">
        <f>(_xlfn.MAXIFS(LandEmiss!$BK$335:$BK$434,LandEmiss!$BJ$335:$BJ$434,$FG38)+_xlfn.MAXIFS(LandEmiss!$DV$323:$DV$422,LandEmiss!$DU$323:$DU$422,$FG38))*IFERROR($QR$13,0)</f>
        <v>0</v>
      </c>
      <c r="GG38" s="313">
        <f>IF(OR(VCU!$D$26="fuel gas",VCU!$D$42="fuel gas"),SUMIF(VCU!$E$120:$E$129,$FG38,VCU!$F$120:$F$129),0)*IFERROR($QR$14,0)</f>
        <v>0</v>
      </c>
      <c r="GH38" s="313">
        <f>(_xlfn.MAXIFS(CtrlDevImpacts!$X$57:$X$156,CtrlDevImpacts!$W$57:$W$156,$FG38))*IFERROR($QR$14,0)</f>
        <v>0</v>
      </c>
      <c r="GI38" s="313">
        <f>(_xlfn.MAXIFS(VCU!$F$130:$F$239,VCU!$E$130:$E$239,$FG38)-_xlfn.MAXIFS(CtrlDevImpacts!$X$57:$X$156,CtrlDevImpacts!$W$57:$W$156,$FG38))*IFERROR($QR$14,0)</f>
        <v>0</v>
      </c>
      <c r="GJ38" s="155">
        <f>_xlfn.MAXIFS(LandEmiss!$D$335:$D$434,LandEmiss!$A$335:$A$434,$FG38)*IFERROR($QR$14,0)</f>
        <v>0</v>
      </c>
      <c r="GK38" s="155">
        <f>(_xlfn.MAXIFS(LandEmiss!$BM$335:$BM$434,LandEmiss!$BJ$335:$BJ$434,$FG38)+_xlfn.MAXIFS(LandEmiss!$DX$323:$DX$422,LandEmiss!$DU$323:$DU$422,$FG38))*IFERROR($QR$14,0)</f>
        <v>0</v>
      </c>
      <c r="GL38" s="313">
        <f>IF(VaporOxidizer!D69="FUEL GAS",SUMIF(VaporOxidizer!$E$101:$E$110,$FG38,VaporOxidizer!$F$101:$F$110),0)*IFERROR($QR$15,0)</f>
        <v>0</v>
      </c>
      <c r="GM38" s="313">
        <f>(_xlfn.MAXIFS(CtrlDevImpacts!$AN$57:$AN$156,CtrlDevImpacts!$AM$57:$AM$156,$FG38))*IFERROR($QR$15,0)</f>
        <v>0</v>
      </c>
      <c r="GN38" s="313">
        <f>(_xlfn.MAXIFS(VaporOxidizer!$F$111:$F$220,VaporOxidizer!$E$111:$E$220,$FG38)-_xlfn.MAXIFS(CtrlDevImpacts!$AN$57:$AN$156,CtrlDevImpacts!$AM$57:$AM$156,$FG38))*IFERROR($QR$15,0)</f>
        <v>0</v>
      </c>
      <c r="GO38" s="155">
        <f>_xlfn.MAXIFS(LandEmiss!$F$335:$F$434,LandEmiss!$A$335:$A$434,$FG38)*IFERROR($QR$15,0)</f>
        <v>0</v>
      </c>
      <c r="GP38" s="155">
        <f>(_xlfn.MAXIFS(LandEmiss!$BK$335:$BK$434,LandEmiss!$BO$335:$BO$434,$FG38)+_xlfn.MAXIFS(LandEmiss!$DZ$323:$DZ$422,LandEmiss!$DU$323:$DU$422,$FG38))*IFERROR($QR$15,0)</f>
        <v>0</v>
      </c>
      <c r="GQ38" s="313">
        <f>_xlfn.MAXIFS(CtrlDevImpacts!$BD$57:$BD$156,CtrlDevImpacts!$BC$57:$BC$156,$FG38)*IFERROR(Hidden!$QR$16,0)</f>
        <v>0</v>
      </c>
      <c r="GR38" s="313">
        <f>(_xlfn.MAXIFS(CAS!$H$35:$H$144,CAS!$E$35:$E$144,$FG38)-_xlfn.MAXIFS(CtrlDevImpacts!$BD$57:$BD$156,CtrlDevImpacts!$BC$57:$BC$156,$FG38))*IFERROR(Hidden!$QR$16,0)</f>
        <v>0</v>
      </c>
      <c r="GS38" s="155">
        <f>_xlfn.MAXIFS(LandEmiss!$H$335:$H$434,LandEmiss!$A$335:$A$434,$FG38)*IFERROR($QR$27,0)</f>
        <v>0</v>
      </c>
      <c r="GT38" s="155">
        <f>(_xlfn.MAXIFS(LandEmiss!$BK$335:$BK$434,LandEmiss!$BQ$335:$BQ$434,$FG38)+_xlfn.MAXIFS(LandEmiss!$EB$323:$EB$422,LandEmiss!$DU$323:$DU$422,$FG38))*IFERROR($QR$27,0)</f>
        <v>0</v>
      </c>
      <c r="GU38" s="155">
        <f>_xlfn.MAXIFS(LandEmiss!$J$335:$J$434,LandEmiss!$A$335:$A$434,$FG38)*IFERROR($QR$26,0)</f>
        <v>0</v>
      </c>
      <c r="GV38" s="155">
        <f>(_xlfn.MAXIFS(LandEmiss!$BK$335:$BK$434,LandEmiss!$BS$335:$BS$434,$FG38)+_xlfn.MAXIFS(LandEmiss!$ED$323:$ED$422,LandEmiss!$DU$323:$DU$422,$FG38))*IFERROR($QR$26,0)</f>
        <v>0</v>
      </c>
      <c r="GW38" s="155">
        <f>_xlfn.MAXIFS(LandEmiss!$L$335:$L$434,LandEmiss!$A$335:$A$434,$FG38)*IFERROR($QR$25,0)</f>
        <v>0</v>
      </c>
      <c r="GX38" s="155">
        <f>(_xlfn.MAXIFS(LandEmiss!$BK$335:$BK$434,LandEmiss!$BU$335:$BU$434,$FG38)+_xlfn.MAXIFS(LandEmiss!$EF$323:$EF$422,LandEmiss!$DU$323:$DU$422,$FG38))*IFERROR($QR$25,0)</f>
        <v>0</v>
      </c>
      <c r="GY38" s="155">
        <v>0</v>
      </c>
      <c r="GZ38" s="155">
        <v>0</v>
      </c>
      <c r="HA38" s="155">
        <f>IF(OR(HeaterBoiler1!$E$26&lt;&gt;"fuel gas",HeaterBoiler1!$E$15&lt;&gt;"heater"),0,SUMIF(HeaterBoiler1!$A$54:$D$63,$FG38,HeaterBoiler1!$I$54:$I$63))*IFERROR($QR$19,0)</f>
        <v>0</v>
      </c>
      <c r="HB38" s="207">
        <f>IF(OR(HeaterBoiler2!$E$26&lt;&gt;"fuel gas",HeaterBoiler2!$E$15&lt;&gt;"heater"),0,SUMIF(HeaterBoiler2!$A$54:$D$63,$FG38,HeaterBoiler2!$I$54:$I$63))*IFERROR($QR$21,0)</f>
        <v>0</v>
      </c>
      <c r="HC38" s="155">
        <f>IF(OR(HeaterBoiler1!$E$26&lt;&gt;"fuel gas",HeaterBoiler1!$E$15&lt;&gt;"boiler"),0,SUMIF(HeaterBoiler1!$A$41:$A$50,$FG38,HeaterBoiler1!$F$41:$F$50))*IFERROR($QR$20,0)</f>
        <v>0</v>
      </c>
      <c r="HD38" s="207">
        <f>IF(OR(HeaterBoiler2!$E$26&lt;&gt;"fuel gas",HeaterBoiler2!$E$15&lt;&gt;"boiler"),0,SUMIF(HeaterBoiler2!$A$41:$A$50,$FG38,HeaterBoiler2!$F$41:$F$50))*IFERROR($QR$22,0)</f>
        <v>0</v>
      </c>
      <c r="HE38" s="155">
        <f>SUMIF(Fug!$A$96:$A$205,$FG38,Fug!$I$96:$I$205)*IFERROR(Hidden!$QR$23,0)</f>
        <v>0</v>
      </c>
      <c r="HF38" s="155">
        <f t="shared" si="24"/>
        <v>0</v>
      </c>
      <c r="HG38" s="156">
        <f t="shared" si="25"/>
        <v>0</v>
      </c>
      <c r="HH38" s="156">
        <f t="shared" si="26"/>
        <v>0</v>
      </c>
      <c r="HI38" s="156">
        <f t="shared" si="27"/>
        <v>0</v>
      </c>
      <c r="HJ38" s="156">
        <f t="shared" si="28"/>
        <v>0</v>
      </c>
      <c r="HK38" s="156">
        <f t="shared" si="29"/>
        <v>0</v>
      </c>
      <c r="HL38" s="156">
        <f t="shared" si="30"/>
        <v>0</v>
      </c>
      <c r="NO38" s="155">
        <f>IF(Tank1!$D$22="No control",(SUMIF(Tank1!$E$32:$E$141,$FG38,Tank1!$H$32:$H$141)*(2000/8760)*IFERROR($QV$3,0)),0)</f>
        <v>0</v>
      </c>
      <c r="NP38" s="156">
        <f>SUMIF(LandEmiss!$AE$20:$AE$119,$FG38,LandEmiss!$AK$20:$AK$119)*(2000/8760)*IFERROR($QV$3,0)</f>
        <v>0</v>
      </c>
      <c r="NQ38" s="156">
        <f>(SUMIF(LandEmiss!$CN$20:$CN$119,$FG38,LandEmiss!$CT$20:$CT$119)+SUMIF(LandEmiss!$EY$9:$EY$108,$FG38,LandEmiss!$FE$9:$FE$108))*IFERROR($QV$3,0)*(2000/8760)</f>
        <v>0</v>
      </c>
      <c r="NR38" s="155">
        <f>IF(Tank2!$D$22="No control",(SUMIF(Tank2!$E$32:$E$141,$FG38,Tank2!$H$32:$H$141)*(2000/8760)*IFERROR($QV$4,0)),0)</f>
        <v>0</v>
      </c>
      <c r="NS38" s="156">
        <f>SUMIF(LandEmiss!$AE$20:$AE$119,$FG38,LandEmiss!$AL$20:$AL$119)*(2000/8760)*IFERROR($QV$4,0)</f>
        <v>0</v>
      </c>
      <c r="NT38" s="156">
        <f>(SUMIF(LandEmiss!$CN$20:$CN$119,$FG38,LandEmiss!$CU$20:$CU$119)+SUMIF(LandEmiss!$EY$9:$EY$108,$FG38,LandEmiss!$FF$9:$FF$108))*IFERROR($QV$4,0)*(2000/8760)</f>
        <v>0</v>
      </c>
      <c r="NU38" s="155">
        <f>IF(Tank3!$D$22="No control",(SUMIF(Tank3!$E$32:$E$141,$FG38,Tank3!$H$32:$H$141)*(2000/8760)*IFERROR($QV$5,0)),0)</f>
        <v>0</v>
      </c>
      <c r="NV38" s="156">
        <f>SUMIF(LandEmiss!$AE$20:$AE$119,$FG38,LandEmiss!$AM$20:$AM$119)*(2000/8760)*IFERROR($QV$5,0)</f>
        <v>0</v>
      </c>
      <c r="NW38" s="156">
        <f>(SUMIF(LandEmiss!$CN$20:$CN$119,$FG38,LandEmiss!$CV$20:$CV$119)+SUMIF(LandEmiss!$EY$9:$EY$108,$FG38,LandEmiss!$FG$9:$FG$108))*IFERROR($QV$5,0)*(2000/8760)</f>
        <v>0</v>
      </c>
      <c r="NX38" s="155">
        <f>IF(Tank4!$D$22="No control",(SUMIF(Tank4!$E$32:$E$141,$FG38,Tank4!$H$32:$H$141)*(2000/8760)*IFERROR($QV$6,0)),0)</f>
        <v>0</v>
      </c>
      <c r="NY38" s="156">
        <f>SUMIF(LandEmiss!$AE$20:$AE$119,$FG38,LandEmiss!$AN$20:$AN$119)*(2000/8760)*IFERROR($QV$6,0)</f>
        <v>0</v>
      </c>
      <c r="NZ38" s="156">
        <f>(SUMIF(LandEmiss!$CN$20:$CN$119,$FG38,LandEmiss!$CW$20:$CW$119)+SUMIF(LandEmiss!$EY$9:$EY$108,$FG38,LandEmiss!$FH$9:$FH$108))*IFERROR($QV$6,0)*(2000/8760)</f>
        <v>0</v>
      </c>
      <c r="OA38" s="155">
        <f>IF(Tank5!$D$22="No control",(SUMIF(Tank5!$E$32:$E$141,$FG38,Tank5!$H$32:$H$141)*(2000/8760)*IFERROR($QV$7,0)),0)</f>
        <v>0</v>
      </c>
      <c r="OB38" s="156">
        <f>SUMIF(LandEmiss!$AE$20:$AE$119,$FG38,LandEmiss!$AO$20:$AO$119)*(2000/8760)*IFERROR($QV$7,0)</f>
        <v>0</v>
      </c>
      <c r="OC38" s="156">
        <f>(SUMIF(LandEmiss!$CN$20:$CN$119,$FG38,LandEmiss!$CX$20:$CX$119)+SUMIF(LandEmiss!$EY$9:$EY$108,$FG38,LandEmiss!$FI$9:$FI$108))*IFERROR($QV$7,0)*(2000/8760)</f>
        <v>0</v>
      </c>
      <c r="OD38" s="155">
        <f>SUMIFS('Load-DrumTote'!$L$27:$L$136,'Load-DrumTote'!$F$27:$F$136,$FG38)*IFERROR($QV$8,0)*(2000/8760)</f>
        <v>0</v>
      </c>
      <c r="OE38" s="155">
        <f>SUMIFS('Load-Truck'!$L$27:$L$136,'Load-Truck'!$F$27:$F$136,$FG38)*IFERROR($QV$9,0)*(2000/8760)</f>
        <v>0</v>
      </c>
      <c r="OF38" s="155">
        <f>SUMIFS('Load-Rail'!$L$27:$L$136,'Load-Rail'!$F$27:$F$136,$FG38)*IFERROR($QV$10,0)*(2000/8760)</f>
        <v>0</v>
      </c>
      <c r="OG38" s="155">
        <f>SUMIFS('Load-MarineBarge'!$L$27:$L$136,'Load-MarineBarge'!$F$27:$F$136,$FG38)*IFERROR($QV$11,0)*(2000/8760)</f>
        <v>0</v>
      </c>
      <c r="OH38" s="155">
        <f>SUMIFS('Load-MarineShip'!$L$27:$L$136,'Load-MarineShip'!$F$27:$F$136,$FG38)*IFERROR($QV$12,0)*(2000/8760)</f>
        <v>0</v>
      </c>
      <c r="OI38" s="155">
        <f>(IF(OR(Flare!$D$24="FUEL GAS",Flare!$D$38="FUEL GAS"),SUMIF(Flare!$E$97:$E$106,$FG38,Flare!$G$97:$G$105),0)+SUMIF(Flare!$E$107:$E$216,$FG38,Flare!$G$107:$G$216))*(2000/8730)*IFERROR($QV$13,0)</f>
        <v>0</v>
      </c>
      <c r="OJ38" s="155">
        <f>SUMIF(LandEmiss!$A$335:$A$434,$FG38,LandEmiss!$C$335:$C$434)*(2000/8760)*IFERROR($QV$13,0)</f>
        <v>0</v>
      </c>
      <c r="OK38" s="155">
        <f>(SUMIF(LandEmiss!$BJ$335:$BJ$434,$FG38,LandEmiss!$BL$335:$BL$434)+SUMIF(LandEmiss!$DU$323:$DU$422,$FG38,LandEmiss!$DW$323:$DW$422))*(2000/8760)*IFERROR($QV$13,0)</f>
        <v>0</v>
      </c>
      <c r="OL38" s="155">
        <f>(IF(OR(VCU!$D$26="FUEL GAS",VCU!$D$42="FUEL GAS"),SUMIF(VCU!$E$120:$E$129,$FG38,VCU!$G$120:$G$129),0)+SUMIF(VCU!$E$130:$E$239,$FG38,VCU!G166:G275))*(2000/8760)*IFERROR($QV$14,0)</f>
        <v>0</v>
      </c>
      <c r="OM38" s="155">
        <f>SUMIF(LandEmiss!$A$335:$A$434,$FG38,LandEmiss!$E$335:$E$434)*(2000/8760)*IFERROR($QV$14,0)</f>
        <v>0</v>
      </c>
      <c r="ON38" s="155">
        <f>(SUMIF(LandEmiss!$BJ$335:$BJ$434,$FG38,LandEmiss!$BN$335:$BN$434)+SUMIF(LandEmiss!$DU$323:$DU$422,$FG38,LandEmiss!$DY$323:$DY$422))*(2000/8760)*IFERROR($QV$14,0)</f>
        <v>0</v>
      </c>
      <c r="OO38" s="155">
        <f>(IF(VaporOxidizer!$D$33="FUEL GAS",SUMIF(VaporOxidizer!$E$101:$E$110,$FG38,VaporOxidizer!$G$101:$G$110),0)+SUMIF(VaporOxidizer!$E$111:$E$220,$FG38,VaporOxidizer!$G$111:$G$220))*(2000/8760)*IFERROR($QV$15,0)</f>
        <v>0</v>
      </c>
      <c r="OP38" s="155">
        <f>SUMIF(LandEmiss!$A$335:$A$434,$FG38,LandEmiss!$G$335:$G$434)*(2000/8760)*IFERROR($QV$15,0)</f>
        <v>0</v>
      </c>
      <c r="OQ38" s="155">
        <f>(SUMIF(LandEmiss!$BJ$335:$BJ$434,$FG38,LandEmiss!$BP$335:$BP$434)+SUMIF(LandEmiss!$DU$323:$DU$422,$FG38,LandEmiss!$EA$323:$EA$422))*(2000/8760)*IFERROR($QV$15,0)</f>
        <v>0</v>
      </c>
      <c r="OR38" s="155">
        <f>SUMIF(CAS!$E$35:$E$144,Hidden!$FG38,CAS!$I$35:$I$144)*IFERROR($QV$16,0)*(2000/8760)</f>
        <v>0</v>
      </c>
      <c r="OS38" s="155">
        <f>SUMIF(LandEmiss!$A$335:$A$434,$FG38,LandEmiss!$I$335:$I$434)*(2000/8760)*IFERROR($QV$27,0)</f>
        <v>0</v>
      </c>
      <c r="OT38" s="155">
        <f>(SUMIF(LandEmiss!$BJ$335:$BJ$434,$FG38,LandEmiss!$BR$335:$BR$434)+SUMIF(LandEmiss!$DU$323:$DU$422,$FG38,LandEmiss!$EC$323:$EC$422))*(2000/8760)*IFERROR($QV$27,0)</f>
        <v>0</v>
      </c>
      <c r="OU38" s="155">
        <f>SUMIF(LandEmiss!$A$335:$A$434,$FG38,LandEmiss!$K$335:$K$434)*(2000/8760)*IFERROR($QV$26,0)</f>
        <v>0</v>
      </c>
      <c r="OV38" s="155">
        <f>(SUMIF(LandEmiss!$BJ$335:$BJ$434,$FG38,LandEmiss!$BT$335:$BT$434)+SUMIF(LandEmiss!$DU$323:$DU$422,$FG38,LandEmiss!$EE$323:$EE$422))*(2000/8760)*IFERROR($QV$26,0)</f>
        <v>0</v>
      </c>
      <c r="OW38" s="155">
        <f>SUMIF(LandEmiss!$A$335:$A$434,$FG38,LandEmiss!$M$335:$M$434)*(2000/8760)*IFERROR($QV$25,0)</f>
        <v>0</v>
      </c>
      <c r="OX38" s="155">
        <f>(SUMIF(LandEmiss!$BJ$335:$BJ$434,$FG38,LandEmiss!$BV$335:$BV$434)+SUMIF(LandEmiss!$DU$323:$DU$422,$FG38,LandEmiss!$EG$323:$EG$422))*(2000/8760)*IFERROR($QV$25,0)</f>
        <v>0</v>
      </c>
      <c r="OY38" s="8">
        <v>0</v>
      </c>
      <c r="OZ38" s="207">
        <v>0</v>
      </c>
      <c r="PA38" s="207">
        <f>IF(OR(HeaterBoiler1!$E$26&lt;&gt;"fuel gas",HeaterBoiler1!$E$15&lt;&gt;"heater"),0,(SUMIF(HeaterBoiler1!$A$54:$D$63,$FG38,HeaterBoiler1!$J$54:$J$63))*(2000/8760))*IFERROR($QV$19,0)</f>
        <v>0</v>
      </c>
      <c r="PB38" s="207">
        <f>IF(OR(HeaterBoiler2!$E$26&lt;&gt;"fuel gas",HeaterBoiler2!$E$15&lt;&gt;"heater"),0,(SUMIF(HeaterBoiler2!$A$54:$D$63,$FG38,HeaterBoiler2!$J$54:$J$63))*(2000/8760))*IFERROR($QV$21,0)</f>
        <v>0</v>
      </c>
      <c r="PC38" s="207">
        <f>IF(OR(HeaterBoiler1!$E$26&lt;&gt;"fuel gas",HeaterBoiler1!$E$15&lt;&gt;"boiler"),0,(SUMIF(HeaterBoiler1!$A$54:$D$63,$FG38,HeaterBoiler1!$J$54:$J$63))*(2000/8760))*IFERROR($QV$20,0)</f>
        <v>0</v>
      </c>
      <c r="PD38" s="207">
        <f>IF(OR(HeaterBoiler2!$E$26&lt;&gt;"fuel gas",HeaterBoiler2!$E$15&lt;&gt;"boiler"),0,(SUMIF(HeaterBoiler2!$A$54:$D$63,$FG38,HeaterBoiler2!$J$54:$J$63))*(2000/8760))*IFERROR($QV$22,0)</f>
        <v>0</v>
      </c>
      <c r="PE38" s="8">
        <f>(SUMIF(Fug!$A$96:$A$205,$FG38,Fug!$J$96:$J$205))*IFERROR($QV$23,0)*(2000/8760)</f>
        <v>0</v>
      </c>
      <c r="PF38" s="8">
        <f t="shared" si="31"/>
        <v>0</v>
      </c>
      <c r="PG38" s="156">
        <f t="shared" si="32"/>
        <v>0</v>
      </c>
      <c r="PJ38" s="52" t="str">
        <f>IF(Fug!$F$16=Hidden!$PP$2,"Open-Ended Lines","")</f>
        <v/>
      </c>
      <c r="PK38" s="52" t="str">
        <f>IF(Fug!$F$16=Hidden!$PP$2,"Light Oil &gt; 20°","")</f>
        <v/>
      </c>
      <c r="PL38" s="52"/>
      <c r="PM38" s="52"/>
      <c r="PN38" s="52"/>
      <c r="PO38" s="52"/>
      <c r="PP38" s="52">
        <v>3.0899999999999999E-3</v>
      </c>
      <c r="PQ38" s="52"/>
      <c r="PR38" s="52"/>
      <c r="PS38" s="52"/>
      <c r="PT38" s="52" t="s">
        <v>8792</v>
      </c>
      <c r="PU38" s="52" t="s">
        <v>8781</v>
      </c>
      <c r="PV38" s="52">
        <v>0</v>
      </c>
      <c r="PW38" s="52">
        <v>0.97</v>
      </c>
      <c r="PX38" s="52">
        <v>0.97</v>
      </c>
      <c r="PY38" s="52">
        <v>0.97</v>
      </c>
      <c r="PZ38" s="52">
        <v>0</v>
      </c>
      <c r="QA38" s="52">
        <v>0</v>
      </c>
      <c r="QB38" s="52"/>
      <c r="QC38" s="52"/>
      <c r="QD38" s="52"/>
      <c r="QE38" s="52"/>
      <c r="QF38" s="52"/>
      <c r="QG38" s="52"/>
      <c r="QH38" s="52"/>
      <c r="QI38" s="52"/>
      <c r="QX38" s="89" t="s">
        <v>9316</v>
      </c>
      <c r="QY38">
        <v>461.9</v>
      </c>
      <c r="QZ38">
        <v>355.1</v>
      </c>
      <c r="RA38">
        <v>293.8</v>
      </c>
      <c r="RB38">
        <v>175.1</v>
      </c>
      <c r="RC38">
        <v>121.4</v>
      </c>
      <c r="RD38">
        <v>91.81</v>
      </c>
      <c r="RE38">
        <v>82.27</v>
      </c>
      <c r="RF38">
        <v>60.73</v>
      </c>
      <c r="RG38" s="90">
        <v>49.68</v>
      </c>
      <c r="RH38" s="89" t="s">
        <v>9316</v>
      </c>
      <c r="RI38">
        <v>436.6</v>
      </c>
      <c r="RJ38">
        <v>232.3</v>
      </c>
      <c r="RK38">
        <v>161.69999999999999</v>
      </c>
      <c r="RL38">
        <v>103.2</v>
      </c>
      <c r="RM38">
        <v>79.150000000000006</v>
      </c>
      <c r="RN38">
        <v>71.989999999999995</v>
      </c>
      <c r="RO38">
        <v>66.42</v>
      </c>
      <c r="RP38">
        <v>55.07</v>
      </c>
      <c r="RQ38" s="90">
        <v>46.07</v>
      </c>
      <c r="RR38" s="89" t="s">
        <v>9316</v>
      </c>
      <c r="RS38">
        <v>356.1</v>
      </c>
      <c r="RT38">
        <v>193.8</v>
      </c>
      <c r="RU38">
        <v>119.4</v>
      </c>
      <c r="RV38">
        <v>82.37</v>
      </c>
      <c r="RW38">
        <v>66.59</v>
      </c>
      <c r="RX38">
        <v>57.22</v>
      </c>
      <c r="RY38">
        <v>53.06</v>
      </c>
      <c r="RZ38">
        <v>43.83</v>
      </c>
      <c r="SA38" s="90">
        <v>36.4</v>
      </c>
      <c r="SB38" s="89" t="s">
        <v>9316</v>
      </c>
      <c r="SC38">
        <v>172</v>
      </c>
      <c r="SD38">
        <v>92.63</v>
      </c>
      <c r="SE38">
        <v>54.61</v>
      </c>
      <c r="SF38">
        <v>38.78</v>
      </c>
      <c r="SG38">
        <v>31.67</v>
      </c>
      <c r="SH38">
        <v>26.56</v>
      </c>
      <c r="SI38">
        <v>24.14</v>
      </c>
      <c r="SJ38">
        <v>17.670000000000002</v>
      </c>
      <c r="SK38" s="90">
        <v>13.89</v>
      </c>
      <c r="SL38" s="89" t="s">
        <v>9316</v>
      </c>
      <c r="SM38">
        <v>41.43</v>
      </c>
      <c r="SN38">
        <v>22.63</v>
      </c>
      <c r="SO38">
        <v>14.09</v>
      </c>
      <c r="SP38">
        <v>10.029999999999999</v>
      </c>
      <c r="SQ38">
        <v>7.94</v>
      </c>
      <c r="SR38">
        <v>6.42</v>
      </c>
      <c r="SS38">
        <v>5.33</v>
      </c>
      <c r="ST38">
        <v>3.55</v>
      </c>
      <c r="SU38" s="90">
        <v>2.56</v>
      </c>
    </row>
    <row r="39" spans="1:533" ht="74.25" customHeight="1" x14ac:dyDescent="0.2">
      <c r="A39" s="8" t="s">
        <v>216</v>
      </c>
      <c r="B39" s="8">
        <v>10</v>
      </c>
      <c r="W39">
        <f>IF(OR(X39=0,ISNUMBER(MATCH(X39,$X$1:X38,0))),0,MAX($W$1:W38)+1)</f>
        <v>0</v>
      </c>
      <c r="X39" s="123">
        <f>Products!$E86</f>
        <v>0</v>
      </c>
      <c r="Y39" t="str">
        <f t="shared" si="39"/>
        <v/>
      </c>
      <c r="CA39">
        <f>IF(OR(CB39=0,ISNUMBER(MATCH(CB39,$CB$1:CB38,0))),0,MAX($CA$1:CA38)+1)</f>
        <v>0</v>
      </c>
      <c r="CB39" s="8">
        <f>IF(OR(Tank1!$D$18="EXTERNAL FLOATING ROOF",Tank1!$D$18="INTERNAL FLOATING ROOF"),IF(Tank1!$E69="",0,Tank1!$E69),0)</f>
        <v>0</v>
      </c>
      <c r="CC39" s="8" t="str">
        <f t="shared" si="40"/>
        <v/>
      </c>
      <c r="CD39" s="8"/>
      <c r="CE39" s="8">
        <f>IF(OR(CF39=0,ISNUMBER(MATCH(CF39,$CF$1:CF38,0))),0,MAX($CE$1:CE38)+1)</f>
        <v>0</v>
      </c>
      <c r="CF39" s="8">
        <f>IF(OR(Tank1!$D$18="HORIZONTAL FIXED ROOF",Tank1!$D$18="VERTICAL FIXED ROOF"),IF(Tank1!$E69="",0,Tank1!$E69),0)</f>
        <v>0</v>
      </c>
      <c r="CG39" s="8" t="str">
        <f t="shared" si="41"/>
        <v/>
      </c>
      <c r="CJ39">
        <f>IF(OR(CK39=0,ISNUMBER(MATCH(CK39,$CK$1:CK38,0))),0,MAX($CJ$1:CJ38)+1)</f>
        <v>0</v>
      </c>
      <c r="CK39">
        <f>Tank4!$A$109</f>
        <v>0</v>
      </c>
      <c r="CM39">
        <f>IFERROR(VLOOKUP($CK39,Tank4!$A$32:$D$141,3,FALSE),0)</f>
        <v>0</v>
      </c>
      <c r="CN39">
        <f>IFERROR(VLOOKUP($CK39,Tank4!$A$32:$D$141,4,FALSE),0)</f>
        <v>0</v>
      </c>
      <c r="DM39">
        <f>IF(OR(DN39=0,ISNUMBER(MATCH(DN39,$DN$1:DN38,0))),0,MAX($DM$1:DM38)+1)</f>
        <v>0</v>
      </c>
      <c r="DN39">
        <f>IF(Tank4!$D$22="Flare",IFERROR(VLOOKUP(Products!$A$129,Tank4!$A$32:$B$141,1,FALSE),0),0)</f>
        <v>0</v>
      </c>
      <c r="DO39">
        <f>IF($DN39=0,0,VLOOKUP($DN39,Tank4!$A$32:$H$141,7,FALSE))</f>
        <v>0</v>
      </c>
      <c r="DP39">
        <f>IF($DN39=0,0,VLOOKUP($DN39,Tank4!$A$32:$H$141,8,FALSE))</f>
        <v>0</v>
      </c>
      <c r="DU39">
        <f>IF(OR(DV39=0,ISNUMBER(MATCH(DV39,$DV$1:DV38,0))),0,MAX($DU$1:DU38)+1)</f>
        <v>0</v>
      </c>
      <c r="DV39">
        <f>IF(Tank4!$D$22="VCU",IFERROR(VLOOKUP(Products!$A$129,Tank4!$A$32:$B$141,1,FALSE),0),0)</f>
        <v>0</v>
      </c>
      <c r="DW39">
        <f>IF($DV39=0,0,VLOOKUP($DV39,Tank4!$A$32:$H$141,7,FALSE))</f>
        <v>0</v>
      </c>
      <c r="DX39">
        <f>IF($DV39=0,0,VLOOKUP($DV39,Tank4!$A$32:$H$141,8,FALSE))</f>
        <v>0</v>
      </c>
      <c r="EC39">
        <f>IF(OR(ED39=0,ISNUMBER(MATCH(ED39,$ED$1:ED38,0))),0,MAX($EC$1:EC38)+1)</f>
        <v>0</v>
      </c>
      <c r="ED39">
        <f>IF(Tank4!$D$22="vapor oxidizer",IFERROR(VLOOKUP(Products!$A$129,Tank4!$A$32:$B$141,1,FALSE),0),0)</f>
        <v>0</v>
      </c>
      <c r="EE39">
        <f>IF($ED39=0,0,VLOOKUP($ED39,Tank4!$A$32:$H$141,7,FALSE))</f>
        <v>0</v>
      </c>
      <c r="EF39">
        <f>IF($ED39=0,0,VLOOKUP($ED39,Tank4!$A$32:$H$141,8,FALSE))</f>
        <v>0</v>
      </c>
      <c r="EK39">
        <f>IF(OR(EL39=0,ISNUMBER(MATCH(EL39,$EL$1:EL38,0))),0,MAX($EK$1:EK38)+1)</f>
        <v>0</v>
      </c>
      <c r="EL39">
        <f>IF(Tank4!$D$22="CAS",IFERROR(VLOOKUP(Products!A129,Tank4!$A$32:$B$141,1,FALSE),0),0)</f>
        <v>0</v>
      </c>
      <c r="EM39">
        <f>IF($EL39=0,0,VLOOKUP($EL39,Tank4!$A$32:$H$141,7,FALSE))</f>
        <v>0</v>
      </c>
      <c r="EN39">
        <f>IF($EL39=0,0,VLOOKUP($EL39,Tank4!$A$32:$H$141,8,FALSE))</f>
        <v>0</v>
      </c>
      <c r="FB39" s="8" t="s">
        <v>431</v>
      </c>
      <c r="FC39" s="8" t="s">
        <v>432</v>
      </c>
      <c r="FD39" s="8">
        <v>5700</v>
      </c>
      <c r="FE39" s="8">
        <v>570</v>
      </c>
      <c r="FG39" s="360" t="str">
        <f t="shared" si="23"/>
        <v/>
      </c>
      <c r="FH39" s="155">
        <f>IF(Tank1!$D$22="NO CONTROL",_xlfn.MAXIFS(Tank1!$G$32:$G$141,Tank1!$E$32:$E$141,$FG39),0)*IFERROR($QR$3,0)</f>
        <v>0</v>
      </c>
      <c r="FI39" s="155">
        <f>_xlfn.MAXIFS(LandEmiss!$AF$20:$AF$119,LandEmiss!$AE$20:$AE$119,$FG39)*IFERROR($QR$3,0)</f>
        <v>0</v>
      </c>
      <c r="FJ39" s="155">
        <f>MAX(_xlfn.MAXIFS(LandEmiss!$CO$20:$CO$119,LandEmiss!$CN$20:$CN$119,$FG39),_xlfn.MAXIFS(LandEmiss!$EZ$9:$EZ$108,LandEmiss!$EY$9:$EY$108,$FG39))*IFERROR($QR$3,0)</f>
        <v>0</v>
      </c>
      <c r="FK39" s="155">
        <f>IF(Tank2!$D$22="NO CONTROL",_xlfn.MAXIFS(Tank2!$G$32:$G$141,Tank2!$E$32:$E$141,$FG39),0)*IFERROR($QR$4,0)</f>
        <v>0</v>
      </c>
      <c r="FL39" s="155">
        <f>_xlfn.MAXIFS(LandEmiss!$AG$20:$AG$119,LandEmiss!$AE$20:$AE$119,$FG39)*IFERROR($QR$4,0)</f>
        <v>0</v>
      </c>
      <c r="FM39" s="155">
        <f>MAX(_xlfn.MAXIFS(LandEmiss!$CP$20:$CP$119,LandEmiss!$CN$20:$CN$119,$FG39),_xlfn.MAXIFS(LandEmiss!$FA$9:$FA$108,LandEmiss!$EY$9:$EY$108,$FG39))*IFERROR($QR$4,0)</f>
        <v>0</v>
      </c>
      <c r="FN39" s="155">
        <f>IF(Tank3!$D$22="NO CONTROL",_xlfn.MAXIFS(Tank3!$G$32:$G$141,Tank3!$E$32:$E$141,$FG39),0)*IFERROR($QR$5,0)</f>
        <v>0</v>
      </c>
      <c r="FO39" s="155">
        <f>_xlfn.MAXIFS(LandEmiss!$AH$20:$AH$119,LandEmiss!$AE$20:$AE$119,$FG39)*IFERROR($QR$5,0)</f>
        <v>0</v>
      </c>
      <c r="FP39" s="155">
        <f>MAX(_xlfn.MAXIFS(LandEmiss!$CQ$20:$CQ$119,LandEmiss!$CN$20:$CN$119,$FG39),_xlfn.MAXIFS(LandEmiss!$FB$9:$FB$108,LandEmiss!$EY$9:$EY$108,$FG39))*IFERROR($QR$5,0)</f>
        <v>0</v>
      </c>
      <c r="FQ39" s="155">
        <f>IF(Tank4!$D$22="NO CONTROL",_xlfn.MAXIFS(Tank4!$G$32:$G$141,Tank4!$E$32:$E$141,$FG39),0)*IFERROR($QR$6,0)</f>
        <v>0</v>
      </c>
      <c r="FR39" s="155">
        <f>_xlfn.MAXIFS(LandEmiss!$AI$20:$AI$119,LandEmiss!$AE$20:$AE$119,$FG39)*IFERROR($QR$6,0)</f>
        <v>0</v>
      </c>
      <c r="FS39" s="155">
        <f>MAX(_xlfn.MAXIFS(LandEmiss!$CR$20:$CR$119,LandEmiss!$CN$20:$CN$119,$FG39),_xlfn.MAXIFS(LandEmiss!$FC$9:$FC$108,LandEmiss!$EY$9:$EY$108,$FG39))*IFERROR($QR$6,0)</f>
        <v>0</v>
      </c>
      <c r="FT39" s="155">
        <f>IF(Tank5!$D$22="NO CONTROL",_xlfn.MAXIFS(Tank5!$G$32:$G$141,Tank5!$E$32:$E$141,$FG39),0)*IFERROR($QR$7,0)</f>
        <v>0</v>
      </c>
      <c r="FU39" s="155">
        <f>_xlfn.MAXIFS(LandEmiss!$AJ$20:$AJ$119,LandEmiss!$AE$20:$AE$119,$FG39)*IFERROR($QR$7,0)</f>
        <v>0</v>
      </c>
      <c r="FV39" s="155">
        <f>MAX(_xlfn.MAXIFS(LandEmiss!$CS$20:$CS$119,LandEmiss!$CN$20:$CN$119,$FG39),_xlfn.MAXIFS(LandEmiss!$FD$9:$FD$108,LandEmiss!$EY$9:$EY$108,$FG39))*IFERROR($QR44,0)</f>
        <v>0</v>
      </c>
      <c r="FW39" s="155">
        <f>_xlfn.MAXIFS('Load-DrumTote'!$K$27:$K$136,'Load-DrumTote'!$F$27:$F$136,$FG39)*IFERROR($QR$8,0)</f>
        <v>0</v>
      </c>
      <c r="FX39" s="155">
        <f>_xlfn.MAXIFS('Load-Truck'!$K$27:$K$136,'Load-Truck'!$F$27:$F$136,$FG39)*IFERROR($QR$9,0)</f>
        <v>0</v>
      </c>
      <c r="FY39" s="155">
        <f>_xlfn.MAXIFS('Load-Rail'!$K$27:$K$136,'Load-Rail'!$F$27:$F$136,$FG39)*IFERROR($QR$10,0)</f>
        <v>0</v>
      </c>
      <c r="FZ39" s="155">
        <f>_xlfn.MAXIFS('Load-MarineBarge'!$K$27:$K$136,'Load-MarineBarge'!$F$27:$F$136,$FG39)*IFERROR($QR$11,0)</f>
        <v>0</v>
      </c>
      <c r="GA39" s="155">
        <f>_xlfn.MAXIFS('Load-MarineShip'!$K$27:$K$136,'Load-MarineShip'!$F$27:$F$136,$FG39)*IFERROR($QR$12,0)</f>
        <v>0</v>
      </c>
      <c r="GB39" s="313">
        <f>IF(OR(Flare!$D$24="fuel gas",Flare!$D$38="fuel gas"),SUMIF(Flare!$E$97:$E$106,$FG39,Flare!$F$97:$F$106),0)*IFERROR($QR$13,0)</f>
        <v>0</v>
      </c>
      <c r="GC39" s="313">
        <f>(_xlfn.MAXIFS(CtrlDevImpacts!$I$57:$I$156,CtrlDevImpacts!$H$57:$H$156,$FG39))*IFERROR($QR$13,0)</f>
        <v>0</v>
      </c>
      <c r="GD39" s="313">
        <f>(_xlfn.MAXIFS(Flare!$F$107:$F$216,Flare!$E$107:$E$216,$FG39)-_xlfn.MAXIFS(CtrlDevImpacts!$I$57:$I$156,CtrlDevImpacts!$H$57:$H$156,$FG39))*IFERROR($QR$13,0)</f>
        <v>0</v>
      </c>
      <c r="GE39" s="155">
        <f>_xlfn.MAXIFS(LandEmiss!$B$335:$B$434,LandEmiss!$A$335:$A$434,$FG39)*IFERROR($QR$13,0)</f>
        <v>0</v>
      </c>
      <c r="GF39" s="155">
        <f>(_xlfn.MAXIFS(LandEmiss!$BK$335:$BK$434,LandEmiss!$BJ$335:$BJ$434,$FG39)+_xlfn.MAXIFS(LandEmiss!$DV$323:$DV$422,LandEmiss!$DU$323:$DU$422,$FG39))*IFERROR($QR$13,0)</f>
        <v>0</v>
      </c>
      <c r="GG39" s="313">
        <f>IF(OR(VCU!$D$26="fuel gas",VCU!$D$42="fuel gas"),SUMIF(VCU!$E$120:$E$129,$FG39,VCU!$F$120:$F$129),0)*IFERROR($QR$14,0)</f>
        <v>0</v>
      </c>
      <c r="GH39" s="313">
        <f>(_xlfn.MAXIFS(CtrlDevImpacts!$X$57:$X$156,CtrlDevImpacts!$W$57:$W$156,$FG39))*IFERROR($QR$14,0)</f>
        <v>0</v>
      </c>
      <c r="GI39" s="313">
        <f>(_xlfn.MAXIFS(VCU!$F$130:$F$239,VCU!$E$130:$E$239,$FG39)-_xlfn.MAXIFS(CtrlDevImpacts!$X$57:$X$156,CtrlDevImpacts!$W$57:$W$156,$FG39))*IFERROR($QR$14,0)</f>
        <v>0</v>
      </c>
      <c r="GJ39" s="155">
        <f>_xlfn.MAXIFS(LandEmiss!$D$335:$D$434,LandEmiss!$A$335:$A$434,$FG39)*IFERROR($QR$14,0)</f>
        <v>0</v>
      </c>
      <c r="GK39" s="155">
        <f>(_xlfn.MAXIFS(LandEmiss!$BM$335:$BM$434,LandEmiss!$BJ$335:$BJ$434,$FG39)+_xlfn.MAXIFS(LandEmiss!$DX$323:$DX$422,LandEmiss!$DU$323:$DU$422,$FG39))*IFERROR($QR$14,0)</f>
        <v>0</v>
      </c>
      <c r="GL39" s="313">
        <f>IF(VaporOxidizer!D70="FUEL GAS",SUMIF(VaporOxidizer!$E$101:$E$110,$FG39,VaporOxidizer!$F$101:$F$110),0)*IFERROR($QR$15,0)</f>
        <v>0</v>
      </c>
      <c r="GM39" s="313">
        <f>(_xlfn.MAXIFS(CtrlDevImpacts!$AN$57:$AN$156,CtrlDevImpacts!$AM$57:$AM$156,$FG39))*IFERROR($QR$15,0)</f>
        <v>0</v>
      </c>
      <c r="GN39" s="313">
        <f>(_xlfn.MAXIFS(VaporOxidizer!$F$111:$F$220,VaporOxidizer!$E$111:$E$220,$FG39)-_xlfn.MAXIFS(CtrlDevImpacts!$AN$57:$AN$156,CtrlDevImpacts!$AM$57:$AM$156,$FG39))*IFERROR($QR$15,0)</f>
        <v>0</v>
      </c>
      <c r="GO39" s="155">
        <f>_xlfn.MAXIFS(LandEmiss!$F$335:$F$434,LandEmiss!$A$335:$A$434,$FG39)*IFERROR($QR$15,0)</f>
        <v>0</v>
      </c>
      <c r="GP39" s="155">
        <f>(_xlfn.MAXIFS(LandEmiss!$BK$335:$BK$434,LandEmiss!$BO$335:$BO$434,$FG39)+_xlfn.MAXIFS(LandEmiss!$DZ$323:$DZ$422,LandEmiss!$DU$323:$DU$422,$FG39))*IFERROR($QR$15,0)</f>
        <v>0</v>
      </c>
      <c r="GQ39" s="313">
        <f>_xlfn.MAXIFS(CtrlDevImpacts!$BD$57:$BD$156,CtrlDevImpacts!$BC$57:$BC$156,$FG39)*IFERROR(Hidden!$QR$16,0)</f>
        <v>0</v>
      </c>
      <c r="GR39" s="313">
        <f>(_xlfn.MAXIFS(CAS!$H$35:$H$144,CAS!$E$35:$E$144,$FG39)-_xlfn.MAXIFS(CtrlDevImpacts!$BD$57:$BD$156,CtrlDevImpacts!$BC$57:$BC$156,$FG39))*IFERROR(Hidden!$QR$16,0)</f>
        <v>0</v>
      </c>
      <c r="GS39" s="155">
        <f>_xlfn.MAXIFS(LandEmiss!$H$335:$H$434,LandEmiss!$A$335:$A$434,$FG39)*IFERROR($QR$27,0)</f>
        <v>0</v>
      </c>
      <c r="GT39" s="155">
        <f>(_xlfn.MAXIFS(LandEmiss!$BK$335:$BK$434,LandEmiss!$BQ$335:$BQ$434,$FG39)+_xlfn.MAXIFS(LandEmiss!$EB$323:$EB$422,LandEmiss!$DU$323:$DU$422,$FG39))*IFERROR($QR$27,0)</f>
        <v>0</v>
      </c>
      <c r="GU39" s="155">
        <f>_xlfn.MAXIFS(LandEmiss!$J$335:$J$434,LandEmiss!$A$335:$A$434,$FG39)*IFERROR($QR$26,0)</f>
        <v>0</v>
      </c>
      <c r="GV39" s="155">
        <f>(_xlfn.MAXIFS(LandEmiss!$BK$335:$BK$434,LandEmiss!$BS$335:$BS$434,$FG39)+_xlfn.MAXIFS(LandEmiss!$ED$323:$ED$422,LandEmiss!$DU$323:$DU$422,$FG39))*IFERROR($QR$26,0)</f>
        <v>0</v>
      </c>
      <c r="GW39" s="155">
        <f>_xlfn.MAXIFS(LandEmiss!$L$335:$L$434,LandEmiss!$A$335:$A$434,$FG39)*IFERROR($QR$25,0)</f>
        <v>0</v>
      </c>
      <c r="GX39" s="155">
        <f>(_xlfn.MAXIFS(LandEmiss!$BK$335:$BK$434,LandEmiss!$BU$335:$BU$434,$FG39)+_xlfn.MAXIFS(LandEmiss!$EF$323:$EF$422,LandEmiss!$DU$323:$DU$422,$FG39))*IFERROR($QR$25,0)</f>
        <v>0</v>
      </c>
      <c r="GY39" s="155">
        <v>0</v>
      </c>
      <c r="GZ39" s="155">
        <v>0</v>
      </c>
      <c r="HA39" s="155">
        <f>IF(OR(HeaterBoiler1!$E$26&lt;&gt;"fuel gas",HeaterBoiler1!$E$15&lt;&gt;"heater"),0,SUMIF(HeaterBoiler1!$A$54:$D$63,$FG39,HeaterBoiler1!$I$54:$I$63))*IFERROR($QR$19,0)</f>
        <v>0</v>
      </c>
      <c r="HB39" s="207">
        <f>IF(OR(HeaterBoiler2!$E$26&lt;&gt;"fuel gas",HeaterBoiler2!$E$15&lt;&gt;"heater"),0,SUMIF(HeaterBoiler2!$A$54:$D$63,$FG39,HeaterBoiler2!$I$54:$I$63))*IFERROR($QR$21,0)</f>
        <v>0</v>
      </c>
      <c r="HC39" s="155">
        <f>IF(OR(HeaterBoiler1!$E$26&lt;&gt;"fuel gas",HeaterBoiler1!$E$15&lt;&gt;"boiler"),0,SUMIF(HeaterBoiler1!$A$41:$A$50,$FG39,HeaterBoiler1!$F$41:$F$50))*IFERROR($QR$20,0)</f>
        <v>0</v>
      </c>
      <c r="HD39" s="207">
        <f>IF(OR(HeaterBoiler2!$E$26&lt;&gt;"fuel gas",HeaterBoiler2!$E$15&lt;&gt;"boiler"),0,SUMIF(HeaterBoiler2!$A$41:$A$50,$FG39,HeaterBoiler2!$F$41:$F$50))*IFERROR($QR$22,0)</f>
        <v>0</v>
      </c>
      <c r="HE39" s="155">
        <f>SUMIF(Fug!$A$96:$A$205,$FG39,Fug!$I$96:$I$205)*IFERROR(Hidden!$QR$23,0)</f>
        <v>0</v>
      </c>
      <c r="HF39" s="155">
        <f t="shared" si="24"/>
        <v>0</v>
      </c>
      <c r="HG39" s="156">
        <f t="shared" si="25"/>
        <v>0</v>
      </c>
      <c r="HH39" s="156">
        <f t="shared" si="26"/>
        <v>0</v>
      </c>
      <c r="HI39" s="156">
        <f t="shared" si="27"/>
        <v>0</v>
      </c>
      <c r="HJ39" s="156">
        <f t="shared" si="28"/>
        <v>0</v>
      </c>
      <c r="HK39" s="156">
        <f t="shared" si="29"/>
        <v>0</v>
      </c>
      <c r="HL39" s="156">
        <f t="shared" si="30"/>
        <v>0</v>
      </c>
      <c r="NO39" s="155">
        <f>IF(Tank1!$D$22="No control",(SUMIF(Tank1!$E$32:$E$141,$FG39,Tank1!$H$32:$H$141)*(2000/8760)*IFERROR($QV$3,0)),0)</f>
        <v>0</v>
      </c>
      <c r="NP39" s="156">
        <f>SUMIF(LandEmiss!$AE$20:$AE$119,$FG39,LandEmiss!$AK$20:$AK$119)*(2000/8760)*IFERROR($QV$3,0)</f>
        <v>0</v>
      </c>
      <c r="NQ39" s="156">
        <f>(SUMIF(LandEmiss!$CN$20:$CN$119,$FG39,LandEmiss!$CT$20:$CT$119)+SUMIF(LandEmiss!$EY$9:$EY$108,$FG39,LandEmiss!$FE$9:$FE$108))*IFERROR($QV$3,0)*(2000/8760)</f>
        <v>0</v>
      </c>
      <c r="NR39" s="155">
        <f>IF(Tank2!$D$22="No control",(SUMIF(Tank2!$E$32:$E$141,$FG39,Tank2!$H$32:$H$141)*(2000/8760)*IFERROR($QV$4,0)),0)</f>
        <v>0</v>
      </c>
      <c r="NS39" s="156">
        <f>SUMIF(LandEmiss!$AE$20:$AE$119,$FG39,LandEmiss!$AL$20:$AL$119)*(2000/8760)*IFERROR($QV$4,0)</f>
        <v>0</v>
      </c>
      <c r="NT39" s="156">
        <f>(SUMIF(LandEmiss!$CN$20:$CN$119,$FG39,LandEmiss!$CU$20:$CU$119)+SUMIF(LandEmiss!$EY$9:$EY$108,$FG39,LandEmiss!$FF$9:$FF$108))*IFERROR($QV$4,0)*(2000/8760)</f>
        <v>0</v>
      </c>
      <c r="NU39" s="155">
        <f>IF(Tank3!$D$22="No control",(SUMIF(Tank3!$E$32:$E$141,$FG39,Tank3!$H$32:$H$141)*(2000/8760)*IFERROR($QV$5,0)),0)</f>
        <v>0</v>
      </c>
      <c r="NV39" s="156">
        <f>SUMIF(LandEmiss!$AE$20:$AE$119,$FG39,LandEmiss!$AM$20:$AM$119)*(2000/8760)*IFERROR($QV$5,0)</f>
        <v>0</v>
      </c>
      <c r="NW39" s="156">
        <f>(SUMIF(LandEmiss!$CN$20:$CN$119,$FG39,LandEmiss!$CV$20:$CV$119)+SUMIF(LandEmiss!$EY$9:$EY$108,$FG39,LandEmiss!$FG$9:$FG$108))*IFERROR($QV$5,0)*(2000/8760)</f>
        <v>0</v>
      </c>
      <c r="NX39" s="155">
        <f>IF(Tank4!$D$22="No control",(SUMIF(Tank4!$E$32:$E$141,$FG39,Tank4!$H$32:$H$141)*(2000/8760)*IFERROR($QV$6,0)),0)</f>
        <v>0</v>
      </c>
      <c r="NY39" s="156">
        <f>SUMIF(LandEmiss!$AE$20:$AE$119,$FG39,LandEmiss!$AN$20:$AN$119)*(2000/8760)*IFERROR($QV$6,0)</f>
        <v>0</v>
      </c>
      <c r="NZ39" s="156">
        <f>(SUMIF(LandEmiss!$CN$20:$CN$119,$FG39,LandEmiss!$CW$20:$CW$119)+SUMIF(LandEmiss!$EY$9:$EY$108,$FG39,LandEmiss!$FH$9:$FH$108))*IFERROR($QV$6,0)*(2000/8760)</f>
        <v>0</v>
      </c>
      <c r="OA39" s="155">
        <f>IF(Tank5!$D$22="No control",(SUMIF(Tank5!$E$32:$E$141,$FG39,Tank5!$H$32:$H$141)*(2000/8760)*IFERROR($QV$7,0)),0)</f>
        <v>0</v>
      </c>
      <c r="OB39" s="156">
        <f>SUMIF(LandEmiss!$AE$20:$AE$119,$FG39,LandEmiss!$AO$20:$AO$119)*(2000/8760)*IFERROR($QV$7,0)</f>
        <v>0</v>
      </c>
      <c r="OC39" s="156">
        <f>(SUMIF(LandEmiss!$CN$20:$CN$119,$FG39,LandEmiss!$CX$20:$CX$119)+SUMIF(LandEmiss!$EY$9:$EY$108,$FG39,LandEmiss!$FI$9:$FI$108))*IFERROR($QV$7,0)*(2000/8760)</f>
        <v>0</v>
      </c>
      <c r="OD39" s="155">
        <f>SUMIFS('Load-DrumTote'!$L$27:$L$136,'Load-DrumTote'!$F$27:$F$136,$FG39)*IFERROR($QV$8,0)*(2000/8760)</f>
        <v>0</v>
      </c>
      <c r="OE39" s="155">
        <f>SUMIFS('Load-Truck'!$L$27:$L$136,'Load-Truck'!$F$27:$F$136,$FG39)*IFERROR($QV$9,0)*(2000/8760)</f>
        <v>0</v>
      </c>
      <c r="OF39" s="155">
        <f>SUMIFS('Load-Rail'!$L$27:$L$136,'Load-Rail'!$F$27:$F$136,$FG39)*IFERROR($QV$10,0)*(2000/8760)</f>
        <v>0</v>
      </c>
      <c r="OG39" s="155">
        <f>SUMIFS('Load-MarineBarge'!$L$27:$L$136,'Load-MarineBarge'!$F$27:$F$136,$FG39)*IFERROR($QV$11,0)*(2000/8760)</f>
        <v>0</v>
      </c>
      <c r="OH39" s="155">
        <f>SUMIFS('Load-MarineShip'!$L$27:$L$136,'Load-MarineShip'!$F$27:$F$136,$FG39)*IFERROR($QV$12,0)*(2000/8760)</f>
        <v>0</v>
      </c>
      <c r="OI39" s="155">
        <f>(IF(OR(Flare!$D$24="FUEL GAS",Flare!$D$38="FUEL GAS"),SUMIF(Flare!$E$97:$E$106,$FG39,Flare!$G$97:$G$105),0)+SUMIF(Flare!$E$107:$E$216,$FG39,Flare!$G$107:$G$216))*(2000/8730)*IFERROR($QV$13,0)</f>
        <v>0</v>
      </c>
      <c r="OJ39" s="155">
        <f>SUMIF(LandEmiss!$A$335:$A$434,$FG39,LandEmiss!$C$335:$C$434)*(2000/8760)*IFERROR($QV$13,0)</f>
        <v>0</v>
      </c>
      <c r="OK39" s="155">
        <f>(SUMIF(LandEmiss!$BJ$335:$BJ$434,$FG39,LandEmiss!$BL$335:$BL$434)+SUMIF(LandEmiss!$DU$323:$DU$422,$FG39,LandEmiss!$DW$323:$DW$422))*(2000/8760)*IFERROR($QV$13,0)</f>
        <v>0</v>
      </c>
      <c r="OL39" s="155">
        <f>(IF(OR(VCU!$D$26="FUEL GAS",VCU!$D$42="FUEL GAS"),SUMIF(VCU!$E$120:$E$129,$FG39,VCU!$G$120:$G$129),0)+SUMIF(VCU!$E$130:$E$239,$FG39,VCU!G167:G276))*(2000/8760)*IFERROR($QV$14,0)</f>
        <v>0</v>
      </c>
      <c r="OM39" s="155">
        <f>SUMIF(LandEmiss!$A$335:$A$434,$FG39,LandEmiss!$E$335:$E$434)*(2000/8760)*IFERROR($QV$14,0)</f>
        <v>0</v>
      </c>
      <c r="ON39" s="155">
        <f>(SUMIF(LandEmiss!$BJ$335:$BJ$434,$FG39,LandEmiss!$BN$335:$BN$434)+SUMIF(LandEmiss!$DU$323:$DU$422,$FG39,LandEmiss!$DY$323:$DY$422))*(2000/8760)*IFERROR($QV$14,0)</f>
        <v>0</v>
      </c>
      <c r="OO39" s="155">
        <f>(IF(VaporOxidizer!$D$33="FUEL GAS",SUMIF(VaporOxidizer!$E$101:$E$110,$FG39,VaporOxidizer!$G$101:$G$110),0)+SUMIF(VaporOxidizer!$E$111:$E$220,$FG39,VaporOxidizer!$G$111:$G$220))*(2000/8760)*IFERROR($QV$15,0)</f>
        <v>0</v>
      </c>
      <c r="OP39" s="155">
        <f>SUMIF(LandEmiss!$A$335:$A$434,$FG39,LandEmiss!$G$335:$G$434)*(2000/8760)*IFERROR($QV$15,0)</f>
        <v>0</v>
      </c>
      <c r="OQ39" s="155">
        <f>(SUMIF(LandEmiss!$BJ$335:$BJ$434,$FG39,LandEmiss!$BP$335:$BP$434)+SUMIF(LandEmiss!$DU$323:$DU$422,$FG39,LandEmiss!$EA$323:$EA$422))*(2000/8760)*IFERROR($QV$15,0)</f>
        <v>0</v>
      </c>
      <c r="OR39" s="155">
        <f>SUMIF(CAS!$E$35:$E$144,Hidden!$FG39,CAS!$I$35:$I$144)*IFERROR($QV$16,0)*(2000/8760)</f>
        <v>0</v>
      </c>
      <c r="OS39" s="155">
        <f>SUMIF(LandEmiss!$A$335:$A$434,$FG39,LandEmiss!$I$335:$I$434)*(2000/8760)*IFERROR($QV$27,0)</f>
        <v>0</v>
      </c>
      <c r="OT39" s="155">
        <f>(SUMIF(LandEmiss!$BJ$335:$BJ$434,$FG39,LandEmiss!$BR$335:$BR$434)+SUMIF(LandEmiss!$DU$323:$DU$422,$FG39,LandEmiss!$EC$323:$EC$422))*(2000/8760)*IFERROR($QV$27,0)</f>
        <v>0</v>
      </c>
      <c r="OU39" s="155">
        <f>SUMIF(LandEmiss!$A$335:$A$434,$FG39,LandEmiss!$K$335:$K$434)*(2000/8760)*IFERROR($QV$26,0)</f>
        <v>0</v>
      </c>
      <c r="OV39" s="155">
        <f>(SUMIF(LandEmiss!$BJ$335:$BJ$434,$FG39,LandEmiss!$BT$335:$BT$434)+SUMIF(LandEmiss!$DU$323:$DU$422,$FG39,LandEmiss!$EE$323:$EE$422))*(2000/8760)*IFERROR($QV$26,0)</f>
        <v>0</v>
      </c>
      <c r="OW39" s="155">
        <f>SUMIF(LandEmiss!$A$335:$A$434,$FG39,LandEmiss!$M$335:$M$434)*(2000/8760)*IFERROR($QV$25,0)</f>
        <v>0</v>
      </c>
      <c r="OX39" s="155">
        <f>(SUMIF(LandEmiss!$BJ$335:$BJ$434,$FG39,LandEmiss!$BV$335:$BV$434)+SUMIF(LandEmiss!$DU$323:$DU$422,$FG39,LandEmiss!$EG$323:$EG$422))*(2000/8760)*IFERROR($QV$25,0)</f>
        <v>0</v>
      </c>
      <c r="OY39" s="8">
        <v>0</v>
      </c>
      <c r="OZ39" s="207">
        <v>0</v>
      </c>
      <c r="PA39" s="207">
        <f>IF(OR(HeaterBoiler1!$E$26&lt;&gt;"fuel gas",HeaterBoiler1!$E$15&lt;&gt;"heater"),0,(SUMIF(HeaterBoiler1!$A$54:$D$63,$FG39,HeaterBoiler1!$J$54:$J$63))*(2000/8760))*IFERROR($QV$19,0)</f>
        <v>0</v>
      </c>
      <c r="PB39" s="207">
        <f>IF(OR(HeaterBoiler2!$E$26&lt;&gt;"fuel gas",HeaterBoiler2!$E$15&lt;&gt;"heater"),0,(SUMIF(HeaterBoiler2!$A$54:$D$63,$FG39,HeaterBoiler2!$J$54:$J$63))*(2000/8760))*IFERROR($QV$21,0)</f>
        <v>0</v>
      </c>
      <c r="PC39" s="207">
        <f>IF(OR(HeaterBoiler1!$E$26&lt;&gt;"fuel gas",HeaterBoiler1!$E$15&lt;&gt;"boiler"),0,(SUMIF(HeaterBoiler1!$A$54:$D$63,$FG39,HeaterBoiler1!$J$54:$J$63))*(2000/8760))*IFERROR($QV$20,0)</f>
        <v>0</v>
      </c>
      <c r="PD39" s="207">
        <f>IF(OR(HeaterBoiler2!$E$26&lt;&gt;"fuel gas",HeaterBoiler2!$E$15&lt;&gt;"boiler"),0,(SUMIF(HeaterBoiler2!$A$54:$D$63,$FG39,HeaterBoiler2!$J$54:$J$63))*(2000/8760))*IFERROR($QV$22,0)</f>
        <v>0</v>
      </c>
      <c r="PE39" s="8">
        <f>(SUMIF(Fug!$A$96:$A$205,$FG39,Fug!$J$96:$J$205))*IFERROR($QV$23,0)*(2000/8760)</f>
        <v>0</v>
      </c>
      <c r="PF39" s="8">
        <f t="shared" si="31"/>
        <v>0</v>
      </c>
      <c r="PG39" s="156">
        <f t="shared" si="32"/>
        <v>0</v>
      </c>
      <c r="PJ39" s="52" t="str">
        <f>IF(Fug!$F$16=Hidden!$PP$2,"Open-Ended Lines","")</f>
        <v/>
      </c>
      <c r="PK39" s="52" t="str">
        <f>IF(Fug!$F$16=Hidden!$PP$2,"Water/Light Oil","")</f>
        <v/>
      </c>
      <c r="PL39" s="52"/>
      <c r="PM39" s="52"/>
      <c r="PN39" s="52"/>
      <c r="PO39" s="52"/>
      <c r="PP39" s="52">
        <v>5.5000000000000003E-4</v>
      </c>
      <c r="PQ39" s="52"/>
      <c r="PR39" s="52"/>
      <c r="PS39" s="52"/>
      <c r="PT39" s="52" t="s">
        <v>8792</v>
      </c>
      <c r="PU39" s="52" t="s">
        <v>8776</v>
      </c>
      <c r="PV39" s="52">
        <v>0</v>
      </c>
      <c r="PW39" s="52">
        <v>0</v>
      </c>
      <c r="PX39" s="52">
        <v>0</v>
      </c>
      <c r="PY39" s="52">
        <v>0</v>
      </c>
      <c r="PZ39" s="52">
        <v>0</v>
      </c>
      <c r="QA39" s="52">
        <v>0</v>
      </c>
      <c r="QB39" s="52"/>
      <c r="QC39" s="52"/>
      <c r="QD39" s="52"/>
      <c r="QE39" s="52"/>
      <c r="QF39" s="52"/>
      <c r="QG39" s="52"/>
      <c r="QH39" s="52"/>
      <c r="QI39" s="52"/>
      <c r="QX39" s="89" t="s">
        <v>9317</v>
      </c>
      <c r="QY39">
        <v>399.6</v>
      </c>
      <c r="QZ39">
        <v>287.3</v>
      </c>
      <c r="RA39">
        <v>245.8</v>
      </c>
      <c r="RB39">
        <v>152.19999999999999</v>
      </c>
      <c r="RC39">
        <v>106.5</v>
      </c>
      <c r="RD39">
        <v>81.5</v>
      </c>
      <c r="RE39">
        <v>67.67</v>
      </c>
      <c r="RF39">
        <v>53.54</v>
      </c>
      <c r="RG39" s="90">
        <v>42.43</v>
      </c>
      <c r="RH39" s="89" t="s">
        <v>9317</v>
      </c>
      <c r="RI39">
        <v>388.3</v>
      </c>
      <c r="RJ39">
        <v>203.6</v>
      </c>
      <c r="RK39">
        <v>132.6</v>
      </c>
      <c r="RL39">
        <v>87.14</v>
      </c>
      <c r="RM39">
        <v>64.239999999999995</v>
      </c>
      <c r="RN39">
        <v>56.28</v>
      </c>
      <c r="RO39">
        <v>51.96</v>
      </c>
      <c r="RP39">
        <v>44.39</v>
      </c>
      <c r="RQ39" s="90">
        <v>38.56</v>
      </c>
      <c r="RR39" s="89" t="s">
        <v>9317</v>
      </c>
      <c r="RS39">
        <v>312.89999999999998</v>
      </c>
      <c r="RT39">
        <v>167.5</v>
      </c>
      <c r="RU39">
        <v>99.07</v>
      </c>
      <c r="RV39">
        <v>66.41</v>
      </c>
      <c r="RW39">
        <v>53.1</v>
      </c>
      <c r="RX39">
        <v>45.43</v>
      </c>
      <c r="RY39">
        <v>42.41</v>
      </c>
      <c r="RZ39">
        <v>35.200000000000003</v>
      </c>
      <c r="SA39" s="90">
        <v>30.34</v>
      </c>
      <c r="SB39" s="89" t="s">
        <v>9317</v>
      </c>
      <c r="SC39">
        <v>150.1</v>
      </c>
      <c r="SD39">
        <v>79.58</v>
      </c>
      <c r="SE39">
        <v>45.34</v>
      </c>
      <c r="SF39">
        <v>31.08</v>
      </c>
      <c r="SG39">
        <v>25.42</v>
      </c>
      <c r="SH39">
        <v>21.53</v>
      </c>
      <c r="SI39">
        <v>19.79</v>
      </c>
      <c r="SJ39">
        <v>14.78</v>
      </c>
      <c r="SK39" s="90">
        <v>11.81</v>
      </c>
      <c r="SL39" s="89" t="s">
        <v>9317</v>
      </c>
      <c r="SM39">
        <v>35.68</v>
      </c>
      <c r="SN39">
        <v>19.149999999999999</v>
      </c>
      <c r="SO39">
        <v>11.5</v>
      </c>
      <c r="SP39">
        <v>8</v>
      </c>
      <c r="SQ39">
        <v>6.4</v>
      </c>
      <c r="SR39">
        <v>5.26</v>
      </c>
      <c r="SS39">
        <v>4.41</v>
      </c>
      <c r="ST39">
        <v>3.04</v>
      </c>
      <c r="SU39" s="90">
        <v>2.25</v>
      </c>
    </row>
    <row r="40" spans="1:533" ht="74.25" customHeight="1" x14ac:dyDescent="0.2">
      <c r="A40" s="8" t="s">
        <v>217</v>
      </c>
      <c r="B40" s="8">
        <v>10</v>
      </c>
      <c r="W40">
        <f>IF(OR(X40=0,ISNUMBER(MATCH(X40,$X$1:X39,0))),0,MAX($W$1:W39)+1)</f>
        <v>0</v>
      </c>
      <c r="X40" s="123">
        <f>Products!$E87</f>
        <v>0</v>
      </c>
      <c r="Y40" t="str">
        <f t="shared" si="39"/>
        <v/>
      </c>
      <c r="CA40">
        <f>IF(OR(CB40=0,ISNUMBER(MATCH(CB40,$CB$1:CB39,0))),0,MAX($CA$1:CA39)+1)</f>
        <v>0</v>
      </c>
      <c r="CB40" s="8">
        <f>IF(OR(Tank1!$D$18="EXTERNAL FLOATING ROOF",Tank1!$D$18="INTERNAL FLOATING ROOF"),IF(Tank1!$E70="",0,Tank1!$E70),0)</f>
        <v>0</v>
      </c>
      <c r="CC40" s="8" t="str">
        <f t="shared" si="40"/>
        <v/>
      </c>
      <c r="CD40" s="8"/>
      <c r="CE40" s="8">
        <f>IF(OR(CF40=0,ISNUMBER(MATCH(CF40,$CF$1:CF39,0))),0,MAX($CE$1:CE39)+1)</f>
        <v>0</v>
      </c>
      <c r="CF40" s="8">
        <f>IF(OR(Tank1!$D$18="HORIZONTAL FIXED ROOF",Tank1!$D$18="VERTICAL FIXED ROOF"),IF(Tank1!$E70="",0,Tank1!$E70),0)</f>
        <v>0</v>
      </c>
      <c r="CG40" s="8" t="str">
        <f t="shared" si="41"/>
        <v/>
      </c>
      <c r="CJ40">
        <f>IF(OR(CK40=0,ISNUMBER(MATCH(CK40,$CK$1:CK39,0))),0,MAX($CJ$1:CJ39)+1)</f>
        <v>0</v>
      </c>
      <c r="CK40">
        <f>Tank4!$A$120</f>
        <v>0</v>
      </c>
      <c r="CM40">
        <f>IFERROR(VLOOKUP($CK40,Tank4!$A$32:$D$141,3,FALSE),0)</f>
        <v>0</v>
      </c>
      <c r="CN40">
        <f>IFERROR(VLOOKUP($CK40,Tank4!$A$32:$D$141,4,FALSE),0)</f>
        <v>0</v>
      </c>
      <c r="DM40">
        <f>IF(OR(DN40=0,ISNUMBER(MATCH(DN40,$DN$1:DN39,0))),0,MAX($DM$1:DM39)+1)</f>
        <v>0</v>
      </c>
      <c r="DN40">
        <f>IF(Tank4!$D$22="Flare",IFERROR(VLOOKUP(Products!$A$139,Tank4!$A$32:$B$141,1,FALSE),0),0)</f>
        <v>0</v>
      </c>
      <c r="DO40">
        <f>IF($DN40=0,0,VLOOKUP($DN40,Tank4!$A$32:$H$141,7,FALSE))</f>
        <v>0</v>
      </c>
      <c r="DP40">
        <f>IF($DN40=0,0,VLOOKUP($DN40,Tank4!$A$32:$H$141,8,FALSE))</f>
        <v>0</v>
      </c>
      <c r="DU40">
        <f>IF(OR(DV40=0,ISNUMBER(MATCH(DV40,$DV$1:DV39,0))),0,MAX($DU$1:DU39)+1)</f>
        <v>0</v>
      </c>
      <c r="DV40">
        <f>IF(Tank4!$D$22="VCU",IFERROR(VLOOKUP(Products!$A$139,Tank4!$A$32:$B$141,1,FALSE),0),0)</f>
        <v>0</v>
      </c>
      <c r="DW40">
        <f>IF($DV40=0,0,VLOOKUP($DV40,Tank4!$A$32:$H$141,7,FALSE))</f>
        <v>0</v>
      </c>
      <c r="DX40">
        <f>IF($DV40=0,0,VLOOKUP($DV40,Tank4!$A$32:$H$141,8,FALSE))</f>
        <v>0</v>
      </c>
      <c r="EC40">
        <f>IF(OR(ED40=0,ISNUMBER(MATCH(ED40,$ED$1:ED39,0))),0,MAX($EC$1:EC39)+1)</f>
        <v>0</v>
      </c>
      <c r="ED40">
        <f>IF(Tank4!$D$22="vapor oxidizer",IFERROR(VLOOKUP(Products!$A$139,Tank4!$A$32:$B$141,1,FALSE),0),0)</f>
        <v>0</v>
      </c>
      <c r="EE40">
        <f>IF($ED40=0,0,VLOOKUP($ED40,Tank4!$A$32:$H$141,7,FALSE))</f>
        <v>0</v>
      </c>
      <c r="EF40">
        <f>IF($ED40=0,0,VLOOKUP($ED40,Tank4!$A$32:$H$141,8,FALSE))</f>
        <v>0</v>
      </c>
      <c r="EK40">
        <f>IF(OR(EL40=0,ISNUMBER(MATCH(EL40,$EL$1:EL39,0))),0,MAX($EK$1:EK39)+1)</f>
        <v>0</v>
      </c>
      <c r="EL40">
        <f>IF(Tank4!$D$22="CAS",IFERROR(VLOOKUP(Products!A139,Tank4!$A$32:$B$141,1,FALSE),0),0)</f>
        <v>0</v>
      </c>
      <c r="EM40">
        <f>IF($EL40=0,0,VLOOKUP($EL40,Tank4!$A$32:$H$141,7,FALSE))</f>
        <v>0</v>
      </c>
      <c r="EN40">
        <f>IF($EL40=0,0,VLOOKUP($EL40,Tank4!$A$32:$H$141,8,FALSE))</f>
        <v>0</v>
      </c>
      <c r="FB40" s="8" t="s">
        <v>433</v>
      </c>
      <c r="FC40" s="8" t="s">
        <v>434</v>
      </c>
      <c r="FD40" s="8">
        <v>1000</v>
      </c>
      <c r="FE40" s="8">
        <v>100</v>
      </c>
      <c r="FG40" s="360" t="str">
        <f t="shared" si="23"/>
        <v/>
      </c>
      <c r="FH40" s="155">
        <f>IF(Tank1!$D$22="NO CONTROL",_xlfn.MAXIFS(Tank1!$G$32:$G$141,Tank1!$E$32:$E$141,$FG40),0)*IFERROR($QR$3,0)</f>
        <v>0</v>
      </c>
      <c r="FI40" s="155">
        <f>_xlfn.MAXIFS(LandEmiss!$AF$20:$AF$119,LandEmiss!$AE$20:$AE$119,$FG40)*IFERROR($QR$3,0)</f>
        <v>0</v>
      </c>
      <c r="FJ40" s="155">
        <f>MAX(_xlfn.MAXIFS(LandEmiss!$CO$20:$CO$119,LandEmiss!$CN$20:$CN$119,$FG40),_xlfn.MAXIFS(LandEmiss!$EZ$9:$EZ$108,LandEmiss!$EY$9:$EY$108,$FG40))*IFERROR($QR$3,0)</f>
        <v>0</v>
      </c>
      <c r="FK40" s="155">
        <f>IF(Tank2!$D$22="NO CONTROL",_xlfn.MAXIFS(Tank2!$G$32:$G$141,Tank2!$E$32:$E$141,$FG40),0)*IFERROR($QR$4,0)</f>
        <v>0</v>
      </c>
      <c r="FL40" s="155">
        <f>_xlfn.MAXIFS(LandEmiss!$AG$20:$AG$119,LandEmiss!$AE$20:$AE$119,$FG40)*IFERROR($QR$4,0)</f>
        <v>0</v>
      </c>
      <c r="FM40" s="155">
        <f>MAX(_xlfn.MAXIFS(LandEmiss!$CP$20:$CP$119,LandEmiss!$CN$20:$CN$119,$FG40),_xlfn.MAXIFS(LandEmiss!$FA$9:$FA$108,LandEmiss!$EY$9:$EY$108,$FG40))*IFERROR($QR$4,0)</f>
        <v>0</v>
      </c>
      <c r="FN40" s="155">
        <f>IF(Tank3!$D$22="NO CONTROL",_xlfn.MAXIFS(Tank3!$G$32:$G$141,Tank3!$E$32:$E$141,$FG40),0)*IFERROR($QR$5,0)</f>
        <v>0</v>
      </c>
      <c r="FO40" s="155">
        <f>_xlfn.MAXIFS(LandEmiss!$AH$20:$AH$119,LandEmiss!$AE$20:$AE$119,$FG40)*IFERROR($QR$5,0)</f>
        <v>0</v>
      </c>
      <c r="FP40" s="155">
        <f>MAX(_xlfn.MAXIFS(LandEmiss!$CQ$20:$CQ$119,LandEmiss!$CN$20:$CN$119,$FG40),_xlfn.MAXIFS(LandEmiss!$FB$9:$FB$108,LandEmiss!$EY$9:$EY$108,$FG40))*IFERROR($QR$5,0)</f>
        <v>0</v>
      </c>
      <c r="FQ40" s="155">
        <f>IF(Tank4!$D$22="NO CONTROL",_xlfn.MAXIFS(Tank4!$G$32:$G$141,Tank4!$E$32:$E$141,$FG40),0)*IFERROR($QR$6,0)</f>
        <v>0</v>
      </c>
      <c r="FR40" s="155">
        <f>_xlfn.MAXIFS(LandEmiss!$AI$20:$AI$119,LandEmiss!$AE$20:$AE$119,$FG40)*IFERROR($QR$6,0)</f>
        <v>0</v>
      </c>
      <c r="FS40" s="155">
        <f>MAX(_xlfn.MAXIFS(LandEmiss!$CR$20:$CR$119,LandEmiss!$CN$20:$CN$119,$FG40),_xlfn.MAXIFS(LandEmiss!$FC$9:$FC$108,LandEmiss!$EY$9:$EY$108,$FG40))*IFERROR($QR$6,0)</f>
        <v>0</v>
      </c>
      <c r="FT40" s="155">
        <f>IF(Tank5!$D$22="NO CONTROL",_xlfn.MAXIFS(Tank5!$G$32:$G$141,Tank5!$E$32:$E$141,$FG40),0)*IFERROR($QR$7,0)</f>
        <v>0</v>
      </c>
      <c r="FU40" s="155">
        <f>_xlfn.MAXIFS(LandEmiss!$AJ$20:$AJ$119,LandEmiss!$AE$20:$AE$119,$FG40)*IFERROR($QR$7,0)</f>
        <v>0</v>
      </c>
      <c r="FV40" s="155">
        <f>MAX(_xlfn.MAXIFS(LandEmiss!$CS$20:$CS$119,LandEmiss!$CN$20:$CN$119,$FG40),_xlfn.MAXIFS(LandEmiss!$FD$9:$FD$108,LandEmiss!$EY$9:$EY$108,$FG40))*IFERROR($QR45,0)</f>
        <v>0</v>
      </c>
      <c r="FW40" s="155">
        <f>_xlfn.MAXIFS('Load-DrumTote'!$K$27:$K$136,'Load-DrumTote'!$F$27:$F$136,$FG40)*IFERROR($QR$8,0)</f>
        <v>0</v>
      </c>
      <c r="FX40" s="155">
        <f>_xlfn.MAXIFS('Load-Truck'!$K$27:$K$136,'Load-Truck'!$F$27:$F$136,$FG40)*IFERROR($QR$9,0)</f>
        <v>0</v>
      </c>
      <c r="FY40" s="155">
        <f>_xlfn.MAXIFS('Load-Rail'!$K$27:$K$136,'Load-Rail'!$F$27:$F$136,$FG40)*IFERROR($QR$10,0)</f>
        <v>0</v>
      </c>
      <c r="FZ40" s="155">
        <f>_xlfn.MAXIFS('Load-MarineBarge'!$K$27:$K$136,'Load-MarineBarge'!$F$27:$F$136,$FG40)*IFERROR($QR$11,0)</f>
        <v>0</v>
      </c>
      <c r="GA40" s="155">
        <f>_xlfn.MAXIFS('Load-MarineShip'!$K$27:$K$136,'Load-MarineShip'!$F$27:$F$136,$FG40)*IFERROR($QR$12,0)</f>
        <v>0</v>
      </c>
      <c r="GB40" s="313">
        <f>IF(OR(Flare!$D$24="fuel gas",Flare!$D$38="fuel gas"),SUMIF(Flare!$E$97:$E$106,$FG40,Flare!$F$97:$F$106),0)*IFERROR($QR$13,0)</f>
        <v>0</v>
      </c>
      <c r="GC40" s="313">
        <f>(_xlfn.MAXIFS(CtrlDevImpacts!$I$57:$I$156,CtrlDevImpacts!$H$57:$H$156,$FG40))*IFERROR($QR$13,0)</f>
        <v>0</v>
      </c>
      <c r="GD40" s="313">
        <f>(_xlfn.MAXIFS(Flare!$F$107:$F$216,Flare!$E$107:$E$216,$FG40)-_xlfn.MAXIFS(CtrlDevImpacts!$I$57:$I$156,CtrlDevImpacts!$H$57:$H$156,$FG40))*IFERROR($QR$13,0)</f>
        <v>0</v>
      </c>
      <c r="GE40" s="155">
        <f>_xlfn.MAXIFS(LandEmiss!$B$335:$B$434,LandEmiss!$A$335:$A$434,$FG40)*IFERROR($QR$13,0)</f>
        <v>0</v>
      </c>
      <c r="GF40" s="155">
        <f>(_xlfn.MAXIFS(LandEmiss!$BK$335:$BK$434,LandEmiss!$BJ$335:$BJ$434,$FG40)+_xlfn.MAXIFS(LandEmiss!$DV$323:$DV$422,LandEmiss!$DU$323:$DU$422,$FG40))*IFERROR($QR$13,0)</f>
        <v>0</v>
      </c>
      <c r="GG40" s="313">
        <f>IF(OR(VCU!$D$26="fuel gas",VCU!$D$42="fuel gas"),SUMIF(VCU!$E$120:$E$129,$FG40,VCU!$F$120:$F$129),0)*IFERROR($QR$14,0)</f>
        <v>0</v>
      </c>
      <c r="GH40" s="313">
        <f>(_xlfn.MAXIFS(CtrlDevImpacts!$X$57:$X$156,CtrlDevImpacts!$W$57:$W$156,$FG40))*IFERROR($QR$14,0)</f>
        <v>0</v>
      </c>
      <c r="GI40" s="313">
        <f>(_xlfn.MAXIFS(VCU!$F$130:$F$239,VCU!$E$130:$E$239,$FG40)-_xlfn.MAXIFS(CtrlDevImpacts!$X$57:$X$156,CtrlDevImpacts!$W$57:$W$156,$FG40))*IFERROR($QR$14,0)</f>
        <v>0</v>
      </c>
      <c r="GJ40" s="155">
        <f>_xlfn.MAXIFS(LandEmiss!$D$335:$D$434,LandEmiss!$A$335:$A$434,$FG40)*IFERROR($QR$14,0)</f>
        <v>0</v>
      </c>
      <c r="GK40" s="155">
        <f>(_xlfn.MAXIFS(LandEmiss!$BM$335:$BM$434,LandEmiss!$BJ$335:$BJ$434,$FG40)+_xlfn.MAXIFS(LandEmiss!$DX$323:$DX$422,LandEmiss!$DU$323:$DU$422,$FG40))*IFERROR($QR$14,0)</f>
        <v>0</v>
      </c>
      <c r="GL40" s="313">
        <f>IF(VaporOxidizer!D71="FUEL GAS",SUMIF(VaporOxidizer!$E$101:$E$110,$FG40,VaporOxidizer!$F$101:$F$110),0)*IFERROR($QR$15,0)</f>
        <v>0</v>
      </c>
      <c r="GM40" s="313">
        <f>(_xlfn.MAXIFS(CtrlDevImpacts!$AN$57:$AN$156,CtrlDevImpacts!$AM$57:$AM$156,$FG40))*IFERROR($QR$15,0)</f>
        <v>0</v>
      </c>
      <c r="GN40" s="313">
        <f>(_xlfn.MAXIFS(VaporOxidizer!$F$111:$F$220,VaporOxidizer!$E$111:$E$220,$FG40)-_xlfn.MAXIFS(CtrlDevImpacts!$AN$57:$AN$156,CtrlDevImpacts!$AM$57:$AM$156,$FG40))*IFERROR($QR$15,0)</f>
        <v>0</v>
      </c>
      <c r="GO40" s="155">
        <f>_xlfn.MAXIFS(LandEmiss!$F$335:$F$434,LandEmiss!$A$335:$A$434,$FG40)*IFERROR($QR$15,0)</f>
        <v>0</v>
      </c>
      <c r="GP40" s="155">
        <f>(_xlfn.MAXIFS(LandEmiss!$BK$335:$BK$434,LandEmiss!$BO$335:$BO$434,$FG40)+_xlfn.MAXIFS(LandEmiss!$DZ$323:$DZ$422,LandEmiss!$DU$323:$DU$422,$FG40))*IFERROR($QR$15,0)</f>
        <v>0</v>
      </c>
      <c r="GQ40" s="313">
        <f>_xlfn.MAXIFS(CtrlDevImpacts!$BD$57:$BD$156,CtrlDevImpacts!$BC$57:$BC$156,$FG40)*IFERROR(Hidden!$QR$16,0)</f>
        <v>0</v>
      </c>
      <c r="GR40" s="313">
        <f>(_xlfn.MAXIFS(CAS!$H$35:$H$144,CAS!$E$35:$E$144,$FG40)-_xlfn.MAXIFS(CtrlDevImpacts!$BD$57:$BD$156,CtrlDevImpacts!$BC$57:$BC$156,$FG40))*IFERROR(Hidden!$QR$16,0)</f>
        <v>0</v>
      </c>
      <c r="GS40" s="155">
        <f>_xlfn.MAXIFS(LandEmiss!$H$335:$H$434,LandEmiss!$A$335:$A$434,$FG40)*IFERROR($QR$27,0)</f>
        <v>0</v>
      </c>
      <c r="GT40" s="155">
        <f>(_xlfn.MAXIFS(LandEmiss!$BK$335:$BK$434,LandEmiss!$BQ$335:$BQ$434,$FG40)+_xlfn.MAXIFS(LandEmiss!$EB$323:$EB$422,LandEmiss!$DU$323:$DU$422,$FG40))*IFERROR($QR$27,0)</f>
        <v>0</v>
      </c>
      <c r="GU40" s="155">
        <f>_xlfn.MAXIFS(LandEmiss!$J$335:$J$434,LandEmiss!$A$335:$A$434,$FG40)*IFERROR($QR$26,0)</f>
        <v>0</v>
      </c>
      <c r="GV40" s="155">
        <f>(_xlfn.MAXIFS(LandEmiss!$BK$335:$BK$434,LandEmiss!$BS$335:$BS$434,$FG40)+_xlfn.MAXIFS(LandEmiss!$ED$323:$ED$422,LandEmiss!$DU$323:$DU$422,$FG40))*IFERROR($QR$26,0)</f>
        <v>0</v>
      </c>
      <c r="GW40" s="155">
        <f>_xlfn.MAXIFS(LandEmiss!$L$335:$L$434,LandEmiss!$A$335:$A$434,$FG40)*IFERROR($QR$25,0)</f>
        <v>0</v>
      </c>
      <c r="GX40" s="155">
        <f>(_xlfn.MAXIFS(LandEmiss!$BK$335:$BK$434,LandEmiss!$BU$335:$BU$434,$FG40)+_xlfn.MAXIFS(LandEmiss!$EF$323:$EF$422,LandEmiss!$DU$323:$DU$422,$FG40))*IFERROR($QR$25,0)</f>
        <v>0</v>
      </c>
      <c r="GY40" s="155">
        <v>0</v>
      </c>
      <c r="GZ40" s="155">
        <v>0</v>
      </c>
      <c r="HA40" s="155">
        <f>IF(OR(HeaterBoiler1!$E$26&lt;&gt;"fuel gas",HeaterBoiler1!$E$15&lt;&gt;"heater"),0,SUMIF(HeaterBoiler1!$A$54:$D$63,$FG40,HeaterBoiler1!$I$54:$I$63))*IFERROR($QR$19,0)</f>
        <v>0</v>
      </c>
      <c r="HB40" s="207">
        <f>IF(OR(HeaterBoiler2!$E$26&lt;&gt;"fuel gas",HeaterBoiler2!$E$15&lt;&gt;"heater"),0,SUMIF(HeaterBoiler2!$A$54:$D$63,$FG40,HeaterBoiler2!$I$54:$I$63))*IFERROR($QR$21,0)</f>
        <v>0</v>
      </c>
      <c r="HC40" s="155">
        <f>IF(OR(HeaterBoiler1!$E$26&lt;&gt;"fuel gas",HeaterBoiler1!$E$15&lt;&gt;"boiler"),0,SUMIF(HeaterBoiler1!$A$41:$A$50,$FG40,HeaterBoiler1!$F$41:$F$50))*IFERROR($QR$20,0)</f>
        <v>0</v>
      </c>
      <c r="HD40" s="207">
        <f>IF(OR(HeaterBoiler2!$E$26&lt;&gt;"fuel gas",HeaterBoiler2!$E$15&lt;&gt;"boiler"),0,SUMIF(HeaterBoiler2!$A$41:$A$50,$FG40,HeaterBoiler2!$F$41:$F$50))*IFERROR($QR$22,0)</f>
        <v>0</v>
      </c>
      <c r="HE40" s="155">
        <f>SUMIF(Fug!$A$96:$A$205,$FG40,Fug!$I$96:$I$205)*IFERROR(Hidden!$QR$23,0)</f>
        <v>0</v>
      </c>
      <c r="HF40" s="155">
        <f t="shared" si="24"/>
        <v>0</v>
      </c>
      <c r="HG40" s="156">
        <f t="shared" si="25"/>
        <v>0</v>
      </c>
      <c r="HH40" s="156">
        <f t="shared" si="26"/>
        <v>0</v>
      </c>
      <c r="HI40" s="156">
        <f t="shared" si="27"/>
        <v>0</v>
      </c>
      <c r="HJ40" s="156">
        <f t="shared" si="28"/>
        <v>0</v>
      </c>
      <c r="HK40" s="156">
        <f t="shared" si="29"/>
        <v>0</v>
      </c>
      <c r="HL40" s="156">
        <f t="shared" si="30"/>
        <v>0</v>
      </c>
      <c r="NO40" s="155">
        <f>IF(Tank1!$D$22="No control",(SUMIF(Tank1!$E$32:$E$141,$FG40,Tank1!$H$32:$H$141)*(2000/8760)*IFERROR($QV$3,0)),0)</f>
        <v>0</v>
      </c>
      <c r="NP40" s="156">
        <f>SUMIF(LandEmiss!$AE$20:$AE$119,$FG40,LandEmiss!$AK$20:$AK$119)*(2000/8760)*IFERROR($QV$3,0)</f>
        <v>0</v>
      </c>
      <c r="NQ40" s="156">
        <f>(SUMIF(LandEmiss!$CN$20:$CN$119,$FG40,LandEmiss!$CT$20:$CT$119)+SUMIF(LandEmiss!$EY$9:$EY$108,$FG40,LandEmiss!$FE$9:$FE$108))*IFERROR($QV$3,0)*(2000/8760)</f>
        <v>0</v>
      </c>
      <c r="NR40" s="155">
        <f>IF(Tank2!$D$22="No control",(SUMIF(Tank2!$E$32:$E$141,$FG40,Tank2!$H$32:$H$141)*(2000/8760)*IFERROR($QV$4,0)),0)</f>
        <v>0</v>
      </c>
      <c r="NS40" s="156">
        <f>SUMIF(LandEmiss!$AE$20:$AE$119,$FG40,LandEmiss!$AL$20:$AL$119)*(2000/8760)*IFERROR($QV$4,0)</f>
        <v>0</v>
      </c>
      <c r="NT40" s="156">
        <f>(SUMIF(LandEmiss!$CN$20:$CN$119,$FG40,LandEmiss!$CU$20:$CU$119)+SUMIF(LandEmiss!$EY$9:$EY$108,$FG40,LandEmiss!$FF$9:$FF$108))*IFERROR($QV$4,0)*(2000/8760)</f>
        <v>0</v>
      </c>
      <c r="NU40" s="155">
        <f>IF(Tank3!$D$22="No control",(SUMIF(Tank3!$E$32:$E$141,$FG40,Tank3!$H$32:$H$141)*(2000/8760)*IFERROR($QV$5,0)),0)</f>
        <v>0</v>
      </c>
      <c r="NV40" s="156">
        <f>SUMIF(LandEmiss!$AE$20:$AE$119,$FG40,LandEmiss!$AM$20:$AM$119)*(2000/8760)*IFERROR($QV$5,0)</f>
        <v>0</v>
      </c>
      <c r="NW40" s="156">
        <f>(SUMIF(LandEmiss!$CN$20:$CN$119,$FG40,LandEmiss!$CV$20:$CV$119)+SUMIF(LandEmiss!$EY$9:$EY$108,$FG40,LandEmiss!$FG$9:$FG$108))*IFERROR($QV$5,0)*(2000/8760)</f>
        <v>0</v>
      </c>
      <c r="NX40" s="155">
        <f>IF(Tank4!$D$22="No control",(SUMIF(Tank4!$E$32:$E$141,$FG40,Tank4!$H$32:$H$141)*(2000/8760)*IFERROR($QV$6,0)),0)</f>
        <v>0</v>
      </c>
      <c r="NY40" s="156">
        <f>SUMIF(LandEmiss!$AE$20:$AE$119,$FG40,LandEmiss!$AN$20:$AN$119)*(2000/8760)*IFERROR($QV$6,0)</f>
        <v>0</v>
      </c>
      <c r="NZ40" s="156">
        <f>(SUMIF(LandEmiss!$CN$20:$CN$119,$FG40,LandEmiss!$CW$20:$CW$119)+SUMIF(LandEmiss!$EY$9:$EY$108,$FG40,LandEmiss!$FH$9:$FH$108))*IFERROR($QV$6,0)*(2000/8760)</f>
        <v>0</v>
      </c>
      <c r="OA40" s="155">
        <f>IF(Tank5!$D$22="No control",(SUMIF(Tank5!$E$32:$E$141,$FG40,Tank5!$H$32:$H$141)*(2000/8760)*IFERROR($QV$7,0)),0)</f>
        <v>0</v>
      </c>
      <c r="OB40" s="156">
        <f>SUMIF(LandEmiss!$AE$20:$AE$119,$FG40,LandEmiss!$AO$20:$AO$119)*(2000/8760)*IFERROR($QV$7,0)</f>
        <v>0</v>
      </c>
      <c r="OC40" s="156">
        <f>(SUMIF(LandEmiss!$CN$20:$CN$119,$FG40,LandEmiss!$CX$20:$CX$119)+SUMIF(LandEmiss!$EY$9:$EY$108,$FG40,LandEmiss!$FI$9:$FI$108))*IFERROR($QV$7,0)*(2000/8760)</f>
        <v>0</v>
      </c>
      <c r="OD40" s="155">
        <f>SUMIFS('Load-DrumTote'!$L$27:$L$136,'Load-DrumTote'!$F$27:$F$136,$FG40)*IFERROR($QV$8,0)*(2000/8760)</f>
        <v>0</v>
      </c>
      <c r="OE40" s="155">
        <f>SUMIFS('Load-Truck'!$L$27:$L$136,'Load-Truck'!$F$27:$F$136,$FG40)*IFERROR($QV$9,0)*(2000/8760)</f>
        <v>0</v>
      </c>
      <c r="OF40" s="155">
        <f>SUMIFS('Load-Rail'!$L$27:$L$136,'Load-Rail'!$F$27:$F$136,$FG40)*IFERROR($QV$10,0)*(2000/8760)</f>
        <v>0</v>
      </c>
      <c r="OG40" s="155">
        <f>SUMIFS('Load-MarineBarge'!$L$27:$L$136,'Load-MarineBarge'!$F$27:$F$136,$FG40)*IFERROR($QV$11,0)*(2000/8760)</f>
        <v>0</v>
      </c>
      <c r="OH40" s="155">
        <f>SUMIFS('Load-MarineShip'!$L$27:$L$136,'Load-MarineShip'!$F$27:$F$136,$FG40)*IFERROR($QV$12,0)*(2000/8760)</f>
        <v>0</v>
      </c>
      <c r="OI40" s="155">
        <f>(IF(OR(Flare!$D$24="FUEL GAS",Flare!$D$38="FUEL GAS"),SUMIF(Flare!$E$97:$E$106,$FG40,Flare!$G$97:$G$105),0)+SUMIF(Flare!$E$107:$E$216,$FG40,Flare!$G$107:$G$216))*(2000/8730)*IFERROR($QV$13,0)</f>
        <v>0</v>
      </c>
      <c r="OJ40" s="155">
        <f>SUMIF(LandEmiss!$A$335:$A$434,$FG40,LandEmiss!$C$335:$C$434)*(2000/8760)*IFERROR($QV$13,0)</f>
        <v>0</v>
      </c>
      <c r="OK40" s="155">
        <f>(SUMIF(LandEmiss!$BJ$335:$BJ$434,$FG40,LandEmiss!$BL$335:$BL$434)+SUMIF(LandEmiss!$DU$323:$DU$422,$FG40,LandEmiss!$DW$323:$DW$422))*(2000/8760)*IFERROR($QV$13,0)</f>
        <v>0</v>
      </c>
      <c r="OL40" s="155">
        <f>(IF(OR(VCU!$D$26="FUEL GAS",VCU!$D$42="FUEL GAS"),SUMIF(VCU!$E$120:$E$129,$FG40,VCU!$G$120:$G$129),0)+SUMIF(VCU!$E$130:$E$239,$FG40,VCU!G168:G277))*(2000/8760)*IFERROR($QV$14,0)</f>
        <v>0</v>
      </c>
      <c r="OM40" s="155">
        <f>SUMIF(LandEmiss!$A$335:$A$434,$FG40,LandEmiss!$E$335:$E$434)*(2000/8760)*IFERROR($QV$14,0)</f>
        <v>0</v>
      </c>
      <c r="ON40" s="155">
        <f>(SUMIF(LandEmiss!$BJ$335:$BJ$434,$FG40,LandEmiss!$BN$335:$BN$434)+SUMIF(LandEmiss!$DU$323:$DU$422,$FG40,LandEmiss!$DY$323:$DY$422))*(2000/8760)*IFERROR($QV$14,0)</f>
        <v>0</v>
      </c>
      <c r="OO40" s="155">
        <f>(IF(VaporOxidizer!$D$33="FUEL GAS",SUMIF(VaporOxidizer!$E$101:$E$110,$FG40,VaporOxidizer!$G$101:$G$110),0)+SUMIF(VaporOxidizer!$E$111:$E$220,$FG40,VaporOxidizer!$G$111:$G$220))*(2000/8760)*IFERROR($QV$15,0)</f>
        <v>0</v>
      </c>
      <c r="OP40" s="155">
        <f>SUMIF(LandEmiss!$A$335:$A$434,$FG40,LandEmiss!$G$335:$G$434)*(2000/8760)*IFERROR($QV$15,0)</f>
        <v>0</v>
      </c>
      <c r="OQ40" s="155">
        <f>(SUMIF(LandEmiss!$BJ$335:$BJ$434,$FG40,LandEmiss!$BP$335:$BP$434)+SUMIF(LandEmiss!$DU$323:$DU$422,$FG40,LandEmiss!$EA$323:$EA$422))*(2000/8760)*IFERROR($QV$15,0)</f>
        <v>0</v>
      </c>
      <c r="OR40" s="155">
        <f>SUMIF(CAS!$E$35:$E$144,Hidden!$FG40,CAS!$I$35:$I$144)*IFERROR($QV$16,0)*(2000/8760)</f>
        <v>0</v>
      </c>
      <c r="OS40" s="155">
        <f>SUMIF(LandEmiss!$A$335:$A$434,$FG40,LandEmiss!$I$335:$I$434)*(2000/8760)*IFERROR($QV$27,0)</f>
        <v>0</v>
      </c>
      <c r="OT40" s="155">
        <f>(SUMIF(LandEmiss!$BJ$335:$BJ$434,$FG40,LandEmiss!$BR$335:$BR$434)+SUMIF(LandEmiss!$DU$323:$DU$422,$FG40,LandEmiss!$EC$323:$EC$422))*(2000/8760)*IFERROR($QV$27,0)</f>
        <v>0</v>
      </c>
      <c r="OU40" s="155">
        <f>SUMIF(LandEmiss!$A$335:$A$434,$FG40,LandEmiss!$K$335:$K$434)*(2000/8760)*IFERROR($QV$26,0)</f>
        <v>0</v>
      </c>
      <c r="OV40" s="155">
        <f>(SUMIF(LandEmiss!$BJ$335:$BJ$434,$FG40,LandEmiss!$BT$335:$BT$434)+SUMIF(LandEmiss!$DU$323:$DU$422,$FG40,LandEmiss!$EE$323:$EE$422))*(2000/8760)*IFERROR($QV$26,0)</f>
        <v>0</v>
      </c>
      <c r="OW40" s="155">
        <f>SUMIF(LandEmiss!$A$335:$A$434,$FG40,LandEmiss!$M$335:$M$434)*(2000/8760)*IFERROR($QV$25,0)</f>
        <v>0</v>
      </c>
      <c r="OX40" s="155">
        <f>(SUMIF(LandEmiss!$BJ$335:$BJ$434,$FG40,LandEmiss!$BV$335:$BV$434)+SUMIF(LandEmiss!$DU$323:$DU$422,$FG40,LandEmiss!$EG$323:$EG$422))*(2000/8760)*IFERROR($QV$25,0)</f>
        <v>0</v>
      </c>
      <c r="OY40" s="8">
        <v>0</v>
      </c>
      <c r="OZ40" s="207">
        <v>0</v>
      </c>
      <c r="PA40" s="207">
        <f>IF(OR(HeaterBoiler1!$E$26&lt;&gt;"fuel gas",HeaterBoiler1!$E$15&lt;&gt;"heater"),0,(SUMIF(HeaterBoiler1!$A$54:$D$63,$FG40,HeaterBoiler1!$J$54:$J$63))*(2000/8760))*IFERROR($QV$19,0)</f>
        <v>0</v>
      </c>
      <c r="PB40" s="207">
        <f>IF(OR(HeaterBoiler2!$E$26&lt;&gt;"fuel gas",HeaterBoiler2!$E$15&lt;&gt;"heater"),0,(SUMIF(HeaterBoiler2!$A$54:$D$63,$FG40,HeaterBoiler2!$J$54:$J$63))*(2000/8760))*IFERROR($QV$21,0)</f>
        <v>0</v>
      </c>
      <c r="PC40" s="207">
        <f>IF(OR(HeaterBoiler1!$E$26&lt;&gt;"fuel gas",HeaterBoiler1!$E$15&lt;&gt;"boiler"),0,(SUMIF(HeaterBoiler1!$A$54:$D$63,$FG40,HeaterBoiler1!$J$54:$J$63))*(2000/8760))*IFERROR($QV$20,0)</f>
        <v>0</v>
      </c>
      <c r="PD40" s="207">
        <f>IF(OR(HeaterBoiler2!$E$26&lt;&gt;"fuel gas",HeaterBoiler2!$E$15&lt;&gt;"boiler"),0,(SUMIF(HeaterBoiler2!$A$54:$D$63,$FG40,HeaterBoiler2!$J$54:$J$63))*(2000/8760))*IFERROR($QV$22,0)</f>
        <v>0</v>
      </c>
      <c r="PE40" s="8">
        <f>(SUMIF(Fug!$A$96:$A$205,$FG40,Fug!$J$96:$J$205))*IFERROR($QV$23,0)*(2000/8760)</f>
        <v>0</v>
      </c>
      <c r="PF40" s="8">
        <f t="shared" si="31"/>
        <v>0</v>
      </c>
      <c r="PG40" s="156">
        <f t="shared" si="32"/>
        <v>0</v>
      </c>
      <c r="PJ40" s="52" t="str">
        <f>IF(Fug!$F$16=Hidden!$PP$2,"Open-Ended Lines (controlled)","")</f>
        <v/>
      </c>
      <c r="PK40" s="52" t="str">
        <f>IF(Fug!$F$16=Hidden!$PP$2,"All","")</f>
        <v/>
      </c>
      <c r="PL40" s="52"/>
      <c r="PM40" s="52"/>
      <c r="PN40" s="52"/>
      <c r="PO40" s="52"/>
      <c r="PP40" s="52">
        <v>0</v>
      </c>
      <c r="PQ40" s="52"/>
      <c r="PR40" s="52"/>
      <c r="PS40" s="52"/>
      <c r="PT40" s="52" t="s">
        <v>8793</v>
      </c>
      <c r="PU40" s="52" t="s">
        <v>8778</v>
      </c>
      <c r="PV40" s="52">
        <v>1</v>
      </c>
      <c r="PW40" s="52">
        <v>1</v>
      </c>
      <c r="PX40" s="52">
        <v>1</v>
      </c>
      <c r="PY40" s="52">
        <v>1</v>
      </c>
      <c r="PZ40" s="52">
        <v>1</v>
      </c>
      <c r="QA40" s="52">
        <v>1</v>
      </c>
      <c r="QB40" s="52"/>
      <c r="QC40" s="52"/>
      <c r="QD40" s="52"/>
      <c r="QE40" s="52"/>
      <c r="QF40" s="52"/>
      <c r="QG40" s="52"/>
      <c r="QH40" s="52"/>
      <c r="QI40" s="52"/>
      <c r="QX40" s="89" t="s">
        <v>9318</v>
      </c>
      <c r="QY40">
        <v>355.7</v>
      </c>
      <c r="QZ40">
        <v>239</v>
      </c>
      <c r="RA40">
        <v>206.6</v>
      </c>
      <c r="RB40">
        <v>134.9</v>
      </c>
      <c r="RC40">
        <v>96.12</v>
      </c>
      <c r="RD40">
        <v>73.67</v>
      </c>
      <c r="RE40">
        <v>58.47</v>
      </c>
      <c r="RF40">
        <v>46.22</v>
      </c>
      <c r="RG40" s="90">
        <v>37.909999999999997</v>
      </c>
      <c r="RH40" s="89" t="s">
        <v>9318</v>
      </c>
      <c r="RI40">
        <v>349.5</v>
      </c>
      <c r="RJ40">
        <v>181.7</v>
      </c>
      <c r="RK40">
        <v>110.9</v>
      </c>
      <c r="RL40">
        <v>74.930000000000007</v>
      </c>
      <c r="RM40">
        <v>54.79</v>
      </c>
      <c r="RN40">
        <v>44.91</v>
      </c>
      <c r="RO40">
        <v>41.99</v>
      </c>
      <c r="RP40">
        <v>36.090000000000003</v>
      </c>
      <c r="RQ40" s="90">
        <v>32.119999999999997</v>
      </c>
      <c r="RR40" s="89" t="s">
        <v>9318</v>
      </c>
      <c r="RS40">
        <v>279.7</v>
      </c>
      <c r="RT40">
        <v>147.6</v>
      </c>
      <c r="RU40">
        <v>84.63</v>
      </c>
      <c r="RV40">
        <v>55.13</v>
      </c>
      <c r="RW40">
        <v>43.61</v>
      </c>
      <c r="RX40">
        <v>36.99</v>
      </c>
      <c r="RY40">
        <v>34.57</v>
      </c>
      <c r="RZ40">
        <v>28.15</v>
      </c>
      <c r="SA40" s="90">
        <v>24.87</v>
      </c>
      <c r="SB40" s="89" t="s">
        <v>9318</v>
      </c>
      <c r="SC40">
        <v>132.9</v>
      </c>
      <c r="SD40">
        <v>67.680000000000007</v>
      </c>
      <c r="SE40">
        <v>38.700000000000003</v>
      </c>
      <c r="SF40">
        <v>25.65</v>
      </c>
      <c r="SG40">
        <v>20.87</v>
      </c>
      <c r="SH40">
        <v>17.75</v>
      </c>
      <c r="SI40">
        <v>16.38</v>
      </c>
      <c r="SJ40">
        <v>12.41</v>
      </c>
      <c r="SK40" s="90">
        <v>10.050000000000001</v>
      </c>
      <c r="SL40" s="89" t="s">
        <v>9318</v>
      </c>
      <c r="SM40">
        <v>31.25</v>
      </c>
      <c r="SN40">
        <v>16.559999999999999</v>
      </c>
      <c r="SO40">
        <v>9.66</v>
      </c>
      <c r="SP40">
        <v>6.55</v>
      </c>
      <c r="SQ40">
        <v>5.26</v>
      </c>
      <c r="SR40">
        <v>4.3600000000000003</v>
      </c>
      <c r="SS40">
        <v>3.69</v>
      </c>
      <c r="ST40">
        <v>2.6</v>
      </c>
      <c r="SU40" s="90">
        <v>1.97</v>
      </c>
    </row>
    <row r="41" spans="1:533" ht="74.25" customHeight="1" x14ac:dyDescent="0.2">
      <c r="A41" s="8" t="s">
        <v>218</v>
      </c>
      <c r="B41" s="8">
        <v>10</v>
      </c>
      <c r="W41">
        <f>IF(OR(X41=0,ISNUMBER(MATCH(X41,$X$1:X40,0))),0,MAX($W$1:W40)+1)</f>
        <v>0</v>
      </c>
      <c r="X41" s="123">
        <f>Products!$E88</f>
        <v>0</v>
      </c>
      <c r="Y41" t="str">
        <f t="shared" si="39"/>
        <v/>
      </c>
      <c r="CA41">
        <f>IF(OR(CB41=0,ISNUMBER(MATCH(CB41,$CB$1:CB40,0))),0,MAX($CA$1:CA40)+1)</f>
        <v>0</v>
      </c>
      <c r="CB41" s="8">
        <f>IF(OR(Tank1!$D$18="EXTERNAL FLOATING ROOF",Tank1!$D$18="INTERNAL FLOATING ROOF"),IF(Tank1!$E71="",0,Tank1!$E71),0)</f>
        <v>0</v>
      </c>
      <c r="CC41" s="8" t="str">
        <f t="shared" si="40"/>
        <v/>
      </c>
      <c r="CD41" s="8"/>
      <c r="CE41" s="8">
        <f>IF(OR(CF41=0,ISNUMBER(MATCH(CF41,$CF$1:CF40,0))),0,MAX($CE$1:CE40)+1)</f>
        <v>0</v>
      </c>
      <c r="CF41" s="8">
        <f>IF(OR(Tank1!$D$18="HORIZONTAL FIXED ROOF",Tank1!$D$18="VERTICAL FIXED ROOF"),IF(Tank1!$E71="",0,Tank1!$E71),0)</f>
        <v>0</v>
      </c>
      <c r="CG41" s="8" t="str">
        <f t="shared" si="41"/>
        <v/>
      </c>
      <c r="CJ41">
        <f>IF(OR(CK41=0,ISNUMBER(MATCH(CK41,$CK$1:CK40,0))),0,MAX($CJ$1:CJ40)+1)</f>
        <v>0</v>
      </c>
      <c r="CK41">
        <f>Tank4!$A$131</f>
        <v>0</v>
      </c>
      <c r="CM41">
        <f>IFERROR(VLOOKUP($CK41,Tank4!$A$32:$D$141,3,FALSE),0)</f>
        <v>0</v>
      </c>
      <c r="CN41">
        <f>IFERROR(VLOOKUP($CK41,Tank4!$A$32:$D$141,4,FALSE),0)</f>
        <v>0</v>
      </c>
      <c r="DM41">
        <f>IF(OR(DN41=0,ISNUMBER(MATCH(DN41,$DN$1:DN40,0))),0,MAX($DM$1:DM40)+1)</f>
        <v>0</v>
      </c>
      <c r="DN41">
        <f>IF(Tank4!$D$22="Flare",IFERROR(VLOOKUP(Products!$A$149,Tank4!$A$32:$B$141,1,FALSE),0),0)</f>
        <v>0</v>
      </c>
      <c r="DO41">
        <f>IF($DN41=0,0,VLOOKUP($DN41,Tank4!$A$32:$H$141,7,FALSE))</f>
        <v>0</v>
      </c>
      <c r="DP41">
        <f>IF($DN41=0,0,VLOOKUP($DN41,Tank4!$A$32:$H$141,8,FALSE))</f>
        <v>0</v>
      </c>
      <c r="DU41">
        <f>IF(OR(DV41=0,ISNUMBER(MATCH(DV41,$DV$1:DV40,0))),0,MAX($DU$1:DU40)+1)</f>
        <v>0</v>
      </c>
      <c r="DV41">
        <f>IF(Tank4!$D$22="VCU",IFERROR(VLOOKUP(Products!$A$149,Tank4!$A$32:$B$141,1,FALSE),0),0)</f>
        <v>0</v>
      </c>
      <c r="DW41">
        <f>IF($DV41=0,0,VLOOKUP($DV41,Tank4!$A$32:$H$141,7,FALSE))</f>
        <v>0</v>
      </c>
      <c r="DX41">
        <f>IF($DV41=0,0,VLOOKUP($DV41,Tank4!$A$32:$H$141,8,FALSE))</f>
        <v>0</v>
      </c>
      <c r="EC41">
        <f>IF(OR(ED41=0,ISNUMBER(MATCH(ED41,$ED$1:ED40,0))),0,MAX($EC$1:EC40)+1)</f>
        <v>0</v>
      </c>
      <c r="ED41">
        <f>IF(Tank4!$D$22="vapor oxidizer",IFERROR(VLOOKUP(Products!$A$149,Tank4!$A$32:$B$141,1,FALSE),0),0)</f>
        <v>0</v>
      </c>
      <c r="EE41">
        <f>IF($ED41=0,0,VLOOKUP($ED41,Tank4!$A$32:$H$141,7,FALSE))</f>
        <v>0</v>
      </c>
      <c r="EF41">
        <f>IF($ED41=0,0,VLOOKUP($ED41,Tank4!$A$32:$H$141,8,FALSE))</f>
        <v>0</v>
      </c>
      <c r="EK41">
        <f>IF(OR(EL41=0,ISNUMBER(MATCH(EL41,$EL$1:EL40,0))),0,MAX($EK$1:EK40)+1)</f>
        <v>0</v>
      </c>
      <c r="EL41">
        <f>IF(Tank4!$D$22="CAS",IFERROR(VLOOKUP(Products!A149,Tank4!$A$32:$B$141,1,FALSE),0),0)</f>
        <v>0</v>
      </c>
      <c r="EM41">
        <f>IF($EL41=0,0,VLOOKUP($EL41,Tank4!$A$32:$H$141,7,FALSE))</f>
        <v>0</v>
      </c>
      <c r="EN41">
        <f>IF($EL41=0,0,VLOOKUP($EL41,Tank4!$A$32:$H$141,8,FALSE))</f>
        <v>0</v>
      </c>
      <c r="FB41" s="8" t="s">
        <v>435</v>
      </c>
      <c r="FC41" s="8" t="s">
        <v>436</v>
      </c>
      <c r="FD41" s="8">
        <v>170</v>
      </c>
      <c r="FE41" s="8">
        <v>17</v>
      </c>
      <c r="FG41" s="360" t="str">
        <f t="shared" si="23"/>
        <v/>
      </c>
      <c r="FH41" s="155">
        <f>IF(Tank1!$D$22="NO CONTROL",_xlfn.MAXIFS(Tank1!$G$32:$G$141,Tank1!$E$32:$E$141,$FG41),0)*IFERROR($QR$3,0)</f>
        <v>0</v>
      </c>
      <c r="FI41" s="155">
        <f>_xlfn.MAXIFS(LandEmiss!$AF$20:$AF$119,LandEmiss!$AE$20:$AE$119,$FG41)*IFERROR($QR$3,0)</f>
        <v>0</v>
      </c>
      <c r="FJ41" s="155">
        <f>MAX(_xlfn.MAXIFS(LandEmiss!$CO$20:$CO$119,LandEmiss!$CN$20:$CN$119,$FG41),_xlfn.MAXIFS(LandEmiss!$EZ$9:$EZ$108,LandEmiss!$EY$9:$EY$108,$FG41))*IFERROR($QR$3,0)</f>
        <v>0</v>
      </c>
      <c r="FK41" s="155">
        <f>IF(Tank2!$D$22="NO CONTROL",_xlfn.MAXIFS(Tank2!$G$32:$G$141,Tank2!$E$32:$E$141,$FG41),0)*IFERROR($QR$4,0)</f>
        <v>0</v>
      </c>
      <c r="FL41" s="155">
        <f>_xlfn.MAXIFS(LandEmiss!$AG$20:$AG$119,LandEmiss!$AE$20:$AE$119,$FG41)*IFERROR($QR$4,0)</f>
        <v>0</v>
      </c>
      <c r="FM41" s="155">
        <f>MAX(_xlfn.MAXIFS(LandEmiss!$CP$20:$CP$119,LandEmiss!$CN$20:$CN$119,$FG41),_xlfn.MAXIFS(LandEmiss!$FA$9:$FA$108,LandEmiss!$EY$9:$EY$108,$FG41))*IFERROR($QR$4,0)</f>
        <v>0</v>
      </c>
      <c r="FN41" s="155">
        <f>IF(Tank3!$D$22="NO CONTROL",_xlfn.MAXIFS(Tank3!$G$32:$G$141,Tank3!$E$32:$E$141,$FG41),0)*IFERROR($QR$5,0)</f>
        <v>0</v>
      </c>
      <c r="FO41" s="155">
        <f>_xlfn.MAXIFS(LandEmiss!$AH$20:$AH$119,LandEmiss!$AE$20:$AE$119,$FG41)*IFERROR($QR$5,0)</f>
        <v>0</v>
      </c>
      <c r="FP41" s="155">
        <f>MAX(_xlfn.MAXIFS(LandEmiss!$CQ$20:$CQ$119,LandEmiss!$CN$20:$CN$119,$FG41),_xlfn.MAXIFS(LandEmiss!$FB$9:$FB$108,LandEmiss!$EY$9:$EY$108,$FG41))*IFERROR($QR$5,0)</f>
        <v>0</v>
      </c>
      <c r="FQ41" s="155">
        <f>IF(Tank4!$D$22="NO CONTROL",_xlfn.MAXIFS(Tank4!$G$32:$G$141,Tank4!$E$32:$E$141,$FG41),0)*IFERROR($QR$6,0)</f>
        <v>0</v>
      </c>
      <c r="FR41" s="155">
        <f>_xlfn.MAXIFS(LandEmiss!$AI$20:$AI$119,LandEmiss!$AE$20:$AE$119,$FG41)*IFERROR($QR$6,0)</f>
        <v>0</v>
      </c>
      <c r="FS41" s="155">
        <f>MAX(_xlfn.MAXIFS(LandEmiss!$CR$20:$CR$119,LandEmiss!$CN$20:$CN$119,$FG41),_xlfn.MAXIFS(LandEmiss!$FC$9:$FC$108,LandEmiss!$EY$9:$EY$108,$FG41))*IFERROR($QR$6,0)</f>
        <v>0</v>
      </c>
      <c r="FT41" s="155">
        <f>IF(Tank5!$D$22="NO CONTROL",_xlfn.MAXIFS(Tank5!$G$32:$G$141,Tank5!$E$32:$E$141,$FG41),0)*IFERROR($QR$7,0)</f>
        <v>0</v>
      </c>
      <c r="FU41" s="155">
        <f>_xlfn.MAXIFS(LandEmiss!$AJ$20:$AJ$119,LandEmiss!$AE$20:$AE$119,$FG41)*IFERROR($QR$7,0)</f>
        <v>0</v>
      </c>
      <c r="FV41" s="155">
        <f>MAX(_xlfn.MAXIFS(LandEmiss!$CS$20:$CS$119,LandEmiss!$CN$20:$CN$119,$FG41),_xlfn.MAXIFS(LandEmiss!$FD$9:$FD$108,LandEmiss!$EY$9:$EY$108,$FG41))*IFERROR($QR46,0)</f>
        <v>0</v>
      </c>
      <c r="FW41" s="155">
        <f>_xlfn.MAXIFS('Load-DrumTote'!$K$27:$K$136,'Load-DrumTote'!$F$27:$F$136,$FG41)*IFERROR($QR$8,0)</f>
        <v>0</v>
      </c>
      <c r="FX41" s="155">
        <f>_xlfn.MAXIFS('Load-Truck'!$K$27:$K$136,'Load-Truck'!$F$27:$F$136,$FG41)*IFERROR($QR$9,0)</f>
        <v>0</v>
      </c>
      <c r="FY41" s="155">
        <f>_xlfn.MAXIFS('Load-Rail'!$K$27:$K$136,'Load-Rail'!$F$27:$F$136,$FG41)*IFERROR($QR$10,0)</f>
        <v>0</v>
      </c>
      <c r="FZ41" s="155">
        <f>_xlfn.MAXIFS('Load-MarineBarge'!$K$27:$K$136,'Load-MarineBarge'!$F$27:$F$136,$FG41)*IFERROR($QR$11,0)</f>
        <v>0</v>
      </c>
      <c r="GA41" s="155">
        <f>_xlfn.MAXIFS('Load-MarineShip'!$K$27:$K$136,'Load-MarineShip'!$F$27:$F$136,$FG41)*IFERROR($QR$12,0)</f>
        <v>0</v>
      </c>
      <c r="GB41" s="313">
        <f>IF(OR(Flare!$D$24="fuel gas",Flare!$D$38="fuel gas"),SUMIF(Flare!$E$97:$E$106,$FG41,Flare!$F$97:$F$106),0)*IFERROR($QR$13,0)</f>
        <v>0</v>
      </c>
      <c r="GC41" s="313">
        <f>(_xlfn.MAXIFS(CtrlDevImpacts!$I$57:$I$156,CtrlDevImpacts!$H$57:$H$156,$FG41))*IFERROR($QR$13,0)</f>
        <v>0</v>
      </c>
      <c r="GD41" s="313">
        <f>(_xlfn.MAXIFS(Flare!$F$107:$F$216,Flare!$E$107:$E$216,$FG41)-_xlfn.MAXIFS(CtrlDevImpacts!$I$57:$I$156,CtrlDevImpacts!$H$57:$H$156,$FG41))*IFERROR($QR$13,0)</f>
        <v>0</v>
      </c>
      <c r="GE41" s="155">
        <f>_xlfn.MAXIFS(LandEmiss!$B$335:$B$434,LandEmiss!$A$335:$A$434,$FG41)*IFERROR($QR$13,0)</f>
        <v>0</v>
      </c>
      <c r="GF41" s="155">
        <f>(_xlfn.MAXIFS(LandEmiss!$BK$335:$BK$434,LandEmiss!$BJ$335:$BJ$434,$FG41)+_xlfn.MAXIFS(LandEmiss!$DV$323:$DV$422,LandEmiss!$DU$323:$DU$422,$FG41))*IFERROR($QR$13,0)</f>
        <v>0</v>
      </c>
      <c r="GG41" s="313">
        <f>IF(OR(VCU!$D$26="fuel gas",VCU!$D$42="fuel gas"),SUMIF(VCU!$E$120:$E$129,$FG41,VCU!$F$120:$F$129),0)*IFERROR($QR$14,0)</f>
        <v>0</v>
      </c>
      <c r="GH41" s="313">
        <f>(_xlfn.MAXIFS(CtrlDevImpacts!$X$57:$X$156,CtrlDevImpacts!$W$57:$W$156,$FG41))*IFERROR($QR$14,0)</f>
        <v>0</v>
      </c>
      <c r="GI41" s="313">
        <f>(_xlfn.MAXIFS(VCU!$F$130:$F$239,VCU!$E$130:$E$239,$FG41)-_xlfn.MAXIFS(CtrlDevImpacts!$X$57:$X$156,CtrlDevImpacts!$W$57:$W$156,$FG41))*IFERROR($QR$14,0)</f>
        <v>0</v>
      </c>
      <c r="GJ41" s="155">
        <f>_xlfn.MAXIFS(LandEmiss!$D$335:$D$434,LandEmiss!$A$335:$A$434,$FG41)*IFERROR($QR$14,0)</f>
        <v>0</v>
      </c>
      <c r="GK41" s="155">
        <f>(_xlfn.MAXIFS(LandEmiss!$BM$335:$BM$434,LandEmiss!$BJ$335:$BJ$434,$FG41)+_xlfn.MAXIFS(LandEmiss!$DX$323:$DX$422,LandEmiss!$DU$323:$DU$422,$FG41))*IFERROR($QR$14,0)</f>
        <v>0</v>
      </c>
      <c r="GL41" s="313">
        <f>IF(VaporOxidizer!D72="FUEL GAS",SUMIF(VaporOxidizer!$E$101:$E$110,$FG41,VaporOxidizer!$F$101:$F$110),0)*IFERROR($QR$15,0)</f>
        <v>0</v>
      </c>
      <c r="GM41" s="313">
        <f>(_xlfn.MAXIFS(CtrlDevImpacts!$AN$57:$AN$156,CtrlDevImpacts!$AM$57:$AM$156,$FG41))*IFERROR($QR$15,0)</f>
        <v>0</v>
      </c>
      <c r="GN41" s="313">
        <f>(_xlfn.MAXIFS(VaporOxidizer!$F$111:$F$220,VaporOxidizer!$E$111:$E$220,$FG41)-_xlfn.MAXIFS(CtrlDevImpacts!$AN$57:$AN$156,CtrlDevImpacts!$AM$57:$AM$156,$FG41))*IFERROR($QR$15,0)</f>
        <v>0</v>
      </c>
      <c r="GO41" s="155">
        <f>_xlfn.MAXIFS(LandEmiss!$F$335:$F$434,LandEmiss!$A$335:$A$434,$FG41)*IFERROR($QR$15,0)</f>
        <v>0</v>
      </c>
      <c r="GP41" s="155">
        <f>(_xlfn.MAXIFS(LandEmiss!$BK$335:$BK$434,LandEmiss!$BO$335:$BO$434,$FG41)+_xlfn.MAXIFS(LandEmiss!$DZ$323:$DZ$422,LandEmiss!$DU$323:$DU$422,$FG41))*IFERROR($QR$15,0)</f>
        <v>0</v>
      </c>
      <c r="GQ41" s="313">
        <f>_xlfn.MAXIFS(CtrlDevImpacts!$BD$57:$BD$156,CtrlDevImpacts!$BC$57:$BC$156,$FG41)*IFERROR(Hidden!$QR$16,0)</f>
        <v>0</v>
      </c>
      <c r="GR41" s="313">
        <f>(_xlfn.MAXIFS(CAS!$H$35:$H$144,CAS!$E$35:$E$144,$FG41)-_xlfn.MAXIFS(CtrlDevImpacts!$BD$57:$BD$156,CtrlDevImpacts!$BC$57:$BC$156,$FG41))*IFERROR(Hidden!$QR$16,0)</f>
        <v>0</v>
      </c>
      <c r="GS41" s="155">
        <f>_xlfn.MAXIFS(LandEmiss!$H$335:$H$434,LandEmiss!$A$335:$A$434,$FG41)*IFERROR($QR$27,0)</f>
        <v>0</v>
      </c>
      <c r="GT41" s="155">
        <f>(_xlfn.MAXIFS(LandEmiss!$BK$335:$BK$434,LandEmiss!$BQ$335:$BQ$434,$FG41)+_xlfn.MAXIFS(LandEmiss!$EB$323:$EB$422,LandEmiss!$DU$323:$DU$422,$FG41))*IFERROR($QR$27,0)</f>
        <v>0</v>
      </c>
      <c r="GU41" s="155">
        <f>_xlfn.MAXIFS(LandEmiss!$J$335:$J$434,LandEmiss!$A$335:$A$434,$FG41)*IFERROR($QR$26,0)</f>
        <v>0</v>
      </c>
      <c r="GV41" s="155">
        <f>(_xlfn.MAXIFS(LandEmiss!$BK$335:$BK$434,LandEmiss!$BS$335:$BS$434,$FG41)+_xlfn.MAXIFS(LandEmiss!$ED$323:$ED$422,LandEmiss!$DU$323:$DU$422,$FG41))*IFERROR($QR$26,0)</f>
        <v>0</v>
      </c>
      <c r="GW41" s="155">
        <f>_xlfn.MAXIFS(LandEmiss!$L$335:$L$434,LandEmiss!$A$335:$A$434,$FG41)*IFERROR($QR$25,0)</f>
        <v>0</v>
      </c>
      <c r="GX41" s="155">
        <f>(_xlfn.MAXIFS(LandEmiss!$BK$335:$BK$434,LandEmiss!$BU$335:$BU$434,$FG41)+_xlfn.MAXIFS(LandEmiss!$EF$323:$EF$422,LandEmiss!$DU$323:$DU$422,$FG41))*IFERROR($QR$25,0)</f>
        <v>0</v>
      </c>
      <c r="GY41" s="155">
        <v>0</v>
      </c>
      <c r="GZ41" s="155">
        <v>0</v>
      </c>
      <c r="HA41" s="155">
        <f>IF(OR(HeaterBoiler1!$E$26&lt;&gt;"fuel gas",HeaterBoiler1!$E$15&lt;&gt;"heater"),0,SUMIF(HeaterBoiler1!$A$54:$D$63,$FG41,HeaterBoiler1!$I$54:$I$63))*IFERROR($QR$19,0)</f>
        <v>0</v>
      </c>
      <c r="HB41" s="207">
        <f>IF(OR(HeaterBoiler2!$E$26&lt;&gt;"fuel gas",HeaterBoiler2!$E$15&lt;&gt;"heater"),0,SUMIF(HeaterBoiler2!$A$54:$D$63,$FG41,HeaterBoiler2!$I$54:$I$63))*IFERROR($QR$21,0)</f>
        <v>0</v>
      </c>
      <c r="HC41" s="155">
        <f>IF(OR(HeaterBoiler1!$E$26&lt;&gt;"fuel gas",HeaterBoiler1!$E$15&lt;&gt;"boiler"),0,SUMIF(HeaterBoiler1!$A$41:$A$50,$FG41,HeaterBoiler1!$F$41:$F$50))*IFERROR($QR$20,0)</f>
        <v>0</v>
      </c>
      <c r="HD41" s="207">
        <f>IF(OR(HeaterBoiler2!$E$26&lt;&gt;"fuel gas",HeaterBoiler2!$E$15&lt;&gt;"boiler"),0,SUMIF(HeaterBoiler2!$A$41:$A$50,$FG41,HeaterBoiler2!$F$41:$F$50))*IFERROR($QR$22,0)</f>
        <v>0</v>
      </c>
      <c r="HE41" s="155">
        <f>SUMIF(Fug!$A$96:$A$205,$FG41,Fug!$I$96:$I$205)*IFERROR(Hidden!$QR$23,0)</f>
        <v>0</v>
      </c>
      <c r="HF41" s="155">
        <f t="shared" si="24"/>
        <v>0</v>
      </c>
      <c r="HG41" s="156">
        <f t="shared" si="25"/>
        <v>0</v>
      </c>
      <c r="HH41" s="156">
        <f t="shared" si="26"/>
        <v>0</v>
      </c>
      <c r="HI41" s="156">
        <f t="shared" si="27"/>
        <v>0</v>
      </c>
      <c r="HJ41" s="156">
        <f t="shared" si="28"/>
        <v>0</v>
      </c>
      <c r="HK41" s="156">
        <f t="shared" si="29"/>
        <v>0</v>
      </c>
      <c r="HL41" s="156">
        <f t="shared" si="30"/>
        <v>0</v>
      </c>
      <c r="NO41" s="155">
        <f>IF(Tank1!$D$22="No control",(SUMIF(Tank1!$E$32:$E$141,$FG41,Tank1!$H$32:$H$141)*(2000/8760)*IFERROR($QV$3,0)),0)</f>
        <v>0</v>
      </c>
      <c r="NP41" s="156">
        <f>SUMIF(LandEmiss!$AE$20:$AE$119,$FG41,LandEmiss!$AK$20:$AK$119)*(2000/8760)*IFERROR($QV$3,0)</f>
        <v>0</v>
      </c>
      <c r="NQ41" s="156">
        <f>(SUMIF(LandEmiss!$CN$20:$CN$119,$FG41,LandEmiss!$CT$20:$CT$119)+SUMIF(LandEmiss!$EY$9:$EY$108,$FG41,LandEmiss!$FE$9:$FE$108))*IFERROR($QV$3,0)*(2000/8760)</f>
        <v>0</v>
      </c>
      <c r="NR41" s="155">
        <f>IF(Tank2!$D$22="No control",(SUMIF(Tank2!$E$32:$E$141,$FG41,Tank2!$H$32:$H$141)*(2000/8760)*IFERROR($QV$4,0)),0)</f>
        <v>0</v>
      </c>
      <c r="NS41" s="156">
        <f>SUMIF(LandEmiss!$AE$20:$AE$119,$FG41,LandEmiss!$AL$20:$AL$119)*(2000/8760)*IFERROR($QV$4,0)</f>
        <v>0</v>
      </c>
      <c r="NT41" s="156">
        <f>(SUMIF(LandEmiss!$CN$20:$CN$119,$FG41,LandEmiss!$CU$20:$CU$119)+SUMIF(LandEmiss!$EY$9:$EY$108,$FG41,LandEmiss!$FF$9:$FF$108))*IFERROR($QV$4,0)*(2000/8760)</f>
        <v>0</v>
      </c>
      <c r="NU41" s="155">
        <f>IF(Tank3!$D$22="No control",(SUMIF(Tank3!$E$32:$E$141,$FG41,Tank3!$H$32:$H$141)*(2000/8760)*IFERROR($QV$5,0)),0)</f>
        <v>0</v>
      </c>
      <c r="NV41" s="156">
        <f>SUMIF(LandEmiss!$AE$20:$AE$119,$FG41,LandEmiss!$AM$20:$AM$119)*(2000/8760)*IFERROR($QV$5,0)</f>
        <v>0</v>
      </c>
      <c r="NW41" s="156">
        <f>(SUMIF(LandEmiss!$CN$20:$CN$119,$FG41,LandEmiss!$CV$20:$CV$119)+SUMIF(LandEmiss!$EY$9:$EY$108,$FG41,LandEmiss!$FG$9:$FG$108))*IFERROR($QV$5,0)*(2000/8760)</f>
        <v>0</v>
      </c>
      <c r="NX41" s="155">
        <f>IF(Tank4!$D$22="No control",(SUMIF(Tank4!$E$32:$E$141,$FG41,Tank4!$H$32:$H$141)*(2000/8760)*IFERROR($QV$6,0)),0)</f>
        <v>0</v>
      </c>
      <c r="NY41" s="156">
        <f>SUMIF(LandEmiss!$AE$20:$AE$119,$FG41,LandEmiss!$AN$20:$AN$119)*(2000/8760)*IFERROR($QV$6,0)</f>
        <v>0</v>
      </c>
      <c r="NZ41" s="156">
        <f>(SUMIF(LandEmiss!$CN$20:$CN$119,$FG41,LandEmiss!$CW$20:$CW$119)+SUMIF(LandEmiss!$EY$9:$EY$108,$FG41,LandEmiss!$FH$9:$FH$108))*IFERROR($QV$6,0)*(2000/8760)</f>
        <v>0</v>
      </c>
      <c r="OA41" s="155">
        <f>IF(Tank5!$D$22="No control",(SUMIF(Tank5!$E$32:$E$141,$FG41,Tank5!$H$32:$H$141)*(2000/8760)*IFERROR($QV$7,0)),0)</f>
        <v>0</v>
      </c>
      <c r="OB41" s="156">
        <f>SUMIF(LandEmiss!$AE$20:$AE$119,$FG41,LandEmiss!$AO$20:$AO$119)*(2000/8760)*IFERROR($QV$7,0)</f>
        <v>0</v>
      </c>
      <c r="OC41" s="156">
        <f>(SUMIF(LandEmiss!$CN$20:$CN$119,$FG41,LandEmiss!$CX$20:$CX$119)+SUMIF(LandEmiss!$EY$9:$EY$108,$FG41,LandEmiss!$FI$9:$FI$108))*IFERROR($QV$7,0)*(2000/8760)</f>
        <v>0</v>
      </c>
      <c r="OD41" s="155">
        <f>SUMIFS('Load-DrumTote'!$L$27:$L$136,'Load-DrumTote'!$F$27:$F$136,$FG41)*IFERROR($QV$8,0)*(2000/8760)</f>
        <v>0</v>
      </c>
      <c r="OE41" s="155">
        <f>SUMIFS('Load-Truck'!$L$27:$L$136,'Load-Truck'!$F$27:$F$136,$FG41)*IFERROR($QV$9,0)*(2000/8760)</f>
        <v>0</v>
      </c>
      <c r="OF41" s="155">
        <f>SUMIFS('Load-Rail'!$L$27:$L$136,'Load-Rail'!$F$27:$F$136,$FG41)*IFERROR($QV$10,0)*(2000/8760)</f>
        <v>0</v>
      </c>
      <c r="OG41" s="155">
        <f>SUMIFS('Load-MarineBarge'!$L$27:$L$136,'Load-MarineBarge'!$F$27:$F$136,$FG41)*IFERROR($QV$11,0)*(2000/8760)</f>
        <v>0</v>
      </c>
      <c r="OH41" s="155">
        <f>SUMIFS('Load-MarineShip'!$L$27:$L$136,'Load-MarineShip'!$F$27:$F$136,$FG41)*IFERROR($QV$12,0)*(2000/8760)</f>
        <v>0</v>
      </c>
      <c r="OI41" s="155">
        <f>(IF(OR(Flare!$D$24="FUEL GAS",Flare!$D$38="FUEL GAS"),SUMIF(Flare!$E$97:$E$106,$FG41,Flare!$G$97:$G$105),0)+SUMIF(Flare!$E$107:$E$216,$FG41,Flare!$G$107:$G$216))*(2000/8730)*IFERROR($QV$13,0)</f>
        <v>0</v>
      </c>
      <c r="OJ41" s="155">
        <f>SUMIF(LandEmiss!$A$335:$A$434,$FG41,LandEmiss!$C$335:$C$434)*(2000/8760)*IFERROR($QV$13,0)</f>
        <v>0</v>
      </c>
      <c r="OK41" s="155">
        <f>(SUMIF(LandEmiss!$BJ$335:$BJ$434,$FG41,LandEmiss!$BL$335:$BL$434)+SUMIF(LandEmiss!$DU$323:$DU$422,$FG41,LandEmiss!$DW$323:$DW$422))*(2000/8760)*IFERROR($QV$13,0)</f>
        <v>0</v>
      </c>
      <c r="OL41" s="155">
        <f>(IF(OR(VCU!$D$26="FUEL GAS",VCU!$D$42="FUEL GAS"),SUMIF(VCU!$E$120:$E$129,$FG41,VCU!$G$120:$G$129),0)+SUMIF(VCU!$E$130:$E$239,$FG41,VCU!G169:G278))*(2000/8760)*IFERROR($QV$14,0)</f>
        <v>0</v>
      </c>
      <c r="OM41" s="155">
        <f>SUMIF(LandEmiss!$A$335:$A$434,$FG41,LandEmiss!$E$335:$E$434)*(2000/8760)*IFERROR($QV$14,0)</f>
        <v>0</v>
      </c>
      <c r="ON41" s="155">
        <f>(SUMIF(LandEmiss!$BJ$335:$BJ$434,$FG41,LandEmiss!$BN$335:$BN$434)+SUMIF(LandEmiss!$DU$323:$DU$422,$FG41,LandEmiss!$DY$323:$DY$422))*(2000/8760)*IFERROR($QV$14,0)</f>
        <v>0</v>
      </c>
      <c r="OO41" s="155">
        <f>(IF(VaporOxidizer!$D$33="FUEL GAS",SUMIF(VaporOxidizer!$E$101:$E$110,$FG41,VaporOxidizer!$G$101:$G$110),0)+SUMIF(VaporOxidizer!$E$111:$E$220,$FG41,VaporOxidizer!$G$111:$G$220))*(2000/8760)*IFERROR($QV$15,0)</f>
        <v>0</v>
      </c>
      <c r="OP41" s="155">
        <f>SUMIF(LandEmiss!$A$335:$A$434,$FG41,LandEmiss!$G$335:$G$434)*(2000/8760)*IFERROR($QV$15,0)</f>
        <v>0</v>
      </c>
      <c r="OQ41" s="155">
        <f>(SUMIF(LandEmiss!$BJ$335:$BJ$434,$FG41,LandEmiss!$BP$335:$BP$434)+SUMIF(LandEmiss!$DU$323:$DU$422,$FG41,LandEmiss!$EA$323:$EA$422))*(2000/8760)*IFERROR($QV$15,0)</f>
        <v>0</v>
      </c>
      <c r="OR41" s="155">
        <f>SUMIF(CAS!$E$35:$E$144,Hidden!$FG41,CAS!$I$35:$I$144)*IFERROR($QV$16,0)*(2000/8760)</f>
        <v>0</v>
      </c>
      <c r="OS41" s="155">
        <f>SUMIF(LandEmiss!$A$335:$A$434,$FG41,LandEmiss!$I$335:$I$434)*(2000/8760)*IFERROR($QV$27,0)</f>
        <v>0</v>
      </c>
      <c r="OT41" s="155">
        <f>(SUMIF(LandEmiss!$BJ$335:$BJ$434,$FG41,LandEmiss!$BR$335:$BR$434)+SUMIF(LandEmiss!$DU$323:$DU$422,$FG41,LandEmiss!$EC$323:$EC$422))*(2000/8760)*IFERROR($QV$27,0)</f>
        <v>0</v>
      </c>
      <c r="OU41" s="155">
        <f>SUMIF(LandEmiss!$A$335:$A$434,$FG41,LandEmiss!$K$335:$K$434)*(2000/8760)*IFERROR($QV$26,0)</f>
        <v>0</v>
      </c>
      <c r="OV41" s="155">
        <f>(SUMIF(LandEmiss!$BJ$335:$BJ$434,$FG41,LandEmiss!$BT$335:$BT$434)+SUMIF(LandEmiss!$DU$323:$DU$422,$FG41,LandEmiss!$EE$323:$EE$422))*(2000/8760)*IFERROR($QV$26,0)</f>
        <v>0</v>
      </c>
      <c r="OW41" s="155">
        <f>SUMIF(LandEmiss!$A$335:$A$434,$FG41,LandEmiss!$M$335:$M$434)*(2000/8760)*IFERROR($QV$25,0)</f>
        <v>0</v>
      </c>
      <c r="OX41" s="155">
        <f>(SUMIF(LandEmiss!$BJ$335:$BJ$434,$FG41,LandEmiss!$BV$335:$BV$434)+SUMIF(LandEmiss!$DU$323:$DU$422,$FG41,LandEmiss!$EG$323:$EG$422))*(2000/8760)*IFERROR($QV$25,0)</f>
        <v>0</v>
      </c>
      <c r="OY41" s="8">
        <v>0</v>
      </c>
      <c r="OZ41" s="207">
        <v>0</v>
      </c>
      <c r="PA41" s="207">
        <f>IF(OR(HeaterBoiler1!$E$26&lt;&gt;"fuel gas",HeaterBoiler1!$E$15&lt;&gt;"heater"),0,(SUMIF(HeaterBoiler1!$A$54:$D$63,$FG41,HeaterBoiler1!$J$54:$J$63))*(2000/8760))*IFERROR($QV$19,0)</f>
        <v>0</v>
      </c>
      <c r="PB41" s="207">
        <f>IF(OR(HeaterBoiler2!$E$26&lt;&gt;"fuel gas",HeaterBoiler2!$E$15&lt;&gt;"heater"),0,(SUMIF(HeaterBoiler2!$A$54:$D$63,$FG41,HeaterBoiler2!$J$54:$J$63))*(2000/8760))*IFERROR($QV$21,0)</f>
        <v>0</v>
      </c>
      <c r="PC41" s="207">
        <f>IF(OR(HeaterBoiler1!$E$26&lt;&gt;"fuel gas",HeaterBoiler1!$E$15&lt;&gt;"boiler"),0,(SUMIF(HeaterBoiler1!$A$54:$D$63,$FG41,HeaterBoiler1!$J$54:$J$63))*(2000/8760))*IFERROR($QV$20,0)</f>
        <v>0</v>
      </c>
      <c r="PD41" s="207">
        <f>IF(OR(HeaterBoiler2!$E$26&lt;&gt;"fuel gas",HeaterBoiler2!$E$15&lt;&gt;"boiler"),0,(SUMIF(HeaterBoiler2!$A$54:$D$63,$FG41,HeaterBoiler2!$J$54:$J$63))*(2000/8760))*IFERROR($QV$22,0)</f>
        <v>0</v>
      </c>
      <c r="PE41" s="8">
        <f>(SUMIF(Fug!$A$96:$A$205,$FG41,Fug!$J$96:$J$205))*IFERROR($QV$23,0)*(2000/8760)</f>
        <v>0</v>
      </c>
      <c r="PF41" s="8">
        <f t="shared" si="31"/>
        <v>0</v>
      </c>
      <c r="PG41" s="156">
        <f t="shared" si="32"/>
        <v>0</v>
      </c>
      <c r="PJ41" s="52" t="str">
        <f>IF(Fug!$F$16=Hidden!$PP$2,"Sampling (hourly)","")</f>
        <v/>
      </c>
      <c r="PK41" s="52" t="str">
        <f>IF(Fug!$F$16=Hidden!$PP$2,"Gas","")</f>
        <v/>
      </c>
      <c r="PL41" s="52"/>
      <c r="PM41" s="52"/>
      <c r="PN41" s="52"/>
      <c r="PO41" s="52"/>
      <c r="PP41" s="52">
        <v>3.3000000000000002E-2</v>
      </c>
      <c r="PQ41" s="52"/>
      <c r="PR41" s="52"/>
      <c r="PS41" s="52"/>
      <c r="PT41" s="52" t="s">
        <v>8794</v>
      </c>
      <c r="PU41" s="52" t="s">
        <v>8769</v>
      </c>
      <c r="PV41" s="52">
        <v>0</v>
      </c>
      <c r="PW41" s="52">
        <v>0</v>
      </c>
      <c r="PX41" s="52">
        <v>0</v>
      </c>
      <c r="PY41" s="52">
        <v>0</v>
      </c>
      <c r="PZ41" s="52">
        <v>0</v>
      </c>
      <c r="QA41" s="52">
        <v>0</v>
      </c>
      <c r="QB41" s="52"/>
      <c r="QC41" s="52"/>
      <c r="QD41" s="52"/>
      <c r="QE41" s="52"/>
      <c r="QF41" s="52"/>
      <c r="QG41" s="52"/>
      <c r="QH41" s="52"/>
      <c r="QI41" s="52"/>
      <c r="QX41" s="89" t="s">
        <v>9319</v>
      </c>
      <c r="QY41">
        <v>19151.2</v>
      </c>
      <c r="QZ41">
        <v>8665.4</v>
      </c>
      <c r="RA41">
        <v>3159.7</v>
      </c>
      <c r="RB41">
        <v>1154.8</v>
      </c>
      <c r="RC41">
        <v>644.70000000000005</v>
      </c>
      <c r="RD41">
        <v>427.2</v>
      </c>
      <c r="RE41">
        <v>311.10000000000002</v>
      </c>
      <c r="RF41">
        <v>175.5</v>
      </c>
      <c r="RG41" s="90">
        <v>117.2</v>
      </c>
      <c r="RH41" s="89" t="s">
        <v>9319</v>
      </c>
      <c r="RI41">
        <v>18340.3</v>
      </c>
      <c r="RJ41">
        <v>8295.5</v>
      </c>
      <c r="RK41">
        <v>3075</v>
      </c>
      <c r="RL41">
        <v>1108.2</v>
      </c>
      <c r="RM41">
        <v>614.70000000000005</v>
      </c>
      <c r="RN41">
        <v>405.6</v>
      </c>
      <c r="RO41">
        <v>294.39999999999998</v>
      </c>
      <c r="RP41">
        <v>165.2</v>
      </c>
      <c r="RQ41" s="90">
        <v>109.8</v>
      </c>
      <c r="RR41" s="89" t="s">
        <v>9319</v>
      </c>
      <c r="RS41">
        <v>15485.6</v>
      </c>
      <c r="RT41">
        <v>6759.7</v>
      </c>
      <c r="RU41">
        <v>2399</v>
      </c>
      <c r="RV41">
        <v>819.8</v>
      </c>
      <c r="RW41">
        <v>435</v>
      </c>
      <c r="RX41">
        <v>277.7</v>
      </c>
      <c r="RY41">
        <v>201.8</v>
      </c>
      <c r="RZ41">
        <v>108.1</v>
      </c>
      <c r="SA41" s="90">
        <v>73.22</v>
      </c>
      <c r="SB41" s="89" t="s">
        <v>9319</v>
      </c>
      <c r="SC41">
        <v>7175.2</v>
      </c>
      <c r="SD41">
        <v>3010.9</v>
      </c>
      <c r="SE41">
        <v>1011.4</v>
      </c>
      <c r="SF41">
        <v>325.7</v>
      </c>
      <c r="SG41">
        <v>167.9</v>
      </c>
      <c r="SH41">
        <v>105.3</v>
      </c>
      <c r="SI41">
        <v>74.94</v>
      </c>
      <c r="SJ41">
        <v>39.28</v>
      </c>
      <c r="SK41" s="90">
        <v>25.29</v>
      </c>
      <c r="SL41" s="89" t="s">
        <v>9319</v>
      </c>
      <c r="SM41">
        <v>1837</v>
      </c>
      <c r="SN41">
        <v>711.6</v>
      </c>
      <c r="SO41">
        <v>217.2</v>
      </c>
      <c r="SP41">
        <v>63.44</v>
      </c>
      <c r="SQ41">
        <v>30.95</v>
      </c>
      <c r="SR41">
        <v>18.649999999999999</v>
      </c>
      <c r="SS41">
        <v>12.92</v>
      </c>
      <c r="ST41">
        <v>6.37</v>
      </c>
      <c r="SU41" s="90">
        <v>3.87</v>
      </c>
    </row>
    <row r="42" spans="1:533" ht="74.25" customHeight="1" x14ac:dyDescent="0.2">
      <c r="A42" s="8" t="s">
        <v>219</v>
      </c>
      <c r="B42" s="8">
        <v>14</v>
      </c>
      <c r="W42">
        <f>IF(OR(X42=0,ISNUMBER(MATCH(X42,$X$1:X41,0))),0,MAX($W$1:W41)+1)</f>
        <v>0</v>
      </c>
      <c r="X42" s="123">
        <f>Products!$E89</f>
        <v>0</v>
      </c>
      <c r="Y42" t="str">
        <f t="shared" si="39"/>
        <v/>
      </c>
      <c r="CA42">
        <f>IF(OR(CB42=0,ISNUMBER(MATCH(CB42,$CB$1:CB41,0))),0,MAX($CA$1:CA41)+1)</f>
        <v>0</v>
      </c>
      <c r="CB42" s="8">
        <f>IF(OR(Tank1!$D$18="EXTERNAL FLOATING ROOF",Tank1!$D$18="INTERNAL FLOATING ROOF"),IF(Tank1!$E72="",0,Tank1!$E72),0)</f>
        <v>0</v>
      </c>
      <c r="CC42" s="8" t="str">
        <f t="shared" si="40"/>
        <v/>
      </c>
      <c r="CD42" s="8"/>
      <c r="CE42" s="8">
        <f>IF(OR(CF42=0,ISNUMBER(MATCH(CF42,$CF$1:CF41,0))),0,MAX($CE$1:CE41)+1)</f>
        <v>0</v>
      </c>
      <c r="CF42" s="8">
        <f>IF(OR(Tank1!$D$18="HORIZONTAL FIXED ROOF",Tank1!$D$18="VERTICAL FIXED ROOF"),IF(Tank1!$E72="",0,Tank1!$E72),0)</f>
        <v>0</v>
      </c>
      <c r="CG42" s="8" t="str">
        <f t="shared" si="41"/>
        <v/>
      </c>
      <c r="CI42" t="s">
        <v>8710</v>
      </c>
      <c r="CJ42">
        <f>IF(OR(CK42=0,ISNUMBER(MATCH(CK42,$CK$1:CK41,0))),0,MAX($CJ$1:CJ41)+1)</f>
        <v>0</v>
      </c>
      <c r="CK42">
        <f>Tank5!$A$32</f>
        <v>0</v>
      </c>
      <c r="CM42">
        <f>IFERROR(VLOOKUP($CK42,Tank5!$A$32:$D$141,3,FALSE),0)</f>
        <v>0</v>
      </c>
      <c r="CN42">
        <f>IFERROR(VLOOKUP($CK42,Tank5!$A$32:$D$141,4,FALSE),0)</f>
        <v>0</v>
      </c>
      <c r="DL42" t="s">
        <v>8710</v>
      </c>
      <c r="DM42">
        <f>IF(OR(DN42=0,ISNUMBER(MATCH(DN42,$DN$1:DN41,0))),0,MAX($DM$1:DM41)+1)</f>
        <v>0</v>
      </c>
      <c r="DN42">
        <f>IF(Tank5!$D$22="Flare",IFERROR(VLOOKUP(Products!$A$59,Tank5!$A$32:$B$141,1,FALSE),0),0)</f>
        <v>0</v>
      </c>
      <c r="DO42">
        <f>IF($DN42=0,0,VLOOKUP($DN42,Tank5!$A$32:$H$141,7,FALSE))</f>
        <v>0</v>
      </c>
      <c r="DP42">
        <f>IF($DN42=0,0,VLOOKUP($DN42,Tank5!$A$32:$H$141,8,FALSE))</f>
        <v>0</v>
      </c>
      <c r="DU42">
        <f>IF(OR(DV42=0,ISNUMBER(MATCH(DV42,$DV$1:DV41,0))),0,MAX($DU$1:DU41)+1)</f>
        <v>0</v>
      </c>
      <c r="DV42">
        <f>IF(Tank5!$D$22="VCU",IFERROR(VLOOKUP(Products!$A$59,Tank5!$A$32:$B$141,1,FALSE),0),0)</f>
        <v>0</v>
      </c>
      <c r="DW42">
        <f>IF($DV42=0,0,VLOOKUP($DV42,Tank5!$A$32:$H$141,7,FALSE))</f>
        <v>0</v>
      </c>
      <c r="DX42">
        <f>IF($DV42=0,0,VLOOKUP($DV42,Tank5!$A$32:$H$141,8,FALSE))</f>
        <v>0</v>
      </c>
      <c r="EC42">
        <f>IF(OR(ED42=0,ISNUMBER(MATCH(ED42,$ED$1:ED41,0))),0,MAX($EC$1:EC41)+1)</f>
        <v>0</v>
      </c>
      <c r="ED42">
        <f>IF(Tank5!$D$22="vapor oxidizer",IFERROR(VLOOKUP(Products!$A$59,Tank5!$A$32:$B$141,1,FALSE),0),0)</f>
        <v>0</v>
      </c>
      <c r="EE42">
        <f>IF($ED42=0,0,VLOOKUP($ED42,Tank5!$A$32:$H$141,7,FALSE))</f>
        <v>0</v>
      </c>
      <c r="EF42">
        <f>IF($ED42=0,0,VLOOKUP($ED42,Tank5!$A$32:$H$141,8,FALSE))</f>
        <v>0</v>
      </c>
      <c r="EK42">
        <f>IF(OR(EL42=0,ISNUMBER(MATCH(EL42,$EL$1:EL41,0))),0,MAX($EK$1:EK41)+1)</f>
        <v>0</v>
      </c>
      <c r="EL42">
        <f>IF(Tank5!$D$22="CAS",IFERROR(VLOOKUP(Products!A59,Tank5!$A$32:$B$141,1,FALSE),0),0)</f>
        <v>0</v>
      </c>
      <c r="EM42">
        <f>IF($EL42=0,0,VLOOKUP($EL42,Tank5!$A$32:$H$141,7,FALSE))</f>
        <v>0</v>
      </c>
      <c r="EN42">
        <f>IF($EL42=0,0,VLOOKUP($EL42,Tank5!$A$32:$H$141,8,FALSE))</f>
        <v>0</v>
      </c>
      <c r="FB42" s="8" t="s">
        <v>437</v>
      </c>
      <c r="FC42" s="8" t="s">
        <v>438</v>
      </c>
      <c r="FD42" s="8">
        <v>20</v>
      </c>
      <c r="FE42" s="8">
        <v>2</v>
      </c>
      <c r="FG42" s="360" t="str">
        <f t="shared" si="23"/>
        <v/>
      </c>
      <c r="FH42" s="155">
        <f>IF(Tank1!$D$22="NO CONTROL",_xlfn.MAXIFS(Tank1!$G$32:$G$141,Tank1!$E$32:$E$141,$FG42),0)*IFERROR($QR$3,0)</f>
        <v>0</v>
      </c>
      <c r="FI42" s="155">
        <f>_xlfn.MAXIFS(LandEmiss!$AF$20:$AF$119,LandEmiss!$AE$20:$AE$119,$FG42)*IFERROR($QR$3,0)</f>
        <v>0</v>
      </c>
      <c r="FJ42" s="155">
        <f>MAX(_xlfn.MAXIFS(LandEmiss!$CO$20:$CO$119,LandEmiss!$CN$20:$CN$119,$FG42),_xlfn.MAXIFS(LandEmiss!$EZ$9:$EZ$108,LandEmiss!$EY$9:$EY$108,$FG42))*IFERROR($QR$3,0)</f>
        <v>0</v>
      </c>
      <c r="FK42" s="155">
        <f>IF(Tank2!$D$22="NO CONTROL",_xlfn.MAXIFS(Tank2!$G$32:$G$141,Tank2!$E$32:$E$141,$FG42),0)*IFERROR($QR$4,0)</f>
        <v>0</v>
      </c>
      <c r="FL42" s="155">
        <f>_xlfn.MAXIFS(LandEmiss!$AG$20:$AG$119,LandEmiss!$AE$20:$AE$119,$FG42)*IFERROR($QR$4,0)</f>
        <v>0</v>
      </c>
      <c r="FM42" s="155">
        <f>MAX(_xlfn.MAXIFS(LandEmiss!$CP$20:$CP$119,LandEmiss!$CN$20:$CN$119,$FG42),_xlfn.MAXIFS(LandEmiss!$FA$9:$FA$108,LandEmiss!$EY$9:$EY$108,$FG42))*IFERROR($QR$4,0)</f>
        <v>0</v>
      </c>
      <c r="FN42" s="155">
        <f>IF(Tank3!$D$22="NO CONTROL",_xlfn.MAXIFS(Tank3!$G$32:$G$141,Tank3!$E$32:$E$141,$FG42),0)*IFERROR($QR$5,0)</f>
        <v>0</v>
      </c>
      <c r="FO42" s="155">
        <f>_xlfn.MAXIFS(LandEmiss!$AH$20:$AH$119,LandEmiss!$AE$20:$AE$119,$FG42)*IFERROR($QR$5,0)</f>
        <v>0</v>
      </c>
      <c r="FP42" s="155">
        <f>MAX(_xlfn.MAXIFS(LandEmiss!$CQ$20:$CQ$119,LandEmiss!$CN$20:$CN$119,$FG42),_xlfn.MAXIFS(LandEmiss!$FB$9:$FB$108,LandEmiss!$EY$9:$EY$108,$FG42))*IFERROR($QR$5,0)</f>
        <v>0</v>
      </c>
      <c r="FQ42" s="155">
        <f>IF(Tank4!$D$22="NO CONTROL",_xlfn.MAXIFS(Tank4!$G$32:$G$141,Tank4!$E$32:$E$141,$FG42),0)*IFERROR($QR$6,0)</f>
        <v>0</v>
      </c>
      <c r="FR42" s="155">
        <f>_xlfn.MAXIFS(LandEmiss!$AI$20:$AI$119,LandEmiss!$AE$20:$AE$119,$FG42)*IFERROR($QR$6,0)</f>
        <v>0</v>
      </c>
      <c r="FS42" s="155">
        <f>MAX(_xlfn.MAXIFS(LandEmiss!$CR$20:$CR$119,LandEmiss!$CN$20:$CN$119,$FG42),_xlfn.MAXIFS(LandEmiss!$FC$9:$FC$108,LandEmiss!$EY$9:$EY$108,$FG42))*IFERROR($QR$6,0)</f>
        <v>0</v>
      </c>
      <c r="FT42" s="155">
        <f>IF(Tank5!$D$22="NO CONTROL",_xlfn.MAXIFS(Tank5!$G$32:$G$141,Tank5!$E$32:$E$141,$FG42),0)*IFERROR($QR$7,0)</f>
        <v>0</v>
      </c>
      <c r="FU42" s="155">
        <f>_xlfn.MAXIFS(LandEmiss!$AJ$20:$AJ$119,LandEmiss!$AE$20:$AE$119,$FG42)*IFERROR($QR$7,0)</f>
        <v>0</v>
      </c>
      <c r="FV42" s="155">
        <f>MAX(_xlfn.MAXIFS(LandEmiss!$CS$20:$CS$119,LandEmiss!$CN$20:$CN$119,$FG42),_xlfn.MAXIFS(LandEmiss!$FD$9:$FD$108,LandEmiss!$EY$9:$EY$108,$FG42))*IFERROR($QR47,0)</f>
        <v>0</v>
      </c>
      <c r="FW42" s="155">
        <f>_xlfn.MAXIFS('Load-DrumTote'!$K$27:$K$136,'Load-DrumTote'!$F$27:$F$136,$FG42)*IFERROR($QR$8,0)</f>
        <v>0</v>
      </c>
      <c r="FX42" s="155">
        <f>_xlfn.MAXIFS('Load-Truck'!$K$27:$K$136,'Load-Truck'!$F$27:$F$136,$FG42)*IFERROR($QR$9,0)</f>
        <v>0</v>
      </c>
      <c r="FY42" s="155">
        <f>_xlfn.MAXIFS('Load-Rail'!$K$27:$K$136,'Load-Rail'!$F$27:$F$136,$FG42)*IFERROR($QR$10,0)</f>
        <v>0</v>
      </c>
      <c r="FZ42" s="155">
        <f>_xlfn.MAXIFS('Load-MarineBarge'!$K$27:$K$136,'Load-MarineBarge'!$F$27:$F$136,$FG42)*IFERROR($QR$11,0)</f>
        <v>0</v>
      </c>
      <c r="GA42" s="155">
        <f>_xlfn.MAXIFS('Load-MarineShip'!$K$27:$K$136,'Load-MarineShip'!$F$27:$F$136,$FG42)*IFERROR($QR$12,0)</f>
        <v>0</v>
      </c>
      <c r="GB42" s="313">
        <f>IF(OR(Flare!$D$24="fuel gas",Flare!$D$38="fuel gas"),SUMIF(Flare!$E$97:$E$106,$FG42,Flare!$F$97:$F$106),0)*IFERROR($QR$13,0)</f>
        <v>0</v>
      </c>
      <c r="GC42" s="313">
        <f>(_xlfn.MAXIFS(CtrlDevImpacts!$I$57:$I$156,CtrlDevImpacts!$H$57:$H$156,$FG42))*IFERROR($QR$13,0)</f>
        <v>0</v>
      </c>
      <c r="GD42" s="313">
        <f>(_xlfn.MAXIFS(Flare!$F$107:$F$216,Flare!$E$107:$E$216,$FG42)-_xlfn.MAXIFS(CtrlDevImpacts!$I$57:$I$156,CtrlDevImpacts!$H$57:$H$156,$FG42))*IFERROR($QR$13,0)</f>
        <v>0</v>
      </c>
      <c r="GE42" s="155">
        <f>_xlfn.MAXIFS(LandEmiss!$B$335:$B$434,LandEmiss!$A$335:$A$434,$FG42)*IFERROR($QR$13,0)</f>
        <v>0</v>
      </c>
      <c r="GF42" s="155">
        <f>(_xlfn.MAXIFS(LandEmiss!$BK$335:$BK$434,LandEmiss!$BJ$335:$BJ$434,$FG42)+_xlfn.MAXIFS(LandEmiss!$DV$323:$DV$422,LandEmiss!$DU$323:$DU$422,$FG42))*IFERROR($QR$13,0)</f>
        <v>0</v>
      </c>
      <c r="GG42" s="313">
        <f>IF(OR(VCU!$D$26="fuel gas",VCU!$D$42="fuel gas"),SUMIF(VCU!$E$120:$E$129,$FG42,VCU!$F$120:$F$129),0)*IFERROR($QR$14,0)</f>
        <v>0</v>
      </c>
      <c r="GH42" s="313">
        <f>(_xlfn.MAXIFS(CtrlDevImpacts!$X$57:$X$156,CtrlDevImpacts!$W$57:$W$156,$FG42))*IFERROR($QR$14,0)</f>
        <v>0</v>
      </c>
      <c r="GI42" s="313">
        <f>(_xlfn.MAXIFS(VCU!$F$130:$F$239,VCU!$E$130:$E$239,$FG42)-_xlfn.MAXIFS(CtrlDevImpacts!$X$57:$X$156,CtrlDevImpacts!$W$57:$W$156,$FG42))*IFERROR($QR$14,0)</f>
        <v>0</v>
      </c>
      <c r="GJ42" s="155">
        <f>_xlfn.MAXIFS(LandEmiss!$D$335:$D$434,LandEmiss!$A$335:$A$434,$FG42)*IFERROR($QR$14,0)</f>
        <v>0</v>
      </c>
      <c r="GK42" s="155">
        <f>(_xlfn.MAXIFS(LandEmiss!$BM$335:$BM$434,LandEmiss!$BJ$335:$BJ$434,$FG42)+_xlfn.MAXIFS(LandEmiss!$DX$323:$DX$422,LandEmiss!$DU$323:$DU$422,$FG42))*IFERROR($QR$14,0)</f>
        <v>0</v>
      </c>
      <c r="GL42" s="313">
        <f>IF(VaporOxidizer!D73="FUEL GAS",SUMIF(VaporOxidizer!$E$101:$E$110,$FG42,VaporOxidizer!$F$101:$F$110),0)*IFERROR($QR$15,0)</f>
        <v>0</v>
      </c>
      <c r="GM42" s="313">
        <f>(_xlfn.MAXIFS(CtrlDevImpacts!$AN$57:$AN$156,CtrlDevImpacts!$AM$57:$AM$156,$FG42))*IFERROR($QR$15,0)</f>
        <v>0</v>
      </c>
      <c r="GN42" s="313">
        <f>(_xlfn.MAXIFS(VaporOxidizer!$F$111:$F$220,VaporOxidizer!$E$111:$E$220,$FG42)-_xlfn.MAXIFS(CtrlDevImpacts!$AN$57:$AN$156,CtrlDevImpacts!$AM$57:$AM$156,$FG42))*IFERROR($QR$15,0)</f>
        <v>0</v>
      </c>
      <c r="GO42" s="155">
        <f>_xlfn.MAXIFS(LandEmiss!$F$335:$F$434,LandEmiss!$A$335:$A$434,$FG42)*IFERROR($QR$15,0)</f>
        <v>0</v>
      </c>
      <c r="GP42" s="155">
        <f>(_xlfn.MAXIFS(LandEmiss!$BK$335:$BK$434,LandEmiss!$BO$335:$BO$434,$FG42)+_xlfn.MAXIFS(LandEmiss!$DZ$323:$DZ$422,LandEmiss!$DU$323:$DU$422,$FG42))*IFERROR($QR$15,0)</f>
        <v>0</v>
      </c>
      <c r="GQ42" s="313">
        <f>_xlfn.MAXIFS(CtrlDevImpacts!$BD$57:$BD$156,CtrlDevImpacts!$BC$57:$BC$156,$FG42)*IFERROR(Hidden!$QR$16,0)</f>
        <v>0</v>
      </c>
      <c r="GR42" s="313">
        <f>(_xlfn.MAXIFS(CAS!$H$35:$H$144,CAS!$E$35:$E$144,$FG42)-_xlfn.MAXIFS(CtrlDevImpacts!$BD$57:$BD$156,CtrlDevImpacts!$BC$57:$BC$156,$FG42))*IFERROR(Hidden!$QR$16,0)</f>
        <v>0</v>
      </c>
      <c r="GS42" s="155">
        <f>_xlfn.MAXIFS(LandEmiss!$H$335:$H$434,LandEmiss!$A$335:$A$434,$FG42)*IFERROR($QR$27,0)</f>
        <v>0</v>
      </c>
      <c r="GT42" s="155">
        <f>(_xlfn.MAXIFS(LandEmiss!$BK$335:$BK$434,LandEmiss!$BQ$335:$BQ$434,$FG42)+_xlfn.MAXIFS(LandEmiss!$EB$323:$EB$422,LandEmiss!$DU$323:$DU$422,$FG42))*IFERROR($QR$27,0)</f>
        <v>0</v>
      </c>
      <c r="GU42" s="155">
        <f>_xlfn.MAXIFS(LandEmiss!$J$335:$J$434,LandEmiss!$A$335:$A$434,$FG42)*IFERROR($QR$26,0)</f>
        <v>0</v>
      </c>
      <c r="GV42" s="155">
        <f>(_xlfn.MAXIFS(LandEmiss!$BK$335:$BK$434,LandEmiss!$BS$335:$BS$434,$FG42)+_xlfn.MAXIFS(LandEmiss!$ED$323:$ED$422,LandEmiss!$DU$323:$DU$422,$FG42))*IFERROR($QR$26,0)</f>
        <v>0</v>
      </c>
      <c r="GW42" s="155">
        <f>_xlfn.MAXIFS(LandEmiss!$L$335:$L$434,LandEmiss!$A$335:$A$434,$FG42)*IFERROR($QR$25,0)</f>
        <v>0</v>
      </c>
      <c r="GX42" s="155">
        <f>(_xlfn.MAXIFS(LandEmiss!$BK$335:$BK$434,LandEmiss!$BU$335:$BU$434,$FG42)+_xlfn.MAXIFS(LandEmiss!$EF$323:$EF$422,LandEmiss!$DU$323:$DU$422,$FG42))*IFERROR($QR$25,0)</f>
        <v>0</v>
      </c>
      <c r="GY42" s="155">
        <v>0</v>
      </c>
      <c r="GZ42" s="155">
        <v>0</v>
      </c>
      <c r="HA42" s="155">
        <f>IF(OR(HeaterBoiler1!$E$26&lt;&gt;"fuel gas",HeaterBoiler1!$E$15&lt;&gt;"heater"),0,SUMIF(HeaterBoiler1!$A$54:$D$63,$FG42,HeaterBoiler1!$I$54:$I$63))*IFERROR($QR$19,0)</f>
        <v>0</v>
      </c>
      <c r="HB42" s="207">
        <f>IF(OR(HeaterBoiler2!$E$26&lt;&gt;"fuel gas",HeaterBoiler2!$E$15&lt;&gt;"heater"),0,SUMIF(HeaterBoiler2!$A$54:$D$63,$FG42,HeaterBoiler2!$I$54:$I$63))*IFERROR($QR$21,0)</f>
        <v>0</v>
      </c>
      <c r="HC42" s="155">
        <f>IF(OR(HeaterBoiler1!$E$26&lt;&gt;"fuel gas",HeaterBoiler1!$E$15&lt;&gt;"boiler"),0,SUMIF(HeaterBoiler1!$A$41:$A$50,$FG42,HeaterBoiler1!$F$41:$F$50))*IFERROR($QR$20,0)</f>
        <v>0</v>
      </c>
      <c r="HD42" s="207">
        <f>IF(OR(HeaterBoiler2!$E$26&lt;&gt;"fuel gas",HeaterBoiler2!$E$15&lt;&gt;"boiler"),0,SUMIF(HeaterBoiler2!$A$41:$A$50,$FG42,HeaterBoiler2!$F$41:$F$50))*IFERROR($QR$22,0)</f>
        <v>0</v>
      </c>
      <c r="HE42" s="155">
        <f>SUMIF(Fug!$A$96:$A$205,$FG42,Fug!$I$96:$I$205)*IFERROR(Hidden!$QR$23,0)</f>
        <v>0</v>
      </c>
      <c r="HF42" s="155">
        <f t="shared" si="24"/>
        <v>0</v>
      </c>
      <c r="HG42" s="156">
        <f t="shared" si="25"/>
        <v>0</v>
      </c>
      <c r="HH42" s="156">
        <f t="shared" si="26"/>
        <v>0</v>
      </c>
      <c r="HI42" s="156">
        <f t="shared" si="27"/>
        <v>0</v>
      </c>
      <c r="HJ42" s="156">
        <f t="shared" si="28"/>
        <v>0</v>
      </c>
      <c r="HK42" s="156">
        <f t="shared" si="29"/>
        <v>0</v>
      </c>
      <c r="HL42" s="156">
        <f t="shared" si="30"/>
        <v>0</v>
      </c>
      <c r="NO42" s="155">
        <f>IF(Tank1!$D$22="No control",(SUMIF(Tank1!$E$32:$E$141,$FG42,Tank1!$H$32:$H$141)*(2000/8760)*IFERROR($QV$3,0)),0)</f>
        <v>0</v>
      </c>
      <c r="NP42" s="156">
        <f>SUMIF(LandEmiss!$AE$20:$AE$119,$FG42,LandEmiss!$AK$20:$AK$119)*(2000/8760)*IFERROR($QV$3,0)</f>
        <v>0</v>
      </c>
      <c r="NQ42" s="156">
        <f>(SUMIF(LandEmiss!$CN$20:$CN$119,$FG42,LandEmiss!$CT$20:$CT$119)+SUMIF(LandEmiss!$EY$9:$EY$108,$FG42,LandEmiss!$FE$9:$FE$108))*IFERROR($QV$3,0)*(2000/8760)</f>
        <v>0</v>
      </c>
      <c r="NR42" s="155">
        <f>IF(Tank2!$D$22="No control",(SUMIF(Tank2!$E$32:$E$141,$FG42,Tank2!$H$32:$H$141)*(2000/8760)*IFERROR($QV$4,0)),0)</f>
        <v>0</v>
      </c>
      <c r="NS42" s="156">
        <f>SUMIF(LandEmiss!$AE$20:$AE$119,$FG42,LandEmiss!$AL$20:$AL$119)*(2000/8760)*IFERROR($QV$4,0)</f>
        <v>0</v>
      </c>
      <c r="NT42" s="156">
        <f>(SUMIF(LandEmiss!$CN$20:$CN$119,$FG42,LandEmiss!$CU$20:$CU$119)+SUMIF(LandEmiss!$EY$9:$EY$108,$FG42,LandEmiss!$FF$9:$FF$108))*IFERROR($QV$4,0)*(2000/8760)</f>
        <v>0</v>
      </c>
      <c r="NU42" s="155">
        <f>IF(Tank3!$D$22="No control",(SUMIF(Tank3!$E$32:$E$141,$FG42,Tank3!$H$32:$H$141)*(2000/8760)*IFERROR($QV$5,0)),0)</f>
        <v>0</v>
      </c>
      <c r="NV42" s="156">
        <f>SUMIF(LandEmiss!$AE$20:$AE$119,$FG42,LandEmiss!$AM$20:$AM$119)*(2000/8760)*IFERROR($QV$5,0)</f>
        <v>0</v>
      </c>
      <c r="NW42" s="156">
        <f>(SUMIF(LandEmiss!$CN$20:$CN$119,$FG42,LandEmiss!$CV$20:$CV$119)+SUMIF(LandEmiss!$EY$9:$EY$108,$FG42,LandEmiss!$FG$9:$FG$108))*IFERROR($QV$5,0)*(2000/8760)</f>
        <v>0</v>
      </c>
      <c r="NX42" s="155">
        <f>IF(Tank4!$D$22="No control",(SUMIF(Tank4!$E$32:$E$141,$FG42,Tank4!$H$32:$H$141)*(2000/8760)*IFERROR($QV$6,0)),0)</f>
        <v>0</v>
      </c>
      <c r="NY42" s="156">
        <f>SUMIF(LandEmiss!$AE$20:$AE$119,$FG42,LandEmiss!$AN$20:$AN$119)*(2000/8760)*IFERROR($QV$6,0)</f>
        <v>0</v>
      </c>
      <c r="NZ42" s="156">
        <f>(SUMIF(LandEmiss!$CN$20:$CN$119,$FG42,LandEmiss!$CW$20:$CW$119)+SUMIF(LandEmiss!$EY$9:$EY$108,$FG42,LandEmiss!$FH$9:$FH$108))*IFERROR($QV$6,0)*(2000/8760)</f>
        <v>0</v>
      </c>
      <c r="OA42" s="155">
        <f>IF(Tank5!$D$22="No control",(SUMIF(Tank5!$E$32:$E$141,$FG42,Tank5!$H$32:$H$141)*(2000/8760)*IFERROR($QV$7,0)),0)</f>
        <v>0</v>
      </c>
      <c r="OB42" s="156">
        <f>SUMIF(LandEmiss!$AE$20:$AE$119,$FG42,LandEmiss!$AO$20:$AO$119)*(2000/8760)*IFERROR($QV$7,0)</f>
        <v>0</v>
      </c>
      <c r="OC42" s="156">
        <f>(SUMIF(LandEmiss!$CN$20:$CN$119,$FG42,LandEmiss!$CX$20:$CX$119)+SUMIF(LandEmiss!$EY$9:$EY$108,$FG42,LandEmiss!$FI$9:$FI$108))*IFERROR($QV$7,0)*(2000/8760)</f>
        <v>0</v>
      </c>
      <c r="OD42" s="155">
        <f>SUMIFS('Load-DrumTote'!$L$27:$L$136,'Load-DrumTote'!$F$27:$F$136,$FG42)*IFERROR($QV$8,0)*(2000/8760)</f>
        <v>0</v>
      </c>
      <c r="OE42" s="155">
        <f>SUMIFS('Load-Truck'!$L$27:$L$136,'Load-Truck'!$F$27:$F$136,$FG42)*IFERROR($QV$9,0)*(2000/8760)</f>
        <v>0</v>
      </c>
      <c r="OF42" s="155">
        <f>SUMIFS('Load-Rail'!$L$27:$L$136,'Load-Rail'!$F$27:$F$136,$FG42)*IFERROR($QV$10,0)*(2000/8760)</f>
        <v>0</v>
      </c>
      <c r="OG42" s="155">
        <f>SUMIFS('Load-MarineBarge'!$L$27:$L$136,'Load-MarineBarge'!$F$27:$F$136,$FG42)*IFERROR($QV$11,0)*(2000/8760)</f>
        <v>0</v>
      </c>
      <c r="OH42" s="155">
        <f>SUMIFS('Load-MarineShip'!$L$27:$L$136,'Load-MarineShip'!$F$27:$F$136,$FG42)*IFERROR($QV$12,0)*(2000/8760)</f>
        <v>0</v>
      </c>
      <c r="OI42" s="155">
        <f>(IF(OR(Flare!$D$24="FUEL GAS",Flare!$D$38="FUEL GAS"),SUMIF(Flare!$E$97:$E$106,$FG42,Flare!$G$97:$G$105),0)+SUMIF(Flare!$E$107:$E$216,$FG42,Flare!$G$107:$G$216))*(2000/8730)*IFERROR($QV$13,0)</f>
        <v>0</v>
      </c>
      <c r="OJ42" s="155">
        <f>SUMIF(LandEmiss!$A$335:$A$434,$FG42,LandEmiss!$C$335:$C$434)*(2000/8760)*IFERROR($QV$13,0)</f>
        <v>0</v>
      </c>
      <c r="OK42" s="155">
        <f>(SUMIF(LandEmiss!$BJ$335:$BJ$434,$FG42,LandEmiss!$BL$335:$BL$434)+SUMIF(LandEmiss!$DU$323:$DU$422,$FG42,LandEmiss!$DW$323:$DW$422))*(2000/8760)*IFERROR($QV$13,0)</f>
        <v>0</v>
      </c>
      <c r="OL42" s="155">
        <f>(IF(OR(VCU!$D$26="FUEL GAS",VCU!$D$42="FUEL GAS"),SUMIF(VCU!$E$120:$E$129,$FG42,VCU!$G$120:$G$129),0)+SUMIF(VCU!$E$130:$E$239,$FG42,VCU!G170:G279))*(2000/8760)*IFERROR($QV$14,0)</f>
        <v>0</v>
      </c>
      <c r="OM42" s="155">
        <f>SUMIF(LandEmiss!$A$335:$A$434,$FG42,LandEmiss!$E$335:$E$434)*(2000/8760)*IFERROR($QV$14,0)</f>
        <v>0</v>
      </c>
      <c r="ON42" s="155">
        <f>(SUMIF(LandEmiss!$BJ$335:$BJ$434,$FG42,LandEmiss!$BN$335:$BN$434)+SUMIF(LandEmiss!$DU$323:$DU$422,$FG42,LandEmiss!$DY$323:$DY$422))*(2000/8760)*IFERROR($QV$14,0)</f>
        <v>0</v>
      </c>
      <c r="OO42" s="155">
        <f>(IF(VaporOxidizer!$D$33="FUEL GAS",SUMIF(VaporOxidizer!$E$101:$E$110,$FG42,VaporOxidizer!$G$101:$G$110),0)+SUMIF(VaporOxidizer!$E$111:$E$220,$FG42,VaporOxidizer!$G$111:$G$220))*(2000/8760)*IFERROR($QV$15,0)</f>
        <v>0</v>
      </c>
      <c r="OP42" s="155">
        <f>SUMIF(LandEmiss!$A$335:$A$434,$FG42,LandEmiss!$G$335:$G$434)*(2000/8760)*IFERROR($QV$15,0)</f>
        <v>0</v>
      </c>
      <c r="OQ42" s="155">
        <f>(SUMIF(LandEmiss!$BJ$335:$BJ$434,$FG42,LandEmiss!$BP$335:$BP$434)+SUMIF(LandEmiss!$DU$323:$DU$422,$FG42,LandEmiss!$EA$323:$EA$422))*(2000/8760)*IFERROR($QV$15,0)</f>
        <v>0</v>
      </c>
      <c r="OR42" s="155">
        <f>SUMIF(CAS!$E$35:$E$144,Hidden!$FG42,CAS!$I$35:$I$144)*IFERROR($QV$16,0)*(2000/8760)</f>
        <v>0</v>
      </c>
      <c r="OS42" s="155">
        <f>SUMIF(LandEmiss!$A$335:$A$434,$FG42,LandEmiss!$I$335:$I$434)*(2000/8760)*IFERROR($QV$27,0)</f>
        <v>0</v>
      </c>
      <c r="OT42" s="155">
        <f>(SUMIF(LandEmiss!$BJ$335:$BJ$434,$FG42,LandEmiss!$BR$335:$BR$434)+SUMIF(LandEmiss!$DU$323:$DU$422,$FG42,LandEmiss!$EC$323:$EC$422))*(2000/8760)*IFERROR($QV$27,0)</f>
        <v>0</v>
      </c>
      <c r="OU42" s="155">
        <f>SUMIF(LandEmiss!$A$335:$A$434,$FG42,LandEmiss!$K$335:$K$434)*(2000/8760)*IFERROR($QV$26,0)</f>
        <v>0</v>
      </c>
      <c r="OV42" s="155">
        <f>(SUMIF(LandEmiss!$BJ$335:$BJ$434,$FG42,LandEmiss!$BT$335:$BT$434)+SUMIF(LandEmiss!$DU$323:$DU$422,$FG42,LandEmiss!$EE$323:$EE$422))*(2000/8760)*IFERROR($QV$26,0)</f>
        <v>0</v>
      </c>
      <c r="OW42" s="155">
        <f>SUMIF(LandEmiss!$A$335:$A$434,$FG42,LandEmiss!$M$335:$M$434)*(2000/8760)*IFERROR($QV$25,0)</f>
        <v>0</v>
      </c>
      <c r="OX42" s="155">
        <f>(SUMIF(LandEmiss!$BJ$335:$BJ$434,$FG42,LandEmiss!$BV$335:$BV$434)+SUMIF(LandEmiss!$DU$323:$DU$422,$FG42,LandEmiss!$EG$323:$EG$422))*(2000/8760)*IFERROR($QV$25,0)</f>
        <v>0</v>
      </c>
      <c r="OY42" s="8">
        <v>0</v>
      </c>
      <c r="OZ42" s="207">
        <v>0</v>
      </c>
      <c r="PA42" s="207">
        <f>IF(OR(HeaterBoiler1!$E$26&lt;&gt;"fuel gas",HeaterBoiler1!$E$15&lt;&gt;"heater"),0,(SUMIF(HeaterBoiler1!$A$54:$D$63,$FG42,HeaterBoiler1!$J$54:$J$63))*(2000/8760))*IFERROR($QV$19,0)</f>
        <v>0</v>
      </c>
      <c r="PB42" s="207">
        <f>IF(OR(HeaterBoiler2!$E$26&lt;&gt;"fuel gas",HeaterBoiler2!$E$15&lt;&gt;"heater"),0,(SUMIF(HeaterBoiler2!$A$54:$D$63,$FG42,HeaterBoiler2!$J$54:$J$63))*(2000/8760))*IFERROR($QV$21,0)</f>
        <v>0</v>
      </c>
      <c r="PC42" s="207">
        <f>IF(OR(HeaterBoiler1!$E$26&lt;&gt;"fuel gas",HeaterBoiler1!$E$15&lt;&gt;"boiler"),0,(SUMIF(HeaterBoiler1!$A$54:$D$63,$FG42,HeaterBoiler1!$J$54:$J$63))*(2000/8760))*IFERROR($QV$20,0)</f>
        <v>0</v>
      </c>
      <c r="PD42" s="207">
        <f>IF(OR(HeaterBoiler2!$E$26&lt;&gt;"fuel gas",HeaterBoiler2!$E$15&lt;&gt;"boiler"),0,(SUMIF(HeaterBoiler2!$A$54:$D$63,$FG42,HeaterBoiler2!$J$54:$J$63))*(2000/8760))*IFERROR($QV$22,0)</f>
        <v>0</v>
      </c>
      <c r="PE42" s="8">
        <f>(SUMIF(Fug!$A$96:$A$205,$FG42,Fug!$J$96:$J$205))*IFERROR($QV$23,0)*(2000/8760)</f>
        <v>0</v>
      </c>
      <c r="PF42" s="8">
        <f t="shared" si="31"/>
        <v>0</v>
      </c>
      <c r="PG42" s="156">
        <f t="shared" si="32"/>
        <v>0</v>
      </c>
      <c r="PJ42" s="52" t="str">
        <f>IF(Fug!$F$16=Hidden!$PP$2,"Sampling (hourly)","")</f>
        <v/>
      </c>
      <c r="PK42" s="52" t="str">
        <f>IF(Fug!$F$16=Hidden!$PP$2,"Heavy Oil &lt; 20° API","")</f>
        <v/>
      </c>
      <c r="PL42" s="52"/>
      <c r="PM42" s="52"/>
      <c r="PN42" s="52"/>
      <c r="PO42" s="52"/>
      <c r="PP42" s="52">
        <v>3.3000000000000002E-2</v>
      </c>
      <c r="PQ42" s="52"/>
      <c r="PR42" s="52"/>
      <c r="PS42" s="52"/>
      <c r="PT42" s="52" t="s">
        <v>8794</v>
      </c>
      <c r="PU42" s="52" t="s">
        <v>8780</v>
      </c>
      <c r="PV42" s="52">
        <v>0</v>
      </c>
      <c r="PW42" s="52">
        <v>0</v>
      </c>
      <c r="PX42" s="52">
        <v>0</v>
      </c>
      <c r="PY42" s="52">
        <v>0</v>
      </c>
      <c r="PZ42" s="52">
        <v>0</v>
      </c>
      <c r="QA42" s="52">
        <v>0</v>
      </c>
      <c r="QB42" s="52"/>
      <c r="QC42" s="52"/>
      <c r="QD42" s="52"/>
      <c r="QE42" s="52"/>
      <c r="QF42" s="52"/>
      <c r="QG42" s="52"/>
      <c r="QH42" s="52"/>
      <c r="QI42" s="52"/>
      <c r="QX42" s="89" t="s">
        <v>9320</v>
      </c>
      <c r="QY42">
        <v>4.4000000000000004</v>
      </c>
      <c r="QZ42">
        <v>4.4000000000000004</v>
      </c>
      <c r="RA42">
        <v>4.4000000000000004</v>
      </c>
      <c r="RB42">
        <v>4.4000000000000004</v>
      </c>
      <c r="RC42">
        <v>4.4000000000000004</v>
      </c>
      <c r="RD42">
        <v>4.4000000000000004</v>
      </c>
      <c r="RE42">
        <v>4.04</v>
      </c>
      <c r="RF42">
        <v>2.68</v>
      </c>
      <c r="RG42" s="90">
        <v>1.96</v>
      </c>
      <c r="RH42" s="89" t="s">
        <v>9320</v>
      </c>
      <c r="RI42">
        <v>2.91</v>
      </c>
      <c r="RJ42">
        <v>2.91</v>
      </c>
      <c r="RK42">
        <v>2.91</v>
      </c>
      <c r="RL42">
        <v>2.91</v>
      </c>
      <c r="RM42">
        <v>2.91</v>
      </c>
      <c r="RN42">
        <v>2.91</v>
      </c>
      <c r="RO42">
        <v>2.91</v>
      </c>
      <c r="RP42">
        <v>2.4700000000000002</v>
      </c>
      <c r="RQ42" s="90">
        <v>1.87</v>
      </c>
      <c r="RR42" s="89" t="s">
        <v>9320</v>
      </c>
      <c r="RS42">
        <v>1.57</v>
      </c>
      <c r="RT42">
        <v>1.57</v>
      </c>
      <c r="RU42">
        <v>1.57</v>
      </c>
      <c r="RV42">
        <v>1.57</v>
      </c>
      <c r="RW42">
        <v>1.57</v>
      </c>
      <c r="RX42">
        <v>1.57</v>
      </c>
      <c r="RY42">
        <v>1.57</v>
      </c>
      <c r="RZ42">
        <v>1.57</v>
      </c>
      <c r="SA42" s="90">
        <v>1.48</v>
      </c>
      <c r="SB42" s="89" t="s">
        <v>9320</v>
      </c>
      <c r="SC42">
        <v>0.88</v>
      </c>
      <c r="SD42">
        <v>0.88</v>
      </c>
      <c r="SE42">
        <v>0.88</v>
      </c>
      <c r="SF42">
        <v>0.88</v>
      </c>
      <c r="SG42">
        <v>0.88</v>
      </c>
      <c r="SH42">
        <v>0.88</v>
      </c>
      <c r="SI42">
        <v>0.88</v>
      </c>
      <c r="SJ42">
        <v>0.88</v>
      </c>
      <c r="SK42" s="90">
        <v>0.79</v>
      </c>
      <c r="SL42" s="89" t="s">
        <v>9320</v>
      </c>
      <c r="SM42">
        <v>7.0000000000000007E-2</v>
      </c>
      <c r="SN42">
        <v>7.0000000000000007E-2</v>
      </c>
      <c r="SO42">
        <v>7.0000000000000007E-2</v>
      </c>
      <c r="SP42">
        <v>7.0000000000000007E-2</v>
      </c>
      <c r="SQ42">
        <v>7.0000000000000007E-2</v>
      </c>
      <c r="SR42">
        <v>7.0000000000000007E-2</v>
      </c>
      <c r="SS42">
        <v>7.0000000000000007E-2</v>
      </c>
      <c r="ST42">
        <v>7.0000000000000007E-2</v>
      </c>
      <c r="SU42" s="90">
        <v>7.0000000000000007E-2</v>
      </c>
    </row>
    <row r="43" spans="1:533" ht="74.25" customHeight="1" x14ac:dyDescent="0.2">
      <c r="A43" s="8" t="s">
        <v>220</v>
      </c>
      <c r="B43" s="8">
        <v>10</v>
      </c>
      <c r="W43">
        <f>IF(OR(X43=0,ISNUMBER(MATCH(X43,$X$1:X42,0))),0,MAX($W$1:W42)+1)</f>
        <v>0</v>
      </c>
      <c r="X43" s="123">
        <f>Products!$E90</f>
        <v>0</v>
      </c>
      <c r="Y43" t="str">
        <f t="shared" si="39"/>
        <v/>
      </c>
      <c r="CA43">
        <f>IF(OR(CB43=0,ISNUMBER(MATCH(CB43,$CB$1:CB42,0))),0,MAX($CA$1:CA42)+1)</f>
        <v>0</v>
      </c>
      <c r="CB43" s="8">
        <f>IF(OR(Tank1!$D$18="EXTERNAL FLOATING ROOF",Tank1!$D$18="INTERNAL FLOATING ROOF"),IF(Tank1!$E73="",0,Tank1!$E73),0)</f>
        <v>0</v>
      </c>
      <c r="CC43" s="8" t="str">
        <f t="shared" si="40"/>
        <v/>
      </c>
      <c r="CD43" s="8"/>
      <c r="CE43" s="8">
        <f>IF(OR(CF43=0,ISNUMBER(MATCH(CF43,$CF$1:CF42,0))),0,MAX($CE$1:CE42)+1)</f>
        <v>0</v>
      </c>
      <c r="CF43" s="8">
        <f>IF(OR(Tank1!$D$18="HORIZONTAL FIXED ROOF",Tank1!$D$18="VERTICAL FIXED ROOF"),IF(Tank1!$E73="",0,Tank1!$E73),0)</f>
        <v>0</v>
      </c>
      <c r="CG43" s="8" t="str">
        <f t="shared" si="41"/>
        <v/>
      </c>
      <c r="CJ43">
        <f>IF(OR(CK43=0,ISNUMBER(MATCH(CK43,$CK$1:CK42,0))),0,MAX($CJ$1:CJ42)+1)</f>
        <v>0</v>
      </c>
      <c r="CK43">
        <f>Tank5!$A$43</f>
        <v>0</v>
      </c>
      <c r="CM43">
        <f>IFERROR(VLOOKUP($CK43,Tank5!$A$32:$D$141,3,FALSE),0)</f>
        <v>0</v>
      </c>
      <c r="CN43">
        <f>IFERROR(VLOOKUP($CK43,Tank5!$A$32:$D$141,4,FALSE),0)</f>
        <v>0</v>
      </c>
      <c r="DM43">
        <f>IF(OR(DN43=0,ISNUMBER(MATCH(DN43,$DN$1:DN42,0))),0,MAX($DM$1:DM42)+1)</f>
        <v>0</v>
      </c>
      <c r="DN43">
        <f>IF(Tank5!$D$22="Flare",IFERROR(VLOOKUP(Products!$A$69,Tank5!$A$32:$B$141,1,FALSE),0),0)</f>
        <v>0</v>
      </c>
      <c r="DO43">
        <f>IF($DN43=0,0,VLOOKUP($DN43,Tank5!$A$32:$H$141,7,FALSE))</f>
        <v>0</v>
      </c>
      <c r="DP43">
        <f>IF($DN43=0,0,VLOOKUP($DN43,Tank5!$A$32:$H$141,8,FALSE))</f>
        <v>0</v>
      </c>
      <c r="DU43">
        <f>IF(OR(DV43=0,ISNUMBER(MATCH(DV43,$DV$1:DV42,0))),0,MAX($DU$1:DU42)+1)</f>
        <v>0</v>
      </c>
      <c r="DV43">
        <f>IF(Tank5!$D$22="VCU",IFERROR(VLOOKUP(Products!$A$69,Tank5!$A$32:$B$141,1,FALSE),0),0)</f>
        <v>0</v>
      </c>
      <c r="DW43">
        <f>IF($DV43=0,0,VLOOKUP($DV43,Tank5!$A$32:$H$141,7,FALSE))</f>
        <v>0</v>
      </c>
      <c r="DX43">
        <f>IF($DV43=0,0,VLOOKUP($DV43,Tank5!$A$32:$H$141,8,FALSE))</f>
        <v>0</v>
      </c>
      <c r="EC43">
        <f>IF(OR(ED43=0,ISNUMBER(MATCH(ED43,$ED$1:ED42,0))),0,MAX($EC$1:EC42)+1)</f>
        <v>0</v>
      </c>
      <c r="ED43">
        <f>IF(Tank5!$D$22="vapor oxidizer",IFERROR(VLOOKUP(Products!$A$69,Tank5!$A$32:$B$141,1,FALSE),0),0)</f>
        <v>0</v>
      </c>
      <c r="EE43">
        <f>IF($ED43=0,0,VLOOKUP($ED43,Tank5!$A$32:$H$141,7,FALSE))</f>
        <v>0</v>
      </c>
      <c r="EF43">
        <f>IF($ED43=0,0,VLOOKUP($ED43,Tank5!$A$32:$H$141,8,FALSE))</f>
        <v>0</v>
      </c>
      <c r="EK43">
        <f>IF(OR(EL43=0,ISNUMBER(MATCH(EL43,$EL$1:EL42,0))),0,MAX($EK$1:EK42)+1)</f>
        <v>0</v>
      </c>
      <c r="EL43">
        <f>IF(Tank5!$D$22="CAS",IFERROR(VLOOKUP(Products!A69,Tank5!$A$32:$B$141,1,FALSE),0),0)</f>
        <v>0</v>
      </c>
      <c r="EM43">
        <f>IF($EL43=0,0,VLOOKUP($EL43,Tank5!$A$32:$H$141,7,FALSE))</f>
        <v>0</v>
      </c>
      <c r="EN43">
        <f>IF($EL43=0,0,VLOOKUP($EL43,Tank5!$A$32:$H$141,8,FALSE))</f>
        <v>0</v>
      </c>
      <c r="FB43" s="8" t="s">
        <v>439</v>
      </c>
      <c r="FC43" s="8" t="s">
        <v>440</v>
      </c>
      <c r="FD43" s="8">
        <v>24</v>
      </c>
      <c r="FE43" s="8">
        <v>2.4</v>
      </c>
      <c r="FG43" s="360" t="str">
        <f t="shared" si="23"/>
        <v/>
      </c>
      <c r="FH43" s="155">
        <f>IF(Tank1!$D$22="NO CONTROL",_xlfn.MAXIFS(Tank1!$G$32:$G$141,Tank1!$E$32:$E$141,$FG43),0)*IFERROR($QR$3,0)</f>
        <v>0</v>
      </c>
      <c r="FI43" s="155">
        <f>_xlfn.MAXIFS(LandEmiss!$AF$20:$AF$119,LandEmiss!$AE$20:$AE$119,$FG43)*IFERROR($QR$3,0)</f>
        <v>0</v>
      </c>
      <c r="FJ43" s="155">
        <f>MAX(_xlfn.MAXIFS(LandEmiss!$CO$20:$CO$119,LandEmiss!$CN$20:$CN$119,$FG43),_xlfn.MAXIFS(LandEmiss!$EZ$9:$EZ$108,LandEmiss!$EY$9:$EY$108,$FG43))*IFERROR($QR$3,0)</f>
        <v>0</v>
      </c>
      <c r="FK43" s="155">
        <f>IF(Tank2!$D$22="NO CONTROL",_xlfn.MAXIFS(Tank2!$G$32:$G$141,Tank2!$E$32:$E$141,$FG43),0)*IFERROR($QR$4,0)</f>
        <v>0</v>
      </c>
      <c r="FL43" s="155">
        <f>_xlfn.MAXIFS(LandEmiss!$AG$20:$AG$119,LandEmiss!$AE$20:$AE$119,$FG43)*IFERROR($QR$4,0)</f>
        <v>0</v>
      </c>
      <c r="FM43" s="155">
        <f>MAX(_xlfn.MAXIFS(LandEmiss!$CP$20:$CP$119,LandEmiss!$CN$20:$CN$119,$FG43),_xlfn.MAXIFS(LandEmiss!$FA$9:$FA$108,LandEmiss!$EY$9:$EY$108,$FG43))*IFERROR($QR$4,0)</f>
        <v>0</v>
      </c>
      <c r="FN43" s="155">
        <f>IF(Tank3!$D$22="NO CONTROL",_xlfn.MAXIFS(Tank3!$G$32:$G$141,Tank3!$E$32:$E$141,$FG43),0)*IFERROR($QR$5,0)</f>
        <v>0</v>
      </c>
      <c r="FO43" s="155">
        <f>_xlfn.MAXIFS(LandEmiss!$AH$20:$AH$119,LandEmiss!$AE$20:$AE$119,$FG43)*IFERROR($QR$5,0)</f>
        <v>0</v>
      </c>
      <c r="FP43" s="155">
        <f>MAX(_xlfn.MAXIFS(LandEmiss!$CQ$20:$CQ$119,LandEmiss!$CN$20:$CN$119,$FG43),_xlfn.MAXIFS(LandEmiss!$FB$9:$FB$108,LandEmiss!$EY$9:$EY$108,$FG43))*IFERROR($QR$5,0)</f>
        <v>0</v>
      </c>
      <c r="FQ43" s="155">
        <f>IF(Tank4!$D$22="NO CONTROL",_xlfn.MAXIFS(Tank4!$G$32:$G$141,Tank4!$E$32:$E$141,$FG43),0)*IFERROR($QR$6,0)</f>
        <v>0</v>
      </c>
      <c r="FR43" s="155">
        <f>_xlfn.MAXIFS(LandEmiss!$AI$20:$AI$119,LandEmiss!$AE$20:$AE$119,$FG43)*IFERROR($QR$6,0)</f>
        <v>0</v>
      </c>
      <c r="FS43" s="155">
        <f>MAX(_xlfn.MAXIFS(LandEmiss!$CR$20:$CR$119,LandEmiss!$CN$20:$CN$119,$FG43),_xlfn.MAXIFS(LandEmiss!$FC$9:$FC$108,LandEmiss!$EY$9:$EY$108,$FG43))*IFERROR($QR$6,0)</f>
        <v>0</v>
      </c>
      <c r="FT43" s="155">
        <f>IF(Tank5!$D$22="NO CONTROL",_xlfn.MAXIFS(Tank5!$G$32:$G$141,Tank5!$E$32:$E$141,$FG43),0)*IFERROR($QR$7,0)</f>
        <v>0</v>
      </c>
      <c r="FU43" s="155">
        <f>_xlfn.MAXIFS(LandEmiss!$AJ$20:$AJ$119,LandEmiss!$AE$20:$AE$119,$FG43)*IFERROR($QR$7,0)</f>
        <v>0</v>
      </c>
      <c r="FV43" s="155">
        <f>MAX(_xlfn.MAXIFS(LandEmiss!$CS$20:$CS$119,LandEmiss!$CN$20:$CN$119,$FG43),_xlfn.MAXIFS(LandEmiss!$FD$9:$FD$108,LandEmiss!$EY$9:$EY$108,$FG43))*IFERROR($QR48,0)</f>
        <v>0</v>
      </c>
      <c r="FW43" s="155">
        <f>_xlfn.MAXIFS('Load-DrumTote'!$K$27:$K$136,'Load-DrumTote'!$F$27:$F$136,$FG43)*IFERROR($QR$8,0)</f>
        <v>0</v>
      </c>
      <c r="FX43" s="155">
        <f>_xlfn.MAXIFS('Load-Truck'!$K$27:$K$136,'Load-Truck'!$F$27:$F$136,$FG43)*IFERROR($QR$9,0)</f>
        <v>0</v>
      </c>
      <c r="FY43" s="155">
        <f>_xlfn.MAXIFS('Load-Rail'!$K$27:$K$136,'Load-Rail'!$F$27:$F$136,$FG43)*IFERROR($QR$10,0)</f>
        <v>0</v>
      </c>
      <c r="FZ43" s="155">
        <f>_xlfn.MAXIFS('Load-MarineBarge'!$K$27:$K$136,'Load-MarineBarge'!$F$27:$F$136,$FG43)*IFERROR($QR$11,0)</f>
        <v>0</v>
      </c>
      <c r="GA43" s="155">
        <f>_xlfn.MAXIFS('Load-MarineShip'!$K$27:$K$136,'Load-MarineShip'!$F$27:$F$136,$FG43)*IFERROR($QR$12,0)</f>
        <v>0</v>
      </c>
      <c r="GB43" s="313">
        <f>IF(OR(Flare!$D$24="fuel gas",Flare!$D$38="fuel gas"),SUMIF(Flare!$E$97:$E$106,$FG43,Flare!$F$97:$F$106),0)*IFERROR($QR$13,0)</f>
        <v>0</v>
      </c>
      <c r="GC43" s="313">
        <f>(_xlfn.MAXIFS(CtrlDevImpacts!$I$57:$I$156,CtrlDevImpacts!$H$57:$H$156,$FG43))*IFERROR($QR$13,0)</f>
        <v>0</v>
      </c>
      <c r="GD43" s="313">
        <f>(_xlfn.MAXIFS(Flare!$F$107:$F$216,Flare!$E$107:$E$216,$FG43)-_xlfn.MAXIFS(CtrlDevImpacts!$I$57:$I$156,CtrlDevImpacts!$H$57:$H$156,$FG43))*IFERROR($QR$13,0)</f>
        <v>0</v>
      </c>
      <c r="GE43" s="155">
        <f>_xlfn.MAXIFS(LandEmiss!$B$335:$B$434,LandEmiss!$A$335:$A$434,$FG43)*IFERROR($QR$13,0)</f>
        <v>0</v>
      </c>
      <c r="GF43" s="155">
        <f>(_xlfn.MAXIFS(LandEmiss!$BK$335:$BK$434,LandEmiss!$BJ$335:$BJ$434,$FG43)+_xlfn.MAXIFS(LandEmiss!$DV$323:$DV$422,LandEmiss!$DU$323:$DU$422,$FG43))*IFERROR($QR$13,0)</f>
        <v>0</v>
      </c>
      <c r="GG43" s="313">
        <f>IF(OR(VCU!$D$26="fuel gas",VCU!$D$42="fuel gas"),SUMIF(VCU!$E$120:$E$129,$FG43,VCU!$F$120:$F$129),0)*IFERROR($QR$14,0)</f>
        <v>0</v>
      </c>
      <c r="GH43" s="313">
        <f>(_xlfn.MAXIFS(CtrlDevImpacts!$X$57:$X$156,CtrlDevImpacts!$W$57:$W$156,$FG43))*IFERROR($QR$14,0)</f>
        <v>0</v>
      </c>
      <c r="GI43" s="313">
        <f>(_xlfn.MAXIFS(VCU!$F$130:$F$239,VCU!$E$130:$E$239,$FG43)-_xlfn.MAXIFS(CtrlDevImpacts!$X$57:$X$156,CtrlDevImpacts!$W$57:$W$156,$FG43))*IFERROR($QR$14,0)</f>
        <v>0</v>
      </c>
      <c r="GJ43" s="155">
        <f>_xlfn.MAXIFS(LandEmiss!$D$335:$D$434,LandEmiss!$A$335:$A$434,$FG43)*IFERROR($QR$14,0)</f>
        <v>0</v>
      </c>
      <c r="GK43" s="155">
        <f>(_xlfn.MAXIFS(LandEmiss!$BM$335:$BM$434,LandEmiss!$BJ$335:$BJ$434,$FG43)+_xlfn.MAXIFS(LandEmiss!$DX$323:$DX$422,LandEmiss!$DU$323:$DU$422,$FG43))*IFERROR($QR$14,0)</f>
        <v>0</v>
      </c>
      <c r="GL43" s="313">
        <f>IF(VaporOxidizer!D74="FUEL GAS",SUMIF(VaporOxidizer!$E$101:$E$110,$FG43,VaporOxidizer!$F$101:$F$110),0)*IFERROR($QR$15,0)</f>
        <v>0</v>
      </c>
      <c r="GM43" s="313">
        <f>(_xlfn.MAXIFS(CtrlDevImpacts!$AN$57:$AN$156,CtrlDevImpacts!$AM$57:$AM$156,$FG43))*IFERROR($QR$15,0)</f>
        <v>0</v>
      </c>
      <c r="GN43" s="313">
        <f>(_xlfn.MAXIFS(VaporOxidizer!$F$111:$F$220,VaporOxidizer!$E$111:$E$220,$FG43)-_xlfn.MAXIFS(CtrlDevImpacts!$AN$57:$AN$156,CtrlDevImpacts!$AM$57:$AM$156,$FG43))*IFERROR($QR$15,0)</f>
        <v>0</v>
      </c>
      <c r="GO43" s="155">
        <f>_xlfn.MAXIFS(LandEmiss!$F$335:$F$434,LandEmiss!$A$335:$A$434,$FG43)*IFERROR($QR$15,0)</f>
        <v>0</v>
      </c>
      <c r="GP43" s="155">
        <f>(_xlfn.MAXIFS(LandEmiss!$BK$335:$BK$434,LandEmiss!$BO$335:$BO$434,$FG43)+_xlfn.MAXIFS(LandEmiss!$DZ$323:$DZ$422,LandEmiss!$DU$323:$DU$422,$FG43))*IFERROR($QR$15,0)</f>
        <v>0</v>
      </c>
      <c r="GQ43" s="313">
        <f>_xlfn.MAXIFS(CtrlDevImpacts!$BD$57:$BD$156,CtrlDevImpacts!$BC$57:$BC$156,$FG43)*IFERROR(Hidden!$QR$16,0)</f>
        <v>0</v>
      </c>
      <c r="GR43" s="313">
        <f>(_xlfn.MAXIFS(CAS!$H$35:$H$144,CAS!$E$35:$E$144,$FG43)-_xlfn.MAXIFS(CtrlDevImpacts!$BD$57:$BD$156,CtrlDevImpacts!$BC$57:$BC$156,$FG43))*IFERROR(Hidden!$QR$16,0)</f>
        <v>0</v>
      </c>
      <c r="GS43" s="155">
        <f>_xlfn.MAXIFS(LandEmiss!$H$335:$H$434,LandEmiss!$A$335:$A$434,$FG43)*IFERROR($QR$27,0)</f>
        <v>0</v>
      </c>
      <c r="GT43" s="155">
        <f>(_xlfn.MAXIFS(LandEmiss!$BK$335:$BK$434,LandEmiss!$BQ$335:$BQ$434,$FG43)+_xlfn.MAXIFS(LandEmiss!$EB$323:$EB$422,LandEmiss!$DU$323:$DU$422,$FG43))*IFERROR($QR$27,0)</f>
        <v>0</v>
      </c>
      <c r="GU43" s="155">
        <f>_xlfn.MAXIFS(LandEmiss!$J$335:$J$434,LandEmiss!$A$335:$A$434,$FG43)*IFERROR($QR$26,0)</f>
        <v>0</v>
      </c>
      <c r="GV43" s="155">
        <f>(_xlfn.MAXIFS(LandEmiss!$BK$335:$BK$434,LandEmiss!$BS$335:$BS$434,$FG43)+_xlfn.MAXIFS(LandEmiss!$ED$323:$ED$422,LandEmiss!$DU$323:$DU$422,$FG43))*IFERROR($QR$26,0)</f>
        <v>0</v>
      </c>
      <c r="GW43" s="155">
        <f>_xlfn.MAXIFS(LandEmiss!$L$335:$L$434,LandEmiss!$A$335:$A$434,$FG43)*IFERROR($QR$25,0)</f>
        <v>0</v>
      </c>
      <c r="GX43" s="155">
        <f>(_xlfn.MAXIFS(LandEmiss!$BK$335:$BK$434,LandEmiss!$BU$335:$BU$434,$FG43)+_xlfn.MAXIFS(LandEmiss!$EF$323:$EF$422,LandEmiss!$DU$323:$DU$422,$FG43))*IFERROR($QR$25,0)</f>
        <v>0</v>
      </c>
      <c r="GY43" s="155">
        <v>0</v>
      </c>
      <c r="GZ43" s="155">
        <v>0</v>
      </c>
      <c r="HA43" s="155">
        <f>IF(OR(HeaterBoiler1!$E$26&lt;&gt;"fuel gas",HeaterBoiler1!$E$15&lt;&gt;"heater"),0,SUMIF(HeaterBoiler1!$A$54:$D$63,$FG43,HeaterBoiler1!$I$54:$I$63))*IFERROR($QR$19,0)</f>
        <v>0</v>
      </c>
      <c r="HB43" s="207">
        <f>IF(OR(HeaterBoiler2!$E$26&lt;&gt;"fuel gas",HeaterBoiler2!$E$15&lt;&gt;"heater"),0,SUMIF(HeaterBoiler2!$A$54:$D$63,$FG43,HeaterBoiler2!$I$54:$I$63))*IFERROR($QR$21,0)</f>
        <v>0</v>
      </c>
      <c r="HC43" s="155">
        <f>IF(OR(HeaterBoiler1!$E$26&lt;&gt;"fuel gas",HeaterBoiler1!$E$15&lt;&gt;"boiler"),0,SUMIF(HeaterBoiler1!$A$41:$A$50,$FG43,HeaterBoiler1!$F$41:$F$50))*IFERROR($QR$20,0)</f>
        <v>0</v>
      </c>
      <c r="HD43" s="207">
        <f>IF(OR(HeaterBoiler2!$E$26&lt;&gt;"fuel gas",HeaterBoiler2!$E$15&lt;&gt;"boiler"),0,SUMIF(HeaterBoiler2!$A$41:$A$50,$FG43,HeaterBoiler2!$F$41:$F$50))*IFERROR($QR$22,0)</f>
        <v>0</v>
      </c>
      <c r="HE43" s="155">
        <f>SUMIF(Fug!$A$96:$A$205,$FG43,Fug!$I$96:$I$205)*IFERROR(Hidden!$QR$23,0)</f>
        <v>0</v>
      </c>
      <c r="HF43" s="155">
        <f t="shared" si="24"/>
        <v>0</v>
      </c>
      <c r="HG43" s="156">
        <f t="shared" si="25"/>
        <v>0</v>
      </c>
      <c r="HH43" s="156">
        <f t="shared" si="26"/>
        <v>0</v>
      </c>
      <c r="HI43" s="156">
        <f t="shared" si="27"/>
        <v>0</v>
      </c>
      <c r="HJ43" s="156">
        <f t="shared" si="28"/>
        <v>0</v>
      </c>
      <c r="HK43" s="156">
        <f t="shared" si="29"/>
        <v>0</v>
      </c>
      <c r="HL43" s="156">
        <f t="shared" si="30"/>
        <v>0</v>
      </c>
      <c r="NO43" s="155">
        <f>IF(Tank1!$D$22="No control",(SUMIF(Tank1!$E$32:$E$141,$FG43,Tank1!$H$32:$H$141)*(2000/8760)*IFERROR($QV$3,0)),0)</f>
        <v>0</v>
      </c>
      <c r="NP43" s="156">
        <f>SUMIF(LandEmiss!$AE$20:$AE$119,$FG43,LandEmiss!$AK$20:$AK$119)*(2000/8760)*IFERROR($QV$3,0)</f>
        <v>0</v>
      </c>
      <c r="NQ43" s="156">
        <f>(SUMIF(LandEmiss!$CN$20:$CN$119,$FG43,LandEmiss!$CT$20:$CT$119)+SUMIF(LandEmiss!$EY$9:$EY$108,$FG43,LandEmiss!$FE$9:$FE$108))*IFERROR($QV$3,0)*(2000/8760)</f>
        <v>0</v>
      </c>
      <c r="NR43" s="155">
        <f>IF(Tank2!$D$22="No control",(SUMIF(Tank2!$E$32:$E$141,$FG43,Tank2!$H$32:$H$141)*(2000/8760)*IFERROR($QV$4,0)),0)</f>
        <v>0</v>
      </c>
      <c r="NS43" s="156">
        <f>SUMIF(LandEmiss!$AE$20:$AE$119,$FG43,LandEmiss!$AL$20:$AL$119)*(2000/8760)*IFERROR($QV$4,0)</f>
        <v>0</v>
      </c>
      <c r="NT43" s="156">
        <f>(SUMIF(LandEmiss!$CN$20:$CN$119,$FG43,LandEmiss!$CU$20:$CU$119)+SUMIF(LandEmiss!$EY$9:$EY$108,$FG43,LandEmiss!$FF$9:$FF$108))*IFERROR($QV$4,0)*(2000/8760)</f>
        <v>0</v>
      </c>
      <c r="NU43" s="155">
        <f>IF(Tank3!$D$22="No control",(SUMIF(Tank3!$E$32:$E$141,$FG43,Tank3!$H$32:$H$141)*(2000/8760)*IFERROR($QV$5,0)),0)</f>
        <v>0</v>
      </c>
      <c r="NV43" s="156">
        <f>SUMIF(LandEmiss!$AE$20:$AE$119,$FG43,LandEmiss!$AM$20:$AM$119)*(2000/8760)*IFERROR($QV$5,0)</f>
        <v>0</v>
      </c>
      <c r="NW43" s="156">
        <f>(SUMIF(LandEmiss!$CN$20:$CN$119,$FG43,LandEmiss!$CV$20:$CV$119)+SUMIF(LandEmiss!$EY$9:$EY$108,$FG43,LandEmiss!$FG$9:$FG$108))*IFERROR($QV$5,0)*(2000/8760)</f>
        <v>0</v>
      </c>
      <c r="NX43" s="155">
        <f>IF(Tank4!$D$22="No control",(SUMIF(Tank4!$E$32:$E$141,$FG43,Tank4!$H$32:$H$141)*(2000/8760)*IFERROR($QV$6,0)),0)</f>
        <v>0</v>
      </c>
      <c r="NY43" s="156">
        <f>SUMIF(LandEmiss!$AE$20:$AE$119,$FG43,LandEmiss!$AN$20:$AN$119)*(2000/8760)*IFERROR($QV$6,0)</f>
        <v>0</v>
      </c>
      <c r="NZ43" s="156">
        <f>(SUMIF(LandEmiss!$CN$20:$CN$119,$FG43,LandEmiss!$CW$20:$CW$119)+SUMIF(LandEmiss!$EY$9:$EY$108,$FG43,LandEmiss!$FH$9:$FH$108))*IFERROR($QV$6,0)*(2000/8760)</f>
        <v>0</v>
      </c>
      <c r="OA43" s="155">
        <f>IF(Tank5!$D$22="No control",(SUMIF(Tank5!$E$32:$E$141,$FG43,Tank5!$H$32:$H$141)*(2000/8760)*IFERROR($QV$7,0)),0)</f>
        <v>0</v>
      </c>
      <c r="OB43" s="156">
        <f>SUMIF(LandEmiss!$AE$20:$AE$119,$FG43,LandEmiss!$AO$20:$AO$119)*(2000/8760)*IFERROR($QV$7,0)</f>
        <v>0</v>
      </c>
      <c r="OC43" s="156">
        <f>(SUMIF(LandEmiss!$CN$20:$CN$119,$FG43,LandEmiss!$CX$20:$CX$119)+SUMIF(LandEmiss!$EY$9:$EY$108,$FG43,LandEmiss!$FI$9:$FI$108))*IFERROR($QV$7,0)*(2000/8760)</f>
        <v>0</v>
      </c>
      <c r="OD43" s="155">
        <f>SUMIFS('Load-DrumTote'!$L$27:$L$136,'Load-DrumTote'!$F$27:$F$136,$FG43)*IFERROR($QV$8,0)*(2000/8760)</f>
        <v>0</v>
      </c>
      <c r="OE43" s="155">
        <f>SUMIFS('Load-Truck'!$L$27:$L$136,'Load-Truck'!$F$27:$F$136,$FG43)*IFERROR($QV$9,0)*(2000/8760)</f>
        <v>0</v>
      </c>
      <c r="OF43" s="155">
        <f>SUMIFS('Load-Rail'!$L$27:$L$136,'Load-Rail'!$F$27:$F$136,$FG43)*IFERROR($QV$10,0)*(2000/8760)</f>
        <v>0</v>
      </c>
      <c r="OG43" s="155">
        <f>SUMIFS('Load-MarineBarge'!$L$27:$L$136,'Load-MarineBarge'!$F$27:$F$136,$FG43)*IFERROR($QV$11,0)*(2000/8760)</f>
        <v>0</v>
      </c>
      <c r="OH43" s="155">
        <f>SUMIFS('Load-MarineShip'!$L$27:$L$136,'Load-MarineShip'!$F$27:$F$136,$FG43)*IFERROR($QV$12,0)*(2000/8760)</f>
        <v>0</v>
      </c>
      <c r="OI43" s="155">
        <f>(IF(OR(Flare!$D$24="FUEL GAS",Flare!$D$38="FUEL GAS"),SUMIF(Flare!$E$97:$E$106,$FG43,Flare!$G$97:$G$105),0)+SUMIF(Flare!$E$107:$E$216,$FG43,Flare!$G$107:$G$216))*(2000/8730)*IFERROR($QV$13,0)</f>
        <v>0</v>
      </c>
      <c r="OJ43" s="155">
        <f>SUMIF(LandEmiss!$A$335:$A$434,$FG43,LandEmiss!$C$335:$C$434)*(2000/8760)*IFERROR($QV$13,0)</f>
        <v>0</v>
      </c>
      <c r="OK43" s="155">
        <f>(SUMIF(LandEmiss!$BJ$335:$BJ$434,$FG43,LandEmiss!$BL$335:$BL$434)+SUMIF(LandEmiss!$DU$323:$DU$422,$FG43,LandEmiss!$DW$323:$DW$422))*(2000/8760)*IFERROR($QV$13,0)</f>
        <v>0</v>
      </c>
      <c r="OL43" s="155">
        <f>(IF(OR(VCU!$D$26="FUEL GAS",VCU!$D$42="FUEL GAS"),SUMIF(VCU!$E$120:$E$129,$FG43,VCU!$G$120:$G$129),0)+SUMIF(VCU!$E$130:$E$239,$FG43,VCU!G171:G280))*(2000/8760)*IFERROR($QV$14,0)</f>
        <v>0</v>
      </c>
      <c r="OM43" s="155">
        <f>SUMIF(LandEmiss!$A$335:$A$434,$FG43,LandEmiss!$E$335:$E$434)*(2000/8760)*IFERROR($QV$14,0)</f>
        <v>0</v>
      </c>
      <c r="ON43" s="155">
        <f>(SUMIF(LandEmiss!$BJ$335:$BJ$434,$FG43,LandEmiss!$BN$335:$BN$434)+SUMIF(LandEmiss!$DU$323:$DU$422,$FG43,LandEmiss!$DY$323:$DY$422))*(2000/8760)*IFERROR($QV$14,0)</f>
        <v>0</v>
      </c>
      <c r="OO43" s="155">
        <f>(IF(VaporOxidizer!$D$33="FUEL GAS",SUMIF(VaporOxidizer!$E$101:$E$110,$FG43,VaporOxidizer!$G$101:$G$110),0)+SUMIF(VaporOxidizer!$E$111:$E$220,$FG43,VaporOxidizer!$G$111:$G$220))*(2000/8760)*IFERROR($QV$15,0)</f>
        <v>0</v>
      </c>
      <c r="OP43" s="155">
        <f>SUMIF(LandEmiss!$A$335:$A$434,$FG43,LandEmiss!$G$335:$G$434)*(2000/8760)*IFERROR($QV$15,0)</f>
        <v>0</v>
      </c>
      <c r="OQ43" s="155">
        <f>(SUMIF(LandEmiss!$BJ$335:$BJ$434,$FG43,LandEmiss!$BP$335:$BP$434)+SUMIF(LandEmiss!$DU$323:$DU$422,$FG43,LandEmiss!$EA$323:$EA$422))*(2000/8760)*IFERROR($QV$15,0)</f>
        <v>0</v>
      </c>
      <c r="OR43" s="155">
        <f>SUMIF(CAS!$E$35:$E$144,Hidden!$FG43,CAS!$I$35:$I$144)*IFERROR($QV$16,0)*(2000/8760)</f>
        <v>0</v>
      </c>
      <c r="OS43" s="155">
        <f>SUMIF(LandEmiss!$A$335:$A$434,$FG43,LandEmiss!$I$335:$I$434)*(2000/8760)*IFERROR($QV$27,0)</f>
        <v>0</v>
      </c>
      <c r="OT43" s="155">
        <f>(SUMIF(LandEmiss!$BJ$335:$BJ$434,$FG43,LandEmiss!$BR$335:$BR$434)+SUMIF(LandEmiss!$DU$323:$DU$422,$FG43,LandEmiss!$EC$323:$EC$422))*(2000/8760)*IFERROR($QV$27,0)</f>
        <v>0</v>
      </c>
      <c r="OU43" s="155">
        <f>SUMIF(LandEmiss!$A$335:$A$434,$FG43,LandEmiss!$K$335:$K$434)*(2000/8760)*IFERROR($QV$26,0)</f>
        <v>0</v>
      </c>
      <c r="OV43" s="155">
        <f>(SUMIF(LandEmiss!$BJ$335:$BJ$434,$FG43,LandEmiss!$BT$335:$BT$434)+SUMIF(LandEmiss!$DU$323:$DU$422,$FG43,LandEmiss!$EE$323:$EE$422))*(2000/8760)*IFERROR($QV$26,0)</f>
        <v>0</v>
      </c>
      <c r="OW43" s="155">
        <f>SUMIF(LandEmiss!$A$335:$A$434,$FG43,LandEmiss!$M$335:$M$434)*(2000/8760)*IFERROR($QV$25,0)</f>
        <v>0</v>
      </c>
      <c r="OX43" s="155">
        <f>(SUMIF(LandEmiss!$BJ$335:$BJ$434,$FG43,LandEmiss!$BV$335:$BV$434)+SUMIF(LandEmiss!$DU$323:$DU$422,$FG43,LandEmiss!$EG$323:$EG$422))*(2000/8760)*IFERROR($QV$25,0)</f>
        <v>0</v>
      </c>
      <c r="OY43" s="8">
        <v>0</v>
      </c>
      <c r="OZ43" s="207">
        <v>0</v>
      </c>
      <c r="PA43" s="207">
        <f>IF(OR(HeaterBoiler1!$E$26&lt;&gt;"fuel gas",HeaterBoiler1!$E$15&lt;&gt;"heater"),0,(SUMIF(HeaterBoiler1!$A$54:$D$63,$FG43,HeaterBoiler1!$J$54:$J$63))*(2000/8760))*IFERROR($QV$19,0)</f>
        <v>0</v>
      </c>
      <c r="PB43" s="207">
        <f>IF(OR(HeaterBoiler2!$E$26&lt;&gt;"fuel gas",HeaterBoiler2!$E$15&lt;&gt;"heater"),0,(SUMIF(HeaterBoiler2!$A$54:$D$63,$FG43,HeaterBoiler2!$J$54:$J$63))*(2000/8760))*IFERROR($QV$21,0)</f>
        <v>0</v>
      </c>
      <c r="PC43" s="207">
        <f>IF(OR(HeaterBoiler1!$E$26&lt;&gt;"fuel gas",HeaterBoiler1!$E$15&lt;&gt;"boiler"),0,(SUMIF(HeaterBoiler1!$A$54:$D$63,$FG43,HeaterBoiler1!$J$54:$J$63))*(2000/8760))*IFERROR($QV$20,0)</f>
        <v>0</v>
      </c>
      <c r="PD43" s="207">
        <f>IF(OR(HeaterBoiler2!$E$26&lt;&gt;"fuel gas",HeaterBoiler2!$E$15&lt;&gt;"boiler"),0,(SUMIF(HeaterBoiler2!$A$54:$D$63,$FG43,HeaterBoiler2!$J$54:$J$63))*(2000/8760))*IFERROR($QV$22,0)</f>
        <v>0</v>
      </c>
      <c r="PE43" s="8">
        <f>(SUMIF(Fug!$A$96:$A$205,$FG43,Fug!$J$96:$J$205))*IFERROR($QV$23,0)*(2000/8760)</f>
        <v>0</v>
      </c>
      <c r="PF43" s="8">
        <f t="shared" si="31"/>
        <v>0</v>
      </c>
      <c r="PG43" s="156">
        <f t="shared" si="32"/>
        <v>0</v>
      </c>
      <c r="PJ43" s="52" t="str">
        <f>IF(Fug!$F$16=Hidden!$PP$2,"Sampling (hourly)","")</f>
        <v/>
      </c>
      <c r="PK43" s="52" t="str">
        <f>IF(Fug!$F$16=Hidden!$PP$2,"Light Oil &gt;20°","")</f>
        <v/>
      </c>
      <c r="PL43" s="52"/>
      <c r="PM43" s="52"/>
      <c r="PN43" s="52"/>
      <c r="PO43" s="52"/>
      <c r="PP43" s="52">
        <v>3.3000000000000002E-2</v>
      </c>
      <c r="PQ43" s="52"/>
      <c r="PR43" s="52"/>
      <c r="PS43" s="52"/>
      <c r="PT43" s="52" t="s">
        <v>8794</v>
      </c>
      <c r="PU43" s="52" t="s">
        <v>8781</v>
      </c>
      <c r="PV43" s="52">
        <v>0</v>
      </c>
      <c r="PW43" s="52">
        <v>0</v>
      </c>
      <c r="PX43" s="52">
        <v>0</v>
      </c>
      <c r="PY43" s="52">
        <v>0</v>
      </c>
      <c r="PZ43" s="52">
        <v>0</v>
      </c>
      <c r="QA43" s="52">
        <v>0</v>
      </c>
      <c r="QB43" s="52"/>
      <c r="QC43" s="52"/>
      <c r="QD43" s="52"/>
      <c r="QE43" s="52"/>
      <c r="QF43" s="52"/>
      <c r="QG43" s="52"/>
      <c r="QH43" s="52"/>
      <c r="QI43" s="52"/>
      <c r="QX43" s="89" t="s">
        <v>9321</v>
      </c>
      <c r="QY43">
        <v>2.8</v>
      </c>
      <c r="QZ43">
        <v>2.8</v>
      </c>
      <c r="RA43">
        <v>2.8</v>
      </c>
      <c r="RB43">
        <v>2.8</v>
      </c>
      <c r="RC43">
        <v>2.8</v>
      </c>
      <c r="RD43">
        <v>2.8</v>
      </c>
      <c r="RE43">
        <v>2.8</v>
      </c>
      <c r="RF43">
        <v>2.25</v>
      </c>
      <c r="RG43" s="90">
        <v>1.73</v>
      </c>
      <c r="RH43" s="89" t="s">
        <v>9321</v>
      </c>
      <c r="RI43">
        <v>2.0299999999999998</v>
      </c>
      <c r="RJ43">
        <v>2.0299999999999998</v>
      </c>
      <c r="RK43">
        <v>2.0299999999999998</v>
      </c>
      <c r="RL43">
        <v>2.0299999999999998</v>
      </c>
      <c r="RM43">
        <v>2.0299999999999998</v>
      </c>
      <c r="RN43">
        <v>2.0299999999999998</v>
      </c>
      <c r="RO43">
        <v>2.0299999999999998</v>
      </c>
      <c r="RP43">
        <v>1.97</v>
      </c>
      <c r="RQ43" s="90">
        <v>1.62</v>
      </c>
      <c r="RR43" s="89" t="s">
        <v>9321</v>
      </c>
      <c r="RS43">
        <v>1.2</v>
      </c>
      <c r="RT43">
        <v>1.2</v>
      </c>
      <c r="RU43">
        <v>1.2</v>
      </c>
      <c r="RV43">
        <v>1.2</v>
      </c>
      <c r="RW43">
        <v>1.2</v>
      </c>
      <c r="RX43">
        <v>1.2</v>
      </c>
      <c r="RY43">
        <v>1.2</v>
      </c>
      <c r="RZ43">
        <v>1.2</v>
      </c>
      <c r="SA43" s="90">
        <v>1.2</v>
      </c>
      <c r="SB43" s="89" t="s">
        <v>9321</v>
      </c>
      <c r="SC43">
        <v>0.68</v>
      </c>
      <c r="SD43">
        <v>0.68</v>
      </c>
      <c r="SE43">
        <v>0.68</v>
      </c>
      <c r="SF43">
        <v>0.68</v>
      </c>
      <c r="SG43">
        <v>0.68</v>
      </c>
      <c r="SH43">
        <v>0.68</v>
      </c>
      <c r="SI43">
        <v>0.68</v>
      </c>
      <c r="SJ43">
        <v>0.68</v>
      </c>
      <c r="SK43" s="90">
        <v>0.67</v>
      </c>
      <c r="SL43" s="89" t="s">
        <v>9321</v>
      </c>
      <c r="SM43">
        <v>0.06</v>
      </c>
      <c r="SN43">
        <v>0.06</v>
      </c>
      <c r="SO43">
        <v>0.06</v>
      </c>
      <c r="SP43">
        <v>0.06</v>
      </c>
      <c r="SQ43">
        <v>0.06</v>
      </c>
      <c r="SR43">
        <v>0.06</v>
      </c>
      <c r="SS43">
        <v>0.06</v>
      </c>
      <c r="ST43">
        <v>0.06</v>
      </c>
      <c r="SU43" s="90">
        <v>0.06</v>
      </c>
    </row>
    <row r="44" spans="1:533" ht="74.25" customHeight="1" x14ac:dyDescent="0.2">
      <c r="A44" s="8" t="s">
        <v>221</v>
      </c>
      <c r="B44" s="8">
        <v>15</v>
      </c>
      <c r="W44">
        <f>IF(OR(X44=0,ISNUMBER(MATCH(X44,$X$1:X43,0))),0,MAX($W$1:W43)+1)</f>
        <v>0</v>
      </c>
      <c r="X44" s="123">
        <f>Products!$E91</f>
        <v>0</v>
      </c>
      <c r="Y44" t="str">
        <f t="shared" si="39"/>
        <v/>
      </c>
      <c r="CA44">
        <f>IF(OR(CB44=0,ISNUMBER(MATCH(CB44,$CB$1:CB43,0))),0,MAX($CA$1:CA43)+1)</f>
        <v>0</v>
      </c>
      <c r="CB44" s="8">
        <f>IF(OR(Tank1!$D$18="EXTERNAL FLOATING ROOF",Tank1!$D$18="INTERNAL FLOATING ROOF"),IF(Tank1!$E74="",0,Tank1!$E74),0)</f>
        <v>0</v>
      </c>
      <c r="CC44" s="8" t="str">
        <f t="shared" si="40"/>
        <v/>
      </c>
      <c r="CD44" s="8"/>
      <c r="CE44" s="8">
        <f>IF(OR(CF44=0,ISNUMBER(MATCH(CF44,$CF$1:CF43,0))),0,MAX($CE$1:CE43)+1)</f>
        <v>0</v>
      </c>
      <c r="CF44" s="8">
        <f>IF(OR(Tank1!$D$18="HORIZONTAL FIXED ROOF",Tank1!$D$18="VERTICAL FIXED ROOF"),IF(Tank1!$E74="",0,Tank1!$E74),0)</f>
        <v>0</v>
      </c>
      <c r="CG44" s="8" t="str">
        <f t="shared" si="41"/>
        <v/>
      </c>
      <c r="CJ44">
        <f>IF(OR(CK44=0,ISNUMBER(MATCH(CK44,$CK$1:CK43,0))),0,MAX($CJ$1:CJ43)+1)</f>
        <v>0</v>
      </c>
      <c r="CK44">
        <f>Tank5!$A$54</f>
        <v>0</v>
      </c>
      <c r="CM44">
        <f>IFERROR(VLOOKUP($CK44,Tank5!$A$32:$D$141,3,FALSE),0)</f>
        <v>0</v>
      </c>
      <c r="CN44">
        <f>IFERROR(VLOOKUP($CK44,Tank5!$A$32:$D$141,4,FALSE),0)</f>
        <v>0</v>
      </c>
      <c r="DM44">
        <f>IF(OR(DN44=0,ISNUMBER(MATCH(DN44,$DN$1:DN43,0))),0,MAX($DM$1:DM43)+1)</f>
        <v>0</v>
      </c>
      <c r="DN44">
        <f>IF(Tank5!$D$22="Flare",IFERROR(VLOOKUP(Products!$A$79,Tank5!$A$32:$B$141,1,FALSE),0),0)</f>
        <v>0</v>
      </c>
      <c r="DO44">
        <f>IF($DN44=0,0,VLOOKUP($DN44,Tank5!$A$32:$H$141,7,FALSE))</f>
        <v>0</v>
      </c>
      <c r="DP44">
        <f>IF($DN44=0,0,VLOOKUP($DN44,Tank5!$A$32:$H$141,8,FALSE))</f>
        <v>0</v>
      </c>
      <c r="DU44">
        <f>IF(OR(DV44=0,ISNUMBER(MATCH(DV44,$DV$1:DV43,0))),0,MAX($DU$1:DU43)+1)</f>
        <v>0</v>
      </c>
      <c r="DV44">
        <f>IF(Tank5!$D$22="VCU",IFERROR(VLOOKUP(Products!$A$79,Tank5!$A$32:$B$141,1,FALSE),0),0)</f>
        <v>0</v>
      </c>
      <c r="DW44">
        <f>IF($DV44=0,0,VLOOKUP($DV44,Tank5!$A$32:$H$141,7,FALSE))</f>
        <v>0</v>
      </c>
      <c r="DX44">
        <f>IF($DV44=0,0,VLOOKUP($DV44,Tank5!$A$32:$H$141,8,FALSE))</f>
        <v>0</v>
      </c>
      <c r="EC44">
        <f>IF(OR(ED44=0,ISNUMBER(MATCH(ED44,$ED$1:ED43,0))),0,MAX($EC$1:EC43)+1)</f>
        <v>0</v>
      </c>
      <c r="ED44">
        <f>IF(Tank5!$D$22="vapor oxidizer",IFERROR(VLOOKUP(Products!$A$79,Tank5!$A$32:$B$141,1,FALSE),0),0)</f>
        <v>0</v>
      </c>
      <c r="EE44">
        <f>IF($ED44=0,0,VLOOKUP($ED44,Tank5!$A$32:$H$141,7,FALSE))</f>
        <v>0</v>
      </c>
      <c r="EF44">
        <f>IF($ED44=0,0,VLOOKUP($ED44,Tank5!$A$32:$H$141,8,FALSE))</f>
        <v>0</v>
      </c>
      <c r="EK44">
        <f>IF(OR(EL44=0,ISNUMBER(MATCH(EL44,$EL$1:EL43,0))),0,MAX($EK$1:EK43)+1)</f>
        <v>0</v>
      </c>
      <c r="EL44">
        <f>IF(Tank5!$D$22="CAS",IFERROR(VLOOKUP(Products!A79,Tank5!$A$32:$B$141,1,FALSE),0),0)</f>
        <v>0</v>
      </c>
      <c r="EM44">
        <f>IF($EL44=0,0,VLOOKUP($EL44,Tank5!$A$32:$H$141,7,FALSE))</f>
        <v>0</v>
      </c>
      <c r="EN44">
        <f>IF($EL44=0,0,VLOOKUP($EL44,Tank5!$A$32:$H$141,8,FALSE))</f>
        <v>0</v>
      </c>
      <c r="FB44" s="8" t="s">
        <v>441</v>
      </c>
      <c r="FC44" s="8" t="s">
        <v>442</v>
      </c>
      <c r="FD44" s="8">
        <v>8200</v>
      </c>
      <c r="FE44" s="8">
        <v>820</v>
      </c>
      <c r="FG44" s="360" t="str">
        <f t="shared" si="23"/>
        <v/>
      </c>
      <c r="FH44" s="155">
        <f>IF(Tank1!$D$22="NO CONTROL",_xlfn.MAXIFS(Tank1!$G$32:$G$141,Tank1!$E$32:$E$141,$FG44),0)*IFERROR($QR$3,0)</f>
        <v>0</v>
      </c>
      <c r="FI44" s="155">
        <f>_xlfn.MAXIFS(LandEmiss!$AF$20:$AF$119,LandEmiss!$AE$20:$AE$119,$FG44)*IFERROR($QR$3,0)</f>
        <v>0</v>
      </c>
      <c r="FJ44" s="155">
        <f>MAX(_xlfn.MAXIFS(LandEmiss!$CO$20:$CO$119,LandEmiss!$CN$20:$CN$119,$FG44),_xlfn.MAXIFS(LandEmiss!$EZ$9:$EZ$108,LandEmiss!$EY$9:$EY$108,$FG44))*IFERROR($QR$3,0)</f>
        <v>0</v>
      </c>
      <c r="FK44" s="155">
        <f>IF(Tank2!$D$22="NO CONTROL",_xlfn.MAXIFS(Tank2!$G$32:$G$141,Tank2!$E$32:$E$141,$FG44),0)*IFERROR($QR$4,0)</f>
        <v>0</v>
      </c>
      <c r="FL44" s="155">
        <f>_xlfn.MAXIFS(LandEmiss!$AG$20:$AG$119,LandEmiss!$AE$20:$AE$119,$FG44)*IFERROR($QR$4,0)</f>
        <v>0</v>
      </c>
      <c r="FM44" s="155">
        <f>MAX(_xlfn.MAXIFS(LandEmiss!$CP$20:$CP$119,LandEmiss!$CN$20:$CN$119,$FG44),_xlfn.MAXIFS(LandEmiss!$FA$9:$FA$108,LandEmiss!$EY$9:$EY$108,$FG44))*IFERROR($QR$4,0)</f>
        <v>0</v>
      </c>
      <c r="FN44" s="155">
        <f>IF(Tank3!$D$22="NO CONTROL",_xlfn.MAXIFS(Tank3!$G$32:$G$141,Tank3!$E$32:$E$141,$FG44),0)*IFERROR($QR$5,0)</f>
        <v>0</v>
      </c>
      <c r="FO44" s="155">
        <f>_xlfn.MAXIFS(LandEmiss!$AH$20:$AH$119,LandEmiss!$AE$20:$AE$119,$FG44)*IFERROR($QR$5,0)</f>
        <v>0</v>
      </c>
      <c r="FP44" s="155">
        <f>MAX(_xlfn.MAXIFS(LandEmiss!$CQ$20:$CQ$119,LandEmiss!$CN$20:$CN$119,$FG44),_xlfn.MAXIFS(LandEmiss!$FB$9:$FB$108,LandEmiss!$EY$9:$EY$108,$FG44))*IFERROR($QR$5,0)</f>
        <v>0</v>
      </c>
      <c r="FQ44" s="155">
        <f>IF(Tank4!$D$22="NO CONTROL",_xlfn.MAXIFS(Tank4!$G$32:$G$141,Tank4!$E$32:$E$141,$FG44),0)*IFERROR($QR$6,0)</f>
        <v>0</v>
      </c>
      <c r="FR44" s="155">
        <f>_xlfn.MAXIFS(LandEmiss!$AI$20:$AI$119,LandEmiss!$AE$20:$AE$119,$FG44)*IFERROR($QR$6,0)</f>
        <v>0</v>
      </c>
      <c r="FS44" s="155">
        <f>MAX(_xlfn.MAXIFS(LandEmiss!$CR$20:$CR$119,LandEmiss!$CN$20:$CN$119,$FG44),_xlfn.MAXIFS(LandEmiss!$FC$9:$FC$108,LandEmiss!$EY$9:$EY$108,$FG44))*IFERROR($QR$6,0)</f>
        <v>0</v>
      </c>
      <c r="FT44" s="155">
        <f>IF(Tank5!$D$22="NO CONTROL",_xlfn.MAXIFS(Tank5!$G$32:$G$141,Tank5!$E$32:$E$141,$FG44),0)*IFERROR($QR$7,0)</f>
        <v>0</v>
      </c>
      <c r="FU44" s="155">
        <f>_xlfn.MAXIFS(LandEmiss!$AJ$20:$AJ$119,LandEmiss!$AE$20:$AE$119,$FG44)*IFERROR($QR$7,0)</f>
        <v>0</v>
      </c>
      <c r="FV44" s="155">
        <f>MAX(_xlfn.MAXIFS(LandEmiss!$CS$20:$CS$119,LandEmiss!$CN$20:$CN$119,$FG44),_xlfn.MAXIFS(LandEmiss!$FD$9:$FD$108,LandEmiss!$EY$9:$EY$108,$FG44))*IFERROR($QR49,0)</f>
        <v>0</v>
      </c>
      <c r="FW44" s="155">
        <f>_xlfn.MAXIFS('Load-DrumTote'!$K$27:$K$136,'Load-DrumTote'!$F$27:$F$136,$FG44)*IFERROR($QR$8,0)</f>
        <v>0</v>
      </c>
      <c r="FX44" s="155">
        <f>_xlfn.MAXIFS('Load-Truck'!$K$27:$K$136,'Load-Truck'!$F$27:$F$136,$FG44)*IFERROR($QR$9,0)</f>
        <v>0</v>
      </c>
      <c r="FY44" s="155">
        <f>_xlfn.MAXIFS('Load-Rail'!$K$27:$K$136,'Load-Rail'!$F$27:$F$136,$FG44)*IFERROR($QR$10,0)</f>
        <v>0</v>
      </c>
      <c r="FZ44" s="155">
        <f>_xlfn.MAXIFS('Load-MarineBarge'!$K$27:$K$136,'Load-MarineBarge'!$F$27:$F$136,$FG44)*IFERROR($QR$11,0)</f>
        <v>0</v>
      </c>
      <c r="GA44" s="155">
        <f>_xlfn.MAXIFS('Load-MarineShip'!$K$27:$K$136,'Load-MarineShip'!$F$27:$F$136,$FG44)*IFERROR($QR$12,0)</f>
        <v>0</v>
      </c>
      <c r="GB44" s="313">
        <f>IF(OR(Flare!$D$24="fuel gas",Flare!$D$38="fuel gas"),SUMIF(Flare!$E$97:$E$106,$FG44,Flare!$F$97:$F$106),0)*IFERROR($QR$13,0)</f>
        <v>0</v>
      </c>
      <c r="GC44" s="313">
        <f>(_xlfn.MAXIFS(CtrlDevImpacts!$I$57:$I$156,CtrlDevImpacts!$H$57:$H$156,$FG44))*IFERROR($QR$13,0)</f>
        <v>0</v>
      </c>
      <c r="GD44" s="313">
        <f>(_xlfn.MAXIFS(Flare!$F$107:$F$216,Flare!$E$107:$E$216,$FG44)-_xlfn.MAXIFS(CtrlDevImpacts!$I$57:$I$156,CtrlDevImpacts!$H$57:$H$156,$FG44))*IFERROR($QR$13,0)</f>
        <v>0</v>
      </c>
      <c r="GE44" s="155">
        <f>_xlfn.MAXIFS(LandEmiss!$B$335:$B$434,LandEmiss!$A$335:$A$434,$FG44)*IFERROR($QR$13,0)</f>
        <v>0</v>
      </c>
      <c r="GF44" s="155">
        <f>(_xlfn.MAXIFS(LandEmiss!$BK$335:$BK$434,LandEmiss!$BJ$335:$BJ$434,$FG44)+_xlfn.MAXIFS(LandEmiss!$DV$323:$DV$422,LandEmiss!$DU$323:$DU$422,$FG44))*IFERROR($QR$13,0)</f>
        <v>0</v>
      </c>
      <c r="GG44" s="313">
        <f>IF(OR(VCU!$D$26="fuel gas",VCU!$D$42="fuel gas"),SUMIF(VCU!$E$120:$E$129,$FG44,VCU!$F$120:$F$129),0)*IFERROR($QR$14,0)</f>
        <v>0</v>
      </c>
      <c r="GH44" s="313">
        <f>(_xlfn.MAXIFS(CtrlDevImpacts!$X$57:$X$156,CtrlDevImpacts!$W$57:$W$156,$FG44))*IFERROR($QR$14,0)</f>
        <v>0</v>
      </c>
      <c r="GI44" s="313">
        <f>(_xlfn.MAXIFS(VCU!$F$130:$F$239,VCU!$E$130:$E$239,$FG44)-_xlfn.MAXIFS(CtrlDevImpacts!$X$57:$X$156,CtrlDevImpacts!$W$57:$W$156,$FG44))*IFERROR($QR$14,0)</f>
        <v>0</v>
      </c>
      <c r="GJ44" s="155">
        <f>_xlfn.MAXIFS(LandEmiss!$D$335:$D$434,LandEmiss!$A$335:$A$434,$FG44)*IFERROR($QR$14,0)</f>
        <v>0</v>
      </c>
      <c r="GK44" s="155">
        <f>(_xlfn.MAXIFS(LandEmiss!$BM$335:$BM$434,LandEmiss!$BJ$335:$BJ$434,$FG44)+_xlfn.MAXIFS(LandEmiss!$DX$323:$DX$422,LandEmiss!$DU$323:$DU$422,$FG44))*IFERROR($QR$14,0)</f>
        <v>0</v>
      </c>
      <c r="GL44" s="313">
        <f>IF(VaporOxidizer!D75="FUEL GAS",SUMIF(VaporOxidizer!$E$101:$E$110,$FG44,VaporOxidizer!$F$101:$F$110),0)*IFERROR($QR$15,0)</f>
        <v>0</v>
      </c>
      <c r="GM44" s="313">
        <f>(_xlfn.MAXIFS(CtrlDevImpacts!$AN$57:$AN$156,CtrlDevImpacts!$AM$57:$AM$156,$FG44))*IFERROR($QR$15,0)</f>
        <v>0</v>
      </c>
      <c r="GN44" s="313">
        <f>(_xlfn.MAXIFS(VaporOxidizer!$F$111:$F$220,VaporOxidizer!$E$111:$E$220,$FG44)-_xlfn.MAXIFS(CtrlDevImpacts!$AN$57:$AN$156,CtrlDevImpacts!$AM$57:$AM$156,$FG44))*IFERROR($QR$15,0)</f>
        <v>0</v>
      </c>
      <c r="GO44" s="155">
        <f>_xlfn.MAXIFS(LandEmiss!$F$335:$F$434,LandEmiss!$A$335:$A$434,$FG44)*IFERROR($QR$15,0)</f>
        <v>0</v>
      </c>
      <c r="GP44" s="155">
        <f>(_xlfn.MAXIFS(LandEmiss!$BK$335:$BK$434,LandEmiss!$BO$335:$BO$434,$FG44)+_xlfn.MAXIFS(LandEmiss!$DZ$323:$DZ$422,LandEmiss!$DU$323:$DU$422,$FG44))*IFERROR($QR$15,0)</f>
        <v>0</v>
      </c>
      <c r="GQ44" s="313">
        <f>_xlfn.MAXIFS(CtrlDevImpacts!$BD$57:$BD$156,CtrlDevImpacts!$BC$57:$BC$156,$FG44)*IFERROR(Hidden!$QR$16,0)</f>
        <v>0</v>
      </c>
      <c r="GR44" s="313">
        <f>(_xlfn.MAXIFS(CAS!$H$35:$H$144,CAS!$E$35:$E$144,$FG44)-_xlfn.MAXIFS(CtrlDevImpacts!$BD$57:$BD$156,CtrlDevImpacts!$BC$57:$BC$156,$FG44))*IFERROR(Hidden!$QR$16,0)</f>
        <v>0</v>
      </c>
      <c r="GS44" s="155">
        <f>_xlfn.MAXIFS(LandEmiss!$H$335:$H$434,LandEmiss!$A$335:$A$434,$FG44)*IFERROR($QR$27,0)</f>
        <v>0</v>
      </c>
      <c r="GT44" s="155">
        <f>(_xlfn.MAXIFS(LandEmiss!$BK$335:$BK$434,LandEmiss!$BQ$335:$BQ$434,$FG44)+_xlfn.MAXIFS(LandEmiss!$EB$323:$EB$422,LandEmiss!$DU$323:$DU$422,$FG44))*IFERROR($QR$27,0)</f>
        <v>0</v>
      </c>
      <c r="GU44" s="155">
        <f>_xlfn.MAXIFS(LandEmiss!$J$335:$J$434,LandEmiss!$A$335:$A$434,$FG44)*IFERROR($QR$26,0)</f>
        <v>0</v>
      </c>
      <c r="GV44" s="155">
        <f>(_xlfn.MAXIFS(LandEmiss!$BK$335:$BK$434,LandEmiss!$BS$335:$BS$434,$FG44)+_xlfn.MAXIFS(LandEmiss!$ED$323:$ED$422,LandEmiss!$DU$323:$DU$422,$FG44))*IFERROR($QR$26,0)</f>
        <v>0</v>
      </c>
      <c r="GW44" s="155">
        <f>_xlfn.MAXIFS(LandEmiss!$L$335:$L$434,LandEmiss!$A$335:$A$434,$FG44)*IFERROR($QR$25,0)</f>
        <v>0</v>
      </c>
      <c r="GX44" s="155">
        <f>(_xlfn.MAXIFS(LandEmiss!$BK$335:$BK$434,LandEmiss!$BU$335:$BU$434,$FG44)+_xlfn.MAXIFS(LandEmiss!$EF$323:$EF$422,LandEmiss!$DU$323:$DU$422,$FG44))*IFERROR($QR$25,0)</f>
        <v>0</v>
      </c>
      <c r="GY44" s="155">
        <v>0</v>
      </c>
      <c r="GZ44" s="155">
        <v>0</v>
      </c>
      <c r="HA44" s="155">
        <f>IF(OR(HeaterBoiler1!$E$26&lt;&gt;"fuel gas",HeaterBoiler1!$E$15&lt;&gt;"heater"),0,SUMIF(HeaterBoiler1!$A$54:$D$63,$FG44,HeaterBoiler1!$I$54:$I$63))*IFERROR($QR$19,0)</f>
        <v>0</v>
      </c>
      <c r="HB44" s="207">
        <f>IF(OR(HeaterBoiler2!$E$26&lt;&gt;"fuel gas",HeaterBoiler2!$E$15&lt;&gt;"heater"),0,SUMIF(HeaterBoiler2!$A$54:$D$63,$FG44,HeaterBoiler2!$I$54:$I$63))*IFERROR($QR$21,0)</f>
        <v>0</v>
      </c>
      <c r="HC44" s="155">
        <f>IF(OR(HeaterBoiler1!$E$26&lt;&gt;"fuel gas",HeaterBoiler1!$E$15&lt;&gt;"boiler"),0,SUMIF(HeaterBoiler1!$A$41:$A$50,$FG44,HeaterBoiler1!$F$41:$F$50))*IFERROR($QR$20,0)</f>
        <v>0</v>
      </c>
      <c r="HD44" s="207">
        <f>IF(OR(HeaterBoiler2!$E$26&lt;&gt;"fuel gas",HeaterBoiler2!$E$15&lt;&gt;"boiler"),0,SUMIF(HeaterBoiler2!$A$41:$A$50,$FG44,HeaterBoiler2!$F$41:$F$50))*IFERROR($QR$22,0)</f>
        <v>0</v>
      </c>
      <c r="HE44" s="155">
        <f>SUMIF(Fug!$A$96:$A$205,$FG44,Fug!$I$96:$I$205)*IFERROR(Hidden!$QR$23,0)</f>
        <v>0</v>
      </c>
      <c r="HF44" s="155">
        <f t="shared" si="24"/>
        <v>0</v>
      </c>
      <c r="HG44" s="156">
        <f t="shared" si="25"/>
        <v>0</v>
      </c>
      <c r="HH44" s="156">
        <f t="shared" si="26"/>
        <v>0</v>
      </c>
      <c r="HI44" s="156">
        <f t="shared" si="27"/>
        <v>0</v>
      </c>
      <c r="HJ44" s="156">
        <f t="shared" si="28"/>
        <v>0</v>
      </c>
      <c r="HK44" s="156">
        <f t="shared" si="29"/>
        <v>0</v>
      </c>
      <c r="HL44" s="156">
        <f t="shared" si="30"/>
        <v>0</v>
      </c>
      <c r="NO44" s="155">
        <f>IF(Tank1!$D$22="No control",(SUMIF(Tank1!$E$32:$E$141,$FG44,Tank1!$H$32:$H$141)*(2000/8760)*IFERROR($QV$3,0)),0)</f>
        <v>0</v>
      </c>
      <c r="NP44" s="156">
        <f>SUMIF(LandEmiss!$AE$20:$AE$119,$FG44,LandEmiss!$AK$20:$AK$119)*(2000/8760)*IFERROR($QV$3,0)</f>
        <v>0</v>
      </c>
      <c r="NQ44" s="156">
        <f>(SUMIF(LandEmiss!$CN$20:$CN$119,$FG44,LandEmiss!$CT$20:$CT$119)+SUMIF(LandEmiss!$EY$9:$EY$108,$FG44,LandEmiss!$FE$9:$FE$108))*IFERROR($QV$3,0)*(2000/8760)</f>
        <v>0</v>
      </c>
      <c r="NR44" s="155">
        <f>IF(Tank2!$D$22="No control",(SUMIF(Tank2!$E$32:$E$141,$FG44,Tank2!$H$32:$H$141)*(2000/8760)*IFERROR($QV$4,0)),0)</f>
        <v>0</v>
      </c>
      <c r="NS44" s="156">
        <f>SUMIF(LandEmiss!$AE$20:$AE$119,$FG44,LandEmiss!$AL$20:$AL$119)*(2000/8760)*IFERROR($QV$4,0)</f>
        <v>0</v>
      </c>
      <c r="NT44" s="156">
        <f>(SUMIF(LandEmiss!$CN$20:$CN$119,$FG44,LandEmiss!$CU$20:$CU$119)+SUMIF(LandEmiss!$EY$9:$EY$108,$FG44,LandEmiss!$FF$9:$FF$108))*IFERROR($QV$4,0)*(2000/8760)</f>
        <v>0</v>
      </c>
      <c r="NU44" s="155">
        <f>IF(Tank3!$D$22="No control",(SUMIF(Tank3!$E$32:$E$141,$FG44,Tank3!$H$32:$H$141)*(2000/8760)*IFERROR($QV$5,0)),0)</f>
        <v>0</v>
      </c>
      <c r="NV44" s="156">
        <f>SUMIF(LandEmiss!$AE$20:$AE$119,$FG44,LandEmiss!$AM$20:$AM$119)*(2000/8760)*IFERROR($QV$5,0)</f>
        <v>0</v>
      </c>
      <c r="NW44" s="156">
        <f>(SUMIF(LandEmiss!$CN$20:$CN$119,$FG44,LandEmiss!$CV$20:$CV$119)+SUMIF(LandEmiss!$EY$9:$EY$108,$FG44,LandEmiss!$FG$9:$FG$108))*IFERROR($QV$5,0)*(2000/8760)</f>
        <v>0</v>
      </c>
      <c r="NX44" s="155">
        <f>IF(Tank4!$D$22="No control",(SUMIF(Tank4!$E$32:$E$141,$FG44,Tank4!$H$32:$H$141)*(2000/8760)*IFERROR($QV$6,0)),0)</f>
        <v>0</v>
      </c>
      <c r="NY44" s="156">
        <f>SUMIF(LandEmiss!$AE$20:$AE$119,$FG44,LandEmiss!$AN$20:$AN$119)*(2000/8760)*IFERROR($QV$6,0)</f>
        <v>0</v>
      </c>
      <c r="NZ44" s="156">
        <f>(SUMIF(LandEmiss!$CN$20:$CN$119,$FG44,LandEmiss!$CW$20:$CW$119)+SUMIF(LandEmiss!$EY$9:$EY$108,$FG44,LandEmiss!$FH$9:$FH$108))*IFERROR($QV$6,0)*(2000/8760)</f>
        <v>0</v>
      </c>
      <c r="OA44" s="155">
        <f>IF(Tank5!$D$22="No control",(SUMIF(Tank5!$E$32:$E$141,$FG44,Tank5!$H$32:$H$141)*(2000/8760)*IFERROR($QV$7,0)),0)</f>
        <v>0</v>
      </c>
      <c r="OB44" s="156">
        <f>SUMIF(LandEmiss!$AE$20:$AE$119,$FG44,LandEmiss!$AO$20:$AO$119)*(2000/8760)*IFERROR($QV$7,0)</f>
        <v>0</v>
      </c>
      <c r="OC44" s="156">
        <f>(SUMIF(LandEmiss!$CN$20:$CN$119,$FG44,LandEmiss!$CX$20:$CX$119)+SUMIF(LandEmiss!$EY$9:$EY$108,$FG44,LandEmiss!$FI$9:$FI$108))*IFERROR($QV$7,0)*(2000/8760)</f>
        <v>0</v>
      </c>
      <c r="OD44" s="155">
        <f>SUMIFS('Load-DrumTote'!$L$27:$L$136,'Load-DrumTote'!$F$27:$F$136,$FG44)*IFERROR($QV$8,0)*(2000/8760)</f>
        <v>0</v>
      </c>
      <c r="OE44" s="155">
        <f>SUMIFS('Load-Truck'!$L$27:$L$136,'Load-Truck'!$F$27:$F$136,$FG44)*IFERROR($QV$9,0)*(2000/8760)</f>
        <v>0</v>
      </c>
      <c r="OF44" s="155">
        <f>SUMIFS('Load-Rail'!$L$27:$L$136,'Load-Rail'!$F$27:$F$136,$FG44)*IFERROR($QV$10,0)*(2000/8760)</f>
        <v>0</v>
      </c>
      <c r="OG44" s="155">
        <f>SUMIFS('Load-MarineBarge'!$L$27:$L$136,'Load-MarineBarge'!$F$27:$F$136,$FG44)*IFERROR($QV$11,0)*(2000/8760)</f>
        <v>0</v>
      </c>
      <c r="OH44" s="155">
        <f>SUMIFS('Load-MarineShip'!$L$27:$L$136,'Load-MarineShip'!$F$27:$F$136,$FG44)*IFERROR($QV$12,0)*(2000/8760)</f>
        <v>0</v>
      </c>
      <c r="OI44" s="155">
        <f>(IF(OR(Flare!$D$24="FUEL GAS",Flare!$D$38="FUEL GAS"),SUMIF(Flare!$E$97:$E$106,$FG44,Flare!$G$97:$G$105),0)+SUMIF(Flare!$E$107:$E$216,$FG44,Flare!$G$107:$G$216))*(2000/8730)*IFERROR($QV$13,0)</f>
        <v>0</v>
      </c>
      <c r="OJ44" s="155">
        <f>SUMIF(LandEmiss!$A$335:$A$434,$FG44,LandEmiss!$C$335:$C$434)*(2000/8760)*IFERROR($QV$13,0)</f>
        <v>0</v>
      </c>
      <c r="OK44" s="155">
        <f>(SUMIF(LandEmiss!$BJ$335:$BJ$434,$FG44,LandEmiss!$BL$335:$BL$434)+SUMIF(LandEmiss!$DU$323:$DU$422,$FG44,LandEmiss!$DW$323:$DW$422))*(2000/8760)*IFERROR($QV$13,0)</f>
        <v>0</v>
      </c>
      <c r="OL44" s="155">
        <f>(IF(OR(VCU!$D$26="FUEL GAS",VCU!$D$42="FUEL GAS"),SUMIF(VCU!$E$120:$E$129,$FG44,VCU!$G$120:$G$129),0)+SUMIF(VCU!$E$130:$E$239,$FG44,VCU!G172:G281))*(2000/8760)*IFERROR($QV$14,0)</f>
        <v>0</v>
      </c>
      <c r="OM44" s="155">
        <f>SUMIF(LandEmiss!$A$335:$A$434,$FG44,LandEmiss!$E$335:$E$434)*(2000/8760)*IFERROR($QV$14,0)</f>
        <v>0</v>
      </c>
      <c r="ON44" s="155">
        <f>(SUMIF(LandEmiss!$BJ$335:$BJ$434,$FG44,LandEmiss!$BN$335:$BN$434)+SUMIF(LandEmiss!$DU$323:$DU$422,$FG44,LandEmiss!$DY$323:$DY$422))*(2000/8760)*IFERROR($QV$14,0)</f>
        <v>0</v>
      </c>
      <c r="OO44" s="155">
        <f>(IF(VaporOxidizer!$D$33="FUEL GAS",SUMIF(VaporOxidizer!$E$101:$E$110,$FG44,VaporOxidizer!$G$101:$G$110),0)+SUMIF(VaporOxidizer!$E$111:$E$220,$FG44,VaporOxidizer!$G$111:$G$220))*(2000/8760)*IFERROR($QV$15,0)</f>
        <v>0</v>
      </c>
      <c r="OP44" s="155">
        <f>SUMIF(LandEmiss!$A$335:$A$434,$FG44,LandEmiss!$G$335:$G$434)*(2000/8760)*IFERROR($QV$15,0)</f>
        <v>0</v>
      </c>
      <c r="OQ44" s="155">
        <f>(SUMIF(LandEmiss!$BJ$335:$BJ$434,$FG44,LandEmiss!$BP$335:$BP$434)+SUMIF(LandEmiss!$DU$323:$DU$422,$FG44,LandEmiss!$EA$323:$EA$422))*(2000/8760)*IFERROR($QV$15,0)</f>
        <v>0</v>
      </c>
      <c r="OR44" s="155">
        <f>SUMIF(CAS!$E$35:$E$144,Hidden!$FG44,CAS!$I$35:$I$144)*IFERROR($QV$16,0)*(2000/8760)</f>
        <v>0</v>
      </c>
      <c r="OS44" s="155">
        <f>SUMIF(LandEmiss!$A$335:$A$434,$FG44,LandEmiss!$I$335:$I$434)*(2000/8760)*IFERROR($QV$27,0)</f>
        <v>0</v>
      </c>
      <c r="OT44" s="155">
        <f>(SUMIF(LandEmiss!$BJ$335:$BJ$434,$FG44,LandEmiss!$BR$335:$BR$434)+SUMIF(LandEmiss!$DU$323:$DU$422,$FG44,LandEmiss!$EC$323:$EC$422))*(2000/8760)*IFERROR($QV$27,0)</f>
        <v>0</v>
      </c>
      <c r="OU44" s="155">
        <f>SUMIF(LandEmiss!$A$335:$A$434,$FG44,LandEmiss!$K$335:$K$434)*(2000/8760)*IFERROR($QV$26,0)</f>
        <v>0</v>
      </c>
      <c r="OV44" s="155">
        <f>(SUMIF(LandEmiss!$BJ$335:$BJ$434,$FG44,LandEmiss!$BT$335:$BT$434)+SUMIF(LandEmiss!$DU$323:$DU$422,$FG44,LandEmiss!$EE$323:$EE$422))*(2000/8760)*IFERROR($QV$26,0)</f>
        <v>0</v>
      </c>
      <c r="OW44" s="155">
        <f>SUMIF(LandEmiss!$A$335:$A$434,$FG44,LandEmiss!$M$335:$M$434)*(2000/8760)*IFERROR($QV$25,0)</f>
        <v>0</v>
      </c>
      <c r="OX44" s="155">
        <f>(SUMIF(LandEmiss!$BJ$335:$BJ$434,$FG44,LandEmiss!$BV$335:$BV$434)+SUMIF(LandEmiss!$DU$323:$DU$422,$FG44,LandEmiss!$EG$323:$EG$422))*(2000/8760)*IFERROR($QV$25,0)</f>
        <v>0</v>
      </c>
      <c r="OY44" s="8">
        <v>0</v>
      </c>
      <c r="OZ44" s="207">
        <v>0</v>
      </c>
      <c r="PA44" s="207">
        <f>IF(OR(HeaterBoiler1!$E$26&lt;&gt;"fuel gas",HeaterBoiler1!$E$15&lt;&gt;"heater"),0,(SUMIF(HeaterBoiler1!$A$54:$D$63,$FG44,HeaterBoiler1!$J$54:$J$63))*(2000/8760))*IFERROR($QV$19,0)</f>
        <v>0</v>
      </c>
      <c r="PB44" s="207">
        <f>IF(OR(HeaterBoiler2!$E$26&lt;&gt;"fuel gas",HeaterBoiler2!$E$15&lt;&gt;"heater"),0,(SUMIF(HeaterBoiler2!$A$54:$D$63,$FG44,HeaterBoiler2!$J$54:$J$63))*(2000/8760))*IFERROR($QV$21,0)</f>
        <v>0</v>
      </c>
      <c r="PC44" s="207">
        <f>IF(OR(HeaterBoiler1!$E$26&lt;&gt;"fuel gas",HeaterBoiler1!$E$15&lt;&gt;"boiler"),0,(SUMIF(HeaterBoiler1!$A$54:$D$63,$FG44,HeaterBoiler1!$J$54:$J$63))*(2000/8760))*IFERROR($QV$20,0)</f>
        <v>0</v>
      </c>
      <c r="PD44" s="207">
        <f>IF(OR(HeaterBoiler2!$E$26&lt;&gt;"fuel gas",HeaterBoiler2!$E$15&lt;&gt;"boiler"),0,(SUMIF(HeaterBoiler2!$A$54:$D$63,$FG44,HeaterBoiler2!$J$54:$J$63))*(2000/8760))*IFERROR($QV$22,0)</f>
        <v>0</v>
      </c>
      <c r="PE44" s="8">
        <f>(SUMIF(Fug!$A$96:$A$205,$FG44,Fug!$J$96:$J$205))*IFERROR($QV$23,0)*(2000/8760)</f>
        <v>0</v>
      </c>
      <c r="PF44" s="8">
        <f t="shared" si="31"/>
        <v>0</v>
      </c>
      <c r="PG44" s="156">
        <f t="shared" si="32"/>
        <v>0</v>
      </c>
      <c r="PJ44" s="52" t="str">
        <f>IF(Fug!$F$16=Hidden!$PP$2,"Sampling (hourly)","")</f>
        <v/>
      </c>
      <c r="PK44" s="52" t="str">
        <f>IF(Fug!$F$16=Hidden!$PP$2,"Water/Light Oil","")</f>
        <v/>
      </c>
      <c r="PL44" s="52"/>
      <c r="PM44" s="52"/>
      <c r="PN44" s="52"/>
      <c r="PO44" s="52"/>
      <c r="PP44" s="52">
        <v>3.3000000000000002E-2</v>
      </c>
      <c r="PQ44" s="52"/>
      <c r="PR44" s="52"/>
      <c r="PS44" s="52"/>
      <c r="PT44" s="52" t="s">
        <v>8794</v>
      </c>
      <c r="PU44" s="52" t="s">
        <v>8776</v>
      </c>
      <c r="PV44" s="52">
        <v>0</v>
      </c>
      <c r="PW44" s="52">
        <v>0</v>
      </c>
      <c r="PX44" s="52">
        <v>0</v>
      </c>
      <c r="PY44" s="52">
        <v>0</v>
      </c>
      <c r="PZ44" s="52">
        <v>0</v>
      </c>
      <c r="QA44" s="52">
        <v>0</v>
      </c>
      <c r="QB44" s="52"/>
      <c r="QC44" s="52"/>
      <c r="QD44" s="52"/>
      <c r="QE44" s="52"/>
      <c r="QF44" s="52"/>
      <c r="QG44" s="52"/>
      <c r="QH44" s="52"/>
      <c r="QI44" s="52"/>
      <c r="QX44" s="89" t="s">
        <v>9322</v>
      </c>
      <c r="QY44">
        <v>1.88</v>
      </c>
      <c r="QZ44">
        <v>1.88</v>
      </c>
      <c r="RA44">
        <v>1.88</v>
      </c>
      <c r="RB44">
        <v>1.88</v>
      </c>
      <c r="RC44">
        <v>1.88</v>
      </c>
      <c r="RD44">
        <v>1.88</v>
      </c>
      <c r="RE44">
        <v>1.88</v>
      </c>
      <c r="RF44">
        <v>1.82</v>
      </c>
      <c r="RG44" s="90">
        <v>1.46</v>
      </c>
      <c r="RH44" s="89" t="s">
        <v>9322</v>
      </c>
      <c r="RI44">
        <v>1.48</v>
      </c>
      <c r="RJ44">
        <v>1.48</v>
      </c>
      <c r="RK44">
        <v>1.48</v>
      </c>
      <c r="RL44">
        <v>1.48</v>
      </c>
      <c r="RM44">
        <v>1.48</v>
      </c>
      <c r="RN44">
        <v>1.48</v>
      </c>
      <c r="RO44">
        <v>1.48</v>
      </c>
      <c r="RP44">
        <v>1.48</v>
      </c>
      <c r="RQ44" s="90">
        <v>1.37</v>
      </c>
      <c r="RR44" s="89" t="s">
        <v>9322</v>
      </c>
      <c r="RS44">
        <v>0.94</v>
      </c>
      <c r="RT44">
        <v>0.94</v>
      </c>
      <c r="RU44">
        <v>0.94</v>
      </c>
      <c r="RV44">
        <v>0.94</v>
      </c>
      <c r="RW44">
        <v>0.94</v>
      </c>
      <c r="RX44">
        <v>0.94</v>
      </c>
      <c r="RY44">
        <v>0.94</v>
      </c>
      <c r="RZ44">
        <v>0.94</v>
      </c>
      <c r="SA44" s="90">
        <v>0.94</v>
      </c>
      <c r="SB44" s="89" t="s">
        <v>9322</v>
      </c>
      <c r="SC44">
        <v>0.54</v>
      </c>
      <c r="SD44">
        <v>0.54</v>
      </c>
      <c r="SE44">
        <v>0.54</v>
      </c>
      <c r="SF44">
        <v>0.54</v>
      </c>
      <c r="SG44">
        <v>0.54</v>
      </c>
      <c r="SH44">
        <v>0.54</v>
      </c>
      <c r="SI44">
        <v>0.54</v>
      </c>
      <c r="SJ44">
        <v>0.54</v>
      </c>
      <c r="SK44" s="90">
        <v>0.54</v>
      </c>
      <c r="SL44" s="89" t="s">
        <v>9322</v>
      </c>
      <c r="SM44">
        <v>0.06</v>
      </c>
      <c r="SN44">
        <v>0.06</v>
      </c>
      <c r="SO44">
        <v>0.06</v>
      </c>
      <c r="SP44">
        <v>0.06</v>
      </c>
      <c r="SQ44">
        <v>0.06</v>
      </c>
      <c r="SR44">
        <v>0.06</v>
      </c>
      <c r="SS44">
        <v>0.06</v>
      </c>
      <c r="ST44">
        <v>0.06</v>
      </c>
      <c r="SU44" s="90">
        <v>0.06</v>
      </c>
    </row>
    <row r="45" spans="1:533" ht="74.25" customHeight="1" x14ac:dyDescent="0.2">
      <c r="A45" s="8" t="s">
        <v>222</v>
      </c>
      <c r="B45" s="8">
        <v>10</v>
      </c>
      <c r="W45">
        <f>IF(OR(X45=0,ISNUMBER(MATCH(X45,$X$1:X44,0))),0,MAX($W$1:W44)+1)</f>
        <v>0</v>
      </c>
      <c r="X45" s="123">
        <f>Products!$E92</f>
        <v>0</v>
      </c>
      <c r="Y45" t="str">
        <f t="shared" si="39"/>
        <v/>
      </c>
      <c r="CA45">
        <f>IF(OR(CB45=0,ISNUMBER(MATCH(CB45,$CB$1:CB44,0))),0,MAX($CA$1:CA44)+1)</f>
        <v>0</v>
      </c>
      <c r="CB45" s="8">
        <f>IF(OR(Tank1!$D$18="EXTERNAL FLOATING ROOF",Tank1!$D$18="INTERNAL FLOATING ROOF"),IF(Tank1!$E75="",0,Tank1!$E75),0)</f>
        <v>0</v>
      </c>
      <c r="CC45" s="8" t="str">
        <f t="shared" si="40"/>
        <v/>
      </c>
      <c r="CD45" s="8"/>
      <c r="CE45" s="8">
        <f>IF(OR(CF45=0,ISNUMBER(MATCH(CF45,$CF$1:CF44,0))),0,MAX($CE$1:CE44)+1)</f>
        <v>0</v>
      </c>
      <c r="CF45" s="8">
        <f>IF(OR(Tank1!$D$18="HORIZONTAL FIXED ROOF",Tank1!$D$18="VERTICAL FIXED ROOF"),IF(Tank1!$E75="",0,Tank1!$E75),0)</f>
        <v>0</v>
      </c>
      <c r="CG45" s="8" t="str">
        <f t="shared" si="41"/>
        <v/>
      </c>
      <c r="CJ45">
        <f>IF(OR(CK45=0,ISNUMBER(MATCH(CK45,$CK$1:CK44,0))),0,MAX($CJ$1:CJ44)+1)</f>
        <v>0</v>
      </c>
      <c r="CK45">
        <f>Tank5!$A$65</f>
        <v>0</v>
      </c>
      <c r="CM45">
        <f>IFERROR(VLOOKUP($CK45,Tank5!$A$32:$D$141,3,FALSE),0)</f>
        <v>0</v>
      </c>
      <c r="CN45">
        <f>IFERROR(VLOOKUP($CK45,Tank5!$A$32:$D$141,4,FALSE),0)</f>
        <v>0</v>
      </c>
      <c r="DM45">
        <f>IF(OR(DN45=0,ISNUMBER(MATCH(DN45,$DN$1:DN44,0))),0,MAX($DM$1:DM44)+1)</f>
        <v>0</v>
      </c>
      <c r="DN45">
        <f>IF(Tank5!$D$22="Flare",IFERROR(VLOOKUP(Products!$A$89,Tank5!$A$32:$B$141,1,FALSE),0),0)</f>
        <v>0</v>
      </c>
      <c r="DO45">
        <f>IF($DN45=0,0,VLOOKUP($DN45,Tank5!$A$32:$H$141,7,FALSE))</f>
        <v>0</v>
      </c>
      <c r="DP45">
        <f>IF($DN45=0,0,VLOOKUP($DN45,Tank5!$A$32:$H$141,8,FALSE))</f>
        <v>0</v>
      </c>
      <c r="DU45">
        <f>IF(OR(DV45=0,ISNUMBER(MATCH(DV45,$DV$1:DV44,0))),0,MAX($DU$1:DU44)+1)</f>
        <v>0</v>
      </c>
      <c r="DV45">
        <f>IF(Tank5!$D$22="VCU",IFERROR(VLOOKUP(Products!$A$89,Tank5!$A$32:$B$141,1,FALSE),0),0)</f>
        <v>0</v>
      </c>
      <c r="DW45">
        <f>IF($DV45=0,0,VLOOKUP($DV45,Tank5!$A$32:$H$141,7,FALSE))</f>
        <v>0</v>
      </c>
      <c r="DX45">
        <f>IF($DV45=0,0,VLOOKUP($DV45,Tank5!$A$32:$H$141,8,FALSE))</f>
        <v>0</v>
      </c>
      <c r="EC45">
        <f>IF(OR(ED45=0,ISNUMBER(MATCH(ED45,$ED$1:ED44,0))),0,MAX($EC$1:EC44)+1)</f>
        <v>0</v>
      </c>
      <c r="ED45">
        <f>IF(Tank5!$D$22="vapor oxidizer",IFERROR(VLOOKUP(Products!$A$89,Tank5!$A$32:$B$141,1,FALSE),0),0)</f>
        <v>0</v>
      </c>
      <c r="EE45">
        <f>IF($ED45=0,0,VLOOKUP($ED45,Tank5!$A$32:$H$141,7,FALSE))</f>
        <v>0</v>
      </c>
      <c r="EF45">
        <f>IF($ED45=0,0,VLOOKUP($ED45,Tank5!$A$32:$H$141,8,FALSE))</f>
        <v>0</v>
      </c>
      <c r="EK45">
        <f>IF(OR(EL45=0,ISNUMBER(MATCH(EL45,$EL$1:EL44,0))),0,MAX($EK$1:EK44)+1)</f>
        <v>0</v>
      </c>
      <c r="EL45">
        <f>IF(Tank5!$D$22="CAS",IFERROR(VLOOKUP(Products!A89,Tank5!$A$32:$B$141,1,FALSE),0),0)</f>
        <v>0</v>
      </c>
      <c r="EM45">
        <f>IF($EL45=0,0,VLOOKUP($EL45,Tank5!$A$32:$H$141,7,FALSE))</f>
        <v>0</v>
      </c>
      <c r="EN45">
        <f>IF($EL45=0,0,VLOOKUP($EL45,Tank5!$A$32:$H$141,8,FALSE))</f>
        <v>0</v>
      </c>
      <c r="FB45" s="8" t="s">
        <v>443</v>
      </c>
      <c r="FC45" s="8" t="s">
        <v>444</v>
      </c>
      <c r="FD45" s="8">
        <v>3400</v>
      </c>
      <c r="FE45" s="8">
        <v>340</v>
      </c>
      <c r="FG45" s="360" t="str">
        <f t="shared" si="23"/>
        <v/>
      </c>
      <c r="FH45" s="155">
        <f>IF(Tank1!$D$22="NO CONTROL",_xlfn.MAXIFS(Tank1!$G$32:$G$141,Tank1!$E$32:$E$141,$FG45),0)*IFERROR($QR$3,0)</f>
        <v>0</v>
      </c>
      <c r="FI45" s="155">
        <f>_xlfn.MAXIFS(LandEmiss!$AF$20:$AF$119,LandEmiss!$AE$20:$AE$119,$FG45)*IFERROR($QR$3,0)</f>
        <v>0</v>
      </c>
      <c r="FJ45" s="155">
        <f>MAX(_xlfn.MAXIFS(LandEmiss!$CO$20:$CO$119,LandEmiss!$CN$20:$CN$119,$FG45),_xlfn.MAXIFS(LandEmiss!$EZ$9:$EZ$108,LandEmiss!$EY$9:$EY$108,$FG45))*IFERROR($QR$3,0)</f>
        <v>0</v>
      </c>
      <c r="FK45" s="155">
        <f>IF(Tank2!$D$22="NO CONTROL",_xlfn.MAXIFS(Tank2!$G$32:$G$141,Tank2!$E$32:$E$141,$FG45),0)*IFERROR($QR$4,0)</f>
        <v>0</v>
      </c>
      <c r="FL45" s="155">
        <f>_xlfn.MAXIFS(LandEmiss!$AG$20:$AG$119,LandEmiss!$AE$20:$AE$119,$FG45)*IFERROR($QR$4,0)</f>
        <v>0</v>
      </c>
      <c r="FM45" s="155">
        <f>MAX(_xlfn.MAXIFS(LandEmiss!$CP$20:$CP$119,LandEmiss!$CN$20:$CN$119,$FG45),_xlfn.MAXIFS(LandEmiss!$FA$9:$FA$108,LandEmiss!$EY$9:$EY$108,$FG45))*IFERROR($QR$4,0)</f>
        <v>0</v>
      </c>
      <c r="FN45" s="155">
        <f>IF(Tank3!$D$22="NO CONTROL",_xlfn.MAXIFS(Tank3!$G$32:$G$141,Tank3!$E$32:$E$141,$FG45),0)*IFERROR($QR$5,0)</f>
        <v>0</v>
      </c>
      <c r="FO45" s="155">
        <f>_xlfn.MAXIFS(LandEmiss!$AH$20:$AH$119,LandEmiss!$AE$20:$AE$119,$FG45)*IFERROR($QR$5,0)</f>
        <v>0</v>
      </c>
      <c r="FP45" s="155">
        <f>MAX(_xlfn.MAXIFS(LandEmiss!$CQ$20:$CQ$119,LandEmiss!$CN$20:$CN$119,$FG45),_xlfn.MAXIFS(LandEmiss!$FB$9:$FB$108,LandEmiss!$EY$9:$EY$108,$FG45))*IFERROR($QR$5,0)</f>
        <v>0</v>
      </c>
      <c r="FQ45" s="155">
        <f>IF(Tank4!$D$22="NO CONTROL",_xlfn.MAXIFS(Tank4!$G$32:$G$141,Tank4!$E$32:$E$141,$FG45),0)*IFERROR($QR$6,0)</f>
        <v>0</v>
      </c>
      <c r="FR45" s="155">
        <f>_xlfn.MAXIFS(LandEmiss!$AI$20:$AI$119,LandEmiss!$AE$20:$AE$119,$FG45)*IFERROR($QR$6,0)</f>
        <v>0</v>
      </c>
      <c r="FS45" s="155">
        <f>MAX(_xlfn.MAXIFS(LandEmiss!$CR$20:$CR$119,LandEmiss!$CN$20:$CN$119,$FG45),_xlfn.MAXIFS(LandEmiss!$FC$9:$FC$108,LandEmiss!$EY$9:$EY$108,$FG45))*IFERROR($QR$6,0)</f>
        <v>0</v>
      </c>
      <c r="FT45" s="155">
        <f>IF(Tank5!$D$22="NO CONTROL",_xlfn.MAXIFS(Tank5!$G$32:$G$141,Tank5!$E$32:$E$141,$FG45),0)*IFERROR($QR$7,0)</f>
        <v>0</v>
      </c>
      <c r="FU45" s="155">
        <f>_xlfn.MAXIFS(LandEmiss!$AJ$20:$AJ$119,LandEmiss!$AE$20:$AE$119,$FG45)*IFERROR($QR$7,0)</f>
        <v>0</v>
      </c>
      <c r="FV45" s="155">
        <f>MAX(_xlfn.MAXIFS(LandEmiss!$CS$20:$CS$119,LandEmiss!$CN$20:$CN$119,$FG45),_xlfn.MAXIFS(LandEmiss!$FD$9:$FD$108,LandEmiss!$EY$9:$EY$108,$FG45))*IFERROR($QR50,0)</f>
        <v>0</v>
      </c>
      <c r="FW45" s="155">
        <f>_xlfn.MAXIFS('Load-DrumTote'!$K$27:$K$136,'Load-DrumTote'!$F$27:$F$136,$FG45)*IFERROR($QR$8,0)</f>
        <v>0</v>
      </c>
      <c r="FX45" s="155">
        <f>_xlfn.MAXIFS('Load-Truck'!$K$27:$K$136,'Load-Truck'!$F$27:$F$136,$FG45)*IFERROR($QR$9,0)</f>
        <v>0</v>
      </c>
      <c r="FY45" s="155">
        <f>_xlfn.MAXIFS('Load-Rail'!$K$27:$K$136,'Load-Rail'!$F$27:$F$136,$FG45)*IFERROR($QR$10,0)</f>
        <v>0</v>
      </c>
      <c r="FZ45" s="155">
        <f>_xlfn.MAXIFS('Load-MarineBarge'!$K$27:$K$136,'Load-MarineBarge'!$F$27:$F$136,$FG45)*IFERROR($QR$11,0)</f>
        <v>0</v>
      </c>
      <c r="GA45" s="155">
        <f>_xlfn.MAXIFS('Load-MarineShip'!$K$27:$K$136,'Load-MarineShip'!$F$27:$F$136,$FG45)*IFERROR($QR$12,0)</f>
        <v>0</v>
      </c>
      <c r="GB45" s="313">
        <f>IF(OR(Flare!$D$24="fuel gas",Flare!$D$38="fuel gas"),SUMIF(Flare!$E$97:$E$106,$FG45,Flare!$F$97:$F$106),0)*IFERROR($QR$13,0)</f>
        <v>0</v>
      </c>
      <c r="GC45" s="313">
        <f>(_xlfn.MAXIFS(CtrlDevImpacts!$I$57:$I$156,CtrlDevImpacts!$H$57:$H$156,$FG45))*IFERROR($QR$13,0)</f>
        <v>0</v>
      </c>
      <c r="GD45" s="313">
        <f>(_xlfn.MAXIFS(Flare!$F$107:$F$216,Flare!$E$107:$E$216,$FG45)-_xlfn.MAXIFS(CtrlDevImpacts!$I$57:$I$156,CtrlDevImpacts!$H$57:$H$156,$FG45))*IFERROR($QR$13,0)</f>
        <v>0</v>
      </c>
      <c r="GE45" s="155">
        <f>_xlfn.MAXIFS(LandEmiss!$B$335:$B$434,LandEmiss!$A$335:$A$434,$FG45)*IFERROR($QR$13,0)</f>
        <v>0</v>
      </c>
      <c r="GF45" s="155">
        <f>(_xlfn.MAXIFS(LandEmiss!$BK$335:$BK$434,LandEmiss!$BJ$335:$BJ$434,$FG45)+_xlfn.MAXIFS(LandEmiss!$DV$323:$DV$422,LandEmiss!$DU$323:$DU$422,$FG45))*IFERROR($QR$13,0)</f>
        <v>0</v>
      </c>
      <c r="GG45" s="313">
        <f>IF(OR(VCU!$D$26="fuel gas",VCU!$D$42="fuel gas"),SUMIF(VCU!$E$120:$E$129,$FG45,VCU!$F$120:$F$129),0)*IFERROR($QR$14,0)</f>
        <v>0</v>
      </c>
      <c r="GH45" s="313">
        <f>(_xlfn.MAXIFS(CtrlDevImpacts!$X$57:$X$156,CtrlDevImpacts!$W$57:$W$156,$FG45))*IFERROR($QR$14,0)</f>
        <v>0</v>
      </c>
      <c r="GI45" s="313">
        <f>(_xlfn.MAXIFS(VCU!$F$130:$F$239,VCU!$E$130:$E$239,$FG45)-_xlfn.MAXIFS(CtrlDevImpacts!$X$57:$X$156,CtrlDevImpacts!$W$57:$W$156,$FG45))*IFERROR($QR$14,0)</f>
        <v>0</v>
      </c>
      <c r="GJ45" s="155">
        <f>_xlfn.MAXIFS(LandEmiss!$D$335:$D$434,LandEmiss!$A$335:$A$434,$FG45)*IFERROR($QR$14,0)</f>
        <v>0</v>
      </c>
      <c r="GK45" s="155">
        <f>(_xlfn.MAXIFS(LandEmiss!$BM$335:$BM$434,LandEmiss!$BJ$335:$BJ$434,$FG45)+_xlfn.MAXIFS(LandEmiss!$DX$323:$DX$422,LandEmiss!$DU$323:$DU$422,$FG45))*IFERROR($QR$14,0)</f>
        <v>0</v>
      </c>
      <c r="GL45" s="313">
        <f>IF(VaporOxidizer!D76="FUEL GAS",SUMIF(VaporOxidizer!$E$101:$E$110,$FG45,VaporOxidizer!$F$101:$F$110),0)*IFERROR($QR$15,0)</f>
        <v>0</v>
      </c>
      <c r="GM45" s="313">
        <f>(_xlfn.MAXIFS(CtrlDevImpacts!$AN$57:$AN$156,CtrlDevImpacts!$AM$57:$AM$156,$FG45))*IFERROR($QR$15,0)</f>
        <v>0</v>
      </c>
      <c r="GN45" s="313">
        <f>(_xlfn.MAXIFS(VaporOxidizer!$F$111:$F$220,VaporOxidizer!$E$111:$E$220,$FG45)-_xlfn.MAXIFS(CtrlDevImpacts!$AN$57:$AN$156,CtrlDevImpacts!$AM$57:$AM$156,$FG45))*IFERROR($QR$15,0)</f>
        <v>0</v>
      </c>
      <c r="GO45" s="155">
        <f>_xlfn.MAXIFS(LandEmiss!$F$335:$F$434,LandEmiss!$A$335:$A$434,$FG45)*IFERROR($QR$15,0)</f>
        <v>0</v>
      </c>
      <c r="GP45" s="155">
        <f>(_xlfn.MAXIFS(LandEmiss!$BK$335:$BK$434,LandEmiss!$BO$335:$BO$434,$FG45)+_xlfn.MAXIFS(LandEmiss!$DZ$323:$DZ$422,LandEmiss!$DU$323:$DU$422,$FG45))*IFERROR($QR$15,0)</f>
        <v>0</v>
      </c>
      <c r="GQ45" s="313">
        <f>_xlfn.MAXIFS(CtrlDevImpacts!$BD$57:$BD$156,CtrlDevImpacts!$BC$57:$BC$156,$FG45)*IFERROR(Hidden!$QR$16,0)</f>
        <v>0</v>
      </c>
      <c r="GR45" s="313">
        <f>(_xlfn.MAXIFS(CAS!$H$35:$H$144,CAS!$E$35:$E$144,$FG45)-_xlfn.MAXIFS(CtrlDevImpacts!$BD$57:$BD$156,CtrlDevImpacts!$BC$57:$BC$156,$FG45))*IFERROR(Hidden!$QR$16,0)</f>
        <v>0</v>
      </c>
      <c r="GS45" s="155">
        <f>_xlfn.MAXIFS(LandEmiss!$H$335:$H$434,LandEmiss!$A$335:$A$434,$FG45)*IFERROR($QR$27,0)</f>
        <v>0</v>
      </c>
      <c r="GT45" s="155">
        <f>(_xlfn.MAXIFS(LandEmiss!$BK$335:$BK$434,LandEmiss!$BQ$335:$BQ$434,$FG45)+_xlfn.MAXIFS(LandEmiss!$EB$323:$EB$422,LandEmiss!$DU$323:$DU$422,$FG45))*IFERROR($QR$27,0)</f>
        <v>0</v>
      </c>
      <c r="GU45" s="155">
        <f>_xlfn.MAXIFS(LandEmiss!$J$335:$J$434,LandEmiss!$A$335:$A$434,$FG45)*IFERROR($QR$26,0)</f>
        <v>0</v>
      </c>
      <c r="GV45" s="155">
        <f>(_xlfn.MAXIFS(LandEmiss!$BK$335:$BK$434,LandEmiss!$BS$335:$BS$434,$FG45)+_xlfn.MAXIFS(LandEmiss!$ED$323:$ED$422,LandEmiss!$DU$323:$DU$422,$FG45))*IFERROR($QR$26,0)</f>
        <v>0</v>
      </c>
      <c r="GW45" s="155">
        <f>_xlfn.MAXIFS(LandEmiss!$L$335:$L$434,LandEmiss!$A$335:$A$434,$FG45)*IFERROR($QR$25,0)</f>
        <v>0</v>
      </c>
      <c r="GX45" s="155">
        <f>(_xlfn.MAXIFS(LandEmiss!$BK$335:$BK$434,LandEmiss!$BU$335:$BU$434,$FG45)+_xlfn.MAXIFS(LandEmiss!$EF$323:$EF$422,LandEmiss!$DU$323:$DU$422,$FG45))*IFERROR($QR$25,0)</f>
        <v>0</v>
      </c>
      <c r="GY45" s="155">
        <v>0</v>
      </c>
      <c r="GZ45" s="155">
        <v>0</v>
      </c>
      <c r="HA45" s="155">
        <f>IF(OR(HeaterBoiler1!$E$26&lt;&gt;"fuel gas",HeaterBoiler1!$E$15&lt;&gt;"heater"),0,SUMIF(HeaterBoiler1!$A$54:$D$63,$FG45,HeaterBoiler1!$I$54:$I$63))*IFERROR($QR$19,0)</f>
        <v>0</v>
      </c>
      <c r="HB45" s="207">
        <f>IF(OR(HeaterBoiler2!$E$26&lt;&gt;"fuel gas",HeaterBoiler2!$E$15&lt;&gt;"heater"),0,SUMIF(HeaterBoiler2!$A$54:$D$63,$FG45,HeaterBoiler2!$I$54:$I$63))*IFERROR($QR$21,0)</f>
        <v>0</v>
      </c>
      <c r="HC45" s="155">
        <f>IF(OR(HeaterBoiler1!$E$26&lt;&gt;"fuel gas",HeaterBoiler1!$E$15&lt;&gt;"boiler"),0,SUMIF(HeaterBoiler1!$A$41:$A$50,$FG45,HeaterBoiler1!$F$41:$F$50))*IFERROR($QR$20,0)</f>
        <v>0</v>
      </c>
      <c r="HD45" s="207">
        <f>IF(OR(HeaterBoiler2!$E$26&lt;&gt;"fuel gas",HeaterBoiler2!$E$15&lt;&gt;"boiler"),0,SUMIF(HeaterBoiler2!$A$41:$A$50,$FG45,HeaterBoiler2!$F$41:$F$50))*IFERROR($QR$22,0)</f>
        <v>0</v>
      </c>
      <c r="HE45" s="155">
        <f>SUMIF(Fug!$A$96:$A$205,$FG45,Fug!$I$96:$I$205)*IFERROR(Hidden!$QR$23,0)</f>
        <v>0</v>
      </c>
      <c r="HF45" s="155">
        <f t="shared" si="24"/>
        <v>0</v>
      </c>
      <c r="HG45" s="156">
        <f t="shared" si="25"/>
        <v>0</v>
      </c>
      <c r="HH45" s="156">
        <f t="shared" si="26"/>
        <v>0</v>
      </c>
      <c r="HI45" s="156">
        <f t="shared" si="27"/>
        <v>0</v>
      </c>
      <c r="HJ45" s="156">
        <f t="shared" si="28"/>
        <v>0</v>
      </c>
      <c r="HK45" s="156">
        <f t="shared" si="29"/>
        <v>0</v>
      </c>
      <c r="HL45" s="156">
        <f t="shared" si="30"/>
        <v>0</v>
      </c>
      <c r="NO45" s="155">
        <f>IF(Tank1!$D$22="No control",(SUMIF(Tank1!$E$32:$E$141,$FG45,Tank1!$H$32:$H$141)*(2000/8760)*IFERROR($QV$3,0)),0)</f>
        <v>0</v>
      </c>
      <c r="NP45" s="156">
        <f>SUMIF(LandEmiss!$AE$20:$AE$119,$FG45,LandEmiss!$AK$20:$AK$119)*(2000/8760)*IFERROR($QV$3,0)</f>
        <v>0</v>
      </c>
      <c r="NQ45" s="156">
        <f>(SUMIF(LandEmiss!$CN$20:$CN$119,$FG45,LandEmiss!$CT$20:$CT$119)+SUMIF(LandEmiss!$EY$9:$EY$108,$FG45,LandEmiss!$FE$9:$FE$108))*IFERROR($QV$3,0)*(2000/8760)</f>
        <v>0</v>
      </c>
      <c r="NR45" s="155">
        <f>IF(Tank2!$D$22="No control",(SUMIF(Tank2!$E$32:$E$141,$FG45,Tank2!$H$32:$H$141)*(2000/8760)*IFERROR($QV$4,0)),0)</f>
        <v>0</v>
      </c>
      <c r="NS45" s="156">
        <f>SUMIF(LandEmiss!$AE$20:$AE$119,$FG45,LandEmiss!$AL$20:$AL$119)*(2000/8760)*IFERROR($QV$4,0)</f>
        <v>0</v>
      </c>
      <c r="NT45" s="156">
        <f>(SUMIF(LandEmiss!$CN$20:$CN$119,$FG45,LandEmiss!$CU$20:$CU$119)+SUMIF(LandEmiss!$EY$9:$EY$108,$FG45,LandEmiss!$FF$9:$FF$108))*IFERROR($QV$4,0)*(2000/8760)</f>
        <v>0</v>
      </c>
      <c r="NU45" s="155">
        <f>IF(Tank3!$D$22="No control",(SUMIF(Tank3!$E$32:$E$141,$FG45,Tank3!$H$32:$H$141)*(2000/8760)*IFERROR($QV$5,0)),0)</f>
        <v>0</v>
      </c>
      <c r="NV45" s="156">
        <f>SUMIF(LandEmiss!$AE$20:$AE$119,$FG45,LandEmiss!$AM$20:$AM$119)*(2000/8760)*IFERROR($QV$5,0)</f>
        <v>0</v>
      </c>
      <c r="NW45" s="156">
        <f>(SUMIF(LandEmiss!$CN$20:$CN$119,$FG45,LandEmiss!$CV$20:$CV$119)+SUMIF(LandEmiss!$EY$9:$EY$108,$FG45,LandEmiss!$FG$9:$FG$108))*IFERROR($QV$5,0)*(2000/8760)</f>
        <v>0</v>
      </c>
      <c r="NX45" s="155">
        <f>IF(Tank4!$D$22="No control",(SUMIF(Tank4!$E$32:$E$141,$FG45,Tank4!$H$32:$H$141)*(2000/8760)*IFERROR($QV$6,0)),0)</f>
        <v>0</v>
      </c>
      <c r="NY45" s="156">
        <f>SUMIF(LandEmiss!$AE$20:$AE$119,$FG45,LandEmiss!$AN$20:$AN$119)*(2000/8760)*IFERROR($QV$6,0)</f>
        <v>0</v>
      </c>
      <c r="NZ45" s="156">
        <f>(SUMIF(LandEmiss!$CN$20:$CN$119,$FG45,LandEmiss!$CW$20:$CW$119)+SUMIF(LandEmiss!$EY$9:$EY$108,$FG45,LandEmiss!$FH$9:$FH$108))*IFERROR($QV$6,0)*(2000/8760)</f>
        <v>0</v>
      </c>
      <c r="OA45" s="155">
        <f>IF(Tank5!$D$22="No control",(SUMIF(Tank5!$E$32:$E$141,$FG45,Tank5!$H$32:$H$141)*(2000/8760)*IFERROR($QV$7,0)),0)</f>
        <v>0</v>
      </c>
      <c r="OB45" s="156">
        <f>SUMIF(LandEmiss!$AE$20:$AE$119,$FG45,LandEmiss!$AO$20:$AO$119)*(2000/8760)*IFERROR($QV$7,0)</f>
        <v>0</v>
      </c>
      <c r="OC45" s="156">
        <f>(SUMIF(LandEmiss!$CN$20:$CN$119,$FG45,LandEmiss!$CX$20:$CX$119)+SUMIF(LandEmiss!$EY$9:$EY$108,$FG45,LandEmiss!$FI$9:$FI$108))*IFERROR($QV$7,0)*(2000/8760)</f>
        <v>0</v>
      </c>
      <c r="OD45" s="155">
        <f>SUMIFS('Load-DrumTote'!$L$27:$L$136,'Load-DrumTote'!$F$27:$F$136,$FG45)*IFERROR($QV$8,0)*(2000/8760)</f>
        <v>0</v>
      </c>
      <c r="OE45" s="155">
        <f>SUMIFS('Load-Truck'!$L$27:$L$136,'Load-Truck'!$F$27:$F$136,$FG45)*IFERROR($QV$9,0)*(2000/8760)</f>
        <v>0</v>
      </c>
      <c r="OF45" s="155">
        <f>SUMIFS('Load-Rail'!$L$27:$L$136,'Load-Rail'!$F$27:$F$136,$FG45)*IFERROR($QV$10,0)*(2000/8760)</f>
        <v>0</v>
      </c>
      <c r="OG45" s="155">
        <f>SUMIFS('Load-MarineBarge'!$L$27:$L$136,'Load-MarineBarge'!$F$27:$F$136,$FG45)*IFERROR($QV$11,0)*(2000/8760)</f>
        <v>0</v>
      </c>
      <c r="OH45" s="155">
        <f>SUMIFS('Load-MarineShip'!$L$27:$L$136,'Load-MarineShip'!$F$27:$F$136,$FG45)*IFERROR($QV$12,0)*(2000/8760)</f>
        <v>0</v>
      </c>
      <c r="OI45" s="155">
        <f>(IF(OR(Flare!$D$24="FUEL GAS",Flare!$D$38="FUEL GAS"),SUMIF(Flare!$E$97:$E$106,$FG45,Flare!$G$97:$G$105),0)+SUMIF(Flare!$E$107:$E$216,$FG45,Flare!$G$107:$G$216))*(2000/8730)*IFERROR($QV$13,0)</f>
        <v>0</v>
      </c>
      <c r="OJ45" s="155">
        <f>SUMIF(LandEmiss!$A$335:$A$434,$FG45,LandEmiss!$C$335:$C$434)*(2000/8760)*IFERROR($QV$13,0)</f>
        <v>0</v>
      </c>
      <c r="OK45" s="155">
        <f>(SUMIF(LandEmiss!$BJ$335:$BJ$434,$FG45,LandEmiss!$BL$335:$BL$434)+SUMIF(LandEmiss!$DU$323:$DU$422,$FG45,LandEmiss!$DW$323:$DW$422))*(2000/8760)*IFERROR($QV$13,0)</f>
        <v>0</v>
      </c>
      <c r="OL45" s="155">
        <f>(IF(OR(VCU!$D$26="FUEL GAS",VCU!$D$42="FUEL GAS"),SUMIF(VCU!$E$120:$E$129,$FG45,VCU!$G$120:$G$129),0)+SUMIF(VCU!$E$130:$E$239,$FG45,VCU!G173:G282))*(2000/8760)*IFERROR($QV$14,0)</f>
        <v>0</v>
      </c>
      <c r="OM45" s="155">
        <f>SUMIF(LandEmiss!$A$335:$A$434,$FG45,LandEmiss!$E$335:$E$434)*(2000/8760)*IFERROR($QV$14,0)</f>
        <v>0</v>
      </c>
      <c r="ON45" s="155">
        <f>(SUMIF(LandEmiss!$BJ$335:$BJ$434,$FG45,LandEmiss!$BN$335:$BN$434)+SUMIF(LandEmiss!$DU$323:$DU$422,$FG45,LandEmiss!$DY$323:$DY$422))*(2000/8760)*IFERROR($QV$14,0)</f>
        <v>0</v>
      </c>
      <c r="OO45" s="155">
        <f>(IF(VaporOxidizer!$D$33="FUEL GAS",SUMIF(VaporOxidizer!$E$101:$E$110,$FG45,VaporOxidizer!$G$101:$G$110),0)+SUMIF(VaporOxidizer!$E$111:$E$220,$FG45,VaporOxidizer!$G$111:$G$220))*(2000/8760)*IFERROR($QV$15,0)</f>
        <v>0</v>
      </c>
      <c r="OP45" s="155">
        <f>SUMIF(LandEmiss!$A$335:$A$434,$FG45,LandEmiss!$G$335:$G$434)*(2000/8760)*IFERROR($QV$15,0)</f>
        <v>0</v>
      </c>
      <c r="OQ45" s="155">
        <f>(SUMIF(LandEmiss!$BJ$335:$BJ$434,$FG45,LandEmiss!$BP$335:$BP$434)+SUMIF(LandEmiss!$DU$323:$DU$422,$FG45,LandEmiss!$EA$323:$EA$422))*(2000/8760)*IFERROR($QV$15,0)</f>
        <v>0</v>
      </c>
      <c r="OR45" s="155">
        <f>SUMIF(CAS!$E$35:$E$144,Hidden!$FG45,CAS!$I$35:$I$144)*IFERROR($QV$16,0)*(2000/8760)</f>
        <v>0</v>
      </c>
      <c r="OS45" s="155">
        <f>SUMIF(LandEmiss!$A$335:$A$434,$FG45,LandEmiss!$I$335:$I$434)*(2000/8760)*IFERROR($QV$27,0)</f>
        <v>0</v>
      </c>
      <c r="OT45" s="155">
        <f>(SUMIF(LandEmiss!$BJ$335:$BJ$434,$FG45,LandEmiss!$BR$335:$BR$434)+SUMIF(LandEmiss!$DU$323:$DU$422,$FG45,LandEmiss!$EC$323:$EC$422))*(2000/8760)*IFERROR($QV$27,0)</f>
        <v>0</v>
      </c>
      <c r="OU45" s="155">
        <f>SUMIF(LandEmiss!$A$335:$A$434,$FG45,LandEmiss!$K$335:$K$434)*(2000/8760)*IFERROR($QV$26,0)</f>
        <v>0</v>
      </c>
      <c r="OV45" s="155">
        <f>(SUMIF(LandEmiss!$BJ$335:$BJ$434,$FG45,LandEmiss!$BT$335:$BT$434)+SUMIF(LandEmiss!$DU$323:$DU$422,$FG45,LandEmiss!$EE$323:$EE$422))*(2000/8760)*IFERROR($QV$26,0)</f>
        <v>0</v>
      </c>
      <c r="OW45" s="155">
        <f>SUMIF(LandEmiss!$A$335:$A$434,$FG45,LandEmiss!$M$335:$M$434)*(2000/8760)*IFERROR($QV$25,0)</f>
        <v>0</v>
      </c>
      <c r="OX45" s="155">
        <f>(SUMIF(LandEmiss!$BJ$335:$BJ$434,$FG45,LandEmiss!$BV$335:$BV$434)+SUMIF(LandEmiss!$DU$323:$DU$422,$FG45,LandEmiss!$EG$323:$EG$422))*(2000/8760)*IFERROR($QV$25,0)</f>
        <v>0</v>
      </c>
      <c r="OY45" s="8">
        <v>0</v>
      </c>
      <c r="OZ45" s="207">
        <v>0</v>
      </c>
      <c r="PA45" s="207">
        <f>IF(OR(HeaterBoiler1!$E$26&lt;&gt;"fuel gas",HeaterBoiler1!$E$15&lt;&gt;"heater"),0,(SUMIF(HeaterBoiler1!$A$54:$D$63,$FG45,HeaterBoiler1!$J$54:$J$63))*(2000/8760))*IFERROR($QV$19,0)</f>
        <v>0</v>
      </c>
      <c r="PB45" s="207">
        <f>IF(OR(HeaterBoiler2!$E$26&lt;&gt;"fuel gas",HeaterBoiler2!$E$15&lt;&gt;"heater"),0,(SUMIF(HeaterBoiler2!$A$54:$D$63,$FG45,HeaterBoiler2!$J$54:$J$63))*(2000/8760))*IFERROR($QV$21,0)</f>
        <v>0</v>
      </c>
      <c r="PC45" s="207">
        <f>IF(OR(HeaterBoiler1!$E$26&lt;&gt;"fuel gas",HeaterBoiler1!$E$15&lt;&gt;"boiler"),0,(SUMIF(HeaterBoiler1!$A$54:$D$63,$FG45,HeaterBoiler1!$J$54:$J$63))*(2000/8760))*IFERROR($QV$20,0)</f>
        <v>0</v>
      </c>
      <c r="PD45" s="207">
        <f>IF(OR(HeaterBoiler2!$E$26&lt;&gt;"fuel gas",HeaterBoiler2!$E$15&lt;&gt;"boiler"),0,(SUMIF(HeaterBoiler2!$A$54:$D$63,$FG45,HeaterBoiler2!$J$54:$J$63))*(2000/8760))*IFERROR($QV$22,0)</f>
        <v>0</v>
      </c>
      <c r="PE45" s="8">
        <f>(SUMIF(Fug!$A$96:$A$205,$FG45,Fug!$J$96:$J$205))*IFERROR($QV$23,0)*(2000/8760)</f>
        <v>0</v>
      </c>
      <c r="PF45" s="8">
        <f t="shared" si="31"/>
        <v>0</v>
      </c>
      <c r="PG45" s="156">
        <f t="shared" si="32"/>
        <v>0</v>
      </c>
      <c r="PJ45" s="52" t="str">
        <f>IF(Fug!$F$16=Hidden!$PP$2,"Sampling (annual)","")</f>
        <v/>
      </c>
      <c r="PK45" s="52" t="str">
        <f>IF(Fug!$F$16=Hidden!$PP$2,"Gas","")</f>
        <v/>
      </c>
      <c r="PL45" s="52"/>
      <c r="PM45" s="52"/>
      <c r="PN45" s="52"/>
      <c r="PO45" s="52"/>
      <c r="PP45" s="52">
        <v>3.3000000000000002E-2</v>
      </c>
      <c r="PQ45" s="52"/>
      <c r="PR45" s="52"/>
      <c r="PS45" s="52"/>
      <c r="PT45" s="52" t="s">
        <v>8795</v>
      </c>
      <c r="PU45" s="52" t="s">
        <v>8769</v>
      </c>
      <c r="PV45" s="52">
        <v>0</v>
      </c>
      <c r="PW45" s="52">
        <v>0</v>
      </c>
      <c r="PX45" s="52">
        <v>0</v>
      </c>
      <c r="PY45" s="52">
        <v>0</v>
      </c>
      <c r="PZ45" s="52">
        <v>0</v>
      </c>
      <c r="QA45" s="52">
        <v>0</v>
      </c>
      <c r="QB45" s="52"/>
      <c r="QC45" s="52"/>
      <c r="QD45" s="52"/>
      <c r="QE45" s="52"/>
      <c r="QF45" s="52"/>
      <c r="QG45" s="52"/>
      <c r="QH45" s="52"/>
      <c r="QI45" s="52"/>
      <c r="QX45" s="89" t="s">
        <v>9323</v>
      </c>
      <c r="QY45">
        <v>12</v>
      </c>
      <c r="QZ45">
        <v>12</v>
      </c>
      <c r="RA45">
        <v>12</v>
      </c>
      <c r="RB45">
        <v>12</v>
      </c>
      <c r="RC45">
        <v>12</v>
      </c>
      <c r="RD45">
        <v>11.75</v>
      </c>
      <c r="RE45">
        <v>10.53</v>
      </c>
      <c r="RF45">
        <v>7.6</v>
      </c>
      <c r="RG45" s="90">
        <v>5.86</v>
      </c>
      <c r="RH45" s="89" t="s">
        <v>9323</v>
      </c>
      <c r="RI45">
        <v>11.54</v>
      </c>
      <c r="RJ45">
        <v>11.54</v>
      </c>
      <c r="RK45">
        <v>11.54</v>
      </c>
      <c r="RL45">
        <v>11.54</v>
      </c>
      <c r="RM45">
        <v>11.54</v>
      </c>
      <c r="RN45">
        <v>11.27</v>
      </c>
      <c r="RO45">
        <v>10.16</v>
      </c>
      <c r="RP45">
        <v>7.53</v>
      </c>
      <c r="RQ45" s="90">
        <v>5.82</v>
      </c>
      <c r="RR45" s="89" t="s">
        <v>9323</v>
      </c>
      <c r="RS45">
        <v>11.09</v>
      </c>
      <c r="RT45">
        <v>11.09</v>
      </c>
      <c r="RU45">
        <v>11.09</v>
      </c>
      <c r="RV45">
        <v>11.09</v>
      </c>
      <c r="RW45">
        <v>11.09</v>
      </c>
      <c r="RX45">
        <v>10.97</v>
      </c>
      <c r="RY45">
        <v>9.8000000000000007</v>
      </c>
      <c r="RZ45">
        <v>7.2</v>
      </c>
      <c r="SA45" s="90">
        <v>5.53</v>
      </c>
      <c r="SB45" s="89" t="s">
        <v>9323</v>
      </c>
      <c r="SC45">
        <v>8.65</v>
      </c>
      <c r="SD45">
        <v>8.65</v>
      </c>
      <c r="SE45">
        <v>8.65</v>
      </c>
      <c r="SF45">
        <v>8.65</v>
      </c>
      <c r="SG45">
        <v>8.65</v>
      </c>
      <c r="SH45">
        <v>8.2200000000000006</v>
      </c>
      <c r="SI45">
        <v>7.89</v>
      </c>
      <c r="SJ45">
        <v>5.67</v>
      </c>
      <c r="SK45" s="90">
        <v>4.0599999999999996</v>
      </c>
      <c r="SL45" s="89" t="s">
        <v>9323</v>
      </c>
      <c r="SM45">
        <v>1.17</v>
      </c>
      <c r="SN45">
        <v>1.17</v>
      </c>
      <c r="SO45">
        <v>1.17</v>
      </c>
      <c r="SP45">
        <v>1.17</v>
      </c>
      <c r="SQ45">
        <v>1.17</v>
      </c>
      <c r="SR45">
        <v>1.17</v>
      </c>
      <c r="SS45">
        <v>1.17</v>
      </c>
      <c r="ST45">
        <v>0.92</v>
      </c>
      <c r="SU45" s="90">
        <v>0.71</v>
      </c>
    </row>
    <row r="46" spans="1:533" ht="74.25" customHeight="1" x14ac:dyDescent="0.2">
      <c r="A46" s="8" t="s">
        <v>223</v>
      </c>
      <c r="B46" s="8">
        <v>10</v>
      </c>
      <c r="W46">
        <f>IF(OR(X46=0,ISNUMBER(MATCH(X46,$X$1:X45,0))),0,MAX($W$1:W45)+1)</f>
        <v>0</v>
      </c>
      <c r="X46" s="123">
        <f>Products!$E93</f>
        <v>0</v>
      </c>
      <c r="Y46" t="str">
        <f t="shared" si="39"/>
        <v/>
      </c>
      <c r="CA46">
        <f>IF(OR(CB46=0,ISNUMBER(MATCH(CB46,$CB$1:CB45,0))),0,MAX($CA$1:CA45)+1)</f>
        <v>0</v>
      </c>
      <c r="CB46" s="8">
        <f>IF(OR(Tank1!$D$18="EXTERNAL FLOATING ROOF",Tank1!$D$18="INTERNAL FLOATING ROOF"),IF(Tank1!$E76="",0,Tank1!$E76),0)</f>
        <v>0</v>
      </c>
      <c r="CC46" s="8" t="str">
        <f t="shared" si="40"/>
        <v/>
      </c>
      <c r="CD46" s="8"/>
      <c r="CE46" s="8">
        <f>IF(OR(CF46=0,ISNUMBER(MATCH(CF46,$CF$1:CF45,0))),0,MAX($CE$1:CE45)+1)</f>
        <v>0</v>
      </c>
      <c r="CF46" s="8">
        <f>IF(OR(Tank1!$D$18="HORIZONTAL FIXED ROOF",Tank1!$D$18="VERTICAL FIXED ROOF"),IF(Tank1!$E76="",0,Tank1!$E76),0)</f>
        <v>0</v>
      </c>
      <c r="CG46" s="8" t="str">
        <f t="shared" si="41"/>
        <v/>
      </c>
      <c r="CJ46">
        <f>IF(OR(CK46=0,ISNUMBER(MATCH(CK46,$CK$1:CK45,0))),0,MAX($CJ$1:CJ45)+1)</f>
        <v>0</v>
      </c>
      <c r="CK46">
        <f>Tank5!$A$76</f>
        <v>0</v>
      </c>
      <c r="CM46">
        <f>IFERROR(VLOOKUP($CK46,Tank5!$A$32:$D$141,3,FALSE),0)</f>
        <v>0</v>
      </c>
      <c r="CN46">
        <f>IFERROR(VLOOKUP($CK46,Tank5!$A$32:$D$141,4,FALSE),0)</f>
        <v>0</v>
      </c>
      <c r="DM46">
        <f>IF(OR(DN46=0,ISNUMBER(MATCH(DN46,$DN$1:DN45,0))),0,MAX($DM$1:DM45)+1)</f>
        <v>0</v>
      </c>
      <c r="DN46">
        <f>IF(Tank5!$D$22="Flare",IFERROR(VLOOKUP(Products!$A$99,Tank5!$A$32:$B$141,1,FALSE),0),0)</f>
        <v>0</v>
      </c>
      <c r="DO46">
        <f>IF($DN46=0,0,VLOOKUP($DN46,Tank5!$A$32:$H$141,7,FALSE))</f>
        <v>0</v>
      </c>
      <c r="DP46">
        <f>IF($DN46=0,0,VLOOKUP($DN46,Tank5!$A$32:$H$141,8,FALSE))</f>
        <v>0</v>
      </c>
      <c r="DU46">
        <f>IF(OR(DV46=0,ISNUMBER(MATCH(DV46,$DV$1:DV45,0))),0,MAX($DU$1:DU45)+1)</f>
        <v>0</v>
      </c>
      <c r="DV46">
        <f>IF(Tank5!$D$22="VCU",IFERROR(VLOOKUP(Products!$A$99,Tank5!$A$32:$B$141,1,FALSE),0),0)</f>
        <v>0</v>
      </c>
      <c r="DW46">
        <f>IF($DV46=0,0,VLOOKUP($DV46,Tank5!$A$32:$H$141,7,FALSE))</f>
        <v>0</v>
      </c>
      <c r="DX46">
        <f>IF($DV46=0,0,VLOOKUP($DV46,Tank5!$A$32:$H$141,8,FALSE))</f>
        <v>0</v>
      </c>
      <c r="EC46">
        <f>IF(OR(ED46=0,ISNUMBER(MATCH(ED46,$ED$1:ED45,0))),0,MAX($EC$1:EC45)+1)</f>
        <v>0</v>
      </c>
      <c r="ED46">
        <f>IF(Tank5!$D$22="vapor oxidizer",IFERROR(VLOOKUP(Products!$A$99,Tank5!$A$32:$B$141,1,FALSE),0),0)</f>
        <v>0</v>
      </c>
      <c r="EE46">
        <f>IF($ED46=0,0,VLOOKUP($ED46,Tank5!$A$32:$H$141,7,FALSE))</f>
        <v>0</v>
      </c>
      <c r="EF46">
        <f>IF($ED46=0,0,VLOOKUP($ED46,Tank5!$A$32:$H$141,8,FALSE))</f>
        <v>0</v>
      </c>
      <c r="EK46">
        <f>IF(OR(EL46=0,ISNUMBER(MATCH(EL46,$EL$1:EL45,0))),0,MAX($EK$1:EK45)+1)</f>
        <v>0</v>
      </c>
      <c r="EL46">
        <f>IF(Tank5!$D$22="CAS",IFERROR(VLOOKUP(Products!A99,Tank5!$A$32:$B$141,1,FALSE),0),0)</f>
        <v>0</v>
      </c>
      <c r="EM46">
        <f>IF($EL46=0,0,VLOOKUP($EL46,Tank5!$A$32:$H$141,7,FALSE))</f>
        <v>0</v>
      </c>
      <c r="EN46">
        <f>IF($EL46=0,0,VLOOKUP($EL46,Tank5!$A$32:$H$141,8,FALSE))</f>
        <v>0</v>
      </c>
      <c r="FB46" s="8" t="s">
        <v>445</v>
      </c>
      <c r="FC46" s="8" t="s">
        <v>446</v>
      </c>
      <c r="FD46" s="8">
        <v>70</v>
      </c>
      <c r="FE46" s="8">
        <v>7</v>
      </c>
      <c r="FG46" s="360" t="str">
        <f t="shared" si="23"/>
        <v/>
      </c>
      <c r="FH46" s="155">
        <f>IF(Tank1!$D$22="NO CONTROL",_xlfn.MAXIFS(Tank1!$G$32:$G$141,Tank1!$E$32:$E$141,$FG46),0)*IFERROR($QR$3,0)</f>
        <v>0</v>
      </c>
      <c r="FI46" s="155">
        <f>_xlfn.MAXIFS(LandEmiss!$AF$20:$AF$119,LandEmiss!$AE$20:$AE$119,$FG46)*IFERROR($QR$3,0)</f>
        <v>0</v>
      </c>
      <c r="FJ46" s="155">
        <f>MAX(_xlfn.MAXIFS(LandEmiss!$CO$20:$CO$119,LandEmiss!$CN$20:$CN$119,$FG46),_xlfn.MAXIFS(LandEmiss!$EZ$9:$EZ$108,LandEmiss!$EY$9:$EY$108,$FG46))*IFERROR($QR$3,0)</f>
        <v>0</v>
      </c>
      <c r="FK46" s="155">
        <f>IF(Tank2!$D$22="NO CONTROL",_xlfn.MAXIFS(Tank2!$G$32:$G$141,Tank2!$E$32:$E$141,$FG46),0)*IFERROR($QR$4,0)</f>
        <v>0</v>
      </c>
      <c r="FL46" s="155">
        <f>_xlfn.MAXIFS(LandEmiss!$AG$20:$AG$119,LandEmiss!$AE$20:$AE$119,$FG46)*IFERROR($QR$4,0)</f>
        <v>0</v>
      </c>
      <c r="FM46" s="155">
        <f>MAX(_xlfn.MAXIFS(LandEmiss!$CP$20:$CP$119,LandEmiss!$CN$20:$CN$119,$FG46),_xlfn.MAXIFS(LandEmiss!$FA$9:$FA$108,LandEmiss!$EY$9:$EY$108,$FG46))*IFERROR($QR$4,0)</f>
        <v>0</v>
      </c>
      <c r="FN46" s="155">
        <f>IF(Tank3!$D$22="NO CONTROL",_xlfn.MAXIFS(Tank3!$G$32:$G$141,Tank3!$E$32:$E$141,$FG46),0)*IFERROR($QR$5,0)</f>
        <v>0</v>
      </c>
      <c r="FO46" s="155">
        <f>_xlfn.MAXIFS(LandEmiss!$AH$20:$AH$119,LandEmiss!$AE$20:$AE$119,$FG46)*IFERROR($QR$5,0)</f>
        <v>0</v>
      </c>
      <c r="FP46" s="155">
        <f>MAX(_xlfn.MAXIFS(LandEmiss!$CQ$20:$CQ$119,LandEmiss!$CN$20:$CN$119,$FG46),_xlfn.MAXIFS(LandEmiss!$FB$9:$FB$108,LandEmiss!$EY$9:$EY$108,$FG46))*IFERROR($QR$5,0)</f>
        <v>0</v>
      </c>
      <c r="FQ46" s="155">
        <f>IF(Tank4!$D$22="NO CONTROL",_xlfn.MAXIFS(Tank4!$G$32:$G$141,Tank4!$E$32:$E$141,$FG46),0)*IFERROR($QR$6,0)</f>
        <v>0</v>
      </c>
      <c r="FR46" s="155">
        <f>_xlfn.MAXIFS(LandEmiss!$AI$20:$AI$119,LandEmiss!$AE$20:$AE$119,$FG46)*IFERROR($QR$6,0)</f>
        <v>0</v>
      </c>
      <c r="FS46" s="155">
        <f>MAX(_xlfn.MAXIFS(LandEmiss!$CR$20:$CR$119,LandEmiss!$CN$20:$CN$119,$FG46),_xlfn.MAXIFS(LandEmiss!$FC$9:$FC$108,LandEmiss!$EY$9:$EY$108,$FG46))*IFERROR($QR$6,0)</f>
        <v>0</v>
      </c>
      <c r="FT46" s="155">
        <f>IF(Tank5!$D$22="NO CONTROL",_xlfn.MAXIFS(Tank5!$G$32:$G$141,Tank5!$E$32:$E$141,$FG46),0)*IFERROR($QR$7,0)</f>
        <v>0</v>
      </c>
      <c r="FU46" s="155">
        <f>_xlfn.MAXIFS(LandEmiss!$AJ$20:$AJ$119,LandEmiss!$AE$20:$AE$119,$FG46)*IFERROR($QR$7,0)</f>
        <v>0</v>
      </c>
      <c r="FV46" s="155">
        <f>MAX(_xlfn.MAXIFS(LandEmiss!$CS$20:$CS$119,LandEmiss!$CN$20:$CN$119,$FG46),_xlfn.MAXIFS(LandEmiss!$FD$9:$FD$108,LandEmiss!$EY$9:$EY$108,$FG46))*IFERROR($QR51,0)</f>
        <v>0</v>
      </c>
      <c r="FW46" s="155">
        <f>_xlfn.MAXIFS('Load-DrumTote'!$K$27:$K$136,'Load-DrumTote'!$F$27:$F$136,$FG46)*IFERROR($QR$8,0)</f>
        <v>0</v>
      </c>
      <c r="FX46" s="155">
        <f>_xlfn.MAXIFS('Load-Truck'!$K$27:$K$136,'Load-Truck'!$F$27:$F$136,$FG46)*IFERROR($QR$9,0)</f>
        <v>0</v>
      </c>
      <c r="FY46" s="155">
        <f>_xlfn.MAXIFS('Load-Rail'!$K$27:$K$136,'Load-Rail'!$F$27:$F$136,$FG46)*IFERROR($QR$10,0)</f>
        <v>0</v>
      </c>
      <c r="FZ46" s="155">
        <f>_xlfn.MAXIFS('Load-MarineBarge'!$K$27:$K$136,'Load-MarineBarge'!$F$27:$F$136,$FG46)*IFERROR($QR$11,0)</f>
        <v>0</v>
      </c>
      <c r="GA46" s="155">
        <f>_xlfn.MAXIFS('Load-MarineShip'!$K$27:$K$136,'Load-MarineShip'!$F$27:$F$136,$FG46)*IFERROR($QR$12,0)</f>
        <v>0</v>
      </c>
      <c r="GB46" s="313">
        <f>IF(OR(Flare!$D$24="fuel gas",Flare!$D$38="fuel gas"),SUMIF(Flare!$E$97:$E$106,$FG46,Flare!$F$97:$F$106),0)*IFERROR($QR$13,0)</f>
        <v>0</v>
      </c>
      <c r="GC46" s="313">
        <f>(_xlfn.MAXIFS(CtrlDevImpacts!$I$57:$I$156,CtrlDevImpacts!$H$57:$H$156,$FG46))*IFERROR($QR$13,0)</f>
        <v>0</v>
      </c>
      <c r="GD46" s="313">
        <f>(_xlfn.MAXIFS(Flare!$F$107:$F$216,Flare!$E$107:$E$216,$FG46)-_xlfn.MAXIFS(CtrlDevImpacts!$I$57:$I$156,CtrlDevImpacts!$H$57:$H$156,$FG46))*IFERROR($QR$13,0)</f>
        <v>0</v>
      </c>
      <c r="GE46" s="155">
        <f>_xlfn.MAXIFS(LandEmiss!$B$335:$B$434,LandEmiss!$A$335:$A$434,$FG46)*IFERROR($QR$13,0)</f>
        <v>0</v>
      </c>
      <c r="GF46" s="155">
        <f>(_xlfn.MAXIFS(LandEmiss!$BK$335:$BK$434,LandEmiss!$BJ$335:$BJ$434,$FG46)+_xlfn.MAXIFS(LandEmiss!$DV$323:$DV$422,LandEmiss!$DU$323:$DU$422,$FG46))*IFERROR($QR$13,0)</f>
        <v>0</v>
      </c>
      <c r="GG46" s="313">
        <f>IF(OR(VCU!$D$26="fuel gas",VCU!$D$42="fuel gas"),SUMIF(VCU!$E$120:$E$129,$FG46,VCU!$F$120:$F$129),0)*IFERROR($QR$14,0)</f>
        <v>0</v>
      </c>
      <c r="GH46" s="313">
        <f>(_xlfn.MAXIFS(CtrlDevImpacts!$X$57:$X$156,CtrlDevImpacts!$W$57:$W$156,$FG46))*IFERROR($QR$14,0)</f>
        <v>0</v>
      </c>
      <c r="GI46" s="313">
        <f>(_xlfn.MAXIFS(VCU!$F$130:$F$239,VCU!$E$130:$E$239,$FG46)-_xlfn.MAXIFS(CtrlDevImpacts!$X$57:$X$156,CtrlDevImpacts!$W$57:$W$156,$FG46))*IFERROR($QR$14,0)</f>
        <v>0</v>
      </c>
      <c r="GJ46" s="155">
        <f>_xlfn.MAXIFS(LandEmiss!$D$335:$D$434,LandEmiss!$A$335:$A$434,$FG46)*IFERROR($QR$14,0)</f>
        <v>0</v>
      </c>
      <c r="GK46" s="155">
        <f>(_xlfn.MAXIFS(LandEmiss!$BM$335:$BM$434,LandEmiss!$BJ$335:$BJ$434,$FG46)+_xlfn.MAXIFS(LandEmiss!$DX$323:$DX$422,LandEmiss!$DU$323:$DU$422,$FG46))*IFERROR($QR$14,0)</f>
        <v>0</v>
      </c>
      <c r="GL46" s="313">
        <f>IF(VaporOxidizer!D77="FUEL GAS",SUMIF(VaporOxidizer!$E$101:$E$110,$FG46,VaporOxidizer!$F$101:$F$110),0)*IFERROR($QR$15,0)</f>
        <v>0</v>
      </c>
      <c r="GM46" s="313">
        <f>(_xlfn.MAXIFS(CtrlDevImpacts!$AN$57:$AN$156,CtrlDevImpacts!$AM$57:$AM$156,$FG46))*IFERROR($QR$15,0)</f>
        <v>0</v>
      </c>
      <c r="GN46" s="313">
        <f>(_xlfn.MAXIFS(VaporOxidizer!$F$111:$F$220,VaporOxidizer!$E$111:$E$220,$FG46)-_xlfn.MAXIFS(CtrlDevImpacts!$AN$57:$AN$156,CtrlDevImpacts!$AM$57:$AM$156,$FG46))*IFERROR($QR$15,0)</f>
        <v>0</v>
      </c>
      <c r="GO46" s="155">
        <f>_xlfn.MAXIFS(LandEmiss!$F$335:$F$434,LandEmiss!$A$335:$A$434,$FG46)*IFERROR($QR$15,0)</f>
        <v>0</v>
      </c>
      <c r="GP46" s="155">
        <f>(_xlfn.MAXIFS(LandEmiss!$BK$335:$BK$434,LandEmiss!$BO$335:$BO$434,$FG46)+_xlfn.MAXIFS(LandEmiss!$DZ$323:$DZ$422,LandEmiss!$DU$323:$DU$422,$FG46))*IFERROR($QR$15,0)</f>
        <v>0</v>
      </c>
      <c r="GQ46" s="313">
        <f>_xlfn.MAXIFS(CtrlDevImpacts!$BD$57:$BD$156,CtrlDevImpacts!$BC$57:$BC$156,$FG46)*IFERROR(Hidden!$QR$16,0)</f>
        <v>0</v>
      </c>
      <c r="GR46" s="313">
        <f>(_xlfn.MAXIFS(CAS!$H$35:$H$144,CAS!$E$35:$E$144,$FG46)-_xlfn.MAXIFS(CtrlDevImpacts!$BD$57:$BD$156,CtrlDevImpacts!$BC$57:$BC$156,$FG46))*IFERROR(Hidden!$QR$16,0)</f>
        <v>0</v>
      </c>
      <c r="GS46" s="155">
        <f>_xlfn.MAXIFS(LandEmiss!$H$335:$H$434,LandEmiss!$A$335:$A$434,$FG46)*IFERROR($QR$27,0)</f>
        <v>0</v>
      </c>
      <c r="GT46" s="155">
        <f>(_xlfn.MAXIFS(LandEmiss!$BK$335:$BK$434,LandEmiss!$BQ$335:$BQ$434,$FG46)+_xlfn.MAXIFS(LandEmiss!$EB$323:$EB$422,LandEmiss!$DU$323:$DU$422,$FG46))*IFERROR($QR$27,0)</f>
        <v>0</v>
      </c>
      <c r="GU46" s="155">
        <f>_xlfn.MAXIFS(LandEmiss!$J$335:$J$434,LandEmiss!$A$335:$A$434,$FG46)*IFERROR($QR$26,0)</f>
        <v>0</v>
      </c>
      <c r="GV46" s="155">
        <f>(_xlfn.MAXIFS(LandEmiss!$BK$335:$BK$434,LandEmiss!$BS$335:$BS$434,$FG46)+_xlfn.MAXIFS(LandEmiss!$ED$323:$ED$422,LandEmiss!$DU$323:$DU$422,$FG46))*IFERROR($QR$26,0)</f>
        <v>0</v>
      </c>
      <c r="GW46" s="155">
        <f>_xlfn.MAXIFS(LandEmiss!$L$335:$L$434,LandEmiss!$A$335:$A$434,$FG46)*IFERROR($QR$25,0)</f>
        <v>0</v>
      </c>
      <c r="GX46" s="155">
        <f>(_xlfn.MAXIFS(LandEmiss!$BK$335:$BK$434,LandEmiss!$BU$335:$BU$434,$FG46)+_xlfn.MAXIFS(LandEmiss!$EF$323:$EF$422,LandEmiss!$DU$323:$DU$422,$FG46))*IFERROR($QR$25,0)</f>
        <v>0</v>
      </c>
      <c r="GY46" s="155">
        <v>0</v>
      </c>
      <c r="GZ46" s="155">
        <v>0</v>
      </c>
      <c r="HA46" s="155">
        <f>IF(OR(HeaterBoiler1!$E$26&lt;&gt;"fuel gas",HeaterBoiler1!$E$15&lt;&gt;"heater"),0,SUMIF(HeaterBoiler1!$A$54:$D$63,$FG46,HeaterBoiler1!$I$54:$I$63))*IFERROR($QR$19,0)</f>
        <v>0</v>
      </c>
      <c r="HB46" s="207">
        <f>IF(OR(HeaterBoiler2!$E$26&lt;&gt;"fuel gas",HeaterBoiler2!$E$15&lt;&gt;"heater"),0,SUMIF(HeaterBoiler2!$A$54:$D$63,$FG46,HeaterBoiler2!$I$54:$I$63))*IFERROR($QR$21,0)</f>
        <v>0</v>
      </c>
      <c r="HC46" s="155">
        <f>IF(OR(HeaterBoiler1!$E$26&lt;&gt;"fuel gas",HeaterBoiler1!$E$15&lt;&gt;"boiler"),0,SUMIF(HeaterBoiler1!$A$41:$A$50,$FG46,HeaterBoiler1!$F$41:$F$50))*IFERROR($QR$20,0)</f>
        <v>0</v>
      </c>
      <c r="HD46" s="207">
        <f>IF(OR(HeaterBoiler2!$E$26&lt;&gt;"fuel gas",HeaterBoiler2!$E$15&lt;&gt;"boiler"),0,SUMIF(HeaterBoiler2!$A$41:$A$50,$FG46,HeaterBoiler2!$F$41:$F$50))*IFERROR($QR$22,0)</f>
        <v>0</v>
      </c>
      <c r="HE46" s="155">
        <f>SUMIF(Fug!$A$96:$A$205,$FG46,Fug!$I$96:$I$205)*IFERROR(Hidden!$QR$23,0)</f>
        <v>0</v>
      </c>
      <c r="HF46" s="155">
        <f t="shared" si="24"/>
        <v>0</v>
      </c>
      <c r="HG46" s="156">
        <f t="shared" si="25"/>
        <v>0</v>
      </c>
      <c r="HH46" s="156">
        <f t="shared" si="26"/>
        <v>0</v>
      </c>
      <c r="HI46" s="156">
        <f t="shared" si="27"/>
        <v>0</v>
      </c>
      <c r="HJ46" s="156">
        <f t="shared" si="28"/>
        <v>0</v>
      </c>
      <c r="HK46" s="156">
        <f t="shared" si="29"/>
        <v>0</v>
      </c>
      <c r="HL46" s="156">
        <f t="shared" si="30"/>
        <v>0</v>
      </c>
      <c r="NO46" s="155">
        <f>IF(Tank1!$D$22="No control",(SUMIF(Tank1!$E$32:$E$141,$FG46,Tank1!$H$32:$H$141)*(2000/8760)*IFERROR($QV$3,0)),0)</f>
        <v>0</v>
      </c>
      <c r="NP46" s="156">
        <f>SUMIF(LandEmiss!$AE$20:$AE$119,$FG46,LandEmiss!$AK$20:$AK$119)*(2000/8760)*IFERROR($QV$3,0)</f>
        <v>0</v>
      </c>
      <c r="NQ46" s="156">
        <f>(SUMIF(LandEmiss!$CN$20:$CN$119,$FG46,LandEmiss!$CT$20:$CT$119)+SUMIF(LandEmiss!$EY$9:$EY$108,$FG46,LandEmiss!$FE$9:$FE$108))*IFERROR($QV$3,0)*(2000/8760)</f>
        <v>0</v>
      </c>
      <c r="NR46" s="155">
        <f>IF(Tank2!$D$22="No control",(SUMIF(Tank2!$E$32:$E$141,$FG46,Tank2!$H$32:$H$141)*(2000/8760)*IFERROR($QV$4,0)),0)</f>
        <v>0</v>
      </c>
      <c r="NS46" s="156">
        <f>SUMIF(LandEmiss!$AE$20:$AE$119,$FG46,LandEmiss!$AL$20:$AL$119)*(2000/8760)*IFERROR($QV$4,0)</f>
        <v>0</v>
      </c>
      <c r="NT46" s="156">
        <f>(SUMIF(LandEmiss!$CN$20:$CN$119,$FG46,LandEmiss!$CU$20:$CU$119)+SUMIF(LandEmiss!$EY$9:$EY$108,$FG46,LandEmiss!$FF$9:$FF$108))*IFERROR($QV$4,0)*(2000/8760)</f>
        <v>0</v>
      </c>
      <c r="NU46" s="155">
        <f>IF(Tank3!$D$22="No control",(SUMIF(Tank3!$E$32:$E$141,$FG46,Tank3!$H$32:$H$141)*(2000/8760)*IFERROR($QV$5,0)),0)</f>
        <v>0</v>
      </c>
      <c r="NV46" s="156">
        <f>SUMIF(LandEmiss!$AE$20:$AE$119,$FG46,LandEmiss!$AM$20:$AM$119)*(2000/8760)*IFERROR($QV$5,0)</f>
        <v>0</v>
      </c>
      <c r="NW46" s="156">
        <f>(SUMIF(LandEmiss!$CN$20:$CN$119,$FG46,LandEmiss!$CV$20:$CV$119)+SUMIF(LandEmiss!$EY$9:$EY$108,$FG46,LandEmiss!$FG$9:$FG$108))*IFERROR($QV$5,0)*(2000/8760)</f>
        <v>0</v>
      </c>
      <c r="NX46" s="155">
        <f>IF(Tank4!$D$22="No control",(SUMIF(Tank4!$E$32:$E$141,$FG46,Tank4!$H$32:$H$141)*(2000/8760)*IFERROR($QV$6,0)),0)</f>
        <v>0</v>
      </c>
      <c r="NY46" s="156">
        <f>SUMIF(LandEmiss!$AE$20:$AE$119,$FG46,LandEmiss!$AN$20:$AN$119)*(2000/8760)*IFERROR($QV$6,0)</f>
        <v>0</v>
      </c>
      <c r="NZ46" s="156">
        <f>(SUMIF(LandEmiss!$CN$20:$CN$119,$FG46,LandEmiss!$CW$20:$CW$119)+SUMIF(LandEmiss!$EY$9:$EY$108,$FG46,LandEmiss!$FH$9:$FH$108))*IFERROR($QV$6,0)*(2000/8760)</f>
        <v>0</v>
      </c>
      <c r="OA46" s="155">
        <f>IF(Tank5!$D$22="No control",(SUMIF(Tank5!$E$32:$E$141,$FG46,Tank5!$H$32:$H$141)*(2000/8760)*IFERROR($QV$7,0)),0)</f>
        <v>0</v>
      </c>
      <c r="OB46" s="156">
        <f>SUMIF(LandEmiss!$AE$20:$AE$119,$FG46,LandEmiss!$AO$20:$AO$119)*(2000/8760)*IFERROR($QV$7,0)</f>
        <v>0</v>
      </c>
      <c r="OC46" s="156">
        <f>(SUMIF(LandEmiss!$CN$20:$CN$119,$FG46,LandEmiss!$CX$20:$CX$119)+SUMIF(LandEmiss!$EY$9:$EY$108,$FG46,LandEmiss!$FI$9:$FI$108))*IFERROR($QV$7,0)*(2000/8760)</f>
        <v>0</v>
      </c>
      <c r="OD46" s="155">
        <f>SUMIFS('Load-DrumTote'!$L$27:$L$136,'Load-DrumTote'!$F$27:$F$136,$FG46)*IFERROR($QV$8,0)*(2000/8760)</f>
        <v>0</v>
      </c>
      <c r="OE46" s="155">
        <f>SUMIFS('Load-Truck'!$L$27:$L$136,'Load-Truck'!$F$27:$F$136,$FG46)*IFERROR($QV$9,0)*(2000/8760)</f>
        <v>0</v>
      </c>
      <c r="OF46" s="155">
        <f>SUMIFS('Load-Rail'!$L$27:$L$136,'Load-Rail'!$F$27:$F$136,$FG46)*IFERROR($QV$10,0)*(2000/8760)</f>
        <v>0</v>
      </c>
      <c r="OG46" s="155">
        <f>SUMIFS('Load-MarineBarge'!$L$27:$L$136,'Load-MarineBarge'!$F$27:$F$136,$FG46)*IFERROR($QV$11,0)*(2000/8760)</f>
        <v>0</v>
      </c>
      <c r="OH46" s="155">
        <f>SUMIFS('Load-MarineShip'!$L$27:$L$136,'Load-MarineShip'!$F$27:$F$136,$FG46)*IFERROR($QV$12,0)*(2000/8760)</f>
        <v>0</v>
      </c>
      <c r="OI46" s="155">
        <f>(IF(OR(Flare!$D$24="FUEL GAS",Flare!$D$38="FUEL GAS"),SUMIF(Flare!$E$97:$E$106,$FG46,Flare!$G$97:$G$105),0)+SUMIF(Flare!$E$107:$E$216,$FG46,Flare!$G$107:$G$216))*(2000/8730)*IFERROR($QV$13,0)</f>
        <v>0</v>
      </c>
      <c r="OJ46" s="155">
        <f>SUMIF(LandEmiss!$A$335:$A$434,$FG46,LandEmiss!$C$335:$C$434)*(2000/8760)*IFERROR($QV$13,0)</f>
        <v>0</v>
      </c>
      <c r="OK46" s="155">
        <f>(SUMIF(LandEmiss!$BJ$335:$BJ$434,$FG46,LandEmiss!$BL$335:$BL$434)+SUMIF(LandEmiss!$DU$323:$DU$422,$FG46,LandEmiss!$DW$323:$DW$422))*(2000/8760)*IFERROR($QV$13,0)</f>
        <v>0</v>
      </c>
      <c r="OL46" s="155">
        <f>(IF(OR(VCU!$D$26="FUEL GAS",VCU!$D$42="FUEL GAS"),SUMIF(VCU!$E$120:$E$129,$FG46,VCU!$G$120:$G$129),0)+SUMIF(VCU!$E$130:$E$239,$FG46,VCU!G174:G283))*(2000/8760)*IFERROR($QV$14,0)</f>
        <v>0</v>
      </c>
      <c r="OM46" s="155">
        <f>SUMIF(LandEmiss!$A$335:$A$434,$FG46,LandEmiss!$E$335:$E$434)*(2000/8760)*IFERROR($QV$14,0)</f>
        <v>0</v>
      </c>
      <c r="ON46" s="155">
        <f>(SUMIF(LandEmiss!$BJ$335:$BJ$434,$FG46,LandEmiss!$BN$335:$BN$434)+SUMIF(LandEmiss!$DU$323:$DU$422,$FG46,LandEmiss!$DY$323:$DY$422))*(2000/8760)*IFERROR($QV$14,0)</f>
        <v>0</v>
      </c>
      <c r="OO46" s="155">
        <f>(IF(VaporOxidizer!$D$33="FUEL GAS",SUMIF(VaporOxidizer!$E$101:$E$110,$FG46,VaporOxidizer!$G$101:$G$110),0)+SUMIF(VaporOxidizer!$E$111:$E$220,$FG46,VaporOxidizer!$G$111:$G$220))*(2000/8760)*IFERROR($QV$15,0)</f>
        <v>0</v>
      </c>
      <c r="OP46" s="155">
        <f>SUMIF(LandEmiss!$A$335:$A$434,$FG46,LandEmiss!$G$335:$G$434)*(2000/8760)*IFERROR($QV$15,0)</f>
        <v>0</v>
      </c>
      <c r="OQ46" s="155">
        <f>(SUMIF(LandEmiss!$BJ$335:$BJ$434,$FG46,LandEmiss!$BP$335:$BP$434)+SUMIF(LandEmiss!$DU$323:$DU$422,$FG46,LandEmiss!$EA$323:$EA$422))*(2000/8760)*IFERROR($QV$15,0)</f>
        <v>0</v>
      </c>
      <c r="OR46" s="155">
        <f>SUMIF(CAS!$E$35:$E$144,Hidden!$FG46,CAS!$I$35:$I$144)*IFERROR($QV$16,0)*(2000/8760)</f>
        <v>0</v>
      </c>
      <c r="OS46" s="155">
        <f>SUMIF(LandEmiss!$A$335:$A$434,$FG46,LandEmiss!$I$335:$I$434)*(2000/8760)*IFERROR($QV$27,0)</f>
        <v>0</v>
      </c>
      <c r="OT46" s="155">
        <f>(SUMIF(LandEmiss!$BJ$335:$BJ$434,$FG46,LandEmiss!$BR$335:$BR$434)+SUMIF(LandEmiss!$DU$323:$DU$422,$FG46,LandEmiss!$EC$323:$EC$422))*(2000/8760)*IFERROR($QV$27,0)</f>
        <v>0</v>
      </c>
      <c r="OU46" s="155">
        <f>SUMIF(LandEmiss!$A$335:$A$434,$FG46,LandEmiss!$K$335:$K$434)*(2000/8760)*IFERROR($QV$26,0)</f>
        <v>0</v>
      </c>
      <c r="OV46" s="155">
        <f>(SUMIF(LandEmiss!$BJ$335:$BJ$434,$FG46,LandEmiss!$BT$335:$BT$434)+SUMIF(LandEmiss!$DU$323:$DU$422,$FG46,LandEmiss!$EE$323:$EE$422))*(2000/8760)*IFERROR($QV$26,0)</f>
        <v>0</v>
      </c>
      <c r="OW46" s="155">
        <f>SUMIF(LandEmiss!$A$335:$A$434,$FG46,LandEmiss!$M$335:$M$434)*(2000/8760)*IFERROR($QV$25,0)</f>
        <v>0</v>
      </c>
      <c r="OX46" s="155">
        <f>(SUMIF(LandEmiss!$BJ$335:$BJ$434,$FG46,LandEmiss!$BV$335:$BV$434)+SUMIF(LandEmiss!$DU$323:$DU$422,$FG46,LandEmiss!$EG$323:$EG$422))*(2000/8760)*IFERROR($QV$25,0)</f>
        <v>0</v>
      </c>
      <c r="OY46" s="8">
        <v>0</v>
      </c>
      <c r="OZ46" s="207">
        <v>0</v>
      </c>
      <c r="PA46" s="207">
        <f>IF(OR(HeaterBoiler1!$E$26&lt;&gt;"fuel gas",HeaterBoiler1!$E$15&lt;&gt;"heater"),0,(SUMIF(HeaterBoiler1!$A$54:$D$63,$FG46,HeaterBoiler1!$J$54:$J$63))*(2000/8760))*IFERROR($QV$19,0)</f>
        <v>0</v>
      </c>
      <c r="PB46" s="207">
        <f>IF(OR(HeaterBoiler2!$E$26&lt;&gt;"fuel gas",HeaterBoiler2!$E$15&lt;&gt;"heater"),0,(SUMIF(HeaterBoiler2!$A$54:$D$63,$FG46,HeaterBoiler2!$J$54:$J$63))*(2000/8760))*IFERROR($QV$21,0)</f>
        <v>0</v>
      </c>
      <c r="PC46" s="207">
        <f>IF(OR(HeaterBoiler1!$E$26&lt;&gt;"fuel gas",HeaterBoiler1!$E$15&lt;&gt;"boiler"),0,(SUMIF(HeaterBoiler1!$A$54:$D$63,$FG46,HeaterBoiler1!$J$54:$J$63))*(2000/8760))*IFERROR($QV$20,0)</f>
        <v>0</v>
      </c>
      <c r="PD46" s="207">
        <f>IF(OR(HeaterBoiler2!$E$26&lt;&gt;"fuel gas",HeaterBoiler2!$E$15&lt;&gt;"boiler"),0,(SUMIF(HeaterBoiler2!$A$54:$D$63,$FG46,HeaterBoiler2!$J$54:$J$63))*(2000/8760))*IFERROR($QV$22,0)</f>
        <v>0</v>
      </c>
      <c r="PE46" s="8">
        <f>(SUMIF(Fug!$A$96:$A$205,$FG46,Fug!$J$96:$J$205))*IFERROR($QV$23,0)*(2000/8760)</f>
        <v>0</v>
      </c>
      <c r="PF46" s="8">
        <f t="shared" si="31"/>
        <v>0</v>
      </c>
      <c r="PG46" s="156">
        <f t="shared" si="32"/>
        <v>0</v>
      </c>
      <c r="PJ46" s="52" t="str">
        <f>IF(Fug!$F$16=Hidden!$PP$2,"Sampling (annual)","")</f>
        <v/>
      </c>
      <c r="PK46" s="52" t="str">
        <f>IF(Fug!$F$16=Hidden!$PP$2,"Heavy Oil &lt;20° API","")</f>
        <v/>
      </c>
      <c r="PL46" s="52"/>
      <c r="PM46" s="52"/>
      <c r="PN46" s="52"/>
      <c r="PO46" s="52"/>
      <c r="PP46" s="52">
        <v>3.3000000000000002E-2</v>
      </c>
      <c r="PQ46" s="52"/>
      <c r="PR46" s="52"/>
      <c r="PS46" s="52"/>
      <c r="PT46" s="52" t="s">
        <v>8795</v>
      </c>
      <c r="PU46" s="52" t="s">
        <v>8780</v>
      </c>
      <c r="PV46" s="52">
        <v>0</v>
      </c>
      <c r="PW46" s="52">
        <v>0</v>
      </c>
      <c r="PX46" s="52">
        <v>0</v>
      </c>
      <c r="PY46" s="52">
        <v>0</v>
      </c>
      <c r="PZ46" s="52">
        <v>0</v>
      </c>
      <c r="QA46" s="52">
        <v>0</v>
      </c>
      <c r="QB46" s="52"/>
      <c r="QC46" s="52"/>
      <c r="QD46" s="52"/>
      <c r="QE46" s="52"/>
      <c r="QF46" s="52"/>
      <c r="QG46" s="52"/>
      <c r="QH46" s="52"/>
      <c r="QI46" s="52"/>
      <c r="QX46" s="89" t="s">
        <v>9324</v>
      </c>
      <c r="QY46">
        <v>7.29</v>
      </c>
      <c r="QZ46">
        <v>7.29</v>
      </c>
      <c r="RA46">
        <v>7.29</v>
      </c>
      <c r="RB46">
        <v>7.29</v>
      </c>
      <c r="RC46">
        <v>7.29</v>
      </c>
      <c r="RD46">
        <v>7.24</v>
      </c>
      <c r="RE46">
        <v>7.24</v>
      </c>
      <c r="RF46">
        <v>6.12</v>
      </c>
      <c r="RG46" s="90">
        <v>4.84</v>
      </c>
      <c r="RH46" s="89" t="s">
        <v>9324</v>
      </c>
      <c r="RI46">
        <v>6.76</v>
      </c>
      <c r="RJ46">
        <v>6.76</v>
      </c>
      <c r="RK46">
        <v>6.76</v>
      </c>
      <c r="RL46">
        <v>6.76</v>
      </c>
      <c r="RM46">
        <v>6.76</v>
      </c>
      <c r="RN46">
        <v>6.76</v>
      </c>
      <c r="RO46">
        <v>6.76</v>
      </c>
      <c r="RP46">
        <v>5.8</v>
      </c>
      <c r="RQ46" s="90">
        <v>4.7300000000000004</v>
      </c>
      <c r="RR46" s="89" t="s">
        <v>9324</v>
      </c>
      <c r="RS46">
        <v>6.57</v>
      </c>
      <c r="RT46">
        <v>6.57</v>
      </c>
      <c r="RU46">
        <v>6.57</v>
      </c>
      <c r="RV46">
        <v>6.57</v>
      </c>
      <c r="RW46">
        <v>6.57</v>
      </c>
      <c r="RX46">
        <v>6.57</v>
      </c>
      <c r="RY46">
        <v>6.57</v>
      </c>
      <c r="RZ46">
        <v>5.59</v>
      </c>
      <c r="SA46" s="90">
        <v>4.57</v>
      </c>
      <c r="SB46" s="89" t="s">
        <v>9324</v>
      </c>
      <c r="SC46">
        <v>5.09</v>
      </c>
      <c r="SD46">
        <v>5.09</v>
      </c>
      <c r="SE46">
        <v>5.09</v>
      </c>
      <c r="SF46">
        <v>5.09</v>
      </c>
      <c r="SG46">
        <v>5.09</v>
      </c>
      <c r="SH46">
        <v>5.09</v>
      </c>
      <c r="SI46">
        <v>5.09</v>
      </c>
      <c r="SJ46">
        <v>4.57</v>
      </c>
      <c r="SK46" s="90">
        <v>3.5</v>
      </c>
      <c r="SL46" s="89" t="s">
        <v>9324</v>
      </c>
      <c r="SM46">
        <v>0.77</v>
      </c>
      <c r="SN46">
        <v>0.77</v>
      </c>
      <c r="SO46">
        <v>0.77</v>
      </c>
      <c r="SP46">
        <v>0.77</v>
      </c>
      <c r="SQ46">
        <v>0.77</v>
      </c>
      <c r="SR46">
        <v>0.77</v>
      </c>
      <c r="SS46">
        <v>0.77</v>
      </c>
      <c r="ST46">
        <v>0.71</v>
      </c>
      <c r="SU46" s="90">
        <v>0.59</v>
      </c>
    </row>
    <row r="47" spans="1:533" ht="74.25" customHeight="1" x14ac:dyDescent="0.2">
      <c r="A47" s="8" t="s">
        <v>224</v>
      </c>
      <c r="B47" s="8">
        <v>14</v>
      </c>
      <c r="W47">
        <f>IF(OR(X47=0,ISNUMBER(MATCH(X47,$X$1:X46,0))),0,MAX($W$1:W46)+1)</f>
        <v>0</v>
      </c>
      <c r="X47" s="123">
        <f>Products!$E94</f>
        <v>0</v>
      </c>
      <c r="Y47" t="str">
        <f t="shared" si="39"/>
        <v/>
      </c>
      <c r="CA47">
        <f>IF(OR(CB47=0,ISNUMBER(MATCH(CB47,$CB$1:CB46,0))),0,MAX($CA$1:CA46)+1)</f>
        <v>0</v>
      </c>
      <c r="CB47" s="8">
        <f>IF(OR(Tank1!$D$18="EXTERNAL FLOATING ROOF",Tank1!$D$18="INTERNAL FLOATING ROOF"),IF(Tank1!$E77="",0,Tank1!$E77),0)</f>
        <v>0</v>
      </c>
      <c r="CC47" s="8" t="str">
        <f t="shared" si="40"/>
        <v/>
      </c>
      <c r="CD47" s="8"/>
      <c r="CE47" s="8">
        <f>IF(OR(CF47=0,ISNUMBER(MATCH(CF47,$CF$1:CF46,0))),0,MAX($CE$1:CE46)+1)</f>
        <v>0</v>
      </c>
      <c r="CF47" s="8">
        <f>IF(OR(Tank1!$D$18="HORIZONTAL FIXED ROOF",Tank1!$D$18="VERTICAL FIXED ROOF"),IF(Tank1!$E77="",0,Tank1!$E77),0)</f>
        <v>0</v>
      </c>
      <c r="CG47" s="8" t="str">
        <f t="shared" si="41"/>
        <v/>
      </c>
      <c r="CJ47">
        <f>IF(OR(CK47=0,ISNUMBER(MATCH(CK47,$CK$1:CK46,0))),0,MAX($CJ$1:CJ46)+1)</f>
        <v>0</v>
      </c>
      <c r="CK47">
        <f>Tank5!$A$87</f>
        <v>0</v>
      </c>
      <c r="CM47">
        <f>IFERROR(VLOOKUP($CK47,Tank5!$A$32:$D$141,3,FALSE),0)</f>
        <v>0</v>
      </c>
      <c r="CN47">
        <f>IFERROR(VLOOKUP($CK47,Tank5!$A$32:$D$141,4,FALSE),0)</f>
        <v>0</v>
      </c>
      <c r="DM47">
        <f>IF(OR(DN47=0,ISNUMBER(MATCH(DN47,$DN$1:DN46,0))),0,MAX($DM$1:DM46)+1)</f>
        <v>0</v>
      </c>
      <c r="DN47">
        <f>IF(Tank5!$D$22="Flare",IFERROR(VLOOKUP(Products!$A$109,Tank5!$A$32:$B$141,1,FALSE),0),0)</f>
        <v>0</v>
      </c>
      <c r="DO47">
        <f>IF($DN47=0,0,VLOOKUP($DN47,Tank5!$A$32:$H$141,7,FALSE))</f>
        <v>0</v>
      </c>
      <c r="DP47">
        <f>IF($DN47=0,0,VLOOKUP($DN47,Tank5!$A$32:$H$141,8,FALSE))</f>
        <v>0</v>
      </c>
      <c r="DU47">
        <f>IF(OR(DV47=0,ISNUMBER(MATCH(DV47,$DV$1:DV46,0))),0,MAX($DU$1:DU46)+1)</f>
        <v>0</v>
      </c>
      <c r="DV47">
        <f>IF(Tank5!$D$22="VCU",IFERROR(VLOOKUP(Products!$A$109,Tank5!$A$32:$B$141,1,FALSE),0),0)</f>
        <v>0</v>
      </c>
      <c r="DW47">
        <f>IF($DV47=0,0,VLOOKUP($DV47,Tank5!$A$32:$H$141,7,FALSE))</f>
        <v>0</v>
      </c>
      <c r="DX47">
        <f>IF($DV47=0,0,VLOOKUP($DV47,Tank5!$A$32:$H$141,8,FALSE))</f>
        <v>0</v>
      </c>
      <c r="EC47">
        <f>IF(OR(ED47=0,ISNUMBER(MATCH(ED47,$ED$1:ED46,0))),0,MAX($EC$1:EC46)+1)</f>
        <v>0</v>
      </c>
      <c r="ED47">
        <f>IF(Tank5!$D$22="vapor oxidizer",IFERROR(VLOOKUP(Products!$A$109,Tank5!$A$32:$B$141,1,FALSE),0),0)</f>
        <v>0</v>
      </c>
      <c r="EE47">
        <f>IF($ED47=0,0,VLOOKUP($ED47,Tank5!$A$32:$H$141,7,FALSE))</f>
        <v>0</v>
      </c>
      <c r="EF47">
        <f>IF($ED47=0,0,VLOOKUP($ED47,Tank5!$A$32:$H$141,8,FALSE))</f>
        <v>0</v>
      </c>
      <c r="EK47">
        <f>IF(OR(EL47=0,ISNUMBER(MATCH(EL47,$EL$1:EL46,0))),0,MAX($EK$1:EK46)+1)</f>
        <v>0</v>
      </c>
      <c r="EL47">
        <f>IF(Tank5!$D$22="CAS",IFERROR(VLOOKUP(Products!A109,Tank5!$A$32:$B$141,1,FALSE),0),0)</f>
        <v>0</v>
      </c>
      <c r="EM47">
        <f>IF($EL47=0,0,VLOOKUP($EL47,Tank5!$A$32:$H$141,7,FALSE))</f>
        <v>0</v>
      </c>
      <c r="EN47">
        <f>IF($EL47=0,0,VLOOKUP($EL47,Tank5!$A$32:$H$141,8,FALSE))</f>
        <v>0</v>
      </c>
      <c r="FB47" s="8" t="s">
        <v>447</v>
      </c>
      <c r="FC47" s="8" t="s">
        <v>448</v>
      </c>
      <c r="FD47" s="8">
        <v>3400</v>
      </c>
      <c r="FE47" s="8">
        <v>340</v>
      </c>
      <c r="FG47" s="360" t="str">
        <f t="shared" si="23"/>
        <v/>
      </c>
      <c r="FH47" s="155">
        <f>IF(Tank1!$D$22="NO CONTROL",_xlfn.MAXIFS(Tank1!$G$32:$G$141,Tank1!$E$32:$E$141,$FG47),0)*IFERROR($QR$3,0)</f>
        <v>0</v>
      </c>
      <c r="FI47" s="155">
        <f>_xlfn.MAXIFS(LandEmiss!$AF$20:$AF$119,LandEmiss!$AE$20:$AE$119,$FG47)*IFERROR($QR$3,0)</f>
        <v>0</v>
      </c>
      <c r="FJ47" s="155">
        <f>MAX(_xlfn.MAXIFS(LandEmiss!$CO$20:$CO$119,LandEmiss!$CN$20:$CN$119,$FG47),_xlfn.MAXIFS(LandEmiss!$EZ$9:$EZ$108,LandEmiss!$EY$9:$EY$108,$FG47))*IFERROR($QR$3,0)</f>
        <v>0</v>
      </c>
      <c r="FK47" s="155">
        <f>IF(Tank2!$D$22="NO CONTROL",_xlfn.MAXIFS(Tank2!$G$32:$G$141,Tank2!$E$32:$E$141,$FG47),0)*IFERROR($QR$4,0)</f>
        <v>0</v>
      </c>
      <c r="FL47" s="155">
        <f>_xlfn.MAXIFS(LandEmiss!$AG$20:$AG$119,LandEmiss!$AE$20:$AE$119,$FG47)*IFERROR($QR$4,0)</f>
        <v>0</v>
      </c>
      <c r="FM47" s="155">
        <f>MAX(_xlfn.MAXIFS(LandEmiss!$CP$20:$CP$119,LandEmiss!$CN$20:$CN$119,$FG47),_xlfn.MAXIFS(LandEmiss!$FA$9:$FA$108,LandEmiss!$EY$9:$EY$108,$FG47))*IFERROR($QR$4,0)</f>
        <v>0</v>
      </c>
      <c r="FN47" s="155">
        <f>IF(Tank3!$D$22="NO CONTROL",_xlfn.MAXIFS(Tank3!$G$32:$G$141,Tank3!$E$32:$E$141,$FG47),0)*IFERROR($QR$5,0)</f>
        <v>0</v>
      </c>
      <c r="FO47" s="155">
        <f>_xlfn.MAXIFS(LandEmiss!$AH$20:$AH$119,LandEmiss!$AE$20:$AE$119,$FG47)*IFERROR($QR$5,0)</f>
        <v>0</v>
      </c>
      <c r="FP47" s="155">
        <f>MAX(_xlfn.MAXIFS(LandEmiss!$CQ$20:$CQ$119,LandEmiss!$CN$20:$CN$119,$FG47),_xlfn.MAXIFS(LandEmiss!$FB$9:$FB$108,LandEmiss!$EY$9:$EY$108,$FG47))*IFERROR($QR$5,0)</f>
        <v>0</v>
      </c>
      <c r="FQ47" s="155">
        <f>IF(Tank4!$D$22="NO CONTROL",_xlfn.MAXIFS(Tank4!$G$32:$G$141,Tank4!$E$32:$E$141,$FG47),0)*IFERROR($QR$6,0)</f>
        <v>0</v>
      </c>
      <c r="FR47" s="155">
        <f>_xlfn.MAXIFS(LandEmiss!$AI$20:$AI$119,LandEmiss!$AE$20:$AE$119,$FG47)*IFERROR($QR$6,0)</f>
        <v>0</v>
      </c>
      <c r="FS47" s="155">
        <f>MAX(_xlfn.MAXIFS(LandEmiss!$CR$20:$CR$119,LandEmiss!$CN$20:$CN$119,$FG47),_xlfn.MAXIFS(LandEmiss!$FC$9:$FC$108,LandEmiss!$EY$9:$EY$108,$FG47))*IFERROR($QR$6,0)</f>
        <v>0</v>
      </c>
      <c r="FT47" s="155">
        <f>IF(Tank5!$D$22="NO CONTROL",_xlfn.MAXIFS(Tank5!$G$32:$G$141,Tank5!$E$32:$E$141,$FG47),0)*IFERROR($QR$7,0)</f>
        <v>0</v>
      </c>
      <c r="FU47" s="155">
        <f>_xlfn.MAXIFS(LandEmiss!$AJ$20:$AJ$119,LandEmiss!$AE$20:$AE$119,$FG47)*IFERROR($QR$7,0)</f>
        <v>0</v>
      </c>
      <c r="FV47" s="155">
        <f>MAX(_xlfn.MAXIFS(LandEmiss!$CS$20:$CS$119,LandEmiss!$CN$20:$CN$119,$FG47),_xlfn.MAXIFS(LandEmiss!$FD$9:$FD$108,LandEmiss!$EY$9:$EY$108,$FG47))*IFERROR($QR52,0)</f>
        <v>0</v>
      </c>
      <c r="FW47" s="155">
        <f>_xlfn.MAXIFS('Load-DrumTote'!$K$27:$K$136,'Load-DrumTote'!$F$27:$F$136,$FG47)*IFERROR($QR$8,0)</f>
        <v>0</v>
      </c>
      <c r="FX47" s="155">
        <f>_xlfn.MAXIFS('Load-Truck'!$K$27:$K$136,'Load-Truck'!$F$27:$F$136,$FG47)*IFERROR($QR$9,0)</f>
        <v>0</v>
      </c>
      <c r="FY47" s="155">
        <f>_xlfn.MAXIFS('Load-Rail'!$K$27:$K$136,'Load-Rail'!$F$27:$F$136,$FG47)*IFERROR($QR$10,0)</f>
        <v>0</v>
      </c>
      <c r="FZ47" s="155">
        <f>_xlfn.MAXIFS('Load-MarineBarge'!$K$27:$K$136,'Load-MarineBarge'!$F$27:$F$136,$FG47)*IFERROR($QR$11,0)</f>
        <v>0</v>
      </c>
      <c r="GA47" s="155">
        <f>_xlfn.MAXIFS('Load-MarineShip'!$K$27:$K$136,'Load-MarineShip'!$F$27:$F$136,$FG47)*IFERROR($QR$12,0)</f>
        <v>0</v>
      </c>
      <c r="GB47" s="313">
        <f>IF(OR(Flare!$D$24="fuel gas",Flare!$D$38="fuel gas"),SUMIF(Flare!$E$97:$E$106,$FG47,Flare!$F$97:$F$106),0)*IFERROR($QR$13,0)</f>
        <v>0</v>
      </c>
      <c r="GC47" s="313">
        <f>(_xlfn.MAXIFS(CtrlDevImpacts!$I$57:$I$156,CtrlDevImpacts!$H$57:$H$156,$FG47))*IFERROR($QR$13,0)</f>
        <v>0</v>
      </c>
      <c r="GD47" s="313">
        <f>(_xlfn.MAXIFS(Flare!$F$107:$F$216,Flare!$E$107:$E$216,$FG47)-_xlfn.MAXIFS(CtrlDevImpacts!$I$57:$I$156,CtrlDevImpacts!$H$57:$H$156,$FG47))*IFERROR($QR$13,0)</f>
        <v>0</v>
      </c>
      <c r="GE47" s="155">
        <f>_xlfn.MAXIFS(LandEmiss!$B$335:$B$434,LandEmiss!$A$335:$A$434,$FG47)*IFERROR($QR$13,0)</f>
        <v>0</v>
      </c>
      <c r="GF47" s="155">
        <f>(_xlfn.MAXIFS(LandEmiss!$BK$335:$BK$434,LandEmiss!$BJ$335:$BJ$434,$FG47)+_xlfn.MAXIFS(LandEmiss!$DV$323:$DV$422,LandEmiss!$DU$323:$DU$422,$FG47))*IFERROR($QR$13,0)</f>
        <v>0</v>
      </c>
      <c r="GG47" s="313">
        <f>IF(OR(VCU!$D$26="fuel gas",VCU!$D$42="fuel gas"),SUMIF(VCU!$E$120:$E$129,$FG47,VCU!$F$120:$F$129),0)*IFERROR($QR$14,0)</f>
        <v>0</v>
      </c>
      <c r="GH47" s="313">
        <f>(_xlfn.MAXIFS(CtrlDevImpacts!$X$57:$X$156,CtrlDevImpacts!$W$57:$W$156,$FG47))*IFERROR($QR$14,0)</f>
        <v>0</v>
      </c>
      <c r="GI47" s="313">
        <f>(_xlfn.MAXIFS(VCU!$F$130:$F$239,VCU!$E$130:$E$239,$FG47)-_xlfn.MAXIFS(CtrlDevImpacts!$X$57:$X$156,CtrlDevImpacts!$W$57:$W$156,$FG47))*IFERROR($QR$14,0)</f>
        <v>0</v>
      </c>
      <c r="GJ47" s="155">
        <f>_xlfn.MAXIFS(LandEmiss!$D$335:$D$434,LandEmiss!$A$335:$A$434,$FG47)*IFERROR($QR$14,0)</f>
        <v>0</v>
      </c>
      <c r="GK47" s="155">
        <f>(_xlfn.MAXIFS(LandEmiss!$BM$335:$BM$434,LandEmiss!$BJ$335:$BJ$434,$FG47)+_xlfn.MAXIFS(LandEmiss!$DX$323:$DX$422,LandEmiss!$DU$323:$DU$422,$FG47))*IFERROR($QR$14,0)</f>
        <v>0</v>
      </c>
      <c r="GL47" s="313">
        <f>IF(VaporOxidizer!D78="FUEL GAS",SUMIF(VaporOxidizer!$E$101:$E$110,$FG47,VaporOxidizer!$F$101:$F$110),0)*IFERROR($QR$15,0)</f>
        <v>0</v>
      </c>
      <c r="GM47" s="313">
        <f>(_xlfn.MAXIFS(CtrlDevImpacts!$AN$57:$AN$156,CtrlDevImpacts!$AM$57:$AM$156,$FG47))*IFERROR($QR$15,0)</f>
        <v>0</v>
      </c>
      <c r="GN47" s="313">
        <f>(_xlfn.MAXIFS(VaporOxidizer!$F$111:$F$220,VaporOxidizer!$E$111:$E$220,$FG47)-_xlfn.MAXIFS(CtrlDevImpacts!$AN$57:$AN$156,CtrlDevImpacts!$AM$57:$AM$156,$FG47))*IFERROR($QR$15,0)</f>
        <v>0</v>
      </c>
      <c r="GO47" s="155">
        <f>_xlfn.MAXIFS(LandEmiss!$F$335:$F$434,LandEmiss!$A$335:$A$434,$FG47)*IFERROR($QR$15,0)</f>
        <v>0</v>
      </c>
      <c r="GP47" s="155">
        <f>(_xlfn.MAXIFS(LandEmiss!$BK$335:$BK$434,LandEmiss!$BO$335:$BO$434,$FG47)+_xlfn.MAXIFS(LandEmiss!$DZ$323:$DZ$422,LandEmiss!$DU$323:$DU$422,$FG47))*IFERROR($QR$15,0)</f>
        <v>0</v>
      </c>
      <c r="GQ47" s="313">
        <f>_xlfn.MAXIFS(CtrlDevImpacts!$BD$57:$BD$156,CtrlDevImpacts!$BC$57:$BC$156,$FG47)*IFERROR(Hidden!$QR$16,0)</f>
        <v>0</v>
      </c>
      <c r="GR47" s="313">
        <f>(_xlfn.MAXIFS(CAS!$H$35:$H$144,CAS!$E$35:$E$144,$FG47)-_xlfn.MAXIFS(CtrlDevImpacts!$BD$57:$BD$156,CtrlDevImpacts!$BC$57:$BC$156,$FG47))*IFERROR(Hidden!$QR$16,0)</f>
        <v>0</v>
      </c>
      <c r="GS47" s="155">
        <f>_xlfn.MAXIFS(LandEmiss!$H$335:$H$434,LandEmiss!$A$335:$A$434,$FG47)*IFERROR($QR$27,0)</f>
        <v>0</v>
      </c>
      <c r="GT47" s="155">
        <f>(_xlfn.MAXIFS(LandEmiss!$BK$335:$BK$434,LandEmiss!$BQ$335:$BQ$434,$FG47)+_xlfn.MAXIFS(LandEmiss!$EB$323:$EB$422,LandEmiss!$DU$323:$DU$422,$FG47))*IFERROR($QR$27,0)</f>
        <v>0</v>
      </c>
      <c r="GU47" s="155">
        <f>_xlfn.MAXIFS(LandEmiss!$J$335:$J$434,LandEmiss!$A$335:$A$434,$FG47)*IFERROR($QR$26,0)</f>
        <v>0</v>
      </c>
      <c r="GV47" s="155">
        <f>(_xlfn.MAXIFS(LandEmiss!$BK$335:$BK$434,LandEmiss!$BS$335:$BS$434,$FG47)+_xlfn.MAXIFS(LandEmiss!$ED$323:$ED$422,LandEmiss!$DU$323:$DU$422,$FG47))*IFERROR($QR$26,0)</f>
        <v>0</v>
      </c>
      <c r="GW47" s="155">
        <f>_xlfn.MAXIFS(LandEmiss!$L$335:$L$434,LandEmiss!$A$335:$A$434,$FG47)*IFERROR($QR$25,0)</f>
        <v>0</v>
      </c>
      <c r="GX47" s="155">
        <f>(_xlfn.MAXIFS(LandEmiss!$BK$335:$BK$434,LandEmiss!$BU$335:$BU$434,$FG47)+_xlfn.MAXIFS(LandEmiss!$EF$323:$EF$422,LandEmiss!$DU$323:$DU$422,$FG47))*IFERROR($QR$25,0)</f>
        <v>0</v>
      </c>
      <c r="GY47" s="155">
        <v>0</v>
      </c>
      <c r="GZ47" s="155">
        <v>0</v>
      </c>
      <c r="HA47" s="155">
        <f>IF(OR(HeaterBoiler1!$E$26&lt;&gt;"fuel gas",HeaterBoiler1!$E$15&lt;&gt;"heater"),0,SUMIF(HeaterBoiler1!$A$54:$D$63,$FG47,HeaterBoiler1!$I$54:$I$63))*IFERROR($QR$19,0)</f>
        <v>0</v>
      </c>
      <c r="HB47" s="207">
        <f>IF(OR(HeaterBoiler2!$E$26&lt;&gt;"fuel gas",HeaterBoiler2!$E$15&lt;&gt;"heater"),0,SUMIF(HeaterBoiler2!$A$54:$D$63,$FG47,HeaterBoiler2!$I$54:$I$63))*IFERROR($QR$21,0)</f>
        <v>0</v>
      </c>
      <c r="HC47" s="155">
        <f>IF(OR(HeaterBoiler1!$E$26&lt;&gt;"fuel gas",HeaterBoiler1!$E$15&lt;&gt;"boiler"),0,SUMIF(HeaterBoiler1!$A$41:$A$50,$FG47,HeaterBoiler1!$F$41:$F$50))*IFERROR($QR$20,0)</f>
        <v>0</v>
      </c>
      <c r="HD47" s="207">
        <f>IF(OR(HeaterBoiler2!$E$26&lt;&gt;"fuel gas",HeaterBoiler2!$E$15&lt;&gt;"boiler"),0,SUMIF(HeaterBoiler2!$A$41:$A$50,$FG47,HeaterBoiler2!$F$41:$F$50))*IFERROR($QR$22,0)</f>
        <v>0</v>
      </c>
      <c r="HE47" s="155">
        <f>SUMIF(Fug!$A$96:$A$205,$FG47,Fug!$I$96:$I$205)*IFERROR(Hidden!$QR$23,0)</f>
        <v>0</v>
      </c>
      <c r="HF47" s="155">
        <f t="shared" si="24"/>
        <v>0</v>
      </c>
      <c r="HG47" s="156">
        <f t="shared" si="25"/>
        <v>0</v>
      </c>
      <c r="HH47" s="156">
        <f t="shared" si="26"/>
        <v>0</v>
      </c>
      <c r="HI47" s="156">
        <f t="shared" si="27"/>
        <v>0</v>
      </c>
      <c r="HJ47" s="156">
        <f t="shared" si="28"/>
        <v>0</v>
      </c>
      <c r="HK47" s="156">
        <f t="shared" si="29"/>
        <v>0</v>
      </c>
      <c r="HL47" s="156">
        <f t="shared" si="30"/>
        <v>0</v>
      </c>
      <c r="NO47" s="155">
        <f>IF(Tank1!$D$22="No control",(SUMIF(Tank1!$E$32:$E$141,$FG47,Tank1!$H$32:$H$141)*(2000/8760)*IFERROR($QV$3,0)),0)</f>
        <v>0</v>
      </c>
      <c r="NP47" s="156">
        <f>SUMIF(LandEmiss!$AE$20:$AE$119,$FG47,LandEmiss!$AK$20:$AK$119)*(2000/8760)*IFERROR($QV$3,0)</f>
        <v>0</v>
      </c>
      <c r="NQ47" s="156">
        <f>(SUMIF(LandEmiss!$CN$20:$CN$119,$FG47,LandEmiss!$CT$20:$CT$119)+SUMIF(LandEmiss!$EY$9:$EY$108,$FG47,LandEmiss!$FE$9:$FE$108))*IFERROR($QV$3,0)*(2000/8760)</f>
        <v>0</v>
      </c>
      <c r="NR47" s="155">
        <f>IF(Tank2!$D$22="No control",(SUMIF(Tank2!$E$32:$E$141,$FG47,Tank2!$H$32:$H$141)*(2000/8760)*IFERROR($QV$4,0)),0)</f>
        <v>0</v>
      </c>
      <c r="NS47" s="156">
        <f>SUMIF(LandEmiss!$AE$20:$AE$119,$FG47,LandEmiss!$AL$20:$AL$119)*(2000/8760)*IFERROR($QV$4,0)</f>
        <v>0</v>
      </c>
      <c r="NT47" s="156">
        <f>(SUMIF(LandEmiss!$CN$20:$CN$119,$FG47,LandEmiss!$CU$20:$CU$119)+SUMIF(LandEmiss!$EY$9:$EY$108,$FG47,LandEmiss!$FF$9:$FF$108))*IFERROR($QV$4,0)*(2000/8760)</f>
        <v>0</v>
      </c>
      <c r="NU47" s="155">
        <f>IF(Tank3!$D$22="No control",(SUMIF(Tank3!$E$32:$E$141,$FG47,Tank3!$H$32:$H$141)*(2000/8760)*IFERROR($QV$5,0)),0)</f>
        <v>0</v>
      </c>
      <c r="NV47" s="156">
        <f>SUMIF(LandEmiss!$AE$20:$AE$119,$FG47,LandEmiss!$AM$20:$AM$119)*(2000/8760)*IFERROR($QV$5,0)</f>
        <v>0</v>
      </c>
      <c r="NW47" s="156">
        <f>(SUMIF(LandEmiss!$CN$20:$CN$119,$FG47,LandEmiss!$CV$20:$CV$119)+SUMIF(LandEmiss!$EY$9:$EY$108,$FG47,LandEmiss!$FG$9:$FG$108))*IFERROR($QV$5,0)*(2000/8760)</f>
        <v>0</v>
      </c>
      <c r="NX47" s="155">
        <f>IF(Tank4!$D$22="No control",(SUMIF(Tank4!$E$32:$E$141,$FG47,Tank4!$H$32:$H$141)*(2000/8760)*IFERROR($QV$6,0)),0)</f>
        <v>0</v>
      </c>
      <c r="NY47" s="156">
        <f>SUMIF(LandEmiss!$AE$20:$AE$119,$FG47,LandEmiss!$AN$20:$AN$119)*(2000/8760)*IFERROR($QV$6,0)</f>
        <v>0</v>
      </c>
      <c r="NZ47" s="156">
        <f>(SUMIF(LandEmiss!$CN$20:$CN$119,$FG47,LandEmiss!$CW$20:$CW$119)+SUMIF(LandEmiss!$EY$9:$EY$108,$FG47,LandEmiss!$FH$9:$FH$108))*IFERROR($QV$6,0)*(2000/8760)</f>
        <v>0</v>
      </c>
      <c r="OA47" s="155">
        <f>IF(Tank5!$D$22="No control",(SUMIF(Tank5!$E$32:$E$141,$FG47,Tank5!$H$32:$H$141)*(2000/8760)*IFERROR($QV$7,0)),0)</f>
        <v>0</v>
      </c>
      <c r="OB47" s="156">
        <f>SUMIF(LandEmiss!$AE$20:$AE$119,$FG47,LandEmiss!$AO$20:$AO$119)*(2000/8760)*IFERROR($QV$7,0)</f>
        <v>0</v>
      </c>
      <c r="OC47" s="156">
        <f>(SUMIF(LandEmiss!$CN$20:$CN$119,$FG47,LandEmiss!$CX$20:$CX$119)+SUMIF(LandEmiss!$EY$9:$EY$108,$FG47,LandEmiss!$FI$9:$FI$108))*IFERROR($QV$7,0)*(2000/8760)</f>
        <v>0</v>
      </c>
      <c r="OD47" s="155">
        <f>SUMIFS('Load-DrumTote'!$L$27:$L$136,'Load-DrumTote'!$F$27:$F$136,$FG47)*IFERROR($QV$8,0)*(2000/8760)</f>
        <v>0</v>
      </c>
      <c r="OE47" s="155">
        <f>SUMIFS('Load-Truck'!$L$27:$L$136,'Load-Truck'!$F$27:$F$136,$FG47)*IFERROR($QV$9,0)*(2000/8760)</f>
        <v>0</v>
      </c>
      <c r="OF47" s="155">
        <f>SUMIFS('Load-Rail'!$L$27:$L$136,'Load-Rail'!$F$27:$F$136,$FG47)*IFERROR($QV$10,0)*(2000/8760)</f>
        <v>0</v>
      </c>
      <c r="OG47" s="155">
        <f>SUMIFS('Load-MarineBarge'!$L$27:$L$136,'Load-MarineBarge'!$F$27:$F$136,$FG47)*IFERROR($QV$11,0)*(2000/8760)</f>
        <v>0</v>
      </c>
      <c r="OH47" s="155">
        <f>SUMIFS('Load-MarineShip'!$L$27:$L$136,'Load-MarineShip'!$F$27:$F$136,$FG47)*IFERROR($QV$12,0)*(2000/8760)</f>
        <v>0</v>
      </c>
      <c r="OI47" s="155">
        <f>(IF(OR(Flare!$D$24="FUEL GAS",Flare!$D$38="FUEL GAS"),SUMIF(Flare!$E$97:$E$106,$FG47,Flare!$G$97:$G$105),0)+SUMIF(Flare!$E$107:$E$216,$FG47,Flare!$G$107:$G$216))*(2000/8730)*IFERROR($QV$13,0)</f>
        <v>0</v>
      </c>
      <c r="OJ47" s="155">
        <f>SUMIF(LandEmiss!$A$335:$A$434,$FG47,LandEmiss!$C$335:$C$434)*(2000/8760)*IFERROR($QV$13,0)</f>
        <v>0</v>
      </c>
      <c r="OK47" s="155">
        <f>(SUMIF(LandEmiss!$BJ$335:$BJ$434,$FG47,LandEmiss!$BL$335:$BL$434)+SUMIF(LandEmiss!$DU$323:$DU$422,$FG47,LandEmiss!$DW$323:$DW$422))*(2000/8760)*IFERROR($QV$13,0)</f>
        <v>0</v>
      </c>
      <c r="OL47" s="155">
        <f>(IF(OR(VCU!$D$26="FUEL GAS",VCU!$D$42="FUEL GAS"),SUMIF(VCU!$E$120:$E$129,$FG47,VCU!$G$120:$G$129),0)+SUMIF(VCU!$E$130:$E$239,$FG47,VCU!G175:G284))*(2000/8760)*IFERROR($QV$14,0)</f>
        <v>0</v>
      </c>
      <c r="OM47" s="155">
        <f>SUMIF(LandEmiss!$A$335:$A$434,$FG47,LandEmiss!$E$335:$E$434)*(2000/8760)*IFERROR($QV$14,0)</f>
        <v>0</v>
      </c>
      <c r="ON47" s="155">
        <f>(SUMIF(LandEmiss!$BJ$335:$BJ$434,$FG47,LandEmiss!$BN$335:$BN$434)+SUMIF(LandEmiss!$DU$323:$DU$422,$FG47,LandEmiss!$DY$323:$DY$422))*(2000/8760)*IFERROR($QV$14,0)</f>
        <v>0</v>
      </c>
      <c r="OO47" s="155">
        <f>(IF(VaporOxidizer!$D$33="FUEL GAS",SUMIF(VaporOxidizer!$E$101:$E$110,$FG47,VaporOxidizer!$G$101:$G$110),0)+SUMIF(VaporOxidizer!$E$111:$E$220,$FG47,VaporOxidizer!$G$111:$G$220))*(2000/8760)*IFERROR($QV$15,0)</f>
        <v>0</v>
      </c>
      <c r="OP47" s="155">
        <f>SUMIF(LandEmiss!$A$335:$A$434,$FG47,LandEmiss!$G$335:$G$434)*(2000/8760)*IFERROR($QV$15,0)</f>
        <v>0</v>
      </c>
      <c r="OQ47" s="155">
        <f>(SUMIF(LandEmiss!$BJ$335:$BJ$434,$FG47,LandEmiss!$BP$335:$BP$434)+SUMIF(LandEmiss!$DU$323:$DU$422,$FG47,LandEmiss!$EA$323:$EA$422))*(2000/8760)*IFERROR($QV$15,0)</f>
        <v>0</v>
      </c>
      <c r="OR47" s="155">
        <f>SUMIF(CAS!$E$35:$E$144,Hidden!$FG47,CAS!$I$35:$I$144)*IFERROR($QV$16,0)*(2000/8760)</f>
        <v>0</v>
      </c>
      <c r="OS47" s="155">
        <f>SUMIF(LandEmiss!$A$335:$A$434,$FG47,LandEmiss!$I$335:$I$434)*(2000/8760)*IFERROR($QV$27,0)</f>
        <v>0</v>
      </c>
      <c r="OT47" s="155">
        <f>(SUMIF(LandEmiss!$BJ$335:$BJ$434,$FG47,LandEmiss!$BR$335:$BR$434)+SUMIF(LandEmiss!$DU$323:$DU$422,$FG47,LandEmiss!$EC$323:$EC$422))*(2000/8760)*IFERROR($QV$27,0)</f>
        <v>0</v>
      </c>
      <c r="OU47" s="155">
        <f>SUMIF(LandEmiss!$A$335:$A$434,$FG47,LandEmiss!$K$335:$K$434)*(2000/8760)*IFERROR($QV$26,0)</f>
        <v>0</v>
      </c>
      <c r="OV47" s="155">
        <f>(SUMIF(LandEmiss!$BJ$335:$BJ$434,$FG47,LandEmiss!$BT$335:$BT$434)+SUMIF(LandEmiss!$DU$323:$DU$422,$FG47,LandEmiss!$EE$323:$EE$422))*(2000/8760)*IFERROR($QV$26,0)</f>
        <v>0</v>
      </c>
      <c r="OW47" s="155">
        <f>SUMIF(LandEmiss!$A$335:$A$434,$FG47,LandEmiss!$M$335:$M$434)*(2000/8760)*IFERROR($QV$25,0)</f>
        <v>0</v>
      </c>
      <c r="OX47" s="155">
        <f>(SUMIF(LandEmiss!$BJ$335:$BJ$434,$FG47,LandEmiss!$BV$335:$BV$434)+SUMIF(LandEmiss!$DU$323:$DU$422,$FG47,LandEmiss!$EG$323:$EG$422))*(2000/8760)*IFERROR($QV$25,0)</f>
        <v>0</v>
      </c>
      <c r="OY47" s="8">
        <v>0</v>
      </c>
      <c r="OZ47" s="207">
        <v>0</v>
      </c>
      <c r="PA47" s="207">
        <f>IF(OR(HeaterBoiler1!$E$26&lt;&gt;"fuel gas",HeaterBoiler1!$E$15&lt;&gt;"heater"),0,(SUMIF(HeaterBoiler1!$A$54:$D$63,$FG47,HeaterBoiler1!$J$54:$J$63))*(2000/8760))*IFERROR($QV$19,0)</f>
        <v>0</v>
      </c>
      <c r="PB47" s="207">
        <f>IF(OR(HeaterBoiler2!$E$26&lt;&gt;"fuel gas",HeaterBoiler2!$E$15&lt;&gt;"heater"),0,(SUMIF(HeaterBoiler2!$A$54:$D$63,$FG47,HeaterBoiler2!$J$54:$J$63))*(2000/8760))*IFERROR($QV$21,0)</f>
        <v>0</v>
      </c>
      <c r="PC47" s="207">
        <f>IF(OR(HeaterBoiler1!$E$26&lt;&gt;"fuel gas",HeaterBoiler1!$E$15&lt;&gt;"boiler"),0,(SUMIF(HeaterBoiler1!$A$54:$D$63,$FG47,HeaterBoiler1!$J$54:$J$63))*(2000/8760))*IFERROR($QV$20,0)</f>
        <v>0</v>
      </c>
      <c r="PD47" s="207">
        <f>IF(OR(HeaterBoiler2!$E$26&lt;&gt;"fuel gas",HeaterBoiler2!$E$15&lt;&gt;"boiler"),0,(SUMIF(HeaterBoiler2!$A$54:$D$63,$FG47,HeaterBoiler2!$J$54:$J$63))*(2000/8760))*IFERROR($QV$22,0)</f>
        <v>0</v>
      </c>
      <c r="PE47" s="8">
        <f>(SUMIF(Fug!$A$96:$A$205,$FG47,Fug!$J$96:$J$205))*IFERROR($QV$23,0)*(2000/8760)</f>
        <v>0</v>
      </c>
      <c r="PF47" s="8">
        <f t="shared" si="31"/>
        <v>0</v>
      </c>
      <c r="PG47" s="156">
        <f t="shared" si="32"/>
        <v>0</v>
      </c>
      <c r="PJ47" s="52" t="str">
        <f>IF(Fug!$F$16=Hidden!$PP$2,"Sampling (annual)","")</f>
        <v/>
      </c>
      <c r="PK47" s="52" t="str">
        <f>IF(Fug!$F$16=Hidden!$PP$2,"Light Oil &gt;20°","")</f>
        <v/>
      </c>
      <c r="PL47" s="52"/>
      <c r="PM47" s="52"/>
      <c r="PN47" s="52"/>
      <c r="PO47" s="52"/>
      <c r="PP47" s="52">
        <v>3.3000000000000002E-2</v>
      </c>
      <c r="PQ47" s="52"/>
      <c r="PR47" s="52"/>
      <c r="PS47" s="52"/>
      <c r="PT47" s="52" t="s">
        <v>8795</v>
      </c>
      <c r="PU47" s="52" t="s">
        <v>8781</v>
      </c>
      <c r="PV47" s="52">
        <v>0</v>
      </c>
      <c r="PW47" s="52">
        <v>0</v>
      </c>
      <c r="PX47" s="52">
        <v>0</v>
      </c>
      <c r="PY47" s="52">
        <v>0</v>
      </c>
      <c r="PZ47" s="52">
        <v>0</v>
      </c>
      <c r="QA47" s="52">
        <v>0</v>
      </c>
      <c r="QB47" s="52"/>
      <c r="QC47" s="52"/>
      <c r="QD47" s="52"/>
      <c r="QE47" s="52"/>
      <c r="QF47" s="52"/>
      <c r="QG47" s="52"/>
      <c r="QH47" s="52"/>
      <c r="QI47" s="52"/>
      <c r="QX47" s="89" t="s">
        <v>9325</v>
      </c>
      <c r="QY47">
        <v>5.8</v>
      </c>
      <c r="QZ47">
        <v>5.8</v>
      </c>
      <c r="RA47">
        <v>5.8</v>
      </c>
      <c r="RB47">
        <v>5.8</v>
      </c>
      <c r="RC47">
        <v>5.8</v>
      </c>
      <c r="RD47">
        <v>5.69</v>
      </c>
      <c r="RE47">
        <v>5.09</v>
      </c>
      <c r="RF47">
        <v>4.72</v>
      </c>
      <c r="RG47" s="90">
        <v>4.03</v>
      </c>
      <c r="RH47" s="89" t="s">
        <v>9325</v>
      </c>
      <c r="RI47">
        <v>4.5999999999999996</v>
      </c>
      <c r="RJ47">
        <v>4.5999999999999996</v>
      </c>
      <c r="RK47">
        <v>4.5999999999999996</v>
      </c>
      <c r="RL47">
        <v>4.5999999999999996</v>
      </c>
      <c r="RM47">
        <v>4.5999999999999996</v>
      </c>
      <c r="RN47">
        <v>4.5999999999999996</v>
      </c>
      <c r="RO47">
        <v>4.5999999999999996</v>
      </c>
      <c r="RP47">
        <v>4.28</v>
      </c>
      <c r="RQ47" s="90">
        <v>3.76</v>
      </c>
      <c r="RR47" s="89" t="s">
        <v>9325</v>
      </c>
      <c r="RS47">
        <v>4.25</v>
      </c>
      <c r="RT47">
        <v>4.25</v>
      </c>
      <c r="RU47">
        <v>4.25</v>
      </c>
      <c r="RV47">
        <v>4.25</v>
      </c>
      <c r="RW47">
        <v>4.25</v>
      </c>
      <c r="RX47">
        <v>4.25</v>
      </c>
      <c r="RY47">
        <v>4.25</v>
      </c>
      <c r="RZ47">
        <v>4.12</v>
      </c>
      <c r="SA47" s="90">
        <v>3.61</v>
      </c>
      <c r="SB47" s="89" t="s">
        <v>9325</v>
      </c>
      <c r="SC47">
        <v>3.43</v>
      </c>
      <c r="SD47">
        <v>3.43</v>
      </c>
      <c r="SE47">
        <v>3.43</v>
      </c>
      <c r="SF47">
        <v>3.43</v>
      </c>
      <c r="SG47">
        <v>3.43</v>
      </c>
      <c r="SH47">
        <v>3.43</v>
      </c>
      <c r="SI47">
        <v>3.43</v>
      </c>
      <c r="SJ47">
        <v>3.43</v>
      </c>
      <c r="SK47" s="90">
        <v>2.94</v>
      </c>
      <c r="SL47" s="89" t="s">
        <v>9325</v>
      </c>
      <c r="SM47">
        <v>0.54</v>
      </c>
      <c r="SN47">
        <v>0.54</v>
      </c>
      <c r="SO47">
        <v>0.54</v>
      </c>
      <c r="SP47">
        <v>0.54</v>
      </c>
      <c r="SQ47">
        <v>0.54</v>
      </c>
      <c r="SR47">
        <v>0.54</v>
      </c>
      <c r="SS47">
        <v>0.54</v>
      </c>
      <c r="ST47">
        <v>0.54</v>
      </c>
      <c r="SU47" s="90">
        <v>0.48</v>
      </c>
    </row>
    <row r="48" spans="1:533" ht="74.25" customHeight="1" x14ac:dyDescent="0.2">
      <c r="A48" s="8" t="s">
        <v>225</v>
      </c>
      <c r="B48" s="8">
        <v>12</v>
      </c>
      <c r="W48">
        <f>IF(OR(X48=0,ISNUMBER(MATCH(X48,$X$1:X47,0))),0,MAX($W$1:W47)+1)</f>
        <v>0</v>
      </c>
      <c r="X48" s="123">
        <f>Products!$E95</f>
        <v>0</v>
      </c>
      <c r="Y48" t="str">
        <f t="shared" si="39"/>
        <v/>
      </c>
      <c r="CA48">
        <f>IF(OR(CB48=0,ISNUMBER(MATCH(CB48,$CB$1:CB47,0))),0,MAX($CA$1:CA47)+1)</f>
        <v>0</v>
      </c>
      <c r="CB48" s="8">
        <f>IF(OR(Tank1!$D$18="EXTERNAL FLOATING ROOF",Tank1!$D$18="INTERNAL FLOATING ROOF"),IF(Tank1!$E78="",0,Tank1!$E78),0)</f>
        <v>0</v>
      </c>
      <c r="CC48" s="8" t="str">
        <f t="shared" si="40"/>
        <v/>
      </c>
      <c r="CD48" s="8"/>
      <c r="CE48" s="8">
        <f>IF(OR(CF48=0,ISNUMBER(MATCH(CF48,$CF$1:CF47,0))),0,MAX($CE$1:CE47)+1)</f>
        <v>0</v>
      </c>
      <c r="CF48" s="8">
        <f>IF(OR(Tank1!$D$18="HORIZONTAL FIXED ROOF",Tank1!$D$18="VERTICAL FIXED ROOF"),IF(Tank1!$E78="",0,Tank1!$E78),0)</f>
        <v>0</v>
      </c>
      <c r="CG48" s="8" t="str">
        <f t="shared" si="41"/>
        <v/>
      </c>
      <c r="CJ48">
        <f>IF(OR(CK48=0,ISNUMBER(MATCH(CK48,$CK$1:CK47,0))),0,MAX($CJ$1:CJ47)+1)</f>
        <v>0</v>
      </c>
      <c r="CK48">
        <f>Tank5!$A$98</f>
        <v>0</v>
      </c>
      <c r="CM48">
        <f>IFERROR(VLOOKUP($CK48,Tank5!$A$32:$D$141,3,FALSE),0)</f>
        <v>0</v>
      </c>
      <c r="CN48">
        <f>IFERROR(VLOOKUP($CK48,Tank5!$A$32:$D$141,4,FALSE),0)</f>
        <v>0</v>
      </c>
      <c r="DM48">
        <f>IF(OR(DN48=0,ISNUMBER(MATCH(DN48,$DN$1:DN47,0))),0,MAX($DM$1:DM47)+1)</f>
        <v>0</v>
      </c>
      <c r="DN48">
        <f>IF(Tank5!$D$22="Flare",IFERROR(VLOOKUP(Products!$A$119,Tank5!$A$32:$B$141,1,FALSE),0),0)</f>
        <v>0</v>
      </c>
      <c r="DO48">
        <f>IF($DN48=0,0,VLOOKUP($DN48,Tank5!$A$32:$H$141,7,FALSE))</f>
        <v>0</v>
      </c>
      <c r="DP48">
        <f>IF($DN48=0,0,VLOOKUP($DN48,Tank5!$A$32:$H$141,8,FALSE))</f>
        <v>0</v>
      </c>
      <c r="DU48">
        <f>IF(OR(DV48=0,ISNUMBER(MATCH(DV48,$DV$1:DV47,0))),0,MAX($DU$1:DU47)+1)</f>
        <v>0</v>
      </c>
      <c r="DV48">
        <f>IF(Tank5!$D$22="VCU",IFERROR(VLOOKUP(Products!$A$119,Tank5!$A$32:$B$141,1,FALSE),0),0)</f>
        <v>0</v>
      </c>
      <c r="DW48">
        <f>IF($DV48=0,0,VLOOKUP($DV48,Tank5!$A$32:$H$141,7,FALSE))</f>
        <v>0</v>
      </c>
      <c r="DX48">
        <f>IF($DV48=0,0,VLOOKUP($DV48,Tank5!$A$32:$H$141,8,FALSE))</f>
        <v>0</v>
      </c>
      <c r="EC48">
        <f>IF(OR(ED48=0,ISNUMBER(MATCH(ED48,$ED$1:ED47,0))),0,MAX($EC$1:EC47)+1)</f>
        <v>0</v>
      </c>
      <c r="ED48">
        <f>IF(Tank5!$D$22="vapor oxidizer",IFERROR(VLOOKUP(Products!$A$119,Tank5!$A$32:$B$141,1,FALSE),0),0)</f>
        <v>0</v>
      </c>
      <c r="EE48">
        <f>IF($ED48=0,0,VLOOKUP($ED48,Tank5!$A$32:$H$141,7,FALSE))</f>
        <v>0</v>
      </c>
      <c r="EF48">
        <f>IF($ED48=0,0,VLOOKUP($ED48,Tank5!$A$32:$H$141,8,FALSE))</f>
        <v>0</v>
      </c>
      <c r="EK48">
        <f>IF(OR(EL48=0,ISNUMBER(MATCH(EL48,$EL$1:EL47,0))),0,MAX($EK$1:EK47)+1)</f>
        <v>0</v>
      </c>
      <c r="EL48">
        <f>IF(Tank5!$D$22="CAS",IFERROR(VLOOKUP(Products!A119,Tank5!$A$32:$B$141,1,FALSE),0),0)</f>
        <v>0</v>
      </c>
      <c r="EM48">
        <f>IF($EL48=0,0,VLOOKUP($EL48,Tank5!$A$32:$H$141,7,FALSE))</f>
        <v>0</v>
      </c>
      <c r="EN48">
        <f>IF($EL48=0,0,VLOOKUP($EL48,Tank5!$A$32:$H$141,8,FALSE))</f>
        <v>0</v>
      </c>
      <c r="FB48" s="8" t="s">
        <v>449</v>
      </c>
      <c r="FC48" s="8" t="s">
        <v>450</v>
      </c>
      <c r="FD48" s="8">
        <v>5700</v>
      </c>
      <c r="FE48" s="8">
        <v>570</v>
      </c>
      <c r="FG48" s="360" t="str">
        <f t="shared" si="23"/>
        <v/>
      </c>
      <c r="FH48" s="155">
        <f>IF(Tank1!$D$22="NO CONTROL",_xlfn.MAXIFS(Tank1!$G$32:$G$141,Tank1!$E$32:$E$141,$FG48),0)*IFERROR($QR$3,0)</f>
        <v>0</v>
      </c>
      <c r="FI48" s="155">
        <f>_xlfn.MAXIFS(LandEmiss!$AF$20:$AF$119,LandEmiss!$AE$20:$AE$119,$FG48)*IFERROR($QR$3,0)</f>
        <v>0</v>
      </c>
      <c r="FJ48" s="155">
        <f>MAX(_xlfn.MAXIFS(LandEmiss!$CO$20:$CO$119,LandEmiss!$CN$20:$CN$119,$FG48),_xlfn.MAXIFS(LandEmiss!$EZ$9:$EZ$108,LandEmiss!$EY$9:$EY$108,$FG48))*IFERROR($QR$3,0)</f>
        <v>0</v>
      </c>
      <c r="FK48" s="155">
        <f>IF(Tank2!$D$22="NO CONTROL",_xlfn.MAXIFS(Tank2!$G$32:$G$141,Tank2!$E$32:$E$141,$FG48),0)*IFERROR($QR$4,0)</f>
        <v>0</v>
      </c>
      <c r="FL48" s="155">
        <f>_xlfn.MAXIFS(LandEmiss!$AG$20:$AG$119,LandEmiss!$AE$20:$AE$119,$FG48)*IFERROR($QR$4,0)</f>
        <v>0</v>
      </c>
      <c r="FM48" s="155">
        <f>MAX(_xlfn.MAXIFS(LandEmiss!$CP$20:$CP$119,LandEmiss!$CN$20:$CN$119,$FG48),_xlfn.MAXIFS(LandEmiss!$FA$9:$FA$108,LandEmiss!$EY$9:$EY$108,$FG48))*IFERROR($QR$4,0)</f>
        <v>0</v>
      </c>
      <c r="FN48" s="155">
        <f>IF(Tank3!$D$22="NO CONTROL",_xlfn.MAXIFS(Tank3!$G$32:$G$141,Tank3!$E$32:$E$141,$FG48),0)*IFERROR($QR$5,0)</f>
        <v>0</v>
      </c>
      <c r="FO48" s="155">
        <f>_xlfn.MAXIFS(LandEmiss!$AH$20:$AH$119,LandEmiss!$AE$20:$AE$119,$FG48)*IFERROR($QR$5,0)</f>
        <v>0</v>
      </c>
      <c r="FP48" s="155">
        <f>MAX(_xlfn.MAXIFS(LandEmiss!$CQ$20:$CQ$119,LandEmiss!$CN$20:$CN$119,$FG48),_xlfn.MAXIFS(LandEmiss!$FB$9:$FB$108,LandEmiss!$EY$9:$EY$108,$FG48))*IFERROR($QR$5,0)</f>
        <v>0</v>
      </c>
      <c r="FQ48" s="155">
        <f>IF(Tank4!$D$22="NO CONTROL",_xlfn.MAXIFS(Tank4!$G$32:$G$141,Tank4!$E$32:$E$141,$FG48),0)*IFERROR($QR$6,0)</f>
        <v>0</v>
      </c>
      <c r="FR48" s="155">
        <f>_xlfn.MAXIFS(LandEmiss!$AI$20:$AI$119,LandEmiss!$AE$20:$AE$119,$FG48)*IFERROR($QR$6,0)</f>
        <v>0</v>
      </c>
      <c r="FS48" s="155">
        <f>MAX(_xlfn.MAXIFS(LandEmiss!$CR$20:$CR$119,LandEmiss!$CN$20:$CN$119,$FG48),_xlfn.MAXIFS(LandEmiss!$FC$9:$FC$108,LandEmiss!$EY$9:$EY$108,$FG48))*IFERROR($QR$6,0)</f>
        <v>0</v>
      </c>
      <c r="FT48" s="155">
        <f>IF(Tank5!$D$22="NO CONTROL",_xlfn.MAXIFS(Tank5!$G$32:$G$141,Tank5!$E$32:$E$141,$FG48),0)*IFERROR($QR$7,0)</f>
        <v>0</v>
      </c>
      <c r="FU48" s="155">
        <f>_xlfn.MAXIFS(LandEmiss!$AJ$20:$AJ$119,LandEmiss!$AE$20:$AE$119,$FG48)*IFERROR($QR$7,0)</f>
        <v>0</v>
      </c>
      <c r="FV48" s="155">
        <f>MAX(_xlfn.MAXIFS(LandEmiss!$CS$20:$CS$119,LandEmiss!$CN$20:$CN$119,$FG48),_xlfn.MAXIFS(LandEmiss!$FD$9:$FD$108,LandEmiss!$EY$9:$EY$108,$FG48))*IFERROR($QR53,0)</f>
        <v>0</v>
      </c>
      <c r="FW48" s="155">
        <f>_xlfn.MAXIFS('Load-DrumTote'!$K$27:$K$136,'Load-DrumTote'!$F$27:$F$136,$FG48)*IFERROR($QR$8,0)</f>
        <v>0</v>
      </c>
      <c r="FX48" s="155">
        <f>_xlfn.MAXIFS('Load-Truck'!$K$27:$K$136,'Load-Truck'!$F$27:$F$136,$FG48)*IFERROR($QR$9,0)</f>
        <v>0</v>
      </c>
      <c r="FY48" s="155">
        <f>_xlfn.MAXIFS('Load-Rail'!$K$27:$K$136,'Load-Rail'!$F$27:$F$136,$FG48)*IFERROR($QR$10,0)</f>
        <v>0</v>
      </c>
      <c r="FZ48" s="155">
        <f>_xlfn.MAXIFS('Load-MarineBarge'!$K$27:$K$136,'Load-MarineBarge'!$F$27:$F$136,$FG48)*IFERROR($QR$11,0)</f>
        <v>0</v>
      </c>
      <c r="GA48" s="155">
        <f>_xlfn.MAXIFS('Load-MarineShip'!$K$27:$K$136,'Load-MarineShip'!$F$27:$F$136,$FG48)*IFERROR($QR$12,0)</f>
        <v>0</v>
      </c>
      <c r="GB48" s="313">
        <f>IF(OR(Flare!$D$24="fuel gas",Flare!$D$38="fuel gas"),SUMIF(Flare!$E$97:$E$106,$FG48,Flare!$F$97:$F$106),0)*IFERROR($QR$13,0)</f>
        <v>0</v>
      </c>
      <c r="GC48" s="313">
        <f>(_xlfn.MAXIFS(CtrlDevImpacts!$I$57:$I$156,CtrlDevImpacts!$H$57:$H$156,$FG48))*IFERROR($QR$13,0)</f>
        <v>0</v>
      </c>
      <c r="GD48" s="313">
        <f>(_xlfn.MAXIFS(Flare!$F$107:$F$216,Flare!$E$107:$E$216,$FG48)-_xlfn.MAXIFS(CtrlDevImpacts!$I$57:$I$156,CtrlDevImpacts!$H$57:$H$156,$FG48))*IFERROR($QR$13,0)</f>
        <v>0</v>
      </c>
      <c r="GE48" s="155">
        <f>_xlfn.MAXIFS(LandEmiss!$B$335:$B$434,LandEmiss!$A$335:$A$434,$FG48)*IFERROR($QR$13,0)</f>
        <v>0</v>
      </c>
      <c r="GF48" s="155">
        <f>(_xlfn.MAXIFS(LandEmiss!$BK$335:$BK$434,LandEmiss!$BJ$335:$BJ$434,$FG48)+_xlfn.MAXIFS(LandEmiss!$DV$323:$DV$422,LandEmiss!$DU$323:$DU$422,$FG48))*IFERROR($QR$13,0)</f>
        <v>0</v>
      </c>
      <c r="GG48" s="313">
        <f>IF(OR(VCU!$D$26="fuel gas",VCU!$D$42="fuel gas"),SUMIF(VCU!$E$120:$E$129,$FG48,VCU!$F$120:$F$129),0)*IFERROR($QR$14,0)</f>
        <v>0</v>
      </c>
      <c r="GH48" s="313">
        <f>(_xlfn.MAXIFS(CtrlDevImpacts!$X$57:$X$156,CtrlDevImpacts!$W$57:$W$156,$FG48))*IFERROR($QR$14,0)</f>
        <v>0</v>
      </c>
      <c r="GI48" s="313">
        <f>(_xlfn.MAXIFS(VCU!$F$130:$F$239,VCU!$E$130:$E$239,$FG48)-_xlfn.MAXIFS(CtrlDevImpacts!$X$57:$X$156,CtrlDevImpacts!$W$57:$W$156,$FG48))*IFERROR($QR$14,0)</f>
        <v>0</v>
      </c>
      <c r="GJ48" s="155">
        <f>_xlfn.MAXIFS(LandEmiss!$D$335:$D$434,LandEmiss!$A$335:$A$434,$FG48)*IFERROR($QR$14,0)</f>
        <v>0</v>
      </c>
      <c r="GK48" s="155">
        <f>(_xlfn.MAXIFS(LandEmiss!$BM$335:$BM$434,LandEmiss!$BJ$335:$BJ$434,$FG48)+_xlfn.MAXIFS(LandEmiss!$DX$323:$DX$422,LandEmiss!$DU$323:$DU$422,$FG48))*IFERROR($QR$14,0)</f>
        <v>0</v>
      </c>
      <c r="GL48" s="313">
        <f>IF(VaporOxidizer!D79="FUEL GAS",SUMIF(VaporOxidizer!$E$101:$E$110,$FG48,VaporOxidizer!$F$101:$F$110),0)*IFERROR($QR$15,0)</f>
        <v>0</v>
      </c>
      <c r="GM48" s="313">
        <f>(_xlfn.MAXIFS(CtrlDevImpacts!$AN$57:$AN$156,CtrlDevImpacts!$AM$57:$AM$156,$FG48))*IFERROR($QR$15,0)</f>
        <v>0</v>
      </c>
      <c r="GN48" s="313">
        <f>(_xlfn.MAXIFS(VaporOxidizer!$F$111:$F$220,VaporOxidizer!$E$111:$E$220,$FG48)-_xlfn.MAXIFS(CtrlDevImpacts!$AN$57:$AN$156,CtrlDevImpacts!$AM$57:$AM$156,$FG48))*IFERROR($QR$15,0)</f>
        <v>0</v>
      </c>
      <c r="GO48" s="155">
        <f>_xlfn.MAXIFS(LandEmiss!$F$335:$F$434,LandEmiss!$A$335:$A$434,$FG48)*IFERROR($QR$15,0)</f>
        <v>0</v>
      </c>
      <c r="GP48" s="155">
        <f>(_xlfn.MAXIFS(LandEmiss!$BK$335:$BK$434,LandEmiss!$BO$335:$BO$434,$FG48)+_xlfn.MAXIFS(LandEmiss!$DZ$323:$DZ$422,LandEmiss!$DU$323:$DU$422,$FG48))*IFERROR($QR$15,0)</f>
        <v>0</v>
      </c>
      <c r="GQ48" s="313">
        <f>_xlfn.MAXIFS(CtrlDevImpacts!$BD$57:$BD$156,CtrlDevImpacts!$BC$57:$BC$156,$FG48)*IFERROR(Hidden!$QR$16,0)</f>
        <v>0</v>
      </c>
      <c r="GR48" s="313">
        <f>(_xlfn.MAXIFS(CAS!$H$35:$H$144,CAS!$E$35:$E$144,$FG48)-_xlfn.MAXIFS(CtrlDevImpacts!$BD$57:$BD$156,CtrlDevImpacts!$BC$57:$BC$156,$FG48))*IFERROR(Hidden!$QR$16,0)</f>
        <v>0</v>
      </c>
      <c r="GS48" s="155">
        <f>_xlfn.MAXIFS(LandEmiss!$H$335:$H$434,LandEmiss!$A$335:$A$434,$FG48)*IFERROR($QR$27,0)</f>
        <v>0</v>
      </c>
      <c r="GT48" s="155">
        <f>(_xlfn.MAXIFS(LandEmiss!$BK$335:$BK$434,LandEmiss!$BQ$335:$BQ$434,$FG48)+_xlfn.MAXIFS(LandEmiss!$EB$323:$EB$422,LandEmiss!$DU$323:$DU$422,$FG48))*IFERROR($QR$27,0)</f>
        <v>0</v>
      </c>
      <c r="GU48" s="155">
        <f>_xlfn.MAXIFS(LandEmiss!$J$335:$J$434,LandEmiss!$A$335:$A$434,$FG48)*IFERROR($QR$26,0)</f>
        <v>0</v>
      </c>
      <c r="GV48" s="155">
        <f>(_xlfn.MAXIFS(LandEmiss!$BK$335:$BK$434,LandEmiss!$BS$335:$BS$434,$FG48)+_xlfn.MAXIFS(LandEmiss!$ED$323:$ED$422,LandEmiss!$DU$323:$DU$422,$FG48))*IFERROR($QR$26,0)</f>
        <v>0</v>
      </c>
      <c r="GW48" s="155">
        <f>_xlfn.MAXIFS(LandEmiss!$L$335:$L$434,LandEmiss!$A$335:$A$434,$FG48)*IFERROR($QR$25,0)</f>
        <v>0</v>
      </c>
      <c r="GX48" s="155">
        <f>(_xlfn.MAXIFS(LandEmiss!$BK$335:$BK$434,LandEmiss!$BU$335:$BU$434,$FG48)+_xlfn.MAXIFS(LandEmiss!$EF$323:$EF$422,LandEmiss!$DU$323:$DU$422,$FG48))*IFERROR($QR$25,0)</f>
        <v>0</v>
      </c>
      <c r="GY48" s="155">
        <v>0</v>
      </c>
      <c r="GZ48" s="155">
        <v>0</v>
      </c>
      <c r="HA48" s="155">
        <f>IF(OR(HeaterBoiler1!$E$26&lt;&gt;"fuel gas",HeaterBoiler1!$E$15&lt;&gt;"heater"),0,SUMIF(HeaterBoiler1!$A$54:$D$63,$FG48,HeaterBoiler1!$I$54:$I$63))*IFERROR($QR$19,0)</f>
        <v>0</v>
      </c>
      <c r="HB48" s="207">
        <f>IF(OR(HeaterBoiler2!$E$26&lt;&gt;"fuel gas",HeaterBoiler2!$E$15&lt;&gt;"heater"),0,SUMIF(HeaterBoiler2!$A$54:$D$63,$FG48,HeaterBoiler2!$I$54:$I$63))*IFERROR($QR$21,0)</f>
        <v>0</v>
      </c>
      <c r="HC48" s="155">
        <f>IF(OR(HeaterBoiler1!$E$26&lt;&gt;"fuel gas",HeaterBoiler1!$E$15&lt;&gt;"boiler"),0,SUMIF(HeaterBoiler1!$A$41:$A$50,$FG48,HeaterBoiler1!$F$41:$F$50))*IFERROR($QR$20,0)</f>
        <v>0</v>
      </c>
      <c r="HD48" s="207">
        <f>IF(OR(HeaterBoiler2!$E$26&lt;&gt;"fuel gas",HeaterBoiler2!$E$15&lt;&gt;"boiler"),0,SUMIF(HeaterBoiler2!$A$41:$A$50,$FG48,HeaterBoiler2!$F$41:$F$50))*IFERROR($QR$22,0)</f>
        <v>0</v>
      </c>
      <c r="HE48" s="155">
        <f>SUMIF(Fug!$A$96:$A$205,$FG48,Fug!$I$96:$I$205)*IFERROR(Hidden!$QR$23,0)</f>
        <v>0</v>
      </c>
      <c r="HF48" s="155">
        <f t="shared" si="24"/>
        <v>0</v>
      </c>
      <c r="HG48" s="156">
        <f t="shared" si="25"/>
        <v>0</v>
      </c>
      <c r="HH48" s="156">
        <f t="shared" si="26"/>
        <v>0</v>
      </c>
      <c r="HI48" s="156">
        <f t="shared" si="27"/>
        <v>0</v>
      </c>
      <c r="HJ48" s="156">
        <f t="shared" si="28"/>
        <v>0</v>
      </c>
      <c r="HK48" s="156">
        <f t="shared" si="29"/>
        <v>0</v>
      </c>
      <c r="HL48" s="156">
        <f t="shared" si="30"/>
        <v>0</v>
      </c>
      <c r="NO48" s="155">
        <f>IF(Tank1!$D$22="No control",(SUMIF(Tank1!$E$32:$E$141,$FG48,Tank1!$H$32:$H$141)*(2000/8760)*IFERROR($QV$3,0)),0)</f>
        <v>0</v>
      </c>
      <c r="NP48" s="156">
        <f>SUMIF(LandEmiss!$AE$20:$AE$119,$FG48,LandEmiss!$AK$20:$AK$119)*(2000/8760)*IFERROR($QV$3,0)</f>
        <v>0</v>
      </c>
      <c r="NQ48" s="156">
        <f>(SUMIF(LandEmiss!$CN$20:$CN$119,$FG48,LandEmiss!$CT$20:$CT$119)+SUMIF(LandEmiss!$EY$9:$EY$108,$FG48,LandEmiss!$FE$9:$FE$108))*IFERROR($QV$3,0)*(2000/8760)</f>
        <v>0</v>
      </c>
      <c r="NR48" s="155">
        <f>IF(Tank2!$D$22="No control",(SUMIF(Tank2!$E$32:$E$141,$FG48,Tank2!$H$32:$H$141)*(2000/8760)*IFERROR($QV$4,0)),0)</f>
        <v>0</v>
      </c>
      <c r="NS48" s="156">
        <f>SUMIF(LandEmiss!$AE$20:$AE$119,$FG48,LandEmiss!$AL$20:$AL$119)*(2000/8760)*IFERROR($QV$4,0)</f>
        <v>0</v>
      </c>
      <c r="NT48" s="156">
        <f>(SUMIF(LandEmiss!$CN$20:$CN$119,$FG48,LandEmiss!$CU$20:$CU$119)+SUMIF(LandEmiss!$EY$9:$EY$108,$FG48,LandEmiss!$FF$9:$FF$108))*IFERROR($QV$4,0)*(2000/8760)</f>
        <v>0</v>
      </c>
      <c r="NU48" s="155">
        <f>IF(Tank3!$D$22="No control",(SUMIF(Tank3!$E$32:$E$141,$FG48,Tank3!$H$32:$H$141)*(2000/8760)*IFERROR($QV$5,0)),0)</f>
        <v>0</v>
      </c>
      <c r="NV48" s="156">
        <f>SUMIF(LandEmiss!$AE$20:$AE$119,$FG48,LandEmiss!$AM$20:$AM$119)*(2000/8760)*IFERROR($QV$5,0)</f>
        <v>0</v>
      </c>
      <c r="NW48" s="156">
        <f>(SUMIF(LandEmiss!$CN$20:$CN$119,$FG48,LandEmiss!$CV$20:$CV$119)+SUMIF(LandEmiss!$EY$9:$EY$108,$FG48,LandEmiss!$FG$9:$FG$108))*IFERROR($QV$5,0)*(2000/8760)</f>
        <v>0</v>
      </c>
      <c r="NX48" s="155">
        <f>IF(Tank4!$D$22="No control",(SUMIF(Tank4!$E$32:$E$141,$FG48,Tank4!$H$32:$H$141)*(2000/8760)*IFERROR($QV$6,0)),0)</f>
        <v>0</v>
      </c>
      <c r="NY48" s="156">
        <f>SUMIF(LandEmiss!$AE$20:$AE$119,$FG48,LandEmiss!$AN$20:$AN$119)*(2000/8760)*IFERROR($QV$6,0)</f>
        <v>0</v>
      </c>
      <c r="NZ48" s="156">
        <f>(SUMIF(LandEmiss!$CN$20:$CN$119,$FG48,LandEmiss!$CW$20:$CW$119)+SUMIF(LandEmiss!$EY$9:$EY$108,$FG48,LandEmiss!$FH$9:$FH$108))*IFERROR($QV$6,0)*(2000/8760)</f>
        <v>0</v>
      </c>
      <c r="OA48" s="155">
        <f>IF(Tank5!$D$22="No control",(SUMIF(Tank5!$E$32:$E$141,$FG48,Tank5!$H$32:$H$141)*(2000/8760)*IFERROR($QV$7,0)),0)</f>
        <v>0</v>
      </c>
      <c r="OB48" s="156">
        <f>SUMIF(LandEmiss!$AE$20:$AE$119,$FG48,LandEmiss!$AO$20:$AO$119)*(2000/8760)*IFERROR($QV$7,0)</f>
        <v>0</v>
      </c>
      <c r="OC48" s="156">
        <f>(SUMIF(LandEmiss!$CN$20:$CN$119,$FG48,LandEmiss!$CX$20:$CX$119)+SUMIF(LandEmiss!$EY$9:$EY$108,$FG48,LandEmiss!$FI$9:$FI$108))*IFERROR($QV$7,0)*(2000/8760)</f>
        <v>0</v>
      </c>
      <c r="OD48" s="155">
        <f>SUMIFS('Load-DrumTote'!$L$27:$L$136,'Load-DrumTote'!$F$27:$F$136,$FG48)*IFERROR($QV$8,0)*(2000/8760)</f>
        <v>0</v>
      </c>
      <c r="OE48" s="155">
        <f>SUMIFS('Load-Truck'!$L$27:$L$136,'Load-Truck'!$F$27:$F$136,$FG48)*IFERROR($QV$9,0)*(2000/8760)</f>
        <v>0</v>
      </c>
      <c r="OF48" s="155">
        <f>SUMIFS('Load-Rail'!$L$27:$L$136,'Load-Rail'!$F$27:$F$136,$FG48)*IFERROR($QV$10,0)*(2000/8760)</f>
        <v>0</v>
      </c>
      <c r="OG48" s="155">
        <f>SUMIFS('Load-MarineBarge'!$L$27:$L$136,'Load-MarineBarge'!$F$27:$F$136,$FG48)*IFERROR($QV$11,0)*(2000/8760)</f>
        <v>0</v>
      </c>
      <c r="OH48" s="155">
        <f>SUMIFS('Load-MarineShip'!$L$27:$L$136,'Load-MarineShip'!$F$27:$F$136,$FG48)*IFERROR($QV$12,0)*(2000/8760)</f>
        <v>0</v>
      </c>
      <c r="OI48" s="155">
        <f>(IF(OR(Flare!$D$24="FUEL GAS",Flare!$D$38="FUEL GAS"),SUMIF(Flare!$E$97:$E$106,$FG48,Flare!$G$97:$G$105),0)+SUMIF(Flare!$E$107:$E$216,$FG48,Flare!$G$107:$G$216))*(2000/8730)*IFERROR($QV$13,0)</f>
        <v>0</v>
      </c>
      <c r="OJ48" s="155">
        <f>SUMIF(LandEmiss!$A$335:$A$434,$FG48,LandEmiss!$C$335:$C$434)*(2000/8760)*IFERROR($QV$13,0)</f>
        <v>0</v>
      </c>
      <c r="OK48" s="155">
        <f>(SUMIF(LandEmiss!$BJ$335:$BJ$434,$FG48,LandEmiss!$BL$335:$BL$434)+SUMIF(LandEmiss!$DU$323:$DU$422,$FG48,LandEmiss!$DW$323:$DW$422))*(2000/8760)*IFERROR($QV$13,0)</f>
        <v>0</v>
      </c>
      <c r="OL48" s="155">
        <f>(IF(OR(VCU!$D$26="FUEL GAS",VCU!$D$42="FUEL GAS"),SUMIF(VCU!$E$120:$E$129,$FG48,VCU!$G$120:$G$129),0)+SUMIF(VCU!$E$130:$E$239,$FG48,VCU!G176:G285))*(2000/8760)*IFERROR($QV$14,0)</f>
        <v>0</v>
      </c>
      <c r="OM48" s="155">
        <f>SUMIF(LandEmiss!$A$335:$A$434,$FG48,LandEmiss!$E$335:$E$434)*(2000/8760)*IFERROR($QV$14,0)</f>
        <v>0</v>
      </c>
      <c r="ON48" s="155">
        <f>(SUMIF(LandEmiss!$BJ$335:$BJ$434,$FG48,LandEmiss!$BN$335:$BN$434)+SUMIF(LandEmiss!$DU$323:$DU$422,$FG48,LandEmiss!$DY$323:$DY$422))*(2000/8760)*IFERROR($QV$14,0)</f>
        <v>0</v>
      </c>
      <c r="OO48" s="155">
        <f>(IF(VaporOxidizer!$D$33="FUEL GAS",SUMIF(VaporOxidizer!$E$101:$E$110,$FG48,VaporOxidizer!$G$101:$G$110),0)+SUMIF(VaporOxidizer!$E$111:$E$220,$FG48,VaporOxidizer!$G$111:$G$220))*(2000/8760)*IFERROR($QV$15,0)</f>
        <v>0</v>
      </c>
      <c r="OP48" s="155">
        <f>SUMIF(LandEmiss!$A$335:$A$434,$FG48,LandEmiss!$G$335:$G$434)*(2000/8760)*IFERROR($QV$15,0)</f>
        <v>0</v>
      </c>
      <c r="OQ48" s="155">
        <f>(SUMIF(LandEmiss!$BJ$335:$BJ$434,$FG48,LandEmiss!$BP$335:$BP$434)+SUMIF(LandEmiss!$DU$323:$DU$422,$FG48,LandEmiss!$EA$323:$EA$422))*(2000/8760)*IFERROR($QV$15,0)</f>
        <v>0</v>
      </c>
      <c r="OR48" s="155">
        <f>SUMIF(CAS!$E$35:$E$144,Hidden!$FG48,CAS!$I$35:$I$144)*IFERROR($QV$16,0)*(2000/8760)</f>
        <v>0</v>
      </c>
      <c r="OS48" s="155">
        <f>SUMIF(LandEmiss!$A$335:$A$434,$FG48,LandEmiss!$I$335:$I$434)*(2000/8760)*IFERROR($QV$27,0)</f>
        <v>0</v>
      </c>
      <c r="OT48" s="155">
        <f>(SUMIF(LandEmiss!$BJ$335:$BJ$434,$FG48,LandEmiss!$BR$335:$BR$434)+SUMIF(LandEmiss!$DU$323:$DU$422,$FG48,LandEmiss!$EC$323:$EC$422))*(2000/8760)*IFERROR($QV$27,0)</f>
        <v>0</v>
      </c>
      <c r="OU48" s="155">
        <f>SUMIF(LandEmiss!$A$335:$A$434,$FG48,LandEmiss!$K$335:$K$434)*(2000/8760)*IFERROR($QV$26,0)</f>
        <v>0</v>
      </c>
      <c r="OV48" s="155">
        <f>(SUMIF(LandEmiss!$BJ$335:$BJ$434,$FG48,LandEmiss!$BT$335:$BT$434)+SUMIF(LandEmiss!$DU$323:$DU$422,$FG48,LandEmiss!$EE$323:$EE$422))*(2000/8760)*IFERROR($QV$26,0)</f>
        <v>0</v>
      </c>
      <c r="OW48" s="155">
        <f>SUMIF(LandEmiss!$A$335:$A$434,$FG48,LandEmiss!$M$335:$M$434)*(2000/8760)*IFERROR($QV$25,0)</f>
        <v>0</v>
      </c>
      <c r="OX48" s="155">
        <f>(SUMIF(LandEmiss!$BJ$335:$BJ$434,$FG48,LandEmiss!$BV$335:$BV$434)+SUMIF(LandEmiss!$DU$323:$DU$422,$FG48,LandEmiss!$EG$323:$EG$422))*(2000/8760)*IFERROR($QV$25,0)</f>
        <v>0</v>
      </c>
      <c r="OY48" s="8">
        <v>0</v>
      </c>
      <c r="OZ48" s="207">
        <v>0</v>
      </c>
      <c r="PA48" s="207">
        <f>IF(OR(HeaterBoiler1!$E$26&lt;&gt;"fuel gas",HeaterBoiler1!$E$15&lt;&gt;"heater"),0,(SUMIF(HeaterBoiler1!$A$54:$D$63,$FG48,HeaterBoiler1!$J$54:$J$63))*(2000/8760))*IFERROR($QV$19,0)</f>
        <v>0</v>
      </c>
      <c r="PB48" s="207">
        <f>IF(OR(HeaterBoiler2!$E$26&lt;&gt;"fuel gas",HeaterBoiler2!$E$15&lt;&gt;"heater"),0,(SUMIF(HeaterBoiler2!$A$54:$D$63,$FG48,HeaterBoiler2!$J$54:$J$63))*(2000/8760))*IFERROR($QV$21,0)</f>
        <v>0</v>
      </c>
      <c r="PC48" s="207">
        <f>IF(OR(HeaterBoiler1!$E$26&lt;&gt;"fuel gas",HeaterBoiler1!$E$15&lt;&gt;"boiler"),0,(SUMIF(HeaterBoiler1!$A$54:$D$63,$FG48,HeaterBoiler1!$J$54:$J$63))*(2000/8760))*IFERROR($QV$20,0)</f>
        <v>0</v>
      </c>
      <c r="PD48" s="207">
        <f>IF(OR(HeaterBoiler2!$E$26&lt;&gt;"fuel gas",HeaterBoiler2!$E$15&lt;&gt;"boiler"),0,(SUMIF(HeaterBoiler2!$A$54:$D$63,$FG48,HeaterBoiler2!$J$54:$J$63))*(2000/8760))*IFERROR($QV$22,0)</f>
        <v>0</v>
      </c>
      <c r="PE48" s="8">
        <f>(SUMIF(Fug!$A$96:$A$205,$FG48,Fug!$J$96:$J$205))*IFERROR($QV$23,0)*(2000/8760)</f>
        <v>0</v>
      </c>
      <c r="PF48" s="8">
        <f t="shared" si="31"/>
        <v>0</v>
      </c>
      <c r="PG48" s="156">
        <f t="shared" si="32"/>
        <v>0</v>
      </c>
      <c r="PJ48" s="52" t="str">
        <f>IF(Fug!$F$16=Hidden!$PP$2,"Sampling (annual)","")</f>
        <v/>
      </c>
      <c r="PK48" s="52" t="str">
        <f>IF(Fug!$F$16=Hidden!$PP$2,"Water/Light Oil","")</f>
        <v/>
      </c>
      <c r="PL48" s="52"/>
      <c r="PM48" s="52"/>
      <c r="PN48" s="52"/>
      <c r="PO48" s="52"/>
      <c r="PP48" s="52">
        <v>3.3000000000000002E-2</v>
      </c>
      <c r="PQ48" s="52"/>
      <c r="PR48" s="52"/>
      <c r="PS48" s="52"/>
      <c r="PT48" s="52" t="s">
        <v>8795</v>
      </c>
      <c r="PU48" s="52" t="s">
        <v>8776</v>
      </c>
      <c r="PV48" s="52">
        <v>0</v>
      </c>
      <c r="PW48" s="52">
        <v>0</v>
      </c>
      <c r="PX48" s="52">
        <v>0</v>
      </c>
      <c r="PY48" s="52">
        <v>0</v>
      </c>
      <c r="PZ48" s="52">
        <v>0</v>
      </c>
      <c r="QA48" s="52">
        <v>0</v>
      </c>
      <c r="QB48" s="52"/>
      <c r="QC48" s="52"/>
      <c r="QD48" s="52"/>
      <c r="QE48" s="52"/>
      <c r="QF48" s="52"/>
      <c r="QG48" s="52"/>
      <c r="QH48" s="52"/>
      <c r="QI48" s="52"/>
      <c r="QX48" s="89" t="s">
        <v>9326</v>
      </c>
      <c r="QY48">
        <v>270.39999999999998</v>
      </c>
      <c r="QZ48">
        <v>270.39999999999998</v>
      </c>
      <c r="RA48">
        <v>252.4</v>
      </c>
      <c r="RB48">
        <v>136.4</v>
      </c>
      <c r="RC48">
        <v>101.2</v>
      </c>
      <c r="RD48">
        <v>88.36</v>
      </c>
      <c r="RE48">
        <v>76.33</v>
      </c>
      <c r="RF48">
        <v>54.66</v>
      </c>
      <c r="RG48" s="90">
        <v>42.75</v>
      </c>
      <c r="RH48" s="89" t="s">
        <v>9326</v>
      </c>
      <c r="RI48">
        <v>265</v>
      </c>
      <c r="RJ48">
        <v>265</v>
      </c>
      <c r="RK48">
        <v>247.2</v>
      </c>
      <c r="RL48">
        <v>134</v>
      </c>
      <c r="RM48">
        <v>87.19</v>
      </c>
      <c r="RN48">
        <v>69.23</v>
      </c>
      <c r="RO48">
        <v>60.44</v>
      </c>
      <c r="RP48">
        <v>47.27</v>
      </c>
      <c r="RQ48" s="90">
        <v>39.53</v>
      </c>
      <c r="RR48" s="89" t="s">
        <v>9326</v>
      </c>
      <c r="RS48">
        <v>245</v>
      </c>
      <c r="RT48">
        <v>245</v>
      </c>
      <c r="RU48">
        <v>240</v>
      </c>
      <c r="RV48">
        <v>125.1</v>
      </c>
      <c r="RW48">
        <v>80.8</v>
      </c>
      <c r="RX48">
        <v>64.040000000000006</v>
      </c>
      <c r="RY48">
        <v>51.36</v>
      </c>
      <c r="RZ48">
        <v>38.159999999999997</v>
      </c>
      <c r="SA48" s="90">
        <v>30.59</v>
      </c>
      <c r="SB48" s="89" t="s">
        <v>9326</v>
      </c>
      <c r="SC48">
        <v>181.2</v>
      </c>
      <c r="SD48">
        <v>181.2</v>
      </c>
      <c r="SE48">
        <v>181.2</v>
      </c>
      <c r="SF48">
        <v>88.57</v>
      </c>
      <c r="SG48">
        <v>52</v>
      </c>
      <c r="SH48">
        <v>38.06</v>
      </c>
      <c r="SI48">
        <v>30.17</v>
      </c>
      <c r="SJ48">
        <v>19.3</v>
      </c>
      <c r="SK48" s="90">
        <v>14.23</v>
      </c>
      <c r="SL48" s="89" t="s">
        <v>9326</v>
      </c>
      <c r="SM48">
        <v>36.700000000000003</v>
      </c>
      <c r="SN48">
        <v>36.700000000000003</v>
      </c>
      <c r="SO48">
        <v>36.700000000000003</v>
      </c>
      <c r="SP48">
        <v>20.73</v>
      </c>
      <c r="SQ48">
        <v>12.66</v>
      </c>
      <c r="SR48">
        <v>8.64</v>
      </c>
      <c r="SS48">
        <v>6.52</v>
      </c>
      <c r="ST48">
        <v>3.89</v>
      </c>
      <c r="SU48" s="90">
        <v>2.69</v>
      </c>
    </row>
    <row r="49" spans="1:515" ht="74.25" customHeight="1" x14ac:dyDescent="0.2">
      <c r="A49" s="8" t="s">
        <v>226</v>
      </c>
      <c r="B49" s="8">
        <v>12</v>
      </c>
      <c r="W49">
        <f>IF(OR(X49=0,ISNUMBER(MATCH(X49,$X$1:X48,0))),0,MAX($W$1:W48)+1)</f>
        <v>0</v>
      </c>
      <c r="X49" s="123">
        <f>Products!$E96</f>
        <v>0</v>
      </c>
      <c r="Y49" t="str">
        <f t="shared" si="39"/>
        <v/>
      </c>
      <c r="CA49">
        <f>IF(OR(CB49=0,ISNUMBER(MATCH(CB49,$CB$1:CB48,0))),0,MAX($CA$1:CA48)+1)</f>
        <v>0</v>
      </c>
      <c r="CB49" s="8">
        <f>IF(OR(Tank1!$D$18="EXTERNAL FLOATING ROOF",Tank1!$D$18="INTERNAL FLOATING ROOF"),IF(Tank1!$E79="",0,Tank1!$E79),0)</f>
        <v>0</v>
      </c>
      <c r="CC49" s="8" t="str">
        <f t="shared" si="40"/>
        <v/>
      </c>
      <c r="CD49" s="8"/>
      <c r="CE49" s="8">
        <f>IF(OR(CF49=0,ISNUMBER(MATCH(CF49,$CF$1:CF48,0))),0,MAX($CE$1:CE48)+1)</f>
        <v>0</v>
      </c>
      <c r="CF49" s="8">
        <f>IF(OR(Tank1!$D$18="HORIZONTAL FIXED ROOF",Tank1!$D$18="VERTICAL FIXED ROOF"),IF(Tank1!$E79="",0,Tank1!$E79),0)</f>
        <v>0</v>
      </c>
      <c r="CG49" s="8" t="str">
        <f t="shared" si="41"/>
        <v/>
      </c>
      <c r="CJ49">
        <f>IF(OR(CK49=0,ISNUMBER(MATCH(CK49,$CK$1:CK48,0))),0,MAX($CJ$1:CJ48)+1)</f>
        <v>0</v>
      </c>
      <c r="CK49">
        <f>Tank5!$A$109</f>
        <v>0</v>
      </c>
      <c r="CM49">
        <f>IFERROR(VLOOKUP($CK49,Tank5!$A$32:$D$141,3,FALSE),0)</f>
        <v>0</v>
      </c>
      <c r="CN49">
        <f>IFERROR(VLOOKUP($CK49,Tank5!$A$32:$D$141,4,FALSE),0)</f>
        <v>0</v>
      </c>
      <c r="DM49">
        <f>IF(OR(DN49=0,ISNUMBER(MATCH(DN49,$DN$1:DN48,0))),0,MAX($DM$1:DM48)+1)</f>
        <v>0</v>
      </c>
      <c r="DN49">
        <f>IF(Tank5!$D$22="Flare",IFERROR(VLOOKUP(Products!$A$129,Tank5!$A$32:$B$141,1,FALSE),0),0)</f>
        <v>0</v>
      </c>
      <c r="DO49">
        <f>IF($DN49=0,0,VLOOKUP($DN49,Tank5!$A$32:$H$141,7,FALSE))</f>
        <v>0</v>
      </c>
      <c r="DP49">
        <f>IF($DN49=0,0,VLOOKUP($DN49,Tank5!$A$32:$H$141,8,FALSE))</f>
        <v>0</v>
      </c>
      <c r="DU49">
        <f>IF(OR(DV49=0,ISNUMBER(MATCH(DV49,$DV$1:DV48,0))),0,MAX($DU$1:DU48)+1)</f>
        <v>0</v>
      </c>
      <c r="DV49">
        <f>IF(Tank5!$D$22="VCU",IFERROR(VLOOKUP(Products!$A$129,Tank5!$A$32:$B$141,1,FALSE),0),0)</f>
        <v>0</v>
      </c>
      <c r="DW49">
        <f>IF($DV49=0,0,VLOOKUP($DV49,Tank5!$A$32:$H$141,7,FALSE))</f>
        <v>0</v>
      </c>
      <c r="DX49">
        <f>IF($DV49=0,0,VLOOKUP($DV49,Tank5!$A$32:$H$141,8,FALSE))</f>
        <v>0</v>
      </c>
      <c r="EC49">
        <f>IF(OR(ED49=0,ISNUMBER(MATCH(ED49,$ED$1:ED48,0))),0,MAX($EC$1:EC48)+1)</f>
        <v>0</v>
      </c>
      <c r="ED49">
        <f>IF(Tank5!$D$22="vapor oxidizer",IFERROR(VLOOKUP(Products!$A$129,Tank5!$A$32:$B$141,1,FALSE),0),0)</f>
        <v>0</v>
      </c>
      <c r="EE49">
        <f>IF($ED49=0,0,VLOOKUP($ED49,Tank5!$A$32:$H$141,7,FALSE))</f>
        <v>0</v>
      </c>
      <c r="EF49">
        <f>IF($ED49=0,0,VLOOKUP($ED49,Tank5!$A$32:$H$141,8,FALSE))</f>
        <v>0</v>
      </c>
      <c r="EK49">
        <f>IF(OR(EL49=0,ISNUMBER(MATCH(EL49,$EL$1:EL48,0))),0,MAX($EK$1:EK48)+1)</f>
        <v>0</v>
      </c>
      <c r="EL49">
        <f>IF(Tank5!$D$22="CAS",IFERROR(VLOOKUP(Products!A129,Tank5!$A$32:$B$141,1,FALSE),0),0)</f>
        <v>0</v>
      </c>
      <c r="EM49">
        <f>IF($EL49=0,0,VLOOKUP($EL49,Tank5!$A$32:$H$141,7,FALSE))</f>
        <v>0</v>
      </c>
      <c r="EN49">
        <f>IF($EL49=0,0,VLOOKUP($EL49,Tank5!$A$32:$H$141,8,FALSE))</f>
        <v>0</v>
      </c>
      <c r="FB49" s="8" t="s">
        <v>451</v>
      </c>
      <c r="FC49" s="8" t="s">
        <v>452</v>
      </c>
      <c r="FD49" s="8">
        <v>340</v>
      </c>
      <c r="FE49" s="8">
        <v>34</v>
      </c>
      <c r="FG49" s="360" t="str">
        <f t="shared" si="23"/>
        <v/>
      </c>
      <c r="FH49" s="155">
        <f>IF(Tank1!$D$22="NO CONTROL",_xlfn.MAXIFS(Tank1!$G$32:$G$141,Tank1!$E$32:$E$141,$FG49),0)*IFERROR($QR$3,0)</f>
        <v>0</v>
      </c>
      <c r="FI49" s="155">
        <f>_xlfn.MAXIFS(LandEmiss!$AF$20:$AF$119,LandEmiss!$AE$20:$AE$119,$FG49)*IFERROR($QR$3,0)</f>
        <v>0</v>
      </c>
      <c r="FJ49" s="155">
        <f>MAX(_xlfn.MAXIFS(LandEmiss!$CO$20:$CO$119,LandEmiss!$CN$20:$CN$119,$FG49),_xlfn.MAXIFS(LandEmiss!$EZ$9:$EZ$108,LandEmiss!$EY$9:$EY$108,$FG49))*IFERROR($QR$3,0)</f>
        <v>0</v>
      </c>
      <c r="FK49" s="155">
        <f>IF(Tank2!$D$22="NO CONTROL",_xlfn.MAXIFS(Tank2!$G$32:$G$141,Tank2!$E$32:$E$141,$FG49),0)*IFERROR($QR$4,0)</f>
        <v>0</v>
      </c>
      <c r="FL49" s="155">
        <f>_xlfn.MAXIFS(LandEmiss!$AG$20:$AG$119,LandEmiss!$AE$20:$AE$119,$FG49)*IFERROR($QR$4,0)</f>
        <v>0</v>
      </c>
      <c r="FM49" s="155">
        <f>MAX(_xlfn.MAXIFS(LandEmiss!$CP$20:$CP$119,LandEmiss!$CN$20:$CN$119,$FG49),_xlfn.MAXIFS(LandEmiss!$FA$9:$FA$108,LandEmiss!$EY$9:$EY$108,$FG49))*IFERROR($QR$4,0)</f>
        <v>0</v>
      </c>
      <c r="FN49" s="155">
        <f>IF(Tank3!$D$22="NO CONTROL",_xlfn.MAXIFS(Tank3!$G$32:$G$141,Tank3!$E$32:$E$141,$FG49),0)*IFERROR($QR$5,0)</f>
        <v>0</v>
      </c>
      <c r="FO49" s="155">
        <f>_xlfn.MAXIFS(LandEmiss!$AH$20:$AH$119,LandEmiss!$AE$20:$AE$119,$FG49)*IFERROR($QR$5,0)</f>
        <v>0</v>
      </c>
      <c r="FP49" s="155">
        <f>MAX(_xlfn.MAXIFS(LandEmiss!$CQ$20:$CQ$119,LandEmiss!$CN$20:$CN$119,$FG49),_xlfn.MAXIFS(LandEmiss!$FB$9:$FB$108,LandEmiss!$EY$9:$EY$108,$FG49))*IFERROR($QR$5,0)</f>
        <v>0</v>
      </c>
      <c r="FQ49" s="155">
        <f>IF(Tank4!$D$22="NO CONTROL",_xlfn.MAXIFS(Tank4!$G$32:$G$141,Tank4!$E$32:$E$141,$FG49),0)*IFERROR($QR$6,0)</f>
        <v>0</v>
      </c>
      <c r="FR49" s="155">
        <f>_xlfn.MAXIFS(LandEmiss!$AI$20:$AI$119,LandEmiss!$AE$20:$AE$119,$FG49)*IFERROR($QR$6,0)</f>
        <v>0</v>
      </c>
      <c r="FS49" s="155">
        <f>MAX(_xlfn.MAXIFS(LandEmiss!$CR$20:$CR$119,LandEmiss!$CN$20:$CN$119,$FG49),_xlfn.MAXIFS(LandEmiss!$FC$9:$FC$108,LandEmiss!$EY$9:$EY$108,$FG49))*IFERROR($QR$6,0)</f>
        <v>0</v>
      </c>
      <c r="FT49" s="155">
        <f>IF(Tank5!$D$22="NO CONTROL",_xlfn.MAXIFS(Tank5!$G$32:$G$141,Tank5!$E$32:$E$141,$FG49),0)*IFERROR($QR$7,0)</f>
        <v>0</v>
      </c>
      <c r="FU49" s="155">
        <f>_xlfn.MAXIFS(LandEmiss!$AJ$20:$AJ$119,LandEmiss!$AE$20:$AE$119,$FG49)*IFERROR($QR$7,0)</f>
        <v>0</v>
      </c>
      <c r="FV49" s="155">
        <f>MAX(_xlfn.MAXIFS(LandEmiss!$CS$20:$CS$119,LandEmiss!$CN$20:$CN$119,$FG49),_xlfn.MAXIFS(LandEmiss!$FD$9:$FD$108,LandEmiss!$EY$9:$EY$108,$FG49))*IFERROR($QR54,0)</f>
        <v>0</v>
      </c>
      <c r="FW49" s="155">
        <f>_xlfn.MAXIFS('Load-DrumTote'!$K$27:$K$136,'Load-DrumTote'!$F$27:$F$136,$FG49)*IFERROR($QR$8,0)</f>
        <v>0</v>
      </c>
      <c r="FX49" s="155">
        <f>_xlfn.MAXIFS('Load-Truck'!$K$27:$K$136,'Load-Truck'!$F$27:$F$136,$FG49)*IFERROR($QR$9,0)</f>
        <v>0</v>
      </c>
      <c r="FY49" s="155">
        <f>_xlfn.MAXIFS('Load-Rail'!$K$27:$K$136,'Load-Rail'!$F$27:$F$136,$FG49)*IFERROR($QR$10,0)</f>
        <v>0</v>
      </c>
      <c r="FZ49" s="155">
        <f>_xlfn.MAXIFS('Load-MarineBarge'!$K$27:$K$136,'Load-MarineBarge'!$F$27:$F$136,$FG49)*IFERROR($QR$11,0)</f>
        <v>0</v>
      </c>
      <c r="GA49" s="155">
        <f>_xlfn.MAXIFS('Load-MarineShip'!$K$27:$K$136,'Load-MarineShip'!$F$27:$F$136,$FG49)*IFERROR($QR$12,0)</f>
        <v>0</v>
      </c>
      <c r="GB49" s="313">
        <f>IF(OR(Flare!$D$24="fuel gas",Flare!$D$38="fuel gas"),SUMIF(Flare!$E$97:$E$106,$FG49,Flare!$F$97:$F$106),0)*IFERROR($QR$13,0)</f>
        <v>0</v>
      </c>
      <c r="GC49" s="313">
        <f>(_xlfn.MAXIFS(CtrlDevImpacts!$I$57:$I$156,CtrlDevImpacts!$H$57:$H$156,$FG49))*IFERROR($QR$13,0)</f>
        <v>0</v>
      </c>
      <c r="GD49" s="313">
        <f>(_xlfn.MAXIFS(Flare!$F$107:$F$216,Flare!$E$107:$E$216,$FG49)-_xlfn.MAXIFS(CtrlDevImpacts!$I$57:$I$156,CtrlDevImpacts!$H$57:$H$156,$FG49))*IFERROR($QR$13,0)</f>
        <v>0</v>
      </c>
      <c r="GE49" s="155">
        <f>_xlfn.MAXIFS(LandEmiss!$B$335:$B$434,LandEmiss!$A$335:$A$434,$FG49)*IFERROR($QR$13,0)</f>
        <v>0</v>
      </c>
      <c r="GF49" s="155">
        <f>(_xlfn.MAXIFS(LandEmiss!$BK$335:$BK$434,LandEmiss!$BJ$335:$BJ$434,$FG49)+_xlfn.MAXIFS(LandEmiss!$DV$323:$DV$422,LandEmiss!$DU$323:$DU$422,$FG49))*IFERROR($QR$13,0)</f>
        <v>0</v>
      </c>
      <c r="GG49" s="313">
        <f>IF(OR(VCU!$D$26="fuel gas",VCU!$D$42="fuel gas"),SUMIF(VCU!$E$120:$E$129,$FG49,VCU!$F$120:$F$129),0)*IFERROR($QR$14,0)</f>
        <v>0</v>
      </c>
      <c r="GH49" s="313">
        <f>(_xlfn.MAXIFS(CtrlDevImpacts!$X$57:$X$156,CtrlDevImpacts!$W$57:$W$156,$FG49))*IFERROR($QR$14,0)</f>
        <v>0</v>
      </c>
      <c r="GI49" s="313">
        <f>(_xlfn.MAXIFS(VCU!$F$130:$F$239,VCU!$E$130:$E$239,$FG49)-_xlfn.MAXIFS(CtrlDevImpacts!$X$57:$X$156,CtrlDevImpacts!$W$57:$W$156,$FG49))*IFERROR($QR$14,0)</f>
        <v>0</v>
      </c>
      <c r="GJ49" s="155">
        <f>_xlfn.MAXIFS(LandEmiss!$D$335:$D$434,LandEmiss!$A$335:$A$434,$FG49)*IFERROR($QR$14,0)</f>
        <v>0</v>
      </c>
      <c r="GK49" s="155">
        <f>(_xlfn.MAXIFS(LandEmiss!$BM$335:$BM$434,LandEmiss!$BJ$335:$BJ$434,$FG49)+_xlfn.MAXIFS(LandEmiss!$DX$323:$DX$422,LandEmiss!$DU$323:$DU$422,$FG49))*IFERROR($QR$14,0)</f>
        <v>0</v>
      </c>
      <c r="GL49" s="313">
        <f>IF(VaporOxidizer!D80="FUEL GAS",SUMIF(VaporOxidizer!$E$101:$E$110,$FG49,VaporOxidizer!$F$101:$F$110),0)*IFERROR($QR$15,0)</f>
        <v>0</v>
      </c>
      <c r="GM49" s="313">
        <f>(_xlfn.MAXIFS(CtrlDevImpacts!$AN$57:$AN$156,CtrlDevImpacts!$AM$57:$AM$156,$FG49))*IFERROR($QR$15,0)</f>
        <v>0</v>
      </c>
      <c r="GN49" s="313">
        <f>(_xlfn.MAXIFS(VaporOxidizer!$F$111:$F$220,VaporOxidizer!$E$111:$E$220,$FG49)-_xlfn.MAXIFS(CtrlDevImpacts!$AN$57:$AN$156,CtrlDevImpacts!$AM$57:$AM$156,$FG49))*IFERROR($QR$15,0)</f>
        <v>0</v>
      </c>
      <c r="GO49" s="155">
        <f>_xlfn.MAXIFS(LandEmiss!$F$335:$F$434,LandEmiss!$A$335:$A$434,$FG49)*IFERROR($QR$15,0)</f>
        <v>0</v>
      </c>
      <c r="GP49" s="155">
        <f>(_xlfn.MAXIFS(LandEmiss!$BK$335:$BK$434,LandEmiss!$BO$335:$BO$434,$FG49)+_xlfn.MAXIFS(LandEmiss!$DZ$323:$DZ$422,LandEmiss!$DU$323:$DU$422,$FG49))*IFERROR($QR$15,0)</f>
        <v>0</v>
      </c>
      <c r="GQ49" s="313">
        <f>_xlfn.MAXIFS(CtrlDevImpacts!$BD$57:$BD$156,CtrlDevImpacts!$BC$57:$BC$156,$FG49)*IFERROR(Hidden!$QR$16,0)</f>
        <v>0</v>
      </c>
      <c r="GR49" s="313">
        <f>(_xlfn.MAXIFS(CAS!$H$35:$H$144,CAS!$E$35:$E$144,$FG49)-_xlfn.MAXIFS(CtrlDevImpacts!$BD$57:$BD$156,CtrlDevImpacts!$BC$57:$BC$156,$FG49))*IFERROR(Hidden!$QR$16,0)</f>
        <v>0</v>
      </c>
      <c r="GS49" s="155">
        <f>_xlfn.MAXIFS(LandEmiss!$H$335:$H$434,LandEmiss!$A$335:$A$434,$FG49)*IFERROR($QR$27,0)</f>
        <v>0</v>
      </c>
      <c r="GT49" s="155">
        <f>(_xlfn.MAXIFS(LandEmiss!$BK$335:$BK$434,LandEmiss!$BQ$335:$BQ$434,$FG49)+_xlfn.MAXIFS(LandEmiss!$EB$323:$EB$422,LandEmiss!$DU$323:$DU$422,$FG49))*IFERROR($QR$27,0)</f>
        <v>0</v>
      </c>
      <c r="GU49" s="155">
        <f>_xlfn.MAXIFS(LandEmiss!$J$335:$J$434,LandEmiss!$A$335:$A$434,$FG49)*IFERROR($QR$26,0)</f>
        <v>0</v>
      </c>
      <c r="GV49" s="155">
        <f>(_xlfn.MAXIFS(LandEmiss!$BK$335:$BK$434,LandEmiss!$BS$335:$BS$434,$FG49)+_xlfn.MAXIFS(LandEmiss!$ED$323:$ED$422,LandEmiss!$DU$323:$DU$422,$FG49))*IFERROR($QR$26,0)</f>
        <v>0</v>
      </c>
      <c r="GW49" s="155">
        <f>_xlfn.MAXIFS(LandEmiss!$L$335:$L$434,LandEmiss!$A$335:$A$434,$FG49)*IFERROR($QR$25,0)</f>
        <v>0</v>
      </c>
      <c r="GX49" s="155">
        <f>(_xlfn.MAXIFS(LandEmiss!$BK$335:$BK$434,LandEmiss!$BU$335:$BU$434,$FG49)+_xlfn.MAXIFS(LandEmiss!$EF$323:$EF$422,LandEmiss!$DU$323:$DU$422,$FG49))*IFERROR($QR$25,0)</f>
        <v>0</v>
      </c>
      <c r="GY49" s="155">
        <v>0</v>
      </c>
      <c r="GZ49" s="155">
        <v>0</v>
      </c>
      <c r="HA49" s="155">
        <f>IF(OR(HeaterBoiler1!$E$26&lt;&gt;"fuel gas",HeaterBoiler1!$E$15&lt;&gt;"heater"),0,SUMIF(HeaterBoiler1!$A$54:$D$63,$FG49,HeaterBoiler1!$I$54:$I$63))*IFERROR($QR$19,0)</f>
        <v>0</v>
      </c>
      <c r="HB49" s="207">
        <f>IF(OR(HeaterBoiler2!$E$26&lt;&gt;"fuel gas",HeaterBoiler2!$E$15&lt;&gt;"heater"),0,SUMIF(HeaterBoiler2!$A$54:$D$63,$FG49,HeaterBoiler2!$I$54:$I$63))*IFERROR($QR$21,0)</f>
        <v>0</v>
      </c>
      <c r="HC49" s="155">
        <f>IF(OR(HeaterBoiler1!$E$26&lt;&gt;"fuel gas",HeaterBoiler1!$E$15&lt;&gt;"boiler"),0,SUMIF(HeaterBoiler1!$A$41:$A$50,$FG49,HeaterBoiler1!$F$41:$F$50))*IFERROR($QR$20,0)</f>
        <v>0</v>
      </c>
      <c r="HD49" s="207">
        <f>IF(OR(HeaterBoiler2!$E$26&lt;&gt;"fuel gas",HeaterBoiler2!$E$15&lt;&gt;"boiler"),0,SUMIF(HeaterBoiler2!$A$41:$A$50,$FG49,HeaterBoiler2!$F$41:$F$50))*IFERROR($QR$22,0)</f>
        <v>0</v>
      </c>
      <c r="HE49" s="155">
        <f>SUMIF(Fug!$A$96:$A$205,$FG49,Fug!$I$96:$I$205)*IFERROR(Hidden!$QR$23,0)</f>
        <v>0</v>
      </c>
      <c r="HF49" s="155">
        <f t="shared" si="24"/>
        <v>0</v>
      </c>
      <c r="HG49" s="156">
        <f t="shared" si="25"/>
        <v>0</v>
      </c>
      <c r="HH49" s="156">
        <f t="shared" si="26"/>
        <v>0</v>
      </c>
      <c r="HI49" s="156">
        <f t="shared" si="27"/>
        <v>0</v>
      </c>
      <c r="HJ49" s="156">
        <f t="shared" si="28"/>
        <v>0</v>
      </c>
      <c r="HK49" s="156">
        <f t="shared" si="29"/>
        <v>0</v>
      </c>
      <c r="HL49" s="156">
        <f t="shared" si="30"/>
        <v>0</v>
      </c>
      <c r="NO49" s="155">
        <f>IF(Tank1!$D$22="No control",(SUMIF(Tank1!$E$32:$E$141,$FG49,Tank1!$H$32:$H$141)*(2000/8760)*IFERROR($QV$3,0)),0)</f>
        <v>0</v>
      </c>
      <c r="NP49" s="156">
        <f>SUMIF(LandEmiss!$AE$20:$AE$119,$FG49,LandEmiss!$AK$20:$AK$119)*(2000/8760)*IFERROR($QV$3,0)</f>
        <v>0</v>
      </c>
      <c r="NQ49" s="156">
        <f>(SUMIF(LandEmiss!$CN$20:$CN$119,$FG49,LandEmiss!$CT$20:$CT$119)+SUMIF(LandEmiss!$EY$9:$EY$108,$FG49,LandEmiss!$FE$9:$FE$108))*IFERROR($QV$3,0)*(2000/8760)</f>
        <v>0</v>
      </c>
      <c r="NR49" s="155">
        <f>IF(Tank2!$D$22="No control",(SUMIF(Tank2!$E$32:$E$141,$FG49,Tank2!$H$32:$H$141)*(2000/8760)*IFERROR($QV$4,0)),0)</f>
        <v>0</v>
      </c>
      <c r="NS49" s="156">
        <f>SUMIF(LandEmiss!$AE$20:$AE$119,$FG49,LandEmiss!$AL$20:$AL$119)*(2000/8760)*IFERROR($QV$4,0)</f>
        <v>0</v>
      </c>
      <c r="NT49" s="156">
        <f>(SUMIF(LandEmiss!$CN$20:$CN$119,$FG49,LandEmiss!$CU$20:$CU$119)+SUMIF(LandEmiss!$EY$9:$EY$108,$FG49,LandEmiss!$FF$9:$FF$108))*IFERROR($QV$4,0)*(2000/8760)</f>
        <v>0</v>
      </c>
      <c r="NU49" s="155">
        <f>IF(Tank3!$D$22="No control",(SUMIF(Tank3!$E$32:$E$141,$FG49,Tank3!$H$32:$H$141)*(2000/8760)*IFERROR($QV$5,0)),0)</f>
        <v>0</v>
      </c>
      <c r="NV49" s="156">
        <f>SUMIF(LandEmiss!$AE$20:$AE$119,$FG49,LandEmiss!$AM$20:$AM$119)*(2000/8760)*IFERROR($QV$5,0)</f>
        <v>0</v>
      </c>
      <c r="NW49" s="156">
        <f>(SUMIF(LandEmiss!$CN$20:$CN$119,$FG49,LandEmiss!$CV$20:$CV$119)+SUMIF(LandEmiss!$EY$9:$EY$108,$FG49,LandEmiss!$FG$9:$FG$108))*IFERROR($QV$5,0)*(2000/8760)</f>
        <v>0</v>
      </c>
      <c r="NX49" s="155">
        <f>IF(Tank4!$D$22="No control",(SUMIF(Tank4!$E$32:$E$141,$FG49,Tank4!$H$32:$H$141)*(2000/8760)*IFERROR($QV$6,0)),0)</f>
        <v>0</v>
      </c>
      <c r="NY49" s="156">
        <f>SUMIF(LandEmiss!$AE$20:$AE$119,$FG49,LandEmiss!$AN$20:$AN$119)*(2000/8760)*IFERROR($QV$6,0)</f>
        <v>0</v>
      </c>
      <c r="NZ49" s="156">
        <f>(SUMIF(LandEmiss!$CN$20:$CN$119,$FG49,LandEmiss!$CW$20:$CW$119)+SUMIF(LandEmiss!$EY$9:$EY$108,$FG49,LandEmiss!$FH$9:$FH$108))*IFERROR($QV$6,0)*(2000/8760)</f>
        <v>0</v>
      </c>
      <c r="OA49" s="155">
        <f>IF(Tank5!$D$22="No control",(SUMIF(Tank5!$E$32:$E$141,$FG49,Tank5!$H$32:$H$141)*(2000/8760)*IFERROR($QV$7,0)),0)</f>
        <v>0</v>
      </c>
      <c r="OB49" s="156">
        <f>SUMIF(LandEmiss!$AE$20:$AE$119,$FG49,LandEmiss!$AO$20:$AO$119)*(2000/8760)*IFERROR($QV$7,0)</f>
        <v>0</v>
      </c>
      <c r="OC49" s="156">
        <f>(SUMIF(LandEmiss!$CN$20:$CN$119,$FG49,LandEmiss!$CX$20:$CX$119)+SUMIF(LandEmiss!$EY$9:$EY$108,$FG49,LandEmiss!$FI$9:$FI$108))*IFERROR($QV$7,0)*(2000/8760)</f>
        <v>0</v>
      </c>
      <c r="OD49" s="155">
        <f>SUMIFS('Load-DrumTote'!$L$27:$L$136,'Load-DrumTote'!$F$27:$F$136,$FG49)*IFERROR($QV$8,0)*(2000/8760)</f>
        <v>0</v>
      </c>
      <c r="OE49" s="155">
        <f>SUMIFS('Load-Truck'!$L$27:$L$136,'Load-Truck'!$F$27:$F$136,$FG49)*IFERROR($QV$9,0)*(2000/8760)</f>
        <v>0</v>
      </c>
      <c r="OF49" s="155">
        <f>SUMIFS('Load-Rail'!$L$27:$L$136,'Load-Rail'!$F$27:$F$136,$FG49)*IFERROR($QV$10,0)*(2000/8760)</f>
        <v>0</v>
      </c>
      <c r="OG49" s="155">
        <f>SUMIFS('Load-MarineBarge'!$L$27:$L$136,'Load-MarineBarge'!$F$27:$F$136,$FG49)*IFERROR($QV$11,0)*(2000/8760)</f>
        <v>0</v>
      </c>
      <c r="OH49" s="155">
        <f>SUMIFS('Load-MarineShip'!$L$27:$L$136,'Load-MarineShip'!$F$27:$F$136,$FG49)*IFERROR($QV$12,0)*(2000/8760)</f>
        <v>0</v>
      </c>
      <c r="OI49" s="155">
        <f>(IF(OR(Flare!$D$24="FUEL GAS",Flare!$D$38="FUEL GAS"),SUMIF(Flare!$E$97:$E$106,$FG49,Flare!$G$97:$G$105),0)+SUMIF(Flare!$E$107:$E$216,$FG49,Flare!$G$107:$G$216))*(2000/8730)*IFERROR($QV$13,0)</f>
        <v>0</v>
      </c>
      <c r="OJ49" s="155">
        <f>SUMIF(LandEmiss!$A$335:$A$434,$FG49,LandEmiss!$C$335:$C$434)*(2000/8760)*IFERROR($QV$13,0)</f>
        <v>0</v>
      </c>
      <c r="OK49" s="155">
        <f>(SUMIF(LandEmiss!$BJ$335:$BJ$434,$FG49,LandEmiss!$BL$335:$BL$434)+SUMIF(LandEmiss!$DU$323:$DU$422,$FG49,LandEmiss!$DW$323:$DW$422))*(2000/8760)*IFERROR($QV$13,0)</f>
        <v>0</v>
      </c>
      <c r="OL49" s="155">
        <f>(IF(OR(VCU!$D$26="FUEL GAS",VCU!$D$42="FUEL GAS"),SUMIF(VCU!$E$120:$E$129,$FG49,VCU!$G$120:$G$129),0)+SUMIF(VCU!$E$130:$E$239,$FG49,VCU!G177:G286))*(2000/8760)*IFERROR($QV$14,0)</f>
        <v>0</v>
      </c>
      <c r="OM49" s="155">
        <f>SUMIF(LandEmiss!$A$335:$A$434,$FG49,LandEmiss!$E$335:$E$434)*(2000/8760)*IFERROR($QV$14,0)</f>
        <v>0</v>
      </c>
      <c r="ON49" s="155">
        <f>(SUMIF(LandEmiss!$BJ$335:$BJ$434,$FG49,LandEmiss!$BN$335:$BN$434)+SUMIF(LandEmiss!$DU$323:$DU$422,$FG49,LandEmiss!$DY$323:$DY$422))*(2000/8760)*IFERROR($QV$14,0)</f>
        <v>0</v>
      </c>
      <c r="OO49" s="155">
        <f>(IF(VaporOxidizer!$D$33="FUEL GAS",SUMIF(VaporOxidizer!$E$101:$E$110,$FG49,VaporOxidizer!$G$101:$G$110),0)+SUMIF(VaporOxidizer!$E$111:$E$220,$FG49,VaporOxidizer!$G$111:$G$220))*(2000/8760)*IFERROR($QV$15,0)</f>
        <v>0</v>
      </c>
      <c r="OP49" s="155">
        <f>SUMIF(LandEmiss!$A$335:$A$434,$FG49,LandEmiss!$G$335:$G$434)*(2000/8760)*IFERROR($QV$15,0)</f>
        <v>0</v>
      </c>
      <c r="OQ49" s="155">
        <f>(SUMIF(LandEmiss!$BJ$335:$BJ$434,$FG49,LandEmiss!$BP$335:$BP$434)+SUMIF(LandEmiss!$DU$323:$DU$422,$FG49,LandEmiss!$EA$323:$EA$422))*(2000/8760)*IFERROR($QV$15,0)</f>
        <v>0</v>
      </c>
      <c r="OR49" s="155">
        <f>SUMIF(CAS!$E$35:$E$144,Hidden!$FG49,CAS!$I$35:$I$144)*IFERROR($QV$16,0)*(2000/8760)</f>
        <v>0</v>
      </c>
      <c r="OS49" s="155">
        <f>SUMIF(LandEmiss!$A$335:$A$434,$FG49,LandEmiss!$I$335:$I$434)*(2000/8760)*IFERROR($QV$27,0)</f>
        <v>0</v>
      </c>
      <c r="OT49" s="155">
        <f>(SUMIF(LandEmiss!$BJ$335:$BJ$434,$FG49,LandEmiss!$BR$335:$BR$434)+SUMIF(LandEmiss!$DU$323:$DU$422,$FG49,LandEmiss!$EC$323:$EC$422))*(2000/8760)*IFERROR($QV$27,0)</f>
        <v>0</v>
      </c>
      <c r="OU49" s="155">
        <f>SUMIF(LandEmiss!$A$335:$A$434,$FG49,LandEmiss!$K$335:$K$434)*(2000/8760)*IFERROR($QV$26,0)</f>
        <v>0</v>
      </c>
      <c r="OV49" s="155">
        <f>(SUMIF(LandEmiss!$BJ$335:$BJ$434,$FG49,LandEmiss!$BT$335:$BT$434)+SUMIF(LandEmiss!$DU$323:$DU$422,$FG49,LandEmiss!$EE$323:$EE$422))*(2000/8760)*IFERROR($QV$26,0)</f>
        <v>0</v>
      </c>
      <c r="OW49" s="155">
        <f>SUMIF(LandEmiss!$A$335:$A$434,$FG49,LandEmiss!$M$335:$M$434)*(2000/8760)*IFERROR($QV$25,0)</f>
        <v>0</v>
      </c>
      <c r="OX49" s="155">
        <f>(SUMIF(LandEmiss!$BJ$335:$BJ$434,$FG49,LandEmiss!$BV$335:$BV$434)+SUMIF(LandEmiss!$DU$323:$DU$422,$FG49,LandEmiss!$EG$323:$EG$422))*(2000/8760)*IFERROR($QV$25,0)</f>
        <v>0</v>
      </c>
      <c r="OY49" s="8">
        <v>0</v>
      </c>
      <c r="OZ49" s="207">
        <v>0</v>
      </c>
      <c r="PA49" s="207">
        <f>IF(OR(HeaterBoiler1!$E$26&lt;&gt;"fuel gas",HeaterBoiler1!$E$15&lt;&gt;"heater"),0,(SUMIF(HeaterBoiler1!$A$54:$D$63,$FG49,HeaterBoiler1!$J$54:$J$63))*(2000/8760))*IFERROR($QV$19,0)</f>
        <v>0</v>
      </c>
      <c r="PB49" s="207">
        <f>IF(OR(HeaterBoiler2!$E$26&lt;&gt;"fuel gas",HeaterBoiler2!$E$15&lt;&gt;"heater"),0,(SUMIF(HeaterBoiler2!$A$54:$D$63,$FG49,HeaterBoiler2!$J$54:$J$63))*(2000/8760))*IFERROR($QV$21,0)</f>
        <v>0</v>
      </c>
      <c r="PC49" s="207">
        <f>IF(OR(HeaterBoiler1!$E$26&lt;&gt;"fuel gas",HeaterBoiler1!$E$15&lt;&gt;"boiler"),0,(SUMIF(HeaterBoiler1!$A$54:$D$63,$FG49,HeaterBoiler1!$J$54:$J$63))*(2000/8760))*IFERROR($QV$20,0)</f>
        <v>0</v>
      </c>
      <c r="PD49" s="207">
        <f>IF(OR(HeaterBoiler2!$E$26&lt;&gt;"fuel gas",HeaterBoiler2!$E$15&lt;&gt;"boiler"),0,(SUMIF(HeaterBoiler2!$A$54:$D$63,$FG49,HeaterBoiler2!$J$54:$J$63))*(2000/8760))*IFERROR($QV$22,0)</f>
        <v>0</v>
      </c>
      <c r="PE49" s="8">
        <f>(SUMIF(Fug!$A$96:$A$205,$FG49,Fug!$J$96:$J$205))*IFERROR($QV$23,0)*(2000/8760)</f>
        <v>0</v>
      </c>
      <c r="PF49" s="8">
        <f t="shared" si="31"/>
        <v>0</v>
      </c>
      <c r="PG49" s="156">
        <f t="shared" si="32"/>
        <v>0</v>
      </c>
      <c r="PJ49" s="52" t="str">
        <f>IF(Fug!$F$16=Hidden!$PP$2,"Connectors [8]","")</f>
        <v/>
      </c>
      <c r="PK49" s="52" t="str">
        <f>IF(Fug!$F$16=Hidden!$PP$2,"Gas","")</f>
        <v/>
      </c>
      <c r="PL49" s="52"/>
      <c r="PM49" s="52"/>
      <c r="PN49" s="52"/>
      <c r="PO49" s="52"/>
      <c r="PP49" s="52">
        <v>4.4000000000000002E-4</v>
      </c>
      <c r="PQ49" s="52"/>
      <c r="PR49" s="52"/>
      <c r="PS49" s="52"/>
      <c r="PT49" s="52" t="s">
        <v>8796</v>
      </c>
      <c r="PU49" s="52" t="s">
        <v>8769</v>
      </c>
      <c r="PV49" s="52">
        <v>0</v>
      </c>
      <c r="PW49" s="52">
        <v>0.3</v>
      </c>
      <c r="PX49" s="52">
        <v>0.3</v>
      </c>
      <c r="PY49" s="52">
        <v>0.97</v>
      </c>
      <c r="PZ49" s="52">
        <v>0</v>
      </c>
      <c r="QA49" s="52">
        <v>0.97</v>
      </c>
      <c r="QB49" s="52"/>
      <c r="QC49" s="52"/>
      <c r="QD49" s="52"/>
      <c r="QE49" s="52"/>
      <c r="QF49" s="52"/>
      <c r="QG49" s="52"/>
      <c r="QH49" s="52"/>
      <c r="QI49" s="52"/>
      <c r="QX49" s="89" t="s">
        <v>9327</v>
      </c>
      <c r="QY49">
        <v>145.69999999999999</v>
      </c>
      <c r="QZ49">
        <v>145.69999999999999</v>
      </c>
      <c r="RA49">
        <v>145.69999999999999</v>
      </c>
      <c r="RB49">
        <v>108.7</v>
      </c>
      <c r="RC49">
        <v>88.99</v>
      </c>
      <c r="RD49">
        <v>80.400000000000006</v>
      </c>
      <c r="RE49">
        <v>71.739999999999995</v>
      </c>
      <c r="RF49">
        <v>51.76</v>
      </c>
      <c r="RG49" s="90">
        <v>40.93</v>
      </c>
      <c r="RH49" s="89" t="s">
        <v>9327</v>
      </c>
      <c r="RI49">
        <v>141</v>
      </c>
      <c r="RJ49">
        <v>141</v>
      </c>
      <c r="RK49">
        <v>141</v>
      </c>
      <c r="RL49">
        <v>105.8</v>
      </c>
      <c r="RM49">
        <v>73.989999999999995</v>
      </c>
      <c r="RN49">
        <v>61.57</v>
      </c>
      <c r="RO49">
        <v>54.52</v>
      </c>
      <c r="RP49">
        <v>44.11</v>
      </c>
      <c r="RQ49" s="90">
        <v>37.85</v>
      </c>
      <c r="RR49" s="89" t="s">
        <v>9327</v>
      </c>
      <c r="RS49">
        <v>135.4</v>
      </c>
      <c r="RT49">
        <v>135.4</v>
      </c>
      <c r="RU49">
        <v>135.4</v>
      </c>
      <c r="RV49">
        <v>101.3</v>
      </c>
      <c r="RW49">
        <v>68.73</v>
      </c>
      <c r="RX49">
        <v>57.39</v>
      </c>
      <c r="RY49">
        <v>47.71</v>
      </c>
      <c r="RZ49">
        <v>35.909999999999997</v>
      </c>
      <c r="SA49" s="90">
        <v>29.44</v>
      </c>
      <c r="SB49" s="89" t="s">
        <v>9327</v>
      </c>
      <c r="SC49">
        <v>103.1</v>
      </c>
      <c r="SD49">
        <v>103.1</v>
      </c>
      <c r="SE49">
        <v>103.1</v>
      </c>
      <c r="SF49">
        <v>71.16</v>
      </c>
      <c r="SG49">
        <v>46.68</v>
      </c>
      <c r="SH49">
        <v>34.479999999999997</v>
      </c>
      <c r="SI49">
        <v>28.18</v>
      </c>
      <c r="SJ49">
        <v>18.260000000000002</v>
      </c>
      <c r="SK49" s="90">
        <v>13.76</v>
      </c>
      <c r="SL49" s="89" t="s">
        <v>9327</v>
      </c>
      <c r="SM49">
        <v>19.48</v>
      </c>
      <c r="SN49">
        <v>19.48</v>
      </c>
      <c r="SO49">
        <v>19.48</v>
      </c>
      <c r="SP49">
        <v>16.91</v>
      </c>
      <c r="SQ49">
        <v>11.26</v>
      </c>
      <c r="SR49">
        <v>7.97</v>
      </c>
      <c r="SS49">
        <v>6.07</v>
      </c>
      <c r="ST49">
        <v>3.7</v>
      </c>
      <c r="SU49" s="90">
        <v>2.58</v>
      </c>
    </row>
    <row r="50" spans="1:515" ht="74.25" customHeight="1" x14ac:dyDescent="0.2">
      <c r="A50" s="8" t="s">
        <v>227</v>
      </c>
      <c r="B50" s="8">
        <v>12</v>
      </c>
      <c r="W50">
        <f>IF(OR(X50=0,ISNUMBER(MATCH(X50,$X$1:X49,0))),0,MAX($W$1:W49)+1)</f>
        <v>0</v>
      </c>
      <c r="X50" s="123">
        <f>Products!$E97</f>
        <v>0</v>
      </c>
      <c r="Y50" t="str">
        <f t="shared" si="39"/>
        <v/>
      </c>
      <c r="CA50">
        <f>IF(OR(CB50=0,ISNUMBER(MATCH(CB50,$CB$1:CB49,0))),0,MAX($CA$1:CA49)+1)</f>
        <v>0</v>
      </c>
      <c r="CB50" s="8">
        <f>IF(OR(Tank1!$D$18="EXTERNAL FLOATING ROOF",Tank1!$D$18="INTERNAL FLOATING ROOF"),IF(Tank1!$E80="",0,Tank1!$E80),0)</f>
        <v>0</v>
      </c>
      <c r="CC50" s="8" t="str">
        <f t="shared" si="40"/>
        <v/>
      </c>
      <c r="CD50" s="8"/>
      <c r="CE50" s="8">
        <f>IF(OR(CF50=0,ISNUMBER(MATCH(CF50,$CF$1:CF49,0))),0,MAX($CE$1:CE49)+1)</f>
        <v>0</v>
      </c>
      <c r="CF50" s="8">
        <f>IF(OR(Tank1!$D$18="HORIZONTAL FIXED ROOF",Tank1!$D$18="VERTICAL FIXED ROOF"),IF(Tank1!$E80="",0,Tank1!$E80),0)</f>
        <v>0</v>
      </c>
      <c r="CG50" s="8" t="str">
        <f t="shared" si="41"/>
        <v/>
      </c>
      <c r="CJ50">
        <f>IF(OR(CK50=0,ISNUMBER(MATCH(CK50,$CK$1:CK49,0))),0,MAX($CJ$1:CJ49)+1)</f>
        <v>0</v>
      </c>
      <c r="CK50">
        <f>Tank5!$A$120</f>
        <v>0</v>
      </c>
      <c r="CM50">
        <f>IFERROR(VLOOKUP($CK50,Tank5!$A$32:$D$141,3,FALSE),0)</f>
        <v>0</v>
      </c>
      <c r="CN50">
        <f>IFERROR(VLOOKUP($CK50,Tank5!$A$32:$D$141,4,FALSE),0)</f>
        <v>0</v>
      </c>
      <c r="DM50">
        <f>IF(OR(DN50=0,ISNUMBER(MATCH(DN50,$DN$1:DN49,0))),0,MAX($DM$1:DM49)+1)</f>
        <v>0</v>
      </c>
      <c r="DN50">
        <f>IF(Tank5!$D$22="Flare",IFERROR(VLOOKUP(Products!$A$139,Tank5!$A$32:$B$141,1,FALSE),0),0)</f>
        <v>0</v>
      </c>
      <c r="DO50">
        <f>IF($DN50=0,0,VLOOKUP($DN50,Tank5!$A$32:$H$141,7,FALSE))</f>
        <v>0</v>
      </c>
      <c r="DP50">
        <f>IF($DN50=0,0,VLOOKUP($DN50,Tank5!$A$32:$H$141,8,FALSE))</f>
        <v>0</v>
      </c>
      <c r="DU50">
        <f>IF(OR(DV50=0,ISNUMBER(MATCH(DV50,$DV$1:DV49,0))),0,MAX($DU$1:DU49)+1)</f>
        <v>0</v>
      </c>
      <c r="DV50">
        <f>IF(Tank5!$D$22="VCU",IFERROR(VLOOKUP(Products!$A$139,Tank5!$A$32:$B$141,1,FALSE),0),0)</f>
        <v>0</v>
      </c>
      <c r="DW50">
        <f>IF($DV50=0,0,VLOOKUP($DV50,Tank5!$A$32:$H$141,7,FALSE))</f>
        <v>0</v>
      </c>
      <c r="DX50">
        <f>IF($DV50=0,0,VLOOKUP($DV50,Tank5!$A$32:$H$141,8,FALSE))</f>
        <v>0</v>
      </c>
      <c r="EC50">
        <f>IF(OR(ED50=0,ISNUMBER(MATCH(ED50,$ED$1:ED49,0))),0,MAX($EC$1:EC49)+1)</f>
        <v>0</v>
      </c>
      <c r="ED50">
        <f>IF(Tank5!$D$22="vapor oxidizer",IFERROR(VLOOKUP(Products!$A$139,Tank5!$A$32:$B$141,1,FALSE),0),0)</f>
        <v>0</v>
      </c>
      <c r="EE50">
        <f>IF($ED50=0,0,VLOOKUP($ED50,Tank5!$A$32:$H$141,7,FALSE))</f>
        <v>0</v>
      </c>
      <c r="EF50">
        <f>IF($ED50=0,0,VLOOKUP($ED50,Tank5!$A$32:$H$141,8,FALSE))</f>
        <v>0</v>
      </c>
      <c r="EK50">
        <f>IF(OR(EL50=0,ISNUMBER(MATCH(EL50,$EL$1:EL49,0))),0,MAX($EK$1:EK49)+1)</f>
        <v>0</v>
      </c>
      <c r="EL50">
        <f>IF(Tank5!$D$22="CAS",IFERROR(VLOOKUP(Products!A139,Tank5!$A$32:$B$141,1,FALSE),0),0)</f>
        <v>0</v>
      </c>
      <c r="EM50">
        <f>IF($EL50=0,0,VLOOKUP($EL50,Tank5!$A$32:$H$141,7,FALSE))</f>
        <v>0</v>
      </c>
      <c r="EN50">
        <f>IF($EL50=0,0,VLOOKUP($EL50,Tank5!$A$32:$H$141,8,FALSE))</f>
        <v>0</v>
      </c>
      <c r="FB50" s="8" t="s">
        <v>453</v>
      </c>
      <c r="FC50" s="8" t="s">
        <v>454</v>
      </c>
      <c r="FD50" s="8">
        <v>50</v>
      </c>
      <c r="FE50" s="8">
        <v>5</v>
      </c>
      <c r="FG50" s="360" t="str">
        <f t="shared" si="23"/>
        <v/>
      </c>
      <c r="FH50" s="155">
        <f>IF(Tank1!$D$22="NO CONTROL",_xlfn.MAXIFS(Tank1!$G$32:$G$141,Tank1!$E$32:$E$141,$FG50),0)*IFERROR($QR$3,0)</f>
        <v>0</v>
      </c>
      <c r="FI50" s="155">
        <f>_xlfn.MAXIFS(LandEmiss!$AF$20:$AF$119,LandEmiss!$AE$20:$AE$119,$FG50)*IFERROR($QR$3,0)</f>
        <v>0</v>
      </c>
      <c r="FJ50" s="155">
        <f>MAX(_xlfn.MAXIFS(LandEmiss!$CO$20:$CO$119,LandEmiss!$CN$20:$CN$119,$FG50),_xlfn.MAXIFS(LandEmiss!$EZ$9:$EZ$108,LandEmiss!$EY$9:$EY$108,$FG50))*IFERROR($QR$3,0)</f>
        <v>0</v>
      </c>
      <c r="FK50" s="155">
        <f>IF(Tank2!$D$22="NO CONTROL",_xlfn.MAXIFS(Tank2!$G$32:$G$141,Tank2!$E$32:$E$141,$FG50),0)*IFERROR($QR$4,0)</f>
        <v>0</v>
      </c>
      <c r="FL50" s="155">
        <f>_xlfn.MAXIFS(LandEmiss!$AG$20:$AG$119,LandEmiss!$AE$20:$AE$119,$FG50)*IFERROR($QR$4,0)</f>
        <v>0</v>
      </c>
      <c r="FM50" s="155">
        <f>MAX(_xlfn.MAXIFS(LandEmiss!$CP$20:$CP$119,LandEmiss!$CN$20:$CN$119,$FG50),_xlfn.MAXIFS(LandEmiss!$FA$9:$FA$108,LandEmiss!$EY$9:$EY$108,$FG50))*IFERROR($QR$4,0)</f>
        <v>0</v>
      </c>
      <c r="FN50" s="155">
        <f>IF(Tank3!$D$22="NO CONTROL",_xlfn.MAXIFS(Tank3!$G$32:$G$141,Tank3!$E$32:$E$141,$FG50),0)*IFERROR($QR$5,0)</f>
        <v>0</v>
      </c>
      <c r="FO50" s="155">
        <f>_xlfn.MAXIFS(LandEmiss!$AH$20:$AH$119,LandEmiss!$AE$20:$AE$119,$FG50)*IFERROR($QR$5,0)</f>
        <v>0</v>
      </c>
      <c r="FP50" s="155">
        <f>MAX(_xlfn.MAXIFS(LandEmiss!$CQ$20:$CQ$119,LandEmiss!$CN$20:$CN$119,$FG50),_xlfn.MAXIFS(LandEmiss!$FB$9:$FB$108,LandEmiss!$EY$9:$EY$108,$FG50))*IFERROR($QR$5,0)</f>
        <v>0</v>
      </c>
      <c r="FQ50" s="155">
        <f>IF(Tank4!$D$22="NO CONTROL",_xlfn.MAXIFS(Tank4!$G$32:$G$141,Tank4!$E$32:$E$141,$FG50),0)*IFERROR($QR$6,0)</f>
        <v>0</v>
      </c>
      <c r="FR50" s="155">
        <f>_xlfn.MAXIFS(LandEmiss!$AI$20:$AI$119,LandEmiss!$AE$20:$AE$119,$FG50)*IFERROR($QR$6,0)</f>
        <v>0</v>
      </c>
      <c r="FS50" s="155">
        <f>MAX(_xlfn.MAXIFS(LandEmiss!$CR$20:$CR$119,LandEmiss!$CN$20:$CN$119,$FG50),_xlfn.MAXIFS(LandEmiss!$FC$9:$FC$108,LandEmiss!$EY$9:$EY$108,$FG50))*IFERROR($QR$6,0)</f>
        <v>0</v>
      </c>
      <c r="FT50" s="155">
        <f>IF(Tank5!$D$22="NO CONTROL",_xlfn.MAXIFS(Tank5!$G$32:$G$141,Tank5!$E$32:$E$141,$FG50),0)*IFERROR($QR$7,0)</f>
        <v>0</v>
      </c>
      <c r="FU50" s="155">
        <f>_xlfn.MAXIFS(LandEmiss!$AJ$20:$AJ$119,LandEmiss!$AE$20:$AE$119,$FG50)*IFERROR($QR$7,0)</f>
        <v>0</v>
      </c>
      <c r="FV50" s="155">
        <f>MAX(_xlfn.MAXIFS(LandEmiss!$CS$20:$CS$119,LandEmiss!$CN$20:$CN$119,$FG50),_xlfn.MAXIFS(LandEmiss!$FD$9:$FD$108,LandEmiss!$EY$9:$EY$108,$FG50))*IFERROR($QR55,0)</f>
        <v>0</v>
      </c>
      <c r="FW50" s="155">
        <f>_xlfn.MAXIFS('Load-DrumTote'!$K$27:$K$136,'Load-DrumTote'!$F$27:$F$136,$FG50)*IFERROR($QR$8,0)</f>
        <v>0</v>
      </c>
      <c r="FX50" s="155">
        <f>_xlfn.MAXIFS('Load-Truck'!$K$27:$K$136,'Load-Truck'!$F$27:$F$136,$FG50)*IFERROR($QR$9,0)</f>
        <v>0</v>
      </c>
      <c r="FY50" s="155">
        <f>_xlfn.MAXIFS('Load-Rail'!$K$27:$K$136,'Load-Rail'!$F$27:$F$136,$FG50)*IFERROR($QR$10,0)</f>
        <v>0</v>
      </c>
      <c r="FZ50" s="155">
        <f>_xlfn.MAXIFS('Load-MarineBarge'!$K$27:$K$136,'Load-MarineBarge'!$F$27:$F$136,$FG50)*IFERROR($QR$11,0)</f>
        <v>0</v>
      </c>
      <c r="GA50" s="155">
        <f>_xlfn.MAXIFS('Load-MarineShip'!$K$27:$K$136,'Load-MarineShip'!$F$27:$F$136,$FG50)*IFERROR($QR$12,0)</f>
        <v>0</v>
      </c>
      <c r="GB50" s="313">
        <f>IF(OR(Flare!$D$24="fuel gas",Flare!$D$38="fuel gas"),SUMIF(Flare!$E$97:$E$106,$FG50,Flare!$F$97:$F$106),0)*IFERROR($QR$13,0)</f>
        <v>0</v>
      </c>
      <c r="GC50" s="313">
        <f>(_xlfn.MAXIFS(CtrlDevImpacts!$I$57:$I$156,CtrlDevImpacts!$H$57:$H$156,$FG50))*IFERROR($QR$13,0)</f>
        <v>0</v>
      </c>
      <c r="GD50" s="313">
        <f>(_xlfn.MAXIFS(Flare!$F$107:$F$216,Flare!$E$107:$E$216,$FG50)-_xlfn.MAXIFS(CtrlDevImpacts!$I$57:$I$156,CtrlDevImpacts!$H$57:$H$156,$FG50))*IFERROR($QR$13,0)</f>
        <v>0</v>
      </c>
      <c r="GE50" s="155">
        <f>_xlfn.MAXIFS(LandEmiss!$B$335:$B$434,LandEmiss!$A$335:$A$434,$FG50)*IFERROR($QR$13,0)</f>
        <v>0</v>
      </c>
      <c r="GF50" s="155">
        <f>(_xlfn.MAXIFS(LandEmiss!$BK$335:$BK$434,LandEmiss!$BJ$335:$BJ$434,$FG50)+_xlfn.MAXIFS(LandEmiss!$DV$323:$DV$422,LandEmiss!$DU$323:$DU$422,$FG50))*IFERROR($QR$13,0)</f>
        <v>0</v>
      </c>
      <c r="GG50" s="313">
        <f>IF(OR(VCU!$D$26="fuel gas",VCU!$D$42="fuel gas"),SUMIF(VCU!$E$120:$E$129,$FG50,VCU!$F$120:$F$129),0)*IFERROR($QR$14,0)</f>
        <v>0</v>
      </c>
      <c r="GH50" s="313">
        <f>(_xlfn.MAXIFS(CtrlDevImpacts!$X$57:$X$156,CtrlDevImpacts!$W$57:$W$156,$FG50))*IFERROR($QR$14,0)</f>
        <v>0</v>
      </c>
      <c r="GI50" s="313">
        <f>(_xlfn.MAXIFS(VCU!$F$130:$F$239,VCU!$E$130:$E$239,$FG50)-_xlfn.MAXIFS(CtrlDevImpacts!$X$57:$X$156,CtrlDevImpacts!$W$57:$W$156,$FG50))*IFERROR($QR$14,0)</f>
        <v>0</v>
      </c>
      <c r="GJ50" s="155">
        <f>_xlfn.MAXIFS(LandEmiss!$D$335:$D$434,LandEmiss!$A$335:$A$434,$FG50)*IFERROR($QR$14,0)</f>
        <v>0</v>
      </c>
      <c r="GK50" s="155">
        <f>(_xlfn.MAXIFS(LandEmiss!$BM$335:$BM$434,LandEmiss!$BJ$335:$BJ$434,$FG50)+_xlfn.MAXIFS(LandEmiss!$DX$323:$DX$422,LandEmiss!$DU$323:$DU$422,$FG50))*IFERROR($QR$14,0)</f>
        <v>0</v>
      </c>
      <c r="GL50" s="313">
        <f>IF(VaporOxidizer!D81="FUEL GAS",SUMIF(VaporOxidizer!$E$101:$E$110,$FG50,VaporOxidizer!$F$101:$F$110),0)*IFERROR($QR$15,0)</f>
        <v>0</v>
      </c>
      <c r="GM50" s="313">
        <f>(_xlfn.MAXIFS(CtrlDevImpacts!$AN$57:$AN$156,CtrlDevImpacts!$AM$57:$AM$156,$FG50))*IFERROR($QR$15,0)</f>
        <v>0</v>
      </c>
      <c r="GN50" s="313">
        <f>(_xlfn.MAXIFS(VaporOxidizer!$F$111:$F$220,VaporOxidizer!$E$111:$E$220,$FG50)-_xlfn.MAXIFS(CtrlDevImpacts!$AN$57:$AN$156,CtrlDevImpacts!$AM$57:$AM$156,$FG50))*IFERROR($QR$15,0)</f>
        <v>0</v>
      </c>
      <c r="GO50" s="155">
        <f>_xlfn.MAXIFS(LandEmiss!$F$335:$F$434,LandEmiss!$A$335:$A$434,$FG50)*IFERROR($QR$15,0)</f>
        <v>0</v>
      </c>
      <c r="GP50" s="155">
        <f>(_xlfn.MAXIFS(LandEmiss!$BK$335:$BK$434,LandEmiss!$BO$335:$BO$434,$FG50)+_xlfn.MAXIFS(LandEmiss!$DZ$323:$DZ$422,LandEmiss!$DU$323:$DU$422,$FG50))*IFERROR($QR$15,0)</f>
        <v>0</v>
      </c>
      <c r="GQ50" s="313">
        <f>_xlfn.MAXIFS(CtrlDevImpacts!$BD$57:$BD$156,CtrlDevImpacts!$BC$57:$BC$156,$FG50)*IFERROR(Hidden!$QR$16,0)</f>
        <v>0</v>
      </c>
      <c r="GR50" s="313">
        <f>(_xlfn.MAXIFS(CAS!$H$35:$H$144,CAS!$E$35:$E$144,$FG50)-_xlfn.MAXIFS(CtrlDevImpacts!$BD$57:$BD$156,CtrlDevImpacts!$BC$57:$BC$156,$FG50))*IFERROR(Hidden!$QR$16,0)</f>
        <v>0</v>
      </c>
      <c r="GS50" s="155">
        <f>_xlfn.MAXIFS(LandEmiss!$H$335:$H$434,LandEmiss!$A$335:$A$434,$FG50)*IFERROR($QR$27,0)</f>
        <v>0</v>
      </c>
      <c r="GT50" s="155">
        <f>(_xlfn.MAXIFS(LandEmiss!$BK$335:$BK$434,LandEmiss!$BQ$335:$BQ$434,$FG50)+_xlfn.MAXIFS(LandEmiss!$EB$323:$EB$422,LandEmiss!$DU$323:$DU$422,$FG50))*IFERROR($QR$27,0)</f>
        <v>0</v>
      </c>
      <c r="GU50" s="155">
        <f>_xlfn.MAXIFS(LandEmiss!$J$335:$J$434,LandEmiss!$A$335:$A$434,$FG50)*IFERROR($QR$26,0)</f>
        <v>0</v>
      </c>
      <c r="GV50" s="155">
        <f>(_xlfn.MAXIFS(LandEmiss!$BK$335:$BK$434,LandEmiss!$BS$335:$BS$434,$FG50)+_xlfn.MAXIFS(LandEmiss!$ED$323:$ED$422,LandEmiss!$DU$323:$DU$422,$FG50))*IFERROR($QR$26,0)</f>
        <v>0</v>
      </c>
      <c r="GW50" s="155">
        <f>_xlfn.MAXIFS(LandEmiss!$L$335:$L$434,LandEmiss!$A$335:$A$434,$FG50)*IFERROR($QR$25,0)</f>
        <v>0</v>
      </c>
      <c r="GX50" s="155">
        <f>(_xlfn.MAXIFS(LandEmiss!$BK$335:$BK$434,LandEmiss!$BU$335:$BU$434,$FG50)+_xlfn.MAXIFS(LandEmiss!$EF$323:$EF$422,LandEmiss!$DU$323:$DU$422,$FG50))*IFERROR($QR$25,0)</f>
        <v>0</v>
      </c>
      <c r="GY50" s="155">
        <v>0</v>
      </c>
      <c r="GZ50" s="155">
        <v>0</v>
      </c>
      <c r="HA50" s="155">
        <f>IF(OR(HeaterBoiler1!$E$26&lt;&gt;"fuel gas",HeaterBoiler1!$E$15&lt;&gt;"heater"),0,SUMIF(HeaterBoiler1!$A$54:$D$63,$FG50,HeaterBoiler1!$I$54:$I$63))*IFERROR($QR$19,0)</f>
        <v>0</v>
      </c>
      <c r="HB50" s="207">
        <f>IF(OR(HeaterBoiler2!$E$26&lt;&gt;"fuel gas",HeaterBoiler2!$E$15&lt;&gt;"heater"),0,SUMIF(HeaterBoiler2!$A$54:$D$63,$FG50,HeaterBoiler2!$I$54:$I$63))*IFERROR($QR$21,0)</f>
        <v>0</v>
      </c>
      <c r="HC50" s="155">
        <f>IF(OR(HeaterBoiler1!$E$26&lt;&gt;"fuel gas",HeaterBoiler1!$E$15&lt;&gt;"boiler"),0,SUMIF(HeaterBoiler1!$A$41:$A$50,$FG50,HeaterBoiler1!$F$41:$F$50))*IFERROR($QR$20,0)</f>
        <v>0</v>
      </c>
      <c r="HD50" s="207">
        <f>IF(OR(HeaterBoiler2!$E$26&lt;&gt;"fuel gas",HeaterBoiler2!$E$15&lt;&gt;"boiler"),0,SUMIF(HeaterBoiler2!$A$41:$A$50,$FG50,HeaterBoiler2!$F$41:$F$50))*IFERROR($QR$22,0)</f>
        <v>0</v>
      </c>
      <c r="HE50" s="155">
        <f>SUMIF(Fug!$A$96:$A$205,$FG50,Fug!$I$96:$I$205)*IFERROR(Hidden!$QR$23,0)</f>
        <v>0</v>
      </c>
      <c r="HF50" s="155">
        <f t="shared" si="24"/>
        <v>0</v>
      </c>
      <c r="HG50" s="156">
        <f t="shared" si="25"/>
        <v>0</v>
      </c>
      <c r="HH50" s="156">
        <f t="shared" si="26"/>
        <v>0</v>
      </c>
      <c r="HI50" s="156">
        <f t="shared" si="27"/>
        <v>0</v>
      </c>
      <c r="HJ50" s="156">
        <f t="shared" si="28"/>
        <v>0</v>
      </c>
      <c r="HK50" s="156">
        <f t="shared" si="29"/>
        <v>0</v>
      </c>
      <c r="HL50" s="156">
        <f t="shared" si="30"/>
        <v>0</v>
      </c>
      <c r="NO50" s="155">
        <f>IF(Tank1!$D$22="No control",(SUMIF(Tank1!$E$32:$E$141,$FG50,Tank1!$H$32:$H$141)*(2000/8760)*IFERROR($QV$3,0)),0)</f>
        <v>0</v>
      </c>
      <c r="NP50" s="156">
        <f>SUMIF(LandEmiss!$AE$20:$AE$119,$FG50,LandEmiss!$AK$20:$AK$119)*(2000/8760)*IFERROR($QV$3,0)</f>
        <v>0</v>
      </c>
      <c r="NQ50" s="156">
        <f>(SUMIF(LandEmiss!$CN$20:$CN$119,$FG50,LandEmiss!$CT$20:$CT$119)+SUMIF(LandEmiss!$EY$9:$EY$108,$FG50,LandEmiss!$FE$9:$FE$108))*IFERROR($QV$3,0)*(2000/8760)</f>
        <v>0</v>
      </c>
      <c r="NR50" s="155">
        <f>IF(Tank2!$D$22="No control",(SUMIF(Tank2!$E$32:$E$141,$FG50,Tank2!$H$32:$H$141)*(2000/8760)*IFERROR($QV$4,0)),0)</f>
        <v>0</v>
      </c>
      <c r="NS50" s="156">
        <f>SUMIF(LandEmiss!$AE$20:$AE$119,$FG50,LandEmiss!$AL$20:$AL$119)*(2000/8760)*IFERROR($QV$4,0)</f>
        <v>0</v>
      </c>
      <c r="NT50" s="156">
        <f>(SUMIF(LandEmiss!$CN$20:$CN$119,$FG50,LandEmiss!$CU$20:$CU$119)+SUMIF(LandEmiss!$EY$9:$EY$108,$FG50,LandEmiss!$FF$9:$FF$108))*IFERROR($QV$4,0)*(2000/8760)</f>
        <v>0</v>
      </c>
      <c r="NU50" s="155">
        <f>IF(Tank3!$D$22="No control",(SUMIF(Tank3!$E$32:$E$141,$FG50,Tank3!$H$32:$H$141)*(2000/8760)*IFERROR($QV$5,0)),0)</f>
        <v>0</v>
      </c>
      <c r="NV50" s="156">
        <f>SUMIF(LandEmiss!$AE$20:$AE$119,$FG50,LandEmiss!$AM$20:$AM$119)*(2000/8760)*IFERROR($QV$5,0)</f>
        <v>0</v>
      </c>
      <c r="NW50" s="156">
        <f>(SUMIF(LandEmiss!$CN$20:$CN$119,$FG50,LandEmiss!$CV$20:$CV$119)+SUMIF(LandEmiss!$EY$9:$EY$108,$FG50,LandEmiss!$FG$9:$FG$108))*IFERROR($QV$5,0)*(2000/8760)</f>
        <v>0</v>
      </c>
      <c r="NX50" s="155">
        <f>IF(Tank4!$D$22="No control",(SUMIF(Tank4!$E$32:$E$141,$FG50,Tank4!$H$32:$H$141)*(2000/8760)*IFERROR($QV$6,0)),0)</f>
        <v>0</v>
      </c>
      <c r="NY50" s="156">
        <f>SUMIF(LandEmiss!$AE$20:$AE$119,$FG50,LandEmiss!$AN$20:$AN$119)*(2000/8760)*IFERROR($QV$6,0)</f>
        <v>0</v>
      </c>
      <c r="NZ50" s="156">
        <f>(SUMIF(LandEmiss!$CN$20:$CN$119,$FG50,LandEmiss!$CW$20:$CW$119)+SUMIF(LandEmiss!$EY$9:$EY$108,$FG50,LandEmiss!$FH$9:$FH$108))*IFERROR($QV$6,0)*(2000/8760)</f>
        <v>0</v>
      </c>
      <c r="OA50" s="155">
        <f>IF(Tank5!$D$22="No control",(SUMIF(Tank5!$E$32:$E$141,$FG50,Tank5!$H$32:$H$141)*(2000/8760)*IFERROR($QV$7,0)),0)</f>
        <v>0</v>
      </c>
      <c r="OB50" s="156">
        <f>SUMIF(LandEmiss!$AE$20:$AE$119,$FG50,LandEmiss!$AO$20:$AO$119)*(2000/8760)*IFERROR($QV$7,0)</f>
        <v>0</v>
      </c>
      <c r="OC50" s="156">
        <f>(SUMIF(LandEmiss!$CN$20:$CN$119,$FG50,LandEmiss!$CX$20:$CX$119)+SUMIF(LandEmiss!$EY$9:$EY$108,$FG50,LandEmiss!$FI$9:$FI$108))*IFERROR($QV$7,0)*(2000/8760)</f>
        <v>0</v>
      </c>
      <c r="OD50" s="155">
        <f>SUMIFS('Load-DrumTote'!$L$27:$L$136,'Load-DrumTote'!$F$27:$F$136,$FG50)*IFERROR($QV$8,0)*(2000/8760)</f>
        <v>0</v>
      </c>
      <c r="OE50" s="155">
        <f>SUMIFS('Load-Truck'!$L$27:$L$136,'Load-Truck'!$F$27:$F$136,$FG50)*IFERROR($QV$9,0)*(2000/8760)</f>
        <v>0</v>
      </c>
      <c r="OF50" s="155">
        <f>SUMIFS('Load-Rail'!$L$27:$L$136,'Load-Rail'!$F$27:$F$136,$FG50)*IFERROR($QV$10,0)*(2000/8760)</f>
        <v>0</v>
      </c>
      <c r="OG50" s="155">
        <f>SUMIFS('Load-MarineBarge'!$L$27:$L$136,'Load-MarineBarge'!$F$27:$F$136,$FG50)*IFERROR($QV$11,0)*(2000/8760)</f>
        <v>0</v>
      </c>
      <c r="OH50" s="155">
        <f>SUMIFS('Load-MarineShip'!$L$27:$L$136,'Load-MarineShip'!$F$27:$F$136,$FG50)*IFERROR($QV$12,0)*(2000/8760)</f>
        <v>0</v>
      </c>
      <c r="OI50" s="155">
        <f>(IF(OR(Flare!$D$24="FUEL GAS",Flare!$D$38="FUEL GAS"),SUMIF(Flare!$E$97:$E$106,$FG50,Flare!$G$97:$G$105),0)+SUMIF(Flare!$E$107:$E$216,$FG50,Flare!$G$107:$G$216))*(2000/8730)*IFERROR($QV$13,0)</f>
        <v>0</v>
      </c>
      <c r="OJ50" s="155">
        <f>SUMIF(LandEmiss!$A$335:$A$434,$FG50,LandEmiss!$C$335:$C$434)*(2000/8760)*IFERROR($QV$13,0)</f>
        <v>0</v>
      </c>
      <c r="OK50" s="155">
        <f>(SUMIF(LandEmiss!$BJ$335:$BJ$434,$FG50,LandEmiss!$BL$335:$BL$434)+SUMIF(LandEmiss!$DU$323:$DU$422,$FG50,LandEmiss!$DW$323:$DW$422))*(2000/8760)*IFERROR($QV$13,0)</f>
        <v>0</v>
      </c>
      <c r="OL50" s="155">
        <f>(IF(OR(VCU!$D$26="FUEL GAS",VCU!$D$42="FUEL GAS"),SUMIF(VCU!$E$120:$E$129,$FG50,VCU!$G$120:$G$129),0)+SUMIF(VCU!$E$130:$E$239,$FG50,VCU!G178:G287))*(2000/8760)*IFERROR($QV$14,0)</f>
        <v>0</v>
      </c>
      <c r="OM50" s="155">
        <f>SUMIF(LandEmiss!$A$335:$A$434,$FG50,LandEmiss!$E$335:$E$434)*(2000/8760)*IFERROR($QV$14,0)</f>
        <v>0</v>
      </c>
      <c r="ON50" s="155">
        <f>(SUMIF(LandEmiss!$BJ$335:$BJ$434,$FG50,LandEmiss!$BN$335:$BN$434)+SUMIF(LandEmiss!$DU$323:$DU$422,$FG50,LandEmiss!$DY$323:$DY$422))*(2000/8760)*IFERROR($QV$14,0)</f>
        <v>0</v>
      </c>
      <c r="OO50" s="155">
        <f>(IF(VaporOxidizer!$D$33="FUEL GAS",SUMIF(VaporOxidizer!$E$101:$E$110,$FG50,VaporOxidizer!$G$101:$G$110),0)+SUMIF(VaporOxidizer!$E$111:$E$220,$FG50,VaporOxidizer!$G$111:$G$220))*(2000/8760)*IFERROR($QV$15,0)</f>
        <v>0</v>
      </c>
      <c r="OP50" s="155">
        <f>SUMIF(LandEmiss!$A$335:$A$434,$FG50,LandEmiss!$G$335:$G$434)*(2000/8760)*IFERROR($QV$15,0)</f>
        <v>0</v>
      </c>
      <c r="OQ50" s="155">
        <f>(SUMIF(LandEmiss!$BJ$335:$BJ$434,$FG50,LandEmiss!$BP$335:$BP$434)+SUMIF(LandEmiss!$DU$323:$DU$422,$FG50,LandEmiss!$EA$323:$EA$422))*(2000/8760)*IFERROR($QV$15,0)</f>
        <v>0</v>
      </c>
      <c r="OR50" s="155">
        <f>SUMIF(CAS!$E$35:$E$144,Hidden!$FG50,CAS!$I$35:$I$144)*IFERROR($QV$16,0)*(2000/8760)</f>
        <v>0</v>
      </c>
      <c r="OS50" s="155">
        <f>SUMIF(LandEmiss!$A$335:$A$434,$FG50,LandEmiss!$I$335:$I$434)*(2000/8760)*IFERROR($QV$27,0)</f>
        <v>0</v>
      </c>
      <c r="OT50" s="155">
        <f>(SUMIF(LandEmiss!$BJ$335:$BJ$434,$FG50,LandEmiss!$BR$335:$BR$434)+SUMIF(LandEmiss!$DU$323:$DU$422,$FG50,LandEmiss!$EC$323:$EC$422))*(2000/8760)*IFERROR($QV$27,0)</f>
        <v>0</v>
      </c>
      <c r="OU50" s="155">
        <f>SUMIF(LandEmiss!$A$335:$A$434,$FG50,LandEmiss!$K$335:$K$434)*(2000/8760)*IFERROR($QV$26,0)</f>
        <v>0</v>
      </c>
      <c r="OV50" s="155">
        <f>(SUMIF(LandEmiss!$BJ$335:$BJ$434,$FG50,LandEmiss!$BT$335:$BT$434)+SUMIF(LandEmiss!$DU$323:$DU$422,$FG50,LandEmiss!$EE$323:$EE$422))*(2000/8760)*IFERROR($QV$26,0)</f>
        <v>0</v>
      </c>
      <c r="OW50" s="155">
        <f>SUMIF(LandEmiss!$A$335:$A$434,$FG50,LandEmiss!$M$335:$M$434)*(2000/8760)*IFERROR($QV$25,0)</f>
        <v>0</v>
      </c>
      <c r="OX50" s="155">
        <f>(SUMIF(LandEmiss!$BJ$335:$BJ$434,$FG50,LandEmiss!$BV$335:$BV$434)+SUMIF(LandEmiss!$DU$323:$DU$422,$FG50,LandEmiss!$EG$323:$EG$422))*(2000/8760)*IFERROR($QV$25,0)</f>
        <v>0</v>
      </c>
      <c r="OY50" s="8">
        <v>0</v>
      </c>
      <c r="OZ50" s="207">
        <v>0</v>
      </c>
      <c r="PA50" s="207">
        <f>IF(OR(HeaterBoiler1!$E$26&lt;&gt;"fuel gas",HeaterBoiler1!$E$15&lt;&gt;"heater"),0,(SUMIF(HeaterBoiler1!$A$54:$D$63,$FG50,HeaterBoiler1!$J$54:$J$63))*(2000/8760))*IFERROR($QV$19,0)</f>
        <v>0</v>
      </c>
      <c r="PB50" s="207">
        <f>IF(OR(HeaterBoiler2!$E$26&lt;&gt;"fuel gas",HeaterBoiler2!$E$15&lt;&gt;"heater"),0,(SUMIF(HeaterBoiler2!$A$54:$D$63,$FG50,HeaterBoiler2!$J$54:$J$63))*(2000/8760))*IFERROR($QV$21,0)</f>
        <v>0</v>
      </c>
      <c r="PC50" s="207">
        <f>IF(OR(HeaterBoiler1!$E$26&lt;&gt;"fuel gas",HeaterBoiler1!$E$15&lt;&gt;"boiler"),0,(SUMIF(HeaterBoiler1!$A$54:$D$63,$FG50,HeaterBoiler1!$J$54:$J$63))*(2000/8760))*IFERROR($QV$20,0)</f>
        <v>0</v>
      </c>
      <c r="PD50" s="207">
        <f>IF(OR(HeaterBoiler2!$E$26&lt;&gt;"fuel gas",HeaterBoiler2!$E$15&lt;&gt;"boiler"),0,(SUMIF(HeaterBoiler2!$A$54:$D$63,$FG50,HeaterBoiler2!$J$54:$J$63))*(2000/8760))*IFERROR($QV$22,0)</f>
        <v>0</v>
      </c>
      <c r="PE50" s="8">
        <f>(SUMIF(Fug!$A$96:$A$205,$FG50,Fug!$J$96:$J$205))*IFERROR($QV$23,0)*(2000/8760)</f>
        <v>0</v>
      </c>
      <c r="PF50" s="8">
        <f t="shared" si="31"/>
        <v>0</v>
      </c>
      <c r="PG50" s="156">
        <f t="shared" si="32"/>
        <v>0</v>
      </c>
      <c r="PJ50" s="52" t="str">
        <f>IF(Fug!$F$16=Hidden!$PP$2,"Connectors-DTM [8]","")</f>
        <v/>
      </c>
      <c r="PK50" s="52" t="str">
        <f>IF(Fug!$F$16=Hidden!$PP$2,"Gas [4]","")</f>
        <v/>
      </c>
      <c r="PL50" s="52"/>
      <c r="PM50" s="52"/>
      <c r="PN50" s="52"/>
      <c r="PO50" s="52"/>
      <c r="PP50" s="52">
        <v>4.4000000000000002E-4</v>
      </c>
      <c r="PQ50" s="52"/>
      <c r="PR50" s="52"/>
      <c r="PS50" s="52"/>
      <c r="PT50" s="52" t="s">
        <v>8797</v>
      </c>
      <c r="PU50" s="52" t="s">
        <v>8769</v>
      </c>
      <c r="PV50" s="52">
        <v>0</v>
      </c>
      <c r="PW50" s="52">
        <v>0</v>
      </c>
      <c r="PX50" s="52">
        <v>0</v>
      </c>
      <c r="PY50" s="52">
        <v>0</v>
      </c>
      <c r="PZ50" s="52">
        <v>0</v>
      </c>
      <c r="QA50" s="52">
        <v>0</v>
      </c>
      <c r="QB50" s="52"/>
      <c r="QC50" s="52"/>
      <c r="QD50" s="52"/>
      <c r="QE50" s="52"/>
      <c r="QF50" s="52"/>
      <c r="QG50" s="52"/>
      <c r="QH50" s="52"/>
      <c r="QI50" s="52"/>
      <c r="QX50" s="89" t="s">
        <v>9328</v>
      </c>
      <c r="QY50">
        <v>5744.7</v>
      </c>
      <c r="QZ50">
        <v>3518.2</v>
      </c>
      <c r="RA50">
        <v>1845</v>
      </c>
      <c r="RB50">
        <v>806.5</v>
      </c>
      <c r="RC50">
        <v>469.9</v>
      </c>
      <c r="RD50">
        <v>316.7</v>
      </c>
      <c r="RE50">
        <v>232.6</v>
      </c>
      <c r="RF50">
        <v>132.5</v>
      </c>
      <c r="RG50" s="90">
        <v>88.81</v>
      </c>
      <c r="RH50" s="89" t="s">
        <v>9328</v>
      </c>
      <c r="RI50">
        <v>2533</v>
      </c>
      <c r="RJ50">
        <v>2533</v>
      </c>
      <c r="RK50">
        <v>1813.4</v>
      </c>
      <c r="RL50">
        <v>785.8</v>
      </c>
      <c r="RM50">
        <v>453</v>
      </c>
      <c r="RN50">
        <v>303.39999999999998</v>
      </c>
      <c r="RO50">
        <v>221.9</v>
      </c>
      <c r="RP50">
        <v>125.6</v>
      </c>
      <c r="RQ50" s="90">
        <v>83.86</v>
      </c>
      <c r="RR50" s="89" t="s">
        <v>9328</v>
      </c>
      <c r="RS50">
        <v>2213.1999999999998</v>
      </c>
      <c r="RT50">
        <v>2213.1999999999998</v>
      </c>
      <c r="RU50">
        <v>1500.2</v>
      </c>
      <c r="RV50">
        <v>627.70000000000005</v>
      </c>
      <c r="RW50">
        <v>350.7</v>
      </c>
      <c r="RX50">
        <v>229.7</v>
      </c>
      <c r="RY50">
        <v>167.9</v>
      </c>
      <c r="RZ50">
        <v>91.44</v>
      </c>
      <c r="SA50" s="90">
        <v>61.43</v>
      </c>
      <c r="SB50" s="89" t="s">
        <v>9328</v>
      </c>
      <c r="SC50">
        <v>1054.8</v>
      </c>
      <c r="SD50">
        <v>1054.8</v>
      </c>
      <c r="SE50">
        <v>679.2</v>
      </c>
      <c r="SF50">
        <v>265.39999999999998</v>
      </c>
      <c r="SG50">
        <v>143.30000000000001</v>
      </c>
      <c r="SH50">
        <v>91.7</v>
      </c>
      <c r="SI50">
        <v>64.69</v>
      </c>
      <c r="SJ50">
        <v>34.22</v>
      </c>
      <c r="SK50" s="90">
        <v>21.77</v>
      </c>
      <c r="SL50" s="89" t="s">
        <v>9328</v>
      </c>
      <c r="SM50">
        <v>292.89999999999998</v>
      </c>
      <c r="SN50">
        <v>292.89999999999998</v>
      </c>
      <c r="SO50">
        <v>164.3</v>
      </c>
      <c r="SP50">
        <v>56.85</v>
      </c>
      <c r="SQ50">
        <v>28.79</v>
      </c>
      <c r="SR50">
        <v>17.62</v>
      </c>
      <c r="SS50">
        <v>12.36</v>
      </c>
      <c r="ST50">
        <v>6.18</v>
      </c>
      <c r="SU50" s="90">
        <v>3.78</v>
      </c>
    </row>
    <row r="51" spans="1:515" ht="74.25" customHeight="1" x14ac:dyDescent="0.2">
      <c r="A51" s="8" t="s">
        <v>228</v>
      </c>
      <c r="B51" s="8">
        <v>15</v>
      </c>
      <c r="W51">
        <f>IF(OR(X51=0,ISNUMBER(MATCH(X51,$X$1:X50,0))),0,MAX($W$1:W50)+1)</f>
        <v>0</v>
      </c>
      <c r="X51" s="123">
        <f>Products!$E98</f>
        <v>0</v>
      </c>
      <c r="Y51" t="str">
        <f t="shared" si="39"/>
        <v/>
      </c>
      <c r="CA51">
        <f>IF(OR(CB51=0,ISNUMBER(MATCH(CB51,$CB$1:CB50,0))),0,MAX($CA$1:CA50)+1)</f>
        <v>0</v>
      </c>
      <c r="CB51" s="8">
        <f>IF(OR(Tank1!$D$18="EXTERNAL FLOATING ROOF",Tank1!$D$18="INTERNAL FLOATING ROOF"),IF(Tank1!$E81="",0,Tank1!$E81),0)</f>
        <v>0</v>
      </c>
      <c r="CC51" s="8" t="str">
        <f t="shared" si="40"/>
        <v/>
      </c>
      <c r="CD51" s="8"/>
      <c r="CE51" s="8">
        <f>IF(OR(CF51=0,ISNUMBER(MATCH(CF51,$CF$1:CF50,0))),0,MAX($CE$1:CE50)+1)</f>
        <v>0</v>
      </c>
      <c r="CF51" s="8">
        <f>IF(OR(Tank1!$D$18="HORIZONTAL FIXED ROOF",Tank1!$D$18="VERTICAL FIXED ROOF"),IF(Tank1!$E81="",0,Tank1!$E81),0)</f>
        <v>0</v>
      </c>
      <c r="CG51" s="8" t="str">
        <f t="shared" si="41"/>
        <v/>
      </c>
      <c r="CJ51">
        <f>IF(OR(CK51=0,ISNUMBER(MATCH(CK51,$CK$1:CK50,0))),0,MAX($CJ$1:CJ50)+1)</f>
        <v>0</v>
      </c>
      <c r="CK51">
        <f>Tank5!$A$131</f>
        <v>0</v>
      </c>
      <c r="CM51">
        <f>IFERROR(VLOOKUP($CK51,Tank5!$A$32:$D$141,3,FALSE),0)</f>
        <v>0</v>
      </c>
      <c r="CN51">
        <f>IFERROR(VLOOKUP($CK51,Tank5!$A$32:$D$141,4,FALSE),0)</f>
        <v>0</v>
      </c>
      <c r="DM51">
        <f>IF(OR(DN51=0,ISNUMBER(MATCH(DN51,$DN$1:DN50,0))),0,MAX($DM$1:DM50)+1)</f>
        <v>0</v>
      </c>
      <c r="DN51">
        <f>IF(Tank5!$D$22="Flare",IFERROR(VLOOKUP(Products!$A$149,Tank5!$A$32:$B$141,1,FALSE),0),0)</f>
        <v>0</v>
      </c>
      <c r="DO51">
        <f>IF($DN51=0,0,VLOOKUP($DN51,Tank5!$A$32:$H$141,7,FALSE))</f>
        <v>0</v>
      </c>
      <c r="DP51">
        <f>IF($DN51=0,0,VLOOKUP($DN51,Tank5!$A$32:$H$141,8,FALSE))</f>
        <v>0</v>
      </c>
      <c r="DU51">
        <f>IF(OR(DV51=0,ISNUMBER(MATCH(DV51,$DV$1:DV50,0))),0,MAX($DU$1:DU50)+1)</f>
        <v>0</v>
      </c>
      <c r="DV51">
        <f>IF(Tank5!$D$22="VCU",IFERROR(VLOOKUP(Products!$A$149,Tank5!$A$32:$B$141,1,FALSE),0),0)</f>
        <v>0</v>
      </c>
      <c r="DW51">
        <f>IF($DV51=0,0,VLOOKUP($DV51,Tank5!$A$32:$H$141,7,FALSE))</f>
        <v>0</v>
      </c>
      <c r="DX51">
        <f>IF($DV51=0,0,VLOOKUP($DV51,Tank5!$A$32:$H$141,8,FALSE))</f>
        <v>0</v>
      </c>
      <c r="EC51">
        <f>IF(OR(ED51=0,ISNUMBER(MATCH(ED51,$ED$1:ED50,0))),0,MAX($EC$1:EC50)+1)</f>
        <v>0</v>
      </c>
      <c r="ED51">
        <f>IF(Tank5!$D$22="vapor oxidizer",IFERROR(VLOOKUP(Products!$A$149,Tank5!$A$32:$B$141,1,FALSE),0),0)</f>
        <v>0</v>
      </c>
      <c r="EE51">
        <f>IF($ED51=0,0,VLOOKUP($ED51,Tank5!$A$32:$H$141,7,FALSE))</f>
        <v>0</v>
      </c>
      <c r="EF51">
        <f>IF($ED51=0,0,VLOOKUP($ED51,Tank5!$A$32:$H$141,8,FALSE))</f>
        <v>0</v>
      </c>
      <c r="EK51">
        <f>IF(OR(EL51=0,ISNUMBER(MATCH(EL51,$EL$1:EL50,0))),0,MAX($EK$1:EK50)+1)</f>
        <v>0</v>
      </c>
      <c r="EL51">
        <f>IF(Tank5!$D$22="CAS",IFERROR(VLOOKUP(Products!A149,Tank5!$A$32:$B$141,1,FALSE),0),0)</f>
        <v>0</v>
      </c>
      <c r="EM51">
        <f>IF($EL51=0,0,VLOOKUP($EL51,Tank5!$A$32:$H$141,7,FALSE))</f>
        <v>0</v>
      </c>
      <c r="EN51">
        <f>IF($EL51=0,0,VLOOKUP($EL51,Tank5!$A$32:$H$141,8,FALSE))</f>
        <v>0</v>
      </c>
      <c r="FB51" s="8" t="s">
        <v>455</v>
      </c>
      <c r="FC51" s="8" t="s">
        <v>456</v>
      </c>
      <c r="FD51" s="8">
        <v>1000</v>
      </c>
      <c r="FE51" s="8">
        <v>100</v>
      </c>
      <c r="FG51" s="360" t="str">
        <f t="shared" si="23"/>
        <v/>
      </c>
      <c r="FH51" s="155">
        <f>IF(Tank1!$D$22="NO CONTROL",_xlfn.MAXIFS(Tank1!$G$32:$G$141,Tank1!$E$32:$E$141,$FG51),0)*IFERROR($QR$3,0)</f>
        <v>0</v>
      </c>
      <c r="FI51" s="155">
        <f>_xlfn.MAXIFS(LandEmiss!$AF$20:$AF$119,LandEmiss!$AE$20:$AE$119,$FG51)*IFERROR($QR$3,0)</f>
        <v>0</v>
      </c>
      <c r="FJ51" s="155">
        <f>MAX(_xlfn.MAXIFS(LandEmiss!$CO$20:$CO$119,LandEmiss!$CN$20:$CN$119,$FG51),_xlfn.MAXIFS(LandEmiss!$EZ$9:$EZ$108,LandEmiss!$EY$9:$EY$108,$FG51))*IFERROR($QR$3,0)</f>
        <v>0</v>
      </c>
      <c r="FK51" s="155">
        <f>IF(Tank2!$D$22="NO CONTROL",_xlfn.MAXIFS(Tank2!$G$32:$G$141,Tank2!$E$32:$E$141,$FG51),0)*IFERROR($QR$4,0)</f>
        <v>0</v>
      </c>
      <c r="FL51" s="155">
        <f>_xlfn.MAXIFS(LandEmiss!$AG$20:$AG$119,LandEmiss!$AE$20:$AE$119,$FG51)*IFERROR($QR$4,0)</f>
        <v>0</v>
      </c>
      <c r="FM51" s="155">
        <f>MAX(_xlfn.MAXIFS(LandEmiss!$CP$20:$CP$119,LandEmiss!$CN$20:$CN$119,$FG51),_xlfn.MAXIFS(LandEmiss!$FA$9:$FA$108,LandEmiss!$EY$9:$EY$108,$FG51))*IFERROR($QR$4,0)</f>
        <v>0</v>
      </c>
      <c r="FN51" s="155">
        <f>IF(Tank3!$D$22="NO CONTROL",_xlfn.MAXIFS(Tank3!$G$32:$G$141,Tank3!$E$32:$E$141,$FG51),0)*IFERROR($QR$5,0)</f>
        <v>0</v>
      </c>
      <c r="FO51" s="155">
        <f>_xlfn.MAXIFS(LandEmiss!$AH$20:$AH$119,LandEmiss!$AE$20:$AE$119,$FG51)*IFERROR($QR$5,0)</f>
        <v>0</v>
      </c>
      <c r="FP51" s="155">
        <f>MAX(_xlfn.MAXIFS(LandEmiss!$CQ$20:$CQ$119,LandEmiss!$CN$20:$CN$119,$FG51),_xlfn.MAXIFS(LandEmiss!$FB$9:$FB$108,LandEmiss!$EY$9:$EY$108,$FG51))*IFERROR($QR$5,0)</f>
        <v>0</v>
      </c>
      <c r="FQ51" s="155">
        <f>IF(Tank4!$D$22="NO CONTROL",_xlfn.MAXIFS(Tank4!$G$32:$G$141,Tank4!$E$32:$E$141,$FG51),0)*IFERROR($QR$6,0)</f>
        <v>0</v>
      </c>
      <c r="FR51" s="155">
        <f>_xlfn.MAXIFS(LandEmiss!$AI$20:$AI$119,LandEmiss!$AE$20:$AE$119,$FG51)*IFERROR($QR$6,0)</f>
        <v>0</v>
      </c>
      <c r="FS51" s="155">
        <f>MAX(_xlfn.MAXIFS(LandEmiss!$CR$20:$CR$119,LandEmiss!$CN$20:$CN$119,$FG51),_xlfn.MAXIFS(LandEmiss!$FC$9:$FC$108,LandEmiss!$EY$9:$EY$108,$FG51))*IFERROR($QR$6,0)</f>
        <v>0</v>
      </c>
      <c r="FT51" s="155">
        <f>IF(Tank5!$D$22="NO CONTROL",_xlfn.MAXIFS(Tank5!$G$32:$G$141,Tank5!$E$32:$E$141,$FG51),0)*IFERROR($QR$7,0)</f>
        <v>0</v>
      </c>
      <c r="FU51" s="155">
        <f>_xlfn.MAXIFS(LandEmiss!$AJ$20:$AJ$119,LandEmiss!$AE$20:$AE$119,$FG51)*IFERROR($QR$7,0)</f>
        <v>0</v>
      </c>
      <c r="FV51" s="155">
        <f>MAX(_xlfn.MAXIFS(LandEmiss!$CS$20:$CS$119,LandEmiss!$CN$20:$CN$119,$FG51),_xlfn.MAXIFS(LandEmiss!$FD$9:$FD$108,LandEmiss!$EY$9:$EY$108,$FG51))*IFERROR($QR56,0)</f>
        <v>0</v>
      </c>
      <c r="FW51" s="155">
        <f>_xlfn.MAXIFS('Load-DrumTote'!$K$27:$K$136,'Load-DrumTote'!$F$27:$F$136,$FG51)*IFERROR($QR$8,0)</f>
        <v>0</v>
      </c>
      <c r="FX51" s="155">
        <f>_xlfn.MAXIFS('Load-Truck'!$K$27:$K$136,'Load-Truck'!$F$27:$F$136,$FG51)*IFERROR($QR$9,0)</f>
        <v>0</v>
      </c>
      <c r="FY51" s="155">
        <f>_xlfn.MAXIFS('Load-Rail'!$K$27:$K$136,'Load-Rail'!$F$27:$F$136,$FG51)*IFERROR($QR$10,0)</f>
        <v>0</v>
      </c>
      <c r="FZ51" s="155">
        <f>_xlfn.MAXIFS('Load-MarineBarge'!$K$27:$K$136,'Load-MarineBarge'!$F$27:$F$136,$FG51)*IFERROR($QR$11,0)</f>
        <v>0</v>
      </c>
      <c r="GA51" s="155">
        <f>_xlfn.MAXIFS('Load-MarineShip'!$K$27:$K$136,'Load-MarineShip'!$F$27:$F$136,$FG51)*IFERROR($QR$12,0)</f>
        <v>0</v>
      </c>
      <c r="GB51" s="313">
        <f>IF(OR(Flare!$D$24="fuel gas",Flare!$D$38="fuel gas"),SUMIF(Flare!$E$97:$E$106,$FG51,Flare!$F$97:$F$106),0)*IFERROR($QR$13,0)</f>
        <v>0</v>
      </c>
      <c r="GC51" s="313">
        <f>(_xlfn.MAXIFS(CtrlDevImpacts!$I$57:$I$156,CtrlDevImpacts!$H$57:$H$156,$FG51))*IFERROR($QR$13,0)</f>
        <v>0</v>
      </c>
      <c r="GD51" s="313">
        <f>(_xlfn.MAXIFS(Flare!$F$107:$F$216,Flare!$E$107:$E$216,$FG51)-_xlfn.MAXIFS(CtrlDevImpacts!$I$57:$I$156,CtrlDevImpacts!$H$57:$H$156,$FG51))*IFERROR($QR$13,0)</f>
        <v>0</v>
      </c>
      <c r="GE51" s="155">
        <f>_xlfn.MAXIFS(LandEmiss!$B$335:$B$434,LandEmiss!$A$335:$A$434,$FG51)*IFERROR($QR$13,0)</f>
        <v>0</v>
      </c>
      <c r="GF51" s="155">
        <f>(_xlfn.MAXIFS(LandEmiss!$BK$335:$BK$434,LandEmiss!$BJ$335:$BJ$434,$FG51)+_xlfn.MAXIFS(LandEmiss!$DV$323:$DV$422,LandEmiss!$DU$323:$DU$422,$FG51))*IFERROR($QR$13,0)</f>
        <v>0</v>
      </c>
      <c r="GG51" s="313">
        <f>IF(OR(VCU!$D$26="fuel gas",VCU!$D$42="fuel gas"),SUMIF(VCU!$E$120:$E$129,$FG51,VCU!$F$120:$F$129),0)*IFERROR($QR$14,0)</f>
        <v>0</v>
      </c>
      <c r="GH51" s="313">
        <f>(_xlfn.MAXIFS(CtrlDevImpacts!$X$57:$X$156,CtrlDevImpacts!$W$57:$W$156,$FG51))*IFERROR($QR$14,0)</f>
        <v>0</v>
      </c>
      <c r="GI51" s="313">
        <f>(_xlfn.MAXIFS(VCU!$F$130:$F$239,VCU!$E$130:$E$239,$FG51)-_xlfn.MAXIFS(CtrlDevImpacts!$X$57:$X$156,CtrlDevImpacts!$W$57:$W$156,$FG51))*IFERROR($QR$14,0)</f>
        <v>0</v>
      </c>
      <c r="GJ51" s="155">
        <f>_xlfn.MAXIFS(LandEmiss!$D$335:$D$434,LandEmiss!$A$335:$A$434,$FG51)*IFERROR($QR$14,0)</f>
        <v>0</v>
      </c>
      <c r="GK51" s="155">
        <f>(_xlfn.MAXIFS(LandEmiss!$BM$335:$BM$434,LandEmiss!$BJ$335:$BJ$434,$FG51)+_xlfn.MAXIFS(LandEmiss!$DX$323:$DX$422,LandEmiss!$DU$323:$DU$422,$FG51))*IFERROR($QR$14,0)</f>
        <v>0</v>
      </c>
      <c r="GL51" s="313">
        <f>IF(VaporOxidizer!D82="FUEL GAS",SUMIF(VaporOxidizer!$E$101:$E$110,$FG51,VaporOxidizer!$F$101:$F$110),0)*IFERROR($QR$15,0)</f>
        <v>0</v>
      </c>
      <c r="GM51" s="313">
        <f>(_xlfn.MAXIFS(CtrlDevImpacts!$AN$57:$AN$156,CtrlDevImpacts!$AM$57:$AM$156,$FG51))*IFERROR($QR$15,0)</f>
        <v>0</v>
      </c>
      <c r="GN51" s="313">
        <f>(_xlfn.MAXIFS(VaporOxidizer!$F$111:$F$220,VaporOxidizer!$E$111:$E$220,$FG51)-_xlfn.MAXIFS(CtrlDevImpacts!$AN$57:$AN$156,CtrlDevImpacts!$AM$57:$AM$156,$FG51))*IFERROR($QR$15,0)</f>
        <v>0</v>
      </c>
      <c r="GO51" s="155">
        <f>_xlfn.MAXIFS(LandEmiss!$F$335:$F$434,LandEmiss!$A$335:$A$434,$FG51)*IFERROR($QR$15,0)</f>
        <v>0</v>
      </c>
      <c r="GP51" s="155">
        <f>(_xlfn.MAXIFS(LandEmiss!$BK$335:$BK$434,LandEmiss!$BO$335:$BO$434,$FG51)+_xlfn.MAXIFS(LandEmiss!$DZ$323:$DZ$422,LandEmiss!$DU$323:$DU$422,$FG51))*IFERROR($QR$15,0)</f>
        <v>0</v>
      </c>
      <c r="GQ51" s="313">
        <f>_xlfn.MAXIFS(CtrlDevImpacts!$BD$57:$BD$156,CtrlDevImpacts!$BC$57:$BC$156,$FG51)*IFERROR(Hidden!$QR$16,0)</f>
        <v>0</v>
      </c>
      <c r="GR51" s="313">
        <f>(_xlfn.MAXIFS(CAS!$H$35:$H$144,CAS!$E$35:$E$144,$FG51)-_xlfn.MAXIFS(CtrlDevImpacts!$BD$57:$BD$156,CtrlDevImpacts!$BC$57:$BC$156,$FG51))*IFERROR(Hidden!$QR$16,0)</f>
        <v>0</v>
      </c>
      <c r="GS51" s="155">
        <f>_xlfn.MAXIFS(LandEmiss!$H$335:$H$434,LandEmiss!$A$335:$A$434,$FG51)*IFERROR($QR$27,0)</f>
        <v>0</v>
      </c>
      <c r="GT51" s="155">
        <f>(_xlfn.MAXIFS(LandEmiss!$BK$335:$BK$434,LandEmiss!$BQ$335:$BQ$434,$FG51)+_xlfn.MAXIFS(LandEmiss!$EB$323:$EB$422,LandEmiss!$DU$323:$DU$422,$FG51))*IFERROR($QR$27,0)</f>
        <v>0</v>
      </c>
      <c r="GU51" s="155">
        <f>_xlfn.MAXIFS(LandEmiss!$J$335:$J$434,LandEmiss!$A$335:$A$434,$FG51)*IFERROR($QR$26,0)</f>
        <v>0</v>
      </c>
      <c r="GV51" s="155">
        <f>(_xlfn.MAXIFS(LandEmiss!$BK$335:$BK$434,LandEmiss!$BS$335:$BS$434,$FG51)+_xlfn.MAXIFS(LandEmiss!$ED$323:$ED$422,LandEmiss!$DU$323:$DU$422,$FG51))*IFERROR($QR$26,0)</f>
        <v>0</v>
      </c>
      <c r="GW51" s="155">
        <f>_xlfn.MAXIFS(LandEmiss!$L$335:$L$434,LandEmiss!$A$335:$A$434,$FG51)*IFERROR($QR$25,0)</f>
        <v>0</v>
      </c>
      <c r="GX51" s="155">
        <f>(_xlfn.MAXIFS(LandEmiss!$BK$335:$BK$434,LandEmiss!$BU$335:$BU$434,$FG51)+_xlfn.MAXIFS(LandEmiss!$EF$323:$EF$422,LandEmiss!$DU$323:$DU$422,$FG51))*IFERROR($QR$25,0)</f>
        <v>0</v>
      </c>
      <c r="GY51" s="155">
        <v>0</v>
      </c>
      <c r="GZ51" s="155">
        <v>0</v>
      </c>
      <c r="HA51" s="155">
        <f>IF(OR(HeaterBoiler1!$E$26&lt;&gt;"fuel gas",HeaterBoiler1!$E$15&lt;&gt;"heater"),0,SUMIF(HeaterBoiler1!$A$54:$D$63,$FG51,HeaterBoiler1!$I$54:$I$63))*IFERROR($QR$19,0)</f>
        <v>0</v>
      </c>
      <c r="HB51" s="207">
        <f>IF(OR(HeaterBoiler2!$E$26&lt;&gt;"fuel gas",HeaterBoiler2!$E$15&lt;&gt;"heater"),0,SUMIF(HeaterBoiler2!$A$54:$D$63,$FG51,HeaterBoiler2!$I$54:$I$63))*IFERROR($QR$21,0)</f>
        <v>0</v>
      </c>
      <c r="HC51" s="155">
        <f>IF(OR(HeaterBoiler1!$E$26&lt;&gt;"fuel gas",HeaterBoiler1!$E$15&lt;&gt;"boiler"),0,SUMIF(HeaterBoiler1!$A$41:$A$50,$FG51,HeaterBoiler1!$F$41:$F$50))*IFERROR($QR$20,0)</f>
        <v>0</v>
      </c>
      <c r="HD51" s="207">
        <f>IF(OR(HeaterBoiler2!$E$26&lt;&gt;"fuel gas",HeaterBoiler2!$E$15&lt;&gt;"boiler"),0,SUMIF(HeaterBoiler2!$A$41:$A$50,$FG51,HeaterBoiler2!$F$41:$F$50))*IFERROR($QR$22,0)</f>
        <v>0</v>
      </c>
      <c r="HE51" s="155">
        <f>SUMIF(Fug!$A$96:$A$205,$FG51,Fug!$I$96:$I$205)*IFERROR(Hidden!$QR$23,0)</f>
        <v>0</v>
      </c>
      <c r="HF51" s="155">
        <f t="shared" si="24"/>
        <v>0</v>
      </c>
      <c r="HG51" s="156">
        <f t="shared" si="25"/>
        <v>0</v>
      </c>
      <c r="HH51" s="156">
        <f t="shared" si="26"/>
        <v>0</v>
      </c>
      <c r="HI51" s="156">
        <f t="shared" si="27"/>
        <v>0</v>
      </c>
      <c r="HJ51" s="156">
        <f t="shared" si="28"/>
        <v>0</v>
      </c>
      <c r="HK51" s="156">
        <f t="shared" si="29"/>
        <v>0</v>
      </c>
      <c r="HL51" s="156">
        <f t="shared" si="30"/>
        <v>0</v>
      </c>
      <c r="NO51" s="155">
        <f>IF(Tank1!$D$22="No control",(SUMIF(Tank1!$E$32:$E$141,$FG51,Tank1!$H$32:$H$141)*(2000/8760)*IFERROR($QV$3,0)),0)</f>
        <v>0</v>
      </c>
      <c r="NP51" s="156">
        <f>SUMIF(LandEmiss!$AE$20:$AE$119,$FG51,LandEmiss!$AK$20:$AK$119)*(2000/8760)*IFERROR($QV$3,0)</f>
        <v>0</v>
      </c>
      <c r="NQ51" s="156">
        <f>(SUMIF(LandEmiss!$CN$20:$CN$119,$FG51,LandEmiss!$CT$20:$CT$119)+SUMIF(LandEmiss!$EY$9:$EY$108,$FG51,LandEmiss!$FE$9:$FE$108))*IFERROR($QV$3,0)*(2000/8760)</f>
        <v>0</v>
      </c>
      <c r="NR51" s="155">
        <f>IF(Tank2!$D$22="No control",(SUMIF(Tank2!$E$32:$E$141,$FG51,Tank2!$H$32:$H$141)*(2000/8760)*IFERROR($QV$4,0)),0)</f>
        <v>0</v>
      </c>
      <c r="NS51" s="156">
        <f>SUMIF(LandEmiss!$AE$20:$AE$119,$FG51,LandEmiss!$AL$20:$AL$119)*(2000/8760)*IFERROR($QV$4,0)</f>
        <v>0</v>
      </c>
      <c r="NT51" s="156">
        <f>(SUMIF(LandEmiss!$CN$20:$CN$119,$FG51,LandEmiss!$CU$20:$CU$119)+SUMIF(LandEmiss!$EY$9:$EY$108,$FG51,LandEmiss!$FF$9:$FF$108))*IFERROR($QV$4,0)*(2000/8760)</f>
        <v>0</v>
      </c>
      <c r="NU51" s="155">
        <f>IF(Tank3!$D$22="No control",(SUMIF(Tank3!$E$32:$E$141,$FG51,Tank3!$H$32:$H$141)*(2000/8760)*IFERROR($QV$5,0)),0)</f>
        <v>0</v>
      </c>
      <c r="NV51" s="156">
        <f>SUMIF(LandEmiss!$AE$20:$AE$119,$FG51,LandEmiss!$AM$20:$AM$119)*(2000/8760)*IFERROR($QV$5,0)</f>
        <v>0</v>
      </c>
      <c r="NW51" s="156">
        <f>(SUMIF(LandEmiss!$CN$20:$CN$119,$FG51,LandEmiss!$CV$20:$CV$119)+SUMIF(LandEmiss!$EY$9:$EY$108,$FG51,LandEmiss!$FG$9:$FG$108))*IFERROR($QV$5,0)*(2000/8760)</f>
        <v>0</v>
      </c>
      <c r="NX51" s="155">
        <f>IF(Tank4!$D$22="No control",(SUMIF(Tank4!$E$32:$E$141,$FG51,Tank4!$H$32:$H$141)*(2000/8760)*IFERROR($QV$6,0)),0)</f>
        <v>0</v>
      </c>
      <c r="NY51" s="156">
        <f>SUMIF(LandEmiss!$AE$20:$AE$119,$FG51,LandEmiss!$AN$20:$AN$119)*(2000/8760)*IFERROR($QV$6,0)</f>
        <v>0</v>
      </c>
      <c r="NZ51" s="156">
        <f>(SUMIF(LandEmiss!$CN$20:$CN$119,$FG51,LandEmiss!$CW$20:$CW$119)+SUMIF(LandEmiss!$EY$9:$EY$108,$FG51,LandEmiss!$FH$9:$FH$108))*IFERROR($QV$6,0)*(2000/8760)</f>
        <v>0</v>
      </c>
      <c r="OA51" s="155">
        <f>IF(Tank5!$D$22="No control",(SUMIF(Tank5!$E$32:$E$141,$FG51,Tank5!$H$32:$H$141)*(2000/8760)*IFERROR($QV$7,0)),0)</f>
        <v>0</v>
      </c>
      <c r="OB51" s="156">
        <f>SUMIF(LandEmiss!$AE$20:$AE$119,$FG51,LandEmiss!$AO$20:$AO$119)*(2000/8760)*IFERROR($QV$7,0)</f>
        <v>0</v>
      </c>
      <c r="OC51" s="156">
        <f>(SUMIF(LandEmiss!$CN$20:$CN$119,$FG51,LandEmiss!$CX$20:$CX$119)+SUMIF(LandEmiss!$EY$9:$EY$108,$FG51,LandEmiss!$FI$9:$FI$108))*IFERROR($QV$7,0)*(2000/8760)</f>
        <v>0</v>
      </c>
      <c r="OD51" s="155">
        <f>SUMIFS('Load-DrumTote'!$L$27:$L$136,'Load-DrumTote'!$F$27:$F$136,$FG51)*IFERROR($QV$8,0)*(2000/8760)</f>
        <v>0</v>
      </c>
      <c r="OE51" s="155">
        <f>SUMIFS('Load-Truck'!$L$27:$L$136,'Load-Truck'!$F$27:$F$136,$FG51)*IFERROR($QV$9,0)*(2000/8760)</f>
        <v>0</v>
      </c>
      <c r="OF51" s="155">
        <f>SUMIFS('Load-Rail'!$L$27:$L$136,'Load-Rail'!$F$27:$F$136,$FG51)*IFERROR($QV$10,0)*(2000/8760)</f>
        <v>0</v>
      </c>
      <c r="OG51" s="155">
        <f>SUMIFS('Load-MarineBarge'!$L$27:$L$136,'Load-MarineBarge'!$F$27:$F$136,$FG51)*IFERROR($QV$11,0)*(2000/8760)</f>
        <v>0</v>
      </c>
      <c r="OH51" s="155">
        <f>SUMIFS('Load-MarineShip'!$L$27:$L$136,'Load-MarineShip'!$F$27:$F$136,$FG51)*IFERROR($QV$12,0)*(2000/8760)</f>
        <v>0</v>
      </c>
      <c r="OI51" s="155">
        <f>(IF(OR(Flare!$D$24="FUEL GAS",Flare!$D$38="FUEL GAS"),SUMIF(Flare!$E$97:$E$106,$FG51,Flare!$G$97:$G$105),0)+SUMIF(Flare!$E$107:$E$216,$FG51,Flare!$G$107:$G$216))*(2000/8730)*IFERROR($QV$13,0)</f>
        <v>0</v>
      </c>
      <c r="OJ51" s="155">
        <f>SUMIF(LandEmiss!$A$335:$A$434,$FG51,LandEmiss!$C$335:$C$434)*(2000/8760)*IFERROR($QV$13,0)</f>
        <v>0</v>
      </c>
      <c r="OK51" s="155">
        <f>(SUMIF(LandEmiss!$BJ$335:$BJ$434,$FG51,LandEmiss!$BL$335:$BL$434)+SUMIF(LandEmiss!$DU$323:$DU$422,$FG51,LandEmiss!$DW$323:$DW$422))*(2000/8760)*IFERROR($QV$13,0)</f>
        <v>0</v>
      </c>
      <c r="OL51" s="155">
        <f>(IF(OR(VCU!$D$26="FUEL GAS",VCU!$D$42="FUEL GAS"),SUMIF(VCU!$E$120:$E$129,$FG51,VCU!$G$120:$G$129),0)+SUMIF(VCU!$E$130:$E$239,$FG51,VCU!G179:G288))*(2000/8760)*IFERROR($QV$14,0)</f>
        <v>0</v>
      </c>
      <c r="OM51" s="155">
        <f>SUMIF(LandEmiss!$A$335:$A$434,$FG51,LandEmiss!$E$335:$E$434)*(2000/8760)*IFERROR($QV$14,0)</f>
        <v>0</v>
      </c>
      <c r="ON51" s="155">
        <f>(SUMIF(LandEmiss!$BJ$335:$BJ$434,$FG51,LandEmiss!$BN$335:$BN$434)+SUMIF(LandEmiss!$DU$323:$DU$422,$FG51,LandEmiss!$DY$323:$DY$422))*(2000/8760)*IFERROR($QV$14,0)</f>
        <v>0</v>
      </c>
      <c r="OO51" s="155">
        <f>(IF(VaporOxidizer!$D$33="FUEL GAS",SUMIF(VaporOxidizer!$E$101:$E$110,$FG51,VaporOxidizer!$G$101:$G$110),0)+SUMIF(VaporOxidizer!$E$111:$E$220,$FG51,VaporOxidizer!$G$111:$G$220))*(2000/8760)*IFERROR($QV$15,0)</f>
        <v>0</v>
      </c>
      <c r="OP51" s="155">
        <f>SUMIF(LandEmiss!$A$335:$A$434,$FG51,LandEmiss!$G$335:$G$434)*(2000/8760)*IFERROR($QV$15,0)</f>
        <v>0</v>
      </c>
      <c r="OQ51" s="155">
        <f>(SUMIF(LandEmiss!$BJ$335:$BJ$434,$FG51,LandEmiss!$BP$335:$BP$434)+SUMIF(LandEmiss!$DU$323:$DU$422,$FG51,LandEmiss!$EA$323:$EA$422))*(2000/8760)*IFERROR($QV$15,0)</f>
        <v>0</v>
      </c>
      <c r="OR51" s="155">
        <f>SUMIF(CAS!$E$35:$E$144,Hidden!$FG51,CAS!$I$35:$I$144)*IFERROR($QV$16,0)*(2000/8760)</f>
        <v>0</v>
      </c>
      <c r="OS51" s="155">
        <f>SUMIF(LandEmiss!$A$335:$A$434,$FG51,LandEmiss!$I$335:$I$434)*(2000/8760)*IFERROR($QV$27,0)</f>
        <v>0</v>
      </c>
      <c r="OT51" s="155">
        <f>(SUMIF(LandEmiss!$BJ$335:$BJ$434,$FG51,LandEmiss!$BR$335:$BR$434)+SUMIF(LandEmiss!$DU$323:$DU$422,$FG51,LandEmiss!$EC$323:$EC$422))*(2000/8760)*IFERROR($QV$27,0)</f>
        <v>0</v>
      </c>
      <c r="OU51" s="155">
        <f>SUMIF(LandEmiss!$A$335:$A$434,$FG51,LandEmiss!$K$335:$K$434)*(2000/8760)*IFERROR($QV$26,0)</f>
        <v>0</v>
      </c>
      <c r="OV51" s="155">
        <f>(SUMIF(LandEmiss!$BJ$335:$BJ$434,$FG51,LandEmiss!$BT$335:$BT$434)+SUMIF(LandEmiss!$DU$323:$DU$422,$FG51,LandEmiss!$EE$323:$EE$422))*(2000/8760)*IFERROR($QV$26,0)</f>
        <v>0</v>
      </c>
      <c r="OW51" s="155">
        <f>SUMIF(LandEmiss!$A$335:$A$434,$FG51,LandEmiss!$M$335:$M$434)*(2000/8760)*IFERROR($QV$25,0)</f>
        <v>0</v>
      </c>
      <c r="OX51" s="155">
        <f>(SUMIF(LandEmiss!$BJ$335:$BJ$434,$FG51,LandEmiss!$BV$335:$BV$434)+SUMIF(LandEmiss!$DU$323:$DU$422,$FG51,LandEmiss!$EG$323:$EG$422))*(2000/8760)*IFERROR($QV$25,0)</f>
        <v>0</v>
      </c>
      <c r="OY51" s="8">
        <v>0</v>
      </c>
      <c r="OZ51" s="207">
        <v>0</v>
      </c>
      <c r="PA51" s="207">
        <f>IF(OR(HeaterBoiler1!$E$26&lt;&gt;"fuel gas",HeaterBoiler1!$E$15&lt;&gt;"heater"),0,(SUMIF(HeaterBoiler1!$A$54:$D$63,$FG51,HeaterBoiler1!$J$54:$J$63))*(2000/8760))*IFERROR($QV$19,0)</f>
        <v>0</v>
      </c>
      <c r="PB51" s="207">
        <f>IF(OR(HeaterBoiler2!$E$26&lt;&gt;"fuel gas",HeaterBoiler2!$E$15&lt;&gt;"heater"),0,(SUMIF(HeaterBoiler2!$A$54:$D$63,$FG51,HeaterBoiler2!$J$54:$J$63))*(2000/8760))*IFERROR($QV$21,0)</f>
        <v>0</v>
      </c>
      <c r="PC51" s="207">
        <f>IF(OR(HeaterBoiler1!$E$26&lt;&gt;"fuel gas",HeaterBoiler1!$E$15&lt;&gt;"boiler"),0,(SUMIF(HeaterBoiler1!$A$54:$D$63,$FG51,HeaterBoiler1!$J$54:$J$63))*(2000/8760))*IFERROR($QV$20,0)</f>
        <v>0</v>
      </c>
      <c r="PD51" s="207">
        <f>IF(OR(HeaterBoiler2!$E$26&lt;&gt;"fuel gas",HeaterBoiler2!$E$15&lt;&gt;"boiler"),0,(SUMIF(HeaterBoiler2!$A$54:$D$63,$FG51,HeaterBoiler2!$J$54:$J$63))*(2000/8760))*IFERROR($QV$22,0)</f>
        <v>0</v>
      </c>
      <c r="PE51" s="8">
        <f>(SUMIF(Fug!$A$96:$A$205,$FG51,Fug!$J$96:$J$205))*IFERROR($QV$23,0)*(2000/8760)</f>
        <v>0</v>
      </c>
      <c r="PF51" s="8">
        <f t="shared" si="31"/>
        <v>0</v>
      </c>
      <c r="PG51" s="156">
        <f t="shared" si="32"/>
        <v>0</v>
      </c>
      <c r="PJ51" s="52" t="str">
        <f>IF(Fug!$F$16=Hidden!$PP$2,"Connectors-DTM(AM) [8]","")</f>
        <v/>
      </c>
      <c r="PK51" s="52" t="str">
        <f>IF(Fug!$F$16=Hidden!$PP$2,"Gas [4] [5]","")</f>
        <v/>
      </c>
      <c r="PL51" s="52"/>
      <c r="PM51" s="52"/>
      <c r="PN51" s="52"/>
      <c r="PO51" s="52"/>
      <c r="PP51" s="52">
        <v>4.4000000000000002E-4</v>
      </c>
      <c r="PQ51" s="52"/>
      <c r="PR51" s="52"/>
      <c r="PS51" s="52"/>
      <c r="PT51" s="52" t="s">
        <v>8798</v>
      </c>
      <c r="PU51" s="52" t="s">
        <v>8769</v>
      </c>
      <c r="PV51" s="52">
        <v>0.75</v>
      </c>
      <c r="PW51" s="52">
        <v>0.75</v>
      </c>
      <c r="PX51" s="52">
        <v>0.75</v>
      </c>
      <c r="PY51" s="52">
        <v>0.75</v>
      </c>
      <c r="PZ51" s="52">
        <v>0.75</v>
      </c>
      <c r="QA51" s="52">
        <v>0.75</v>
      </c>
      <c r="QB51" s="52"/>
      <c r="QC51" s="52"/>
      <c r="QD51" s="52"/>
      <c r="QE51" s="52"/>
      <c r="QF51" s="52"/>
      <c r="QG51" s="52"/>
      <c r="QH51" s="52"/>
      <c r="QI51" s="52"/>
      <c r="QX51" s="89" t="s">
        <v>9329</v>
      </c>
      <c r="QY51">
        <v>3823.4</v>
      </c>
      <c r="QZ51">
        <v>2711.6</v>
      </c>
      <c r="RA51">
        <v>1470.8</v>
      </c>
      <c r="RB51">
        <v>710.1</v>
      </c>
      <c r="RC51">
        <v>427.2</v>
      </c>
      <c r="RD51">
        <v>291.7</v>
      </c>
      <c r="RE51">
        <v>215.7</v>
      </c>
      <c r="RF51">
        <v>123.9</v>
      </c>
      <c r="RG51" s="90">
        <v>83.27</v>
      </c>
      <c r="RH51" s="89" t="s">
        <v>9329</v>
      </c>
      <c r="RI51">
        <v>1572.1</v>
      </c>
      <c r="RJ51">
        <v>1572.1</v>
      </c>
      <c r="RK51">
        <v>1403.4</v>
      </c>
      <c r="RL51">
        <v>696.2</v>
      </c>
      <c r="RM51">
        <v>413.4</v>
      </c>
      <c r="RN51">
        <v>280.2</v>
      </c>
      <c r="RO51">
        <v>206.2</v>
      </c>
      <c r="RP51">
        <v>117.5</v>
      </c>
      <c r="RQ51" s="90">
        <v>78.69</v>
      </c>
      <c r="RR51" s="89" t="s">
        <v>9329</v>
      </c>
      <c r="RS51">
        <v>1246.3</v>
      </c>
      <c r="RT51">
        <v>1246.3</v>
      </c>
      <c r="RU51">
        <v>1173.8</v>
      </c>
      <c r="RV51">
        <v>563.70000000000005</v>
      </c>
      <c r="RW51">
        <v>325.39999999999998</v>
      </c>
      <c r="RX51">
        <v>216</v>
      </c>
      <c r="RY51">
        <v>159</v>
      </c>
      <c r="RZ51">
        <v>87.41</v>
      </c>
      <c r="SA51" s="90">
        <v>58.78</v>
      </c>
      <c r="SB51" s="89" t="s">
        <v>9329</v>
      </c>
      <c r="SC51">
        <v>594.20000000000005</v>
      </c>
      <c r="SD51">
        <v>594.20000000000005</v>
      </c>
      <c r="SE51">
        <v>543.9</v>
      </c>
      <c r="SF51">
        <v>242.4</v>
      </c>
      <c r="SG51">
        <v>135</v>
      </c>
      <c r="SH51">
        <v>87.46</v>
      </c>
      <c r="SI51">
        <v>62.13</v>
      </c>
      <c r="SJ51">
        <v>33.15</v>
      </c>
      <c r="SK51" s="90">
        <v>21.17</v>
      </c>
      <c r="SL51" s="89" t="s">
        <v>9329</v>
      </c>
      <c r="SM51">
        <v>159.5</v>
      </c>
      <c r="SN51">
        <v>166.4</v>
      </c>
      <c r="SO51">
        <v>138.1</v>
      </c>
      <c r="SP51">
        <v>53.56</v>
      </c>
      <c r="SQ51">
        <v>27.81</v>
      </c>
      <c r="SR51">
        <v>17.190000000000001</v>
      </c>
      <c r="SS51">
        <v>12.12</v>
      </c>
      <c r="ST51">
        <v>6.1</v>
      </c>
      <c r="SU51" s="90">
        <v>3.74</v>
      </c>
    </row>
    <row r="52" spans="1:515" ht="74.25" customHeight="1" x14ac:dyDescent="0.2">
      <c r="W52">
        <f>IF(OR(X52=0,ISNUMBER(MATCH(X52,$X$1:X51,0))),0,MAX($W$1:W51)+1)</f>
        <v>0</v>
      </c>
      <c r="X52" s="123">
        <f>Products!$E99</f>
        <v>0</v>
      </c>
      <c r="Y52" t="str">
        <f t="shared" si="39"/>
        <v/>
      </c>
      <c r="CA52">
        <f>IF(OR(CB52=0,ISNUMBER(MATCH(CB52,$CB$1:CB51,0))),0,MAX($CA$1:CA51)+1)</f>
        <v>0</v>
      </c>
      <c r="CB52" s="8">
        <f>IF(OR(Tank1!$D$18="EXTERNAL FLOATING ROOF",Tank1!$D$18="INTERNAL FLOATING ROOF"),IF(Tank1!$E82="",0,Tank1!$E82),0)</f>
        <v>0</v>
      </c>
      <c r="CC52" s="8" t="str">
        <f t="shared" si="40"/>
        <v/>
      </c>
      <c r="CD52" s="8"/>
      <c r="CE52" s="8">
        <f>IF(OR(CF52=0,ISNUMBER(MATCH(CF52,$CF$1:CF51,0))),0,MAX($CE$1:CE51)+1)</f>
        <v>0</v>
      </c>
      <c r="CF52" s="8">
        <f>IF(OR(Tank1!$D$18="HORIZONTAL FIXED ROOF",Tank1!$D$18="VERTICAL FIXED ROOF"),IF(Tank1!$E82="",0,Tank1!$E82),0)</f>
        <v>0</v>
      </c>
      <c r="CG52" s="8" t="str">
        <f t="shared" si="41"/>
        <v/>
      </c>
      <c r="DL52" t="s">
        <v>9290</v>
      </c>
      <c r="DM52">
        <f>IF(OR(DN52=0,ISNUMBER(MATCH(DN52,$DN$1:DN51,0))),0,MAX($DM$1:DM51)+1)</f>
        <v>0</v>
      </c>
      <c r="DN52">
        <f>IF('Load-DrumTote'!$F$19="Flare",IFERROR(VLOOKUP(Products!$A$59,'Load-DrumTote'!$A$27:$B$136,1,FALSE),0),0)</f>
        <v>0</v>
      </c>
      <c r="DO52">
        <f>IF($DN52=0,0,VLOOKUP($DN52,'Load-DrumTote'!$A$27:$N$136,13,FALSE))</f>
        <v>0</v>
      </c>
      <c r="DP52">
        <f>IF($DN52=0,0,VLOOKUP($DN52,'Load-DrumTote'!$A$27:$N$136,14,FALSE))</f>
        <v>0</v>
      </c>
      <c r="DU52">
        <f>IF(OR(DV52=0,ISNUMBER(MATCH(DV52,$DV$1:DV51,0))),0,MAX($DU$1:DU51)+1)</f>
        <v>0</v>
      </c>
      <c r="DV52">
        <f>IF('Load-DrumTote'!$F$19="VCU",IFERROR(VLOOKUP(Products!$A$59,'Load-DrumTote'!$A$27:$B$136,1,FALSE),0),0)</f>
        <v>0</v>
      </c>
      <c r="DW52">
        <f>IF($DV52=0,0,VLOOKUP($DV52,'Load-DrumTote'!$A$27:$N$136,13,FALSE))</f>
        <v>0</v>
      </c>
      <c r="DX52">
        <f>IF($DV52=0,0,VLOOKUP($DV52,'Load-DrumTote'!$A$27:$N$136,14,FALSE))</f>
        <v>0</v>
      </c>
      <c r="EC52">
        <f>IF(OR(ED52=0,ISNUMBER(MATCH(ED52,$ED$1:ED51,0))),0,MAX($EC$1:EC51)+1)</f>
        <v>0</v>
      </c>
      <c r="ED52">
        <f>IF('Load-DrumTote'!$F$19="vapor oxidizer",IFERROR(VLOOKUP(Products!$A$59,'Load-DrumTote'!$A$27:$B$136,1,FALSE),0),0)</f>
        <v>0</v>
      </c>
      <c r="EE52">
        <f>IF($ED52=0,0,VLOOKUP($ED52,'Load-DrumTote'!$A$27:$N$136,13,FALSE))</f>
        <v>0</v>
      </c>
      <c r="EF52">
        <f>IF($ED52=0,0,VLOOKUP($ED52,'Load-DrumTote'!$A$27:$N$136,14,FALSE))</f>
        <v>0</v>
      </c>
      <c r="EK52">
        <f>IF(OR(EL52=0,ISNUMBER(MATCH(EL52,$EL$1:EL51,0))),0,MAX($EK$1:EK51)+1)</f>
        <v>0</v>
      </c>
      <c r="EL52">
        <f>IF('Load-DrumTote'!$F$19="CAS",IFERROR(VLOOKUP(Products!A59,'Load-DrumTote'!$A$27:$B$136,1,FALSE),0),0)</f>
        <v>0</v>
      </c>
      <c r="EM52">
        <f>IF($EL52=0,0,VLOOKUP($EL52,'Load-DrumTote'!$A$27:$N$136,13,FALSE))</f>
        <v>0</v>
      </c>
      <c r="EN52">
        <f>IF($EL52=0,0,VLOOKUP($EL52,'Load-DrumTote'!$A$27:$N$136,14,FALSE))</f>
        <v>0</v>
      </c>
      <c r="FB52" s="8" t="s">
        <v>457</v>
      </c>
      <c r="FC52" s="8" t="s">
        <v>458</v>
      </c>
      <c r="FD52" s="8">
        <v>50</v>
      </c>
      <c r="FE52" s="8">
        <v>5</v>
      </c>
      <c r="FG52" s="360" t="str">
        <f t="shared" si="23"/>
        <v/>
      </c>
      <c r="FH52" s="155">
        <f>IF(Tank1!$D$22="NO CONTROL",_xlfn.MAXIFS(Tank1!$G$32:$G$141,Tank1!$E$32:$E$141,$FG52),0)*IFERROR($QR$3,0)</f>
        <v>0</v>
      </c>
      <c r="FI52" s="155">
        <f>_xlfn.MAXIFS(LandEmiss!$AF$20:$AF$119,LandEmiss!$AE$20:$AE$119,$FG52)*IFERROR($QR$3,0)</f>
        <v>0</v>
      </c>
      <c r="FJ52" s="155">
        <f>MAX(_xlfn.MAXIFS(LandEmiss!$CO$20:$CO$119,LandEmiss!$CN$20:$CN$119,$FG52),_xlfn.MAXIFS(LandEmiss!$EZ$9:$EZ$108,LandEmiss!$EY$9:$EY$108,$FG52))*IFERROR($QR$3,0)</f>
        <v>0</v>
      </c>
      <c r="FK52" s="155">
        <f>IF(Tank2!$D$22="NO CONTROL",_xlfn.MAXIFS(Tank2!$G$32:$G$141,Tank2!$E$32:$E$141,$FG52),0)*IFERROR($QR$4,0)</f>
        <v>0</v>
      </c>
      <c r="FL52" s="155">
        <f>_xlfn.MAXIFS(LandEmiss!$AG$20:$AG$119,LandEmiss!$AE$20:$AE$119,$FG52)*IFERROR($QR$4,0)</f>
        <v>0</v>
      </c>
      <c r="FM52" s="155">
        <f>MAX(_xlfn.MAXIFS(LandEmiss!$CP$20:$CP$119,LandEmiss!$CN$20:$CN$119,$FG52),_xlfn.MAXIFS(LandEmiss!$FA$9:$FA$108,LandEmiss!$EY$9:$EY$108,$FG52))*IFERROR($QR$4,0)</f>
        <v>0</v>
      </c>
      <c r="FN52" s="155">
        <f>IF(Tank3!$D$22="NO CONTROL",_xlfn.MAXIFS(Tank3!$G$32:$G$141,Tank3!$E$32:$E$141,$FG52),0)*IFERROR($QR$5,0)</f>
        <v>0</v>
      </c>
      <c r="FO52" s="155">
        <f>_xlfn.MAXIFS(LandEmiss!$AH$20:$AH$119,LandEmiss!$AE$20:$AE$119,$FG52)*IFERROR($QR$5,0)</f>
        <v>0</v>
      </c>
      <c r="FP52" s="155">
        <f>MAX(_xlfn.MAXIFS(LandEmiss!$CQ$20:$CQ$119,LandEmiss!$CN$20:$CN$119,$FG52),_xlfn.MAXIFS(LandEmiss!$FB$9:$FB$108,LandEmiss!$EY$9:$EY$108,$FG52))*IFERROR($QR$5,0)</f>
        <v>0</v>
      </c>
      <c r="FQ52" s="155">
        <f>IF(Tank4!$D$22="NO CONTROL",_xlfn.MAXIFS(Tank4!$G$32:$G$141,Tank4!$E$32:$E$141,$FG52),0)*IFERROR($QR$6,0)</f>
        <v>0</v>
      </c>
      <c r="FR52" s="155">
        <f>_xlfn.MAXIFS(LandEmiss!$AI$20:$AI$119,LandEmiss!$AE$20:$AE$119,$FG52)*IFERROR($QR$6,0)</f>
        <v>0</v>
      </c>
      <c r="FS52" s="155">
        <f>MAX(_xlfn.MAXIFS(LandEmiss!$CR$20:$CR$119,LandEmiss!$CN$20:$CN$119,$FG52),_xlfn.MAXIFS(LandEmiss!$FC$9:$FC$108,LandEmiss!$EY$9:$EY$108,$FG52))*IFERROR($QR$6,0)</f>
        <v>0</v>
      </c>
      <c r="FT52" s="155">
        <f>IF(Tank5!$D$22="NO CONTROL",_xlfn.MAXIFS(Tank5!$G$32:$G$141,Tank5!$E$32:$E$141,$FG52),0)*IFERROR($QR$7,0)</f>
        <v>0</v>
      </c>
      <c r="FU52" s="155">
        <f>_xlfn.MAXIFS(LandEmiss!$AJ$20:$AJ$119,LandEmiss!$AE$20:$AE$119,$FG52)*IFERROR($QR$7,0)</f>
        <v>0</v>
      </c>
      <c r="FV52" s="155">
        <f>MAX(_xlfn.MAXIFS(LandEmiss!$CS$20:$CS$119,LandEmiss!$CN$20:$CN$119,$FG52),_xlfn.MAXIFS(LandEmiss!$FD$9:$FD$108,LandEmiss!$EY$9:$EY$108,$FG52))*IFERROR($QR57,0)</f>
        <v>0</v>
      </c>
      <c r="FW52" s="155">
        <f>_xlfn.MAXIFS('Load-DrumTote'!$K$27:$K$136,'Load-DrumTote'!$F$27:$F$136,$FG52)*IFERROR($QR$8,0)</f>
        <v>0</v>
      </c>
      <c r="FX52" s="155">
        <f>_xlfn.MAXIFS('Load-Truck'!$K$27:$K$136,'Load-Truck'!$F$27:$F$136,$FG52)*IFERROR($QR$9,0)</f>
        <v>0</v>
      </c>
      <c r="FY52" s="155">
        <f>_xlfn.MAXIFS('Load-Rail'!$K$27:$K$136,'Load-Rail'!$F$27:$F$136,$FG52)*IFERROR($QR$10,0)</f>
        <v>0</v>
      </c>
      <c r="FZ52" s="155">
        <f>_xlfn.MAXIFS('Load-MarineBarge'!$K$27:$K$136,'Load-MarineBarge'!$F$27:$F$136,$FG52)*IFERROR($QR$11,0)</f>
        <v>0</v>
      </c>
      <c r="GA52" s="155">
        <f>_xlfn.MAXIFS('Load-MarineShip'!$K$27:$K$136,'Load-MarineShip'!$F$27:$F$136,$FG52)*IFERROR($QR$12,0)</f>
        <v>0</v>
      </c>
      <c r="GB52" s="313">
        <f>IF(OR(Flare!$D$24="fuel gas",Flare!$D$38="fuel gas"),SUMIF(Flare!$E$97:$E$106,$FG52,Flare!$F$97:$F$106),0)*IFERROR($QR$13,0)</f>
        <v>0</v>
      </c>
      <c r="GC52" s="313">
        <f>(_xlfn.MAXIFS(CtrlDevImpacts!$I$57:$I$156,CtrlDevImpacts!$H$57:$H$156,$FG52))*IFERROR($QR$13,0)</f>
        <v>0</v>
      </c>
      <c r="GD52" s="313">
        <f>(_xlfn.MAXIFS(Flare!$F$107:$F$216,Flare!$E$107:$E$216,$FG52)-_xlfn.MAXIFS(CtrlDevImpacts!$I$57:$I$156,CtrlDevImpacts!$H$57:$H$156,$FG52))*IFERROR($QR$13,0)</f>
        <v>0</v>
      </c>
      <c r="GE52" s="155">
        <f>_xlfn.MAXIFS(LandEmiss!$B$335:$B$434,LandEmiss!$A$335:$A$434,$FG52)*IFERROR($QR$13,0)</f>
        <v>0</v>
      </c>
      <c r="GF52" s="155">
        <f>(_xlfn.MAXIFS(LandEmiss!$BK$335:$BK$434,LandEmiss!$BJ$335:$BJ$434,$FG52)+_xlfn.MAXIFS(LandEmiss!$DV$323:$DV$422,LandEmiss!$DU$323:$DU$422,$FG52))*IFERROR($QR$13,0)</f>
        <v>0</v>
      </c>
      <c r="GG52" s="313">
        <f>IF(OR(VCU!$D$26="fuel gas",VCU!$D$42="fuel gas"),SUMIF(VCU!$E$120:$E$129,$FG52,VCU!$F$120:$F$129),0)*IFERROR($QR$14,0)</f>
        <v>0</v>
      </c>
      <c r="GH52" s="313">
        <f>(_xlfn.MAXIFS(CtrlDevImpacts!$X$57:$X$156,CtrlDevImpacts!$W$57:$W$156,$FG52))*IFERROR($QR$14,0)</f>
        <v>0</v>
      </c>
      <c r="GI52" s="313">
        <f>(_xlfn.MAXIFS(VCU!$F$130:$F$239,VCU!$E$130:$E$239,$FG52)-_xlfn.MAXIFS(CtrlDevImpacts!$X$57:$X$156,CtrlDevImpacts!$W$57:$W$156,$FG52))*IFERROR($QR$14,0)</f>
        <v>0</v>
      </c>
      <c r="GJ52" s="155">
        <f>_xlfn.MAXIFS(LandEmiss!$D$335:$D$434,LandEmiss!$A$335:$A$434,$FG52)*IFERROR($QR$14,0)</f>
        <v>0</v>
      </c>
      <c r="GK52" s="155">
        <f>(_xlfn.MAXIFS(LandEmiss!$BM$335:$BM$434,LandEmiss!$BJ$335:$BJ$434,$FG52)+_xlfn.MAXIFS(LandEmiss!$DX$323:$DX$422,LandEmiss!$DU$323:$DU$422,$FG52))*IFERROR($QR$14,0)</f>
        <v>0</v>
      </c>
      <c r="GL52" s="313">
        <f>IF(VaporOxidizer!D83="FUEL GAS",SUMIF(VaporOxidizer!$E$101:$E$110,$FG52,VaporOxidizer!$F$101:$F$110),0)*IFERROR($QR$15,0)</f>
        <v>0</v>
      </c>
      <c r="GM52" s="313">
        <f>(_xlfn.MAXIFS(CtrlDevImpacts!$AN$57:$AN$156,CtrlDevImpacts!$AM$57:$AM$156,$FG52))*IFERROR($QR$15,0)</f>
        <v>0</v>
      </c>
      <c r="GN52" s="313">
        <f>(_xlfn.MAXIFS(VaporOxidizer!$F$111:$F$220,VaporOxidizer!$E$111:$E$220,$FG52)-_xlfn.MAXIFS(CtrlDevImpacts!$AN$57:$AN$156,CtrlDevImpacts!$AM$57:$AM$156,$FG52))*IFERROR($QR$15,0)</f>
        <v>0</v>
      </c>
      <c r="GO52" s="155">
        <f>_xlfn.MAXIFS(LandEmiss!$F$335:$F$434,LandEmiss!$A$335:$A$434,$FG52)*IFERROR($QR$15,0)</f>
        <v>0</v>
      </c>
      <c r="GP52" s="155">
        <f>(_xlfn.MAXIFS(LandEmiss!$BK$335:$BK$434,LandEmiss!$BO$335:$BO$434,$FG52)+_xlfn.MAXIFS(LandEmiss!$DZ$323:$DZ$422,LandEmiss!$DU$323:$DU$422,$FG52))*IFERROR($QR$15,0)</f>
        <v>0</v>
      </c>
      <c r="GQ52" s="313">
        <f>_xlfn.MAXIFS(CtrlDevImpacts!$BD$57:$BD$156,CtrlDevImpacts!$BC$57:$BC$156,$FG52)*IFERROR(Hidden!$QR$16,0)</f>
        <v>0</v>
      </c>
      <c r="GR52" s="313">
        <f>(_xlfn.MAXIFS(CAS!$H$35:$H$144,CAS!$E$35:$E$144,$FG52)-_xlfn.MAXIFS(CtrlDevImpacts!$BD$57:$BD$156,CtrlDevImpacts!$BC$57:$BC$156,$FG52))*IFERROR(Hidden!$QR$16,0)</f>
        <v>0</v>
      </c>
      <c r="GS52" s="155">
        <f>_xlfn.MAXIFS(LandEmiss!$H$335:$H$434,LandEmiss!$A$335:$A$434,$FG52)*IFERROR($QR$27,0)</f>
        <v>0</v>
      </c>
      <c r="GT52" s="155">
        <f>(_xlfn.MAXIFS(LandEmiss!$BK$335:$BK$434,LandEmiss!$BQ$335:$BQ$434,$FG52)+_xlfn.MAXIFS(LandEmiss!$EB$323:$EB$422,LandEmiss!$DU$323:$DU$422,$FG52))*IFERROR($QR$27,0)</f>
        <v>0</v>
      </c>
      <c r="GU52" s="155">
        <f>_xlfn.MAXIFS(LandEmiss!$J$335:$J$434,LandEmiss!$A$335:$A$434,$FG52)*IFERROR($QR$26,0)</f>
        <v>0</v>
      </c>
      <c r="GV52" s="155">
        <f>(_xlfn.MAXIFS(LandEmiss!$BK$335:$BK$434,LandEmiss!$BS$335:$BS$434,$FG52)+_xlfn.MAXIFS(LandEmiss!$ED$323:$ED$422,LandEmiss!$DU$323:$DU$422,$FG52))*IFERROR($QR$26,0)</f>
        <v>0</v>
      </c>
      <c r="GW52" s="155">
        <f>_xlfn.MAXIFS(LandEmiss!$L$335:$L$434,LandEmiss!$A$335:$A$434,$FG52)*IFERROR($QR$25,0)</f>
        <v>0</v>
      </c>
      <c r="GX52" s="155">
        <f>(_xlfn.MAXIFS(LandEmiss!$BK$335:$BK$434,LandEmiss!$BU$335:$BU$434,$FG52)+_xlfn.MAXIFS(LandEmiss!$EF$323:$EF$422,LandEmiss!$DU$323:$DU$422,$FG52))*IFERROR($QR$25,0)</f>
        <v>0</v>
      </c>
      <c r="GY52" s="155">
        <v>0</v>
      </c>
      <c r="GZ52" s="155">
        <v>0</v>
      </c>
      <c r="HA52" s="155">
        <f>IF(OR(HeaterBoiler1!$E$26&lt;&gt;"fuel gas",HeaterBoiler1!$E$15&lt;&gt;"heater"),0,SUMIF(HeaterBoiler1!$A$54:$D$63,$FG52,HeaterBoiler1!$I$54:$I$63))*IFERROR($QR$19,0)</f>
        <v>0</v>
      </c>
      <c r="HB52" s="207">
        <f>IF(OR(HeaterBoiler2!$E$26&lt;&gt;"fuel gas",HeaterBoiler2!$E$15&lt;&gt;"heater"),0,SUMIF(HeaterBoiler2!$A$54:$D$63,$FG52,HeaterBoiler2!$I$54:$I$63))*IFERROR($QR$21,0)</f>
        <v>0</v>
      </c>
      <c r="HC52" s="155">
        <f>IF(OR(HeaterBoiler1!$E$26&lt;&gt;"fuel gas",HeaterBoiler1!$E$15&lt;&gt;"boiler"),0,SUMIF(HeaterBoiler1!$A$41:$A$50,$FG52,HeaterBoiler1!$F$41:$F$50))*IFERROR($QR$20,0)</f>
        <v>0</v>
      </c>
      <c r="HD52" s="207">
        <f>IF(OR(HeaterBoiler2!$E$26&lt;&gt;"fuel gas",HeaterBoiler2!$E$15&lt;&gt;"boiler"),0,SUMIF(HeaterBoiler2!$A$41:$A$50,$FG52,HeaterBoiler2!$F$41:$F$50))*IFERROR($QR$22,0)</f>
        <v>0</v>
      </c>
      <c r="HE52" s="155">
        <f>SUMIF(Fug!$A$96:$A$205,$FG52,Fug!$I$96:$I$205)*IFERROR(Hidden!$QR$23,0)</f>
        <v>0</v>
      </c>
      <c r="HF52" s="155">
        <f t="shared" si="24"/>
        <v>0</v>
      </c>
      <c r="HG52" s="156">
        <f t="shared" si="25"/>
        <v>0</v>
      </c>
      <c r="HH52" s="156">
        <f t="shared" si="26"/>
        <v>0</v>
      </c>
      <c r="HI52" s="156">
        <f t="shared" si="27"/>
        <v>0</v>
      </c>
      <c r="HJ52" s="156">
        <f t="shared" si="28"/>
        <v>0</v>
      </c>
      <c r="HK52" s="156">
        <f t="shared" si="29"/>
        <v>0</v>
      </c>
      <c r="HL52" s="156">
        <f t="shared" si="30"/>
        <v>0</v>
      </c>
      <c r="NO52" s="155">
        <f>IF(Tank1!$D$22="No control",(SUMIF(Tank1!$E$32:$E$141,$FG52,Tank1!$H$32:$H$141)*(2000/8760)*IFERROR($QV$3,0)),0)</f>
        <v>0</v>
      </c>
      <c r="NP52" s="156">
        <f>SUMIF(LandEmiss!$AE$20:$AE$119,$FG52,LandEmiss!$AK$20:$AK$119)*(2000/8760)*IFERROR($QV$3,0)</f>
        <v>0</v>
      </c>
      <c r="NQ52" s="156">
        <f>(SUMIF(LandEmiss!$CN$20:$CN$119,$FG52,LandEmiss!$CT$20:$CT$119)+SUMIF(LandEmiss!$EY$9:$EY$108,$FG52,LandEmiss!$FE$9:$FE$108))*IFERROR($QV$3,0)*(2000/8760)</f>
        <v>0</v>
      </c>
      <c r="NR52" s="155">
        <f>IF(Tank2!$D$22="No control",(SUMIF(Tank2!$E$32:$E$141,$FG52,Tank2!$H$32:$H$141)*(2000/8760)*IFERROR($QV$4,0)),0)</f>
        <v>0</v>
      </c>
      <c r="NS52" s="156">
        <f>SUMIF(LandEmiss!$AE$20:$AE$119,$FG52,LandEmiss!$AL$20:$AL$119)*(2000/8760)*IFERROR($QV$4,0)</f>
        <v>0</v>
      </c>
      <c r="NT52" s="156">
        <f>(SUMIF(LandEmiss!$CN$20:$CN$119,$FG52,LandEmiss!$CU$20:$CU$119)+SUMIF(LandEmiss!$EY$9:$EY$108,$FG52,LandEmiss!$FF$9:$FF$108))*IFERROR($QV$4,0)*(2000/8760)</f>
        <v>0</v>
      </c>
      <c r="NU52" s="155">
        <f>IF(Tank3!$D$22="No control",(SUMIF(Tank3!$E$32:$E$141,$FG52,Tank3!$H$32:$H$141)*(2000/8760)*IFERROR($QV$5,0)),0)</f>
        <v>0</v>
      </c>
      <c r="NV52" s="156">
        <f>SUMIF(LandEmiss!$AE$20:$AE$119,$FG52,LandEmiss!$AM$20:$AM$119)*(2000/8760)*IFERROR($QV$5,0)</f>
        <v>0</v>
      </c>
      <c r="NW52" s="156">
        <f>(SUMIF(LandEmiss!$CN$20:$CN$119,$FG52,LandEmiss!$CV$20:$CV$119)+SUMIF(LandEmiss!$EY$9:$EY$108,$FG52,LandEmiss!$FG$9:$FG$108))*IFERROR($QV$5,0)*(2000/8760)</f>
        <v>0</v>
      </c>
      <c r="NX52" s="155">
        <f>IF(Tank4!$D$22="No control",(SUMIF(Tank4!$E$32:$E$141,$FG52,Tank4!$H$32:$H$141)*(2000/8760)*IFERROR($QV$6,0)),0)</f>
        <v>0</v>
      </c>
      <c r="NY52" s="156">
        <f>SUMIF(LandEmiss!$AE$20:$AE$119,$FG52,LandEmiss!$AN$20:$AN$119)*(2000/8760)*IFERROR($QV$6,0)</f>
        <v>0</v>
      </c>
      <c r="NZ52" s="156">
        <f>(SUMIF(LandEmiss!$CN$20:$CN$119,$FG52,LandEmiss!$CW$20:$CW$119)+SUMIF(LandEmiss!$EY$9:$EY$108,$FG52,LandEmiss!$FH$9:$FH$108))*IFERROR($QV$6,0)*(2000/8760)</f>
        <v>0</v>
      </c>
      <c r="OA52" s="155">
        <f>IF(Tank5!$D$22="No control",(SUMIF(Tank5!$E$32:$E$141,$FG52,Tank5!$H$32:$H$141)*(2000/8760)*IFERROR($QV$7,0)),0)</f>
        <v>0</v>
      </c>
      <c r="OB52" s="156">
        <f>SUMIF(LandEmiss!$AE$20:$AE$119,$FG52,LandEmiss!$AO$20:$AO$119)*(2000/8760)*IFERROR($QV$7,0)</f>
        <v>0</v>
      </c>
      <c r="OC52" s="156">
        <f>(SUMIF(LandEmiss!$CN$20:$CN$119,$FG52,LandEmiss!$CX$20:$CX$119)+SUMIF(LandEmiss!$EY$9:$EY$108,$FG52,LandEmiss!$FI$9:$FI$108))*IFERROR($QV$7,0)*(2000/8760)</f>
        <v>0</v>
      </c>
      <c r="OD52" s="155">
        <f>SUMIFS('Load-DrumTote'!$L$27:$L$136,'Load-DrumTote'!$F$27:$F$136,$FG52)*IFERROR($QV$8,0)*(2000/8760)</f>
        <v>0</v>
      </c>
      <c r="OE52" s="155">
        <f>SUMIFS('Load-Truck'!$L$27:$L$136,'Load-Truck'!$F$27:$F$136,$FG52)*IFERROR($QV$9,0)*(2000/8760)</f>
        <v>0</v>
      </c>
      <c r="OF52" s="155">
        <f>SUMIFS('Load-Rail'!$L$27:$L$136,'Load-Rail'!$F$27:$F$136,$FG52)*IFERROR($QV$10,0)*(2000/8760)</f>
        <v>0</v>
      </c>
      <c r="OG52" s="155">
        <f>SUMIFS('Load-MarineBarge'!$L$27:$L$136,'Load-MarineBarge'!$F$27:$F$136,$FG52)*IFERROR($QV$11,0)*(2000/8760)</f>
        <v>0</v>
      </c>
      <c r="OH52" s="155">
        <f>SUMIFS('Load-MarineShip'!$L$27:$L$136,'Load-MarineShip'!$F$27:$F$136,$FG52)*IFERROR($QV$12,0)*(2000/8760)</f>
        <v>0</v>
      </c>
      <c r="OI52" s="155">
        <f>(IF(OR(Flare!$D$24="FUEL GAS",Flare!$D$38="FUEL GAS"),SUMIF(Flare!$E$97:$E$106,$FG52,Flare!$G$97:$G$105),0)+SUMIF(Flare!$E$107:$E$216,$FG52,Flare!$G$107:$G$216))*(2000/8730)*IFERROR($QV$13,0)</f>
        <v>0</v>
      </c>
      <c r="OJ52" s="155">
        <f>SUMIF(LandEmiss!$A$335:$A$434,$FG52,LandEmiss!$C$335:$C$434)*(2000/8760)*IFERROR($QV$13,0)</f>
        <v>0</v>
      </c>
      <c r="OK52" s="155">
        <f>(SUMIF(LandEmiss!$BJ$335:$BJ$434,$FG52,LandEmiss!$BL$335:$BL$434)+SUMIF(LandEmiss!$DU$323:$DU$422,$FG52,LandEmiss!$DW$323:$DW$422))*(2000/8760)*IFERROR($QV$13,0)</f>
        <v>0</v>
      </c>
      <c r="OL52" s="155">
        <f>(IF(OR(VCU!$D$26="FUEL GAS",VCU!$D$42="FUEL GAS"),SUMIF(VCU!$E$120:$E$129,$FG52,VCU!$G$120:$G$129),0)+SUMIF(VCU!$E$130:$E$239,$FG52,VCU!G180:G289))*(2000/8760)*IFERROR($QV$14,0)</f>
        <v>0</v>
      </c>
      <c r="OM52" s="155">
        <f>SUMIF(LandEmiss!$A$335:$A$434,$FG52,LandEmiss!$E$335:$E$434)*(2000/8760)*IFERROR($QV$14,0)</f>
        <v>0</v>
      </c>
      <c r="ON52" s="155">
        <f>(SUMIF(LandEmiss!$BJ$335:$BJ$434,$FG52,LandEmiss!$BN$335:$BN$434)+SUMIF(LandEmiss!$DU$323:$DU$422,$FG52,LandEmiss!$DY$323:$DY$422))*(2000/8760)*IFERROR($QV$14,0)</f>
        <v>0</v>
      </c>
      <c r="OO52" s="155">
        <f>(IF(VaporOxidizer!$D$33="FUEL GAS",SUMIF(VaporOxidizer!$E$101:$E$110,$FG52,VaporOxidizer!$G$101:$G$110),0)+SUMIF(VaporOxidizer!$E$111:$E$220,$FG52,VaporOxidizer!$G$111:$G$220))*(2000/8760)*IFERROR($QV$15,0)</f>
        <v>0</v>
      </c>
      <c r="OP52" s="155">
        <f>SUMIF(LandEmiss!$A$335:$A$434,$FG52,LandEmiss!$G$335:$G$434)*(2000/8760)*IFERROR($QV$15,0)</f>
        <v>0</v>
      </c>
      <c r="OQ52" s="155">
        <f>(SUMIF(LandEmiss!$BJ$335:$BJ$434,$FG52,LandEmiss!$BP$335:$BP$434)+SUMIF(LandEmiss!$DU$323:$DU$422,$FG52,LandEmiss!$EA$323:$EA$422))*(2000/8760)*IFERROR($QV$15,0)</f>
        <v>0</v>
      </c>
      <c r="OR52" s="155">
        <f>SUMIF(CAS!$E$35:$E$144,Hidden!$FG52,CAS!$I$35:$I$144)*IFERROR($QV$16,0)*(2000/8760)</f>
        <v>0</v>
      </c>
      <c r="OS52" s="155">
        <f>SUMIF(LandEmiss!$A$335:$A$434,$FG52,LandEmiss!$I$335:$I$434)*(2000/8760)*IFERROR($QV$27,0)</f>
        <v>0</v>
      </c>
      <c r="OT52" s="155">
        <f>(SUMIF(LandEmiss!$BJ$335:$BJ$434,$FG52,LandEmiss!$BR$335:$BR$434)+SUMIF(LandEmiss!$DU$323:$DU$422,$FG52,LandEmiss!$EC$323:$EC$422))*(2000/8760)*IFERROR($QV$27,0)</f>
        <v>0</v>
      </c>
      <c r="OU52" s="155">
        <f>SUMIF(LandEmiss!$A$335:$A$434,$FG52,LandEmiss!$K$335:$K$434)*(2000/8760)*IFERROR($QV$26,0)</f>
        <v>0</v>
      </c>
      <c r="OV52" s="155">
        <f>(SUMIF(LandEmiss!$BJ$335:$BJ$434,$FG52,LandEmiss!$BT$335:$BT$434)+SUMIF(LandEmiss!$DU$323:$DU$422,$FG52,LandEmiss!$EE$323:$EE$422))*(2000/8760)*IFERROR($QV$26,0)</f>
        <v>0</v>
      </c>
      <c r="OW52" s="155">
        <f>SUMIF(LandEmiss!$A$335:$A$434,$FG52,LandEmiss!$M$335:$M$434)*(2000/8760)*IFERROR($QV$25,0)</f>
        <v>0</v>
      </c>
      <c r="OX52" s="155">
        <f>(SUMIF(LandEmiss!$BJ$335:$BJ$434,$FG52,LandEmiss!$BV$335:$BV$434)+SUMIF(LandEmiss!$DU$323:$DU$422,$FG52,LandEmiss!$EG$323:$EG$422))*(2000/8760)*IFERROR($QV$25,0)</f>
        <v>0</v>
      </c>
      <c r="OY52" s="8">
        <v>0</v>
      </c>
      <c r="OZ52" s="207">
        <v>0</v>
      </c>
      <c r="PA52" s="207">
        <f>IF(OR(HeaterBoiler1!$E$26&lt;&gt;"fuel gas",HeaterBoiler1!$E$15&lt;&gt;"heater"),0,(SUMIF(HeaterBoiler1!$A$54:$D$63,$FG52,HeaterBoiler1!$J$54:$J$63))*(2000/8760))*IFERROR($QV$19,0)</f>
        <v>0</v>
      </c>
      <c r="PB52" s="207">
        <f>IF(OR(HeaterBoiler2!$E$26&lt;&gt;"fuel gas",HeaterBoiler2!$E$15&lt;&gt;"heater"),0,(SUMIF(HeaterBoiler2!$A$54:$D$63,$FG52,HeaterBoiler2!$J$54:$J$63))*(2000/8760))*IFERROR($QV$21,0)</f>
        <v>0</v>
      </c>
      <c r="PC52" s="207">
        <f>IF(OR(HeaterBoiler1!$E$26&lt;&gt;"fuel gas",HeaterBoiler1!$E$15&lt;&gt;"boiler"),0,(SUMIF(HeaterBoiler1!$A$54:$D$63,$FG52,HeaterBoiler1!$J$54:$J$63))*(2000/8760))*IFERROR($QV$20,0)</f>
        <v>0</v>
      </c>
      <c r="PD52" s="207">
        <f>IF(OR(HeaterBoiler2!$E$26&lt;&gt;"fuel gas",HeaterBoiler2!$E$15&lt;&gt;"boiler"),0,(SUMIF(HeaterBoiler2!$A$54:$D$63,$FG52,HeaterBoiler2!$J$54:$J$63))*(2000/8760))*IFERROR($QV$22,0)</f>
        <v>0</v>
      </c>
      <c r="PE52" s="8">
        <f>(SUMIF(Fug!$A$96:$A$205,$FG52,Fug!$J$96:$J$205))*IFERROR($QV$23,0)*(2000/8760)</f>
        <v>0</v>
      </c>
      <c r="PF52" s="8">
        <f t="shared" si="31"/>
        <v>0</v>
      </c>
      <c r="PG52" s="156">
        <f t="shared" si="32"/>
        <v>0</v>
      </c>
      <c r="PJ52" s="52" t="str">
        <f>IF(Fug!$F$16=Hidden!$PP$2,"Connectors [8]","")</f>
        <v/>
      </c>
      <c r="PK52" s="52" t="str">
        <f>IF(Fug!$F$16=Hidden!$PP$2,"Heavy Oil &lt;20° API","")</f>
        <v/>
      </c>
      <c r="PL52" s="52"/>
      <c r="PM52" s="52"/>
      <c r="PN52" s="52"/>
      <c r="PO52" s="52"/>
      <c r="PP52" s="52">
        <v>1.6500000000000001E-5</v>
      </c>
      <c r="PQ52" s="52"/>
      <c r="PR52" s="52"/>
      <c r="PS52" s="52"/>
      <c r="PT52" s="52" t="s">
        <v>8796</v>
      </c>
      <c r="PU52" s="52" t="s">
        <v>8780</v>
      </c>
      <c r="PV52" s="52">
        <v>0</v>
      </c>
      <c r="PW52" s="52">
        <v>0.3</v>
      </c>
      <c r="PX52" s="52">
        <v>0.3</v>
      </c>
      <c r="PY52" s="52">
        <v>0.3</v>
      </c>
      <c r="PZ52" s="52">
        <v>0</v>
      </c>
      <c r="QA52" s="52">
        <v>0.97</v>
      </c>
      <c r="QB52" s="52"/>
      <c r="QC52" s="52"/>
      <c r="QD52" s="52"/>
      <c r="QE52" s="52"/>
      <c r="QF52" s="52"/>
      <c r="QG52" s="52"/>
      <c r="QH52" s="52"/>
      <c r="QI52" s="52"/>
      <c r="QX52" s="89" t="s">
        <v>9293</v>
      </c>
      <c r="QY52">
        <v>19869</v>
      </c>
      <c r="QZ52">
        <v>8869.9</v>
      </c>
      <c r="RA52">
        <v>3191.8</v>
      </c>
      <c r="RB52">
        <v>1159.0999999999999</v>
      </c>
      <c r="RC52">
        <v>646</v>
      </c>
      <c r="RD52">
        <v>427.8</v>
      </c>
      <c r="RE52">
        <v>311.39999999999998</v>
      </c>
      <c r="RF52">
        <v>175.6</v>
      </c>
      <c r="RG52" s="90">
        <v>117.3</v>
      </c>
      <c r="RH52" s="89" t="s">
        <v>9293</v>
      </c>
      <c r="RI52">
        <v>18221.400000000001</v>
      </c>
      <c r="RJ52">
        <v>8492.4</v>
      </c>
      <c r="RK52">
        <v>3105.8</v>
      </c>
      <c r="RL52">
        <v>1112.3</v>
      </c>
      <c r="RM52">
        <v>615.9</v>
      </c>
      <c r="RN52">
        <v>406.1</v>
      </c>
      <c r="RO52">
        <v>294.7</v>
      </c>
      <c r="RP52">
        <v>165.2</v>
      </c>
      <c r="RQ52" s="90">
        <v>109.8</v>
      </c>
      <c r="RR52" s="89" t="s">
        <v>9293</v>
      </c>
      <c r="RS52">
        <v>15382.5</v>
      </c>
      <c r="RT52">
        <v>6919.1</v>
      </c>
      <c r="RU52">
        <v>2422.9</v>
      </c>
      <c r="RV52">
        <v>822.8</v>
      </c>
      <c r="RW52">
        <v>435.9</v>
      </c>
      <c r="RX52">
        <v>278.10000000000002</v>
      </c>
      <c r="RY52">
        <v>202</v>
      </c>
      <c r="RZ52">
        <v>108.2</v>
      </c>
      <c r="SA52" s="90">
        <v>73.25</v>
      </c>
      <c r="SB52" s="89" t="s">
        <v>9293</v>
      </c>
      <c r="SC52">
        <v>7148.5</v>
      </c>
      <c r="SD52">
        <v>3080.6</v>
      </c>
      <c r="SE52">
        <v>1021.1</v>
      </c>
      <c r="SF52">
        <v>326.8</v>
      </c>
      <c r="SG52">
        <v>168.2</v>
      </c>
      <c r="SH52">
        <v>105.4</v>
      </c>
      <c r="SI52">
        <v>75</v>
      </c>
      <c r="SJ52">
        <v>39.29</v>
      </c>
      <c r="SK52" s="90">
        <v>25.3</v>
      </c>
      <c r="SL52" s="89" t="s">
        <v>9293</v>
      </c>
      <c r="SM52">
        <v>1842</v>
      </c>
      <c r="SN52">
        <v>727.1</v>
      </c>
      <c r="SO52">
        <v>219</v>
      </c>
      <c r="SP52">
        <v>63.62</v>
      </c>
      <c r="SQ52">
        <v>30.99</v>
      </c>
      <c r="SR52">
        <v>18.670000000000002</v>
      </c>
      <c r="SS52">
        <v>12.93</v>
      </c>
      <c r="ST52">
        <v>6.37</v>
      </c>
      <c r="SU52" s="90">
        <v>3.87</v>
      </c>
    </row>
    <row r="53" spans="1:515" ht="74.25" customHeight="1" x14ac:dyDescent="0.2">
      <c r="W53">
        <f>IF(OR(X53=0,ISNUMBER(MATCH(X53,$X$1:X52,0))),0,MAX($W$1:W52)+1)</f>
        <v>0</v>
      </c>
      <c r="X53" s="123">
        <f>Products!$E100</f>
        <v>0</v>
      </c>
      <c r="Y53" t="str">
        <f t="shared" si="39"/>
        <v/>
      </c>
      <c r="CA53">
        <f>IF(OR(CB53=0,ISNUMBER(MATCH(CB53,$CB$1:CB52,0))),0,MAX($CA$1:CA52)+1)</f>
        <v>0</v>
      </c>
      <c r="CB53" s="8">
        <f>IF(OR(Tank1!$D$18="EXTERNAL FLOATING ROOF",Tank1!$D$18="INTERNAL FLOATING ROOF"),IF(Tank1!$E83="",0,Tank1!$E83),0)</f>
        <v>0</v>
      </c>
      <c r="CC53" s="8" t="str">
        <f t="shared" si="40"/>
        <v/>
      </c>
      <c r="CD53" s="8"/>
      <c r="CE53" s="8">
        <f>IF(OR(CF53=0,ISNUMBER(MATCH(CF53,$CF$1:CF52,0))),0,MAX($CE$1:CE52)+1)</f>
        <v>0</v>
      </c>
      <c r="CF53" s="8">
        <f>IF(OR(Tank1!$D$18="HORIZONTAL FIXED ROOF",Tank1!$D$18="VERTICAL FIXED ROOF"),IF(Tank1!$E83="",0,Tank1!$E83),0)</f>
        <v>0</v>
      </c>
      <c r="CG53" s="8" t="str">
        <f t="shared" si="41"/>
        <v/>
      </c>
      <c r="DM53">
        <f>IF(OR(DN53=0,ISNUMBER(MATCH(DN53,$DN$1:DN52,0))),0,MAX($DM$1:DM52)+1)</f>
        <v>0</v>
      </c>
      <c r="DN53">
        <f>IF('Load-DrumTote'!$F$19="Flare",IFERROR(VLOOKUP(Products!$A$69,'Load-DrumTote'!$A$27:$B$136,1,FALSE),0),0)</f>
        <v>0</v>
      </c>
      <c r="DO53">
        <f>IF($DN53=0,0,VLOOKUP($DN53,'Load-DrumTote'!$A$27:$N$136,13,FALSE))</f>
        <v>0</v>
      </c>
      <c r="DP53">
        <f>IF($DN53=0,0,VLOOKUP($DN53,'Load-DrumTote'!$A$27:$N$136,14,FALSE))</f>
        <v>0</v>
      </c>
      <c r="DU53">
        <f>IF(OR(DV53=0,ISNUMBER(MATCH(DV53,$DV$1:DV52,0))),0,MAX($DU$1:DU52)+1)</f>
        <v>0</v>
      </c>
      <c r="DV53">
        <f>IF('Load-DrumTote'!$F$19="VCU",IFERROR(VLOOKUP(Products!$A$69,'Load-DrumTote'!$A$27:$B$136,1,FALSE),0),0)</f>
        <v>0</v>
      </c>
      <c r="DW53">
        <f>IF($DV53=0,0,VLOOKUP($DV53,'Load-DrumTote'!$A$27:$N$136,13,FALSE))</f>
        <v>0</v>
      </c>
      <c r="DX53">
        <f>IF($DV53=0,0,VLOOKUP($DV53,'Load-DrumTote'!$A$27:$N$136,14,FALSE))</f>
        <v>0</v>
      </c>
      <c r="EC53">
        <f>IF(OR(ED53=0,ISNUMBER(MATCH(ED53,$ED$1:ED52,0))),0,MAX($EC$1:EC52)+1)</f>
        <v>0</v>
      </c>
      <c r="ED53">
        <f>IF('Load-DrumTote'!$F$19="vapor oxidizer",IFERROR(VLOOKUP(Products!$A$69,'Load-DrumTote'!$A$27:$B$136,1,FALSE),0),0)</f>
        <v>0</v>
      </c>
      <c r="EE53">
        <f>IF($ED53=0,0,VLOOKUP($ED53,'Load-DrumTote'!$A$27:$N$136,13,FALSE))</f>
        <v>0</v>
      </c>
      <c r="EF53">
        <f>IF($ED53=0,0,VLOOKUP($ED53,'Load-DrumTote'!$A$27:$N$136,14,FALSE))</f>
        <v>0</v>
      </c>
      <c r="EK53">
        <f>IF(OR(EL53=0,ISNUMBER(MATCH(EL53,$EL$1:EL52,0))),0,MAX($EK$1:EK52)+1)</f>
        <v>0</v>
      </c>
      <c r="EL53">
        <f>IF('Load-DrumTote'!$F$19="CAS",IFERROR(VLOOKUP(Products!A69,'Load-DrumTote'!$A$27:$B$136,1,FALSE),0),0)</f>
        <v>0</v>
      </c>
      <c r="EM53">
        <f>IF($EL53=0,0,VLOOKUP($EL53,'Load-DrumTote'!$A$27:$N$136,13,FALSE))</f>
        <v>0</v>
      </c>
      <c r="EN53">
        <f>IF($EL53=0,0,VLOOKUP($EL53,'Load-DrumTote'!$A$27:$N$136,14,FALSE))</f>
        <v>0</v>
      </c>
      <c r="FB53" s="8" t="s">
        <v>459</v>
      </c>
      <c r="FC53" s="8" t="s">
        <v>460</v>
      </c>
      <c r="FD53" s="8">
        <v>100</v>
      </c>
      <c r="FE53" s="8">
        <v>10</v>
      </c>
      <c r="FG53" s="360" t="str">
        <f t="shared" si="23"/>
        <v/>
      </c>
      <c r="FH53" s="155">
        <f>IF(Tank1!$D$22="NO CONTROL",_xlfn.MAXIFS(Tank1!$G$32:$G$141,Tank1!$E$32:$E$141,$FG53),0)*IFERROR($QR$3,0)</f>
        <v>0</v>
      </c>
      <c r="FI53" s="155">
        <f>_xlfn.MAXIFS(LandEmiss!$AF$20:$AF$119,LandEmiss!$AE$20:$AE$119,$FG53)*IFERROR($QR$3,0)</f>
        <v>0</v>
      </c>
      <c r="FJ53" s="155">
        <f>MAX(_xlfn.MAXIFS(LandEmiss!$CO$20:$CO$119,LandEmiss!$CN$20:$CN$119,$FG53),_xlfn.MAXIFS(LandEmiss!$EZ$9:$EZ$108,LandEmiss!$EY$9:$EY$108,$FG53))*IFERROR($QR$3,0)</f>
        <v>0</v>
      </c>
      <c r="FK53" s="155">
        <f>IF(Tank2!$D$22="NO CONTROL",_xlfn.MAXIFS(Tank2!$G$32:$G$141,Tank2!$E$32:$E$141,$FG53),0)*IFERROR($QR$4,0)</f>
        <v>0</v>
      </c>
      <c r="FL53" s="155">
        <f>_xlfn.MAXIFS(LandEmiss!$AG$20:$AG$119,LandEmiss!$AE$20:$AE$119,$FG53)*IFERROR($QR$4,0)</f>
        <v>0</v>
      </c>
      <c r="FM53" s="155">
        <f>MAX(_xlfn.MAXIFS(LandEmiss!$CP$20:$CP$119,LandEmiss!$CN$20:$CN$119,$FG53),_xlfn.MAXIFS(LandEmiss!$FA$9:$FA$108,LandEmiss!$EY$9:$EY$108,$FG53))*IFERROR($QR$4,0)</f>
        <v>0</v>
      </c>
      <c r="FN53" s="155">
        <f>IF(Tank3!$D$22="NO CONTROL",_xlfn.MAXIFS(Tank3!$G$32:$G$141,Tank3!$E$32:$E$141,$FG53),0)*IFERROR($QR$5,0)</f>
        <v>0</v>
      </c>
      <c r="FO53" s="155">
        <f>_xlfn.MAXIFS(LandEmiss!$AH$20:$AH$119,LandEmiss!$AE$20:$AE$119,$FG53)*IFERROR($QR$5,0)</f>
        <v>0</v>
      </c>
      <c r="FP53" s="155">
        <f>MAX(_xlfn.MAXIFS(LandEmiss!$CQ$20:$CQ$119,LandEmiss!$CN$20:$CN$119,$FG53),_xlfn.MAXIFS(LandEmiss!$FB$9:$FB$108,LandEmiss!$EY$9:$EY$108,$FG53))*IFERROR($QR$5,0)</f>
        <v>0</v>
      </c>
      <c r="FQ53" s="155">
        <f>IF(Tank4!$D$22="NO CONTROL",_xlfn.MAXIFS(Tank4!$G$32:$G$141,Tank4!$E$32:$E$141,$FG53),0)*IFERROR($QR$6,0)</f>
        <v>0</v>
      </c>
      <c r="FR53" s="155">
        <f>_xlfn.MAXIFS(LandEmiss!$AI$20:$AI$119,LandEmiss!$AE$20:$AE$119,$FG53)*IFERROR($QR$6,0)</f>
        <v>0</v>
      </c>
      <c r="FS53" s="155">
        <f>MAX(_xlfn.MAXIFS(LandEmiss!$CR$20:$CR$119,LandEmiss!$CN$20:$CN$119,$FG53),_xlfn.MAXIFS(LandEmiss!$FC$9:$FC$108,LandEmiss!$EY$9:$EY$108,$FG53))*IFERROR($QR$6,0)</f>
        <v>0</v>
      </c>
      <c r="FT53" s="155">
        <f>IF(Tank5!$D$22="NO CONTROL",_xlfn.MAXIFS(Tank5!$G$32:$G$141,Tank5!$E$32:$E$141,$FG53),0)*IFERROR($QR$7,0)</f>
        <v>0</v>
      </c>
      <c r="FU53" s="155">
        <f>_xlfn.MAXIFS(LandEmiss!$AJ$20:$AJ$119,LandEmiss!$AE$20:$AE$119,$FG53)*IFERROR($QR$7,0)</f>
        <v>0</v>
      </c>
      <c r="FV53" s="155">
        <f>MAX(_xlfn.MAXIFS(LandEmiss!$CS$20:$CS$119,LandEmiss!$CN$20:$CN$119,$FG53),_xlfn.MAXIFS(LandEmiss!$FD$9:$FD$108,LandEmiss!$EY$9:$EY$108,$FG53))*IFERROR($QR58,0)</f>
        <v>0</v>
      </c>
      <c r="FW53" s="155">
        <f>_xlfn.MAXIFS('Load-DrumTote'!$K$27:$K$136,'Load-DrumTote'!$F$27:$F$136,$FG53)*IFERROR($QR$8,0)</f>
        <v>0</v>
      </c>
      <c r="FX53" s="155">
        <f>_xlfn.MAXIFS('Load-Truck'!$K$27:$K$136,'Load-Truck'!$F$27:$F$136,$FG53)*IFERROR($QR$9,0)</f>
        <v>0</v>
      </c>
      <c r="FY53" s="155">
        <f>_xlfn.MAXIFS('Load-Rail'!$K$27:$K$136,'Load-Rail'!$F$27:$F$136,$FG53)*IFERROR($QR$10,0)</f>
        <v>0</v>
      </c>
      <c r="FZ53" s="155">
        <f>_xlfn.MAXIFS('Load-MarineBarge'!$K$27:$K$136,'Load-MarineBarge'!$F$27:$F$136,$FG53)*IFERROR($QR$11,0)</f>
        <v>0</v>
      </c>
      <c r="GA53" s="155">
        <f>_xlfn.MAXIFS('Load-MarineShip'!$K$27:$K$136,'Load-MarineShip'!$F$27:$F$136,$FG53)*IFERROR($QR$12,0)</f>
        <v>0</v>
      </c>
      <c r="GB53" s="313">
        <f>IF(OR(Flare!$D$24="fuel gas",Flare!$D$38="fuel gas"),SUMIF(Flare!$E$97:$E$106,$FG53,Flare!$F$97:$F$106),0)*IFERROR($QR$13,0)</f>
        <v>0</v>
      </c>
      <c r="GC53" s="313">
        <f>(_xlfn.MAXIFS(CtrlDevImpacts!$I$57:$I$156,CtrlDevImpacts!$H$57:$H$156,$FG53))*IFERROR($QR$13,0)</f>
        <v>0</v>
      </c>
      <c r="GD53" s="313">
        <f>(_xlfn.MAXIFS(Flare!$F$107:$F$216,Flare!$E$107:$E$216,$FG53)-_xlfn.MAXIFS(CtrlDevImpacts!$I$57:$I$156,CtrlDevImpacts!$H$57:$H$156,$FG53))*IFERROR($QR$13,0)</f>
        <v>0</v>
      </c>
      <c r="GE53" s="155">
        <f>_xlfn.MAXIFS(LandEmiss!$B$335:$B$434,LandEmiss!$A$335:$A$434,$FG53)*IFERROR($QR$13,0)</f>
        <v>0</v>
      </c>
      <c r="GF53" s="155">
        <f>(_xlfn.MAXIFS(LandEmiss!$BK$335:$BK$434,LandEmiss!$BJ$335:$BJ$434,$FG53)+_xlfn.MAXIFS(LandEmiss!$DV$323:$DV$422,LandEmiss!$DU$323:$DU$422,$FG53))*IFERROR($QR$13,0)</f>
        <v>0</v>
      </c>
      <c r="GG53" s="313">
        <f>IF(OR(VCU!$D$26="fuel gas",VCU!$D$42="fuel gas"),SUMIF(VCU!$E$120:$E$129,$FG53,VCU!$F$120:$F$129),0)*IFERROR($QR$14,0)</f>
        <v>0</v>
      </c>
      <c r="GH53" s="313">
        <f>(_xlfn.MAXIFS(CtrlDevImpacts!$X$57:$X$156,CtrlDevImpacts!$W$57:$W$156,$FG53))*IFERROR($QR$14,0)</f>
        <v>0</v>
      </c>
      <c r="GI53" s="313">
        <f>(_xlfn.MAXIFS(VCU!$F$130:$F$239,VCU!$E$130:$E$239,$FG53)-_xlfn.MAXIFS(CtrlDevImpacts!$X$57:$X$156,CtrlDevImpacts!$W$57:$W$156,$FG53))*IFERROR($QR$14,0)</f>
        <v>0</v>
      </c>
      <c r="GJ53" s="155">
        <f>_xlfn.MAXIFS(LandEmiss!$D$335:$D$434,LandEmiss!$A$335:$A$434,$FG53)*IFERROR($QR$14,0)</f>
        <v>0</v>
      </c>
      <c r="GK53" s="155">
        <f>(_xlfn.MAXIFS(LandEmiss!$BM$335:$BM$434,LandEmiss!$BJ$335:$BJ$434,$FG53)+_xlfn.MAXIFS(LandEmiss!$DX$323:$DX$422,LandEmiss!$DU$323:$DU$422,$FG53))*IFERROR($QR$14,0)</f>
        <v>0</v>
      </c>
      <c r="GL53" s="313">
        <f>IF(VaporOxidizer!D84="FUEL GAS",SUMIF(VaporOxidizer!$E$101:$E$110,$FG53,VaporOxidizer!$F$101:$F$110),0)*IFERROR($QR$15,0)</f>
        <v>0</v>
      </c>
      <c r="GM53" s="313">
        <f>(_xlfn.MAXIFS(CtrlDevImpacts!$AN$57:$AN$156,CtrlDevImpacts!$AM$57:$AM$156,$FG53))*IFERROR($QR$15,0)</f>
        <v>0</v>
      </c>
      <c r="GN53" s="313">
        <f>(_xlfn.MAXIFS(VaporOxidizer!$F$111:$F$220,VaporOxidizer!$E$111:$E$220,$FG53)-_xlfn.MAXIFS(CtrlDevImpacts!$AN$57:$AN$156,CtrlDevImpacts!$AM$57:$AM$156,$FG53))*IFERROR($QR$15,0)</f>
        <v>0</v>
      </c>
      <c r="GO53" s="155">
        <f>_xlfn.MAXIFS(LandEmiss!$F$335:$F$434,LandEmiss!$A$335:$A$434,$FG53)*IFERROR($QR$15,0)</f>
        <v>0</v>
      </c>
      <c r="GP53" s="155">
        <f>(_xlfn.MAXIFS(LandEmiss!$BK$335:$BK$434,LandEmiss!$BO$335:$BO$434,$FG53)+_xlfn.MAXIFS(LandEmiss!$DZ$323:$DZ$422,LandEmiss!$DU$323:$DU$422,$FG53))*IFERROR($QR$15,0)</f>
        <v>0</v>
      </c>
      <c r="GQ53" s="313">
        <f>_xlfn.MAXIFS(CtrlDevImpacts!$BD$57:$BD$156,CtrlDevImpacts!$BC$57:$BC$156,$FG53)*IFERROR(Hidden!$QR$16,0)</f>
        <v>0</v>
      </c>
      <c r="GR53" s="313">
        <f>(_xlfn.MAXIFS(CAS!$H$35:$H$144,CAS!$E$35:$E$144,$FG53)-_xlfn.MAXIFS(CtrlDevImpacts!$BD$57:$BD$156,CtrlDevImpacts!$BC$57:$BC$156,$FG53))*IFERROR(Hidden!$QR$16,0)</f>
        <v>0</v>
      </c>
      <c r="GS53" s="155">
        <f>_xlfn.MAXIFS(LandEmiss!$H$335:$H$434,LandEmiss!$A$335:$A$434,$FG53)*IFERROR($QR$27,0)</f>
        <v>0</v>
      </c>
      <c r="GT53" s="155">
        <f>(_xlfn.MAXIFS(LandEmiss!$BK$335:$BK$434,LandEmiss!$BQ$335:$BQ$434,$FG53)+_xlfn.MAXIFS(LandEmiss!$EB$323:$EB$422,LandEmiss!$DU$323:$DU$422,$FG53))*IFERROR($QR$27,0)</f>
        <v>0</v>
      </c>
      <c r="GU53" s="155">
        <f>_xlfn.MAXIFS(LandEmiss!$J$335:$J$434,LandEmiss!$A$335:$A$434,$FG53)*IFERROR($QR$26,0)</f>
        <v>0</v>
      </c>
      <c r="GV53" s="155">
        <f>(_xlfn.MAXIFS(LandEmiss!$BK$335:$BK$434,LandEmiss!$BS$335:$BS$434,$FG53)+_xlfn.MAXIFS(LandEmiss!$ED$323:$ED$422,LandEmiss!$DU$323:$DU$422,$FG53))*IFERROR($QR$26,0)</f>
        <v>0</v>
      </c>
      <c r="GW53" s="155">
        <f>_xlfn.MAXIFS(LandEmiss!$L$335:$L$434,LandEmiss!$A$335:$A$434,$FG53)*IFERROR($QR$25,0)</f>
        <v>0</v>
      </c>
      <c r="GX53" s="155">
        <f>(_xlfn.MAXIFS(LandEmiss!$BK$335:$BK$434,LandEmiss!$BU$335:$BU$434,$FG53)+_xlfn.MAXIFS(LandEmiss!$EF$323:$EF$422,LandEmiss!$DU$323:$DU$422,$FG53))*IFERROR($QR$25,0)</f>
        <v>0</v>
      </c>
      <c r="GY53" s="155">
        <v>0</v>
      </c>
      <c r="GZ53" s="155">
        <v>0</v>
      </c>
      <c r="HA53" s="155">
        <f>IF(OR(HeaterBoiler1!$E$26&lt;&gt;"fuel gas",HeaterBoiler1!$E$15&lt;&gt;"heater"),0,SUMIF(HeaterBoiler1!$A$54:$D$63,$FG53,HeaterBoiler1!$I$54:$I$63))*IFERROR($QR$19,0)</f>
        <v>0</v>
      </c>
      <c r="HB53" s="207">
        <f>IF(OR(HeaterBoiler2!$E$26&lt;&gt;"fuel gas",HeaterBoiler2!$E$15&lt;&gt;"heater"),0,SUMIF(HeaterBoiler2!$A$54:$D$63,$FG53,HeaterBoiler2!$I$54:$I$63))*IFERROR($QR$21,0)</f>
        <v>0</v>
      </c>
      <c r="HC53" s="155">
        <f>IF(OR(HeaterBoiler1!$E$26&lt;&gt;"fuel gas",HeaterBoiler1!$E$15&lt;&gt;"boiler"),0,SUMIF(HeaterBoiler1!$A$41:$A$50,$FG53,HeaterBoiler1!$F$41:$F$50))*IFERROR($QR$20,0)</f>
        <v>0</v>
      </c>
      <c r="HD53" s="207">
        <f>IF(OR(HeaterBoiler2!$E$26&lt;&gt;"fuel gas",HeaterBoiler2!$E$15&lt;&gt;"boiler"),0,SUMIF(HeaterBoiler2!$A$41:$A$50,$FG53,HeaterBoiler2!$F$41:$F$50))*IFERROR($QR$22,0)</f>
        <v>0</v>
      </c>
      <c r="HE53" s="155">
        <f>SUMIF(Fug!$A$96:$A$205,$FG53,Fug!$I$96:$I$205)*IFERROR(Hidden!$QR$23,0)</f>
        <v>0</v>
      </c>
      <c r="HF53" s="155">
        <f t="shared" si="24"/>
        <v>0</v>
      </c>
      <c r="HG53" s="156">
        <f t="shared" si="25"/>
        <v>0</v>
      </c>
      <c r="HH53" s="156">
        <f t="shared" si="26"/>
        <v>0</v>
      </c>
      <c r="HI53" s="156">
        <f t="shared" si="27"/>
        <v>0</v>
      </c>
      <c r="HJ53" s="156">
        <f t="shared" si="28"/>
        <v>0</v>
      </c>
      <c r="HK53" s="156">
        <f t="shared" si="29"/>
        <v>0</v>
      </c>
      <c r="HL53" s="156">
        <f t="shared" si="30"/>
        <v>0</v>
      </c>
      <c r="NO53" s="155">
        <f>IF(Tank1!$D$22="No control",(SUMIF(Tank1!$E$32:$E$141,$FG53,Tank1!$H$32:$H$141)*(2000/8760)*IFERROR($QV$3,0)),0)</f>
        <v>0</v>
      </c>
      <c r="NP53" s="156">
        <f>SUMIF(LandEmiss!$AE$20:$AE$119,$FG53,LandEmiss!$AK$20:$AK$119)*(2000/8760)*IFERROR($QV$3,0)</f>
        <v>0</v>
      </c>
      <c r="NQ53" s="156">
        <f>(SUMIF(LandEmiss!$CN$20:$CN$119,$FG53,LandEmiss!$CT$20:$CT$119)+SUMIF(LandEmiss!$EY$9:$EY$108,$FG53,LandEmiss!$FE$9:$FE$108))*IFERROR($QV$3,0)*(2000/8760)</f>
        <v>0</v>
      </c>
      <c r="NR53" s="155">
        <f>IF(Tank2!$D$22="No control",(SUMIF(Tank2!$E$32:$E$141,$FG53,Tank2!$H$32:$H$141)*(2000/8760)*IFERROR($QV$4,0)),0)</f>
        <v>0</v>
      </c>
      <c r="NS53" s="156">
        <f>SUMIF(LandEmiss!$AE$20:$AE$119,$FG53,LandEmiss!$AL$20:$AL$119)*(2000/8760)*IFERROR($QV$4,0)</f>
        <v>0</v>
      </c>
      <c r="NT53" s="156">
        <f>(SUMIF(LandEmiss!$CN$20:$CN$119,$FG53,LandEmiss!$CU$20:$CU$119)+SUMIF(LandEmiss!$EY$9:$EY$108,$FG53,LandEmiss!$FF$9:$FF$108))*IFERROR($QV$4,0)*(2000/8760)</f>
        <v>0</v>
      </c>
      <c r="NU53" s="155">
        <f>IF(Tank3!$D$22="No control",(SUMIF(Tank3!$E$32:$E$141,$FG53,Tank3!$H$32:$H$141)*(2000/8760)*IFERROR($QV$5,0)),0)</f>
        <v>0</v>
      </c>
      <c r="NV53" s="156">
        <f>SUMIF(LandEmiss!$AE$20:$AE$119,$FG53,LandEmiss!$AM$20:$AM$119)*(2000/8760)*IFERROR($QV$5,0)</f>
        <v>0</v>
      </c>
      <c r="NW53" s="156">
        <f>(SUMIF(LandEmiss!$CN$20:$CN$119,$FG53,LandEmiss!$CV$20:$CV$119)+SUMIF(LandEmiss!$EY$9:$EY$108,$FG53,LandEmiss!$FG$9:$FG$108))*IFERROR($QV$5,0)*(2000/8760)</f>
        <v>0</v>
      </c>
      <c r="NX53" s="155">
        <f>IF(Tank4!$D$22="No control",(SUMIF(Tank4!$E$32:$E$141,$FG53,Tank4!$H$32:$H$141)*(2000/8760)*IFERROR($QV$6,0)),0)</f>
        <v>0</v>
      </c>
      <c r="NY53" s="156">
        <f>SUMIF(LandEmiss!$AE$20:$AE$119,$FG53,LandEmiss!$AN$20:$AN$119)*(2000/8760)*IFERROR($QV$6,0)</f>
        <v>0</v>
      </c>
      <c r="NZ53" s="156">
        <f>(SUMIF(LandEmiss!$CN$20:$CN$119,$FG53,LandEmiss!$CW$20:$CW$119)+SUMIF(LandEmiss!$EY$9:$EY$108,$FG53,LandEmiss!$FH$9:$FH$108))*IFERROR($QV$6,0)*(2000/8760)</f>
        <v>0</v>
      </c>
      <c r="OA53" s="155">
        <f>IF(Tank5!$D$22="No control",(SUMIF(Tank5!$E$32:$E$141,$FG53,Tank5!$H$32:$H$141)*(2000/8760)*IFERROR($QV$7,0)),0)</f>
        <v>0</v>
      </c>
      <c r="OB53" s="156">
        <f>SUMIF(LandEmiss!$AE$20:$AE$119,$FG53,LandEmiss!$AO$20:$AO$119)*(2000/8760)*IFERROR($QV$7,0)</f>
        <v>0</v>
      </c>
      <c r="OC53" s="156">
        <f>(SUMIF(LandEmiss!$CN$20:$CN$119,$FG53,LandEmiss!$CX$20:$CX$119)+SUMIF(LandEmiss!$EY$9:$EY$108,$FG53,LandEmiss!$FI$9:$FI$108))*IFERROR($QV$7,0)*(2000/8760)</f>
        <v>0</v>
      </c>
      <c r="OD53" s="155">
        <f>SUMIFS('Load-DrumTote'!$L$27:$L$136,'Load-DrumTote'!$F$27:$F$136,$FG53)*IFERROR($QV$8,0)*(2000/8760)</f>
        <v>0</v>
      </c>
      <c r="OE53" s="155">
        <f>SUMIFS('Load-Truck'!$L$27:$L$136,'Load-Truck'!$F$27:$F$136,$FG53)*IFERROR($QV$9,0)*(2000/8760)</f>
        <v>0</v>
      </c>
      <c r="OF53" s="155">
        <f>SUMIFS('Load-Rail'!$L$27:$L$136,'Load-Rail'!$F$27:$F$136,$FG53)*IFERROR($QV$10,0)*(2000/8760)</f>
        <v>0</v>
      </c>
      <c r="OG53" s="155">
        <f>SUMIFS('Load-MarineBarge'!$L$27:$L$136,'Load-MarineBarge'!$F$27:$F$136,$FG53)*IFERROR($QV$11,0)*(2000/8760)</f>
        <v>0</v>
      </c>
      <c r="OH53" s="155">
        <f>SUMIFS('Load-MarineShip'!$L$27:$L$136,'Load-MarineShip'!$F$27:$F$136,$FG53)*IFERROR($QV$12,0)*(2000/8760)</f>
        <v>0</v>
      </c>
      <c r="OI53" s="155">
        <f>(IF(OR(Flare!$D$24="FUEL GAS",Flare!$D$38="FUEL GAS"),SUMIF(Flare!$E$97:$E$106,$FG53,Flare!$G$97:$G$105),0)+SUMIF(Flare!$E$107:$E$216,$FG53,Flare!$G$107:$G$216))*(2000/8730)*IFERROR($QV$13,0)</f>
        <v>0</v>
      </c>
      <c r="OJ53" s="155">
        <f>SUMIF(LandEmiss!$A$335:$A$434,$FG53,LandEmiss!$C$335:$C$434)*(2000/8760)*IFERROR($QV$13,0)</f>
        <v>0</v>
      </c>
      <c r="OK53" s="155">
        <f>(SUMIF(LandEmiss!$BJ$335:$BJ$434,$FG53,LandEmiss!$BL$335:$BL$434)+SUMIF(LandEmiss!$DU$323:$DU$422,$FG53,LandEmiss!$DW$323:$DW$422))*(2000/8760)*IFERROR($QV$13,0)</f>
        <v>0</v>
      </c>
      <c r="OL53" s="155">
        <f>(IF(OR(VCU!$D$26="FUEL GAS",VCU!$D$42="FUEL GAS"),SUMIF(VCU!$E$120:$E$129,$FG53,VCU!$G$120:$G$129),0)+SUMIF(VCU!$E$130:$E$239,$FG53,VCU!G181:G290))*(2000/8760)*IFERROR($QV$14,0)</f>
        <v>0</v>
      </c>
      <c r="OM53" s="155">
        <f>SUMIF(LandEmiss!$A$335:$A$434,$FG53,LandEmiss!$E$335:$E$434)*(2000/8760)*IFERROR($QV$14,0)</f>
        <v>0</v>
      </c>
      <c r="ON53" s="155">
        <f>(SUMIF(LandEmiss!$BJ$335:$BJ$434,$FG53,LandEmiss!$BN$335:$BN$434)+SUMIF(LandEmiss!$DU$323:$DU$422,$FG53,LandEmiss!$DY$323:$DY$422))*(2000/8760)*IFERROR($QV$14,0)</f>
        <v>0</v>
      </c>
      <c r="OO53" s="155">
        <f>(IF(VaporOxidizer!$D$33="FUEL GAS",SUMIF(VaporOxidizer!$E$101:$E$110,$FG53,VaporOxidizer!$G$101:$G$110),0)+SUMIF(VaporOxidizer!$E$111:$E$220,$FG53,VaporOxidizer!$G$111:$G$220))*(2000/8760)*IFERROR($QV$15,0)</f>
        <v>0</v>
      </c>
      <c r="OP53" s="155">
        <f>SUMIF(LandEmiss!$A$335:$A$434,$FG53,LandEmiss!$G$335:$G$434)*(2000/8760)*IFERROR($QV$15,0)</f>
        <v>0</v>
      </c>
      <c r="OQ53" s="155">
        <f>(SUMIF(LandEmiss!$BJ$335:$BJ$434,$FG53,LandEmiss!$BP$335:$BP$434)+SUMIF(LandEmiss!$DU$323:$DU$422,$FG53,LandEmiss!$EA$323:$EA$422))*(2000/8760)*IFERROR($QV$15,0)</f>
        <v>0</v>
      </c>
      <c r="OR53" s="155">
        <f>SUMIF(CAS!$E$35:$E$144,Hidden!$FG53,CAS!$I$35:$I$144)*IFERROR($QV$16,0)*(2000/8760)</f>
        <v>0</v>
      </c>
      <c r="OS53" s="155">
        <f>SUMIF(LandEmiss!$A$335:$A$434,$FG53,LandEmiss!$I$335:$I$434)*(2000/8760)*IFERROR($QV$27,0)</f>
        <v>0</v>
      </c>
      <c r="OT53" s="155">
        <f>(SUMIF(LandEmiss!$BJ$335:$BJ$434,$FG53,LandEmiss!$BR$335:$BR$434)+SUMIF(LandEmiss!$DU$323:$DU$422,$FG53,LandEmiss!$EC$323:$EC$422))*(2000/8760)*IFERROR($QV$27,0)</f>
        <v>0</v>
      </c>
      <c r="OU53" s="155">
        <f>SUMIF(LandEmiss!$A$335:$A$434,$FG53,LandEmiss!$K$335:$K$434)*(2000/8760)*IFERROR($QV$26,0)</f>
        <v>0</v>
      </c>
      <c r="OV53" s="155">
        <f>(SUMIF(LandEmiss!$BJ$335:$BJ$434,$FG53,LandEmiss!$BT$335:$BT$434)+SUMIF(LandEmiss!$DU$323:$DU$422,$FG53,LandEmiss!$EE$323:$EE$422))*(2000/8760)*IFERROR($QV$26,0)</f>
        <v>0</v>
      </c>
      <c r="OW53" s="155">
        <f>SUMIF(LandEmiss!$A$335:$A$434,$FG53,LandEmiss!$M$335:$M$434)*(2000/8760)*IFERROR($QV$25,0)</f>
        <v>0</v>
      </c>
      <c r="OX53" s="155">
        <f>(SUMIF(LandEmiss!$BJ$335:$BJ$434,$FG53,LandEmiss!$BV$335:$BV$434)+SUMIF(LandEmiss!$DU$323:$DU$422,$FG53,LandEmiss!$EG$323:$EG$422))*(2000/8760)*IFERROR($QV$25,0)</f>
        <v>0</v>
      </c>
      <c r="OY53" s="8">
        <v>0</v>
      </c>
      <c r="OZ53" s="207">
        <v>0</v>
      </c>
      <c r="PA53" s="207">
        <f>IF(OR(HeaterBoiler1!$E$26&lt;&gt;"fuel gas",HeaterBoiler1!$E$15&lt;&gt;"heater"),0,(SUMIF(HeaterBoiler1!$A$54:$D$63,$FG53,HeaterBoiler1!$J$54:$J$63))*(2000/8760))*IFERROR($QV$19,0)</f>
        <v>0</v>
      </c>
      <c r="PB53" s="207">
        <f>IF(OR(HeaterBoiler2!$E$26&lt;&gt;"fuel gas",HeaterBoiler2!$E$15&lt;&gt;"heater"),0,(SUMIF(HeaterBoiler2!$A$54:$D$63,$FG53,HeaterBoiler2!$J$54:$J$63))*(2000/8760))*IFERROR($QV$21,0)</f>
        <v>0</v>
      </c>
      <c r="PC53" s="207">
        <f>IF(OR(HeaterBoiler1!$E$26&lt;&gt;"fuel gas",HeaterBoiler1!$E$15&lt;&gt;"boiler"),0,(SUMIF(HeaterBoiler1!$A$54:$D$63,$FG53,HeaterBoiler1!$J$54:$J$63))*(2000/8760))*IFERROR($QV$20,0)</f>
        <v>0</v>
      </c>
      <c r="PD53" s="207">
        <f>IF(OR(HeaterBoiler2!$E$26&lt;&gt;"fuel gas",HeaterBoiler2!$E$15&lt;&gt;"boiler"),0,(SUMIF(HeaterBoiler2!$A$54:$D$63,$FG53,HeaterBoiler2!$J$54:$J$63))*(2000/8760))*IFERROR($QV$22,0)</f>
        <v>0</v>
      </c>
      <c r="PE53" s="8">
        <f>(SUMIF(Fug!$A$96:$A$205,$FG53,Fug!$J$96:$J$205))*IFERROR($QV$23,0)*(2000/8760)</f>
        <v>0</v>
      </c>
      <c r="PF53" s="8">
        <f t="shared" si="31"/>
        <v>0</v>
      </c>
      <c r="PG53" s="156">
        <f t="shared" si="32"/>
        <v>0</v>
      </c>
      <c r="PJ53" s="52" t="str">
        <f>IF(Fug!$F$16=Hidden!$PP$2,"Connectors [8]","")</f>
        <v/>
      </c>
      <c r="PK53" s="52" t="str">
        <f>IF(Fug!$F$16=Hidden!$PP$2,"Light Oil &gt;20°","")</f>
        <v/>
      </c>
      <c r="PL53" s="52"/>
      <c r="PM53" s="52"/>
      <c r="PN53" s="52"/>
      <c r="PO53" s="52"/>
      <c r="PP53" s="52">
        <v>4.6299999999999998E-4</v>
      </c>
      <c r="PQ53" s="52"/>
      <c r="PR53" s="52"/>
      <c r="PS53" s="52"/>
      <c r="PT53" s="52" t="s">
        <v>8796</v>
      </c>
      <c r="PU53" s="52" t="s">
        <v>8781</v>
      </c>
      <c r="PV53" s="52">
        <v>0</v>
      </c>
      <c r="PW53" s="52">
        <v>0.3</v>
      </c>
      <c r="PX53" s="52">
        <v>0.3</v>
      </c>
      <c r="PY53" s="52">
        <v>0.97</v>
      </c>
      <c r="PZ53" s="52">
        <v>0</v>
      </c>
      <c r="QA53" s="52">
        <v>0.97</v>
      </c>
      <c r="QB53" s="52"/>
      <c r="QC53" s="52"/>
      <c r="QD53" s="52"/>
      <c r="QE53" s="52"/>
      <c r="QF53" s="52"/>
      <c r="QG53" s="52"/>
      <c r="QH53" s="52"/>
      <c r="QI53" s="52"/>
      <c r="QX53" s="89" t="s">
        <v>9330</v>
      </c>
      <c r="QY53">
        <v>55.08</v>
      </c>
      <c r="QZ53">
        <v>55.08</v>
      </c>
      <c r="RA53">
        <v>55.08</v>
      </c>
      <c r="RB53">
        <v>35.26</v>
      </c>
      <c r="RC53">
        <v>23.39</v>
      </c>
      <c r="RD53">
        <v>17.09</v>
      </c>
      <c r="RE53">
        <v>13.27</v>
      </c>
      <c r="RF53">
        <v>8.2200000000000006</v>
      </c>
      <c r="RG53" s="90">
        <v>5.85</v>
      </c>
      <c r="RH53" s="89" t="s">
        <v>9330</v>
      </c>
      <c r="RI53">
        <v>47.42</v>
      </c>
      <c r="RJ53">
        <v>47.42</v>
      </c>
      <c r="RK53">
        <v>47.42</v>
      </c>
      <c r="RL53">
        <v>34.65</v>
      </c>
      <c r="RM53">
        <v>22.78</v>
      </c>
      <c r="RN53">
        <v>16.79</v>
      </c>
      <c r="RO53">
        <v>13.01</v>
      </c>
      <c r="RP53">
        <v>8.0500000000000007</v>
      </c>
      <c r="RQ53" s="90">
        <v>5.71</v>
      </c>
      <c r="RR53" s="89" t="s">
        <v>9330</v>
      </c>
      <c r="RS53">
        <v>33.729999999999997</v>
      </c>
      <c r="RT53">
        <v>33.729999999999997</v>
      </c>
      <c r="RU53">
        <v>33.729999999999997</v>
      </c>
      <c r="RV53">
        <v>31.82</v>
      </c>
      <c r="RW53">
        <v>21.2</v>
      </c>
      <c r="RX53">
        <v>15.65</v>
      </c>
      <c r="RY53">
        <v>12.37</v>
      </c>
      <c r="RZ53">
        <v>7.59</v>
      </c>
      <c r="SA53" s="90">
        <v>5.42</v>
      </c>
      <c r="SB53" s="89" t="s">
        <v>9330</v>
      </c>
      <c r="SC53">
        <v>19.670000000000002</v>
      </c>
      <c r="SD53">
        <v>19.670000000000002</v>
      </c>
      <c r="SE53">
        <v>19.670000000000002</v>
      </c>
      <c r="SF53">
        <v>19.09</v>
      </c>
      <c r="SG53">
        <v>15.63</v>
      </c>
      <c r="SH53">
        <v>11.48</v>
      </c>
      <c r="SI53">
        <v>9.09</v>
      </c>
      <c r="SJ53">
        <v>5.87</v>
      </c>
      <c r="SK53" s="90">
        <v>3.97</v>
      </c>
      <c r="SL53" s="89" t="s">
        <v>9330</v>
      </c>
      <c r="SM53">
        <v>1.49</v>
      </c>
      <c r="SN53">
        <v>1.49</v>
      </c>
      <c r="SO53">
        <v>1.49</v>
      </c>
      <c r="SP53">
        <v>1.49</v>
      </c>
      <c r="SQ53">
        <v>1.48</v>
      </c>
      <c r="SR53">
        <v>1.33</v>
      </c>
      <c r="SS53">
        <v>1.19</v>
      </c>
      <c r="ST53">
        <v>0.83</v>
      </c>
      <c r="SU53" s="90">
        <v>0.6</v>
      </c>
    </row>
    <row r="54" spans="1:515" ht="74.25" customHeight="1" x14ac:dyDescent="0.2">
      <c r="W54">
        <f>IF(OR(X54=0,ISNUMBER(MATCH(X54,$X$1:X53,0))),0,MAX($W$1:W53)+1)</f>
        <v>0</v>
      </c>
      <c r="X54" s="123">
        <f>Products!$E101</f>
        <v>0</v>
      </c>
      <c r="Y54" t="str">
        <f t="shared" si="39"/>
        <v/>
      </c>
      <c r="CA54">
        <f>IF(OR(CB54=0,ISNUMBER(MATCH(CB54,$CB$1:CB53,0))),0,MAX($CA$1:CA53)+1)</f>
        <v>0</v>
      </c>
      <c r="CB54" s="8">
        <f>IF(OR(Tank1!$D$18="EXTERNAL FLOATING ROOF",Tank1!$D$18="INTERNAL FLOATING ROOF"),IF(Tank1!$E84="",0,Tank1!$E84),0)</f>
        <v>0</v>
      </c>
      <c r="CC54" s="8" t="str">
        <f t="shared" si="40"/>
        <v/>
      </c>
      <c r="CD54" s="8"/>
      <c r="CE54" s="8">
        <f>IF(OR(CF54=0,ISNUMBER(MATCH(CF54,$CF$1:CF53,0))),0,MAX($CE$1:CE53)+1)</f>
        <v>0</v>
      </c>
      <c r="CF54" s="8">
        <f>IF(OR(Tank1!$D$18="HORIZONTAL FIXED ROOF",Tank1!$D$18="VERTICAL FIXED ROOF"),IF(Tank1!$E84="",0,Tank1!$E84),0)</f>
        <v>0</v>
      </c>
      <c r="CG54" s="8" t="str">
        <f t="shared" si="41"/>
        <v/>
      </c>
      <c r="DM54">
        <f>IF(OR(DN54=0,ISNUMBER(MATCH(DN54,$DN$1:DN53,0))),0,MAX($DM$1:DM53)+1)</f>
        <v>0</v>
      </c>
      <c r="DN54">
        <f>IF('Load-DrumTote'!$F$19="Flare",IFERROR(VLOOKUP(Products!$A$79,'Load-DrumTote'!$A$27:$B$136,1,FALSE),0),0)</f>
        <v>0</v>
      </c>
      <c r="DO54">
        <f>IF($DN54=0,0,VLOOKUP($DN54,'Load-DrumTote'!$A$27:$N$136,13,FALSE))</f>
        <v>0</v>
      </c>
      <c r="DP54">
        <f>IF($DN54=0,0,VLOOKUP($DN54,'Load-DrumTote'!$A$27:$N$136,14,FALSE))</f>
        <v>0</v>
      </c>
      <c r="DU54">
        <f>IF(OR(DV54=0,ISNUMBER(MATCH(DV54,$DV$1:DV53,0))),0,MAX($DU$1:DU53)+1)</f>
        <v>0</v>
      </c>
      <c r="DV54">
        <f>IF('Load-DrumTote'!$F$19="VCU",IFERROR(VLOOKUP(Products!$A$79,'Load-DrumTote'!$A$27:$B$136,1,FALSE),0),0)</f>
        <v>0</v>
      </c>
      <c r="DW54">
        <f>IF($DV54=0,0,VLOOKUP($DV54,'Load-DrumTote'!$A$27:$N$136,13,FALSE))</f>
        <v>0</v>
      </c>
      <c r="DX54">
        <f>IF($DV54=0,0,VLOOKUP($DV54,'Load-DrumTote'!$A$27:$N$136,14,FALSE))</f>
        <v>0</v>
      </c>
      <c r="EC54">
        <f>IF(OR(ED54=0,ISNUMBER(MATCH(ED54,$ED$1:ED53,0))),0,MAX($EC$1:EC53)+1)</f>
        <v>0</v>
      </c>
      <c r="ED54">
        <f>IF('Load-DrumTote'!$F$19="vapor oxidizer",IFERROR(VLOOKUP(Products!$A$79,'Load-DrumTote'!$A$27:$B$136,1,FALSE),0),0)</f>
        <v>0</v>
      </c>
      <c r="EE54">
        <f>IF($ED54=0,0,VLOOKUP($ED54,'Load-DrumTote'!$A$27:$N$136,13,FALSE))</f>
        <v>0</v>
      </c>
      <c r="EF54">
        <f>IF($ED54=0,0,VLOOKUP($ED54,'Load-DrumTote'!$A$27:$N$136,14,FALSE))</f>
        <v>0</v>
      </c>
      <c r="EK54">
        <f>IF(OR(EL54=0,ISNUMBER(MATCH(EL54,$EL$1:EL53,0))),0,MAX($EK$1:EK53)+1)</f>
        <v>0</v>
      </c>
      <c r="EL54">
        <f>IF('Load-DrumTote'!$F$19="CAS",IFERROR(VLOOKUP(Products!A79,'Load-DrumTote'!$A$27:$B$136,1,FALSE),0),0)</f>
        <v>0</v>
      </c>
      <c r="EM54">
        <f>IF($EL54=0,0,VLOOKUP($EL54,'Load-DrumTote'!$A$27:$N$136,13,FALSE))</f>
        <v>0</v>
      </c>
      <c r="EN54">
        <f>IF($EL54=0,0,VLOOKUP($EL54,'Load-DrumTote'!$A$27:$N$136,14,FALSE))</f>
        <v>0</v>
      </c>
      <c r="FB54" s="8" t="s">
        <v>461</v>
      </c>
      <c r="FC54" s="8" t="s">
        <v>462</v>
      </c>
      <c r="FD54" s="8">
        <v>5700</v>
      </c>
      <c r="FE54" s="8">
        <v>570</v>
      </c>
      <c r="FG54" s="360" t="str">
        <f t="shared" si="23"/>
        <v/>
      </c>
      <c r="FH54" s="155">
        <f>IF(Tank1!$D$22="NO CONTROL",_xlfn.MAXIFS(Tank1!$G$32:$G$141,Tank1!$E$32:$E$141,$FG54),0)*IFERROR($QR$3,0)</f>
        <v>0</v>
      </c>
      <c r="FI54" s="155">
        <f>_xlfn.MAXIFS(LandEmiss!$AF$20:$AF$119,LandEmiss!$AE$20:$AE$119,$FG54)*IFERROR($QR$3,0)</f>
        <v>0</v>
      </c>
      <c r="FJ54" s="155">
        <f>MAX(_xlfn.MAXIFS(LandEmiss!$CO$20:$CO$119,LandEmiss!$CN$20:$CN$119,$FG54),_xlfn.MAXIFS(LandEmiss!$EZ$9:$EZ$108,LandEmiss!$EY$9:$EY$108,$FG54))*IFERROR($QR$3,0)</f>
        <v>0</v>
      </c>
      <c r="FK54" s="155">
        <f>IF(Tank2!$D$22="NO CONTROL",_xlfn.MAXIFS(Tank2!$G$32:$G$141,Tank2!$E$32:$E$141,$FG54),0)*IFERROR($QR$4,0)</f>
        <v>0</v>
      </c>
      <c r="FL54" s="155">
        <f>_xlfn.MAXIFS(LandEmiss!$AG$20:$AG$119,LandEmiss!$AE$20:$AE$119,$FG54)*IFERROR($QR$4,0)</f>
        <v>0</v>
      </c>
      <c r="FM54" s="155">
        <f>MAX(_xlfn.MAXIFS(LandEmiss!$CP$20:$CP$119,LandEmiss!$CN$20:$CN$119,$FG54),_xlfn.MAXIFS(LandEmiss!$FA$9:$FA$108,LandEmiss!$EY$9:$EY$108,$FG54))*IFERROR($QR$4,0)</f>
        <v>0</v>
      </c>
      <c r="FN54" s="155">
        <f>IF(Tank3!$D$22="NO CONTROL",_xlfn.MAXIFS(Tank3!$G$32:$G$141,Tank3!$E$32:$E$141,$FG54),0)*IFERROR($QR$5,0)</f>
        <v>0</v>
      </c>
      <c r="FO54" s="155">
        <f>_xlfn.MAXIFS(LandEmiss!$AH$20:$AH$119,LandEmiss!$AE$20:$AE$119,$FG54)*IFERROR($QR$5,0)</f>
        <v>0</v>
      </c>
      <c r="FP54" s="155">
        <f>MAX(_xlfn.MAXIFS(LandEmiss!$CQ$20:$CQ$119,LandEmiss!$CN$20:$CN$119,$FG54),_xlfn.MAXIFS(LandEmiss!$FB$9:$FB$108,LandEmiss!$EY$9:$EY$108,$FG54))*IFERROR($QR$5,0)</f>
        <v>0</v>
      </c>
      <c r="FQ54" s="155">
        <f>IF(Tank4!$D$22="NO CONTROL",_xlfn.MAXIFS(Tank4!$G$32:$G$141,Tank4!$E$32:$E$141,$FG54),0)*IFERROR($QR$6,0)</f>
        <v>0</v>
      </c>
      <c r="FR54" s="155">
        <f>_xlfn.MAXIFS(LandEmiss!$AI$20:$AI$119,LandEmiss!$AE$20:$AE$119,$FG54)*IFERROR($QR$6,0)</f>
        <v>0</v>
      </c>
      <c r="FS54" s="155">
        <f>MAX(_xlfn.MAXIFS(LandEmiss!$CR$20:$CR$119,LandEmiss!$CN$20:$CN$119,$FG54),_xlfn.MAXIFS(LandEmiss!$FC$9:$FC$108,LandEmiss!$EY$9:$EY$108,$FG54))*IFERROR($QR$6,0)</f>
        <v>0</v>
      </c>
      <c r="FT54" s="155">
        <f>IF(Tank5!$D$22="NO CONTROL",_xlfn.MAXIFS(Tank5!$G$32:$G$141,Tank5!$E$32:$E$141,$FG54),0)*IFERROR($QR$7,0)</f>
        <v>0</v>
      </c>
      <c r="FU54" s="155">
        <f>_xlfn.MAXIFS(LandEmiss!$AJ$20:$AJ$119,LandEmiss!$AE$20:$AE$119,$FG54)*IFERROR($QR$7,0)</f>
        <v>0</v>
      </c>
      <c r="FV54" s="155">
        <f>MAX(_xlfn.MAXIFS(LandEmiss!$CS$20:$CS$119,LandEmiss!$CN$20:$CN$119,$FG54),_xlfn.MAXIFS(LandEmiss!$FD$9:$FD$108,LandEmiss!$EY$9:$EY$108,$FG54))*IFERROR($QR59,0)</f>
        <v>0</v>
      </c>
      <c r="FW54" s="155">
        <f>_xlfn.MAXIFS('Load-DrumTote'!$K$27:$K$136,'Load-DrumTote'!$F$27:$F$136,$FG54)*IFERROR($QR$8,0)</f>
        <v>0</v>
      </c>
      <c r="FX54" s="155">
        <f>_xlfn.MAXIFS('Load-Truck'!$K$27:$K$136,'Load-Truck'!$F$27:$F$136,$FG54)*IFERROR($QR$9,0)</f>
        <v>0</v>
      </c>
      <c r="FY54" s="155">
        <f>_xlfn.MAXIFS('Load-Rail'!$K$27:$K$136,'Load-Rail'!$F$27:$F$136,$FG54)*IFERROR($QR$10,0)</f>
        <v>0</v>
      </c>
      <c r="FZ54" s="155">
        <f>_xlfn.MAXIFS('Load-MarineBarge'!$K$27:$K$136,'Load-MarineBarge'!$F$27:$F$136,$FG54)*IFERROR($QR$11,0)</f>
        <v>0</v>
      </c>
      <c r="GA54" s="155">
        <f>_xlfn.MAXIFS('Load-MarineShip'!$K$27:$K$136,'Load-MarineShip'!$F$27:$F$136,$FG54)*IFERROR($QR$12,0)</f>
        <v>0</v>
      </c>
      <c r="GB54" s="313">
        <f>IF(OR(Flare!$D$24="fuel gas",Flare!$D$38="fuel gas"),SUMIF(Flare!$E$97:$E$106,$FG54,Flare!$F$97:$F$106),0)*IFERROR($QR$13,0)</f>
        <v>0</v>
      </c>
      <c r="GC54" s="313">
        <f>(_xlfn.MAXIFS(CtrlDevImpacts!$I$57:$I$156,CtrlDevImpacts!$H$57:$H$156,$FG54))*IFERROR($QR$13,0)</f>
        <v>0</v>
      </c>
      <c r="GD54" s="313">
        <f>(_xlfn.MAXIFS(Flare!$F$107:$F$216,Flare!$E$107:$E$216,$FG54)-_xlfn.MAXIFS(CtrlDevImpacts!$I$57:$I$156,CtrlDevImpacts!$H$57:$H$156,$FG54))*IFERROR($QR$13,0)</f>
        <v>0</v>
      </c>
      <c r="GE54" s="155">
        <f>_xlfn.MAXIFS(LandEmiss!$B$335:$B$434,LandEmiss!$A$335:$A$434,$FG54)*IFERROR($QR$13,0)</f>
        <v>0</v>
      </c>
      <c r="GF54" s="155">
        <f>(_xlfn.MAXIFS(LandEmiss!$BK$335:$BK$434,LandEmiss!$BJ$335:$BJ$434,$FG54)+_xlfn.MAXIFS(LandEmiss!$DV$323:$DV$422,LandEmiss!$DU$323:$DU$422,$FG54))*IFERROR($QR$13,0)</f>
        <v>0</v>
      </c>
      <c r="GG54" s="313">
        <f>IF(OR(VCU!$D$26="fuel gas",VCU!$D$42="fuel gas"),SUMIF(VCU!$E$120:$E$129,$FG54,VCU!$F$120:$F$129),0)*IFERROR($QR$14,0)</f>
        <v>0</v>
      </c>
      <c r="GH54" s="313">
        <f>(_xlfn.MAXIFS(CtrlDevImpacts!$X$57:$X$156,CtrlDevImpacts!$W$57:$W$156,$FG54))*IFERROR($QR$14,0)</f>
        <v>0</v>
      </c>
      <c r="GI54" s="313">
        <f>(_xlfn.MAXIFS(VCU!$F$130:$F$239,VCU!$E$130:$E$239,$FG54)-_xlfn.MAXIFS(CtrlDevImpacts!$X$57:$X$156,CtrlDevImpacts!$W$57:$W$156,$FG54))*IFERROR($QR$14,0)</f>
        <v>0</v>
      </c>
      <c r="GJ54" s="155">
        <f>_xlfn.MAXIFS(LandEmiss!$D$335:$D$434,LandEmiss!$A$335:$A$434,$FG54)*IFERROR($QR$14,0)</f>
        <v>0</v>
      </c>
      <c r="GK54" s="155">
        <f>(_xlfn.MAXIFS(LandEmiss!$BM$335:$BM$434,LandEmiss!$BJ$335:$BJ$434,$FG54)+_xlfn.MAXIFS(LandEmiss!$DX$323:$DX$422,LandEmiss!$DU$323:$DU$422,$FG54))*IFERROR($QR$14,0)</f>
        <v>0</v>
      </c>
      <c r="GL54" s="313">
        <f>IF(VaporOxidizer!D85="FUEL GAS",SUMIF(VaporOxidizer!$E$101:$E$110,$FG54,VaporOxidizer!$F$101:$F$110),0)*IFERROR($QR$15,0)</f>
        <v>0</v>
      </c>
      <c r="GM54" s="313">
        <f>(_xlfn.MAXIFS(CtrlDevImpacts!$AN$57:$AN$156,CtrlDevImpacts!$AM$57:$AM$156,$FG54))*IFERROR($QR$15,0)</f>
        <v>0</v>
      </c>
      <c r="GN54" s="313">
        <f>(_xlfn.MAXIFS(VaporOxidizer!$F$111:$F$220,VaporOxidizer!$E$111:$E$220,$FG54)-_xlfn.MAXIFS(CtrlDevImpacts!$AN$57:$AN$156,CtrlDevImpacts!$AM$57:$AM$156,$FG54))*IFERROR($QR$15,0)</f>
        <v>0</v>
      </c>
      <c r="GO54" s="155">
        <f>_xlfn.MAXIFS(LandEmiss!$F$335:$F$434,LandEmiss!$A$335:$A$434,$FG54)*IFERROR($QR$15,0)</f>
        <v>0</v>
      </c>
      <c r="GP54" s="155">
        <f>(_xlfn.MAXIFS(LandEmiss!$BK$335:$BK$434,LandEmiss!$BO$335:$BO$434,$FG54)+_xlfn.MAXIFS(LandEmiss!$DZ$323:$DZ$422,LandEmiss!$DU$323:$DU$422,$FG54))*IFERROR($QR$15,0)</f>
        <v>0</v>
      </c>
      <c r="GQ54" s="313">
        <f>_xlfn.MAXIFS(CtrlDevImpacts!$BD$57:$BD$156,CtrlDevImpacts!$BC$57:$BC$156,$FG54)*IFERROR(Hidden!$QR$16,0)</f>
        <v>0</v>
      </c>
      <c r="GR54" s="313">
        <f>(_xlfn.MAXIFS(CAS!$H$35:$H$144,CAS!$E$35:$E$144,$FG54)-_xlfn.MAXIFS(CtrlDevImpacts!$BD$57:$BD$156,CtrlDevImpacts!$BC$57:$BC$156,$FG54))*IFERROR(Hidden!$QR$16,0)</f>
        <v>0</v>
      </c>
      <c r="GS54" s="155">
        <f>_xlfn.MAXIFS(LandEmiss!$H$335:$H$434,LandEmiss!$A$335:$A$434,$FG54)*IFERROR($QR$27,0)</f>
        <v>0</v>
      </c>
      <c r="GT54" s="155">
        <f>(_xlfn.MAXIFS(LandEmiss!$BK$335:$BK$434,LandEmiss!$BQ$335:$BQ$434,$FG54)+_xlfn.MAXIFS(LandEmiss!$EB$323:$EB$422,LandEmiss!$DU$323:$DU$422,$FG54))*IFERROR($QR$27,0)</f>
        <v>0</v>
      </c>
      <c r="GU54" s="155">
        <f>_xlfn.MAXIFS(LandEmiss!$J$335:$J$434,LandEmiss!$A$335:$A$434,$FG54)*IFERROR($QR$26,0)</f>
        <v>0</v>
      </c>
      <c r="GV54" s="155">
        <f>(_xlfn.MAXIFS(LandEmiss!$BK$335:$BK$434,LandEmiss!$BS$335:$BS$434,$FG54)+_xlfn.MAXIFS(LandEmiss!$ED$323:$ED$422,LandEmiss!$DU$323:$DU$422,$FG54))*IFERROR($QR$26,0)</f>
        <v>0</v>
      </c>
      <c r="GW54" s="155">
        <f>_xlfn.MAXIFS(LandEmiss!$L$335:$L$434,LandEmiss!$A$335:$A$434,$FG54)*IFERROR($QR$25,0)</f>
        <v>0</v>
      </c>
      <c r="GX54" s="155">
        <f>(_xlfn.MAXIFS(LandEmiss!$BK$335:$BK$434,LandEmiss!$BU$335:$BU$434,$FG54)+_xlfn.MAXIFS(LandEmiss!$EF$323:$EF$422,LandEmiss!$DU$323:$DU$422,$FG54))*IFERROR($QR$25,0)</f>
        <v>0</v>
      </c>
      <c r="GY54" s="155">
        <v>0</v>
      </c>
      <c r="GZ54" s="155">
        <v>0</v>
      </c>
      <c r="HA54" s="155">
        <f>IF(OR(HeaterBoiler1!$E$26&lt;&gt;"fuel gas",HeaterBoiler1!$E$15&lt;&gt;"heater"),0,SUMIF(HeaterBoiler1!$A$54:$D$63,$FG54,HeaterBoiler1!$I$54:$I$63))*IFERROR($QR$19,0)</f>
        <v>0</v>
      </c>
      <c r="HB54" s="207">
        <f>IF(OR(HeaterBoiler2!$E$26&lt;&gt;"fuel gas",HeaterBoiler2!$E$15&lt;&gt;"heater"),0,SUMIF(HeaterBoiler2!$A$54:$D$63,$FG54,HeaterBoiler2!$I$54:$I$63))*IFERROR($QR$21,0)</f>
        <v>0</v>
      </c>
      <c r="HC54" s="155">
        <f>IF(OR(HeaterBoiler1!$E$26&lt;&gt;"fuel gas",HeaterBoiler1!$E$15&lt;&gt;"boiler"),0,SUMIF(HeaterBoiler1!$A$41:$A$50,$FG54,HeaterBoiler1!$F$41:$F$50))*IFERROR($QR$20,0)</f>
        <v>0</v>
      </c>
      <c r="HD54" s="207">
        <f>IF(OR(HeaterBoiler2!$E$26&lt;&gt;"fuel gas",HeaterBoiler2!$E$15&lt;&gt;"boiler"),0,SUMIF(HeaterBoiler2!$A$41:$A$50,$FG54,HeaterBoiler2!$F$41:$F$50))*IFERROR($QR$22,0)</f>
        <v>0</v>
      </c>
      <c r="HE54" s="155">
        <f>SUMIF(Fug!$A$96:$A$205,$FG54,Fug!$I$96:$I$205)*IFERROR(Hidden!$QR$23,0)</f>
        <v>0</v>
      </c>
      <c r="HF54" s="155">
        <f t="shared" si="24"/>
        <v>0</v>
      </c>
      <c r="HG54" s="156">
        <f t="shared" si="25"/>
        <v>0</v>
      </c>
      <c r="HH54" s="156">
        <f t="shared" si="26"/>
        <v>0</v>
      </c>
      <c r="HI54" s="156">
        <f t="shared" si="27"/>
        <v>0</v>
      </c>
      <c r="HJ54" s="156">
        <f t="shared" si="28"/>
        <v>0</v>
      </c>
      <c r="HK54" s="156">
        <f t="shared" si="29"/>
        <v>0</v>
      </c>
      <c r="HL54" s="156">
        <f t="shared" si="30"/>
        <v>0</v>
      </c>
      <c r="NO54" s="155">
        <f>IF(Tank1!$D$22="No control",(SUMIF(Tank1!$E$32:$E$141,$FG54,Tank1!$H$32:$H$141)*(2000/8760)*IFERROR($QV$3,0)),0)</f>
        <v>0</v>
      </c>
      <c r="NP54" s="156">
        <f>SUMIF(LandEmiss!$AE$20:$AE$119,$FG54,LandEmiss!$AK$20:$AK$119)*(2000/8760)*IFERROR($QV$3,0)</f>
        <v>0</v>
      </c>
      <c r="NQ54" s="156">
        <f>(SUMIF(LandEmiss!$CN$20:$CN$119,$FG54,LandEmiss!$CT$20:$CT$119)+SUMIF(LandEmiss!$EY$9:$EY$108,$FG54,LandEmiss!$FE$9:$FE$108))*IFERROR($QV$3,0)*(2000/8760)</f>
        <v>0</v>
      </c>
      <c r="NR54" s="155">
        <f>IF(Tank2!$D$22="No control",(SUMIF(Tank2!$E$32:$E$141,$FG54,Tank2!$H$32:$H$141)*(2000/8760)*IFERROR($QV$4,0)),0)</f>
        <v>0</v>
      </c>
      <c r="NS54" s="156">
        <f>SUMIF(LandEmiss!$AE$20:$AE$119,$FG54,LandEmiss!$AL$20:$AL$119)*(2000/8760)*IFERROR($QV$4,0)</f>
        <v>0</v>
      </c>
      <c r="NT54" s="156">
        <f>(SUMIF(LandEmiss!$CN$20:$CN$119,$FG54,LandEmiss!$CU$20:$CU$119)+SUMIF(LandEmiss!$EY$9:$EY$108,$FG54,LandEmiss!$FF$9:$FF$108))*IFERROR($QV$4,0)*(2000/8760)</f>
        <v>0</v>
      </c>
      <c r="NU54" s="155">
        <f>IF(Tank3!$D$22="No control",(SUMIF(Tank3!$E$32:$E$141,$FG54,Tank3!$H$32:$H$141)*(2000/8760)*IFERROR($QV$5,0)),0)</f>
        <v>0</v>
      </c>
      <c r="NV54" s="156">
        <f>SUMIF(LandEmiss!$AE$20:$AE$119,$FG54,LandEmiss!$AM$20:$AM$119)*(2000/8760)*IFERROR($QV$5,0)</f>
        <v>0</v>
      </c>
      <c r="NW54" s="156">
        <f>(SUMIF(LandEmiss!$CN$20:$CN$119,$FG54,LandEmiss!$CV$20:$CV$119)+SUMIF(LandEmiss!$EY$9:$EY$108,$FG54,LandEmiss!$FG$9:$FG$108))*IFERROR($QV$5,0)*(2000/8760)</f>
        <v>0</v>
      </c>
      <c r="NX54" s="155">
        <f>IF(Tank4!$D$22="No control",(SUMIF(Tank4!$E$32:$E$141,$FG54,Tank4!$H$32:$H$141)*(2000/8760)*IFERROR($QV$6,0)),0)</f>
        <v>0</v>
      </c>
      <c r="NY54" s="156">
        <f>SUMIF(LandEmiss!$AE$20:$AE$119,$FG54,LandEmiss!$AN$20:$AN$119)*(2000/8760)*IFERROR($QV$6,0)</f>
        <v>0</v>
      </c>
      <c r="NZ54" s="156">
        <f>(SUMIF(LandEmiss!$CN$20:$CN$119,$FG54,LandEmiss!$CW$20:$CW$119)+SUMIF(LandEmiss!$EY$9:$EY$108,$FG54,LandEmiss!$FH$9:$FH$108))*IFERROR($QV$6,0)*(2000/8760)</f>
        <v>0</v>
      </c>
      <c r="OA54" s="155">
        <f>IF(Tank5!$D$22="No control",(SUMIF(Tank5!$E$32:$E$141,$FG54,Tank5!$H$32:$H$141)*(2000/8760)*IFERROR($QV$7,0)),0)</f>
        <v>0</v>
      </c>
      <c r="OB54" s="156">
        <f>SUMIF(LandEmiss!$AE$20:$AE$119,$FG54,LandEmiss!$AO$20:$AO$119)*(2000/8760)*IFERROR($QV$7,0)</f>
        <v>0</v>
      </c>
      <c r="OC54" s="156">
        <f>(SUMIF(LandEmiss!$CN$20:$CN$119,$FG54,LandEmiss!$CX$20:$CX$119)+SUMIF(LandEmiss!$EY$9:$EY$108,$FG54,LandEmiss!$FI$9:$FI$108))*IFERROR($QV$7,0)*(2000/8760)</f>
        <v>0</v>
      </c>
      <c r="OD54" s="155">
        <f>SUMIFS('Load-DrumTote'!$L$27:$L$136,'Load-DrumTote'!$F$27:$F$136,$FG54)*IFERROR($QV$8,0)*(2000/8760)</f>
        <v>0</v>
      </c>
      <c r="OE54" s="155">
        <f>SUMIFS('Load-Truck'!$L$27:$L$136,'Load-Truck'!$F$27:$F$136,$FG54)*IFERROR($QV$9,0)*(2000/8760)</f>
        <v>0</v>
      </c>
      <c r="OF54" s="155">
        <f>SUMIFS('Load-Rail'!$L$27:$L$136,'Load-Rail'!$F$27:$F$136,$FG54)*IFERROR($QV$10,0)*(2000/8760)</f>
        <v>0</v>
      </c>
      <c r="OG54" s="155">
        <f>SUMIFS('Load-MarineBarge'!$L$27:$L$136,'Load-MarineBarge'!$F$27:$F$136,$FG54)*IFERROR($QV$11,0)*(2000/8760)</f>
        <v>0</v>
      </c>
      <c r="OH54" s="155">
        <f>SUMIFS('Load-MarineShip'!$L$27:$L$136,'Load-MarineShip'!$F$27:$F$136,$FG54)*IFERROR($QV$12,0)*(2000/8760)</f>
        <v>0</v>
      </c>
      <c r="OI54" s="155">
        <f>(IF(OR(Flare!$D$24="FUEL GAS",Flare!$D$38="FUEL GAS"),SUMIF(Flare!$E$97:$E$106,$FG54,Flare!$G$97:$G$105),0)+SUMIF(Flare!$E$107:$E$216,$FG54,Flare!$G$107:$G$216))*(2000/8730)*IFERROR($QV$13,0)</f>
        <v>0</v>
      </c>
      <c r="OJ54" s="155">
        <f>SUMIF(LandEmiss!$A$335:$A$434,$FG54,LandEmiss!$C$335:$C$434)*(2000/8760)*IFERROR($QV$13,0)</f>
        <v>0</v>
      </c>
      <c r="OK54" s="155">
        <f>(SUMIF(LandEmiss!$BJ$335:$BJ$434,$FG54,LandEmiss!$BL$335:$BL$434)+SUMIF(LandEmiss!$DU$323:$DU$422,$FG54,LandEmiss!$DW$323:$DW$422))*(2000/8760)*IFERROR($QV$13,0)</f>
        <v>0</v>
      </c>
      <c r="OL54" s="155">
        <f>(IF(OR(VCU!$D$26="FUEL GAS",VCU!$D$42="FUEL GAS"),SUMIF(VCU!$E$120:$E$129,$FG54,VCU!$G$120:$G$129),0)+SUMIF(VCU!$E$130:$E$239,$FG54,VCU!G182:G291))*(2000/8760)*IFERROR($QV$14,0)</f>
        <v>0</v>
      </c>
      <c r="OM54" s="155">
        <f>SUMIF(LandEmiss!$A$335:$A$434,$FG54,LandEmiss!$E$335:$E$434)*(2000/8760)*IFERROR($QV$14,0)</f>
        <v>0</v>
      </c>
      <c r="ON54" s="155">
        <f>(SUMIF(LandEmiss!$BJ$335:$BJ$434,$FG54,LandEmiss!$BN$335:$BN$434)+SUMIF(LandEmiss!$DU$323:$DU$422,$FG54,LandEmiss!$DY$323:$DY$422))*(2000/8760)*IFERROR($QV$14,0)</f>
        <v>0</v>
      </c>
      <c r="OO54" s="155">
        <f>(IF(VaporOxidizer!$D$33="FUEL GAS",SUMIF(VaporOxidizer!$E$101:$E$110,$FG54,VaporOxidizer!$G$101:$G$110),0)+SUMIF(VaporOxidizer!$E$111:$E$220,$FG54,VaporOxidizer!$G$111:$G$220))*(2000/8760)*IFERROR($QV$15,0)</f>
        <v>0</v>
      </c>
      <c r="OP54" s="155">
        <f>SUMIF(LandEmiss!$A$335:$A$434,$FG54,LandEmiss!$G$335:$G$434)*(2000/8760)*IFERROR($QV$15,0)</f>
        <v>0</v>
      </c>
      <c r="OQ54" s="155">
        <f>(SUMIF(LandEmiss!$BJ$335:$BJ$434,$FG54,LandEmiss!$BP$335:$BP$434)+SUMIF(LandEmiss!$DU$323:$DU$422,$FG54,LandEmiss!$EA$323:$EA$422))*(2000/8760)*IFERROR($QV$15,0)</f>
        <v>0</v>
      </c>
      <c r="OR54" s="155">
        <f>SUMIF(CAS!$E$35:$E$144,Hidden!$FG54,CAS!$I$35:$I$144)*IFERROR($QV$16,0)*(2000/8760)</f>
        <v>0</v>
      </c>
      <c r="OS54" s="155">
        <f>SUMIF(LandEmiss!$A$335:$A$434,$FG54,LandEmiss!$I$335:$I$434)*(2000/8760)*IFERROR($QV$27,0)</f>
        <v>0</v>
      </c>
      <c r="OT54" s="155">
        <f>(SUMIF(LandEmiss!$BJ$335:$BJ$434,$FG54,LandEmiss!$BR$335:$BR$434)+SUMIF(LandEmiss!$DU$323:$DU$422,$FG54,LandEmiss!$EC$323:$EC$422))*(2000/8760)*IFERROR($QV$27,0)</f>
        <v>0</v>
      </c>
      <c r="OU54" s="155">
        <f>SUMIF(LandEmiss!$A$335:$A$434,$FG54,LandEmiss!$K$335:$K$434)*(2000/8760)*IFERROR($QV$26,0)</f>
        <v>0</v>
      </c>
      <c r="OV54" s="155">
        <f>(SUMIF(LandEmiss!$BJ$335:$BJ$434,$FG54,LandEmiss!$BT$335:$BT$434)+SUMIF(LandEmiss!$DU$323:$DU$422,$FG54,LandEmiss!$EE$323:$EE$422))*(2000/8760)*IFERROR($QV$26,0)</f>
        <v>0</v>
      </c>
      <c r="OW54" s="155">
        <f>SUMIF(LandEmiss!$A$335:$A$434,$FG54,LandEmiss!$M$335:$M$434)*(2000/8760)*IFERROR($QV$25,0)</f>
        <v>0</v>
      </c>
      <c r="OX54" s="155">
        <f>(SUMIF(LandEmiss!$BJ$335:$BJ$434,$FG54,LandEmiss!$BV$335:$BV$434)+SUMIF(LandEmiss!$DU$323:$DU$422,$FG54,LandEmiss!$EG$323:$EG$422))*(2000/8760)*IFERROR($QV$25,0)</f>
        <v>0</v>
      </c>
      <c r="OY54" s="8">
        <v>0</v>
      </c>
      <c r="OZ54" s="207">
        <v>0</v>
      </c>
      <c r="PA54" s="207">
        <f>IF(OR(HeaterBoiler1!$E$26&lt;&gt;"fuel gas",HeaterBoiler1!$E$15&lt;&gt;"heater"),0,(SUMIF(HeaterBoiler1!$A$54:$D$63,$FG54,HeaterBoiler1!$J$54:$J$63))*(2000/8760))*IFERROR($QV$19,0)</f>
        <v>0</v>
      </c>
      <c r="PB54" s="207">
        <f>IF(OR(HeaterBoiler2!$E$26&lt;&gt;"fuel gas",HeaterBoiler2!$E$15&lt;&gt;"heater"),0,(SUMIF(HeaterBoiler2!$A$54:$D$63,$FG54,HeaterBoiler2!$J$54:$J$63))*(2000/8760))*IFERROR($QV$21,0)</f>
        <v>0</v>
      </c>
      <c r="PC54" s="207">
        <f>IF(OR(HeaterBoiler1!$E$26&lt;&gt;"fuel gas",HeaterBoiler1!$E$15&lt;&gt;"boiler"),0,(SUMIF(HeaterBoiler1!$A$54:$D$63,$FG54,HeaterBoiler1!$J$54:$J$63))*(2000/8760))*IFERROR($QV$20,0)</f>
        <v>0</v>
      </c>
      <c r="PD54" s="207">
        <f>IF(OR(HeaterBoiler2!$E$26&lt;&gt;"fuel gas",HeaterBoiler2!$E$15&lt;&gt;"boiler"),0,(SUMIF(HeaterBoiler2!$A$54:$D$63,$FG54,HeaterBoiler2!$J$54:$J$63))*(2000/8760))*IFERROR($QV$22,0)</f>
        <v>0</v>
      </c>
      <c r="PE54" s="8">
        <f>(SUMIF(Fug!$A$96:$A$205,$FG54,Fug!$J$96:$J$205))*IFERROR($QV$23,0)*(2000/8760)</f>
        <v>0</v>
      </c>
      <c r="PF54" s="8">
        <f t="shared" si="31"/>
        <v>0</v>
      </c>
      <c r="PG54" s="156">
        <f t="shared" si="32"/>
        <v>0</v>
      </c>
      <c r="PJ54" s="52" t="str">
        <f>IF(Fug!$F$16=Hidden!$PP$2,"Connectors-DTM [8]","")</f>
        <v/>
      </c>
      <c r="PK54" s="52" t="str">
        <f>IF(Fug!$F$16=Hidden!$PP$2,"Light Oil &gt; 20° [4] [5]","")</f>
        <v/>
      </c>
      <c r="PL54" s="52"/>
      <c r="PM54" s="52"/>
      <c r="PN54" s="52"/>
      <c r="PO54" s="52"/>
      <c r="PP54" s="52">
        <v>4.6299999999999998E-4</v>
      </c>
      <c r="PQ54" s="52"/>
      <c r="PR54" s="52"/>
      <c r="PS54" s="52"/>
      <c r="PT54" s="52" t="s">
        <v>8797</v>
      </c>
      <c r="PU54" s="52" t="s">
        <v>8781</v>
      </c>
      <c r="PV54" s="52">
        <v>0</v>
      </c>
      <c r="PW54" s="52">
        <v>0</v>
      </c>
      <c r="PX54" s="52">
        <v>0</v>
      </c>
      <c r="PY54" s="52">
        <v>0</v>
      </c>
      <c r="PZ54" s="52">
        <v>0</v>
      </c>
      <c r="QA54" s="52">
        <v>0</v>
      </c>
      <c r="QB54" s="52"/>
      <c r="QC54" s="52"/>
      <c r="QD54" s="52"/>
      <c r="QE54" s="52"/>
      <c r="QF54" s="52"/>
      <c r="QG54" s="52"/>
      <c r="QH54" s="52"/>
      <c r="QI54" s="52"/>
      <c r="QX54" s="89" t="s">
        <v>9331</v>
      </c>
      <c r="QY54">
        <v>14.69</v>
      </c>
      <c r="QZ54">
        <v>14.69</v>
      </c>
      <c r="RA54">
        <v>14.69</v>
      </c>
      <c r="RB54">
        <v>14.69</v>
      </c>
      <c r="RC54">
        <v>14.2</v>
      </c>
      <c r="RD54">
        <v>12.38</v>
      </c>
      <c r="RE54">
        <v>10.61</v>
      </c>
      <c r="RF54">
        <v>7.37</v>
      </c>
      <c r="RG54" s="90">
        <v>5.57</v>
      </c>
      <c r="RH54" s="89" t="s">
        <v>9331</v>
      </c>
      <c r="RI54">
        <v>14.2</v>
      </c>
      <c r="RJ54">
        <v>14.2</v>
      </c>
      <c r="RK54">
        <v>14.2</v>
      </c>
      <c r="RL54">
        <v>14.2</v>
      </c>
      <c r="RM54">
        <v>14.08</v>
      </c>
      <c r="RN54">
        <v>11.93</v>
      </c>
      <c r="RO54">
        <v>10.39</v>
      </c>
      <c r="RP54">
        <v>7.23</v>
      </c>
      <c r="RQ54" s="90">
        <v>5.46</v>
      </c>
      <c r="RR54" s="89" t="s">
        <v>9331</v>
      </c>
      <c r="RS54">
        <v>12.82</v>
      </c>
      <c r="RT54">
        <v>12.82</v>
      </c>
      <c r="RU54">
        <v>12.82</v>
      </c>
      <c r="RV54">
        <v>12.82</v>
      </c>
      <c r="RW54">
        <v>12.82</v>
      </c>
      <c r="RX54">
        <v>11.44</v>
      </c>
      <c r="RY54">
        <v>9.77</v>
      </c>
      <c r="RZ54">
        <v>6.81</v>
      </c>
      <c r="SA54" s="90">
        <v>5.19</v>
      </c>
      <c r="SB54" s="89" t="s">
        <v>9331</v>
      </c>
      <c r="SC54">
        <v>9.33</v>
      </c>
      <c r="SD54">
        <v>9.33</v>
      </c>
      <c r="SE54">
        <v>9.33</v>
      </c>
      <c r="SF54">
        <v>9.33</v>
      </c>
      <c r="SG54">
        <v>9.33</v>
      </c>
      <c r="SH54">
        <v>8.51</v>
      </c>
      <c r="SI54">
        <v>7.48</v>
      </c>
      <c r="SJ54">
        <v>5.47</v>
      </c>
      <c r="SK54" s="90">
        <v>3.86</v>
      </c>
      <c r="SL54" s="89" t="s">
        <v>9331</v>
      </c>
      <c r="SM54">
        <v>1.07</v>
      </c>
      <c r="SN54">
        <v>1.07</v>
      </c>
      <c r="SO54">
        <v>1.07</v>
      </c>
      <c r="SP54">
        <v>1.07</v>
      </c>
      <c r="SQ54">
        <v>1.07</v>
      </c>
      <c r="SR54">
        <v>1.07</v>
      </c>
      <c r="SS54">
        <v>1.07</v>
      </c>
      <c r="ST54">
        <v>0.84</v>
      </c>
      <c r="SU54" s="90">
        <v>0.64</v>
      </c>
    </row>
    <row r="55" spans="1:515" ht="74.25" customHeight="1" x14ac:dyDescent="0.2">
      <c r="W55">
        <f>IF(OR(X55=0,ISNUMBER(MATCH(X55,$X$1:X54,0))),0,MAX($W$1:W54)+1)</f>
        <v>0</v>
      </c>
      <c r="X55" s="123">
        <f>Products!$E102</f>
        <v>0</v>
      </c>
      <c r="Y55" t="str">
        <f t="shared" si="39"/>
        <v/>
      </c>
      <c r="CA55">
        <f>IF(OR(CB55=0,ISNUMBER(MATCH(CB55,$CB$1:CB54,0))),0,MAX($CA$1:CA54)+1)</f>
        <v>0</v>
      </c>
      <c r="CB55" s="8">
        <f>IF(OR(Tank1!$D$18="EXTERNAL FLOATING ROOF",Tank1!$D$18="INTERNAL FLOATING ROOF"),IF(Tank1!$E85="",0,Tank1!$E85),0)</f>
        <v>0</v>
      </c>
      <c r="CC55" s="8" t="str">
        <f t="shared" si="40"/>
        <v/>
      </c>
      <c r="CD55" s="8"/>
      <c r="CE55" s="8">
        <f>IF(OR(CF55=0,ISNUMBER(MATCH(CF55,$CF$1:CF54,0))),0,MAX($CE$1:CE54)+1)</f>
        <v>0</v>
      </c>
      <c r="CF55" s="8">
        <f>IF(OR(Tank1!$D$18="HORIZONTAL FIXED ROOF",Tank1!$D$18="VERTICAL FIXED ROOF"),IF(Tank1!$E85="",0,Tank1!$E85),0)</f>
        <v>0</v>
      </c>
      <c r="CG55" s="8" t="str">
        <f t="shared" si="41"/>
        <v/>
      </c>
      <c r="DM55">
        <f>IF(OR(DN55=0,ISNUMBER(MATCH(DN55,$DN$1:DN54,0))),0,MAX($DM$1:DM54)+1)</f>
        <v>0</v>
      </c>
      <c r="DN55">
        <f>IF('Load-DrumTote'!$F$19="Flare",IFERROR(VLOOKUP(Products!$A$89,'Load-DrumTote'!$A$27:$B$136,1,FALSE),0),0)</f>
        <v>0</v>
      </c>
      <c r="DO55">
        <f>IF($DN55=0,0,VLOOKUP($DN55,'Load-DrumTote'!$A$27:$N$136,13,FALSE))</f>
        <v>0</v>
      </c>
      <c r="DP55">
        <f>IF($DN55=0,0,VLOOKUP($DN55,'Load-DrumTote'!$A$27:$N$136,14,FALSE))</f>
        <v>0</v>
      </c>
      <c r="DU55">
        <f>IF(OR(DV55=0,ISNUMBER(MATCH(DV55,$DV$1:DV54,0))),0,MAX($DU$1:DU54)+1)</f>
        <v>0</v>
      </c>
      <c r="DV55">
        <f>IF('Load-DrumTote'!$F$19="VCU",IFERROR(VLOOKUP(Products!$A$89,'Load-DrumTote'!$A$27:$B$136,1,FALSE),0),0)</f>
        <v>0</v>
      </c>
      <c r="DW55">
        <f>IF($DV55=0,0,VLOOKUP($DV55,'Load-DrumTote'!$A$27:$N$136,13,FALSE))</f>
        <v>0</v>
      </c>
      <c r="DX55">
        <f>IF($DV55=0,0,VLOOKUP($DV55,'Load-DrumTote'!$A$27:$N$136,14,FALSE))</f>
        <v>0</v>
      </c>
      <c r="EC55">
        <f>IF(OR(ED55=0,ISNUMBER(MATCH(ED55,$ED$1:ED54,0))),0,MAX($EC$1:EC54)+1)</f>
        <v>0</v>
      </c>
      <c r="ED55">
        <f>IF('Load-DrumTote'!$F$19="vapor oxidizer",IFERROR(VLOOKUP(Products!$A$89,'Load-DrumTote'!$A$27:$B$136,1,FALSE),0),0)</f>
        <v>0</v>
      </c>
      <c r="EE55">
        <f>IF($ED55=0,0,VLOOKUP($ED55,'Load-DrumTote'!$A$27:$N$136,13,FALSE))</f>
        <v>0</v>
      </c>
      <c r="EF55">
        <f>IF($ED55=0,0,VLOOKUP($ED55,'Load-DrumTote'!$A$27:$N$136,14,FALSE))</f>
        <v>0</v>
      </c>
      <c r="EK55">
        <f>IF(OR(EL55=0,ISNUMBER(MATCH(EL55,$EL$1:EL54,0))),0,MAX($EK$1:EK54)+1)</f>
        <v>0</v>
      </c>
      <c r="EL55">
        <f>IF('Load-DrumTote'!$F$19="CAS",IFERROR(VLOOKUP(Products!A89,'Load-DrumTote'!$A$27:$B$136,1,FALSE),0),0)</f>
        <v>0</v>
      </c>
      <c r="EM55">
        <f>IF($EL55=0,0,VLOOKUP($EL55,'Load-DrumTote'!$A$27:$N$136,13,FALSE))</f>
        <v>0</v>
      </c>
      <c r="EN55">
        <f>IF($EL55=0,0,VLOOKUP($EL55,'Load-DrumTote'!$A$27:$N$136,14,FALSE))</f>
        <v>0</v>
      </c>
      <c r="FB55" s="8" t="s">
        <v>463</v>
      </c>
      <c r="FC55" s="8" t="s">
        <v>464</v>
      </c>
      <c r="FD55" s="8">
        <v>5700</v>
      </c>
      <c r="FE55" s="8">
        <v>570</v>
      </c>
      <c r="FG55" s="360" t="str">
        <f t="shared" si="23"/>
        <v/>
      </c>
      <c r="FH55" s="155">
        <f>IF(Tank1!$D$22="NO CONTROL",_xlfn.MAXIFS(Tank1!$G$32:$G$141,Tank1!$E$32:$E$141,$FG55),0)*IFERROR($QR$3,0)</f>
        <v>0</v>
      </c>
      <c r="FI55" s="155">
        <f>_xlfn.MAXIFS(LandEmiss!$AF$20:$AF$119,LandEmiss!$AE$20:$AE$119,$FG55)*IFERROR($QR$3,0)</f>
        <v>0</v>
      </c>
      <c r="FJ55" s="155">
        <f>MAX(_xlfn.MAXIFS(LandEmiss!$CO$20:$CO$119,LandEmiss!$CN$20:$CN$119,$FG55),_xlfn.MAXIFS(LandEmiss!$EZ$9:$EZ$108,LandEmiss!$EY$9:$EY$108,$FG55))*IFERROR($QR$3,0)</f>
        <v>0</v>
      </c>
      <c r="FK55" s="155">
        <f>IF(Tank2!$D$22="NO CONTROL",_xlfn.MAXIFS(Tank2!$G$32:$G$141,Tank2!$E$32:$E$141,$FG55),0)*IFERROR($QR$4,0)</f>
        <v>0</v>
      </c>
      <c r="FL55" s="155">
        <f>_xlfn.MAXIFS(LandEmiss!$AG$20:$AG$119,LandEmiss!$AE$20:$AE$119,$FG55)*IFERROR($QR$4,0)</f>
        <v>0</v>
      </c>
      <c r="FM55" s="155">
        <f>MAX(_xlfn.MAXIFS(LandEmiss!$CP$20:$CP$119,LandEmiss!$CN$20:$CN$119,$FG55),_xlfn.MAXIFS(LandEmiss!$FA$9:$FA$108,LandEmiss!$EY$9:$EY$108,$FG55))*IFERROR($QR$4,0)</f>
        <v>0</v>
      </c>
      <c r="FN55" s="155">
        <f>IF(Tank3!$D$22="NO CONTROL",_xlfn.MAXIFS(Tank3!$G$32:$G$141,Tank3!$E$32:$E$141,$FG55),0)*IFERROR($QR$5,0)</f>
        <v>0</v>
      </c>
      <c r="FO55" s="155">
        <f>_xlfn.MAXIFS(LandEmiss!$AH$20:$AH$119,LandEmiss!$AE$20:$AE$119,$FG55)*IFERROR($QR$5,0)</f>
        <v>0</v>
      </c>
      <c r="FP55" s="155">
        <f>MAX(_xlfn.MAXIFS(LandEmiss!$CQ$20:$CQ$119,LandEmiss!$CN$20:$CN$119,$FG55),_xlfn.MAXIFS(LandEmiss!$FB$9:$FB$108,LandEmiss!$EY$9:$EY$108,$FG55))*IFERROR($QR$5,0)</f>
        <v>0</v>
      </c>
      <c r="FQ55" s="155">
        <f>IF(Tank4!$D$22="NO CONTROL",_xlfn.MAXIFS(Tank4!$G$32:$G$141,Tank4!$E$32:$E$141,$FG55),0)*IFERROR($QR$6,0)</f>
        <v>0</v>
      </c>
      <c r="FR55" s="155">
        <f>_xlfn.MAXIFS(LandEmiss!$AI$20:$AI$119,LandEmiss!$AE$20:$AE$119,$FG55)*IFERROR($QR$6,0)</f>
        <v>0</v>
      </c>
      <c r="FS55" s="155">
        <f>MAX(_xlfn.MAXIFS(LandEmiss!$CR$20:$CR$119,LandEmiss!$CN$20:$CN$119,$FG55),_xlfn.MAXIFS(LandEmiss!$FC$9:$FC$108,LandEmiss!$EY$9:$EY$108,$FG55))*IFERROR($QR$6,0)</f>
        <v>0</v>
      </c>
      <c r="FT55" s="155">
        <f>IF(Tank5!$D$22="NO CONTROL",_xlfn.MAXIFS(Tank5!$G$32:$G$141,Tank5!$E$32:$E$141,$FG55),0)*IFERROR($QR$7,0)</f>
        <v>0</v>
      </c>
      <c r="FU55" s="155">
        <f>_xlfn.MAXIFS(LandEmiss!$AJ$20:$AJ$119,LandEmiss!$AE$20:$AE$119,$FG55)*IFERROR($QR$7,0)</f>
        <v>0</v>
      </c>
      <c r="FV55" s="155">
        <f>MAX(_xlfn.MAXIFS(LandEmiss!$CS$20:$CS$119,LandEmiss!$CN$20:$CN$119,$FG55),_xlfn.MAXIFS(LandEmiss!$FD$9:$FD$108,LandEmiss!$EY$9:$EY$108,$FG55))*IFERROR($QR60,0)</f>
        <v>0</v>
      </c>
      <c r="FW55" s="155">
        <f>_xlfn.MAXIFS('Load-DrumTote'!$K$27:$K$136,'Load-DrumTote'!$F$27:$F$136,$FG55)*IFERROR($QR$8,0)</f>
        <v>0</v>
      </c>
      <c r="FX55" s="155">
        <f>_xlfn.MAXIFS('Load-Truck'!$K$27:$K$136,'Load-Truck'!$F$27:$F$136,$FG55)*IFERROR($QR$9,0)</f>
        <v>0</v>
      </c>
      <c r="FY55" s="155">
        <f>_xlfn.MAXIFS('Load-Rail'!$K$27:$K$136,'Load-Rail'!$F$27:$F$136,$FG55)*IFERROR($QR$10,0)</f>
        <v>0</v>
      </c>
      <c r="FZ55" s="155">
        <f>_xlfn.MAXIFS('Load-MarineBarge'!$K$27:$K$136,'Load-MarineBarge'!$F$27:$F$136,$FG55)*IFERROR($QR$11,0)</f>
        <v>0</v>
      </c>
      <c r="GA55" s="155">
        <f>_xlfn.MAXIFS('Load-MarineShip'!$K$27:$K$136,'Load-MarineShip'!$F$27:$F$136,$FG55)*IFERROR($QR$12,0)</f>
        <v>0</v>
      </c>
      <c r="GB55" s="313">
        <f>IF(OR(Flare!$D$24="fuel gas",Flare!$D$38="fuel gas"),SUMIF(Flare!$E$97:$E$106,$FG55,Flare!$F$97:$F$106),0)*IFERROR($QR$13,0)</f>
        <v>0</v>
      </c>
      <c r="GC55" s="313">
        <f>(_xlfn.MAXIFS(CtrlDevImpacts!$I$57:$I$156,CtrlDevImpacts!$H$57:$H$156,$FG55))*IFERROR($QR$13,0)</f>
        <v>0</v>
      </c>
      <c r="GD55" s="313">
        <f>(_xlfn.MAXIFS(Flare!$F$107:$F$216,Flare!$E$107:$E$216,$FG55)-_xlfn.MAXIFS(CtrlDevImpacts!$I$57:$I$156,CtrlDevImpacts!$H$57:$H$156,$FG55))*IFERROR($QR$13,0)</f>
        <v>0</v>
      </c>
      <c r="GE55" s="155">
        <f>_xlfn.MAXIFS(LandEmiss!$B$335:$B$434,LandEmiss!$A$335:$A$434,$FG55)*IFERROR($QR$13,0)</f>
        <v>0</v>
      </c>
      <c r="GF55" s="155">
        <f>(_xlfn.MAXIFS(LandEmiss!$BK$335:$BK$434,LandEmiss!$BJ$335:$BJ$434,$FG55)+_xlfn.MAXIFS(LandEmiss!$DV$323:$DV$422,LandEmiss!$DU$323:$DU$422,$FG55))*IFERROR($QR$13,0)</f>
        <v>0</v>
      </c>
      <c r="GG55" s="313">
        <f>IF(OR(VCU!$D$26="fuel gas",VCU!$D$42="fuel gas"),SUMIF(VCU!$E$120:$E$129,$FG55,VCU!$F$120:$F$129),0)*IFERROR($QR$14,0)</f>
        <v>0</v>
      </c>
      <c r="GH55" s="313">
        <f>(_xlfn.MAXIFS(CtrlDevImpacts!$X$57:$X$156,CtrlDevImpacts!$W$57:$W$156,$FG55))*IFERROR($QR$14,0)</f>
        <v>0</v>
      </c>
      <c r="GI55" s="313">
        <f>(_xlfn.MAXIFS(VCU!$F$130:$F$239,VCU!$E$130:$E$239,$FG55)-_xlfn.MAXIFS(CtrlDevImpacts!$X$57:$X$156,CtrlDevImpacts!$W$57:$W$156,$FG55))*IFERROR($QR$14,0)</f>
        <v>0</v>
      </c>
      <c r="GJ55" s="155">
        <f>_xlfn.MAXIFS(LandEmiss!$D$335:$D$434,LandEmiss!$A$335:$A$434,$FG55)*IFERROR($QR$14,0)</f>
        <v>0</v>
      </c>
      <c r="GK55" s="155">
        <f>(_xlfn.MAXIFS(LandEmiss!$BM$335:$BM$434,LandEmiss!$BJ$335:$BJ$434,$FG55)+_xlfn.MAXIFS(LandEmiss!$DX$323:$DX$422,LandEmiss!$DU$323:$DU$422,$FG55))*IFERROR($QR$14,0)</f>
        <v>0</v>
      </c>
      <c r="GL55" s="313">
        <f>IF(VaporOxidizer!D86="FUEL GAS",SUMIF(VaporOxidizer!$E$101:$E$110,$FG55,VaporOxidizer!$F$101:$F$110),0)*IFERROR($QR$15,0)</f>
        <v>0</v>
      </c>
      <c r="GM55" s="313">
        <f>(_xlfn.MAXIFS(CtrlDevImpacts!$AN$57:$AN$156,CtrlDevImpacts!$AM$57:$AM$156,$FG55))*IFERROR($QR$15,0)</f>
        <v>0</v>
      </c>
      <c r="GN55" s="313">
        <f>(_xlfn.MAXIFS(VaporOxidizer!$F$111:$F$220,VaporOxidizer!$E$111:$E$220,$FG55)-_xlfn.MAXIFS(CtrlDevImpacts!$AN$57:$AN$156,CtrlDevImpacts!$AM$57:$AM$156,$FG55))*IFERROR($QR$15,0)</f>
        <v>0</v>
      </c>
      <c r="GO55" s="155">
        <f>_xlfn.MAXIFS(LandEmiss!$F$335:$F$434,LandEmiss!$A$335:$A$434,$FG55)*IFERROR($QR$15,0)</f>
        <v>0</v>
      </c>
      <c r="GP55" s="155">
        <f>(_xlfn.MAXIFS(LandEmiss!$BK$335:$BK$434,LandEmiss!$BO$335:$BO$434,$FG55)+_xlfn.MAXIFS(LandEmiss!$DZ$323:$DZ$422,LandEmiss!$DU$323:$DU$422,$FG55))*IFERROR($QR$15,0)</f>
        <v>0</v>
      </c>
      <c r="GQ55" s="313">
        <f>_xlfn.MAXIFS(CtrlDevImpacts!$BD$57:$BD$156,CtrlDevImpacts!$BC$57:$BC$156,$FG55)*IFERROR(Hidden!$QR$16,0)</f>
        <v>0</v>
      </c>
      <c r="GR55" s="313">
        <f>(_xlfn.MAXIFS(CAS!$H$35:$H$144,CAS!$E$35:$E$144,$FG55)-_xlfn.MAXIFS(CtrlDevImpacts!$BD$57:$BD$156,CtrlDevImpacts!$BC$57:$BC$156,$FG55))*IFERROR(Hidden!$QR$16,0)</f>
        <v>0</v>
      </c>
      <c r="GS55" s="155">
        <f>_xlfn.MAXIFS(LandEmiss!$H$335:$H$434,LandEmiss!$A$335:$A$434,$FG55)*IFERROR($QR$27,0)</f>
        <v>0</v>
      </c>
      <c r="GT55" s="155">
        <f>(_xlfn.MAXIFS(LandEmiss!$BK$335:$BK$434,LandEmiss!$BQ$335:$BQ$434,$FG55)+_xlfn.MAXIFS(LandEmiss!$EB$323:$EB$422,LandEmiss!$DU$323:$DU$422,$FG55))*IFERROR($QR$27,0)</f>
        <v>0</v>
      </c>
      <c r="GU55" s="155">
        <f>_xlfn.MAXIFS(LandEmiss!$J$335:$J$434,LandEmiss!$A$335:$A$434,$FG55)*IFERROR($QR$26,0)</f>
        <v>0</v>
      </c>
      <c r="GV55" s="155">
        <f>(_xlfn.MAXIFS(LandEmiss!$BK$335:$BK$434,LandEmiss!$BS$335:$BS$434,$FG55)+_xlfn.MAXIFS(LandEmiss!$ED$323:$ED$422,LandEmiss!$DU$323:$DU$422,$FG55))*IFERROR($QR$26,0)</f>
        <v>0</v>
      </c>
      <c r="GW55" s="155">
        <f>_xlfn.MAXIFS(LandEmiss!$L$335:$L$434,LandEmiss!$A$335:$A$434,$FG55)*IFERROR($QR$25,0)</f>
        <v>0</v>
      </c>
      <c r="GX55" s="155">
        <f>(_xlfn.MAXIFS(LandEmiss!$BK$335:$BK$434,LandEmiss!$BU$335:$BU$434,$FG55)+_xlfn.MAXIFS(LandEmiss!$EF$323:$EF$422,LandEmiss!$DU$323:$DU$422,$FG55))*IFERROR($QR$25,0)</f>
        <v>0</v>
      </c>
      <c r="GY55" s="155">
        <v>0</v>
      </c>
      <c r="GZ55" s="155">
        <v>0</v>
      </c>
      <c r="HA55" s="155">
        <f>IF(OR(HeaterBoiler1!$E$26&lt;&gt;"fuel gas",HeaterBoiler1!$E$15&lt;&gt;"heater"),0,SUMIF(HeaterBoiler1!$A$54:$D$63,$FG55,HeaterBoiler1!$I$54:$I$63))*IFERROR($QR$19,0)</f>
        <v>0</v>
      </c>
      <c r="HB55" s="207">
        <f>IF(OR(HeaterBoiler2!$E$26&lt;&gt;"fuel gas",HeaterBoiler2!$E$15&lt;&gt;"heater"),0,SUMIF(HeaterBoiler2!$A$54:$D$63,$FG55,HeaterBoiler2!$I$54:$I$63))*IFERROR($QR$21,0)</f>
        <v>0</v>
      </c>
      <c r="HC55" s="155">
        <f>IF(OR(HeaterBoiler1!$E$26&lt;&gt;"fuel gas",HeaterBoiler1!$E$15&lt;&gt;"boiler"),0,SUMIF(HeaterBoiler1!$A$41:$A$50,$FG55,HeaterBoiler1!$F$41:$F$50))*IFERROR($QR$20,0)</f>
        <v>0</v>
      </c>
      <c r="HD55" s="207">
        <f>IF(OR(HeaterBoiler2!$E$26&lt;&gt;"fuel gas",HeaterBoiler2!$E$15&lt;&gt;"boiler"),0,SUMIF(HeaterBoiler2!$A$41:$A$50,$FG55,HeaterBoiler2!$F$41:$F$50))*IFERROR($QR$22,0)</f>
        <v>0</v>
      </c>
      <c r="HE55" s="155">
        <f>SUMIF(Fug!$A$96:$A$205,$FG55,Fug!$I$96:$I$205)*IFERROR(Hidden!$QR$23,0)</f>
        <v>0</v>
      </c>
      <c r="HF55" s="155">
        <f t="shared" si="24"/>
        <v>0</v>
      </c>
      <c r="HG55" s="156">
        <f t="shared" si="25"/>
        <v>0</v>
      </c>
      <c r="HH55" s="156">
        <f t="shared" si="26"/>
        <v>0</v>
      </c>
      <c r="HI55" s="156">
        <f t="shared" si="27"/>
        <v>0</v>
      </c>
      <c r="HJ55" s="156">
        <f t="shared" si="28"/>
        <v>0</v>
      </c>
      <c r="HK55" s="156">
        <f t="shared" si="29"/>
        <v>0</v>
      </c>
      <c r="HL55" s="156">
        <f t="shared" si="30"/>
        <v>0</v>
      </c>
      <c r="NO55" s="155">
        <f>IF(Tank1!$D$22="No control",(SUMIF(Tank1!$E$32:$E$141,$FG55,Tank1!$H$32:$H$141)*(2000/8760)*IFERROR($QV$3,0)),0)</f>
        <v>0</v>
      </c>
      <c r="NP55" s="156">
        <f>SUMIF(LandEmiss!$AE$20:$AE$119,$FG55,LandEmiss!$AK$20:$AK$119)*(2000/8760)*IFERROR($QV$3,0)</f>
        <v>0</v>
      </c>
      <c r="NQ55" s="156">
        <f>(SUMIF(LandEmiss!$CN$20:$CN$119,$FG55,LandEmiss!$CT$20:$CT$119)+SUMIF(LandEmiss!$EY$9:$EY$108,$FG55,LandEmiss!$FE$9:$FE$108))*IFERROR($QV$3,0)*(2000/8760)</f>
        <v>0</v>
      </c>
      <c r="NR55" s="155">
        <f>IF(Tank2!$D$22="No control",(SUMIF(Tank2!$E$32:$E$141,$FG55,Tank2!$H$32:$H$141)*(2000/8760)*IFERROR($QV$4,0)),0)</f>
        <v>0</v>
      </c>
      <c r="NS55" s="156">
        <f>SUMIF(LandEmiss!$AE$20:$AE$119,$FG55,LandEmiss!$AL$20:$AL$119)*(2000/8760)*IFERROR($QV$4,0)</f>
        <v>0</v>
      </c>
      <c r="NT55" s="156">
        <f>(SUMIF(LandEmiss!$CN$20:$CN$119,$FG55,LandEmiss!$CU$20:$CU$119)+SUMIF(LandEmiss!$EY$9:$EY$108,$FG55,LandEmiss!$FF$9:$FF$108))*IFERROR($QV$4,0)*(2000/8760)</f>
        <v>0</v>
      </c>
      <c r="NU55" s="155">
        <f>IF(Tank3!$D$22="No control",(SUMIF(Tank3!$E$32:$E$141,$FG55,Tank3!$H$32:$H$141)*(2000/8760)*IFERROR($QV$5,0)),0)</f>
        <v>0</v>
      </c>
      <c r="NV55" s="156">
        <f>SUMIF(LandEmiss!$AE$20:$AE$119,$FG55,LandEmiss!$AM$20:$AM$119)*(2000/8760)*IFERROR($QV$5,0)</f>
        <v>0</v>
      </c>
      <c r="NW55" s="156">
        <f>(SUMIF(LandEmiss!$CN$20:$CN$119,$FG55,LandEmiss!$CV$20:$CV$119)+SUMIF(LandEmiss!$EY$9:$EY$108,$FG55,LandEmiss!$FG$9:$FG$108))*IFERROR($QV$5,0)*(2000/8760)</f>
        <v>0</v>
      </c>
      <c r="NX55" s="155">
        <f>IF(Tank4!$D$22="No control",(SUMIF(Tank4!$E$32:$E$141,$FG55,Tank4!$H$32:$H$141)*(2000/8760)*IFERROR($QV$6,0)),0)</f>
        <v>0</v>
      </c>
      <c r="NY55" s="156">
        <f>SUMIF(LandEmiss!$AE$20:$AE$119,$FG55,LandEmiss!$AN$20:$AN$119)*(2000/8760)*IFERROR($QV$6,0)</f>
        <v>0</v>
      </c>
      <c r="NZ55" s="156">
        <f>(SUMIF(LandEmiss!$CN$20:$CN$119,$FG55,LandEmiss!$CW$20:$CW$119)+SUMIF(LandEmiss!$EY$9:$EY$108,$FG55,LandEmiss!$FH$9:$FH$108))*IFERROR($QV$6,0)*(2000/8760)</f>
        <v>0</v>
      </c>
      <c r="OA55" s="155">
        <f>IF(Tank5!$D$22="No control",(SUMIF(Tank5!$E$32:$E$141,$FG55,Tank5!$H$32:$H$141)*(2000/8760)*IFERROR($QV$7,0)),0)</f>
        <v>0</v>
      </c>
      <c r="OB55" s="156">
        <f>SUMIF(LandEmiss!$AE$20:$AE$119,$FG55,LandEmiss!$AO$20:$AO$119)*(2000/8760)*IFERROR($QV$7,0)</f>
        <v>0</v>
      </c>
      <c r="OC55" s="156">
        <f>(SUMIF(LandEmiss!$CN$20:$CN$119,$FG55,LandEmiss!$CX$20:$CX$119)+SUMIF(LandEmiss!$EY$9:$EY$108,$FG55,LandEmiss!$FI$9:$FI$108))*IFERROR($QV$7,0)*(2000/8760)</f>
        <v>0</v>
      </c>
      <c r="OD55" s="155">
        <f>SUMIFS('Load-DrumTote'!$L$27:$L$136,'Load-DrumTote'!$F$27:$F$136,$FG55)*IFERROR($QV$8,0)*(2000/8760)</f>
        <v>0</v>
      </c>
      <c r="OE55" s="155">
        <f>SUMIFS('Load-Truck'!$L$27:$L$136,'Load-Truck'!$F$27:$F$136,$FG55)*IFERROR($QV$9,0)*(2000/8760)</f>
        <v>0</v>
      </c>
      <c r="OF55" s="155">
        <f>SUMIFS('Load-Rail'!$L$27:$L$136,'Load-Rail'!$F$27:$F$136,$FG55)*IFERROR($QV$10,0)*(2000/8760)</f>
        <v>0</v>
      </c>
      <c r="OG55" s="155">
        <f>SUMIFS('Load-MarineBarge'!$L$27:$L$136,'Load-MarineBarge'!$F$27:$F$136,$FG55)*IFERROR($QV$11,0)*(2000/8760)</f>
        <v>0</v>
      </c>
      <c r="OH55" s="155">
        <f>SUMIFS('Load-MarineShip'!$L$27:$L$136,'Load-MarineShip'!$F$27:$F$136,$FG55)*IFERROR($QV$12,0)*(2000/8760)</f>
        <v>0</v>
      </c>
      <c r="OI55" s="155">
        <f>(IF(OR(Flare!$D$24="FUEL GAS",Flare!$D$38="FUEL GAS"),SUMIF(Flare!$E$97:$E$106,$FG55,Flare!$G$97:$G$105),0)+SUMIF(Flare!$E$107:$E$216,$FG55,Flare!$G$107:$G$216))*(2000/8730)*IFERROR($QV$13,0)</f>
        <v>0</v>
      </c>
      <c r="OJ55" s="155">
        <f>SUMIF(LandEmiss!$A$335:$A$434,$FG55,LandEmiss!$C$335:$C$434)*(2000/8760)*IFERROR($QV$13,0)</f>
        <v>0</v>
      </c>
      <c r="OK55" s="155">
        <f>(SUMIF(LandEmiss!$BJ$335:$BJ$434,$FG55,LandEmiss!$BL$335:$BL$434)+SUMIF(LandEmiss!$DU$323:$DU$422,$FG55,LandEmiss!$DW$323:$DW$422))*(2000/8760)*IFERROR($QV$13,0)</f>
        <v>0</v>
      </c>
      <c r="OL55" s="155">
        <f>(IF(OR(VCU!$D$26="FUEL GAS",VCU!$D$42="FUEL GAS"),SUMIF(VCU!$E$120:$E$129,$FG55,VCU!$G$120:$G$129),0)+SUMIF(VCU!$E$130:$E$239,$FG55,VCU!G183:G292))*(2000/8760)*IFERROR($QV$14,0)</f>
        <v>0</v>
      </c>
      <c r="OM55" s="155">
        <f>SUMIF(LandEmiss!$A$335:$A$434,$FG55,LandEmiss!$E$335:$E$434)*(2000/8760)*IFERROR($QV$14,0)</f>
        <v>0</v>
      </c>
      <c r="ON55" s="155">
        <f>(SUMIF(LandEmiss!$BJ$335:$BJ$434,$FG55,LandEmiss!$BN$335:$BN$434)+SUMIF(LandEmiss!$DU$323:$DU$422,$FG55,LandEmiss!$DY$323:$DY$422))*(2000/8760)*IFERROR($QV$14,0)</f>
        <v>0</v>
      </c>
      <c r="OO55" s="155">
        <f>(IF(VaporOxidizer!$D$33="FUEL GAS",SUMIF(VaporOxidizer!$E$101:$E$110,$FG55,VaporOxidizer!$G$101:$G$110),0)+SUMIF(VaporOxidizer!$E$111:$E$220,$FG55,VaporOxidizer!$G$111:$G$220))*(2000/8760)*IFERROR($QV$15,0)</f>
        <v>0</v>
      </c>
      <c r="OP55" s="155">
        <f>SUMIF(LandEmiss!$A$335:$A$434,$FG55,LandEmiss!$G$335:$G$434)*(2000/8760)*IFERROR($QV$15,0)</f>
        <v>0</v>
      </c>
      <c r="OQ55" s="155">
        <f>(SUMIF(LandEmiss!$BJ$335:$BJ$434,$FG55,LandEmiss!$BP$335:$BP$434)+SUMIF(LandEmiss!$DU$323:$DU$422,$FG55,LandEmiss!$EA$323:$EA$422))*(2000/8760)*IFERROR($QV$15,0)</f>
        <v>0</v>
      </c>
      <c r="OR55" s="155">
        <f>SUMIF(CAS!$E$35:$E$144,Hidden!$FG55,CAS!$I$35:$I$144)*IFERROR($QV$16,0)*(2000/8760)</f>
        <v>0</v>
      </c>
      <c r="OS55" s="155">
        <f>SUMIF(LandEmiss!$A$335:$A$434,$FG55,LandEmiss!$I$335:$I$434)*(2000/8760)*IFERROR($QV$27,0)</f>
        <v>0</v>
      </c>
      <c r="OT55" s="155">
        <f>(SUMIF(LandEmiss!$BJ$335:$BJ$434,$FG55,LandEmiss!$BR$335:$BR$434)+SUMIF(LandEmiss!$DU$323:$DU$422,$FG55,LandEmiss!$EC$323:$EC$422))*(2000/8760)*IFERROR($QV$27,0)</f>
        <v>0</v>
      </c>
      <c r="OU55" s="155">
        <f>SUMIF(LandEmiss!$A$335:$A$434,$FG55,LandEmiss!$K$335:$K$434)*(2000/8760)*IFERROR($QV$26,0)</f>
        <v>0</v>
      </c>
      <c r="OV55" s="155">
        <f>(SUMIF(LandEmiss!$BJ$335:$BJ$434,$FG55,LandEmiss!$BT$335:$BT$434)+SUMIF(LandEmiss!$DU$323:$DU$422,$FG55,LandEmiss!$EE$323:$EE$422))*(2000/8760)*IFERROR($QV$26,0)</f>
        <v>0</v>
      </c>
      <c r="OW55" s="155">
        <f>SUMIF(LandEmiss!$A$335:$A$434,$FG55,LandEmiss!$M$335:$M$434)*(2000/8760)*IFERROR($QV$25,0)</f>
        <v>0</v>
      </c>
      <c r="OX55" s="155">
        <f>(SUMIF(LandEmiss!$BJ$335:$BJ$434,$FG55,LandEmiss!$BV$335:$BV$434)+SUMIF(LandEmiss!$DU$323:$DU$422,$FG55,LandEmiss!$EG$323:$EG$422))*(2000/8760)*IFERROR($QV$25,0)</f>
        <v>0</v>
      </c>
      <c r="OY55" s="8">
        <v>0</v>
      </c>
      <c r="OZ55" s="207">
        <v>0</v>
      </c>
      <c r="PA55" s="207">
        <f>IF(OR(HeaterBoiler1!$E$26&lt;&gt;"fuel gas",HeaterBoiler1!$E$15&lt;&gt;"heater"),0,(SUMIF(HeaterBoiler1!$A$54:$D$63,$FG55,HeaterBoiler1!$J$54:$J$63))*(2000/8760))*IFERROR($QV$19,0)</f>
        <v>0</v>
      </c>
      <c r="PB55" s="207">
        <f>IF(OR(HeaterBoiler2!$E$26&lt;&gt;"fuel gas",HeaterBoiler2!$E$15&lt;&gt;"heater"),0,(SUMIF(HeaterBoiler2!$A$54:$D$63,$FG55,HeaterBoiler2!$J$54:$J$63))*(2000/8760))*IFERROR($QV$21,0)</f>
        <v>0</v>
      </c>
      <c r="PC55" s="207">
        <f>IF(OR(HeaterBoiler1!$E$26&lt;&gt;"fuel gas",HeaterBoiler1!$E$15&lt;&gt;"boiler"),0,(SUMIF(HeaterBoiler1!$A$54:$D$63,$FG55,HeaterBoiler1!$J$54:$J$63))*(2000/8760))*IFERROR($QV$20,0)</f>
        <v>0</v>
      </c>
      <c r="PD55" s="207">
        <f>IF(OR(HeaterBoiler2!$E$26&lt;&gt;"fuel gas",HeaterBoiler2!$E$15&lt;&gt;"boiler"),0,(SUMIF(HeaterBoiler2!$A$54:$D$63,$FG55,HeaterBoiler2!$J$54:$J$63))*(2000/8760))*IFERROR($QV$22,0)</f>
        <v>0</v>
      </c>
      <c r="PE55" s="8">
        <f>(SUMIF(Fug!$A$96:$A$205,$FG55,Fug!$J$96:$J$205))*IFERROR($QV$23,0)*(2000/8760)</f>
        <v>0</v>
      </c>
      <c r="PF55" s="8">
        <f t="shared" si="31"/>
        <v>0</v>
      </c>
      <c r="PG55" s="156">
        <f t="shared" si="32"/>
        <v>0</v>
      </c>
      <c r="PJ55" s="52" t="str">
        <f>IF(Fug!$F$16=Hidden!$PP$2,"Connectors-DTM(AM) [8]","")</f>
        <v/>
      </c>
      <c r="PK55" s="52" t="str">
        <f>IF(Fug!$F$16=Hidden!$PP$2,"Light Oil &gt; 20° [4] [5]","")</f>
        <v/>
      </c>
      <c r="PL55" s="52"/>
      <c r="PM55" s="52"/>
      <c r="PN55" s="52"/>
      <c r="PO55" s="52"/>
      <c r="PP55" s="52">
        <v>4.6299999999999998E-4</v>
      </c>
      <c r="PQ55" s="52"/>
      <c r="PR55" s="52"/>
      <c r="PS55" s="52"/>
      <c r="PT55" s="52" t="s">
        <v>8798</v>
      </c>
      <c r="PU55" s="52" t="s">
        <v>8781</v>
      </c>
      <c r="PV55" s="52">
        <v>0.75</v>
      </c>
      <c r="PW55" s="52">
        <v>0.75</v>
      </c>
      <c r="PX55" s="52">
        <v>0.75</v>
      </c>
      <c r="PY55" s="52">
        <v>0.75</v>
      </c>
      <c r="PZ55" s="52">
        <v>0.75</v>
      </c>
      <c r="QA55" s="52">
        <v>0.75</v>
      </c>
      <c r="QB55" s="52"/>
      <c r="QC55" s="52"/>
      <c r="QD55" s="52"/>
      <c r="QE55" s="52"/>
      <c r="QF55" s="52"/>
      <c r="QG55" s="52"/>
      <c r="QH55" s="52"/>
      <c r="QI55" s="52"/>
      <c r="QX55" s="89" t="s">
        <v>9332</v>
      </c>
      <c r="QY55">
        <v>68.36</v>
      </c>
      <c r="QZ55">
        <v>68.36</v>
      </c>
      <c r="RA55">
        <v>68.36</v>
      </c>
      <c r="RB55">
        <v>37.869999999999997</v>
      </c>
      <c r="RC55">
        <v>24.81</v>
      </c>
      <c r="RD55">
        <v>18.100000000000001</v>
      </c>
      <c r="RE55">
        <v>14.09</v>
      </c>
      <c r="RF55">
        <v>8.68</v>
      </c>
      <c r="RG55" s="90">
        <v>6.13</v>
      </c>
      <c r="RH55" s="89" t="s">
        <v>9332</v>
      </c>
      <c r="RI55">
        <v>60.4</v>
      </c>
      <c r="RJ55">
        <v>60.4</v>
      </c>
      <c r="RK55">
        <v>60.4</v>
      </c>
      <c r="RL55">
        <v>37.619999999999997</v>
      </c>
      <c r="RM55">
        <v>24.53</v>
      </c>
      <c r="RN55">
        <v>17.8</v>
      </c>
      <c r="RO55">
        <v>13.88</v>
      </c>
      <c r="RP55">
        <v>8.51</v>
      </c>
      <c r="RQ55" s="90">
        <v>6.03</v>
      </c>
      <c r="RR55" s="89" t="s">
        <v>9332</v>
      </c>
      <c r="RS55">
        <v>40.6</v>
      </c>
      <c r="RT55">
        <v>40.6</v>
      </c>
      <c r="RU55">
        <v>40.6</v>
      </c>
      <c r="RV55">
        <v>34.4</v>
      </c>
      <c r="RW55">
        <v>23.84</v>
      </c>
      <c r="RX55">
        <v>17.03</v>
      </c>
      <c r="RY55">
        <v>13.49</v>
      </c>
      <c r="RZ55">
        <v>8.2200000000000006</v>
      </c>
      <c r="SA55" s="90">
        <v>5.71</v>
      </c>
      <c r="SB55" s="89" t="s">
        <v>9332</v>
      </c>
      <c r="SC55">
        <v>23.37</v>
      </c>
      <c r="SD55">
        <v>23.37</v>
      </c>
      <c r="SE55">
        <v>23.37</v>
      </c>
      <c r="SF55">
        <v>22.12</v>
      </c>
      <c r="SG55">
        <v>16.66</v>
      </c>
      <c r="SH55">
        <v>12.23</v>
      </c>
      <c r="SI55">
        <v>9.9</v>
      </c>
      <c r="SJ55">
        <v>6.1</v>
      </c>
      <c r="SK55" s="90">
        <v>4.0599999999999996</v>
      </c>
      <c r="SL55" s="89" t="s">
        <v>9332</v>
      </c>
      <c r="SM55">
        <v>1.8</v>
      </c>
      <c r="SN55">
        <v>1.8</v>
      </c>
      <c r="SO55">
        <v>1.8</v>
      </c>
      <c r="SP55">
        <v>1.8</v>
      </c>
      <c r="SQ55">
        <v>1.72</v>
      </c>
      <c r="SR55">
        <v>1.47</v>
      </c>
      <c r="SS55">
        <v>1.29</v>
      </c>
      <c r="ST55">
        <v>0.87</v>
      </c>
      <c r="SU55" s="90">
        <v>0.63</v>
      </c>
    </row>
    <row r="56" spans="1:515" ht="74.25" customHeight="1" x14ac:dyDescent="0.2">
      <c r="W56">
        <f>IF(OR(X56=0,ISNUMBER(MATCH(X56,$X$1:X55,0))),0,MAX($W$1:W55)+1)</f>
        <v>0</v>
      </c>
      <c r="X56" s="123">
        <f>Products!$E103</f>
        <v>0</v>
      </c>
      <c r="Y56" t="str">
        <f t="shared" si="39"/>
        <v/>
      </c>
      <c r="CA56">
        <f>IF(OR(CB56=0,ISNUMBER(MATCH(CB56,$CB$1:CB55,0))),0,MAX($CA$1:CA55)+1)</f>
        <v>0</v>
      </c>
      <c r="CB56" s="8">
        <f>IF(OR(Tank1!$D$18="EXTERNAL FLOATING ROOF",Tank1!$D$18="INTERNAL FLOATING ROOF"),IF(Tank1!$E86="",0,Tank1!$E86),0)</f>
        <v>0</v>
      </c>
      <c r="CC56" s="8" t="str">
        <f t="shared" si="40"/>
        <v/>
      </c>
      <c r="CD56" s="8"/>
      <c r="CE56" s="8">
        <f>IF(OR(CF56=0,ISNUMBER(MATCH(CF56,$CF$1:CF55,0))),0,MAX($CE$1:CE55)+1)</f>
        <v>0</v>
      </c>
      <c r="CF56" s="8">
        <f>IF(OR(Tank1!$D$18="HORIZONTAL FIXED ROOF",Tank1!$D$18="VERTICAL FIXED ROOF"),IF(Tank1!$E86="",0,Tank1!$E86),0)</f>
        <v>0</v>
      </c>
      <c r="CG56" s="8" t="str">
        <f t="shared" si="41"/>
        <v/>
      </c>
      <c r="DM56">
        <f>IF(OR(DN56=0,ISNUMBER(MATCH(DN56,$DN$1:DN55,0))),0,MAX($DM$1:DM55)+1)</f>
        <v>0</v>
      </c>
      <c r="DN56">
        <f>IF('Load-DrumTote'!$F$19="Flare",IFERROR(VLOOKUP(Products!$A$99,'Load-DrumTote'!$A$27:$B$136,1,FALSE),0),0)</f>
        <v>0</v>
      </c>
      <c r="DO56">
        <f>IF($DN56=0,0,VLOOKUP($DN56,'Load-DrumTote'!$A$27:$N$136,13,FALSE))</f>
        <v>0</v>
      </c>
      <c r="DP56">
        <f>IF($DN56=0,0,VLOOKUP($DN56,'Load-DrumTote'!$A$27:$N$136,14,FALSE))</f>
        <v>0</v>
      </c>
      <c r="DU56">
        <f>IF(OR(DV56=0,ISNUMBER(MATCH(DV56,$DV$1:DV55,0))),0,MAX($DU$1:DU55)+1)</f>
        <v>0</v>
      </c>
      <c r="DV56">
        <f>IF('Load-DrumTote'!$F$19="VCU",IFERROR(VLOOKUP(Products!$A$99,'Load-DrumTote'!$A$27:$B$136,1,FALSE),0),0)</f>
        <v>0</v>
      </c>
      <c r="DW56">
        <f>IF($DV56=0,0,VLOOKUP($DV56,'Load-DrumTote'!$A$27:$N$136,13,FALSE))</f>
        <v>0</v>
      </c>
      <c r="DX56">
        <f>IF($DV56=0,0,VLOOKUP($DV56,'Load-DrumTote'!$A$27:$N$136,14,FALSE))</f>
        <v>0</v>
      </c>
      <c r="EC56">
        <f>IF(OR(ED56=0,ISNUMBER(MATCH(ED56,$ED$1:ED55,0))),0,MAX($EC$1:EC55)+1)</f>
        <v>0</v>
      </c>
      <c r="ED56">
        <f>IF('Load-DrumTote'!$F$19="vapor oxidizer",IFERROR(VLOOKUP(Products!$A$99,'Load-DrumTote'!$A$27:$B$136,1,FALSE),0),0)</f>
        <v>0</v>
      </c>
      <c r="EE56">
        <f>IF($ED56=0,0,VLOOKUP($ED56,'Load-DrumTote'!$A$27:$N$136,13,FALSE))</f>
        <v>0</v>
      </c>
      <c r="EF56">
        <f>IF($ED56=0,0,VLOOKUP($ED56,'Load-DrumTote'!$A$27:$N$136,14,FALSE))</f>
        <v>0</v>
      </c>
      <c r="EK56">
        <f>IF(OR(EL56=0,ISNUMBER(MATCH(EL56,$EL$1:EL55,0))),0,MAX($EK$1:EK55)+1)</f>
        <v>0</v>
      </c>
      <c r="EL56">
        <f>IF('Load-DrumTote'!$F$19="CAS",IFERROR(VLOOKUP(Products!A99,'Load-DrumTote'!$A$27:$B$136,1,FALSE),0),0)</f>
        <v>0</v>
      </c>
      <c r="EM56">
        <f>IF($EL56=0,0,VLOOKUP($EL56,'Load-DrumTote'!$A$27:$N$136,13,FALSE))</f>
        <v>0</v>
      </c>
      <c r="EN56">
        <f>IF($EL56=0,0,VLOOKUP($EL56,'Load-DrumTote'!$A$27:$N$136,14,FALSE))</f>
        <v>0</v>
      </c>
      <c r="FB56" s="8" t="s">
        <v>9880</v>
      </c>
      <c r="FC56" s="8" t="s">
        <v>9811</v>
      </c>
      <c r="FD56" s="8">
        <v>1000</v>
      </c>
      <c r="FE56" s="8">
        <v>100</v>
      </c>
      <c r="FG56" s="360" t="str">
        <f t="shared" si="23"/>
        <v/>
      </c>
      <c r="FH56" s="155">
        <f>IF(Tank1!$D$22="NO CONTROL",_xlfn.MAXIFS(Tank1!$G$32:$G$141,Tank1!$E$32:$E$141,$FG56),0)*IFERROR($QR$3,0)</f>
        <v>0</v>
      </c>
      <c r="FI56" s="155">
        <f>_xlfn.MAXIFS(LandEmiss!$AF$20:$AF$119,LandEmiss!$AE$20:$AE$119,$FG56)*IFERROR($QR$3,0)</f>
        <v>0</v>
      </c>
      <c r="FJ56" s="155">
        <f>MAX(_xlfn.MAXIFS(LandEmiss!$CO$20:$CO$119,LandEmiss!$CN$20:$CN$119,$FG56),_xlfn.MAXIFS(LandEmiss!$EZ$9:$EZ$108,LandEmiss!$EY$9:$EY$108,$FG56))*IFERROR($QR$3,0)</f>
        <v>0</v>
      </c>
      <c r="FK56" s="155">
        <f>IF(Tank2!$D$22="NO CONTROL",_xlfn.MAXIFS(Tank2!$G$32:$G$141,Tank2!$E$32:$E$141,$FG56),0)*IFERROR($QR$4,0)</f>
        <v>0</v>
      </c>
      <c r="FL56" s="155">
        <f>_xlfn.MAXIFS(LandEmiss!$AG$20:$AG$119,LandEmiss!$AE$20:$AE$119,$FG56)*IFERROR($QR$4,0)</f>
        <v>0</v>
      </c>
      <c r="FM56" s="155">
        <f>MAX(_xlfn.MAXIFS(LandEmiss!$CP$20:$CP$119,LandEmiss!$CN$20:$CN$119,$FG56),_xlfn.MAXIFS(LandEmiss!$FA$9:$FA$108,LandEmiss!$EY$9:$EY$108,$FG56))*IFERROR($QR$4,0)</f>
        <v>0</v>
      </c>
      <c r="FN56" s="155">
        <f>IF(Tank3!$D$22="NO CONTROL",_xlfn.MAXIFS(Tank3!$G$32:$G$141,Tank3!$E$32:$E$141,$FG56),0)*IFERROR($QR$5,0)</f>
        <v>0</v>
      </c>
      <c r="FO56" s="155">
        <f>_xlfn.MAXIFS(LandEmiss!$AH$20:$AH$119,LandEmiss!$AE$20:$AE$119,$FG56)*IFERROR($QR$5,0)</f>
        <v>0</v>
      </c>
      <c r="FP56" s="155">
        <f>MAX(_xlfn.MAXIFS(LandEmiss!$CQ$20:$CQ$119,LandEmiss!$CN$20:$CN$119,$FG56),_xlfn.MAXIFS(LandEmiss!$FB$9:$FB$108,LandEmiss!$EY$9:$EY$108,$FG56))*IFERROR($QR$5,0)</f>
        <v>0</v>
      </c>
      <c r="FQ56" s="155">
        <f>IF(Tank4!$D$22="NO CONTROL",_xlfn.MAXIFS(Tank4!$G$32:$G$141,Tank4!$E$32:$E$141,$FG56),0)*IFERROR($QR$6,0)</f>
        <v>0</v>
      </c>
      <c r="FR56" s="155">
        <f>_xlfn.MAXIFS(LandEmiss!$AI$20:$AI$119,LandEmiss!$AE$20:$AE$119,$FG56)*IFERROR($QR$6,0)</f>
        <v>0</v>
      </c>
      <c r="FS56" s="155">
        <f>MAX(_xlfn.MAXIFS(LandEmiss!$CR$20:$CR$119,LandEmiss!$CN$20:$CN$119,$FG56),_xlfn.MAXIFS(LandEmiss!$FC$9:$FC$108,LandEmiss!$EY$9:$EY$108,$FG56))*IFERROR($QR$6,0)</f>
        <v>0</v>
      </c>
      <c r="FT56" s="155">
        <f>IF(Tank5!$D$22="NO CONTROL",_xlfn.MAXIFS(Tank5!$G$32:$G$141,Tank5!$E$32:$E$141,$FG56),0)*IFERROR($QR$7,0)</f>
        <v>0</v>
      </c>
      <c r="FU56" s="155">
        <f>_xlfn.MAXIFS(LandEmiss!$AJ$20:$AJ$119,LandEmiss!$AE$20:$AE$119,$FG56)*IFERROR($QR$7,0)</f>
        <v>0</v>
      </c>
      <c r="FV56" s="155">
        <f>MAX(_xlfn.MAXIFS(LandEmiss!$CS$20:$CS$119,LandEmiss!$CN$20:$CN$119,$FG56),_xlfn.MAXIFS(LandEmiss!$FD$9:$FD$108,LandEmiss!$EY$9:$EY$108,$FG56))*IFERROR($QR61,0)</f>
        <v>0</v>
      </c>
      <c r="FW56" s="155">
        <f>_xlfn.MAXIFS('Load-DrumTote'!$K$27:$K$136,'Load-DrumTote'!$F$27:$F$136,$FG56)*IFERROR($QR$8,0)</f>
        <v>0</v>
      </c>
      <c r="FX56" s="155">
        <f>_xlfn.MAXIFS('Load-Truck'!$K$27:$K$136,'Load-Truck'!$F$27:$F$136,$FG56)*IFERROR($QR$9,0)</f>
        <v>0</v>
      </c>
      <c r="FY56" s="155">
        <f>_xlfn.MAXIFS('Load-Rail'!$K$27:$K$136,'Load-Rail'!$F$27:$F$136,$FG56)*IFERROR($QR$10,0)</f>
        <v>0</v>
      </c>
      <c r="FZ56" s="155">
        <f>_xlfn.MAXIFS('Load-MarineBarge'!$K$27:$K$136,'Load-MarineBarge'!$F$27:$F$136,$FG56)*IFERROR($QR$11,0)</f>
        <v>0</v>
      </c>
      <c r="GA56" s="155">
        <f>_xlfn.MAXIFS('Load-MarineShip'!$K$27:$K$136,'Load-MarineShip'!$F$27:$F$136,$FG56)*IFERROR($QR$12,0)</f>
        <v>0</v>
      </c>
      <c r="GB56" s="313">
        <f>IF(OR(Flare!$D$24="fuel gas",Flare!$D$38="fuel gas"),SUMIF(Flare!$E$97:$E$106,$FG56,Flare!$F$97:$F$106),0)*IFERROR($QR$13,0)</f>
        <v>0</v>
      </c>
      <c r="GC56" s="313">
        <f>(_xlfn.MAXIFS(CtrlDevImpacts!$I$57:$I$156,CtrlDevImpacts!$H$57:$H$156,$FG56))*IFERROR($QR$13,0)</f>
        <v>0</v>
      </c>
      <c r="GD56" s="313">
        <f>(_xlfn.MAXIFS(Flare!$F$107:$F$216,Flare!$E$107:$E$216,$FG56)-_xlfn.MAXIFS(CtrlDevImpacts!$I$57:$I$156,CtrlDevImpacts!$H$57:$H$156,$FG56))*IFERROR($QR$13,0)</f>
        <v>0</v>
      </c>
      <c r="GE56" s="155">
        <f>_xlfn.MAXIFS(LandEmiss!$B$335:$B$434,LandEmiss!$A$335:$A$434,$FG56)*IFERROR($QR$13,0)</f>
        <v>0</v>
      </c>
      <c r="GF56" s="155">
        <f>(_xlfn.MAXIFS(LandEmiss!$BK$335:$BK$434,LandEmiss!$BJ$335:$BJ$434,$FG56)+_xlfn.MAXIFS(LandEmiss!$DV$323:$DV$422,LandEmiss!$DU$323:$DU$422,$FG56))*IFERROR($QR$13,0)</f>
        <v>0</v>
      </c>
      <c r="GG56" s="313">
        <f>IF(OR(VCU!$D$26="fuel gas",VCU!$D$42="fuel gas"),SUMIF(VCU!$E$120:$E$129,$FG56,VCU!$F$120:$F$129),0)*IFERROR($QR$14,0)</f>
        <v>0</v>
      </c>
      <c r="GH56" s="313">
        <f>(_xlfn.MAXIFS(CtrlDevImpacts!$X$57:$X$156,CtrlDevImpacts!$W$57:$W$156,$FG56))*IFERROR($QR$14,0)</f>
        <v>0</v>
      </c>
      <c r="GI56" s="313">
        <f>(_xlfn.MAXIFS(VCU!$F$130:$F$239,VCU!$E$130:$E$239,$FG56)-_xlfn.MAXIFS(CtrlDevImpacts!$X$57:$X$156,CtrlDevImpacts!$W$57:$W$156,$FG56))*IFERROR($QR$14,0)</f>
        <v>0</v>
      </c>
      <c r="GJ56" s="155">
        <f>_xlfn.MAXIFS(LandEmiss!$D$335:$D$434,LandEmiss!$A$335:$A$434,$FG56)*IFERROR($QR$14,0)</f>
        <v>0</v>
      </c>
      <c r="GK56" s="155">
        <f>(_xlfn.MAXIFS(LandEmiss!$BM$335:$BM$434,LandEmiss!$BJ$335:$BJ$434,$FG56)+_xlfn.MAXIFS(LandEmiss!$DX$323:$DX$422,LandEmiss!$DU$323:$DU$422,$FG56))*IFERROR($QR$14,0)</f>
        <v>0</v>
      </c>
      <c r="GL56" s="313">
        <f>IF(VaporOxidizer!D87="FUEL GAS",SUMIF(VaporOxidizer!$E$101:$E$110,$FG56,VaporOxidizer!$F$101:$F$110),0)*IFERROR($QR$15,0)</f>
        <v>0</v>
      </c>
      <c r="GM56" s="313">
        <f>(_xlfn.MAXIFS(CtrlDevImpacts!$AN$57:$AN$156,CtrlDevImpacts!$AM$57:$AM$156,$FG56))*IFERROR($QR$15,0)</f>
        <v>0</v>
      </c>
      <c r="GN56" s="313">
        <f>(_xlfn.MAXIFS(VaporOxidizer!$F$111:$F$220,VaporOxidizer!$E$111:$E$220,$FG56)-_xlfn.MAXIFS(CtrlDevImpacts!$AN$57:$AN$156,CtrlDevImpacts!$AM$57:$AM$156,$FG56))*IFERROR($QR$15,0)</f>
        <v>0</v>
      </c>
      <c r="GO56" s="155">
        <f>_xlfn.MAXIFS(LandEmiss!$F$335:$F$434,LandEmiss!$A$335:$A$434,$FG56)*IFERROR($QR$15,0)</f>
        <v>0</v>
      </c>
      <c r="GP56" s="155">
        <f>(_xlfn.MAXIFS(LandEmiss!$BK$335:$BK$434,LandEmiss!$BO$335:$BO$434,$FG56)+_xlfn.MAXIFS(LandEmiss!$DZ$323:$DZ$422,LandEmiss!$DU$323:$DU$422,$FG56))*IFERROR($QR$15,0)</f>
        <v>0</v>
      </c>
      <c r="GQ56" s="313">
        <f>_xlfn.MAXIFS(CtrlDevImpacts!$BD$57:$BD$156,CtrlDevImpacts!$BC$57:$BC$156,$FG56)*IFERROR(Hidden!$QR$16,0)</f>
        <v>0</v>
      </c>
      <c r="GR56" s="313">
        <f>(_xlfn.MAXIFS(CAS!$H$35:$H$144,CAS!$E$35:$E$144,$FG56)-_xlfn.MAXIFS(CtrlDevImpacts!$BD$57:$BD$156,CtrlDevImpacts!$BC$57:$BC$156,$FG56))*IFERROR(Hidden!$QR$16,0)</f>
        <v>0</v>
      </c>
      <c r="GS56" s="155">
        <f>_xlfn.MAXIFS(LandEmiss!$H$335:$H$434,LandEmiss!$A$335:$A$434,$FG56)*IFERROR($QR$27,0)</f>
        <v>0</v>
      </c>
      <c r="GT56" s="155">
        <f>(_xlfn.MAXIFS(LandEmiss!$BK$335:$BK$434,LandEmiss!$BQ$335:$BQ$434,$FG56)+_xlfn.MAXIFS(LandEmiss!$EB$323:$EB$422,LandEmiss!$DU$323:$DU$422,$FG56))*IFERROR($QR$27,0)</f>
        <v>0</v>
      </c>
      <c r="GU56" s="155">
        <f>_xlfn.MAXIFS(LandEmiss!$J$335:$J$434,LandEmiss!$A$335:$A$434,$FG56)*IFERROR($QR$26,0)</f>
        <v>0</v>
      </c>
      <c r="GV56" s="155">
        <f>(_xlfn.MAXIFS(LandEmiss!$BK$335:$BK$434,LandEmiss!$BS$335:$BS$434,$FG56)+_xlfn.MAXIFS(LandEmiss!$ED$323:$ED$422,LandEmiss!$DU$323:$DU$422,$FG56))*IFERROR($QR$26,0)</f>
        <v>0</v>
      </c>
      <c r="GW56" s="155">
        <f>_xlfn.MAXIFS(LandEmiss!$L$335:$L$434,LandEmiss!$A$335:$A$434,$FG56)*IFERROR($QR$25,0)</f>
        <v>0</v>
      </c>
      <c r="GX56" s="155">
        <f>(_xlfn.MAXIFS(LandEmiss!$BK$335:$BK$434,LandEmiss!$BU$335:$BU$434,$FG56)+_xlfn.MAXIFS(LandEmiss!$EF$323:$EF$422,LandEmiss!$DU$323:$DU$422,$FG56))*IFERROR($QR$25,0)</f>
        <v>0</v>
      </c>
      <c r="GY56" s="155">
        <v>0</v>
      </c>
      <c r="GZ56" s="155">
        <v>0</v>
      </c>
      <c r="HA56" s="155">
        <f>IF(OR(HeaterBoiler1!$E$26&lt;&gt;"fuel gas",HeaterBoiler1!$E$15&lt;&gt;"heater"),0,SUMIF(HeaterBoiler1!$A$54:$D$63,$FG56,HeaterBoiler1!$I$54:$I$63))*IFERROR($QR$19,0)</f>
        <v>0</v>
      </c>
      <c r="HB56" s="207">
        <f>IF(OR(HeaterBoiler2!$E$26&lt;&gt;"fuel gas",HeaterBoiler2!$E$15&lt;&gt;"heater"),0,SUMIF(HeaterBoiler2!$A$54:$D$63,$FG56,HeaterBoiler2!$I$54:$I$63))*IFERROR($QR$21,0)</f>
        <v>0</v>
      </c>
      <c r="HC56" s="155">
        <f>IF(OR(HeaterBoiler1!$E$26&lt;&gt;"fuel gas",HeaterBoiler1!$E$15&lt;&gt;"boiler"),0,SUMIF(HeaterBoiler1!$A$41:$A$50,$FG56,HeaterBoiler1!$F$41:$F$50))*IFERROR($QR$20,0)</f>
        <v>0</v>
      </c>
      <c r="HD56" s="207">
        <f>IF(OR(HeaterBoiler2!$E$26&lt;&gt;"fuel gas",HeaterBoiler2!$E$15&lt;&gt;"boiler"),0,SUMIF(HeaterBoiler2!$A$41:$A$50,$FG56,HeaterBoiler2!$F$41:$F$50))*IFERROR($QR$22,0)</f>
        <v>0</v>
      </c>
      <c r="HE56" s="155">
        <f>SUMIF(Fug!$A$96:$A$205,$FG56,Fug!$I$96:$I$205)*IFERROR(Hidden!$QR$23,0)</f>
        <v>0</v>
      </c>
      <c r="HF56" s="155">
        <f t="shared" si="24"/>
        <v>0</v>
      </c>
      <c r="HG56" s="156">
        <f t="shared" si="25"/>
        <v>0</v>
      </c>
      <c r="HH56" s="156">
        <f t="shared" si="26"/>
        <v>0</v>
      </c>
      <c r="HI56" s="156">
        <f t="shared" si="27"/>
        <v>0</v>
      </c>
      <c r="HJ56" s="156">
        <f t="shared" si="28"/>
        <v>0</v>
      </c>
      <c r="HK56" s="156">
        <f t="shared" si="29"/>
        <v>0</v>
      </c>
      <c r="HL56" s="156">
        <f t="shared" si="30"/>
        <v>0</v>
      </c>
      <c r="NO56" s="155">
        <f>IF(Tank1!$D$22="No control",(SUMIF(Tank1!$E$32:$E$141,$FG56,Tank1!$H$32:$H$141)*(2000/8760)*IFERROR($QV$3,0)),0)</f>
        <v>0</v>
      </c>
      <c r="NP56" s="156">
        <f>SUMIF(LandEmiss!$AE$20:$AE$119,$FG56,LandEmiss!$AK$20:$AK$119)*(2000/8760)*IFERROR($QV$3,0)</f>
        <v>0</v>
      </c>
      <c r="NQ56" s="156">
        <f>(SUMIF(LandEmiss!$CN$20:$CN$119,$FG56,LandEmiss!$CT$20:$CT$119)+SUMIF(LandEmiss!$EY$9:$EY$108,$FG56,LandEmiss!$FE$9:$FE$108))*IFERROR($QV$3,0)*(2000/8760)</f>
        <v>0</v>
      </c>
      <c r="NR56" s="155">
        <f>IF(Tank2!$D$22="No control",(SUMIF(Tank2!$E$32:$E$141,$FG56,Tank2!$H$32:$H$141)*(2000/8760)*IFERROR($QV$4,0)),0)</f>
        <v>0</v>
      </c>
      <c r="NS56" s="156">
        <f>SUMIF(LandEmiss!$AE$20:$AE$119,$FG56,LandEmiss!$AL$20:$AL$119)*(2000/8760)*IFERROR($QV$4,0)</f>
        <v>0</v>
      </c>
      <c r="NT56" s="156">
        <f>(SUMIF(LandEmiss!$CN$20:$CN$119,$FG56,LandEmiss!$CU$20:$CU$119)+SUMIF(LandEmiss!$EY$9:$EY$108,$FG56,LandEmiss!$FF$9:$FF$108))*IFERROR($QV$4,0)*(2000/8760)</f>
        <v>0</v>
      </c>
      <c r="NU56" s="155">
        <f>IF(Tank3!$D$22="No control",(SUMIF(Tank3!$E$32:$E$141,$FG56,Tank3!$H$32:$H$141)*(2000/8760)*IFERROR($QV$5,0)),0)</f>
        <v>0</v>
      </c>
      <c r="NV56" s="156">
        <f>SUMIF(LandEmiss!$AE$20:$AE$119,$FG56,LandEmiss!$AM$20:$AM$119)*(2000/8760)*IFERROR($QV$5,0)</f>
        <v>0</v>
      </c>
      <c r="NW56" s="156">
        <f>(SUMIF(LandEmiss!$CN$20:$CN$119,$FG56,LandEmiss!$CV$20:$CV$119)+SUMIF(LandEmiss!$EY$9:$EY$108,$FG56,LandEmiss!$FG$9:$FG$108))*IFERROR($QV$5,0)*(2000/8760)</f>
        <v>0</v>
      </c>
      <c r="NX56" s="155">
        <f>IF(Tank4!$D$22="No control",(SUMIF(Tank4!$E$32:$E$141,$FG56,Tank4!$H$32:$H$141)*(2000/8760)*IFERROR($QV$6,0)),0)</f>
        <v>0</v>
      </c>
      <c r="NY56" s="156">
        <f>SUMIF(LandEmiss!$AE$20:$AE$119,$FG56,LandEmiss!$AN$20:$AN$119)*(2000/8760)*IFERROR($QV$6,0)</f>
        <v>0</v>
      </c>
      <c r="NZ56" s="156">
        <f>(SUMIF(LandEmiss!$CN$20:$CN$119,$FG56,LandEmiss!$CW$20:$CW$119)+SUMIF(LandEmiss!$EY$9:$EY$108,$FG56,LandEmiss!$FH$9:$FH$108))*IFERROR($QV$6,0)*(2000/8760)</f>
        <v>0</v>
      </c>
      <c r="OA56" s="155">
        <f>IF(Tank5!$D$22="No control",(SUMIF(Tank5!$E$32:$E$141,$FG56,Tank5!$H$32:$H$141)*(2000/8760)*IFERROR($QV$7,0)),0)</f>
        <v>0</v>
      </c>
      <c r="OB56" s="156">
        <f>SUMIF(LandEmiss!$AE$20:$AE$119,$FG56,LandEmiss!$AO$20:$AO$119)*(2000/8760)*IFERROR($QV$7,0)</f>
        <v>0</v>
      </c>
      <c r="OC56" s="156">
        <f>(SUMIF(LandEmiss!$CN$20:$CN$119,$FG56,LandEmiss!$CX$20:$CX$119)+SUMIF(LandEmiss!$EY$9:$EY$108,$FG56,LandEmiss!$FI$9:$FI$108))*IFERROR($QV$7,0)*(2000/8760)</f>
        <v>0</v>
      </c>
      <c r="OD56" s="155">
        <f>SUMIFS('Load-DrumTote'!$L$27:$L$136,'Load-DrumTote'!$F$27:$F$136,$FG56)*IFERROR($QV$8,0)*(2000/8760)</f>
        <v>0</v>
      </c>
      <c r="OE56" s="155">
        <f>SUMIFS('Load-Truck'!$L$27:$L$136,'Load-Truck'!$F$27:$F$136,$FG56)*IFERROR($QV$9,0)*(2000/8760)</f>
        <v>0</v>
      </c>
      <c r="OF56" s="155">
        <f>SUMIFS('Load-Rail'!$L$27:$L$136,'Load-Rail'!$F$27:$F$136,$FG56)*IFERROR($QV$10,0)*(2000/8760)</f>
        <v>0</v>
      </c>
      <c r="OG56" s="155">
        <f>SUMIFS('Load-MarineBarge'!$L$27:$L$136,'Load-MarineBarge'!$F$27:$F$136,$FG56)*IFERROR($QV$11,0)*(2000/8760)</f>
        <v>0</v>
      </c>
      <c r="OH56" s="155">
        <f>SUMIFS('Load-MarineShip'!$L$27:$L$136,'Load-MarineShip'!$F$27:$F$136,$FG56)*IFERROR($QV$12,0)*(2000/8760)</f>
        <v>0</v>
      </c>
      <c r="OI56" s="155">
        <f>(IF(OR(Flare!$D$24="FUEL GAS",Flare!$D$38="FUEL GAS"),SUMIF(Flare!$E$97:$E$106,$FG56,Flare!$G$97:$G$105),0)+SUMIF(Flare!$E$107:$E$216,$FG56,Flare!$G$107:$G$216))*(2000/8730)*IFERROR($QV$13,0)</f>
        <v>0</v>
      </c>
      <c r="OJ56" s="155">
        <f>SUMIF(LandEmiss!$A$335:$A$434,$FG56,LandEmiss!$C$335:$C$434)*(2000/8760)*IFERROR($QV$13,0)</f>
        <v>0</v>
      </c>
      <c r="OK56" s="155">
        <f>(SUMIF(LandEmiss!$BJ$335:$BJ$434,$FG56,LandEmiss!$BL$335:$BL$434)+SUMIF(LandEmiss!$DU$323:$DU$422,$FG56,LandEmiss!$DW$323:$DW$422))*(2000/8760)*IFERROR($QV$13,0)</f>
        <v>0</v>
      </c>
      <c r="OL56" s="155">
        <f>(IF(OR(VCU!$D$26="FUEL GAS",VCU!$D$42="FUEL GAS"),SUMIF(VCU!$E$120:$E$129,$FG56,VCU!$G$120:$G$129),0)+SUMIF(VCU!$E$130:$E$239,$FG56,VCU!G184:G293))*(2000/8760)*IFERROR($QV$14,0)</f>
        <v>0</v>
      </c>
      <c r="OM56" s="155">
        <f>SUMIF(LandEmiss!$A$335:$A$434,$FG56,LandEmiss!$E$335:$E$434)*(2000/8760)*IFERROR($QV$14,0)</f>
        <v>0</v>
      </c>
      <c r="ON56" s="155">
        <f>(SUMIF(LandEmiss!$BJ$335:$BJ$434,$FG56,LandEmiss!$BN$335:$BN$434)+SUMIF(LandEmiss!$DU$323:$DU$422,$FG56,LandEmiss!$DY$323:$DY$422))*(2000/8760)*IFERROR($QV$14,0)</f>
        <v>0</v>
      </c>
      <c r="OO56" s="155">
        <f>(IF(VaporOxidizer!$D$33="FUEL GAS",SUMIF(VaporOxidizer!$E$101:$E$110,$FG56,VaporOxidizer!$G$101:$G$110),0)+SUMIF(VaporOxidizer!$E$111:$E$220,$FG56,VaporOxidizer!$G$111:$G$220))*(2000/8760)*IFERROR($QV$15,0)</f>
        <v>0</v>
      </c>
      <c r="OP56" s="155">
        <f>SUMIF(LandEmiss!$A$335:$A$434,$FG56,LandEmiss!$G$335:$G$434)*(2000/8760)*IFERROR($QV$15,0)</f>
        <v>0</v>
      </c>
      <c r="OQ56" s="155">
        <f>(SUMIF(LandEmiss!$BJ$335:$BJ$434,$FG56,LandEmiss!$BP$335:$BP$434)+SUMIF(LandEmiss!$DU$323:$DU$422,$FG56,LandEmiss!$EA$323:$EA$422))*(2000/8760)*IFERROR($QV$15,0)</f>
        <v>0</v>
      </c>
      <c r="OR56" s="155">
        <f>SUMIF(CAS!$E$35:$E$144,Hidden!$FG56,CAS!$I$35:$I$144)*IFERROR($QV$16,0)*(2000/8760)</f>
        <v>0</v>
      </c>
      <c r="OS56" s="155">
        <f>SUMIF(LandEmiss!$A$335:$A$434,$FG56,LandEmiss!$I$335:$I$434)*(2000/8760)*IFERROR($QV$27,0)</f>
        <v>0</v>
      </c>
      <c r="OT56" s="155">
        <f>(SUMIF(LandEmiss!$BJ$335:$BJ$434,$FG56,LandEmiss!$BR$335:$BR$434)+SUMIF(LandEmiss!$DU$323:$DU$422,$FG56,LandEmiss!$EC$323:$EC$422))*(2000/8760)*IFERROR($QV$27,0)</f>
        <v>0</v>
      </c>
      <c r="OU56" s="155">
        <f>SUMIF(LandEmiss!$A$335:$A$434,$FG56,LandEmiss!$K$335:$K$434)*(2000/8760)*IFERROR($QV$26,0)</f>
        <v>0</v>
      </c>
      <c r="OV56" s="155">
        <f>(SUMIF(LandEmiss!$BJ$335:$BJ$434,$FG56,LandEmiss!$BT$335:$BT$434)+SUMIF(LandEmiss!$DU$323:$DU$422,$FG56,LandEmiss!$EE$323:$EE$422))*(2000/8760)*IFERROR($QV$26,0)</f>
        <v>0</v>
      </c>
      <c r="OW56" s="155">
        <f>SUMIF(LandEmiss!$A$335:$A$434,$FG56,LandEmiss!$M$335:$M$434)*(2000/8760)*IFERROR($QV$25,0)</f>
        <v>0</v>
      </c>
      <c r="OX56" s="155">
        <f>(SUMIF(LandEmiss!$BJ$335:$BJ$434,$FG56,LandEmiss!$BV$335:$BV$434)+SUMIF(LandEmiss!$DU$323:$DU$422,$FG56,LandEmiss!$EG$323:$EG$422))*(2000/8760)*IFERROR($QV$25,0)</f>
        <v>0</v>
      </c>
      <c r="OY56" s="8">
        <v>0</v>
      </c>
      <c r="OZ56" s="207">
        <v>0</v>
      </c>
      <c r="PA56" s="207">
        <f>IF(OR(HeaterBoiler1!$E$26&lt;&gt;"fuel gas",HeaterBoiler1!$E$15&lt;&gt;"heater"),0,(SUMIF(HeaterBoiler1!$A$54:$D$63,$FG56,HeaterBoiler1!$J$54:$J$63))*(2000/8760))*IFERROR($QV$19,0)</f>
        <v>0</v>
      </c>
      <c r="PB56" s="207">
        <f>IF(OR(HeaterBoiler2!$E$26&lt;&gt;"fuel gas",HeaterBoiler2!$E$15&lt;&gt;"heater"),0,(SUMIF(HeaterBoiler2!$A$54:$D$63,$FG56,HeaterBoiler2!$J$54:$J$63))*(2000/8760))*IFERROR($QV$21,0)</f>
        <v>0</v>
      </c>
      <c r="PC56" s="207">
        <f>IF(OR(HeaterBoiler1!$E$26&lt;&gt;"fuel gas",HeaterBoiler1!$E$15&lt;&gt;"boiler"),0,(SUMIF(HeaterBoiler1!$A$54:$D$63,$FG56,HeaterBoiler1!$J$54:$J$63))*(2000/8760))*IFERROR($QV$20,0)</f>
        <v>0</v>
      </c>
      <c r="PD56" s="207">
        <f>IF(OR(HeaterBoiler2!$E$26&lt;&gt;"fuel gas",HeaterBoiler2!$E$15&lt;&gt;"boiler"),0,(SUMIF(HeaterBoiler2!$A$54:$D$63,$FG56,HeaterBoiler2!$J$54:$J$63))*(2000/8760))*IFERROR($QV$22,0)</f>
        <v>0</v>
      </c>
      <c r="PE56" s="8">
        <f>(SUMIF(Fug!$A$96:$A$205,$FG56,Fug!$J$96:$J$205))*IFERROR($QV$23,0)*(2000/8760)</f>
        <v>0</v>
      </c>
      <c r="PF56" s="8">
        <f t="shared" si="31"/>
        <v>0</v>
      </c>
      <c r="PG56" s="156">
        <f t="shared" si="32"/>
        <v>0</v>
      </c>
      <c r="PJ56" s="52" t="str">
        <f>IF(Fug!$F$16=Hidden!$PP$2,"Connectors [8]","")</f>
        <v/>
      </c>
      <c r="PK56" s="52" t="str">
        <f>IF(Fug!$F$16=Hidden!$PP$2,"Water/Light Oil","")</f>
        <v/>
      </c>
      <c r="PL56" s="52"/>
      <c r="PM56" s="52"/>
      <c r="PN56" s="52"/>
      <c r="PO56" s="52"/>
      <c r="PP56" s="52">
        <v>2.43E-4</v>
      </c>
      <c r="PQ56" s="52"/>
      <c r="PR56" s="52"/>
      <c r="PS56" s="52"/>
      <c r="PT56" s="52" t="s">
        <v>8796</v>
      </c>
      <c r="PU56" s="52" t="s">
        <v>8776</v>
      </c>
      <c r="PV56" s="52">
        <v>0</v>
      </c>
      <c r="PW56" s="52">
        <v>0</v>
      </c>
      <c r="PX56" s="52">
        <v>0</v>
      </c>
      <c r="PY56" s="52">
        <v>0</v>
      </c>
      <c r="PZ56" s="52">
        <v>0</v>
      </c>
      <c r="QA56" s="52">
        <v>0</v>
      </c>
      <c r="QB56" s="52"/>
      <c r="QC56" s="52"/>
      <c r="QD56" s="52"/>
      <c r="QE56" s="52"/>
      <c r="QF56" s="52"/>
      <c r="QG56" s="52"/>
      <c r="QH56" s="52"/>
      <c r="QI56" s="52"/>
      <c r="QX56" s="89" t="s">
        <v>9333</v>
      </c>
      <c r="QY56">
        <v>25.84</v>
      </c>
      <c r="QZ56">
        <v>25.84</v>
      </c>
      <c r="RA56">
        <v>25.84</v>
      </c>
      <c r="RB56">
        <v>24.21</v>
      </c>
      <c r="RC56">
        <v>18.420000000000002</v>
      </c>
      <c r="RD56">
        <v>14.23</v>
      </c>
      <c r="RE56">
        <v>11.58</v>
      </c>
      <c r="RF56">
        <v>7.6</v>
      </c>
      <c r="RG56" s="90">
        <v>5.55</v>
      </c>
      <c r="RH56" s="89" t="s">
        <v>9333</v>
      </c>
      <c r="RI56">
        <v>23.61</v>
      </c>
      <c r="RJ56">
        <v>23.61</v>
      </c>
      <c r="RK56">
        <v>23.61</v>
      </c>
      <c r="RL56">
        <v>22.64</v>
      </c>
      <c r="RM56">
        <v>18.260000000000002</v>
      </c>
      <c r="RN56">
        <v>14.04</v>
      </c>
      <c r="RO56">
        <v>11.53</v>
      </c>
      <c r="RP56">
        <v>7.55</v>
      </c>
      <c r="RQ56" s="90">
        <v>5.49</v>
      </c>
      <c r="RR56" s="89" t="s">
        <v>9333</v>
      </c>
      <c r="RS56">
        <v>19.78</v>
      </c>
      <c r="RT56">
        <v>19.78</v>
      </c>
      <c r="RU56">
        <v>19.78</v>
      </c>
      <c r="RV56">
        <v>19.78</v>
      </c>
      <c r="RW56">
        <v>16.66</v>
      </c>
      <c r="RX56">
        <v>13.73</v>
      </c>
      <c r="RY56">
        <v>10.93</v>
      </c>
      <c r="RZ56">
        <v>7.23</v>
      </c>
      <c r="SA56" s="90">
        <v>5.26</v>
      </c>
      <c r="SB56" s="89" t="s">
        <v>9333</v>
      </c>
      <c r="SC56">
        <v>11.82</v>
      </c>
      <c r="SD56">
        <v>11.82</v>
      </c>
      <c r="SE56">
        <v>11.82</v>
      </c>
      <c r="SF56">
        <v>11.82</v>
      </c>
      <c r="SG56">
        <v>11.82</v>
      </c>
      <c r="SH56">
        <v>9.74</v>
      </c>
      <c r="SI56">
        <v>8.0500000000000007</v>
      </c>
      <c r="SJ56">
        <v>5.57</v>
      </c>
      <c r="SK56" s="90">
        <v>3.87</v>
      </c>
      <c r="SL56" s="89" t="s">
        <v>9333</v>
      </c>
      <c r="SM56">
        <v>1.1399999999999999</v>
      </c>
      <c r="SN56">
        <v>1.1399999999999999</v>
      </c>
      <c r="SO56">
        <v>1.1399999999999999</v>
      </c>
      <c r="SP56">
        <v>1.1399999999999999</v>
      </c>
      <c r="SQ56">
        <v>1.1399999999999999</v>
      </c>
      <c r="SR56">
        <v>1.1299999999999999</v>
      </c>
      <c r="SS56">
        <v>1.07</v>
      </c>
      <c r="ST56">
        <v>0.79</v>
      </c>
      <c r="SU56" s="90">
        <v>0.59</v>
      </c>
    </row>
    <row r="57" spans="1:515" ht="74.25" customHeight="1" x14ac:dyDescent="0.2">
      <c r="W57">
        <f>IF(OR(X57=0,ISNUMBER(MATCH(X57,$X$1:X56,0))),0,MAX($W$1:W56)+1)</f>
        <v>0</v>
      </c>
      <c r="X57" s="123">
        <f>Products!$E104</f>
        <v>0</v>
      </c>
      <c r="Y57" t="str">
        <f t="shared" si="39"/>
        <v/>
      </c>
      <c r="CA57">
        <f>IF(OR(CB57=0,ISNUMBER(MATCH(CB57,$CB$1:CB56,0))),0,MAX($CA$1:CA56)+1)</f>
        <v>0</v>
      </c>
      <c r="CB57" s="8">
        <f>IF(OR(Tank1!$D$18="EXTERNAL FLOATING ROOF",Tank1!$D$18="INTERNAL FLOATING ROOF"),IF(Tank1!$E87="",0,Tank1!$E87),0)</f>
        <v>0</v>
      </c>
      <c r="CC57" s="8" t="str">
        <f t="shared" si="40"/>
        <v/>
      </c>
      <c r="CD57" s="8"/>
      <c r="CE57" s="8">
        <f>IF(OR(CF57=0,ISNUMBER(MATCH(CF57,$CF$1:CF56,0))),0,MAX($CE$1:CE56)+1)</f>
        <v>0</v>
      </c>
      <c r="CF57" s="8">
        <f>IF(OR(Tank1!$D$18="HORIZONTAL FIXED ROOF",Tank1!$D$18="VERTICAL FIXED ROOF"),IF(Tank1!$E87="",0,Tank1!$E87),0)</f>
        <v>0</v>
      </c>
      <c r="CG57" s="8" t="str">
        <f t="shared" si="41"/>
        <v/>
      </c>
      <c r="DM57">
        <f>IF(OR(DN57=0,ISNUMBER(MATCH(DN57,$DN$1:DN56,0))),0,MAX($DM$1:DM56)+1)</f>
        <v>0</v>
      </c>
      <c r="DN57">
        <f>IF('Load-DrumTote'!$F$19="Flare",IFERROR(VLOOKUP(Products!$A$109,'Load-DrumTote'!$A$27:$B$136,1,FALSE),0),0)</f>
        <v>0</v>
      </c>
      <c r="DO57">
        <f>IF($DN57=0,0,VLOOKUP($DN57,'Load-DrumTote'!$A$27:$N$136,13,FALSE))</f>
        <v>0</v>
      </c>
      <c r="DP57">
        <f>IF($DN57=0,0,VLOOKUP($DN57,'Load-DrumTote'!$A$27:$N$136,14,FALSE))</f>
        <v>0</v>
      </c>
      <c r="DU57">
        <f>IF(OR(DV57=0,ISNUMBER(MATCH(DV57,$DV$1:DV56,0))),0,MAX($DU$1:DU56)+1)</f>
        <v>0</v>
      </c>
      <c r="DV57">
        <f>IF('Load-DrumTote'!$F$19="VCU",IFERROR(VLOOKUP(Products!$A$109,'Load-DrumTote'!$A$27:$B$136,1,FALSE),0),0)</f>
        <v>0</v>
      </c>
      <c r="DW57">
        <f>IF($DV57=0,0,VLOOKUP($DV57,'Load-DrumTote'!$A$27:$N$136,13,FALSE))</f>
        <v>0</v>
      </c>
      <c r="DX57">
        <f>IF($DV57=0,0,VLOOKUP($DV57,'Load-DrumTote'!$A$27:$N$136,14,FALSE))</f>
        <v>0</v>
      </c>
      <c r="EC57">
        <f>IF(OR(ED57=0,ISNUMBER(MATCH(ED57,$ED$1:ED56,0))),0,MAX($EC$1:EC56)+1)</f>
        <v>0</v>
      </c>
      <c r="ED57">
        <f>IF('Load-DrumTote'!$F$19="vapor oxidizer",IFERROR(VLOOKUP(Products!$A$109,'Load-DrumTote'!$A$27:$B$136,1,FALSE),0),0)</f>
        <v>0</v>
      </c>
      <c r="EE57">
        <f>IF($ED57=0,0,VLOOKUP($ED57,'Load-DrumTote'!$A$27:$N$136,13,FALSE))</f>
        <v>0</v>
      </c>
      <c r="EF57">
        <f>IF($ED57=0,0,VLOOKUP($ED57,'Load-DrumTote'!$A$27:$N$136,14,FALSE))</f>
        <v>0</v>
      </c>
      <c r="EK57">
        <f>IF(OR(EL57=0,ISNUMBER(MATCH(EL57,$EL$1:EL56,0))),0,MAX($EK$1:EK56)+1)</f>
        <v>0</v>
      </c>
      <c r="EL57">
        <f>IF('Load-DrumTote'!$F$19="CAS",IFERROR(VLOOKUP(Products!A109,'Load-DrumTote'!$A$27:$B$136,1,FALSE),0),0)</f>
        <v>0</v>
      </c>
      <c r="EM57">
        <f>IF($EL57=0,0,VLOOKUP($EL57,'Load-DrumTote'!$A$27:$N$136,13,FALSE))</f>
        <v>0</v>
      </c>
      <c r="EN57">
        <f>IF($EL57=0,0,VLOOKUP($EL57,'Load-DrumTote'!$A$27:$N$136,14,FALSE))</f>
        <v>0</v>
      </c>
      <c r="FB57" s="8" t="s">
        <v>465</v>
      </c>
      <c r="FC57" s="8" t="s">
        <v>466</v>
      </c>
      <c r="FD57" s="8">
        <v>1000</v>
      </c>
      <c r="FE57" s="8">
        <v>100</v>
      </c>
      <c r="FG57" s="360" t="str">
        <f t="shared" si="23"/>
        <v/>
      </c>
      <c r="FH57" s="155">
        <f>IF(Tank1!$D$22="NO CONTROL",_xlfn.MAXIFS(Tank1!$G$32:$G$141,Tank1!$E$32:$E$141,$FG57),0)*IFERROR($QR$3,0)</f>
        <v>0</v>
      </c>
      <c r="FI57" s="155">
        <f>_xlfn.MAXIFS(LandEmiss!$AF$20:$AF$119,LandEmiss!$AE$20:$AE$119,$FG57)*IFERROR($QR$3,0)</f>
        <v>0</v>
      </c>
      <c r="FJ57" s="155">
        <f>MAX(_xlfn.MAXIFS(LandEmiss!$CO$20:$CO$119,LandEmiss!$CN$20:$CN$119,$FG57),_xlfn.MAXIFS(LandEmiss!$EZ$9:$EZ$108,LandEmiss!$EY$9:$EY$108,$FG57))*IFERROR($QR$3,0)</f>
        <v>0</v>
      </c>
      <c r="FK57" s="155">
        <f>IF(Tank2!$D$22="NO CONTROL",_xlfn.MAXIFS(Tank2!$G$32:$G$141,Tank2!$E$32:$E$141,$FG57),0)*IFERROR($QR$4,0)</f>
        <v>0</v>
      </c>
      <c r="FL57" s="155">
        <f>_xlfn.MAXIFS(LandEmiss!$AG$20:$AG$119,LandEmiss!$AE$20:$AE$119,$FG57)*IFERROR($QR$4,0)</f>
        <v>0</v>
      </c>
      <c r="FM57" s="155">
        <f>MAX(_xlfn.MAXIFS(LandEmiss!$CP$20:$CP$119,LandEmiss!$CN$20:$CN$119,$FG57),_xlfn.MAXIFS(LandEmiss!$FA$9:$FA$108,LandEmiss!$EY$9:$EY$108,$FG57))*IFERROR($QR$4,0)</f>
        <v>0</v>
      </c>
      <c r="FN57" s="155">
        <f>IF(Tank3!$D$22="NO CONTROL",_xlfn.MAXIFS(Tank3!$G$32:$G$141,Tank3!$E$32:$E$141,$FG57),0)*IFERROR($QR$5,0)</f>
        <v>0</v>
      </c>
      <c r="FO57" s="155">
        <f>_xlfn.MAXIFS(LandEmiss!$AH$20:$AH$119,LandEmiss!$AE$20:$AE$119,$FG57)*IFERROR($QR$5,0)</f>
        <v>0</v>
      </c>
      <c r="FP57" s="155">
        <f>MAX(_xlfn.MAXIFS(LandEmiss!$CQ$20:$CQ$119,LandEmiss!$CN$20:$CN$119,$FG57),_xlfn.MAXIFS(LandEmiss!$FB$9:$FB$108,LandEmiss!$EY$9:$EY$108,$FG57))*IFERROR($QR$5,0)</f>
        <v>0</v>
      </c>
      <c r="FQ57" s="155">
        <f>IF(Tank4!$D$22="NO CONTROL",_xlfn.MAXIFS(Tank4!$G$32:$G$141,Tank4!$E$32:$E$141,$FG57),0)*IFERROR($QR$6,0)</f>
        <v>0</v>
      </c>
      <c r="FR57" s="155">
        <f>_xlfn.MAXIFS(LandEmiss!$AI$20:$AI$119,LandEmiss!$AE$20:$AE$119,$FG57)*IFERROR($QR$6,0)</f>
        <v>0</v>
      </c>
      <c r="FS57" s="155">
        <f>MAX(_xlfn.MAXIFS(LandEmiss!$CR$20:$CR$119,LandEmiss!$CN$20:$CN$119,$FG57),_xlfn.MAXIFS(LandEmiss!$FC$9:$FC$108,LandEmiss!$EY$9:$EY$108,$FG57))*IFERROR($QR$6,0)</f>
        <v>0</v>
      </c>
      <c r="FT57" s="155">
        <f>IF(Tank5!$D$22="NO CONTROL",_xlfn.MAXIFS(Tank5!$G$32:$G$141,Tank5!$E$32:$E$141,$FG57),0)*IFERROR($QR$7,0)</f>
        <v>0</v>
      </c>
      <c r="FU57" s="155">
        <f>_xlfn.MAXIFS(LandEmiss!$AJ$20:$AJ$119,LandEmiss!$AE$20:$AE$119,$FG57)*IFERROR($QR$7,0)</f>
        <v>0</v>
      </c>
      <c r="FV57" s="155">
        <f>MAX(_xlfn.MAXIFS(LandEmiss!$CS$20:$CS$119,LandEmiss!$CN$20:$CN$119,$FG57),_xlfn.MAXIFS(LandEmiss!$FD$9:$FD$108,LandEmiss!$EY$9:$EY$108,$FG57))*IFERROR($QR62,0)</f>
        <v>0</v>
      </c>
      <c r="FW57" s="155">
        <f>_xlfn.MAXIFS('Load-DrumTote'!$K$27:$K$136,'Load-DrumTote'!$F$27:$F$136,$FG57)*IFERROR($QR$8,0)</f>
        <v>0</v>
      </c>
      <c r="FX57" s="155">
        <f>_xlfn.MAXIFS('Load-Truck'!$K$27:$K$136,'Load-Truck'!$F$27:$F$136,$FG57)*IFERROR($QR$9,0)</f>
        <v>0</v>
      </c>
      <c r="FY57" s="155">
        <f>_xlfn.MAXIFS('Load-Rail'!$K$27:$K$136,'Load-Rail'!$F$27:$F$136,$FG57)*IFERROR($QR$10,0)</f>
        <v>0</v>
      </c>
      <c r="FZ57" s="155">
        <f>_xlfn.MAXIFS('Load-MarineBarge'!$K$27:$K$136,'Load-MarineBarge'!$F$27:$F$136,$FG57)*IFERROR($QR$11,0)</f>
        <v>0</v>
      </c>
      <c r="GA57" s="155">
        <f>_xlfn.MAXIFS('Load-MarineShip'!$K$27:$K$136,'Load-MarineShip'!$F$27:$F$136,$FG57)*IFERROR($QR$12,0)</f>
        <v>0</v>
      </c>
      <c r="GB57" s="313">
        <f>IF(OR(Flare!$D$24="fuel gas",Flare!$D$38="fuel gas"),SUMIF(Flare!$E$97:$E$106,$FG57,Flare!$F$97:$F$106),0)*IFERROR($QR$13,0)</f>
        <v>0</v>
      </c>
      <c r="GC57" s="313">
        <f>(_xlfn.MAXIFS(CtrlDevImpacts!$I$57:$I$156,CtrlDevImpacts!$H$57:$H$156,$FG57))*IFERROR($QR$13,0)</f>
        <v>0</v>
      </c>
      <c r="GD57" s="313">
        <f>(_xlfn.MAXIFS(Flare!$F$107:$F$216,Flare!$E$107:$E$216,$FG57)-_xlfn.MAXIFS(CtrlDevImpacts!$I$57:$I$156,CtrlDevImpacts!$H$57:$H$156,$FG57))*IFERROR($QR$13,0)</f>
        <v>0</v>
      </c>
      <c r="GE57" s="155">
        <f>_xlfn.MAXIFS(LandEmiss!$B$335:$B$434,LandEmiss!$A$335:$A$434,$FG57)*IFERROR($QR$13,0)</f>
        <v>0</v>
      </c>
      <c r="GF57" s="155">
        <f>(_xlfn.MAXIFS(LandEmiss!$BK$335:$BK$434,LandEmiss!$BJ$335:$BJ$434,$FG57)+_xlfn.MAXIFS(LandEmiss!$DV$323:$DV$422,LandEmiss!$DU$323:$DU$422,$FG57))*IFERROR($QR$13,0)</f>
        <v>0</v>
      </c>
      <c r="GG57" s="313">
        <f>IF(OR(VCU!$D$26="fuel gas",VCU!$D$42="fuel gas"),SUMIF(VCU!$E$120:$E$129,$FG57,VCU!$F$120:$F$129),0)*IFERROR($QR$14,0)</f>
        <v>0</v>
      </c>
      <c r="GH57" s="313">
        <f>(_xlfn.MAXIFS(CtrlDevImpacts!$X$57:$X$156,CtrlDevImpacts!$W$57:$W$156,$FG57))*IFERROR($QR$14,0)</f>
        <v>0</v>
      </c>
      <c r="GI57" s="313">
        <f>(_xlfn.MAXIFS(VCU!$F$130:$F$239,VCU!$E$130:$E$239,$FG57)-_xlfn.MAXIFS(CtrlDevImpacts!$X$57:$X$156,CtrlDevImpacts!$W$57:$W$156,$FG57))*IFERROR($QR$14,0)</f>
        <v>0</v>
      </c>
      <c r="GJ57" s="155">
        <f>_xlfn.MAXIFS(LandEmiss!$D$335:$D$434,LandEmiss!$A$335:$A$434,$FG57)*IFERROR($QR$14,0)</f>
        <v>0</v>
      </c>
      <c r="GK57" s="155">
        <f>(_xlfn.MAXIFS(LandEmiss!$BM$335:$BM$434,LandEmiss!$BJ$335:$BJ$434,$FG57)+_xlfn.MAXIFS(LandEmiss!$DX$323:$DX$422,LandEmiss!$DU$323:$DU$422,$FG57))*IFERROR($QR$14,0)</f>
        <v>0</v>
      </c>
      <c r="GL57" s="313">
        <f>IF(VaporOxidizer!D88="FUEL GAS",SUMIF(VaporOxidizer!$E$101:$E$110,$FG57,VaporOxidizer!$F$101:$F$110),0)*IFERROR($QR$15,0)</f>
        <v>0</v>
      </c>
      <c r="GM57" s="313">
        <f>(_xlfn.MAXIFS(CtrlDevImpacts!$AN$57:$AN$156,CtrlDevImpacts!$AM$57:$AM$156,$FG57))*IFERROR($QR$15,0)</f>
        <v>0</v>
      </c>
      <c r="GN57" s="313">
        <f>(_xlfn.MAXIFS(VaporOxidizer!$F$111:$F$220,VaporOxidizer!$E$111:$E$220,$FG57)-_xlfn.MAXIFS(CtrlDevImpacts!$AN$57:$AN$156,CtrlDevImpacts!$AM$57:$AM$156,$FG57))*IFERROR($QR$15,0)</f>
        <v>0</v>
      </c>
      <c r="GO57" s="155">
        <f>_xlfn.MAXIFS(LandEmiss!$F$335:$F$434,LandEmiss!$A$335:$A$434,$FG57)*IFERROR($QR$15,0)</f>
        <v>0</v>
      </c>
      <c r="GP57" s="155">
        <f>(_xlfn.MAXIFS(LandEmiss!$BK$335:$BK$434,LandEmiss!$BO$335:$BO$434,$FG57)+_xlfn.MAXIFS(LandEmiss!$DZ$323:$DZ$422,LandEmiss!$DU$323:$DU$422,$FG57))*IFERROR($QR$15,0)</f>
        <v>0</v>
      </c>
      <c r="GQ57" s="313">
        <f>_xlfn.MAXIFS(CtrlDevImpacts!$BD$57:$BD$156,CtrlDevImpacts!$BC$57:$BC$156,$FG57)*IFERROR(Hidden!$QR$16,0)</f>
        <v>0</v>
      </c>
      <c r="GR57" s="313">
        <f>(_xlfn.MAXIFS(CAS!$H$35:$H$144,CAS!$E$35:$E$144,$FG57)-_xlfn.MAXIFS(CtrlDevImpacts!$BD$57:$BD$156,CtrlDevImpacts!$BC$57:$BC$156,$FG57))*IFERROR(Hidden!$QR$16,0)</f>
        <v>0</v>
      </c>
      <c r="GS57" s="155">
        <f>_xlfn.MAXIFS(LandEmiss!$H$335:$H$434,LandEmiss!$A$335:$A$434,$FG57)*IFERROR($QR$27,0)</f>
        <v>0</v>
      </c>
      <c r="GT57" s="155">
        <f>(_xlfn.MAXIFS(LandEmiss!$BK$335:$BK$434,LandEmiss!$BQ$335:$BQ$434,$FG57)+_xlfn.MAXIFS(LandEmiss!$EB$323:$EB$422,LandEmiss!$DU$323:$DU$422,$FG57))*IFERROR($QR$27,0)</f>
        <v>0</v>
      </c>
      <c r="GU57" s="155">
        <f>_xlfn.MAXIFS(LandEmiss!$J$335:$J$434,LandEmiss!$A$335:$A$434,$FG57)*IFERROR($QR$26,0)</f>
        <v>0</v>
      </c>
      <c r="GV57" s="155">
        <f>(_xlfn.MAXIFS(LandEmiss!$BK$335:$BK$434,LandEmiss!$BS$335:$BS$434,$FG57)+_xlfn.MAXIFS(LandEmiss!$ED$323:$ED$422,LandEmiss!$DU$323:$DU$422,$FG57))*IFERROR($QR$26,0)</f>
        <v>0</v>
      </c>
      <c r="GW57" s="155">
        <f>_xlfn.MAXIFS(LandEmiss!$L$335:$L$434,LandEmiss!$A$335:$A$434,$FG57)*IFERROR($QR$25,0)</f>
        <v>0</v>
      </c>
      <c r="GX57" s="155">
        <f>(_xlfn.MAXIFS(LandEmiss!$BK$335:$BK$434,LandEmiss!$BU$335:$BU$434,$FG57)+_xlfn.MAXIFS(LandEmiss!$EF$323:$EF$422,LandEmiss!$DU$323:$DU$422,$FG57))*IFERROR($QR$25,0)</f>
        <v>0</v>
      </c>
      <c r="GY57" s="155">
        <v>0</v>
      </c>
      <c r="GZ57" s="155">
        <v>0</v>
      </c>
      <c r="HA57" s="155">
        <f>IF(OR(HeaterBoiler1!$E$26&lt;&gt;"fuel gas",HeaterBoiler1!$E$15&lt;&gt;"heater"),0,SUMIF(HeaterBoiler1!$A$54:$D$63,$FG57,HeaterBoiler1!$I$54:$I$63))*IFERROR($QR$19,0)</f>
        <v>0</v>
      </c>
      <c r="HB57" s="207">
        <f>IF(OR(HeaterBoiler2!$E$26&lt;&gt;"fuel gas",HeaterBoiler2!$E$15&lt;&gt;"heater"),0,SUMIF(HeaterBoiler2!$A$54:$D$63,$FG57,HeaterBoiler2!$I$54:$I$63))*IFERROR($QR$21,0)</f>
        <v>0</v>
      </c>
      <c r="HC57" s="155">
        <f>IF(OR(HeaterBoiler1!$E$26&lt;&gt;"fuel gas",HeaterBoiler1!$E$15&lt;&gt;"boiler"),0,SUMIF(HeaterBoiler1!$A$41:$A$50,$FG57,HeaterBoiler1!$F$41:$F$50))*IFERROR($QR$20,0)</f>
        <v>0</v>
      </c>
      <c r="HD57" s="207">
        <f>IF(OR(HeaterBoiler2!$E$26&lt;&gt;"fuel gas",HeaterBoiler2!$E$15&lt;&gt;"boiler"),0,SUMIF(HeaterBoiler2!$A$41:$A$50,$FG57,HeaterBoiler2!$F$41:$F$50))*IFERROR($QR$22,0)</f>
        <v>0</v>
      </c>
      <c r="HE57" s="155">
        <f>SUMIF(Fug!$A$96:$A$205,$FG57,Fug!$I$96:$I$205)*IFERROR(Hidden!$QR$23,0)</f>
        <v>0</v>
      </c>
      <c r="HF57" s="155">
        <f t="shared" si="24"/>
        <v>0</v>
      </c>
      <c r="HG57" s="156">
        <f t="shared" si="25"/>
        <v>0</v>
      </c>
      <c r="HH57" s="156">
        <f t="shared" si="26"/>
        <v>0</v>
      </c>
      <c r="HI57" s="156">
        <f t="shared" si="27"/>
        <v>0</v>
      </c>
      <c r="HJ57" s="156">
        <f t="shared" si="28"/>
        <v>0</v>
      </c>
      <c r="HK57" s="156">
        <f t="shared" si="29"/>
        <v>0</v>
      </c>
      <c r="HL57" s="156">
        <f t="shared" si="30"/>
        <v>0</v>
      </c>
      <c r="NO57" s="155">
        <f>IF(Tank1!$D$22="No control",(SUMIF(Tank1!$E$32:$E$141,$FG57,Tank1!$H$32:$H$141)*(2000/8760)*IFERROR($QV$3,0)),0)</f>
        <v>0</v>
      </c>
      <c r="NP57" s="156">
        <f>SUMIF(LandEmiss!$AE$20:$AE$119,$FG57,LandEmiss!$AK$20:$AK$119)*(2000/8760)*IFERROR($QV$3,0)</f>
        <v>0</v>
      </c>
      <c r="NQ57" s="156">
        <f>(SUMIF(LandEmiss!$CN$20:$CN$119,$FG57,LandEmiss!$CT$20:$CT$119)+SUMIF(LandEmiss!$EY$9:$EY$108,$FG57,LandEmiss!$FE$9:$FE$108))*IFERROR($QV$3,0)*(2000/8760)</f>
        <v>0</v>
      </c>
      <c r="NR57" s="155">
        <f>IF(Tank2!$D$22="No control",(SUMIF(Tank2!$E$32:$E$141,$FG57,Tank2!$H$32:$H$141)*(2000/8760)*IFERROR($QV$4,0)),0)</f>
        <v>0</v>
      </c>
      <c r="NS57" s="156">
        <f>SUMIF(LandEmiss!$AE$20:$AE$119,$FG57,LandEmiss!$AL$20:$AL$119)*(2000/8760)*IFERROR($QV$4,0)</f>
        <v>0</v>
      </c>
      <c r="NT57" s="156">
        <f>(SUMIF(LandEmiss!$CN$20:$CN$119,$FG57,LandEmiss!$CU$20:$CU$119)+SUMIF(LandEmiss!$EY$9:$EY$108,$FG57,LandEmiss!$FF$9:$FF$108))*IFERROR($QV$4,0)*(2000/8760)</f>
        <v>0</v>
      </c>
      <c r="NU57" s="155">
        <f>IF(Tank3!$D$22="No control",(SUMIF(Tank3!$E$32:$E$141,$FG57,Tank3!$H$32:$H$141)*(2000/8760)*IFERROR($QV$5,0)),0)</f>
        <v>0</v>
      </c>
      <c r="NV57" s="156">
        <f>SUMIF(LandEmiss!$AE$20:$AE$119,$FG57,LandEmiss!$AM$20:$AM$119)*(2000/8760)*IFERROR($QV$5,0)</f>
        <v>0</v>
      </c>
      <c r="NW57" s="156">
        <f>(SUMIF(LandEmiss!$CN$20:$CN$119,$FG57,LandEmiss!$CV$20:$CV$119)+SUMIF(LandEmiss!$EY$9:$EY$108,$FG57,LandEmiss!$FG$9:$FG$108))*IFERROR($QV$5,0)*(2000/8760)</f>
        <v>0</v>
      </c>
      <c r="NX57" s="155">
        <f>IF(Tank4!$D$22="No control",(SUMIF(Tank4!$E$32:$E$141,$FG57,Tank4!$H$32:$H$141)*(2000/8760)*IFERROR($QV$6,0)),0)</f>
        <v>0</v>
      </c>
      <c r="NY57" s="156">
        <f>SUMIF(LandEmiss!$AE$20:$AE$119,$FG57,LandEmiss!$AN$20:$AN$119)*(2000/8760)*IFERROR($QV$6,0)</f>
        <v>0</v>
      </c>
      <c r="NZ57" s="156">
        <f>(SUMIF(LandEmiss!$CN$20:$CN$119,$FG57,LandEmiss!$CW$20:$CW$119)+SUMIF(LandEmiss!$EY$9:$EY$108,$FG57,LandEmiss!$FH$9:$FH$108))*IFERROR($QV$6,0)*(2000/8760)</f>
        <v>0</v>
      </c>
      <c r="OA57" s="155">
        <f>IF(Tank5!$D$22="No control",(SUMIF(Tank5!$E$32:$E$141,$FG57,Tank5!$H$32:$H$141)*(2000/8760)*IFERROR($QV$7,0)),0)</f>
        <v>0</v>
      </c>
      <c r="OB57" s="156">
        <f>SUMIF(LandEmiss!$AE$20:$AE$119,$FG57,LandEmiss!$AO$20:$AO$119)*(2000/8760)*IFERROR($QV$7,0)</f>
        <v>0</v>
      </c>
      <c r="OC57" s="156">
        <f>(SUMIF(LandEmiss!$CN$20:$CN$119,$FG57,LandEmiss!$CX$20:$CX$119)+SUMIF(LandEmiss!$EY$9:$EY$108,$FG57,LandEmiss!$FI$9:$FI$108))*IFERROR($QV$7,0)*(2000/8760)</f>
        <v>0</v>
      </c>
      <c r="OD57" s="155">
        <f>SUMIFS('Load-DrumTote'!$L$27:$L$136,'Load-DrumTote'!$F$27:$F$136,$FG57)*IFERROR($QV$8,0)*(2000/8760)</f>
        <v>0</v>
      </c>
      <c r="OE57" s="155">
        <f>SUMIFS('Load-Truck'!$L$27:$L$136,'Load-Truck'!$F$27:$F$136,$FG57)*IFERROR($QV$9,0)*(2000/8760)</f>
        <v>0</v>
      </c>
      <c r="OF57" s="155">
        <f>SUMIFS('Load-Rail'!$L$27:$L$136,'Load-Rail'!$F$27:$F$136,$FG57)*IFERROR($QV$10,0)*(2000/8760)</f>
        <v>0</v>
      </c>
      <c r="OG57" s="155">
        <f>SUMIFS('Load-MarineBarge'!$L$27:$L$136,'Load-MarineBarge'!$F$27:$F$136,$FG57)*IFERROR($QV$11,0)*(2000/8760)</f>
        <v>0</v>
      </c>
      <c r="OH57" s="155">
        <f>SUMIFS('Load-MarineShip'!$L$27:$L$136,'Load-MarineShip'!$F$27:$F$136,$FG57)*IFERROR($QV$12,0)*(2000/8760)</f>
        <v>0</v>
      </c>
      <c r="OI57" s="155">
        <f>(IF(OR(Flare!$D$24="FUEL GAS",Flare!$D$38="FUEL GAS"),SUMIF(Flare!$E$97:$E$106,$FG57,Flare!$G$97:$G$105),0)+SUMIF(Flare!$E$107:$E$216,$FG57,Flare!$G$107:$G$216))*(2000/8730)*IFERROR($QV$13,0)</f>
        <v>0</v>
      </c>
      <c r="OJ57" s="155">
        <f>SUMIF(LandEmiss!$A$335:$A$434,$FG57,LandEmiss!$C$335:$C$434)*(2000/8760)*IFERROR($QV$13,0)</f>
        <v>0</v>
      </c>
      <c r="OK57" s="155">
        <f>(SUMIF(LandEmiss!$BJ$335:$BJ$434,$FG57,LandEmiss!$BL$335:$BL$434)+SUMIF(LandEmiss!$DU$323:$DU$422,$FG57,LandEmiss!$DW$323:$DW$422))*(2000/8760)*IFERROR($QV$13,0)</f>
        <v>0</v>
      </c>
      <c r="OL57" s="155">
        <f>(IF(OR(VCU!$D$26="FUEL GAS",VCU!$D$42="FUEL GAS"),SUMIF(VCU!$E$120:$E$129,$FG57,VCU!$G$120:$G$129),0)+SUMIF(VCU!$E$130:$E$239,$FG57,VCU!G185:G294))*(2000/8760)*IFERROR($QV$14,0)</f>
        <v>0</v>
      </c>
      <c r="OM57" s="155">
        <f>SUMIF(LandEmiss!$A$335:$A$434,$FG57,LandEmiss!$E$335:$E$434)*(2000/8760)*IFERROR($QV$14,0)</f>
        <v>0</v>
      </c>
      <c r="ON57" s="155">
        <f>(SUMIF(LandEmiss!$BJ$335:$BJ$434,$FG57,LandEmiss!$BN$335:$BN$434)+SUMIF(LandEmiss!$DU$323:$DU$422,$FG57,LandEmiss!$DY$323:$DY$422))*(2000/8760)*IFERROR($QV$14,0)</f>
        <v>0</v>
      </c>
      <c r="OO57" s="155">
        <f>(IF(VaporOxidizer!$D$33="FUEL GAS",SUMIF(VaporOxidizer!$E$101:$E$110,$FG57,VaporOxidizer!$G$101:$G$110),0)+SUMIF(VaporOxidizer!$E$111:$E$220,$FG57,VaporOxidizer!$G$111:$G$220))*(2000/8760)*IFERROR($QV$15,0)</f>
        <v>0</v>
      </c>
      <c r="OP57" s="155">
        <f>SUMIF(LandEmiss!$A$335:$A$434,$FG57,LandEmiss!$G$335:$G$434)*(2000/8760)*IFERROR($QV$15,0)</f>
        <v>0</v>
      </c>
      <c r="OQ57" s="155">
        <f>(SUMIF(LandEmiss!$BJ$335:$BJ$434,$FG57,LandEmiss!$BP$335:$BP$434)+SUMIF(LandEmiss!$DU$323:$DU$422,$FG57,LandEmiss!$EA$323:$EA$422))*(2000/8760)*IFERROR($QV$15,0)</f>
        <v>0</v>
      </c>
      <c r="OR57" s="155">
        <f>SUMIF(CAS!$E$35:$E$144,Hidden!$FG57,CAS!$I$35:$I$144)*IFERROR($QV$16,0)*(2000/8760)</f>
        <v>0</v>
      </c>
      <c r="OS57" s="155">
        <f>SUMIF(LandEmiss!$A$335:$A$434,$FG57,LandEmiss!$I$335:$I$434)*(2000/8760)*IFERROR($QV$27,0)</f>
        <v>0</v>
      </c>
      <c r="OT57" s="155">
        <f>(SUMIF(LandEmiss!$BJ$335:$BJ$434,$FG57,LandEmiss!$BR$335:$BR$434)+SUMIF(LandEmiss!$DU$323:$DU$422,$FG57,LandEmiss!$EC$323:$EC$422))*(2000/8760)*IFERROR($QV$27,0)</f>
        <v>0</v>
      </c>
      <c r="OU57" s="155">
        <f>SUMIF(LandEmiss!$A$335:$A$434,$FG57,LandEmiss!$K$335:$K$434)*(2000/8760)*IFERROR($QV$26,0)</f>
        <v>0</v>
      </c>
      <c r="OV57" s="155">
        <f>(SUMIF(LandEmiss!$BJ$335:$BJ$434,$FG57,LandEmiss!$BT$335:$BT$434)+SUMIF(LandEmiss!$DU$323:$DU$422,$FG57,LandEmiss!$EE$323:$EE$422))*(2000/8760)*IFERROR($QV$26,0)</f>
        <v>0</v>
      </c>
      <c r="OW57" s="155">
        <f>SUMIF(LandEmiss!$A$335:$A$434,$FG57,LandEmiss!$M$335:$M$434)*(2000/8760)*IFERROR($QV$25,0)</f>
        <v>0</v>
      </c>
      <c r="OX57" s="155">
        <f>(SUMIF(LandEmiss!$BJ$335:$BJ$434,$FG57,LandEmiss!$BV$335:$BV$434)+SUMIF(LandEmiss!$DU$323:$DU$422,$FG57,LandEmiss!$EG$323:$EG$422))*(2000/8760)*IFERROR($QV$25,0)</f>
        <v>0</v>
      </c>
      <c r="OY57" s="8">
        <v>0</v>
      </c>
      <c r="OZ57" s="207">
        <v>0</v>
      </c>
      <c r="PA57" s="207">
        <f>IF(OR(HeaterBoiler1!$E$26&lt;&gt;"fuel gas",HeaterBoiler1!$E$15&lt;&gt;"heater"),0,(SUMIF(HeaterBoiler1!$A$54:$D$63,$FG57,HeaterBoiler1!$J$54:$J$63))*(2000/8760))*IFERROR($QV$19,0)</f>
        <v>0</v>
      </c>
      <c r="PB57" s="207">
        <f>IF(OR(HeaterBoiler2!$E$26&lt;&gt;"fuel gas",HeaterBoiler2!$E$15&lt;&gt;"heater"),0,(SUMIF(HeaterBoiler2!$A$54:$D$63,$FG57,HeaterBoiler2!$J$54:$J$63))*(2000/8760))*IFERROR($QV$21,0)</f>
        <v>0</v>
      </c>
      <c r="PC57" s="207">
        <f>IF(OR(HeaterBoiler1!$E$26&lt;&gt;"fuel gas",HeaterBoiler1!$E$15&lt;&gt;"boiler"),0,(SUMIF(HeaterBoiler1!$A$54:$D$63,$FG57,HeaterBoiler1!$J$54:$J$63))*(2000/8760))*IFERROR($QV$20,0)</f>
        <v>0</v>
      </c>
      <c r="PD57" s="207">
        <f>IF(OR(HeaterBoiler2!$E$26&lt;&gt;"fuel gas",HeaterBoiler2!$E$15&lt;&gt;"boiler"),0,(SUMIF(HeaterBoiler2!$A$54:$D$63,$FG57,HeaterBoiler2!$J$54:$J$63))*(2000/8760))*IFERROR($QV$22,0)</f>
        <v>0</v>
      </c>
      <c r="PE57" s="8">
        <f>(SUMIF(Fug!$A$96:$A$205,$FG57,Fug!$J$96:$J$205))*IFERROR($QV$23,0)*(2000/8760)</f>
        <v>0</v>
      </c>
      <c r="PF57" s="8">
        <f t="shared" si="31"/>
        <v>0</v>
      </c>
      <c r="PG57" s="156">
        <f t="shared" si="32"/>
        <v>0</v>
      </c>
      <c r="PJ57" s="52" t="str">
        <f>IF(Fug!$F$16=Hidden!$PP$2,"Other [9]","")</f>
        <v/>
      </c>
      <c r="PK57" s="52" t="str">
        <f>IF(Fug!$F$16=Hidden!$PP$2,"Gas","")</f>
        <v/>
      </c>
      <c r="PL57" s="52"/>
      <c r="PM57" s="52"/>
      <c r="PN57" s="52"/>
      <c r="PO57" s="52"/>
      <c r="PP57" s="52">
        <v>1.9400000000000001E-2</v>
      </c>
      <c r="PQ57" s="52"/>
      <c r="PR57" s="52"/>
      <c r="PS57" s="52"/>
      <c r="PT57" s="52" t="s">
        <v>8799</v>
      </c>
      <c r="PU57" s="52" t="s">
        <v>8769</v>
      </c>
      <c r="PV57" s="52">
        <v>0</v>
      </c>
      <c r="PW57" s="52">
        <v>0</v>
      </c>
      <c r="PX57" s="52">
        <v>0</v>
      </c>
      <c r="PY57" s="52">
        <v>0</v>
      </c>
      <c r="PZ57" s="52">
        <v>0</v>
      </c>
      <c r="QA57" s="52">
        <v>0</v>
      </c>
      <c r="QB57" s="52"/>
      <c r="QC57" s="52"/>
      <c r="QD57" s="52"/>
      <c r="QE57" s="52"/>
      <c r="QF57" s="52"/>
      <c r="QG57" s="52"/>
      <c r="QH57" s="52"/>
      <c r="QI57" s="52"/>
      <c r="QX57" s="89" t="s">
        <v>9334</v>
      </c>
      <c r="QY57">
        <v>1694.7</v>
      </c>
      <c r="QZ57">
        <v>1694.7</v>
      </c>
      <c r="RA57">
        <v>1694.7</v>
      </c>
      <c r="RB57">
        <v>1694.7</v>
      </c>
      <c r="RC57">
        <v>1694.7</v>
      </c>
      <c r="RD57">
        <v>1694.7</v>
      </c>
      <c r="RE57">
        <v>1694.7</v>
      </c>
      <c r="RF57">
        <v>1694.7</v>
      </c>
      <c r="RG57">
        <v>1694.7</v>
      </c>
      <c r="RH57" s="89" t="s">
        <v>9334</v>
      </c>
      <c r="RQ57" s="90"/>
      <c r="RR57" s="89" t="s">
        <v>9334</v>
      </c>
      <c r="SA57" s="90"/>
      <c r="SB57" s="89" t="s">
        <v>9334</v>
      </c>
      <c r="SK57" s="90"/>
      <c r="SL57" s="89" t="s">
        <v>9334</v>
      </c>
      <c r="SM57">
        <v>165.2</v>
      </c>
      <c r="SN57">
        <v>165.2</v>
      </c>
      <c r="SO57">
        <v>165.2</v>
      </c>
      <c r="SP57">
        <v>165.2</v>
      </c>
      <c r="SQ57">
        <v>165.2</v>
      </c>
      <c r="SR57">
        <v>165.2</v>
      </c>
      <c r="SS57">
        <v>165.2</v>
      </c>
      <c r="ST57">
        <v>165.2</v>
      </c>
      <c r="SU57">
        <v>165.2</v>
      </c>
    </row>
    <row r="58" spans="1:515" ht="74.25" customHeight="1" x14ac:dyDescent="0.2">
      <c r="W58">
        <f>IF(OR(X58=0,ISNUMBER(MATCH(X58,$X$1:X57,0))),0,MAX($W$1:W57)+1)</f>
        <v>0</v>
      </c>
      <c r="X58" s="123">
        <f>Products!$E105</f>
        <v>0</v>
      </c>
      <c r="Y58" t="str">
        <f t="shared" si="39"/>
        <v/>
      </c>
      <c r="CA58">
        <f>IF(OR(CB58=0,ISNUMBER(MATCH(CB58,$CB$1:CB57,0))),0,MAX($CA$1:CA57)+1)</f>
        <v>0</v>
      </c>
      <c r="CB58" s="8">
        <f>IF(OR(Tank1!$D$18="EXTERNAL FLOATING ROOF",Tank1!$D$18="INTERNAL FLOATING ROOF"),IF(Tank1!$E88="",0,Tank1!$E88),0)</f>
        <v>0</v>
      </c>
      <c r="CC58" s="8" t="str">
        <f t="shared" si="40"/>
        <v/>
      </c>
      <c r="CD58" s="8"/>
      <c r="CE58" s="8">
        <f>IF(OR(CF58=0,ISNUMBER(MATCH(CF58,$CF$1:CF57,0))),0,MAX($CE$1:CE57)+1)</f>
        <v>0</v>
      </c>
      <c r="CF58" s="8">
        <f>IF(OR(Tank1!$D$18="HORIZONTAL FIXED ROOF",Tank1!$D$18="VERTICAL FIXED ROOF"),IF(Tank1!$E88="",0,Tank1!$E88),0)</f>
        <v>0</v>
      </c>
      <c r="CG58" s="8" t="str">
        <f t="shared" si="41"/>
        <v/>
      </c>
      <c r="DM58">
        <f>IF(OR(DN58=0,ISNUMBER(MATCH(DN58,$DN$1:DN57,0))),0,MAX($DM$1:DM57)+1)</f>
        <v>0</v>
      </c>
      <c r="DN58">
        <f>IF('Load-DrumTote'!$F$19="Flare",IFERROR(VLOOKUP(Products!$A$119,'Load-DrumTote'!$A$27:$B$136,1,FALSE),0),0)</f>
        <v>0</v>
      </c>
      <c r="DO58">
        <f>IF($DN58=0,0,VLOOKUP($DN58,'Load-DrumTote'!$A$27:$N$136,13,FALSE))</f>
        <v>0</v>
      </c>
      <c r="DP58">
        <f>IF($DN58=0,0,VLOOKUP($DN58,'Load-DrumTote'!$A$27:$N$136,14,FALSE))</f>
        <v>0</v>
      </c>
      <c r="DU58">
        <f>IF(OR(DV58=0,ISNUMBER(MATCH(DV58,$DV$1:DV57,0))),0,MAX($DU$1:DU57)+1)</f>
        <v>0</v>
      </c>
      <c r="DV58">
        <f>IF('Load-DrumTote'!$F$19="VCU",IFERROR(VLOOKUP(Products!$A$119,'Load-DrumTote'!$A$27:$B$136,1,FALSE),0),0)</f>
        <v>0</v>
      </c>
      <c r="DW58">
        <f>IF($DV58=0,0,VLOOKUP($DV58,'Load-DrumTote'!$A$27:$N$136,13,FALSE))</f>
        <v>0</v>
      </c>
      <c r="DX58">
        <f>IF($DV58=0,0,VLOOKUP($DV58,'Load-DrumTote'!$A$27:$N$136,14,FALSE))</f>
        <v>0</v>
      </c>
      <c r="EC58">
        <f>IF(OR(ED58=0,ISNUMBER(MATCH(ED58,$ED$1:ED57,0))),0,MAX($EC$1:EC57)+1)</f>
        <v>0</v>
      </c>
      <c r="ED58">
        <f>IF('Load-DrumTote'!$F$19="vapor oxidizer",IFERROR(VLOOKUP(Products!$A$119,'Load-DrumTote'!$A$27:$B$136,1,FALSE),0),0)</f>
        <v>0</v>
      </c>
      <c r="EE58">
        <f>IF($ED58=0,0,VLOOKUP($ED58,'Load-DrumTote'!$A$27:$N$136,13,FALSE))</f>
        <v>0</v>
      </c>
      <c r="EF58">
        <f>IF($ED58=0,0,VLOOKUP($ED58,'Load-DrumTote'!$A$27:$N$136,14,FALSE))</f>
        <v>0</v>
      </c>
      <c r="EK58">
        <f>IF(OR(EL58=0,ISNUMBER(MATCH(EL58,$EL$1:EL57,0))),0,MAX($EK$1:EK57)+1)</f>
        <v>0</v>
      </c>
      <c r="EL58">
        <f>IF('Load-DrumTote'!$F$19="CAS",IFERROR(VLOOKUP(Products!A119,'Load-DrumTote'!$A$27:$B$136,1,FALSE),0),0)</f>
        <v>0</v>
      </c>
      <c r="EM58">
        <f>IF($EL58=0,0,VLOOKUP($EL58,'Load-DrumTote'!$A$27:$N$136,13,FALSE))</f>
        <v>0</v>
      </c>
      <c r="EN58">
        <f>IF($EL58=0,0,VLOOKUP($EL58,'Load-DrumTote'!$A$27:$N$136,14,FALSE))</f>
        <v>0</v>
      </c>
      <c r="FB58" s="8" t="s">
        <v>9881</v>
      </c>
      <c r="FC58" s="8" t="s">
        <v>9812</v>
      </c>
      <c r="FD58" s="8">
        <v>100</v>
      </c>
      <c r="FE58" s="8">
        <v>10</v>
      </c>
      <c r="FG58" s="360" t="str">
        <f t="shared" si="23"/>
        <v/>
      </c>
      <c r="FH58" s="155">
        <f>IF(Tank1!$D$22="NO CONTROL",_xlfn.MAXIFS(Tank1!$G$32:$G$141,Tank1!$E$32:$E$141,$FG58),0)*IFERROR($QR$3,0)</f>
        <v>0</v>
      </c>
      <c r="FI58" s="155">
        <f>_xlfn.MAXIFS(LandEmiss!$AF$20:$AF$119,LandEmiss!$AE$20:$AE$119,$FG58)*IFERROR($QR$3,0)</f>
        <v>0</v>
      </c>
      <c r="FJ58" s="155">
        <f>MAX(_xlfn.MAXIFS(LandEmiss!$CO$20:$CO$119,LandEmiss!$CN$20:$CN$119,$FG58),_xlfn.MAXIFS(LandEmiss!$EZ$9:$EZ$108,LandEmiss!$EY$9:$EY$108,$FG58))*IFERROR($QR$3,0)</f>
        <v>0</v>
      </c>
      <c r="FK58" s="155">
        <f>IF(Tank2!$D$22="NO CONTROL",_xlfn.MAXIFS(Tank2!$G$32:$G$141,Tank2!$E$32:$E$141,$FG58),0)*IFERROR($QR$4,0)</f>
        <v>0</v>
      </c>
      <c r="FL58" s="155">
        <f>_xlfn.MAXIFS(LandEmiss!$AG$20:$AG$119,LandEmiss!$AE$20:$AE$119,$FG58)*IFERROR($QR$4,0)</f>
        <v>0</v>
      </c>
      <c r="FM58" s="155">
        <f>MAX(_xlfn.MAXIFS(LandEmiss!$CP$20:$CP$119,LandEmiss!$CN$20:$CN$119,$FG58),_xlfn.MAXIFS(LandEmiss!$FA$9:$FA$108,LandEmiss!$EY$9:$EY$108,$FG58))*IFERROR($QR$4,0)</f>
        <v>0</v>
      </c>
      <c r="FN58" s="155">
        <f>IF(Tank3!$D$22="NO CONTROL",_xlfn.MAXIFS(Tank3!$G$32:$G$141,Tank3!$E$32:$E$141,$FG58),0)*IFERROR($QR$5,0)</f>
        <v>0</v>
      </c>
      <c r="FO58" s="155">
        <f>_xlfn.MAXIFS(LandEmiss!$AH$20:$AH$119,LandEmiss!$AE$20:$AE$119,$FG58)*IFERROR($QR$5,0)</f>
        <v>0</v>
      </c>
      <c r="FP58" s="155">
        <f>MAX(_xlfn.MAXIFS(LandEmiss!$CQ$20:$CQ$119,LandEmiss!$CN$20:$CN$119,$FG58),_xlfn.MAXIFS(LandEmiss!$FB$9:$FB$108,LandEmiss!$EY$9:$EY$108,$FG58))*IFERROR($QR$5,0)</f>
        <v>0</v>
      </c>
      <c r="FQ58" s="155">
        <f>IF(Tank4!$D$22="NO CONTROL",_xlfn.MAXIFS(Tank4!$G$32:$G$141,Tank4!$E$32:$E$141,$FG58),0)*IFERROR($QR$6,0)</f>
        <v>0</v>
      </c>
      <c r="FR58" s="155">
        <f>_xlfn.MAXIFS(LandEmiss!$AI$20:$AI$119,LandEmiss!$AE$20:$AE$119,$FG58)*IFERROR($QR$6,0)</f>
        <v>0</v>
      </c>
      <c r="FS58" s="155">
        <f>MAX(_xlfn.MAXIFS(LandEmiss!$CR$20:$CR$119,LandEmiss!$CN$20:$CN$119,$FG58),_xlfn.MAXIFS(LandEmiss!$FC$9:$FC$108,LandEmiss!$EY$9:$EY$108,$FG58))*IFERROR($QR$6,0)</f>
        <v>0</v>
      </c>
      <c r="FT58" s="155">
        <f>IF(Tank5!$D$22="NO CONTROL",_xlfn.MAXIFS(Tank5!$G$32:$G$141,Tank5!$E$32:$E$141,$FG58),0)*IFERROR($QR$7,0)</f>
        <v>0</v>
      </c>
      <c r="FU58" s="155">
        <f>_xlfn.MAXIFS(LandEmiss!$AJ$20:$AJ$119,LandEmiss!$AE$20:$AE$119,$FG58)*IFERROR($QR$7,0)</f>
        <v>0</v>
      </c>
      <c r="FV58" s="155">
        <f>MAX(_xlfn.MAXIFS(LandEmiss!$CS$20:$CS$119,LandEmiss!$CN$20:$CN$119,$FG58),_xlfn.MAXIFS(LandEmiss!$FD$9:$FD$108,LandEmiss!$EY$9:$EY$108,$FG58))*IFERROR($QR63,0)</f>
        <v>0</v>
      </c>
      <c r="FW58" s="155">
        <f>_xlfn.MAXIFS('Load-DrumTote'!$K$27:$K$136,'Load-DrumTote'!$F$27:$F$136,$FG58)*IFERROR($QR$8,0)</f>
        <v>0</v>
      </c>
      <c r="FX58" s="155">
        <f>_xlfn.MAXIFS('Load-Truck'!$K$27:$K$136,'Load-Truck'!$F$27:$F$136,$FG58)*IFERROR($QR$9,0)</f>
        <v>0</v>
      </c>
      <c r="FY58" s="155">
        <f>_xlfn.MAXIFS('Load-Rail'!$K$27:$K$136,'Load-Rail'!$F$27:$F$136,$FG58)*IFERROR($QR$10,0)</f>
        <v>0</v>
      </c>
      <c r="FZ58" s="155">
        <f>_xlfn.MAXIFS('Load-MarineBarge'!$K$27:$K$136,'Load-MarineBarge'!$F$27:$F$136,$FG58)*IFERROR($QR$11,0)</f>
        <v>0</v>
      </c>
      <c r="GA58" s="155">
        <f>_xlfn.MAXIFS('Load-MarineShip'!$K$27:$K$136,'Load-MarineShip'!$F$27:$F$136,$FG58)*IFERROR($QR$12,0)</f>
        <v>0</v>
      </c>
      <c r="GB58" s="313">
        <f>IF(OR(Flare!$D$24="fuel gas",Flare!$D$38="fuel gas"),SUMIF(Flare!$E$97:$E$106,$FG58,Flare!$F$97:$F$106),0)*IFERROR($QR$13,0)</f>
        <v>0</v>
      </c>
      <c r="GC58" s="313">
        <f>(_xlfn.MAXIFS(CtrlDevImpacts!$I$57:$I$156,CtrlDevImpacts!$H$57:$H$156,$FG58))*IFERROR($QR$13,0)</f>
        <v>0</v>
      </c>
      <c r="GD58" s="313">
        <f>(_xlfn.MAXIFS(Flare!$F$107:$F$216,Flare!$E$107:$E$216,$FG58)-_xlfn.MAXIFS(CtrlDevImpacts!$I$57:$I$156,CtrlDevImpacts!$H$57:$H$156,$FG58))*IFERROR($QR$13,0)</f>
        <v>0</v>
      </c>
      <c r="GE58" s="155">
        <f>_xlfn.MAXIFS(LandEmiss!$B$335:$B$434,LandEmiss!$A$335:$A$434,$FG58)*IFERROR($QR$13,0)</f>
        <v>0</v>
      </c>
      <c r="GF58" s="155">
        <f>(_xlfn.MAXIFS(LandEmiss!$BK$335:$BK$434,LandEmiss!$BJ$335:$BJ$434,$FG58)+_xlfn.MAXIFS(LandEmiss!$DV$323:$DV$422,LandEmiss!$DU$323:$DU$422,$FG58))*IFERROR($QR$13,0)</f>
        <v>0</v>
      </c>
      <c r="GG58" s="313">
        <f>IF(OR(VCU!$D$26="fuel gas",VCU!$D$42="fuel gas"),SUMIF(VCU!$E$120:$E$129,$FG58,VCU!$F$120:$F$129),0)*IFERROR($QR$14,0)</f>
        <v>0</v>
      </c>
      <c r="GH58" s="313">
        <f>(_xlfn.MAXIFS(CtrlDevImpacts!$X$57:$X$156,CtrlDevImpacts!$W$57:$W$156,$FG58))*IFERROR($QR$14,0)</f>
        <v>0</v>
      </c>
      <c r="GI58" s="313">
        <f>(_xlfn.MAXIFS(VCU!$F$130:$F$239,VCU!$E$130:$E$239,$FG58)-_xlfn.MAXIFS(CtrlDevImpacts!$X$57:$X$156,CtrlDevImpacts!$W$57:$W$156,$FG58))*IFERROR($QR$14,0)</f>
        <v>0</v>
      </c>
      <c r="GJ58" s="155">
        <f>_xlfn.MAXIFS(LandEmiss!$D$335:$D$434,LandEmiss!$A$335:$A$434,$FG58)*IFERROR($QR$14,0)</f>
        <v>0</v>
      </c>
      <c r="GK58" s="155">
        <f>(_xlfn.MAXIFS(LandEmiss!$BM$335:$BM$434,LandEmiss!$BJ$335:$BJ$434,$FG58)+_xlfn.MAXIFS(LandEmiss!$DX$323:$DX$422,LandEmiss!$DU$323:$DU$422,$FG58))*IFERROR($QR$14,0)</f>
        <v>0</v>
      </c>
      <c r="GL58" s="313">
        <f>IF(VaporOxidizer!D89="FUEL GAS",SUMIF(VaporOxidizer!$E$101:$E$110,$FG58,VaporOxidizer!$F$101:$F$110),0)*IFERROR($QR$15,0)</f>
        <v>0</v>
      </c>
      <c r="GM58" s="313">
        <f>(_xlfn.MAXIFS(CtrlDevImpacts!$AN$57:$AN$156,CtrlDevImpacts!$AM$57:$AM$156,$FG58))*IFERROR($QR$15,0)</f>
        <v>0</v>
      </c>
      <c r="GN58" s="313">
        <f>(_xlfn.MAXIFS(VaporOxidizer!$F$111:$F$220,VaporOxidizer!$E$111:$E$220,$FG58)-_xlfn.MAXIFS(CtrlDevImpacts!$AN$57:$AN$156,CtrlDevImpacts!$AM$57:$AM$156,$FG58))*IFERROR($QR$15,0)</f>
        <v>0</v>
      </c>
      <c r="GO58" s="155">
        <f>_xlfn.MAXIFS(LandEmiss!$F$335:$F$434,LandEmiss!$A$335:$A$434,$FG58)*IFERROR($QR$15,0)</f>
        <v>0</v>
      </c>
      <c r="GP58" s="155">
        <f>(_xlfn.MAXIFS(LandEmiss!$BK$335:$BK$434,LandEmiss!$BO$335:$BO$434,$FG58)+_xlfn.MAXIFS(LandEmiss!$DZ$323:$DZ$422,LandEmiss!$DU$323:$DU$422,$FG58))*IFERROR($QR$15,0)</f>
        <v>0</v>
      </c>
      <c r="GQ58" s="313">
        <f>_xlfn.MAXIFS(CtrlDevImpacts!$BD$57:$BD$156,CtrlDevImpacts!$BC$57:$BC$156,$FG58)*IFERROR(Hidden!$QR$16,0)</f>
        <v>0</v>
      </c>
      <c r="GR58" s="313">
        <f>(_xlfn.MAXIFS(CAS!$H$35:$H$144,CAS!$E$35:$E$144,$FG58)-_xlfn.MAXIFS(CtrlDevImpacts!$BD$57:$BD$156,CtrlDevImpacts!$BC$57:$BC$156,$FG58))*IFERROR(Hidden!$QR$16,0)</f>
        <v>0</v>
      </c>
      <c r="GS58" s="155">
        <f>_xlfn.MAXIFS(LandEmiss!$H$335:$H$434,LandEmiss!$A$335:$A$434,$FG58)*IFERROR($QR$27,0)</f>
        <v>0</v>
      </c>
      <c r="GT58" s="155">
        <f>(_xlfn.MAXIFS(LandEmiss!$BK$335:$BK$434,LandEmiss!$BQ$335:$BQ$434,$FG58)+_xlfn.MAXIFS(LandEmiss!$EB$323:$EB$422,LandEmiss!$DU$323:$DU$422,$FG58))*IFERROR($QR$27,0)</f>
        <v>0</v>
      </c>
      <c r="GU58" s="155">
        <f>_xlfn.MAXIFS(LandEmiss!$J$335:$J$434,LandEmiss!$A$335:$A$434,$FG58)*IFERROR($QR$26,0)</f>
        <v>0</v>
      </c>
      <c r="GV58" s="155">
        <f>(_xlfn.MAXIFS(LandEmiss!$BK$335:$BK$434,LandEmiss!$BS$335:$BS$434,$FG58)+_xlfn.MAXIFS(LandEmiss!$ED$323:$ED$422,LandEmiss!$DU$323:$DU$422,$FG58))*IFERROR($QR$26,0)</f>
        <v>0</v>
      </c>
      <c r="GW58" s="155">
        <f>_xlfn.MAXIFS(LandEmiss!$L$335:$L$434,LandEmiss!$A$335:$A$434,$FG58)*IFERROR($QR$25,0)</f>
        <v>0</v>
      </c>
      <c r="GX58" s="155">
        <f>(_xlfn.MAXIFS(LandEmiss!$BK$335:$BK$434,LandEmiss!$BU$335:$BU$434,$FG58)+_xlfn.MAXIFS(LandEmiss!$EF$323:$EF$422,LandEmiss!$DU$323:$DU$422,$FG58))*IFERROR($QR$25,0)</f>
        <v>0</v>
      </c>
      <c r="GY58" s="155">
        <v>0</v>
      </c>
      <c r="GZ58" s="155">
        <v>0</v>
      </c>
      <c r="HA58" s="155">
        <f>IF(OR(HeaterBoiler1!$E$26&lt;&gt;"fuel gas",HeaterBoiler1!$E$15&lt;&gt;"heater"),0,SUMIF(HeaterBoiler1!$A$54:$D$63,$FG58,HeaterBoiler1!$I$54:$I$63))*IFERROR($QR$19,0)</f>
        <v>0</v>
      </c>
      <c r="HB58" s="207">
        <f>IF(OR(HeaterBoiler2!$E$26&lt;&gt;"fuel gas",HeaterBoiler2!$E$15&lt;&gt;"heater"),0,SUMIF(HeaterBoiler2!$A$54:$D$63,$FG58,HeaterBoiler2!$I$54:$I$63))*IFERROR($QR$21,0)</f>
        <v>0</v>
      </c>
      <c r="HC58" s="155">
        <f>IF(OR(HeaterBoiler1!$E$26&lt;&gt;"fuel gas",HeaterBoiler1!$E$15&lt;&gt;"boiler"),0,SUMIF(HeaterBoiler1!$A$41:$A$50,$FG58,HeaterBoiler1!$F$41:$F$50))*IFERROR($QR$20,0)</f>
        <v>0</v>
      </c>
      <c r="HD58" s="207">
        <f>IF(OR(HeaterBoiler2!$E$26&lt;&gt;"fuel gas",HeaterBoiler2!$E$15&lt;&gt;"boiler"),0,SUMIF(HeaterBoiler2!$A$41:$A$50,$FG58,HeaterBoiler2!$F$41:$F$50))*IFERROR($QR$22,0)</f>
        <v>0</v>
      </c>
      <c r="HE58" s="155">
        <f>SUMIF(Fug!$A$96:$A$205,$FG58,Fug!$I$96:$I$205)*IFERROR(Hidden!$QR$23,0)</f>
        <v>0</v>
      </c>
      <c r="HF58" s="155">
        <f t="shared" si="24"/>
        <v>0</v>
      </c>
      <c r="HG58" s="156">
        <f t="shared" si="25"/>
        <v>0</v>
      </c>
      <c r="HH58" s="156">
        <f t="shared" si="26"/>
        <v>0</v>
      </c>
      <c r="HI58" s="156">
        <f t="shared" si="27"/>
        <v>0</v>
      </c>
      <c r="HJ58" s="156">
        <f t="shared" si="28"/>
        <v>0</v>
      </c>
      <c r="HK58" s="156">
        <f t="shared" si="29"/>
        <v>0</v>
      </c>
      <c r="HL58" s="156">
        <f t="shared" si="30"/>
        <v>0</v>
      </c>
      <c r="NO58" s="155">
        <f>IF(Tank1!$D$22="No control",(SUMIF(Tank1!$E$32:$E$141,$FG58,Tank1!$H$32:$H$141)*(2000/8760)*IFERROR($QV$3,0)),0)</f>
        <v>0</v>
      </c>
      <c r="NP58" s="156">
        <f>SUMIF(LandEmiss!$AE$20:$AE$119,$FG58,LandEmiss!$AK$20:$AK$119)*(2000/8760)*IFERROR($QV$3,0)</f>
        <v>0</v>
      </c>
      <c r="NQ58" s="156">
        <f>(SUMIF(LandEmiss!$CN$20:$CN$119,$FG58,LandEmiss!$CT$20:$CT$119)+SUMIF(LandEmiss!$EY$9:$EY$108,$FG58,LandEmiss!$FE$9:$FE$108))*IFERROR($QV$3,0)*(2000/8760)</f>
        <v>0</v>
      </c>
      <c r="NR58" s="155">
        <f>IF(Tank2!$D$22="No control",(SUMIF(Tank2!$E$32:$E$141,$FG58,Tank2!$H$32:$H$141)*(2000/8760)*IFERROR($QV$4,0)),0)</f>
        <v>0</v>
      </c>
      <c r="NS58" s="156">
        <f>SUMIF(LandEmiss!$AE$20:$AE$119,$FG58,LandEmiss!$AL$20:$AL$119)*(2000/8760)*IFERROR($QV$4,0)</f>
        <v>0</v>
      </c>
      <c r="NT58" s="156">
        <f>(SUMIF(LandEmiss!$CN$20:$CN$119,$FG58,LandEmiss!$CU$20:$CU$119)+SUMIF(LandEmiss!$EY$9:$EY$108,$FG58,LandEmiss!$FF$9:$FF$108))*IFERROR($QV$4,0)*(2000/8760)</f>
        <v>0</v>
      </c>
      <c r="NU58" s="155">
        <f>IF(Tank3!$D$22="No control",(SUMIF(Tank3!$E$32:$E$141,$FG58,Tank3!$H$32:$H$141)*(2000/8760)*IFERROR($QV$5,0)),0)</f>
        <v>0</v>
      </c>
      <c r="NV58" s="156">
        <f>SUMIF(LandEmiss!$AE$20:$AE$119,$FG58,LandEmiss!$AM$20:$AM$119)*(2000/8760)*IFERROR($QV$5,0)</f>
        <v>0</v>
      </c>
      <c r="NW58" s="156">
        <f>(SUMIF(LandEmiss!$CN$20:$CN$119,$FG58,LandEmiss!$CV$20:$CV$119)+SUMIF(LandEmiss!$EY$9:$EY$108,$FG58,LandEmiss!$FG$9:$FG$108))*IFERROR($QV$5,0)*(2000/8760)</f>
        <v>0</v>
      </c>
      <c r="NX58" s="155">
        <f>IF(Tank4!$D$22="No control",(SUMIF(Tank4!$E$32:$E$141,$FG58,Tank4!$H$32:$H$141)*(2000/8760)*IFERROR($QV$6,0)),0)</f>
        <v>0</v>
      </c>
      <c r="NY58" s="156">
        <f>SUMIF(LandEmiss!$AE$20:$AE$119,$FG58,LandEmiss!$AN$20:$AN$119)*(2000/8760)*IFERROR($QV$6,0)</f>
        <v>0</v>
      </c>
      <c r="NZ58" s="156">
        <f>(SUMIF(LandEmiss!$CN$20:$CN$119,$FG58,LandEmiss!$CW$20:$CW$119)+SUMIF(LandEmiss!$EY$9:$EY$108,$FG58,LandEmiss!$FH$9:$FH$108))*IFERROR($QV$6,0)*(2000/8760)</f>
        <v>0</v>
      </c>
      <c r="OA58" s="155">
        <f>IF(Tank5!$D$22="No control",(SUMIF(Tank5!$E$32:$E$141,$FG58,Tank5!$H$32:$H$141)*(2000/8760)*IFERROR($QV$7,0)),0)</f>
        <v>0</v>
      </c>
      <c r="OB58" s="156">
        <f>SUMIF(LandEmiss!$AE$20:$AE$119,$FG58,LandEmiss!$AO$20:$AO$119)*(2000/8760)*IFERROR($QV$7,0)</f>
        <v>0</v>
      </c>
      <c r="OC58" s="156">
        <f>(SUMIF(LandEmiss!$CN$20:$CN$119,$FG58,LandEmiss!$CX$20:$CX$119)+SUMIF(LandEmiss!$EY$9:$EY$108,$FG58,LandEmiss!$FI$9:$FI$108))*IFERROR($QV$7,0)*(2000/8760)</f>
        <v>0</v>
      </c>
      <c r="OD58" s="155">
        <f>SUMIFS('Load-DrumTote'!$L$27:$L$136,'Load-DrumTote'!$F$27:$F$136,$FG58)*IFERROR($QV$8,0)*(2000/8760)</f>
        <v>0</v>
      </c>
      <c r="OE58" s="155">
        <f>SUMIFS('Load-Truck'!$L$27:$L$136,'Load-Truck'!$F$27:$F$136,$FG58)*IFERROR($QV$9,0)*(2000/8760)</f>
        <v>0</v>
      </c>
      <c r="OF58" s="155">
        <f>SUMIFS('Load-Rail'!$L$27:$L$136,'Load-Rail'!$F$27:$F$136,$FG58)*IFERROR($QV$10,0)*(2000/8760)</f>
        <v>0</v>
      </c>
      <c r="OG58" s="155">
        <f>SUMIFS('Load-MarineBarge'!$L$27:$L$136,'Load-MarineBarge'!$F$27:$F$136,$FG58)*IFERROR($QV$11,0)*(2000/8760)</f>
        <v>0</v>
      </c>
      <c r="OH58" s="155">
        <f>SUMIFS('Load-MarineShip'!$L$27:$L$136,'Load-MarineShip'!$F$27:$F$136,$FG58)*IFERROR($QV$12,0)*(2000/8760)</f>
        <v>0</v>
      </c>
      <c r="OI58" s="155">
        <f>(IF(OR(Flare!$D$24="FUEL GAS",Flare!$D$38="FUEL GAS"),SUMIF(Flare!$E$97:$E$106,$FG58,Flare!$G$97:$G$105),0)+SUMIF(Flare!$E$107:$E$216,$FG58,Flare!$G$107:$G$216))*(2000/8730)*IFERROR($QV$13,0)</f>
        <v>0</v>
      </c>
      <c r="OJ58" s="155">
        <f>SUMIF(LandEmiss!$A$335:$A$434,$FG58,LandEmiss!$C$335:$C$434)*(2000/8760)*IFERROR($QV$13,0)</f>
        <v>0</v>
      </c>
      <c r="OK58" s="155">
        <f>(SUMIF(LandEmiss!$BJ$335:$BJ$434,$FG58,LandEmiss!$BL$335:$BL$434)+SUMIF(LandEmiss!$DU$323:$DU$422,$FG58,LandEmiss!$DW$323:$DW$422))*(2000/8760)*IFERROR($QV$13,0)</f>
        <v>0</v>
      </c>
      <c r="OL58" s="155">
        <f>(IF(OR(VCU!$D$26="FUEL GAS",VCU!$D$42="FUEL GAS"),SUMIF(VCU!$E$120:$E$129,$FG58,VCU!$G$120:$G$129),0)+SUMIF(VCU!$E$130:$E$239,$FG58,VCU!G186:G295))*(2000/8760)*IFERROR($QV$14,0)</f>
        <v>0</v>
      </c>
      <c r="OM58" s="155">
        <f>SUMIF(LandEmiss!$A$335:$A$434,$FG58,LandEmiss!$E$335:$E$434)*(2000/8760)*IFERROR($QV$14,0)</f>
        <v>0</v>
      </c>
      <c r="ON58" s="155">
        <f>(SUMIF(LandEmiss!$BJ$335:$BJ$434,$FG58,LandEmiss!$BN$335:$BN$434)+SUMIF(LandEmiss!$DU$323:$DU$422,$FG58,LandEmiss!$DY$323:$DY$422))*(2000/8760)*IFERROR($QV$14,0)</f>
        <v>0</v>
      </c>
      <c r="OO58" s="155">
        <f>(IF(VaporOxidizer!$D$33="FUEL GAS",SUMIF(VaporOxidizer!$E$101:$E$110,$FG58,VaporOxidizer!$G$101:$G$110),0)+SUMIF(VaporOxidizer!$E$111:$E$220,$FG58,VaporOxidizer!$G$111:$G$220))*(2000/8760)*IFERROR($QV$15,0)</f>
        <v>0</v>
      </c>
      <c r="OP58" s="155">
        <f>SUMIF(LandEmiss!$A$335:$A$434,$FG58,LandEmiss!$G$335:$G$434)*(2000/8760)*IFERROR($QV$15,0)</f>
        <v>0</v>
      </c>
      <c r="OQ58" s="155">
        <f>(SUMIF(LandEmiss!$BJ$335:$BJ$434,$FG58,LandEmiss!$BP$335:$BP$434)+SUMIF(LandEmiss!$DU$323:$DU$422,$FG58,LandEmiss!$EA$323:$EA$422))*(2000/8760)*IFERROR($QV$15,0)</f>
        <v>0</v>
      </c>
      <c r="OR58" s="155">
        <f>SUMIF(CAS!$E$35:$E$144,Hidden!$FG58,CAS!$I$35:$I$144)*IFERROR($QV$16,0)*(2000/8760)</f>
        <v>0</v>
      </c>
      <c r="OS58" s="155">
        <f>SUMIF(LandEmiss!$A$335:$A$434,$FG58,LandEmiss!$I$335:$I$434)*(2000/8760)*IFERROR($QV$27,0)</f>
        <v>0</v>
      </c>
      <c r="OT58" s="155">
        <f>(SUMIF(LandEmiss!$BJ$335:$BJ$434,$FG58,LandEmiss!$BR$335:$BR$434)+SUMIF(LandEmiss!$DU$323:$DU$422,$FG58,LandEmiss!$EC$323:$EC$422))*(2000/8760)*IFERROR($QV$27,0)</f>
        <v>0</v>
      </c>
      <c r="OU58" s="155">
        <f>SUMIF(LandEmiss!$A$335:$A$434,$FG58,LandEmiss!$K$335:$K$434)*(2000/8760)*IFERROR($QV$26,0)</f>
        <v>0</v>
      </c>
      <c r="OV58" s="155">
        <f>(SUMIF(LandEmiss!$BJ$335:$BJ$434,$FG58,LandEmiss!$BT$335:$BT$434)+SUMIF(LandEmiss!$DU$323:$DU$422,$FG58,LandEmiss!$EE$323:$EE$422))*(2000/8760)*IFERROR($QV$26,0)</f>
        <v>0</v>
      </c>
      <c r="OW58" s="155">
        <f>SUMIF(LandEmiss!$A$335:$A$434,$FG58,LandEmiss!$M$335:$M$434)*(2000/8760)*IFERROR($QV$25,0)</f>
        <v>0</v>
      </c>
      <c r="OX58" s="155">
        <f>(SUMIF(LandEmiss!$BJ$335:$BJ$434,$FG58,LandEmiss!$BV$335:$BV$434)+SUMIF(LandEmiss!$DU$323:$DU$422,$FG58,LandEmiss!$EG$323:$EG$422))*(2000/8760)*IFERROR($QV$25,0)</f>
        <v>0</v>
      </c>
      <c r="OY58" s="8">
        <v>0</v>
      </c>
      <c r="OZ58" s="207">
        <v>0</v>
      </c>
      <c r="PA58" s="207">
        <f>IF(OR(HeaterBoiler1!$E$26&lt;&gt;"fuel gas",HeaterBoiler1!$E$15&lt;&gt;"heater"),0,(SUMIF(HeaterBoiler1!$A$54:$D$63,$FG58,HeaterBoiler1!$J$54:$J$63))*(2000/8760))*IFERROR($QV$19,0)</f>
        <v>0</v>
      </c>
      <c r="PB58" s="207">
        <f>IF(OR(HeaterBoiler2!$E$26&lt;&gt;"fuel gas",HeaterBoiler2!$E$15&lt;&gt;"heater"),0,(SUMIF(HeaterBoiler2!$A$54:$D$63,$FG58,HeaterBoiler2!$J$54:$J$63))*(2000/8760))*IFERROR($QV$21,0)</f>
        <v>0</v>
      </c>
      <c r="PC58" s="207">
        <f>IF(OR(HeaterBoiler1!$E$26&lt;&gt;"fuel gas",HeaterBoiler1!$E$15&lt;&gt;"boiler"),0,(SUMIF(HeaterBoiler1!$A$54:$D$63,$FG58,HeaterBoiler1!$J$54:$J$63))*(2000/8760))*IFERROR($QV$20,0)</f>
        <v>0</v>
      </c>
      <c r="PD58" s="207">
        <f>IF(OR(HeaterBoiler2!$E$26&lt;&gt;"fuel gas",HeaterBoiler2!$E$15&lt;&gt;"boiler"),0,(SUMIF(HeaterBoiler2!$A$54:$D$63,$FG58,HeaterBoiler2!$J$54:$J$63))*(2000/8760))*IFERROR($QV$22,0)</f>
        <v>0</v>
      </c>
      <c r="PE58" s="8">
        <f>(SUMIF(Fug!$A$96:$A$205,$FG58,Fug!$J$96:$J$205))*IFERROR($QV$23,0)*(2000/8760)</f>
        <v>0</v>
      </c>
      <c r="PF58" s="8">
        <f t="shared" si="31"/>
        <v>0</v>
      </c>
      <c r="PG58" s="156">
        <f t="shared" si="32"/>
        <v>0</v>
      </c>
      <c r="PJ58" s="52" t="str">
        <f>IF(Fug!$F$16=Hidden!$PP$2,"Other [9]","")</f>
        <v/>
      </c>
      <c r="PK58" s="52" t="str">
        <f>IF(Fug!$F$16=Hidden!$PP$2,"Heavy Oil &lt;20° API","")</f>
        <v/>
      </c>
      <c r="PL58" s="52"/>
      <c r="PM58" s="52"/>
      <c r="PN58" s="52"/>
      <c r="PO58" s="52"/>
      <c r="PP58" s="52">
        <v>6.8300000000000007E-5</v>
      </c>
      <c r="PQ58" s="52"/>
      <c r="PR58" s="52"/>
      <c r="PS58" s="52"/>
      <c r="PT58" s="52" t="s">
        <v>8799</v>
      </c>
      <c r="PU58" s="52" t="s">
        <v>8780</v>
      </c>
      <c r="PV58" s="52">
        <v>0</v>
      </c>
      <c r="PW58" s="52">
        <v>0</v>
      </c>
      <c r="PX58" s="52">
        <v>0</v>
      </c>
      <c r="PY58" s="52">
        <v>0</v>
      </c>
      <c r="PZ58" s="52">
        <v>0</v>
      </c>
      <c r="QA58" s="52">
        <v>0</v>
      </c>
      <c r="QB58" s="52"/>
      <c r="QC58" s="52"/>
      <c r="QD58" s="52"/>
      <c r="QE58" s="52"/>
      <c r="QF58" s="52"/>
      <c r="QG58" s="52"/>
      <c r="QH58" s="52"/>
      <c r="QI58" s="52"/>
      <c r="QX58" s="89" t="s">
        <v>9335</v>
      </c>
      <c r="QY58">
        <v>1130.9000000000001</v>
      </c>
      <c r="QZ58">
        <v>1130.9000000000001</v>
      </c>
      <c r="RA58">
        <v>1130.9000000000001</v>
      </c>
      <c r="RB58">
        <v>1130.9000000000001</v>
      </c>
      <c r="RC58">
        <v>1130.9000000000001</v>
      </c>
      <c r="RD58">
        <v>1130.9000000000001</v>
      </c>
      <c r="RE58">
        <v>1130.9000000000001</v>
      </c>
      <c r="RF58">
        <v>1130.9000000000001</v>
      </c>
      <c r="RG58">
        <v>1130.9000000000001</v>
      </c>
      <c r="RH58" s="89" t="s">
        <v>9335</v>
      </c>
      <c r="RQ58" s="90"/>
      <c r="RR58" s="89" t="s">
        <v>9335</v>
      </c>
      <c r="SA58" s="90"/>
      <c r="SB58" s="89" t="s">
        <v>9335</v>
      </c>
      <c r="SK58" s="90"/>
      <c r="SL58" s="89" t="s">
        <v>9335</v>
      </c>
      <c r="SM58">
        <v>71.09</v>
      </c>
      <c r="SN58">
        <v>71.09</v>
      </c>
      <c r="SO58">
        <v>71.09</v>
      </c>
      <c r="SP58">
        <v>71.09</v>
      </c>
      <c r="SQ58">
        <v>71.09</v>
      </c>
      <c r="SR58">
        <v>71.09</v>
      </c>
      <c r="SS58">
        <v>71.09</v>
      </c>
      <c r="ST58">
        <v>71.09</v>
      </c>
      <c r="SU58">
        <v>71.09</v>
      </c>
    </row>
    <row r="59" spans="1:515" ht="74.25" customHeight="1" x14ac:dyDescent="0.2">
      <c r="W59">
        <f>IF(OR(X59=0,ISNUMBER(MATCH(X59,$X$1:X58,0))),0,MAX($W$1:W58)+1)</f>
        <v>0</v>
      </c>
      <c r="X59" s="123">
        <f>Products!$E106</f>
        <v>0</v>
      </c>
      <c r="Y59" t="str">
        <f t="shared" si="39"/>
        <v/>
      </c>
      <c r="CA59">
        <f>IF(OR(CB59=0,ISNUMBER(MATCH(CB59,$CB$1:CB58,0))),0,MAX($CA$1:CA58)+1)</f>
        <v>0</v>
      </c>
      <c r="CB59" s="8">
        <f>IF(OR(Tank1!$D$18="EXTERNAL FLOATING ROOF",Tank1!$D$18="INTERNAL FLOATING ROOF"),IF(Tank1!$E89="",0,Tank1!$E89),0)</f>
        <v>0</v>
      </c>
      <c r="CC59" s="8" t="str">
        <f t="shared" si="40"/>
        <v/>
      </c>
      <c r="CD59" s="8"/>
      <c r="CE59" s="8">
        <f>IF(OR(CF59=0,ISNUMBER(MATCH(CF59,$CF$1:CF58,0))),0,MAX($CE$1:CE58)+1)</f>
        <v>0</v>
      </c>
      <c r="CF59" s="8">
        <f>IF(OR(Tank1!$D$18="HORIZONTAL FIXED ROOF",Tank1!$D$18="VERTICAL FIXED ROOF"),IF(Tank1!$E89="",0,Tank1!$E89),0)</f>
        <v>0</v>
      </c>
      <c r="CG59" s="8" t="str">
        <f t="shared" si="41"/>
        <v/>
      </c>
      <c r="DM59">
        <f>IF(OR(DN59=0,ISNUMBER(MATCH(DN59,$DN$1:DN58,0))),0,MAX($DM$1:DM58)+1)</f>
        <v>0</v>
      </c>
      <c r="DN59">
        <f>IF('Load-DrumTote'!$F$19="Flare",IFERROR(VLOOKUP(Products!$A$129,'Load-DrumTote'!$A$27:$B$136,1,FALSE),0),0)</f>
        <v>0</v>
      </c>
      <c r="DO59">
        <f>IF($DN59=0,0,VLOOKUP($DN59,'Load-DrumTote'!$A$27:$N$136,13,FALSE))</f>
        <v>0</v>
      </c>
      <c r="DP59">
        <f>IF($DN59=0,0,VLOOKUP($DN59,'Load-DrumTote'!$A$27:$N$136,14,FALSE))</f>
        <v>0</v>
      </c>
      <c r="DU59">
        <f>IF(OR(DV59=0,ISNUMBER(MATCH(DV59,$DV$1:DV58,0))),0,MAX($DU$1:DU58)+1)</f>
        <v>0</v>
      </c>
      <c r="DV59">
        <f>IF('Load-DrumTote'!$F$19="VCU",IFERROR(VLOOKUP(Products!$A$129,'Load-DrumTote'!$A$27:$B$136,1,FALSE),0),0)</f>
        <v>0</v>
      </c>
      <c r="DW59">
        <f>IF($DV59=0,0,VLOOKUP($DV59,'Load-DrumTote'!$A$27:$N$136,13,FALSE))</f>
        <v>0</v>
      </c>
      <c r="DX59">
        <f>IF($DV59=0,0,VLOOKUP($DV59,'Load-DrumTote'!$A$27:$N$136,14,FALSE))</f>
        <v>0</v>
      </c>
      <c r="EC59">
        <f>IF(OR(ED59=0,ISNUMBER(MATCH(ED59,$ED$1:ED58,0))),0,MAX($EC$1:EC58)+1)</f>
        <v>0</v>
      </c>
      <c r="ED59">
        <f>IF('Load-DrumTote'!$F$19="vapor oxidizer",IFERROR(VLOOKUP(Products!$A$129,'Load-DrumTote'!$A$27:$B$136,1,FALSE),0),0)</f>
        <v>0</v>
      </c>
      <c r="EE59">
        <f>IF($ED59=0,0,VLOOKUP($ED59,'Load-DrumTote'!$A$27:$N$136,13,FALSE))</f>
        <v>0</v>
      </c>
      <c r="EF59">
        <f>IF($ED59=0,0,VLOOKUP($ED59,'Load-DrumTote'!$A$27:$N$136,14,FALSE))</f>
        <v>0</v>
      </c>
      <c r="EK59">
        <f>IF(OR(EL59=0,ISNUMBER(MATCH(EL59,$EL$1:EL58,0))),0,MAX($EK$1:EK58)+1)</f>
        <v>0</v>
      </c>
      <c r="EL59">
        <f>IF('Load-DrumTote'!$F$19="CAS",IFERROR(VLOOKUP(Products!A129,'Load-DrumTote'!$A$27:$B$136,1,FALSE),0),0)</f>
        <v>0</v>
      </c>
      <c r="EM59">
        <f>IF($EL59=0,0,VLOOKUP($EL59,'Load-DrumTote'!$A$27:$N$136,13,FALSE))</f>
        <v>0</v>
      </c>
      <c r="EN59">
        <f>IF($EL59=0,0,VLOOKUP($EL59,'Load-DrumTote'!$A$27:$N$136,14,FALSE))</f>
        <v>0</v>
      </c>
      <c r="FB59" s="8" t="s">
        <v>467</v>
      </c>
      <c r="FC59" s="8" t="s">
        <v>468</v>
      </c>
      <c r="FD59" s="8">
        <v>50</v>
      </c>
      <c r="FE59" s="8">
        <v>5</v>
      </c>
      <c r="FG59" s="360" t="str">
        <f t="shared" si="23"/>
        <v/>
      </c>
      <c r="FH59" s="155">
        <f>IF(Tank1!$D$22="NO CONTROL",_xlfn.MAXIFS(Tank1!$G$32:$G$141,Tank1!$E$32:$E$141,$FG59),0)*IFERROR($QR$3,0)</f>
        <v>0</v>
      </c>
      <c r="FI59" s="155">
        <f>_xlfn.MAXIFS(LandEmiss!$AF$20:$AF$119,LandEmiss!$AE$20:$AE$119,$FG59)*IFERROR($QR$3,0)</f>
        <v>0</v>
      </c>
      <c r="FJ59" s="155">
        <f>MAX(_xlfn.MAXIFS(LandEmiss!$CO$20:$CO$119,LandEmiss!$CN$20:$CN$119,$FG59),_xlfn.MAXIFS(LandEmiss!$EZ$9:$EZ$108,LandEmiss!$EY$9:$EY$108,$FG59))*IFERROR($QR$3,0)</f>
        <v>0</v>
      </c>
      <c r="FK59" s="155">
        <f>IF(Tank2!$D$22="NO CONTROL",_xlfn.MAXIFS(Tank2!$G$32:$G$141,Tank2!$E$32:$E$141,$FG59),0)*IFERROR($QR$4,0)</f>
        <v>0</v>
      </c>
      <c r="FL59" s="155">
        <f>_xlfn.MAXIFS(LandEmiss!$AG$20:$AG$119,LandEmiss!$AE$20:$AE$119,$FG59)*IFERROR($QR$4,0)</f>
        <v>0</v>
      </c>
      <c r="FM59" s="155">
        <f>MAX(_xlfn.MAXIFS(LandEmiss!$CP$20:$CP$119,LandEmiss!$CN$20:$CN$119,$FG59),_xlfn.MAXIFS(LandEmiss!$FA$9:$FA$108,LandEmiss!$EY$9:$EY$108,$FG59))*IFERROR($QR$4,0)</f>
        <v>0</v>
      </c>
      <c r="FN59" s="155">
        <f>IF(Tank3!$D$22="NO CONTROL",_xlfn.MAXIFS(Tank3!$G$32:$G$141,Tank3!$E$32:$E$141,$FG59),0)*IFERROR($QR$5,0)</f>
        <v>0</v>
      </c>
      <c r="FO59" s="155">
        <f>_xlfn.MAXIFS(LandEmiss!$AH$20:$AH$119,LandEmiss!$AE$20:$AE$119,$FG59)*IFERROR($QR$5,0)</f>
        <v>0</v>
      </c>
      <c r="FP59" s="155">
        <f>MAX(_xlfn.MAXIFS(LandEmiss!$CQ$20:$CQ$119,LandEmiss!$CN$20:$CN$119,$FG59),_xlfn.MAXIFS(LandEmiss!$FB$9:$FB$108,LandEmiss!$EY$9:$EY$108,$FG59))*IFERROR($QR$5,0)</f>
        <v>0</v>
      </c>
      <c r="FQ59" s="155">
        <f>IF(Tank4!$D$22="NO CONTROL",_xlfn.MAXIFS(Tank4!$G$32:$G$141,Tank4!$E$32:$E$141,$FG59),0)*IFERROR($QR$6,0)</f>
        <v>0</v>
      </c>
      <c r="FR59" s="155">
        <f>_xlfn.MAXIFS(LandEmiss!$AI$20:$AI$119,LandEmiss!$AE$20:$AE$119,$FG59)*IFERROR($QR$6,0)</f>
        <v>0</v>
      </c>
      <c r="FS59" s="155">
        <f>MAX(_xlfn.MAXIFS(LandEmiss!$CR$20:$CR$119,LandEmiss!$CN$20:$CN$119,$FG59),_xlfn.MAXIFS(LandEmiss!$FC$9:$FC$108,LandEmiss!$EY$9:$EY$108,$FG59))*IFERROR($QR$6,0)</f>
        <v>0</v>
      </c>
      <c r="FT59" s="155">
        <f>IF(Tank5!$D$22="NO CONTROL",_xlfn.MAXIFS(Tank5!$G$32:$G$141,Tank5!$E$32:$E$141,$FG59),0)*IFERROR($QR$7,0)</f>
        <v>0</v>
      </c>
      <c r="FU59" s="155">
        <f>_xlfn.MAXIFS(LandEmiss!$AJ$20:$AJ$119,LandEmiss!$AE$20:$AE$119,$FG59)*IFERROR($QR$7,0)</f>
        <v>0</v>
      </c>
      <c r="FV59" s="155">
        <f>MAX(_xlfn.MAXIFS(LandEmiss!$CS$20:$CS$119,LandEmiss!$CN$20:$CN$119,$FG59),_xlfn.MAXIFS(LandEmiss!$FD$9:$FD$108,LandEmiss!$EY$9:$EY$108,$FG59))*IFERROR($QR64,0)</f>
        <v>0</v>
      </c>
      <c r="FW59" s="155">
        <f>_xlfn.MAXIFS('Load-DrumTote'!$K$27:$K$136,'Load-DrumTote'!$F$27:$F$136,$FG59)*IFERROR($QR$8,0)</f>
        <v>0</v>
      </c>
      <c r="FX59" s="155">
        <f>_xlfn.MAXIFS('Load-Truck'!$K$27:$K$136,'Load-Truck'!$F$27:$F$136,$FG59)*IFERROR($QR$9,0)</f>
        <v>0</v>
      </c>
      <c r="FY59" s="155">
        <f>_xlfn.MAXIFS('Load-Rail'!$K$27:$K$136,'Load-Rail'!$F$27:$F$136,$FG59)*IFERROR($QR$10,0)</f>
        <v>0</v>
      </c>
      <c r="FZ59" s="155">
        <f>_xlfn.MAXIFS('Load-MarineBarge'!$K$27:$K$136,'Load-MarineBarge'!$F$27:$F$136,$FG59)*IFERROR($QR$11,0)</f>
        <v>0</v>
      </c>
      <c r="GA59" s="155">
        <f>_xlfn.MAXIFS('Load-MarineShip'!$K$27:$K$136,'Load-MarineShip'!$F$27:$F$136,$FG59)*IFERROR($QR$12,0)</f>
        <v>0</v>
      </c>
      <c r="GB59" s="313">
        <f>IF(OR(Flare!$D$24="fuel gas",Flare!$D$38="fuel gas"),SUMIF(Flare!$E$97:$E$106,$FG59,Flare!$F$97:$F$106),0)*IFERROR($QR$13,0)</f>
        <v>0</v>
      </c>
      <c r="GC59" s="313">
        <f>(_xlfn.MAXIFS(CtrlDevImpacts!$I$57:$I$156,CtrlDevImpacts!$H$57:$H$156,$FG59))*IFERROR($QR$13,0)</f>
        <v>0</v>
      </c>
      <c r="GD59" s="313">
        <f>(_xlfn.MAXIFS(Flare!$F$107:$F$216,Flare!$E$107:$E$216,$FG59)-_xlfn.MAXIFS(CtrlDevImpacts!$I$57:$I$156,CtrlDevImpacts!$H$57:$H$156,$FG59))*IFERROR($QR$13,0)</f>
        <v>0</v>
      </c>
      <c r="GE59" s="155">
        <f>_xlfn.MAXIFS(LandEmiss!$B$335:$B$434,LandEmiss!$A$335:$A$434,$FG59)*IFERROR($QR$13,0)</f>
        <v>0</v>
      </c>
      <c r="GF59" s="155">
        <f>(_xlfn.MAXIFS(LandEmiss!$BK$335:$BK$434,LandEmiss!$BJ$335:$BJ$434,$FG59)+_xlfn.MAXIFS(LandEmiss!$DV$323:$DV$422,LandEmiss!$DU$323:$DU$422,$FG59))*IFERROR($QR$13,0)</f>
        <v>0</v>
      </c>
      <c r="GG59" s="313">
        <f>IF(OR(VCU!$D$26="fuel gas",VCU!$D$42="fuel gas"),SUMIF(VCU!$E$120:$E$129,$FG59,VCU!$F$120:$F$129),0)*IFERROR($QR$14,0)</f>
        <v>0</v>
      </c>
      <c r="GH59" s="313">
        <f>(_xlfn.MAXIFS(CtrlDevImpacts!$X$57:$X$156,CtrlDevImpacts!$W$57:$W$156,$FG59))*IFERROR($QR$14,0)</f>
        <v>0</v>
      </c>
      <c r="GI59" s="313">
        <f>(_xlfn.MAXIFS(VCU!$F$130:$F$239,VCU!$E$130:$E$239,$FG59)-_xlfn.MAXIFS(CtrlDevImpacts!$X$57:$X$156,CtrlDevImpacts!$W$57:$W$156,$FG59))*IFERROR($QR$14,0)</f>
        <v>0</v>
      </c>
      <c r="GJ59" s="155">
        <f>_xlfn.MAXIFS(LandEmiss!$D$335:$D$434,LandEmiss!$A$335:$A$434,$FG59)*IFERROR($QR$14,0)</f>
        <v>0</v>
      </c>
      <c r="GK59" s="155">
        <f>(_xlfn.MAXIFS(LandEmiss!$BM$335:$BM$434,LandEmiss!$BJ$335:$BJ$434,$FG59)+_xlfn.MAXIFS(LandEmiss!$DX$323:$DX$422,LandEmiss!$DU$323:$DU$422,$FG59))*IFERROR($QR$14,0)</f>
        <v>0</v>
      </c>
      <c r="GL59" s="313">
        <f>IF(VaporOxidizer!D90="FUEL GAS",SUMIF(VaporOxidizer!$E$101:$E$110,$FG59,VaporOxidizer!$F$101:$F$110),0)*IFERROR($QR$15,0)</f>
        <v>0</v>
      </c>
      <c r="GM59" s="313">
        <f>(_xlfn.MAXIFS(CtrlDevImpacts!$AN$57:$AN$156,CtrlDevImpacts!$AM$57:$AM$156,$FG59))*IFERROR($QR$15,0)</f>
        <v>0</v>
      </c>
      <c r="GN59" s="313">
        <f>(_xlfn.MAXIFS(VaporOxidizer!$F$111:$F$220,VaporOxidizer!$E$111:$E$220,$FG59)-_xlfn.MAXIFS(CtrlDevImpacts!$AN$57:$AN$156,CtrlDevImpacts!$AM$57:$AM$156,$FG59))*IFERROR($QR$15,0)</f>
        <v>0</v>
      </c>
      <c r="GO59" s="155">
        <f>_xlfn.MAXIFS(LandEmiss!$F$335:$F$434,LandEmiss!$A$335:$A$434,$FG59)*IFERROR($QR$15,0)</f>
        <v>0</v>
      </c>
      <c r="GP59" s="155">
        <f>(_xlfn.MAXIFS(LandEmiss!$BK$335:$BK$434,LandEmiss!$BO$335:$BO$434,$FG59)+_xlfn.MAXIFS(LandEmiss!$DZ$323:$DZ$422,LandEmiss!$DU$323:$DU$422,$FG59))*IFERROR($QR$15,0)</f>
        <v>0</v>
      </c>
      <c r="GQ59" s="313">
        <f>_xlfn.MAXIFS(CtrlDevImpacts!$BD$57:$BD$156,CtrlDevImpacts!$BC$57:$BC$156,$FG59)*IFERROR(Hidden!$QR$16,0)</f>
        <v>0</v>
      </c>
      <c r="GR59" s="313">
        <f>(_xlfn.MAXIFS(CAS!$H$35:$H$144,CAS!$E$35:$E$144,$FG59)-_xlfn.MAXIFS(CtrlDevImpacts!$BD$57:$BD$156,CtrlDevImpacts!$BC$57:$BC$156,$FG59))*IFERROR(Hidden!$QR$16,0)</f>
        <v>0</v>
      </c>
      <c r="GS59" s="155">
        <f>_xlfn.MAXIFS(LandEmiss!$H$335:$H$434,LandEmiss!$A$335:$A$434,$FG59)*IFERROR($QR$27,0)</f>
        <v>0</v>
      </c>
      <c r="GT59" s="155">
        <f>(_xlfn.MAXIFS(LandEmiss!$BK$335:$BK$434,LandEmiss!$BQ$335:$BQ$434,$FG59)+_xlfn.MAXIFS(LandEmiss!$EB$323:$EB$422,LandEmiss!$DU$323:$DU$422,$FG59))*IFERROR($QR$27,0)</f>
        <v>0</v>
      </c>
      <c r="GU59" s="155">
        <f>_xlfn.MAXIFS(LandEmiss!$J$335:$J$434,LandEmiss!$A$335:$A$434,$FG59)*IFERROR($QR$26,0)</f>
        <v>0</v>
      </c>
      <c r="GV59" s="155">
        <f>(_xlfn.MAXIFS(LandEmiss!$BK$335:$BK$434,LandEmiss!$BS$335:$BS$434,$FG59)+_xlfn.MAXIFS(LandEmiss!$ED$323:$ED$422,LandEmiss!$DU$323:$DU$422,$FG59))*IFERROR($QR$26,0)</f>
        <v>0</v>
      </c>
      <c r="GW59" s="155">
        <f>_xlfn.MAXIFS(LandEmiss!$L$335:$L$434,LandEmiss!$A$335:$A$434,$FG59)*IFERROR($QR$25,0)</f>
        <v>0</v>
      </c>
      <c r="GX59" s="155">
        <f>(_xlfn.MAXIFS(LandEmiss!$BK$335:$BK$434,LandEmiss!$BU$335:$BU$434,$FG59)+_xlfn.MAXIFS(LandEmiss!$EF$323:$EF$422,LandEmiss!$DU$323:$DU$422,$FG59))*IFERROR($QR$25,0)</f>
        <v>0</v>
      </c>
      <c r="GY59" s="155">
        <v>0</v>
      </c>
      <c r="GZ59" s="155">
        <v>0</v>
      </c>
      <c r="HA59" s="155">
        <f>IF(OR(HeaterBoiler1!$E$26&lt;&gt;"fuel gas",HeaterBoiler1!$E$15&lt;&gt;"heater"),0,SUMIF(HeaterBoiler1!$A$54:$D$63,$FG59,HeaterBoiler1!$I$54:$I$63))*IFERROR($QR$19,0)</f>
        <v>0</v>
      </c>
      <c r="HB59" s="207">
        <f>IF(OR(HeaterBoiler2!$E$26&lt;&gt;"fuel gas",HeaterBoiler2!$E$15&lt;&gt;"heater"),0,SUMIF(HeaterBoiler2!$A$54:$D$63,$FG59,HeaterBoiler2!$I$54:$I$63))*IFERROR($QR$21,0)</f>
        <v>0</v>
      </c>
      <c r="HC59" s="155">
        <f>IF(OR(HeaterBoiler1!$E$26&lt;&gt;"fuel gas",HeaterBoiler1!$E$15&lt;&gt;"boiler"),0,SUMIF(HeaterBoiler1!$A$41:$A$50,$FG59,HeaterBoiler1!$F$41:$F$50))*IFERROR($QR$20,0)</f>
        <v>0</v>
      </c>
      <c r="HD59" s="207">
        <f>IF(OR(HeaterBoiler2!$E$26&lt;&gt;"fuel gas",HeaterBoiler2!$E$15&lt;&gt;"boiler"),0,SUMIF(HeaterBoiler2!$A$41:$A$50,$FG59,HeaterBoiler2!$F$41:$F$50))*IFERROR($QR$22,0)</f>
        <v>0</v>
      </c>
      <c r="HE59" s="155">
        <f>SUMIF(Fug!$A$96:$A$205,$FG59,Fug!$I$96:$I$205)*IFERROR(Hidden!$QR$23,0)</f>
        <v>0</v>
      </c>
      <c r="HF59" s="155">
        <f t="shared" si="24"/>
        <v>0</v>
      </c>
      <c r="HG59" s="156">
        <f t="shared" si="25"/>
        <v>0</v>
      </c>
      <c r="HH59" s="156">
        <f t="shared" si="26"/>
        <v>0</v>
      </c>
      <c r="HI59" s="156">
        <f t="shared" si="27"/>
        <v>0</v>
      </c>
      <c r="HJ59" s="156">
        <f t="shared" si="28"/>
        <v>0</v>
      </c>
      <c r="HK59" s="156">
        <f t="shared" si="29"/>
        <v>0</v>
      </c>
      <c r="HL59" s="156">
        <f t="shared" si="30"/>
        <v>0</v>
      </c>
      <c r="NO59" s="155">
        <f>IF(Tank1!$D$22="No control",(SUMIF(Tank1!$E$32:$E$141,$FG59,Tank1!$H$32:$H$141)*(2000/8760)*IFERROR($QV$3,0)),0)</f>
        <v>0</v>
      </c>
      <c r="NP59" s="156">
        <f>SUMIF(LandEmiss!$AE$20:$AE$119,$FG59,LandEmiss!$AK$20:$AK$119)*(2000/8760)*IFERROR($QV$3,0)</f>
        <v>0</v>
      </c>
      <c r="NQ59" s="156">
        <f>(SUMIF(LandEmiss!$CN$20:$CN$119,$FG59,LandEmiss!$CT$20:$CT$119)+SUMIF(LandEmiss!$EY$9:$EY$108,$FG59,LandEmiss!$FE$9:$FE$108))*IFERROR($QV$3,0)*(2000/8760)</f>
        <v>0</v>
      </c>
      <c r="NR59" s="155">
        <f>IF(Tank2!$D$22="No control",(SUMIF(Tank2!$E$32:$E$141,$FG59,Tank2!$H$32:$H$141)*(2000/8760)*IFERROR($QV$4,0)),0)</f>
        <v>0</v>
      </c>
      <c r="NS59" s="156">
        <f>SUMIF(LandEmiss!$AE$20:$AE$119,$FG59,LandEmiss!$AL$20:$AL$119)*(2000/8760)*IFERROR($QV$4,0)</f>
        <v>0</v>
      </c>
      <c r="NT59" s="156">
        <f>(SUMIF(LandEmiss!$CN$20:$CN$119,$FG59,LandEmiss!$CU$20:$CU$119)+SUMIF(LandEmiss!$EY$9:$EY$108,$FG59,LandEmiss!$FF$9:$FF$108))*IFERROR($QV$4,0)*(2000/8760)</f>
        <v>0</v>
      </c>
      <c r="NU59" s="155">
        <f>IF(Tank3!$D$22="No control",(SUMIF(Tank3!$E$32:$E$141,$FG59,Tank3!$H$32:$H$141)*(2000/8760)*IFERROR($QV$5,0)),0)</f>
        <v>0</v>
      </c>
      <c r="NV59" s="156">
        <f>SUMIF(LandEmiss!$AE$20:$AE$119,$FG59,LandEmiss!$AM$20:$AM$119)*(2000/8760)*IFERROR($QV$5,0)</f>
        <v>0</v>
      </c>
      <c r="NW59" s="156">
        <f>(SUMIF(LandEmiss!$CN$20:$CN$119,$FG59,LandEmiss!$CV$20:$CV$119)+SUMIF(LandEmiss!$EY$9:$EY$108,$FG59,LandEmiss!$FG$9:$FG$108))*IFERROR($QV$5,0)*(2000/8760)</f>
        <v>0</v>
      </c>
      <c r="NX59" s="155">
        <f>IF(Tank4!$D$22="No control",(SUMIF(Tank4!$E$32:$E$141,$FG59,Tank4!$H$32:$H$141)*(2000/8760)*IFERROR($QV$6,0)),0)</f>
        <v>0</v>
      </c>
      <c r="NY59" s="156">
        <f>SUMIF(LandEmiss!$AE$20:$AE$119,$FG59,LandEmiss!$AN$20:$AN$119)*(2000/8760)*IFERROR($QV$6,0)</f>
        <v>0</v>
      </c>
      <c r="NZ59" s="156">
        <f>(SUMIF(LandEmiss!$CN$20:$CN$119,$FG59,LandEmiss!$CW$20:$CW$119)+SUMIF(LandEmiss!$EY$9:$EY$108,$FG59,LandEmiss!$FH$9:$FH$108))*IFERROR($QV$6,0)*(2000/8760)</f>
        <v>0</v>
      </c>
      <c r="OA59" s="155">
        <f>IF(Tank5!$D$22="No control",(SUMIF(Tank5!$E$32:$E$141,$FG59,Tank5!$H$32:$H$141)*(2000/8760)*IFERROR($QV$7,0)),0)</f>
        <v>0</v>
      </c>
      <c r="OB59" s="156">
        <f>SUMIF(LandEmiss!$AE$20:$AE$119,$FG59,LandEmiss!$AO$20:$AO$119)*(2000/8760)*IFERROR($QV$7,0)</f>
        <v>0</v>
      </c>
      <c r="OC59" s="156">
        <f>(SUMIF(LandEmiss!$CN$20:$CN$119,$FG59,LandEmiss!$CX$20:$CX$119)+SUMIF(LandEmiss!$EY$9:$EY$108,$FG59,LandEmiss!$FI$9:$FI$108))*IFERROR($QV$7,0)*(2000/8760)</f>
        <v>0</v>
      </c>
      <c r="OD59" s="155">
        <f>SUMIFS('Load-DrumTote'!$L$27:$L$136,'Load-DrumTote'!$F$27:$F$136,$FG59)*IFERROR($QV$8,0)*(2000/8760)</f>
        <v>0</v>
      </c>
      <c r="OE59" s="155">
        <f>SUMIFS('Load-Truck'!$L$27:$L$136,'Load-Truck'!$F$27:$F$136,$FG59)*IFERROR($QV$9,0)*(2000/8760)</f>
        <v>0</v>
      </c>
      <c r="OF59" s="155">
        <f>SUMIFS('Load-Rail'!$L$27:$L$136,'Load-Rail'!$F$27:$F$136,$FG59)*IFERROR($QV$10,0)*(2000/8760)</f>
        <v>0</v>
      </c>
      <c r="OG59" s="155">
        <f>SUMIFS('Load-MarineBarge'!$L$27:$L$136,'Load-MarineBarge'!$F$27:$F$136,$FG59)*IFERROR($QV$11,0)*(2000/8760)</f>
        <v>0</v>
      </c>
      <c r="OH59" s="155">
        <f>SUMIFS('Load-MarineShip'!$L$27:$L$136,'Load-MarineShip'!$F$27:$F$136,$FG59)*IFERROR($QV$12,0)*(2000/8760)</f>
        <v>0</v>
      </c>
      <c r="OI59" s="155">
        <f>(IF(OR(Flare!$D$24="FUEL GAS",Flare!$D$38="FUEL GAS"),SUMIF(Flare!$E$97:$E$106,$FG59,Flare!$G$97:$G$105),0)+SUMIF(Flare!$E$107:$E$216,$FG59,Flare!$G$107:$G$216))*(2000/8730)*IFERROR($QV$13,0)</f>
        <v>0</v>
      </c>
      <c r="OJ59" s="155">
        <f>SUMIF(LandEmiss!$A$335:$A$434,$FG59,LandEmiss!$C$335:$C$434)*(2000/8760)*IFERROR($QV$13,0)</f>
        <v>0</v>
      </c>
      <c r="OK59" s="155">
        <f>(SUMIF(LandEmiss!$BJ$335:$BJ$434,$FG59,LandEmiss!$BL$335:$BL$434)+SUMIF(LandEmiss!$DU$323:$DU$422,$FG59,LandEmiss!$DW$323:$DW$422))*(2000/8760)*IFERROR($QV$13,0)</f>
        <v>0</v>
      </c>
      <c r="OL59" s="155">
        <f>(IF(OR(VCU!$D$26="FUEL GAS",VCU!$D$42="FUEL GAS"),SUMIF(VCU!$E$120:$E$129,$FG59,VCU!$G$120:$G$129),0)+SUMIF(VCU!$E$130:$E$239,$FG59,VCU!G187:G296))*(2000/8760)*IFERROR($QV$14,0)</f>
        <v>0</v>
      </c>
      <c r="OM59" s="155">
        <f>SUMIF(LandEmiss!$A$335:$A$434,$FG59,LandEmiss!$E$335:$E$434)*(2000/8760)*IFERROR($QV$14,0)</f>
        <v>0</v>
      </c>
      <c r="ON59" s="155">
        <f>(SUMIF(LandEmiss!$BJ$335:$BJ$434,$FG59,LandEmiss!$BN$335:$BN$434)+SUMIF(LandEmiss!$DU$323:$DU$422,$FG59,LandEmiss!$DY$323:$DY$422))*(2000/8760)*IFERROR($QV$14,0)</f>
        <v>0</v>
      </c>
      <c r="OO59" s="155">
        <f>(IF(VaporOxidizer!$D$33="FUEL GAS",SUMIF(VaporOxidizer!$E$101:$E$110,$FG59,VaporOxidizer!$G$101:$G$110),0)+SUMIF(VaporOxidizer!$E$111:$E$220,$FG59,VaporOxidizer!$G$111:$G$220))*(2000/8760)*IFERROR($QV$15,0)</f>
        <v>0</v>
      </c>
      <c r="OP59" s="155">
        <f>SUMIF(LandEmiss!$A$335:$A$434,$FG59,LandEmiss!$G$335:$G$434)*(2000/8760)*IFERROR($QV$15,0)</f>
        <v>0</v>
      </c>
      <c r="OQ59" s="155">
        <f>(SUMIF(LandEmiss!$BJ$335:$BJ$434,$FG59,LandEmiss!$BP$335:$BP$434)+SUMIF(LandEmiss!$DU$323:$DU$422,$FG59,LandEmiss!$EA$323:$EA$422))*(2000/8760)*IFERROR($QV$15,0)</f>
        <v>0</v>
      </c>
      <c r="OR59" s="155">
        <f>SUMIF(CAS!$E$35:$E$144,Hidden!$FG59,CAS!$I$35:$I$144)*IFERROR($QV$16,0)*(2000/8760)</f>
        <v>0</v>
      </c>
      <c r="OS59" s="155">
        <f>SUMIF(LandEmiss!$A$335:$A$434,$FG59,LandEmiss!$I$335:$I$434)*(2000/8760)*IFERROR($QV$27,0)</f>
        <v>0</v>
      </c>
      <c r="OT59" s="155">
        <f>(SUMIF(LandEmiss!$BJ$335:$BJ$434,$FG59,LandEmiss!$BR$335:$BR$434)+SUMIF(LandEmiss!$DU$323:$DU$422,$FG59,LandEmiss!$EC$323:$EC$422))*(2000/8760)*IFERROR($QV$27,0)</f>
        <v>0</v>
      </c>
      <c r="OU59" s="155">
        <f>SUMIF(LandEmiss!$A$335:$A$434,$FG59,LandEmiss!$K$335:$K$434)*(2000/8760)*IFERROR($QV$26,0)</f>
        <v>0</v>
      </c>
      <c r="OV59" s="155">
        <f>(SUMIF(LandEmiss!$BJ$335:$BJ$434,$FG59,LandEmiss!$BT$335:$BT$434)+SUMIF(LandEmiss!$DU$323:$DU$422,$FG59,LandEmiss!$EE$323:$EE$422))*(2000/8760)*IFERROR($QV$26,0)</f>
        <v>0</v>
      </c>
      <c r="OW59" s="155">
        <f>SUMIF(LandEmiss!$A$335:$A$434,$FG59,LandEmiss!$M$335:$M$434)*(2000/8760)*IFERROR($QV$25,0)</f>
        <v>0</v>
      </c>
      <c r="OX59" s="155">
        <f>(SUMIF(LandEmiss!$BJ$335:$BJ$434,$FG59,LandEmiss!$BV$335:$BV$434)+SUMIF(LandEmiss!$DU$323:$DU$422,$FG59,LandEmiss!$EG$323:$EG$422))*(2000/8760)*IFERROR($QV$25,0)</f>
        <v>0</v>
      </c>
      <c r="OY59" s="8">
        <v>0</v>
      </c>
      <c r="OZ59" s="207">
        <v>0</v>
      </c>
      <c r="PA59" s="207">
        <f>IF(OR(HeaterBoiler1!$E$26&lt;&gt;"fuel gas",HeaterBoiler1!$E$15&lt;&gt;"heater"),0,(SUMIF(HeaterBoiler1!$A$54:$D$63,$FG59,HeaterBoiler1!$J$54:$J$63))*(2000/8760))*IFERROR($QV$19,0)</f>
        <v>0</v>
      </c>
      <c r="PB59" s="207">
        <f>IF(OR(HeaterBoiler2!$E$26&lt;&gt;"fuel gas",HeaterBoiler2!$E$15&lt;&gt;"heater"),0,(SUMIF(HeaterBoiler2!$A$54:$D$63,$FG59,HeaterBoiler2!$J$54:$J$63))*(2000/8760))*IFERROR($QV$21,0)</f>
        <v>0</v>
      </c>
      <c r="PC59" s="207">
        <f>IF(OR(HeaterBoiler1!$E$26&lt;&gt;"fuel gas",HeaterBoiler1!$E$15&lt;&gt;"boiler"),0,(SUMIF(HeaterBoiler1!$A$54:$D$63,$FG59,HeaterBoiler1!$J$54:$J$63))*(2000/8760))*IFERROR($QV$20,0)</f>
        <v>0</v>
      </c>
      <c r="PD59" s="207">
        <f>IF(OR(HeaterBoiler2!$E$26&lt;&gt;"fuel gas",HeaterBoiler2!$E$15&lt;&gt;"boiler"),0,(SUMIF(HeaterBoiler2!$A$54:$D$63,$FG59,HeaterBoiler2!$J$54:$J$63))*(2000/8760))*IFERROR($QV$22,0)</f>
        <v>0</v>
      </c>
      <c r="PE59" s="8">
        <f>(SUMIF(Fug!$A$96:$A$205,$FG59,Fug!$J$96:$J$205))*IFERROR($QV$23,0)*(2000/8760)</f>
        <v>0</v>
      </c>
      <c r="PF59" s="8">
        <f t="shared" si="31"/>
        <v>0</v>
      </c>
      <c r="PG59" s="156">
        <f t="shared" si="32"/>
        <v>0</v>
      </c>
      <c r="PJ59" s="52" t="str">
        <f>IF(Fug!$F$16=Hidden!$PP$2,"Other [9]","")</f>
        <v/>
      </c>
      <c r="PK59" s="52" t="str">
        <f>IF(Fug!$F$16=Hidden!$PP$2,"Light Oil &gt;20°","")</f>
        <v/>
      </c>
      <c r="PL59" s="52"/>
      <c r="PM59" s="52"/>
      <c r="PN59" s="52"/>
      <c r="PO59" s="52"/>
      <c r="PP59" s="52">
        <v>1.6500000000000001E-2</v>
      </c>
      <c r="PQ59" s="52"/>
      <c r="PR59" s="52"/>
      <c r="PS59" s="52"/>
      <c r="PT59" s="52" t="s">
        <v>8799</v>
      </c>
      <c r="PU59" s="52" t="s">
        <v>8781</v>
      </c>
      <c r="PV59" s="52">
        <v>0</v>
      </c>
      <c r="PW59" s="52">
        <v>0</v>
      </c>
      <c r="PX59" s="52">
        <v>0</v>
      </c>
      <c r="PY59" s="52">
        <v>0</v>
      </c>
      <c r="PZ59" s="52">
        <v>0</v>
      </c>
      <c r="QA59" s="52">
        <v>0</v>
      </c>
      <c r="QB59" s="52"/>
      <c r="QC59" s="52"/>
      <c r="QD59" s="52"/>
      <c r="QE59" s="52"/>
      <c r="QF59" s="52"/>
      <c r="QG59" s="52"/>
      <c r="QH59" s="52"/>
      <c r="QI59" s="52"/>
      <c r="QX59" s="89" t="s">
        <v>9336</v>
      </c>
      <c r="QY59">
        <v>829.7</v>
      </c>
      <c r="QZ59">
        <v>829.7</v>
      </c>
      <c r="RA59">
        <v>829.7</v>
      </c>
      <c r="RB59">
        <v>829.7</v>
      </c>
      <c r="RC59">
        <v>829.7</v>
      </c>
      <c r="RD59">
        <v>829.7</v>
      </c>
      <c r="RE59">
        <v>829.7</v>
      </c>
      <c r="RF59">
        <v>829.7</v>
      </c>
      <c r="RG59">
        <v>829.7</v>
      </c>
      <c r="RH59" s="89" t="s">
        <v>9336</v>
      </c>
      <c r="RQ59" s="90"/>
      <c r="RR59" s="89" t="s">
        <v>9336</v>
      </c>
      <c r="SA59" s="90"/>
      <c r="SB59" s="89" t="s">
        <v>9336</v>
      </c>
      <c r="SK59" s="90"/>
      <c r="SL59" s="89" t="s">
        <v>9336</v>
      </c>
      <c r="SM59">
        <v>33.979999999999997</v>
      </c>
      <c r="SN59">
        <v>33.979999999999997</v>
      </c>
      <c r="SO59">
        <v>33.979999999999997</v>
      </c>
      <c r="SP59">
        <v>33.979999999999997</v>
      </c>
      <c r="SQ59">
        <v>33.979999999999997</v>
      </c>
      <c r="SR59">
        <v>33.979999999999997</v>
      </c>
      <c r="SS59">
        <v>33.979999999999997</v>
      </c>
      <c r="ST59">
        <v>33.979999999999997</v>
      </c>
      <c r="SU59">
        <v>33.979999999999997</v>
      </c>
    </row>
    <row r="60" spans="1:515" ht="74.25" customHeight="1" x14ac:dyDescent="0.2">
      <c r="W60">
        <f>IF(OR(X60=0,ISNUMBER(MATCH(X60,$X$1:X59,0))),0,MAX($W$1:W59)+1)</f>
        <v>0</v>
      </c>
      <c r="X60" s="123">
        <f>Products!$E107</f>
        <v>0</v>
      </c>
      <c r="Y60" t="str">
        <f t="shared" si="39"/>
        <v/>
      </c>
      <c r="CA60">
        <f>IF(OR(CB60=0,ISNUMBER(MATCH(CB60,$CB$1:CB59,0))),0,MAX($CA$1:CA59)+1)</f>
        <v>0</v>
      </c>
      <c r="CB60" s="8">
        <f>IF(OR(Tank1!$D$18="EXTERNAL FLOATING ROOF",Tank1!$D$18="INTERNAL FLOATING ROOF"),IF(Tank1!$E90="",0,Tank1!$E90),0)</f>
        <v>0</v>
      </c>
      <c r="CC60" s="8" t="str">
        <f t="shared" si="40"/>
        <v/>
      </c>
      <c r="CD60" s="8"/>
      <c r="CE60" s="8">
        <f>IF(OR(CF60=0,ISNUMBER(MATCH(CF60,$CF$1:CF59,0))),0,MAX($CE$1:CE59)+1)</f>
        <v>0</v>
      </c>
      <c r="CF60" s="8">
        <f>IF(OR(Tank1!$D$18="HORIZONTAL FIXED ROOF",Tank1!$D$18="VERTICAL FIXED ROOF"),IF(Tank1!$E90="",0,Tank1!$E90),0)</f>
        <v>0</v>
      </c>
      <c r="CG60" s="8" t="str">
        <f t="shared" si="41"/>
        <v/>
      </c>
      <c r="DM60">
        <f>IF(OR(DN60=0,ISNUMBER(MATCH(DN60,$DN$1:DN59,0))),0,MAX($DM$1:DM59)+1)</f>
        <v>0</v>
      </c>
      <c r="DN60">
        <f>IF('Load-DrumTote'!$F$19="Flare",IFERROR(VLOOKUP(Products!$A$139,'Load-DrumTote'!$A$27:$B$136,1,FALSE),0),0)</f>
        <v>0</v>
      </c>
      <c r="DO60">
        <f>IF($DN60=0,0,VLOOKUP($DN60,'Load-DrumTote'!$A$27:$N$136,13,FALSE))</f>
        <v>0</v>
      </c>
      <c r="DP60">
        <f>IF($DN60=0,0,VLOOKUP($DN60,'Load-DrumTote'!$A$27:$N$136,14,FALSE))</f>
        <v>0</v>
      </c>
      <c r="DU60">
        <f>IF(OR(DV60=0,ISNUMBER(MATCH(DV60,$DV$1:DV59,0))),0,MAX($DU$1:DU59)+1)</f>
        <v>0</v>
      </c>
      <c r="DV60">
        <f>IF('Load-DrumTote'!$F$19="VCU",IFERROR(VLOOKUP(Products!$A$139,'Load-DrumTote'!$A$27:$B$136,1,FALSE),0),0)</f>
        <v>0</v>
      </c>
      <c r="DW60">
        <f>IF($DV60=0,0,VLOOKUP($DV60,'Load-DrumTote'!$A$27:$N$136,13,FALSE))</f>
        <v>0</v>
      </c>
      <c r="DX60">
        <f>IF($DV60=0,0,VLOOKUP($DV60,'Load-DrumTote'!$A$27:$N$136,14,FALSE))</f>
        <v>0</v>
      </c>
      <c r="EC60">
        <f>IF(OR(ED60=0,ISNUMBER(MATCH(ED60,$ED$1:ED59,0))),0,MAX($EC$1:EC59)+1)</f>
        <v>0</v>
      </c>
      <c r="ED60">
        <f>IF('Load-DrumTote'!$F$19="vapor oxidizer",IFERROR(VLOOKUP(Products!$A$139,'Load-DrumTote'!$A$27:$B$136,1,FALSE),0),0)</f>
        <v>0</v>
      </c>
      <c r="EE60">
        <f>IF($ED60=0,0,VLOOKUP($ED60,'Load-DrumTote'!$A$27:$N$136,13,FALSE))</f>
        <v>0</v>
      </c>
      <c r="EF60">
        <f>IF($ED60=0,0,VLOOKUP($ED60,'Load-DrumTote'!$A$27:$N$136,14,FALSE))</f>
        <v>0</v>
      </c>
      <c r="EK60">
        <f>IF(OR(EL60=0,ISNUMBER(MATCH(EL60,$EL$1:EL59,0))),0,MAX($EK$1:EK59)+1)</f>
        <v>0</v>
      </c>
      <c r="EL60">
        <f>IF('Load-DrumTote'!$F$19="CAS",IFERROR(VLOOKUP(Products!A139,'Load-DrumTote'!$A$27:$B$136,1,FALSE),0),0)</f>
        <v>0</v>
      </c>
      <c r="EM60">
        <f>IF($EL60=0,0,VLOOKUP($EL60,'Load-DrumTote'!$A$27:$N$136,13,FALSE))</f>
        <v>0</v>
      </c>
      <c r="EN60">
        <f>IF($EL60=0,0,VLOOKUP($EL60,'Load-DrumTote'!$A$27:$N$136,14,FALSE))</f>
        <v>0</v>
      </c>
      <c r="FB60" s="8" t="s">
        <v>469</v>
      </c>
      <c r="FC60" s="8" t="s">
        <v>470</v>
      </c>
      <c r="FD60" s="8">
        <v>50</v>
      </c>
      <c r="FE60" s="8">
        <v>5</v>
      </c>
      <c r="FG60" s="360" t="str">
        <f t="shared" si="23"/>
        <v/>
      </c>
      <c r="FH60" s="155">
        <f>IF(Tank1!$D$22="NO CONTROL",_xlfn.MAXIFS(Tank1!$G$32:$G$141,Tank1!$E$32:$E$141,$FG60),0)*IFERROR($QR$3,0)</f>
        <v>0</v>
      </c>
      <c r="FI60" s="155">
        <f>_xlfn.MAXIFS(LandEmiss!$AF$20:$AF$119,LandEmiss!$AE$20:$AE$119,$FG60)*IFERROR($QR$3,0)</f>
        <v>0</v>
      </c>
      <c r="FJ60" s="155">
        <f>MAX(_xlfn.MAXIFS(LandEmiss!$CO$20:$CO$119,LandEmiss!$CN$20:$CN$119,$FG60),_xlfn.MAXIFS(LandEmiss!$EZ$9:$EZ$108,LandEmiss!$EY$9:$EY$108,$FG60))*IFERROR($QR$3,0)</f>
        <v>0</v>
      </c>
      <c r="FK60" s="155">
        <f>IF(Tank2!$D$22="NO CONTROL",_xlfn.MAXIFS(Tank2!$G$32:$G$141,Tank2!$E$32:$E$141,$FG60),0)*IFERROR($QR$4,0)</f>
        <v>0</v>
      </c>
      <c r="FL60" s="155">
        <f>_xlfn.MAXIFS(LandEmiss!$AG$20:$AG$119,LandEmiss!$AE$20:$AE$119,$FG60)*IFERROR($QR$4,0)</f>
        <v>0</v>
      </c>
      <c r="FM60" s="155">
        <f>MAX(_xlfn.MAXIFS(LandEmiss!$CP$20:$CP$119,LandEmiss!$CN$20:$CN$119,$FG60),_xlfn.MAXIFS(LandEmiss!$FA$9:$FA$108,LandEmiss!$EY$9:$EY$108,$FG60))*IFERROR($QR$4,0)</f>
        <v>0</v>
      </c>
      <c r="FN60" s="155">
        <f>IF(Tank3!$D$22="NO CONTROL",_xlfn.MAXIFS(Tank3!$G$32:$G$141,Tank3!$E$32:$E$141,$FG60),0)*IFERROR($QR$5,0)</f>
        <v>0</v>
      </c>
      <c r="FO60" s="155">
        <f>_xlfn.MAXIFS(LandEmiss!$AH$20:$AH$119,LandEmiss!$AE$20:$AE$119,$FG60)*IFERROR($QR$5,0)</f>
        <v>0</v>
      </c>
      <c r="FP60" s="155">
        <f>MAX(_xlfn.MAXIFS(LandEmiss!$CQ$20:$CQ$119,LandEmiss!$CN$20:$CN$119,$FG60),_xlfn.MAXIFS(LandEmiss!$FB$9:$FB$108,LandEmiss!$EY$9:$EY$108,$FG60))*IFERROR($QR$5,0)</f>
        <v>0</v>
      </c>
      <c r="FQ60" s="155">
        <f>IF(Tank4!$D$22="NO CONTROL",_xlfn.MAXIFS(Tank4!$G$32:$G$141,Tank4!$E$32:$E$141,$FG60),0)*IFERROR($QR$6,0)</f>
        <v>0</v>
      </c>
      <c r="FR60" s="155">
        <f>_xlfn.MAXIFS(LandEmiss!$AI$20:$AI$119,LandEmiss!$AE$20:$AE$119,$FG60)*IFERROR($QR$6,0)</f>
        <v>0</v>
      </c>
      <c r="FS60" s="155">
        <f>MAX(_xlfn.MAXIFS(LandEmiss!$CR$20:$CR$119,LandEmiss!$CN$20:$CN$119,$FG60),_xlfn.MAXIFS(LandEmiss!$FC$9:$FC$108,LandEmiss!$EY$9:$EY$108,$FG60))*IFERROR($QR$6,0)</f>
        <v>0</v>
      </c>
      <c r="FT60" s="155">
        <f>IF(Tank5!$D$22="NO CONTROL",_xlfn.MAXIFS(Tank5!$G$32:$G$141,Tank5!$E$32:$E$141,$FG60),0)*IFERROR($QR$7,0)</f>
        <v>0</v>
      </c>
      <c r="FU60" s="155">
        <f>_xlfn.MAXIFS(LandEmiss!$AJ$20:$AJ$119,LandEmiss!$AE$20:$AE$119,$FG60)*IFERROR($QR$7,0)</f>
        <v>0</v>
      </c>
      <c r="FV60" s="155">
        <f>MAX(_xlfn.MAXIFS(LandEmiss!$CS$20:$CS$119,LandEmiss!$CN$20:$CN$119,$FG60),_xlfn.MAXIFS(LandEmiss!$FD$9:$FD$108,LandEmiss!$EY$9:$EY$108,$FG60))*IFERROR($QR65,0)</f>
        <v>0</v>
      </c>
      <c r="FW60" s="155">
        <f>_xlfn.MAXIFS('Load-DrumTote'!$K$27:$K$136,'Load-DrumTote'!$F$27:$F$136,$FG60)*IFERROR($QR$8,0)</f>
        <v>0</v>
      </c>
      <c r="FX60" s="155">
        <f>_xlfn.MAXIFS('Load-Truck'!$K$27:$K$136,'Load-Truck'!$F$27:$F$136,$FG60)*IFERROR($QR$9,0)</f>
        <v>0</v>
      </c>
      <c r="FY60" s="155">
        <f>_xlfn.MAXIFS('Load-Rail'!$K$27:$K$136,'Load-Rail'!$F$27:$F$136,$FG60)*IFERROR($QR$10,0)</f>
        <v>0</v>
      </c>
      <c r="FZ60" s="155">
        <f>_xlfn.MAXIFS('Load-MarineBarge'!$K$27:$K$136,'Load-MarineBarge'!$F$27:$F$136,$FG60)*IFERROR($QR$11,0)</f>
        <v>0</v>
      </c>
      <c r="GA60" s="155">
        <f>_xlfn.MAXIFS('Load-MarineShip'!$K$27:$K$136,'Load-MarineShip'!$F$27:$F$136,$FG60)*IFERROR($QR$12,0)</f>
        <v>0</v>
      </c>
      <c r="GB60" s="313">
        <f>IF(OR(Flare!$D$24="fuel gas",Flare!$D$38="fuel gas"),SUMIF(Flare!$E$97:$E$106,$FG60,Flare!$F$97:$F$106),0)*IFERROR($QR$13,0)</f>
        <v>0</v>
      </c>
      <c r="GC60" s="313">
        <f>(_xlfn.MAXIFS(CtrlDevImpacts!$I$57:$I$156,CtrlDevImpacts!$H$57:$H$156,$FG60))*IFERROR($QR$13,0)</f>
        <v>0</v>
      </c>
      <c r="GD60" s="313">
        <f>(_xlfn.MAXIFS(Flare!$F$107:$F$216,Flare!$E$107:$E$216,$FG60)-_xlfn.MAXIFS(CtrlDevImpacts!$I$57:$I$156,CtrlDevImpacts!$H$57:$H$156,$FG60))*IFERROR($QR$13,0)</f>
        <v>0</v>
      </c>
      <c r="GE60" s="155">
        <f>_xlfn.MAXIFS(LandEmiss!$B$335:$B$434,LandEmiss!$A$335:$A$434,$FG60)*IFERROR($QR$13,0)</f>
        <v>0</v>
      </c>
      <c r="GF60" s="155">
        <f>(_xlfn.MAXIFS(LandEmiss!$BK$335:$BK$434,LandEmiss!$BJ$335:$BJ$434,$FG60)+_xlfn.MAXIFS(LandEmiss!$DV$323:$DV$422,LandEmiss!$DU$323:$DU$422,$FG60))*IFERROR($QR$13,0)</f>
        <v>0</v>
      </c>
      <c r="GG60" s="313">
        <f>IF(OR(VCU!$D$26="fuel gas",VCU!$D$42="fuel gas"),SUMIF(VCU!$E$120:$E$129,$FG60,VCU!$F$120:$F$129),0)*IFERROR($QR$14,0)</f>
        <v>0</v>
      </c>
      <c r="GH60" s="313">
        <f>(_xlfn.MAXIFS(CtrlDevImpacts!$X$57:$X$156,CtrlDevImpacts!$W$57:$W$156,$FG60))*IFERROR($QR$14,0)</f>
        <v>0</v>
      </c>
      <c r="GI60" s="313">
        <f>(_xlfn.MAXIFS(VCU!$F$130:$F$239,VCU!$E$130:$E$239,$FG60)-_xlfn.MAXIFS(CtrlDevImpacts!$X$57:$X$156,CtrlDevImpacts!$W$57:$W$156,$FG60))*IFERROR($QR$14,0)</f>
        <v>0</v>
      </c>
      <c r="GJ60" s="155">
        <f>_xlfn.MAXIFS(LandEmiss!$D$335:$D$434,LandEmiss!$A$335:$A$434,$FG60)*IFERROR($QR$14,0)</f>
        <v>0</v>
      </c>
      <c r="GK60" s="155">
        <f>(_xlfn.MAXIFS(LandEmiss!$BM$335:$BM$434,LandEmiss!$BJ$335:$BJ$434,$FG60)+_xlfn.MAXIFS(LandEmiss!$DX$323:$DX$422,LandEmiss!$DU$323:$DU$422,$FG60))*IFERROR($QR$14,0)</f>
        <v>0</v>
      </c>
      <c r="GL60" s="313">
        <f>IF(VaporOxidizer!D91="FUEL GAS",SUMIF(VaporOxidizer!$E$101:$E$110,$FG60,VaporOxidizer!$F$101:$F$110),0)*IFERROR($QR$15,0)</f>
        <v>0</v>
      </c>
      <c r="GM60" s="313">
        <f>(_xlfn.MAXIFS(CtrlDevImpacts!$AN$57:$AN$156,CtrlDevImpacts!$AM$57:$AM$156,$FG60))*IFERROR($QR$15,0)</f>
        <v>0</v>
      </c>
      <c r="GN60" s="313">
        <f>(_xlfn.MAXIFS(VaporOxidizer!$F$111:$F$220,VaporOxidizer!$E$111:$E$220,$FG60)-_xlfn.MAXIFS(CtrlDevImpacts!$AN$57:$AN$156,CtrlDevImpacts!$AM$57:$AM$156,$FG60))*IFERROR($QR$15,0)</f>
        <v>0</v>
      </c>
      <c r="GO60" s="155">
        <f>_xlfn.MAXIFS(LandEmiss!$F$335:$F$434,LandEmiss!$A$335:$A$434,$FG60)*IFERROR($QR$15,0)</f>
        <v>0</v>
      </c>
      <c r="GP60" s="155">
        <f>(_xlfn.MAXIFS(LandEmiss!$BK$335:$BK$434,LandEmiss!$BO$335:$BO$434,$FG60)+_xlfn.MAXIFS(LandEmiss!$DZ$323:$DZ$422,LandEmiss!$DU$323:$DU$422,$FG60))*IFERROR($QR$15,0)</f>
        <v>0</v>
      </c>
      <c r="GQ60" s="313">
        <f>_xlfn.MAXIFS(CtrlDevImpacts!$BD$57:$BD$156,CtrlDevImpacts!$BC$57:$BC$156,$FG60)*IFERROR(Hidden!$QR$16,0)</f>
        <v>0</v>
      </c>
      <c r="GR60" s="313">
        <f>(_xlfn.MAXIFS(CAS!$H$35:$H$144,CAS!$E$35:$E$144,$FG60)-_xlfn.MAXIFS(CtrlDevImpacts!$BD$57:$BD$156,CtrlDevImpacts!$BC$57:$BC$156,$FG60))*IFERROR(Hidden!$QR$16,0)</f>
        <v>0</v>
      </c>
      <c r="GS60" s="155">
        <f>_xlfn.MAXIFS(LandEmiss!$H$335:$H$434,LandEmiss!$A$335:$A$434,$FG60)*IFERROR($QR$27,0)</f>
        <v>0</v>
      </c>
      <c r="GT60" s="155">
        <f>(_xlfn.MAXIFS(LandEmiss!$BK$335:$BK$434,LandEmiss!$BQ$335:$BQ$434,$FG60)+_xlfn.MAXIFS(LandEmiss!$EB$323:$EB$422,LandEmiss!$DU$323:$DU$422,$FG60))*IFERROR($QR$27,0)</f>
        <v>0</v>
      </c>
      <c r="GU60" s="155">
        <f>_xlfn.MAXIFS(LandEmiss!$J$335:$J$434,LandEmiss!$A$335:$A$434,$FG60)*IFERROR($QR$26,0)</f>
        <v>0</v>
      </c>
      <c r="GV60" s="155">
        <f>(_xlfn.MAXIFS(LandEmiss!$BK$335:$BK$434,LandEmiss!$BS$335:$BS$434,$FG60)+_xlfn.MAXIFS(LandEmiss!$ED$323:$ED$422,LandEmiss!$DU$323:$DU$422,$FG60))*IFERROR($QR$26,0)</f>
        <v>0</v>
      </c>
      <c r="GW60" s="155">
        <f>_xlfn.MAXIFS(LandEmiss!$L$335:$L$434,LandEmiss!$A$335:$A$434,$FG60)*IFERROR($QR$25,0)</f>
        <v>0</v>
      </c>
      <c r="GX60" s="155">
        <f>(_xlfn.MAXIFS(LandEmiss!$BK$335:$BK$434,LandEmiss!$BU$335:$BU$434,$FG60)+_xlfn.MAXIFS(LandEmiss!$EF$323:$EF$422,LandEmiss!$DU$323:$DU$422,$FG60))*IFERROR($QR$25,0)</f>
        <v>0</v>
      </c>
      <c r="GY60" s="155">
        <v>0</v>
      </c>
      <c r="GZ60" s="155">
        <v>0</v>
      </c>
      <c r="HA60" s="155">
        <f>IF(OR(HeaterBoiler1!$E$26&lt;&gt;"fuel gas",HeaterBoiler1!$E$15&lt;&gt;"heater"),0,SUMIF(HeaterBoiler1!$A$54:$D$63,$FG60,HeaterBoiler1!$I$54:$I$63))*IFERROR($QR$19,0)</f>
        <v>0</v>
      </c>
      <c r="HB60" s="207">
        <f>IF(OR(HeaterBoiler2!$E$26&lt;&gt;"fuel gas",HeaterBoiler2!$E$15&lt;&gt;"heater"),0,SUMIF(HeaterBoiler2!$A$54:$D$63,$FG60,HeaterBoiler2!$I$54:$I$63))*IFERROR($QR$21,0)</f>
        <v>0</v>
      </c>
      <c r="HC60" s="155">
        <f>IF(OR(HeaterBoiler1!$E$26&lt;&gt;"fuel gas",HeaterBoiler1!$E$15&lt;&gt;"boiler"),0,SUMIF(HeaterBoiler1!$A$41:$A$50,$FG60,HeaterBoiler1!$F$41:$F$50))*IFERROR($QR$20,0)</f>
        <v>0</v>
      </c>
      <c r="HD60" s="207">
        <f>IF(OR(HeaterBoiler2!$E$26&lt;&gt;"fuel gas",HeaterBoiler2!$E$15&lt;&gt;"boiler"),0,SUMIF(HeaterBoiler2!$A$41:$A$50,$FG60,HeaterBoiler2!$F$41:$F$50))*IFERROR($QR$22,0)</f>
        <v>0</v>
      </c>
      <c r="HE60" s="155">
        <f>SUMIF(Fug!$A$96:$A$205,$FG60,Fug!$I$96:$I$205)*IFERROR(Hidden!$QR$23,0)</f>
        <v>0</v>
      </c>
      <c r="HF60" s="155">
        <f t="shared" si="24"/>
        <v>0</v>
      </c>
      <c r="HG60" s="156">
        <f t="shared" si="25"/>
        <v>0</v>
      </c>
      <c r="HH60" s="156">
        <f t="shared" si="26"/>
        <v>0</v>
      </c>
      <c r="HI60" s="156">
        <f t="shared" si="27"/>
        <v>0</v>
      </c>
      <c r="HJ60" s="156">
        <f t="shared" si="28"/>
        <v>0</v>
      </c>
      <c r="HK60" s="156">
        <f t="shared" si="29"/>
        <v>0</v>
      </c>
      <c r="HL60" s="156">
        <f t="shared" si="30"/>
        <v>0</v>
      </c>
      <c r="NO60" s="155">
        <f>IF(Tank1!$D$22="No control",(SUMIF(Tank1!$E$32:$E$141,$FG60,Tank1!$H$32:$H$141)*(2000/8760)*IFERROR($QV$3,0)),0)</f>
        <v>0</v>
      </c>
      <c r="NP60" s="156">
        <f>SUMIF(LandEmiss!$AE$20:$AE$119,$FG60,LandEmiss!$AK$20:$AK$119)*(2000/8760)*IFERROR($QV$3,0)</f>
        <v>0</v>
      </c>
      <c r="NQ60" s="156">
        <f>(SUMIF(LandEmiss!$CN$20:$CN$119,$FG60,LandEmiss!$CT$20:$CT$119)+SUMIF(LandEmiss!$EY$9:$EY$108,$FG60,LandEmiss!$FE$9:$FE$108))*IFERROR($QV$3,0)*(2000/8760)</f>
        <v>0</v>
      </c>
      <c r="NR60" s="155">
        <f>IF(Tank2!$D$22="No control",(SUMIF(Tank2!$E$32:$E$141,$FG60,Tank2!$H$32:$H$141)*(2000/8760)*IFERROR($QV$4,0)),0)</f>
        <v>0</v>
      </c>
      <c r="NS60" s="156">
        <f>SUMIF(LandEmiss!$AE$20:$AE$119,$FG60,LandEmiss!$AL$20:$AL$119)*(2000/8760)*IFERROR($QV$4,0)</f>
        <v>0</v>
      </c>
      <c r="NT60" s="156">
        <f>(SUMIF(LandEmiss!$CN$20:$CN$119,$FG60,LandEmiss!$CU$20:$CU$119)+SUMIF(LandEmiss!$EY$9:$EY$108,$FG60,LandEmiss!$FF$9:$FF$108))*IFERROR($QV$4,0)*(2000/8760)</f>
        <v>0</v>
      </c>
      <c r="NU60" s="155">
        <f>IF(Tank3!$D$22="No control",(SUMIF(Tank3!$E$32:$E$141,$FG60,Tank3!$H$32:$H$141)*(2000/8760)*IFERROR($QV$5,0)),0)</f>
        <v>0</v>
      </c>
      <c r="NV60" s="156">
        <f>SUMIF(LandEmiss!$AE$20:$AE$119,$FG60,LandEmiss!$AM$20:$AM$119)*(2000/8760)*IFERROR($QV$5,0)</f>
        <v>0</v>
      </c>
      <c r="NW60" s="156">
        <f>(SUMIF(LandEmiss!$CN$20:$CN$119,$FG60,LandEmiss!$CV$20:$CV$119)+SUMIF(LandEmiss!$EY$9:$EY$108,$FG60,LandEmiss!$FG$9:$FG$108))*IFERROR($QV$5,0)*(2000/8760)</f>
        <v>0</v>
      </c>
      <c r="NX60" s="155">
        <f>IF(Tank4!$D$22="No control",(SUMIF(Tank4!$E$32:$E$141,$FG60,Tank4!$H$32:$H$141)*(2000/8760)*IFERROR($QV$6,0)),0)</f>
        <v>0</v>
      </c>
      <c r="NY60" s="156">
        <f>SUMIF(LandEmiss!$AE$20:$AE$119,$FG60,LandEmiss!$AN$20:$AN$119)*(2000/8760)*IFERROR($QV$6,0)</f>
        <v>0</v>
      </c>
      <c r="NZ60" s="156">
        <f>(SUMIF(LandEmiss!$CN$20:$CN$119,$FG60,LandEmiss!$CW$20:$CW$119)+SUMIF(LandEmiss!$EY$9:$EY$108,$FG60,LandEmiss!$FH$9:$FH$108))*IFERROR($QV$6,0)*(2000/8760)</f>
        <v>0</v>
      </c>
      <c r="OA60" s="155">
        <f>IF(Tank5!$D$22="No control",(SUMIF(Tank5!$E$32:$E$141,$FG60,Tank5!$H$32:$H$141)*(2000/8760)*IFERROR($QV$7,0)),0)</f>
        <v>0</v>
      </c>
      <c r="OB60" s="156">
        <f>SUMIF(LandEmiss!$AE$20:$AE$119,$FG60,LandEmiss!$AO$20:$AO$119)*(2000/8760)*IFERROR($QV$7,0)</f>
        <v>0</v>
      </c>
      <c r="OC60" s="156">
        <f>(SUMIF(LandEmiss!$CN$20:$CN$119,$FG60,LandEmiss!$CX$20:$CX$119)+SUMIF(LandEmiss!$EY$9:$EY$108,$FG60,LandEmiss!$FI$9:$FI$108))*IFERROR($QV$7,0)*(2000/8760)</f>
        <v>0</v>
      </c>
      <c r="OD60" s="155">
        <f>SUMIFS('Load-DrumTote'!$L$27:$L$136,'Load-DrumTote'!$F$27:$F$136,$FG60)*IFERROR($QV$8,0)*(2000/8760)</f>
        <v>0</v>
      </c>
      <c r="OE60" s="155">
        <f>SUMIFS('Load-Truck'!$L$27:$L$136,'Load-Truck'!$F$27:$F$136,$FG60)*IFERROR($QV$9,0)*(2000/8760)</f>
        <v>0</v>
      </c>
      <c r="OF60" s="155">
        <f>SUMIFS('Load-Rail'!$L$27:$L$136,'Load-Rail'!$F$27:$F$136,$FG60)*IFERROR($QV$10,0)*(2000/8760)</f>
        <v>0</v>
      </c>
      <c r="OG60" s="155">
        <f>SUMIFS('Load-MarineBarge'!$L$27:$L$136,'Load-MarineBarge'!$F$27:$F$136,$FG60)*IFERROR($QV$11,0)*(2000/8760)</f>
        <v>0</v>
      </c>
      <c r="OH60" s="155">
        <f>SUMIFS('Load-MarineShip'!$L$27:$L$136,'Load-MarineShip'!$F$27:$F$136,$FG60)*IFERROR($QV$12,0)*(2000/8760)</f>
        <v>0</v>
      </c>
      <c r="OI60" s="155">
        <f>(IF(OR(Flare!$D$24="FUEL GAS",Flare!$D$38="FUEL GAS"),SUMIF(Flare!$E$97:$E$106,$FG60,Flare!$G$97:$G$105),0)+SUMIF(Flare!$E$107:$E$216,$FG60,Flare!$G$107:$G$216))*(2000/8730)*IFERROR($QV$13,0)</f>
        <v>0</v>
      </c>
      <c r="OJ60" s="155">
        <f>SUMIF(LandEmiss!$A$335:$A$434,$FG60,LandEmiss!$C$335:$C$434)*(2000/8760)*IFERROR($QV$13,0)</f>
        <v>0</v>
      </c>
      <c r="OK60" s="155">
        <f>(SUMIF(LandEmiss!$BJ$335:$BJ$434,$FG60,LandEmiss!$BL$335:$BL$434)+SUMIF(LandEmiss!$DU$323:$DU$422,$FG60,LandEmiss!$DW$323:$DW$422))*(2000/8760)*IFERROR($QV$13,0)</f>
        <v>0</v>
      </c>
      <c r="OL60" s="155">
        <f>(IF(OR(VCU!$D$26="FUEL GAS",VCU!$D$42="FUEL GAS"),SUMIF(VCU!$E$120:$E$129,$FG60,VCU!$G$120:$G$129),0)+SUMIF(VCU!$E$130:$E$239,$FG60,VCU!G188:G297))*(2000/8760)*IFERROR($QV$14,0)</f>
        <v>0</v>
      </c>
      <c r="OM60" s="155">
        <f>SUMIF(LandEmiss!$A$335:$A$434,$FG60,LandEmiss!$E$335:$E$434)*(2000/8760)*IFERROR($QV$14,0)</f>
        <v>0</v>
      </c>
      <c r="ON60" s="155">
        <f>(SUMIF(LandEmiss!$BJ$335:$BJ$434,$FG60,LandEmiss!$BN$335:$BN$434)+SUMIF(LandEmiss!$DU$323:$DU$422,$FG60,LandEmiss!$DY$323:$DY$422))*(2000/8760)*IFERROR($QV$14,0)</f>
        <v>0</v>
      </c>
      <c r="OO60" s="155">
        <f>(IF(VaporOxidizer!$D$33="FUEL GAS",SUMIF(VaporOxidizer!$E$101:$E$110,$FG60,VaporOxidizer!$G$101:$G$110),0)+SUMIF(VaporOxidizer!$E$111:$E$220,$FG60,VaporOxidizer!$G$111:$G$220))*(2000/8760)*IFERROR($QV$15,0)</f>
        <v>0</v>
      </c>
      <c r="OP60" s="155">
        <f>SUMIF(LandEmiss!$A$335:$A$434,$FG60,LandEmiss!$G$335:$G$434)*(2000/8760)*IFERROR($QV$15,0)</f>
        <v>0</v>
      </c>
      <c r="OQ60" s="155">
        <f>(SUMIF(LandEmiss!$BJ$335:$BJ$434,$FG60,LandEmiss!$BP$335:$BP$434)+SUMIF(LandEmiss!$DU$323:$DU$422,$FG60,LandEmiss!$EA$323:$EA$422))*(2000/8760)*IFERROR($QV$15,0)</f>
        <v>0</v>
      </c>
      <c r="OR60" s="155">
        <f>SUMIF(CAS!$E$35:$E$144,Hidden!$FG60,CAS!$I$35:$I$144)*IFERROR($QV$16,0)*(2000/8760)</f>
        <v>0</v>
      </c>
      <c r="OS60" s="155">
        <f>SUMIF(LandEmiss!$A$335:$A$434,$FG60,LandEmiss!$I$335:$I$434)*(2000/8760)*IFERROR($QV$27,0)</f>
        <v>0</v>
      </c>
      <c r="OT60" s="155">
        <f>(SUMIF(LandEmiss!$BJ$335:$BJ$434,$FG60,LandEmiss!$BR$335:$BR$434)+SUMIF(LandEmiss!$DU$323:$DU$422,$FG60,LandEmiss!$EC$323:$EC$422))*(2000/8760)*IFERROR($QV$27,0)</f>
        <v>0</v>
      </c>
      <c r="OU60" s="155">
        <f>SUMIF(LandEmiss!$A$335:$A$434,$FG60,LandEmiss!$K$335:$K$434)*(2000/8760)*IFERROR($QV$26,0)</f>
        <v>0</v>
      </c>
      <c r="OV60" s="155">
        <f>(SUMIF(LandEmiss!$BJ$335:$BJ$434,$FG60,LandEmiss!$BT$335:$BT$434)+SUMIF(LandEmiss!$DU$323:$DU$422,$FG60,LandEmiss!$EE$323:$EE$422))*(2000/8760)*IFERROR($QV$26,0)</f>
        <v>0</v>
      </c>
      <c r="OW60" s="155">
        <f>SUMIF(LandEmiss!$A$335:$A$434,$FG60,LandEmiss!$M$335:$M$434)*(2000/8760)*IFERROR($QV$25,0)</f>
        <v>0</v>
      </c>
      <c r="OX60" s="155">
        <f>(SUMIF(LandEmiss!$BJ$335:$BJ$434,$FG60,LandEmiss!$BV$335:$BV$434)+SUMIF(LandEmiss!$DU$323:$DU$422,$FG60,LandEmiss!$EG$323:$EG$422))*(2000/8760)*IFERROR($QV$25,0)</f>
        <v>0</v>
      </c>
      <c r="OY60" s="8">
        <v>0</v>
      </c>
      <c r="OZ60" s="207">
        <v>0</v>
      </c>
      <c r="PA60" s="207">
        <f>IF(OR(HeaterBoiler1!$E$26&lt;&gt;"fuel gas",HeaterBoiler1!$E$15&lt;&gt;"heater"),0,(SUMIF(HeaterBoiler1!$A$54:$D$63,$FG60,HeaterBoiler1!$J$54:$J$63))*(2000/8760))*IFERROR($QV$19,0)</f>
        <v>0</v>
      </c>
      <c r="PB60" s="207">
        <f>IF(OR(HeaterBoiler2!$E$26&lt;&gt;"fuel gas",HeaterBoiler2!$E$15&lt;&gt;"heater"),0,(SUMIF(HeaterBoiler2!$A$54:$D$63,$FG60,HeaterBoiler2!$J$54:$J$63))*(2000/8760))*IFERROR($QV$21,0)</f>
        <v>0</v>
      </c>
      <c r="PC60" s="207">
        <f>IF(OR(HeaterBoiler1!$E$26&lt;&gt;"fuel gas",HeaterBoiler1!$E$15&lt;&gt;"boiler"),0,(SUMIF(HeaterBoiler1!$A$54:$D$63,$FG60,HeaterBoiler1!$J$54:$J$63))*(2000/8760))*IFERROR($QV$20,0)</f>
        <v>0</v>
      </c>
      <c r="PD60" s="207">
        <f>IF(OR(HeaterBoiler2!$E$26&lt;&gt;"fuel gas",HeaterBoiler2!$E$15&lt;&gt;"boiler"),0,(SUMIF(HeaterBoiler2!$A$54:$D$63,$FG60,HeaterBoiler2!$J$54:$J$63))*(2000/8760))*IFERROR($QV$22,0)</f>
        <v>0</v>
      </c>
      <c r="PE60" s="8">
        <f>(SUMIF(Fug!$A$96:$A$205,$FG60,Fug!$J$96:$J$205))*IFERROR($QV$23,0)*(2000/8760)</f>
        <v>0</v>
      </c>
      <c r="PF60" s="8">
        <f t="shared" si="31"/>
        <v>0</v>
      </c>
      <c r="PG60" s="156">
        <f t="shared" si="32"/>
        <v>0</v>
      </c>
      <c r="PJ60" s="52" t="str">
        <f>IF(Fug!$F$16=Hidden!$PP$2,"Other [9]","")</f>
        <v/>
      </c>
      <c r="PK60" s="52" t="str">
        <f>IF(Fug!$F$16=Hidden!$PP$2,"Water/Light Oil","")</f>
        <v/>
      </c>
      <c r="PL60" s="52"/>
      <c r="PM60" s="52"/>
      <c r="PN60" s="52"/>
      <c r="PO60" s="52"/>
      <c r="PP60" s="52">
        <v>3.09E-2</v>
      </c>
      <c r="PQ60" s="52"/>
      <c r="PR60" s="52"/>
      <c r="PS60" s="52"/>
      <c r="PT60" s="52" t="s">
        <v>8799</v>
      </c>
      <c r="PU60" s="52" t="s">
        <v>8776</v>
      </c>
      <c r="PV60" s="52">
        <v>0</v>
      </c>
      <c r="PW60" s="52">
        <v>0</v>
      </c>
      <c r="PX60" s="52">
        <v>0</v>
      </c>
      <c r="PY60" s="52">
        <v>0</v>
      </c>
      <c r="PZ60" s="52">
        <v>0</v>
      </c>
      <c r="QA60" s="52">
        <v>0</v>
      </c>
      <c r="QB60" s="52"/>
      <c r="QC60" s="52"/>
      <c r="QD60" s="52"/>
      <c r="QE60" s="52"/>
      <c r="QF60" s="52"/>
      <c r="QG60" s="52"/>
      <c r="QH60" s="52"/>
      <c r="QI60" s="52"/>
      <c r="QX60" s="89" t="s">
        <v>9337</v>
      </c>
      <c r="QY60">
        <v>476.7</v>
      </c>
      <c r="QZ60">
        <v>476.7</v>
      </c>
      <c r="RA60">
        <v>476.7</v>
      </c>
      <c r="RB60">
        <v>476.7</v>
      </c>
      <c r="RC60">
        <v>476.7</v>
      </c>
      <c r="RD60">
        <v>476.7</v>
      </c>
      <c r="RE60">
        <v>476.7</v>
      </c>
      <c r="RF60">
        <v>476.7</v>
      </c>
      <c r="RG60">
        <v>476.7</v>
      </c>
      <c r="RH60" s="89" t="s">
        <v>9337</v>
      </c>
      <c r="RQ60" s="90"/>
      <c r="RR60" s="89" t="s">
        <v>9337</v>
      </c>
      <c r="SA60" s="90"/>
      <c r="SB60" s="89" t="s">
        <v>9337</v>
      </c>
      <c r="SK60" s="90"/>
      <c r="SL60" s="89" t="s">
        <v>9337</v>
      </c>
      <c r="SM60">
        <v>10.09</v>
      </c>
      <c r="SN60">
        <v>10.09</v>
      </c>
      <c r="SO60">
        <v>10.09</v>
      </c>
      <c r="SP60">
        <v>10.09</v>
      </c>
      <c r="SQ60">
        <v>10.09</v>
      </c>
      <c r="SR60">
        <v>10.09</v>
      </c>
      <c r="SS60">
        <v>10.09</v>
      </c>
      <c r="ST60">
        <v>10.09</v>
      </c>
      <c r="SU60">
        <v>10.09</v>
      </c>
    </row>
    <row r="61" spans="1:515" ht="74.25" customHeight="1" x14ac:dyDescent="0.2">
      <c r="W61">
        <f>IF(OR(X61=0,ISNUMBER(MATCH(X61,$X$1:X60,0))),0,MAX($W$1:W60)+1)</f>
        <v>0</v>
      </c>
      <c r="X61" s="123">
        <f>Products!$E108</f>
        <v>0</v>
      </c>
      <c r="Y61" t="str">
        <f t="shared" si="39"/>
        <v/>
      </c>
      <c r="CA61">
        <f>IF(OR(CB61=0,ISNUMBER(MATCH(CB61,$CB$1:CB60,0))),0,MAX($CA$1:CA60)+1)</f>
        <v>0</v>
      </c>
      <c r="CB61" s="8">
        <f>IF(OR(Tank1!$D$18="EXTERNAL FLOATING ROOF",Tank1!$D$18="INTERNAL FLOATING ROOF"),IF(Tank1!$E91="",0,Tank1!$E91),0)</f>
        <v>0</v>
      </c>
      <c r="CC61" s="8" t="str">
        <f t="shared" si="40"/>
        <v/>
      </c>
      <c r="CD61" s="8"/>
      <c r="CE61" s="8">
        <f>IF(OR(CF61=0,ISNUMBER(MATCH(CF61,$CF$1:CF60,0))),0,MAX($CE$1:CE60)+1)</f>
        <v>0</v>
      </c>
      <c r="CF61" s="8">
        <f>IF(OR(Tank1!$D$18="HORIZONTAL FIXED ROOF",Tank1!$D$18="VERTICAL FIXED ROOF"),IF(Tank1!$E91="",0,Tank1!$E91),0)</f>
        <v>0</v>
      </c>
      <c r="CG61" s="8" t="str">
        <f t="shared" si="41"/>
        <v/>
      </c>
      <c r="DM61">
        <f>IF(OR(DN61=0,ISNUMBER(MATCH(DN61,$DN$1:DN60,0))),0,MAX($DM$1:DM60)+1)</f>
        <v>0</v>
      </c>
      <c r="DN61">
        <f>IF('Load-DrumTote'!$F$19="Flare",IFERROR(VLOOKUP(Products!$A$149,'Load-DrumTote'!$A$27:$B$136,1,FALSE),0),0)</f>
        <v>0</v>
      </c>
      <c r="DO61">
        <f>IF($DN61=0,0,VLOOKUP($DN61,'Load-DrumTote'!$A$27:$N$136,13,FALSE))</f>
        <v>0</v>
      </c>
      <c r="DP61">
        <f>IF($DN61=0,0,VLOOKUP($DN61,'Load-DrumTote'!$A$27:$N$136,14,FALSE))</f>
        <v>0</v>
      </c>
      <c r="DU61">
        <f>IF(OR(DV61=0,ISNUMBER(MATCH(DV61,$DV$1:DV60,0))),0,MAX($DU$1:DU60)+1)</f>
        <v>0</v>
      </c>
      <c r="DV61">
        <f>IF('Load-DrumTote'!$F$19="VCU",IFERROR(VLOOKUP(Products!$A$149,'Load-DrumTote'!$A$27:$B$136,1,FALSE),0),0)</f>
        <v>0</v>
      </c>
      <c r="DW61">
        <f>IF($DV61=0,0,VLOOKUP($DV61,'Load-DrumTote'!$A$27:$N$136,13,FALSE))</f>
        <v>0</v>
      </c>
      <c r="DX61">
        <f>IF($DV61=0,0,VLOOKUP($DV61,'Load-DrumTote'!$A$27:$N$136,14,FALSE))</f>
        <v>0</v>
      </c>
      <c r="EC61">
        <f>IF(OR(ED61=0,ISNUMBER(MATCH(ED61,$ED$1:ED60,0))),0,MAX($EC$1:EC60)+1)</f>
        <v>0</v>
      </c>
      <c r="ED61">
        <f>IF('Load-DrumTote'!$F$19="vapor oxidizer",IFERROR(VLOOKUP(Products!$A$149,'Load-DrumTote'!$A$27:$B$136,1,FALSE),0),0)</f>
        <v>0</v>
      </c>
      <c r="EE61">
        <f>IF($ED61=0,0,VLOOKUP($ED61,'Load-DrumTote'!$A$27:$N$136,13,FALSE))</f>
        <v>0</v>
      </c>
      <c r="EF61">
        <f>IF($ED61=0,0,VLOOKUP($ED61,'Load-DrumTote'!$A$27:$N$136,14,FALSE))</f>
        <v>0</v>
      </c>
      <c r="EK61">
        <f>IF(OR(EL61=0,ISNUMBER(MATCH(EL61,$EL$1:EL60,0))),0,MAX($EK$1:EK60)+1)</f>
        <v>0</v>
      </c>
      <c r="EL61">
        <f>IF('Load-DrumTote'!$F$19="CAS",IFERROR(VLOOKUP(Products!A149,'Load-DrumTote'!$A$27:$B$136,1,FALSE),0),0)</f>
        <v>0</v>
      </c>
      <c r="EM61">
        <f>IF($EL61=0,0,VLOOKUP($EL61,'Load-DrumTote'!$A$27:$N$136,13,FALSE))</f>
        <v>0</v>
      </c>
      <c r="EN61">
        <f>IF($EL61=0,0,VLOOKUP($EL61,'Load-DrumTote'!$A$27:$N$136,14,FALSE))</f>
        <v>0</v>
      </c>
      <c r="FB61" s="8" t="s">
        <v>471</v>
      </c>
      <c r="FC61" s="8" t="s">
        <v>472</v>
      </c>
      <c r="FD61" s="8">
        <v>1000</v>
      </c>
      <c r="FE61" s="8">
        <v>100</v>
      </c>
      <c r="FG61" s="360" t="str">
        <f t="shared" si="23"/>
        <v/>
      </c>
      <c r="FH61" s="155">
        <f>IF(Tank1!$D$22="NO CONTROL",_xlfn.MAXIFS(Tank1!$G$32:$G$141,Tank1!$E$32:$E$141,$FG61),0)*IFERROR($QR$3,0)</f>
        <v>0</v>
      </c>
      <c r="FI61" s="155">
        <f>_xlfn.MAXIFS(LandEmiss!$AF$20:$AF$119,LandEmiss!$AE$20:$AE$119,$FG61)*IFERROR($QR$3,0)</f>
        <v>0</v>
      </c>
      <c r="FJ61" s="155">
        <f>MAX(_xlfn.MAXIFS(LandEmiss!$CO$20:$CO$119,LandEmiss!$CN$20:$CN$119,$FG61),_xlfn.MAXIFS(LandEmiss!$EZ$9:$EZ$108,LandEmiss!$EY$9:$EY$108,$FG61))*IFERROR($QR$3,0)</f>
        <v>0</v>
      </c>
      <c r="FK61" s="155">
        <f>IF(Tank2!$D$22="NO CONTROL",_xlfn.MAXIFS(Tank2!$G$32:$G$141,Tank2!$E$32:$E$141,$FG61),0)*IFERROR($QR$4,0)</f>
        <v>0</v>
      </c>
      <c r="FL61" s="155">
        <f>_xlfn.MAXIFS(LandEmiss!$AG$20:$AG$119,LandEmiss!$AE$20:$AE$119,$FG61)*IFERROR($QR$4,0)</f>
        <v>0</v>
      </c>
      <c r="FM61" s="155">
        <f>MAX(_xlfn.MAXIFS(LandEmiss!$CP$20:$CP$119,LandEmiss!$CN$20:$CN$119,$FG61),_xlfn.MAXIFS(LandEmiss!$FA$9:$FA$108,LandEmiss!$EY$9:$EY$108,$FG61))*IFERROR($QR$4,0)</f>
        <v>0</v>
      </c>
      <c r="FN61" s="155">
        <f>IF(Tank3!$D$22="NO CONTROL",_xlfn.MAXIFS(Tank3!$G$32:$G$141,Tank3!$E$32:$E$141,$FG61),0)*IFERROR($QR$5,0)</f>
        <v>0</v>
      </c>
      <c r="FO61" s="155">
        <f>_xlfn.MAXIFS(LandEmiss!$AH$20:$AH$119,LandEmiss!$AE$20:$AE$119,$FG61)*IFERROR($QR$5,0)</f>
        <v>0</v>
      </c>
      <c r="FP61" s="155">
        <f>MAX(_xlfn.MAXIFS(LandEmiss!$CQ$20:$CQ$119,LandEmiss!$CN$20:$CN$119,$FG61),_xlfn.MAXIFS(LandEmiss!$FB$9:$FB$108,LandEmiss!$EY$9:$EY$108,$FG61))*IFERROR($QR$5,0)</f>
        <v>0</v>
      </c>
      <c r="FQ61" s="155">
        <f>IF(Tank4!$D$22="NO CONTROL",_xlfn.MAXIFS(Tank4!$G$32:$G$141,Tank4!$E$32:$E$141,$FG61),0)*IFERROR($QR$6,0)</f>
        <v>0</v>
      </c>
      <c r="FR61" s="155">
        <f>_xlfn.MAXIFS(LandEmiss!$AI$20:$AI$119,LandEmiss!$AE$20:$AE$119,$FG61)*IFERROR($QR$6,0)</f>
        <v>0</v>
      </c>
      <c r="FS61" s="155">
        <f>MAX(_xlfn.MAXIFS(LandEmiss!$CR$20:$CR$119,LandEmiss!$CN$20:$CN$119,$FG61),_xlfn.MAXIFS(LandEmiss!$FC$9:$FC$108,LandEmiss!$EY$9:$EY$108,$FG61))*IFERROR($QR$6,0)</f>
        <v>0</v>
      </c>
      <c r="FT61" s="155">
        <f>IF(Tank5!$D$22="NO CONTROL",_xlfn.MAXIFS(Tank5!$G$32:$G$141,Tank5!$E$32:$E$141,$FG61),0)*IFERROR($QR$7,0)</f>
        <v>0</v>
      </c>
      <c r="FU61" s="155">
        <f>_xlfn.MAXIFS(LandEmiss!$AJ$20:$AJ$119,LandEmiss!$AE$20:$AE$119,$FG61)*IFERROR($QR$7,0)</f>
        <v>0</v>
      </c>
      <c r="FV61" s="155">
        <f>MAX(_xlfn.MAXIFS(LandEmiss!$CS$20:$CS$119,LandEmiss!$CN$20:$CN$119,$FG61),_xlfn.MAXIFS(LandEmiss!$FD$9:$FD$108,LandEmiss!$EY$9:$EY$108,$FG61))*IFERROR($QR66,0)</f>
        <v>0</v>
      </c>
      <c r="FW61" s="155">
        <f>_xlfn.MAXIFS('Load-DrumTote'!$K$27:$K$136,'Load-DrumTote'!$F$27:$F$136,$FG61)*IFERROR($QR$8,0)</f>
        <v>0</v>
      </c>
      <c r="FX61" s="155">
        <f>_xlfn.MAXIFS('Load-Truck'!$K$27:$K$136,'Load-Truck'!$F$27:$F$136,$FG61)*IFERROR($QR$9,0)</f>
        <v>0</v>
      </c>
      <c r="FY61" s="155">
        <f>_xlfn.MAXIFS('Load-Rail'!$K$27:$K$136,'Load-Rail'!$F$27:$F$136,$FG61)*IFERROR($QR$10,0)</f>
        <v>0</v>
      </c>
      <c r="FZ61" s="155">
        <f>_xlfn.MAXIFS('Load-MarineBarge'!$K$27:$K$136,'Load-MarineBarge'!$F$27:$F$136,$FG61)*IFERROR($QR$11,0)</f>
        <v>0</v>
      </c>
      <c r="GA61" s="155">
        <f>_xlfn.MAXIFS('Load-MarineShip'!$K$27:$K$136,'Load-MarineShip'!$F$27:$F$136,$FG61)*IFERROR($QR$12,0)</f>
        <v>0</v>
      </c>
      <c r="GB61" s="313">
        <f>IF(OR(Flare!$D$24="fuel gas",Flare!$D$38="fuel gas"),SUMIF(Flare!$E$97:$E$106,$FG61,Flare!$F$97:$F$106),0)*IFERROR($QR$13,0)</f>
        <v>0</v>
      </c>
      <c r="GC61" s="313">
        <f>(_xlfn.MAXIFS(CtrlDevImpacts!$I$57:$I$156,CtrlDevImpacts!$H$57:$H$156,$FG61))*IFERROR($QR$13,0)</f>
        <v>0</v>
      </c>
      <c r="GD61" s="313">
        <f>(_xlfn.MAXIFS(Flare!$F$107:$F$216,Flare!$E$107:$E$216,$FG61)-_xlfn.MAXIFS(CtrlDevImpacts!$I$57:$I$156,CtrlDevImpacts!$H$57:$H$156,$FG61))*IFERROR($QR$13,0)</f>
        <v>0</v>
      </c>
      <c r="GE61" s="155">
        <f>_xlfn.MAXIFS(LandEmiss!$B$335:$B$434,LandEmiss!$A$335:$A$434,$FG61)*IFERROR($QR$13,0)</f>
        <v>0</v>
      </c>
      <c r="GF61" s="155">
        <f>(_xlfn.MAXIFS(LandEmiss!$BK$335:$BK$434,LandEmiss!$BJ$335:$BJ$434,$FG61)+_xlfn.MAXIFS(LandEmiss!$DV$323:$DV$422,LandEmiss!$DU$323:$DU$422,$FG61))*IFERROR($QR$13,0)</f>
        <v>0</v>
      </c>
      <c r="GG61" s="313">
        <f>IF(OR(VCU!$D$26="fuel gas",VCU!$D$42="fuel gas"),SUMIF(VCU!$E$120:$E$129,$FG61,VCU!$F$120:$F$129),0)*IFERROR($QR$14,0)</f>
        <v>0</v>
      </c>
      <c r="GH61" s="313">
        <f>(_xlfn.MAXIFS(CtrlDevImpacts!$X$57:$X$156,CtrlDevImpacts!$W$57:$W$156,$FG61))*IFERROR($QR$14,0)</f>
        <v>0</v>
      </c>
      <c r="GI61" s="313">
        <f>(_xlfn.MAXIFS(VCU!$F$130:$F$239,VCU!$E$130:$E$239,$FG61)-_xlfn.MAXIFS(CtrlDevImpacts!$X$57:$X$156,CtrlDevImpacts!$W$57:$W$156,$FG61))*IFERROR($QR$14,0)</f>
        <v>0</v>
      </c>
      <c r="GJ61" s="155">
        <f>_xlfn.MAXIFS(LandEmiss!$D$335:$D$434,LandEmiss!$A$335:$A$434,$FG61)*IFERROR($QR$14,0)</f>
        <v>0</v>
      </c>
      <c r="GK61" s="155">
        <f>(_xlfn.MAXIFS(LandEmiss!$BM$335:$BM$434,LandEmiss!$BJ$335:$BJ$434,$FG61)+_xlfn.MAXIFS(LandEmiss!$DX$323:$DX$422,LandEmiss!$DU$323:$DU$422,$FG61))*IFERROR($QR$14,0)</f>
        <v>0</v>
      </c>
      <c r="GL61" s="313">
        <f>IF(VaporOxidizer!D92="FUEL GAS",SUMIF(VaporOxidizer!$E$101:$E$110,$FG61,VaporOxidizer!$F$101:$F$110),0)*IFERROR($QR$15,0)</f>
        <v>0</v>
      </c>
      <c r="GM61" s="313">
        <f>(_xlfn.MAXIFS(CtrlDevImpacts!$AN$57:$AN$156,CtrlDevImpacts!$AM$57:$AM$156,$FG61))*IFERROR($QR$15,0)</f>
        <v>0</v>
      </c>
      <c r="GN61" s="313">
        <f>(_xlfn.MAXIFS(VaporOxidizer!$F$111:$F$220,VaporOxidizer!$E$111:$E$220,$FG61)-_xlfn.MAXIFS(CtrlDevImpacts!$AN$57:$AN$156,CtrlDevImpacts!$AM$57:$AM$156,$FG61))*IFERROR($QR$15,0)</f>
        <v>0</v>
      </c>
      <c r="GO61" s="155">
        <f>_xlfn.MAXIFS(LandEmiss!$F$335:$F$434,LandEmiss!$A$335:$A$434,$FG61)*IFERROR($QR$15,0)</f>
        <v>0</v>
      </c>
      <c r="GP61" s="155">
        <f>(_xlfn.MAXIFS(LandEmiss!$BK$335:$BK$434,LandEmiss!$BO$335:$BO$434,$FG61)+_xlfn.MAXIFS(LandEmiss!$DZ$323:$DZ$422,LandEmiss!$DU$323:$DU$422,$FG61))*IFERROR($QR$15,0)</f>
        <v>0</v>
      </c>
      <c r="GQ61" s="313">
        <f>_xlfn.MAXIFS(CtrlDevImpacts!$BD$57:$BD$156,CtrlDevImpacts!$BC$57:$BC$156,$FG61)*IFERROR(Hidden!$QR$16,0)</f>
        <v>0</v>
      </c>
      <c r="GR61" s="313">
        <f>(_xlfn.MAXIFS(CAS!$H$35:$H$144,CAS!$E$35:$E$144,$FG61)-_xlfn.MAXIFS(CtrlDevImpacts!$BD$57:$BD$156,CtrlDevImpacts!$BC$57:$BC$156,$FG61))*IFERROR(Hidden!$QR$16,0)</f>
        <v>0</v>
      </c>
      <c r="GS61" s="155">
        <f>_xlfn.MAXIFS(LandEmiss!$H$335:$H$434,LandEmiss!$A$335:$A$434,$FG61)*IFERROR($QR$27,0)</f>
        <v>0</v>
      </c>
      <c r="GT61" s="155">
        <f>(_xlfn.MAXIFS(LandEmiss!$BK$335:$BK$434,LandEmiss!$BQ$335:$BQ$434,$FG61)+_xlfn.MAXIFS(LandEmiss!$EB$323:$EB$422,LandEmiss!$DU$323:$DU$422,$FG61))*IFERROR($QR$27,0)</f>
        <v>0</v>
      </c>
      <c r="GU61" s="155">
        <f>_xlfn.MAXIFS(LandEmiss!$J$335:$J$434,LandEmiss!$A$335:$A$434,$FG61)*IFERROR($QR$26,0)</f>
        <v>0</v>
      </c>
      <c r="GV61" s="155">
        <f>(_xlfn.MAXIFS(LandEmiss!$BK$335:$BK$434,LandEmiss!$BS$335:$BS$434,$FG61)+_xlfn.MAXIFS(LandEmiss!$ED$323:$ED$422,LandEmiss!$DU$323:$DU$422,$FG61))*IFERROR($QR$26,0)</f>
        <v>0</v>
      </c>
      <c r="GW61" s="155">
        <f>_xlfn.MAXIFS(LandEmiss!$L$335:$L$434,LandEmiss!$A$335:$A$434,$FG61)*IFERROR($QR$25,0)</f>
        <v>0</v>
      </c>
      <c r="GX61" s="155">
        <f>(_xlfn.MAXIFS(LandEmiss!$BK$335:$BK$434,LandEmiss!$BU$335:$BU$434,$FG61)+_xlfn.MAXIFS(LandEmiss!$EF$323:$EF$422,LandEmiss!$DU$323:$DU$422,$FG61))*IFERROR($QR$25,0)</f>
        <v>0</v>
      </c>
      <c r="GY61" s="155">
        <v>0</v>
      </c>
      <c r="GZ61" s="155">
        <v>0</v>
      </c>
      <c r="HA61" s="155">
        <f>IF(OR(HeaterBoiler1!$E$26&lt;&gt;"fuel gas",HeaterBoiler1!$E$15&lt;&gt;"heater"),0,SUMIF(HeaterBoiler1!$A$54:$D$63,$FG61,HeaterBoiler1!$I$54:$I$63))*IFERROR($QR$19,0)</f>
        <v>0</v>
      </c>
      <c r="HB61" s="207">
        <f>IF(OR(HeaterBoiler2!$E$26&lt;&gt;"fuel gas",HeaterBoiler2!$E$15&lt;&gt;"heater"),0,SUMIF(HeaterBoiler2!$A$54:$D$63,$FG61,HeaterBoiler2!$I$54:$I$63))*IFERROR($QR$21,0)</f>
        <v>0</v>
      </c>
      <c r="HC61" s="155">
        <f>IF(OR(HeaterBoiler1!$E$26&lt;&gt;"fuel gas",HeaterBoiler1!$E$15&lt;&gt;"boiler"),0,SUMIF(HeaterBoiler1!$A$41:$A$50,$FG61,HeaterBoiler1!$F$41:$F$50))*IFERROR($QR$20,0)</f>
        <v>0</v>
      </c>
      <c r="HD61" s="207">
        <f>IF(OR(HeaterBoiler2!$E$26&lt;&gt;"fuel gas",HeaterBoiler2!$E$15&lt;&gt;"boiler"),0,SUMIF(HeaterBoiler2!$A$41:$A$50,$FG61,HeaterBoiler2!$F$41:$F$50))*IFERROR($QR$22,0)</f>
        <v>0</v>
      </c>
      <c r="HE61" s="155">
        <f>SUMIF(Fug!$A$96:$A$205,$FG61,Fug!$I$96:$I$205)*IFERROR(Hidden!$QR$23,0)</f>
        <v>0</v>
      </c>
      <c r="HF61" s="155">
        <f t="shared" si="24"/>
        <v>0</v>
      </c>
      <c r="HG61" s="156">
        <f t="shared" si="25"/>
        <v>0</v>
      </c>
      <c r="HH61" s="156">
        <f t="shared" si="26"/>
        <v>0</v>
      </c>
      <c r="HI61" s="156">
        <f t="shared" si="27"/>
        <v>0</v>
      </c>
      <c r="HJ61" s="156">
        <f t="shared" si="28"/>
        <v>0</v>
      </c>
      <c r="HK61" s="156">
        <f t="shared" si="29"/>
        <v>0</v>
      </c>
      <c r="HL61" s="156">
        <f t="shared" si="30"/>
        <v>0</v>
      </c>
      <c r="NO61" s="155">
        <f>IF(Tank1!$D$22="No control",(SUMIF(Tank1!$E$32:$E$141,$FG61,Tank1!$H$32:$H$141)*(2000/8760)*IFERROR($QV$3,0)),0)</f>
        <v>0</v>
      </c>
      <c r="NP61" s="156">
        <f>SUMIF(LandEmiss!$AE$20:$AE$119,$FG61,LandEmiss!$AK$20:$AK$119)*(2000/8760)*IFERROR($QV$3,0)</f>
        <v>0</v>
      </c>
      <c r="NQ61" s="156">
        <f>(SUMIF(LandEmiss!$CN$20:$CN$119,$FG61,LandEmiss!$CT$20:$CT$119)+SUMIF(LandEmiss!$EY$9:$EY$108,$FG61,LandEmiss!$FE$9:$FE$108))*IFERROR($QV$3,0)*(2000/8760)</f>
        <v>0</v>
      </c>
      <c r="NR61" s="155">
        <f>IF(Tank2!$D$22="No control",(SUMIF(Tank2!$E$32:$E$141,$FG61,Tank2!$H$32:$H$141)*(2000/8760)*IFERROR($QV$4,0)),0)</f>
        <v>0</v>
      </c>
      <c r="NS61" s="156">
        <f>SUMIF(LandEmiss!$AE$20:$AE$119,$FG61,LandEmiss!$AL$20:$AL$119)*(2000/8760)*IFERROR($QV$4,0)</f>
        <v>0</v>
      </c>
      <c r="NT61" s="156">
        <f>(SUMIF(LandEmiss!$CN$20:$CN$119,$FG61,LandEmiss!$CU$20:$CU$119)+SUMIF(LandEmiss!$EY$9:$EY$108,$FG61,LandEmiss!$FF$9:$FF$108))*IFERROR($QV$4,0)*(2000/8760)</f>
        <v>0</v>
      </c>
      <c r="NU61" s="155">
        <f>IF(Tank3!$D$22="No control",(SUMIF(Tank3!$E$32:$E$141,$FG61,Tank3!$H$32:$H$141)*(2000/8760)*IFERROR($QV$5,0)),0)</f>
        <v>0</v>
      </c>
      <c r="NV61" s="156">
        <f>SUMIF(LandEmiss!$AE$20:$AE$119,$FG61,LandEmiss!$AM$20:$AM$119)*(2000/8760)*IFERROR($QV$5,0)</f>
        <v>0</v>
      </c>
      <c r="NW61" s="156">
        <f>(SUMIF(LandEmiss!$CN$20:$CN$119,$FG61,LandEmiss!$CV$20:$CV$119)+SUMIF(LandEmiss!$EY$9:$EY$108,$FG61,LandEmiss!$FG$9:$FG$108))*IFERROR($QV$5,0)*(2000/8760)</f>
        <v>0</v>
      </c>
      <c r="NX61" s="155">
        <f>IF(Tank4!$D$22="No control",(SUMIF(Tank4!$E$32:$E$141,$FG61,Tank4!$H$32:$H$141)*(2000/8760)*IFERROR($QV$6,0)),0)</f>
        <v>0</v>
      </c>
      <c r="NY61" s="156">
        <f>SUMIF(LandEmiss!$AE$20:$AE$119,$FG61,LandEmiss!$AN$20:$AN$119)*(2000/8760)*IFERROR($QV$6,0)</f>
        <v>0</v>
      </c>
      <c r="NZ61" s="156">
        <f>(SUMIF(LandEmiss!$CN$20:$CN$119,$FG61,LandEmiss!$CW$20:$CW$119)+SUMIF(LandEmiss!$EY$9:$EY$108,$FG61,LandEmiss!$FH$9:$FH$108))*IFERROR($QV$6,0)*(2000/8760)</f>
        <v>0</v>
      </c>
      <c r="OA61" s="155">
        <f>IF(Tank5!$D$22="No control",(SUMIF(Tank5!$E$32:$E$141,$FG61,Tank5!$H$32:$H$141)*(2000/8760)*IFERROR($QV$7,0)),0)</f>
        <v>0</v>
      </c>
      <c r="OB61" s="156">
        <f>SUMIF(LandEmiss!$AE$20:$AE$119,$FG61,LandEmiss!$AO$20:$AO$119)*(2000/8760)*IFERROR($QV$7,0)</f>
        <v>0</v>
      </c>
      <c r="OC61" s="156">
        <f>(SUMIF(LandEmiss!$CN$20:$CN$119,$FG61,LandEmiss!$CX$20:$CX$119)+SUMIF(LandEmiss!$EY$9:$EY$108,$FG61,LandEmiss!$FI$9:$FI$108))*IFERROR($QV$7,0)*(2000/8760)</f>
        <v>0</v>
      </c>
      <c r="OD61" s="155">
        <f>SUMIFS('Load-DrumTote'!$L$27:$L$136,'Load-DrumTote'!$F$27:$F$136,$FG61)*IFERROR($QV$8,0)*(2000/8760)</f>
        <v>0</v>
      </c>
      <c r="OE61" s="155">
        <f>SUMIFS('Load-Truck'!$L$27:$L$136,'Load-Truck'!$F$27:$F$136,$FG61)*IFERROR($QV$9,0)*(2000/8760)</f>
        <v>0</v>
      </c>
      <c r="OF61" s="155">
        <f>SUMIFS('Load-Rail'!$L$27:$L$136,'Load-Rail'!$F$27:$F$136,$FG61)*IFERROR($QV$10,0)*(2000/8760)</f>
        <v>0</v>
      </c>
      <c r="OG61" s="155">
        <f>SUMIFS('Load-MarineBarge'!$L$27:$L$136,'Load-MarineBarge'!$F$27:$F$136,$FG61)*IFERROR($QV$11,0)*(2000/8760)</f>
        <v>0</v>
      </c>
      <c r="OH61" s="155">
        <f>SUMIFS('Load-MarineShip'!$L$27:$L$136,'Load-MarineShip'!$F$27:$F$136,$FG61)*IFERROR($QV$12,0)*(2000/8760)</f>
        <v>0</v>
      </c>
      <c r="OI61" s="155">
        <f>(IF(OR(Flare!$D$24="FUEL GAS",Flare!$D$38="FUEL GAS"),SUMIF(Flare!$E$97:$E$106,$FG61,Flare!$G$97:$G$105),0)+SUMIF(Flare!$E$107:$E$216,$FG61,Flare!$G$107:$G$216))*(2000/8730)*IFERROR($QV$13,0)</f>
        <v>0</v>
      </c>
      <c r="OJ61" s="155">
        <f>SUMIF(LandEmiss!$A$335:$A$434,$FG61,LandEmiss!$C$335:$C$434)*(2000/8760)*IFERROR($QV$13,0)</f>
        <v>0</v>
      </c>
      <c r="OK61" s="155">
        <f>(SUMIF(LandEmiss!$BJ$335:$BJ$434,$FG61,LandEmiss!$BL$335:$BL$434)+SUMIF(LandEmiss!$DU$323:$DU$422,$FG61,LandEmiss!$DW$323:$DW$422))*(2000/8760)*IFERROR($QV$13,0)</f>
        <v>0</v>
      </c>
      <c r="OL61" s="155">
        <f>(IF(OR(VCU!$D$26="FUEL GAS",VCU!$D$42="FUEL GAS"),SUMIF(VCU!$E$120:$E$129,$FG61,VCU!$G$120:$G$129),0)+SUMIF(VCU!$E$130:$E$239,$FG61,VCU!G189:G298))*(2000/8760)*IFERROR($QV$14,0)</f>
        <v>0</v>
      </c>
      <c r="OM61" s="155">
        <f>SUMIF(LandEmiss!$A$335:$A$434,$FG61,LandEmiss!$E$335:$E$434)*(2000/8760)*IFERROR($QV$14,0)</f>
        <v>0</v>
      </c>
      <c r="ON61" s="155">
        <f>(SUMIF(LandEmiss!$BJ$335:$BJ$434,$FG61,LandEmiss!$BN$335:$BN$434)+SUMIF(LandEmiss!$DU$323:$DU$422,$FG61,LandEmiss!$DY$323:$DY$422))*(2000/8760)*IFERROR($QV$14,0)</f>
        <v>0</v>
      </c>
      <c r="OO61" s="155">
        <f>(IF(VaporOxidizer!$D$33="FUEL GAS",SUMIF(VaporOxidizer!$E$101:$E$110,$FG61,VaporOxidizer!$G$101:$G$110),0)+SUMIF(VaporOxidizer!$E$111:$E$220,$FG61,VaporOxidizer!$G$111:$G$220))*(2000/8760)*IFERROR($QV$15,0)</f>
        <v>0</v>
      </c>
      <c r="OP61" s="155">
        <f>SUMIF(LandEmiss!$A$335:$A$434,$FG61,LandEmiss!$G$335:$G$434)*(2000/8760)*IFERROR($QV$15,0)</f>
        <v>0</v>
      </c>
      <c r="OQ61" s="155">
        <f>(SUMIF(LandEmiss!$BJ$335:$BJ$434,$FG61,LandEmiss!$BP$335:$BP$434)+SUMIF(LandEmiss!$DU$323:$DU$422,$FG61,LandEmiss!$EA$323:$EA$422))*(2000/8760)*IFERROR($QV$15,0)</f>
        <v>0</v>
      </c>
      <c r="OR61" s="155">
        <f>SUMIF(CAS!$E$35:$E$144,Hidden!$FG61,CAS!$I$35:$I$144)*IFERROR($QV$16,0)*(2000/8760)</f>
        <v>0</v>
      </c>
      <c r="OS61" s="155">
        <f>SUMIF(LandEmiss!$A$335:$A$434,$FG61,LandEmiss!$I$335:$I$434)*(2000/8760)*IFERROR($QV$27,0)</f>
        <v>0</v>
      </c>
      <c r="OT61" s="155">
        <f>(SUMIF(LandEmiss!$BJ$335:$BJ$434,$FG61,LandEmiss!$BR$335:$BR$434)+SUMIF(LandEmiss!$DU$323:$DU$422,$FG61,LandEmiss!$EC$323:$EC$422))*(2000/8760)*IFERROR($QV$27,0)</f>
        <v>0</v>
      </c>
      <c r="OU61" s="155">
        <f>SUMIF(LandEmiss!$A$335:$A$434,$FG61,LandEmiss!$K$335:$K$434)*(2000/8760)*IFERROR($QV$26,0)</f>
        <v>0</v>
      </c>
      <c r="OV61" s="155">
        <f>(SUMIF(LandEmiss!$BJ$335:$BJ$434,$FG61,LandEmiss!$BT$335:$BT$434)+SUMIF(LandEmiss!$DU$323:$DU$422,$FG61,LandEmiss!$EE$323:$EE$422))*(2000/8760)*IFERROR($QV$26,0)</f>
        <v>0</v>
      </c>
      <c r="OW61" s="155">
        <f>SUMIF(LandEmiss!$A$335:$A$434,$FG61,LandEmiss!$M$335:$M$434)*(2000/8760)*IFERROR($QV$25,0)</f>
        <v>0</v>
      </c>
      <c r="OX61" s="155">
        <f>(SUMIF(LandEmiss!$BJ$335:$BJ$434,$FG61,LandEmiss!$BV$335:$BV$434)+SUMIF(LandEmiss!$DU$323:$DU$422,$FG61,LandEmiss!$EG$323:$EG$422))*(2000/8760)*IFERROR($QV$25,0)</f>
        <v>0</v>
      </c>
      <c r="OY61" s="8">
        <v>0</v>
      </c>
      <c r="OZ61" s="207">
        <v>0</v>
      </c>
      <c r="PA61" s="207">
        <f>IF(OR(HeaterBoiler1!$E$26&lt;&gt;"fuel gas",HeaterBoiler1!$E$15&lt;&gt;"heater"),0,(SUMIF(HeaterBoiler1!$A$54:$D$63,$FG61,HeaterBoiler1!$J$54:$J$63))*(2000/8760))*IFERROR($QV$19,0)</f>
        <v>0</v>
      </c>
      <c r="PB61" s="207">
        <f>IF(OR(HeaterBoiler2!$E$26&lt;&gt;"fuel gas",HeaterBoiler2!$E$15&lt;&gt;"heater"),0,(SUMIF(HeaterBoiler2!$A$54:$D$63,$FG61,HeaterBoiler2!$J$54:$J$63))*(2000/8760))*IFERROR($QV$21,0)</f>
        <v>0</v>
      </c>
      <c r="PC61" s="207">
        <f>IF(OR(HeaterBoiler1!$E$26&lt;&gt;"fuel gas",HeaterBoiler1!$E$15&lt;&gt;"boiler"),0,(SUMIF(HeaterBoiler1!$A$54:$D$63,$FG61,HeaterBoiler1!$J$54:$J$63))*(2000/8760))*IFERROR($QV$20,0)</f>
        <v>0</v>
      </c>
      <c r="PD61" s="207">
        <f>IF(OR(HeaterBoiler2!$E$26&lt;&gt;"fuel gas",HeaterBoiler2!$E$15&lt;&gt;"boiler"),0,(SUMIF(HeaterBoiler2!$A$54:$D$63,$FG61,HeaterBoiler2!$J$54:$J$63))*(2000/8760))*IFERROR($QV$22,0)</f>
        <v>0</v>
      </c>
      <c r="PE61" s="8">
        <f>(SUMIF(Fug!$A$96:$A$205,$FG61,Fug!$J$96:$J$205))*IFERROR($QV$23,0)*(2000/8760)</f>
        <v>0</v>
      </c>
      <c r="PF61" s="8">
        <f t="shared" si="31"/>
        <v>0</v>
      </c>
      <c r="PG61" s="156">
        <f t="shared" si="32"/>
        <v>0</v>
      </c>
      <c r="PJ61" s="52" t="str">
        <f>IF(Fug!$F$16=Hidden!$PP$2,"Process Drains","")</f>
        <v/>
      </c>
      <c r="PK61" s="52" t="str">
        <f>IF(Fug!$F$16=Hidden!$PP$2,"Gas","")</f>
        <v/>
      </c>
      <c r="PL61" s="52"/>
      <c r="PM61" s="52"/>
      <c r="PN61" s="52"/>
      <c r="PO61" s="52"/>
      <c r="PP61" s="52">
        <v>1.9400000000000001E-2</v>
      </c>
      <c r="PQ61" s="52"/>
      <c r="PR61" s="52"/>
      <c r="PS61" s="52"/>
      <c r="PT61" s="52" t="s">
        <v>8800</v>
      </c>
      <c r="PU61" s="52" t="s">
        <v>8769</v>
      </c>
      <c r="PV61" s="52">
        <v>0</v>
      </c>
      <c r="PW61" s="52">
        <v>0</v>
      </c>
      <c r="PX61" s="52">
        <v>0</v>
      </c>
      <c r="PY61" s="52">
        <v>0</v>
      </c>
      <c r="PZ61" s="52">
        <v>0</v>
      </c>
      <c r="QA61" s="52">
        <v>0</v>
      </c>
      <c r="QB61" s="52"/>
      <c r="QC61" s="52"/>
      <c r="QD61" s="52"/>
      <c r="QE61" s="52"/>
      <c r="QF61" s="52"/>
      <c r="QG61" s="52"/>
      <c r="QH61" s="52"/>
      <c r="QI61" s="52"/>
      <c r="QX61" s="89" t="s">
        <v>9338</v>
      </c>
      <c r="QY61">
        <v>245.2</v>
      </c>
      <c r="QZ61">
        <v>245.2</v>
      </c>
      <c r="RA61">
        <v>245.2</v>
      </c>
      <c r="RB61">
        <v>245.2</v>
      </c>
      <c r="RC61">
        <v>245.2</v>
      </c>
      <c r="RD61">
        <v>245.2</v>
      </c>
      <c r="RE61">
        <v>245.2</v>
      </c>
      <c r="RF61">
        <v>245.2</v>
      </c>
      <c r="RG61">
        <v>245.2</v>
      </c>
      <c r="RH61" s="89" t="s">
        <v>9338</v>
      </c>
      <c r="RQ61" s="90"/>
      <c r="RR61" s="89" t="s">
        <v>9338</v>
      </c>
      <c r="SA61" s="90"/>
      <c r="SB61" s="89" t="s">
        <v>9338</v>
      </c>
      <c r="SK61" s="90"/>
      <c r="SL61" s="89" t="s">
        <v>9338</v>
      </c>
      <c r="SM61">
        <v>4.49</v>
      </c>
      <c r="SN61">
        <v>4.49</v>
      </c>
      <c r="SO61">
        <v>4.49</v>
      </c>
      <c r="SP61">
        <v>4.49</v>
      </c>
      <c r="SQ61">
        <v>4.49</v>
      </c>
      <c r="SR61">
        <v>4.49</v>
      </c>
      <c r="SS61">
        <v>4.49</v>
      </c>
      <c r="ST61">
        <v>4.49</v>
      </c>
      <c r="SU61">
        <v>4.49</v>
      </c>
    </row>
    <row r="62" spans="1:515" ht="74.25" customHeight="1" thickBot="1" x14ac:dyDescent="0.25">
      <c r="W62">
        <f>IF(OR(X62=0,ISNUMBER(MATCH(X62,$X$1:X61,0))),0,MAX($W$1:W61)+1)</f>
        <v>0</v>
      </c>
      <c r="X62" s="123">
        <f>Products!$E109</f>
        <v>0</v>
      </c>
      <c r="Y62" t="str">
        <f t="shared" si="39"/>
        <v/>
      </c>
      <c r="CA62">
        <f>IF(OR(CB62=0,ISNUMBER(MATCH(CB62,$CB$1:CB61,0))),0,MAX($CA$1:CA61)+1)</f>
        <v>0</v>
      </c>
      <c r="CB62" s="8">
        <f>IF(OR(Tank1!$D$18="EXTERNAL FLOATING ROOF",Tank1!$D$18="INTERNAL FLOATING ROOF"),IF(Tank1!$E92="",0,Tank1!$E92),0)</f>
        <v>0</v>
      </c>
      <c r="CC62" s="8" t="str">
        <f t="shared" si="40"/>
        <v/>
      </c>
      <c r="CD62" s="8"/>
      <c r="CE62" s="8">
        <f>IF(OR(CF62=0,ISNUMBER(MATCH(CF62,$CF$1:CF61,0))),0,MAX($CE$1:CE61)+1)</f>
        <v>0</v>
      </c>
      <c r="CF62" s="8">
        <f>IF(OR(Tank1!$D$18="HORIZONTAL FIXED ROOF",Tank1!$D$18="VERTICAL FIXED ROOF"),IF(Tank1!$E92="",0,Tank1!$E92),0)</f>
        <v>0</v>
      </c>
      <c r="CG62" s="8" t="str">
        <f t="shared" si="41"/>
        <v/>
      </c>
      <c r="DL62" t="s">
        <v>9291</v>
      </c>
      <c r="DM62">
        <f>IF(OR(DN62=0,ISNUMBER(MATCH(DN62,$DN$1:DN61,0))),0,MAX($DM$1:DM61)+1)</f>
        <v>0</v>
      </c>
      <c r="DN62">
        <f>IF('Load-Truck'!$F$19="Flare",IFERROR(VLOOKUP(Products!$A$59,'Load-Truck'!$A$27:$B$136,1,FALSE),0),0)</f>
        <v>0</v>
      </c>
      <c r="DO62">
        <f>IF($DN62=0,0,VLOOKUP($DN62,'Load-Truck'!$A$27:$N$136,13,FALSE))</f>
        <v>0</v>
      </c>
      <c r="DP62">
        <f>IF($DN62=0,0,VLOOKUP($DN62,'Load-Truck'!$A$27:$N$136,14,FALSE))</f>
        <v>0</v>
      </c>
      <c r="DU62">
        <f>IF(OR(DV62=0,ISNUMBER(MATCH(DV62,$DV$1:DV61,0))),0,MAX($DU$1:DU61)+1)</f>
        <v>0</v>
      </c>
      <c r="DV62">
        <f>IF('Load-Truck'!$F$19="VCU",IFERROR(VLOOKUP(Products!$A$59,'Load-Truck'!$A$27:$B$136,1,FALSE),0),0)</f>
        <v>0</v>
      </c>
      <c r="DW62">
        <f>IF($DV62=0,0,VLOOKUP($DV62,'Load-Truck'!$A$27:$N$136,13,FALSE))</f>
        <v>0</v>
      </c>
      <c r="DX62">
        <f>IF($DV62=0,0,VLOOKUP($DV62,'Load-Truck'!$A$27:$N$136,14,FALSE))</f>
        <v>0</v>
      </c>
      <c r="EC62">
        <f>IF(OR(ED62=0,ISNUMBER(MATCH(ED62,$ED$1:ED61,0))),0,MAX($EC$1:EC61)+1)</f>
        <v>0</v>
      </c>
      <c r="ED62">
        <f>IF('Load-Truck'!$F$19="vapor oxidizer",IFERROR(VLOOKUP(Products!$A$59,'Load-Truck'!$A$27:$B$136,1,FALSE),0),0)</f>
        <v>0</v>
      </c>
      <c r="EE62">
        <f>IF($ED62=0,0,VLOOKUP($ED62,'Load-Truck'!$A$27:$N$136,13,FALSE))</f>
        <v>0</v>
      </c>
      <c r="EF62">
        <f>IF($ED62=0,0,VLOOKUP($ED62,'Load-Truck'!$A$27:$N$136,14,FALSE))</f>
        <v>0</v>
      </c>
      <c r="EK62">
        <f>IF(OR(EL62=0,ISNUMBER(MATCH(EL62,$EL$1:EL61,0))),0,MAX($EK$1:EK61)+1)</f>
        <v>0</v>
      </c>
      <c r="EL62">
        <f>IF('Load-Truck'!$F$19="CAS",IFERROR(VLOOKUP(Products!A59,'Load-Truck'!$A$27:$B$136,1,FALSE),0),0)</f>
        <v>0</v>
      </c>
      <c r="EM62">
        <f>IF($EL62=0,0,VLOOKUP($EL62,'Load-Truck'!$A$27:$N$136,13,FALSE))</f>
        <v>0</v>
      </c>
      <c r="EN62">
        <f>IF($EL62=0,0,VLOOKUP($EL62,'Load-Truck'!$A$27:$N$136,14,FALSE))</f>
        <v>0</v>
      </c>
      <c r="FB62" s="8" t="s">
        <v>473</v>
      </c>
      <c r="FC62" s="8" t="s">
        <v>474</v>
      </c>
      <c r="FD62" s="8">
        <v>120</v>
      </c>
      <c r="FE62" s="8">
        <v>12</v>
      </c>
      <c r="FG62" s="360" t="str">
        <f t="shared" si="23"/>
        <v/>
      </c>
      <c r="FH62" s="155">
        <f>IF(Tank1!$D$22="NO CONTROL",_xlfn.MAXIFS(Tank1!$G$32:$G$141,Tank1!$E$32:$E$141,$FG62),0)*IFERROR($QR$3,0)</f>
        <v>0</v>
      </c>
      <c r="FI62" s="155">
        <f>_xlfn.MAXIFS(LandEmiss!$AF$20:$AF$119,LandEmiss!$AE$20:$AE$119,$FG62)*IFERROR($QR$3,0)</f>
        <v>0</v>
      </c>
      <c r="FJ62" s="155">
        <f>MAX(_xlfn.MAXIFS(LandEmiss!$CO$20:$CO$119,LandEmiss!$CN$20:$CN$119,$FG62),_xlfn.MAXIFS(LandEmiss!$EZ$9:$EZ$108,LandEmiss!$EY$9:$EY$108,$FG62))*IFERROR($QR$3,0)</f>
        <v>0</v>
      </c>
      <c r="FK62" s="155">
        <f>IF(Tank2!$D$22="NO CONTROL",_xlfn.MAXIFS(Tank2!$G$32:$G$141,Tank2!$E$32:$E$141,$FG62),0)*IFERROR($QR$4,0)</f>
        <v>0</v>
      </c>
      <c r="FL62" s="155">
        <f>_xlfn.MAXIFS(LandEmiss!$AG$20:$AG$119,LandEmiss!$AE$20:$AE$119,$FG62)*IFERROR($QR$4,0)</f>
        <v>0</v>
      </c>
      <c r="FM62" s="155">
        <f>MAX(_xlfn.MAXIFS(LandEmiss!$CP$20:$CP$119,LandEmiss!$CN$20:$CN$119,$FG62),_xlfn.MAXIFS(LandEmiss!$FA$9:$FA$108,LandEmiss!$EY$9:$EY$108,$FG62))*IFERROR($QR$4,0)</f>
        <v>0</v>
      </c>
      <c r="FN62" s="155">
        <f>IF(Tank3!$D$22="NO CONTROL",_xlfn.MAXIFS(Tank3!$G$32:$G$141,Tank3!$E$32:$E$141,$FG62),0)*IFERROR($QR$5,0)</f>
        <v>0</v>
      </c>
      <c r="FO62" s="155">
        <f>_xlfn.MAXIFS(LandEmiss!$AH$20:$AH$119,LandEmiss!$AE$20:$AE$119,$FG62)*IFERROR($QR$5,0)</f>
        <v>0</v>
      </c>
      <c r="FP62" s="155">
        <f>MAX(_xlfn.MAXIFS(LandEmiss!$CQ$20:$CQ$119,LandEmiss!$CN$20:$CN$119,$FG62),_xlfn.MAXIFS(LandEmiss!$FB$9:$FB$108,LandEmiss!$EY$9:$EY$108,$FG62))*IFERROR($QR$5,0)</f>
        <v>0</v>
      </c>
      <c r="FQ62" s="155">
        <f>IF(Tank4!$D$22="NO CONTROL",_xlfn.MAXIFS(Tank4!$G$32:$G$141,Tank4!$E$32:$E$141,$FG62),0)*IFERROR($QR$6,0)</f>
        <v>0</v>
      </c>
      <c r="FR62" s="155">
        <f>_xlfn.MAXIFS(LandEmiss!$AI$20:$AI$119,LandEmiss!$AE$20:$AE$119,$FG62)*IFERROR($QR$6,0)</f>
        <v>0</v>
      </c>
      <c r="FS62" s="155">
        <f>MAX(_xlfn.MAXIFS(LandEmiss!$CR$20:$CR$119,LandEmiss!$CN$20:$CN$119,$FG62),_xlfn.MAXIFS(LandEmiss!$FC$9:$FC$108,LandEmiss!$EY$9:$EY$108,$FG62))*IFERROR($QR$6,0)</f>
        <v>0</v>
      </c>
      <c r="FT62" s="155">
        <f>IF(Tank5!$D$22="NO CONTROL",_xlfn.MAXIFS(Tank5!$G$32:$G$141,Tank5!$E$32:$E$141,$FG62),0)*IFERROR($QR$7,0)</f>
        <v>0</v>
      </c>
      <c r="FU62" s="155">
        <f>_xlfn.MAXIFS(LandEmiss!$AJ$20:$AJ$119,LandEmiss!$AE$20:$AE$119,$FG62)*IFERROR($QR$7,0)</f>
        <v>0</v>
      </c>
      <c r="FV62" s="155">
        <f>MAX(_xlfn.MAXIFS(LandEmiss!$CS$20:$CS$119,LandEmiss!$CN$20:$CN$119,$FG62),_xlfn.MAXIFS(LandEmiss!$FD$9:$FD$108,LandEmiss!$EY$9:$EY$108,$FG62))*IFERROR($QR67,0)</f>
        <v>0</v>
      </c>
      <c r="FW62" s="155">
        <f>_xlfn.MAXIFS('Load-DrumTote'!$K$27:$K$136,'Load-DrumTote'!$F$27:$F$136,$FG62)*IFERROR($QR$8,0)</f>
        <v>0</v>
      </c>
      <c r="FX62" s="155">
        <f>_xlfn.MAXIFS('Load-Truck'!$K$27:$K$136,'Load-Truck'!$F$27:$F$136,$FG62)*IFERROR($QR$9,0)</f>
        <v>0</v>
      </c>
      <c r="FY62" s="155">
        <f>_xlfn.MAXIFS('Load-Rail'!$K$27:$K$136,'Load-Rail'!$F$27:$F$136,$FG62)*IFERROR($QR$10,0)</f>
        <v>0</v>
      </c>
      <c r="FZ62" s="155">
        <f>_xlfn.MAXIFS('Load-MarineBarge'!$K$27:$K$136,'Load-MarineBarge'!$F$27:$F$136,$FG62)*IFERROR($QR$11,0)</f>
        <v>0</v>
      </c>
      <c r="GA62" s="155">
        <f>_xlfn.MAXIFS('Load-MarineShip'!$K$27:$K$136,'Load-MarineShip'!$F$27:$F$136,$FG62)*IFERROR($QR$12,0)</f>
        <v>0</v>
      </c>
      <c r="GB62" s="313">
        <f>IF(OR(Flare!$D$24="fuel gas",Flare!$D$38="fuel gas"),SUMIF(Flare!$E$97:$E$106,$FG62,Flare!$F$97:$F$106),0)*IFERROR($QR$13,0)</f>
        <v>0</v>
      </c>
      <c r="GC62" s="313">
        <f>(_xlfn.MAXIFS(CtrlDevImpacts!$I$57:$I$156,CtrlDevImpacts!$H$57:$H$156,$FG62))*IFERROR($QR$13,0)</f>
        <v>0</v>
      </c>
      <c r="GD62" s="313">
        <f>(_xlfn.MAXIFS(Flare!$F$107:$F$216,Flare!$E$107:$E$216,$FG62)-_xlfn.MAXIFS(CtrlDevImpacts!$I$57:$I$156,CtrlDevImpacts!$H$57:$H$156,$FG62))*IFERROR($QR$13,0)</f>
        <v>0</v>
      </c>
      <c r="GE62" s="155">
        <f>_xlfn.MAXIFS(LandEmiss!$B$335:$B$434,LandEmiss!$A$335:$A$434,$FG62)*IFERROR($QR$13,0)</f>
        <v>0</v>
      </c>
      <c r="GF62" s="155">
        <f>(_xlfn.MAXIFS(LandEmiss!$BK$335:$BK$434,LandEmiss!$BJ$335:$BJ$434,$FG62)+_xlfn.MAXIFS(LandEmiss!$DV$323:$DV$422,LandEmiss!$DU$323:$DU$422,$FG62))*IFERROR($QR$13,0)</f>
        <v>0</v>
      </c>
      <c r="GG62" s="313">
        <f>IF(OR(VCU!$D$26="fuel gas",VCU!$D$42="fuel gas"),SUMIF(VCU!$E$120:$E$129,$FG62,VCU!$F$120:$F$129),0)*IFERROR($QR$14,0)</f>
        <v>0</v>
      </c>
      <c r="GH62" s="313">
        <f>(_xlfn.MAXIFS(CtrlDevImpacts!$X$57:$X$156,CtrlDevImpacts!$W$57:$W$156,$FG62))*IFERROR($QR$14,0)</f>
        <v>0</v>
      </c>
      <c r="GI62" s="313">
        <f>(_xlfn.MAXIFS(VCU!$F$130:$F$239,VCU!$E$130:$E$239,$FG62)-_xlfn.MAXIFS(CtrlDevImpacts!$X$57:$X$156,CtrlDevImpacts!$W$57:$W$156,$FG62))*IFERROR($QR$14,0)</f>
        <v>0</v>
      </c>
      <c r="GJ62" s="155">
        <f>_xlfn.MAXIFS(LandEmiss!$D$335:$D$434,LandEmiss!$A$335:$A$434,$FG62)*IFERROR($QR$14,0)</f>
        <v>0</v>
      </c>
      <c r="GK62" s="155">
        <f>(_xlfn.MAXIFS(LandEmiss!$BM$335:$BM$434,LandEmiss!$BJ$335:$BJ$434,$FG62)+_xlfn.MAXIFS(LandEmiss!$DX$323:$DX$422,LandEmiss!$DU$323:$DU$422,$FG62))*IFERROR($QR$14,0)</f>
        <v>0</v>
      </c>
      <c r="GL62" s="313">
        <f>IF(VaporOxidizer!D93="FUEL GAS",SUMIF(VaporOxidizer!$E$101:$E$110,$FG62,VaporOxidizer!$F$101:$F$110),0)*IFERROR($QR$15,0)</f>
        <v>0</v>
      </c>
      <c r="GM62" s="313">
        <f>(_xlfn.MAXIFS(CtrlDevImpacts!$AN$57:$AN$156,CtrlDevImpacts!$AM$57:$AM$156,$FG62))*IFERROR($QR$15,0)</f>
        <v>0</v>
      </c>
      <c r="GN62" s="313">
        <f>(_xlfn.MAXIFS(VaporOxidizer!$F$111:$F$220,VaporOxidizer!$E$111:$E$220,$FG62)-_xlfn.MAXIFS(CtrlDevImpacts!$AN$57:$AN$156,CtrlDevImpacts!$AM$57:$AM$156,$FG62))*IFERROR($QR$15,0)</f>
        <v>0</v>
      </c>
      <c r="GO62" s="155">
        <f>_xlfn.MAXIFS(LandEmiss!$F$335:$F$434,LandEmiss!$A$335:$A$434,$FG62)*IFERROR($QR$15,0)</f>
        <v>0</v>
      </c>
      <c r="GP62" s="155">
        <f>(_xlfn.MAXIFS(LandEmiss!$BK$335:$BK$434,LandEmiss!$BO$335:$BO$434,$FG62)+_xlfn.MAXIFS(LandEmiss!$DZ$323:$DZ$422,LandEmiss!$DU$323:$DU$422,$FG62))*IFERROR($QR$15,0)</f>
        <v>0</v>
      </c>
      <c r="GQ62" s="313">
        <f>_xlfn.MAXIFS(CtrlDevImpacts!$BD$57:$BD$156,CtrlDevImpacts!$BC$57:$BC$156,$FG62)*IFERROR(Hidden!$QR$16,0)</f>
        <v>0</v>
      </c>
      <c r="GR62" s="313">
        <f>(_xlfn.MAXIFS(CAS!$H$35:$H$144,CAS!$E$35:$E$144,$FG62)-_xlfn.MAXIFS(CtrlDevImpacts!$BD$57:$BD$156,CtrlDevImpacts!$BC$57:$BC$156,$FG62))*IFERROR(Hidden!$QR$16,0)</f>
        <v>0</v>
      </c>
      <c r="GS62" s="155">
        <f>_xlfn.MAXIFS(LandEmiss!$H$335:$H$434,LandEmiss!$A$335:$A$434,$FG62)*IFERROR($QR$27,0)</f>
        <v>0</v>
      </c>
      <c r="GT62" s="155">
        <f>(_xlfn.MAXIFS(LandEmiss!$BK$335:$BK$434,LandEmiss!$BQ$335:$BQ$434,$FG62)+_xlfn.MAXIFS(LandEmiss!$EB$323:$EB$422,LandEmiss!$DU$323:$DU$422,$FG62))*IFERROR($QR$27,0)</f>
        <v>0</v>
      </c>
      <c r="GU62" s="155">
        <f>_xlfn.MAXIFS(LandEmiss!$J$335:$J$434,LandEmiss!$A$335:$A$434,$FG62)*IFERROR($QR$26,0)</f>
        <v>0</v>
      </c>
      <c r="GV62" s="155">
        <f>(_xlfn.MAXIFS(LandEmiss!$BK$335:$BK$434,LandEmiss!$BS$335:$BS$434,$FG62)+_xlfn.MAXIFS(LandEmiss!$ED$323:$ED$422,LandEmiss!$DU$323:$DU$422,$FG62))*IFERROR($QR$26,0)</f>
        <v>0</v>
      </c>
      <c r="GW62" s="155">
        <f>_xlfn.MAXIFS(LandEmiss!$L$335:$L$434,LandEmiss!$A$335:$A$434,$FG62)*IFERROR($QR$25,0)</f>
        <v>0</v>
      </c>
      <c r="GX62" s="155">
        <f>(_xlfn.MAXIFS(LandEmiss!$BK$335:$BK$434,LandEmiss!$BU$335:$BU$434,$FG62)+_xlfn.MAXIFS(LandEmiss!$EF$323:$EF$422,LandEmiss!$DU$323:$DU$422,$FG62))*IFERROR($QR$25,0)</f>
        <v>0</v>
      </c>
      <c r="GY62" s="155">
        <v>0</v>
      </c>
      <c r="GZ62" s="155">
        <v>0</v>
      </c>
      <c r="HA62" s="155">
        <f>IF(OR(HeaterBoiler1!$E$26&lt;&gt;"fuel gas",HeaterBoiler1!$E$15&lt;&gt;"heater"),0,SUMIF(HeaterBoiler1!$A$54:$D$63,$FG62,HeaterBoiler1!$I$54:$I$63))*IFERROR($QR$19,0)</f>
        <v>0</v>
      </c>
      <c r="HB62" s="207">
        <f>IF(OR(HeaterBoiler2!$E$26&lt;&gt;"fuel gas",HeaterBoiler2!$E$15&lt;&gt;"heater"),0,SUMIF(HeaterBoiler2!$A$54:$D$63,$FG62,HeaterBoiler2!$I$54:$I$63))*IFERROR($QR$21,0)</f>
        <v>0</v>
      </c>
      <c r="HC62" s="155">
        <f>IF(OR(HeaterBoiler1!$E$26&lt;&gt;"fuel gas",HeaterBoiler1!$E$15&lt;&gt;"boiler"),0,SUMIF(HeaterBoiler1!$A$41:$A$50,$FG62,HeaterBoiler1!$F$41:$F$50))*IFERROR($QR$20,0)</f>
        <v>0</v>
      </c>
      <c r="HD62" s="207">
        <f>IF(OR(HeaterBoiler2!$E$26&lt;&gt;"fuel gas",HeaterBoiler2!$E$15&lt;&gt;"boiler"),0,SUMIF(HeaterBoiler2!$A$41:$A$50,$FG62,HeaterBoiler2!$F$41:$F$50))*IFERROR($QR$22,0)</f>
        <v>0</v>
      </c>
      <c r="HE62" s="155">
        <f>SUMIF(Fug!$A$96:$A$205,$FG62,Fug!$I$96:$I$205)*IFERROR(Hidden!$QR$23,0)</f>
        <v>0</v>
      </c>
      <c r="HF62" s="155">
        <f t="shared" si="24"/>
        <v>0</v>
      </c>
      <c r="HG62" s="156">
        <f t="shared" si="25"/>
        <v>0</v>
      </c>
      <c r="HH62" s="156">
        <f t="shared" si="26"/>
        <v>0</v>
      </c>
      <c r="HI62" s="156">
        <f t="shared" si="27"/>
        <v>0</v>
      </c>
      <c r="HJ62" s="156">
        <f t="shared" si="28"/>
        <v>0</v>
      </c>
      <c r="HK62" s="156">
        <f t="shared" si="29"/>
        <v>0</v>
      </c>
      <c r="HL62" s="156">
        <f t="shared" si="30"/>
        <v>0</v>
      </c>
      <c r="NO62" s="155">
        <f>IF(Tank1!$D$22="No control",(SUMIF(Tank1!$E$32:$E$141,$FG62,Tank1!$H$32:$H$141)*(2000/8760)*IFERROR($QV$3,0)),0)</f>
        <v>0</v>
      </c>
      <c r="NP62" s="156">
        <f>SUMIF(LandEmiss!$AE$20:$AE$119,$FG62,LandEmiss!$AK$20:$AK$119)*(2000/8760)*IFERROR($QV$3,0)</f>
        <v>0</v>
      </c>
      <c r="NQ62" s="156">
        <f>(SUMIF(LandEmiss!$CN$20:$CN$119,$FG62,LandEmiss!$CT$20:$CT$119)+SUMIF(LandEmiss!$EY$9:$EY$108,$FG62,LandEmiss!$FE$9:$FE$108))*IFERROR($QV$3,0)*(2000/8760)</f>
        <v>0</v>
      </c>
      <c r="NR62" s="155">
        <f>IF(Tank2!$D$22="No control",(SUMIF(Tank2!$E$32:$E$141,$FG62,Tank2!$H$32:$H$141)*(2000/8760)*IFERROR($QV$4,0)),0)</f>
        <v>0</v>
      </c>
      <c r="NS62" s="156">
        <f>SUMIF(LandEmiss!$AE$20:$AE$119,$FG62,LandEmiss!$AL$20:$AL$119)*(2000/8760)*IFERROR($QV$4,0)</f>
        <v>0</v>
      </c>
      <c r="NT62" s="156">
        <f>(SUMIF(LandEmiss!$CN$20:$CN$119,$FG62,LandEmiss!$CU$20:$CU$119)+SUMIF(LandEmiss!$EY$9:$EY$108,$FG62,LandEmiss!$FF$9:$FF$108))*IFERROR($QV$4,0)*(2000/8760)</f>
        <v>0</v>
      </c>
      <c r="NU62" s="155">
        <f>IF(Tank3!$D$22="No control",(SUMIF(Tank3!$E$32:$E$141,$FG62,Tank3!$H$32:$H$141)*(2000/8760)*IFERROR($QV$5,0)),0)</f>
        <v>0</v>
      </c>
      <c r="NV62" s="156">
        <f>SUMIF(LandEmiss!$AE$20:$AE$119,$FG62,LandEmiss!$AM$20:$AM$119)*(2000/8760)*IFERROR($QV$5,0)</f>
        <v>0</v>
      </c>
      <c r="NW62" s="156">
        <f>(SUMIF(LandEmiss!$CN$20:$CN$119,$FG62,LandEmiss!$CV$20:$CV$119)+SUMIF(LandEmiss!$EY$9:$EY$108,$FG62,LandEmiss!$FG$9:$FG$108))*IFERROR($QV$5,0)*(2000/8760)</f>
        <v>0</v>
      </c>
      <c r="NX62" s="155">
        <f>IF(Tank4!$D$22="No control",(SUMIF(Tank4!$E$32:$E$141,$FG62,Tank4!$H$32:$H$141)*(2000/8760)*IFERROR($QV$6,0)),0)</f>
        <v>0</v>
      </c>
      <c r="NY62" s="156">
        <f>SUMIF(LandEmiss!$AE$20:$AE$119,$FG62,LandEmiss!$AN$20:$AN$119)*(2000/8760)*IFERROR($QV$6,0)</f>
        <v>0</v>
      </c>
      <c r="NZ62" s="156">
        <f>(SUMIF(LandEmiss!$CN$20:$CN$119,$FG62,LandEmiss!$CW$20:$CW$119)+SUMIF(LandEmiss!$EY$9:$EY$108,$FG62,LandEmiss!$FH$9:$FH$108))*IFERROR($QV$6,0)*(2000/8760)</f>
        <v>0</v>
      </c>
      <c r="OA62" s="155">
        <f>IF(Tank5!$D$22="No control",(SUMIF(Tank5!$E$32:$E$141,$FG62,Tank5!$H$32:$H$141)*(2000/8760)*IFERROR($QV$7,0)),0)</f>
        <v>0</v>
      </c>
      <c r="OB62" s="156">
        <f>SUMIF(LandEmiss!$AE$20:$AE$119,$FG62,LandEmiss!$AO$20:$AO$119)*(2000/8760)*IFERROR($QV$7,0)</f>
        <v>0</v>
      </c>
      <c r="OC62" s="156">
        <f>(SUMIF(LandEmiss!$CN$20:$CN$119,$FG62,LandEmiss!$CX$20:$CX$119)+SUMIF(LandEmiss!$EY$9:$EY$108,$FG62,LandEmiss!$FI$9:$FI$108))*IFERROR($QV$7,0)*(2000/8760)</f>
        <v>0</v>
      </c>
      <c r="OD62" s="155">
        <f>SUMIFS('Load-DrumTote'!$L$27:$L$136,'Load-DrumTote'!$F$27:$F$136,$FG62)*IFERROR($QV$8,0)*(2000/8760)</f>
        <v>0</v>
      </c>
      <c r="OE62" s="155">
        <f>SUMIFS('Load-Truck'!$L$27:$L$136,'Load-Truck'!$F$27:$F$136,$FG62)*IFERROR($QV$9,0)*(2000/8760)</f>
        <v>0</v>
      </c>
      <c r="OF62" s="155">
        <f>SUMIFS('Load-Rail'!$L$27:$L$136,'Load-Rail'!$F$27:$F$136,$FG62)*IFERROR($QV$10,0)*(2000/8760)</f>
        <v>0</v>
      </c>
      <c r="OG62" s="155">
        <f>SUMIFS('Load-MarineBarge'!$L$27:$L$136,'Load-MarineBarge'!$F$27:$F$136,$FG62)*IFERROR($QV$11,0)*(2000/8760)</f>
        <v>0</v>
      </c>
      <c r="OH62" s="155">
        <f>SUMIFS('Load-MarineShip'!$L$27:$L$136,'Load-MarineShip'!$F$27:$F$136,$FG62)*IFERROR($QV$12,0)*(2000/8760)</f>
        <v>0</v>
      </c>
      <c r="OI62" s="155">
        <f>(IF(OR(Flare!$D$24="FUEL GAS",Flare!$D$38="FUEL GAS"),SUMIF(Flare!$E$97:$E$106,$FG62,Flare!$G$97:$G$105),0)+SUMIF(Flare!$E$107:$E$216,$FG62,Flare!$G$107:$G$216))*(2000/8730)*IFERROR($QV$13,0)</f>
        <v>0</v>
      </c>
      <c r="OJ62" s="155">
        <f>SUMIF(LandEmiss!$A$335:$A$434,$FG62,LandEmiss!$C$335:$C$434)*(2000/8760)*IFERROR($QV$13,0)</f>
        <v>0</v>
      </c>
      <c r="OK62" s="155">
        <f>(SUMIF(LandEmiss!$BJ$335:$BJ$434,$FG62,LandEmiss!$BL$335:$BL$434)+SUMIF(LandEmiss!$DU$323:$DU$422,$FG62,LandEmiss!$DW$323:$DW$422))*(2000/8760)*IFERROR($QV$13,0)</f>
        <v>0</v>
      </c>
      <c r="OL62" s="155">
        <f>(IF(OR(VCU!$D$26="FUEL GAS",VCU!$D$42="FUEL GAS"),SUMIF(VCU!$E$120:$E$129,$FG62,VCU!$G$120:$G$129),0)+SUMIF(VCU!$E$130:$E$239,$FG62,VCU!G190:G299))*(2000/8760)*IFERROR($QV$14,0)</f>
        <v>0</v>
      </c>
      <c r="OM62" s="155">
        <f>SUMIF(LandEmiss!$A$335:$A$434,$FG62,LandEmiss!$E$335:$E$434)*(2000/8760)*IFERROR($QV$14,0)</f>
        <v>0</v>
      </c>
      <c r="ON62" s="155">
        <f>(SUMIF(LandEmiss!$BJ$335:$BJ$434,$FG62,LandEmiss!$BN$335:$BN$434)+SUMIF(LandEmiss!$DU$323:$DU$422,$FG62,LandEmiss!$DY$323:$DY$422))*(2000/8760)*IFERROR($QV$14,0)</f>
        <v>0</v>
      </c>
      <c r="OO62" s="155">
        <f>(IF(VaporOxidizer!$D$33="FUEL GAS",SUMIF(VaporOxidizer!$E$101:$E$110,$FG62,VaporOxidizer!$G$101:$G$110),0)+SUMIF(VaporOxidizer!$E$111:$E$220,$FG62,VaporOxidizer!$G$111:$G$220))*(2000/8760)*IFERROR($QV$15,0)</f>
        <v>0</v>
      </c>
      <c r="OP62" s="155">
        <f>SUMIF(LandEmiss!$A$335:$A$434,$FG62,LandEmiss!$G$335:$G$434)*(2000/8760)*IFERROR($QV$15,0)</f>
        <v>0</v>
      </c>
      <c r="OQ62" s="155">
        <f>(SUMIF(LandEmiss!$BJ$335:$BJ$434,$FG62,LandEmiss!$BP$335:$BP$434)+SUMIF(LandEmiss!$DU$323:$DU$422,$FG62,LandEmiss!$EA$323:$EA$422))*(2000/8760)*IFERROR($QV$15,0)</f>
        <v>0</v>
      </c>
      <c r="OR62" s="155">
        <f>SUMIF(CAS!$E$35:$E$144,Hidden!$FG62,CAS!$I$35:$I$144)*IFERROR($QV$16,0)*(2000/8760)</f>
        <v>0</v>
      </c>
      <c r="OS62" s="155">
        <f>SUMIF(LandEmiss!$A$335:$A$434,$FG62,LandEmiss!$I$335:$I$434)*(2000/8760)*IFERROR($QV$27,0)</f>
        <v>0</v>
      </c>
      <c r="OT62" s="155">
        <f>(SUMIF(LandEmiss!$BJ$335:$BJ$434,$FG62,LandEmiss!$BR$335:$BR$434)+SUMIF(LandEmiss!$DU$323:$DU$422,$FG62,LandEmiss!$EC$323:$EC$422))*(2000/8760)*IFERROR($QV$27,0)</f>
        <v>0</v>
      </c>
      <c r="OU62" s="155">
        <f>SUMIF(LandEmiss!$A$335:$A$434,$FG62,LandEmiss!$K$335:$K$434)*(2000/8760)*IFERROR($QV$26,0)</f>
        <v>0</v>
      </c>
      <c r="OV62" s="155">
        <f>(SUMIF(LandEmiss!$BJ$335:$BJ$434,$FG62,LandEmiss!$BT$335:$BT$434)+SUMIF(LandEmiss!$DU$323:$DU$422,$FG62,LandEmiss!$EE$323:$EE$422))*(2000/8760)*IFERROR($QV$26,0)</f>
        <v>0</v>
      </c>
      <c r="OW62" s="155">
        <f>SUMIF(LandEmiss!$A$335:$A$434,$FG62,LandEmiss!$M$335:$M$434)*(2000/8760)*IFERROR($QV$25,0)</f>
        <v>0</v>
      </c>
      <c r="OX62" s="155">
        <f>(SUMIF(LandEmiss!$BJ$335:$BJ$434,$FG62,LandEmiss!$BV$335:$BV$434)+SUMIF(LandEmiss!$DU$323:$DU$422,$FG62,LandEmiss!$EG$323:$EG$422))*(2000/8760)*IFERROR($QV$25,0)</f>
        <v>0</v>
      </c>
      <c r="OY62" s="8">
        <v>0</v>
      </c>
      <c r="OZ62" s="207">
        <v>0</v>
      </c>
      <c r="PA62" s="207">
        <f>IF(OR(HeaterBoiler1!$E$26&lt;&gt;"fuel gas",HeaterBoiler1!$E$15&lt;&gt;"heater"),0,(SUMIF(HeaterBoiler1!$A$54:$D$63,$FG62,HeaterBoiler1!$J$54:$J$63))*(2000/8760))*IFERROR($QV$19,0)</f>
        <v>0</v>
      </c>
      <c r="PB62" s="207">
        <f>IF(OR(HeaterBoiler2!$E$26&lt;&gt;"fuel gas",HeaterBoiler2!$E$15&lt;&gt;"heater"),0,(SUMIF(HeaterBoiler2!$A$54:$D$63,$FG62,HeaterBoiler2!$J$54:$J$63))*(2000/8760))*IFERROR($QV$21,0)</f>
        <v>0</v>
      </c>
      <c r="PC62" s="207">
        <f>IF(OR(HeaterBoiler1!$E$26&lt;&gt;"fuel gas",HeaterBoiler1!$E$15&lt;&gt;"boiler"),0,(SUMIF(HeaterBoiler1!$A$54:$D$63,$FG62,HeaterBoiler1!$J$54:$J$63))*(2000/8760))*IFERROR($QV$20,0)</f>
        <v>0</v>
      </c>
      <c r="PD62" s="207">
        <f>IF(OR(HeaterBoiler2!$E$26&lt;&gt;"fuel gas",HeaterBoiler2!$E$15&lt;&gt;"boiler"),0,(SUMIF(HeaterBoiler2!$A$54:$D$63,$FG62,HeaterBoiler2!$J$54:$J$63))*(2000/8760))*IFERROR($QV$22,0)</f>
        <v>0</v>
      </c>
      <c r="PE62" s="8">
        <f>(SUMIF(Fug!$A$96:$A$205,$FG62,Fug!$J$96:$J$205))*IFERROR($QV$23,0)*(2000/8760)</f>
        <v>0</v>
      </c>
      <c r="PF62" s="8">
        <f t="shared" si="31"/>
        <v>0</v>
      </c>
      <c r="PG62" s="156">
        <f t="shared" si="32"/>
        <v>0</v>
      </c>
      <c r="PJ62" s="52" t="str">
        <f>IF(Fug!$F$16=Hidden!$PP$2,"Process Drains","")</f>
        <v/>
      </c>
      <c r="PK62" s="52" t="str">
        <f>IF(Fug!$F$16=Hidden!$PP$2,"Heavy Oil &lt;20° API","")</f>
        <v/>
      </c>
      <c r="PL62" s="52"/>
      <c r="PM62" s="52"/>
      <c r="PN62" s="52"/>
      <c r="PO62" s="52"/>
      <c r="PP62" s="52">
        <v>6.8300000000000007E-5</v>
      </c>
      <c r="PQ62" s="52"/>
      <c r="PR62" s="52"/>
      <c r="PS62" s="52"/>
      <c r="PT62" s="52" t="s">
        <v>8800</v>
      </c>
      <c r="PU62" s="52" t="s">
        <v>8780</v>
      </c>
      <c r="PV62" s="52">
        <v>0</v>
      </c>
      <c r="PW62" s="52">
        <v>0</v>
      </c>
      <c r="PX62" s="52">
        <v>0</v>
      </c>
      <c r="PY62" s="52">
        <v>0</v>
      </c>
      <c r="PZ62" s="52">
        <v>0</v>
      </c>
      <c r="QA62" s="52">
        <v>0</v>
      </c>
      <c r="QB62" s="52"/>
      <c r="QC62" s="52"/>
      <c r="QD62" s="52"/>
      <c r="QE62" s="52"/>
      <c r="QF62" s="52"/>
      <c r="QG62" s="52"/>
      <c r="QH62" s="52"/>
      <c r="QI62" s="52"/>
      <c r="QX62" s="91" t="s">
        <v>9339</v>
      </c>
      <c r="QY62" s="92">
        <v>152.6</v>
      </c>
      <c r="QZ62" s="92">
        <v>152.6</v>
      </c>
      <c r="RA62" s="92">
        <v>152.6</v>
      </c>
      <c r="RB62" s="92">
        <v>152.6</v>
      </c>
      <c r="RC62" s="92">
        <v>152.6</v>
      </c>
      <c r="RD62" s="92">
        <v>152.6</v>
      </c>
      <c r="RE62" s="92">
        <v>152.6</v>
      </c>
      <c r="RF62" s="92">
        <v>152.6</v>
      </c>
      <c r="RG62" s="92">
        <v>152.6</v>
      </c>
      <c r="RH62" s="91" t="s">
        <v>9339</v>
      </c>
      <c r="RI62" s="92"/>
      <c r="RJ62" s="92"/>
      <c r="RK62" s="92"/>
      <c r="RL62" s="92"/>
      <c r="RM62" s="92"/>
      <c r="RN62" s="92"/>
      <c r="RO62" s="92"/>
      <c r="RP62" s="92"/>
      <c r="RQ62" s="50"/>
      <c r="RR62" s="91" t="s">
        <v>9339</v>
      </c>
      <c r="RS62" s="92"/>
      <c r="RT62" s="92"/>
      <c r="RU62" s="92"/>
      <c r="RV62" s="92"/>
      <c r="RW62" s="92"/>
      <c r="RX62" s="92"/>
      <c r="RY62" s="92"/>
      <c r="RZ62" s="92"/>
      <c r="SA62" s="50"/>
      <c r="SB62" s="91" t="s">
        <v>9339</v>
      </c>
      <c r="SC62" s="92"/>
      <c r="SD62" s="92"/>
      <c r="SE62" s="92"/>
      <c r="SF62" s="92"/>
      <c r="SG62" s="92"/>
      <c r="SH62" s="92"/>
      <c r="SI62" s="92"/>
      <c r="SJ62" s="92"/>
      <c r="SK62" s="50"/>
      <c r="SL62" s="91" t="s">
        <v>9339</v>
      </c>
      <c r="SM62" s="92">
        <v>2.35</v>
      </c>
      <c r="SN62" s="92">
        <v>2.35</v>
      </c>
      <c r="SO62" s="92">
        <v>2.35</v>
      </c>
      <c r="SP62" s="92">
        <v>2.35</v>
      </c>
      <c r="SQ62" s="92">
        <v>2.35</v>
      </c>
      <c r="SR62" s="92">
        <v>2.35</v>
      </c>
      <c r="SS62" s="92">
        <v>2.35</v>
      </c>
      <c r="ST62" s="92">
        <v>2.35</v>
      </c>
      <c r="SU62" s="92">
        <v>2.35</v>
      </c>
    </row>
    <row r="63" spans="1:515" ht="74.25" customHeight="1" thickBot="1" x14ac:dyDescent="0.25">
      <c r="W63">
        <f>IF(OR(X63=0,ISNUMBER(MATCH(X63,$X$1:X62,0))),0,MAX($W$1:W62)+1)</f>
        <v>0</v>
      </c>
      <c r="X63" s="123">
        <f>Products!$E110</f>
        <v>0</v>
      </c>
      <c r="Y63" t="str">
        <f t="shared" si="39"/>
        <v/>
      </c>
      <c r="CA63">
        <f>IF(OR(CB63=0,ISNUMBER(MATCH(CB63,$CB$1:CB62,0))),0,MAX($CA$1:CA62)+1)</f>
        <v>0</v>
      </c>
      <c r="CB63" s="8">
        <f>IF(OR(Tank1!$D$18="EXTERNAL FLOATING ROOF",Tank1!$D$18="INTERNAL FLOATING ROOF"),IF(Tank1!$E93="",0,Tank1!$E93),0)</f>
        <v>0</v>
      </c>
      <c r="CC63" s="8" t="str">
        <f t="shared" si="40"/>
        <v/>
      </c>
      <c r="CD63" s="8"/>
      <c r="CE63" s="8">
        <f>IF(OR(CF63=0,ISNUMBER(MATCH(CF63,$CF$1:CF62,0))),0,MAX($CE$1:CE62)+1)</f>
        <v>0</v>
      </c>
      <c r="CF63" s="8">
        <f>IF(OR(Tank1!$D$18="HORIZONTAL FIXED ROOF",Tank1!$D$18="VERTICAL FIXED ROOF"),IF(Tank1!$E93="",0,Tank1!$E93),0)</f>
        <v>0</v>
      </c>
      <c r="CG63" s="8" t="str">
        <f t="shared" si="41"/>
        <v/>
      </c>
      <c r="DM63">
        <f>IF(OR(DN63=0,ISNUMBER(MATCH(DN63,$DN$1:DN62,0))),0,MAX($DM$1:DM62)+1)</f>
        <v>0</v>
      </c>
      <c r="DN63">
        <f>IF('Load-Truck'!$F$19="Flare",IFERROR(VLOOKUP(Products!$A$69,'Load-Truck'!$A$27:$B$136,1,FALSE),0),0)</f>
        <v>0</v>
      </c>
      <c r="DO63">
        <f>IF($DN63=0,0,VLOOKUP($DN63,'Load-Truck'!$A$27:$N$136,13,FALSE))</f>
        <v>0</v>
      </c>
      <c r="DP63">
        <f>IF($DN63=0,0,VLOOKUP($DN63,'Load-Truck'!$A$27:$N$136,14,FALSE))</f>
        <v>0</v>
      </c>
      <c r="DU63">
        <f>IF(OR(DV63=0,ISNUMBER(MATCH(DV63,$DV$1:DV62,0))),0,MAX($DU$1:DU62)+1)</f>
        <v>0</v>
      </c>
      <c r="DV63">
        <f>IF('Load-Truck'!$F$19="VCU",IFERROR(VLOOKUP(Products!$A$69,'Load-Truck'!$A$27:$B$136,1,FALSE),0),0)</f>
        <v>0</v>
      </c>
      <c r="DW63">
        <f>IF($DV63=0,0,VLOOKUP($DV63,'Load-Truck'!$A$27:$N$136,13,FALSE))</f>
        <v>0</v>
      </c>
      <c r="DX63">
        <f>IF($DV63=0,0,VLOOKUP($DV63,'Load-Truck'!$A$27:$N$136,14,FALSE))</f>
        <v>0</v>
      </c>
      <c r="EC63">
        <f>IF(OR(ED63=0,ISNUMBER(MATCH(ED63,$ED$1:ED62,0))),0,MAX($EC$1:EC62)+1)</f>
        <v>0</v>
      </c>
      <c r="ED63">
        <f>IF('Load-Truck'!$F$19="vapor oxidizer",IFERROR(VLOOKUP(Products!$A$69,'Load-Truck'!$A$27:$B$136,1,FALSE),0),0)</f>
        <v>0</v>
      </c>
      <c r="EE63">
        <f>IF($ED63=0,0,VLOOKUP($ED63,'Load-Truck'!$A$27:$N$136,13,FALSE))</f>
        <v>0</v>
      </c>
      <c r="EF63">
        <f>IF($ED63=0,0,VLOOKUP($ED63,'Load-Truck'!$A$27:$N$136,14,FALSE))</f>
        <v>0</v>
      </c>
      <c r="EK63">
        <f>IF(OR(EL63=0,ISNUMBER(MATCH(EL63,$EL$1:EL62,0))),0,MAX($EK$1:EK62)+1)</f>
        <v>0</v>
      </c>
      <c r="EL63">
        <f>IF('Load-Truck'!$F$19="CAS",IFERROR(VLOOKUP(Products!A69,'Load-Truck'!$A$27:$B$136,1,FALSE),0),0)</f>
        <v>0</v>
      </c>
      <c r="EM63">
        <f>IF($EL63=0,0,VLOOKUP($EL63,'Load-Truck'!$A$27:$N$136,13,FALSE))</f>
        <v>0</v>
      </c>
      <c r="EN63">
        <f>IF($EL63=0,0,VLOOKUP($EL63,'Load-Truck'!$A$27:$N$136,14,FALSE))</f>
        <v>0</v>
      </c>
      <c r="FB63" s="8" t="s">
        <v>475</v>
      </c>
      <c r="FC63" s="8" t="s">
        <v>476</v>
      </c>
      <c r="FD63" s="8">
        <v>1000</v>
      </c>
      <c r="FE63" s="8">
        <v>100</v>
      </c>
      <c r="FG63" s="360" t="str">
        <f t="shared" si="23"/>
        <v/>
      </c>
      <c r="FH63" s="155">
        <f>IF(Tank1!$D$22="NO CONTROL",_xlfn.MAXIFS(Tank1!$G$32:$G$141,Tank1!$E$32:$E$141,$FG63),0)*IFERROR($QR$3,0)</f>
        <v>0</v>
      </c>
      <c r="FI63" s="155">
        <f>_xlfn.MAXIFS(LandEmiss!$AF$20:$AF$119,LandEmiss!$AE$20:$AE$119,$FG63)*IFERROR($QR$3,0)</f>
        <v>0</v>
      </c>
      <c r="FJ63" s="155">
        <f>MAX(_xlfn.MAXIFS(LandEmiss!$CO$20:$CO$119,LandEmiss!$CN$20:$CN$119,$FG63),_xlfn.MAXIFS(LandEmiss!$EZ$9:$EZ$108,LandEmiss!$EY$9:$EY$108,$FG63))*IFERROR($QR$3,0)</f>
        <v>0</v>
      </c>
      <c r="FK63" s="155">
        <f>IF(Tank2!$D$22="NO CONTROL",_xlfn.MAXIFS(Tank2!$G$32:$G$141,Tank2!$E$32:$E$141,$FG63),0)*IFERROR($QR$4,0)</f>
        <v>0</v>
      </c>
      <c r="FL63" s="155">
        <f>_xlfn.MAXIFS(LandEmiss!$AG$20:$AG$119,LandEmiss!$AE$20:$AE$119,$FG63)*IFERROR($QR$4,0)</f>
        <v>0</v>
      </c>
      <c r="FM63" s="155">
        <f>MAX(_xlfn.MAXIFS(LandEmiss!$CP$20:$CP$119,LandEmiss!$CN$20:$CN$119,$FG63),_xlfn.MAXIFS(LandEmiss!$FA$9:$FA$108,LandEmiss!$EY$9:$EY$108,$FG63))*IFERROR($QR$4,0)</f>
        <v>0</v>
      </c>
      <c r="FN63" s="155">
        <f>IF(Tank3!$D$22="NO CONTROL",_xlfn.MAXIFS(Tank3!$G$32:$G$141,Tank3!$E$32:$E$141,$FG63),0)*IFERROR($QR$5,0)</f>
        <v>0</v>
      </c>
      <c r="FO63" s="155">
        <f>_xlfn.MAXIFS(LandEmiss!$AH$20:$AH$119,LandEmiss!$AE$20:$AE$119,$FG63)*IFERROR($QR$5,0)</f>
        <v>0</v>
      </c>
      <c r="FP63" s="155">
        <f>MAX(_xlfn.MAXIFS(LandEmiss!$CQ$20:$CQ$119,LandEmiss!$CN$20:$CN$119,$FG63),_xlfn.MAXIFS(LandEmiss!$FB$9:$FB$108,LandEmiss!$EY$9:$EY$108,$FG63))*IFERROR($QR$5,0)</f>
        <v>0</v>
      </c>
      <c r="FQ63" s="155">
        <f>IF(Tank4!$D$22="NO CONTROL",_xlfn.MAXIFS(Tank4!$G$32:$G$141,Tank4!$E$32:$E$141,$FG63),0)*IFERROR($QR$6,0)</f>
        <v>0</v>
      </c>
      <c r="FR63" s="155">
        <f>_xlfn.MAXIFS(LandEmiss!$AI$20:$AI$119,LandEmiss!$AE$20:$AE$119,$FG63)*IFERROR($QR$6,0)</f>
        <v>0</v>
      </c>
      <c r="FS63" s="155">
        <f>MAX(_xlfn.MAXIFS(LandEmiss!$CR$20:$CR$119,LandEmiss!$CN$20:$CN$119,$FG63),_xlfn.MAXIFS(LandEmiss!$FC$9:$FC$108,LandEmiss!$EY$9:$EY$108,$FG63))*IFERROR($QR$6,0)</f>
        <v>0</v>
      </c>
      <c r="FT63" s="155">
        <f>IF(Tank5!$D$22="NO CONTROL",_xlfn.MAXIFS(Tank5!$G$32:$G$141,Tank5!$E$32:$E$141,$FG63),0)*IFERROR($QR$7,0)</f>
        <v>0</v>
      </c>
      <c r="FU63" s="155">
        <f>_xlfn.MAXIFS(LandEmiss!$AJ$20:$AJ$119,LandEmiss!$AE$20:$AE$119,$FG63)*IFERROR($QR$7,0)</f>
        <v>0</v>
      </c>
      <c r="FV63" s="155">
        <f>MAX(_xlfn.MAXIFS(LandEmiss!$CS$20:$CS$119,LandEmiss!$CN$20:$CN$119,$FG63),_xlfn.MAXIFS(LandEmiss!$FD$9:$FD$108,LandEmiss!$EY$9:$EY$108,$FG63))*IFERROR($QR68,0)</f>
        <v>0</v>
      </c>
      <c r="FW63" s="155">
        <f>_xlfn.MAXIFS('Load-DrumTote'!$K$27:$K$136,'Load-DrumTote'!$F$27:$F$136,$FG63)*IFERROR($QR$8,0)</f>
        <v>0</v>
      </c>
      <c r="FX63" s="155">
        <f>_xlfn.MAXIFS('Load-Truck'!$K$27:$K$136,'Load-Truck'!$F$27:$F$136,$FG63)*IFERROR($QR$9,0)</f>
        <v>0</v>
      </c>
      <c r="FY63" s="155">
        <f>_xlfn.MAXIFS('Load-Rail'!$K$27:$K$136,'Load-Rail'!$F$27:$F$136,$FG63)*IFERROR($QR$10,0)</f>
        <v>0</v>
      </c>
      <c r="FZ63" s="155">
        <f>_xlfn.MAXIFS('Load-MarineBarge'!$K$27:$K$136,'Load-MarineBarge'!$F$27:$F$136,$FG63)*IFERROR($QR$11,0)</f>
        <v>0</v>
      </c>
      <c r="GA63" s="155">
        <f>_xlfn.MAXIFS('Load-MarineShip'!$K$27:$K$136,'Load-MarineShip'!$F$27:$F$136,$FG63)*IFERROR($QR$12,0)</f>
        <v>0</v>
      </c>
      <c r="GB63" s="313">
        <f>IF(OR(Flare!$D$24="fuel gas",Flare!$D$38="fuel gas"),SUMIF(Flare!$E$97:$E$106,$FG63,Flare!$F$97:$F$106),0)*IFERROR($QR$13,0)</f>
        <v>0</v>
      </c>
      <c r="GC63" s="313">
        <f>(_xlfn.MAXIFS(CtrlDevImpacts!$I$57:$I$156,CtrlDevImpacts!$H$57:$H$156,$FG63))*IFERROR($QR$13,0)</f>
        <v>0</v>
      </c>
      <c r="GD63" s="313">
        <f>(_xlfn.MAXIFS(Flare!$F$107:$F$216,Flare!$E$107:$E$216,$FG63)-_xlfn.MAXIFS(CtrlDevImpacts!$I$57:$I$156,CtrlDevImpacts!$H$57:$H$156,$FG63))*IFERROR($QR$13,0)</f>
        <v>0</v>
      </c>
      <c r="GE63" s="155">
        <f>_xlfn.MAXIFS(LandEmiss!$B$335:$B$434,LandEmiss!$A$335:$A$434,$FG63)*IFERROR($QR$13,0)</f>
        <v>0</v>
      </c>
      <c r="GF63" s="155">
        <f>(_xlfn.MAXIFS(LandEmiss!$BK$335:$BK$434,LandEmiss!$BJ$335:$BJ$434,$FG63)+_xlfn.MAXIFS(LandEmiss!$DV$323:$DV$422,LandEmiss!$DU$323:$DU$422,$FG63))*IFERROR($QR$13,0)</f>
        <v>0</v>
      </c>
      <c r="GG63" s="313">
        <f>IF(OR(VCU!$D$26="fuel gas",VCU!$D$42="fuel gas"),SUMIF(VCU!$E$120:$E$129,$FG63,VCU!$F$120:$F$129),0)*IFERROR($QR$14,0)</f>
        <v>0</v>
      </c>
      <c r="GH63" s="313">
        <f>(_xlfn.MAXIFS(CtrlDevImpacts!$X$57:$X$156,CtrlDevImpacts!$W$57:$W$156,$FG63))*IFERROR($QR$14,0)</f>
        <v>0</v>
      </c>
      <c r="GI63" s="313">
        <f>(_xlfn.MAXIFS(VCU!$F$130:$F$239,VCU!$E$130:$E$239,$FG63)-_xlfn.MAXIFS(CtrlDevImpacts!$X$57:$X$156,CtrlDevImpacts!$W$57:$W$156,$FG63))*IFERROR($QR$14,0)</f>
        <v>0</v>
      </c>
      <c r="GJ63" s="155">
        <f>_xlfn.MAXIFS(LandEmiss!$D$335:$D$434,LandEmiss!$A$335:$A$434,$FG63)*IFERROR($QR$14,0)</f>
        <v>0</v>
      </c>
      <c r="GK63" s="155">
        <f>(_xlfn.MAXIFS(LandEmiss!$BM$335:$BM$434,LandEmiss!$BJ$335:$BJ$434,$FG63)+_xlfn.MAXIFS(LandEmiss!$DX$323:$DX$422,LandEmiss!$DU$323:$DU$422,$FG63))*IFERROR($QR$14,0)</f>
        <v>0</v>
      </c>
      <c r="GL63" s="313">
        <f>IF(VaporOxidizer!D94="FUEL GAS",SUMIF(VaporOxidizer!$E$101:$E$110,$FG63,VaporOxidizer!$F$101:$F$110),0)*IFERROR($QR$15,0)</f>
        <v>0</v>
      </c>
      <c r="GM63" s="313">
        <f>(_xlfn.MAXIFS(CtrlDevImpacts!$AN$57:$AN$156,CtrlDevImpacts!$AM$57:$AM$156,$FG63))*IFERROR($QR$15,0)</f>
        <v>0</v>
      </c>
      <c r="GN63" s="313">
        <f>(_xlfn.MAXIFS(VaporOxidizer!$F$111:$F$220,VaporOxidizer!$E$111:$E$220,$FG63)-_xlfn.MAXIFS(CtrlDevImpacts!$AN$57:$AN$156,CtrlDevImpacts!$AM$57:$AM$156,$FG63))*IFERROR($QR$15,0)</f>
        <v>0</v>
      </c>
      <c r="GO63" s="155">
        <f>_xlfn.MAXIFS(LandEmiss!$F$335:$F$434,LandEmiss!$A$335:$A$434,$FG63)*IFERROR($QR$15,0)</f>
        <v>0</v>
      </c>
      <c r="GP63" s="155">
        <f>(_xlfn.MAXIFS(LandEmiss!$BK$335:$BK$434,LandEmiss!$BO$335:$BO$434,$FG63)+_xlfn.MAXIFS(LandEmiss!$DZ$323:$DZ$422,LandEmiss!$DU$323:$DU$422,$FG63))*IFERROR($QR$15,0)</f>
        <v>0</v>
      </c>
      <c r="GQ63" s="313">
        <f>_xlfn.MAXIFS(CtrlDevImpacts!$BD$57:$BD$156,CtrlDevImpacts!$BC$57:$BC$156,$FG63)*IFERROR(Hidden!$QR$16,0)</f>
        <v>0</v>
      </c>
      <c r="GR63" s="313">
        <f>(_xlfn.MAXIFS(CAS!$H$35:$H$144,CAS!$E$35:$E$144,$FG63)-_xlfn.MAXIFS(CtrlDevImpacts!$BD$57:$BD$156,CtrlDevImpacts!$BC$57:$BC$156,$FG63))*IFERROR(Hidden!$QR$16,0)</f>
        <v>0</v>
      </c>
      <c r="GS63" s="155">
        <f>_xlfn.MAXIFS(LandEmiss!$H$335:$H$434,LandEmiss!$A$335:$A$434,$FG63)*IFERROR($QR$27,0)</f>
        <v>0</v>
      </c>
      <c r="GT63" s="155">
        <f>(_xlfn.MAXIFS(LandEmiss!$BK$335:$BK$434,LandEmiss!$BQ$335:$BQ$434,$FG63)+_xlfn.MAXIFS(LandEmiss!$EB$323:$EB$422,LandEmiss!$DU$323:$DU$422,$FG63))*IFERROR($QR$27,0)</f>
        <v>0</v>
      </c>
      <c r="GU63" s="155">
        <f>_xlfn.MAXIFS(LandEmiss!$J$335:$J$434,LandEmiss!$A$335:$A$434,$FG63)*IFERROR($QR$26,0)</f>
        <v>0</v>
      </c>
      <c r="GV63" s="155">
        <f>(_xlfn.MAXIFS(LandEmiss!$BK$335:$BK$434,LandEmiss!$BS$335:$BS$434,$FG63)+_xlfn.MAXIFS(LandEmiss!$ED$323:$ED$422,LandEmiss!$DU$323:$DU$422,$FG63))*IFERROR($QR$26,0)</f>
        <v>0</v>
      </c>
      <c r="GW63" s="155">
        <f>_xlfn.MAXIFS(LandEmiss!$L$335:$L$434,LandEmiss!$A$335:$A$434,$FG63)*IFERROR($QR$25,0)</f>
        <v>0</v>
      </c>
      <c r="GX63" s="155">
        <f>(_xlfn.MAXIFS(LandEmiss!$BK$335:$BK$434,LandEmiss!$BU$335:$BU$434,$FG63)+_xlfn.MAXIFS(LandEmiss!$EF$323:$EF$422,LandEmiss!$DU$323:$DU$422,$FG63))*IFERROR($QR$25,0)</f>
        <v>0</v>
      </c>
      <c r="GY63" s="155">
        <v>0</v>
      </c>
      <c r="GZ63" s="155">
        <v>0</v>
      </c>
      <c r="HA63" s="155">
        <f>IF(OR(HeaterBoiler1!$E$26&lt;&gt;"fuel gas",HeaterBoiler1!$E$15&lt;&gt;"heater"),0,SUMIF(HeaterBoiler1!$A$54:$D$63,$FG63,HeaterBoiler1!$I$54:$I$63))*IFERROR($QR$19,0)</f>
        <v>0</v>
      </c>
      <c r="HB63" s="207">
        <f>IF(OR(HeaterBoiler2!$E$26&lt;&gt;"fuel gas",HeaterBoiler2!$E$15&lt;&gt;"heater"),0,SUMIF(HeaterBoiler2!$A$54:$D$63,$FG63,HeaterBoiler2!$I$54:$I$63))*IFERROR($QR$21,0)</f>
        <v>0</v>
      </c>
      <c r="HC63" s="155">
        <f>IF(OR(HeaterBoiler1!$E$26&lt;&gt;"fuel gas",HeaterBoiler1!$E$15&lt;&gt;"boiler"),0,SUMIF(HeaterBoiler1!$A$41:$A$50,$FG63,HeaterBoiler1!$F$41:$F$50))*IFERROR($QR$20,0)</f>
        <v>0</v>
      </c>
      <c r="HD63" s="207">
        <f>IF(OR(HeaterBoiler2!$E$26&lt;&gt;"fuel gas",HeaterBoiler2!$E$15&lt;&gt;"boiler"),0,SUMIF(HeaterBoiler2!$A$41:$A$50,$FG63,HeaterBoiler2!$F$41:$F$50))*IFERROR($QR$22,0)</f>
        <v>0</v>
      </c>
      <c r="HE63" s="155">
        <f>SUMIF(Fug!$A$96:$A$205,$FG63,Fug!$I$96:$I$205)*IFERROR(Hidden!$QR$23,0)</f>
        <v>0</v>
      </c>
      <c r="HF63" s="155">
        <f t="shared" si="24"/>
        <v>0</v>
      </c>
      <c r="HG63" s="156">
        <f t="shared" si="25"/>
        <v>0</v>
      </c>
      <c r="HH63" s="156">
        <f t="shared" si="26"/>
        <v>0</v>
      </c>
      <c r="HI63" s="156">
        <f t="shared" si="27"/>
        <v>0</v>
      </c>
      <c r="HJ63" s="156">
        <f t="shared" si="28"/>
        <v>0</v>
      </c>
      <c r="HK63" s="156">
        <f t="shared" si="29"/>
        <v>0</v>
      </c>
      <c r="HL63" s="156">
        <f t="shared" si="30"/>
        <v>0</v>
      </c>
      <c r="NO63" s="155">
        <f>IF(Tank1!$D$22="No control",(SUMIF(Tank1!$E$32:$E$141,$FG63,Tank1!$H$32:$H$141)*(2000/8760)*IFERROR($QV$3,0)),0)</f>
        <v>0</v>
      </c>
      <c r="NP63" s="156">
        <f>SUMIF(LandEmiss!$AE$20:$AE$119,$FG63,LandEmiss!$AK$20:$AK$119)*(2000/8760)*IFERROR($QV$3,0)</f>
        <v>0</v>
      </c>
      <c r="NQ63" s="156">
        <f>(SUMIF(LandEmiss!$CN$20:$CN$119,$FG63,LandEmiss!$CT$20:$CT$119)+SUMIF(LandEmiss!$EY$9:$EY$108,$FG63,LandEmiss!$FE$9:$FE$108))*IFERROR($QV$3,0)*(2000/8760)</f>
        <v>0</v>
      </c>
      <c r="NR63" s="155">
        <f>IF(Tank2!$D$22="No control",(SUMIF(Tank2!$E$32:$E$141,$FG63,Tank2!$H$32:$H$141)*(2000/8760)*IFERROR($QV$4,0)),0)</f>
        <v>0</v>
      </c>
      <c r="NS63" s="156">
        <f>SUMIF(LandEmiss!$AE$20:$AE$119,$FG63,LandEmiss!$AL$20:$AL$119)*(2000/8760)*IFERROR($QV$4,0)</f>
        <v>0</v>
      </c>
      <c r="NT63" s="156">
        <f>(SUMIF(LandEmiss!$CN$20:$CN$119,$FG63,LandEmiss!$CU$20:$CU$119)+SUMIF(LandEmiss!$EY$9:$EY$108,$FG63,LandEmiss!$FF$9:$FF$108))*IFERROR($QV$4,0)*(2000/8760)</f>
        <v>0</v>
      </c>
      <c r="NU63" s="155">
        <f>IF(Tank3!$D$22="No control",(SUMIF(Tank3!$E$32:$E$141,$FG63,Tank3!$H$32:$H$141)*(2000/8760)*IFERROR($QV$5,0)),0)</f>
        <v>0</v>
      </c>
      <c r="NV63" s="156">
        <f>SUMIF(LandEmiss!$AE$20:$AE$119,$FG63,LandEmiss!$AM$20:$AM$119)*(2000/8760)*IFERROR($QV$5,0)</f>
        <v>0</v>
      </c>
      <c r="NW63" s="156">
        <f>(SUMIF(LandEmiss!$CN$20:$CN$119,$FG63,LandEmiss!$CV$20:$CV$119)+SUMIF(LandEmiss!$EY$9:$EY$108,$FG63,LandEmiss!$FG$9:$FG$108))*IFERROR($QV$5,0)*(2000/8760)</f>
        <v>0</v>
      </c>
      <c r="NX63" s="155">
        <f>IF(Tank4!$D$22="No control",(SUMIF(Tank4!$E$32:$E$141,$FG63,Tank4!$H$32:$H$141)*(2000/8760)*IFERROR($QV$6,0)),0)</f>
        <v>0</v>
      </c>
      <c r="NY63" s="156">
        <f>SUMIF(LandEmiss!$AE$20:$AE$119,$FG63,LandEmiss!$AN$20:$AN$119)*(2000/8760)*IFERROR($QV$6,0)</f>
        <v>0</v>
      </c>
      <c r="NZ63" s="156">
        <f>(SUMIF(LandEmiss!$CN$20:$CN$119,$FG63,LandEmiss!$CW$20:$CW$119)+SUMIF(LandEmiss!$EY$9:$EY$108,$FG63,LandEmiss!$FH$9:$FH$108))*IFERROR($QV$6,0)*(2000/8760)</f>
        <v>0</v>
      </c>
      <c r="OA63" s="155">
        <f>IF(Tank5!$D$22="No control",(SUMIF(Tank5!$E$32:$E$141,$FG63,Tank5!$H$32:$H$141)*(2000/8760)*IFERROR($QV$7,0)),0)</f>
        <v>0</v>
      </c>
      <c r="OB63" s="156">
        <f>SUMIF(LandEmiss!$AE$20:$AE$119,$FG63,LandEmiss!$AO$20:$AO$119)*(2000/8760)*IFERROR($QV$7,0)</f>
        <v>0</v>
      </c>
      <c r="OC63" s="156">
        <f>(SUMIF(LandEmiss!$CN$20:$CN$119,$FG63,LandEmiss!$CX$20:$CX$119)+SUMIF(LandEmiss!$EY$9:$EY$108,$FG63,LandEmiss!$FI$9:$FI$108))*IFERROR($QV$7,0)*(2000/8760)</f>
        <v>0</v>
      </c>
      <c r="OD63" s="155">
        <f>SUMIFS('Load-DrumTote'!$L$27:$L$136,'Load-DrumTote'!$F$27:$F$136,$FG63)*IFERROR($QV$8,0)*(2000/8760)</f>
        <v>0</v>
      </c>
      <c r="OE63" s="155">
        <f>SUMIFS('Load-Truck'!$L$27:$L$136,'Load-Truck'!$F$27:$F$136,$FG63)*IFERROR($QV$9,0)*(2000/8760)</f>
        <v>0</v>
      </c>
      <c r="OF63" s="155">
        <f>SUMIFS('Load-Rail'!$L$27:$L$136,'Load-Rail'!$F$27:$F$136,$FG63)*IFERROR($QV$10,0)*(2000/8760)</f>
        <v>0</v>
      </c>
      <c r="OG63" s="155">
        <f>SUMIFS('Load-MarineBarge'!$L$27:$L$136,'Load-MarineBarge'!$F$27:$F$136,$FG63)*IFERROR($QV$11,0)*(2000/8760)</f>
        <v>0</v>
      </c>
      <c r="OH63" s="155">
        <f>SUMIFS('Load-MarineShip'!$L$27:$L$136,'Load-MarineShip'!$F$27:$F$136,$FG63)*IFERROR($QV$12,0)*(2000/8760)</f>
        <v>0</v>
      </c>
      <c r="OI63" s="155">
        <f>(IF(OR(Flare!$D$24="FUEL GAS",Flare!$D$38="FUEL GAS"),SUMIF(Flare!$E$97:$E$106,$FG63,Flare!$G$97:$G$105),0)+SUMIF(Flare!$E$107:$E$216,$FG63,Flare!$G$107:$G$216))*(2000/8730)*IFERROR($QV$13,0)</f>
        <v>0</v>
      </c>
      <c r="OJ63" s="155">
        <f>SUMIF(LandEmiss!$A$335:$A$434,$FG63,LandEmiss!$C$335:$C$434)*(2000/8760)*IFERROR($QV$13,0)</f>
        <v>0</v>
      </c>
      <c r="OK63" s="155">
        <f>(SUMIF(LandEmiss!$BJ$335:$BJ$434,$FG63,LandEmiss!$BL$335:$BL$434)+SUMIF(LandEmiss!$DU$323:$DU$422,$FG63,LandEmiss!$DW$323:$DW$422))*(2000/8760)*IFERROR($QV$13,0)</f>
        <v>0</v>
      </c>
      <c r="OL63" s="155">
        <f>(IF(OR(VCU!$D$26="FUEL GAS",VCU!$D$42="FUEL GAS"),SUMIF(VCU!$E$120:$E$129,$FG63,VCU!$G$120:$G$129),0)+SUMIF(VCU!$E$130:$E$239,$FG63,VCU!G191:G300))*(2000/8760)*IFERROR($QV$14,0)</f>
        <v>0</v>
      </c>
      <c r="OM63" s="155">
        <f>SUMIF(LandEmiss!$A$335:$A$434,$FG63,LandEmiss!$E$335:$E$434)*(2000/8760)*IFERROR($QV$14,0)</f>
        <v>0</v>
      </c>
      <c r="ON63" s="155">
        <f>(SUMIF(LandEmiss!$BJ$335:$BJ$434,$FG63,LandEmiss!$BN$335:$BN$434)+SUMIF(LandEmiss!$DU$323:$DU$422,$FG63,LandEmiss!$DY$323:$DY$422))*(2000/8760)*IFERROR($QV$14,0)</f>
        <v>0</v>
      </c>
      <c r="OO63" s="155">
        <f>(IF(VaporOxidizer!$D$33="FUEL GAS",SUMIF(VaporOxidizer!$E$101:$E$110,$FG63,VaporOxidizer!$G$101:$G$110),0)+SUMIF(VaporOxidizer!$E$111:$E$220,$FG63,VaporOxidizer!$G$111:$G$220))*(2000/8760)*IFERROR($QV$15,0)</f>
        <v>0</v>
      </c>
      <c r="OP63" s="155">
        <f>SUMIF(LandEmiss!$A$335:$A$434,$FG63,LandEmiss!$G$335:$G$434)*(2000/8760)*IFERROR($QV$15,0)</f>
        <v>0</v>
      </c>
      <c r="OQ63" s="155">
        <f>(SUMIF(LandEmiss!$BJ$335:$BJ$434,$FG63,LandEmiss!$BP$335:$BP$434)+SUMIF(LandEmiss!$DU$323:$DU$422,$FG63,LandEmiss!$EA$323:$EA$422))*(2000/8760)*IFERROR($QV$15,0)</f>
        <v>0</v>
      </c>
      <c r="OR63" s="155">
        <f>SUMIF(CAS!$E$35:$E$144,Hidden!$FG63,CAS!$I$35:$I$144)*IFERROR($QV$16,0)*(2000/8760)</f>
        <v>0</v>
      </c>
      <c r="OS63" s="155">
        <f>SUMIF(LandEmiss!$A$335:$A$434,$FG63,LandEmiss!$I$335:$I$434)*(2000/8760)*IFERROR($QV$27,0)</f>
        <v>0</v>
      </c>
      <c r="OT63" s="155">
        <f>(SUMIF(LandEmiss!$BJ$335:$BJ$434,$FG63,LandEmiss!$BR$335:$BR$434)+SUMIF(LandEmiss!$DU$323:$DU$422,$FG63,LandEmiss!$EC$323:$EC$422))*(2000/8760)*IFERROR($QV$27,0)</f>
        <v>0</v>
      </c>
      <c r="OU63" s="155">
        <f>SUMIF(LandEmiss!$A$335:$A$434,$FG63,LandEmiss!$K$335:$K$434)*(2000/8760)*IFERROR($QV$26,0)</f>
        <v>0</v>
      </c>
      <c r="OV63" s="155">
        <f>(SUMIF(LandEmiss!$BJ$335:$BJ$434,$FG63,LandEmiss!$BT$335:$BT$434)+SUMIF(LandEmiss!$DU$323:$DU$422,$FG63,LandEmiss!$EE$323:$EE$422))*(2000/8760)*IFERROR($QV$26,0)</f>
        <v>0</v>
      </c>
      <c r="OW63" s="155">
        <f>SUMIF(LandEmiss!$A$335:$A$434,$FG63,LandEmiss!$M$335:$M$434)*(2000/8760)*IFERROR($QV$25,0)</f>
        <v>0</v>
      </c>
      <c r="OX63" s="155">
        <f>(SUMIF(LandEmiss!$BJ$335:$BJ$434,$FG63,LandEmiss!$BV$335:$BV$434)+SUMIF(LandEmiss!$DU$323:$DU$422,$FG63,LandEmiss!$EG$323:$EG$422))*(2000/8760)*IFERROR($QV$25,0)</f>
        <v>0</v>
      </c>
      <c r="OY63" s="8">
        <v>0</v>
      </c>
      <c r="OZ63" s="207">
        <v>0</v>
      </c>
      <c r="PA63" s="207">
        <f>IF(OR(HeaterBoiler1!$E$26&lt;&gt;"fuel gas",HeaterBoiler1!$E$15&lt;&gt;"heater"),0,(SUMIF(HeaterBoiler1!$A$54:$D$63,$FG63,HeaterBoiler1!$J$54:$J$63))*(2000/8760))*IFERROR($QV$19,0)</f>
        <v>0</v>
      </c>
      <c r="PB63" s="207">
        <f>IF(OR(HeaterBoiler2!$E$26&lt;&gt;"fuel gas",HeaterBoiler2!$E$15&lt;&gt;"heater"),0,(SUMIF(HeaterBoiler2!$A$54:$D$63,$FG63,HeaterBoiler2!$J$54:$J$63))*(2000/8760))*IFERROR($QV$21,0)</f>
        <v>0</v>
      </c>
      <c r="PC63" s="207">
        <f>IF(OR(HeaterBoiler1!$E$26&lt;&gt;"fuel gas",HeaterBoiler1!$E$15&lt;&gt;"boiler"),0,(SUMIF(HeaterBoiler1!$A$54:$D$63,$FG63,HeaterBoiler1!$J$54:$J$63))*(2000/8760))*IFERROR($QV$20,0)</f>
        <v>0</v>
      </c>
      <c r="PD63" s="207">
        <f>IF(OR(HeaterBoiler2!$E$26&lt;&gt;"fuel gas",HeaterBoiler2!$E$15&lt;&gt;"boiler"),0,(SUMIF(HeaterBoiler2!$A$54:$D$63,$FG63,HeaterBoiler2!$J$54:$J$63))*(2000/8760))*IFERROR($QV$22,0)</f>
        <v>0</v>
      </c>
      <c r="PE63" s="8">
        <f>(SUMIF(Fug!$A$96:$A$205,$FG63,Fug!$J$96:$J$205))*IFERROR($QV$23,0)*(2000/8760)</f>
        <v>0</v>
      </c>
      <c r="PF63" s="8">
        <f t="shared" si="31"/>
        <v>0</v>
      </c>
      <c r="PG63" s="156">
        <f t="shared" si="32"/>
        <v>0</v>
      </c>
      <c r="PJ63" s="52" t="str">
        <f>IF(Fug!$F$16=Hidden!$PP$2,"Process Drains","")</f>
        <v/>
      </c>
      <c r="PK63" s="52" t="str">
        <f>IF(Fug!$F$16=Hidden!$PP$2,"Light Oil &gt;20°","")</f>
        <v/>
      </c>
      <c r="PL63" s="52"/>
      <c r="PM63" s="52"/>
      <c r="PN63" s="52"/>
      <c r="PO63" s="52"/>
      <c r="PP63" s="52">
        <v>1.6500000000000001E-2</v>
      </c>
      <c r="PQ63" s="52"/>
      <c r="PR63" s="52"/>
      <c r="PS63" s="52"/>
      <c r="PT63" s="52" t="s">
        <v>8800</v>
      </c>
      <c r="PU63" s="52" t="s">
        <v>8781</v>
      </c>
      <c r="PV63" s="52">
        <v>0</v>
      </c>
      <c r="PW63" s="52">
        <v>0</v>
      </c>
      <c r="PX63" s="52">
        <v>0</v>
      </c>
      <c r="PY63" s="52">
        <v>0</v>
      </c>
      <c r="PZ63" s="52">
        <v>0</v>
      </c>
      <c r="QA63" s="52">
        <v>0</v>
      </c>
      <c r="QB63" s="52"/>
      <c r="QC63" s="52"/>
      <c r="QD63" s="52"/>
      <c r="QE63" s="52"/>
      <c r="QF63" s="52"/>
      <c r="QG63" s="52"/>
      <c r="QH63" s="52"/>
      <c r="QI63" s="52"/>
      <c r="QX63" s="634" t="s">
        <v>9342</v>
      </c>
      <c r="QY63" s="635"/>
      <c r="QZ63" s="635"/>
      <c r="RA63" s="635"/>
      <c r="RB63" s="635"/>
      <c r="RC63" s="635"/>
      <c r="RD63" s="635"/>
      <c r="RE63" s="635"/>
      <c r="RF63" s="635"/>
      <c r="RG63" s="635"/>
      <c r="RH63" s="635"/>
      <c r="RI63" s="635"/>
      <c r="RJ63" s="635"/>
      <c r="RK63" s="635"/>
      <c r="RL63" s="635"/>
      <c r="RM63" s="635"/>
      <c r="RN63" s="635"/>
      <c r="RO63" s="635"/>
      <c r="RP63" s="635"/>
      <c r="RQ63" s="635"/>
      <c r="RR63" s="635"/>
      <c r="RS63" s="635"/>
      <c r="RT63" s="635"/>
      <c r="RU63" s="635"/>
      <c r="RV63" s="635"/>
      <c r="RW63" s="635"/>
      <c r="RX63" s="635"/>
      <c r="RY63" s="635"/>
      <c r="RZ63" s="635"/>
      <c r="SA63" s="635"/>
      <c r="SB63" s="635"/>
      <c r="SC63" s="635"/>
      <c r="SD63" s="635"/>
      <c r="SE63" s="635"/>
      <c r="SF63" s="635"/>
      <c r="SG63" s="635"/>
      <c r="SH63" s="635"/>
      <c r="SI63" s="635"/>
      <c r="SJ63" s="635"/>
      <c r="SK63" s="635"/>
      <c r="SL63" s="635"/>
      <c r="SM63" s="635"/>
      <c r="SN63" s="635"/>
      <c r="SO63" s="635"/>
      <c r="SP63" s="635"/>
      <c r="SQ63" s="635"/>
      <c r="SR63" s="635"/>
      <c r="SS63" s="635"/>
      <c r="ST63" s="635"/>
      <c r="SU63" s="636"/>
    </row>
    <row r="64" spans="1:515" ht="74.25" customHeight="1" x14ac:dyDescent="0.2">
      <c r="W64">
        <f>IF(OR(X64=0,ISNUMBER(MATCH(X64,$X$1:X63,0))),0,MAX($W$1:W63)+1)</f>
        <v>0</v>
      </c>
      <c r="X64" s="123">
        <f>Products!$E111</f>
        <v>0</v>
      </c>
      <c r="Y64" t="str">
        <f t="shared" si="39"/>
        <v/>
      </c>
      <c r="CA64">
        <f>IF(OR(CB64=0,ISNUMBER(MATCH(CB64,$CB$1:CB63,0))),0,MAX($CA$1:CA63)+1)</f>
        <v>0</v>
      </c>
      <c r="CB64" s="8">
        <f>IF(OR(Tank1!$D$18="EXTERNAL FLOATING ROOF",Tank1!$D$18="INTERNAL FLOATING ROOF"),IF(Tank1!$E94="",0,Tank1!$E94),0)</f>
        <v>0</v>
      </c>
      <c r="CC64" s="8" t="str">
        <f t="shared" si="40"/>
        <v/>
      </c>
      <c r="CD64" s="8"/>
      <c r="CE64" s="8">
        <f>IF(OR(CF64=0,ISNUMBER(MATCH(CF64,$CF$1:CF63,0))),0,MAX($CE$1:CE63)+1)</f>
        <v>0</v>
      </c>
      <c r="CF64" s="8">
        <f>IF(OR(Tank1!$D$18="HORIZONTAL FIXED ROOF",Tank1!$D$18="VERTICAL FIXED ROOF"),IF(Tank1!$E94="",0,Tank1!$E94),0)</f>
        <v>0</v>
      </c>
      <c r="CG64" s="8" t="str">
        <f t="shared" si="41"/>
        <v/>
      </c>
      <c r="DM64">
        <f>IF(OR(DN64=0,ISNUMBER(MATCH(DN64,$DN$1:DN63,0))),0,MAX($DM$1:DM63)+1)</f>
        <v>0</v>
      </c>
      <c r="DN64">
        <f>IF('Load-Truck'!$F$19="Flare",IFERROR(VLOOKUP(Products!$A$79,'Load-Truck'!$A$27:$B$136,1,FALSE),0),0)</f>
        <v>0</v>
      </c>
      <c r="DO64">
        <f>IF($DN64=0,0,VLOOKUP($DN64,'Load-Truck'!$A$27:$N$136,13,FALSE))</f>
        <v>0</v>
      </c>
      <c r="DP64">
        <f>IF($DN64=0,0,VLOOKUP($DN64,'Load-Truck'!$A$27:$N$136,14,FALSE))</f>
        <v>0</v>
      </c>
      <c r="DU64">
        <f>IF(OR(DV64=0,ISNUMBER(MATCH(DV64,$DV$1:DV63,0))),0,MAX($DU$1:DU63)+1)</f>
        <v>0</v>
      </c>
      <c r="DV64">
        <f>IF('Load-Truck'!$F$19="VCU",IFERROR(VLOOKUP(Products!$A$79,'Load-Truck'!$A$27:$B$136,1,FALSE),0),0)</f>
        <v>0</v>
      </c>
      <c r="DW64">
        <f>IF($DV64=0,0,VLOOKUP($DV64,'Load-Truck'!$A$27:$N$136,13,FALSE))</f>
        <v>0</v>
      </c>
      <c r="DX64">
        <f>IF($DV64=0,0,VLOOKUP($DV64,'Load-Truck'!$A$27:$N$136,14,FALSE))</f>
        <v>0</v>
      </c>
      <c r="EC64">
        <f>IF(OR(ED64=0,ISNUMBER(MATCH(ED64,$ED$1:ED63,0))),0,MAX($EC$1:EC63)+1)</f>
        <v>0</v>
      </c>
      <c r="ED64">
        <f>IF('Load-Truck'!$F$19="vapor oxidizer",IFERROR(VLOOKUP(Products!$A$79,'Load-Truck'!$A$27:$B$136,1,FALSE),0),0)</f>
        <v>0</v>
      </c>
      <c r="EE64">
        <f>IF($ED64=0,0,VLOOKUP($ED64,'Load-Truck'!$A$27:$N$136,13,FALSE))</f>
        <v>0</v>
      </c>
      <c r="EF64">
        <f>IF($ED64=0,0,VLOOKUP($ED64,'Load-Truck'!$A$27:$N$136,14,FALSE))</f>
        <v>0</v>
      </c>
      <c r="EK64">
        <f>IF(OR(EL64=0,ISNUMBER(MATCH(EL64,$EL$1:EL63,0))),0,MAX($EK$1:EK63)+1)</f>
        <v>0</v>
      </c>
      <c r="EL64">
        <f>IF('Load-Truck'!$F$19="CAS",IFERROR(VLOOKUP(Products!A79,'Load-Truck'!$A$27:$B$136,1,FALSE),0),0)</f>
        <v>0</v>
      </c>
      <c r="EM64">
        <f>IF($EL64=0,0,VLOOKUP($EL64,'Load-Truck'!$A$27:$N$136,13,FALSE))</f>
        <v>0</v>
      </c>
      <c r="EN64">
        <f>IF($EL64=0,0,VLOOKUP($EL64,'Load-Truck'!$A$27:$N$136,14,FALSE))</f>
        <v>0</v>
      </c>
      <c r="FB64" s="8" t="s">
        <v>477</v>
      </c>
      <c r="FC64" s="8" t="s">
        <v>478</v>
      </c>
      <c r="FD64" s="8">
        <v>21</v>
      </c>
      <c r="FE64" s="8">
        <v>2.1</v>
      </c>
      <c r="FG64" s="360" t="str">
        <f t="shared" si="23"/>
        <v/>
      </c>
      <c r="FH64" s="155">
        <f>IF(Tank1!$D$22="NO CONTROL",_xlfn.MAXIFS(Tank1!$G$32:$G$141,Tank1!$E$32:$E$141,$FG64),0)*IFERROR($QR$3,0)</f>
        <v>0</v>
      </c>
      <c r="FI64" s="155">
        <f>_xlfn.MAXIFS(LandEmiss!$AF$20:$AF$119,LandEmiss!$AE$20:$AE$119,$FG64)*IFERROR($QR$3,0)</f>
        <v>0</v>
      </c>
      <c r="FJ64" s="155">
        <f>MAX(_xlfn.MAXIFS(LandEmiss!$CO$20:$CO$119,LandEmiss!$CN$20:$CN$119,$FG64),_xlfn.MAXIFS(LandEmiss!$EZ$9:$EZ$108,LandEmiss!$EY$9:$EY$108,$FG64))*IFERROR($QR$3,0)</f>
        <v>0</v>
      </c>
      <c r="FK64" s="155">
        <f>IF(Tank2!$D$22="NO CONTROL",_xlfn.MAXIFS(Tank2!$G$32:$G$141,Tank2!$E$32:$E$141,$FG64),0)*IFERROR($QR$4,0)</f>
        <v>0</v>
      </c>
      <c r="FL64" s="155">
        <f>_xlfn.MAXIFS(LandEmiss!$AG$20:$AG$119,LandEmiss!$AE$20:$AE$119,$FG64)*IFERROR($QR$4,0)</f>
        <v>0</v>
      </c>
      <c r="FM64" s="155">
        <f>MAX(_xlfn.MAXIFS(LandEmiss!$CP$20:$CP$119,LandEmiss!$CN$20:$CN$119,$FG64),_xlfn.MAXIFS(LandEmiss!$FA$9:$FA$108,LandEmiss!$EY$9:$EY$108,$FG64))*IFERROR($QR$4,0)</f>
        <v>0</v>
      </c>
      <c r="FN64" s="155">
        <f>IF(Tank3!$D$22="NO CONTROL",_xlfn.MAXIFS(Tank3!$G$32:$G$141,Tank3!$E$32:$E$141,$FG64),0)*IFERROR($QR$5,0)</f>
        <v>0</v>
      </c>
      <c r="FO64" s="155">
        <f>_xlfn.MAXIFS(LandEmiss!$AH$20:$AH$119,LandEmiss!$AE$20:$AE$119,$FG64)*IFERROR($QR$5,0)</f>
        <v>0</v>
      </c>
      <c r="FP64" s="155">
        <f>MAX(_xlfn.MAXIFS(LandEmiss!$CQ$20:$CQ$119,LandEmiss!$CN$20:$CN$119,$FG64),_xlfn.MAXIFS(LandEmiss!$FB$9:$FB$108,LandEmiss!$EY$9:$EY$108,$FG64))*IFERROR($QR$5,0)</f>
        <v>0</v>
      </c>
      <c r="FQ64" s="155">
        <f>IF(Tank4!$D$22="NO CONTROL",_xlfn.MAXIFS(Tank4!$G$32:$G$141,Tank4!$E$32:$E$141,$FG64),0)*IFERROR($QR$6,0)</f>
        <v>0</v>
      </c>
      <c r="FR64" s="155">
        <f>_xlfn.MAXIFS(LandEmiss!$AI$20:$AI$119,LandEmiss!$AE$20:$AE$119,$FG64)*IFERROR($QR$6,0)</f>
        <v>0</v>
      </c>
      <c r="FS64" s="155">
        <f>MAX(_xlfn.MAXIFS(LandEmiss!$CR$20:$CR$119,LandEmiss!$CN$20:$CN$119,$FG64),_xlfn.MAXIFS(LandEmiss!$FC$9:$FC$108,LandEmiss!$EY$9:$EY$108,$FG64))*IFERROR($QR$6,0)</f>
        <v>0</v>
      </c>
      <c r="FT64" s="155">
        <f>IF(Tank5!$D$22="NO CONTROL",_xlfn.MAXIFS(Tank5!$G$32:$G$141,Tank5!$E$32:$E$141,$FG64),0)*IFERROR($QR$7,0)</f>
        <v>0</v>
      </c>
      <c r="FU64" s="155">
        <f>_xlfn.MAXIFS(LandEmiss!$AJ$20:$AJ$119,LandEmiss!$AE$20:$AE$119,$FG64)*IFERROR($QR$7,0)</f>
        <v>0</v>
      </c>
      <c r="FV64" s="155">
        <f>MAX(_xlfn.MAXIFS(LandEmiss!$CS$20:$CS$119,LandEmiss!$CN$20:$CN$119,$FG64),_xlfn.MAXIFS(LandEmiss!$FD$9:$FD$108,LandEmiss!$EY$9:$EY$108,$FG64))*IFERROR($QR69,0)</f>
        <v>0</v>
      </c>
      <c r="FW64" s="155">
        <f>_xlfn.MAXIFS('Load-DrumTote'!$K$27:$K$136,'Load-DrumTote'!$F$27:$F$136,$FG64)*IFERROR($QR$8,0)</f>
        <v>0</v>
      </c>
      <c r="FX64" s="155">
        <f>_xlfn.MAXIFS('Load-Truck'!$K$27:$K$136,'Load-Truck'!$F$27:$F$136,$FG64)*IFERROR($QR$9,0)</f>
        <v>0</v>
      </c>
      <c r="FY64" s="155">
        <f>_xlfn.MAXIFS('Load-Rail'!$K$27:$K$136,'Load-Rail'!$F$27:$F$136,$FG64)*IFERROR($QR$10,0)</f>
        <v>0</v>
      </c>
      <c r="FZ64" s="155">
        <f>_xlfn.MAXIFS('Load-MarineBarge'!$K$27:$K$136,'Load-MarineBarge'!$F$27:$F$136,$FG64)*IFERROR($QR$11,0)</f>
        <v>0</v>
      </c>
      <c r="GA64" s="155">
        <f>_xlfn.MAXIFS('Load-MarineShip'!$K$27:$K$136,'Load-MarineShip'!$F$27:$F$136,$FG64)*IFERROR($QR$12,0)</f>
        <v>0</v>
      </c>
      <c r="GB64" s="313">
        <f>IF(OR(Flare!$D$24="fuel gas",Flare!$D$38="fuel gas"),SUMIF(Flare!$E$97:$E$106,$FG64,Flare!$F$97:$F$106),0)*IFERROR($QR$13,0)</f>
        <v>0</v>
      </c>
      <c r="GC64" s="313">
        <f>(_xlfn.MAXIFS(CtrlDevImpacts!$I$57:$I$156,CtrlDevImpacts!$H$57:$H$156,$FG64))*IFERROR($QR$13,0)</f>
        <v>0</v>
      </c>
      <c r="GD64" s="313">
        <f>(_xlfn.MAXIFS(Flare!$F$107:$F$216,Flare!$E$107:$E$216,$FG64)-_xlfn.MAXIFS(CtrlDevImpacts!$I$57:$I$156,CtrlDevImpacts!$H$57:$H$156,$FG64))*IFERROR($QR$13,0)</f>
        <v>0</v>
      </c>
      <c r="GE64" s="155">
        <f>_xlfn.MAXIFS(LandEmiss!$B$335:$B$434,LandEmiss!$A$335:$A$434,$FG64)*IFERROR($QR$13,0)</f>
        <v>0</v>
      </c>
      <c r="GF64" s="155">
        <f>(_xlfn.MAXIFS(LandEmiss!$BK$335:$BK$434,LandEmiss!$BJ$335:$BJ$434,$FG64)+_xlfn.MAXIFS(LandEmiss!$DV$323:$DV$422,LandEmiss!$DU$323:$DU$422,$FG64))*IFERROR($QR$13,0)</f>
        <v>0</v>
      </c>
      <c r="GG64" s="313">
        <f>IF(OR(VCU!$D$26="fuel gas",VCU!$D$42="fuel gas"),SUMIF(VCU!$E$120:$E$129,$FG64,VCU!$F$120:$F$129),0)*IFERROR($QR$14,0)</f>
        <v>0</v>
      </c>
      <c r="GH64" s="313">
        <f>(_xlfn.MAXIFS(CtrlDevImpacts!$X$57:$X$156,CtrlDevImpacts!$W$57:$W$156,$FG64))*IFERROR($QR$14,0)</f>
        <v>0</v>
      </c>
      <c r="GI64" s="313">
        <f>(_xlfn.MAXIFS(VCU!$F$130:$F$239,VCU!$E$130:$E$239,$FG64)-_xlfn.MAXIFS(CtrlDevImpacts!$X$57:$X$156,CtrlDevImpacts!$W$57:$W$156,$FG64))*IFERROR($QR$14,0)</f>
        <v>0</v>
      </c>
      <c r="GJ64" s="155">
        <f>_xlfn.MAXIFS(LandEmiss!$D$335:$D$434,LandEmiss!$A$335:$A$434,$FG64)*IFERROR($QR$14,0)</f>
        <v>0</v>
      </c>
      <c r="GK64" s="155">
        <f>(_xlfn.MAXIFS(LandEmiss!$BM$335:$BM$434,LandEmiss!$BJ$335:$BJ$434,$FG64)+_xlfn.MAXIFS(LandEmiss!$DX$323:$DX$422,LandEmiss!$DU$323:$DU$422,$FG64))*IFERROR($QR$14,0)</f>
        <v>0</v>
      </c>
      <c r="GL64" s="313">
        <f>IF(VaporOxidizer!D95="FUEL GAS",SUMIF(VaporOxidizer!$E$101:$E$110,$FG64,VaporOxidizer!$F$101:$F$110),0)*IFERROR($QR$15,0)</f>
        <v>0</v>
      </c>
      <c r="GM64" s="313">
        <f>(_xlfn.MAXIFS(CtrlDevImpacts!$AN$57:$AN$156,CtrlDevImpacts!$AM$57:$AM$156,$FG64))*IFERROR($QR$15,0)</f>
        <v>0</v>
      </c>
      <c r="GN64" s="313">
        <f>(_xlfn.MAXIFS(VaporOxidizer!$F$111:$F$220,VaporOxidizer!$E$111:$E$220,$FG64)-_xlfn.MAXIFS(CtrlDevImpacts!$AN$57:$AN$156,CtrlDevImpacts!$AM$57:$AM$156,$FG64))*IFERROR($QR$15,0)</f>
        <v>0</v>
      </c>
      <c r="GO64" s="155">
        <f>_xlfn.MAXIFS(LandEmiss!$F$335:$F$434,LandEmiss!$A$335:$A$434,$FG64)*IFERROR($QR$15,0)</f>
        <v>0</v>
      </c>
      <c r="GP64" s="155">
        <f>(_xlfn.MAXIFS(LandEmiss!$BK$335:$BK$434,LandEmiss!$BO$335:$BO$434,$FG64)+_xlfn.MAXIFS(LandEmiss!$DZ$323:$DZ$422,LandEmiss!$DU$323:$DU$422,$FG64))*IFERROR($QR$15,0)</f>
        <v>0</v>
      </c>
      <c r="GQ64" s="313">
        <f>_xlfn.MAXIFS(CtrlDevImpacts!$BD$57:$BD$156,CtrlDevImpacts!$BC$57:$BC$156,$FG64)*IFERROR(Hidden!$QR$16,0)</f>
        <v>0</v>
      </c>
      <c r="GR64" s="313">
        <f>(_xlfn.MAXIFS(CAS!$H$35:$H$144,CAS!$E$35:$E$144,$FG64)-_xlfn.MAXIFS(CtrlDevImpacts!$BD$57:$BD$156,CtrlDevImpacts!$BC$57:$BC$156,$FG64))*IFERROR(Hidden!$QR$16,0)</f>
        <v>0</v>
      </c>
      <c r="GS64" s="155">
        <f>_xlfn.MAXIFS(LandEmiss!$H$335:$H$434,LandEmiss!$A$335:$A$434,$FG64)*IFERROR($QR$27,0)</f>
        <v>0</v>
      </c>
      <c r="GT64" s="155">
        <f>(_xlfn.MAXIFS(LandEmiss!$BK$335:$BK$434,LandEmiss!$BQ$335:$BQ$434,$FG64)+_xlfn.MAXIFS(LandEmiss!$EB$323:$EB$422,LandEmiss!$DU$323:$DU$422,$FG64))*IFERROR($QR$27,0)</f>
        <v>0</v>
      </c>
      <c r="GU64" s="155">
        <f>_xlfn.MAXIFS(LandEmiss!$J$335:$J$434,LandEmiss!$A$335:$A$434,$FG64)*IFERROR($QR$26,0)</f>
        <v>0</v>
      </c>
      <c r="GV64" s="155">
        <f>(_xlfn.MAXIFS(LandEmiss!$BK$335:$BK$434,LandEmiss!$BS$335:$BS$434,$FG64)+_xlfn.MAXIFS(LandEmiss!$ED$323:$ED$422,LandEmiss!$DU$323:$DU$422,$FG64))*IFERROR($QR$26,0)</f>
        <v>0</v>
      </c>
      <c r="GW64" s="155">
        <f>_xlfn.MAXIFS(LandEmiss!$L$335:$L$434,LandEmiss!$A$335:$A$434,$FG64)*IFERROR($QR$25,0)</f>
        <v>0</v>
      </c>
      <c r="GX64" s="155">
        <f>(_xlfn.MAXIFS(LandEmiss!$BK$335:$BK$434,LandEmiss!$BU$335:$BU$434,$FG64)+_xlfn.MAXIFS(LandEmiss!$EF$323:$EF$422,LandEmiss!$DU$323:$DU$422,$FG64))*IFERROR($QR$25,0)</f>
        <v>0</v>
      </c>
      <c r="GY64" s="155">
        <v>0</v>
      </c>
      <c r="GZ64" s="155">
        <v>0</v>
      </c>
      <c r="HA64" s="155">
        <f>IF(OR(HeaterBoiler1!$E$26&lt;&gt;"fuel gas",HeaterBoiler1!$E$15&lt;&gt;"heater"),0,SUMIF(HeaterBoiler1!$A$54:$D$63,$FG64,HeaterBoiler1!$I$54:$I$63))*IFERROR($QR$19,0)</f>
        <v>0</v>
      </c>
      <c r="HB64" s="207">
        <f>IF(OR(HeaterBoiler2!$E$26&lt;&gt;"fuel gas",HeaterBoiler2!$E$15&lt;&gt;"heater"),0,SUMIF(HeaterBoiler2!$A$54:$D$63,$FG64,HeaterBoiler2!$I$54:$I$63))*IFERROR($QR$21,0)</f>
        <v>0</v>
      </c>
      <c r="HC64" s="155">
        <f>IF(OR(HeaterBoiler1!$E$26&lt;&gt;"fuel gas",HeaterBoiler1!$E$15&lt;&gt;"boiler"),0,SUMIF(HeaterBoiler1!$A$41:$A$50,$FG64,HeaterBoiler1!$F$41:$F$50))*IFERROR($QR$20,0)</f>
        <v>0</v>
      </c>
      <c r="HD64" s="207">
        <f>IF(OR(HeaterBoiler2!$E$26&lt;&gt;"fuel gas",HeaterBoiler2!$E$15&lt;&gt;"boiler"),0,SUMIF(HeaterBoiler2!$A$41:$A$50,$FG64,HeaterBoiler2!$F$41:$F$50))*IFERROR($QR$22,0)</f>
        <v>0</v>
      </c>
      <c r="HE64" s="155">
        <f>SUMIF(Fug!$A$96:$A$205,$FG64,Fug!$I$96:$I$205)*IFERROR(Hidden!$QR$23,0)</f>
        <v>0</v>
      </c>
      <c r="HF64" s="155">
        <f t="shared" si="24"/>
        <v>0</v>
      </c>
      <c r="HG64" s="156">
        <f t="shared" si="25"/>
        <v>0</v>
      </c>
      <c r="HH64" s="156">
        <f t="shared" si="26"/>
        <v>0</v>
      </c>
      <c r="HI64" s="156">
        <f t="shared" si="27"/>
        <v>0</v>
      </c>
      <c r="HJ64" s="156">
        <f t="shared" si="28"/>
        <v>0</v>
      </c>
      <c r="HK64" s="156">
        <f t="shared" si="29"/>
        <v>0</v>
      </c>
      <c r="HL64" s="156">
        <f t="shared" si="30"/>
        <v>0</v>
      </c>
      <c r="NO64" s="155">
        <f>IF(Tank1!$D$22="No control",(SUMIF(Tank1!$E$32:$E$141,$FG64,Tank1!$H$32:$H$141)*(2000/8760)*IFERROR($QV$3,0)),0)</f>
        <v>0</v>
      </c>
      <c r="NP64" s="156">
        <f>SUMIF(LandEmiss!$AE$20:$AE$119,$FG64,LandEmiss!$AK$20:$AK$119)*(2000/8760)*IFERROR($QV$3,0)</f>
        <v>0</v>
      </c>
      <c r="NQ64" s="156">
        <f>(SUMIF(LandEmiss!$CN$20:$CN$119,$FG64,LandEmiss!$CT$20:$CT$119)+SUMIF(LandEmiss!$EY$9:$EY$108,$FG64,LandEmiss!$FE$9:$FE$108))*IFERROR($QV$3,0)*(2000/8760)</f>
        <v>0</v>
      </c>
      <c r="NR64" s="155">
        <f>IF(Tank2!$D$22="No control",(SUMIF(Tank2!$E$32:$E$141,$FG64,Tank2!$H$32:$H$141)*(2000/8760)*IFERROR($QV$4,0)),0)</f>
        <v>0</v>
      </c>
      <c r="NS64" s="156">
        <f>SUMIF(LandEmiss!$AE$20:$AE$119,$FG64,LandEmiss!$AL$20:$AL$119)*(2000/8760)*IFERROR($QV$4,0)</f>
        <v>0</v>
      </c>
      <c r="NT64" s="156">
        <f>(SUMIF(LandEmiss!$CN$20:$CN$119,$FG64,LandEmiss!$CU$20:$CU$119)+SUMIF(LandEmiss!$EY$9:$EY$108,$FG64,LandEmiss!$FF$9:$FF$108))*IFERROR($QV$4,0)*(2000/8760)</f>
        <v>0</v>
      </c>
      <c r="NU64" s="155">
        <f>IF(Tank3!$D$22="No control",(SUMIF(Tank3!$E$32:$E$141,$FG64,Tank3!$H$32:$H$141)*(2000/8760)*IFERROR($QV$5,0)),0)</f>
        <v>0</v>
      </c>
      <c r="NV64" s="156">
        <f>SUMIF(LandEmiss!$AE$20:$AE$119,$FG64,LandEmiss!$AM$20:$AM$119)*(2000/8760)*IFERROR($QV$5,0)</f>
        <v>0</v>
      </c>
      <c r="NW64" s="156">
        <f>(SUMIF(LandEmiss!$CN$20:$CN$119,$FG64,LandEmiss!$CV$20:$CV$119)+SUMIF(LandEmiss!$EY$9:$EY$108,$FG64,LandEmiss!$FG$9:$FG$108))*IFERROR($QV$5,0)*(2000/8760)</f>
        <v>0</v>
      </c>
      <c r="NX64" s="155">
        <f>IF(Tank4!$D$22="No control",(SUMIF(Tank4!$E$32:$E$141,$FG64,Tank4!$H$32:$H$141)*(2000/8760)*IFERROR($QV$6,0)),0)</f>
        <v>0</v>
      </c>
      <c r="NY64" s="156">
        <f>SUMIF(LandEmiss!$AE$20:$AE$119,$FG64,LandEmiss!$AN$20:$AN$119)*(2000/8760)*IFERROR($QV$6,0)</f>
        <v>0</v>
      </c>
      <c r="NZ64" s="156">
        <f>(SUMIF(LandEmiss!$CN$20:$CN$119,$FG64,LandEmiss!$CW$20:$CW$119)+SUMIF(LandEmiss!$EY$9:$EY$108,$FG64,LandEmiss!$FH$9:$FH$108))*IFERROR($QV$6,0)*(2000/8760)</f>
        <v>0</v>
      </c>
      <c r="OA64" s="155">
        <f>IF(Tank5!$D$22="No control",(SUMIF(Tank5!$E$32:$E$141,$FG64,Tank5!$H$32:$H$141)*(2000/8760)*IFERROR($QV$7,0)),0)</f>
        <v>0</v>
      </c>
      <c r="OB64" s="156">
        <f>SUMIF(LandEmiss!$AE$20:$AE$119,$FG64,LandEmiss!$AO$20:$AO$119)*(2000/8760)*IFERROR($QV$7,0)</f>
        <v>0</v>
      </c>
      <c r="OC64" s="156">
        <f>(SUMIF(LandEmiss!$CN$20:$CN$119,$FG64,LandEmiss!$CX$20:$CX$119)+SUMIF(LandEmiss!$EY$9:$EY$108,$FG64,LandEmiss!$FI$9:$FI$108))*IFERROR($QV$7,0)*(2000/8760)</f>
        <v>0</v>
      </c>
      <c r="OD64" s="155">
        <f>SUMIFS('Load-DrumTote'!$L$27:$L$136,'Load-DrumTote'!$F$27:$F$136,$FG64)*IFERROR($QV$8,0)*(2000/8760)</f>
        <v>0</v>
      </c>
      <c r="OE64" s="155">
        <f>SUMIFS('Load-Truck'!$L$27:$L$136,'Load-Truck'!$F$27:$F$136,$FG64)*IFERROR($QV$9,0)*(2000/8760)</f>
        <v>0</v>
      </c>
      <c r="OF64" s="155">
        <f>SUMIFS('Load-Rail'!$L$27:$L$136,'Load-Rail'!$F$27:$F$136,$FG64)*IFERROR($QV$10,0)*(2000/8760)</f>
        <v>0</v>
      </c>
      <c r="OG64" s="155">
        <f>SUMIFS('Load-MarineBarge'!$L$27:$L$136,'Load-MarineBarge'!$F$27:$F$136,$FG64)*IFERROR($QV$11,0)*(2000/8760)</f>
        <v>0</v>
      </c>
      <c r="OH64" s="155">
        <f>SUMIFS('Load-MarineShip'!$L$27:$L$136,'Load-MarineShip'!$F$27:$F$136,$FG64)*IFERROR($QV$12,0)*(2000/8760)</f>
        <v>0</v>
      </c>
      <c r="OI64" s="155">
        <f>(IF(OR(Flare!$D$24="FUEL GAS",Flare!$D$38="FUEL GAS"),SUMIF(Flare!$E$97:$E$106,$FG64,Flare!$G$97:$G$105),0)+SUMIF(Flare!$E$107:$E$216,$FG64,Flare!$G$107:$G$216))*(2000/8730)*IFERROR($QV$13,0)</f>
        <v>0</v>
      </c>
      <c r="OJ64" s="155">
        <f>SUMIF(LandEmiss!$A$335:$A$434,$FG64,LandEmiss!$C$335:$C$434)*(2000/8760)*IFERROR($QV$13,0)</f>
        <v>0</v>
      </c>
      <c r="OK64" s="155">
        <f>(SUMIF(LandEmiss!$BJ$335:$BJ$434,$FG64,LandEmiss!$BL$335:$BL$434)+SUMIF(LandEmiss!$DU$323:$DU$422,$FG64,LandEmiss!$DW$323:$DW$422))*(2000/8760)*IFERROR($QV$13,0)</f>
        <v>0</v>
      </c>
      <c r="OL64" s="155">
        <f>(IF(OR(VCU!$D$26="FUEL GAS",VCU!$D$42="FUEL GAS"),SUMIF(VCU!$E$120:$E$129,$FG64,VCU!$G$120:$G$129),0)+SUMIF(VCU!$E$130:$E$239,$FG64,VCU!G192:G301))*(2000/8760)*IFERROR($QV$14,0)</f>
        <v>0</v>
      </c>
      <c r="OM64" s="155">
        <f>SUMIF(LandEmiss!$A$335:$A$434,$FG64,LandEmiss!$E$335:$E$434)*(2000/8760)*IFERROR($QV$14,0)</f>
        <v>0</v>
      </c>
      <c r="ON64" s="155">
        <f>(SUMIF(LandEmiss!$BJ$335:$BJ$434,$FG64,LandEmiss!$BN$335:$BN$434)+SUMIF(LandEmiss!$DU$323:$DU$422,$FG64,LandEmiss!$DY$323:$DY$422))*(2000/8760)*IFERROR($QV$14,0)</f>
        <v>0</v>
      </c>
      <c r="OO64" s="155">
        <f>(IF(VaporOxidizer!$D$33="FUEL GAS",SUMIF(VaporOxidizer!$E$101:$E$110,$FG64,VaporOxidizer!$G$101:$G$110),0)+SUMIF(VaporOxidizer!$E$111:$E$220,$FG64,VaporOxidizer!$G$111:$G$220))*(2000/8760)*IFERROR($QV$15,0)</f>
        <v>0</v>
      </c>
      <c r="OP64" s="155">
        <f>SUMIF(LandEmiss!$A$335:$A$434,$FG64,LandEmiss!$G$335:$G$434)*(2000/8760)*IFERROR($QV$15,0)</f>
        <v>0</v>
      </c>
      <c r="OQ64" s="155">
        <f>(SUMIF(LandEmiss!$BJ$335:$BJ$434,$FG64,LandEmiss!$BP$335:$BP$434)+SUMIF(LandEmiss!$DU$323:$DU$422,$FG64,LandEmiss!$EA$323:$EA$422))*(2000/8760)*IFERROR($QV$15,0)</f>
        <v>0</v>
      </c>
      <c r="OR64" s="155">
        <f>SUMIF(CAS!$E$35:$E$144,Hidden!$FG64,CAS!$I$35:$I$144)*IFERROR($QV$16,0)*(2000/8760)</f>
        <v>0</v>
      </c>
      <c r="OS64" s="155">
        <f>SUMIF(LandEmiss!$A$335:$A$434,$FG64,LandEmiss!$I$335:$I$434)*(2000/8760)*IFERROR($QV$27,0)</f>
        <v>0</v>
      </c>
      <c r="OT64" s="155">
        <f>(SUMIF(LandEmiss!$BJ$335:$BJ$434,$FG64,LandEmiss!$BR$335:$BR$434)+SUMIF(LandEmiss!$DU$323:$DU$422,$FG64,LandEmiss!$EC$323:$EC$422))*(2000/8760)*IFERROR($QV$27,0)</f>
        <v>0</v>
      </c>
      <c r="OU64" s="155">
        <f>SUMIF(LandEmiss!$A$335:$A$434,$FG64,LandEmiss!$K$335:$K$434)*(2000/8760)*IFERROR($QV$26,0)</f>
        <v>0</v>
      </c>
      <c r="OV64" s="155">
        <f>(SUMIF(LandEmiss!$BJ$335:$BJ$434,$FG64,LandEmiss!$BT$335:$BT$434)+SUMIF(LandEmiss!$DU$323:$DU$422,$FG64,LandEmiss!$EE$323:$EE$422))*(2000/8760)*IFERROR($QV$26,0)</f>
        <v>0</v>
      </c>
      <c r="OW64" s="155">
        <f>SUMIF(LandEmiss!$A$335:$A$434,$FG64,LandEmiss!$M$335:$M$434)*(2000/8760)*IFERROR($QV$25,0)</f>
        <v>0</v>
      </c>
      <c r="OX64" s="155">
        <f>(SUMIF(LandEmiss!$BJ$335:$BJ$434,$FG64,LandEmiss!$BV$335:$BV$434)+SUMIF(LandEmiss!$DU$323:$DU$422,$FG64,LandEmiss!$EG$323:$EG$422))*(2000/8760)*IFERROR($QV$25,0)</f>
        <v>0</v>
      </c>
      <c r="OY64" s="8">
        <v>0</v>
      </c>
      <c r="OZ64" s="207">
        <v>0</v>
      </c>
      <c r="PA64" s="207">
        <f>IF(OR(HeaterBoiler1!$E$26&lt;&gt;"fuel gas",HeaterBoiler1!$E$15&lt;&gt;"heater"),0,(SUMIF(HeaterBoiler1!$A$54:$D$63,$FG64,HeaterBoiler1!$J$54:$J$63))*(2000/8760))*IFERROR($QV$19,0)</f>
        <v>0</v>
      </c>
      <c r="PB64" s="207">
        <f>IF(OR(HeaterBoiler2!$E$26&lt;&gt;"fuel gas",HeaterBoiler2!$E$15&lt;&gt;"heater"),0,(SUMIF(HeaterBoiler2!$A$54:$D$63,$FG64,HeaterBoiler2!$J$54:$J$63))*(2000/8760))*IFERROR($QV$21,0)</f>
        <v>0</v>
      </c>
      <c r="PC64" s="207">
        <f>IF(OR(HeaterBoiler1!$E$26&lt;&gt;"fuel gas",HeaterBoiler1!$E$15&lt;&gt;"boiler"),0,(SUMIF(HeaterBoiler1!$A$54:$D$63,$FG64,HeaterBoiler1!$J$54:$J$63))*(2000/8760))*IFERROR($QV$20,0)</f>
        <v>0</v>
      </c>
      <c r="PD64" s="207">
        <f>IF(OR(HeaterBoiler2!$E$26&lt;&gt;"fuel gas",HeaterBoiler2!$E$15&lt;&gt;"boiler"),0,(SUMIF(HeaterBoiler2!$A$54:$D$63,$FG64,HeaterBoiler2!$J$54:$J$63))*(2000/8760))*IFERROR($QV$22,0)</f>
        <v>0</v>
      </c>
      <c r="PE64" s="8">
        <f>(SUMIF(Fug!$A$96:$A$205,$FG64,Fug!$J$96:$J$205))*IFERROR($QV$23,0)*(2000/8760)</f>
        <v>0</v>
      </c>
      <c r="PF64" s="8">
        <f t="shared" si="31"/>
        <v>0</v>
      </c>
      <c r="PG64" s="156">
        <f t="shared" si="32"/>
        <v>0</v>
      </c>
      <c r="PJ64" s="52" t="str">
        <f>IF(Fug!$F$16=Hidden!$PP$2,"Process Drains","")</f>
        <v/>
      </c>
      <c r="PK64" s="52" t="str">
        <f>IF(Fug!$F$16=Hidden!$PP$2,"Water/Light Oil","")</f>
        <v/>
      </c>
      <c r="PL64" s="52"/>
      <c r="PM64" s="52"/>
      <c r="PN64" s="52"/>
      <c r="PO64" s="52"/>
      <c r="PP64" s="52">
        <v>3.09E-2</v>
      </c>
      <c r="PQ64" s="52"/>
      <c r="PR64" s="52"/>
      <c r="PS64" s="52"/>
      <c r="PT64" s="52" t="s">
        <v>8800</v>
      </c>
      <c r="PU64" s="52" t="s">
        <v>8776</v>
      </c>
      <c r="PV64" s="52">
        <v>0</v>
      </c>
      <c r="PW64" s="52">
        <v>0</v>
      </c>
      <c r="PX64" s="52">
        <v>0</v>
      </c>
      <c r="PY64" s="52">
        <v>0</v>
      </c>
      <c r="PZ64" s="52">
        <v>0</v>
      </c>
      <c r="QA64" s="52">
        <v>0</v>
      </c>
      <c r="QB64" s="52"/>
      <c r="QC64" s="52"/>
      <c r="QD64" s="52"/>
      <c r="QE64" s="52"/>
      <c r="QF64" s="52"/>
      <c r="QG64" s="52"/>
      <c r="QH64" s="52"/>
      <c r="QI64" s="52"/>
      <c r="QX64" s="86"/>
      <c r="QY64" s="87">
        <v>25</v>
      </c>
      <c r="QZ64" s="87">
        <v>50</v>
      </c>
      <c r="RA64" s="87">
        <v>100</v>
      </c>
      <c r="RB64" s="87">
        <v>200</v>
      </c>
      <c r="RC64" s="87">
        <v>300</v>
      </c>
      <c r="RD64" s="87">
        <v>400</v>
      </c>
      <c r="RE64" s="87">
        <v>500</v>
      </c>
      <c r="RF64" s="87">
        <v>750</v>
      </c>
      <c r="RG64" s="88">
        <v>1000</v>
      </c>
      <c r="RH64" s="86"/>
      <c r="RI64" s="87">
        <v>25</v>
      </c>
      <c r="RJ64" s="87">
        <v>50</v>
      </c>
      <c r="RK64" s="87">
        <v>100</v>
      </c>
      <c r="RL64" s="87">
        <v>200</v>
      </c>
      <c r="RM64" s="87">
        <v>300</v>
      </c>
      <c r="RN64" s="87">
        <v>400</v>
      </c>
      <c r="RO64" s="87">
        <v>500</v>
      </c>
      <c r="RP64" s="87">
        <v>750</v>
      </c>
      <c r="RQ64" s="88">
        <v>1000</v>
      </c>
      <c r="RR64" s="86"/>
      <c r="RS64" s="87">
        <v>25</v>
      </c>
      <c r="RT64" s="87">
        <v>50</v>
      </c>
      <c r="RU64" s="87">
        <v>100</v>
      </c>
      <c r="RV64" s="87">
        <v>200</v>
      </c>
      <c r="RW64" s="87">
        <v>300</v>
      </c>
      <c r="RX64" s="87">
        <v>400</v>
      </c>
      <c r="RY64" s="87">
        <v>500</v>
      </c>
      <c r="RZ64" s="87">
        <v>750</v>
      </c>
      <c r="SA64" s="88">
        <v>1000</v>
      </c>
      <c r="SB64" s="86"/>
      <c r="SC64" s="87">
        <v>25</v>
      </c>
      <c r="SD64" s="87">
        <v>50</v>
      </c>
      <c r="SE64" s="87">
        <v>100</v>
      </c>
      <c r="SF64" s="87">
        <v>200</v>
      </c>
      <c r="SG64" s="87">
        <v>300</v>
      </c>
      <c r="SH64" s="87">
        <v>400</v>
      </c>
      <c r="SI64" s="87">
        <v>500</v>
      </c>
      <c r="SJ64" s="87">
        <v>750</v>
      </c>
      <c r="SK64" s="88">
        <v>1000</v>
      </c>
      <c r="SL64" s="86"/>
      <c r="SM64" s="87">
        <v>25</v>
      </c>
      <c r="SN64" s="87">
        <v>50</v>
      </c>
      <c r="SO64" s="87">
        <v>100</v>
      </c>
      <c r="SP64" s="87">
        <v>200</v>
      </c>
      <c r="SQ64" s="87">
        <v>300</v>
      </c>
      <c r="SR64" s="87">
        <v>400</v>
      </c>
      <c r="SS64" s="87">
        <v>500</v>
      </c>
      <c r="ST64" s="87">
        <v>750</v>
      </c>
      <c r="SU64" s="88">
        <v>1000</v>
      </c>
    </row>
    <row r="65" spans="23:515" ht="74.25" customHeight="1" x14ac:dyDescent="0.2">
      <c r="W65">
        <f>IF(OR(X65=0,ISNUMBER(MATCH(X65,$X$1:X64,0))),0,MAX($W$1:W64)+1)</f>
        <v>0</v>
      </c>
      <c r="X65" s="123">
        <f>Products!$E112</f>
        <v>0</v>
      </c>
      <c r="Y65" t="str">
        <f t="shared" si="39"/>
        <v/>
      </c>
      <c r="CA65">
        <f>IF(OR(CB65=0,ISNUMBER(MATCH(CB65,$CB$1:CB64,0))),0,MAX($CA$1:CA64)+1)</f>
        <v>0</v>
      </c>
      <c r="CB65" s="8">
        <f>IF(OR(Tank1!$D$18="EXTERNAL FLOATING ROOF",Tank1!$D$18="INTERNAL FLOATING ROOF"),IF(Tank1!$E95="",0,Tank1!$E95),0)</f>
        <v>0</v>
      </c>
      <c r="CC65" s="8" t="str">
        <f t="shared" si="40"/>
        <v/>
      </c>
      <c r="CD65" s="8"/>
      <c r="CE65" s="8">
        <f>IF(OR(CF65=0,ISNUMBER(MATCH(CF65,$CF$1:CF64,0))),0,MAX($CE$1:CE64)+1)</f>
        <v>0</v>
      </c>
      <c r="CF65" s="8">
        <f>IF(OR(Tank1!$D$18="HORIZONTAL FIXED ROOF",Tank1!$D$18="VERTICAL FIXED ROOF"),IF(Tank1!$E95="",0,Tank1!$E95),0)</f>
        <v>0</v>
      </c>
      <c r="CG65" s="8" t="str">
        <f t="shared" si="41"/>
        <v/>
      </c>
      <c r="DM65">
        <f>IF(OR(DN65=0,ISNUMBER(MATCH(DN65,$DN$1:DN64,0))),0,MAX($DM$1:DM64)+1)</f>
        <v>0</v>
      </c>
      <c r="DN65">
        <f>IF('Load-Truck'!$F$19="Flare",IFERROR(VLOOKUP(Products!$A$89,'Load-Truck'!$A$27:$B$136,1,FALSE),0),0)</f>
        <v>0</v>
      </c>
      <c r="DO65">
        <f>IF($DN65=0,0,VLOOKUP($DN65,'Load-Truck'!$A$27:$N$136,13,FALSE))</f>
        <v>0</v>
      </c>
      <c r="DP65">
        <f>IF($DN65=0,0,VLOOKUP($DN65,'Load-Truck'!$A$27:$N$136,14,FALSE))</f>
        <v>0</v>
      </c>
      <c r="DU65">
        <f>IF(OR(DV65=0,ISNUMBER(MATCH(DV65,$DV$1:DV64,0))),0,MAX($DU$1:DU64)+1)</f>
        <v>0</v>
      </c>
      <c r="DV65">
        <f>IF('Load-Truck'!$F$19="VCU",IFERROR(VLOOKUP(Products!$A$89,'Load-Truck'!$A$27:$B$136,1,FALSE),0),0)</f>
        <v>0</v>
      </c>
      <c r="DW65">
        <f>IF($DV65=0,0,VLOOKUP($DV65,'Load-Truck'!$A$27:$N$136,13,FALSE))</f>
        <v>0</v>
      </c>
      <c r="DX65">
        <f>IF($DV65=0,0,VLOOKUP($DV65,'Load-Truck'!$A$27:$N$136,14,FALSE))</f>
        <v>0</v>
      </c>
      <c r="EC65">
        <f>IF(OR(ED65=0,ISNUMBER(MATCH(ED65,$ED$1:ED64,0))),0,MAX($EC$1:EC64)+1)</f>
        <v>0</v>
      </c>
      <c r="ED65">
        <f>IF('Load-Truck'!$F$19="vapor oxidizer",IFERROR(VLOOKUP(Products!$A$89,'Load-Truck'!$A$27:$B$136,1,FALSE),0),0)</f>
        <v>0</v>
      </c>
      <c r="EE65">
        <f>IF($ED65=0,0,VLOOKUP($ED65,'Load-Truck'!$A$27:$N$136,13,FALSE))</f>
        <v>0</v>
      </c>
      <c r="EF65">
        <f>IF($ED65=0,0,VLOOKUP($ED65,'Load-Truck'!$A$27:$N$136,14,FALSE))</f>
        <v>0</v>
      </c>
      <c r="EK65">
        <f>IF(OR(EL65=0,ISNUMBER(MATCH(EL65,$EL$1:EL64,0))),0,MAX($EK$1:EK64)+1)</f>
        <v>0</v>
      </c>
      <c r="EL65">
        <f>IF('Load-Truck'!$F$19="CAS",IFERROR(VLOOKUP(Products!A89,'Load-Truck'!$A$27:$B$136,1,FALSE),0),0)</f>
        <v>0</v>
      </c>
      <c r="EM65">
        <f>IF($EL65=0,0,VLOOKUP($EL65,'Load-Truck'!$A$27:$N$136,13,FALSE))</f>
        <v>0</v>
      </c>
      <c r="EN65">
        <f>IF($EL65=0,0,VLOOKUP($EL65,'Load-Truck'!$A$27:$N$136,14,FALSE))</f>
        <v>0</v>
      </c>
      <c r="FB65" s="8" t="s">
        <v>479</v>
      </c>
      <c r="FC65" s="8" t="s">
        <v>480</v>
      </c>
      <c r="FD65" s="8">
        <v>700</v>
      </c>
      <c r="FE65" s="8">
        <v>70</v>
      </c>
      <c r="FG65" s="360" t="str">
        <f t="shared" si="23"/>
        <v/>
      </c>
      <c r="FH65" s="155">
        <f>IF(Tank1!$D$22="NO CONTROL",_xlfn.MAXIFS(Tank1!$G$32:$G$141,Tank1!$E$32:$E$141,$FG65),0)*IFERROR($QR$3,0)</f>
        <v>0</v>
      </c>
      <c r="FI65" s="155">
        <f>_xlfn.MAXIFS(LandEmiss!$AF$20:$AF$119,LandEmiss!$AE$20:$AE$119,$FG65)*IFERROR($QR$3,0)</f>
        <v>0</v>
      </c>
      <c r="FJ65" s="155">
        <f>MAX(_xlfn.MAXIFS(LandEmiss!$CO$20:$CO$119,LandEmiss!$CN$20:$CN$119,$FG65),_xlfn.MAXIFS(LandEmiss!$EZ$9:$EZ$108,LandEmiss!$EY$9:$EY$108,$FG65))*IFERROR($QR$3,0)</f>
        <v>0</v>
      </c>
      <c r="FK65" s="155">
        <f>IF(Tank2!$D$22="NO CONTROL",_xlfn.MAXIFS(Tank2!$G$32:$G$141,Tank2!$E$32:$E$141,$FG65),0)*IFERROR($QR$4,0)</f>
        <v>0</v>
      </c>
      <c r="FL65" s="155">
        <f>_xlfn.MAXIFS(LandEmiss!$AG$20:$AG$119,LandEmiss!$AE$20:$AE$119,$FG65)*IFERROR($QR$4,0)</f>
        <v>0</v>
      </c>
      <c r="FM65" s="155">
        <f>MAX(_xlfn.MAXIFS(LandEmiss!$CP$20:$CP$119,LandEmiss!$CN$20:$CN$119,$FG65),_xlfn.MAXIFS(LandEmiss!$FA$9:$FA$108,LandEmiss!$EY$9:$EY$108,$FG65))*IFERROR($QR$4,0)</f>
        <v>0</v>
      </c>
      <c r="FN65" s="155">
        <f>IF(Tank3!$D$22="NO CONTROL",_xlfn.MAXIFS(Tank3!$G$32:$G$141,Tank3!$E$32:$E$141,$FG65),0)*IFERROR($QR$5,0)</f>
        <v>0</v>
      </c>
      <c r="FO65" s="155">
        <f>_xlfn.MAXIFS(LandEmiss!$AH$20:$AH$119,LandEmiss!$AE$20:$AE$119,$FG65)*IFERROR($QR$5,0)</f>
        <v>0</v>
      </c>
      <c r="FP65" s="155">
        <f>MAX(_xlfn.MAXIFS(LandEmiss!$CQ$20:$CQ$119,LandEmiss!$CN$20:$CN$119,$FG65),_xlfn.MAXIFS(LandEmiss!$FB$9:$FB$108,LandEmiss!$EY$9:$EY$108,$FG65))*IFERROR($QR$5,0)</f>
        <v>0</v>
      </c>
      <c r="FQ65" s="155">
        <f>IF(Tank4!$D$22="NO CONTROL",_xlfn.MAXIFS(Tank4!$G$32:$G$141,Tank4!$E$32:$E$141,$FG65),0)*IFERROR($QR$6,0)</f>
        <v>0</v>
      </c>
      <c r="FR65" s="155">
        <f>_xlfn.MAXIFS(LandEmiss!$AI$20:$AI$119,LandEmiss!$AE$20:$AE$119,$FG65)*IFERROR($QR$6,0)</f>
        <v>0</v>
      </c>
      <c r="FS65" s="155">
        <f>MAX(_xlfn.MAXIFS(LandEmiss!$CR$20:$CR$119,LandEmiss!$CN$20:$CN$119,$FG65),_xlfn.MAXIFS(LandEmiss!$FC$9:$FC$108,LandEmiss!$EY$9:$EY$108,$FG65))*IFERROR($QR$6,0)</f>
        <v>0</v>
      </c>
      <c r="FT65" s="155">
        <f>IF(Tank5!$D$22="NO CONTROL",_xlfn.MAXIFS(Tank5!$G$32:$G$141,Tank5!$E$32:$E$141,$FG65),0)*IFERROR($QR$7,0)</f>
        <v>0</v>
      </c>
      <c r="FU65" s="155">
        <f>_xlfn.MAXIFS(LandEmiss!$AJ$20:$AJ$119,LandEmiss!$AE$20:$AE$119,$FG65)*IFERROR($QR$7,0)</f>
        <v>0</v>
      </c>
      <c r="FV65" s="155">
        <f>MAX(_xlfn.MAXIFS(LandEmiss!$CS$20:$CS$119,LandEmiss!$CN$20:$CN$119,$FG65),_xlfn.MAXIFS(LandEmiss!$FD$9:$FD$108,LandEmiss!$EY$9:$EY$108,$FG65))*IFERROR($QR70,0)</f>
        <v>0</v>
      </c>
      <c r="FW65" s="155">
        <f>_xlfn.MAXIFS('Load-DrumTote'!$K$27:$K$136,'Load-DrumTote'!$F$27:$F$136,$FG65)*IFERROR($QR$8,0)</f>
        <v>0</v>
      </c>
      <c r="FX65" s="155">
        <f>_xlfn.MAXIFS('Load-Truck'!$K$27:$K$136,'Load-Truck'!$F$27:$F$136,$FG65)*IFERROR($QR$9,0)</f>
        <v>0</v>
      </c>
      <c r="FY65" s="155">
        <f>_xlfn.MAXIFS('Load-Rail'!$K$27:$K$136,'Load-Rail'!$F$27:$F$136,$FG65)*IFERROR($QR$10,0)</f>
        <v>0</v>
      </c>
      <c r="FZ65" s="155">
        <f>_xlfn.MAXIFS('Load-MarineBarge'!$K$27:$K$136,'Load-MarineBarge'!$F$27:$F$136,$FG65)*IFERROR($QR$11,0)</f>
        <v>0</v>
      </c>
      <c r="GA65" s="155">
        <f>_xlfn.MAXIFS('Load-MarineShip'!$K$27:$K$136,'Load-MarineShip'!$F$27:$F$136,$FG65)*IFERROR($QR$12,0)</f>
        <v>0</v>
      </c>
      <c r="GB65" s="313">
        <f>IF(OR(Flare!$D$24="fuel gas",Flare!$D$38="fuel gas"),SUMIF(Flare!$E$97:$E$106,$FG65,Flare!$F$97:$F$106),0)*IFERROR($QR$13,0)</f>
        <v>0</v>
      </c>
      <c r="GC65" s="313">
        <f>(_xlfn.MAXIFS(CtrlDevImpacts!$I$57:$I$156,CtrlDevImpacts!$H$57:$H$156,$FG65))*IFERROR($QR$13,0)</f>
        <v>0</v>
      </c>
      <c r="GD65" s="313">
        <f>(_xlfn.MAXIFS(Flare!$F$107:$F$216,Flare!$E$107:$E$216,$FG65)-_xlfn.MAXIFS(CtrlDevImpacts!$I$57:$I$156,CtrlDevImpacts!$H$57:$H$156,$FG65))*IFERROR($QR$13,0)</f>
        <v>0</v>
      </c>
      <c r="GE65" s="155">
        <f>_xlfn.MAXIFS(LandEmiss!$B$335:$B$434,LandEmiss!$A$335:$A$434,$FG65)*IFERROR($QR$13,0)</f>
        <v>0</v>
      </c>
      <c r="GF65" s="155">
        <f>(_xlfn.MAXIFS(LandEmiss!$BK$335:$BK$434,LandEmiss!$BJ$335:$BJ$434,$FG65)+_xlfn.MAXIFS(LandEmiss!$DV$323:$DV$422,LandEmiss!$DU$323:$DU$422,$FG65))*IFERROR($QR$13,0)</f>
        <v>0</v>
      </c>
      <c r="GG65" s="313">
        <f>IF(OR(VCU!$D$26="fuel gas",VCU!$D$42="fuel gas"),SUMIF(VCU!$E$120:$E$129,$FG65,VCU!$F$120:$F$129),0)*IFERROR($QR$14,0)</f>
        <v>0</v>
      </c>
      <c r="GH65" s="313">
        <f>(_xlfn.MAXIFS(CtrlDevImpacts!$X$57:$X$156,CtrlDevImpacts!$W$57:$W$156,$FG65))*IFERROR($QR$14,0)</f>
        <v>0</v>
      </c>
      <c r="GI65" s="313">
        <f>(_xlfn.MAXIFS(VCU!$F$130:$F$239,VCU!$E$130:$E$239,$FG65)-_xlfn.MAXIFS(CtrlDevImpacts!$X$57:$X$156,CtrlDevImpacts!$W$57:$W$156,$FG65))*IFERROR($QR$14,0)</f>
        <v>0</v>
      </c>
      <c r="GJ65" s="155">
        <f>_xlfn.MAXIFS(LandEmiss!$D$335:$D$434,LandEmiss!$A$335:$A$434,$FG65)*IFERROR($QR$14,0)</f>
        <v>0</v>
      </c>
      <c r="GK65" s="155">
        <f>(_xlfn.MAXIFS(LandEmiss!$BM$335:$BM$434,LandEmiss!$BJ$335:$BJ$434,$FG65)+_xlfn.MAXIFS(LandEmiss!$DX$323:$DX$422,LandEmiss!$DU$323:$DU$422,$FG65))*IFERROR($QR$14,0)</f>
        <v>0</v>
      </c>
      <c r="GL65" s="313">
        <f>IF(VaporOxidizer!D96="FUEL GAS",SUMIF(VaporOxidizer!$E$101:$E$110,$FG65,VaporOxidizer!$F$101:$F$110),0)*IFERROR($QR$15,0)</f>
        <v>0</v>
      </c>
      <c r="GM65" s="313">
        <f>(_xlfn.MAXIFS(CtrlDevImpacts!$AN$57:$AN$156,CtrlDevImpacts!$AM$57:$AM$156,$FG65))*IFERROR($QR$15,0)</f>
        <v>0</v>
      </c>
      <c r="GN65" s="313">
        <f>(_xlfn.MAXIFS(VaporOxidizer!$F$111:$F$220,VaporOxidizer!$E$111:$E$220,$FG65)-_xlfn.MAXIFS(CtrlDevImpacts!$AN$57:$AN$156,CtrlDevImpacts!$AM$57:$AM$156,$FG65))*IFERROR($QR$15,0)</f>
        <v>0</v>
      </c>
      <c r="GO65" s="155">
        <f>_xlfn.MAXIFS(LandEmiss!$F$335:$F$434,LandEmiss!$A$335:$A$434,$FG65)*IFERROR($QR$15,0)</f>
        <v>0</v>
      </c>
      <c r="GP65" s="155">
        <f>(_xlfn.MAXIFS(LandEmiss!$BK$335:$BK$434,LandEmiss!$BO$335:$BO$434,$FG65)+_xlfn.MAXIFS(LandEmiss!$DZ$323:$DZ$422,LandEmiss!$DU$323:$DU$422,$FG65))*IFERROR($QR$15,0)</f>
        <v>0</v>
      </c>
      <c r="GQ65" s="313">
        <f>_xlfn.MAXIFS(CtrlDevImpacts!$BD$57:$BD$156,CtrlDevImpacts!$BC$57:$BC$156,$FG65)*IFERROR(Hidden!$QR$16,0)</f>
        <v>0</v>
      </c>
      <c r="GR65" s="313">
        <f>(_xlfn.MAXIFS(CAS!$H$35:$H$144,CAS!$E$35:$E$144,$FG65)-_xlfn.MAXIFS(CtrlDevImpacts!$BD$57:$BD$156,CtrlDevImpacts!$BC$57:$BC$156,$FG65))*IFERROR(Hidden!$QR$16,0)</f>
        <v>0</v>
      </c>
      <c r="GS65" s="155">
        <f>_xlfn.MAXIFS(LandEmiss!$H$335:$H$434,LandEmiss!$A$335:$A$434,$FG65)*IFERROR($QR$27,0)</f>
        <v>0</v>
      </c>
      <c r="GT65" s="155">
        <f>(_xlfn.MAXIFS(LandEmiss!$BK$335:$BK$434,LandEmiss!$BQ$335:$BQ$434,$FG65)+_xlfn.MAXIFS(LandEmiss!$EB$323:$EB$422,LandEmiss!$DU$323:$DU$422,$FG65))*IFERROR($QR$27,0)</f>
        <v>0</v>
      </c>
      <c r="GU65" s="155">
        <f>_xlfn.MAXIFS(LandEmiss!$J$335:$J$434,LandEmiss!$A$335:$A$434,$FG65)*IFERROR($QR$26,0)</f>
        <v>0</v>
      </c>
      <c r="GV65" s="155">
        <f>(_xlfn.MAXIFS(LandEmiss!$BK$335:$BK$434,LandEmiss!$BS$335:$BS$434,$FG65)+_xlfn.MAXIFS(LandEmiss!$ED$323:$ED$422,LandEmiss!$DU$323:$DU$422,$FG65))*IFERROR($QR$26,0)</f>
        <v>0</v>
      </c>
      <c r="GW65" s="155">
        <f>_xlfn.MAXIFS(LandEmiss!$L$335:$L$434,LandEmiss!$A$335:$A$434,$FG65)*IFERROR($QR$25,0)</f>
        <v>0</v>
      </c>
      <c r="GX65" s="155">
        <f>(_xlfn.MAXIFS(LandEmiss!$BK$335:$BK$434,LandEmiss!$BU$335:$BU$434,$FG65)+_xlfn.MAXIFS(LandEmiss!$EF$323:$EF$422,LandEmiss!$DU$323:$DU$422,$FG65))*IFERROR($QR$25,0)</f>
        <v>0</v>
      </c>
      <c r="GY65" s="155">
        <v>0</v>
      </c>
      <c r="GZ65" s="155">
        <v>0</v>
      </c>
      <c r="HA65" s="155">
        <f>IF(OR(HeaterBoiler1!$E$26&lt;&gt;"fuel gas",HeaterBoiler1!$E$15&lt;&gt;"heater"),0,SUMIF(HeaterBoiler1!$A$54:$D$63,$FG65,HeaterBoiler1!$I$54:$I$63))*IFERROR($QR$19,0)</f>
        <v>0</v>
      </c>
      <c r="HB65" s="207">
        <f>IF(OR(HeaterBoiler2!$E$26&lt;&gt;"fuel gas",HeaterBoiler2!$E$15&lt;&gt;"heater"),0,SUMIF(HeaterBoiler2!$A$54:$D$63,$FG65,HeaterBoiler2!$I$54:$I$63))*IFERROR($QR$21,0)</f>
        <v>0</v>
      </c>
      <c r="HC65" s="155">
        <f>IF(OR(HeaterBoiler1!$E$26&lt;&gt;"fuel gas",HeaterBoiler1!$E$15&lt;&gt;"boiler"),0,SUMIF(HeaterBoiler1!$A$41:$A$50,$FG65,HeaterBoiler1!$F$41:$F$50))*IFERROR($QR$20,0)</f>
        <v>0</v>
      </c>
      <c r="HD65" s="207">
        <f>IF(OR(HeaterBoiler2!$E$26&lt;&gt;"fuel gas",HeaterBoiler2!$E$15&lt;&gt;"boiler"),0,SUMIF(HeaterBoiler2!$A$41:$A$50,$FG65,HeaterBoiler2!$F$41:$F$50))*IFERROR($QR$22,0)</f>
        <v>0</v>
      </c>
      <c r="HE65" s="155">
        <f>SUMIF(Fug!$A$96:$A$205,$FG65,Fug!$I$96:$I$205)*IFERROR(Hidden!$QR$23,0)</f>
        <v>0</v>
      </c>
      <c r="HF65" s="155">
        <f t="shared" si="24"/>
        <v>0</v>
      </c>
      <c r="HG65" s="156">
        <f t="shared" si="25"/>
        <v>0</v>
      </c>
      <c r="HH65" s="156">
        <f t="shared" si="26"/>
        <v>0</v>
      </c>
      <c r="HI65" s="156">
        <f t="shared" si="27"/>
        <v>0</v>
      </c>
      <c r="HJ65" s="156">
        <f t="shared" si="28"/>
        <v>0</v>
      </c>
      <c r="HK65" s="156">
        <f t="shared" si="29"/>
        <v>0</v>
      </c>
      <c r="HL65" s="156">
        <f t="shared" si="30"/>
        <v>0</v>
      </c>
      <c r="NO65" s="155">
        <f>IF(Tank1!$D$22="No control",(SUMIF(Tank1!$E$32:$E$141,$FG65,Tank1!$H$32:$H$141)*(2000/8760)*IFERROR($QV$3,0)),0)</f>
        <v>0</v>
      </c>
      <c r="NP65" s="156">
        <f>SUMIF(LandEmiss!$AE$20:$AE$119,$FG65,LandEmiss!$AK$20:$AK$119)*(2000/8760)*IFERROR($QV$3,0)</f>
        <v>0</v>
      </c>
      <c r="NQ65" s="156">
        <f>(SUMIF(LandEmiss!$CN$20:$CN$119,$FG65,LandEmiss!$CT$20:$CT$119)+SUMIF(LandEmiss!$EY$9:$EY$108,$FG65,LandEmiss!$FE$9:$FE$108))*IFERROR($QV$3,0)*(2000/8760)</f>
        <v>0</v>
      </c>
      <c r="NR65" s="155">
        <f>IF(Tank2!$D$22="No control",(SUMIF(Tank2!$E$32:$E$141,$FG65,Tank2!$H$32:$H$141)*(2000/8760)*IFERROR($QV$4,0)),0)</f>
        <v>0</v>
      </c>
      <c r="NS65" s="156">
        <f>SUMIF(LandEmiss!$AE$20:$AE$119,$FG65,LandEmiss!$AL$20:$AL$119)*(2000/8760)*IFERROR($QV$4,0)</f>
        <v>0</v>
      </c>
      <c r="NT65" s="156">
        <f>(SUMIF(LandEmiss!$CN$20:$CN$119,$FG65,LandEmiss!$CU$20:$CU$119)+SUMIF(LandEmiss!$EY$9:$EY$108,$FG65,LandEmiss!$FF$9:$FF$108))*IFERROR($QV$4,0)*(2000/8760)</f>
        <v>0</v>
      </c>
      <c r="NU65" s="155">
        <f>IF(Tank3!$D$22="No control",(SUMIF(Tank3!$E$32:$E$141,$FG65,Tank3!$H$32:$H$141)*(2000/8760)*IFERROR($QV$5,0)),0)</f>
        <v>0</v>
      </c>
      <c r="NV65" s="156">
        <f>SUMIF(LandEmiss!$AE$20:$AE$119,$FG65,LandEmiss!$AM$20:$AM$119)*(2000/8760)*IFERROR($QV$5,0)</f>
        <v>0</v>
      </c>
      <c r="NW65" s="156">
        <f>(SUMIF(LandEmiss!$CN$20:$CN$119,$FG65,LandEmiss!$CV$20:$CV$119)+SUMIF(LandEmiss!$EY$9:$EY$108,$FG65,LandEmiss!$FG$9:$FG$108))*IFERROR($QV$5,0)*(2000/8760)</f>
        <v>0</v>
      </c>
      <c r="NX65" s="155">
        <f>IF(Tank4!$D$22="No control",(SUMIF(Tank4!$E$32:$E$141,$FG65,Tank4!$H$32:$H$141)*(2000/8760)*IFERROR($QV$6,0)),0)</f>
        <v>0</v>
      </c>
      <c r="NY65" s="156">
        <f>SUMIF(LandEmiss!$AE$20:$AE$119,$FG65,LandEmiss!$AN$20:$AN$119)*(2000/8760)*IFERROR($QV$6,0)</f>
        <v>0</v>
      </c>
      <c r="NZ65" s="156">
        <f>(SUMIF(LandEmiss!$CN$20:$CN$119,$FG65,LandEmiss!$CW$20:$CW$119)+SUMIF(LandEmiss!$EY$9:$EY$108,$FG65,LandEmiss!$FH$9:$FH$108))*IFERROR($QV$6,0)*(2000/8760)</f>
        <v>0</v>
      </c>
      <c r="OA65" s="155">
        <f>IF(Tank5!$D$22="No control",(SUMIF(Tank5!$E$32:$E$141,$FG65,Tank5!$H$32:$H$141)*(2000/8760)*IFERROR($QV$7,0)),0)</f>
        <v>0</v>
      </c>
      <c r="OB65" s="156">
        <f>SUMIF(LandEmiss!$AE$20:$AE$119,$FG65,LandEmiss!$AO$20:$AO$119)*(2000/8760)*IFERROR($QV$7,0)</f>
        <v>0</v>
      </c>
      <c r="OC65" s="156">
        <f>(SUMIF(LandEmiss!$CN$20:$CN$119,$FG65,LandEmiss!$CX$20:$CX$119)+SUMIF(LandEmiss!$EY$9:$EY$108,$FG65,LandEmiss!$FI$9:$FI$108))*IFERROR($QV$7,0)*(2000/8760)</f>
        <v>0</v>
      </c>
      <c r="OD65" s="155">
        <f>SUMIFS('Load-DrumTote'!$L$27:$L$136,'Load-DrumTote'!$F$27:$F$136,$FG65)*IFERROR($QV$8,0)*(2000/8760)</f>
        <v>0</v>
      </c>
      <c r="OE65" s="155">
        <f>SUMIFS('Load-Truck'!$L$27:$L$136,'Load-Truck'!$F$27:$F$136,$FG65)*IFERROR($QV$9,0)*(2000/8760)</f>
        <v>0</v>
      </c>
      <c r="OF65" s="155">
        <f>SUMIFS('Load-Rail'!$L$27:$L$136,'Load-Rail'!$F$27:$F$136,$FG65)*IFERROR($QV$10,0)*(2000/8760)</f>
        <v>0</v>
      </c>
      <c r="OG65" s="155">
        <f>SUMIFS('Load-MarineBarge'!$L$27:$L$136,'Load-MarineBarge'!$F$27:$F$136,$FG65)*IFERROR($QV$11,0)*(2000/8760)</f>
        <v>0</v>
      </c>
      <c r="OH65" s="155">
        <f>SUMIFS('Load-MarineShip'!$L$27:$L$136,'Load-MarineShip'!$F$27:$F$136,$FG65)*IFERROR($QV$12,0)*(2000/8760)</f>
        <v>0</v>
      </c>
      <c r="OI65" s="155">
        <f>(IF(OR(Flare!$D$24="FUEL GAS",Flare!$D$38="FUEL GAS"),SUMIF(Flare!$E$97:$E$106,$FG65,Flare!$G$97:$G$105),0)+SUMIF(Flare!$E$107:$E$216,$FG65,Flare!$G$107:$G$216))*(2000/8730)*IFERROR($QV$13,0)</f>
        <v>0</v>
      </c>
      <c r="OJ65" s="155">
        <f>SUMIF(LandEmiss!$A$335:$A$434,$FG65,LandEmiss!$C$335:$C$434)*(2000/8760)*IFERROR($QV$13,0)</f>
        <v>0</v>
      </c>
      <c r="OK65" s="155">
        <f>(SUMIF(LandEmiss!$BJ$335:$BJ$434,$FG65,LandEmiss!$BL$335:$BL$434)+SUMIF(LandEmiss!$DU$323:$DU$422,$FG65,LandEmiss!$DW$323:$DW$422))*(2000/8760)*IFERROR($QV$13,0)</f>
        <v>0</v>
      </c>
      <c r="OL65" s="155">
        <f>(IF(OR(VCU!$D$26="FUEL GAS",VCU!$D$42="FUEL GAS"),SUMIF(VCU!$E$120:$E$129,$FG65,VCU!$G$120:$G$129),0)+SUMIF(VCU!$E$130:$E$239,$FG65,VCU!G193:G302))*(2000/8760)*IFERROR($QV$14,0)</f>
        <v>0</v>
      </c>
      <c r="OM65" s="155">
        <f>SUMIF(LandEmiss!$A$335:$A$434,$FG65,LandEmiss!$E$335:$E$434)*(2000/8760)*IFERROR($QV$14,0)</f>
        <v>0</v>
      </c>
      <c r="ON65" s="155">
        <f>(SUMIF(LandEmiss!$BJ$335:$BJ$434,$FG65,LandEmiss!$BN$335:$BN$434)+SUMIF(LandEmiss!$DU$323:$DU$422,$FG65,LandEmiss!$DY$323:$DY$422))*(2000/8760)*IFERROR($QV$14,0)</f>
        <v>0</v>
      </c>
      <c r="OO65" s="155">
        <f>(IF(VaporOxidizer!$D$33="FUEL GAS",SUMIF(VaporOxidizer!$E$101:$E$110,$FG65,VaporOxidizer!$G$101:$G$110),0)+SUMIF(VaporOxidizer!$E$111:$E$220,$FG65,VaporOxidizer!$G$111:$G$220))*(2000/8760)*IFERROR($QV$15,0)</f>
        <v>0</v>
      </c>
      <c r="OP65" s="155">
        <f>SUMIF(LandEmiss!$A$335:$A$434,$FG65,LandEmiss!$G$335:$G$434)*(2000/8760)*IFERROR($QV$15,0)</f>
        <v>0</v>
      </c>
      <c r="OQ65" s="155">
        <f>(SUMIF(LandEmiss!$BJ$335:$BJ$434,$FG65,LandEmiss!$BP$335:$BP$434)+SUMIF(LandEmiss!$DU$323:$DU$422,$FG65,LandEmiss!$EA$323:$EA$422))*(2000/8760)*IFERROR($QV$15,0)</f>
        <v>0</v>
      </c>
      <c r="OR65" s="155">
        <f>SUMIF(CAS!$E$35:$E$144,Hidden!$FG65,CAS!$I$35:$I$144)*IFERROR($QV$16,0)*(2000/8760)</f>
        <v>0</v>
      </c>
      <c r="OS65" s="155">
        <f>SUMIF(LandEmiss!$A$335:$A$434,$FG65,LandEmiss!$I$335:$I$434)*(2000/8760)*IFERROR($QV$27,0)</f>
        <v>0</v>
      </c>
      <c r="OT65" s="155">
        <f>(SUMIF(LandEmiss!$BJ$335:$BJ$434,$FG65,LandEmiss!$BR$335:$BR$434)+SUMIF(LandEmiss!$DU$323:$DU$422,$FG65,LandEmiss!$EC$323:$EC$422))*(2000/8760)*IFERROR($QV$27,0)</f>
        <v>0</v>
      </c>
      <c r="OU65" s="155">
        <f>SUMIF(LandEmiss!$A$335:$A$434,$FG65,LandEmiss!$K$335:$K$434)*(2000/8760)*IFERROR($QV$26,0)</f>
        <v>0</v>
      </c>
      <c r="OV65" s="155">
        <f>(SUMIF(LandEmiss!$BJ$335:$BJ$434,$FG65,LandEmiss!$BT$335:$BT$434)+SUMIF(LandEmiss!$DU$323:$DU$422,$FG65,LandEmiss!$EE$323:$EE$422))*(2000/8760)*IFERROR($QV$26,0)</f>
        <v>0</v>
      </c>
      <c r="OW65" s="155">
        <f>SUMIF(LandEmiss!$A$335:$A$434,$FG65,LandEmiss!$M$335:$M$434)*(2000/8760)*IFERROR($QV$25,0)</f>
        <v>0</v>
      </c>
      <c r="OX65" s="155">
        <f>(SUMIF(LandEmiss!$BJ$335:$BJ$434,$FG65,LandEmiss!$BV$335:$BV$434)+SUMIF(LandEmiss!$DU$323:$DU$422,$FG65,LandEmiss!$EG$323:$EG$422))*(2000/8760)*IFERROR($QV$25,0)</f>
        <v>0</v>
      </c>
      <c r="OY65" s="8">
        <v>0</v>
      </c>
      <c r="OZ65" s="207">
        <v>0</v>
      </c>
      <c r="PA65" s="207">
        <f>IF(OR(HeaterBoiler1!$E$26&lt;&gt;"fuel gas",HeaterBoiler1!$E$15&lt;&gt;"heater"),0,(SUMIF(HeaterBoiler1!$A$54:$D$63,$FG65,HeaterBoiler1!$J$54:$J$63))*(2000/8760))*IFERROR($QV$19,0)</f>
        <v>0</v>
      </c>
      <c r="PB65" s="207">
        <f>IF(OR(HeaterBoiler2!$E$26&lt;&gt;"fuel gas",HeaterBoiler2!$E$15&lt;&gt;"heater"),0,(SUMIF(HeaterBoiler2!$A$54:$D$63,$FG65,HeaterBoiler2!$J$54:$J$63))*(2000/8760))*IFERROR($QV$21,0)</f>
        <v>0</v>
      </c>
      <c r="PC65" s="207">
        <f>IF(OR(HeaterBoiler1!$E$26&lt;&gt;"fuel gas",HeaterBoiler1!$E$15&lt;&gt;"boiler"),0,(SUMIF(HeaterBoiler1!$A$54:$D$63,$FG65,HeaterBoiler1!$J$54:$J$63))*(2000/8760))*IFERROR($QV$20,0)</f>
        <v>0</v>
      </c>
      <c r="PD65" s="207">
        <f>IF(OR(HeaterBoiler2!$E$26&lt;&gt;"fuel gas",HeaterBoiler2!$E$15&lt;&gt;"boiler"),0,(SUMIF(HeaterBoiler2!$A$54:$D$63,$FG65,HeaterBoiler2!$J$54:$J$63))*(2000/8760))*IFERROR($QV$22,0)</f>
        <v>0</v>
      </c>
      <c r="PE65" s="8">
        <f>(SUMIF(Fug!$A$96:$A$205,$FG65,Fug!$J$96:$J$205))*IFERROR($QV$23,0)*(2000/8760)</f>
        <v>0</v>
      </c>
      <c r="PF65" s="8">
        <f t="shared" si="31"/>
        <v>0</v>
      </c>
      <c r="PG65" s="156">
        <f t="shared" si="32"/>
        <v>0</v>
      </c>
      <c r="QX65" s="89" t="s">
        <v>9306</v>
      </c>
      <c r="QY65" t="s">
        <v>9308</v>
      </c>
      <c r="QZ65" t="s">
        <v>9308</v>
      </c>
      <c r="RA65" t="s">
        <v>9308</v>
      </c>
      <c r="RB65" t="s">
        <v>9308</v>
      </c>
      <c r="RC65" t="s">
        <v>9308</v>
      </c>
      <c r="RD65" t="s">
        <v>9308</v>
      </c>
      <c r="RE65" t="s">
        <v>9308</v>
      </c>
      <c r="RF65" t="s">
        <v>9308</v>
      </c>
      <c r="RG65" s="90" t="s">
        <v>9308</v>
      </c>
      <c r="RH65" s="89" t="s">
        <v>9306</v>
      </c>
      <c r="RI65" t="s">
        <v>9309</v>
      </c>
      <c r="RJ65" t="s">
        <v>9309</v>
      </c>
      <c r="RK65" t="s">
        <v>9309</v>
      </c>
      <c r="RL65" t="s">
        <v>9309</v>
      </c>
      <c r="RM65" t="s">
        <v>9309</v>
      </c>
      <c r="RN65" t="s">
        <v>9309</v>
      </c>
      <c r="RO65" t="s">
        <v>9309</v>
      </c>
      <c r="RP65" t="s">
        <v>9309</v>
      </c>
      <c r="RQ65" s="90" t="s">
        <v>9309</v>
      </c>
      <c r="RR65" s="89" t="s">
        <v>9306</v>
      </c>
      <c r="RS65" t="s">
        <v>9310</v>
      </c>
      <c r="RT65" t="s">
        <v>9310</v>
      </c>
      <c r="RU65" t="s">
        <v>9310</v>
      </c>
      <c r="RV65" t="s">
        <v>9310</v>
      </c>
      <c r="RW65" t="s">
        <v>9310</v>
      </c>
      <c r="RX65" t="s">
        <v>9310</v>
      </c>
      <c r="RY65" t="s">
        <v>9310</v>
      </c>
      <c r="RZ65" t="s">
        <v>9310</v>
      </c>
      <c r="SA65" s="90" t="s">
        <v>9310</v>
      </c>
      <c r="SB65" s="89" t="s">
        <v>9306</v>
      </c>
      <c r="SC65" t="s">
        <v>9311</v>
      </c>
      <c r="SD65" t="s">
        <v>9311</v>
      </c>
      <c r="SE65" t="s">
        <v>9311</v>
      </c>
      <c r="SF65" t="s">
        <v>9311</v>
      </c>
      <c r="SG65" t="s">
        <v>9311</v>
      </c>
      <c r="SH65" t="s">
        <v>9311</v>
      </c>
      <c r="SI65" t="s">
        <v>9311</v>
      </c>
      <c r="SJ65" t="s">
        <v>9311</v>
      </c>
      <c r="SK65" s="90" t="s">
        <v>9311</v>
      </c>
      <c r="SL65" s="89" t="s">
        <v>9306</v>
      </c>
      <c r="SM65" t="s">
        <v>9312</v>
      </c>
      <c r="SN65" t="s">
        <v>9312</v>
      </c>
      <c r="SO65" t="s">
        <v>9312</v>
      </c>
      <c r="SP65" t="s">
        <v>9312</v>
      </c>
      <c r="SQ65" t="s">
        <v>9312</v>
      </c>
      <c r="SR65" t="s">
        <v>9312</v>
      </c>
      <c r="SS65" t="s">
        <v>9312</v>
      </c>
      <c r="ST65" t="s">
        <v>9312</v>
      </c>
      <c r="SU65" s="90" t="s">
        <v>9312</v>
      </c>
    </row>
    <row r="66" spans="23:515" ht="74.25" customHeight="1" x14ac:dyDescent="0.2">
      <c r="W66">
        <f>IF(OR(X66=0,ISNUMBER(MATCH(X66,$X$1:X65,0))),0,MAX($W$1:W65)+1)</f>
        <v>0</v>
      </c>
      <c r="X66" s="123">
        <f>Products!$E113</f>
        <v>0</v>
      </c>
      <c r="Y66" t="str">
        <f t="shared" ref="Y66:Y97" si="42">IFERROR(VLOOKUP(ROW(A65),$W$2:$X$111,2,FALSE),"")</f>
        <v/>
      </c>
      <c r="CA66">
        <f>IF(OR(CB66=0,ISNUMBER(MATCH(CB66,$CB$1:CB65,0))),0,MAX($CA$1:CA65)+1)</f>
        <v>0</v>
      </c>
      <c r="CB66" s="8">
        <f>IF(OR(Tank1!$D$18="EXTERNAL FLOATING ROOF",Tank1!$D$18="INTERNAL FLOATING ROOF"),IF(Tank1!$E96="",0,Tank1!$E96),0)</f>
        <v>0</v>
      </c>
      <c r="CC66" s="8" t="str">
        <f t="shared" ref="CC66:CC102" si="43">IFERROR(VLOOKUP(ROW(A65),$CA$2:$CB$501,2,FALSE),"")</f>
        <v/>
      </c>
      <c r="CD66" s="8"/>
      <c r="CE66" s="8">
        <f>IF(OR(CF66=0,ISNUMBER(MATCH(CF66,$CF$1:CF65,0))),0,MAX($CE$1:CE65)+1)</f>
        <v>0</v>
      </c>
      <c r="CF66" s="8">
        <f>IF(OR(Tank1!$D$18="HORIZONTAL FIXED ROOF",Tank1!$D$18="VERTICAL FIXED ROOF"),IF(Tank1!$E96="",0,Tank1!$E96),0)</f>
        <v>0</v>
      </c>
      <c r="CG66" s="8" t="str">
        <f t="shared" ref="CG66:CG102" si="44">IFERROR(VLOOKUP(ROW(A65),$CA$2:$CB$501,2,FALSE),"")</f>
        <v/>
      </c>
      <c r="DM66">
        <f>IF(OR(DN66=0,ISNUMBER(MATCH(DN66,$DN$1:DN65,0))),0,MAX($DM$1:DM65)+1)</f>
        <v>0</v>
      </c>
      <c r="DN66">
        <f>IF('Load-Truck'!$F$19="Flare",IFERROR(VLOOKUP(Products!$A$99,'Load-Truck'!$A$27:$B$136,1,FALSE),0),0)</f>
        <v>0</v>
      </c>
      <c r="DO66">
        <f>IF($DN66=0,0,VLOOKUP($DN66,'Load-Truck'!$A$27:$N$136,13,FALSE))</f>
        <v>0</v>
      </c>
      <c r="DP66">
        <f>IF($DN66=0,0,VLOOKUP($DN66,'Load-Truck'!$A$27:$N$136,14,FALSE))</f>
        <v>0</v>
      </c>
      <c r="DU66">
        <f>IF(OR(DV66=0,ISNUMBER(MATCH(DV66,$DV$1:DV65,0))),0,MAX($DU$1:DU65)+1)</f>
        <v>0</v>
      </c>
      <c r="DV66">
        <f>IF('Load-Truck'!$F$19="VCU",IFERROR(VLOOKUP(Products!$A$99,'Load-Truck'!$A$27:$B$136,1,FALSE),0),0)</f>
        <v>0</v>
      </c>
      <c r="DW66">
        <f>IF($DV66=0,0,VLOOKUP($DV66,'Load-Truck'!$A$27:$N$136,13,FALSE))</f>
        <v>0</v>
      </c>
      <c r="DX66">
        <f>IF($DV66=0,0,VLOOKUP($DV66,'Load-Truck'!$A$27:$N$136,14,FALSE))</f>
        <v>0</v>
      </c>
      <c r="EC66">
        <f>IF(OR(ED66=0,ISNUMBER(MATCH(ED66,$ED$1:ED65,0))),0,MAX($EC$1:EC65)+1)</f>
        <v>0</v>
      </c>
      <c r="ED66">
        <f>IF('Load-Truck'!$F$19="vapor oxidizer",IFERROR(VLOOKUP(Products!$A$99,'Load-Truck'!$A$27:$B$136,1,FALSE),0),0)</f>
        <v>0</v>
      </c>
      <c r="EE66">
        <f>IF($ED66=0,0,VLOOKUP($ED66,'Load-Truck'!$A$27:$N$136,13,FALSE))</f>
        <v>0</v>
      </c>
      <c r="EF66">
        <f>IF($ED66=0,0,VLOOKUP($ED66,'Load-Truck'!$A$27:$N$136,14,FALSE))</f>
        <v>0</v>
      </c>
      <c r="EK66">
        <f>IF(OR(EL66=0,ISNUMBER(MATCH(EL66,$EL$1:EL65,0))),0,MAX($EK$1:EK65)+1)</f>
        <v>0</v>
      </c>
      <c r="EL66">
        <f>IF('Load-Truck'!$F$19="CAS",IFERROR(VLOOKUP(Products!A99,'Load-Truck'!$A$27:$B$136,1,FALSE),0),0)</f>
        <v>0</v>
      </c>
      <c r="EM66">
        <f>IF($EL66=0,0,VLOOKUP($EL66,'Load-Truck'!$A$27:$N$136,13,FALSE))</f>
        <v>0</v>
      </c>
      <c r="EN66">
        <f>IF($EL66=0,0,VLOOKUP($EL66,'Load-Truck'!$A$27:$N$136,14,FALSE))</f>
        <v>0</v>
      </c>
      <c r="FB66" s="8" t="s">
        <v>481</v>
      </c>
      <c r="FC66" s="8" t="s">
        <v>482</v>
      </c>
      <c r="FD66" s="8">
        <v>300</v>
      </c>
      <c r="FE66" s="8">
        <v>30</v>
      </c>
      <c r="FG66" s="360" t="str">
        <f t="shared" si="23"/>
        <v/>
      </c>
      <c r="FH66" s="155">
        <f>IF(Tank1!$D$22="NO CONTROL",_xlfn.MAXIFS(Tank1!$G$32:$G$141,Tank1!$E$32:$E$141,$FG66),0)*IFERROR($QR$3,0)</f>
        <v>0</v>
      </c>
      <c r="FI66" s="155">
        <f>_xlfn.MAXIFS(LandEmiss!$AF$20:$AF$119,LandEmiss!$AE$20:$AE$119,$FG66)*IFERROR($QR$3,0)</f>
        <v>0</v>
      </c>
      <c r="FJ66" s="155">
        <f>MAX(_xlfn.MAXIFS(LandEmiss!$CO$20:$CO$119,LandEmiss!$CN$20:$CN$119,$FG66),_xlfn.MAXIFS(LandEmiss!$EZ$9:$EZ$108,LandEmiss!$EY$9:$EY$108,$FG66))*IFERROR($QR$3,0)</f>
        <v>0</v>
      </c>
      <c r="FK66" s="155">
        <f>IF(Tank2!$D$22="NO CONTROL",_xlfn.MAXIFS(Tank2!$G$32:$G$141,Tank2!$E$32:$E$141,$FG66),0)*IFERROR($QR$4,0)</f>
        <v>0</v>
      </c>
      <c r="FL66" s="155">
        <f>_xlfn.MAXIFS(LandEmiss!$AG$20:$AG$119,LandEmiss!$AE$20:$AE$119,$FG66)*IFERROR($QR$4,0)</f>
        <v>0</v>
      </c>
      <c r="FM66" s="155">
        <f>MAX(_xlfn.MAXIFS(LandEmiss!$CP$20:$CP$119,LandEmiss!$CN$20:$CN$119,$FG66),_xlfn.MAXIFS(LandEmiss!$FA$9:$FA$108,LandEmiss!$EY$9:$EY$108,$FG66))*IFERROR($QR$4,0)</f>
        <v>0</v>
      </c>
      <c r="FN66" s="155">
        <f>IF(Tank3!$D$22="NO CONTROL",_xlfn.MAXIFS(Tank3!$G$32:$G$141,Tank3!$E$32:$E$141,$FG66),0)*IFERROR($QR$5,0)</f>
        <v>0</v>
      </c>
      <c r="FO66" s="155">
        <f>_xlfn.MAXIFS(LandEmiss!$AH$20:$AH$119,LandEmiss!$AE$20:$AE$119,$FG66)*IFERROR($QR$5,0)</f>
        <v>0</v>
      </c>
      <c r="FP66" s="155">
        <f>MAX(_xlfn.MAXIFS(LandEmiss!$CQ$20:$CQ$119,LandEmiss!$CN$20:$CN$119,$FG66),_xlfn.MAXIFS(LandEmiss!$FB$9:$FB$108,LandEmiss!$EY$9:$EY$108,$FG66))*IFERROR($QR$5,0)</f>
        <v>0</v>
      </c>
      <c r="FQ66" s="155">
        <f>IF(Tank4!$D$22="NO CONTROL",_xlfn.MAXIFS(Tank4!$G$32:$G$141,Tank4!$E$32:$E$141,$FG66),0)*IFERROR($QR$6,0)</f>
        <v>0</v>
      </c>
      <c r="FR66" s="155">
        <f>_xlfn.MAXIFS(LandEmiss!$AI$20:$AI$119,LandEmiss!$AE$20:$AE$119,$FG66)*IFERROR($QR$6,0)</f>
        <v>0</v>
      </c>
      <c r="FS66" s="155">
        <f>MAX(_xlfn.MAXIFS(LandEmiss!$CR$20:$CR$119,LandEmiss!$CN$20:$CN$119,$FG66),_xlfn.MAXIFS(LandEmiss!$FC$9:$FC$108,LandEmiss!$EY$9:$EY$108,$FG66))*IFERROR($QR$6,0)</f>
        <v>0</v>
      </c>
      <c r="FT66" s="155">
        <f>IF(Tank5!$D$22="NO CONTROL",_xlfn.MAXIFS(Tank5!$G$32:$G$141,Tank5!$E$32:$E$141,$FG66),0)*IFERROR($QR$7,0)</f>
        <v>0</v>
      </c>
      <c r="FU66" s="155">
        <f>_xlfn.MAXIFS(LandEmiss!$AJ$20:$AJ$119,LandEmiss!$AE$20:$AE$119,$FG66)*IFERROR($QR$7,0)</f>
        <v>0</v>
      </c>
      <c r="FV66" s="155">
        <f>MAX(_xlfn.MAXIFS(LandEmiss!$CS$20:$CS$119,LandEmiss!$CN$20:$CN$119,$FG66),_xlfn.MAXIFS(LandEmiss!$FD$9:$FD$108,LandEmiss!$EY$9:$EY$108,$FG66))*IFERROR($QR71,0)</f>
        <v>0</v>
      </c>
      <c r="FW66" s="155">
        <f>_xlfn.MAXIFS('Load-DrumTote'!$K$27:$K$136,'Load-DrumTote'!$F$27:$F$136,$FG66)*IFERROR($QR$8,0)</f>
        <v>0</v>
      </c>
      <c r="FX66" s="155">
        <f>_xlfn.MAXIFS('Load-Truck'!$K$27:$K$136,'Load-Truck'!$F$27:$F$136,$FG66)*IFERROR($QR$9,0)</f>
        <v>0</v>
      </c>
      <c r="FY66" s="155">
        <f>_xlfn.MAXIFS('Load-Rail'!$K$27:$K$136,'Load-Rail'!$F$27:$F$136,$FG66)*IFERROR($QR$10,0)</f>
        <v>0</v>
      </c>
      <c r="FZ66" s="155">
        <f>_xlfn.MAXIFS('Load-MarineBarge'!$K$27:$K$136,'Load-MarineBarge'!$F$27:$F$136,$FG66)*IFERROR($QR$11,0)</f>
        <v>0</v>
      </c>
      <c r="GA66" s="155">
        <f>_xlfn.MAXIFS('Load-MarineShip'!$K$27:$K$136,'Load-MarineShip'!$F$27:$F$136,$FG66)*IFERROR($QR$12,0)</f>
        <v>0</v>
      </c>
      <c r="GB66" s="313">
        <f>IF(OR(Flare!$D$24="fuel gas",Flare!$D$38="fuel gas"),SUMIF(Flare!$E$97:$E$106,$FG66,Flare!$F$97:$F$106),0)*IFERROR($QR$13,0)</f>
        <v>0</v>
      </c>
      <c r="GC66" s="313">
        <f>(_xlfn.MAXIFS(CtrlDevImpacts!$I$57:$I$156,CtrlDevImpacts!$H$57:$H$156,$FG66))*IFERROR($QR$13,0)</f>
        <v>0</v>
      </c>
      <c r="GD66" s="313">
        <f>(_xlfn.MAXIFS(Flare!$F$107:$F$216,Flare!$E$107:$E$216,$FG66)-_xlfn.MAXIFS(CtrlDevImpacts!$I$57:$I$156,CtrlDevImpacts!$H$57:$H$156,$FG66))*IFERROR($QR$13,0)</f>
        <v>0</v>
      </c>
      <c r="GE66" s="155">
        <f>_xlfn.MAXIFS(LandEmiss!$B$335:$B$434,LandEmiss!$A$335:$A$434,$FG66)*IFERROR($QR$13,0)</f>
        <v>0</v>
      </c>
      <c r="GF66" s="155">
        <f>(_xlfn.MAXIFS(LandEmiss!$BK$335:$BK$434,LandEmiss!$BJ$335:$BJ$434,$FG66)+_xlfn.MAXIFS(LandEmiss!$DV$323:$DV$422,LandEmiss!$DU$323:$DU$422,$FG66))*IFERROR($QR$13,0)</f>
        <v>0</v>
      </c>
      <c r="GG66" s="313">
        <f>IF(OR(VCU!$D$26="fuel gas",VCU!$D$42="fuel gas"),SUMIF(VCU!$E$120:$E$129,$FG66,VCU!$F$120:$F$129),0)*IFERROR($QR$14,0)</f>
        <v>0</v>
      </c>
      <c r="GH66" s="313">
        <f>(_xlfn.MAXIFS(CtrlDevImpacts!$X$57:$X$156,CtrlDevImpacts!$W$57:$W$156,$FG66))*IFERROR($QR$14,0)</f>
        <v>0</v>
      </c>
      <c r="GI66" s="313">
        <f>(_xlfn.MAXIFS(VCU!$F$130:$F$239,VCU!$E$130:$E$239,$FG66)-_xlfn.MAXIFS(CtrlDevImpacts!$X$57:$X$156,CtrlDevImpacts!$W$57:$W$156,$FG66))*IFERROR($QR$14,0)</f>
        <v>0</v>
      </c>
      <c r="GJ66" s="155">
        <f>_xlfn.MAXIFS(LandEmiss!$D$335:$D$434,LandEmiss!$A$335:$A$434,$FG66)*IFERROR($QR$14,0)</f>
        <v>0</v>
      </c>
      <c r="GK66" s="155">
        <f>(_xlfn.MAXIFS(LandEmiss!$BM$335:$BM$434,LandEmiss!$BJ$335:$BJ$434,$FG66)+_xlfn.MAXIFS(LandEmiss!$DX$323:$DX$422,LandEmiss!$DU$323:$DU$422,$FG66))*IFERROR($QR$14,0)</f>
        <v>0</v>
      </c>
      <c r="GL66" s="313">
        <f>IF(VaporOxidizer!D97="FUEL GAS",SUMIF(VaporOxidizer!$E$101:$E$110,$FG66,VaporOxidizer!$F$101:$F$110),0)*IFERROR($QR$15,0)</f>
        <v>0</v>
      </c>
      <c r="GM66" s="313">
        <f>(_xlfn.MAXIFS(CtrlDevImpacts!$AN$57:$AN$156,CtrlDevImpacts!$AM$57:$AM$156,$FG66))*IFERROR($QR$15,0)</f>
        <v>0</v>
      </c>
      <c r="GN66" s="313">
        <f>(_xlfn.MAXIFS(VaporOxidizer!$F$111:$F$220,VaporOxidizer!$E$111:$E$220,$FG66)-_xlfn.MAXIFS(CtrlDevImpacts!$AN$57:$AN$156,CtrlDevImpacts!$AM$57:$AM$156,$FG66))*IFERROR($QR$15,0)</f>
        <v>0</v>
      </c>
      <c r="GO66" s="155">
        <f>_xlfn.MAXIFS(LandEmiss!$F$335:$F$434,LandEmiss!$A$335:$A$434,$FG66)*IFERROR($QR$15,0)</f>
        <v>0</v>
      </c>
      <c r="GP66" s="155">
        <f>(_xlfn.MAXIFS(LandEmiss!$BK$335:$BK$434,LandEmiss!$BO$335:$BO$434,$FG66)+_xlfn.MAXIFS(LandEmiss!$DZ$323:$DZ$422,LandEmiss!$DU$323:$DU$422,$FG66))*IFERROR($QR$15,0)</f>
        <v>0</v>
      </c>
      <c r="GQ66" s="313">
        <f>_xlfn.MAXIFS(CtrlDevImpacts!$BD$57:$BD$156,CtrlDevImpacts!$BC$57:$BC$156,$FG66)*IFERROR(Hidden!$QR$16,0)</f>
        <v>0</v>
      </c>
      <c r="GR66" s="313">
        <f>(_xlfn.MAXIFS(CAS!$H$35:$H$144,CAS!$E$35:$E$144,$FG66)-_xlfn.MAXIFS(CtrlDevImpacts!$BD$57:$BD$156,CtrlDevImpacts!$BC$57:$BC$156,$FG66))*IFERROR(Hidden!$QR$16,0)</f>
        <v>0</v>
      </c>
      <c r="GS66" s="155">
        <f>_xlfn.MAXIFS(LandEmiss!$H$335:$H$434,LandEmiss!$A$335:$A$434,$FG66)*IFERROR($QR$27,0)</f>
        <v>0</v>
      </c>
      <c r="GT66" s="155">
        <f>(_xlfn.MAXIFS(LandEmiss!$BK$335:$BK$434,LandEmiss!$BQ$335:$BQ$434,$FG66)+_xlfn.MAXIFS(LandEmiss!$EB$323:$EB$422,LandEmiss!$DU$323:$DU$422,$FG66))*IFERROR($QR$27,0)</f>
        <v>0</v>
      </c>
      <c r="GU66" s="155">
        <f>_xlfn.MAXIFS(LandEmiss!$J$335:$J$434,LandEmiss!$A$335:$A$434,$FG66)*IFERROR($QR$26,0)</f>
        <v>0</v>
      </c>
      <c r="GV66" s="155">
        <f>(_xlfn.MAXIFS(LandEmiss!$BK$335:$BK$434,LandEmiss!$BS$335:$BS$434,$FG66)+_xlfn.MAXIFS(LandEmiss!$ED$323:$ED$422,LandEmiss!$DU$323:$DU$422,$FG66))*IFERROR($QR$26,0)</f>
        <v>0</v>
      </c>
      <c r="GW66" s="155">
        <f>_xlfn.MAXIFS(LandEmiss!$L$335:$L$434,LandEmiss!$A$335:$A$434,$FG66)*IFERROR($QR$25,0)</f>
        <v>0</v>
      </c>
      <c r="GX66" s="155">
        <f>(_xlfn.MAXIFS(LandEmiss!$BK$335:$BK$434,LandEmiss!$BU$335:$BU$434,$FG66)+_xlfn.MAXIFS(LandEmiss!$EF$323:$EF$422,LandEmiss!$DU$323:$DU$422,$FG66))*IFERROR($QR$25,0)</f>
        <v>0</v>
      </c>
      <c r="GY66" s="155">
        <v>0</v>
      </c>
      <c r="GZ66" s="155">
        <v>0</v>
      </c>
      <c r="HA66" s="155">
        <f>IF(OR(HeaterBoiler1!$E$26&lt;&gt;"fuel gas",HeaterBoiler1!$E$15&lt;&gt;"heater"),0,SUMIF(HeaterBoiler1!$A$54:$D$63,$FG66,HeaterBoiler1!$I$54:$I$63))*IFERROR($QR$19,0)</f>
        <v>0</v>
      </c>
      <c r="HB66" s="207">
        <f>IF(OR(HeaterBoiler2!$E$26&lt;&gt;"fuel gas",HeaterBoiler2!$E$15&lt;&gt;"heater"),0,SUMIF(HeaterBoiler2!$A$54:$D$63,$FG66,HeaterBoiler2!$I$54:$I$63))*IFERROR($QR$21,0)</f>
        <v>0</v>
      </c>
      <c r="HC66" s="155">
        <f>IF(OR(HeaterBoiler1!$E$26&lt;&gt;"fuel gas",HeaterBoiler1!$E$15&lt;&gt;"boiler"),0,SUMIF(HeaterBoiler1!$A$41:$A$50,$FG66,HeaterBoiler1!$F$41:$F$50))*IFERROR($QR$20,0)</f>
        <v>0</v>
      </c>
      <c r="HD66" s="207">
        <f>IF(OR(HeaterBoiler2!$E$26&lt;&gt;"fuel gas",HeaterBoiler2!$E$15&lt;&gt;"boiler"),0,SUMIF(HeaterBoiler2!$A$41:$A$50,$FG66,HeaterBoiler2!$F$41:$F$50))*IFERROR($QR$22,0)</f>
        <v>0</v>
      </c>
      <c r="HE66" s="155">
        <f>SUMIF(Fug!$A$96:$A$205,$FG66,Fug!$I$96:$I$205)*IFERROR(Hidden!$QR$23,0)</f>
        <v>0</v>
      </c>
      <c r="HF66" s="155">
        <f t="shared" si="24"/>
        <v>0</v>
      </c>
      <c r="HG66" s="156">
        <f t="shared" si="25"/>
        <v>0</v>
      </c>
      <c r="HH66" s="156">
        <f t="shared" si="26"/>
        <v>0</v>
      </c>
      <c r="HI66" s="156">
        <f t="shared" si="27"/>
        <v>0</v>
      </c>
      <c r="HJ66" s="156">
        <f t="shared" si="28"/>
        <v>0</v>
      </c>
      <c r="HK66" s="156">
        <f t="shared" si="29"/>
        <v>0</v>
      </c>
      <c r="HL66" s="156">
        <f t="shared" si="30"/>
        <v>0</v>
      </c>
      <c r="NO66" s="155">
        <f>IF(Tank1!$D$22="No control",(SUMIF(Tank1!$E$32:$E$141,$FG66,Tank1!$H$32:$H$141)*(2000/8760)*IFERROR($QV$3,0)),0)</f>
        <v>0</v>
      </c>
      <c r="NP66" s="156">
        <f>SUMIF(LandEmiss!$AE$20:$AE$119,$FG66,LandEmiss!$AK$20:$AK$119)*(2000/8760)*IFERROR($QV$3,0)</f>
        <v>0</v>
      </c>
      <c r="NQ66" s="156">
        <f>(SUMIF(LandEmiss!$CN$20:$CN$119,$FG66,LandEmiss!$CT$20:$CT$119)+SUMIF(LandEmiss!$EY$9:$EY$108,$FG66,LandEmiss!$FE$9:$FE$108))*IFERROR($QV$3,0)*(2000/8760)</f>
        <v>0</v>
      </c>
      <c r="NR66" s="155">
        <f>IF(Tank2!$D$22="No control",(SUMIF(Tank2!$E$32:$E$141,$FG66,Tank2!$H$32:$H$141)*(2000/8760)*IFERROR($QV$4,0)),0)</f>
        <v>0</v>
      </c>
      <c r="NS66" s="156">
        <f>SUMIF(LandEmiss!$AE$20:$AE$119,$FG66,LandEmiss!$AL$20:$AL$119)*(2000/8760)*IFERROR($QV$4,0)</f>
        <v>0</v>
      </c>
      <c r="NT66" s="156">
        <f>(SUMIF(LandEmiss!$CN$20:$CN$119,$FG66,LandEmiss!$CU$20:$CU$119)+SUMIF(LandEmiss!$EY$9:$EY$108,$FG66,LandEmiss!$FF$9:$FF$108))*IFERROR($QV$4,0)*(2000/8760)</f>
        <v>0</v>
      </c>
      <c r="NU66" s="155">
        <f>IF(Tank3!$D$22="No control",(SUMIF(Tank3!$E$32:$E$141,$FG66,Tank3!$H$32:$H$141)*(2000/8760)*IFERROR($QV$5,0)),0)</f>
        <v>0</v>
      </c>
      <c r="NV66" s="156">
        <f>SUMIF(LandEmiss!$AE$20:$AE$119,$FG66,LandEmiss!$AM$20:$AM$119)*(2000/8760)*IFERROR($QV$5,0)</f>
        <v>0</v>
      </c>
      <c r="NW66" s="156">
        <f>(SUMIF(LandEmiss!$CN$20:$CN$119,$FG66,LandEmiss!$CV$20:$CV$119)+SUMIF(LandEmiss!$EY$9:$EY$108,$FG66,LandEmiss!$FG$9:$FG$108))*IFERROR($QV$5,0)*(2000/8760)</f>
        <v>0</v>
      </c>
      <c r="NX66" s="155">
        <f>IF(Tank4!$D$22="No control",(SUMIF(Tank4!$E$32:$E$141,$FG66,Tank4!$H$32:$H$141)*(2000/8760)*IFERROR($QV$6,0)),0)</f>
        <v>0</v>
      </c>
      <c r="NY66" s="156">
        <f>SUMIF(LandEmiss!$AE$20:$AE$119,$FG66,LandEmiss!$AN$20:$AN$119)*(2000/8760)*IFERROR($QV$6,0)</f>
        <v>0</v>
      </c>
      <c r="NZ66" s="156">
        <f>(SUMIF(LandEmiss!$CN$20:$CN$119,$FG66,LandEmiss!$CW$20:$CW$119)+SUMIF(LandEmiss!$EY$9:$EY$108,$FG66,LandEmiss!$FH$9:$FH$108))*IFERROR($QV$6,0)*(2000/8760)</f>
        <v>0</v>
      </c>
      <c r="OA66" s="155">
        <f>IF(Tank5!$D$22="No control",(SUMIF(Tank5!$E$32:$E$141,$FG66,Tank5!$H$32:$H$141)*(2000/8760)*IFERROR($QV$7,0)),0)</f>
        <v>0</v>
      </c>
      <c r="OB66" s="156">
        <f>SUMIF(LandEmiss!$AE$20:$AE$119,$FG66,LandEmiss!$AO$20:$AO$119)*(2000/8760)*IFERROR($QV$7,0)</f>
        <v>0</v>
      </c>
      <c r="OC66" s="156">
        <f>(SUMIF(LandEmiss!$CN$20:$CN$119,$FG66,LandEmiss!$CX$20:$CX$119)+SUMIF(LandEmiss!$EY$9:$EY$108,$FG66,LandEmiss!$FI$9:$FI$108))*IFERROR($QV$7,0)*(2000/8760)</f>
        <v>0</v>
      </c>
      <c r="OD66" s="155">
        <f>SUMIFS('Load-DrumTote'!$L$27:$L$136,'Load-DrumTote'!$F$27:$F$136,$FG66)*IFERROR($QV$8,0)*(2000/8760)</f>
        <v>0</v>
      </c>
      <c r="OE66" s="155">
        <f>SUMIFS('Load-Truck'!$L$27:$L$136,'Load-Truck'!$F$27:$F$136,$FG66)*IFERROR($QV$9,0)*(2000/8760)</f>
        <v>0</v>
      </c>
      <c r="OF66" s="155">
        <f>SUMIFS('Load-Rail'!$L$27:$L$136,'Load-Rail'!$F$27:$F$136,$FG66)*IFERROR($QV$10,0)*(2000/8760)</f>
        <v>0</v>
      </c>
      <c r="OG66" s="155">
        <f>SUMIFS('Load-MarineBarge'!$L$27:$L$136,'Load-MarineBarge'!$F$27:$F$136,$FG66)*IFERROR($QV$11,0)*(2000/8760)</f>
        <v>0</v>
      </c>
      <c r="OH66" s="155">
        <f>SUMIFS('Load-MarineShip'!$L$27:$L$136,'Load-MarineShip'!$F$27:$F$136,$FG66)*IFERROR($QV$12,0)*(2000/8760)</f>
        <v>0</v>
      </c>
      <c r="OI66" s="155">
        <f>(IF(OR(Flare!$D$24="FUEL GAS",Flare!$D$38="FUEL GAS"),SUMIF(Flare!$E$97:$E$106,$FG66,Flare!$G$97:$G$105),0)+SUMIF(Flare!$E$107:$E$216,$FG66,Flare!$G$107:$G$216))*(2000/8730)*IFERROR($QV$13,0)</f>
        <v>0</v>
      </c>
      <c r="OJ66" s="155">
        <f>SUMIF(LandEmiss!$A$335:$A$434,$FG66,LandEmiss!$C$335:$C$434)*(2000/8760)*IFERROR($QV$13,0)</f>
        <v>0</v>
      </c>
      <c r="OK66" s="155">
        <f>(SUMIF(LandEmiss!$BJ$335:$BJ$434,$FG66,LandEmiss!$BL$335:$BL$434)+SUMIF(LandEmiss!$DU$323:$DU$422,$FG66,LandEmiss!$DW$323:$DW$422))*(2000/8760)*IFERROR($QV$13,0)</f>
        <v>0</v>
      </c>
      <c r="OL66" s="155">
        <f>(IF(OR(VCU!$D$26="FUEL GAS",VCU!$D$42="FUEL GAS"),SUMIF(VCU!$E$120:$E$129,$FG66,VCU!$G$120:$G$129),0)+SUMIF(VCU!$E$130:$E$239,$FG66,VCU!G194:G303))*(2000/8760)*IFERROR($QV$14,0)</f>
        <v>0</v>
      </c>
      <c r="OM66" s="155">
        <f>SUMIF(LandEmiss!$A$335:$A$434,$FG66,LandEmiss!$E$335:$E$434)*(2000/8760)*IFERROR($QV$14,0)</f>
        <v>0</v>
      </c>
      <c r="ON66" s="155">
        <f>(SUMIF(LandEmiss!$BJ$335:$BJ$434,$FG66,LandEmiss!$BN$335:$BN$434)+SUMIF(LandEmiss!$DU$323:$DU$422,$FG66,LandEmiss!$DY$323:$DY$422))*(2000/8760)*IFERROR($QV$14,0)</f>
        <v>0</v>
      </c>
      <c r="OO66" s="155">
        <f>(IF(VaporOxidizer!$D$33="FUEL GAS",SUMIF(VaporOxidizer!$E$101:$E$110,$FG66,VaporOxidizer!$G$101:$G$110),0)+SUMIF(VaporOxidizer!$E$111:$E$220,$FG66,VaporOxidizer!$G$111:$G$220))*(2000/8760)*IFERROR($QV$15,0)</f>
        <v>0</v>
      </c>
      <c r="OP66" s="155">
        <f>SUMIF(LandEmiss!$A$335:$A$434,$FG66,LandEmiss!$G$335:$G$434)*(2000/8760)*IFERROR($QV$15,0)</f>
        <v>0</v>
      </c>
      <c r="OQ66" s="155">
        <f>(SUMIF(LandEmiss!$BJ$335:$BJ$434,$FG66,LandEmiss!$BP$335:$BP$434)+SUMIF(LandEmiss!$DU$323:$DU$422,$FG66,LandEmiss!$EA$323:$EA$422))*(2000/8760)*IFERROR($QV$15,0)</f>
        <v>0</v>
      </c>
      <c r="OR66" s="155">
        <f>SUMIF(CAS!$E$35:$E$144,Hidden!$FG66,CAS!$I$35:$I$144)*IFERROR($QV$16,0)*(2000/8760)</f>
        <v>0</v>
      </c>
      <c r="OS66" s="155">
        <f>SUMIF(LandEmiss!$A$335:$A$434,$FG66,LandEmiss!$I$335:$I$434)*(2000/8760)*IFERROR($QV$27,0)</f>
        <v>0</v>
      </c>
      <c r="OT66" s="155">
        <f>(SUMIF(LandEmiss!$BJ$335:$BJ$434,$FG66,LandEmiss!$BR$335:$BR$434)+SUMIF(LandEmiss!$DU$323:$DU$422,$FG66,LandEmiss!$EC$323:$EC$422))*(2000/8760)*IFERROR($QV$27,0)</f>
        <v>0</v>
      </c>
      <c r="OU66" s="155">
        <f>SUMIF(LandEmiss!$A$335:$A$434,$FG66,LandEmiss!$K$335:$K$434)*(2000/8760)*IFERROR($QV$26,0)</f>
        <v>0</v>
      </c>
      <c r="OV66" s="155">
        <f>(SUMIF(LandEmiss!$BJ$335:$BJ$434,$FG66,LandEmiss!$BT$335:$BT$434)+SUMIF(LandEmiss!$DU$323:$DU$422,$FG66,LandEmiss!$EE$323:$EE$422))*(2000/8760)*IFERROR($QV$26,0)</f>
        <v>0</v>
      </c>
      <c r="OW66" s="155">
        <f>SUMIF(LandEmiss!$A$335:$A$434,$FG66,LandEmiss!$M$335:$M$434)*(2000/8760)*IFERROR($QV$25,0)</f>
        <v>0</v>
      </c>
      <c r="OX66" s="155">
        <f>(SUMIF(LandEmiss!$BJ$335:$BJ$434,$FG66,LandEmiss!$BV$335:$BV$434)+SUMIF(LandEmiss!$DU$323:$DU$422,$FG66,LandEmiss!$EG$323:$EG$422))*(2000/8760)*IFERROR($QV$25,0)</f>
        <v>0</v>
      </c>
      <c r="OY66" s="8">
        <v>0</v>
      </c>
      <c r="OZ66" s="207">
        <v>0</v>
      </c>
      <c r="PA66" s="207">
        <f>IF(OR(HeaterBoiler1!$E$26&lt;&gt;"fuel gas",HeaterBoiler1!$E$15&lt;&gt;"heater"),0,(SUMIF(HeaterBoiler1!$A$54:$D$63,$FG66,HeaterBoiler1!$J$54:$J$63))*(2000/8760))*IFERROR($QV$19,0)</f>
        <v>0</v>
      </c>
      <c r="PB66" s="207">
        <f>IF(OR(HeaterBoiler2!$E$26&lt;&gt;"fuel gas",HeaterBoiler2!$E$15&lt;&gt;"heater"),0,(SUMIF(HeaterBoiler2!$A$54:$D$63,$FG66,HeaterBoiler2!$J$54:$J$63))*(2000/8760))*IFERROR($QV$21,0)</f>
        <v>0</v>
      </c>
      <c r="PC66" s="207">
        <f>IF(OR(HeaterBoiler1!$E$26&lt;&gt;"fuel gas",HeaterBoiler1!$E$15&lt;&gt;"boiler"),0,(SUMIF(HeaterBoiler1!$A$54:$D$63,$FG66,HeaterBoiler1!$J$54:$J$63))*(2000/8760))*IFERROR($QV$20,0)</f>
        <v>0</v>
      </c>
      <c r="PD66" s="207">
        <f>IF(OR(HeaterBoiler2!$E$26&lt;&gt;"fuel gas",HeaterBoiler2!$E$15&lt;&gt;"boiler"),0,(SUMIF(HeaterBoiler2!$A$54:$D$63,$FG66,HeaterBoiler2!$J$54:$J$63))*(2000/8760))*IFERROR($QV$22,0)</f>
        <v>0</v>
      </c>
      <c r="PE66" s="8">
        <f>(SUMIF(Fug!$A$96:$A$205,$FG66,Fug!$J$96:$J$205))*IFERROR($QV$23,0)*(2000/8760)</f>
        <v>0</v>
      </c>
      <c r="PF66" s="8">
        <f t="shared" si="31"/>
        <v>0</v>
      </c>
      <c r="PG66" s="156">
        <f t="shared" si="32"/>
        <v>0</v>
      </c>
      <c r="QX66" s="89"/>
      <c r="RG66" s="90"/>
      <c r="RH66" s="89"/>
      <c r="RQ66" s="90"/>
      <c r="RR66" s="89"/>
      <c r="SA66" s="90"/>
      <c r="SB66" s="89"/>
      <c r="SK66" s="90"/>
      <c r="SL66" s="89"/>
      <c r="SU66" s="90"/>
    </row>
    <row r="67" spans="23:515" ht="74.25" customHeight="1" x14ac:dyDescent="0.2">
      <c r="W67">
        <f>IF(OR(X67=0,ISNUMBER(MATCH(X67,$X$1:X66,0))),0,MAX($W$1:W66)+1)</f>
        <v>0</v>
      </c>
      <c r="X67" s="123">
        <f>Products!$E114</f>
        <v>0</v>
      </c>
      <c r="Y67" t="str">
        <f t="shared" si="42"/>
        <v/>
      </c>
      <c r="CA67">
        <f>IF(OR(CB67=0,ISNUMBER(MATCH(CB67,$CB$1:CB66,0))),0,MAX($CA$1:CA66)+1)</f>
        <v>0</v>
      </c>
      <c r="CB67" s="8">
        <f>IF(OR(Tank1!$D$18="EXTERNAL FLOATING ROOF",Tank1!$D$18="INTERNAL FLOATING ROOF"),IF(Tank1!$E97="",0,Tank1!$E97),0)</f>
        <v>0</v>
      </c>
      <c r="CC67" s="8" t="str">
        <f t="shared" si="43"/>
        <v/>
      </c>
      <c r="CD67" s="8"/>
      <c r="CE67" s="8">
        <f>IF(OR(CF67=0,ISNUMBER(MATCH(CF67,$CF$1:CF66,0))),0,MAX($CE$1:CE66)+1)</f>
        <v>0</v>
      </c>
      <c r="CF67" s="8">
        <f>IF(OR(Tank1!$D$18="HORIZONTAL FIXED ROOF",Tank1!$D$18="VERTICAL FIXED ROOF"),IF(Tank1!$E97="",0,Tank1!$E97),0)</f>
        <v>0</v>
      </c>
      <c r="CG67" s="8" t="str">
        <f t="shared" si="44"/>
        <v/>
      </c>
      <c r="DM67">
        <f>IF(OR(DN67=0,ISNUMBER(MATCH(DN67,$DN$1:DN66,0))),0,MAX($DM$1:DM66)+1)</f>
        <v>0</v>
      </c>
      <c r="DN67">
        <f>IF('Load-Truck'!$F$19="Flare",IFERROR(VLOOKUP(Products!$A$109,'Load-Truck'!$A$27:$B$136,1,FALSE),0),0)</f>
        <v>0</v>
      </c>
      <c r="DO67">
        <f>IF($DN67=0,0,VLOOKUP($DN67,'Load-Truck'!$A$27:$N$136,13,FALSE))</f>
        <v>0</v>
      </c>
      <c r="DP67">
        <f>IF($DN67=0,0,VLOOKUP($DN67,'Load-Truck'!$A$27:$N$136,14,FALSE))</f>
        <v>0</v>
      </c>
      <c r="DU67">
        <f>IF(OR(DV67=0,ISNUMBER(MATCH(DV67,$DV$1:DV66,0))),0,MAX($DU$1:DU66)+1)</f>
        <v>0</v>
      </c>
      <c r="DV67">
        <f>IF('Load-Truck'!$F$19="VCU",IFERROR(VLOOKUP(Products!$A$109,'Load-Truck'!$A$27:$B$136,1,FALSE),0),0)</f>
        <v>0</v>
      </c>
      <c r="DW67">
        <f>IF($DV67=0,0,VLOOKUP($DV67,'Load-Truck'!$A$27:$N$136,13,FALSE))</f>
        <v>0</v>
      </c>
      <c r="DX67">
        <f>IF($DV67=0,0,VLOOKUP($DV67,'Load-Truck'!$A$27:$N$136,14,FALSE))</f>
        <v>0</v>
      </c>
      <c r="EC67">
        <f>IF(OR(ED67=0,ISNUMBER(MATCH(ED67,$ED$1:ED66,0))),0,MAX($EC$1:EC66)+1)</f>
        <v>0</v>
      </c>
      <c r="ED67">
        <f>IF('Load-Truck'!$F$19="vapor oxidizer",IFERROR(VLOOKUP(Products!$A$109,'Load-Truck'!$A$27:$B$136,1,FALSE),0),0)</f>
        <v>0</v>
      </c>
      <c r="EE67">
        <f>IF($ED67=0,0,VLOOKUP($ED67,'Load-Truck'!$A$27:$N$136,13,FALSE))</f>
        <v>0</v>
      </c>
      <c r="EF67">
        <f>IF($ED67=0,0,VLOOKUP($ED67,'Load-Truck'!$A$27:$N$136,14,FALSE))</f>
        <v>0</v>
      </c>
      <c r="EK67">
        <f>IF(OR(EL67=0,ISNUMBER(MATCH(EL67,$EL$1:EL66,0))),0,MAX($EK$1:EK66)+1)</f>
        <v>0</v>
      </c>
      <c r="EL67">
        <f>IF('Load-Truck'!$F$19="CAS",IFERROR(VLOOKUP(Products!A109,'Load-Truck'!$A$27:$B$136,1,FALSE),0),0)</f>
        <v>0</v>
      </c>
      <c r="EM67">
        <f>IF($EL67=0,0,VLOOKUP($EL67,'Load-Truck'!$A$27:$N$136,13,FALSE))</f>
        <v>0</v>
      </c>
      <c r="EN67">
        <f>IF($EL67=0,0,VLOOKUP($EL67,'Load-Truck'!$A$27:$N$136,14,FALSE))</f>
        <v>0</v>
      </c>
      <c r="FB67" s="8" t="s">
        <v>9882</v>
      </c>
      <c r="FC67" s="8" t="s">
        <v>9813</v>
      </c>
      <c r="FD67" s="8">
        <v>530</v>
      </c>
      <c r="FE67" s="8">
        <v>53</v>
      </c>
      <c r="FG67" s="360" t="str">
        <f t="shared" ref="FG67:FG111" si="45">$Y67</f>
        <v/>
      </c>
      <c r="FH67" s="155">
        <f>IF(Tank1!$D$22="NO CONTROL",_xlfn.MAXIFS(Tank1!$G$32:$G$141,Tank1!$E$32:$E$141,$FG67),0)*IFERROR($QR$3,0)</f>
        <v>0</v>
      </c>
      <c r="FI67" s="155">
        <f>_xlfn.MAXIFS(LandEmiss!$AF$20:$AF$119,LandEmiss!$AE$20:$AE$119,$FG67)*IFERROR($QR$3,0)</f>
        <v>0</v>
      </c>
      <c r="FJ67" s="155">
        <f>MAX(_xlfn.MAXIFS(LandEmiss!$CO$20:$CO$119,LandEmiss!$CN$20:$CN$119,$FG67),_xlfn.MAXIFS(LandEmiss!$EZ$9:$EZ$108,LandEmiss!$EY$9:$EY$108,$FG67))*IFERROR($QR$3,0)</f>
        <v>0</v>
      </c>
      <c r="FK67" s="155">
        <f>IF(Tank2!$D$22="NO CONTROL",_xlfn.MAXIFS(Tank2!$G$32:$G$141,Tank2!$E$32:$E$141,$FG67),0)*IFERROR($QR$4,0)</f>
        <v>0</v>
      </c>
      <c r="FL67" s="155">
        <f>_xlfn.MAXIFS(LandEmiss!$AG$20:$AG$119,LandEmiss!$AE$20:$AE$119,$FG67)*IFERROR($QR$4,0)</f>
        <v>0</v>
      </c>
      <c r="FM67" s="155">
        <f>MAX(_xlfn.MAXIFS(LandEmiss!$CP$20:$CP$119,LandEmiss!$CN$20:$CN$119,$FG67),_xlfn.MAXIFS(LandEmiss!$FA$9:$FA$108,LandEmiss!$EY$9:$EY$108,$FG67))*IFERROR($QR$4,0)</f>
        <v>0</v>
      </c>
      <c r="FN67" s="155">
        <f>IF(Tank3!$D$22="NO CONTROL",_xlfn.MAXIFS(Tank3!$G$32:$G$141,Tank3!$E$32:$E$141,$FG67),0)*IFERROR($QR$5,0)</f>
        <v>0</v>
      </c>
      <c r="FO67" s="155">
        <f>_xlfn.MAXIFS(LandEmiss!$AH$20:$AH$119,LandEmiss!$AE$20:$AE$119,$FG67)*IFERROR($QR$5,0)</f>
        <v>0</v>
      </c>
      <c r="FP67" s="155">
        <f>MAX(_xlfn.MAXIFS(LandEmiss!$CQ$20:$CQ$119,LandEmiss!$CN$20:$CN$119,$FG67),_xlfn.MAXIFS(LandEmiss!$FB$9:$FB$108,LandEmiss!$EY$9:$EY$108,$FG67))*IFERROR($QR$5,0)</f>
        <v>0</v>
      </c>
      <c r="FQ67" s="155">
        <f>IF(Tank4!$D$22="NO CONTROL",_xlfn.MAXIFS(Tank4!$G$32:$G$141,Tank4!$E$32:$E$141,$FG67),0)*IFERROR($QR$6,0)</f>
        <v>0</v>
      </c>
      <c r="FR67" s="155">
        <f>_xlfn.MAXIFS(LandEmiss!$AI$20:$AI$119,LandEmiss!$AE$20:$AE$119,$FG67)*IFERROR($QR$6,0)</f>
        <v>0</v>
      </c>
      <c r="FS67" s="155">
        <f>MAX(_xlfn.MAXIFS(LandEmiss!$CR$20:$CR$119,LandEmiss!$CN$20:$CN$119,$FG67),_xlfn.MAXIFS(LandEmiss!$FC$9:$FC$108,LandEmiss!$EY$9:$EY$108,$FG67))*IFERROR($QR$6,0)</f>
        <v>0</v>
      </c>
      <c r="FT67" s="155">
        <f>IF(Tank5!$D$22="NO CONTROL",_xlfn.MAXIFS(Tank5!$G$32:$G$141,Tank5!$E$32:$E$141,$FG67),0)*IFERROR($QR$7,0)</f>
        <v>0</v>
      </c>
      <c r="FU67" s="155">
        <f>_xlfn.MAXIFS(LandEmiss!$AJ$20:$AJ$119,LandEmiss!$AE$20:$AE$119,$FG67)*IFERROR($QR$7,0)</f>
        <v>0</v>
      </c>
      <c r="FV67" s="155">
        <f>MAX(_xlfn.MAXIFS(LandEmiss!$CS$20:$CS$119,LandEmiss!$CN$20:$CN$119,$FG67),_xlfn.MAXIFS(LandEmiss!$FD$9:$FD$108,LandEmiss!$EY$9:$EY$108,$FG67))*IFERROR($QR72,0)</f>
        <v>0</v>
      </c>
      <c r="FW67" s="155">
        <f>_xlfn.MAXIFS('Load-DrumTote'!$K$27:$K$136,'Load-DrumTote'!$F$27:$F$136,$FG67)*IFERROR($QR$8,0)</f>
        <v>0</v>
      </c>
      <c r="FX67" s="155">
        <f>_xlfn.MAXIFS('Load-Truck'!$K$27:$K$136,'Load-Truck'!$F$27:$F$136,$FG67)*IFERROR($QR$9,0)</f>
        <v>0</v>
      </c>
      <c r="FY67" s="155">
        <f>_xlfn.MAXIFS('Load-Rail'!$K$27:$K$136,'Load-Rail'!$F$27:$F$136,$FG67)*IFERROR($QR$10,0)</f>
        <v>0</v>
      </c>
      <c r="FZ67" s="155">
        <f>_xlfn.MAXIFS('Load-MarineBarge'!$K$27:$K$136,'Load-MarineBarge'!$F$27:$F$136,$FG67)*IFERROR($QR$11,0)</f>
        <v>0</v>
      </c>
      <c r="GA67" s="155">
        <f>_xlfn.MAXIFS('Load-MarineShip'!$K$27:$K$136,'Load-MarineShip'!$F$27:$F$136,$FG67)*IFERROR($QR$12,0)</f>
        <v>0</v>
      </c>
      <c r="GB67" s="313">
        <f>IF(OR(Flare!$D$24="fuel gas",Flare!$D$38="fuel gas"),SUMIF(Flare!$E$97:$E$106,$FG67,Flare!$F$97:$F$106),0)*IFERROR($QR$13,0)</f>
        <v>0</v>
      </c>
      <c r="GC67" s="313">
        <f>(_xlfn.MAXIFS(CtrlDevImpacts!$I$57:$I$156,CtrlDevImpacts!$H$57:$H$156,$FG67))*IFERROR($QR$13,0)</f>
        <v>0</v>
      </c>
      <c r="GD67" s="313">
        <f>(_xlfn.MAXIFS(Flare!$F$107:$F$216,Flare!$E$107:$E$216,$FG67)-_xlfn.MAXIFS(CtrlDevImpacts!$I$57:$I$156,CtrlDevImpacts!$H$57:$H$156,$FG67))*IFERROR($QR$13,0)</f>
        <v>0</v>
      </c>
      <c r="GE67" s="155">
        <f>_xlfn.MAXIFS(LandEmiss!$B$335:$B$434,LandEmiss!$A$335:$A$434,$FG67)*IFERROR($QR$13,0)</f>
        <v>0</v>
      </c>
      <c r="GF67" s="155">
        <f>(_xlfn.MAXIFS(LandEmiss!$BK$335:$BK$434,LandEmiss!$BJ$335:$BJ$434,$FG67)+_xlfn.MAXIFS(LandEmiss!$DV$323:$DV$422,LandEmiss!$DU$323:$DU$422,$FG67))*IFERROR($QR$13,0)</f>
        <v>0</v>
      </c>
      <c r="GG67" s="313">
        <f>IF(OR(VCU!$D$26="fuel gas",VCU!$D$42="fuel gas"),SUMIF(VCU!$E$120:$E$129,$FG67,VCU!$F$120:$F$129),0)*IFERROR($QR$14,0)</f>
        <v>0</v>
      </c>
      <c r="GH67" s="313">
        <f>(_xlfn.MAXIFS(CtrlDevImpacts!$X$57:$X$156,CtrlDevImpacts!$W$57:$W$156,$FG67))*IFERROR($QR$14,0)</f>
        <v>0</v>
      </c>
      <c r="GI67" s="313">
        <f>(_xlfn.MAXIFS(VCU!$F$130:$F$239,VCU!$E$130:$E$239,$FG67)-_xlfn.MAXIFS(CtrlDevImpacts!$X$57:$X$156,CtrlDevImpacts!$W$57:$W$156,$FG67))*IFERROR($QR$14,0)</f>
        <v>0</v>
      </c>
      <c r="GJ67" s="155">
        <f>_xlfn.MAXIFS(LandEmiss!$D$335:$D$434,LandEmiss!$A$335:$A$434,$FG67)*IFERROR($QR$14,0)</f>
        <v>0</v>
      </c>
      <c r="GK67" s="155">
        <f>(_xlfn.MAXIFS(LandEmiss!$BM$335:$BM$434,LandEmiss!$BJ$335:$BJ$434,$FG67)+_xlfn.MAXIFS(LandEmiss!$DX$323:$DX$422,LandEmiss!$DU$323:$DU$422,$FG67))*IFERROR($QR$14,0)</f>
        <v>0</v>
      </c>
      <c r="GL67" s="313">
        <f>IF(VaporOxidizer!D98="FUEL GAS",SUMIF(VaporOxidizer!$E$101:$E$110,$FG67,VaporOxidizer!$F$101:$F$110),0)*IFERROR($QR$15,0)</f>
        <v>0</v>
      </c>
      <c r="GM67" s="313">
        <f>(_xlfn.MAXIFS(CtrlDevImpacts!$AN$57:$AN$156,CtrlDevImpacts!$AM$57:$AM$156,$FG67))*IFERROR($QR$15,0)</f>
        <v>0</v>
      </c>
      <c r="GN67" s="313">
        <f>(_xlfn.MAXIFS(VaporOxidizer!$F$111:$F$220,VaporOxidizer!$E$111:$E$220,$FG67)-_xlfn.MAXIFS(CtrlDevImpacts!$AN$57:$AN$156,CtrlDevImpacts!$AM$57:$AM$156,$FG67))*IFERROR($QR$15,0)</f>
        <v>0</v>
      </c>
      <c r="GO67" s="155">
        <f>_xlfn.MAXIFS(LandEmiss!$F$335:$F$434,LandEmiss!$A$335:$A$434,$FG67)*IFERROR($QR$15,0)</f>
        <v>0</v>
      </c>
      <c r="GP67" s="155">
        <f>(_xlfn.MAXIFS(LandEmiss!$BK$335:$BK$434,LandEmiss!$BO$335:$BO$434,$FG67)+_xlfn.MAXIFS(LandEmiss!$DZ$323:$DZ$422,LandEmiss!$DU$323:$DU$422,$FG67))*IFERROR($QR$15,0)</f>
        <v>0</v>
      </c>
      <c r="GQ67" s="313">
        <f>_xlfn.MAXIFS(CtrlDevImpacts!$BD$57:$BD$156,CtrlDevImpacts!$BC$57:$BC$156,$FG67)*IFERROR(Hidden!$QR$16,0)</f>
        <v>0</v>
      </c>
      <c r="GR67" s="313">
        <f>(_xlfn.MAXIFS(CAS!$H$35:$H$144,CAS!$E$35:$E$144,$FG67)-_xlfn.MAXIFS(CtrlDevImpacts!$BD$57:$BD$156,CtrlDevImpacts!$BC$57:$BC$156,$FG67))*IFERROR(Hidden!$QR$16,0)</f>
        <v>0</v>
      </c>
      <c r="GS67" s="155">
        <f>_xlfn.MAXIFS(LandEmiss!$H$335:$H$434,LandEmiss!$A$335:$A$434,$FG67)*IFERROR($QR$27,0)</f>
        <v>0</v>
      </c>
      <c r="GT67" s="155">
        <f>(_xlfn.MAXIFS(LandEmiss!$BK$335:$BK$434,LandEmiss!$BQ$335:$BQ$434,$FG67)+_xlfn.MAXIFS(LandEmiss!$EB$323:$EB$422,LandEmiss!$DU$323:$DU$422,$FG67))*IFERROR($QR$27,0)</f>
        <v>0</v>
      </c>
      <c r="GU67" s="155">
        <f>_xlfn.MAXIFS(LandEmiss!$J$335:$J$434,LandEmiss!$A$335:$A$434,$FG67)*IFERROR($QR$26,0)</f>
        <v>0</v>
      </c>
      <c r="GV67" s="155">
        <f>(_xlfn.MAXIFS(LandEmiss!$BK$335:$BK$434,LandEmiss!$BS$335:$BS$434,$FG67)+_xlfn.MAXIFS(LandEmiss!$ED$323:$ED$422,LandEmiss!$DU$323:$DU$422,$FG67))*IFERROR($QR$26,0)</f>
        <v>0</v>
      </c>
      <c r="GW67" s="155">
        <f>_xlfn.MAXIFS(LandEmiss!$L$335:$L$434,LandEmiss!$A$335:$A$434,$FG67)*IFERROR($QR$25,0)</f>
        <v>0</v>
      </c>
      <c r="GX67" s="155">
        <f>(_xlfn.MAXIFS(LandEmiss!$BK$335:$BK$434,LandEmiss!$BU$335:$BU$434,$FG67)+_xlfn.MAXIFS(LandEmiss!$EF$323:$EF$422,LandEmiss!$DU$323:$DU$422,$FG67))*IFERROR($QR$25,0)</f>
        <v>0</v>
      </c>
      <c r="GY67" s="155">
        <v>0</v>
      </c>
      <c r="GZ67" s="155">
        <v>0</v>
      </c>
      <c r="HA67" s="155">
        <f>IF(OR(HeaterBoiler1!$E$26&lt;&gt;"fuel gas",HeaterBoiler1!$E$15&lt;&gt;"heater"),0,SUMIF(HeaterBoiler1!$A$54:$D$63,$FG67,HeaterBoiler1!$I$54:$I$63))*IFERROR($QR$19,0)</f>
        <v>0</v>
      </c>
      <c r="HB67" s="207">
        <f>IF(OR(HeaterBoiler2!$E$26&lt;&gt;"fuel gas",HeaterBoiler2!$E$15&lt;&gt;"heater"),0,SUMIF(HeaterBoiler2!$A$54:$D$63,$FG67,HeaterBoiler2!$I$54:$I$63))*IFERROR($QR$21,0)</f>
        <v>0</v>
      </c>
      <c r="HC67" s="155">
        <f>IF(OR(HeaterBoiler1!$E$26&lt;&gt;"fuel gas",HeaterBoiler1!$E$15&lt;&gt;"boiler"),0,SUMIF(HeaterBoiler1!$A$41:$A$50,$FG67,HeaterBoiler1!$F$41:$F$50))*IFERROR($QR$20,0)</f>
        <v>0</v>
      </c>
      <c r="HD67" s="207">
        <f>IF(OR(HeaterBoiler2!$E$26&lt;&gt;"fuel gas",HeaterBoiler2!$E$15&lt;&gt;"boiler"),0,SUMIF(HeaterBoiler2!$A$41:$A$50,$FG67,HeaterBoiler2!$F$41:$F$50))*IFERROR($QR$22,0)</f>
        <v>0</v>
      </c>
      <c r="HE67" s="155">
        <f>SUMIF(Fug!$A$96:$A$205,$FG67,Fug!$I$96:$I$205)*IFERROR(Hidden!$QR$23,0)</f>
        <v>0</v>
      </c>
      <c r="HF67" s="155">
        <f t="shared" ref="HF67:HF111" si="46">_xlfn.MAXIFS($EY$2:$EY$26,$EX$2:$EX$26,$FG67)*IFERROR($QR$24,0)</f>
        <v>0</v>
      </c>
      <c r="HG67" s="156">
        <f t="shared" ref="HG67:HG111" si="47">MAX($FH67:$FI67)+MAX($FK67:$FL67)+MAX($FN67:$FO67)+MAX($FQ67:$FR67)+MAX($FT67:$FU67)+SUM($FW67:$GA67)+SUM($GB67:$GE67)+SUM($GG67:$GJ67)+SUM($GL67:$GO67)+SUM($GQ67:$GR67)+$GS67+$GU67+$GW67+SUM($GY67:$HF67)</f>
        <v>0</v>
      </c>
      <c r="HH67" s="156">
        <f t="shared" ref="HH67:HH111" si="48">$FJ67+$FK67+$FN67+$FQ67+$FT67+$GF67+$GK67+$GP67+$GT67+$GV67+$GX67+SUM($HA67:$HD67)+$HE67+$HF67+$GG67+$GH67+$GL67+$GM67+$GB67+$GC67+$GQ67</f>
        <v>0</v>
      </c>
      <c r="HI67" s="156">
        <f t="shared" ref="HI67:HI111" si="49">$FH67+$FM67+$FN67+$FQ67+$FT67+$GF67+$GK67+$GP67+$GT67+$GV67+$GX67+SUM($HA67:$HD67)+$HE67+$HF67+$GG67+$GH67+$GB67+$GC67+$GL67+$GM67+$GQ67</f>
        <v>0</v>
      </c>
      <c r="HJ67" s="156">
        <f t="shared" ref="HJ67:HJ111" si="50">$FH67+$FK67+$FP67+$FQ67+$FT67+$GF67+$GK67+$GP67+$GT67+$GV67+$GX67+SUM($HA67:$HD67)+$HE67+$HF67+$GB67+$GC67+$GG67+$GH67+$GL67+$GM67+$GQ67</f>
        <v>0</v>
      </c>
      <c r="HK67" s="156">
        <f t="shared" ref="HK67:HK111" si="51">$FH67+$FK67+$FN67+$FS67+$FT67+$GF67+$GK67+$GP67+$GT67+$GV67+$GX67+SUM($HA67:$HD67)+$HE67+$HF67+$GG67+$GH67+$GB67+$GC67+$GL67+$GM67+$GQ67</f>
        <v>0</v>
      </c>
      <c r="HL67" s="156">
        <f t="shared" ref="HL67:HL111" si="52">$FH67+$FK67+$FN67+$FQ67+$FV67+$GF67+$GK67+$GP67+$GT67+$GV67+$GX67+SUM($HA67:$HD67)+$HE67+$HF67+$GB67+$GC67+$GG67+$GH67+$GL67+$GM67+$GQ67</f>
        <v>0</v>
      </c>
      <c r="NO67" s="155">
        <f>IF(Tank1!$D$22="No control",(SUMIF(Tank1!$E$32:$E$141,$FG67,Tank1!$H$32:$H$141)*(2000/8760)*IFERROR($QV$3,0)),0)</f>
        <v>0</v>
      </c>
      <c r="NP67" s="156">
        <f>SUMIF(LandEmiss!$AE$20:$AE$119,$FG67,LandEmiss!$AK$20:$AK$119)*(2000/8760)*IFERROR($QV$3,0)</f>
        <v>0</v>
      </c>
      <c r="NQ67" s="156">
        <f>(SUMIF(LandEmiss!$CN$20:$CN$119,$FG67,LandEmiss!$CT$20:$CT$119)+SUMIF(LandEmiss!$EY$9:$EY$108,$FG67,LandEmiss!$FE$9:$FE$108))*IFERROR($QV$3,0)*(2000/8760)</f>
        <v>0</v>
      </c>
      <c r="NR67" s="155">
        <f>IF(Tank2!$D$22="No control",(SUMIF(Tank2!$E$32:$E$141,$FG67,Tank2!$H$32:$H$141)*(2000/8760)*IFERROR($QV$4,0)),0)</f>
        <v>0</v>
      </c>
      <c r="NS67" s="156">
        <f>SUMIF(LandEmiss!$AE$20:$AE$119,$FG67,LandEmiss!$AL$20:$AL$119)*(2000/8760)*IFERROR($QV$4,0)</f>
        <v>0</v>
      </c>
      <c r="NT67" s="156">
        <f>(SUMIF(LandEmiss!$CN$20:$CN$119,$FG67,LandEmiss!$CU$20:$CU$119)+SUMIF(LandEmiss!$EY$9:$EY$108,$FG67,LandEmiss!$FF$9:$FF$108))*IFERROR($QV$4,0)*(2000/8760)</f>
        <v>0</v>
      </c>
      <c r="NU67" s="155">
        <f>IF(Tank3!$D$22="No control",(SUMIF(Tank3!$E$32:$E$141,$FG67,Tank3!$H$32:$H$141)*(2000/8760)*IFERROR($QV$5,0)),0)</f>
        <v>0</v>
      </c>
      <c r="NV67" s="156">
        <f>SUMIF(LandEmiss!$AE$20:$AE$119,$FG67,LandEmiss!$AM$20:$AM$119)*(2000/8760)*IFERROR($QV$5,0)</f>
        <v>0</v>
      </c>
      <c r="NW67" s="156">
        <f>(SUMIF(LandEmiss!$CN$20:$CN$119,$FG67,LandEmiss!$CV$20:$CV$119)+SUMIF(LandEmiss!$EY$9:$EY$108,$FG67,LandEmiss!$FG$9:$FG$108))*IFERROR($QV$5,0)*(2000/8760)</f>
        <v>0</v>
      </c>
      <c r="NX67" s="155">
        <f>IF(Tank4!$D$22="No control",(SUMIF(Tank4!$E$32:$E$141,$FG67,Tank4!$H$32:$H$141)*(2000/8760)*IFERROR($QV$6,0)),0)</f>
        <v>0</v>
      </c>
      <c r="NY67" s="156">
        <f>SUMIF(LandEmiss!$AE$20:$AE$119,$FG67,LandEmiss!$AN$20:$AN$119)*(2000/8760)*IFERROR($QV$6,0)</f>
        <v>0</v>
      </c>
      <c r="NZ67" s="156">
        <f>(SUMIF(LandEmiss!$CN$20:$CN$119,$FG67,LandEmiss!$CW$20:$CW$119)+SUMIF(LandEmiss!$EY$9:$EY$108,$FG67,LandEmiss!$FH$9:$FH$108))*IFERROR($QV$6,0)*(2000/8760)</f>
        <v>0</v>
      </c>
      <c r="OA67" s="155">
        <f>IF(Tank5!$D$22="No control",(SUMIF(Tank5!$E$32:$E$141,$FG67,Tank5!$H$32:$H$141)*(2000/8760)*IFERROR($QV$7,0)),0)</f>
        <v>0</v>
      </c>
      <c r="OB67" s="156">
        <f>SUMIF(LandEmiss!$AE$20:$AE$119,$FG67,LandEmiss!$AO$20:$AO$119)*(2000/8760)*IFERROR($QV$7,0)</f>
        <v>0</v>
      </c>
      <c r="OC67" s="156">
        <f>(SUMIF(LandEmiss!$CN$20:$CN$119,$FG67,LandEmiss!$CX$20:$CX$119)+SUMIF(LandEmiss!$EY$9:$EY$108,$FG67,LandEmiss!$FI$9:$FI$108))*IFERROR($QV$7,0)*(2000/8760)</f>
        <v>0</v>
      </c>
      <c r="OD67" s="155">
        <f>SUMIFS('Load-DrumTote'!$L$27:$L$136,'Load-DrumTote'!$F$27:$F$136,$FG67)*IFERROR($QV$8,0)*(2000/8760)</f>
        <v>0</v>
      </c>
      <c r="OE67" s="155">
        <f>SUMIFS('Load-Truck'!$L$27:$L$136,'Load-Truck'!$F$27:$F$136,$FG67)*IFERROR($QV$9,0)*(2000/8760)</f>
        <v>0</v>
      </c>
      <c r="OF67" s="155">
        <f>SUMIFS('Load-Rail'!$L$27:$L$136,'Load-Rail'!$F$27:$F$136,$FG67)*IFERROR($QV$10,0)*(2000/8760)</f>
        <v>0</v>
      </c>
      <c r="OG67" s="155">
        <f>SUMIFS('Load-MarineBarge'!$L$27:$L$136,'Load-MarineBarge'!$F$27:$F$136,$FG67)*IFERROR($QV$11,0)*(2000/8760)</f>
        <v>0</v>
      </c>
      <c r="OH67" s="155">
        <f>SUMIFS('Load-MarineShip'!$L$27:$L$136,'Load-MarineShip'!$F$27:$F$136,$FG67)*IFERROR($QV$12,0)*(2000/8760)</f>
        <v>0</v>
      </c>
      <c r="OI67" s="155">
        <f>(IF(OR(Flare!$D$24="FUEL GAS",Flare!$D$38="FUEL GAS"),SUMIF(Flare!$E$97:$E$106,$FG67,Flare!$G$97:$G$105),0)+SUMIF(Flare!$E$107:$E$216,$FG67,Flare!$G$107:$G$216))*(2000/8730)*IFERROR($QV$13,0)</f>
        <v>0</v>
      </c>
      <c r="OJ67" s="155">
        <f>SUMIF(LandEmiss!$A$335:$A$434,$FG67,LandEmiss!$C$335:$C$434)*(2000/8760)*IFERROR($QV$13,0)</f>
        <v>0</v>
      </c>
      <c r="OK67" s="155">
        <f>(SUMIF(LandEmiss!$BJ$335:$BJ$434,$FG67,LandEmiss!$BL$335:$BL$434)+SUMIF(LandEmiss!$DU$323:$DU$422,$FG67,LandEmiss!$DW$323:$DW$422))*(2000/8760)*IFERROR($QV$13,0)</f>
        <v>0</v>
      </c>
      <c r="OL67" s="155">
        <f>(IF(OR(VCU!$D$26="FUEL GAS",VCU!$D$42="FUEL GAS"),SUMIF(VCU!$E$120:$E$129,$FG67,VCU!$G$120:$G$129),0)+SUMIF(VCU!$E$130:$E$239,$FG67,VCU!G195:G304))*(2000/8760)*IFERROR($QV$14,0)</f>
        <v>0</v>
      </c>
      <c r="OM67" s="155">
        <f>SUMIF(LandEmiss!$A$335:$A$434,$FG67,LandEmiss!$E$335:$E$434)*(2000/8760)*IFERROR($QV$14,0)</f>
        <v>0</v>
      </c>
      <c r="ON67" s="155">
        <f>(SUMIF(LandEmiss!$BJ$335:$BJ$434,$FG67,LandEmiss!$BN$335:$BN$434)+SUMIF(LandEmiss!$DU$323:$DU$422,$FG67,LandEmiss!$DY$323:$DY$422))*(2000/8760)*IFERROR($QV$14,0)</f>
        <v>0</v>
      </c>
      <c r="OO67" s="155">
        <f>(IF(VaporOxidizer!$D$33="FUEL GAS",SUMIF(VaporOxidizer!$E$101:$E$110,$FG67,VaporOxidizer!$G$101:$G$110),0)+SUMIF(VaporOxidizer!$E$111:$E$220,$FG67,VaporOxidizer!$G$111:$G$220))*(2000/8760)*IFERROR($QV$15,0)</f>
        <v>0</v>
      </c>
      <c r="OP67" s="155">
        <f>SUMIF(LandEmiss!$A$335:$A$434,$FG67,LandEmiss!$G$335:$G$434)*(2000/8760)*IFERROR($QV$15,0)</f>
        <v>0</v>
      </c>
      <c r="OQ67" s="155">
        <f>(SUMIF(LandEmiss!$BJ$335:$BJ$434,$FG67,LandEmiss!$BP$335:$BP$434)+SUMIF(LandEmiss!$DU$323:$DU$422,$FG67,LandEmiss!$EA$323:$EA$422))*(2000/8760)*IFERROR($QV$15,0)</f>
        <v>0</v>
      </c>
      <c r="OR67" s="155">
        <f>SUMIF(CAS!$E$35:$E$144,Hidden!$FG67,CAS!$I$35:$I$144)*IFERROR($QV$16,0)*(2000/8760)</f>
        <v>0</v>
      </c>
      <c r="OS67" s="155">
        <f>SUMIF(LandEmiss!$A$335:$A$434,$FG67,LandEmiss!$I$335:$I$434)*(2000/8760)*IFERROR($QV$27,0)</f>
        <v>0</v>
      </c>
      <c r="OT67" s="155">
        <f>(SUMIF(LandEmiss!$BJ$335:$BJ$434,$FG67,LandEmiss!$BR$335:$BR$434)+SUMIF(LandEmiss!$DU$323:$DU$422,$FG67,LandEmiss!$EC$323:$EC$422))*(2000/8760)*IFERROR($QV$27,0)</f>
        <v>0</v>
      </c>
      <c r="OU67" s="155">
        <f>SUMIF(LandEmiss!$A$335:$A$434,$FG67,LandEmiss!$K$335:$K$434)*(2000/8760)*IFERROR($QV$26,0)</f>
        <v>0</v>
      </c>
      <c r="OV67" s="155">
        <f>(SUMIF(LandEmiss!$BJ$335:$BJ$434,$FG67,LandEmiss!$BT$335:$BT$434)+SUMIF(LandEmiss!$DU$323:$DU$422,$FG67,LandEmiss!$EE$323:$EE$422))*(2000/8760)*IFERROR($QV$26,0)</f>
        <v>0</v>
      </c>
      <c r="OW67" s="155">
        <f>SUMIF(LandEmiss!$A$335:$A$434,$FG67,LandEmiss!$M$335:$M$434)*(2000/8760)*IFERROR($QV$25,0)</f>
        <v>0</v>
      </c>
      <c r="OX67" s="155">
        <f>(SUMIF(LandEmiss!$BJ$335:$BJ$434,$FG67,LandEmiss!$BV$335:$BV$434)+SUMIF(LandEmiss!$DU$323:$DU$422,$FG67,LandEmiss!$EG$323:$EG$422))*(2000/8760)*IFERROR($QV$25,0)</f>
        <v>0</v>
      </c>
      <c r="OY67" s="8">
        <v>0</v>
      </c>
      <c r="OZ67" s="207">
        <v>0</v>
      </c>
      <c r="PA67" s="207">
        <f>IF(OR(HeaterBoiler1!$E$26&lt;&gt;"fuel gas",HeaterBoiler1!$E$15&lt;&gt;"heater"),0,(SUMIF(HeaterBoiler1!$A$54:$D$63,$FG67,HeaterBoiler1!$J$54:$J$63))*(2000/8760))*IFERROR($QV$19,0)</f>
        <v>0</v>
      </c>
      <c r="PB67" s="207">
        <f>IF(OR(HeaterBoiler2!$E$26&lt;&gt;"fuel gas",HeaterBoiler2!$E$15&lt;&gt;"heater"),0,(SUMIF(HeaterBoiler2!$A$54:$D$63,$FG67,HeaterBoiler2!$J$54:$J$63))*(2000/8760))*IFERROR($QV$21,0)</f>
        <v>0</v>
      </c>
      <c r="PC67" s="207">
        <f>IF(OR(HeaterBoiler1!$E$26&lt;&gt;"fuel gas",HeaterBoiler1!$E$15&lt;&gt;"boiler"),0,(SUMIF(HeaterBoiler1!$A$54:$D$63,$FG67,HeaterBoiler1!$J$54:$J$63))*(2000/8760))*IFERROR($QV$20,0)</f>
        <v>0</v>
      </c>
      <c r="PD67" s="207">
        <f>IF(OR(HeaterBoiler2!$E$26&lt;&gt;"fuel gas",HeaterBoiler2!$E$15&lt;&gt;"boiler"),0,(SUMIF(HeaterBoiler2!$A$54:$D$63,$FG67,HeaterBoiler2!$J$54:$J$63))*(2000/8760))*IFERROR($QV$22,0)</f>
        <v>0</v>
      </c>
      <c r="PE67" s="8">
        <f>(SUMIF(Fug!$A$96:$A$205,$FG67,Fug!$J$96:$J$205))*IFERROR($QV$23,0)*(2000/8760)</f>
        <v>0</v>
      </c>
      <c r="PF67" s="8">
        <f t="shared" ref="PF67:PF111" si="53">SUMIF($EX$2:$EX$26,$FG67,$EZ$2:$EZ$26)*(2000/8760)*IFERROR($QV$24,0)</f>
        <v>0</v>
      </c>
      <c r="PG67" s="156">
        <f t="shared" ref="PG67:PG111" si="54">SUM($NO67:$PF67)</f>
        <v>0</v>
      </c>
      <c r="QX67" s="89" t="s">
        <v>9314</v>
      </c>
      <c r="QY67">
        <v>675.5</v>
      </c>
      <c r="QZ67">
        <v>545</v>
      </c>
      <c r="RA67">
        <v>434.5</v>
      </c>
      <c r="RB67">
        <v>237.1</v>
      </c>
      <c r="RC67">
        <v>156.69999999999999</v>
      </c>
      <c r="RD67">
        <v>132.19999999999999</v>
      </c>
      <c r="RE67">
        <v>117.5</v>
      </c>
      <c r="RF67">
        <v>86.3</v>
      </c>
      <c r="RG67" s="90">
        <v>69.23</v>
      </c>
      <c r="RH67" s="89" t="s">
        <v>9314</v>
      </c>
      <c r="RI67">
        <v>535.9</v>
      </c>
      <c r="RJ67">
        <v>296.39999999999998</v>
      </c>
      <c r="RK67">
        <v>187.6</v>
      </c>
      <c r="RL67">
        <v>140.5</v>
      </c>
      <c r="RM67">
        <v>120.5</v>
      </c>
      <c r="RN67">
        <v>105.2</v>
      </c>
      <c r="RO67">
        <v>96.2</v>
      </c>
      <c r="RP67">
        <v>71</v>
      </c>
      <c r="RQ67" s="90">
        <v>55.64</v>
      </c>
      <c r="RR67" s="89" t="s">
        <v>9314</v>
      </c>
      <c r="RS67">
        <v>346</v>
      </c>
      <c r="RT67">
        <v>203.4</v>
      </c>
      <c r="RU67">
        <v>139.6</v>
      </c>
      <c r="RV67">
        <v>92.43</v>
      </c>
      <c r="RW67">
        <v>73.5</v>
      </c>
      <c r="RX67">
        <v>62.56</v>
      </c>
      <c r="RY67">
        <v>54.09</v>
      </c>
      <c r="RZ67">
        <v>37.619999999999997</v>
      </c>
      <c r="SA67" s="90">
        <v>28.86</v>
      </c>
      <c r="SB67" s="89" t="s">
        <v>9314</v>
      </c>
      <c r="SC67">
        <v>182</v>
      </c>
      <c r="SD67">
        <v>103.4</v>
      </c>
      <c r="SE67">
        <v>70.44</v>
      </c>
      <c r="SF67">
        <v>51.93</v>
      </c>
      <c r="SG67">
        <v>40.71</v>
      </c>
      <c r="SH67">
        <v>32.700000000000003</v>
      </c>
      <c r="SI67">
        <v>26.81</v>
      </c>
      <c r="SJ67">
        <v>17.670000000000002</v>
      </c>
      <c r="SK67" s="90">
        <v>12.62</v>
      </c>
      <c r="SL67" s="89" t="s">
        <v>9314</v>
      </c>
      <c r="SM67">
        <v>52.9</v>
      </c>
      <c r="SN67">
        <v>29.68</v>
      </c>
      <c r="SO67">
        <v>20.309999999999999</v>
      </c>
      <c r="SP67">
        <v>15.21</v>
      </c>
      <c r="SQ67">
        <v>11.43</v>
      </c>
      <c r="SR67">
        <v>8.58</v>
      </c>
      <c r="SS67">
        <v>6.6</v>
      </c>
      <c r="ST67">
        <v>3.8</v>
      </c>
      <c r="SU67" s="90">
        <v>2.48</v>
      </c>
    </row>
    <row r="68" spans="23:515" ht="74.25" customHeight="1" x14ac:dyDescent="0.2">
      <c r="W68">
        <f>IF(OR(X68=0,ISNUMBER(MATCH(X68,$X$1:X67,0))),0,MAX($W$1:W67)+1)</f>
        <v>0</v>
      </c>
      <c r="X68" s="123">
        <f>Products!$E115</f>
        <v>0</v>
      </c>
      <c r="Y68" t="str">
        <f t="shared" si="42"/>
        <v/>
      </c>
      <c r="CA68">
        <f>IF(OR(CB68=0,ISNUMBER(MATCH(CB68,$CB$1:CB67,0))),0,MAX($CA$1:CA67)+1)</f>
        <v>0</v>
      </c>
      <c r="CB68" s="8">
        <f>IF(OR(Tank1!$D$18="EXTERNAL FLOATING ROOF",Tank1!$D$18="INTERNAL FLOATING ROOF"),IF(Tank1!$E98="",0,Tank1!$E98),0)</f>
        <v>0</v>
      </c>
      <c r="CC68" s="8" t="str">
        <f t="shared" si="43"/>
        <v/>
      </c>
      <c r="CD68" s="8"/>
      <c r="CE68" s="8">
        <f>IF(OR(CF68=0,ISNUMBER(MATCH(CF68,$CF$1:CF67,0))),0,MAX($CE$1:CE67)+1)</f>
        <v>0</v>
      </c>
      <c r="CF68" s="8">
        <f>IF(OR(Tank1!$D$18="HORIZONTAL FIXED ROOF",Tank1!$D$18="VERTICAL FIXED ROOF"),IF(Tank1!$E98="",0,Tank1!$E98),0)</f>
        <v>0</v>
      </c>
      <c r="CG68" s="8" t="str">
        <f t="shared" si="44"/>
        <v/>
      </c>
      <c r="DM68">
        <f>IF(OR(DN68=0,ISNUMBER(MATCH(DN68,$DN$1:DN67,0))),0,MAX($DM$1:DM67)+1)</f>
        <v>0</v>
      </c>
      <c r="DN68">
        <f>IF('Load-Truck'!$F$19="Flare",IFERROR(VLOOKUP(Products!$A$119,'Load-Truck'!$A$27:$B$136,1,FALSE),0),0)</f>
        <v>0</v>
      </c>
      <c r="DO68">
        <f>IF($DN68=0,0,VLOOKUP($DN68,'Load-Truck'!$A$27:$N$136,13,FALSE))</f>
        <v>0</v>
      </c>
      <c r="DP68">
        <f>IF($DN68=0,0,VLOOKUP($DN68,'Load-Truck'!$A$27:$N$136,14,FALSE))</f>
        <v>0</v>
      </c>
      <c r="DU68">
        <f>IF(OR(DV68=0,ISNUMBER(MATCH(DV68,$DV$1:DV67,0))),0,MAX($DU$1:DU67)+1)</f>
        <v>0</v>
      </c>
      <c r="DV68">
        <f>IF('Load-Truck'!$F$19="VCU",IFERROR(VLOOKUP(Products!$A$119,'Load-Truck'!$A$27:$B$136,1,FALSE),0),0)</f>
        <v>0</v>
      </c>
      <c r="DW68">
        <f>IF($DV68=0,0,VLOOKUP($DV68,'Load-Truck'!$A$27:$N$136,13,FALSE))</f>
        <v>0</v>
      </c>
      <c r="DX68">
        <f>IF($DV68=0,0,VLOOKUP($DV68,'Load-Truck'!$A$27:$N$136,14,FALSE))</f>
        <v>0</v>
      </c>
      <c r="EC68">
        <f>IF(OR(ED68=0,ISNUMBER(MATCH(ED68,$ED$1:ED67,0))),0,MAX($EC$1:EC67)+1)</f>
        <v>0</v>
      </c>
      <c r="ED68">
        <f>IF('Load-Truck'!$F$19="vapor oxidizer",IFERROR(VLOOKUP(Products!$A$119,'Load-Truck'!$A$27:$B$136,1,FALSE),0),0)</f>
        <v>0</v>
      </c>
      <c r="EE68">
        <f>IF($ED68=0,0,VLOOKUP($ED68,'Load-Truck'!$A$27:$N$136,13,FALSE))</f>
        <v>0</v>
      </c>
      <c r="EF68">
        <f>IF($ED68=0,0,VLOOKUP($ED68,'Load-Truck'!$A$27:$N$136,14,FALSE))</f>
        <v>0</v>
      </c>
      <c r="EK68">
        <f>IF(OR(EL68=0,ISNUMBER(MATCH(EL68,$EL$1:EL67,0))),0,MAX($EK$1:EK67)+1)</f>
        <v>0</v>
      </c>
      <c r="EL68">
        <f>IF('Load-Truck'!$F$19="CAS",IFERROR(VLOOKUP(Products!A119,'Load-Truck'!$A$27:$B$136,1,FALSE),0),0)</f>
        <v>0</v>
      </c>
      <c r="EM68">
        <f>IF($EL68=0,0,VLOOKUP($EL68,'Load-Truck'!$A$27:$N$136,13,FALSE))</f>
        <v>0</v>
      </c>
      <c r="EN68">
        <f>IF($EL68=0,0,VLOOKUP($EL68,'Load-Truck'!$A$27:$N$136,14,FALSE))</f>
        <v>0</v>
      </c>
      <c r="FB68" s="8" t="s">
        <v>483</v>
      </c>
      <c r="FC68" s="8" t="s">
        <v>484</v>
      </c>
      <c r="FD68" s="8">
        <v>600</v>
      </c>
      <c r="FE68" s="8">
        <v>60</v>
      </c>
      <c r="FG68" s="360" t="str">
        <f t="shared" si="45"/>
        <v/>
      </c>
      <c r="FH68" s="155">
        <f>IF(Tank1!$D$22="NO CONTROL",_xlfn.MAXIFS(Tank1!$G$32:$G$141,Tank1!$E$32:$E$141,$FG68),0)*IFERROR($QR$3,0)</f>
        <v>0</v>
      </c>
      <c r="FI68" s="155">
        <f>_xlfn.MAXIFS(LandEmiss!$AF$20:$AF$119,LandEmiss!$AE$20:$AE$119,$FG68)*IFERROR($QR$3,0)</f>
        <v>0</v>
      </c>
      <c r="FJ68" s="155">
        <f>MAX(_xlfn.MAXIFS(LandEmiss!$CO$20:$CO$119,LandEmiss!$CN$20:$CN$119,$FG68),_xlfn.MAXIFS(LandEmiss!$EZ$9:$EZ$108,LandEmiss!$EY$9:$EY$108,$FG68))*IFERROR($QR$3,0)</f>
        <v>0</v>
      </c>
      <c r="FK68" s="155">
        <f>IF(Tank2!$D$22="NO CONTROL",_xlfn.MAXIFS(Tank2!$G$32:$G$141,Tank2!$E$32:$E$141,$FG68),0)*IFERROR($QR$4,0)</f>
        <v>0</v>
      </c>
      <c r="FL68" s="155">
        <f>_xlfn.MAXIFS(LandEmiss!$AG$20:$AG$119,LandEmiss!$AE$20:$AE$119,$FG68)*IFERROR($QR$4,0)</f>
        <v>0</v>
      </c>
      <c r="FM68" s="155">
        <f>MAX(_xlfn.MAXIFS(LandEmiss!$CP$20:$CP$119,LandEmiss!$CN$20:$CN$119,$FG68),_xlfn.MAXIFS(LandEmiss!$FA$9:$FA$108,LandEmiss!$EY$9:$EY$108,$FG68))*IFERROR($QR$4,0)</f>
        <v>0</v>
      </c>
      <c r="FN68" s="155">
        <f>IF(Tank3!$D$22="NO CONTROL",_xlfn.MAXIFS(Tank3!$G$32:$G$141,Tank3!$E$32:$E$141,$FG68),0)*IFERROR($QR$5,0)</f>
        <v>0</v>
      </c>
      <c r="FO68" s="155">
        <f>_xlfn.MAXIFS(LandEmiss!$AH$20:$AH$119,LandEmiss!$AE$20:$AE$119,$FG68)*IFERROR($QR$5,0)</f>
        <v>0</v>
      </c>
      <c r="FP68" s="155">
        <f>MAX(_xlfn.MAXIFS(LandEmiss!$CQ$20:$CQ$119,LandEmiss!$CN$20:$CN$119,$FG68),_xlfn.MAXIFS(LandEmiss!$FB$9:$FB$108,LandEmiss!$EY$9:$EY$108,$FG68))*IFERROR($QR$5,0)</f>
        <v>0</v>
      </c>
      <c r="FQ68" s="155">
        <f>IF(Tank4!$D$22="NO CONTROL",_xlfn.MAXIFS(Tank4!$G$32:$G$141,Tank4!$E$32:$E$141,$FG68),0)*IFERROR($QR$6,0)</f>
        <v>0</v>
      </c>
      <c r="FR68" s="155">
        <f>_xlfn.MAXIFS(LandEmiss!$AI$20:$AI$119,LandEmiss!$AE$20:$AE$119,$FG68)*IFERROR($QR$6,0)</f>
        <v>0</v>
      </c>
      <c r="FS68" s="155">
        <f>MAX(_xlfn.MAXIFS(LandEmiss!$CR$20:$CR$119,LandEmiss!$CN$20:$CN$119,$FG68),_xlfn.MAXIFS(LandEmiss!$FC$9:$FC$108,LandEmiss!$EY$9:$EY$108,$FG68))*IFERROR($QR$6,0)</f>
        <v>0</v>
      </c>
      <c r="FT68" s="155">
        <f>IF(Tank5!$D$22="NO CONTROL",_xlfn.MAXIFS(Tank5!$G$32:$G$141,Tank5!$E$32:$E$141,$FG68),0)*IFERROR($QR$7,0)</f>
        <v>0</v>
      </c>
      <c r="FU68" s="155">
        <f>_xlfn.MAXIFS(LandEmiss!$AJ$20:$AJ$119,LandEmiss!$AE$20:$AE$119,$FG68)*IFERROR($QR$7,0)</f>
        <v>0</v>
      </c>
      <c r="FV68" s="155">
        <f>MAX(_xlfn.MAXIFS(LandEmiss!$CS$20:$CS$119,LandEmiss!$CN$20:$CN$119,$FG68),_xlfn.MAXIFS(LandEmiss!$FD$9:$FD$108,LandEmiss!$EY$9:$EY$108,$FG68))*IFERROR($QR73,0)</f>
        <v>0</v>
      </c>
      <c r="FW68" s="155">
        <f>_xlfn.MAXIFS('Load-DrumTote'!$K$27:$K$136,'Load-DrumTote'!$F$27:$F$136,$FG68)*IFERROR($QR$8,0)</f>
        <v>0</v>
      </c>
      <c r="FX68" s="155">
        <f>_xlfn.MAXIFS('Load-Truck'!$K$27:$K$136,'Load-Truck'!$F$27:$F$136,$FG68)*IFERROR($QR$9,0)</f>
        <v>0</v>
      </c>
      <c r="FY68" s="155">
        <f>_xlfn.MAXIFS('Load-Rail'!$K$27:$K$136,'Load-Rail'!$F$27:$F$136,$FG68)*IFERROR($QR$10,0)</f>
        <v>0</v>
      </c>
      <c r="FZ68" s="155">
        <f>_xlfn.MAXIFS('Load-MarineBarge'!$K$27:$K$136,'Load-MarineBarge'!$F$27:$F$136,$FG68)*IFERROR($QR$11,0)</f>
        <v>0</v>
      </c>
      <c r="GA68" s="155">
        <f>_xlfn.MAXIFS('Load-MarineShip'!$K$27:$K$136,'Load-MarineShip'!$F$27:$F$136,$FG68)*IFERROR($QR$12,0)</f>
        <v>0</v>
      </c>
      <c r="GB68" s="313">
        <f>IF(OR(Flare!$D$24="fuel gas",Flare!$D$38="fuel gas"),SUMIF(Flare!$E$97:$E$106,$FG68,Flare!$F$97:$F$106),0)*IFERROR($QR$13,0)</f>
        <v>0</v>
      </c>
      <c r="GC68" s="313">
        <f>(_xlfn.MAXIFS(CtrlDevImpacts!$I$57:$I$156,CtrlDevImpacts!$H$57:$H$156,$FG68))*IFERROR($QR$13,0)</f>
        <v>0</v>
      </c>
      <c r="GD68" s="313">
        <f>(_xlfn.MAXIFS(Flare!$F$107:$F$216,Flare!$E$107:$E$216,$FG68)-_xlfn.MAXIFS(CtrlDevImpacts!$I$57:$I$156,CtrlDevImpacts!$H$57:$H$156,$FG68))*IFERROR($QR$13,0)</f>
        <v>0</v>
      </c>
      <c r="GE68" s="155">
        <f>_xlfn.MAXIFS(LandEmiss!$B$335:$B$434,LandEmiss!$A$335:$A$434,$FG68)*IFERROR($QR$13,0)</f>
        <v>0</v>
      </c>
      <c r="GF68" s="155">
        <f>(_xlfn.MAXIFS(LandEmiss!$BK$335:$BK$434,LandEmiss!$BJ$335:$BJ$434,$FG68)+_xlfn.MAXIFS(LandEmiss!$DV$323:$DV$422,LandEmiss!$DU$323:$DU$422,$FG68))*IFERROR($QR$13,0)</f>
        <v>0</v>
      </c>
      <c r="GG68" s="313">
        <f>IF(OR(VCU!$D$26="fuel gas",VCU!$D$42="fuel gas"),SUMIF(VCU!$E$120:$E$129,$FG68,VCU!$F$120:$F$129),0)*IFERROR($QR$14,0)</f>
        <v>0</v>
      </c>
      <c r="GH68" s="313">
        <f>(_xlfn.MAXIFS(CtrlDevImpacts!$X$57:$X$156,CtrlDevImpacts!$W$57:$W$156,$FG68))*IFERROR($QR$14,0)</f>
        <v>0</v>
      </c>
      <c r="GI68" s="313">
        <f>(_xlfn.MAXIFS(VCU!$F$130:$F$239,VCU!$E$130:$E$239,$FG68)-_xlfn.MAXIFS(CtrlDevImpacts!$X$57:$X$156,CtrlDevImpacts!$W$57:$W$156,$FG68))*IFERROR($QR$14,0)</f>
        <v>0</v>
      </c>
      <c r="GJ68" s="155">
        <f>_xlfn.MAXIFS(LandEmiss!$D$335:$D$434,LandEmiss!$A$335:$A$434,$FG68)*IFERROR($QR$14,0)</f>
        <v>0</v>
      </c>
      <c r="GK68" s="155">
        <f>(_xlfn.MAXIFS(LandEmiss!$BM$335:$BM$434,LandEmiss!$BJ$335:$BJ$434,$FG68)+_xlfn.MAXIFS(LandEmiss!$DX$323:$DX$422,LandEmiss!$DU$323:$DU$422,$FG68))*IFERROR($QR$14,0)</f>
        <v>0</v>
      </c>
      <c r="GL68" s="313">
        <f>IF(VaporOxidizer!D99="FUEL GAS",SUMIF(VaporOxidizer!$E$101:$E$110,$FG68,VaporOxidizer!$F$101:$F$110),0)*IFERROR($QR$15,0)</f>
        <v>0</v>
      </c>
      <c r="GM68" s="313">
        <f>(_xlfn.MAXIFS(CtrlDevImpacts!$AN$57:$AN$156,CtrlDevImpacts!$AM$57:$AM$156,$FG68))*IFERROR($QR$15,0)</f>
        <v>0</v>
      </c>
      <c r="GN68" s="313">
        <f>(_xlfn.MAXIFS(VaporOxidizer!$F$111:$F$220,VaporOxidizer!$E$111:$E$220,$FG68)-_xlfn.MAXIFS(CtrlDevImpacts!$AN$57:$AN$156,CtrlDevImpacts!$AM$57:$AM$156,$FG68))*IFERROR($QR$15,0)</f>
        <v>0</v>
      </c>
      <c r="GO68" s="155">
        <f>_xlfn.MAXIFS(LandEmiss!$F$335:$F$434,LandEmiss!$A$335:$A$434,$FG68)*IFERROR($QR$15,0)</f>
        <v>0</v>
      </c>
      <c r="GP68" s="155">
        <f>(_xlfn.MAXIFS(LandEmiss!$BK$335:$BK$434,LandEmiss!$BO$335:$BO$434,$FG68)+_xlfn.MAXIFS(LandEmiss!$DZ$323:$DZ$422,LandEmiss!$DU$323:$DU$422,$FG68))*IFERROR($QR$15,0)</f>
        <v>0</v>
      </c>
      <c r="GQ68" s="313">
        <f>_xlfn.MAXIFS(CtrlDevImpacts!$BD$57:$BD$156,CtrlDevImpacts!$BC$57:$BC$156,$FG68)*IFERROR(Hidden!$QR$16,0)</f>
        <v>0</v>
      </c>
      <c r="GR68" s="313">
        <f>(_xlfn.MAXIFS(CAS!$H$35:$H$144,CAS!$E$35:$E$144,$FG68)-_xlfn.MAXIFS(CtrlDevImpacts!$BD$57:$BD$156,CtrlDevImpacts!$BC$57:$BC$156,$FG68))*IFERROR(Hidden!$QR$16,0)</f>
        <v>0</v>
      </c>
      <c r="GS68" s="155">
        <f>_xlfn.MAXIFS(LandEmiss!$H$335:$H$434,LandEmiss!$A$335:$A$434,$FG68)*IFERROR($QR$27,0)</f>
        <v>0</v>
      </c>
      <c r="GT68" s="155">
        <f>(_xlfn.MAXIFS(LandEmiss!$BK$335:$BK$434,LandEmiss!$BQ$335:$BQ$434,$FG68)+_xlfn.MAXIFS(LandEmiss!$EB$323:$EB$422,LandEmiss!$DU$323:$DU$422,$FG68))*IFERROR($QR$27,0)</f>
        <v>0</v>
      </c>
      <c r="GU68" s="155">
        <f>_xlfn.MAXIFS(LandEmiss!$J$335:$J$434,LandEmiss!$A$335:$A$434,$FG68)*IFERROR($QR$26,0)</f>
        <v>0</v>
      </c>
      <c r="GV68" s="155">
        <f>(_xlfn.MAXIFS(LandEmiss!$BK$335:$BK$434,LandEmiss!$BS$335:$BS$434,$FG68)+_xlfn.MAXIFS(LandEmiss!$ED$323:$ED$422,LandEmiss!$DU$323:$DU$422,$FG68))*IFERROR($QR$26,0)</f>
        <v>0</v>
      </c>
      <c r="GW68" s="155">
        <f>_xlfn.MAXIFS(LandEmiss!$L$335:$L$434,LandEmiss!$A$335:$A$434,$FG68)*IFERROR($QR$25,0)</f>
        <v>0</v>
      </c>
      <c r="GX68" s="155">
        <f>(_xlfn.MAXIFS(LandEmiss!$BK$335:$BK$434,LandEmiss!$BU$335:$BU$434,$FG68)+_xlfn.MAXIFS(LandEmiss!$EF$323:$EF$422,LandEmiss!$DU$323:$DU$422,$FG68))*IFERROR($QR$25,0)</f>
        <v>0</v>
      </c>
      <c r="GY68" s="155">
        <v>0</v>
      </c>
      <c r="GZ68" s="155">
        <v>0</v>
      </c>
      <c r="HA68" s="155">
        <f>IF(OR(HeaterBoiler1!$E$26&lt;&gt;"fuel gas",HeaterBoiler1!$E$15&lt;&gt;"heater"),0,SUMIF(HeaterBoiler1!$A$54:$D$63,$FG68,HeaterBoiler1!$I$54:$I$63))*IFERROR($QR$19,0)</f>
        <v>0</v>
      </c>
      <c r="HB68" s="207">
        <f>IF(OR(HeaterBoiler2!$E$26&lt;&gt;"fuel gas",HeaterBoiler2!$E$15&lt;&gt;"heater"),0,SUMIF(HeaterBoiler2!$A$54:$D$63,$FG68,HeaterBoiler2!$I$54:$I$63))*IFERROR($QR$21,0)</f>
        <v>0</v>
      </c>
      <c r="HC68" s="155">
        <f>IF(OR(HeaterBoiler1!$E$26&lt;&gt;"fuel gas",HeaterBoiler1!$E$15&lt;&gt;"boiler"),0,SUMIF(HeaterBoiler1!$A$41:$A$50,$FG68,HeaterBoiler1!$F$41:$F$50))*IFERROR($QR$20,0)</f>
        <v>0</v>
      </c>
      <c r="HD68" s="207">
        <f>IF(OR(HeaterBoiler2!$E$26&lt;&gt;"fuel gas",HeaterBoiler2!$E$15&lt;&gt;"boiler"),0,SUMIF(HeaterBoiler2!$A$41:$A$50,$FG68,HeaterBoiler2!$F$41:$F$50))*IFERROR($QR$22,0)</f>
        <v>0</v>
      </c>
      <c r="HE68" s="155">
        <f>SUMIF(Fug!$A$96:$A$205,$FG68,Fug!$I$96:$I$205)*IFERROR(Hidden!$QR$23,0)</f>
        <v>0</v>
      </c>
      <c r="HF68" s="155">
        <f t="shared" si="46"/>
        <v>0</v>
      </c>
      <c r="HG68" s="156">
        <f t="shared" si="47"/>
        <v>0</v>
      </c>
      <c r="HH68" s="156">
        <f t="shared" si="48"/>
        <v>0</v>
      </c>
      <c r="HI68" s="156">
        <f t="shared" si="49"/>
        <v>0</v>
      </c>
      <c r="HJ68" s="156">
        <f t="shared" si="50"/>
        <v>0</v>
      </c>
      <c r="HK68" s="156">
        <f t="shared" si="51"/>
        <v>0</v>
      </c>
      <c r="HL68" s="156">
        <f t="shared" si="52"/>
        <v>0</v>
      </c>
      <c r="NO68" s="155">
        <f>IF(Tank1!$D$22="No control",(SUMIF(Tank1!$E$32:$E$141,$FG68,Tank1!$H$32:$H$141)*(2000/8760)*IFERROR($QV$3,0)),0)</f>
        <v>0</v>
      </c>
      <c r="NP68" s="156">
        <f>SUMIF(LandEmiss!$AE$20:$AE$119,$FG68,LandEmiss!$AK$20:$AK$119)*(2000/8760)*IFERROR($QV$3,0)</f>
        <v>0</v>
      </c>
      <c r="NQ68" s="156">
        <f>(SUMIF(LandEmiss!$CN$20:$CN$119,$FG68,LandEmiss!$CT$20:$CT$119)+SUMIF(LandEmiss!$EY$9:$EY$108,$FG68,LandEmiss!$FE$9:$FE$108))*IFERROR($QV$3,0)*(2000/8760)</f>
        <v>0</v>
      </c>
      <c r="NR68" s="155">
        <f>IF(Tank2!$D$22="No control",(SUMIF(Tank2!$E$32:$E$141,$FG68,Tank2!$H$32:$H$141)*(2000/8760)*IFERROR($QV$4,0)),0)</f>
        <v>0</v>
      </c>
      <c r="NS68" s="156">
        <f>SUMIF(LandEmiss!$AE$20:$AE$119,$FG68,LandEmiss!$AL$20:$AL$119)*(2000/8760)*IFERROR($QV$4,0)</f>
        <v>0</v>
      </c>
      <c r="NT68" s="156">
        <f>(SUMIF(LandEmiss!$CN$20:$CN$119,$FG68,LandEmiss!$CU$20:$CU$119)+SUMIF(LandEmiss!$EY$9:$EY$108,$FG68,LandEmiss!$FF$9:$FF$108))*IFERROR($QV$4,0)*(2000/8760)</f>
        <v>0</v>
      </c>
      <c r="NU68" s="155">
        <f>IF(Tank3!$D$22="No control",(SUMIF(Tank3!$E$32:$E$141,$FG68,Tank3!$H$32:$H$141)*(2000/8760)*IFERROR($QV$5,0)),0)</f>
        <v>0</v>
      </c>
      <c r="NV68" s="156">
        <f>SUMIF(LandEmiss!$AE$20:$AE$119,$FG68,LandEmiss!$AM$20:$AM$119)*(2000/8760)*IFERROR($QV$5,0)</f>
        <v>0</v>
      </c>
      <c r="NW68" s="156">
        <f>(SUMIF(LandEmiss!$CN$20:$CN$119,$FG68,LandEmiss!$CV$20:$CV$119)+SUMIF(LandEmiss!$EY$9:$EY$108,$FG68,LandEmiss!$FG$9:$FG$108))*IFERROR($QV$5,0)*(2000/8760)</f>
        <v>0</v>
      </c>
      <c r="NX68" s="155">
        <f>IF(Tank4!$D$22="No control",(SUMIF(Tank4!$E$32:$E$141,$FG68,Tank4!$H$32:$H$141)*(2000/8760)*IFERROR($QV$6,0)),0)</f>
        <v>0</v>
      </c>
      <c r="NY68" s="156">
        <f>SUMIF(LandEmiss!$AE$20:$AE$119,$FG68,LandEmiss!$AN$20:$AN$119)*(2000/8760)*IFERROR($QV$6,0)</f>
        <v>0</v>
      </c>
      <c r="NZ68" s="156">
        <f>(SUMIF(LandEmiss!$CN$20:$CN$119,$FG68,LandEmiss!$CW$20:$CW$119)+SUMIF(LandEmiss!$EY$9:$EY$108,$FG68,LandEmiss!$FH$9:$FH$108))*IFERROR($QV$6,0)*(2000/8760)</f>
        <v>0</v>
      </c>
      <c r="OA68" s="155">
        <f>IF(Tank5!$D$22="No control",(SUMIF(Tank5!$E$32:$E$141,$FG68,Tank5!$H$32:$H$141)*(2000/8760)*IFERROR($QV$7,0)),0)</f>
        <v>0</v>
      </c>
      <c r="OB68" s="156">
        <f>SUMIF(LandEmiss!$AE$20:$AE$119,$FG68,LandEmiss!$AO$20:$AO$119)*(2000/8760)*IFERROR($QV$7,0)</f>
        <v>0</v>
      </c>
      <c r="OC68" s="156">
        <f>(SUMIF(LandEmiss!$CN$20:$CN$119,$FG68,LandEmiss!$CX$20:$CX$119)+SUMIF(LandEmiss!$EY$9:$EY$108,$FG68,LandEmiss!$FI$9:$FI$108))*IFERROR($QV$7,0)*(2000/8760)</f>
        <v>0</v>
      </c>
      <c r="OD68" s="155">
        <f>SUMIFS('Load-DrumTote'!$L$27:$L$136,'Load-DrumTote'!$F$27:$F$136,$FG68)*IFERROR($QV$8,0)*(2000/8760)</f>
        <v>0</v>
      </c>
      <c r="OE68" s="155">
        <f>SUMIFS('Load-Truck'!$L$27:$L$136,'Load-Truck'!$F$27:$F$136,$FG68)*IFERROR($QV$9,0)*(2000/8760)</f>
        <v>0</v>
      </c>
      <c r="OF68" s="155">
        <f>SUMIFS('Load-Rail'!$L$27:$L$136,'Load-Rail'!$F$27:$F$136,$FG68)*IFERROR($QV$10,0)*(2000/8760)</f>
        <v>0</v>
      </c>
      <c r="OG68" s="155">
        <f>SUMIFS('Load-MarineBarge'!$L$27:$L$136,'Load-MarineBarge'!$F$27:$F$136,$FG68)*IFERROR($QV$11,0)*(2000/8760)</f>
        <v>0</v>
      </c>
      <c r="OH68" s="155">
        <f>SUMIFS('Load-MarineShip'!$L$27:$L$136,'Load-MarineShip'!$F$27:$F$136,$FG68)*IFERROR($QV$12,0)*(2000/8760)</f>
        <v>0</v>
      </c>
      <c r="OI68" s="155">
        <f>(IF(OR(Flare!$D$24="FUEL GAS",Flare!$D$38="FUEL GAS"),SUMIF(Flare!$E$97:$E$106,$FG68,Flare!$G$97:$G$105),0)+SUMIF(Flare!$E$107:$E$216,$FG68,Flare!$G$107:$G$216))*(2000/8730)*IFERROR($QV$13,0)</f>
        <v>0</v>
      </c>
      <c r="OJ68" s="155">
        <f>SUMIF(LandEmiss!$A$335:$A$434,$FG68,LandEmiss!$C$335:$C$434)*(2000/8760)*IFERROR($QV$13,0)</f>
        <v>0</v>
      </c>
      <c r="OK68" s="155">
        <f>(SUMIF(LandEmiss!$BJ$335:$BJ$434,$FG68,LandEmiss!$BL$335:$BL$434)+SUMIF(LandEmiss!$DU$323:$DU$422,$FG68,LandEmiss!$DW$323:$DW$422))*(2000/8760)*IFERROR($QV$13,0)</f>
        <v>0</v>
      </c>
      <c r="OL68" s="155">
        <f>(IF(OR(VCU!$D$26="FUEL GAS",VCU!$D$42="FUEL GAS"),SUMIF(VCU!$E$120:$E$129,$FG68,VCU!$G$120:$G$129),0)+SUMIF(VCU!$E$130:$E$239,$FG68,VCU!G196:G305))*(2000/8760)*IFERROR($QV$14,0)</f>
        <v>0</v>
      </c>
      <c r="OM68" s="155">
        <f>SUMIF(LandEmiss!$A$335:$A$434,$FG68,LandEmiss!$E$335:$E$434)*(2000/8760)*IFERROR($QV$14,0)</f>
        <v>0</v>
      </c>
      <c r="ON68" s="155">
        <f>(SUMIF(LandEmiss!$BJ$335:$BJ$434,$FG68,LandEmiss!$BN$335:$BN$434)+SUMIF(LandEmiss!$DU$323:$DU$422,$FG68,LandEmiss!$DY$323:$DY$422))*(2000/8760)*IFERROR($QV$14,0)</f>
        <v>0</v>
      </c>
      <c r="OO68" s="155">
        <f>(IF(VaporOxidizer!$D$33="FUEL GAS",SUMIF(VaporOxidizer!$E$101:$E$110,$FG68,VaporOxidizer!$G$101:$G$110),0)+SUMIF(VaporOxidizer!$E$111:$E$220,$FG68,VaporOxidizer!$G$111:$G$220))*(2000/8760)*IFERROR($QV$15,0)</f>
        <v>0</v>
      </c>
      <c r="OP68" s="155">
        <f>SUMIF(LandEmiss!$A$335:$A$434,$FG68,LandEmiss!$G$335:$G$434)*(2000/8760)*IFERROR($QV$15,0)</f>
        <v>0</v>
      </c>
      <c r="OQ68" s="155">
        <f>(SUMIF(LandEmiss!$BJ$335:$BJ$434,$FG68,LandEmiss!$BP$335:$BP$434)+SUMIF(LandEmiss!$DU$323:$DU$422,$FG68,LandEmiss!$EA$323:$EA$422))*(2000/8760)*IFERROR($QV$15,0)</f>
        <v>0</v>
      </c>
      <c r="OR68" s="155">
        <f>SUMIF(CAS!$E$35:$E$144,Hidden!$FG68,CAS!$I$35:$I$144)*IFERROR($QV$16,0)*(2000/8760)</f>
        <v>0</v>
      </c>
      <c r="OS68" s="155">
        <f>SUMIF(LandEmiss!$A$335:$A$434,$FG68,LandEmiss!$I$335:$I$434)*(2000/8760)*IFERROR($QV$27,0)</f>
        <v>0</v>
      </c>
      <c r="OT68" s="155">
        <f>(SUMIF(LandEmiss!$BJ$335:$BJ$434,$FG68,LandEmiss!$BR$335:$BR$434)+SUMIF(LandEmiss!$DU$323:$DU$422,$FG68,LandEmiss!$EC$323:$EC$422))*(2000/8760)*IFERROR($QV$27,0)</f>
        <v>0</v>
      </c>
      <c r="OU68" s="155">
        <f>SUMIF(LandEmiss!$A$335:$A$434,$FG68,LandEmiss!$K$335:$K$434)*(2000/8760)*IFERROR($QV$26,0)</f>
        <v>0</v>
      </c>
      <c r="OV68" s="155">
        <f>(SUMIF(LandEmiss!$BJ$335:$BJ$434,$FG68,LandEmiss!$BT$335:$BT$434)+SUMIF(LandEmiss!$DU$323:$DU$422,$FG68,LandEmiss!$EE$323:$EE$422))*(2000/8760)*IFERROR($QV$26,0)</f>
        <v>0</v>
      </c>
      <c r="OW68" s="155">
        <f>SUMIF(LandEmiss!$A$335:$A$434,$FG68,LandEmiss!$M$335:$M$434)*(2000/8760)*IFERROR($QV$25,0)</f>
        <v>0</v>
      </c>
      <c r="OX68" s="155">
        <f>(SUMIF(LandEmiss!$BJ$335:$BJ$434,$FG68,LandEmiss!$BV$335:$BV$434)+SUMIF(LandEmiss!$DU$323:$DU$422,$FG68,LandEmiss!$EG$323:$EG$422))*(2000/8760)*IFERROR($QV$25,0)</f>
        <v>0</v>
      </c>
      <c r="OY68" s="8">
        <v>0</v>
      </c>
      <c r="OZ68" s="207">
        <v>0</v>
      </c>
      <c r="PA68" s="207">
        <f>IF(OR(HeaterBoiler1!$E$26&lt;&gt;"fuel gas",HeaterBoiler1!$E$15&lt;&gt;"heater"),0,(SUMIF(HeaterBoiler1!$A$54:$D$63,$FG68,HeaterBoiler1!$J$54:$J$63))*(2000/8760))*IFERROR($QV$19,0)</f>
        <v>0</v>
      </c>
      <c r="PB68" s="207">
        <f>IF(OR(HeaterBoiler2!$E$26&lt;&gt;"fuel gas",HeaterBoiler2!$E$15&lt;&gt;"heater"),0,(SUMIF(HeaterBoiler2!$A$54:$D$63,$FG68,HeaterBoiler2!$J$54:$J$63))*(2000/8760))*IFERROR($QV$21,0)</f>
        <v>0</v>
      </c>
      <c r="PC68" s="207">
        <f>IF(OR(HeaterBoiler1!$E$26&lt;&gt;"fuel gas",HeaterBoiler1!$E$15&lt;&gt;"boiler"),0,(SUMIF(HeaterBoiler1!$A$54:$D$63,$FG68,HeaterBoiler1!$J$54:$J$63))*(2000/8760))*IFERROR($QV$20,0)</f>
        <v>0</v>
      </c>
      <c r="PD68" s="207">
        <f>IF(OR(HeaterBoiler2!$E$26&lt;&gt;"fuel gas",HeaterBoiler2!$E$15&lt;&gt;"boiler"),0,(SUMIF(HeaterBoiler2!$A$54:$D$63,$FG68,HeaterBoiler2!$J$54:$J$63))*(2000/8760))*IFERROR($QV$22,0)</f>
        <v>0</v>
      </c>
      <c r="PE68" s="8">
        <f>(SUMIF(Fug!$A$96:$A$205,$FG68,Fug!$J$96:$J$205))*IFERROR($QV$23,0)*(2000/8760)</f>
        <v>0</v>
      </c>
      <c r="PF68" s="8">
        <f t="shared" si="53"/>
        <v>0</v>
      </c>
      <c r="PG68" s="156">
        <f t="shared" si="54"/>
        <v>0</v>
      </c>
      <c r="QX68" s="89" t="s">
        <v>9315</v>
      </c>
      <c r="QY68">
        <v>542.9</v>
      </c>
      <c r="QZ68">
        <v>409.4</v>
      </c>
      <c r="RA68">
        <v>346.1</v>
      </c>
      <c r="RB68">
        <v>199.8</v>
      </c>
      <c r="RC68">
        <v>134.30000000000001</v>
      </c>
      <c r="RD68">
        <v>104.1</v>
      </c>
      <c r="RE68">
        <v>96.65</v>
      </c>
      <c r="RF68">
        <v>71.56</v>
      </c>
      <c r="RG68" s="90">
        <v>60.15</v>
      </c>
      <c r="RH68" s="89" t="s">
        <v>9315</v>
      </c>
      <c r="RI68">
        <v>452.6</v>
      </c>
      <c r="RJ68">
        <v>242.9</v>
      </c>
      <c r="RK68">
        <v>148.1</v>
      </c>
      <c r="RL68">
        <v>102.3</v>
      </c>
      <c r="RM68">
        <v>87.88</v>
      </c>
      <c r="RN68">
        <v>77.98</v>
      </c>
      <c r="RO68">
        <v>73.709999999999994</v>
      </c>
      <c r="RP68">
        <v>58.25</v>
      </c>
      <c r="RQ68" s="90">
        <v>47.97</v>
      </c>
      <c r="RR68" s="89" t="s">
        <v>9315</v>
      </c>
      <c r="RS68">
        <v>288.89999999999998</v>
      </c>
      <c r="RT68">
        <v>163.6</v>
      </c>
      <c r="RU68">
        <v>107.8</v>
      </c>
      <c r="RV68">
        <v>70.86</v>
      </c>
      <c r="RW68">
        <v>54.51</v>
      </c>
      <c r="RX68">
        <v>47.56</v>
      </c>
      <c r="RY68">
        <v>42.27</v>
      </c>
      <c r="RZ68">
        <v>31.68</v>
      </c>
      <c r="SA68" s="90">
        <v>24.96</v>
      </c>
      <c r="SB68" s="89" t="s">
        <v>9315</v>
      </c>
      <c r="SC68">
        <v>151.80000000000001</v>
      </c>
      <c r="SD68">
        <v>83.72</v>
      </c>
      <c r="SE68">
        <v>53.78</v>
      </c>
      <c r="SF68">
        <v>38.93</v>
      </c>
      <c r="SG68">
        <v>31.29</v>
      </c>
      <c r="SH68">
        <v>25.92</v>
      </c>
      <c r="SI68">
        <v>21.88</v>
      </c>
      <c r="SJ68">
        <v>15.26</v>
      </c>
      <c r="SK68" s="90">
        <v>11.34</v>
      </c>
      <c r="SL68" s="89" t="s">
        <v>9315</v>
      </c>
      <c r="SM68">
        <v>43.53</v>
      </c>
      <c r="SN68">
        <v>23.6</v>
      </c>
      <c r="SO68">
        <v>15.21</v>
      </c>
      <c r="SP68">
        <v>11.38</v>
      </c>
      <c r="SQ68">
        <v>9.0399999999999991</v>
      </c>
      <c r="SR68">
        <v>7.11</v>
      </c>
      <c r="SS68">
        <v>5.65</v>
      </c>
      <c r="ST68">
        <v>3.44</v>
      </c>
      <c r="SU68" s="90">
        <v>2.31</v>
      </c>
    </row>
    <row r="69" spans="23:515" ht="74.25" customHeight="1" x14ac:dyDescent="0.2">
      <c r="W69">
        <f>IF(OR(X69=0,ISNUMBER(MATCH(X69,$X$1:X68,0))),0,MAX($W$1:W68)+1)</f>
        <v>0</v>
      </c>
      <c r="X69" s="123">
        <f>Products!$E116</f>
        <v>0</v>
      </c>
      <c r="Y69" t="str">
        <f t="shared" si="42"/>
        <v/>
      </c>
      <c r="CA69">
        <f>IF(OR(CB69=0,ISNUMBER(MATCH(CB69,$CB$1:CB68,0))),0,MAX($CA$1:CA68)+1)</f>
        <v>0</v>
      </c>
      <c r="CB69" s="8">
        <f>IF(OR(Tank1!$D$18="EXTERNAL FLOATING ROOF",Tank1!$D$18="INTERNAL FLOATING ROOF"),IF(Tank1!$E99="",0,Tank1!$E99),0)</f>
        <v>0</v>
      </c>
      <c r="CC69" s="8" t="str">
        <f t="shared" si="43"/>
        <v/>
      </c>
      <c r="CD69" s="8"/>
      <c r="CE69" s="8">
        <f>IF(OR(CF69=0,ISNUMBER(MATCH(CF69,$CF$1:CF68,0))),0,MAX($CE$1:CE68)+1)</f>
        <v>0</v>
      </c>
      <c r="CF69" s="8">
        <f>IF(OR(Tank1!$D$18="HORIZONTAL FIXED ROOF",Tank1!$D$18="VERTICAL FIXED ROOF"),IF(Tank1!$E99="",0,Tank1!$E99),0)</f>
        <v>0</v>
      </c>
      <c r="CG69" s="8" t="str">
        <f t="shared" si="44"/>
        <v/>
      </c>
      <c r="DM69">
        <f>IF(OR(DN69=0,ISNUMBER(MATCH(DN69,$DN$1:DN68,0))),0,MAX($DM$1:DM68)+1)</f>
        <v>0</v>
      </c>
      <c r="DN69">
        <f>IF('Load-Truck'!$F$19="Flare",IFERROR(VLOOKUP(Products!$A$129,'Load-Truck'!$A$27:$B$136,1,FALSE),0),0)</f>
        <v>0</v>
      </c>
      <c r="DO69">
        <f>IF($DN69=0,0,VLOOKUP($DN69,'Load-Truck'!$A$27:$N$136,13,FALSE))</f>
        <v>0</v>
      </c>
      <c r="DP69">
        <f>IF($DN69=0,0,VLOOKUP($DN69,'Load-Truck'!$A$27:$N$136,14,FALSE))</f>
        <v>0</v>
      </c>
      <c r="DU69">
        <f>IF(OR(DV69=0,ISNUMBER(MATCH(DV69,$DV$1:DV68,0))),0,MAX($DU$1:DU68)+1)</f>
        <v>0</v>
      </c>
      <c r="DV69">
        <f>IF('Load-Truck'!$F$19="VCU",IFERROR(VLOOKUP(Products!$A$129,'Load-Truck'!$A$27:$B$136,1,FALSE),0),0)</f>
        <v>0</v>
      </c>
      <c r="DW69">
        <f>IF($DV69=0,0,VLOOKUP($DV69,'Load-Truck'!$A$27:$N$136,13,FALSE))</f>
        <v>0</v>
      </c>
      <c r="DX69">
        <f>IF($DV69=0,0,VLOOKUP($DV69,'Load-Truck'!$A$27:$N$136,14,FALSE))</f>
        <v>0</v>
      </c>
      <c r="EC69">
        <f>IF(OR(ED69=0,ISNUMBER(MATCH(ED69,$ED$1:ED68,0))),0,MAX($EC$1:EC68)+1)</f>
        <v>0</v>
      </c>
      <c r="ED69">
        <f>IF('Load-Truck'!$F$19="vapor oxidizer",IFERROR(VLOOKUP(Products!$A$129,'Load-Truck'!$A$27:$B$136,1,FALSE),0),0)</f>
        <v>0</v>
      </c>
      <c r="EE69">
        <f>IF($ED69=0,0,VLOOKUP($ED69,'Load-Truck'!$A$27:$N$136,13,FALSE))</f>
        <v>0</v>
      </c>
      <c r="EF69">
        <f>IF($ED69=0,0,VLOOKUP($ED69,'Load-Truck'!$A$27:$N$136,14,FALSE))</f>
        <v>0</v>
      </c>
      <c r="EK69">
        <f>IF(OR(EL69=0,ISNUMBER(MATCH(EL69,$EL$1:EL68,0))),0,MAX($EK$1:EK68)+1)</f>
        <v>0</v>
      </c>
      <c r="EL69">
        <f>IF('Load-Truck'!$F$19="CAS",IFERROR(VLOOKUP(Products!A129,'Load-Truck'!$A$27:$B$136,1,FALSE),0),0)</f>
        <v>0</v>
      </c>
      <c r="EM69">
        <f>IF($EL69=0,0,VLOOKUP($EL69,'Load-Truck'!$A$27:$N$136,13,FALSE))</f>
        <v>0</v>
      </c>
      <c r="EN69">
        <f>IF($EL69=0,0,VLOOKUP($EL69,'Load-Truck'!$A$27:$N$136,14,FALSE))</f>
        <v>0</v>
      </c>
      <c r="FB69" s="8" t="s">
        <v>485</v>
      </c>
      <c r="FC69" s="8" t="s">
        <v>486</v>
      </c>
      <c r="FD69" s="8">
        <v>50</v>
      </c>
      <c r="FE69" s="8">
        <v>5</v>
      </c>
      <c r="FG69" s="360" t="str">
        <f t="shared" si="45"/>
        <v/>
      </c>
      <c r="FH69" s="155">
        <f>IF(Tank1!$D$22="NO CONTROL",_xlfn.MAXIFS(Tank1!$G$32:$G$141,Tank1!$E$32:$E$141,$FG69),0)*IFERROR($QR$3,0)</f>
        <v>0</v>
      </c>
      <c r="FI69" s="155">
        <f>_xlfn.MAXIFS(LandEmiss!$AF$20:$AF$119,LandEmiss!$AE$20:$AE$119,$FG69)*IFERROR($QR$3,0)</f>
        <v>0</v>
      </c>
      <c r="FJ69" s="155">
        <f>MAX(_xlfn.MAXIFS(LandEmiss!$CO$20:$CO$119,LandEmiss!$CN$20:$CN$119,$FG69),_xlfn.MAXIFS(LandEmiss!$EZ$9:$EZ$108,LandEmiss!$EY$9:$EY$108,$FG69))*IFERROR($QR$3,0)</f>
        <v>0</v>
      </c>
      <c r="FK69" s="155">
        <f>IF(Tank2!$D$22="NO CONTROL",_xlfn.MAXIFS(Tank2!$G$32:$G$141,Tank2!$E$32:$E$141,$FG69),0)*IFERROR($QR$4,0)</f>
        <v>0</v>
      </c>
      <c r="FL69" s="155">
        <f>_xlfn.MAXIFS(LandEmiss!$AG$20:$AG$119,LandEmiss!$AE$20:$AE$119,$FG69)*IFERROR($QR$4,0)</f>
        <v>0</v>
      </c>
      <c r="FM69" s="155">
        <f>MAX(_xlfn.MAXIFS(LandEmiss!$CP$20:$CP$119,LandEmiss!$CN$20:$CN$119,$FG69),_xlfn.MAXIFS(LandEmiss!$FA$9:$FA$108,LandEmiss!$EY$9:$EY$108,$FG69))*IFERROR($QR$4,0)</f>
        <v>0</v>
      </c>
      <c r="FN69" s="155">
        <f>IF(Tank3!$D$22="NO CONTROL",_xlfn.MAXIFS(Tank3!$G$32:$G$141,Tank3!$E$32:$E$141,$FG69),0)*IFERROR($QR$5,0)</f>
        <v>0</v>
      </c>
      <c r="FO69" s="155">
        <f>_xlfn.MAXIFS(LandEmiss!$AH$20:$AH$119,LandEmiss!$AE$20:$AE$119,$FG69)*IFERROR($QR$5,0)</f>
        <v>0</v>
      </c>
      <c r="FP69" s="155">
        <f>MAX(_xlfn.MAXIFS(LandEmiss!$CQ$20:$CQ$119,LandEmiss!$CN$20:$CN$119,$FG69),_xlfn.MAXIFS(LandEmiss!$FB$9:$FB$108,LandEmiss!$EY$9:$EY$108,$FG69))*IFERROR($QR$5,0)</f>
        <v>0</v>
      </c>
      <c r="FQ69" s="155">
        <f>IF(Tank4!$D$22="NO CONTROL",_xlfn.MAXIFS(Tank4!$G$32:$G$141,Tank4!$E$32:$E$141,$FG69),0)*IFERROR($QR$6,0)</f>
        <v>0</v>
      </c>
      <c r="FR69" s="155">
        <f>_xlfn.MAXIFS(LandEmiss!$AI$20:$AI$119,LandEmiss!$AE$20:$AE$119,$FG69)*IFERROR($QR$6,0)</f>
        <v>0</v>
      </c>
      <c r="FS69" s="155">
        <f>MAX(_xlfn.MAXIFS(LandEmiss!$CR$20:$CR$119,LandEmiss!$CN$20:$CN$119,$FG69),_xlfn.MAXIFS(LandEmiss!$FC$9:$FC$108,LandEmiss!$EY$9:$EY$108,$FG69))*IFERROR($QR$6,0)</f>
        <v>0</v>
      </c>
      <c r="FT69" s="155">
        <f>IF(Tank5!$D$22="NO CONTROL",_xlfn.MAXIFS(Tank5!$G$32:$G$141,Tank5!$E$32:$E$141,$FG69),0)*IFERROR($QR$7,0)</f>
        <v>0</v>
      </c>
      <c r="FU69" s="155">
        <f>_xlfn.MAXIFS(LandEmiss!$AJ$20:$AJ$119,LandEmiss!$AE$20:$AE$119,$FG69)*IFERROR($QR$7,0)</f>
        <v>0</v>
      </c>
      <c r="FV69" s="155">
        <f>MAX(_xlfn.MAXIFS(LandEmiss!$CS$20:$CS$119,LandEmiss!$CN$20:$CN$119,$FG69),_xlfn.MAXIFS(LandEmiss!$FD$9:$FD$108,LandEmiss!$EY$9:$EY$108,$FG69))*IFERROR($QR74,0)</f>
        <v>0</v>
      </c>
      <c r="FW69" s="155">
        <f>_xlfn.MAXIFS('Load-DrumTote'!$K$27:$K$136,'Load-DrumTote'!$F$27:$F$136,$FG69)*IFERROR($QR$8,0)</f>
        <v>0</v>
      </c>
      <c r="FX69" s="155">
        <f>_xlfn.MAXIFS('Load-Truck'!$K$27:$K$136,'Load-Truck'!$F$27:$F$136,$FG69)*IFERROR($QR$9,0)</f>
        <v>0</v>
      </c>
      <c r="FY69" s="155">
        <f>_xlfn.MAXIFS('Load-Rail'!$K$27:$K$136,'Load-Rail'!$F$27:$F$136,$FG69)*IFERROR($QR$10,0)</f>
        <v>0</v>
      </c>
      <c r="FZ69" s="155">
        <f>_xlfn.MAXIFS('Load-MarineBarge'!$K$27:$K$136,'Load-MarineBarge'!$F$27:$F$136,$FG69)*IFERROR($QR$11,0)</f>
        <v>0</v>
      </c>
      <c r="GA69" s="155">
        <f>_xlfn.MAXIFS('Load-MarineShip'!$K$27:$K$136,'Load-MarineShip'!$F$27:$F$136,$FG69)*IFERROR($QR$12,0)</f>
        <v>0</v>
      </c>
      <c r="GB69" s="313">
        <f>IF(OR(Flare!$D$24="fuel gas",Flare!$D$38="fuel gas"),SUMIF(Flare!$E$97:$E$106,$FG69,Flare!$F$97:$F$106),0)*IFERROR($QR$13,0)</f>
        <v>0</v>
      </c>
      <c r="GC69" s="313">
        <f>(_xlfn.MAXIFS(CtrlDevImpacts!$I$57:$I$156,CtrlDevImpacts!$H$57:$H$156,$FG69))*IFERROR($QR$13,0)</f>
        <v>0</v>
      </c>
      <c r="GD69" s="313">
        <f>(_xlfn.MAXIFS(Flare!$F$107:$F$216,Flare!$E$107:$E$216,$FG69)-_xlfn.MAXIFS(CtrlDevImpacts!$I$57:$I$156,CtrlDevImpacts!$H$57:$H$156,$FG69))*IFERROR($QR$13,0)</f>
        <v>0</v>
      </c>
      <c r="GE69" s="155">
        <f>_xlfn.MAXIFS(LandEmiss!$B$335:$B$434,LandEmiss!$A$335:$A$434,$FG69)*IFERROR($QR$13,0)</f>
        <v>0</v>
      </c>
      <c r="GF69" s="155">
        <f>(_xlfn.MAXIFS(LandEmiss!$BK$335:$BK$434,LandEmiss!$BJ$335:$BJ$434,$FG69)+_xlfn.MAXIFS(LandEmiss!$DV$323:$DV$422,LandEmiss!$DU$323:$DU$422,$FG69))*IFERROR($QR$13,0)</f>
        <v>0</v>
      </c>
      <c r="GG69" s="313">
        <f>IF(OR(VCU!$D$26="fuel gas",VCU!$D$42="fuel gas"),SUMIF(VCU!$E$120:$E$129,$FG69,VCU!$F$120:$F$129),0)*IFERROR($QR$14,0)</f>
        <v>0</v>
      </c>
      <c r="GH69" s="313">
        <f>(_xlfn.MAXIFS(CtrlDevImpacts!$X$57:$X$156,CtrlDevImpacts!$W$57:$W$156,$FG69))*IFERROR($QR$14,0)</f>
        <v>0</v>
      </c>
      <c r="GI69" s="313">
        <f>(_xlfn.MAXIFS(VCU!$F$130:$F$239,VCU!$E$130:$E$239,$FG69)-_xlfn.MAXIFS(CtrlDevImpacts!$X$57:$X$156,CtrlDevImpacts!$W$57:$W$156,$FG69))*IFERROR($QR$14,0)</f>
        <v>0</v>
      </c>
      <c r="GJ69" s="155">
        <f>_xlfn.MAXIFS(LandEmiss!$D$335:$D$434,LandEmiss!$A$335:$A$434,$FG69)*IFERROR($QR$14,0)</f>
        <v>0</v>
      </c>
      <c r="GK69" s="155">
        <f>(_xlfn.MAXIFS(LandEmiss!$BM$335:$BM$434,LandEmiss!$BJ$335:$BJ$434,$FG69)+_xlfn.MAXIFS(LandEmiss!$DX$323:$DX$422,LandEmiss!$DU$323:$DU$422,$FG69))*IFERROR($QR$14,0)</f>
        <v>0</v>
      </c>
      <c r="GL69" s="313">
        <f>IF(VaporOxidizer!D100="FUEL GAS",SUMIF(VaporOxidizer!$E$101:$E$110,$FG69,VaporOxidizer!$F$101:$F$110),0)*IFERROR($QR$15,0)</f>
        <v>0</v>
      </c>
      <c r="GM69" s="313">
        <f>(_xlfn.MAXIFS(CtrlDevImpacts!$AN$57:$AN$156,CtrlDevImpacts!$AM$57:$AM$156,$FG69))*IFERROR($QR$15,0)</f>
        <v>0</v>
      </c>
      <c r="GN69" s="313">
        <f>(_xlfn.MAXIFS(VaporOxidizer!$F$111:$F$220,VaporOxidizer!$E$111:$E$220,$FG69)-_xlfn.MAXIFS(CtrlDevImpacts!$AN$57:$AN$156,CtrlDevImpacts!$AM$57:$AM$156,$FG69))*IFERROR($QR$15,0)</f>
        <v>0</v>
      </c>
      <c r="GO69" s="155">
        <f>_xlfn.MAXIFS(LandEmiss!$F$335:$F$434,LandEmiss!$A$335:$A$434,$FG69)*IFERROR($QR$15,0)</f>
        <v>0</v>
      </c>
      <c r="GP69" s="155">
        <f>(_xlfn.MAXIFS(LandEmiss!$BK$335:$BK$434,LandEmiss!$BO$335:$BO$434,$FG69)+_xlfn.MAXIFS(LandEmiss!$DZ$323:$DZ$422,LandEmiss!$DU$323:$DU$422,$FG69))*IFERROR($QR$15,0)</f>
        <v>0</v>
      </c>
      <c r="GQ69" s="313">
        <f>_xlfn.MAXIFS(CtrlDevImpacts!$BD$57:$BD$156,CtrlDevImpacts!$BC$57:$BC$156,$FG69)*IFERROR(Hidden!$QR$16,0)</f>
        <v>0</v>
      </c>
      <c r="GR69" s="313">
        <f>(_xlfn.MAXIFS(CAS!$H$35:$H$144,CAS!$E$35:$E$144,$FG69)-_xlfn.MAXIFS(CtrlDevImpacts!$BD$57:$BD$156,CtrlDevImpacts!$BC$57:$BC$156,$FG69))*IFERROR(Hidden!$QR$16,0)</f>
        <v>0</v>
      </c>
      <c r="GS69" s="155">
        <f>_xlfn.MAXIFS(LandEmiss!$H$335:$H$434,LandEmiss!$A$335:$A$434,$FG69)*IFERROR($QR$27,0)</f>
        <v>0</v>
      </c>
      <c r="GT69" s="155">
        <f>(_xlfn.MAXIFS(LandEmiss!$BK$335:$BK$434,LandEmiss!$BQ$335:$BQ$434,$FG69)+_xlfn.MAXIFS(LandEmiss!$EB$323:$EB$422,LandEmiss!$DU$323:$DU$422,$FG69))*IFERROR($QR$27,0)</f>
        <v>0</v>
      </c>
      <c r="GU69" s="155">
        <f>_xlfn.MAXIFS(LandEmiss!$J$335:$J$434,LandEmiss!$A$335:$A$434,$FG69)*IFERROR($QR$26,0)</f>
        <v>0</v>
      </c>
      <c r="GV69" s="155">
        <f>(_xlfn.MAXIFS(LandEmiss!$BK$335:$BK$434,LandEmiss!$BS$335:$BS$434,$FG69)+_xlfn.MAXIFS(LandEmiss!$ED$323:$ED$422,LandEmiss!$DU$323:$DU$422,$FG69))*IFERROR($QR$26,0)</f>
        <v>0</v>
      </c>
      <c r="GW69" s="155">
        <f>_xlfn.MAXIFS(LandEmiss!$L$335:$L$434,LandEmiss!$A$335:$A$434,$FG69)*IFERROR($QR$25,0)</f>
        <v>0</v>
      </c>
      <c r="GX69" s="155">
        <f>(_xlfn.MAXIFS(LandEmiss!$BK$335:$BK$434,LandEmiss!$BU$335:$BU$434,$FG69)+_xlfn.MAXIFS(LandEmiss!$EF$323:$EF$422,LandEmiss!$DU$323:$DU$422,$FG69))*IFERROR($QR$25,0)</f>
        <v>0</v>
      </c>
      <c r="GY69" s="155">
        <v>0</v>
      </c>
      <c r="GZ69" s="155">
        <v>0</v>
      </c>
      <c r="HA69" s="155">
        <f>IF(OR(HeaterBoiler1!$E$26&lt;&gt;"fuel gas",HeaterBoiler1!$E$15&lt;&gt;"heater"),0,SUMIF(HeaterBoiler1!$A$54:$D$63,$FG69,HeaterBoiler1!$I$54:$I$63))*IFERROR($QR$19,0)</f>
        <v>0</v>
      </c>
      <c r="HB69" s="207">
        <f>IF(OR(HeaterBoiler2!$E$26&lt;&gt;"fuel gas",HeaterBoiler2!$E$15&lt;&gt;"heater"),0,SUMIF(HeaterBoiler2!$A$54:$D$63,$FG69,HeaterBoiler2!$I$54:$I$63))*IFERROR($QR$21,0)</f>
        <v>0</v>
      </c>
      <c r="HC69" s="155">
        <f>IF(OR(HeaterBoiler1!$E$26&lt;&gt;"fuel gas",HeaterBoiler1!$E$15&lt;&gt;"boiler"),0,SUMIF(HeaterBoiler1!$A$41:$A$50,$FG69,HeaterBoiler1!$F$41:$F$50))*IFERROR($QR$20,0)</f>
        <v>0</v>
      </c>
      <c r="HD69" s="207">
        <f>IF(OR(HeaterBoiler2!$E$26&lt;&gt;"fuel gas",HeaterBoiler2!$E$15&lt;&gt;"boiler"),0,SUMIF(HeaterBoiler2!$A$41:$A$50,$FG69,HeaterBoiler2!$F$41:$F$50))*IFERROR($QR$22,0)</f>
        <v>0</v>
      </c>
      <c r="HE69" s="155">
        <f>SUMIF(Fug!$A$96:$A$205,$FG69,Fug!$I$96:$I$205)*IFERROR(Hidden!$QR$23,0)</f>
        <v>0</v>
      </c>
      <c r="HF69" s="155">
        <f t="shared" si="46"/>
        <v>0</v>
      </c>
      <c r="HG69" s="156">
        <f t="shared" si="47"/>
        <v>0</v>
      </c>
      <c r="HH69" s="156">
        <f t="shared" si="48"/>
        <v>0</v>
      </c>
      <c r="HI69" s="156">
        <f t="shared" si="49"/>
        <v>0</v>
      </c>
      <c r="HJ69" s="156">
        <f t="shared" si="50"/>
        <v>0</v>
      </c>
      <c r="HK69" s="156">
        <f t="shared" si="51"/>
        <v>0</v>
      </c>
      <c r="HL69" s="156">
        <f t="shared" si="52"/>
        <v>0</v>
      </c>
      <c r="NO69" s="155">
        <f>IF(Tank1!$D$22="No control",(SUMIF(Tank1!$E$32:$E$141,$FG69,Tank1!$H$32:$H$141)*(2000/8760)*IFERROR($QV$3,0)),0)</f>
        <v>0</v>
      </c>
      <c r="NP69" s="156">
        <f>SUMIF(LandEmiss!$AE$20:$AE$119,$FG69,LandEmiss!$AK$20:$AK$119)*(2000/8760)*IFERROR($QV$3,0)</f>
        <v>0</v>
      </c>
      <c r="NQ69" s="156">
        <f>(SUMIF(LandEmiss!$CN$20:$CN$119,$FG69,LandEmiss!$CT$20:$CT$119)+SUMIF(LandEmiss!$EY$9:$EY$108,$FG69,LandEmiss!$FE$9:$FE$108))*IFERROR($QV$3,0)*(2000/8760)</f>
        <v>0</v>
      </c>
      <c r="NR69" s="155">
        <f>IF(Tank2!$D$22="No control",(SUMIF(Tank2!$E$32:$E$141,$FG69,Tank2!$H$32:$H$141)*(2000/8760)*IFERROR($QV$4,0)),0)</f>
        <v>0</v>
      </c>
      <c r="NS69" s="156">
        <f>SUMIF(LandEmiss!$AE$20:$AE$119,$FG69,LandEmiss!$AL$20:$AL$119)*(2000/8760)*IFERROR($QV$4,0)</f>
        <v>0</v>
      </c>
      <c r="NT69" s="156">
        <f>(SUMIF(LandEmiss!$CN$20:$CN$119,$FG69,LandEmiss!$CU$20:$CU$119)+SUMIF(LandEmiss!$EY$9:$EY$108,$FG69,LandEmiss!$FF$9:$FF$108))*IFERROR($QV$4,0)*(2000/8760)</f>
        <v>0</v>
      </c>
      <c r="NU69" s="155">
        <f>IF(Tank3!$D$22="No control",(SUMIF(Tank3!$E$32:$E$141,$FG69,Tank3!$H$32:$H$141)*(2000/8760)*IFERROR($QV$5,0)),0)</f>
        <v>0</v>
      </c>
      <c r="NV69" s="156">
        <f>SUMIF(LandEmiss!$AE$20:$AE$119,$FG69,LandEmiss!$AM$20:$AM$119)*(2000/8760)*IFERROR($QV$5,0)</f>
        <v>0</v>
      </c>
      <c r="NW69" s="156">
        <f>(SUMIF(LandEmiss!$CN$20:$CN$119,$FG69,LandEmiss!$CV$20:$CV$119)+SUMIF(LandEmiss!$EY$9:$EY$108,$FG69,LandEmiss!$FG$9:$FG$108))*IFERROR($QV$5,0)*(2000/8760)</f>
        <v>0</v>
      </c>
      <c r="NX69" s="155">
        <f>IF(Tank4!$D$22="No control",(SUMIF(Tank4!$E$32:$E$141,$FG69,Tank4!$H$32:$H$141)*(2000/8760)*IFERROR($QV$6,0)),0)</f>
        <v>0</v>
      </c>
      <c r="NY69" s="156">
        <f>SUMIF(LandEmiss!$AE$20:$AE$119,$FG69,LandEmiss!$AN$20:$AN$119)*(2000/8760)*IFERROR($QV$6,0)</f>
        <v>0</v>
      </c>
      <c r="NZ69" s="156">
        <f>(SUMIF(LandEmiss!$CN$20:$CN$119,$FG69,LandEmiss!$CW$20:$CW$119)+SUMIF(LandEmiss!$EY$9:$EY$108,$FG69,LandEmiss!$FH$9:$FH$108))*IFERROR($QV$6,0)*(2000/8760)</f>
        <v>0</v>
      </c>
      <c r="OA69" s="155">
        <f>IF(Tank5!$D$22="No control",(SUMIF(Tank5!$E$32:$E$141,$FG69,Tank5!$H$32:$H$141)*(2000/8760)*IFERROR($QV$7,0)),0)</f>
        <v>0</v>
      </c>
      <c r="OB69" s="156">
        <f>SUMIF(LandEmiss!$AE$20:$AE$119,$FG69,LandEmiss!$AO$20:$AO$119)*(2000/8760)*IFERROR($QV$7,0)</f>
        <v>0</v>
      </c>
      <c r="OC69" s="156">
        <f>(SUMIF(LandEmiss!$CN$20:$CN$119,$FG69,LandEmiss!$CX$20:$CX$119)+SUMIF(LandEmiss!$EY$9:$EY$108,$FG69,LandEmiss!$FI$9:$FI$108))*IFERROR($QV$7,0)*(2000/8760)</f>
        <v>0</v>
      </c>
      <c r="OD69" s="155">
        <f>SUMIFS('Load-DrumTote'!$L$27:$L$136,'Load-DrumTote'!$F$27:$F$136,$FG69)*IFERROR($QV$8,0)*(2000/8760)</f>
        <v>0</v>
      </c>
      <c r="OE69" s="155">
        <f>SUMIFS('Load-Truck'!$L$27:$L$136,'Load-Truck'!$F$27:$F$136,$FG69)*IFERROR($QV$9,0)*(2000/8760)</f>
        <v>0</v>
      </c>
      <c r="OF69" s="155">
        <f>SUMIFS('Load-Rail'!$L$27:$L$136,'Load-Rail'!$F$27:$F$136,$FG69)*IFERROR($QV$10,0)*(2000/8760)</f>
        <v>0</v>
      </c>
      <c r="OG69" s="155">
        <f>SUMIFS('Load-MarineBarge'!$L$27:$L$136,'Load-MarineBarge'!$F$27:$F$136,$FG69)*IFERROR($QV$11,0)*(2000/8760)</f>
        <v>0</v>
      </c>
      <c r="OH69" s="155">
        <f>SUMIFS('Load-MarineShip'!$L$27:$L$136,'Load-MarineShip'!$F$27:$F$136,$FG69)*IFERROR($QV$12,0)*(2000/8760)</f>
        <v>0</v>
      </c>
      <c r="OI69" s="155">
        <f>(IF(OR(Flare!$D$24="FUEL GAS",Flare!$D$38="FUEL GAS"),SUMIF(Flare!$E$97:$E$106,$FG69,Flare!$G$97:$G$105),0)+SUMIF(Flare!$E$107:$E$216,$FG69,Flare!$G$107:$G$216))*(2000/8730)*IFERROR($QV$13,0)</f>
        <v>0</v>
      </c>
      <c r="OJ69" s="155">
        <f>SUMIF(LandEmiss!$A$335:$A$434,$FG69,LandEmiss!$C$335:$C$434)*(2000/8760)*IFERROR($QV$13,0)</f>
        <v>0</v>
      </c>
      <c r="OK69" s="155">
        <f>(SUMIF(LandEmiss!$BJ$335:$BJ$434,$FG69,LandEmiss!$BL$335:$BL$434)+SUMIF(LandEmiss!$DU$323:$DU$422,$FG69,LandEmiss!$DW$323:$DW$422))*(2000/8760)*IFERROR($QV$13,0)</f>
        <v>0</v>
      </c>
      <c r="OL69" s="155">
        <f>(IF(OR(VCU!$D$26="FUEL GAS",VCU!$D$42="FUEL GAS"),SUMIF(VCU!$E$120:$E$129,$FG69,VCU!$G$120:$G$129),0)+SUMIF(VCU!$E$130:$E$239,$FG69,VCU!G197:G306))*(2000/8760)*IFERROR($QV$14,0)</f>
        <v>0</v>
      </c>
      <c r="OM69" s="155">
        <f>SUMIF(LandEmiss!$A$335:$A$434,$FG69,LandEmiss!$E$335:$E$434)*(2000/8760)*IFERROR($QV$14,0)</f>
        <v>0</v>
      </c>
      <c r="ON69" s="155">
        <f>(SUMIF(LandEmiss!$BJ$335:$BJ$434,$FG69,LandEmiss!$BN$335:$BN$434)+SUMIF(LandEmiss!$DU$323:$DU$422,$FG69,LandEmiss!$DY$323:$DY$422))*(2000/8760)*IFERROR($QV$14,0)</f>
        <v>0</v>
      </c>
      <c r="OO69" s="155">
        <f>(IF(VaporOxidizer!$D$33="FUEL GAS",SUMIF(VaporOxidizer!$E$101:$E$110,$FG69,VaporOxidizer!$G$101:$G$110),0)+SUMIF(VaporOxidizer!$E$111:$E$220,$FG69,VaporOxidizer!$G$111:$G$220))*(2000/8760)*IFERROR($QV$15,0)</f>
        <v>0</v>
      </c>
      <c r="OP69" s="155">
        <f>SUMIF(LandEmiss!$A$335:$A$434,$FG69,LandEmiss!$G$335:$G$434)*(2000/8760)*IFERROR($QV$15,0)</f>
        <v>0</v>
      </c>
      <c r="OQ69" s="155">
        <f>(SUMIF(LandEmiss!$BJ$335:$BJ$434,$FG69,LandEmiss!$BP$335:$BP$434)+SUMIF(LandEmiss!$DU$323:$DU$422,$FG69,LandEmiss!$EA$323:$EA$422))*(2000/8760)*IFERROR($QV$15,0)</f>
        <v>0</v>
      </c>
      <c r="OR69" s="155">
        <f>SUMIF(CAS!$E$35:$E$144,Hidden!$FG69,CAS!$I$35:$I$144)*IFERROR($QV$16,0)*(2000/8760)</f>
        <v>0</v>
      </c>
      <c r="OS69" s="155">
        <f>SUMIF(LandEmiss!$A$335:$A$434,$FG69,LandEmiss!$I$335:$I$434)*(2000/8760)*IFERROR($QV$27,0)</f>
        <v>0</v>
      </c>
      <c r="OT69" s="155">
        <f>(SUMIF(LandEmiss!$BJ$335:$BJ$434,$FG69,LandEmiss!$BR$335:$BR$434)+SUMIF(LandEmiss!$DU$323:$DU$422,$FG69,LandEmiss!$EC$323:$EC$422))*(2000/8760)*IFERROR($QV$27,0)</f>
        <v>0</v>
      </c>
      <c r="OU69" s="155">
        <f>SUMIF(LandEmiss!$A$335:$A$434,$FG69,LandEmiss!$K$335:$K$434)*(2000/8760)*IFERROR($QV$26,0)</f>
        <v>0</v>
      </c>
      <c r="OV69" s="155">
        <f>(SUMIF(LandEmiss!$BJ$335:$BJ$434,$FG69,LandEmiss!$BT$335:$BT$434)+SUMIF(LandEmiss!$DU$323:$DU$422,$FG69,LandEmiss!$EE$323:$EE$422))*(2000/8760)*IFERROR($QV$26,0)</f>
        <v>0</v>
      </c>
      <c r="OW69" s="155">
        <f>SUMIF(LandEmiss!$A$335:$A$434,$FG69,LandEmiss!$M$335:$M$434)*(2000/8760)*IFERROR($QV$25,0)</f>
        <v>0</v>
      </c>
      <c r="OX69" s="155">
        <f>(SUMIF(LandEmiss!$BJ$335:$BJ$434,$FG69,LandEmiss!$BV$335:$BV$434)+SUMIF(LandEmiss!$DU$323:$DU$422,$FG69,LandEmiss!$EG$323:$EG$422))*(2000/8760)*IFERROR($QV$25,0)</f>
        <v>0</v>
      </c>
      <c r="OY69" s="8">
        <v>0</v>
      </c>
      <c r="OZ69" s="207">
        <v>0</v>
      </c>
      <c r="PA69" s="207">
        <f>IF(OR(HeaterBoiler1!$E$26&lt;&gt;"fuel gas",HeaterBoiler1!$E$15&lt;&gt;"heater"),0,(SUMIF(HeaterBoiler1!$A$54:$D$63,$FG69,HeaterBoiler1!$J$54:$J$63))*(2000/8760))*IFERROR($QV$19,0)</f>
        <v>0</v>
      </c>
      <c r="PB69" s="207">
        <f>IF(OR(HeaterBoiler2!$E$26&lt;&gt;"fuel gas",HeaterBoiler2!$E$15&lt;&gt;"heater"),0,(SUMIF(HeaterBoiler2!$A$54:$D$63,$FG69,HeaterBoiler2!$J$54:$J$63))*(2000/8760))*IFERROR($QV$21,0)</f>
        <v>0</v>
      </c>
      <c r="PC69" s="207">
        <f>IF(OR(HeaterBoiler1!$E$26&lt;&gt;"fuel gas",HeaterBoiler1!$E$15&lt;&gt;"boiler"),0,(SUMIF(HeaterBoiler1!$A$54:$D$63,$FG69,HeaterBoiler1!$J$54:$J$63))*(2000/8760))*IFERROR($QV$20,0)</f>
        <v>0</v>
      </c>
      <c r="PD69" s="207">
        <f>IF(OR(HeaterBoiler2!$E$26&lt;&gt;"fuel gas",HeaterBoiler2!$E$15&lt;&gt;"boiler"),0,(SUMIF(HeaterBoiler2!$A$54:$D$63,$FG69,HeaterBoiler2!$J$54:$J$63))*(2000/8760))*IFERROR($QV$22,0)</f>
        <v>0</v>
      </c>
      <c r="PE69" s="8">
        <f>(SUMIF(Fug!$A$96:$A$205,$FG69,Fug!$J$96:$J$205))*IFERROR($QV$23,0)*(2000/8760)</f>
        <v>0</v>
      </c>
      <c r="PF69" s="8">
        <f t="shared" si="53"/>
        <v>0</v>
      </c>
      <c r="PG69" s="156">
        <f t="shared" si="54"/>
        <v>0</v>
      </c>
      <c r="QX69" s="89" t="s">
        <v>9316</v>
      </c>
      <c r="QY69">
        <v>454.2</v>
      </c>
      <c r="QZ69">
        <v>321.39999999999998</v>
      </c>
      <c r="RA69">
        <v>276.89999999999998</v>
      </c>
      <c r="RB69">
        <v>175.3</v>
      </c>
      <c r="RC69">
        <v>120.4</v>
      </c>
      <c r="RD69">
        <v>86.21</v>
      </c>
      <c r="RE69">
        <v>79.42</v>
      </c>
      <c r="RF69">
        <v>60.31</v>
      </c>
      <c r="RG69" s="90">
        <v>49.97</v>
      </c>
      <c r="RH69" s="89" t="s">
        <v>9316</v>
      </c>
      <c r="RI69">
        <v>391.1</v>
      </c>
      <c r="RJ69">
        <v>206</v>
      </c>
      <c r="RK69">
        <v>119.1</v>
      </c>
      <c r="RL69">
        <v>81.709999999999994</v>
      </c>
      <c r="RM69">
        <v>66</v>
      </c>
      <c r="RN69">
        <v>58.61</v>
      </c>
      <c r="RO69">
        <v>56.34</v>
      </c>
      <c r="RP69">
        <v>46.68</v>
      </c>
      <c r="RQ69" s="90">
        <v>40.130000000000003</v>
      </c>
      <c r="RR69" s="89" t="s">
        <v>9316</v>
      </c>
      <c r="RS69">
        <v>247</v>
      </c>
      <c r="RT69">
        <v>136.1</v>
      </c>
      <c r="RU69">
        <v>86.5</v>
      </c>
      <c r="RV69">
        <v>56.6</v>
      </c>
      <c r="RW69">
        <v>42.32</v>
      </c>
      <c r="RX69">
        <v>36.47</v>
      </c>
      <c r="RY69">
        <v>32.799999999999997</v>
      </c>
      <c r="RZ69">
        <v>26.02</v>
      </c>
      <c r="SA69" s="90">
        <v>21.06</v>
      </c>
      <c r="SB69" s="89" t="s">
        <v>9316</v>
      </c>
      <c r="SC69">
        <v>130</v>
      </c>
      <c r="SD69">
        <v>70.38</v>
      </c>
      <c r="SE69">
        <v>43.15</v>
      </c>
      <c r="SF69">
        <v>30.3</v>
      </c>
      <c r="SG69">
        <v>24.52</v>
      </c>
      <c r="SH69">
        <v>20.62</v>
      </c>
      <c r="SI69">
        <v>17.72</v>
      </c>
      <c r="SJ69">
        <v>12.89</v>
      </c>
      <c r="SK69" s="90">
        <v>9.91</v>
      </c>
      <c r="SL69" s="89" t="s">
        <v>9316</v>
      </c>
      <c r="SM69">
        <v>36.79</v>
      </c>
      <c r="SN69">
        <v>19.52</v>
      </c>
      <c r="SO69">
        <v>11.99</v>
      </c>
      <c r="SP69">
        <v>8.7799999999999994</v>
      </c>
      <c r="SQ69">
        <v>7.2</v>
      </c>
      <c r="SR69">
        <v>5.88</v>
      </c>
      <c r="SS69">
        <v>4.8099999999999996</v>
      </c>
      <c r="ST69">
        <v>3.07</v>
      </c>
      <c r="SU69" s="90">
        <v>2.12</v>
      </c>
    </row>
    <row r="70" spans="23:515" ht="74.25" customHeight="1" x14ac:dyDescent="0.2">
      <c r="W70">
        <f>IF(OR(X70=0,ISNUMBER(MATCH(X70,$X$1:X69,0))),0,MAX($W$1:W69)+1)</f>
        <v>0</v>
      </c>
      <c r="X70" s="123">
        <f>Products!$E117</f>
        <v>0</v>
      </c>
      <c r="Y70" t="str">
        <f t="shared" si="42"/>
        <v/>
      </c>
      <c r="CA70">
        <f>IF(OR(CB70=0,ISNUMBER(MATCH(CB70,$CB$1:CB69,0))),0,MAX($CA$1:CA69)+1)</f>
        <v>0</v>
      </c>
      <c r="CB70" s="8">
        <f>IF(OR(Tank1!$D$18="EXTERNAL FLOATING ROOF",Tank1!$D$18="INTERNAL FLOATING ROOF"),IF(Tank1!$E100="",0,Tank1!$E100),0)</f>
        <v>0</v>
      </c>
      <c r="CC70" s="8" t="str">
        <f t="shared" si="43"/>
        <v/>
      </c>
      <c r="CD70" s="8"/>
      <c r="CE70" s="8">
        <f>IF(OR(CF70=0,ISNUMBER(MATCH(CF70,$CF$1:CF69,0))),0,MAX($CE$1:CE69)+1)</f>
        <v>0</v>
      </c>
      <c r="CF70" s="8">
        <f>IF(OR(Tank1!$D$18="HORIZONTAL FIXED ROOF",Tank1!$D$18="VERTICAL FIXED ROOF"),IF(Tank1!$E100="",0,Tank1!$E100),0)</f>
        <v>0</v>
      </c>
      <c r="CG70" s="8" t="str">
        <f t="shared" si="44"/>
        <v/>
      </c>
      <c r="DM70">
        <f>IF(OR(DN70=0,ISNUMBER(MATCH(DN70,$DN$1:DN69,0))),0,MAX($DM$1:DM69)+1)</f>
        <v>0</v>
      </c>
      <c r="DN70">
        <f>IF('Load-Truck'!$F$19="Flare",IFERROR(VLOOKUP(Products!$A$139,'Load-Truck'!$A$27:$B$136,1,FALSE),0),0)</f>
        <v>0</v>
      </c>
      <c r="DO70">
        <f>IF($DN70=0,0,VLOOKUP($DN70,'Load-Truck'!$A$27:$N$136,13,FALSE))</f>
        <v>0</v>
      </c>
      <c r="DP70">
        <f>IF($DN70=0,0,VLOOKUP($DN70,'Load-Truck'!$A$27:$N$136,14,FALSE))</f>
        <v>0</v>
      </c>
      <c r="DU70">
        <f>IF(OR(DV70=0,ISNUMBER(MATCH(DV70,$DV$1:DV69,0))),0,MAX($DU$1:DU69)+1)</f>
        <v>0</v>
      </c>
      <c r="DV70">
        <f>IF('Load-Truck'!$F$19="VCU",IFERROR(VLOOKUP(Products!$A$139,'Load-Truck'!$A$27:$B$136,1,FALSE),0),0)</f>
        <v>0</v>
      </c>
      <c r="DW70">
        <f>IF($DV70=0,0,VLOOKUP($DV70,'Load-Truck'!$A$27:$N$136,13,FALSE))</f>
        <v>0</v>
      </c>
      <c r="DX70">
        <f>IF($DV70=0,0,VLOOKUP($DV70,'Load-Truck'!$A$27:$N$136,14,FALSE))</f>
        <v>0</v>
      </c>
      <c r="EC70">
        <f>IF(OR(ED70=0,ISNUMBER(MATCH(ED70,$ED$1:ED69,0))),0,MAX($EC$1:EC69)+1)</f>
        <v>0</v>
      </c>
      <c r="ED70">
        <f>IF('Load-Truck'!$F$19="vapor oxidizer",IFERROR(VLOOKUP(Products!$A$139,'Load-Truck'!$A$27:$B$136,1,FALSE),0),0)</f>
        <v>0</v>
      </c>
      <c r="EE70">
        <f>IF($ED70=0,0,VLOOKUP($ED70,'Load-Truck'!$A$27:$N$136,13,FALSE))</f>
        <v>0</v>
      </c>
      <c r="EF70">
        <f>IF($ED70=0,0,VLOOKUP($ED70,'Load-Truck'!$A$27:$N$136,14,FALSE))</f>
        <v>0</v>
      </c>
      <c r="EK70">
        <f>IF(OR(EL70=0,ISNUMBER(MATCH(EL70,$EL$1:EL69,0))),0,MAX($EK$1:EK69)+1)</f>
        <v>0</v>
      </c>
      <c r="EL70">
        <f>IF('Load-Truck'!$F$19="CAS",IFERROR(VLOOKUP(Products!A139,'Load-Truck'!$A$27:$B$136,1,FALSE),0),0)</f>
        <v>0</v>
      </c>
      <c r="EM70">
        <f>IF($EL70=0,0,VLOOKUP($EL70,'Load-Truck'!$A$27:$N$136,13,FALSE))</f>
        <v>0</v>
      </c>
      <c r="EN70">
        <f>IF($EL70=0,0,VLOOKUP($EL70,'Load-Truck'!$A$27:$N$136,14,FALSE))</f>
        <v>0</v>
      </c>
      <c r="FB70" s="8" t="s">
        <v>487</v>
      </c>
      <c r="FC70" s="8" t="s">
        <v>488</v>
      </c>
      <c r="FD70" s="8">
        <v>50</v>
      </c>
      <c r="FE70" s="8">
        <v>5</v>
      </c>
      <c r="FG70" s="360" t="str">
        <f t="shared" si="45"/>
        <v/>
      </c>
      <c r="FH70" s="155">
        <f>IF(Tank1!$D$22="NO CONTROL",_xlfn.MAXIFS(Tank1!$G$32:$G$141,Tank1!$E$32:$E$141,$FG70),0)*IFERROR($QR$3,0)</f>
        <v>0</v>
      </c>
      <c r="FI70" s="155">
        <f>_xlfn.MAXIFS(LandEmiss!$AF$20:$AF$119,LandEmiss!$AE$20:$AE$119,$FG70)*IFERROR($QR$3,0)</f>
        <v>0</v>
      </c>
      <c r="FJ70" s="155">
        <f>MAX(_xlfn.MAXIFS(LandEmiss!$CO$20:$CO$119,LandEmiss!$CN$20:$CN$119,$FG70),_xlfn.MAXIFS(LandEmiss!$EZ$9:$EZ$108,LandEmiss!$EY$9:$EY$108,$FG70))*IFERROR($QR$3,0)</f>
        <v>0</v>
      </c>
      <c r="FK70" s="155">
        <f>IF(Tank2!$D$22="NO CONTROL",_xlfn.MAXIFS(Tank2!$G$32:$G$141,Tank2!$E$32:$E$141,$FG70),0)*IFERROR($QR$4,0)</f>
        <v>0</v>
      </c>
      <c r="FL70" s="155">
        <f>_xlfn.MAXIFS(LandEmiss!$AG$20:$AG$119,LandEmiss!$AE$20:$AE$119,$FG70)*IFERROR($QR$4,0)</f>
        <v>0</v>
      </c>
      <c r="FM70" s="155">
        <f>MAX(_xlfn.MAXIFS(LandEmiss!$CP$20:$CP$119,LandEmiss!$CN$20:$CN$119,$FG70),_xlfn.MAXIFS(LandEmiss!$FA$9:$FA$108,LandEmiss!$EY$9:$EY$108,$FG70))*IFERROR($QR$4,0)</f>
        <v>0</v>
      </c>
      <c r="FN70" s="155">
        <f>IF(Tank3!$D$22="NO CONTROL",_xlfn.MAXIFS(Tank3!$G$32:$G$141,Tank3!$E$32:$E$141,$FG70),0)*IFERROR($QR$5,0)</f>
        <v>0</v>
      </c>
      <c r="FO70" s="155">
        <f>_xlfn.MAXIFS(LandEmiss!$AH$20:$AH$119,LandEmiss!$AE$20:$AE$119,$FG70)*IFERROR($QR$5,0)</f>
        <v>0</v>
      </c>
      <c r="FP70" s="155">
        <f>MAX(_xlfn.MAXIFS(LandEmiss!$CQ$20:$CQ$119,LandEmiss!$CN$20:$CN$119,$FG70),_xlfn.MAXIFS(LandEmiss!$FB$9:$FB$108,LandEmiss!$EY$9:$EY$108,$FG70))*IFERROR($QR$5,0)</f>
        <v>0</v>
      </c>
      <c r="FQ70" s="155">
        <f>IF(Tank4!$D$22="NO CONTROL",_xlfn.MAXIFS(Tank4!$G$32:$G$141,Tank4!$E$32:$E$141,$FG70),0)*IFERROR($QR$6,0)</f>
        <v>0</v>
      </c>
      <c r="FR70" s="155">
        <f>_xlfn.MAXIFS(LandEmiss!$AI$20:$AI$119,LandEmiss!$AE$20:$AE$119,$FG70)*IFERROR($QR$6,0)</f>
        <v>0</v>
      </c>
      <c r="FS70" s="155">
        <f>MAX(_xlfn.MAXIFS(LandEmiss!$CR$20:$CR$119,LandEmiss!$CN$20:$CN$119,$FG70),_xlfn.MAXIFS(LandEmiss!$FC$9:$FC$108,LandEmiss!$EY$9:$EY$108,$FG70))*IFERROR($QR$6,0)</f>
        <v>0</v>
      </c>
      <c r="FT70" s="155">
        <f>IF(Tank5!$D$22="NO CONTROL",_xlfn.MAXIFS(Tank5!$G$32:$G$141,Tank5!$E$32:$E$141,$FG70),0)*IFERROR($QR$7,0)</f>
        <v>0</v>
      </c>
      <c r="FU70" s="155">
        <f>_xlfn.MAXIFS(LandEmiss!$AJ$20:$AJ$119,LandEmiss!$AE$20:$AE$119,$FG70)*IFERROR($QR$7,0)</f>
        <v>0</v>
      </c>
      <c r="FV70" s="155">
        <f>MAX(_xlfn.MAXIFS(LandEmiss!$CS$20:$CS$119,LandEmiss!$CN$20:$CN$119,$FG70),_xlfn.MAXIFS(LandEmiss!$FD$9:$FD$108,LandEmiss!$EY$9:$EY$108,$FG70))*IFERROR($QR75,0)</f>
        <v>0</v>
      </c>
      <c r="FW70" s="155">
        <f>_xlfn.MAXIFS('Load-DrumTote'!$K$27:$K$136,'Load-DrumTote'!$F$27:$F$136,$FG70)*IFERROR($QR$8,0)</f>
        <v>0</v>
      </c>
      <c r="FX70" s="155">
        <f>_xlfn.MAXIFS('Load-Truck'!$K$27:$K$136,'Load-Truck'!$F$27:$F$136,$FG70)*IFERROR($QR$9,0)</f>
        <v>0</v>
      </c>
      <c r="FY70" s="155">
        <f>_xlfn.MAXIFS('Load-Rail'!$K$27:$K$136,'Load-Rail'!$F$27:$F$136,$FG70)*IFERROR($QR$10,0)</f>
        <v>0</v>
      </c>
      <c r="FZ70" s="155">
        <f>_xlfn.MAXIFS('Load-MarineBarge'!$K$27:$K$136,'Load-MarineBarge'!$F$27:$F$136,$FG70)*IFERROR($QR$11,0)</f>
        <v>0</v>
      </c>
      <c r="GA70" s="155">
        <f>_xlfn.MAXIFS('Load-MarineShip'!$K$27:$K$136,'Load-MarineShip'!$F$27:$F$136,$FG70)*IFERROR($QR$12,0)</f>
        <v>0</v>
      </c>
      <c r="GB70" s="313">
        <f>IF(OR(Flare!$D$24="fuel gas",Flare!$D$38="fuel gas"),SUMIF(Flare!$E$97:$E$106,$FG70,Flare!$F$97:$F$106),0)*IFERROR($QR$13,0)</f>
        <v>0</v>
      </c>
      <c r="GC70" s="313">
        <f>(_xlfn.MAXIFS(CtrlDevImpacts!$I$57:$I$156,CtrlDevImpacts!$H$57:$H$156,$FG70))*IFERROR($QR$13,0)</f>
        <v>0</v>
      </c>
      <c r="GD70" s="313">
        <f>(_xlfn.MAXIFS(Flare!$F$107:$F$216,Flare!$E$107:$E$216,$FG70)-_xlfn.MAXIFS(CtrlDevImpacts!$I$57:$I$156,CtrlDevImpacts!$H$57:$H$156,$FG70))*IFERROR($QR$13,0)</f>
        <v>0</v>
      </c>
      <c r="GE70" s="155">
        <f>_xlfn.MAXIFS(LandEmiss!$B$335:$B$434,LandEmiss!$A$335:$A$434,$FG70)*IFERROR($QR$13,0)</f>
        <v>0</v>
      </c>
      <c r="GF70" s="155">
        <f>(_xlfn.MAXIFS(LandEmiss!$BK$335:$BK$434,LandEmiss!$BJ$335:$BJ$434,$FG70)+_xlfn.MAXIFS(LandEmiss!$DV$323:$DV$422,LandEmiss!$DU$323:$DU$422,$FG70))*IFERROR($QR$13,0)</f>
        <v>0</v>
      </c>
      <c r="GG70" s="313">
        <f>IF(OR(VCU!$D$26="fuel gas",VCU!$D$42="fuel gas"),SUMIF(VCU!$E$120:$E$129,$FG70,VCU!$F$120:$F$129),0)*IFERROR($QR$14,0)</f>
        <v>0</v>
      </c>
      <c r="GH70" s="313">
        <f>(_xlfn.MAXIFS(CtrlDevImpacts!$X$57:$X$156,CtrlDevImpacts!$W$57:$W$156,$FG70))*IFERROR($QR$14,0)</f>
        <v>0</v>
      </c>
      <c r="GI70" s="313">
        <f>(_xlfn.MAXIFS(VCU!$F$130:$F$239,VCU!$E$130:$E$239,$FG70)-_xlfn.MAXIFS(CtrlDevImpacts!$X$57:$X$156,CtrlDevImpacts!$W$57:$W$156,$FG70))*IFERROR($QR$14,0)</f>
        <v>0</v>
      </c>
      <c r="GJ70" s="155">
        <f>_xlfn.MAXIFS(LandEmiss!$D$335:$D$434,LandEmiss!$A$335:$A$434,$FG70)*IFERROR($QR$14,0)</f>
        <v>0</v>
      </c>
      <c r="GK70" s="155">
        <f>(_xlfn.MAXIFS(LandEmiss!$BM$335:$BM$434,LandEmiss!$BJ$335:$BJ$434,$FG70)+_xlfn.MAXIFS(LandEmiss!$DX$323:$DX$422,LandEmiss!$DU$323:$DU$422,$FG70))*IFERROR($QR$14,0)</f>
        <v>0</v>
      </c>
      <c r="GL70" s="313">
        <f>IF(VaporOxidizer!D101="FUEL GAS",SUMIF(VaporOxidizer!$E$101:$E$110,$FG70,VaporOxidizer!$F$101:$F$110),0)*IFERROR($QR$15,0)</f>
        <v>0</v>
      </c>
      <c r="GM70" s="313">
        <f>(_xlfn.MAXIFS(CtrlDevImpacts!$AN$57:$AN$156,CtrlDevImpacts!$AM$57:$AM$156,$FG70))*IFERROR($QR$15,0)</f>
        <v>0</v>
      </c>
      <c r="GN70" s="313">
        <f>(_xlfn.MAXIFS(VaporOxidizer!$F$111:$F$220,VaporOxidizer!$E$111:$E$220,$FG70)-_xlfn.MAXIFS(CtrlDevImpacts!$AN$57:$AN$156,CtrlDevImpacts!$AM$57:$AM$156,$FG70))*IFERROR($QR$15,0)</f>
        <v>0</v>
      </c>
      <c r="GO70" s="155">
        <f>_xlfn.MAXIFS(LandEmiss!$F$335:$F$434,LandEmiss!$A$335:$A$434,$FG70)*IFERROR($QR$15,0)</f>
        <v>0</v>
      </c>
      <c r="GP70" s="155">
        <f>(_xlfn.MAXIFS(LandEmiss!$BK$335:$BK$434,LandEmiss!$BO$335:$BO$434,$FG70)+_xlfn.MAXIFS(LandEmiss!$DZ$323:$DZ$422,LandEmiss!$DU$323:$DU$422,$FG70))*IFERROR($QR$15,0)</f>
        <v>0</v>
      </c>
      <c r="GQ70" s="313">
        <f>_xlfn.MAXIFS(CtrlDevImpacts!$BD$57:$BD$156,CtrlDevImpacts!$BC$57:$BC$156,$FG70)*IFERROR(Hidden!$QR$16,0)</f>
        <v>0</v>
      </c>
      <c r="GR70" s="313">
        <f>(_xlfn.MAXIFS(CAS!$H$35:$H$144,CAS!$E$35:$E$144,$FG70)-_xlfn.MAXIFS(CtrlDevImpacts!$BD$57:$BD$156,CtrlDevImpacts!$BC$57:$BC$156,$FG70))*IFERROR(Hidden!$QR$16,0)</f>
        <v>0</v>
      </c>
      <c r="GS70" s="155">
        <f>_xlfn.MAXIFS(LandEmiss!$H$335:$H$434,LandEmiss!$A$335:$A$434,$FG70)*IFERROR($QR$27,0)</f>
        <v>0</v>
      </c>
      <c r="GT70" s="155">
        <f>(_xlfn.MAXIFS(LandEmiss!$BK$335:$BK$434,LandEmiss!$BQ$335:$BQ$434,$FG70)+_xlfn.MAXIFS(LandEmiss!$EB$323:$EB$422,LandEmiss!$DU$323:$DU$422,$FG70))*IFERROR($QR$27,0)</f>
        <v>0</v>
      </c>
      <c r="GU70" s="155">
        <f>_xlfn.MAXIFS(LandEmiss!$J$335:$J$434,LandEmiss!$A$335:$A$434,$FG70)*IFERROR($QR$26,0)</f>
        <v>0</v>
      </c>
      <c r="GV70" s="155">
        <f>(_xlfn.MAXIFS(LandEmiss!$BK$335:$BK$434,LandEmiss!$BS$335:$BS$434,$FG70)+_xlfn.MAXIFS(LandEmiss!$ED$323:$ED$422,LandEmiss!$DU$323:$DU$422,$FG70))*IFERROR($QR$26,0)</f>
        <v>0</v>
      </c>
      <c r="GW70" s="155">
        <f>_xlfn.MAXIFS(LandEmiss!$L$335:$L$434,LandEmiss!$A$335:$A$434,$FG70)*IFERROR($QR$25,0)</f>
        <v>0</v>
      </c>
      <c r="GX70" s="155">
        <f>(_xlfn.MAXIFS(LandEmiss!$BK$335:$BK$434,LandEmiss!$BU$335:$BU$434,$FG70)+_xlfn.MAXIFS(LandEmiss!$EF$323:$EF$422,LandEmiss!$DU$323:$DU$422,$FG70))*IFERROR($QR$25,0)</f>
        <v>0</v>
      </c>
      <c r="GY70" s="155">
        <v>0</v>
      </c>
      <c r="GZ70" s="155">
        <v>0</v>
      </c>
      <c r="HA70" s="155">
        <f>IF(OR(HeaterBoiler1!$E$26&lt;&gt;"fuel gas",HeaterBoiler1!$E$15&lt;&gt;"heater"),0,SUMIF(HeaterBoiler1!$A$54:$D$63,$FG70,HeaterBoiler1!$I$54:$I$63))*IFERROR($QR$19,0)</f>
        <v>0</v>
      </c>
      <c r="HB70" s="207">
        <f>IF(OR(HeaterBoiler2!$E$26&lt;&gt;"fuel gas",HeaterBoiler2!$E$15&lt;&gt;"heater"),0,SUMIF(HeaterBoiler2!$A$54:$D$63,$FG70,HeaterBoiler2!$I$54:$I$63))*IFERROR($QR$21,0)</f>
        <v>0</v>
      </c>
      <c r="HC70" s="155">
        <f>IF(OR(HeaterBoiler1!$E$26&lt;&gt;"fuel gas",HeaterBoiler1!$E$15&lt;&gt;"boiler"),0,SUMIF(HeaterBoiler1!$A$41:$A$50,$FG70,HeaterBoiler1!$F$41:$F$50))*IFERROR($QR$20,0)</f>
        <v>0</v>
      </c>
      <c r="HD70" s="207">
        <f>IF(OR(HeaterBoiler2!$E$26&lt;&gt;"fuel gas",HeaterBoiler2!$E$15&lt;&gt;"boiler"),0,SUMIF(HeaterBoiler2!$A$41:$A$50,$FG70,HeaterBoiler2!$F$41:$F$50))*IFERROR($QR$22,0)</f>
        <v>0</v>
      </c>
      <c r="HE70" s="155">
        <f>SUMIF(Fug!$A$96:$A$205,$FG70,Fug!$I$96:$I$205)*IFERROR(Hidden!$QR$23,0)</f>
        <v>0</v>
      </c>
      <c r="HF70" s="155">
        <f t="shared" si="46"/>
        <v>0</v>
      </c>
      <c r="HG70" s="156">
        <f t="shared" si="47"/>
        <v>0</v>
      </c>
      <c r="HH70" s="156">
        <f t="shared" si="48"/>
        <v>0</v>
      </c>
      <c r="HI70" s="156">
        <f t="shared" si="49"/>
        <v>0</v>
      </c>
      <c r="HJ70" s="156">
        <f t="shared" si="50"/>
        <v>0</v>
      </c>
      <c r="HK70" s="156">
        <f t="shared" si="51"/>
        <v>0</v>
      </c>
      <c r="HL70" s="156">
        <f t="shared" si="52"/>
        <v>0</v>
      </c>
      <c r="NO70" s="155">
        <f>IF(Tank1!$D$22="No control",(SUMIF(Tank1!$E$32:$E$141,$FG70,Tank1!$H$32:$H$141)*(2000/8760)*IFERROR($QV$3,0)),0)</f>
        <v>0</v>
      </c>
      <c r="NP70" s="156">
        <f>SUMIF(LandEmiss!$AE$20:$AE$119,$FG70,LandEmiss!$AK$20:$AK$119)*(2000/8760)*IFERROR($QV$3,0)</f>
        <v>0</v>
      </c>
      <c r="NQ70" s="156">
        <f>(SUMIF(LandEmiss!$CN$20:$CN$119,$FG70,LandEmiss!$CT$20:$CT$119)+SUMIF(LandEmiss!$EY$9:$EY$108,$FG70,LandEmiss!$FE$9:$FE$108))*IFERROR($QV$3,0)*(2000/8760)</f>
        <v>0</v>
      </c>
      <c r="NR70" s="155">
        <f>IF(Tank2!$D$22="No control",(SUMIF(Tank2!$E$32:$E$141,$FG70,Tank2!$H$32:$H$141)*(2000/8760)*IFERROR($QV$4,0)),0)</f>
        <v>0</v>
      </c>
      <c r="NS70" s="156">
        <f>SUMIF(LandEmiss!$AE$20:$AE$119,$FG70,LandEmiss!$AL$20:$AL$119)*(2000/8760)*IFERROR($QV$4,0)</f>
        <v>0</v>
      </c>
      <c r="NT70" s="156">
        <f>(SUMIF(LandEmiss!$CN$20:$CN$119,$FG70,LandEmiss!$CU$20:$CU$119)+SUMIF(LandEmiss!$EY$9:$EY$108,$FG70,LandEmiss!$FF$9:$FF$108))*IFERROR($QV$4,0)*(2000/8760)</f>
        <v>0</v>
      </c>
      <c r="NU70" s="155">
        <f>IF(Tank3!$D$22="No control",(SUMIF(Tank3!$E$32:$E$141,$FG70,Tank3!$H$32:$H$141)*(2000/8760)*IFERROR($QV$5,0)),0)</f>
        <v>0</v>
      </c>
      <c r="NV70" s="156">
        <f>SUMIF(LandEmiss!$AE$20:$AE$119,$FG70,LandEmiss!$AM$20:$AM$119)*(2000/8760)*IFERROR($QV$5,0)</f>
        <v>0</v>
      </c>
      <c r="NW70" s="156">
        <f>(SUMIF(LandEmiss!$CN$20:$CN$119,$FG70,LandEmiss!$CV$20:$CV$119)+SUMIF(LandEmiss!$EY$9:$EY$108,$FG70,LandEmiss!$FG$9:$FG$108))*IFERROR($QV$5,0)*(2000/8760)</f>
        <v>0</v>
      </c>
      <c r="NX70" s="155">
        <f>IF(Tank4!$D$22="No control",(SUMIF(Tank4!$E$32:$E$141,$FG70,Tank4!$H$32:$H$141)*(2000/8760)*IFERROR($QV$6,0)),0)</f>
        <v>0</v>
      </c>
      <c r="NY70" s="156">
        <f>SUMIF(LandEmiss!$AE$20:$AE$119,$FG70,LandEmiss!$AN$20:$AN$119)*(2000/8760)*IFERROR($QV$6,0)</f>
        <v>0</v>
      </c>
      <c r="NZ70" s="156">
        <f>(SUMIF(LandEmiss!$CN$20:$CN$119,$FG70,LandEmiss!$CW$20:$CW$119)+SUMIF(LandEmiss!$EY$9:$EY$108,$FG70,LandEmiss!$FH$9:$FH$108))*IFERROR($QV$6,0)*(2000/8760)</f>
        <v>0</v>
      </c>
      <c r="OA70" s="155">
        <f>IF(Tank5!$D$22="No control",(SUMIF(Tank5!$E$32:$E$141,$FG70,Tank5!$H$32:$H$141)*(2000/8760)*IFERROR($QV$7,0)),0)</f>
        <v>0</v>
      </c>
      <c r="OB70" s="156">
        <f>SUMIF(LandEmiss!$AE$20:$AE$119,$FG70,LandEmiss!$AO$20:$AO$119)*(2000/8760)*IFERROR($QV$7,0)</f>
        <v>0</v>
      </c>
      <c r="OC70" s="156">
        <f>(SUMIF(LandEmiss!$CN$20:$CN$119,$FG70,LandEmiss!$CX$20:$CX$119)+SUMIF(LandEmiss!$EY$9:$EY$108,$FG70,LandEmiss!$FI$9:$FI$108))*IFERROR($QV$7,0)*(2000/8760)</f>
        <v>0</v>
      </c>
      <c r="OD70" s="155">
        <f>SUMIFS('Load-DrumTote'!$L$27:$L$136,'Load-DrumTote'!$F$27:$F$136,$FG70)*IFERROR($QV$8,0)*(2000/8760)</f>
        <v>0</v>
      </c>
      <c r="OE70" s="155">
        <f>SUMIFS('Load-Truck'!$L$27:$L$136,'Load-Truck'!$F$27:$F$136,$FG70)*IFERROR($QV$9,0)*(2000/8760)</f>
        <v>0</v>
      </c>
      <c r="OF70" s="155">
        <f>SUMIFS('Load-Rail'!$L$27:$L$136,'Load-Rail'!$F$27:$F$136,$FG70)*IFERROR($QV$10,0)*(2000/8760)</f>
        <v>0</v>
      </c>
      <c r="OG70" s="155">
        <f>SUMIFS('Load-MarineBarge'!$L$27:$L$136,'Load-MarineBarge'!$F$27:$F$136,$FG70)*IFERROR($QV$11,0)*(2000/8760)</f>
        <v>0</v>
      </c>
      <c r="OH70" s="155">
        <f>SUMIFS('Load-MarineShip'!$L$27:$L$136,'Load-MarineShip'!$F$27:$F$136,$FG70)*IFERROR($QV$12,0)*(2000/8760)</f>
        <v>0</v>
      </c>
      <c r="OI70" s="155">
        <f>(IF(OR(Flare!$D$24="FUEL GAS",Flare!$D$38="FUEL GAS"),SUMIF(Flare!$E$97:$E$106,$FG70,Flare!$G$97:$G$105),0)+SUMIF(Flare!$E$107:$E$216,$FG70,Flare!$G$107:$G$216))*(2000/8730)*IFERROR($QV$13,0)</f>
        <v>0</v>
      </c>
      <c r="OJ70" s="155">
        <f>SUMIF(LandEmiss!$A$335:$A$434,$FG70,LandEmiss!$C$335:$C$434)*(2000/8760)*IFERROR($QV$13,0)</f>
        <v>0</v>
      </c>
      <c r="OK70" s="155">
        <f>(SUMIF(LandEmiss!$BJ$335:$BJ$434,$FG70,LandEmiss!$BL$335:$BL$434)+SUMIF(LandEmiss!$DU$323:$DU$422,$FG70,LandEmiss!$DW$323:$DW$422))*(2000/8760)*IFERROR($QV$13,0)</f>
        <v>0</v>
      </c>
      <c r="OL70" s="155">
        <f>(IF(OR(VCU!$D$26="FUEL GAS",VCU!$D$42="FUEL GAS"),SUMIF(VCU!$E$120:$E$129,$FG70,VCU!$G$120:$G$129),0)+SUMIF(VCU!$E$130:$E$239,$FG70,VCU!G198:G307))*(2000/8760)*IFERROR($QV$14,0)</f>
        <v>0</v>
      </c>
      <c r="OM70" s="155">
        <f>SUMIF(LandEmiss!$A$335:$A$434,$FG70,LandEmiss!$E$335:$E$434)*(2000/8760)*IFERROR($QV$14,0)</f>
        <v>0</v>
      </c>
      <c r="ON70" s="155">
        <f>(SUMIF(LandEmiss!$BJ$335:$BJ$434,$FG70,LandEmiss!$BN$335:$BN$434)+SUMIF(LandEmiss!$DU$323:$DU$422,$FG70,LandEmiss!$DY$323:$DY$422))*(2000/8760)*IFERROR($QV$14,0)</f>
        <v>0</v>
      </c>
      <c r="OO70" s="155">
        <f>(IF(VaporOxidizer!$D$33="FUEL GAS",SUMIF(VaporOxidizer!$E$101:$E$110,$FG70,VaporOxidizer!$G$101:$G$110),0)+SUMIF(VaporOxidizer!$E$111:$E$220,$FG70,VaporOxidizer!$G$111:$G$220))*(2000/8760)*IFERROR($QV$15,0)</f>
        <v>0</v>
      </c>
      <c r="OP70" s="155">
        <f>SUMIF(LandEmiss!$A$335:$A$434,$FG70,LandEmiss!$G$335:$G$434)*(2000/8760)*IFERROR($QV$15,0)</f>
        <v>0</v>
      </c>
      <c r="OQ70" s="155">
        <f>(SUMIF(LandEmiss!$BJ$335:$BJ$434,$FG70,LandEmiss!$BP$335:$BP$434)+SUMIF(LandEmiss!$DU$323:$DU$422,$FG70,LandEmiss!$EA$323:$EA$422))*(2000/8760)*IFERROR($QV$15,0)</f>
        <v>0</v>
      </c>
      <c r="OR70" s="155">
        <f>SUMIF(CAS!$E$35:$E$144,Hidden!$FG70,CAS!$I$35:$I$144)*IFERROR($QV$16,0)*(2000/8760)</f>
        <v>0</v>
      </c>
      <c r="OS70" s="155">
        <f>SUMIF(LandEmiss!$A$335:$A$434,$FG70,LandEmiss!$I$335:$I$434)*(2000/8760)*IFERROR($QV$27,0)</f>
        <v>0</v>
      </c>
      <c r="OT70" s="155">
        <f>(SUMIF(LandEmiss!$BJ$335:$BJ$434,$FG70,LandEmiss!$BR$335:$BR$434)+SUMIF(LandEmiss!$DU$323:$DU$422,$FG70,LandEmiss!$EC$323:$EC$422))*(2000/8760)*IFERROR($QV$27,0)</f>
        <v>0</v>
      </c>
      <c r="OU70" s="155">
        <f>SUMIF(LandEmiss!$A$335:$A$434,$FG70,LandEmiss!$K$335:$K$434)*(2000/8760)*IFERROR($QV$26,0)</f>
        <v>0</v>
      </c>
      <c r="OV70" s="155">
        <f>(SUMIF(LandEmiss!$BJ$335:$BJ$434,$FG70,LandEmiss!$BT$335:$BT$434)+SUMIF(LandEmiss!$DU$323:$DU$422,$FG70,LandEmiss!$EE$323:$EE$422))*(2000/8760)*IFERROR($QV$26,0)</f>
        <v>0</v>
      </c>
      <c r="OW70" s="155">
        <f>SUMIF(LandEmiss!$A$335:$A$434,$FG70,LandEmiss!$M$335:$M$434)*(2000/8760)*IFERROR($QV$25,0)</f>
        <v>0</v>
      </c>
      <c r="OX70" s="155">
        <f>(SUMIF(LandEmiss!$BJ$335:$BJ$434,$FG70,LandEmiss!$BV$335:$BV$434)+SUMIF(LandEmiss!$DU$323:$DU$422,$FG70,LandEmiss!$EG$323:$EG$422))*(2000/8760)*IFERROR($QV$25,0)</f>
        <v>0</v>
      </c>
      <c r="OY70" s="8">
        <v>0</v>
      </c>
      <c r="OZ70" s="207">
        <v>0</v>
      </c>
      <c r="PA70" s="207">
        <f>IF(OR(HeaterBoiler1!$E$26&lt;&gt;"fuel gas",HeaterBoiler1!$E$15&lt;&gt;"heater"),0,(SUMIF(HeaterBoiler1!$A$54:$D$63,$FG70,HeaterBoiler1!$J$54:$J$63))*(2000/8760))*IFERROR($QV$19,0)</f>
        <v>0</v>
      </c>
      <c r="PB70" s="207">
        <f>IF(OR(HeaterBoiler2!$E$26&lt;&gt;"fuel gas",HeaterBoiler2!$E$15&lt;&gt;"heater"),0,(SUMIF(HeaterBoiler2!$A$54:$D$63,$FG70,HeaterBoiler2!$J$54:$J$63))*(2000/8760))*IFERROR($QV$21,0)</f>
        <v>0</v>
      </c>
      <c r="PC70" s="207">
        <f>IF(OR(HeaterBoiler1!$E$26&lt;&gt;"fuel gas",HeaterBoiler1!$E$15&lt;&gt;"boiler"),0,(SUMIF(HeaterBoiler1!$A$54:$D$63,$FG70,HeaterBoiler1!$J$54:$J$63))*(2000/8760))*IFERROR($QV$20,0)</f>
        <v>0</v>
      </c>
      <c r="PD70" s="207">
        <f>IF(OR(HeaterBoiler2!$E$26&lt;&gt;"fuel gas",HeaterBoiler2!$E$15&lt;&gt;"boiler"),0,(SUMIF(HeaterBoiler2!$A$54:$D$63,$FG70,HeaterBoiler2!$J$54:$J$63))*(2000/8760))*IFERROR($QV$22,0)</f>
        <v>0</v>
      </c>
      <c r="PE70" s="8">
        <f>(SUMIF(Fug!$A$96:$A$205,$FG70,Fug!$J$96:$J$205))*IFERROR($QV$23,0)*(2000/8760)</f>
        <v>0</v>
      </c>
      <c r="PF70" s="8">
        <f t="shared" si="53"/>
        <v>0</v>
      </c>
      <c r="PG70" s="156">
        <f t="shared" si="54"/>
        <v>0</v>
      </c>
      <c r="QX70" s="89" t="s">
        <v>9317</v>
      </c>
      <c r="QY70">
        <v>396.1</v>
      </c>
      <c r="QZ70">
        <v>262.5</v>
      </c>
      <c r="RA70">
        <v>224.3</v>
      </c>
      <c r="RB70">
        <v>156.6</v>
      </c>
      <c r="RC70">
        <v>106.9</v>
      </c>
      <c r="RD70">
        <v>79.62</v>
      </c>
      <c r="RE70">
        <v>64.62</v>
      </c>
      <c r="RF70">
        <v>51.84</v>
      </c>
      <c r="RG70" s="90">
        <v>42.27</v>
      </c>
      <c r="RH70" s="89" t="s">
        <v>9317</v>
      </c>
      <c r="RI70">
        <v>344.8</v>
      </c>
      <c r="RJ70">
        <v>179.9</v>
      </c>
      <c r="RK70">
        <v>99.87</v>
      </c>
      <c r="RL70">
        <v>68.92</v>
      </c>
      <c r="RM70">
        <v>51.66</v>
      </c>
      <c r="RN70">
        <v>45.25</v>
      </c>
      <c r="RO70">
        <v>43.68</v>
      </c>
      <c r="RP70">
        <v>37.119999999999997</v>
      </c>
      <c r="RQ70" s="90">
        <v>32.97</v>
      </c>
      <c r="RR70" s="89" t="s">
        <v>9317</v>
      </c>
      <c r="RS70">
        <v>215.8</v>
      </c>
      <c r="RT70">
        <v>116.6</v>
      </c>
      <c r="RU70">
        <v>71.8</v>
      </c>
      <c r="RV70">
        <v>46.71</v>
      </c>
      <c r="RW70">
        <v>34.659999999999997</v>
      </c>
      <c r="RX70">
        <v>28.6</v>
      </c>
      <c r="RY70">
        <v>26.01</v>
      </c>
      <c r="RZ70">
        <v>21.11</v>
      </c>
      <c r="SA70" s="90">
        <v>17.68</v>
      </c>
      <c r="SB70" s="89" t="s">
        <v>9317</v>
      </c>
      <c r="SC70">
        <v>114.3</v>
      </c>
      <c r="SD70">
        <v>60.85</v>
      </c>
      <c r="SE70">
        <v>35.979999999999997</v>
      </c>
      <c r="SF70">
        <v>24.44</v>
      </c>
      <c r="SG70">
        <v>19.71</v>
      </c>
      <c r="SH70">
        <v>16.66</v>
      </c>
      <c r="SI70">
        <v>14.66</v>
      </c>
      <c r="SJ70">
        <v>10.78</v>
      </c>
      <c r="SK70" s="90">
        <v>8.52</v>
      </c>
      <c r="SL70" s="89" t="s">
        <v>9317</v>
      </c>
      <c r="SM70">
        <v>31.82</v>
      </c>
      <c r="SN70">
        <v>16.62</v>
      </c>
      <c r="SO70">
        <v>9.85</v>
      </c>
      <c r="SP70">
        <v>6.97</v>
      </c>
      <c r="SQ70">
        <v>5.81</v>
      </c>
      <c r="SR70">
        <v>4.88</v>
      </c>
      <c r="SS70">
        <v>4.09</v>
      </c>
      <c r="ST70">
        <v>2.72</v>
      </c>
      <c r="SU70" s="90">
        <v>1.93</v>
      </c>
    </row>
    <row r="71" spans="23:515" ht="74.25" customHeight="1" x14ac:dyDescent="0.2">
      <c r="W71">
        <f>IF(OR(X71=0,ISNUMBER(MATCH(X71,$X$1:X70,0))),0,MAX($W$1:W70)+1)</f>
        <v>0</v>
      </c>
      <c r="X71" s="123">
        <f>Products!$E118</f>
        <v>0</v>
      </c>
      <c r="Y71" t="str">
        <f t="shared" si="42"/>
        <v/>
      </c>
      <c r="CA71">
        <f>IF(OR(CB71=0,ISNUMBER(MATCH(CB71,$CB$1:CB70,0))),0,MAX($CA$1:CA70)+1)</f>
        <v>0</v>
      </c>
      <c r="CB71" s="8">
        <f>IF(OR(Tank1!$D$18="EXTERNAL FLOATING ROOF",Tank1!$D$18="INTERNAL FLOATING ROOF"),IF(Tank1!$E101="",0,Tank1!$E101),0)</f>
        <v>0</v>
      </c>
      <c r="CC71" s="8" t="str">
        <f t="shared" si="43"/>
        <v/>
      </c>
      <c r="CD71" s="8"/>
      <c r="CE71" s="8">
        <f>IF(OR(CF71=0,ISNUMBER(MATCH(CF71,$CF$1:CF70,0))),0,MAX($CE$1:CE70)+1)</f>
        <v>0</v>
      </c>
      <c r="CF71" s="8">
        <f>IF(OR(Tank1!$D$18="HORIZONTAL FIXED ROOF",Tank1!$D$18="VERTICAL FIXED ROOF"),IF(Tank1!$E101="",0,Tank1!$E101),0)</f>
        <v>0</v>
      </c>
      <c r="CG71" s="8" t="str">
        <f t="shared" si="44"/>
        <v/>
      </c>
      <c r="DM71">
        <f>IF(OR(DN71=0,ISNUMBER(MATCH(DN71,$DN$1:DN70,0))),0,MAX($DM$1:DM70)+1)</f>
        <v>0</v>
      </c>
      <c r="DN71">
        <f>IF('Load-Truck'!$F$19="Flare",IFERROR(VLOOKUP(Products!$A$149,'Load-Truck'!$A$27:$B$136,1,FALSE),0),0)</f>
        <v>0</v>
      </c>
      <c r="DO71">
        <f>IF($DN71=0,0,VLOOKUP($DN71,'Load-Truck'!$A$27:$N$136,13,FALSE))</f>
        <v>0</v>
      </c>
      <c r="DP71">
        <f>IF($DN71=0,0,VLOOKUP($DN71,'Load-Truck'!$A$27:$N$136,14,FALSE))</f>
        <v>0</v>
      </c>
      <c r="DU71">
        <f>IF(OR(DV71=0,ISNUMBER(MATCH(DV71,$DV$1:DV70,0))),0,MAX($DU$1:DU70)+1)</f>
        <v>0</v>
      </c>
      <c r="DV71">
        <f>IF('Load-Truck'!$F$19="VCU",IFERROR(VLOOKUP(Products!$A$149,'Load-Truck'!$A$27:$B$136,1,FALSE),0),0)</f>
        <v>0</v>
      </c>
      <c r="DW71">
        <f>IF($DV71=0,0,VLOOKUP($DV71,'Load-Truck'!$A$27:$N$136,13,FALSE))</f>
        <v>0</v>
      </c>
      <c r="DX71">
        <f>IF($DV71=0,0,VLOOKUP($DV71,'Load-Truck'!$A$27:$N$136,14,FALSE))</f>
        <v>0</v>
      </c>
      <c r="EC71">
        <f>IF(OR(ED71=0,ISNUMBER(MATCH(ED71,$ED$1:ED70,0))),0,MAX($EC$1:EC70)+1)</f>
        <v>0</v>
      </c>
      <c r="ED71">
        <f>IF('Load-Truck'!$F$19="vapor oxidizer",IFERROR(VLOOKUP(Products!$A$149,'Load-Truck'!$A$27:$B$136,1,FALSE),0),0)</f>
        <v>0</v>
      </c>
      <c r="EE71">
        <f>IF($ED71=0,0,VLOOKUP($ED71,'Load-Truck'!$A$27:$N$136,13,FALSE))</f>
        <v>0</v>
      </c>
      <c r="EF71">
        <f>IF($ED71=0,0,VLOOKUP($ED71,'Load-Truck'!$A$27:$N$136,14,FALSE))</f>
        <v>0</v>
      </c>
      <c r="EK71">
        <f>IF(OR(EL71=0,ISNUMBER(MATCH(EL71,$EL$1:EL70,0))),0,MAX($EK$1:EK70)+1)</f>
        <v>0</v>
      </c>
      <c r="EL71">
        <f>IF('Load-Truck'!$F$19="CAS",IFERROR(VLOOKUP(Products!A149,'Load-Truck'!$A$27:$B$136,1,FALSE),0),0)</f>
        <v>0</v>
      </c>
      <c r="EM71">
        <f>IF($EL71=0,0,VLOOKUP($EL71,'Load-Truck'!$A$27:$N$136,13,FALSE))</f>
        <v>0</v>
      </c>
      <c r="EN71">
        <f>IF($EL71=0,0,VLOOKUP($EL71,'Load-Truck'!$A$27:$N$136,14,FALSE))</f>
        <v>0</v>
      </c>
      <c r="FB71" s="8" t="s">
        <v>489</v>
      </c>
      <c r="FC71" s="8" t="s">
        <v>490</v>
      </c>
      <c r="FD71" s="8">
        <v>420</v>
      </c>
      <c r="FE71" s="8">
        <v>42</v>
      </c>
      <c r="FG71" s="360" t="str">
        <f t="shared" si="45"/>
        <v/>
      </c>
      <c r="FH71" s="155">
        <f>IF(Tank1!$D$22="NO CONTROL",_xlfn.MAXIFS(Tank1!$G$32:$G$141,Tank1!$E$32:$E$141,$FG71),0)*IFERROR($QR$3,0)</f>
        <v>0</v>
      </c>
      <c r="FI71" s="155">
        <f>_xlfn.MAXIFS(LandEmiss!$AF$20:$AF$119,LandEmiss!$AE$20:$AE$119,$FG71)*IFERROR($QR$3,0)</f>
        <v>0</v>
      </c>
      <c r="FJ71" s="155">
        <f>MAX(_xlfn.MAXIFS(LandEmiss!$CO$20:$CO$119,LandEmiss!$CN$20:$CN$119,$FG71),_xlfn.MAXIFS(LandEmiss!$EZ$9:$EZ$108,LandEmiss!$EY$9:$EY$108,$FG71))*IFERROR($QR$3,0)</f>
        <v>0</v>
      </c>
      <c r="FK71" s="155">
        <f>IF(Tank2!$D$22="NO CONTROL",_xlfn.MAXIFS(Tank2!$G$32:$G$141,Tank2!$E$32:$E$141,$FG71),0)*IFERROR($QR$4,0)</f>
        <v>0</v>
      </c>
      <c r="FL71" s="155">
        <f>_xlfn.MAXIFS(LandEmiss!$AG$20:$AG$119,LandEmiss!$AE$20:$AE$119,$FG71)*IFERROR($QR$4,0)</f>
        <v>0</v>
      </c>
      <c r="FM71" s="155">
        <f>MAX(_xlfn.MAXIFS(LandEmiss!$CP$20:$CP$119,LandEmiss!$CN$20:$CN$119,$FG71),_xlfn.MAXIFS(LandEmiss!$FA$9:$FA$108,LandEmiss!$EY$9:$EY$108,$FG71))*IFERROR($QR$4,0)</f>
        <v>0</v>
      </c>
      <c r="FN71" s="155">
        <f>IF(Tank3!$D$22="NO CONTROL",_xlfn.MAXIFS(Tank3!$G$32:$G$141,Tank3!$E$32:$E$141,$FG71),0)*IFERROR($QR$5,0)</f>
        <v>0</v>
      </c>
      <c r="FO71" s="155">
        <f>_xlfn.MAXIFS(LandEmiss!$AH$20:$AH$119,LandEmiss!$AE$20:$AE$119,$FG71)*IFERROR($QR$5,0)</f>
        <v>0</v>
      </c>
      <c r="FP71" s="155">
        <f>MAX(_xlfn.MAXIFS(LandEmiss!$CQ$20:$CQ$119,LandEmiss!$CN$20:$CN$119,$FG71),_xlfn.MAXIFS(LandEmiss!$FB$9:$FB$108,LandEmiss!$EY$9:$EY$108,$FG71))*IFERROR($QR$5,0)</f>
        <v>0</v>
      </c>
      <c r="FQ71" s="155">
        <f>IF(Tank4!$D$22="NO CONTROL",_xlfn.MAXIFS(Tank4!$G$32:$G$141,Tank4!$E$32:$E$141,$FG71),0)*IFERROR($QR$6,0)</f>
        <v>0</v>
      </c>
      <c r="FR71" s="155">
        <f>_xlfn.MAXIFS(LandEmiss!$AI$20:$AI$119,LandEmiss!$AE$20:$AE$119,$FG71)*IFERROR($QR$6,0)</f>
        <v>0</v>
      </c>
      <c r="FS71" s="155">
        <f>MAX(_xlfn.MAXIFS(LandEmiss!$CR$20:$CR$119,LandEmiss!$CN$20:$CN$119,$FG71),_xlfn.MAXIFS(LandEmiss!$FC$9:$FC$108,LandEmiss!$EY$9:$EY$108,$FG71))*IFERROR($QR$6,0)</f>
        <v>0</v>
      </c>
      <c r="FT71" s="155">
        <f>IF(Tank5!$D$22="NO CONTROL",_xlfn.MAXIFS(Tank5!$G$32:$G$141,Tank5!$E$32:$E$141,$FG71),0)*IFERROR($QR$7,0)</f>
        <v>0</v>
      </c>
      <c r="FU71" s="155">
        <f>_xlfn.MAXIFS(LandEmiss!$AJ$20:$AJ$119,LandEmiss!$AE$20:$AE$119,$FG71)*IFERROR($QR$7,0)</f>
        <v>0</v>
      </c>
      <c r="FV71" s="155">
        <f>MAX(_xlfn.MAXIFS(LandEmiss!$CS$20:$CS$119,LandEmiss!$CN$20:$CN$119,$FG71),_xlfn.MAXIFS(LandEmiss!$FD$9:$FD$108,LandEmiss!$EY$9:$EY$108,$FG71))*IFERROR($QR76,0)</f>
        <v>0</v>
      </c>
      <c r="FW71" s="155">
        <f>_xlfn.MAXIFS('Load-DrumTote'!$K$27:$K$136,'Load-DrumTote'!$F$27:$F$136,$FG71)*IFERROR($QR$8,0)</f>
        <v>0</v>
      </c>
      <c r="FX71" s="155">
        <f>_xlfn.MAXIFS('Load-Truck'!$K$27:$K$136,'Load-Truck'!$F$27:$F$136,$FG71)*IFERROR($QR$9,0)</f>
        <v>0</v>
      </c>
      <c r="FY71" s="155">
        <f>_xlfn.MAXIFS('Load-Rail'!$K$27:$K$136,'Load-Rail'!$F$27:$F$136,$FG71)*IFERROR($QR$10,0)</f>
        <v>0</v>
      </c>
      <c r="FZ71" s="155">
        <f>_xlfn.MAXIFS('Load-MarineBarge'!$K$27:$K$136,'Load-MarineBarge'!$F$27:$F$136,$FG71)*IFERROR($QR$11,0)</f>
        <v>0</v>
      </c>
      <c r="GA71" s="155">
        <f>_xlfn.MAXIFS('Load-MarineShip'!$K$27:$K$136,'Load-MarineShip'!$F$27:$F$136,$FG71)*IFERROR($QR$12,0)</f>
        <v>0</v>
      </c>
      <c r="GB71" s="313">
        <f>IF(OR(Flare!$D$24="fuel gas",Flare!$D$38="fuel gas"),SUMIF(Flare!$E$97:$E$106,$FG71,Flare!$F$97:$F$106),0)*IFERROR($QR$13,0)</f>
        <v>0</v>
      </c>
      <c r="GC71" s="313">
        <f>(_xlfn.MAXIFS(CtrlDevImpacts!$I$57:$I$156,CtrlDevImpacts!$H$57:$H$156,$FG71))*IFERROR($QR$13,0)</f>
        <v>0</v>
      </c>
      <c r="GD71" s="313">
        <f>(_xlfn.MAXIFS(Flare!$F$107:$F$216,Flare!$E$107:$E$216,$FG71)-_xlfn.MAXIFS(CtrlDevImpacts!$I$57:$I$156,CtrlDevImpacts!$H$57:$H$156,$FG71))*IFERROR($QR$13,0)</f>
        <v>0</v>
      </c>
      <c r="GE71" s="155">
        <f>_xlfn.MAXIFS(LandEmiss!$B$335:$B$434,LandEmiss!$A$335:$A$434,$FG71)*IFERROR($QR$13,0)</f>
        <v>0</v>
      </c>
      <c r="GF71" s="155">
        <f>(_xlfn.MAXIFS(LandEmiss!$BK$335:$BK$434,LandEmiss!$BJ$335:$BJ$434,$FG71)+_xlfn.MAXIFS(LandEmiss!$DV$323:$DV$422,LandEmiss!$DU$323:$DU$422,$FG71))*IFERROR($QR$13,0)</f>
        <v>0</v>
      </c>
      <c r="GG71" s="313">
        <f>IF(OR(VCU!$D$26="fuel gas",VCU!$D$42="fuel gas"),SUMIF(VCU!$E$120:$E$129,$FG71,VCU!$F$120:$F$129),0)*IFERROR($QR$14,0)</f>
        <v>0</v>
      </c>
      <c r="GH71" s="313">
        <f>(_xlfn.MAXIFS(CtrlDevImpacts!$X$57:$X$156,CtrlDevImpacts!$W$57:$W$156,$FG71))*IFERROR($QR$14,0)</f>
        <v>0</v>
      </c>
      <c r="GI71" s="313">
        <f>(_xlfn.MAXIFS(VCU!$F$130:$F$239,VCU!$E$130:$E$239,$FG71)-_xlfn.MAXIFS(CtrlDevImpacts!$X$57:$X$156,CtrlDevImpacts!$W$57:$W$156,$FG71))*IFERROR($QR$14,0)</f>
        <v>0</v>
      </c>
      <c r="GJ71" s="155">
        <f>_xlfn.MAXIFS(LandEmiss!$D$335:$D$434,LandEmiss!$A$335:$A$434,$FG71)*IFERROR($QR$14,0)</f>
        <v>0</v>
      </c>
      <c r="GK71" s="155">
        <f>(_xlfn.MAXIFS(LandEmiss!$BM$335:$BM$434,LandEmiss!$BJ$335:$BJ$434,$FG71)+_xlfn.MAXIFS(LandEmiss!$DX$323:$DX$422,LandEmiss!$DU$323:$DU$422,$FG71))*IFERROR($QR$14,0)</f>
        <v>0</v>
      </c>
      <c r="GL71" s="313">
        <f>IF(VaporOxidizer!D102="FUEL GAS",SUMIF(VaporOxidizer!$E$101:$E$110,$FG71,VaporOxidizer!$F$101:$F$110),0)*IFERROR($QR$15,0)</f>
        <v>0</v>
      </c>
      <c r="GM71" s="313">
        <f>(_xlfn.MAXIFS(CtrlDevImpacts!$AN$57:$AN$156,CtrlDevImpacts!$AM$57:$AM$156,$FG71))*IFERROR($QR$15,0)</f>
        <v>0</v>
      </c>
      <c r="GN71" s="313">
        <f>(_xlfn.MAXIFS(VaporOxidizer!$F$111:$F$220,VaporOxidizer!$E$111:$E$220,$FG71)-_xlfn.MAXIFS(CtrlDevImpacts!$AN$57:$AN$156,CtrlDevImpacts!$AM$57:$AM$156,$FG71))*IFERROR($QR$15,0)</f>
        <v>0</v>
      </c>
      <c r="GO71" s="155">
        <f>_xlfn.MAXIFS(LandEmiss!$F$335:$F$434,LandEmiss!$A$335:$A$434,$FG71)*IFERROR($QR$15,0)</f>
        <v>0</v>
      </c>
      <c r="GP71" s="155">
        <f>(_xlfn.MAXIFS(LandEmiss!$BK$335:$BK$434,LandEmiss!$BO$335:$BO$434,$FG71)+_xlfn.MAXIFS(LandEmiss!$DZ$323:$DZ$422,LandEmiss!$DU$323:$DU$422,$FG71))*IFERROR($QR$15,0)</f>
        <v>0</v>
      </c>
      <c r="GQ71" s="313">
        <f>_xlfn.MAXIFS(CtrlDevImpacts!$BD$57:$BD$156,CtrlDevImpacts!$BC$57:$BC$156,$FG71)*IFERROR(Hidden!$QR$16,0)</f>
        <v>0</v>
      </c>
      <c r="GR71" s="313">
        <f>(_xlfn.MAXIFS(CAS!$H$35:$H$144,CAS!$E$35:$E$144,$FG71)-_xlfn.MAXIFS(CtrlDevImpacts!$BD$57:$BD$156,CtrlDevImpacts!$BC$57:$BC$156,$FG71))*IFERROR(Hidden!$QR$16,0)</f>
        <v>0</v>
      </c>
      <c r="GS71" s="155">
        <f>_xlfn.MAXIFS(LandEmiss!$H$335:$H$434,LandEmiss!$A$335:$A$434,$FG71)*IFERROR($QR$27,0)</f>
        <v>0</v>
      </c>
      <c r="GT71" s="155">
        <f>(_xlfn.MAXIFS(LandEmiss!$BK$335:$BK$434,LandEmiss!$BQ$335:$BQ$434,$FG71)+_xlfn.MAXIFS(LandEmiss!$EB$323:$EB$422,LandEmiss!$DU$323:$DU$422,$FG71))*IFERROR($QR$27,0)</f>
        <v>0</v>
      </c>
      <c r="GU71" s="155">
        <f>_xlfn.MAXIFS(LandEmiss!$J$335:$J$434,LandEmiss!$A$335:$A$434,$FG71)*IFERROR($QR$26,0)</f>
        <v>0</v>
      </c>
      <c r="GV71" s="155">
        <f>(_xlfn.MAXIFS(LandEmiss!$BK$335:$BK$434,LandEmiss!$BS$335:$BS$434,$FG71)+_xlfn.MAXIFS(LandEmiss!$ED$323:$ED$422,LandEmiss!$DU$323:$DU$422,$FG71))*IFERROR($QR$26,0)</f>
        <v>0</v>
      </c>
      <c r="GW71" s="155">
        <f>_xlfn.MAXIFS(LandEmiss!$L$335:$L$434,LandEmiss!$A$335:$A$434,$FG71)*IFERROR($QR$25,0)</f>
        <v>0</v>
      </c>
      <c r="GX71" s="155">
        <f>(_xlfn.MAXIFS(LandEmiss!$BK$335:$BK$434,LandEmiss!$BU$335:$BU$434,$FG71)+_xlfn.MAXIFS(LandEmiss!$EF$323:$EF$422,LandEmiss!$DU$323:$DU$422,$FG71))*IFERROR($QR$25,0)</f>
        <v>0</v>
      </c>
      <c r="GY71" s="155">
        <v>0</v>
      </c>
      <c r="GZ71" s="155">
        <v>0</v>
      </c>
      <c r="HA71" s="155">
        <f>IF(OR(HeaterBoiler1!$E$26&lt;&gt;"fuel gas",HeaterBoiler1!$E$15&lt;&gt;"heater"),0,SUMIF(HeaterBoiler1!$A$54:$D$63,$FG71,HeaterBoiler1!$I$54:$I$63))*IFERROR($QR$19,0)</f>
        <v>0</v>
      </c>
      <c r="HB71" s="207">
        <f>IF(OR(HeaterBoiler2!$E$26&lt;&gt;"fuel gas",HeaterBoiler2!$E$15&lt;&gt;"heater"),0,SUMIF(HeaterBoiler2!$A$54:$D$63,$FG71,HeaterBoiler2!$I$54:$I$63))*IFERROR($QR$21,0)</f>
        <v>0</v>
      </c>
      <c r="HC71" s="155">
        <f>IF(OR(HeaterBoiler1!$E$26&lt;&gt;"fuel gas",HeaterBoiler1!$E$15&lt;&gt;"boiler"),0,SUMIF(HeaterBoiler1!$A$41:$A$50,$FG71,HeaterBoiler1!$F$41:$F$50))*IFERROR($QR$20,0)</f>
        <v>0</v>
      </c>
      <c r="HD71" s="207">
        <f>IF(OR(HeaterBoiler2!$E$26&lt;&gt;"fuel gas",HeaterBoiler2!$E$15&lt;&gt;"boiler"),0,SUMIF(HeaterBoiler2!$A$41:$A$50,$FG71,HeaterBoiler2!$F$41:$F$50))*IFERROR($QR$22,0)</f>
        <v>0</v>
      </c>
      <c r="HE71" s="155">
        <f>SUMIF(Fug!$A$96:$A$205,$FG71,Fug!$I$96:$I$205)*IFERROR(Hidden!$QR$23,0)</f>
        <v>0</v>
      </c>
      <c r="HF71" s="155">
        <f t="shared" si="46"/>
        <v>0</v>
      </c>
      <c r="HG71" s="156">
        <f t="shared" si="47"/>
        <v>0</v>
      </c>
      <c r="HH71" s="156">
        <f t="shared" si="48"/>
        <v>0</v>
      </c>
      <c r="HI71" s="156">
        <f t="shared" si="49"/>
        <v>0</v>
      </c>
      <c r="HJ71" s="156">
        <f t="shared" si="50"/>
        <v>0</v>
      </c>
      <c r="HK71" s="156">
        <f t="shared" si="51"/>
        <v>0</v>
      </c>
      <c r="HL71" s="156">
        <f t="shared" si="52"/>
        <v>0</v>
      </c>
      <c r="NO71" s="155">
        <f>IF(Tank1!$D$22="No control",(SUMIF(Tank1!$E$32:$E$141,$FG71,Tank1!$H$32:$H$141)*(2000/8760)*IFERROR($QV$3,0)),0)</f>
        <v>0</v>
      </c>
      <c r="NP71" s="156">
        <f>SUMIF(LandEmiss!$AE$20:$AE$119,$FG71,LandEmiss!$AK$20:$AK$119)*(2000/8760)*IFERROR($QV$3,0)</f>
        <v>0</v>
      </c>
      <c r="NQ71" s="156">
        <f>(SUMIF(LandEmiss!$CN$20:$CN$119,$FG71,LandEmiss!$CT$20:$CT$119)+SUMIF(LandEmiss!$EY$9:$EY$108,$FG71,LandEmiss!$FE$9:$FE$108))*IFERROR($QV$3,0)*(2000/8760)</f>
        <v>0</v>
      </c>
      <c r="NR71" s="155">
        <f>IF(Tank2!$D$22="No control",(SUMIF(Tank2!$E$32:$E$141,$FG71,Tank2!$H$32:$H$141)*(2000/8760)*IFERROR($QV$4,0)),0)</f>
        <v>0</v>
      </c>
      <c r="NS71" s="156">
        <f>SUMIF(LandEmiss!$AE$20:$AE$119,$FG71,LandEmiss!$AL$20:$AL$119)*(2000/8760)*IFERROR($QV$4,0)</f>
        <v>0</v>
      </c>
      <c r="NT71" s="156">
        <f>(SUMIF(LandEmiss!$CN$20:$CN$119,$FG71,LandEmiss!$CU$20:$CU$119)+SUMIF(LandEmiss!$EY$9:$EY$108,$FG71,LandEmiss!$FF$9:$FF$108))*IFERROR($QV$4,0)*(2000/8760)</f>
        <v>0</v>
      </c>
      <c r="NU71" s="155">
        <f>IF(Tank3!$D$22="No control",(SUMIF(Tank3!$E$32:$E$141,$FG71,Tank3!$H$32:$H$141)*(2000/8760)*IFERROR($QV$5,0)),0)</f>
        <v>0</v>
      </c>
      <c r="NV71" s="156">
        <f>SUMIF(LandEmiss!$AE$20:$AE$119,$FG71,LandEmiss!$AM$20:$AM$119)*(2000/8760)*IFERROR($QV$5,0)</f>
        <v>0</v>
      </c>
      <c r="NW71" s="156">
        <f>(SUMIF(LandEmiss!$CN$20:$CN$119,$FG71,LandEmiss!$CV$20:$CV$119)+SUMIF(LandEmiss!$EY$9:$EY$108,$FG71,LandEmiss!$FG$9:$FG$108))*IFERROR($QV$5,0)*(2000/8760)</f>
        <v>0</v>
      </c>
      <c r="NX71" s="155">
        <f>IF(Tank4!$D$22="No control",(SUMIF(Tank4!$E$32:$E$141,$FG71,Tank4!$H$32:$H$141)*(2000/8760)*IFERROR($QV$6,0)),0)</f>
        <v>0</v>
      </c>
      <c r="NY71" s="156">
        <f>SUMIF(LandEmiss!$AE$20:$AE$119,$FG71,LandEmiss!$AN$20:$AN$119)*(2000/8760)*IFERROR($QV$6,0)</f>
        <v>0</v>
      </c>
      <c r="NZ71" s="156">
        <f>(SUMIF(LandEmiss!$CN$20:$CN$119,$FG71,LandEmiss!$CW$20:$CW$119)+SUMIF(LandEmiss!$EY$9:$EY$108,$FG71,LandEmiss!$FH$9:$FH$108))*IFERROR($QV$6,0)*(2000/8760)</f>
        <v>0</v>
      </c>
      <c r="OA71" s="155">
        <f>IF(Tank5!$D$22="No control",(SUMIF(Tank5!$E$32:$E$141,$FG71,Tank5!$H$32:$H$141)*(2000/8760)*IFERROR($QV$7,0)),0)</f>
        <v>0</v>
      </c>
      <c r="OB71" s="156">
        <f>SUMIF(LandEmiss!$AE$20:$AE$119,$FG71,LandEmiss!$AO$20:$AO$119)*(2000/8760)*IFERROR($QV$7,0)</f>
        <v>0</v>
      </c>
      <c r="OC71" s="156">
        <f>(SUMIF(LandEmiss!$CN$20:$CN$119,$FG71,LandEmiss!$CX$20:$CX$119)+SUMIF(LandEmiss!$EY$9:$EY$108,$FG71,LandEmiss!$FI$9:$FI$108))*IFERROR($QV$7,0)*(2000/8760)</f>
        <v>0</v>
      </c>
      <c r="OD71" s="155">
        <f>SUMIFS('Load-DrumTote'!$L$27:$L$136,'Load-DrumTote'!$F$27:$F$136,$FG71)*IFERROR($QV$8,0)*(2000/8760)</f>
        <v>0</v>
      </c>
      <c r="OE71" s="155">
        <f>SUMIFS('Load-Truck'!$L$27:$L$136,'Load-Truck'!$F$27:$F$136,$FG71)*IFERROR($QV$9,0)*(2000/8760)</f>
        <v>0</v>
      </c>
      <c r="OF71" s="155">
        <f>SUMIFS('Load-Rail'!$L$27:$L$136,'Load-Rail'!$F$27:$F$136,$FG71)*IFERROR($QV$10,0)*(2000/8760)</f>
        <v>0</v>
      </c>
      <c r="OG71" s="155">
        <f>SUMIFS('Load-MarineBarge'!$L$27:$L$136,'Load-MarineBarge'!$F$27:$F$136,$FG71)*IFERROR($QV$11,0)*(2000/8760)</f>
        <v>0</v>
      </c>
      <c r="OH71" s="155">
        <f>SUMIFS('Load-MarineShip'!$L$27:$L$136,'Load-MarineShip'!$F$27:$F$136,$FG71)*IFERROR($QV$12,0)*(2000/8760)</f>
        <v>0</v>
      </c>
      <c r="OI71" s="155">
        <f>(IF(OR(Flare!$D$24="FUEL GAS",Flare!$D$38="FUEL GAS"),SUMIF(Flare!$E$97:$E$106,$FG71,Flare!$G$97:$G$105),0)+SUMIF(Flare!$E$107:$E$216,$FG71,Flare!$G$107:$G$216))*(2000/8730)*IFERROR($QV$13,0)</f>
        <v>0</v>
      </c>
      <c r="OJ71" s="155">
        <f>SUMIF(LandEmiss!$A$335:$A$434,$FG71,LandEmiss!$C$335:$C$434)*(2000/8760)*IFERROR($QV$13,0)</f>
        <v>0</v>
      </c>
      <c r="OK71" s="155">
        <f>(SUMIF(LandEmiss!$BJ$335:$BJ$434,$FG71,LandEmiss!$BL$335:$BL$434)+SUMIF(LandEmiss!$DU$323:$DU$422,$FG71,LandEmiss!$DW$323:$DW$422))*(2000/8760)*IFERROR($QV$13,0)</f>
        <v>0</v>
      </c>
      <c r="OL71" s="155">
        <f>(IF(OR(VCU!$D$26="FUEL GAS",VCU!$D$42="FUEL GAS"),SUMIF(VCU!$E$120:$E$129,$FG71,VCU!$G$120:$G$129),0)+SUMIF(VCU!$E$130:$E$239,$FG71,VCU!G199:G308))*(2000/8760)*IFERROR($QV$14,0)</f>
        <v>0</v>
      </c>
      <c r="OM71" s="155">
        <f>SUMIF(LandEmiss!$A$335:$A$434,$FG71,LandEmiss!$E$335:$E$434)*(2000/8760)*IFERROR($QV$14,0)</f>
        <v>0</v>
      </c>
      <c r="ON71" s="155">
        <f>(SUMIF(LandEmiss!$BJ$335:$BJ$434,$FG71,LandEmiss!$BN$335:$BN$434)+SUMIF(LandEmiss!$DU$323:$DU$422,$FG71,LandEmiss!$DY$323:$DY$422))*(2000/8760)*IFERROR($QV$14,0)</f>
        <v>0</v>
      </c>
      <c r="OO71" s="155">
        <f>(IF(VaporOxidizer!$D$33="FUEL GAS",SUMIF(VaporOxidizer!$E$101:$E$110,$FG71,VaporOxidizer!$G$101:$G$110),0)+SUMIF(VaporOxidizer!$E$111:$E$220,$FG71,VaporOxidizer!$G$111:$G$220))*(2000/8760)*IFERROR($QV$15,0)</f>
        <v>0</v>
      </c>
      <c r="OP71" s="155">
        <f>SUMIF(LandEmiss!$A$335:$A$434,$FG71,LandEmiss!$G$335:$G$434)*(2000/8760)*IFERROR($QV$15,0)</f>
        <v>0</v>
      </c>
      <c r="OQ71" s="155">
        <f>(SUMIF(LandEmiss!$BJ$335:$BJ$434,$FG71,LandEmiss!$BP$335:$BP$434)+SUMIF(LandEmiss!$DU$323:$DU$422,$FG71,LandEmiss!$EA$323:$EA$422))*(2000/8760)*IFERROR($QV$15,0)</f>
        <v>0</v>
      </c>
      <c r="OR71" s="155">
        <f>SUMIF(CAS!$E$35:$E$144,Hidden!$FG71,CAS!$I$35:$I$144)*IFERROR($QV$16,0)*(2000/8760)</f>
        <v>0</v>
      </c>
      <c r="OS71" s="155">
        <f>SUMIF(LandEmiss!$A$335:$A$434,$FG71,LandEmiss!$I$335:$I$434)*(2000/8760)*IFERROR($QV$27,0)</f>
        <v>0</v>
      </c>
      <c r="OT71" s="155">
        <f>(SUMIF(LandEmiss!$BJ$335:$BJ$434,$FG71,LandEmiss!$BR$335:$BR$434)+SUMIF(LandEmiss!$DU$323:$DU$422,$FG71,LandEmiss!$EC$323:$EC$422))*(2000/8760)*IFERROR($QV$27,0)</f>
        <v>0</v>
      </c>
      <c r="OU71" s="155">
        <f>SUMIF(LandEmiss!$A$335:$A$434,$FG71,LandEmiss!$K$335:$K$434)*(2000/8760)*IFERROR($QV$26,0)</f>
        <v>0</v>
      </c>
      <c r="OV71" s="155">
        <f>(SUMIF(LandEmiss!$BJ$335:$BJ$434,$FG71,LandEmiss!$BT$335:$BT$434)+SUMIF(LandEmiss!$DU$323:$DU$422,$FG71,LandEmiss!$EE$323:$EE$422))*(2000/8760)*IFERROR($QV$26,0)</f>
        <v>0</v>
      </c>
      <c r="OW71" s="155">
        <f>SUMIF(LandEmiss!$A$335:$A$434,$FG71,LandEmiss!$M$335:$M$434)*(2000/8760)*IFERROR($QV$25,0)</f>
        <v>0</v>
      </c>
      <c r="OX71" s="155">
        <f>(SUMIF(LandEmiss!$BJ$335:$BJ$434,$FG71,LandEmiss!$BV$335:$BV$434)+SUMIF(LandEmiss!$DU$323:$DU$422,$FG71,LandEmiss!$EG$323:$EG$422))*(2000/8760)*IFERROR($QV$25,0)</f>
        <v>0</v>
      </c>
      <c r="OY71" s="8">
        <v>0</v>
      </c>
      <c r="OZ71" s="207">
        <v>0</v>
      </c>
      <c r="PA71" s="207">
        <f>IF(OR(HeaterBoiler1!$E$26&lt;&gt;"fuel gas",HeaterBoiler1!$E$15&lt;&gt;"heater"),0,(SUMIF(HeaterBoiler1!$A$54:$D$63,$FG71,HeaterBoiler1!$J$54:$J$63))*(2000/8760))*IFERROR($QV$19,0)</f>
        <v>0</v>
      </c>
      <c r="PB71" s="207">
        <f>IF(OR(HeaterBoiler2!$E$26&lt;&gt;"fuel gas",HeaterBoiler2!$E$15&lt;&gt;"heater"),0,(SUMIF(HeaterBoiler2!$A$54:$D$63,$FG71,HeaterBoiler2!$J$54:$J$63))*(2000/8760))*IFERROR($QV$21,0)</f>
        <v>0</v>
      </c>
      <c r="PC71" s="207">
        <f>IF(OR(HeaterBoiler1!$E$26&lt;&gt;"fuel gas",HeaterBoiler1!$E$15&lt;&gt;"boiler"),0,(SUMIF(HeaterBoiler1!$A$54:$D$63,$FG71,HeaterBoiler1!$J$54:$J$63))*(2000/8760))*IFERROR($QV$20,0)</f>
        <v>0</v>
      </c>
      <c r="PD71" s="207">
        <f>IF(OR(HeaterBoiler2!$E$26&lt;&gt;"fuel gas",HeaterBoiler2!$E$15&lt;&gt;"boiler"),0,(SUMIF(HeaterBoiler2!$A$54:$D$63,$FG71,HeaterBoiler2!$J$54:$J$63))*(2000/8760))*IFERROR($QV$22,0)</f>
        <v>0</v>
      </c>
      <c r="PE71" s="8">
        <f>(SUMIF(Fug!$A$96:$A$205,$FG71,Fug!$J$96:$J$205))*IFERROR($QV$23,0)*(2000/8760)</f>
        <v>0</v>
      </c>
      <c r="PF71" s="8">
        <f t="shared" si="53"/>
        <v>0</v>
      </c>
      <c r="PG71" s="156">
        <f t="shared" si="54"/>
        <v>0</v>
      </c>
      <c r="QX71" s="89" t="s">
        <v>9318</v>
      </c>
      <c r="QY71">
        <v>356.8</v>
      </c>
      <c r="QZ71">
        <v>221.3</v>
      </c>
      <c r="RA71">
        <v>184.7</v>
      </c>
      <c r="RB71">
        <v>139</v>
      </c>
      <c r="RC71">
        <v>94.14</v>
      </c>
      <c r="RD71">
        <v>73.010000000000005</v>
      </c>
      <c r="RE71">
        <v>57.58</v>
      </c>
      <c r="RF71">
        <v>44.15</v>
      </c>
      <c r="RG71" s="90">
        <v>35.96</v>
      </c>
      <c r="RH71" s="89" t="s">
        <v>9318</v>
      </c>
      <c r="RI71">
        <v>308</v>
      </c>
      <c r="RJ71">
        <v>160</v>
      </c>
      <c r="RK71">
        <v>86.84</v>
      </c>
      <c r="RL71">
        <v>58.36</v>
      </c>
      <c r="RM71">
        <v>45.66</v>
      </c>
      <c r="RN71">
        <v>36.03</v>
      </c>
      <c r="RO71">
        <v>34.64</v>
      </c>
      <c r="RP71">
        <v>29.65</v>
      </c>
      <c r="RQ71" s="90">
        <v>26.89</v>
      </c>
      <c r="RR71" s="89" t="s">
        <v>9318</v>
      </c>
      <c r="RS71">
        <v>191.4</v>
      </c>
      <c r="RT71">
        <v>101.9</v>
      </c>
      <c r="RU71">
        <v>61.12</v>
      </c>
      <c r="RV71">
        <v>39.479999999999997</v>
      </c>
      <c r="RW71">
        <v>29.21</v>
      </c>
      <c r="RX71">
        <v>23.34</v>
      </c>
      <c r="RY71">
        <v>20.91</v>
      </c>
      <c r="RZ71">
        <v>17.11</v>
      </c>
      <c r="SA71" s="90">
        <v>14.7</v>
      </c>
      <c r="SB71" s="89" t="s">
        <v>9318</v>
      </c>
      <c r="SC71">
        <v>101.9</v>
      </c>
      <c r="SD71">
        <v>53.61</v>
      </c>
      <c r="SE71">
        <v>30.8</v>
      </c>
      <c r="SF71">
        <v>20.27</v>
      </c>
      <c r="SG71">
        <v>16.25</v>
      </c>
      <c r="SH71">
        <v>13.73</v>
      </c>
      <c r="SI71">
        <v>12.42</v>
      </c>
      <c r="SJ71">
        <v>9.0299999999999994</v>
      </c>
      <c r="SK71" s="90">
        <v>7.25</v>
      </c>
      <c r="SL71" s="89" t="s">
        <v>9318</v>
      </c>
      <c r="SM71">
        <v>27.97</v>
      </c>
      <c r="SN71">
        <v>14.45</v>
      </c>
      <c r="SO71">
        <v>8.32</v>
      </c>
      <c r="SP71">
        <v>5.69</v>
      </c>
      <c r="SQ71">
        <v>4.7699999999999996</v>
      </c>
      <c r="SR71">
        <v>4.07</v>
      </c>
      <c r="SS71">
        <v>3.48</v>
      </c>
      <c r="ST71">
        <v>2.4</v>
      </c>
      <c r="SU71" s="90">
        <v>1.75</v>
      </c>
    </row>
    <row r="72" spans="23:515" ht="74.25" customHeight="1" x14ac:dyDescent="0.2">
      <c r="W72">
        <f>IF(OR(X72=0,ISNUMBER(MATCH(X72,$X$1:X71,0))),0,MAX($W$1:W71)+1)</f>
        <v>0</v>
      </c>
      <c r="X72" s="123">
        <f>Products!$E119</f>
        <v>0</v>
      </c>
      <c r="Y72" t="str">
        <f t="shared" si="42"/>
        <v/>
      </c>
      <c r="CA72">
        <f>IF(OR(CB72=0,ISNUMBER(MATCH(CB72,$CB$1:CB71,0))),0,MAX($CA$1:CA71)+1)</f>
        <v>0</v>
      </c>
      <c r="CB72" s="8">
        <f>IF(OR(Tank1!$D$18="EXTERNAL FLOATING ROOF",Tank1!$D$18="INTERNAL FLOATING ROOF"),IF(Tank1!$E102="",0,Tank1!$E102),0)</f>
        <v>0</v>
      </c>
      <c r="CC72" s="8" t="str">
        <f t="shared" si="43"/>
        <v/>
      </c>
      <c r="CD72" s="8"/>
      <c r="CE72" s="8">
        <f>IF(OR(CF72=0,ISNUMBER(MATCH(CF72,$CF$1:CF71,0))),0,MAX($CE$1:CE71)+1)</f>
        <v>0</v>
      </c>
      <c r="CF72" s="8">
        <f>IF(OR(Tank1!$D$18="HORIZONTAL FIXED ROOF",Tank1!$D$18="VERTICAL FIXED ROOF"),IF(Tank1!$E102="",0,Tank1!$E102),0)</f>
        <v>0</v>
      </c>
      <c r="CG72" s="8" t="str">
        <f t="shared" si="44"/>
        <v/>
      </c>
      <c r="DL72" t="s">
        <v>9292</v>
      </c>
      <c r="DM72">
        <f>IF(OR(DN72=0,ISNUMBER(MATCH(DN72,$DN$1:DN71,0))),0,MAX($DM$1:DM71)+1)</f>
        <v>0</v>
      </c>
      <c r="DN72">
        <f>IF('Load-Rail'!$F$19="Flare",IFERROR(VLOOKUP(Products!$A$59,'Load-Rail'!$A$27:$B$136,1,FALSE),0),0)</f>
        <v>0</v>
      </c>
      <c r="DO72">
        <f>IF($DN72=0,0,VLOOKUP($DN72,'Load-Rail'!$A$27:$N$136,13,FALSE))</f>
        <v>0</v>
      </c>
      <c r="DP72">
        <f>IF($DN72=0,0,VLOOKUP($DN72,'Load-Rail'!$A$27:$N$136,14,FALSE))</f>
        <v>0</v>
      </c>
      <c r="DU72">
        <f>IF(OR(DV72=0,ISNUMBER(MATCH(DV72,$DV$1:DV71,0))),0,MAX($DU$1:DU71)+1)</f>
        <v>0</v>
      </c>
      <c r="DV72">
        <f>IF('Load-Rail'!$F$19="VCU",IFERROR(VLOOKUP(Products!$A$59,'Load-Rail'!$A$27:$B$136,1,FALSE),0),0)</f>
        <v>0</v>
      </c>
      <c r="DW72">
        <f>IF($DV72=0,0,VLOOKUP($DV72,'Load-Rail'!$A$27:$N$136,13,FALSE))</f>
        <v>0</v>
      </c>
      <c r="DX72">
        <f>IF($DV72=0,0,VLOOKUP($DV72,'Load-Rail'!$A$27:$N$136,14,FALSE))</f>
        <v>0</v>
      </c>
      <c r="EC72">
        <f>IF(OR(ED72=0,ISNUMBER(MATCH(ED72,$ED$1:ED71,0))),0,MAX($EC$1:EC71)+1)</f>
        <v>0</v>
      </c>
      <c r="ED72">
        <f>IF('Load-Rail'!$F$19="vapor oxidizer",IFERROR(VLOOKUP(Products!$A$59,'Load-Rail'!$A$27:$B$136,1,FALSE),0),0)</f>
        <v>0</v>
      </c>
      <c r="EE72">
        <f>IF($ED72=0,0,VLOOKUP($ED72,'Load-Rail'!$A$27:$N$136,13,FALSE))</f>
        <v>0</v>
      </c>
      <c r="EF72">
        <f>IF($ED72=0,0,VLOOKUP($ED72,'Load-Rail'!$A$27:$N$136,14,FALSE))</f>
        <v>0</v>
      </c>
      <c r="EK72">
        <f>IF(OR(EL72=0,ISNUMBER(MATCH(EL72,$EL$1:EL71,0))),0,MAX($EK$1:EK71)+1)</f>
        <v>0</v>
      </c>
      <c r="EL72">
        <f>IF('Load-Rail'!$F$19="CAS",IFERROR(VLOOKUP(Products!A59,'Load-Rail'!$A$27:$B$136,1,FALSE),0),0)</f>
        <v>0</v>
      </c>
      <c r="EM72">
        <f>IF($EL72=0,0,VLOOKUP($EL72,'Load-Rail'!$A$27:$N$136,13,FALSE))</f>
        <v>0</v>
      </c>
      <c r="EN72">
        <f>IF($EL72=0,0,VLOOKUP($EL72,'Load-Rail'!$A$27:$N$136,14,FALSE))</f>
        <v>0</v>
      </c>
      <c r="FB72" s="8" t="s">
        <v>491</v>
      </c>
      <c r="FC72" s="8" t="s">
        <v>492</v>
      </c>
      <c r="FD72" s="8">
        <v>440</v>
      </c>
      <c r="FE72" s="8">
        <v>44</v>
      </c>
      <c r="FG72" s="360" t="str">
        <f t="shared" si="45"/>
        <v/>
      </c>
      <c r="FH72" s="155">
        <f>IF(Tank1!$D$22="NO CONTROL",_xlfn.MAXIFS(Tank1!$G$32:$G$141,Tank1!$E$32:$E$141,$FG72),0)*IFERROR($QR$3,0)</f>
        <v>0</v>
      </c>
      <c r="FI72" s="155">
        <f>_xlfn.MAXIFS(LandEmiss!$AF$20:$AF$119,LandEmiss!$AE$20:$AE$119,$FG72)*IFERROR($QR$3,0)</f>
        <v>0</v>
      </c>
      <c r="FJ72" s="155">
        <f>MAX(_xlfn.MAXIFS(LandEmiss!$CO$20:$CO$119,LandEmiss!$CN$20:$CN$119,$FG72),_xlfn.MAXIFS(LandEmiss!$EZ$9:$EZ$108,LandEmiss!$EY$9:$EY$108,$FG72))*IFERROR($QR$3,0)</f>
        <v>0</v>
      </c>
      <c r="FK72" s="155">
        <f>IF(Tank2!$D$22="NO CONTROL",_xlfn.MAXIFS(Tank2!$G$32:$G$141,Tank2!$E$32:$E$141,$FG72),0)*IFERROR($QR$4,0)</f>
        <v>0</v>
      </c>
      <c r="FL72" s="155">
        <f>_xlfn.MAXIFS(LandEmiss!$AG$20:$AG$119,LandEmiss!$AE$20:$AE$119,$FG72)*IFERROR($QR$4,0)</f>
        <v>0</v>
      </c>
      <c r="FM72" s="155">
        <f>MAX(_xlfn.MAXIFS(LandEmiss!$CP$20:$CP$119,LandEmiss!$CN$20:$CN$119,$FG72),_xlfn.MAXIFS(LandEmiss!$FA$9:$FA$108,LandEmiss!$EY$9:$EY$108,$FG72))*IFERROR($QR$4,0)</f>
        <v>0</v>
      </c>
      <c r="FN72" s="155">
        <f>IF(Tank3!$D$22="NO CONTROL",_xlfn.MAXIFS(Tank3!$G$32:$G$141,Tank3!$E$32:$E$141,$FG72),0)*IFERROR($QR$5,0)</f>
        <v>0</v>
      </c>
      <c r="FO72" s="155">
        <f>_xlfn.MAXIFS(LandEmiss!$AH$20:$AH$119,LandEmiss!$AE$20:$AE$119,$FG72)*IFERROR($QR$5,0)</f>
        <v>0</v>
      </c>
      <c r="FP72" s="155">
        <f>MAX(_xlfn.MAXIFS(LandEmiss!$CQ$20:$CQ$119,LandEmiss!$CN$20:$CN$119,$FG72),_xlfn.MAXIFS(LandEmiss!$FB$9:$FB$108,LandEmiss!$EY$9:$EY$108,$FG72))*IFERROR($QR$5,0)</f>
        <v>0</v>
      </c>
      <c r="FQ72" s="155">
        <f>IF(Tank4!$D$22="NO CONTROL",_xlfn.MAXIFS(Tank4!$G$32:$G$141,Tank4!$E$32:$E$141,$FG72),0)*IFERROR($QR$6,0)</f>
        <v>0</v>
      </c>
      <c r="FR72" s="155">
        <f>_xlfn.MAXIFS(LandEmiss!$AI$20:$AI$119,LandEmiss!$AE$20:$AE$119,$FG72)*IFERROR($QR$6,0)</f>
        <v>0</v>
      </c>
      <c r="FS72" s="155">
        <f>MAX(_xlfn.MAXIFS(LandEmiss!$CR$20:$CR$119,LandEmiss!$CN$20:$CN$119,$FG72),_xlfn.MAXIFS(LandEmiss!$FC$9:$FC$108,LandEmiss!$EY$9:$EY$108,$FG72))*IFERROR($QR$6,0)</f>
        <v>0</v>
      </c>
      <c r="FT72" s="155">
        <f>IF(Tank5!$D$22="NO CONTROL",_xlfn.MAXIFS(Tank5!$G$32:$G$141,Tank5!$E$32:$E$141,$FG72),0)*IFERROR($QR$7,0)</f>
        <v>0</v>
      </c>
      <c r="FU72" s="155">
        <f>_xlfn.MAXIFS(LandEmiss!$AJ$20:$AJ$119,LandEmiss!$AE$20:$AE$119,$FG72)*IFERROR($QR$7,0)</f>
        <v>0</v>
      </c>
      <c r="FV72" s="155">
        <f>MAX(_xlfn.MAXIFS(LandEmiss!$CS$20:$CS$119,LandEmiss!$CN$20:$CN$119,$FG72),_xlfn.MAXIFS(LandEmiss!$FD$9:$FD$108,LandEmiss!$EY$9:$EY$108,$FG72))*IFERROR($QR77,0)</f>
        <v>0</v>
      </c>
      <c r="FW72" s="155">
        <f>_xlfn.MAXIFS('Load-DrumTote'!$K$27:$K$136,'Load-DrumTote'!$F$27:$F$136,$FG72)*IFERROR($QR$8,0)</f>
        <v>0</v>
      </c>
      <c r="FX72" s="155">
        <f>_xlfn.MAXIFS('Load-Truck'!$K$27:$K$136,'Load-Truck'!$F$27:$F$136,$FG72)*IFERROR($QR$9,0)</f>
        <v>0</v>
      </c>
      <c r="FY72" s="155">
        <f>_xlfn.MAXIFS('Load-Rail'!$K$27:$K$136,'Load-Rail'!$F$27:$F$136,$FG72)*IFERROR($QR$10,0)</f>
        <v>0</v>
      </c>
      <c r="FZ72" s="155">
        <f>_xlfn.MAXIFS('Load-MarineBarge'!$K$27:$K$136,'Load-MarineBarge'!$F$27:$F$136,$FG72)*IFERROR($QR$11,0)</f>
        <v>0</v>
      </c>
      <c r="GA72" s="155">
        <f>_xlfn.MAXIFS('Load-MarineShip'!$K$27:$K$136,'Load-MarineShip'!$F$27:$F$136,$FG72)*IFERROR($QR$12,0)</f>
        <v>0</v>
      </c>
      <c r="GB72" s="313">
        <f>IF(OR(Flare!$D$24="fuel gas",Flare!$D$38="fuel gas"),SUMIF(Flare!$E$97:$E$106,$FG72,Flare!$F$97:$F$106),0)*IFERROR($QR$13,0)</f>
        <v>0</v>
      </c>
      <c r="GC72" s="313">
        <f>(_xlfn.MAXIFS(CtrlDevImpacts!$I$57:$I$156,CtrlDevImpacts!$H$57:$H$156,$FG72))*IFERROR($QR$13,0)</f>
        <v>0</v>
      </c>
      <c r="GD72" s="313">
        <f>(_xlfn.MAXIFS(Flare!$F$107:$F$216,Flare!$E$107:$E$216,$FG72)-_xlfn.MAXIFS(CtrlDevImpacts!$I$57:$I$156,CtrlDevImpacts!$H$57:$H$156,$FG72))*IFERROR($QR$13,0)</f>
        <v>0</v>
      </c>
      <c r="GE72" s="155">
        <f>_xlfn.MAXIFS(LandEmiss!$B$335:$B$434,LandEmiss!$A$335:$A$434,$FG72)*IFERROR($QR$13,0)</f>
        <v>0</v>
      </c>
      <c r="GF72" s="155">
        <f>(_xlfn.MAXIFS(LandEmiss!$BK$335:$BK$434,LandEmiss!$BJ$335:$BJ$434,$FG72)+_xlfn.MAXIFS(LandEmiss!$DV$323:$DV$422,LandEmiss!$DU$323:$DU$422,$FG72))*IFERROR($QR$13,0)</f>
        <v>0</v>
      </c>
      <c r="GG72" s="313">
        <f>IF(OR(VCU!$D$26="fuel gas",VCU!$D$42="fuel gas"),SUMIF(VCU!$E$120:$E$129,$FG72,VCU!$F$120:$F$129),0)*IFERROR($QR$14,0)</f>
        <v>0</v>
      </c>
      <c r="GH72" s="313">
        <f>(_xlfn.MAXIFS(CtrlDevImpacts!$X$57:$X$156,CtrlDevImpacts!$W$57:$W$156,$FG72))*IFERROR($QR$14,0)</f>
        <v>0</v>
      </c>
      <c r="GI72" s="313">
        <f>(_xlfn.MAXIFS(VCU!$F$130:$F$239,VCU!$E$130:$E$239,$FG72)-_xlfn.MAXIFS(CtrlDevImpacts!$X$57:$X$156,CtrlDevImpacts!$W$57:$W$156,$FG72))*IFERROR($QR$14,0)</f>
        <v>0</v>
      </c>
      <c r="GJ72" s="155">
        <f>_xlfn.MAXIFS(LandEmiss!$D$335:$D$434,LandEmiss!$A$335:$A$434,$FG72)*IFERROR($QR$14,0)</f>
        <v>0</v>
      </c>
      <c r="GK72" s="155">
        <f>(_xlfn.MAXIFS(LandEmiss!$BM$335:$BM$434,LandEmiss!$BJ$335:$BJ$434,$FG72)+_xlfn.MAXIFS(LandEmiss!$DX$323:$DX$422,LandEmiss!$DU$323:$DU$422,$FG72))*IFERROR($QR$14,0)</f>
        <v>0</v>
      </c>
      <c r="GL72" s="313">
        <f>IF(VaporOxidizer!D103="FUEL GAS",SUMIF(VaporOxidizer!$E$101:$E$110,$FG72,VaporOxidizer!$F$101:$F$110),0)*IFERROR($QR$15,0)</f>
        <v>0</v>
      </c>
      <c r="GM72" s="313">
        <f>(_xlfn.MAXIFS(CtrlDevImpacts!$AN$57:$AN$156,CtrlDevImpacts!$AM$57:$AM$156,$FG72))*IFERROR($QR$15,0)</f>
        <v>0</v>
      </c>
      <c r="GN72" s="313">
        <f>(_xlfn.MAXIFS(VaporOxidizer!$F$111:$F$220,VaporOxidizer!$E$111:$E$220,$FG72)-_xlfn.MAXIFS(CtrlDevImpacts!$AN$57:$AN$156,CtrlDevImpacts!$AM$57:$AM$156,$FG72))*IFERROR($QR$15,0)</f>
        <v>0</v>
      </c>
      <c r="GO72" s="155">
        <f>_xlfn.MAXIFS(LandEmiss!$F$335:$F$434,LandEmiss!$A$335:$A$434,$FG72)*IFERROR($QR$15,0)</f>
        <v>0</v>
      </c>
      <c r="GP72" s="155">
        <f>(_xlfn.MAXIFS(LandEmiss!$BK$335:$BK$434,LandEmiss!$BO$335:$BO$434,$FG72)+_xlfn.MAXIFS(LandEmiss!$DZ$323:$DZ$422,LandEmiss!$DU$323:$DU$422,$FG72))*IFERROR($QR$15,0)</f>
        <v>0</v>
      </c>
      <c r="GQ72" s="313">
        <f>_xlfn.MAXIFS(CtrlDevImpacts!$BD$57:$BD$156,CtrlDevImpacts!$BC$57:$BC$156,$FG72)*IFERROR(Hidden!$QR$16,0)</f>
        <v>0</v>
      </c>
      <c r="GR72" s="313">
        <f>(_xlfn.MAXIFS(CAS!$H$35:$H$144,CAS!$E$35:$E$144,$FG72)-_xlfn.MAXIFS(CtrlDevImpacts!$BD$57:$BD$156,CtrlDevImpacts!$BC$57:$BC$156,$FG72))*IFERROR(Hidden!$QR$16,0)</f>
        <v>0</v>
      </c>
      <c r="GS72" s="155">
        <f>_xlfn.MAXIFS(LandEmiss!$H$335:$H$434,LandEmiss!$A$335:$A$434,$FG72)*IFERROR($QR$27,0)</f>
        <v>0</v>
      </c>
      <c r="GT72" s="155">
        <f>(_xlfn.MAXIFS(LandEmiss!$BK$335:$BK$434,LandEmiss!$BQ$335:$BQ$434,$FG72)+_xlfn.MAXIFS(LandEmiss!$EB$323:$EB$422,LandEmiss!$DU$323:$DU$422,$FG72))*IFERROR($QR$27,0)</f>
        <v>0</v>
      </c>
      <c r="GU72" s="155">
        <f>_xlfn.MAXIFS(LandEmiss!$J$335:$J$434,LandEmiss!$A$335:$A$434,$FG72)*IFERROR($QR$26,0)</f>
        <v>0</v>
      </c>
      <c r="GV72" s="155">
        <f>(_xlfn.MAXIFS(LandEmiss!$BK$335:$BK$434,LandEmiss!$BS$335:$BS$434,$FG72)+_xlfn.MAXIFS(LandEmiss!$ED$323:$ED$422,LandEmiss!$DU$323:$DU$422,$FG72))*IFERROR($QR$26,0)</f>
        <v>0</v>
      </c>
      <c r="GW72" s="155">
        <f>_xlfn.MAXIFS(LandEmiss!$L$335:$L$434,LandEmiss!$A$335:$A$434,$FG72)*IFERROR($QR$25,0)</f>
        <v>0</v>
      </c>
      <c r="GX72" s="155">
        <f>(_xlfn.MAXIFS(LandEmiss!$BK$335:$BK$434,LandEmiss!$BU$335:$BU$434,$FG72)+_xlfn.MAXIFS(LandEmiss!$EF$323:$EF$422,LandEmiss!$DU$323:$DU$422,$FG72))*IFERROR($QR$25,0)</f>
        <v>0</v>
      </c>
      <c r="GY72" s="155">
        <v>0</v>
      </c>
      <c r="GZ72" s="155">
        <v>0</v>
      </c>
      <c r="HA72" s="155">
        <f>IF(OR(HeaterBoiler1!$E$26&lt;&gt;"fuel gas",HeaterBoiler1!$E$15&lt;&gt;"heater"),0,SUMIF(HeaterBoiler1!$A$54:$D$63,$FG72,HeaterBoiler1!$I$54:$I$63))*IFERROR($QR$19,0)</f>
        <v>0</v>
      </c>
      <c r="HB72" s="207">
        <f>IF(OR(HeaterBoiler2!$E$26&lt;&gt;"fuel gas",HeaterBoiler2!$E$15&lt;&gt;"heater"),0,SUMIF(HeaterBoiler2!$A$54:$D$63,$FG72,HeaterBoiler2!$I$54:$I$63))*IFERROR($QR$21,0)</f>
        <v>0</v>
      </c>
      <c r="HC72" s="155">
        <f>IF(OR(HeaterBoiler1!$E$26&lt;&gt;"fuel gas",HeaterBoiler1!$E$15&lt;&gt;"boiler"),0,SUMIF(HeaterBoiler1!$A$41:$A$50,$FG72,HeaterBoiler1!$F$41:$F$50))*IFERROR($QR$20,0)</f>
        <v>0</v>
      </c>
      <c r="HD72" s="207">
        <f>IF(OR(HeaterBoiler2!$E$26&lt;&gt;"fuel gas",HeaterBoiler2!$E$15&lt;&gt;"boiler"),0,SUMIF(HeaterBoiler2!$A$41:$A$50,$FG72,HeaterBoiler2!$F$41:$F$50))*IFERROR($QR$22,0)</f>
        <v>0</v>
      </c>
      <c r="HE72" s="155">
        <f>SUMIF(Fug!$A$96:$A$205,$FG72,Fug!$I$96:$I$205)*IFERROR(Hidden!$QR$23,0)</f>
        <v>0</v>
      </c>
      <c r="HF72" s="155">
        <f t="shared" si="46"/>
        <v>0</v>
      </c>
      <c r="HG72" s="156">
        <f t="shared" si="47"/>
        <v>0</v>
      </c>
      <c r="HH72" s="156">
        <f t="shared" si="48"/>
        <v>0</v>
      </c>
      <c r="HI72" s="156">
        <f t="shared" si="49"/>
        <v>0</v>
      </c>
      <c r="HJ72" s="156">
        <f t="shared" si="50"/>
        <v>0</v>
      </c>
      <c r="HK72" s="156">
        <f t="shared" si="51"/>
        <v>0</v>
      </c>
      <c r="HL72" s="156">
        <f t="shared" si="52"/>
        <v>0</v>
      </c>
      <c r="NO72" s="155">
        <f>IF(Tank1!$D$22="No control",(SUMIF(Tank1!$E$32:$E$141,$FG72,Tank1!$H$32:$H$141)*(2000/8760)*IFERROR($QV$3,0)),0)</f>
        <v>0</v>
      </c>
      <c r="NP72" s="156">
        <f>SUMIF(LandEmiss!$AE$20:$AE$119,$FG72,LandEmiss!$AK$20:$AK$119)*(2000/8760)*IFERROR($QV$3,0)</f>
        <v>0</v>
      </c>
      <c r="NQ72" s="156">
        <f>(SUMIF(LandEmiss!$CN$20:$CN$119,$FG72,LandEmiss!$CT$20:$CT$119)+SUMIF(LandEmiss!$EY$9:$EY$108,$FG72,LandEmiss!$FE$9:$FE$108))*IFERROR($QV$3,0)*(2000/8760)</f>
        <v>0</v>
      </c>
      <c r="NR72" s="155">
        <f>IF(Tank2!$D$22="No control",(SUMIF(Tank2!$E$32:$E$141,$FG72,Tank2!$H$32:$H$141)*(2000/8760)*IFERROR($QV$4,0)),0)</f>
        <v>0</v>
      </c>
      <c r="NS72" s="156">
        <f>SUMIF(LandEmiss!$AE$20:$AE$119,$FG72,LandEmiss!$AL$20:$AL$119)*(2000/8760)*IFERROR($QV$4,0)</f>
        <v>0</v>
      </c>
      <c r="NT72" s="156">
        <f>(SUMIF(LandEmiss!$CN$20:$CN$119,$FG72,LandEmiss!$CU$20:$CU$119)+SUMIF(LandEmiss!$EY$9:$EY$108,$FG72,LandEmiss!$FF$9:$FF$108))*IFERROR($QV$4,0)*(2000/8760)</f>
        <v>0</v>
      </c>
      <c r="NU72" s="155">
        <f>IF(Tank3!$D$22="No control",(SUMIF(Tank3!$E$32:$E$141,$FG72,Tank3!$H$32:$H$141)*(2000/8760)*IFERROR($QV$5,0)),0)</f>
        <v>0</v>
      </c>
      <c r="NV72" s="156">
        <f>SUMIF(LandEmiss!$AE$20:$AE$119,$FG72,LandEmiss!$AM$20:$AM$119)*(2000/8760)*IFERROR($QV$5,0)</f>
        <v>0</v>
      </c>
      <c r="NW72" s="156">
        <f>(SUMIF(LandEmiss!$CN$20:$CN$119,$FG72,LandEmiss!$CV$20:$CV$119)+SUMIF(LandEmiss!$EY$9:$EY$108,$FG72,LandEmiss!$FG$9:$FG$108))*IFERROR($QV$5,0)*(2000/8760)</f>
        <v>0</v>
      </c>
      <c r="NX72" s="155">
        <f>IF(Tank4!$D$22="No control",(SUMIF(Tank4!$E$32:$E$141,$FG72,Tank4!$H$32:$H$141)*(2000/8760)*IFERROR($QV$6,0)),0)</f>
        <v>0</v>
      </c>
      <c r="NY72" s="156">
        <f>SUMIF(LandEmiss!$AE$20:$AE$119,$FG72,LandEmiss!$AN$20:$AN$119)*(2000/8760)*IFERROR($QV$6,0)</f>
        <v>0</v>
      </c>
      <c r="NZ72" s="156">
        <f>(SUMIF(LandEmiss!$CN$20:$CN$119,$FG72,LandEmiss!$CW$20:$CW$119)+SUMIF(LandEmiss!$EY$9:$EY$108,$FG72,LandEmiss!$FH$9:$FH$108))*IFERROR($QV$6,0)*(2000/8760)</f>
        <v>0</v>
      </c>
      <c r="OA72" s="155">
        <f>IF(Tank5!$D$22="No control",(SUMIF(Tank5!$E$32:$E$141,$FG72,Tank5!$H$32:$H$141)*(2000/8760)*IFERROR($QV$7,0)),0)</f>
        <v>0</v>
      </c>
      <c r="OB72" s="156">
        <f>SUMIF(LandEmiss!$AE$20:$AE$119,$FG72,LandEmiss!$AO$20:$AO$119)*(2000/8760)*IFERROR($QV$7,0)</f>
        <v>0</v>
      </c>
      <c r="OC72" s="156">
        <f>(SUMIF(LandEmiss!$CN$20:$CN$119,$FG72,LandEmiss!$CX$20:$CX$119)+SUMIF(LandEmiss!$EY$9:$EY$108,$FG72,LandEmiss!$FI$9:$FI$108))*IFERROR($QV$7,0)*(2000/8760)</f>
        <v>0</v>
      </c>
      <c r="OD72" s="155">
        <f>SUMIFS('Load-DrumTote'!$L$27:$L$136,'Load-DrumTote'!$F$27:$F$136,$FG72)*IFERROR($QV$8,0)*(2000/8760)</f>
        <v>0</v>
      </c>
      <c r="OE72" s="155">
        <f>SUMIFS('Load-Truck'!$L$27:$L$136,'Load-Truck'!$F$27:$F$136,$FG72)*IFERROR($QV$9,0)*(2000/8760)</f>
        <v>0</v>
      </c>
      <c r="OF72" s="155">
        <f>SUMIFS('Load-Rail'!$L$27:$L$136,'Load-Rail'!$F$27:$F$136,$FG72)*IFERROR($QV$10,0)*(2000/8760)</f>
        <v>0</v>
      </c>
      <c r="OG72" s="155">
        <f>SUMIFS('Load-MarineBarge'!$L$27:$L$136,'Load-MarineBarge'!$F$27:$F$136,$FG72)*IFERROR($QV$11,0)*(2000/8760)</f>
        <v>0</v>
      </c>
      <c r="OH72" s="155">
        <f>SUMIFS('Load-MarineShip'!$L$27:$L$136,'Load-MarineShip'!$F$27:$F$136,$FG72)*IFERROR($QV$12,0)*(2000/8760)</f>
        <v>0</v>
      </c>
      <c r="OI72" s="155">
        <f>(IF(OR(Flare!$D$24="FUEL GAS",Flare!$D$38="FUEL GAS"),SUMIF(Flare!$E$97:$E$106,$FG72,Flare!$G$97:$G$105),0)+SUMIF(Flare!$E$107:$E$216,$FG72,Flare!$G$107:$G$216))*(2000/8730)*IFERROR($QV$13,0)</f>
        <v>0</v>
      </c>
      <c r="OJ72" s="155">
        <f>SUMIF(LandEmiss!$A$335:$A$434,$FG72,LandEmiss!$C$335:$C$434)*(2000/8760)*IFERROR($QV$13,0)</f>
        <v>0</v>
      </c>
      <c r="OK72" s="155">
        <f>(SUMIF(LandEmiss!$BJ$335:$BJ$434,$FG72,LandEmiss!$BL$335:$BL$434)+SUMIF(LandEmiss!$DU$323:$DU$422,$FG72,LandEmiss!$DW$323:$DW$422))*(2000/8760)*IFERROR($QV$13,0)</f>
        <v>0</v>
      </c>
      <c r="OL72" s="155">
        <f>(IF(OR(VCU!$D$26="FUEL GAS",VCU!$D$42="FUEL GAS"),SUMIF(VCU!$E$120:$E$129,$FG72,VCU!$G$120:$G$129),0)+SUMIF(VCU!$E$130:$E$239,$FG72,VCU!G200:G309))*(2000/8760)*IFERROR($QV$14,0)</f>
        <v>0</v>
      </c>
      <c r="OM72" s="155">
        <f>SUMIF(LandEmiss!$A$335:$A$434,$FG72,LandEmiss!$E$335:$E$434)*(2000/8760)*IFERROR($QV$14,0)</f>
        <v>0</v>
      </c>
      <c r="ON72" s="155">
        <f>(SUMIF(LandEmiss!$BJ$335:$BJ$434,$FG72,LandEmiss!$BN$335:$BN$434)+SUMIF(LandEmiss!$DU$323:$DU$422,$FG72,LandEmiss!$DY$323:$DY$422))*(2000/8760)*IFERROR($QV$14,0)</f>
        <v>0</v>
      </c>
      <c r="OO72" s="155">
        <f>(IF(VaporOxidizer!$D$33="FUEL GAS",SUMIF(VaporOxidizer!$E$101:$E$110,$FG72,VaporOxidizer!$G$101:$G$110),0)+SUMIF(VaporOxidizer!$E$111:$E$220,$FG72,VaporOxidizer!$G$111:$G$220))*(2000/8760)*IFERROR($QV$15,0)</f>
        <v>0</v>
      </c>
      <c r="OP72" s="155">
        <f>SUMIF(LandEmiss!$A$335:$A$434,$FG72,LandEmiss!$G$335:$G$434)*(2000/8760)*IFERROR($QV$15,0)</f>
        <v>0</v>
      </c>
      <c r="OQ72" s="155">
        <f>(SUMIF(LandEmiss!$BJ$335:$BJ$434,$FG72,LandEmiss!$BP$335:$BP$434)+SUMIF(LandEmiss!$DU$323:$DU$422,$FG72,LandEmiss!$EA$323:$EA$422))*(2000/8760)*IFERROR($QV$15,0)</f>
        <v>0</v>
      </c>
      <c r="OR72" s="155">
        <f>SUMIF(CAS!$E$35:$E$144,Hidden!$FG72,CAS!$I$35:$I$144)*IFERROR($QV$16,0)*(2000/8760)</f>
        <v>0</v>
      </c>
      <c r="OS72" s="155">
        <f>SUMIF(LandEmiss!$A$335:$A$434,$FG72,LandEmiss!$I$335:$I$434)*(2000/8760)*IFERROR($QV$27,0)</f>
        <v>0</v>
      </c>
      <c r="OT72" s="155">
        <f>(SUMIF(LandEmiss!$BJ$335:$BJ$434,$FG72,LandEmiss!$BR$335:$BR$434)+SUMIF(LandEmiss!$DU$323:$DU$422,$FG72,LandEmiss!$EC$323:$EC$422))*(2000/8760)*IFERROR($QV$27,0)</f>
        <v>0</v>
      </c>
      <c r="OU72" s="155">
        <f>SUMIF(LandEmiss!$A$335:$A$434,$FG72,LandEmiss!$K$335:$K$434)*(2000/8760)*IFERROR($QV$26,0)</f>
        <v>0</v>
      </c>
      <c r="OV72" s="155">
        <f>(SUMIF(LandEmiss!$BJ$335:$BJ$434,$FG72,LandEmiss!$BT$335:$BT$434)+SUMIF(LandEmiss!$DU$323:$DU$422,$FG72,LandEmiss!$EE$323:$EE$422))*(2000/8760)*IFERROR($QV$26,0)</f>
        <v>0</v>
      </c>
      <c r="OW72" s="155">
        <f>SUMIF(LandEmiss!$A$335:$A$434,$FG72,LandEmiss!$M$335:$M$434)*(2000/8760)*IFERROR($QV$25,0)</f>
        <v>0</v>
      </c>
      <c r="OX72" s="155">
        <f>(SUMIF(LandEmiss!$BJ$335:$BJ$434,$FG72,LandEmiss!$BV$335:$BV$434)+SUMIF(LandEmiss!$DU$323:$DU$422,$FG72,LandEmiss!$EG$323:$EG$422))*(2000/8760)*IFERROR($QV$25,0)</f>
        <v>0</v>
      </c>
      <c r="OY72" s="8">
        <v>0</v>
      </c>
      <c r="OZ72" s="207">
        <v>0</v>
      </c>
      <c r="PA72" s="207">
        <f>IF(OR(HeaterBoiler1!$E$26&lt;&gt;"fuel gas",HeaterBoiler1!$E$15&lt;&gt;"heater"),0,(SUMIF(HeaterBoiler1!$A$54:$D$63,$FG72,HeaterBoiler1!$J$54:$J$63))*(2000/8760))*IFERROR($QV$19,0)</f>
        <v>0</v>
      </c>
      <c r="PB72" s="207">
        <f>IF(OR(HeaterBoiler2!$E$26&lt;&gt;"fuel gas",HeaterBoiler2!$E$15&lt;&gt;"heater"),0,(SUMIF(HeaterBoiler2!$A$54:$D$63,$FG72,HeaterBoiler2!$J$54:$J$63))*(2000/8760))*IFERROR($QV$21,0)</f>
        <v>0</v>
      </c>
      <c r="PC72" s="207">
        <f>IF(OR(HeaterBoiler1!$E$26&lt;&gt;"fuel gas",HeaterBoiler1!$E$15&lt;&gt;"boiler"),0,(SUMIF(HeaterBoiler1!$A$54:$D$63,$FG72,HeaterBoiler1!$J$54:$J$63))*(2000/8760))*IFERROR($QV$20,0)</f>
        <v>0</v>
      </c>
      <c r="PD72" s="207">
        <f>IF(OR(HeaterBoiler2!$E$26&lt;&gt;"fuel gas",HeaterBoiler2!$E$15&lt;&gt;"boiler"),0,(SUMIF(HeaterBoiler2!$A$54:$D$63,$FG72,HeaterBoiler2!$J$54:$J$63))*(2000/8760))*IFERROR($QV$22,0)</f>
        <v>0</v>
      </c>
      <c r="PE72" s="8">
        <f>(SUMIF(Fug!$A$96:$A$205,$FG72,Fug!$J$96:$J$205))*IFERROR($QV$23,0)*(2000/8760)</f>
        <v>0</v>
      </c>
      <c r="PF72" s="8">
        <f t="shared" si="53"/>
        <v>0</v>
      </c>
      <c r="PG72" s="156">
        <f t="shared" si="54"/>
        <v>0</v>
      </c>
      <c r="QX72" s="89" t="s">
        <v>9313</v>
      </c>
      <c r="QY72">
        <v>3156.5</v>
      </c>
      <c r="QZ72">
        <v>2165.1999999999998</v>
      </c>
      <c r="RA72">
        <v>1171.3</v>
      </c>
      <c r="RB72">
        <v>646.4</v>
      </c>
      <c r="RC72">
        <v>412</v>
      </c>
      <c r="RD72">
        <v>290.2</v>
      </c>
      <c r="RE72">
        <v>220.4</v>
      </c>
      <c r="RF72">
        <v>129.1</v>
      </c>
      <c r="RG72" s="90">
        <v>87.88</v>
      </c>
      <c r="RH72" s="89" t="s">
        <v>9313</v>
      </c>
      <c r="RI72">
        <v>1766.1</v>
      </c>
      <c r="RJ72">
        <v>1363.6</v>
      </c>
      <c r="RK72">
        <v>1010.4</v>
      </c>
      <c r="RL72">
        <v>549.9</v>
      </c>
      <c r="RM72">
        <v>343.1</v>
      </c>
      <c r="RN72">
        <v>237.9</v>
      </c>
      <c r="RO72">
        <v>184.9</v>
      </c>
      <c r="RP72">
        <v>106.7</v>
      </c>
      <c r="RQ72" s="90">
        <v>73.56</v>
      </c>
      <c r="RR72" s="89" t="s">
        <v>9313</v>
      </c>
      <c r="RS72">
        <v>1212.7</v>
      </c>
      <c r="RT72">
        <v>934.2</v>
      </c>
      <c r="RU72">
        <v>634.20000000000005</v>
      </c>
      <c r="RV72">
        <v>318.8</v>
      </c>
      <c r="RW72">
        <v>195.1</v>
      </c>
      <c r="RX72">
        <v>133.19999999999999</v>
      </c>
      <c r="RY72">
        <v>99.2</v>
      </c>
      <c r="RZ72">
        <v>55.9</v>
      </c>
      <c r="SA72" s="90">
        <v>37.25</v>
      </c>
      <c r="SB72" s="89" t="s">
        <v>9313</v>
      </c>
      <c r="SC72">
        <v>629.29999999999995</v>
      </c>
      <c r="SD72">
        <v>488.5</v>
      </c>
      <c r="SE72">
        <v>337.1</v>
      </c>
      <c r="SF72">
        <v>158.6</v>
      </c>
      <c r="SG72">
        <v>90.83</v>
      </c>
      <c r="SH72">
        <v>60.33</v>
      </c>
      <c r="SI72">
        <v>45.27</v>
      </c>
      <c r="SJ72">
        <v>24.48</v>
      </c>
      <c r="SK72" s="90">
        <v>15.87</v>
      </c>
      <c r="SL72" s="89" t="s">
        <v>9313</v>
      </c>
      <c r="SM72">
        <v>192.4</v>
      </c>
      <c r="SN72">
        <v>148</v>
      </c>
      <c r="SO72">
        <v>99.14</v>
      </c>
      <c r="SP72">
        <v>42.03</v>
      </c>
      <c r="SQ72">
        <v>22.21</v>
      </c>
      <c r="SR72">
        <v>13.7</v>
      </c>
      <c r="SS72">
        <v>9.44</v>
      </c>
      <c r="ST72">
        <v>4.68</v>
      </c>
      <c r="SU72" s="90">
        <v>2.85</v>
      </c>
    </row>
    <row r="73" spans="23:515" ht="74.25" customHeight="1" x14ac:dyDescent="0.2">
      <c r="W73">
        <f>IF(OR(X73=0,ISNUMBER(MATCH(X73,$X$1:X72,0))),0,MAX($W$1:W72)+1)</f>
        <v>0</v>
      </c>
      <c r="X73" s="123">
        <f>Products!$E120</f>
        <v>0</v>
      </c>
      <c r="Y73" t="str">
        <f t="shared" si="42"/>
        <v/>
      </c>
      <c r="CA73">
        <f>IF(OR(CB73=0,ISNUMBER(MATCH(CB73,$CB$1:CB72,0))),0,MAX($CA$1:CA72)+1)</f>
        <v>0</v>
      </c>
      <c r="CB73" s="8">
        <f>IF(OR(Tank1!$D$18="EXTERNAL FLOATING ROOF",Tank1!$D$18="INTERNAL FLOATING ROOF"),IF(Tank1!$E103="",0,Tank1!$E103),0)</f>
        <v>0</v>
      </c>
      <c r="CC73" s="8" t="str">
        <f t="shared" si="43"/>
        <v/>
      </c>
      <c r="CD73" s="8"/>
      <c r="CE73" s="8">
        <f>IF(OR(CF73=0,ISNUMBER(MATCH(CF73,$CF$1:CF72,0))),0,MAX($CE$1:CE72)+1)</f>
        <v>0</v>
      </c>
      <c r="CF73" s="8">
        <f>IF(OR(Tank1!$D$18="HORIZONTAL FIXED ROOF",Tank1!$D$18="VERTICAL FIXED ROOF"),IF(Tank1!$E103="",0,Tank1!$E103),0)</f>
        <v>0</v>
      </c>
      <c r="CG73" s="8" t="str">
        <f t="shared" si="44"/>
        <v/>
      </c>
      <c r="DM73">
        <f>IF(OR(DN73=0,ISNUMBER(MATCH(DN73,$DN$1:DN72,0))),0,MAX($DM$1:DM72)+1)</f>
        <v>0</v>
      </c>
      <c r="DN73">
        <f>IF('Load-Rail'!$F$19="Flare",IFERROR(VLOOKUP(Products!$A$69,'Load-Rail'!$A$27:$B$136,1,FALSE),0),0)</f>
        <v>0</v>
      </c>
      <c r="DO73">
        <f>IF($DN73=0,0,VLOOKUP($DN73,'Load-Rail'!$A$27:$N$136,13,FALSE))</f>
        <v>0</v>
      </c>
      <c r="DP73">
        <f>IF($DN73=0,0,VLOOKUP($DN73,'Load-Rail'!$A$27:$N$136,14,FALSE))</f>
        <v>0</v>
      </c>
      <c r="DU73">
        <f>IF(OR(DV73=0,ISNUMBER(MATCH(DV73,$DV$1:DV72,0))),0,MAX($DU$1:DU72)+1)</f>
        <v>0</v>
      </c>
      <c r="DV73">
        <f>IF('Load-Rail'!$F$19="VCU",IFERROR(VLOOKUP(Products!$A$69,'Load-Rail'!$A$27:$B$136,1,FALSE),0),0)</f>
        <v>0</v>
      </c>
      <c r="DW73">
        <f>IF($DV73=0,0,VLOOKUP($DV73,'Load-Rail'!$A$27:$N$136,13,FALSE))</f>
        <v>0</v>
      </c>
      <c r="DX73">
        <f>IF($DV73=0,0,VLOOKUP($DV73,'Load-Rail'!$A$27:$N$136,14,FALSE))</f>
        <v>0</v>
      </c>
      <c r="EC73">
        <f>IF(OR(ED73=0,ISNUMBER(MATCH(ED73,$ED$1:ED72,0))),0,MAX($EC$1:EC72)+1)</f>
        <v>0</v>
      </c>
      <c r="ED73">
        <f>IF('Load-Rail'!$F$19="vapor oxidizer",IFERROR(VLOOKUP(Products!$A$69,'Load-Rail'!$A$27:$B$136,1,FALSE),0),0)</f>
        <v>0</v>
      </c>
      <c r="EE73">
        <f>IF($ED73=0,0,VLOOKUP($ED73,'Load-Rail'!$A$27:$N$136,13,FALSE))</f>
        <v>0</v>
      </c>
      <c r="EF73">
        <f>IF($ED73=0,0,VLOOKUP($ED73,'Load-Rail'!$A$27:$N$136,14,FALSE))</f>
        <v>0</v>
      </c>
      <c r="EK73">
        <f>IF(OR(EL73=0,ISNUMBER(MATCH(EL73,$EL$1:EL72,0))),0,MAX($EK$1:EK72)+1)</f>
        <v>0</v>
      </c>
      <c r="EL73">
        <f>IF('Load-Rail'!$F$19="CAS",IFERROR(VLOOKUP(Products!A69,'Load-Rail'!$A$27:$B$136,1,FALSE),0),0)</f>
        <v>0</v>
      </c>
      <c r="EM73">
        <f>IF($EL73=0,0,VLOOKUP($EL73,'Load-Rail'!$A$27:$N$136,13,FALSE))</f>
        <v>0</v>
      </c>
      <c r="EN73">
        <f>IF($EL73=0,0,VLOOKUP($EL73,'Load-Rail'!$A$27:$N$136,14,FALSE))</f>
        <v>0</v>
      </c>
      <c r="FB73" s="8" t="s">
        <v>493</v>
      </c>
      <c r="FC73" s="8" t="s">
        <v>494</v>
      </c>
      <c r="FD73" s="8">
        <v>40</v>
      </c>
      <c r="FE73" s="8">
        <v>4</v>
      </c>
      <c r="FG73" s="360" t="str">
        <f t="shared" si="45"/>
        <v/>
      </c>
      <c r="FH73" s="155">
        <f>IF(Tank1!$D$22="NO CONTROL",_xlfn.MAXIFS(Tank1!$G$32:$G$141,Tank1!$E$32:$E$141,$FG73),0)*IFERROR($QR$3,0)</f>
        <v>0</v>
      </c>
      <c r="FI73" s="155">
        <f>_xlfn.MAXIFS(LandEmiss!$AF$20:$AF$119,LandEmiss!$AE$20:$AE$119,$FG73)*IFERROR($QR$3,0)</f>
        <v>0</v>
      </c>
      <c r="FJ73" s="155">
        <f>MAX(_xlfn.MAXIFS(LandEmiss!$CO$20:$CO$119,LandEmiss!$CN$20:$CN$119,$FG73),_xlfn.MAXIFS(LandEmiss!$EZ$9:$EZ$108,LandEmiss!$EY$9:$EY$108,$FG73))*IFERROR($QR$3,0)</f>
        <v>0</v>
      </c>
      <c r="FK73" s="155">
        <f>IF(Tank2!$D$22="NO CONTROL",_xlfn.MAXIFS(Tank2!$G$32:$G$141,Tank2!$E$32:$E$141,$FG73),0)*IFERROR($QR$4,0)</f>
        <v>0</v>
      </c>
      <c r="FL73" s="155">
        <f>_xlfn.MAXIFS(LandEmiss!$AG$20:$AG$119,LandEmiss!$AE$20:$AE$119,$FG73)*IFERROR($QR$4,0)</f>
        <v>0</v>
      </c>
      <c r="FM73" s="155">
        <f>MAX(_xlfn.MAXIFS(LandEmiss!$CP$20:$CP$119,LandEmiss!$CN$20:$CN$119,$FG73),_xlfn.MAXIFS(LandEmiss!$FA$9:$FA$108,LandEmiss!$EY$9:$EY$108,$FG73))*IFERROR($QR$4,0)</f>
        <v>0</v>
      </c>
      <c r="FN73" s="155">
        <f>IF(Tank3!$D$22="NO CONTROL",_xlfn.MAXIFS(Tank3!$G$32:$G$141,Tank3!$E$32:$E$141,$FG73),0)*IFERROR($QR$5,0)</f>
        <v>0</v>
      </c>
      <c r="FO73" s="155">
        <f>_xlfn.MAXIFS(LandEmiss!$AH$20:$AH$119,LandEmiss!$AE$20:$AE$119,$FG73)*IFERROR($QR$5,0)</f>
        <v>0</v>
      </c>
      <c r="FP73" s="155">
        <f>MAX(_xlfn.MAXIFS(LandEmiss!$CQ$20:$CQ$119,LandEmiss!$CN$20:$CN$119,$FG73),_xlfn.MAXIFS(LandEmiss!$FB$9:$FB$108,LandEmiss!$EY$9:$EY$108,$FG73))*IFERROR($QR$5,0)</f>
        <v>0</v>
      </c>
      <c r="FQ73" s="155">
        <f>IF(Tank4!$D$22="NO CONTROL",_xlfn.MAXIFS(Tank4!$G$32:$G$141,Tank4!$E$32:$E$141,$FG73),0)*IFERROR($QR$6,0)</f>
        <v>0</v>
      </c>
      <c r="FR73" s="155">
        <f>_xlfn.MAXIFS(LandEmiss!$AI$20:$AI$119,LandEmiss!$AE$20:$AE$119,$FG73)*IFERROR($QR$6,0)</f>
        <v>0</v>
      </c>
      <c r="FS73" s="155">
        <f>MAX(_xlfn.MAXIFS(LandEmiss!$CR$20:$CR$119,LandEmiss!$CN$20:$CN$119,$FG73),_xlfn.MAXIFS(LandEmiss!$FC$9:$FC$108,LandEmiss!$EY$9:$EY$108,$FG73))*IFERROR($QR$6,0)</f>
        <v>0</v>
      </c>
      <c r="FT73" s="155">
        <f>IF(Tank5!$D$22="NO CONTROL",_xlfn.MAXIFS(Tank5!$G$32:$G$141,Tank5!$E$32:$E$141,$FG73),0)*IFERROR($QR$7,0)</f>
        <v>0</v>
      </c>
      <c r="FU73" s="155">
        <f>_xlfn.MAXIFS(LandEmiss!$AJ$20:$AJ$119,LandEmiss!$AE$20:$AE$119,$FG73)*IFERROR($QR$7,0)</f>
        <v>0</v>
      </c>
      <c r="FV73" s="155">
        <f>MAX(_xlfn.MAXIFS(LandEmiss!$CS$20:$CS$119,LandEmiss!$CN$20:$CN$119,$FG73),_xlfn.MAXIFS(LandEmiss!$FD$9:$FD$108,LandEmiss!$EY$9:$EY$108,$FG73))*IFERROR($QR78,0)</f>
        <v>0</v>
      </c>
      <c r="FW73" s="155">
        <f>_xlfn.MAXIFS('Load-DrumTote'!$K$27:$K$136,'Load-DrumTote'!$F$27:$F$136,$FG73)*IFERROR($QR$8,0)</f>
        <v>0</v>
      </c>
      <c r="FX73" s="155">
        <f>_xlfn.MAXIFS('Load-Truck'!$K$27:$K$136,'Load-Truck'!$F$27:$F$136,$FG73)*IFERROR($QR$9,0)</f>
        <v>0</v>
      </c>
      <c r="FY73" s="155">
        <f>_xlfn.MAXIFS('Load-Rail'!$K$27:$K$136,'Load-Rail'!$F$27:$F$136,$FG73)*IFERROR($QR$10,0)</f>
        <v>0</v>
      </c>
      <c r="FZ73" s="155">
        <f>_xlfn.MAXIFS('Load-MarineBarge'!$K$27:$K$136,'Load-MarineBarge'!$F$27:$F$136,$FG73)*IFERROR($QR$11,0)</f>
        <v>0</v>
      </c>
      <c r="GA73" s="155">
        <f>_xlfn.MAXIFS('Load-MarineShip'!$K$27:$K$136,'Load-MarineShip'!$F$27:$F$136,$FG73)*IFERROR($QR$12,0)</f>
        <v>0</v>
      </c>
      <c r="GB73" s="313">
        <f>IF(OR(Flare!$D$24="fuel gas",Flare!$D$38="fuel gas"),SUMIF(Flare!$E$97:$E$106,$FG73,Flare!$F$97:$F$106),0)*IFERROR($QR$13,0)</f>
        <v>0</v>
      </c>
      <c r="GC73" s="313">
        <f>(_xlfn.MAXIFS(CtrlDevImpacts!$I$57:$I$156,CtrlDevImpacts!$H$57:$H$156,$FG73))*IFERROR($QR$13,0)</f>
        <v>0</v>
      </c>
      <c r="GD73" s="313">
        <f>(_xlfn.MAXIFS(Flare!$F$107:$F$216,Flare!$E$107:$E$216,$FG73)-_xlfn.MAXIFS(CtrlDevImpacts!$I$57:$I$156,CtrlDevImpacts!$H$57:$H$156,$FG73))*IFERROR($QR$13,0)</f>
        <v>0</v>
      </c>
      <c r="GE73" s="155">
        <f>_xlfn.MAXIFS(LandEmiss!$B$335:$B$434,LandEmiss!$A$335:$A$434,$FG73)*IFERROR($QR$13,0)</f>
        <v>0</v>
      </c>
      <c r="GF73" s="155">
        <f>(_xlfn.MAXIFS(LandEmiss!$BK$335:$BK$434,LandEmiss!$BJ$335:$BJ$434,$FG73)+_xlfn.MAXIFS(LandEmiss!$DV$323:$DV$422,LandEmiss!$DU$323:$DU$422,$FG73))*IFERROR($QR$13,0)</f>
        <v>0</v>
      </c>
      <c r="GG73" s="313">
        <f>IF(OR(VCU!$D$26="fuel gas",VCU!$D$42="fuel gas"),SUMIF(VCU!$E$120:$E$129,$FG73,VCU!$F$120:$F$129),0)*IFERROR($QR$14,0)</f>
        <v>0</v>
      </c>
      <c r="GH73" s="313">
        <f>(_xlfn.MAXIFS(CtrlDevImpacts!$X$57:$X$156,CtrlDevImpacts!$W$57:$W$156,$FG73))*IFERROR($QR$14,0)</f>
        <v>0</v>
      </c>
      <c r="GI73" s="313">
        <f>(_xlfn.MAXIFS(VCU!$F$130:$F$239,VCU!$E$130:$E$239,$FG73)-_xlfn.MAXIFS(CtrlDevImpacts!$X$57:$X$156,CtrlDevImpacts!$W$57:$W$156,$FG73))*IFERROR($QR$14,0)</f>
        <v>0</v>
      </c>
      <c r="GJ73" s="155">
        <f>_xlfn.MAXIFS(LandEmiss!$D$335:$D$434,LandEmiss!$A$335:$A$434,$FG73)*IFERROR($QR$14,0)</f>
        <v>0</v>
      </c>
      <c r="GK73" s="155">
        <f>(_xlfn.MAXIFS(LandEmiss!$BM$335:$BM$434,LandEmiss!$BJ$335:$BJ$434,$FG73)+_xlfn.MAXIFS(LandEmiss!$DX$323:$DX$422,LandEmiss!$DU$323:$DU$422,$FG73))*IFERROR($QR$14,0)</f>
        <v>0</v>
      </c>
      <c r="GL73" s="313">
        <f>IF(VaporOxidizer!D104="FUEL GAS",SUMIF(VaporOxidizer!$E$101:$E$110,$FG73,VaporOxidizer!$F$101:$F$110),0)*IFERROR($QR$15,0)</f>
        <v>0</v>
      </c>
      <c r="GM73" s="313">
        <f>(_xlfn.MAXIFS(CtrlDevImpacts!$AN$57:$AN$156,CtrlDevImpacts!$AM$57:$AM$156,$FG73))*IFERROR($QR$15,0)</f>
        <v>0</v>
      </c>
      <c r="GN73" s="313">
        <f>(_xlfn.MAXIFS(VaporOxidizer!$F$111:$F$220,VaporOxidizer!$E$111:$E$220,$FG73)-_xlfn.MAXIFS(CtrlDevImpacts!$AN$57:$AN$156,CtrlDevImpacts!$AM$57:$AM$156,$FG73))*IFERROR($QR$15,0)</f>
        <v>0</v>
      </c>
      <c r="GO73" s="155">
        <f>_xlfn.MAXIFS(LandEmiss!$F$335:$F$434,LandEmiss!$A$335:$A$434,$FG73)*IFERROR($QR$15,0)</f>
        <v>0</v>
      </c>
      <c r="GP73" s="155">
        <f>(_xlfn.MAXIFS(LandEmiss!$BK$335:$BK$434,LandEmiss!$BO$335:$BO$434,$FG73)+_xlfn.MAXIFS(LandEmiss!$DZ$323:$DZ$422,LandEmiss!$DU$323:$DU$422,$FG73))*IFERROR($QR$15,0)</f>
        <v>0</v>
      </c>
      <c r="GQ73" s="313">
        <f>_xlfn.MAXIFS(CtrlDevImpacts!$BD$57:$BD$156,CtrlDevImpacts!$BC$57:$BC$156,$FG73)*IFERROR(Hidden!$QR$16,0)</f>
        <v>0</v>
      </c>
      <c r="GR73" s="313">
        <f>(_xlfn.MAXIFS(CAS!$H$35:$H$144,CAS!$E$35:$E$144,$FG73)-_xlfn.MAXIFS(CtrlDevImpacts!$BD$57:$BD$156,CtrlDevImpacts!$BC$57:$BC$156,$FG73))*IFERROR(Hidden!$QR$16,0)</f>
        <v>0</v>
      </c>
      <c r="GS73" s="155">
        <f>_xlfn.MAXIFS(LandEmiss!$H$335:$H$434,LandEmiss!$A$335:$A$434,$FG73)*IFERROR($QR$27,0)</f>
        <v>0</v>
      </c>
      <c r="GT73" s="155">
        <f>(_xlfn.MAXIFS(LandEmiss!$BK$335:$BK$434,LandEmiss!$BQ$335:$BQ$434,$FG73)+_xlfn.MAXIFS(LandEmiss!$EB$323:$EB$422,LandEmiss!$DU$323:$DU$422,$FG73))*IFERROR($QR$27,0)</f>
        <v>0</v>
      </c>
      <c r="GU73" s="155">
        <f>_xlfn.MAXIFS(LandEmiss!$J$335:$J$434,LandEmiss!$A$335:$A$434,$FG73)*IFERROR($QR$26,0)</f>
        <v>0</v>
      </c>
      <c r="GV73" s="155">
        <f>(_xlfn.MAXIFS(LandEmiss!$BK$335:$BK$434,LandEmiss!$BS$335:$BS$434,$FG73)+_xlfn.MAXIFS(LandEmiss!$ED$323:$ED$422,LandEmiss!$DU$323:$DU$422,$FG73))*IFERROR($QR$26,0)</f>
        <v>0</v>
      </c>
      <c r="GW73" s="155">
        <f>_xlfn.MAXIFS(LandEmiss!$L$335:$L$434,LandEmiss!$A$335:$A$434,$FG73)*IFERROR($QR$25,0)</f>
        <v>0</v>
      </c>
      <c r="GX73" s="155">
        <f>(_xlfn.MAXIFS(LandEmiss!$BK$335:$BK$434,LandEmiss!$BU$335:$BU$434,$FG73)+_xlfn.MAXIFS(LandEmiss!$EF$323:$EF$422,LandEmiss!$DU$323:$DU$422,$FG73))*IFERROR($QR$25,0)</f>
        <v>0</v>
      </c>
      <c r="GY73" s="155">
        <v>0</v>
      </c>
      <c r="GZ73" s="155">
        <v>0</v>
      </c>
      <c r="HA73" s="155">
        <f>IF(OR(HeaterBoiler1!$E$26&lt;&gt;"fuel gas",HeaterBoiler1!$E$15&lt;&gt;"heater"),0,SUMIF(HeaterBoiler1!$A$54:$D$63,$FG73,HeaterBoiler1!$I$54:$I$63))*IFERROR($QR$19,0)</f>
        <v>0</v>
      </c>
      <c r="HB73" s="207">
        <f>IF(OR(HeaterBoiler2!$E$26&lt;&gt;"fuel gas",HeaterBoiler2!$E$15&lt;&gt;"heater"),0,SUMIF(HeaterBoiler2!$A$54:$D$63,$FG73,HeaterBoiler2!$I$54:$I$63))*IFERROR($QR$21,0)</f>
        <v>0</v>
      </c>
      <c r="HC73" s="155">
        <f>IF(OR(HeaterBoiler1!$E$26&lt;&gt;"fuel gas",HeaterBoiler1!$E$15&lt;&gt;"boiler"),0,SUMIF(HeaterBoiler1!$A$41:$A$50,$FG73,HeaterBoiler1!$F$41:$F$50))*IFERROR($QR$20,0)</f>
        <v>0</v>
      </c>
      <c r="HD73" s="207">
        <f>IF(OR(HeaterBoiler2!$E$26&lt;&gt;"fuel gas",HeaterBoiler2!$E$15&lt;&gt;"boiler"),0,SUMIF(HeaterBoiler2!$A$41:$A$50,$FG73,HeaterBoiler2!$F$41:$F$50))*IFERROR($QR$22,0)</f>
        <v>0</v>
      </c>
      <c r="HE73" s="155">
        <f>SUMIF(Fug!$A$96:$A$205,$FG73,Fug!$I$96:$I$205)*IFERROR(Hidden!$QR$23,0)</f>
        <v>0</v>
      </c>
      <c r="HF73" s="155">
        <f t="shared" si="46"/>
        <v>0</v>
      </c>
      <c r="HG73" s="156">
        <f t="shared" si="47"/>
        <v>0</v>
      </c>
      <c r="HH73" s="156">
        <f t="shared" si="48"/>
        <v>0</v>
      </c>
      <c r="HI73" s="156">
        <f t="shared" si="49"/>
        <v>0</v>
      </c>
      <c r="HJ73" s="156">
        <f t="shared" si="50"/>
        <v>0</v>
      </c>
      <c r="HK73" s="156">
        <f t="shared" si="51"/>
        <v>0</v>
      </c>
      <c r="HL73" s="156">
        <f t="shared" si="52"/>
        <v>0</v>
      </c>
      <c r="NO73" s="155">
        <f>IF(Tank1!$D$22="No control",(SUMIF(Tank1!$E$32:$E$141,$FG73,Tank1!$H$32:$H$141)*(2000/8760)*IFERROR($QV$3,0)),0)</f>
        <v>0</v>
      </c>
      <c r="NP73" s="156">
        <f>SUMIF(LandEmiss!$AE$20:$AE$119,$FG73,LandEmiss!$AK$20:$AK$119)*(2000/8760)*IFERROR($QV$3,0)</f>
        <v>0</v>
      </c>
      <c r="NQ73" s="156">
        <f>(SUMIF(LandEmiss!$CN$20:$CN$119,$FG73,LandEmiss!$CT$20:$CT$119)+SUMIF(LandEmiss!$EY$9:$EY$108,$FG73,LandEmiss!$FE$9:$FE$108))*IFERROR($QV$3,0)*(2000/8760)</f>
        <v>0</v>
      </c>
      <c r="NR73" s="155">
        <f>IF(Tank2!$D$22="No control",(SUMIF(Tank2!$E$32:$E$141,$FG73,Tank2!$H$32:$H$141)*(2000/8760)*IFERROR($QV$4,0)),0)</f>
        <v>0</v>
      </c>
      <c r="NS73" s="156">
        <f>SUMIF(LandEmiss!$AE$20:$AE$119,$FG73,LandEmiss!$AL$20:$AL$119)*(2000/8760)*IFERROR($QV$4,0)</f>
        <v>0</v>
      </c>
      <c r="NT73" s="156">
        <f>(SUMIF(LandEmiss!$CN$20:$CN$119,$FG73,LandEmiss!$CU$20:$CU$119)+SUMIF(LandEmiss!$EY$9:$EY$108,$FG73,LandEmiss!$FF$9:$FF$108))*IFERROR($QV$4,0)*(2000/8760)</f>
        <v>0</v>
      </c>
      <c r="NU73" s="155">
        <f>IF(Tank3!$D$22="No control",(SUMIF(Tank3!$E$32:$E$141,$FG73,Tank3!$H$32:$H$141)*(2000/8760)*IFERROR($QV$5,0)),0)</f>
        <v>0</v>
      </c>
      <c r="NV73" s="156">
        <f>SUMIF(LandEmiss!$AE$20:$AE$119,$FG73,LandEmiss!$AM$20:$AM$119)*(2000/8760)*IFERROR($QV$5,0)</f>
        <v>0</v>
      </c>
      <c r="NW73" s="156">
        <f>(SUMIF(LandEmiss!$CN$20:$CN$119,$FG73,LandEmiss!$CV$20:$CV$119)+SUMIF(LandEmiss!$EY$9:$EY$108,$FG73,LandEmiss!$FG$9:$FG$108))*IFERROR($QV$5,0)*(2000/8760)</f>
        <v>0</v>
      </c>
      <c r="NX73" s="155">
        <f>IF(Tank4!$D$22="No control",(SUMIF(Tank4!$E$32:$E$141,$FG73,Tank4!$H$32:$H$141)*(2000/8760)*IFERROR($QV$6,0)),0)</f>
        <v>0</v>
      </c>
      <c r="NY73" s="156">
        <f>SUMIF(LandEmiss!$AE$20:$AE$119,$FG73,LandEmiss!$AN$20:$AN$119)*(2000/8760)*IFERROR($QV$6,0)</f>
        <v>0</v>
      </c>
      <c r="NZ73" s="156">
        <f>(SUMIF(LandEmiss!$CN$20:$CN$119,$FG73,LandEmiss!$CW$20:$CW$119)+SUMIF(LandEmiss!$EY$9:$EY$108,$FG73,LandEmiss!$FH$9:$FH$108))*IFERROR($QV$6,0)*(2000/8760)</f>
        <v>0</v>
      </c>
      <c r="OA73" s="155">
        <f>IF(Tank5!$D$22="No control",(SUMIF(Tank5!$E$32:$E$141,$FG73,Tank5!$H$32:$H$141)*(2000/8760)*IFERROR($QV$7,0)),0)</f>
        <v>0</v>
      </c>
      <c r="OB73" s="156">
        <f>SUMIF(LandEmiss!$AE$20:$AE$119,$FG73,LandEmiss!$AO$20:$AO$119)*(2000/8760)*IFERROR($QV$7,0)</f>
        <v>0</v>
      </c>
      <c r="OC73" s="156">
        <f>(SUMIF(LandEmiss!$CN$20:$CN$119,$FG73,LandEmiss!$CX$20:$CX$119)+SUMIF(LandEmiss!$EY$9:$EY$108,$FG73,LandEmiss!$FI$9:$FI$108))*IFERROR($QV$7,0)*(2000/8760)</f>
        <v>0</v>
      </c>
      <c r="OD73" s="155">
        <f>SUMIFS('Load-DrumTote'!$L$27:$L$136,'Load-DrumTote'!$F$27:$F$136,$FG73)*IFERROR($QV$8,0)*(2000/8760)</f>
        <v>0</v>
      </c>
      <c r="OE73" s="155">
        <f>SUMIFS('Load-Truck'!$L$27:$L$136,'Load-Truck'!$F$27:$F$136,$FG73)*IFERROR($QV$9,0)*(2000/8760)</f>
        <v>0</v>
      </c>
      <c r="OF73" s="155">
        <f>SUMIFS('Load-Rail'!$L$27:$L$136,'Load-Rail'!$F$27:$F$136,$FG73)*IFERROR($QV$10,0)*(2000/8760)</f>
        <v>0</v>
      </c>
      <c r="OG73" s="155">
        <f>SUMIFS('Load-MarineBarge'!$L$27:$L$136,'Load-MarineBarge'!$F$27:$F$136,$FG73)*IFERROR($QV$11,0)*(2000/8760)</f>
        <v>0</v>
      </c>
      <c r="OH73" s="155">
        <f>SUMIFS('Load-MarineShip'!$L$27:$L$136,'Load-MarineShip'!$F$27:$F$136,$FG73)*IFERROR($QV$12,0)*(2000/8760)</f>
        <v>0</v>
      </c>
      <c r="OI73" s="155">
        <f>(IF(OR(Flare!$D$24="FUEL GAS",Flare!$D$38="FUEL GAS"),SUMIF(Flare!$E$97:$E$106,$FG73,Flare!$G$97:$G$105),0)+SUMIF(Flare!$E$107:$E$216,$FG73,Flare!$G$107:$G$216))*(2000/8730)*IFERROR($QV$13,0)</f>
        <v>0</v>
      </c>
      <c r="OJ73" s="155">
        <f>SUMIF(LandEmiss!$A$335:$A$434,$FG73,LandEmiss!$C$335:$C$434)*(2000/8760)*IFERROR($QV$13,0)</f>
        <v>0</v>
      </c>
      <c r="OK73" s="155">
        <f>(SUMIF(LandEmiss!$BJ$335:$BJ$434,$FG73,LandEmiss!$BL$335:$BL$434)+SUMIF(LandEmiss!$DU$323:$DU$422,$FG73,LandEmiss!$DW$323:$DW$422))*(2000/8760)*IFERROR($QV$13,0)</f>
        <v>0</v>
      </c>
      <c r="OL73" s="155">
        <f>(IF(OR(VCU!$D$26="FUEL GAS",VCU!$D$42="FUEL GAS"),SUMIF(VCU!$E$120:$E$129,$FG73,VCU!$G$120:$G$129),0)+SUMIF(VCU!$E$130:$E$239,$FG73,VCU!G201:G310))*(2000/8760)*IFERROR($QV$14,0)</f>
        <v>0</v>
      </c>
      <c r="OM73" s="155">
        <f>SUMIF(LandEmiss!$A$335:$A$434,$FG73,LandEmiss!$E$335:$E$434)*(2000/8760)*IFERROR($QV$14,0)</f>
        <v>0</v>
      </c>
      <c r="ON73" s="155">
        <f>(SUMIF(LandEmiss!$BJ$335:$BJ$434,$FG73,LandEmiss!$BN$335:$BN$434)+SUMIF(LandEmiss!$DU$323:$DU$422,$FG73,LandEmiss!$DY$323:$DY$422))*(2000/8760)*IFERROR($QV$14,0)</f>
        <v>0</v>
      </c>
      <c r="OO73" s="155">
        <f>(IF(VaporOxidizer!$D$33="FUEL GAS",SUMIF(VaporOxidizer!$E$101:$E$110,$FG73,VaporOxidizer!$G$101:$G$110),0)+SUMIF(VaporOxidizer!$E$111:$E$220,$FG73,VaporOxidizer!$G$111:$G$220))*(2000/8760)*IFERROR($QV$15,0)</f>
        <v>0</v>
      </c>
      <c r="OP73" s="155">
        <f>SUMIF(LandEmiss!$A$335:$A$434,$FG73,LandEmiss!$G$335:$G$434)*(2000/8760)*IFERROR($QV$15,0)</f>
        <v>0</v>
      </c>
      <c r="OQ73" s="155">
        <f>(SUMIF(LandEmiss!$BJ$335:$BJ$434,$FG73,LandEmiss!$BP$335:$BP$434)+SUMIF(LandEmiss!$DU$323:$DU$422,$FG73,LandEmiss!$EA$323:$EA$422))*(2000/8760)*IFERROR($QV$15,0)</f>
        <v>0</v>
      </c>
      <c r="OR73" s="155">
        <f>SUMIF(CAS!$E$35:$E$144,Hidden!$FG73,CAS!$I$35:$I$144)*IFERROR($QV$16,0)*(2000/8760)</f>
        <v>0</v>
      </c>
      <c r="OS73" s="155">
        <f>SUMIF(LandEmiss!$A$335:$A$434,$FG73,LandEmiss!$I$335:$I$434)*(2000/8760)*IFERROR($QV$27,0)</f>
        <v>0</v>
      </c>
      <c r="OT73" s="155">
        <f>(SUMIF(LandEmiss!$BJ$335:$BJ$434,$FG73,LandEmiss!$BR$335:$BR$434)+SUMIF(LandEmiss!$DU$323:$DU$422,$FG73,LandEmiss!$EC$323:$EC$422))*(2000/8760)*IFERROR($QV$27,0)</f>
        <v>0</v>
      </c>
      <c r="OU73" s="155">
        <f>SUMIF(LandEmiss!$A$335:$A$434,$FG73,LandEmiss!$K$335:$K$434)*(2000/8760)*IFERROR($QV$26,0)</f>
        <v>0</v>
      </c>
      <c r="OV73" s="155">
        <f>(SUMIF(LandEmiss!$BJ$335:$BJ$434,$FG73,LandEmiss!$BT$335:$BT$434)+SUMIF(LandEmiss!$DU$323:$DU$422,$FG73,LandEmiss!$EE$323:$EE$422))*(2000/8760)*IFERROR($QV$26,0)</f>
        <v>0</v>
      </c>
      <c r="OW73" s="155">
        <f>SUMIF(LandEmiss!$A$335:$A$434,$FG73,LandEmiss!$M$335:$M$434)*(2000/8760)*IFERROR($QV$25,0)</f>
        <v>0</v>
      </c>
      <c r="OX73" s="155">
        <f>(SUMIF(LandEmiss!$BJ$335:$BJ$434,$FG73,LandEmiss!$BV$335:$BV$434)+SUMIF(LandEmiss!$DU$323:$DU$422,$FG73,LandEmiss!$EG$323:$EG$422))*(2000/8760)*IFERROR($QV$25,0)</f>
        <v>0</v>
      </c>
      <c r="OY73" s="8">
        <v>0</v>
      </c>
      <c r="OZ73" s="207">
        <v>0</v>
      </c>
      <c r="PA73" s="207">
        <f>IF(OR(HeaterBoiler1!$E$26&lt;&gt;"fuel gas",HeaterBoiler1!$E$15&lt;&gt;"heater"),0,(SUMIF(HeaterBoiler1!$A$54:$D$63,$FG73,HeaterBoiler1!$J$54:$J$63))*(2000/8760))*IFERROR($QV$19,0)</f>
        <v>0</v>
      </c>
      <c r="PB73" s="207">
        <f>IF(OR(HeaterBoiler2!$E$26&lt;&gt;"fuel gas",HeaterBoiler2!$E$15&lt;&gt;"heater"),0,(SUMIF(HeaterBoiler2!$A$54:$D$63,$FG73,HeaterBoiler2!$J$54:$J$63))*(2000/8760))*IFERROR($QV$21,0)</f>
        <v>0</v>
      </c>
      <c r="PC73" s="207">
        <f>IF(OR(HeaterBoiler1!$E$26&lt;&gt;"fuel gas",HeaterBoiler1!$E$15&lt;&gt;"boiler"),0,(SUMIF(HeaterBoiler1!$A$54:$D$63,$FG73,HeaterBoiler1!$J$54:$J$63))*(2000/8760))*IFERROR($QV$20,0)</f>
        <v>0</v>
      </c>
      <c r="PD73" s="207">
        <f>IF(OR(HeaterBoiler2!$E$26&lt;&gt;"fuel gas",HeaterBoiler2!$E$15&lt;&gt;"boiler"),0,(SUMIF(HeaterBoiler2!$A$54:$D$63,$FG73,HeaterBoiler2!$J$54:$J$63))*(2000/8760))*IFERROR($QV$22,0)</f>
        <v>0</v>
      </c>
      <c r="PE73" s="8">
        <f>(SUMIF(Fug!$A$96:$A$205,$FG73,Fug!$J$96:$J$205))*IFERROR($QV$23,0)*(2000/8760)</f>
        <v>0</v>
      </c>
      <c r="PF73" s="8">
        <f t="shared" si="53"/>
        <v>0</v>
      </c>
      <c r="PG73" s="156">
        <f t="shared" si="54"/>
        <v>0</v>
      </c>
      <c r="QX73" s="89" t="s">
        <v>9319</v>
      </c>
      <c r="QY73">
        <v>18973.3</v>
      </c>
      <c r="QZ73">
        <v>9165.7999999999993</v>
      </c>
      <c r="RA73">
        <v>3520.6</v>
      </c>
      <c r="RB73">
        <v>1290.7</v>
      </c>
      <c r="RC73">
        <v>719.6</v>
      </c>
      <c r="RD73">
        <v>477.9</v>
      </c>
      <c r="RE73">
        <v>348</v>
      </c>
      <c r="RF73">
        <v>196.7</v>
      </c>
      <c r="RG73" s="90">
        <v>132.69999999999999</v>
      </c>
      <c r="RH73" s="89" t="s">
        <v>9319</v>
      </c>
      <c r="RI73">
        <v>16696.900000000001</v>
      </c>
      <c r="RJ73">
        <v>7750.7</v>
      </c>
      <c r="RK73">
        <v>2881.7</v>
      </c>
      <c r="RL73">
        <v>1016.1</v>
      </c>
      <c r="RM73">
        <v>550.4</v>
      </c>
      <c r="RN73">
        <v>357</v>
      </c>
      <c r="RO73">
        <v>278</v>
      </c>
      <c r="RP73">
        <v>153.19999999999999</v>
      </c>
      <c r="RQ73" s="90">
        <v>105.9</v>
      </c>
      <c r="RR73" s="89" t="s">
        <v>9319</v>
      </c>
      <c r="RS73">
        <v>10374.1</v>
      </c>
      <c r="RT73">
        <v>4608.6000000000004</v>
      </c>
      <c r="RU73">
        <v>1622.6</v>
      </c>
      <c r="RV73">
        <v>562.6</v>
      </c>
      <c r="RW73">
        <v>305.5</v>
      </c>
      <c r="RX73">
        <v>198.4</v>
      </c>
      <c r="RY73">
        <v>142.1</v>
      </c>
      <c r="RZ73">
        <v>77.67</v>
      </c>
      <c r="SA73" s="90">
        <v>50.62</v>
      </c>
      <c r="SB73" s="89" t="s">
        <v>9319</v>
      </c>
      <c r="SC73">
        <v>5467.8</v>
      </c>
      <c r="SD73">
        <v>2328</v>
      </c>
      <c r="SE73">
        <v>764.2</v>
      </c>
      <c r="SF73">
        <v>245.1</v>
      </c>
      <c r="SG73">
        <v>125.8</v>
      </c>
      <c r="SH73">
        <v>78.56</v>
      </c>
      <c r="SI73">
        <v>56.23</v>
      </c>
      <c r="SJ73">
        <v>28.75</v>
      </c>
      <c r="SK73" s="90">
        <v>18.489999999999998</v>
      </c>
      <c r="SL73" s="89" t="s">
        <v>9319</v>
      </c>
      <c r="SM73">
        <v>1605</v>
      </c>
      <c r="SN73">
        <v>638</v>
      </c>
      <c r="SO73">
        <v>194.24</v>
      </c>
      <c r="SP73">
        <v>54.11</v>
      </c>
      <c r="SQ73">
        <v>25.69</v>
      </c>
      <c r="SR73">
        <v>15.18</v>
      </c>
      <c r="SS73">
        <v>10.3</v>
      </c>
      <c r="ST73">
        <v>4.99</v>
      </c>
      <c r="SU73" s="90">
        <v>3</v>
      </c>
    </row>
    <row r="74" spans="23:515" ht="74.25" customHeight="1" x14ac:dyDescent="0.2">
      <c r="W74">
        <f>IF(OR(X74=0,ISNUMBER(MATCH(X74,$X$1:X73,0))),0,MAX($W$1:W73)+1)</f>
        <v>0</v>
      </c>
      <c r="X74" s="123">
        <f>Products!$E121</f>
        <v>0</v>
      </c>
      <c r="Y74" t="str">
        <f t="shared" si="42"/>
        <v/>
      </c>
      <c r="CA74">
        <f>IF(OR(CB74=0,ISNUMBER(MATCH(CB74,$CB$1:CB73,0))),0,MAX($CA$1:CA73)+1)</f>
        <v>0</v>
      </c>
      <c r="CB74" s="8">
        <f>IF(OR(Tank1!$D$18="EXTERNAL FLOATING ROOF",Tank1!$D$18="INTERNAL FLOATING ROOF"),IF(Tank1!$E104="",0,Tank1!$E104),0)</f>
        <v>0</v>
      </c>
      <c r="CC74" s="8" t="str">
        <f t="shared" si="43"/>
        <v/>
      </c>
      <c r="CD74" s="8"/>
      <c r="CE74" s="8">
        <f>IF(OR(CF74=0,ISNUMBER(MATCH(CF74,$CF$1:CF73,0))),0,MAX($CE$1:CE73)+1)</f>
        <v>0</v>
      </c>
      <c r="CF74" s="8">
        <f>IF(OR(Tank1!$D$18="HORIZONTAL FIXED ROOF",Tank1!$D$18="VERTICAL FIXED ROOF"),IF(Tank1!$E104="",0,Tank1!$E104),0)</f>
        <v>0</v>
      </c>
      <c r="CG74" s="8" t="str">
        <f t="shared" si="44"/>
        <v/>
      </c>
      <c r="DM74">
        <f>IF(OR(DN74=0,ISNUMBER(MATCH(DN74,$DN$1:DN73,0))),0,MAX($DM$1:DM73)+1)</f>
        <v>0</v>
      </c>
      <c r="DN74">
        <f>IF('Load-Rail'!$F$19="Flare",IFERROR(VLOOKUP(Products!$A$79,'Load-Rail'!$A$27:$B$136,1,FALSE),0),0)</f>
        <v>0</v>
      </c>
      <c r="DO74">
        <f>IF($DN74=0,0,VLOOKUP($DN74,'Load-Rail'!$A$27:$N$136,13,FALSE))</f>
        <v>0</v>
      </c>
      <c r="DP74">
        <f>IF($DN74=0,0,VLOOKUP($DN74,'Load-Rail'!$A$27:$N$136,14,FALSE))</f>
        <v>0</v>
      </c>
      <c r="DU74">
        <f>IF(OR(DV74=0,ISNUMBER(MATCH(DV74,$DV$1:DV73,0))),0,MAX($DU$1:DU73)+1)</f>
        <v>0</v>
      </c>
      <c r="DV74">
        <f>IF('Load-Rail'!$F$19="VCU",IFERROR(VLOOKUP(Products!$A$79,'Load-Rail'!$A$27:$B$136,1,FALSE),0),0)</f>
        <v>0</v>
      </c>
      <c r="DW74">
        <f>IF($DV74=0,0,VLOOKUP($DV74,'Load-Rail'!$A$27:$N$136,13,FALSE))</f>
        <v>0</v>
      </c>
      <c r="DX74">
        <f>IF($DV74=0,0,VLOOKUP($DV74,'Load-Rail'!$A$27:$N$136,14,FALSE))</f>
        <v>0</v>
      </c>
      <c r="EC74">
        <f>IF(OR(ED74=0,ISNUMBER(MATCH(ED74,$ED$1:ED73,0))),0,MAX($EC$1:EC73)+1)</f>
        <v>0</v>
      </c>
      <c r="ED74">
        <f>IF('Load-Rail'!$F$19="vapor oxidizer",IFERROR(VLOOKUP(Products!$A$79,'Load-Rail'!$A$27:$B$136,1,FALSE),0),0)</f>
        <v>0</v>
      </c>
      <c r="EE74">
        <f>IF($ED74=0,0,VLOOKUP($ED74,'Load-Rail'!$A$27:$N$136,13,FALSE))</f>
        <v>0</v>
      </c>
      <c r="EF74">
        <f>IF($ED74=0,0,VLOOKUP($ED74,'Load-Rail'!$A$27:$N$136,14,FALSE))</f>
        <v>0</v>
      </c>
      <c r="EK74">
        <f>IF(OR(EL74=0,ISNUMBER(MATCH(EL74,$EL$1:EL73,0))),0,MAX($EK$1:EK73)+1)</f>
        <v>0</v>
      </c>
      <c r="EL74">
        <f>IF('Load-Rail'!$F$19="CAS",IFERROR(VLOOKUP(Products!A79,'Load-Rail'!$A$27:$B$136,1,FALSE),0),0)</f>
        <v>0</v>
      </c>
      <c r="EM74">
        <f>IF($EL74=0,0,VLOOKUP($EL74,'Load-Rail'!$A$27:$N$136,13,FALSE))</f>
        <v>0</v>
      </c>
      <c r="EN74">
        <f>IF($EL74=0,0,VLOOKUP($EL74,'Load-Rail'!$A$27:$N$136,14,FALSE))</f>
        <v>0</v>
      </c>
      <c r="FB74" s="8" t="s">
        <v>495</v>
      </c>
      <c r="FC74" s="8" t="s">
        <v>496</v>
      </c>
      <c r="FD74" s="8">
        <v>42</v>
      </c>
      <c r="FE74" s="8">
        <v>4.2</v>
      </c>
      <c r="FG74" s="360" t="str">
        <f t="shared" si="45"/>
        <v/>
      </c>
      <c r="FH74" s="155">
        <f>IF(Tank1!$D$22="NO CONTROL",_xlfn.MAXIFS(Tank1!$G$32:$G$141,Tank1!$E$32:$E$141,$FG74),0)*IFERROR($QR$3,0)</f>
        <v>0</v>
      </c>
      <c r="FI74" s="155">
        <f>_xlfn.MAXIFS(LandEmiss!$AF$20:$AF$119,LandEmiss!$AE$20:$AE$119,$FG74)*IFERROR($QR$3,0)</f>
        <v>0</v>
      </c>
      <c r="FJ74" s="155">
        <f>MAX(_xlfn.MAXIFS(LandEmiss!$CO$20:$CO$119,LandEmiss!$CN$20:$CN$119,$FG74),_xlfn.MAXIFS(LandEmiss!$EZ$9:$EZ$108,LandEmiss!$EY$9:$EY$108,$FG74))*IFERROR($QR$3,0)</f>
        <v>0</v>
      </c>
      <c r="FK74" s="155">
        <f>IF(Tank2!$D$22="NO CONTROL",_xlfn.MAXIFS(Tank2!$G$32:$G$141,Tank2!$E$32:$E$141,$FG74),0)*IFERROR($QR$4,0)</f>
        <v>0</v>
      </c>
      <c r="FL74" s="155">
        <f>_xlfn.MAXIFS(LandEmiss!$AG$20:$AG$119,LandEmiss!$AE$20:$AE$119,$FG74)*IFERROR($QR$4,0)</f>
        <v>0</v>
      </c>
      <c r="FM74" s="155">
        <f>MAX(_xlfn.MAXIFS(LandEmiss!$CP$20:$CP$119,LandEmiss!$CN$20:$CN$119,$FG74),_xlfn.MAXIFS(LandEmiss!$FA$9:$FA$108,LandEmiss!$EY$9:$EY$108,$FG74))*IFERROR($QR$4,0)</f>
        <v>0</v>
      </c>
      <c r="FN74" s="155">
        <f>IF(Tank3!$D$22="NO CONTROL",_xlfn.MAXIFS(Tank3!$G$32:$G$141,Tank3!$E$32:$E$141,$FG74),0)*IFERROR($QR$5,0)</f>
        <v>0</v>
      </c>
      <c r="FO74" s="155">
        <f>_xlfn.MAXIFS(LandEmiss!$AH$20:$AH$119,LandEmiss!$AE$20:$AE$119,$FG74)*IFERROR($QR$5,0)</f>
        <v>0</v>
      </c>
      <c r="FP74" s="155">
        <f>MAX(_xlfn.MAXIFS(LandEmiss!$CQ$20:$CQ$119,LandEmiss!$CN$20:$CN$119,$FG74),_xlfn.MAXIFS(LandEmiss!$FB$9:$FB$108,LandEmiss!$EY$9:$EY$108,$FG74))*IFERROR($QR$5,0)</f>
        <v>0</v>
      </c>
      <c r="FQ74" s="155">
        <f>IF(Tank4!$D$22="NO CONTROL",_xlfn.MAXIFS(Tank4!$G$32:$G$141,Tank4!$E$32:$E$141,$FG74),0)*IFERROR($QR$6,0)</f>
        <v>0</v>
      </c>
      <c r="FR74" s="155">
        <f>_xlfn.MAXIFS(LandEmiss!$AI$20:$AI$119,LandEmiss!$AE$20:$AE$119,$FG74)*IFERROR($QR$6,0)</f>
        <v>0</v>
      </c>
      <c r="FS74" s="155">
        <f>MAX(_xlfn.MAXIFS(LandEmiss!$CR$20:$CR$119,LandEmiss!$CN$20:$CN$119,$FG74),_xlfn.MAXIFS(LandEmiss!$FC$9:$FC$108,LandEmiss!$EY$9:$EY$108,$FG74))*IFERROR($QR$6,0)</f>
        <v>0</v>
      </c>
      <c r="FT74" s="155">
        <f>IF(Tank5!$D$22="NO CONTROL",_xlfn.MAXIFS(Tank5!$G$32:$G$141,Tank5!$E$32:$E$141,$FG74),0)*IFERROR($QR$7,0)</f>
        <v>0</v>
      </c>
      <c r="FU74" s="155">
        <f>_xlfn.MAXIFS(LandEmiss!$AJ$20:$AJ$119,LandEmiss!$AE$20:$AE$119,$FG74)*IFERROR($QR$7,0)</f>
        <v>0</v>
      </c>
      <c r="FV74" s="155">
        <f>MAX(_xlfn.MAXIFS(LandEmiss!$CS$20:$CS$119,LandEmiss!$CN$20:$CN$119,$FG74),_xlfn.MAXIFS(LandEmiss!$FD$9:$FD$108,LandEmiss!$EY$9:$EY$108,$FG74))*IFERROR($QR79,0)</f>
        <v>0</v>
      </c>
      <c r="FW74" s="155">
        <f>_xlfn.MAXIFS('Load-DrumTote'!$K$27:$K$136,'Load-DrumTote'!$F$27:$F$136,$FG74)*IFERROR($QR$8,0)</f>
        <v>0</v>
      </c>
      <c r="FX74" s="155">
        <f>_xlfn.MAXIFS('Load-Truck'!$K$27:$K$136,'Load-Truck'!$F$27:$F$136,$FG74)*IFERROR($QR$9,0)</f>
        <v>0</v>
      </c>
      <c r="FY74" s="155">
        <f>_xlfn.MAXIFS('Load-Rail'!$K$27:$K$136,'Load-Rail'!$F$27:$F$136,$FG74)*IFERROR($QR$10,0)</f>
        <v>0</v>
      </c>
      <c r="FZ74" s="155">
        <f>_xlfn.MAXIFS('Load-MarineBarge'!$K$27:$K$136,'Load-MarineBarge'!$F$27:$F$136,$FG74)*IFERROR($QR$11,0)</f>
        <v>0</v>
      </c>
      <c r="GA74" s="155">
        <f>_xlfn.MAXIFS('Load-MarineShip'!$K$27:$K$136,'Load-MarineShip'!$F$27:$F$136,$FG74)*IFERROR($QR$12,0)</f>
        <v>0</v>
      </c>
      <c r="GB74" s="313">
        <f>IF(OR(Flare!$D$24="fuel gas",Flare!$D$38="fuel gas"),SUMIF(Flare!$E$97:$E$106,$FG74,Flare!$F$97:$F$106),0)*IFERROR($QR$13,0)</f>
        <v>0</v>
      </c>
      <c r="GC74" s="313">
        <f>(_xlfn.MAXIFS(CtrlDevImpacts!$I$57:$I$156,CtrlDevImpacts!$H$57:$H$156,$FG74))*IFERROR($QR$13,0)</f>
        <v>0</v>
      </c>
      <c r="GD74" s="313">
        <f>(_xlfn.MAXIFS(Flare!$F$107:$F$216,Flare!$E$107:$E$216,$FG74)-_xlfn.MAXIFS(CtrlDevImpacts!$I$57:$I$156,CtrlDevImpacts!$H$57:$H$156,$FG74))*IFERROR($QR$13,0)</f>
        <v>0</v>
      </c>
      <c r="GE74" s="155">
        <f>_xlfn.MAXIFS(LandEmiss!$B$335:$B$434,LandEmiss!$A$335:$A$434,$FG74)*IFERROR($QR$13,0)</f>
        <v>0</v>
      </c>
      <c r="GF74" s="155">
        <f>(_xlfn.MAXIFS(LandEmiss!$BK$335:$BK$434,LandEmiss!$BJ$335:$BJ$434,$FG74)+_xlfn.MAXIFS(LandEmiss!$DV$323:$DV$422,LandEmiss!$DU$323:$DU$422,$FG74))*IFERROR($QR$13,0)</f>
        <v>0</v>
      </c>
      <c r="GG74" s="313">
        <f>IF(OR(VCU!$D$26="fuel gas",VCU!$D$42="fuel gas"),SUMIF(VCU!$E$120:$E$129,$FG74,VCU!$F$120:$F$129),0)*IFERROR($QR$14,0)</f>
        <v>0</v>
      </c>
      <c r="GH74" s="313">
        <f>(_xlfn.MAXIFS(CtrlDevImpacts!$X$57:$X$156,CtrlDevImpacts!$W$57:$W$156,$FG74))*IFERROR($QR$14,0)</f>
        <v>0</v>
      </c>
      <c r="GI74" s="313">
        <f>(_xlfn.MAXIFS(VCU!$F$130:$F$239,VCU!$E$130:$E$239,$FG74)-_xlfn.MAXIFS(CtrlDevImpacts!$X$57:$X$156,CtrlDevImpacts!$W$57:$W$156,$FG74))*IFERROR($QR$14,0)</f>
        <v>0</v>
      </c>
      <c r="GJ74" s="155">
        <f>_xlfn.MAXIFS(LandEmiss!$D$335:$D$434,LandEmiss!$A$335:$A$434,$FG74)*IFERROR($QR$14,0)</f>
        <v>0</v>
      </c>
      <c r="GK74" s="155">
        <f>(_xlfn.MAXIFS(LandEmiss!$BM$335:$BM$434,LandEmiss!$BJ$335:$BJ$434,$FG74)+_xlfn.MAXIFS(LandEmiss!$DX$323:$DX$422,LandEmiss!$DU$323:$DU$422,$FG74))*IFERROR($QR$14,0)</f>
        <v>0</v>
      </c>
      <c r="GL74" s="313">
        <f>IF(VaporOxidizer!D105="FUEL GAS",SUMIF(VaporOxidizer!$E$101:$E$110,$FG74,VaporOxidizer!$F$101:$F$110),0)*IFERROR($QR$15,0)</f>
        <v>0</v>
      </c>
      <c r="GM74" s="313">
        <f>(_xlfn.MAXIFS(CtrlDevImpacts!$AN$57:$AN$156,CtrlDevImpacts!$AM$57:$AM$156,$FG74))*IFERROR($QR$15,0)</f>
        <v>0</v>
      </c>
      <c r="GN74" s="313">
        <f>(_xlfn.MAXIFS(VaporOxidizer!$F$111:$F$220,VaporOxidizer!$E$111:$E$220,$FG74)-_xlfn.MAXIFS(CtrlDevImpacts!$AN$57:$AN$156,CtrlDevImpacts!$AM$57:$AM$156,$FG74))*IFERROR($QR$15,0)</f>
        <v>0</v>
      </c>
      <c r="GO74" s="155">
        <f>_xlfn.MAXIFS(LandEmiss!$F$335:$F$434,LandEmiss!$A$335:$A$434,$FG74)*IFERROR($QR$15,0)</f>
        <v>0</v>
      </c>
      <c r="GP74" s="155">
        <f>(_xlfn.MAXIFS(LandEmiss!$BK$335:$BK$434,LandEmiss!$BO$335:$BO$434,$FG74)+_xlfn.MAXIFS(LandEmiss!$DZ$323:$DZ$422,LandEmiss!$DU$323:$DU$422,$FG74))*IFERROR($QR$15,0)</f>
        <v>0</v>
      </c>
      <c r="GQ74" s="313">
        <f>_xlfn.MAXIFS(CtrlDevImpacts!$BD$57:$BD$156,CtrlDevImpacts!$BC$57:$BC$156,$FG74)*IFERROR(Hidden!$QR$16,0)</f>
        <v>0</v>
      </c>
      <c r="GR74" s="313">
        <f>(_xlfn.MAXIFS(CAS!$H$35:$H$144,CAS!$E$35:$E$144,$FG74)-_xlfn.MAXIFS(CtrlDevImpacts!$BD$57:$BD$156,CtrlDevImpacts!$BC$57:$BC$156,$FG74))*IFERROR(Hidden!$QR$16,0)</f>
        <v>0</v>
      </c>
      <c r="GS74" s="155">
        <f>_xlfn.MAXIFS(LandEmiss!$H$335:$H$434,LandEmiss!$A$335:$A$434,$FG74)*IFERROR($QR$27,0)</f>
        <v>0</v>
      </c>
      <c r="GT74" s="155">
        <f>(_xlfn.MAXIFS(LandEmiss!$BK$335:$BK$434,LandEmiss!$BQ$335:$BQ$434,$FG74)+_xlfn.MAXIFS(LandEmiss!$EB$323:$EB$422,LandEmiss!$DU$323:$DU$422,$FG74))*IFERROR($QR$27,0)</f>
        <v>0</v>
      </c>
      <c r="GU74" s="155">
        <f>_xlfn.MAXIFS(LandEmiss!$J$335:$J$434,LandEmiss!$A$335:$A$434,$FG74)*IFERROR($QR$26,0)</f>
        <v>0</v>
      </c>
      <c r="GV74" s="155">
        <f>(_xlfn.MAXIFS(LandEmiss!$BK$335:$BK$434,LandEmiss!$BS$335:$BS$434,$FG74)+_xlfn.MAXIFS(LandEmiss!$ED$323:$ED$422,LandEmiss!$DU$323:$DU$422,$FG74))*IFERROR($QR$26,0)</f>
        <v>0</v>
      </c>
      <c r="GW74" s="155">
        <f>_xlfn.MAXIFS(LandEmiss!$L$335:$L$434,LandEmiss!$A$335:$A$434,$FG74)*IFERROR($QR$25,0)</f>
        <v>0</v>
      </c>
      <c r="GX74" s="155">
        <f>(_xlfn.MAXIFS(LandEmiss!$BK$335:$BK$434,LandEmiss!$BU$335:$BU$434,$FG74)+_xlfn.MAXIFS(LandEmiss!$EF$323:$EF$422,LandEmiss!$DU$323:$DU$422,$FG74))*IFERROR($QR$25,0)</f>
        <v>0</v>
      </c>
      <c r="GY74" s="155">
        <v>0</v>
      </c>
      <c r="GZ74" s="155">
        <v>0</v>
      </c>
      <c r="HA74" s="155">
        <f>IF(OR(HeaterBoiler1!$E$26&lt;&gt;"fuel gas",HeaterBoiler1!$E$15&lt;&gt;"heater"),0,SUMIF(HeaterBoiler1!$A$54:$D$63,$FG74,HeaterBoiler1!$I$54:$I$63))*IFERROR($QR$19,0)</f>
        <v>0</v>
      </c>
      <c r="HB74" s="207">
        <f>IF(OR(HeaterBoiler2!$E$26&lt;&gt;"fuel gas",HeaterBoiler2!$E$15&lt;&gt;"heater"),0,SUMIF(HeaterBoiler2!$A$54:$D$63,$FG74,HeaterBoiler2!$I$54:$I$63))*IFERROR($QR$21,0)</f>
        <v>0</v>
      </c>
      <c r="HC74" s="155">
        <f>IF(OR(HeaterBoiler1!$E$26&lt;&gt;"fuel gas",HeaterBoiler1!$E$15&lt;&gt;"boiler"),0,SUMIF(HeaterBoiler1!$A$41:$A$50,$FG74,HeaterBoiler1!$F$41:$F$50))*IFERROR($QR$20,0)</f>
        <v>0</v>
      </c>
      <c r="HD74" s="207">
        <f>IF(OR(HeaterBoiler2!$E$26&lt;&gt;"fuel gas",HeaterBoiler2!$E$15&lt;&gt;"boiler"),0,SUMIF(HeaterBoiler2!$A$41:$A$50,$FG74,HeaterBoiler2!$F$41:$F$50))*IFERROR($QR$22,0)</f>
        <v>0</v>
      </c>
      <c r="HE74" s="155">
        <f>SUMIF(Fug!$A$96:$A$205,$FG74,Fug!$I$96:$I$205)*IFERROR(Hidden!$QR$23,0)</f>
        <v>0</v>
      </c>
      <c r="HF74" s="155">
        <f t="shared" si="46"/>
        <v>0</v>
      </c>
      <c r="HG74" s="156">
        <f t="shared" si="47"/>
        <v>0</v>
      </c>
      <c r="HH74" s="156">
        <f t="shared" si="48"/>
        <v>0</v>
      </c>
      <c r="HI74" s="156">
        <f t="shared" si="49"/>
        <v>0</v>
      </c>
      <c r="HJ74" s="156">
        <f t="shared" si="50"/>
        <v>0</v>
      </c>
      <c r="HK74" s="156">
        <f t="shared" si="51"/>
        <v>0</v>
      </c>
      <c r="HL74" s="156">
        <f t="shared" si="52"/>
        <v>0</v>
      </c>
      <c r="NO74" s="155">
        <f>IF(Tank1!$D$22="No control",(SUMIF(Tank1!$E$32:$E$141,$FG74,Tank1!$H$32:$H$141)*(2000/8760)*IFERROR($QV$3,0)),0)</f>
        <v>0</v>
      </c>
      <c r="NP74" s="156">
        <f>SUMIF(LandEmiss!$AE$20:$AE$119,$FG74,LandEmiss!$AK$20:$AK$119)*(2000/8760)*IFERROR($QV$3,0)</f>
        <v>0</v>
      </c>
      <c r="NQ74" s="156">
        <f>(SUMIF(LandEmiss!$CN$20:$CN$119,$FG74,LandEmiss!$CT$20:$CT$119)+SUMIF(LandEmiss!$EY$9:$EY$108,$FG74,LandEmiss!$FE$9:$FE$108))*IFERROR($QV$3,0)*(2000/8760)</f>
        <v>0</v>
      </c>
      <c r="NR74" s="155">
        <f>IF(Tank2!$D$22="No control",(SUMIF(Tank2!$E$32:$E$141,$FG74,Tank2!$H$32:$H$141)*(2000/8760)*IFERROR($QV$4,0)),0)</f>
        <v>0</v>
      </c>
      <c r="NS74" s="156">
        <f>SUMIF(LandEmiss!$AE$20:$AE$119,$FG74,LandEmiss!$AL$20:$AL$119)*(2000/8760)*IFERROR($QV$4,0)</f>
        <v>0</v>
      </c>
      <c r="NT74" s="156">
        <f>(SUMIF(LandEmiss!$CN$20:$CN$119,$FG74,LandEmiss!$CU$20:$CU$119)+SUMIF(LandEmiss!$EY$9:$EY$108,$FG74,LandEmiss!$FF$9:$FF$108))*IFERROR($QV$4,0)*(2000/8760)</f>
        <v>0</v>
      </c>
      <c r="NU74" s="155">
        <f>IF(Tank3!$D$22="No control",(SUMIF(Tank3!$E$32:$E$141,$FG74,Tank3!$H$32:$H$141)*(2000/8760)*IFERROR($QV$5,0)),0)</f>
        <v>0</v>
      </c>
      <c r="NV74" s="156">
        <f>SUMIF(LandEmiss!$AE$20:$AE$119,$FG74,LandEmiss!$AM$20:$AM$119)*(2000/8760)*IFERROR($QV$5,0)</f>
        <v>0</v>
      </c>
      <c r="NW74" s="156">
        <f>(SUMIF(LandEmiss!$CN$20:$CN$119,$FG74,LandEmiss!$CV$20:$CV$119)+SUMIF(LandEmiss!$EY$9:$EY$108,$FG74,LandEmiss!$FG$9:$FG$108))*IFERROR($QV$5,0)*(2000/8760)</f>
        <v>0</v>
      </c>
      <c r="NX74" s="155">
        <f>IF(Tank4!$D$22="No control",(SUMIF(Tank4!$E$32:$E$141,$FG74,Tank4!$H$32:$H$141)*(2000/8760)*IFERROR($QV$6,0)),0)</f>
        <v>0</v>
      </c>
      <c r="NY74" s="156">
        <f>SUMIF(LandEmiss!$AE$20:$AE$119,$FG74,LandEmiss!$AN$20:$AN$119)*(2000/8760)*IFERROR($QV$6,0)</f>
        <v>0</v>
      </c>
      <c r="NZ74" s="156">
        <f>(SUMIF(LandEmiss!$CN$20:$CN$119,$FG74,LandEmiss!$CW$20:$CW$119)+SUMIF(LandEmiss!$EY$9:$EY$108,$FG74,LandEmiss!$FH$9:$FH$108))*IFERROR($QV$6,0)*(2000/8760)</f>
        <v>0</v>
      </c>
      <c r="OA74" s="155">
        <f>IF(Tank5!$D$22="No control",(SUMIF(Tank5!$E$32:$E$141,$FG74,Tank5!$H$32:$H$141)*(2000/8760)*IFERROR($QV$7,0)),0)</f>
        <v>0</v>
      </c>
      <c r="OB74" s="156">
        <f>SUMIF(LandEmiss!$AE$20:$AE$119,$FG74,LandEmiss!$AO$20:$AO$119)*(2000/8760)*IFERROR($QV$7,0)</f>
        <v>0</v>
      </c>
      <c r="OC74" s="156">
        <f>(SUMIF(LandEmiss!$CN$20:$CN$119,$FG74,LandEmiss!$CX$20:$CX$119)+SUMIF(LandEmiss!$EY$9:$EY$108,$FG74,LandEmiss!$FI$9:$FI$108))*IFERROR($QV$7,0)*(2000/8760)</f>
        <v>0</v>
      </c>
      <c r="OD74" s="155">
        <f>SUMIFS('Load-DrumTote'!$L$27:$L$136,'Load-DrumTote'!$F$27:$F$136,$FG74)*IFERROR($QV$8,0)*(2000/8760)</f>
        <v>0</v>
      </c>
      <c r="OE74" s="155">
        <f>SUMIFS('Load-Truck'!$L$27:$L$136,'Load-Truck'!$F$27:$F$136,$FG74)*IFERROR($QV$9,0)*(2000/8760)</f>
        <v>0</v>
      </c>
      <c r="OF74" s="155">
        <f>SUMIFS('Load-Rail'!$L$27:$L$136,'Load-Rail'!$F$27:$F$136,$FG74)*IFERROR($QV$10,0)*(2000/8760)</f>
        <v>0</v>
      </c>
      <c r="OG74" s="155">
        <f>SUMIFS('Load-MarineBarge'!$L$27:$L$136,'Load-MarineBarge'!$F$27:$F$136,$FG74)*IFERROR($QV$11,0)*(2000/8760)</f>
        <v>0</v>
      </c>
      <c r="OH74" s="155">
        <f>SUMIFS('Load-MarineShip'!$L$27:$L$136,'Load-MarineShip'!$F$27:$F$136,$FG74)*IFERROR($QV$12,0)*(2000/8760)</f>
        <v>0</v>
      </c>
      <c r="OI74" s="155">
        <f>(IF(OR(Flare!$D$24="FUEL GAS",Flare!$D$38="FUEL GAS"),SUMIF(Flare!$E$97:$E$106,$FG74,Flare!$G$97:$G$105),0)+SUMIF(Flare!$E$107:$E$216,$FG74,Flare!$G$107:$G$216))*(2000/8730)*IFERROR($QV$13,0)</f>
        <v>0</v>
      </c>
      <c r="OJ74" s="155">
        <f>SUMIF(LandEmiss!$A$335:$A$434,$FG74,LandEmiss!$C$335:$C$434)*(2000/8760)*IFERROR($QV$13,0)</f>
        <v>0</v>
      </c>
      <c r="OK74" s="155">
        <f>(SUMIF(LandEmiss!$BJ$335:$BJ$434,$FG74,LandEmiss!$BL$335:$BL$434)+SUMIF(LandEmiss!$DU$323:$DU$422,$FG74,LandEmiss!$DW$323:$DW$422))*(2000/8760)*IFERROR($QV$13,0)</f>
        <v>0</v>
      </c>
      <c r="OL74" s="155">
        <f>(IF(OR(VCU!$D$26="FUEL GAS",VCU!$D$42="FUEL GAS"),SUMIF(VCU!$E$120:$E$129,$FG74,VCU!$G$120:$G$129),0)+SUMIF(VCU!$E$130:$E$239,$FG74,VCU!G202:G311))*(2000/8760)*IFERROR($QV$14,0)</f>
        <v>0</v>
      </c>
      <c r="OM74" s="155">
        <f>SUMIF(LandEmiss!$A$335:$A$434,$FG74,LandEmiss!$E$335:$E$434)*(2000/8760)*IFERROR($QV$14,0)</f>
        <v>0</v>
      </c>
      <c r="ON74" s="155">
        <f>(SUMIF(LandEmiss!$BJ$335:$BJ$434,$FG74,LandEmiss!$BN$335:$BN$434)+SUMIF(LandEmiss!$DU$323:$DU$422,$FG74,LandEmiss!$DY$323:$DY$422))*(2000/8760)*IFERROR($QV$14,0)</f>
        <v>0</v>
      </c>
      <c r="OO74" s="155">
        <f>(IF(VaporOxidizer!$D$33="FUEL GAS",SUMIF(VaporOxidizer!$E$101:$E$110,$FG74,VaporOxidizer!$G$101:$G$110),0)+SUMIF(VaporOxidizer!$E$111:$E$220,$FG74,VaporOxidizer!$G$111:$G$220))*(2000/8760)*IFERROR($QV$15,0)</f>
        <v>0</v>
      </c>
      <c r="OP74" s="155">
        <f>SUMIF(LandEmiss!$A$335:$A$434,$FG74,LandEmiss!$G$335:$G$434)*(2000/8760)*IFERROR($QV$15,0)</f>
        <v>0</v>
      </c>
      <c r="OQ74" s="155">
        <f>(SUMIF(LandEmiss!$BJ$335:$BJ$434,$FG74,LandEmiss!$BP$335:$BP$434)+SUMIF(LandEmiss!$DU$323:$DU$422,$FG74,LandEmiss!$EA$323:$EA$422))*(2000/8760)*IFERROR($QV$15,0)</f>
        <v>0</v>
      </c>
      <c r="OR74" s="155">
        <f>SUMIF(CAS!$E$35:$E$144,Hidden!$FG74,CAS!$I$35:$I$144)*IFERROR($QV$16,0)*(2000/8760)</f>
        <v>0</v>
      </c>
      <c r="OS74" s="155">
        <f>SUMIF(LandEmiss!$A$335:$A$434,$FG74,LandEmiss!$I$335:$I$434)*(2000/8760)*IFERROR($QV$27,0)</f>
        <v>0</v>
      </c>
      <c r="OT74" s="155">
        <f>(SUMIF(LandEmiss!$BJ$335:$BJ$434,$FG74,LandEmiss!$BR$335:$BR$434)+SUMIF(LandEmiss!$DU$323:$DU$422,$FG74,LandEmiss!$EC$323:$EC$422))*(2000/8760)*IFERROR($QV$27,0)</f>
        <v>0</v>
      </c>
      <c r="OU74" s="155">
        <f>SUMIF(LandEmiss!$A$335:$A$434,$FG74,LandEmiss!$K$335:$K$434)*(2000/8760)*IFERROR($QV$26,0)</f>
        <v>0</v>
      </c>
      <c r="OV74" s="155">
        <f>(SUMIF(LandEmiss!$BJ$335:$BJ$434,$FG74,LandEmiss!$BT$335:$BT$434)+SUMIF(LandEmiss!$DU$323:$DU$422,$FG74,LandEmiss!$EE$323:$EE$422))*(2000/8760)*IFERROR($QV$26,0)</f>
        <v>0</v>
      </c>
      <c r="OW74" s="155">
        <f>SUMIF(LandEmiss!$A$335:$A$434,$FG74,LandEmiss!$M$335:$M$434)*(2000/8760)*IFERROR($QV$25,0)</f>
        <v>0</v>
      </c>
      <c r="OX74" s="155">
        <f>(SUMIF(LandEmiss!$BJ$335:$BJ$434,$FG74,LandEmiss!$BV$335:$BV$434)+SUMIF(LandEmiss!$DU$323:$DU$422,$FG74,LandEmiss!$EG$323:$EG$422))*(2000/8760)*IFERROR($QV$25,0)</f>
        <v>0</v>
      </c>
      <c r="OY74" s="8">
        <v>0</v>
      </c>
      <c r="OZ74" s="207">
        <v>0</v>
      </c>
      <c r="PA74" s="207">
        <f>IF(OR(HeaterBoiler1!$E$26&lt;&gt;"fuel gas",HeaterBoiler1!$E$15&lt;&gt;"heater"),0,(SUMIF(HeaterBoiler1!$A$54:$D$63,$FG74,HeaterBoiler1!$J$54:$J$63))*(2000/8760))*IFERROR($QV$19,0)</f>
        <v>0</v>
      </c>
      <c r="PB74" s="207">
        <f>IF(OR(HeaterBoiler2!$E$26&lt;&gt;"fuel gas",HeaterBoiler2!$E$15&lt;&gt;"heater"),0,(SUMIF(HeaterBoiler2!$A$54:$D$63,$FG74,HeaterBoiler2!$J$54:$J$63))*(2000/8760))*IFERROR($QV$21,0)</f>
        <v>0</v>
      </c>
      <c r="PC74" s="207">
        <f>IF(OR(HeaterBoiler1!$E$26&lt;&gt;"fuel gas",HeaterBoiler1!$E$15&lt;&gt;"boiler"),0,(SUMIF(HeaterBoiler1!$A$54:$D$63,$FG74,HeaterBoiler1!$J$54:$J$63))*(2000/8760))*IFERROR($QV$20,0)</f>
        <v>0</v>
      </c>
      <c r="PD74" s="207">
        <f>IF(OR(HeaterBoiler2!$E$26&lt;&gt;"fuel gas",HeaterBoiler2!$E$15&lt;&gt;"boiler"),0,(SUMIF(HeaterBoiler2!$A$54:$D$63,$FG74,HeaterBoiler2!$J$54:$J$63))*(2000/8760))*IFERROR($QV$22,0)</f>
        <v>0</v>
      </c>
      <c r="PE74" s="8">
        <f>(SUMIF(Fug!$A$96:$A$205,$FG74,Fug!$J$96:$J$205))*IFERROR($QV$23,0)*(2000/8760)</f>
        <v>0</v>
      </c>
      <c r="PF74" s="8">
        <f t="shared" si="53"/>
        <v>0</v>
      </c>
      <c r="PG74" s="156">
        <f t="shared" si="54"/>
        <v>0</v>
      </c>
      <c r="QX74" s="89" t="s">
        <v>9320</v>
      </c>
      <c r="QY74">
        <v>4.93</v>
      </c>
      <c r="QZ74">
        <v>4.93</v>
      </c>
      <c r="RA74">
        <v>4.93</v>
      </c>
      <c r="RB74">
        <v>4.93</v>
      </c>
      <c r="RC74">
        <v>4.93</v>
      </c>
      <c r="RD74">
        <v>4.8600000000000003</v>
      </c>
      <c r="RE74">
        <v>4.21</v>
      </c>
      <c r="RF74">
        <v>2.84</v>
      </c>
      <c r="RG74" s="90">
        <v>2.0499999999999998</v>
      </c>
      <c r="RH74" s="89" t="s">
        <v>9320</v>
      </c>
      <c r="RI74">
        <v>3.63</v>
      </c>
      <c r="RJ74">
        <v>3.63</v>
      </c>
      <c r="RK74">
        <v>3.63</v>
      </c>
      <c r="RL74">
        <v>3.63</v>
      </c>
      <c r="RM74">
        <v>3.63</v>
      </c>
      <c r="RN74">
        <v>3.63</v>
      </c>
      <c r="RO74">
        <v>3.63</v>
      </c>
      <c r="RP74">
        <v>2.79</v>
      </c>
      <c r="RQ74" s="90">
        <v>2.04</v>
      </c>
      <c r="RR74" s="89" t="s">
        <v>9320</v>
      </c>
      <c r="RS74">
        <v>3.21</v>
      </c>
      <c r="RT74">
        <v>3.21</v>
      </c>
      <c r="RU74">
        <v>3.21</v>
      </c>
      <c r="RV74">
        <v>3.21</v>
      </c>
      <c r="RW74">
        <v>3.21</v>
      </c>
      <c r="RX74">
        <v>3.21</v>
      </c>
      <c r="RY74">
        <v>3.21</v>
      </c>
      <c r="RZ74">
        <v>2.5499999999999998</v>
      </c>
      <c r="SA74" s="90">
        <v>1.9</v>
      </c>
      <c r="SB74" s="89" t="s">
        <v>9320</v>
      </c>
      <c r="SC74">
        <v>1.91</v>
      </c>
      <c r="SD74">
        <v>1.91</v>
      </c>
      <c r="SE74">
        <v>1.91</v>
      </c>
      <c r="SF74">
        <v>1.91</v>
      </c>
      <c r="SG74">
        <v>1.91</v>
      </c>
      <c r="SH74">
        <v>1.91</v>
      </c>
      <c r="SI74">
        <v>1.91</v>
      </c>
      <c r="SJ74">
        <v>1.84</v>
      </c>
      <c r="SK74" s="90">
        <v>1.5</v>
      </c>
      <c r="SL74" s="89" t="s">
        <v>9320</v>
      </c>
      <c r="SM74">
        <v>0.15</v>
      </c>
      <c r="SN74">
        <v>0.15</v>
      </c>
      <c r="SO74">
        <v>0.15</v>
      </c>
      <c r="SP74">
        <v>0.15</v>
      </c>
      <c r="SQ74">
        <v>0.15</v>
      </c>
      <c r="SR74">
        <v>0.15</v>
      </c>
      <c r="SS74">
        <v>0.15</v>
      </c>
      <c r="ST74">
        <v>0.15</v>
      </c>
      <c r="SU74" s="90">
        <v>0.15</v>
      </c>
    </row>
    <row r="75" spans="23:515" ht="74.25" customHeight="1" x14ac:dyDescent="0.2">
      <c r="W75">
        <f>IF(OR(X75=0,ISNUMBER(MATCH(X75,$X$1:X74,0))),0,MAX($W$1:W74)+1)</f>
        <v>0</v>
      </c>
      <c r="X75" s="123">
        <f>Products!$E122</f>
        <v>0</v>
      </c>
      <c r="Y75" t="str">
        <f t="shared" si="42"/>
        <v/>
      </c>
      <c r="CA75">
        <f>IF(OR(CB75=0,ISNUMBER(MATCH(CB75,$CB$1:CB74,0))),0,MAX($CA$1:CA74)+1)</f>
        <v>0</v>
      </c>
      <c r="CB75" s="8">
        <f>IF(OR(Tank1!$D$18="EXTERNAL FLOATING ROOF",Tank1!$D$18="INTERNAL FLOATING ROOF"),IF(Tank1!$E105="",0,Tank1!$E105),0)</f>
        <v>0</v>
      </c>
      <c r="CC75" s="8" t="str">
        <f t="shared" si="43"/>
        <v/>
      </c>
      <c r="CD75" s="8"/>
      <c r="CE75" s="8">
        <f>IF(OR(CF75=0,ISNUMBER(MATCH(CF75,$CF$1:CF74,0))),0,MAX($CE$1:CE74)+1)</f>
        <v>0</v>
      </c>
      <c r="CF75" s="8">
        <f>IF(OR(Tank1!$D$18="HORIZONTAL FIXED ROOF",Tank1!$D$18="VERTICAL FIXED ROOF"),IF(Tank1!$E105="",0,Tank1!$E105),0)</f>
        <v>0</v>
      </c>
      <c r="CG75" s="8" t="str">
        <f t="shared" si="44"/>
        <v/>
      </c>
      <c r="DM75">
        <f>IF(OR(DN75=0,ISNUMBER(MATCH(DN75,$DN$1:DN74,0))),0,MAX($DM$1:DM74)+1)</f>
        <v>0</v>
      </c>
      <c r="DN75">
        <f>IF('Load-Rail'!$F$19="Flare",IFERROR(VLOOKUP(Products!$A$89,'Load-Rail'!$A$27:$B$136,1,FALSE),0),0)</f>
        <v>0</v>
      </c>
      <c r="DO75">
        <f>IF($DN75=0,0,VLOOKUP($DN75,'Load-Rail'!$A$27:$N$136,13,FALSE))</f>
        <v>0</v>
      </c>
      <c r="DP75">
        <f>IF($DN75=0,0,VLOOKUP($DN75,'Load-Rail'!$A$27:$N$136,14,FALSE))</f>
        <v>0</v>
      </c>
      <c r="DU75">
        <f>IF(OR(DV75=0,ISNUMBER(MATCH(DV75,$DV$1:DV74,0))),0,MAX($DU$1:DU74)+1)</f>
        <v>0</v>
      </c>
      <c r="DV75">
        <f>IF('Load-Rail'!$F$19="VCU",IFERROR(VLOOKUP(Products!$A$89,'Load-Rail'!$A$27:$B$136,1,FALSE),0),0)</f>
        <v>0</v>
      </c>
      <c r="DW75">
        <f>IF($DV75=0,0,VLOOKUP($DV75,'Load-Rail'!$A$27:$N$136,13,FALSE))</f>
        <v>0</v>
      </c>
      <c r="DX75">
        <f>IF($DV75=0,0,VLOOKUP($DV75,'Load-Rail'!$A$27:$N$136,14,FALSE))</f>
        <v>0</v>
      </c>
      <c r="EC75">
        <f>IF(OR(ED75=0,ISNUMBER(MATCH(ED75,$ED$1:ED74,0))),0,MAX($EC$1:EC74)+1)</f>
        <v>0</v>
      </c>
      <c r="ED75">
        <f>IF('Load-Rail'!$F$19="vapor oxidizer",IFERROR(VLOOKUP(Products!$A$89,'Load-Rail'!$A$27:$B$136,1,FALSE),0),0)</f>
        <v>0</v>
      </c>
      <c r="EE75">
        <f>IF($ED75=0,0,VLOOKUP($ED75,'Load-Rail'!$A$27:$N$136,13,FALSE))</f>
        <v>0</v>
      </c>
      <c r="EF75">
        <f>IF($ED75=0,0,VLOOKUP($ED75,'Load-Rail'!$A$27:$N$136,14,FALSE))</f>
        <v>0</v>
      </c>
      <c r="EK75">
        <f>IF(OR(EL75=0,ISNUMBER(MATCH(EL75,$EL$1:EL74,0))),0,MAX($EK$1:EK74)+1)</f>
        <v>0</v>
      </c>
      <c r="EL75">
        <f>IF('Load-Rail'!$F$19="CAS",IFERROR(VLOOKUP(Products!A89,'Load-Rail'!$A$27:$B$136,1,FALSE),0),0)</f>
        <v>0</v>
      </c>
      <c r="EM75">
        <f>IF($EL75=0,0,VLOOKUP($EL75,'Load-Rail'!$A$27:$N$136,13,FALSE))</f>
        <v>0</v>
      </c>
      <c r="EN75">
        <f>IF($EL75=0,0,VLOOKUP($EL75,'Load-Rail'!$A$27:$N$136,14,FALSE))</f>
        <v>0</v>
      </c>
      <c r="FB75" s="8" t="s">
        <v>497</v>
      </c>
      <c r="FC75" s="8" t="s">
        <v>498</v>
      </c>
      <c r="FD75" s="8">
        <v>750</v>
      </c>
      <c r="FE75" s="8">
        <v>75</v>
      </c>
      <c r="FG75" s="360" t="str">
        <f t="shared" si="45"/>
        <v/>
      </c>
      <c r="FH75" s="155">
        <f>IF(Tank1!$D$22="NO CONTROL",_xlfn.MAXIFS(Tank1!$G$32:$G$141,Tank1!$E$32:$E$141,$FG75),0)*IFERROR($QR$3,0)</f>
        <v>0</v>
      </c>
      <c r="FI75" s="155">
        <f>_xlfn.MAXIFS(LandEmiss!$AF$20:$AF$119,LandEmiss!$AE$20:$AE$119,$FG75)*IFERROR($QR$3,0)</f>
        <v>0</v>
      </c>
      <c r="FJ75" s="155">
        <f>MAX(_xlfn.MAXIFS(LandEmiss!$CO$20:$CO$119,LandEmiss!$CN$20:$CN$119,$FG75),_xlfn.MAXIFS(LandEmiss!$EZ$9:$EZ$108,LandEmiss!$EY$9:$EY$108,$FG75))*IFERROR($QR$3,0)</f>
        <v>0</v>
      </c>
      <c r="FK75" s="155">
        <f>IF(Tank2!$D$22="NO CONTROL",_xlfn.MAXIFS(Tank2!$G$32:$G$141,Tank2!$E$32:$E$141,$FG75),0)*IFERROR($QR$4,0)</f>
        <v>0</v>
      </c>
      <c r="FL75" s="155">
        <f>_xlfn.MAXIFS(LandEmiss!$AG$20:$AG$119,LandEmiss!$AE$20:$AE$119,$FG75)*IFERROR($QR$4,0)</f>
        <v>0</v>
      </c>
      <c r="FM75" s="155">
        <f>MAX(_xlfn.MAXIFS(LandEmiss!$CP$20:$CP$119,LandEmiss!$CN$20:$CN$119,$FG75),_xlfn.MAXIFS(LandEmiss!$FA$9:$FA$108,LandEmiss!$EY$9:$EY$108,$FG75))*IFERROR($QR$4,0)</f>
        <v>0</v>
      </c>
      <c r="FN75" s="155">
        <f>IF(Tank3!$D$22="NO CONTROL",_xlfn.MAXIFS(Tank3!$G$32:$G$141,Tank3!$E$32:$E$141,$FG75),0)*IFERROR($QR$5,0)</f>
        <v>0</v>
      </c>
      <c r="FO75" s="155">
        <f>_xlfn.MAXIFS(LandEmiss!$AH$20:$AH$119,LandEmiss!$AE$20:$AE$119,$FG75)*IFERROR($QR$5,0)</f>
        <v>0</v>
      </c>
      <c r="FP75" s="155">
        <f>MAX(_xlfn.MAXIFS(LandEmiss!$CQ$20:$CQ$119,LandEmiss!$CN$20:$CN$119,$FG75),_xlfn.MAXIFS(LandEmiss!$FB$9:$FB$108,LandEmiss!$EY$9:$EY$108,$FG75))*IFERROR($QR$5,0)</f>
        <v>0</v>
      </c>
      <c r="FQ75" s="155">
        <f>IF(Tank4!$D$22="NO CONTROL",_xlfn.MAXIFS(Tank4!$G$32:$G$141,Tank4!$E$32:$E$141,$FG75),0)*IFERROR($QR$6,0)</f>
        <v>0</v>
      </c>
      <c r="FR75" s="155">
        <f>_xlfn.MAXIFS(LandEmiss!$AI$20:$AI$119,LandEmiss!$AE$20:$AE$119,$FG75)*IFERROR($QR$6,0)</f>
        <v>0</v>
      </c>
      <c r="FS75" s="155">
        <f>MAX(_xlfn.MAXIFS(LandEmiss!$CR$20:$CR$119,LandEmiss!$CN$20:$CN$119,$FG75),_xlfn.MAXIFS(LandEmiss!$FC$9:$FC$108,LandEmiss!$EY$9:$EY$108,$FG75))*IFERROR($QR$6,0)</f>
        <v>0</v>
      </c>
      <c r="FT75" s="155">
        <f>IF(Tank5!$D$22="NO CONTROL",_xlfn.MAXIFS(Tank5!$G$32:$G$141,Tank5!$E$32:$E$141,$FG75),0)*IFERROR($QR$7,0)</f>
        <v>0</v>
      </c>
      <c r="FU75" s="155">
        <f>_xlfn.MAXIFS(LandEmiss!$AJ$20:$AJ$119,LandEmiss!$AE$20:$AE$119,$FG75)*IFERROR($QR$7,0)</f>
        <v>0</v>
      </c>
      <c r="FV75" s="155">
        <f>MAX(_xlfn.MAXIFS(LandEmiss!$CS$20:$CS$119,LandEmiss!$CN$20:$CN$119,$FG75),_xlfn.MAXIFS(LandEmiss!$FD$9:$FD$108,LandEmiss!$EY$9:$EY$108,$FG75))*IFERROR($QR80,0)</f>
        <v>0</v>
      </c>
      <c r="FW75" s="155">
        <f>_xlfn.MAXIFS('Load-DrumTote'!$K$27:$K$136,'Load-DrumTote'!$F$27:$F$136,$FG75)*IFERROR($QR$8,0)</f>
        <v>0</v>
      </c>
      <c r="FX75" s="155">
        <f>_xlfn.MAXIFS('Load-Truck'!$K$27:$K$136,'Load-Truck'!$F$27:$F$136,$FG75)*IFERROR($QR$9,0)</f>
        <v>0</v>
      </c>
      <c r="FY75" s="155">
        <f>_xlfn.MAXIFS('Load-Rail'!$K$27:$K$136,'Load-Rail'!$F$27:$F$136,$FG75)*IFERROR($QR$10,0)</f>
        <v>0</v>
      </c>
      <c r="FZ75" s="155">
        <f>_xlfn.MAXIFS('Load-MarineBarge'!$K$27:$K$136,'Load-MarineBarge'!$F$27:$F$136,$FG75)*IFERROR($QR$11,0)</f>
        <v>0</v>
      </c>
      <c r="GA75" s="155">
        <f>_xlfn.MAXIFS('Load-MarineShip'!$K$27:$K$136,'Load-MarineShip'!$F$27:$F$136,$FG75)*IFERROR($QR$12,0)</f>
        <v>0</v>
      </c>
      <c r="GB75" s="313">
        <f>IF(OR(Flare!$D$24="fuel gas",Flare!$D$38="fuel gas"),SUMIF(Flare!$E$97:$E$106,$FG75,Flare!$F$97:$F$106),0)*IFERROR($QR$13,0)</f>
        <v>0</v>
      </c>
      <c r="GC75" s="313">
        <f>(_xlfn.MAXIFS(CtrlDevImpacts!$I$57:$I$156,CtrlDevImpacts!$H$57:$H$156,$FG75))*IFERROR($QR$13,0)</f>
        <v>0</v>
      </c>
      <c r="GD75" s="313">
        <f>(_xlfn.MAXIFS(Flare!$F$107:$F$216,Flare!$E$107:$E$216,$FG75)-_xlfn.MAXIFS(CtrlDevImpacts!$I$57:$I$156,CtrlDevImpacts!$H$57:$H$156,$FG75))*IFERROR($QR$13,0)</f>
        <v>0</v>
      </c>
      <c r="GE75" s="155">
        <f>_xlfn.MAXIFS(LandEmiss!$B$335:$B$434,LandEmiss!$A$335:$A$434,$FG75)*IFERROR($QR$13,0)</f>
        <v>0</v>
      </c>
      <c r="GF75" s="155">
        <f>(_xlfn.MAXIFS(LandEmiss!$BK$335:$BK$434,LandEmiss!$BJ$335:$BJ$434,$FG75)+_xlfn.MAXIFS(LandEmiss!$DV$323:$DV$422,LandEmiss!$DU$323:$DU$422,$FG75))*IFERROR($QR$13,0)</f>
        <v>0</v>
      </c>
      <c r="GG75" s="313">
        <f>IF(OR(VCU!$D$26="fuel gas",VCU!$D$42="fuel gas"),SUMIF(VCU!$E$120:$E$129,$FG75,VCU!$F$120:$F$129),0)*IFERROR($QR$14,0)</f>
        <v>0</v>
      </c>
      <c r="GH75" s="313">
        <f>(_xlfn.MAXIFS(CtrlDevImpacts!$X$57:$X$156,CtrlDevImpacts!$W$57:$W$156,$FG75))*IFERROR($QR$14,0)</f>
        <v>0</v>
      </c>
      <c r="GI75" s="313">
        <f>(_xlfn.MAXIFS(VCU!$F$130:$F$239,VCU!$E$130:$E$239,$FG75)-_xlfn.MAXIFS(CtrlDevImpacts!$X$57:$X$156,CtrlDevImpacts!$W$57:$W$156,$FG75))*IFERROR($QR$14,0)</f>
        <v>0</v>
      </c>
      <c r="GJ75" s="155">
        <f>_xlfn.MAXIFS(LandEmiss!$D$335:$D$434,LandEmiss!$A$335:$A$434,$FG75)*IFERROR($QR$14,0)</f>
        <v>0</v>
      </c>
      <c r="GK75" s="155">
        <f>(_xlfn.MAXIFS(LandEmiss!$BM$335:$BM$434,LandEmiss!$BJ$335:$BJ$434,$FG75)+_xlfn.MAXIFS(LandEmiss!$DX$323:$DX$422,LandEmiss!$DU$323:$DU$422,$FG75))*IFERROR($QR$14,0)</f>
        <v>0</v>
      </c>
      <c r="GL75" s="313">
        <f>IF(VaporOxidizer!D106="FUEL GAS",SUMIF(VaporOxidizer!$E$101:$E$110,$FG75,VaporOxidizer!$F$101:$F$110),0)*IFERROR($QR$15,0)</f>
        <v>0</v>
      </c>
      <c r="GM75" s="313">
        <f>(_xlfn.MAXIFS(CtrlDevImpacts!$AN$57:$AN$156,CtrlDevImpacts!$AM$57:$AM$156,$FG75))*IFERROR($QR$15,0)</f>
        <v>0</v>
      </c>
      <c r="GN75" s="313">
        <f>(_xlfn.MAXIFS(VaporOxidizer!$F$111:$F$220,VaporOxidizer!$E$111:$E$220,$FG75)-_xlfn.MAXIFS(CtrlDevImpacts!$AN$57:$AN$156,CtrlDevImpacts!$AM$57:$AM$156,$FG75))*IFERROR($QR$15,0)</f>
        <v>0</v>
      </c>
      <c r="GO75" s="155">
        <f>_xlfn.MAXIFS(LandEmiss!$F$335:$F$434,LandEmiss!$A$335:$A$434,$FG75)*IFERROR($QR$15,0)</f>
        <v>0</v>
      </c>
      <c r="GP75" s="155">
        <f>(_xlfn.MAXIFS(LandEmiss!$BK$335:$BK$434,LandEmiss!$BO$335:$BO$434,$FG75)+_xlfn.MAXIFS(LandEmiss!$DZ$323:$DZ$422,LandEmiss!$DU$323:$DU$422,$FG75))*IFERROR($QR$15,0)</f>
        <v>0</v>
      </c>
      <c r="GQ75" s="313">
        <f>_xlfn.MAXIFS(CtrlDevImpacts!$BD$57:$BD$156,CtrlDevImpacts!$BC$57:$BC$156,$FG75)*IFERROR(Hidden!$QR$16,0)</f>
        <v>0</v>
      </c>
      <c r="GR75" s="313">
        <f>(_xlfn.MAXIFS(CAS!$H$35:$H$144,CAS!$E$35:$E$144,$FG75)-_xlfn.MAXIFS(CtrlDevImpacts!$BD$57:$BD$156,CtrlDevImpacts!$BC$57:$BC$156,$FG75))*IFERROR(Hidden!$QR$16,0)</f>
        <v>0</v>
      </c>
      <c r="GS75" s="155">
        <f>_xlfn.MAXIFS(LandEmiss!$H$335:$H$434,LandEmiss!$A$335:$A$434,$FG75)*IFERROR($QR$27,0)</f>
        <v>0</v>
      </c>
      <c r="GT75" s="155">
        <f>(_xlfn.MAXIFS(LandEmiss!$BK$335:$BK$434,LandEmiss!$BQ$335:$BQ$434,$FG75)+_xlfn.MAXIFS(LandEmiss!$EB$323:$EB$422,LandEmiss!$DU$323:$DU$422,$FG75))*IFERROR($QR$27,0)</f>
        <v>0</v>
      </c>
      <c r="GU75" s="155">
        <f>_xlfn.MAXIFS(LandEmiss!$J$335:$J$434,LandEmiss!$A$335:$A$434,$FG75)*IFERROR($QR$26,0)</f>
        <v>0</v>
      </c>
      <c r="GV75" s="155">
        <f>(_xlfn.MAXIFS(LandEmiss!$BK$335:$BK$434,LandEmiss!$BS$335:$BS$434,$FG75)+_xlfn.MAXIFS(LandEmiss!$ED$323:$ED$422,LandEmiss!$DU$323:$DU$422,$FG75))*IFERROR($QR$26,0)</f>
        <v>0</v>
      </c>
      <c r="GW75" s="155">
        <f>_xlfn.MAXIFS(LandEmiss!$L$335:$L$434,LandEmiss!$A$335:$A$434,$FG75)*IFERROR($QR$25,0)</f>
        <v>0</v>
      </c>
      <c r="GX75" s="155">
        <f>(_xlfn.MAXIFS(LandEmiss!$BK$335:$BK$434,LandEmiss!$BU$335:$BU$434,$FG75)+_xlfn.MAXIFS(LandEmiss!$EF$323:$EF$422,LandEmiss!$DU$323:$DU$422,$FG75))*IFERROR($QR$25,0)</f>
        <v>0</v>
      </c>
      <c r="GY75" s="155">
        <v>0</v>
      </c>
      <c r="GZ75" s="155">
        <v>0</v>
      </c>
      <c r="HA75" s="155">
        <f>IF(OR(HeaterBoiler1!$E$26&lt;&gt;"fuel gas",HeaterBoiler1!$E$15&lt;&gt;"heater"),0,SUMIF(HeaterBoiler1!$A$54:$D$63,$FG75,HeaterBoiler1!$I$54:$I$63))*IFERROR($QR$19,0)</f>
        <v>0</v>
      </c>
      <c r="HB75" s="207">
        <f>IF(OR(HeaterBoiler2!$E$26&lt;&gt;"fuel gas",HeaterBoiler2!$E$15&lt;&gt;"heater"),0,SUMIF(HeaterBoiler2!$A$54:$D$63,$FG75,HeaterBoiler2!$I$54:$I$63))*IFERROR($QR$21,0)</f>
        <v>0</v>
      </c>
      <c r="HC75" s="155">
        <f>IF(OR(HeaterBoiler1!$E$26&lt;&gt;"fuel gas",HeaterBoiler1!$E$15&lt;&gt;"boiler"),0,SUMIF(HeaterBoiler1!$A$41:$A$50,$FG75,HeaterBoiler1!$F$41:$F$50))*IFERROR($QR$20,0)</f>
        <v>0</v>
      </c>
      <c r="HD75" s="207">
        <f>IF(OR(HeaterBoiler2!$E$26&lt;&gt;"fuel gas",HeaterBoiler2!$E$15&lt;&gt;"boiler"),0,SUMIF(HeaterBoiler2!$A$41:$A$50,$FG75,HeaterBoiler2!$F$41:$F$50))*IFERROR($QR$22,0)</f>
        <v>0</v>
      </c>
      <c r="HE75" s="155">
        <f>SUMIF(Fug!$A$96:$A$205,$FG75,Fug!$I$96:$I$205)*IFERROR(Hidden!$QR$23,0)</f>
        <v>0</v>
      </c>
      <c r="HF75" s="155">
        <f t="shared" si="46"/>
        <v>0</v>
      </c>
      <c r="HG75" s="156">
        <f t="shared" si="47"/>
        <v>0</v>
      </c>
      <c r="HH75" s="156">
        <f t="shared" si="48"/>
        <v>0</v>
      </c>
      <c r="HI75" s="156">
        <f t="shared" si="49"/>
        <v>0</v>
      </c>
      <c r="HJ75" s="156">
        <f t="shared" si="50"/>
        <v>0</v>
      </c>
      <c r="HK75" s="156">
        <f t="shared" si="51"/>
        <v>0</v>
      </c>
      <c r="HL75" s="156">
        <f t="shared" si="52"/>
        <v>0</v>
      </c>
      <c r="NO75" s="155">
        <f>IF(Tank1!$D$22="No control",(SUMIF(Tank1!$E$32:$E$141,$FG75,Tank1!$H$32:$H$141)*(2000/8760)*IFERROR($QV$3,0)),0)</f>
        <v>0</v>
      </c>
      <c r="NP75" s="156">
        <f>SUMIF(LandEmiss!$AE$20:$AE$119,$FG75,LandEmiss!$AK$20:$AK$119)*(2000/8760)*IFERROR($QV$3,0)</f>
        <v>0</v>
      </c>
      <c r="NQ75" s="156">
        <f>(SUMIF(LandEmiss!$CN$20:$CN$119,$FG75,LandEmiss!$CT$20:$CT$119)+SUMIF(LandEmiss!$EY$9:$EY$108,$FG75,LandEmiss!$FE$9:$FE$108))*IFERROR($QV$3,0)*(2000/8760)</f>
        <v>0</v>
      </c>
      <c r="NR75" s="155">
        <f>IF(Tank2!$D$22="No control",(SUMIF(Tank2!$E$32:$E$141,$FG75,Tank2!$H$32:$H$141)*(2000/8760)*IFERROR($QV$4,0)),0)</f>
        <v>0</v>
      </c>
      <c r="NS75" s="156">
        <f>SUMIF(LandEmiss!$AE$20:$AE$119,$FG75,LandEmiss!$AL$20:$AL$119)*(2000/8760)*IFERROR($QV$4,0)</f>
        <v>0</v>
      </c>
      <c r="NT75" s="156">
        <f>(SUMIF(LandEmiss!$CN$20:$CN$119,$FG75,LandEmiss!$CU$20:$CU$119)+SUMIF(LandEmiss!$EY$9:$EY$108,$FG75,LandEmiss!$FF$9:$FF$108))*IFERROR($QV$4,0)*(2000/8760)</f>
        <v>0</v>
      </c>
      <c r="NU75" s="155">
        <f>IF(Tank3!$D$22="No control",(SUMIF(Tank3!$E$32:$E$141,$FG75,Tank3!$H$32:$H$141)*(2000/8760)*IFERROR($QV$5,0)),0)</f>
        <v>0</v>
      </c>
      <c r="NV75" s="156">
        <f>SUMIF(LandEmiss!$AE$20:$AE$119,$FG75,LandEmiss!$AM$20:$AM$119)*(2000/8760)*IFERROR($QV$5,0)</f>
        <v>0</v>
      </c>
      <c r="NW75" s="156">
        <f>(SUMIF(LandEmiss!$CN$20:$CN$119,$FG75,LandEmiss!$CV$20:$CV$119)+SUMIF(LandEmiss!$EY$9:$EY$108,$FG75,LandEmiss!$FG$9:$FG$108))*IFERROR($QV$5,0)*(2000/8760)</f>
        <v>0</v>
      </c>
      <c r="NX75" s="155">
        <f>IF(Tank4!$D$22="No control",(SUMIF(Tank4!$E$32:$E$141,$FG75,Tank4!$H$32:$H$141)*(2000/8760)*IFERROR($QV$6,0)),0)</f>
        <v>0</v>
      </c>
      <c r="NY75" s="156">
        <f>SUMIF(LandEmiss!$AE$20:$AE$119,$FG75,LandEmiss!$AN$20:$AN$119)*(2000/8760)*IFERROR($QV$6,0)</f>
        <v>0</v>
      </c>
      <c r="NZ75" s="156">
        <f>(SUMIF(LandEmiss!$CN$20:$CN$119,$FG75,LandEmiss!$CW$20:$CW$119)+SUMIF(LandEmiss!$EY$9:$EY$108,$FG75,LandEmiss!$FH$9:$FH$108))*IFERROR($QV$6,0)*(2000/8760)</f>
        <v>0</v>
      </c>
      <c r="OA75" s="155">
        <f>IF(Tank5!$D$22="No control",(SUMIF(Tank5!$E$32:$E$141,$FG75,Tank5!$H$32:$H$141)*(2000/8760)*IFERROR($QV$7,0)),0)</f>
        <v>0</v>
      </c>
      <c r="OB75" s="156">
        <f>SUMIF(LandEmiss!$AE$20:$AE$119,$FG75,LandEmiss!$AO$20:$AO$119)*(2000/8760)*IFERROR($QV$7,0)</f>
        <v>0</v>
      </c>
      <c r="OC75" s="156">
        <f>(SUMIF(LandEmiss!$CN$20:$CN$119,$FG75,LandEmiss!$CX$20:$CX$119)+SUMIF(LandEmiss!$EY$9:$EY$108,$FG75,LandEmiss!$FI$9:$FI$108))*IFERROR($QV$7,0)*(2000/8760)</f>
        <v>0</v>
      </c>
      <c r="OD75" s="155">
        <f>SUMIFS('Load-DrumTote'!$L$27:$L$136,'Load-DrumTote'!$F$27:$F$136,$FG75)*IFERROR($QV$8,0)*(2000/8760)</f>
        <v>0</v>
      </c>
      <c r="OE75" s="155">
        <f>SUMIFS('Load-Truck'!$L$27:$L$136,'Load-Truck'!$F$27:$F$136,$FG75)*IFERROR($QV$9,0)*(2000/8760)</f>
        <v>0</v>
      </c>
      <c r="OF75" s="155">
        <f>SUMIFS('Load-Rail'!$L$27:$L$136,'Load-Rail'!$F$27:$F$136,$FG75)*IFERROR($QV$10,0)*(2000/8760)</f>
        <v>0</v>
      </c>
      <c r="OG75" s="155">
        <f>SUMIFS('Load-MarineBarge'!$L$27:$L$136,'Load-MarineBarge'!$F$27:$F$136,$FG75)*IFERROR($QV$11,0)*(2000/8760)</f>
        <v>0</v>
      </c>
      <c r="OH75" s="155">
        <f>SUMIFS('Load-MarineShip'!$L$27:$L$136,'Load-MarineShip'!$F$27:$F$136,$FG75)*IFERROR($QV$12,0)*(2000/8760)</f>
        <v>0</v>
      </c>
      <c r="OI75" s="155">
        <f>(IF(OR(Flare!$D$24="FUEL GAS",Flare!$D$38="FUEL GAS"),SUMIF(Flare!$E$97:$E$106,$FG75,Flare!$G$97:$G$105),0)+SUMIF(Flare!$E$107:$E$216,$FG75,Flare!$G$107:$G$216))*(2000/8730)*IFERROR($QV$13,0)</f>
        <v>0</v>
      </c>
      <c r="OJ75" s="155">
        <f>SUMIF(LandEmiss!$A$335:$A$434,$FG75,LandEmiss!$C$335:$C$434)*(2000/8760)*IFERROR($QV$13,0)</f>
        <v>0</v>
      </c>
      <c r="OK75" s="155">
        <f>(SUMIF(LandEmiss!$BJ$335:$BJ$434,$FG75,LandEmiss!$BL$335:$BL$434)+SUMIF(LandEmiss!$DU$323:$DU$422,$FG75,LandEmiss!$DW$323:$DW$422))*(2000/8760)*IFERROR($QV$13,0)</f>
        <v>0</v>
      </c>
      <c r="OL75" s="155">
        <f>(IF(OR(VCU!$D$26="FUEL GAS",VCU!$D$42="FUEL GAS"),SUMIF(VCU!$E$120:$E$129,$FG75,VCU!$G$120:$G$129),0)+SUMIF(VCU!$E$130:$E$239,$FG75,VCU!G203:G312))*(2000/8760)*IFERROR($QV$14,0)</f>
        <v>0</v>
      </c>
      <c r="OM75" s="155">
        <f>SUMIF(LandEmiss!$A$335:$A$434,$FG75,LandEmiss!$E$335:$E$434)*(2000/8760)*IFERROR($QV$14,0)</f>
        <v>0</v>
      </c>
      <c r="ON75" s="155">
        <f>(SUMIF(LandEmiss!$BJ$335:$BJ$434,$FG75,LandEmiss!$BN$335:$BN$434)+SUMIF(LandEmiss!$DU$323:$DU$422,$FG75,LandEmiss!$DY$323:$DY$422))*(2000/8760)*IFERROR($QV$14,0)</f>
        <v>0</v>
      </c>
      <c r="OO75" s="155">
        <f>(IF(VaporOxidizer!$D$33="FUEL GAS",SUMIF(VaporOxidizer!$E$101:$E$110,$FG75,VaporOxidizer!$G$101:$G$110),0)+SUMIF(VaporOxidizer!$E$111:$E$220,$FG75,VaporOxidizer!$G$111:$G$220))*(2000/8760)*IFERROR($QV$15,0)</f>
        <v>0</v>
      </c>
      <c r="OP75" s="155">
        <f>SUMIF(LandEmiss!$A$335:$A$434,$FG75,LandEmiss!$G$335:$G$434)*(2000/8760)*IFERROR($QV$15,0)</f>
        <v>0</v>
      </c>
      <c r="OQ75" s="155">
        <f>(SUMIF(LandEmiss!$BJ$335:$BJ$434,$FG75,LandEmiss!$BP$335:$BP$434)+SUMIF(LandEmiss!$DU$323:$DU$422,$FG75,LandEmiss!$EA$323:$EA$422))*(2000/8760)*IFERROR($QV$15,0)</f>
        <v>0</v>
      </c>
      <c r="OR75" s="155">
        <f>SUMIF(CAS!$E$35:$E$144,Hidden!$FG75,CAS!$I$35:$I$144)*IFERROR($QV$16,0)*(2000/8760)</f>
        <v>0</v>
      </c>
      <c r="OS75" s="155">
        <f>SUMIF(LandEmiss!$A$335:$A$434,$FG75,LandEmiss!$I$335:$I$434)*(2000/8760)*IFERROR($QV$27,0)</f>
        <v>0</v>
      </c>
      <c r="OT75" s="155">
        <f>(SUMIF(LandEmiss!$BJ$335:$BJ$434,$FG75,LandEmiss!$BR$335:$BR$434)+SUMIF(LandEmiss!$DU$323:$DU$422,$FG75,LandEmiss!$EC$323:$EC$422))*(2000/8760)*IFERROR($QV$27,0)</f>
        <v>0</v>
      </c>
      <c r="OU75" s="155">
        <f>SUMIF(LandEmiss!$A$335:$A$434,$FG75,LandEmiss!$K$335:$K$434)*(2000/8760)*IFERROR($QV$26,0)</f>
        <v>0</v>
      </c>
      <c r="OV75" s="155">
        <f>(SUMIF(LandEmiss!$BJ$335:$BJ$434,$FG75,LandEmiss!$BT$335:$BT$434)+SUMIF(LandEmiss!$DU$323:$DU$422,$FG75,LandEmiss!$EE$323:$EE$422))*(2000/8760)*IFERROR($QV$26,0)</f>
        <v>0</v>
      </c>
      <c r="OW75" s="155">
        <f>SUMIF(LandEmiss!$A$335:$A$434,$FG75,LandEmiss!$M$335:$M$434)*(2000/8760)*IFERROR($QV$25,0)</f>
        <v>0</v>
      </c>
      <c r="OX75" s="155">
        <f>(SUMIF(LandEmiss!$BJ$335:$BJ$434,$FG75,LandEmiss!$BV$335:$BV$434)+SUMIF(LandEmiss!$DU$323:$DU$422,$FG75,LandEmiss!$EG$323:$EG$422))*(2000/8760)*IFERROR($QV$25,0)</f>
        <v>0</v>
      </c>
      <c r="OY75" s="8">
        <v>0</v>
      </c>
      <c r="OZ75" s="207">
        <v>0</v>
      </c>
      <c r="PA75" s="207">
        <f>IF(OR(HeaterBoiler1!$E$26&lt;&gt;"fuel gas",HeaterBoiler1!$E$15&lt;&gt;"heater"),0,(SUMIF(HeaterBoiler1!$A$54:$D$63,$FG75,HeaterBoiler1!$J$54:$J$63))*(2000/8760))*IFERROR($QV$19,0)</f>
        <v>0</v>
      </c>
      <c r="PB75" s="207">
        <f>IF(OR(HeaterBoiler2!$E$26&lt;&gt;"fuel gas",HeaterBoiler2!$E$15&lt;&gt;"heater"),0,(SUMIF(HeaterBoiler2!$A$54:$D$63,$FG75,HeaterBoiler2!$J$54:$J$63))*(2000/8760))*IFERROR($QV$21,0)</f>
        <v>0</v>
      </c>
      <c r="PC75" s="207">
        <f>IF(OR(HeaterBoiler1!$E$26&lt;&gt;"fuel gas",HeaterBoiler1!$E$15&lt;&gt;"boiler"),0,(SUMIF(HeaterBoiler1!$A$54:$D$63,$FG75,HeaterBoiler1!$J$54:$J$63))*(2000/8760))*IFERROR($QV$20,0)</f>
        <v>0</v>
      </c>
      <c r="PD75" s="207">
        <f>IF(OR(HeaterBoiler2!$E$26&lt;&gt;"fuel gas",HeaterBoiler2!$E$15&lt;&gt;"boiler"),0,(SUMIF(HeaterBoiler2!$A$54:$D$63,$FG75,HeaterBoiler2!$J$54:$J$63))*(2000/8760))*IFERROR($QV$22,0)</f>
        <v>0</v>
      </c>
      <c r="PE75" s="8">
        <f>(SUMIF(Fug!$A$96:$A$205,$FG75,Fug!$J$96:$J$205))*IFERROR($QV$23,0)*(2000/8760)</f>
        <v>0</v>
      </c>
      <c r="PF75" s="8">
        <f t="shared" si="53"/>
        <v>0</v>
      </c>
      <c r="PG75" s="156">
        <f t="shared" si="54"/>
        <v>0</v>
      </c>
      <c r="QX75" s="89" t="s">
        <v>9321</v>
      </c>
      <c r="QY75">
        <v>3.03</v>
      </c>
      <c r="QZ75">
        <v>3.03</v>
      </c>
      <c r="RA75">
        <v>3.03</v>
      </c>
      <c r="RB75">
        <v>3.03</v>
      </c>
      <c r="RC75">
        <v>3.03</v>
      </c>
      <c r="RD75">
        <v>3.03</v>
      </c>
      <c r="RE75">
        <v>3.03</v>
      </c>
      <c r="RF75">
        <v>2.31</v>
      </c>
      <c r="RG75" s="90">
        <v>1.78</v>
      </c>
      <c r="RH75" s="89" t="s">
        <v>9321</v>
      </c>
      <c r="RI75">
        <v>2.37</v>
      </c>
      <c r="RJ75">
        <v>2.37</v>
      </c>
      <c r="RK75">
        <v>2.37</v>
      </c>
      <c r="RL75">
        <v>2.37</v>
      </c>
      <c r="RM75">
        <v>2.37</v>
      </c>
      <c r="RN75">
        <v>2.37</v>
      </c>
      <c r="RO75">
        <v>2.37</v>
      </c>
      <c r="RP75">
        <v>2.25</v>
      </c>
      <c r="RQ75" s="90">
        <v>1.78</v>
      </c>
      <c r="RR75" s="89" t="s">
        <v>9321</v>
      </c>
      <c r="RS75">
        <v>2.11</v>
      </c>
      <c r="RT75">
        <v>2.11</v>
      </c>
      <c r="RU75">
        <v>2.11</v>
      </c>
      <c r="RV75">
        <v>2.11</v>
      </c>
      <c r="RW75">
        <v>2.11</v>
      </c>
      <c r="RX75">
        <v>2.11</v>
      </c>
      <c r="RY75">
        <v>2.11</v>
      </c>
      <c r="RZ75">
        <v>2.0099999999999998</v>
      </c>
      <c r="SA75" s="90">
        <v>1.65</v>
      </c>
      <c r="SB75" s="89" t="s">
        <v>9321</v>
      </c>
      <c r="SC75">
        <v>1.38</v>
      </c>
      <c r="SD75">
        <v>1.38</v>
      </c>
      <c r="SE75">
        <v>1.38</v>
      </c>
      <c r="SF75">
        <v>1.38</v>
      </c>
      <c r="SG75">
        <v>1.38</v>
      </c>
      <c r="SH75">
        <v>1.38</v>
      </c>
      <c r="SI75">
        <v>1.38</v>
      </c>
      <c r="SJ75">
        <v>1.38</v>
      </c>
      <c r="SK75" s="90">
        <v>1.27</v>
      </c>
      <c r="SL75" s="89" t="s">
        <v>9321</v>
      </c>
      <c r="SM75">
        <v>0.13</v>
      </c>
      <c r="SN75">
        <v>0.13</v>
      </c>
      <c r="SO75">
        <v>0.13</v>
      </c>
      <c r="SP75">
        <v>0.13</v>
      </c>
      <c r="SQ75">
        <v>0.13</v>
      </c>
      <c r="SR75">
        <v>0.13</v>
      </c>
      <c r="SS75">
        <v>0.13</v>
      </c>
      <c r="ST75">
        <v>0.13</v>
      </c>
      <c r="SU75" s="90">
        <v>0.13</v>
      </c>
    </row>
    <row r="76" spans="23:515" ht="74.25" customHeight="1" x14ac:dyDescent="0.2">
      <c r="W76">
        <f>IF(OR(X76=0,ISNUMBER(MATCH(X76,$X$1:X75,0))),0,MAX($W$1:W75)+1)</f>
        <v>0</v>
      </c>
      <c r="X76" s="123">
        <f>Products!$E123</f>
        <v>0</v>
      </c>
      <c r="Y76" t="str">
        <f t="shared" si="42"/>
        <v/>
      </c>
      <c r="CA76">
        <f>IF(OR(CB76=0,ISNUMBER(MATCH(CB76,$CB$1:CB75,0))),0,MAX($CA$1:CA75)+1)</f>
        <v>0</v>
      </c>
      <c r="CB76" s="8">
        <f>IF(OR(Tank1!$D$18="EXTERNAL FLOATING ROOF",Tank1!$D$18="INTERNAL FLOATING ROOF"),IF(Tank1!$E106="",0,Tank1!$E106),0)</f>
        <v>0</v>
      </c>
      <c r="CC76" s="8" t="str">
        <f t="shared" si="43"/>
        <v/>
      </c>
      <c r="CD76" s="8"/>
      <c r="CE76" s="8">
        <f>IF(OR(CF76=0,ISNUMBER(MATCH(CF76,$CF$1:CF75,0))),0,MAX($CE$1:CE75)+1)</f>
        <v>0</v>
      </c>
      <c r="CF76" s="8">
        <f>IF(OR(Tank1!$D$18="HORIZONTAL FIXED ROOF",Tank1!$D$18="VERTICAL FIXED ROOF"),IF(Tank1!$E106="",0,Tank1!$E106),0)</f>
        <v>0</v>
      </c>
      <c r="CG76" s="8" t="str">
        <f t="shared" si="44"/>
        <v/>
      </c>
      <c r="DM76">
        <f>IF(OR(DN76=0,ISNUMBER(MATCH(DN76,$DN$1:DN75,0))),0,MAX($DM$1:DM75)+1)</f>
        <v>0</v>
      </c>
      <c r="DN76">
        <f>IF('Load-Rail'!$F$19="Flare",IFERROR(VLOOKUP(Products!$A$99,'Load-Rail'!$A$27:$B$136,1,FALSE),0),0)</f>
        <v>0</v>
      </c>
      <c r="DO76">
        <f>IF($DN76=0,0,VLOOKUP($DN76,'Load-Rail'!$A$27:$N$136,13,FALSE))</f>
        <v>0</v>
      </c>
      <c r="DP76">
        <f>IF($DN76=0,0,VLOOKUP($DN76,'Load-Rail'!$A$27:$N$136,14,FALSE))</f>
        <v>0</v>
      </c>
      <c r="DU76">
        <f>IF(OR(DV76=0,ISNUMBER(MATCH(DV76,$DV$1:DV75,0))),0,MAX($DU$1:DU75)+1)</f>
        <v>0</v>
      </c>
      <c r="DV76">
        <f>IF('Load-Rail'!$F$19="VCU",IFERROR(VLOOKUP(Products!$A$99,'Load-Rail'!$A$27:$B$136,1,FALSE),0),0)</f>
        <v>0</v>
      </c>
      <c r="DW76">
        <f>IF($DV76=0,0,VLOOKUP($DV76,'Load-Rail'!$A$27:$N$136,13,FALSE))</f>
        <v>0</v>
      </c>
      <c r="DX76">
        <f>IF($DV76=0,0,VLOOKUP($DV76,'Load-Rail'!$A$27:$N$136,14,FALSE))</f>
        <v>0</v>
      </c>
      <c r="EC76">
        <f>IF(OR(ED76=0,ISNUMBER(MATCH(ED76,$ED$1:ED75,0))),0,MAX($EC$1:EC75)+1)</f>
        <v>0</v>
      </c>
      <c r="ED76">
        <f>IF('Load-Rail'!$F$19="vapor oxidizer",IFERROR(VLOOKUP(Products!$A$99,'Load-Rail'!$A$27:$B$136,1,FALSE),0),0)</f>
        <v>0</v>
      </c>
      <c r="EE76">
        <f>IF($ED76=0,0,VLOOKUP($ED76,'Load-Rail'!$A$27:$N$136,13,FALSE))</f>
        <v>0</v>
      </c>
      <c r="EF76">
        <f>IF($ED76=0,0,VLOOKUP($ED76,'Load-Rail'!$A$27:$N$136,14,FALSE))</f>
        <v>0</v>
      </c>
      <c r="EK76">
        <f>IF(OR(EL76=0,ISNUMBER(MATCH(EL76,$EL$1:EL75,0))),0,MAX($EK$1:EK75)+1)</f>
        <v>0</v>
      </c>
      <c r="EL76">
        <f>IF('Load-Rail'!$F$19="CAS",IFERROR(VLOOKUP(Products!A99,'Load-Rail'!$A$27:$B$136,1,FALSE),0),0)</f>
        <v>0</v>
      </c>
      <c r="EM76">
        <f>IF($EL76=0,0,VLOOKUP($EL76,'Load-Rail'!$A$27:$N$136,13,FALSE))</f>
        <v>0</v>
      </c>
      <c r="EN76">
        <f>IF($EL76=0,0,VLOOKUP($EL76,'Load-Rail'!$A$27:$N$136,14,FALSE))</f>
        <v>0</v>
      </c>
      <c r="FB76" s="8" t="s">
        <v>499</v>
      </c>
      <c r="FC76" s="8" t="s">
        <v>500</v>
      </c>
      <c r="FD76" s="8">
        <v>30</v>
      </c>
      <c r="FE76" s="8">
        <v>3</v>
      </c>
      <c r="FG76" s="360" t="str">
        <f t="shared" si="45"/>
        <v/>
      </c>
      <c r="FH76" s="155">
        <f>IF(Tank1!$D$22="NO CONTROL",_xlfn.MAXIFS(Tank1!$G$32:$G$141,Tank1!$E$32:$E$141,$FG76),0)*IFERROR($QR$3,0)</f>
        <v>0</v>
      </c>
      <c r="FI76" s="155">
        <f>_xlfn.MAXIFS(LandEmiss!$AF$20:$AF$119,LandEmiss!$AE$20:$AE$119,$FG76)*IFERROR($QR$3,0)</f>
        <v>0</v>
      </c>
      <c r="FJ76" s="155">
        <f>MAX(_xlfn.MAXIFS(LandEmiss!$CO$20:$CO$119,LandEmiss!$CN$20:$CN$119,$FG76),_xlfn.MAXIFS(LandEmiss!$EZ$9:$EZ$108,LandEmiss!$EY$9:$EY$108,$FG76))*IFERROR($QR$3,0)</f>
        <v>0</v>
      </c>
      <c r="FK76" s="155">
        <f>IF(Tank2!$D$22="NO CONTROL",_xlfn.MAXIFS(Tank2!$G$32:$G$141,Tank2!$E$32:$E$141,$FG76),0)*IFERROR($QR$4,0)</f>
        <v>0</v>
      </c>
      <c r="FL76" s="155">
        <f>_xlfn.MAXIFS(LandEmiss!$AG$20:$AG$119,LandEmiss!$AE$20:$AE$119,$FG76)*IFERROR($QR$4,0)</f>
        <v>0</v>
      </c>
      <c r="FM76" s="155">
        <f>MAX(_xlfn.MAXIFS(LandEmiss!$CP$20:$CP$119,LandEmiss!$CN$20:$CN$119,$FG76),_xlfn.MAXIFS(LandEmiss!$FA$9:$FA$108,LandEmiss!$EY$9:$EY$108,$FG76))*IFERROR($QR$4,0)</f>
        <v>0</v>
      </c>
      <c r="FN76" s="155">
        <f>IF(Tank3!$D$22="NO CONTROL",_xlfn.MAXIFS(Tank3!$G$32:$G$141,Tank3!$E$32:$E$141,$FG76),0)*IFERROR($QR$5,0)</f>
        <v>0</v>
      </c>
      <c r="FO76" s="155">
        <f>_xlfn.MAXIFS(LandEmiss!$AH$20:$AH$119,LandEmiss!$AE$20:$AE$119,$FG76)*IFERROR($QR$5,0)</f>
        <v>0</v>
      </c>
      <c r="FP76" s="155">
        <f>MAX(_xlfn.MAXIFS(LandEmiss!$CQ$20:$CQ$119,LandEmiss!$CN$20:$CN$119,$FG76),_xlfn.MAXIFS(LandEmiss!$FB$9:$FB$108,LandEmiss!$EY$9:$EY$108,$FG76))*IFERROR($QR$5,0)</f>
        <v>0</v>
      </c>
      <c r="FQ76" s="155">
        <f>IF(Tank4!$D$22="NO CONTROL",_xlfn.MAXIFS(Tank4!$G$32:$G$141,Tank4!$E$32:$E$141,$FG76),0)*IFERROR($QR$6,0)</f>
        <v>0</v>
      </c>
      <c r="FR76" s="155">
        <f>_xlfn.MAXIFS(LandEmiss!$AI$20:$AI$119,LandEmiss!$AE$20:$AE$119,$FG76)*IFERROR($QR$6,0)</f>
        <v>0</v>
      </c>
      <c r="FS76" s="155">
        <f>MAX(_xlfn.MAXIFS(LandEmiss!$CR$20:$CR$119,LandEmiss!$CN$20:$CN$119,$FG76),_xlfn.MAXIFS(LandEmiss!$FC$9:$FC$108,LandEmiss!$EY$9:$EY$108,$FG76))*IFERROR($QR$6,0)</f>
        <v>0</v>
      </c>
      <c r="FT76" s="155">
        <f>IF(Tank5!$D$22="NO CONTROL",_xlfn.MAXIFS(Tank5!$G$32:$G$141,Tank5!$E$32:$E$141,$FG76),0)*IFERROR($QR$7,0)</f>
        <v>0</v>
      </c>
      <c r="FU76" s="155">
        <f>_xlfn.MAXIFS(LandEmiss!$AJ$20:$AJ$119,LandEmiss!$AE$20:$AE$119,$FG76)*IFERROR($QR$7,0)</f>
        <v>0</v>
      </c>
      <c r="FV76" s="155">
        <f>MAX(_xlfn.MAXIFS(LandEmiss!$CS$20:$CS$119,LandEmiss!$CN$20:$CN$119,$FG76),_xlfn.MAXIFS(LandEmiss!$FD$9:$FD$108,LandEmiss!$EY$9:$EY$108,$FG76))*IFERROR($QR81,0)</f>
        <v>0</v>
      </c>
      <c r="FW76" s="155">
        <f>_xlfn.MAXIFS('Load-DrumTote'!$K$27:$K$136,'Load-DrumTote'!$F$27:$F$136,$FG76)*IFERROR($QR$8,0)</f>
        <v>0</v>
      </c>
      <c r="FX76" s="155">
        <f>_xlfn.MAXIFS('Load-Truck'!$K$27:$K$136,'Load-Truck'!$F$27:$F$136,$FG76)*IFERROR($QR$9,0)</f>
        <v>0</v>
      </c>
      <c r="FY76" s="155">
        <f>_xlfn.MAXIFS('Load-Rail'!$K$27:$K$136,'Load-Rail'!$F$27:$F$136,$FG76)*IFERROR($QR$10,0)</f>
        <v>0</v>
      </c>
      <c r="FZ76" s="155">
        <f>_xlfn.MAXIFS('Load-MarineBarge'!$K$27:$K$136,'Load-MarineBarge'!$F$27:$F$136,$FG76)*IFERROR($QR$11,0)</f>
        <v>0</v>
      </c>
      <c r="GA76" s="155">
        <f>_xlfn.MAXIFS('Load-MarineShip'!$K$27:$K$136,'Load-MarineShip'!$F$27:$F$136,$FG76)*IFERROR($QR$12,0)</f>
        <v>0</v>
      </c>
      <c r="GB76" s="313">
        <f>IF(OR(Flare!$D$24="fuel gas",Flare!$D$38="fuel gas"),SUMIF(Flare!$E$97:$E$106,$FG76,Flare!$F$97:$F$106),0)*IFERROR($QR$13,0)</f>
        <v>0</v>
      </c>
      <c r="GC76" s="313">
        <f>(_xlfn.MAXIFS(CtrlDevImpacts!$I$57:$I$156,CtrlDevImpacts!$H$57:$H$156,$FG76))*IFERROR($QR$13,0)</f>
        <v>0</v>
      </c>
      <c r="GD76" s="313">
        <f>(_xlfn.MAXIFS(Flare!$F$107:$F$216,Flare!$E$107:$E$216,$FG76)-_xlfn.MAXIFS(CtrlDevImpacts!$I$57:$I$156,CtrlDevImpacts!$H$57:$H$156,$FG76))*IFERROR($QR$13,0)</f>
        <v>0</v>
      </c>
      <c r="GE76" s="155">
        <f>_xlfn.MAXIFS(LandEmiss!$B$335:$B$434,LandEmiss!$A$335:$A$434,$FG76)*IFERROR($QR$13,0)</f>
        <v>0</v>
      </c>
      <c r="GF76" s="155">
        <f>(_xlfn.MAXIFS(LandEmiss!$BK$335:$BK$434,LandEmiss!$BJ$335:$BJ$434,$FG76)+_xlfn.MAXIFS(LandEmiss!$DV$323:$DV$422,LandEmiss!$DU$323:$DU$422,$FG76))*IFERROR($QR$13,0)</f>
        <v>0</v>
      </c>
      <c r="GG76" s="313">
        <f>IF(OR(VCU!$D$26="fuel gas",VCU!$D$42="fuel gas"),SUMIF(VCU!$E$120:$E$129,$FG76,VCU!$F$120:$F$129),0)*IFERROR($QR$14,0)</f>
        <v>0</v>
      </c>
      <c r="GH76" s="313">
        <f>(_xlfn.MAXIFS(CtrlDevImpacts!$X$57:$X$156,CtrlDevImpacts!$W$57:$W$156,$FG76))*IFERROR($QR$14,0)</f>
        <v>0</v>
      </c>
      <c r="GI76" s="313">
        <f>(_xlfn.MAXIFS(VCU!$F$130:$F$239,VCU!$E$130:$E$239,$FG76)-_xlfn.MAXIFS(CtrlDevImpacts!$X$57:$X$156,CtrlDevImpacts!$W$57:$W$156,$FG76))*IFERROR($QR$14,0)</f>
        <v>0</v>
      </c>
      <c r="GJ76" s="155">
        <f>_xlfn.MAXIFS(LandEmiss!$D$335:$D$434,LandEmiss!$A$335:$A$434,$FG76)*IFERROR($QR$14,0)</f>
        <v>0</v>
      </c>
      <c r="GK76" s="155">
        <f>(_xlfn.MAXIFS(LandEmiss!$BM$335:$BM$434,LandEmiss!$BJ$335:$BJ$434,$FG76)+_xlfn.MAXIFS(LandEmiss!$DX$323:$DX$422,LandEmiss!$DU$323:$DU$422,$FG76))*IFERROR($QR$14,0)</f>
        <v>0</v>
      </c>
      <c r="GL76" s="313">
        <f>IF(VaporOxidizer!D107="FUEL GAS",SUMIF(VaporOxidizer!$E$101:$E$110,$FG76,VaporOxidizer!$F$101:$F$110),0)*IFERROR($QR$15,0)</f>
        <v>0</v>
      </c>
      <c r="GM76" s="313">
        <f>(_xlfn.MAXIFS(CtrlDevImpacts!$AN$57:$AN$156,CtrlDevImpacts!$AM$57:$AM$156,$FG76))*IFERROR($QR$15,0)</f>
        <v>0</v>
      </c>
      <c r="GN76" s="313">
        <f>(_xlfn.MAXIFS(VaporOxidizer!$F$111:$F$220,VaporOxidizer!$E$111:$E$220,$FG76)-_xlfn.MAXIFS(CtrlDevImpacts!$AN$57:$AN$156,CtrlDevImpacts!$AM$57:$AM$156,$FG76))*IFERROR($QR$15,0)</f>
        <v>0</v>
      </c>
      <c r="GO76" s="155">
        <f>_xlfn.MAXIFS(LandEmiss!$F$335:$F$434,LandEmiss!$A$335:$A$434,$FG76)*IFERROR($QR$15,0)</f>
        <v>0</v>
      </c>
      <c r="GP76" s="155">
        <f>(_xlfn.MAXIFS(LandEmiss!$BK$335:$BK$434,LandEmiss!$BO$335:$BO$434,$FG76)+_xlfn.MAXIFS(LandEmiss!$DZ$323:$DZ$422,LandEmiss!$DU$323:$DU$422,$FG76))*IFERROR($QR$15,0)</f>
        <v>0</v>
      </c>
      <c r="GQ76" s="313">
        <f>_xlfn.MAXIFS(CtrlDevImpacts!$BD$57:$BD$156,CtrlDevImpacts!$BC$57:$BC$156,$FG76)*IFERROR(Hidden!$QR$16,0)</f>
        <v>0</v>
      </c>
      <c r="GR76" s="313">
        <f>(_xlfn.MAXIFS(CAS!$H$35:$H$144,CAS!$E$35:$E$144,$FG76)-_xlfn.MAXIFS(CtrlDevImpacts!$BD$57:$BD$156,CtrlDevImpacts!$BC$57:$BC$156,$FG76))*IFERROR(Hidden!$QR$16,0)</f>
        <v>0</v>
      </c>
      <c r="GS76" s="155">
        <f>_xlfn.MAXIFS(LandEmiss!$H$335:$H$434,LandEmiss!$A$335:$A$434,$FG76)*IFERROR($QR$27,0)</f>
        <v>0</v>
      </c>
      <c r="GT76" s="155">
        <f>(_xlfn.MAXIFS(LandEmiss!$BK$335:$BK$434,LandEmiss!$BQ$335:$BQ$434,$FG76)+_xlfn.MAXIFS(LandEmiss!$EB$323:$EB$422,LandEmiss!$DU$323:$DU$422,$FG76))*IFERROR($QR$27,0)</f>
        <v>0</v>
      </c>
      <c r="GU76" s="155">
        <f>_xlfn.MAXIFS(LandEmiss!$J$335:$J$434,LandEmiss!$A$335:$A$434,$FG76)*IFERROR($QR$26,0)</f>
        <v>0</v>
      </c>
      <c r="GV76" s="155">
        <f>(_xlfn.MAXIFS(LandEmiss!$BK$335:$BK$434,LandEmiss!$BS$335:$BS$434,$FG76)+_xlfn.MAXIFS(LandEmiss!$ED$323:$ED$422,LandEmiss!$DU$323:$DU$422,$FG76))*IFERROR($QR$26,0)</f>
        <v>0</v>
      </c>
      <c r="GW76" s="155">
        <f>_xlfn.MAXIFS(LandEmiss!$L$335:$L$434,LandEmiss!$A$335:$A$434,$FG76)*IFERROR($QR$25,0)</f>
        <v>0</v>
      </c>
      <c r="GX76" s="155">
        <f>(_xlfn.MAXIFS(LandEmiss!$BK$335:$BK$434,LandEmiss!$BU$335:$BU$434,$FG76)+_xlfn.MAXIFS(LandEmiss!$EF$323:$EF$422,LandEmiss!$DU$323:$DU$422,$FG76))*IFERROR($QR$25,0)</f>
        <v>0</v>
      </c>
      <c r="GY76" s="155">
        <v>0</v>
      </c>
      <c r="GZ76" s="155">
        <v>0</v>
      </c>
      <c r="HA76" s="155">
        <f>IF(OR(HeaterBoiler1!$E$26&lt;&gt;"fuel gas",HeaterBoiler1!$E$15&lt;&gt;"heater"),0,SUMIF(HeaterBoiler1!$A$54:$D$63,$FG76,HeaterBoiler1!$I$54:$I$63))*IFERROR($QR$19,0)</f>
        <v>0</v>
      </c>
      <c r="HB76" s="207">
        <f>IF(OR(HeaterBoiler2!$E$26&lt;&gt;"fuel gas",HeaterBoiler2!$E$15&lt;&gt;"heater"),0,SUMIF(HeaterBoiler2!$A$54:$D$63,$FG76,HeaterBoiler2!$I$54:$I$63))*IFERROR($QR$21,0)</f>
        <v>0</v>
      </c>
      <c r="HC76" s="155">
        <f>IF(OR(HeaterBoiler1!$E$26&lt;&gt;"fuel gas",HeaterBoiler1!$E$15&lt;&gt;"boiler"),0,SUMIF(HeaterBoiler1!$A$41:$A$50,$FG76,HeaterBoiler1!$F$41:$F$50))*IFERROR($QR$20,0)</f>
        <v>0</v>
      </c>
      <c r="HD76" s="207">
        <f>IF(OR(HeaterBoiler2!$E$26&lt;&gt;"fuel gas",HeaterBoiler2!$E$15&lt;&gt;"boiler"),0,SUMIF(HeaterBoiler2!$A$41:$A$50,$FG76,HeaterBoiler2!$F$41:$F$50))*IFERROR($QR$22,0)</f>
        <v>0</v>
      </c>
      <c r="HE76" s="155">
        <f>SUMIF(Fug!$A$96:$A$205,$FG76,Fug!$I$96:$I$205)*IFERROR(Hidden!$QR$23,0)</f>
        <v>0</v>
      </c>
      <c r="HF76" s="155">
        <f t="shared" si="46"/>
        <v>0</v>
      </c>
      <c r="HG76" s="156">
        <f t="shared" si="47"/>
        <v>0</v>
      </c>
      <c r="HH76" s="156">
        <f t="shared" si="48"/>
        <v>0</v>
      </c>
      <c r="HI76" s="156">
        <f t="shared" si="49"/>
        <v>0</v>
      </c>
      <c r="HJ76" s="156">
        <f t="shared" si="50"/>
        <v>0</v>
      </c>
      <c r="HK76" s="156">
        <f t="shared" si="51"/>
        <v>0</v>
      </c>
      <c r="HL76" s="156">
        <f t="shared" si="52"/>
        <v>0</v>
      </c>
      <c r="NO76" s="155">
        <f>IF(Tank1!$D$22="No control",(SUMIF(Tank1!$E$32:$E$141,$FG76,Tank1!$H$32:$H$141)*(2000/8760)*IFERROR($QV$3,0)),0)</f>
        <v>0</v>
      </c>
      <c r="NP76" s="156">
        <f>SUMIF(LandEmiss!$AE$20:$AE$119,$FG76,LandEmiss!$AK$20:$AK$119)*(2000/8760)*IFERROR($QV$3,0)</f>
        <v>0</v>
      </c>
      <c r="NQ76" s="156">
        <f>(SUMIF(LandEmiss!$CN$20:$CN$119,$FG76,LandEmiss!$CT$20:$CT$119)+SUMIF(LandEmiss!$EY$9:$EY$108,$FG76,LandEmiss!$FE$9:$FE$108))*IFERROR($QV$3,0)*(2000/8760)</f>
        <v>0</v>
      </c>
      <c r="NR76" s="155">
        <f>IF(Tank2!$D$22="No control",(SUMIF(Tank2!$E$32:$E$141,$FG76,Tank2!$H$32:$H$141)*(2000/8760)*IFERROR($QV$4,0)),0)</f>
        <v>0</v>
      </c>
      <c r="NS76" s="156">
        <f>SUMIF(LandEmiss!$AE$20:$AE$119,$FG76,LandEmiss!$AL$20:$AL$119)*(2000/8760)*IFERROR($QV$4,0)</f>
        <v>0</v>
      </c>
      <c r="NT76" s="156">
        <f>(SUMIF(LandEmiss!$CN$20:$CN$119,$FG76,LandEmiss!$CU$20:$CU$119)+SUMIF(LandEmiss!$EY$9:$EY$108,$FG76,LandEmiss!$FF$9:$FF$108))*IFERROR($QV$4,0)*(2000/8760)</f>
        <v>0</v>
      </c>
      <c r="NU76" s="155">
        <f>IF(Tank3!$D$22="No control",(SUMIF(Tank3!$E$32:$E$141,$FG76,Tank3!$H$32:$H$141)*(2000/8760)*IFERROR($QV$5,0)),0)</f>
        <v>0</v>
      </c>
      <c r="NV76" s="156">
        <f>SUMIF(LandEmiss!$AE$20:$AE$119,$FG76,LandEmiss!$AM$20:$AM$119)*(2000/8760)*IFERROR($QV$5,0)</f>
        <v>0</v>
      </c>
      <c r="NW76" s="156">
        <f>(SUMIF(LandEmiss!$CN$20:$CN$119,$FG76,LandEmiss!$CV$20:$CV$119)+SUMIF(LandEmiss!$EY$9:$EY$108,$FG76,LandEmiss!$FG$9:$FG$108))*IFERROR($QV$5,0)*(2000/8760)</f>
        <v>0</v>
      </c>
      <c r="NX76" s="155">
        <f>IF(Tank4!$D$22="No control",(SUMIF(Tank4!$E$32:$E$141,$FG76,Tank4!$H$32:$H$141)*(2000/8760)*IFERROR($QV$6,0)),0)</f>
        <v>0</v>
      </c>
      <c r="NY76" s="156">
        <f>SUMIF(LandEmiss!$AE$20:$AE$119,$FG76,LandEmiss!$AN$20:$AN$119)*(2000/8760)*IFERROR($QV$6,0)</f>
        <v>0</v>
      </c>
      <c r="NZ76" s="156">
        <f>(SUMIF(LandEmiss!$CN$20:$CN$119,$FG76,LandEmiss!$CW$20:$CW$119)+SUMIF(LandEmiss!$EY$9:$EY$108,$FG76,LandEmiss!$FH$9:$FH$108))*IFERROR($QV$6,0)*(2000/8760)</f>
        <v>0</v>
      </c>
      <c r="OA76" s="155">
        <f>IF(Tank5!$D$22="No control",(SUMIF(Tank5!$E$32:$E$141,$FG76,Tank5!$H$32:$H$141)*(2000/8760)*IFERROR($QV$7,0)),0)</f>
        <v>0</v>
      </c>
      <c r="OB76" s="156">
        <f>SUMIF(LandEmiss!$AE$20:$AE$119,$FG76,LandEmiss!$AO$20:$AO$119)*(2000/8760)*IFERROR($QV$7,0)</f>
        <v>0</v>
      </c>
      <c r="OC76" s="156">
        <f>(SUMIF(LandEmiss!$CN$20:$CN$119,$FG76,LandEmiss!$CX$20:$CX$119)+SUMIF(LandEmiss!$EY$9:$EY$108,$FG76,LandEmiss!$FI$9:$FI$108))*IFERROR($QV$7,0)*(2000/8760)</f>
        <v>0</v>
      </c>
      <c r="OD76" s="155">
        <f>SUMIFS('Load-DrumTote'!$L$27:$L$136,'Load-DrumTote'!$F$27:$F$136,$FG76)*IFERROR($QV$8,0)*(2000/8760)</f>
        <v>0</v>
      </c>
      <c r="OE76" s="155">
        <f>SUMIFS('Load-Truck'!$L$27:$L$136,'Load-Truck'!$F$27:$F$136,$FG76)*IFERROR($QV$9,0)*(2000/8760)</f>
        <v>0</v>
      </c>
      <c r="OF76" s="155">
        <f>SUMIFS('Load-Rail'!$L$27:$L$136,'Load-Rail'!$F$27:$F$136,$FG76)*IFERROR($QV$10,0)*(2000/8760)</f>
        <v>0</v>
      </c>
      <c r="OG76" s="155">
        <f>SUMIFS('Load-MarineBarge'!$L$27:$L$136,'Load-MarineBarge'!$F$27:$F$136,$FG76)*IFERROR($QV$11,0)*(2000/8760)</f>
        <v>0</v>
      </c>
      <c r="OH76" s="155">
        <f>SUMIFS('Load-MarineShip'!$L$27:$L$136,'Load-MarineShip'!$F$27:$F$136,$FG76)*IFERROR($QV$12,0)*(2000/8760)</f>
        <v>0</v>
      </c>
      <c r="OI76" s="155">
        <f>(IF(OR(Flare!$D$24="FUEL GAS",Flare!$D$38="FUEL GAS"),SUMIF(Flare!$E$97:$E$106,$FG76,Flare!$G$97:$G$105),0)+SUMIF(Flare!$E$107:$E$216,$FG76,Flare!$G$107:$G$216))*(2000/8730)*IFERROR($QV$13,0)</f>
        <v>0</v>
      </c>
      <c r="OJ76" s="155">
        <f>SUMIF(LandEmiss!$A$335:$A$434,$FG76,LandEmiss!$C$335:$C$434)*(2000/8760)*IFERROR($QV$13,0)</f>
        <v>0</v>
      </c>
      <c r="OK76" s="155">
        <f>(SUMIF(LandEmiss!$BJ$335:$BJ$434,$FG76,LandEmiss!$BL$335:$BL$434)+SUMIF(LandEmiss!$DU$323:$DU$422,$FG76,LandEmiss!$DW$323:$DW$422))*(2000/8760)*IFERROR($QV$13,0)</f>
        <v>0</v>
      </c>
      <c r="OL76" s="155">
        <f>(IF(OR(VCU!$D$26="FUEL GAS",VCU!$D$42="FUEL GAS"),SUMIF(VCU!$E$120:$E$129,$FG76,VCU!$G$120:$G$129),0)+SUMIF(VCU!$E$130:$E$239,$FG76,VCU!G204:G313))*(2000/8760)*IFERROR($QV$14,0)</f>
        <v>0</v>
      </c>
      <c r="OM76" s="155">
        <f>SUMIF(LandEmiss!$A$335:$A$434,$FG76,LandEmiss!$E$335:$E$434)*(2000/8760)*IFERROR($QV$14,0)</f>
        <v>0</v>
      </c>
      <c r="ON76" s="155">
        <f>(SUMIF(LandEmiss!$BJ$335:$BJ$434,$FG76,LandEmiss!$BN$335:$BN$434)+SUMIF(LandEmiss!$DU$323:$DU$422,$FG76,LandEmiss!$DY$323:$DY$422))*(2000/8760)*IFERROR($QV$14,0)</f>
        <v>0</v>
      </c>
      <c r="OO76" s="155">
        <f>(IF(VaporOxidizer!$D$33="FUEL GAS",SUMIF(VaporOxidizer!$E$101:$E$110,$FG76,VaporOxidizer!$G$101:$G$110),0)+SUMIF(VaporOxidizer!$E$111:$E$220,$FG76,VaporOxidizer!$G$111:$G$220))*(2000/8760)*IFERROR($QV$15,0)</f>
        <v>0</v>
      </c>
      <c r="OP76" s="155">
        <f>SUMIF(LandEmiss!$A$335:$A$434,$FG76,LandEmiss!$G$335:$G$434)*(2000/8760)*IFERROR($QV$15,0)</f>
        <v>0</v>
      </c>
      <c r="OQ76" s="155">
        <f>(SUMIF(LandEmiss!$BJ$335:$BJ$434,$FG76,LandEmiss!$BP$335:$BP$434)+SUMIF(LandEmiss!$DU$323:$DU$422,$FG76,LandEmiss!$EA$323:$EA$422))*(2000/8760)*IFERROR($QV$15,0)</f>
        <v>0</v>
      </c>
      <c r="OR76" s="155">
        <f>SUMIF(CAS!$E$35:$E$144,Hidden!$FG76,CAS!$I$35:$I$144)*IFERROR($QV$16,0)*(2000/8760)</f>
        <v>0</v>
      </c>
      <c r="OS76" s="155">
        <f>SUMIF(LandEmiss!$A$335:$A$434,$FG76,LandEmiss!$I$335:$I$434)*(2000/8760)*IFERROR($QV$27,0)</f>
        <v>0</v>
      </c>
      <c r="OT76" s="155">
        <f>(SUMIF(LandEmiss!$BJ$335:$BJ$434,$FG76,LandEmiss!$BR$335:$BR$434)+SUMIF(LandEmiss!$DU$323:$DU$422,$FG76,LandEmiss!$EC$323:$EC$422))*(2000/8760)*IFERROR($QV$27,0)</f>
        <v>0</v>
      </c>
      <c r="OU76" s="155">
        <f>SUMIF(LandEmiss!$A$335:$A$434,$FG76,LandEmiss!$K$335:$K$434)*(2000/8760)*IFERROR($QV$26,0)</f>
        <v>0</v>
      </c>
      <c r="OV76" s="155">
        <f>(SUMIF(LandEmiss!$BJ$335:$BJ$434,$FG76,LandEmiss!$BT$335:$BT$434)+SUMIF(LandEmiss!$DU$323:$DU$422,$FG76,LandEmiss!$EE$323:$EE$422))*(2000/8760)*IFERROR($QV$26,0)</f>
        <v>0</v>
      </c>
      <c r="OW76" s="155">
        <f>SUMIF(LandEmiss!$A$335:$A$434,$FG76,LandEmiss!$M$335:$M$434)*(2000/8760)*IFERROR($QV$25,0)</f>
        <v>0</v>
      </c>
      <c r="OX76" s="155">
        <f>(SUMIF(LandEmiss!$BJ$335:$BJ$434,$FG76,LandEmiss!$BV$335:$BV$434)+SUMIF(LandEmiss!$DU$323:$DU$422,$FG76,LandEmiss!$EG$323:$EG$422))*(2000/8760)*IFERROR($QV$25,0)</f>
        <v>0</v>
      </c>
      <c r="OY76" s="8">
        <v>0</v>
      </c>
      <c r="OZ76" s="207">
        <v>0</v>
      </c>
      <c r="PA76" s="207">
        <f>IF(OR(HeaterBoiler1!$E$26&lt;&gt;"fuel gas",HeaterBoiler1!$E$15&lt;&gt;"heater"),0,(SUMIF(HeaterBoiler1!$A$54:$D$63,$FG76,HeaterBoiler1!$J$54:$J$63))*(2000/8760))*IFERROR($QV$19,0)</f>
        <v>0</v>
      </c>
      <c r="PB76" s="207">
        <f>IF(OR(HeaterBoiler2!$E$26&lt;&gt;"fuel gas",HeaterBoiler2!$E$15&lt;&gt;"heater"),0,(SUMIF(HeaterBoiler2!$A$54:$D$63,$FG76,HeaterBoiler2!$J$54:$J$63))*(2000/8760))*IFERROR($QV$21,0)</f>
        <v>0</v>
      </c>
      <c r="PC76" s="207">
        <f>IF(OR(HeaterBoiler1!$E$26&lt;&gt;"fuel gas",HeaterBoiler1!$E$15&lt;&gt;"boiler"),0,(SUMIF(HeaterBoiler1!$A$54:$D$63,$FG76,HeaterBoiler1!$J$54:$J$63))*(2000/8760))*IFERROR($QV$20,0)</f>
        <v>0</v>
      </c>
      <c r="PD76" s="207">
        <f>IF(OR(HeaterBoiler2!$E$26&lt;&gt;"fuel gas",HeaterBoiler2!$E$15&lt;&gt;"boiler"),0,(SUMIF(HeaterBoiler2!$A$54:$D$63,$FG76,HeaterBoiler2!$J$54:$J$63))*(2000/8760))*IFERROR($QV$22,0)</f>
        <v>0</v>
      </c>
      <c r="PE76" s="8">
        <f>(SUMIF(Fug!$A$96:$A$205,$FG76,Fug!$J$96:$J$205))*IFERROR($QV$23,0)*(2000/8760)</f>
        <v>0</v>
      </c>
      <c r="PF76" s="8">
        <f t="shared" si="53"/>
        <v>0</v>
      </c>
      <c r="PG76" s="156">
        <f t="shared" si="54"/>
        <v>0</v>
      </c>
      <c r="QX76" s="89" t="s">
        <v>9322</v>
      </c>
      <c r="QY76">
        <v>1.97</v>
      </c>
      <c r="QZ76">
        <v>1.97</v>
      </c>
      <c r="RA76">
        <v>1.97</v>
      </c>
      <c r="RB76">
        <v>1.97</v>
      </c>
      <c r="RC76">
        <v>1.97</v>
      </c>
      <c r="RD76">
        <v>1.97</v>
      </c>
      <c r="RE76">
        <v>1.97</v>
      </c>
      <c r="RF76">
        <v>1.82</v>
      </c>
      <c r="RG76" s="90">
        <v>1.51</v>
      </c>
      <c r="RH76" s="89" t="s">
        <v>9322</v>
      </c>
      <c r="RI76">
        <v>1.7</v>
      </c>
      <c r="RJ76">
        <v>1.7</v>
      </c>
      <c r="RK76">
        <v>1.7</v>
      </c>
      <c r="RL76">
        <v>1.7</v>
      </c>
      <c r="RM76">
        <v>1.7</v>
      </c>
      <c r="RN76">
        <v>1.7</v>
      </c>
      <c r="RO76">
        <v>1.7</v>
      </c>
      <c r="RP76">
        <v>1.67</v>
      </c>
      <c r="RQ76" s="90">
        <v>1.51</v>
      </c>
      <c r="RR76" s="89" t="s">
        <v>9322</v>
      </c>
      <c r="RS76">
        <v>1.53</v>
      </c>
      <c r="RT76">
        <v>1.53</v>
      </c>
      <c r="RU76">
        <v>1.53</v>
      </c>
      <c r="RV76">
        <v>1.53</v>
      </c>
      <c r="RW76">
        <v>1.53</v>
      </c>
      <c r="RX76">
        <v>1.53</v>
      </c>
      <c r="RY76">
        <v>1.53</v>
      </c>
      <c r="RZ76">
        <v>1.5</v>
      </c>
      <c r="SA76" s="90">
        <v>1.38</v>
      </c>
      <c r="SB76" s="89" t="s">
        <v>9322</v>
      </c>
      <c r="SC76">
        <v>1.04</v>
      </c>
      <c r="SD76">
        <v>1.04</v>
      </c>
      <c r="SE76">
        <v>1.04</v>
      </c>
      <c r="SF76">
        <v>1.04</v>
      </c>
      <c r="SG76">
        <v>1.04</v>
      </c>
      <c r="SH76">
        <v>1.04</v>
      </c>
      <c r="SI76">
        <v>1.04</v>
      </c>
      <c r="SJ76">
        <v>1.04</v>
      </c>
      <c r="SK76" s="90">
        <v>1.03</v>
      </c>
      <c r="SL76" s="89" t="s">
        <v>9322</v>
      </c>
      <c r="SM76">
        <v>0.1</v>
      </c>
      <c r="SN76">
        <v>0.1</v>
      </c>
      <c r="SO76">
        <v>0.1</v>
      </c>
      <c r="SP76">
        <v>0.1</v>
      </c>
      <c r="SQ76">
        <v>0.1</v>
      </c>
      <c r="SR76">
        <v>0.1</v>
      </c>
      <c r="SS76">
        <v>0.1</v>
      </c>
      <c r="ST76">
        <v>0.1</v>
      </c>
      <c r="SU76" s="90">
        <v>0.1</v>
      </c>
    </row>
    <row r="77" spans="23:515" ht="74.25" customHeight="1" x14ac:dyDescent="0.2">
      <c r="W77">
        <f>IF(OR(X77=0,ISNUMBER(MATCH(X77,$X$1:X76,0))),0,MAX($W$1:W76)+1)</f>
        <v>0</v>
      </c>
      <c r="X77" s="123">
        <f>Products!$E124</f>
        <v>0</v>
      </c>
      <c r="Y77" t="str">
        <f t="shared" si="42"/>
        <v/>
      </c>
      <c r="CA77">
        <f>IF(OR(CB77=0,ISNUMBER(MATCH(CB77,$CB$1:CB76,0))),0,MAX($CA$1:CA76)+1)</f>
        <v>0</v>
      </c>
      <c r="CB77" s="8">
        <f>IF(OR(Tank1!$D$18="EXTERNAL FLOATING ROOF",Tank1!$D$18="INTERNAL FLOATING ROOF"),IF(Tank1!$E107="",0,Tank1!$E107),0)</f>
        <v>0</v>
      </c>
      <c r="CC77" s="8" t="str">
        <f t="shared" si="43"/>
        <v/>
      </c>
      <c r="CD77" s="8"/>
      <c r="CE77" s="8">
        <f>IF(OR(CF77=0,ISNUMBER(MATCH(CF77,$CF$1:CF76,0))),0,MAX($CE$1:CE76)+1)</f>
        <v>0</v>
      </c>
      <c r="CF77" s="8">
        <f>IF(OR(Tank1!$D$18="HORIZONTAL FIXED ROOF",Tank1!$D$18="VERTICAL FIXED ROOF"),IF(Tank1!$E107="",0,Tank1!$E107),0)</f>
        <v>0</v>
      </c>
      <c r="CG77" s="8" t="str">
        <f t="shared" si="44"/>
        <v/>
      </c>
      <c r="DM77">
        <f>IF(OR(DN77=0,ISNUMBER(MATCH(DN77,$DN$1:DN76,0))),0,MAX($DM$1:DM76)+1)</f>
        <v>0</v>
      </c>
      <c r="DN77">
        <f>IF('Load-Rail'!$F$19="Flare",IFERROR(VLOOKUP(Products!$A$109,'Load-Rail'!$A$27:$B$136,1,FALSE),0),0)</f>
        <v>0</v>
      </c>
      <c r="DO77">
        <f>IF($DN77=0,0,VLOOKUP($DN77,'Load-Rail'!$A$27:$N$136,13,FALSE))</f>
        <v>0</v>
      </c>
      <c r="DP77">
        <f>IF($DN77=0,0,VLOOKUP($DN77,'Load-Rail'!$A$27:$N$136,14,FALSE))</f>
        <v>0</v>
      </c>
      <c r="DU77">
        <f>IF(OR(DV77=0,ISNUMBER(MATCH(DV77,$DV$1:DV76,0))),0,MAX($DU$1:DU76)+1)</f>
        <v>0</v>
      </c>
      <c r="DV77">
        <f>IF('Load-Rail'!$F$19="VCU",IFERROR(VLOOKUP(Products!$A$109,'Load-Rail'!$A$27:$B$136,1,FALSE),0),0)</f>
        <v>0</v>
      </c>
      <c r="DW77">
        <f>IF($DV77=0,0,VLOOKUP($DV77,'Load-Rail'!$A$27:$N$136,13,FALSE))</f>
        <v>0</v>
      </c>
      <c r="DX77">
        <f>IF($DV77=0,0,VLOOKUP($DV77,'Load-Rail'!$A$27:$N$136,14,FALSE))</f>
        <v>0</v>
      </c>
      <c r="EC77">
        <f>IF(OR(ED77=0,ISNUMBER(MATCH(ED77,$ED$1:ED76,0))),0,MAX($EC$1:EC76)+1)</f>
        <v>0</v>
      </c>
      <c r="ED77">
        <f>IF('Load-Rail'!$F$19="vapor oxidizer",IFERROR(VLOOKUP(Products!$A$109,'Load-Rail'!$A$27:$B$136,1,FALSE),0),0)</f>
        <v>0</v>
      </c>
      <c r="EE77">
        <f>IF($ED77=0,0,VLOOKUP($ED77,'Load-Rail'!$A$27:$N$136,13,FALSE))</f>
        <v>0</v>
      </c>
      <c r="EF77">
        <f>IF($ED77=0,0,VLOOKUP($ED77,'Load-Rail'!$A$27:$N$136,14,FALSE))</f>
        <v>0</v>
      </c>
      <c r="EK77">
        <f>IF(OR(EL77=0,ISNUMBER(MATCH(EL77,$EL$1:EL76,0))),0,MAX($EK$1:EK76)+1)</f>
        <v>0</v>
      </c>
      <c r="EL77">
        <f>IF('Load-Rail'!$F$19="CAS",IFERROR(VLOOKUP(Products!A109,'Load-Rail'!$A$27:$B$136,1,FALSE),0),0)</f>
        <v>0</v>
      </c>
      <c r="EM77">
        <f>IF($EL77=0,0,VLOOKUP($EL77,'Load-Rail'!$A$27:$N$136,13,FALSE))</f>
        <v>0</v>
      </c>
      <c r="EN77">
        <f>IF($EL77=0,0,VLOOKUP($EL77,'Load-Rail'!$A$27:$N$136,14,FALSE))</f>
        <v>0</v>
      </c>
      <c r="FB77" s="8" t="s">
        <v>501</v>
      </c>
      <c r="FC77" s="8" t="s">
        <v>502</v>
      </c>
      <c r="FD77" s="8">
        <v>10</v>
      </c>
      <c r="FE77" s="8">
        <v>1</v>
      </c>
      <c r="FG77" s="360" t="str">
        <f t="shared" si="45"/>
        <v/>
      </c>
      <c r="FH77" s="155">
        <f>IF(Tank1!$D$22="NO CONTROL",_xlfn.MAXIFS(Tank1!$G$32:$G$141,Tank1!$E$32:$E$141,$FG77),0)*IFERROR($QR$3,0)</f>
        <v>0</v>
      </c>
      <c r="FI77" s="155">
        <f>_xlfn.MAXIFS(LandEmiss!$AF$20:$AF$119,LandEmiss!$AE$20:$AE$119,$FG77)*IFERROR($QR$3,0)</f>
        <v>0</v>
      </c>
      <c r="FJ77" s="155">
        <f>MAX(_xlfn.MAXIFS(LandEmiss!$CO$20:$CO$119,LandEmiss!$CN$20:$CN$119,$FG77),_xlfn.MAXIFS(LandEmiss!$EZ$9:$EZ$108,LandEmiss!$EY$9:$EY$108,$FG77))*IFERROR($QR$3,0)</f>
        <v>0</v>
      </c>
      <c r="FK77" s="155">
        <f>IF(Tank2!$D$22="NO CONTROL",_xlfn.MAXIFS(Tank2!$G$32:$G$141,Tank2!$E$32:$E$141,$FG77),0)*IFERROR($QR$4,0)</f>
        <v>0</v>
      </c>
      <c r="FL77" s="155">
        <f>_xlfn.MAXIFS(LandEmiss!$AG$20:$AG$119,LandEmiss!$AE$20:$AE$119,$FG77)*IFERROR($QR$4,0)</f>
        <v>0</v>
      </c>
      <c r="FM77" s="155">
        <f>MAX(_xlfn.MAXIFS(LandEmiss!$CP$20:$CP$119,LandEmiss!$CN$20:$CN$119,$FG77),_xlfn.MAXIFS(LandEmiss!$FA$9:$FA$108,LandEmiss!$EY$9:$EY$108,$FG77))*IFERROR($QR$4,0)</f>
        <v>0</v>
      </c>
      <c r="FN77" s="155">
        <f>IF(Tank3!$D$22="NO CONTROL",_xlfn.MAXIFS(Tank3!$G$32:$G$141,Tank3!$E$32:$E$141,$FG77),0)*IFERROR($QR$5,0)</f>
        <v>0</v>
      </c>
      <c r="FO77" s="155">
        <f>_xlfn.MAXIFS(LandEmiss!$AH$20:$AH$119,LandEmiss!$AE$20:$AE$119,$FG77)*IFERROR($QR$5,0)</f>
        <v>0</v>
      </c>
      <c r="FP77" s="155">
        <f>MAX(_xlfn.MAXIFS(LandEmiss!$CQ$20:$CQ$119,LandEmiss!$CN$20:$CN$119,$FG77),_xlfn.MAXIFS(LandEmiss!$FB$9:$FB$108,LandEmiss!$EY$9:$EY$108,$FG77))*IFERROR($QR$5,0)</f>
        <v>0</v>
      </c>
      <c r="FQ77" s="155">
        <f>IF(Tank4!$D$22="NO CONTROL",_xlfn.MAXIFS(Tank4!$G$32:$G$141,Tank4!$E$32:$E$141,$FG77),0)*IFERROR($QR$6,0)</f>
        <v>0</v>
      </c>
      <c r="FR77" s="155">
        <f>_xlfn.MAXIFS(LandEmiss!$AI$20:$AI$119,LandEmiss!$AE$20:$AE$119,$FG77)*IFERROR($QR$6,0)</f>
        <v>0</v>
      </c>
      <c r="FS77" s="155">
        <f>MAX(_xlfn.MAXIFS(LandEmiss!$CR$20:$CR$119,LandEmiss!$CN$20:$CN$119,$FG77),_xlfn.MAXIFS(LandEmiss!$FC$9:$FC$108,LandEmiss!$EY$9:$EY$108,$FG77))*IFERROR($QR$6,0)</f>
        <v>0</v>
      </c>
      <c r="FT77" s="155">
        <f>IF(Tank5!$D$22="NO CONTROL",_xlfn.MAXIFS(Tank5!$G$32:$G$141,Tank5!$E$32:$E$141,$FG77),0)*IFERROR($QR$7,0)</f>
        <v>0</v>
      </c>
      <c r="FU77" s="155">
        <f>_xlfn.MAXIFS(LandEmiss!$AJ$20:$AJ$119,LandEmiss!$AE$20:$AE$119,$FG77)*IFERROR($QR$7,0)</f>
        <v>0</v>
      </c>
      <c r="FV77" s="155">
        <f>MAX(_xlfn.MAXIFS(LandEmiss!$CS$20:$CS$119,LandEmiss!$CN$20:$CN$119,$FG77),_xlfn.MAXIFS(LandEmiss!$FD$9:$FD$108,LandEmiss!$EY$9:$EY$108,$FG77))*IFERROR($QR82,0)</f>
        <v>0</v>
      </c>
      <c r="FW77" s="155">
        <f>_xlfn.MAXIFS('Load-DrumTote'!$K$27:$K$136,'Load-DrumTote'!$F$27:$F$136,$FG77)*IFERROR($QR$8,0)</f>
        <v>0</v>
      </c>
      <c r="FX77" s="155">
        <f>_xlfn.MAXIFS('Load-Truck'!$K$27:$K$136,'Load-Truck'!$F$27:$F$136,$FG77)*IFERROR($QR$9,0)</f>
        <v>0</v>
      </c>
      <c r="FY77" s="155">
        <f>_xlfn.MAXIFS('Load-Rail'!$K$27:$K$136,'Load-Rail'!$F$27:$F$136,$FG77)*IFERROR($QR$10,0)</f>
        <v>0</v>
      </c>
      <c r="FZ77" s="155">
        <f>_xlfn.MAXIFS('Load-MarineBarge'!$K$27:$K$136,'Load-MarineBarge'!$F$27:$F$136,$FG77)*IFERROR($QR$11,0)</f>
        <v>0</v>
      </c>
      <c r="GA77" s="155">
        <f>_xlfn.MAXIFS('Load-MarineShip'!$K$27:$K$136,'Load-MarineShip'!$F$27:$F$136,$FG77)*IFERROR($QR$12,0)</f>
        <v>0</v>
      </c>
      <c r="GB77" s="313">
        <f>IF(OR(Flare!$D$24="fuel gas",Flare!$D$38="fuel gas"),SUMIF(Flare!$E$97:$E$106,$FG77,Flare!$F$97:$F$106),0)*IFERROR($QR$13,0)</f>
        <v>0</v>
      </c>
      <c r="GC77" s="313">
        <f>(_xlfn.MAXIFS(CtrlDevImpacts!$I$57:$I$156,CtrlDevImpacts!$H$57:$H$156,$FG77))*IFERROR($QR$13,0)</f>
        <v>0</v>
      </c>
      <c r="GD77" s="313">
        <f>(_xlfn.MAXIFS(Flare!$F$107:$F$216,Flare!$E$107:$E$216,$FG77)-_xlfn.MAXIFS(CtrlDevImpacts!$I$57:$I$156,CtrlDevImpacts!$H$57:$H$156,$FG77))*IFERROR($QR$13,0)</f>
        <v>0</v>
      </c>
      <c r="GE77" s="155">
        <f>_xlfn.MAXIFS(LandEmiss!$B$335:$B$434,LandEmiss!$A$335:$A$434,$FG77)*IFERROR($QR$13,0)</f>
        <v>0</v>
      </c>
      <c r="GF77" s="155">
        <f>(_xlfn.MAXIFS(LandEmiss!$BK$335:$BK$434,LandEmiss!$BJ$335:$BJ$434,$FG77)+_xlfn.MAXIFS(LandEmiss!$DV$323:$DV$422,LandEmiss!$DU$323:$DU$422,$FG77))*IFERROR($QR$13,0)</f>
        <v>0</v>
      </c>
      <c r="GG77" s="313">
        <f>IF(OR(VCU!$D$26="fuel gas",VCU!$D$42="fuel gas"),SUMIF(VCU!$E$120:$E$129,$FG77,VCU!$F$120:$F$129),0)*IFERROR($QR$14,0)</f>
        <v>0</v>
      </c>
      <c r="GH77" s="313">
        <f>(_xlfn.MAXIFS(CtrlDevImpacts!$X$57:$X$156,CtrlDevImpacts!$W$57:$W$156,$FG77))*IFERROR($QR$14,0)</f>
        <v>0</v>
      </c>
      <c r="GI77" s="313">
        <f>(_xlfn.MAXIFS(VCU!$F$130:$F$239,VCU!$E$130:$E$239,$FG77)-_xlfn.MAXIFS(CtrlDevImpacts!$X$57:$X$156,CtrlDevImpacts!$W$57:$W$156,$FG77))*IFERROR($QR$14,0)</f>
        <v>0</v>
      </c>
      <c r="GJ77" s="155">
        <f>_xlfn.MAXIFS(LandEmiss!$D$335:$D$434,LandEmiss!$A$335:$A$434,$FG77)*IFERROR($QR$14,0)</f>
        <v>0</v>
      </c>
      <c r="GK77" s="155">
        <f>(_xlfn.MAXIFS(LandEmiss!$BM$335:$BM$434,LandEmiss!$BJ$335:$BJ$434,$FG77)+_xlfn.MAXIFS(LandEmiss!$DX$323:$DX$422,LandEmiss!$DU$323:$DU$422,$FG77))*IFERROR($QR$14,0)</f>
        <v>0</v>
      </c>
      <c r="GL77" s="313">
        <f>IF(VaporOxidizer!D108="FUEL GAS",SUMIF(VaporOxidizer!$E$101:$E$110,$FG77,VaporOxidizer!$F$101:$F$110),0)*IFERROR($QR$15,0)</f>
        <v>0</v>
      </c>
      <c r="GM77" s="313">
        <f>(_xlfn.MAXIFS(CtrlDevImpacts!$AN$57:$AN$156,CtrlDevImpacts!$AM$57:$AM$156,$FG77))*IFERROR($QR$15,0)</f>
        <v>0</v>
      </c>
      <c r="GN77" s="313">
        <f>(_xlfn.MAXIFS(VaporOxidizer!$F$111:$F$220,VaporOxidizer!$E$111:$E$220,$FG77)-_xlfn.MAXIFS(CtrlDevImpacts!$AN$57:$AN$156,CtrlDevImpacts!$AM$57:$AM$156,$FG77))*IFERROR($QR$15,0)</f>
        <v>0</v>
      </c>
      <c r="GO77" s="155">
        <f>_xlfn.MAXIFS(LandEmiss!$F$335:$F$434,LandEmiss!$A$335:$A$434,$FG77)*IFERROR($QR$15,0)</f>
        <v>0</v>
      </c>
      <c r="GP77" s="155">
        <f>(_xlfn.MAXIFS(LandEmiss!$BK$335:$BK$434,LandEmiss!$BO$335:$BO$434,$FG77)+_xlfn.MAXIFS(LandEmiss!$DZ$323:$DZ$422,LandEmiss!$DU$323:$DU$422,$FG77))*IFERROR($QR$15,0)</f>
        <v>0</v>
      </c>
      <c r="GQ77" s="313">
        <f>_xlfn.MAXIFS(CtrlDevImpacts!$BD$57:$BD$156,CtrlDevImpacts!$BC$57:$BC$156,$FG77)*IFERROR(Hidden!$QR$16,0)</f>
        <v>0</v>
      </c>
      <c r="GR77" s="313">
        <f>(_xlfn.MAXIFS(CAS!$H$35:$H$144,CAS!$E$35:$E$144,$FG77)-_xlfn.MAXIFS(CtrlDevImpacts!$BD$57:$BD$156,CtrlDevImpacts!$BC$57:$BC$156,$FG77))*IFERROR(Hidden!$QR$16,0)</f>
        <v>0</v>
      </c>
      <c r="GS77" s="155">
        <f>_xlfn.MAXIFS(LandEmiss!$H$335:$H$434,LandEmiss!$A$335:$A$434,$FG77)*IFERROR($QR$27,0)</f>
        <v>0</v>
      </c>
      <c r="GT77" s="155">
        <f>(_xlfn.MAXIFS(LandEmiss!$BK$335:$BK$434,LandEmiss!$BQ$335:$BQ$434,$FG77)+_xlfn.MAXIFS(LandEmiss!$EB$323:$EB$422,LandEmiss!$DU$323:$DU$422,$FG77))*IFERROR($QR$27,0)</f>
        <v>0</v>
      </c>
      <c r="GU77" s="155">
        <f>_xlfn.MAXIFS(LandEmiss!$J$335:$J$434,LandEmiss!$A$335:$A$434,$FG77)*IFERROR($QR$26,0)</f>
        <v>0</v>
      </c>
      <c r="GV77" s="155">
        <f>(_xlfn.MAXIFS(LandEmiss!$BK$335:$BK$434,LandEmiss!$BS$335:$BS$434,$FG77)+_xlfn.MAXIFS(LandEmiss!$ED$323:$ED$422,LandEmiss!$DU$323:$DU$422,$FG77))*IFERROR($QR$26,0)</f>
        <v>0</v>
      </c>
      <c r="GW77" s="155">
        <f>_xlfn.MAXIFS(LandEmiss!$L$335:$L$434,LandEmiss!$A$335:$A$434,$FG77)*IFERROR($QR$25,0)</f>
        <v>0</v>
      </c>
      <c r="GX77" s="155">
        <f>(_xlfn.MAXIFS(LandEmiss!$BK$335:$BK$434,LandEmiss!$BU$335:$BU$434,$FG77)+_xlfn.MAXIFS(LandEmiss!$EF$323:$EF$422,LandEmiss!$DU$323:$DU$422,$FG77))*IFERROR($QR$25,0)</f>
        <v>0</v>
      </c>
      <c r="GY77" s="155">
        <v>0</v>
      </c>
      <c r="GZ77" s="155">
        <v>0</v>
      </c>
      <c r="HA77" s="155">
        <f>IF(OR(HeaterBoiler1!$E$26&lt;&gt;"fuel gas",HeaterBoiler1!$E$15&lt;&gt;"heater"),0,SUMIF(HeaterBoiler1!$A$54:$D$63,$FG77,HeaterBoiler1!$I$54:$I$63))*IFERROR($QR$19,0)</f>
        <v>0</v>
      </c>
      <c r="HB77" s="207">
        <f>IF(OR(HeaterBoiler2!$E$26&lt;&gt;"fuel gas",HeaterBoiler2!$E$15&lt;&gt;"heater"),0,SUMIF(HeaterBoiler2!$A$54:$D$63,$FG77,HeaterBoiler2!$I$54:$I$63))*IFERROR($QR$21,0)</f>
        <v>0</v>
      </c>
      <c r="HC77" s="155">
        <f>IF(OR(HeaterBoiler1!$E$26&lt;&gt;"fuel gas",HeaterBoiler1!$E$15&lt;&gt;"boiler"),0,SUMIF(HeaterBoiler1!$A$41:$A$50,$FG77,HeaterBoiler1!$F$41:$F$50))*IFERROR($QR$20,0)</f>
        <v>0</v>
      </c>
      <c r="HD77" s="207">
        <f>IF(OR(HeaterBoiler2!$E$26&lt;&gt;"fuel gas",HeaterBoiler2!$E$15&lt;&gt;"boiler"),0,SUMIF(HeaterBoiler2!$A$41:$A$50,$FG77,HeaterBoiler2!$F$41:$F$50))*IFERROR($QR$22,0)</f>
        <v>0</v>
      </c>
      <c r="HE77" s="155">
        <f>SUMIF(Fug!$A$96:$A$205,$FG77,Fug!$I$96:$I$205)*IFERROR(Hidden!$QR$23,0)</f>
        <v>0</v>
      </c>
      <c r="HF77" s="155">
        <f t="shared" si="46"/>
        <v>0</v>
      </c>
      <c r="HG77" s="156">
        <f t="shared" si="47"/>
        <v>0</v>
      </c>
      <c r="HH77" s="156">
        <f t="shared" si="48"/>
        <v>0</v>
      </c>
      <c r="HI77" s="156">
        <f t="shared" si="49"/>
        <v>0</v>
      </c>
      <c r="HJ77" s="156">
        <f t="shared" si="50"/>
        <v>0</v>
      </c>
      <c r="HK77" s="156">
        <f t="shared" si="51"/>
        <v>0</v>
      </c>
      <c r="HL77" s="156">
        <f t="shared" si="52"/>
        <v>0</v>
      </c>
      <c r="NO77" s="155">
        <f>IF(Tank1!$D$22="No control",(SUMIF(Tank1!$E$32:$E$141,$FG77,Tank1!$H$32:$H$141)*(2000/8760)*IFERROR($QV$3,0)),0)</f>
        <v>0</v>
      </c>
      <c r="NP77" s="156">
        <f>SUMIF(LandEmiss!$AE$20:$AE$119,$FG77,LandEmiss!$AK$20:$AK$119)*(2000/8760)*IFERROR($QV$3,0)</f>
        <v>0</v>
      </c>
      <c r="NQ77" s="156">
        <f>(SUMIF(LandEmiss!$CN$20:$CN$119,$FG77,LandEmiss!$CT$20:$CT$119)+SUMIF(LandEmiss!$EY$9:$EY$108,$FG77,LandEmiss!$FE$9:$FE$108))*IFERROR($QV$3,0)*(2000/8760)</f>
        <v>0</v>
      </c>
      <c r="NR77" s="155">
        <f>IF(Tank2!$D$22="No control",(SUMIF(Tank2!$E$32:$E$141,$FG77,Tank2!$H$32:$H$141)*(2000/8760)*IFERROR($QV$4,0)),0)</f>
        <v>0</v>
      </c>
      <c r="NS77" s="156">
        <f>SUMIF(LandEmiss!$AE$20:$AE$119,$FG77,LandEmiss!$AL$20:$AL$119)*(2000/8760)*IFERROR($QV$4,0)</f>
        <v>0</v>
      </c>
      <c r="NT77" s="156">
        <f>(SUMIF(LandEmiss!$CN$20:$CN$119,$FG77,LandEmiss!$CU$20:$CU$119)+SUMIF(LandEmiss!$EY$9:$EY$108,$FG77,LandEmiss!$FF$9:$FF$108))*IFERROR($QV$4,0)*(2000/8760)</f>
        <v>0</v>
      </c>
      <c r="NU77" s="155">
        <f>IF(Tank3!$D$22="No control",(SUMIF(Tank3!$E$32:$E$141,$FG77,Tank3!$H$32:$H$141)*(2000/8760)*IFERROR($QV$5,0)),0)</f>
        <v>0</v>
      </c>
      <c r="NV77" s="156">
        <f>SUMIF(LandEmiss!$AE$20:$AE$119,$FG77,LandEmiss!$AM$20:$AM$119)*(2000/8760)*IFERROR($QV$5,0)</f>
        <v>0</v>
      </c>
      <c r="NW77" s="156">
        <f>(SUMIF(LandEmiss!$CN$20:$CN$119,$FG77,LandEmiss!$CV$20:$CV$119)+SUMIF(LandEmiss!$EY$9:$EY$108,$FG77,LandEmiss!$FG$9:$FG$108))*IFERROR($QV$5,0)*(2000/8760)</f>
        <v>0</v>
      </c>
      <c r="NX77" s="155">
        <f>IF(Tank4!$D$22="No control",(SUMIF(Tank4!$E$32:$E$141,$FG77,Tank4!$H$32:$H$141)*(2000/8760)*IFERROR($QV$6,0)),0)</f>
        <v>0</v>
      </c>
      <c r="NY77" s="156">
        <f>SUMIF(LandEmiss!$AE$20:$AE$119,$FG77,LandEmiss!$AN$20:$AN$119)*(2000/8760)*IFERROR($QV$6,0)</f>
        <v>0</v>
      </c>
      <c r="NZ77" s="156">
        <f>(SUMIF(LandEmiss!$CN$20:$CN$119,$FG77,LandEmiss!$CW$20:$CW$119)+SUMIF(LandEmiss!$EY$9:$EY$108,$FG77,LandEmiss!$FH$9:$FH$108))*IFERROR($QV$6,0)*(2000/8760)</f>
        <v>0</v>
      </c>
      <c r="OA77" s="155">
        <f>IF(Tank5!$D$22="No control",(SUMIF(Tank5!$E$32:$E$141,$FG77,Tank5!$H$32:$H$141)*(2000/8760)*IFERROR($QV$7,0)),0)</f>
        <v>0</v>
      </c>
      <c r="OB77" s="156">
        <f>SUMIF(LandEmiss!$AE$20:$AE$119,$FG77,LandEmiss!$AO$20:$AO$119)*(2000/8760)*IFERROR($QV$7,0)</f>
        <v>0</v>
      </c>
      <c r="OC77" s="156">
        <f>(SUMIF(LandEmiss!$CN$20:$CN$119,$FG77,LandEmiss!$CX$20:$CX$119)+SUMIF(LandEmiss!$EY$9:$EY$108,$FG77,LandEmiss!$FI$9:$FI$108))*IFERROR($QV$7,0)*(2000/8760)</f>
        <v>0</v>
      </c>
      <c r="OD77" s="155">
        <f>SUMIFS('Load-DrumTote'!$L$27:$L$136,'Load-DrumTote'!$F$27:$F$136,$FG77)*IFERROR($QV$8,0)*(2000/8760)</f>
        <v>0</v>
      </c>
      <c r="OE77" s="155">
        <f>SUMIFS('Load-Truck'!$L$27:$L$136,'Load-Truck'!$F$27:$F$136,$FG77)*IFERROR($QV$9,0)*(2000/8760)</f>
        <v>0</v>
      </c>
      <c r="OF77" s="155">
        <f>SUMIFS('Load-Rail'!$L$27:$L$136,'Load-Rail'!$F$27:$F$136,$FG77)*IFERROR($QV$10,0)*(2000/8760)</f>
        <v>0</v>
      </c>
      <c r="OG77" s="155">
        <f>SUMIFS('Load-MarineBarge'!$L$27:$L$136,'Load-MarineBarge'!$F$27:$F$136,$FG77)*IFERROR($QV$11,0)*(2000/8760)</f>
        <v>0</v>
      </c>
      <c r="OH77" s="155">
        <f>SUMIFS('Load-MarineShip'!$L$27:$L$136,'Load-MarineShip'!$F$27:$F$136,$FG77)*IFERROR($QV$12,0)*(2000/8760)</f>
        <v>0</v>
      </c>
      <c r="OI77" s="155">
        <f>(IF(OR(Flare!$D$24="FUEL GAS",Flare!$D$38="FUEL GAS"),SUMIF(Flare!$E$97:$E$106,$FG77,Flare!$G$97:$G$105),0)+SUMIF(Flare!$E$107:$E$216,$FG77,Flare!$G$107:$G$216))*(2000/8730)*IFERROR($QV$13,0)</f>
        <v>0</v>
      </c>
      <c r="OJ77" s="155">
        <f>SUMIF(LandEmiss!$A$335:$A$434,$FG77,LandEmiss!$C$335:$C$434)*(2000/8760)*IFERROR($QV$13,0)</f>
        <v>0</v>
      </c>
      <c r="OK77" s="155">
        <f>(SUMIF(LandEmiss!$BJ$335:$BJ$434,$FG77,LandEmiss!$BL$335:$BL$434)+SUMIF(LandEmiss!$DU$323:$DU$422,$FG77,LandEmiss!$DW$323:$DW$422))*(2000/8760)*IFERROR($QV$13,0)</f>
        <v>0</v>
      </c>
      <c r="OL77" s="155">
        <f>(IF(OR(VCU!$D$26="FUEL GAS",VCU!$D$42="FUEL GAS"),SUMIF(VCU!$E$120:$E$129,$FG77,VCU!$G$120:$G$129),0)+SUMIF(VCU!$E$130:$E$239,$FG77,VCU!G205:G314))*(2000/8760)*IFERROR($QV$14,0)</f>
        <v>0</v>
      </c>
      <c r="OM77" s="155">
        <f>SUMIF(LandEmiss!$A$335:$A$434,$FG77,LandEmiss!$E$335:$E$434)*(2000/8760)*IFERROR($QV$14,0)</f>
        <v>0</v>
      </c>
      <c r="ON77" s="155">
        <f>(SUMIF(LandEmiss!$BJ$335:$BJ$434,$FG77,LandEmiss!$BN$335:$BN$434)+SUMIF(LandEmiss!$DU$323:$DU$422,$FG77,LandEmiss!$DY$323:$DY$422))*(2000/8760)*IFERROR($QV$14,0)</f>
        <v>0</v>
      </c>
      <c r="OO77" s="155">
        <f>(IF(VaporOxidizer!$D$33="FUEL GAS",SUMIF(VaporOxidizer!$E$101:$E$110,$FG77,VaporOxidizer!$G$101:$G$110),0)+SUMIF(VaporOxidizer!$E$111:$E$220,$FG77,VaporOxidizer!$G$111:$G$220))*(2000/8760)*IFERROR($QV$15,0)</f>
        <v>0</v>
      </c>
      <c r="OP77" s="155">
        <f>SUMIF(LandEmiss!$A$335:$A$434,$FG77,LandEmiss!$G$335:$G$434)*(2000/8760)*IFERROR($QV$15,0)</f>
        <v>0</v>
      </c>
      <c r="OQ77" s="155">
        <f>(SUMIF(LandEmiss!$BJ$335:$BJ$434,$FG77,LandEmiss!$BP$335:$BP$434)+SUMIF(LandEmiss!$DU$323:$DU$422,$FG77,LandEmiss!$EA$323:$EA$422))*(2000/8760)*IFERROR($QV$15,0)</f>
        <v>0</v>
      </c>
      <c r="OR77" s="155">
        <f>SUMIF(CAS!$E$35:$E$144,Hidden!$FG77,CAS!$I$35:$I$144)*IFERROR($QV$16,0)*(2000/8760)</f>
        <v>0</v>
      </c>
      <c r="OS77" s="155">
        <f>SUMIF(LandEmiss!$A$335:$A$434,$FG77,LandEmiss!$I$335:$I$434)*(2000/8760)*IFERROR($QV$27,0)</f>
        <v>0</v>
      </c>
      <c r="OT77" s="155">
        <f>(SUMIF(LandEmiss!$BJ$335:$BJ$434,$FG77,LandEmiss!$BR$335:$BR$434)+SUMIF(LandEmiss!$DU$323:$DU$422,$FG77,LandEmiss!$EC$323:$EC$422))*(2000/8760)*IFERROR($QV$27,0)</f>
        <v>0</v>
      </c>
      <c r="OU77" s="155">
        <f>SUMIF(LandEmiss!$A$335:$A$434,$FG77,LandEmiss!$K$335:$K$434)*(2000/8760)*IFERROR($QV$26,0)</f>
        <v>0</v>
      </c>
      <c r="OV77" s="155">
        <f>(SUMIF(LandEmiss!$BJ$335:$BJ$434,$FG77,LandEmiss!$BT$335:$BT$434)+SUMIF(LandEmiss!$DU$323:$DU$422,$FG77,LandEmiss!$EE$323:$EE$422))*(2000/8760)*IFERROR($QV$26,0)</f>
        <v>0</v>
      </c>
      <c r="OW77" s="155">
        <f>SUMIF(LandEmiss!$A$335:$A$434,$FG77,LandEmiss!$M$335:$M$434)*(2000/8760)*IFERROR($QV$25,0)</f>
        <v>0</v>
      </c>
      <c r="OX77" s="155">
        <f>(SUMIF(LandEmiss!$BJ$335:$BJ$434,$FG77,LandEmiss!$BV$335:$BV$434)+SUMIF(LandEmiss!$DU$323:$DU$422,$FG77,LandEmiss!$EG$323:$EG$422))*(2000/8760)*IFERROR($QV$25,0)</f>
        <v>0</v>
      </c>
      <c r="OY77" s="8">
        <v>0</v>
      </c>
      <c r="OZ77" s="207">
        <v>0</v>
      </c>
      <c r="PA77" s="207">
        <f>IF(OR(HeaterBoiler1!$E$26&lt;&gt;"fuel gas",HeaterBoiler1!$E$15&lt;&gt;"heater"),0,(SUMIF(HeaterBoiler1!$A$54:$D$63,$FG77,HeaterBoiler1!$J$54:$J$63))*(2000/8760))*IFERROR($QV$19,0)</f>
        <v>0</v>
      </c>
      <c r="PB77" s="207">
        <f>IF(OR(HeaterBoiler2!$E$26&lt;&gt;"fuel gas",HeaterBoiler2!$E$15&lt;&gt;"heater"),0,(SUMIF(HeaterBoiler2!$A$54:$D$63,$FG77,HeaterBoiler2!$J$54:$J$63))*(2000/8760))*IFERROR($QV$21,0)</f>
        <v>0</v>
      </c>
      <c r="PC77" s="207">
        <f>IF(OR(HeaterBoiler1!$E$26&lt;&gt;"fuel gas",HeaterBoiler1!$E$15&lt;&gt;"boiler"),0,(SUMIF(HeaterBoiler1!$A$54:$D$63,$FG77,HeaterBoiler1!$J$54:$J$63))*(2000/8760))*IFERROR($QV$20,0)</f>
        <v>0</v>
      </c>
      <c r="PD77" s="207">
        <f>IF(OR(HeaterBoiler2!$E$26&lt;&gt;"fuel gas",HeaterBoiler2!$E$15&lt;&gt;"boiler"),0,(SUMIF(HeaterBoiler2!$A$54:$D$63,$FG77,HeaterBoiler2!$J$54:$J$63))*(2000/8760))*IFERROR($QV$22,0)</f>
        <v>0</v>
      </c>
      <c r="PE77" s="8">
        <f>(SUMIF(Fug!$A$96:$A$205,$FG77,Fug!$J$96:$J$205))*IFERROR($QV$23,0)*(2000/8760)</f>
        <v>0</v>
      </c>
      <c r="PF77" s="8">
        <f t="shared" si="53"/>
        <v>0</v>
      </c>
      <c r="PG77" s="156">
        <f t="shared" si="54"/>
        <v>0</v>
      </c>
      <c r="QX77" s="89" t="s">
        <v>9323</v>
      </c>
      <c r="QY77">
        <v>11.67</v>
      </c>
      <c r="QZ77">
        <v>11.67</v>
      </c>
      <c r="RA77">
        <v>11.67</v>
      </c>
      <c r="RB77">
        <v>11.67</v>
      </c>
      <c r="RC77">
        <v>11.67</v>
      </c>
      <c r="RD77">
        <v>11.6</v>
      </c>
      <c r="RE77">
        <v>10.54</v>
      </c>
      <c r="RF77">
        <v>7.75</v>
      </c>
      <c r="RG77" s="90">
        <v>6</v>
      </c>
      <c r="RH77" s="89" t="s">
        <v>9323</v>
      </c>
      <c r="RI77">
        <v>11.26</v>
      </c>
      <c r="RJ77">
        <v>11.26</v>
      </c>
      <c r="RK77">
        <v>11.26</v>
      </c>
      <c r="RL77">
        <v>11.26</v>
      </c>
      <c r="RM77">
        <v>11.26</v>
      </c>
      <c r="RN77">
        <v>11.08</v>
      </c>
      <c r="RO77">
        <v>10.14</v>
      </c>
      <c r="RP77">
        <v>7.59</v>
      </c>
      <c r="RQ77" s="90">
        <v>5.94</v>
      </c>
      <c r="RR77" s="89" t="s">
        <v>9323</v>
      </c>
      <c r="RS77">
        <v>10.98</v>
      </c>
      <c r="RT77">
        <v>10.98</v>
      </c>
      <c r="RU77">
        <v>10.98</v>
      </c>
      <c r="RV77">
        <v>10.98</v>
      </c>
      <c r="RW77">
        <v>10.98</v>
      </c>
      <c r="RX77">
        <v>10.75</v>
      </c>
      <c r="RY77">
        <v>9.7799999999999994</v>
      </c>
      <c r="RZ77">
        <v>7.33</v>
      </c>
      <c r="SA77" s="90">
        <v>5.64</v>
      </c>
      <c r="SB77" s="89" t="s">
        <v>9323</v>
      </c>
      <c r="SC77">
        <v>9.31</v>
      </c>
      <c r="SD77">
        <v>9.31</v>
      </c>
      <c r="SE77">
        <v>9.31</v>
      </c>
      <c r="SF77">
        <v>9.31</v>
      </c>
      <c r="SG77">
        <v>9.31</v>
      </c>
      <c r="SH77">
        <v>9.25</v>
      </c>
      <c r="SI77">
        <v>8.02</v>
      </c>
      <c r="SJ77">
        <v>5.55</v>
      </c>
      <c r="SK77" s="90">
        <v>4.37</v>
      </c>
      <c r="SL77" s="89" t="s">
        <v>9323</v>
      </c>
      <c r="SM77">
        <v>2.0099999999999998</v>
      </c>
      <c r="SN77">
        <v>2.0099999999999998</v>
      </c>
      <c r="SO77">
        <v>2.0099999999999998</v>
      </c>
      <c r="SP77">
        <v>2.0099999999999998</v>
      </c>
      <c r="SQ77">
        <v>2.0099999999999998</v>
      </c>
      <c r="SR77">
        <v>2.0099999999999998</v>
      </c>
      <c r="SS77">
        <v>1.94</v>
      </c>
      <c r="ST77">
        <v>1.4</v>
      </c>
      <c r="SU77" s="90">
        <v>1.02</v>
      </c>
    </row>
    <row r="78" spans="23:515" ht="74.25" customHeight="1" x14ac:dyDescent="0.2">
      <c r="W78">
        <f>IF(OR(X78=0,ISNUMBER(MATCH(X78,$X$1:X77,0))),0,MAX($W$1:W77)+1)</f>
        <v>0</v>
      </c>
      <c r="X78" s="123">
        <f>Products!$E125</f>
        <v>0</v>
      </c>
      <c r="Y78" t="str">
        <f t="shared" si="42"/>
        <v/>
      </c>
      <c r="CA78">
        <f>IF(OR(CB78=0,ISNUMBER(MATCH(CB78,$CB$1:CB77,0))),0,MAX($CA$1:CA77)+1)</f>
        <v>0</v>
      </c>
      <c r="CB78" s="8">
        <f>IF(OR(Tank1!$D$18="EXTERNAL FLOATING ROOF",Tank1!$D$18="INTERNAL FLOATING ROOF"),IF(Tank1!$E108="",0,Tank1!$E108),0)</f>
        <v>0</v>
      </c>
      <c r="CC78" s="8" t="str">
        <f t="shared" si="43"/>
        <v/>
      </c>
      <c r="CD78" s="8"/>
      <c r="CE78" s="8">
        <f>IF(OR(CF78=0,ISNUMBER(MATCH(CF78,$CF$1:CF77,0))),0,MAX($CE$1:CE77)+1)</f>
        <v>0</v>
      </c>
      <c r="CF78" s="8">
        <f>IF(OR(Tank1!$D$18="HORIZONTAL FIXED ROOF",Tank1!$D$18="VERTICAL FIXED ROOF"),IF(Tank1!$E108="",0,Tank1!$E108),0)</f>
        <v>0</v>
      </c>
      <c r="CG78" s="8" t="str">
        <f t="shared" si="44"/>
        <v/>
      </c>
      <c r="DM78">
        <f>IF(OR(DN78=0,ISNUMBER(MATCH(DN78,$DN$1:DN77,0))),0,MAX($DM$1:DM77)+1)</f>
        <v>0</v>
      </c>
      <c r="DN78">
        <f>IF('Load-Rail'!$F$19="Flare",IFERROR(VLOOKUP(Products!$A$119,'Load-Rail'!$A$27:$B$136,1,FALSE),0),0)</f>
        <v>0</v>
      </c>
      <c r="DO78">
        <f>IF($DN78=0,0,VLOOKUP($DN78,'Load-Rail'!$A$27:$N$136,13,FALSE))</f>
        <v>0</v>
      </c>
      <c r="DP78">
        <f>IF($DN78=0,0,VLOOKUP($DN78,'Load-Rail'!$A$27:$N$136,14,FALSE))</f>
        <v>0</v>
      </c>
      <c r="DU78">
        <f>IF(OR(DV78=0,ISNUMBER(MATCH(DV78,$DV$1:DV77,0))),0,MAX($DU$1:DU77)+1)</f>
        <v>0</v>
      </c>
      <c r="DV78">
        <f>IF('Load-Rail'!$F$19="VCU",IFERROR(VLOOKUP(Products!$A$119,'Load-Rail'!$A$27:$B$136,1,FALSE),0),0)</f>
        <v>0</v>
      </c>
      <c r="DW78">
        <f>IF($DV78=0,0,VLOOKUP($DV78,'Load-Rail'!$A$27:$N$136,13,FALSE))</f>
        <v>0</v>
      </c>
      <c r="DX78">
        <f>IF($DV78=0,0,VLOOKUP($DV78,'Load-Rail'!$A$27:$N$136,14,FALSE))</f>
        <v>0</v>
      </c>
      <c r="EC78">
        <f>IF(OR(ED78=0,ISNUMBER(MATCH(ED78,$ED$1:ED77,0))),0,MAX($EC$1:EC77)+1)</f>
        <v>0</v>
      </c>
      <c r="ED78">
        <f>IF('Load-Rail'!$F$19="vapor oxidizer",IFERROR(VLOOKUP(Products!$A$119,'Load-Rail'!$A$27:$B$136,1,FALSE),0),0)</f>
        <v>0</v>
      </c>
      <c r="EE78">
        <f>IF($ED78=0,0,VLOOKUP($ED78,'Load-Rail'!$A$27:$N$136,13,FALSE))</f>
        <v>0</v>
      </c>
      <c r="EF78">
        <f>IF($ED78=0,0,VLOOKUP($ED78,'Load-Rail'!$A$27:$N$136,14,FALSE))</f>
        <v>0</v>
      </c>
      <c r="EK78">
        <f>IF(OR(EL78=0,ISNUMBER(MATCH(EL78,$EL$1:EL77,0))),0,MAX($EK$1:EK77)+1)</f>
        <v>0</v>
      </c>
      <c r="EL78">
        <f>IF('Load-Rail'!$F$19="CAS",IFERROR(VLOOKUP(Products!A119,'Load-Rail'!$A$27:$B$136,1,FALSE),0),0)</f>
        <v>0</v>
      </c>
      <c r="EM78">
        <f>IF($EL78=0,0,VLOOKUP($EL78,'Load-Rail'!$A$27:$N$136,13,FALSE))</f>
        <v>0</v>
      </c>
      <c r="EN78">
        <f>IF($EL78=0,0,VLOOKUP($EL78,'Load-Rail'!$A$27:$N$136,14,FALSE))</f>
        <v>0</v>
      </c>
      <c r="FB78" s="8" t="s">
        <v>503</v>
      </c>
      <c r="FC78" s="8" t="s">
        <v>9814</v>
      </c>
      <c r="FD78" s="8">
        <v>400</v>
      </c>
      <c r="FE78" s="8">
        <v>40</v>
      </c>
      <c r="FG78" s="360" t="str">
        <f t="shared" si="45"/>
        <v/>
      </c>
      <c r="FH78" s="155">
        <f>IF(Tank1!$D$22="NO CONTROL",_xlfn.MAXIFS(Tank1!$G$32:$G$141,Tank1!$E$32:$E$141,$FG78),0)*IFERROR($QR$3,0)</f>
        <v>0</v>
      </c>
      <c r="FI78" s="155">
        <f>_xlfn.MAXIFS(LandEmiss!$AF$20:$AF$119,LandEmiss!$AE$20:$AE$119,$FG78)*IFERROR($QR$3,0)</f>
        <v>0</v>
      </c>
      <c r="FJ78" s="155">
        <f>MAX(_xlfn.MAXIFS(LandEmiss!$CO$20:$CO$119,LandEmiss!$CN$20:$CN$119,$FG78),_xlfn.MAXIFS(LandEmiss!$EZ$9:$EZ$108,LandEmiss!$EY$9:$EY$108,$FG78))*IFERROR($QR$3,0)</f>
        <v>0</v>
      </c>
      <c r="FK78" s="155">
        <f>IF(Tank2!$D$22="NO CONTROL",_xlfn.MAXIFS(Tank2!$G$32:$G$141,Tank2!$E$32:$E$141,$FG78),0)*IFERROR($QR$4,0)</f>
        <v>0</v>
      </c>
      <c r="FL78" s="155">
        <f>_xlfn.MAXIFS(LandEmiss!$AG$20:$AG$119,LandEmiss!$AE$20:$AE$119,$FG78)*IFERROR($QR$4,0)</f>
        <v>0</v>
      </c>
      <c r="FM78" s="155">
        <f>MAX(_xlfn.MAXIFS(LandEmiss!$CP$20:$CP$119,LandEmiss!$CN$20:$CN$119,$FG78),_xlfn.MAXIFS(LandEmiss!$FA$9:$FA$108,LandEmiss!$EY$9:$EY$108,$FG78))*IFERROR($QR$4,0)</f>
        <v>0</v>
      </c>
      <c r="FN78" s="155">
        <f>IF(Tank3!$D$22="NO CONTROL",_xlfn.MAXIFS(Tank3!$G$32:$G$141,Tank3!$E$32:$E$141,$FG78),0)*IFERROR($QR$5,0)</f>
        <v>0</v>
      </c>
      <c r="FO78" s="155">
        <f>_xlfn.MAXIFS(LandEmiss!$AH$20:$AH$119,LandEmiss!$AE$20:$AE$119,$FG78)*IFERROR($QR$5,0)</f>
        <v>0</v>
      </c>
      <c r="FP78" s="155">
        <f>MAX(_xlfn.MAXIFS(LandEmiss!$CQ$20:$CQ$119,LandEmiss!$CN$20:$CN$119,$FG78),_xlfn.MAXIFS(LandEmiss!$FB$9:$FB$108,LandEmiss!$EY$9:$EY$108,$FG78))*IFERROR($QR$5,0)</f>
        <v>0</v>
      </c>
      <c r="FQ78" s="155">
        <f>IF(Tank4!$D$22="NO CONTROL",_xlfn.MAXIFS(Tank4!$G$32:$G$141,Tank4!$E$32:$E$141,$FG78),0)*IFERROR($QR$6,0)</f>
        <v>0</v>
      </c>
      <c r="FR78" s="155">
        <f>_xlfn.MAXIFS(LandEmiss!$AI$20:$AI$119,LandEmiss!$AE$20:$AE$119,$FG78)*IFERROR($QR$6,0)</f>
        <v>0</v>
      </c>
      <c r="FS78" s="155">
        <f>MAX(_xlfn.MAXIFS(LandEmiss!$CR$20:$CR$119,LandEmiss!$CN$20:$CN$119,$FG78),_xlfn.MAXIFS(LandEmiss!$FC$9:$FC$108,LandEmiss!$EY$9:$EY$108,$FG78))*IFERROR($QR$6,0)</f>
        <v>0</v>
      </c>
      <c r="FT78" s="155">
        <f>IF(Tank5!$D$22="NO CONTROL",_xlfn.MAXIFS(Tank5!$G$32:$G$141,Tank5!$E$32:$E$141,$FG78),0)*IFERROR($QR$7,0)</f>
        <v>0</v>
      </c>
      <c r="FU78" s="155">
        <f>_xlfn.MAXIFS(LandEmiss!$AJ$20:$AJ$119,LandEmiss!$AE$20:$AE$119,$FG78)*IFERROR($QR$7,0)</f>
        <v>0</v>
      </c>
      <c r="FV78" s="155">
        <f>MAX(_xlfn.MAXIFS(LandEmiss!$CS$20:$CS$119,LandEmiss!$CN$20:$CN$119,$FG78),_xlfn.MAXIFS(LandEmiss!$FD$9:$FD$108,LandEmiss!$EY$9:$EY$108,$FG78))*IFERROR($QR83,0)</f>
        <v>0</v>
      </c>
      <c r="FW78" s="155">
        <f>_xlfn.MAXIFS('Load-DrumTote'!$K$27:$K$136,'Load-DrumTote'!$F$27:$F$136,$FG78)*IFERROR($QR$8,0)</f>
        <v>0</v>
      </c>
      <c r="FX78" s="155">
        <f>_xlfn.MAXIFS('Load-Truck'!$K$27:$K$136,'Load-Truck'!$F$27:$F$136,$FG78)*IFERROR($QR$9,0)</f>
        <v>0</v>
      </c>
      <c r="FY78" s="155">
        <f>_xlfn.MAXIFS('Load-Rail'!$K$27:$K$136,'Load-Rail'!$F$27:$F$136,$FG78)*IFERROR($QR$10,0)</f>
        <v>0</v>
      </c>
      <c r="FZ78" s="155">
        <f>_xlfn.MAXIFS('Load-MarineBarge'!$K$27:$K$136,'Load-MarineBarge'!$F$27:$F$136,$FG78)*IFERROR($QR$11,0)</f>
        <v>0</v>
      </c>
      <c r="GA78" s="155">
        <f>_xlfn.MAXIFS('Load-MarineShip'!$K$27:$K$136,'Load-MarineShip'!$F$27:$F$136,$FG78)*IFERROR($QR$12,0)</f>
        <v>0</v>
      </c>
      <c r="GB78" s="313">
        <f>IF(OR(Flare!$D$24="fuel gas",Flare!$D$38="fuel gas"),SUMIF(Flare!$E$97:$E$106,$FG78,Flare!$F$97:$F$106),0)*IFERROR($QR$13,0)</f>
        <v>0</v>
      </c>
      <c r="GC78" s="313">
        <f>(_xlfn.MAXIFS(CtrlDevImpacts!$I$57:$I$156,CtrlDevImpacts!$H$57:$H$156,$FG78))*IFERROR($QR$13,0)</f>
        <v>0</v>
      </c>
      <c r="GD78" s="313">
        <f>(_xlfn.MAXIFS(Flare!$F$107:$F$216,Flare!$E$107:$E$216,$FG78)-_xlfn.MAXIFS(CtrlDevImpacts!$I$57:$I$156,CtrlDevImpacts!$H$57:$H$156,$FG78))*IFERROR($QR$13,0)</f>
        <v>0</v>
      </c>
      <c r="GE78" s="155">
        <f>_xlfn.MAXIFS(LandEmiss!$B$335:$B$434,LandEmiss!$A$335:$A$434,$FG78)*IFERROR($QR$13,0)</f>
        <v>0</v>
      </c>
      <c r="GF78" s="155">
        <f>(_xlfn.MAXIFS(LandEmiss!$BK$335:$BK$434,LandEmiss!$BJ$335:$BJ$434,$FG78)+_xlfn.MAXIFS(LandEmiss!$DV$323:$DV$422,LandEmiss!$DU$323:$DU$422,$FG78))*IFERROR($QR$13,0)</f>
        <v>0</v>
      </c>
      <c r="GG78" s="313">
        <f>IF(OR(VCU!$D$26="fuel gas",VCU!$D$42="fuel gas"),SUMIF(VCU!$E$120:$E$129,$FG78,VCU!$F$120:$F$129),0)*IFERROR($QR$14,0)</f>
        <v>0</v>
      </c>
      <c r="GH78" s="313">
        <f>(_xlfn.MAXIFS(CtrlDevImpacts!$X$57:$X$156,CtrlDevImpacts!$W$57:$W$156,$FG78))*IFERROR($QR$14,0)</f>
        <v>0</v>
      </c>
      <c r="GI78" s="313">
        <f>(_xlfn.MAXIFS(VCU!$F$130:$F$239,VCU!$E$130:$E$239,$FG78)-_xlfn.MAXIFS(CtrlDevImpacts!$X$57:$X$156,CtrlDevImpacts!$W$57:$W$156,$FG78))*IFERROR($QR$14,0)</f>
        <v>0</v>
      </c>
      <c r="GJ78" s="155">
        <f>_xlfn.MAXIFS(LandEmiss!$D$335:$D$434,LandEmiss!$A$335:$A$434,$FG78)*IFERROR($QR$14,0)</f>
        <v>0</v>
      </c>
      <c r="GK78" s="155">
        <f>(_xlfn.MAXIFS(LandEmiss!$BM$335:$BM$434,LandEmiss!$BJ$335:$BJ$434,$FG78)+_xlfn.MAXIFS(LandEmiss!$DX$323:$DX$422,LandEmiss!$DU$323:$DU$422,$FG78))*IFERROR($QR$14,0)</f>
        <v>0</v>
      </c>
      <c r="GL78" s="313">
        <f>IF(VaporOxidizer!D109="FUEL GAS",SUMIF(VaporOxidizer!$E$101:$E$110,$FG78,VaporOxidizer!$F$101:$F$110),0)*IFERROR($QR$15,0)</f>
        <v>0</v>
      </c>
      <c r="GM78" s="313">
        <f>(_xlfn.MAXIFS(CtrlDevImpacts!$AN$57:$AN$156,CtrlDevImpacts!$AM$57:$AM$156,$FG78))*IFERROR($QR$15,0)</f>
        <v>0</v>
      </c>
      <c r="GN78" s="313">
        <f>(_xlfn.MAXIFS(VaporOxidizer!$F$111:$F$220,VaporOxidizer!$E$111:$E$220,$FG78)-_xlfn.MAXIFS(CtrlDevImpacts!$AN$57:$AN$156,CtrlDevImpacts!$AM$57:$AM$156,$FG78))*IFERROR($QR$15,0)</f>
        <v>0</v>
      </c>
      <c r="GO78" s="155">
        <f>_xlfn.MAXIFS(LandEmiss!$F$335:$F$434,LandEmiss!$A$335:$A$434,$FG78)*IFERROR($QR$15,0)</f>
        <v>0</v>
      </c>
      <c r="GP78" s="155">
        <f>(_xlfn.MAXIFS(LandEmiss!$BK$335:$BK$434,LandEmiss!$BO$335:$BO$434,$FG78)+_xlfn.MAXIFS(LandEmiss!$DZ$323:$DZ$422,LandEmiss!$DU$323:$DU$422,$FG78))*IFERROR($QR$15,0)</f>
        <v>0</v>
      </c>
      <c r="GQ78" s="313">
        <f>_xlfn.MAXIFS(CtrlDevImpacts!$BD$57:$BD$156,CtrlDevImpacts!$BC$57:$BC$156,$FG78)*IFERROR(Hidden!$QR$16,0)</f>
        <v>0</v>
      </c>
      <c r="GR78" s="313">
        <f>(_xlfn.MAXIFS(CAS!$H$35:$H$144,CAS!$E$35:$E$144,$FG78)-_xlfn.MAXIFS(CtrlDevImpacts!$BD$57:$BD$156,CtrlDevImpacts!$BC$57:$BC$156,$FG78))*IFERROR(Hidden!$QR$16,0)</f>
        <v>0</v>
      </c>
      <c r="GS78" s="155">
        <f>_xlfn.MAXIFS(LandEmiss!$H$335:$H$434,LandEmiss!$A$335:$A$434,$FG78)*IFERROR($QR$27,0)</f>
        <v>0</v>
      </c>
      <c r="GT78" s="155">
        <f>(_xlfn.MAXIFS(LandEmiss!$BK$335:$BK$434,LandEmiss!$BQ$335:$BQ$434,$FG78)+_xlfn.MAXIFS(LandEmiss!$EB$323:$EB$422,LandEmiss!$DU$323:$DU$422,$FG78))*IFERROR($QR$27,0)</f>
        <v>0</v>
      </c>
      <c r="GU78" s="155">
        <f>_xlfn.MAXIFS(LandEmiss!$J$335:$J$434,LandEmiss!$A$335:$A$434,$FG78)*IFERROR($QR$26,0)</f>
        <v>0</v>
      </c>
      <c r="GV78" s="155">
        <f>(_xlfn.MAXIFS(LandEmiss!$BK$335:$BK$434,LandEmiss!$BS$335:$BS$434,$FG78)+_xlfn.MAXIFS(LandEmiss!$ED$323:$ED$422,LandEmiss!$DU$323:$DU$422,$FG78))*IFERROR($QR$26,0)</f>
        <v>0</v>
      </c>
      <c r="GW78" s="155">
        <f>_xlfn.MAXIFS(LandEmiss!$L$335:$L$434,LandEmiss!$A$335:$A$434,$FG78)*IFERROR($QR$25,0)</f>
        <v>0</v>
      </c>
      <c r="GX78" s="155">
        <f>(_xlfn.MAXIFS(LandEmiss!$BK$335:$BK$434,LandEmiss!$BU$335:$BU$434,$FG78)+_xlfn.MAXIFS(LandEmiss!$EF$323:$EF$422,LandEmiss!$DU$323:$DU$422,$FG78))*IFERROR($QR$25,0)</f>
        <v>0</v>
      </c>
      <c r="GY78" s="155">
        <v>0</v>
      </c>
      <c r="GZ78" s="155">
        <v>0</v>
      </c>
      <c r="HA78" s="155">
        <f>IF(OR(HeaterBoiler1!$E$26&lt;&gt;"fuel gas",HeaterBoiler1!$E$15&lt;&gt;"heater"),0,SUMIF(HeaterBoiler1!$A$54:$D$63,$FG78,HeaterBoiler1!$I$54:$I$63))*IFERROR($QR$19,0)</f>
        <v>0</v>
      </c>
      <c r="HB78" s="207">
        <f>IF(OR(HeaterBoiler2!$E$26&lt;&gt;"fuel gas",HeaterBoiler2!$E$15&lt;&gt;"heater"),0,SUMIF(HeaterBoiler2!$A$54:$D$63,$FG78,HeaterBoiler2!$I$54:$I$63))*IFERROR($QR$21,0)</f>
        <v>0</v>
      </c>
      <c r="HC78" s="155">
        <f>IF(OR(HeaterBoiler1!$E$26&lt;&gt;"fuel gas",HeaterBoiler1!$E$15&lt;&gt;"boiler"),0,SUMIF(HeaterBoiler1!$A$41:$A$50,$FG78,HeaterBoiler1!$F$41:$F$50))*IFERROR($QR$20,0)</f>
        <v>0</v>
      </c>
      <c r="HD78" s="207">
        <f>IF(OR(HeaterBoiler2!$E$26&lt;&gt;"fuel gas",HeaterBoiler2!$E$15&lt;&gt;"boiler"),0,SUMIF(HeaterBoiler2!$A$41:$A$50,$FG78,HeaterBoiler2!$F$41:$F$50))*IFERROR($QR$22,0)</f>
        <v>0</v>
      </c>
      <c r="HE78" s="155">
        <f>SUMIF(Fug!$A$96:$A$205,$FG78,Fug!$I$96:$I$205)*IFERROR(Hidden!$QR$23,0)</f>
        <v>0</v>
      </c>
      <c r="HF78" s="155">
        <f t="shared" si="46"/>
        <v>0</v>
      </c>
      <c r="HG78" s="156">
        <f t="shared" si="47"/>
        <v>0</v>
      </c>
      <c r="HH78" s="156">
        <f t="shared" si="48"/>
        <v>0</v>
      </c>
      <c r="HI78" s="156">
        <f t="shared" si="49"/>
        <v>0</v>
      </c>
      <c r="HJ78" s="156">
        <f t="shared" si="50"/>
        <v>0</v>
      </c>
      <c r="HK78" s="156">
        <f t="shared" si="51"/>
        <v>0</v>
      </c>
      <c r="HL78" s="156">
        <f t="shared" si="52"/>
        <v>0</v>
      </c>
      <c r="NO78" s="155">
        <f>IF(Tank1!$D$22="No control",(SUMIF(Tank1!$E$32:$E$141,$FG78,Tank1!$H$32:$H$141)*(2000/8760)*IFERROR($QV$3,0)),0)</f>
        <v>0</v>
      </c>
      <c r="NP78" s="156">
        <f>SUMIF(LandEmiss!$AE$20:$AE$119,$FG78,LandEmiss!$AK$20:$AK$119)*(2000/8760)*IFERROR($QV$3,0)</f>
        <v>0</v>
      </c>
      <c r="NQ78" s="156">
        <f>(SUMIF(LandEmiss!$CN$20:$CN$119,$FG78,LandEmiss!$CT$20:$CT$119)+SUMIF(LandEmiss!$EY$9:$EY$108,$FG78,LandEmiss!$FE$9:$FE$108))*IFERROR($QV$3,0)*(2000/8760)</f>
        <v>0</v>
      </c>
      <c r="NR78" s="155">
        <f>IF(Tank2!$D$22="No control",(SUMIF(Tank2!$E$32:$E$141,$FG78,Tank2!$H$32:$H$141)*(2000/8760)*IFERROR($QV$4,0)),0)</f>
        <v>0</v>
      </c>
      <c r="NS78" s="156">
        <f>SUMIF(LandEmiss!$AE$20:$AE$119,$FG78,LandEmiss!$AL$20:$AL$119)*(2000/8760)*IFERROR($QV$4,0)</f>
        <v>0</v>
      </c>
      <c r="NT78" s="156">
        <f>(SUMIF(LandEmiss!$CN$20:$CN$119,$FG78,LandEmiss!$CU$20:$CU$119)+SUMIF(LandEmiss!$EY$9:$EY$108,$FG78,LandEmiss!$FF$9:$FF$108))*IFERROR($QV$4,0)*(2000/8760)</f>
        <v>0</v>
      </c>
      <c r="NU78" s="155">
        <f>IF(Tank3!$D$22="No control",(SUMIF(Tank3!$E$32:$E$141,$FG78,Tank3!$H$32:$H$141)*(2000/8760)*IFERROR($QV$5,0)),0)</f>
        <v>0</v>
      </c>
      <c r="NV78" s="156">
        <f>SUMIF(LandEmiss!$AE$20:$AE$119,$FG78,LandEmiss!$AM$20:$AM$119)*(2000/8760)*IFERROR($QV$5,0)</f>
        <v>0</v>
      </c>
      <c r="NW78" s="156">
        <f>(SUMIF(LandEmiss!$CN$20:$CN$119,$FG78,LandEmiss!$CV$20:$CV$119)+SUMIF(LandEmiss!$EY$9:$EY$108,$FG78,LandEmiss!$FG$9:$FG$108))*IFERROR($QV$5,0)*(2000/8760)</f>
        <v>0</v>
      </c>
      <c r="NX78" s="155">
        <f>IF(Tank4!$D$22="No control",(SUMIF(Tank4!$E$32:$E$141,$FG78,Tank4!$H$32:$H$141)*(2000/8760)*IFERROR($QV$6,0)),0)</f>
        <v>0</v>
      </c>
      <c r="NY78" s="156">
        <f>SUMIF(LandEmiss!$AE$20:$AE$119,$FG78,LandEmiss!$AN$20:$AN$119)*(2000/8760)*IFERROR($QV$6,0)</f>
        <v>0</v>
      </c>
      <c r="NZ78" s="156">
        <f>(SUMIF(LandEmiss!$CN$20:$CN$119,$FG78,LandEmiss!$CW$20:$CW$119)+SUMIF(LandEmiss!$EY$9:$EY$108,$FG78,LandEmiss!$FH$9:$FH$108))*IFERROR($QV$6,0)*(2000/8760)</f>
        <v>0</v>
      </c>
      <c r="OA78" s="155">
        <f>IF(Tank5!$D$22="No control",(SUMIF(Tank5!$E$32:$E$141,$FG78,Tank5!$H$32:$H$141)*(2000/8760)*IFERROR($QV$7,0)),0)</f>
        <v>0</v>
      </c>
      <c r="OB78" s="156">
        <f>SUMIF(LandEmiss!$AE$20:$AE$119,$FG78,LandEmiss!$AO$20:$AO$119)*(2000/8760)*IFERROR($QV$7,0)</f>
        <v>0</v>
      </c>
      <c r="OC78" s="156">
        <f>(SUMIF(LandEmiss!$CN$20:$CN$119,$FG78,LandEmiss!$CX$20:$CX$119)+SUMIF(LandEmiss!$EY$9:$EY$108,$FG78,LandEmiss!$FI$9:$FI$108))*IFERROR($QV$7,0)*(2000/8760)</f>
        <v>0</v>
      </c>
      <c r="OD78" s="155">
        <f>SUMIFS('Load-DrumTote'!$L$27:$L$136,'Load-DrumTote'!$F$27:$F$136,$FG78)*IFERROR($QV$8,0)*(2000/8760)</f>
        <v>0</v>
      </c>
      <c r="OE78" s="155">
        <f>SUMIFS('Load-Truck'!$L$27:$L$136,'Load-Truck'!$F$27:$F$136,$FG78)*IFERROR($QV$9,0)*(2000/8760)</f>
        <v>0</v>
      </c>
      <c r="OF78" s="155">
        <f>SUMIFS('Load-Rail'!$L$27:$L$136,'Load-Rail'!$F$27:$F$136,$FG78)*IFERROR($QV$10,0)*(2000/8760)</f>
        <v>0</v>
      </c>
      <c r="OG78" s="155">
        <f>SUMIFS('Load-MarineBarge'!$L$27:$L$136,'Load-MarineBarge'!$F$27:$F$136,$FG78)*IFERROR($QV$11,0)*(2000/8760)</f>
        <v>0</v>
      </c>
      <c r="OH78" s="155">
        <f>SUMIFS('Load-MarineShip'!$L$27:$L$136,'Load-MarineShip'!$F$27:$F$136,$FG78)*IFERROR($QV$12,0)*(2000/8760)</f>
        <v>0</v>
      </c>
      <c r="OI78" s="155">
        <f>(IF(OR(Flare!$D$24="FUEL GAS",Flare!$D$38="FUEL GAS"),SUMIF(Flare!$E$97:$E$106,$FG78,Flare!$G$97:$G$105),0)+SUMIF(Flare!$E$107:$E$216,$FG78,Flare!$G$107:$G$216))*(2000/8730)*IFERROR($QV$13,0)</f>
        <v>0</v>
      </c>
      <c r="OJ78" s="155">
        <f>SUMIF(LandEmiss!$A$335:$A$434,$FG78,LandEmiss!$C$335:$C$434)*(2000/8760)*IFERROR($QV$13,0)</f>
        <v>0</v>
      </c>
      <c r="OK78" s="155">
        <f>(SUMIF(LandEmiss!$BJ$335:$BJ$434,$FG78,LandEmiss!$BL$335:$BL$434)+SUMIF(LandEmiss!$DU$323:$DU$422,$FG78,LandEmiss!$DW$323:$DW$422))*(2000/8760)*IFERROR($QV$13,0)</f>
        <v>0</v>
      </c>
      <c r="OL78" s="155">
        <f>(IF(OR(VCU!$D$26="FUEL GAS",VCU!$D$42="FUEL GAS"),SUMIF(VCU!$E$120:$E$129,$FG78,VCU!$G$120:$G$129),0)+SUMIF(VCU!$E$130:$E$239,$FG78,VCU!G206:G315))*(2000/8760)*IFERROR($QV$14,0)</f>
        <v>0</v>
      </c>
      <c r="OM78" s="155">
        <f>SUMIF(LandEmiss!$A$335:$A$434,$FG78,LandEmiss!$E$335:$E$434)*(2000/8760)*IFERROR($QV$14,0)</f>
        <v>0</v>
      </c>
      <c r="ON78" s="155">
        <f>(SUMIF(LandEmiss!$BJ$335:$BJ$434,$FG78,LandEmiss!$BN$335:$BN$434)+SUMIF(LandEmiss!$DU$323:$DU$422,$FG78,LandEmiss!$DY$323:$DY$422))*(2000/8760)*IFERROR($QV$14,0)</f>
        <v>0</v>
      </c>
      <c r="OO78" s="155">
        <f>(IF(VaporOxidizer!$D$33="FUEL GAS",SUMIF(VaporOxidizer!$E$101:$E$110,$FG78,VaporOxidizer!$G$101:$G$110),0)+SUMIF(VaporOxidizer!$E$111:$E$220,$FG78,VaporOxidizer!$G$111:$G$220))*(2000/8760)*IFERROR($QV$15,0)</f>
        <v>0</v>
      </c>
      <c r="OP78" s="155">
        <f>SUMIF(LandEmiss!$A$335:$A$434,$FG78,LandEmiss!$G$335:$G$434)*(2000/8760)*IFERROR($QV$15,0)</f>
        <v>0</v>
      </c>
      <c r="OQ78" s="155">
        <f>(SUMIF(LandEmiss!$BJ$335:$BJ$434,$FG78,LandEmiss!$BP$335:$BP$434)+SUMIF(LandEmiss!$DU$323:$DU$422,$FG78,LandEmiss!$EA$323:$EA$422))*(2000/8760)*IFERROR($QV$15,0)</f>
        <v>0</v>
      </c>
      <c r="OR78" s="155">
        <f>SUMIF(CAS!$E$35:$E$144,Hidden!$FG78,CAS!$I$35:$I$144)*IFERROR($QV$16,0)*(2000/8760)</f>
        <v>0</v>
      </c>
      <c r="OS78" s="155">
        <f>SUMIF(LandEmiss!$A$335:$A$434,$FG78,LandEmiss!$I$335:$I$434)*(2000/8760)*IFERROR($QV$27,0)</f>
        <v>0</v>
      </c>
      <c r="OT78" s="155">
        <f>(SUMIF(LandEmiss!$BJ$335:$BJ$434,$FG78,LandEmiss!$BR$335:$BR$434)+SUMIF(LandEmiss!$DU$323:$DU$422,$FG78,LandEmiss!$EC$323:$EC$422))*(2000/8760)*IFERROR($QV$27,0)</f>
        <v>0</v>
      </c>
      <c r="OU78" s="155">
        <f>SUMIF(LandEmiss!$A$335:$A$434,$FG78,LandEmiss!$K$335:$K$434)*(2000/8760)*IFERROR($QV$26,0)</f>
        <v>0</v>
      </c>
      <c r="OV78" s="155">
        <f>(SUMIF(LandEmiss!$BJ$335:$BJ$434,$FG78,LandEmiss!$BT$335:$BT$434)+SUMIF(LandEmiss!$DU$323:$DU$422,$FG78,LandEmiss!$EE$323:$EE$422))*(2000/8760)*IFERROR($QV$26,0)</f>
        <v>0</v>
      </c>
      <c r="OW78" s="155">
        <f>SUMIF(LandEmiss!$A$335:$A$434,$FG78,LandEmiss!$M$335:$M$434)*(2000/8760)*IFERROR($QV$25,0)</f>
        <v>0</v>
      </c>
      <c r="OX78" s="155">
        <f>(SUMIF(LandEmiss!$BJ$335:$BJ$434,$FG78,LandEmiss!$BV$335:$BV$434)+SUMIF(LandEmiss!$DU$323:$DU$422,$FG78,LandEmiss!$EG$323:$EG$422))*(2000/8760)*IFERROR($QV$25,0)</f>
        <v>0</v>
      </c>
      <c r="OY78" s="8">
        <v>0</v>
      </c>
      <c r="OZ78" s="207">
        <v>0</v>
      </c>
      <c r="PA78" s="207">
        <f>IF(OR(HeaterBoiler1!$E$26&lt;&gt;"fuel gas",HeaterBoiler1!$E$15&lt;&gt;"heater"),0,(SUMIF(HeaterBoiler1!$A$54:$D$63,$FG78,HeaterBoiler1!$J$54:$J$63))*(2000/8760))*IFERROR($QV$19,0)</f>
        <v>0</v>
      </c>
      <c r="PB78" s="207">
        <f>IF(OR(HeaterBoiler2!$E$26&lt;&gt;"fuel gas",HeaterBoiler2!$E$15&lt;&gt;"heater"),0,(SUMIF(HeaterBoiler2!$A$54:$D$63,$FG78,HeaterBoiler2!$J$54:$J$63))*(2000/8760))*IFERROR($QV$21,0)</f>
        <v>0</v>
      </c>
      <c r="PC78" s="207">
        <f>IF(OR(HeaterBoiler1!$E$26&lt;&gt;"fuel gas",HeaterBoiler1!$E$15&lt;&gt;"boiler"),0,(SUMIF(HeaterBoiler1!$A$54:$D$63,$FG78,HeaterBoiler1!$J$54:$J$63))*(2000/8760))*IFERROR($QV$20,0)</f>
        <v>0</v>
      </c>
      <c r="PD78" s="207">
        <f>IF(OR(HeaterBoiler2!$E$26&lt;&gt;"fuel gas",HeaterBoiler2!$E$15&lt;&gt;"boiler"),0,(SUMIF(HeaterBoiler2!$A$54:$D$63,$FG78,HeaterBoiler2!$J$54:$J$63))*(2000/8760))*IFERROR($QV$22,0)</f>
        <v>0</v>
      </c>
      <c r="PE78" s="8">
        <f>(SUMIF(Fug!$A$96:$A$205,$FG78,Fug!$J$96:$J$205))*IFERROR($QV$23,0)*(2000/8760)</f>
        <v>0</v>
      </c>
      <c r="PF78" s="8">
        <f t="shared" si="53"/>
        <v>0</v>
      </c>
      <c r="PG78" s="156">
        <f t="shared" si="54"/>
        <v>0</v>
      </c>
      <c r="QX78" s="89" t="s">
        <v>9324</v>
      </c>
      <c r="QY78">
        <v>7.23</v>
      </c>
      <c r="QZ78">
        <v>7.23</v>
      </c>
      <c r="RA78">
        <v>7.23</v>
      </c>
      <c r="RB78">
        <v>7.23</v>
      </c>
      <c r="RC78">
        <v>7.23</v>
      </c>
      <c r="RD78">
        <v>7.05</v>
      </c>
      <c r="RE78">
        <v>7.05</v>
      </c>
      <c r="RF78">
        <v>6.1</v>
      </c>
      <c r="RG78" s="90">
        <v>4.91</v>
      </c>
      <c r="RH78" s="89" t="s">
        <v>9324</v>
      </c>
      <c r="RI78">
        <v>6.55</v>
      </c>
      <c r="RJ78">
        <v>6.55</v>
      </c>
      <c r="RK78">
        <v>6.55</v>
      </c>
      <c r="RL78">
        <v>6.55</v>
      </c>
      <c r="RM78">
        <v>6.55</v>
      </c>
      <c r="RN78">
        <v>6.55</v>
      </c>
      <c r="RO78">
        <v>6.55</v>
      </c>
      <c r="RP78">
        <v>5.76</v>
      </c>
      <c r="RQ78" s="90">
        <v>4.75</v>
      </c>
      <c r="RR78" s="89" t="s">
        <v>9324</v>
      </c>
      <c r="RS78">
        <v>6.39</v>
      </c>
      <c r="RT78">
        <v>6.39</v>
      </c>
      <c r="RU78">
        <v>6.39</v>
      </c>
      <c r="RV78">
        <v>6.39</v>
      </c>
      <c r="RW78">
        <v>6.39</v>
      </c>
      <c r="RX78">
        <v>6.39</v>
      </c>
      <c r="RY78">
        <v>6.39</v>
      </c>
      <c r="RZ78">
        <v>5.49</v>
      </c>
      <c r="SA78" s="90">
        <v>4.6100000000000003</v>
      </c>
      <c r="SB78" s="89" t="s">
        <v>9324</v>
      </c>
      <c r="SC78">
        <v>5.55</v>
      </c>
      <c r="SD78">
        <v>5.55</v>
      </c>
      <c r="SE78">
        <v>5.55</v>
      </c>
      <c r="SF78">
        <v>5.55</v>
      </c>
      <c r="SG78">
        <v>5.55</v>
      </c>
      <c r="SH78">
        <v>5.55</v>
      </c>
      <c r="SI78">
        <v>5.55</v>
      </c>
      <c r="SJ78">
        <v>4.2699999999999996</v>
      </c>
      <c r="SK78" s="90">
        <v>3.6</v>
      </c>
      <c r="SL78" s="89" t="s">
        <v>9324</v>
      </c>
      <c r="SM78">
        <v>1.25</v>
      </c>
      <c r="SN78">
        <v>1.25</v>
      </c>
      <c r="SO78">
        <v>1.25</v>
      </c>
      <c r="SP78">
        <v>1.25</v>
      </c>
      <c r="SQ78">
        <v>1.25</v>
      </c>
      <c r="SR78">
        <v>1.25</v>
      </c>
      <c r="SS78">
        <v>1.25</v>
      </c>
      <c r="ST78">
        <v>1.1000000000000001</v>
      </c>
      <c r="SU78" s="90">
        <v>0.86</v>
      </c>
    </row>
    <row r="79" spans="23:515" ht="74.25" customHeight="1" x14ac:dyDescent="0.2">
      <c r="W79">
        <f>IF(OR(X79=0,ISNUMBER(MATCH(X79,$X$1:X78,0))),0,MAX($W$1:W78)+1)</f>
        <v>0</v>
      </c>
      <c r="X79" s="123">
        <f>Products!$E126</f>
        <v>0</v>
      </c>
      <c r="Y79" t="str">
        <f t="shared" si="42"/>
        <v/>
      </c>
      <c r="CA79">
        <f>IF(OR(CB79=0,ISNUMBER(MATCH(CB79,$CB$1:CB78,0))),0,MAX($CA$1:CA78)+1)</f>
        <v>0</v>
      </c>
      <c r="CB79" s="8">
        <f>IF(OR(Tank1!$D$18="EXTERNAL FLOATING ROOF",Tank1!$D$18="INTERNAL FLOATING ROOF"),IF(Tank1!$E109="",0,Tank1!$E109),0)</f>
        <v>0</v>
      </c>
      <c r="CC79" s="8" t="str">
        <f t="shared" si="43"/>
        <v/>
      </c>
      <c r="CD79" s="8"/>
      <c r="CE79" s="8">
        <f>IF(OR(CF79=0,ISNUMBER(MATCH(CF79,$CF$1:CF78,0))),0,MAX($CE$1:CE78)+1)</f>
        <v>0</v>
      </c>
      <c r="CF79" s="8">
        <f>IF(OR(Tank1!$D$18="HORIZONTAL FIXED ROOF",Tank1!$D$18="VERTICAL FIXED ROOF"),IF(Tank1!$E109="",0,Tank1!$E109),0)</f>
        <v>0</v>
      </c>
      <c r="CG79" s="8" t="str">
        <f t="shared" si="44"/>
        <v/>
      </c>
      <c r="DM79">
        <f>IF(OR(DN79=0,ISNUMBER(MATCH(DN79,$DN$1:DN78,0))),0,MAX($DM$1:DM78)+1)</f>
        <v>0</v>
      </c>
      <c r="DN79">
        <f>IF('Load-Rail'!$F$19="Flare",IFERROR(VLOOKUP(Products!$A$129,'Load-Rail'!$A$27:$B$136,1,FALSE),0),0)</f>
        <v>0</v>
      </c>
      <c r="DO79">
        <f>IF($DN79=0,0,VLOOKUP($DN79,'Load-Rail'!$A$27:$N$136,13,FALSE))</f>
        <v>0</v>
      </c>
      <c r="DP79">
        <f>IF($DN79=0,0,VLOOKUP($DN79,'Load-Rail'!$A$27:$N$136,14,FALSE))</f>
        <v>0</v>
      </c>
      <c r="DU79">
        <f>IF(OR(DV79=0,ISNUMBER(MATCH(DV79,$DV$1:DV78,0))),0,MAX($DU$1:DU78)+1)</f>
        <v>0</v>
      </c>
      <c r="DV79">
        <f>IF('Load-Rail'!$F$19="VCU",IFERROR(VLOOKUP(Products!$A$129,'Load-Rail'!$A$27:$B$136,1,FALSE),0),0)</f>
        <v>0</v>
      </c>
      <c r="DW79">
        <f>IF($DV79=0,0,VLOOKUP($DV79,'Load-Rail'!$A$27:$N$136,13,FALSE))</f>
        <v>0</v>
      </c>
      <c r="DX79">
        <f>IF($DV79=0,0,VLOOKUP($DV79,'Load-Rail'!$A$27:$N$136,14,FALSE))</f>
        <v>0</v>
      </c>
      <c r="EC79">
        <f>IF(OR(ED79=0,ISNUMBER(MATCH(ED79,$ED$1:ED78,0))),0,MAX($EC$1:EC78)+1)</f>
        <v>0</v>
      </c>
      <c r="ED79">
        <f>IF('Load-Rail'!$F$19="vapor oxidizer",IFERROR(VLOOKUP(Products!$A$129,'Load-Rail'!$A$27:$B$136,1,FALSE),0),0)</f>
        <v>0</v>
      </c>
      <c r="EE79">
        <f>IF($ED79=0,0,VLOOKUP($ED79,'Load-Rail'!$A$27:$N$136,13,FALSE))</f>
        <v>0</v>
      </c>
      <c r="EF79">
        <f>IF($ED79=0,0,VLOOKUP($ED79,'Load-Rail'!$A$27:$N$136,14,FALSE))</f>
        <v>0</v>
      </c>
      <c r="EK79">
        <f>IF(OR(EL79=0,ISNUMBER(MATCH(EL79,$EL$1:EL78,0))),0,MAX($EK$1:EK78)+1)</f>
        <v>0</v>
      </c>
      <c r="EL79">
        <f>IF('Load-Rail'!$F$19="CAS",IFERROR(VLOOKUP(Products!A129,'Load-Rail'!$A$27:$B$136,1,FALSE),0),0)</f>
        <v>0</v>
      </c>
      <c r="EM79">
        <f>IF($EL79=0,0,VLOOKUP($EL79,'Load-Rail'!$A$27:$N$136,13,FALSE))</f>
        <v>0</v>
      </c>
      <c r="EN79">
        <f>IF($EL79=0,0,VLOOKUP($EL79,'Load-Rail'!$A$27:$N$136,14,FALSE))</f>
        <v>0</v>
      </c>
      <c r="FB79" s="8" t="s">
        <v>504</v>
      </c>
      <c r="FC79" s="8" t="s">
        <v>505</v>
      </c>
      <c r="FD79" s="8">
        <v>50000</v>
      </c>
      <c r="FE79" s="8">
        <v>5000</v>
      </c>
      <c r="FG79" s="360" t="str">
        <f t="shared" si="45"/>
        <v/>
      </c>
      <c r="FH79" s="155">
        <f>IF(Tank1!$D$22="NO CONTROL",_xlfn.MAXIFS(Tank1!$G$32:$G$141,Tank1!$E$32:$E$141,$FG79),0)*IFERROR($QR$3,0)</f>
        <v>0</v>
      </c>
      <c r="FI79" s="155">
        <f>_xlfn.MAXIFS(LandEmiss!$AF$20:$AF$119,LandEmiss!$AE$20:$AE$119,$FG79)*IFERROR($QR$3,0)</f>
        <v>0</v>
      </c>
      <c r="FJ79" s="155">
        <f>MAX(_xlfn.MAXIFS(LandEmiss!$CO$20:$CO$119,LandEmiss!$CN$20:$CN$119,$FG79),_xlfn.MAXIFS(LandEmiss!$EZ$9:$EZ$108,LandEmiss!$EY$9:$EY$108,$FG79))*IFERROR($QR$3,0)</f>
        <v>0</v>
      </c>
      <c r="FK79" s="155">
        <f>IF(Tank2!$D$22="NO CONTROL",_xlfn.MAXIFS(Tank2!$G$32:$G$141,Tank2!$E$32:$E$141,$FG79),0)*IFERROR($QR$4,0)</f>
        <v>0</v>
      </c>
      <c r="FL79" s="155">
        <f>_xlfn.MAXIFS(LandEmiss!$AG$20:$AG$119,LandEmiss!$AE$20:$AE$119,$FG79)*IFERROR($QR$4,0)</f>
        <v>0</v>
      </c>
      <c r="FM79" s="155">
        <f>MAX(_xlfn.MAXIFS(LandEmiss!$CP$20:$CP$119,LandEmiss!$CN$20:$CN$119,$FG79),_xlfn.MAXIFS(LandEmiss!$FA$9:$FA$108,LandEmiss!$EY$9:$EY$108,$FG79))*IFERROR($QR$4,0)</f>
        <v>0</v>
      </c>
      <c r="FN79" s="155">
        <f>IF(Tank3!$D$22="NO CONTROL",_xlfn.MAXIFS(Tank3!$G$32:$G$141,Tank3!$E$32:$E$141,$FG79),0)*IFERROR($QR$5,0)</f>
        <v>0</v>
      </c>
      <c r="FO79" s="155">
        <f>_xlfn.MAXIFS(LandEmiss!$AH$20:$AH$119,LandEmiss!$AE$20:$AE$119,$FG79)*IFERROR($QR$5,0)</f>
        <v>0</v>
      </c>
      <c r="FP79" s="155">
        <f>MAX(_xlfn.MAXIFS(LandEmiss!$CQ$20:$CQ$119,LandEmiss!$CN$20:$CN$119,$FG79),_xlfn.MAXIFS(LandEmiss!$FB$9:$FB$108,LandEmiss!$EY$9:$EY$108,$FG79))*IFERROR($QR$5,0)</f>
        <v>0</v>
      </c>
      <c r="FQ79" s="155">
        <f>IF(Tank4!$D$22="NO CONTROL",_xlfn.MAXIFS(Tank4!$G$32:$G$141,Tank4!$E$32:$E$141,$FG79),0)*IFERROR($QR$6,0)</f>
        <v>0</v>
      </c>
      <c r="FR79" s="155">
        <f>_xlfn.MAXIFS(LandEmiss!$AI$20:$AI$119,LandEmiss!$AE$20:$AE$119,$FG79)*IFERROR($QR$6,0)</f>
        <v>0</v>
      </c>
      <c r="FS79" s="155">
        <f>MAX(_xlfn.MAXIFS(LandEmiss!$CR$20:$CR$119,LandEmiss!$CN$20:$CN$119,$FG79),_xlfn.MAXIFS(LandEmiss!$FC$9:$FC$108,LandEmiss!$EY$9:$EY$108,$FG79))*IFERROR($QR$6,0)</f>
        <v>0</v>
      </c>
      <c r="FT79" s="155">
        <f>IF(Tank5!$D$22="NO CONTROL",_xlfn.MAXIFS(Tank5!$G$32:$G$141,Tank5!$E$32:$E$141,$FG79),0)*IFERROR($QR$7,0)</f>
        <v>0</v>
      </c>
      <c r="FU79" s="155">
        <f>_xlfn.MAXIFS(LandEmiss!$AJ$20:$AJ$119,LandEmiss!$AE$20:$AE$119,$FG79)*IFERROR($QR$7,0)</f>
        <v>0</v>
      </c>
      <c r="FV79" s="155">
        <f>MAX(_xlfn.MAXIFS(LandEmiss!$CS$20:$CS$119,LandEmiss!$CN$20:$CN$119,$FG79),_xlfn.MAXIFS(LandEmiss!$FD$9:$FD$108,LandEmiss!$EY$9:$EY$108,$FG79))*IFERROR($QR84,0)</f>
        <v>0</v>
      </c>
      <c r="FW79" s="155">
        <f>_xlfn.MAXIFS('Load-DrumTote'!$K$27:$K$136,'Load-DrumTote'!$F$27:$F$136,$FG79)*IFERROR($QR$8,0)</f>
        <v>0</v>
      </c>
      <c r="FX79" s="155">
        <f>_xlfn.MAXIFS('Load-Truck'!$K$27:$K$136,'Load-Truck'!$F$27:$F$136,$FG79)*IFERROR($QR$9,0)</f>
        <v>0</v>
      </c>
      <c r="FY79" s="155">
        <f>_xlfn.MAXIFS('Load-Rail'!$K$27:$K$136,'Load-Rail'!$F$27:$F$136,$FG79)*IFERROR($QR$10,0)</f>
        <v>0</v>
      </c>
      <c r="FZ79" s="155">
        <f>_xlfn.MAXIFS('Load-MarineBarge'!$K$27:$K$136,'Load-MarineBarge'!$F$27:$F$136,$FG79)*IFERROR($QR$11,0)</f>
        <v>0</v>
      </c>
      <c r="GA79" s="155">
        <f>_xlfn.MAXIFS('Load-MarineShip'!$K$27:$K$136,'Load-MarineShip'!$F$27:$F$136,$FG79)*IFERROR($QR$12,0)</f>
        <v>0</v>
      </c>
      <c r="GB79" s="313">
        <f>IF(OR(Flare!$D$24="fuel gas",Flare!$D$38="fuel gas"),SUMIF(Flare!$E$97:$E$106,$FG79,Flare!$F$97:$F$106),0)*IFERROR($QR$13,0)</f>
        <v>0</v>
      </c>
      <c r="GC79" s="313">
        <f>(_xlfn.MAXIFS(CtrlDevImpacts!$I$57:$I$156,CtrlDevImpacts!$H$57:$H$156,$FG79))*IFERROR($QR$13,0)</f>
        <v>0</v>
      </c>
      <c r="GD79" s="313">
        <f>(_xlfn.MAXIFS(Flare!$F$107:$F$216,Flare!$E$107:$E$216,$FG79)-_xlfn.MAXIFS(CtrlDevImpacts!$I$57:$I$156,CtrlDevImpacts!$H$57:$H$156,$FG79))*IFERROR($QR$13,0)</f>
        <v>0</v>
      </c>
      <c r="GE79" s="155">
        <f>_xlfn.MAXIFS(LandEmiss!$B$335:$B$434,LandEmiss!$A$335:$A$434,$FG79)*IFERROR($QR$13,0)</f>
        <v>0</v>
      </c>
      <c r="GF79" s="155">
        <f>(_xlfn.MAXIFS(LandEmiss!$BK$335:$BK$434,LandEmiss!$BJ$335:$BJ$434,$FG79)+_xlfn.MAXIFS(LandEmiss!$DV$323:$DV$422,LandEmiss!$DU$323:$DU$422,$FG79))*IFERROR($QR$13,0)</f>
        <v>0</v>
      </c>
      <c r="GG79" s="313">
        <f>IF(OR(VCU!$D$26="fuel gas",VCU!$D$42="fuel gas"),SUMIF(VCU!$E$120:$E$129,$FG79,VCU!$F$120:$F$129),0)*IFERROR($QR$14,0)</f>
        <v>0</v>
      </c>
      <c r="GH79" s="313">
        <f>(_xlfn.MAXIFS(CtrlDevImpacts!$X$57:$X$156,CtrlDevImpacts!$W$57:$W$156,$FG79))*IFERROR($QR$14,0)</f>
        <v>0</v>
      </c>
      <c r="GI79" s="313">
        <f>(_xlfn.MAXIFS(VCU!$F$130:$F$239,VCU!$E$130:$E$239,$FG79)-_xlfn.MAXIFS(CtrlDevImpacts!$X$57:$X$156,CtrlDevImpacts!$W$57:$W$156,$FG79))*IFERROR($QR$14,0)</f>
        <v>0</v>
      </c>
      <c r="GJ79" s="155">
        <f>_xlfn.MAXIFS(LandEmiss!$D$335:$D$434,LandEmiss!$A$335:$A$434,$FG79)*IFERROR($QR$14,0)</f>
        <v>0</v>
      </c>
      <c r="GK79" s="155">
        <f>(_xlfn.MAXIFS(LandEmiss!$BM$335:$BM$434,LandEmiss!$BJ$335:$BJ$434,$FG79)+_xlfn.MAXIFS(LandEmiss!$DX$323:$DX$422,LandEmiss!$DU$323:$DU$422,$FG79))*IFERROR($QR$14,0)</f>
        <v>0</v>
      </c>
      <c r="GL79" s="313">
        <f>IF(VaporOxidizer!D110="FUEL GAS",SUMIF(VaporOxidizer!$E$101:$E$110,$FG79,VaporOxidizer!$F$101:$F$110),0)*IFERROR($QR$15,0)</f>
        <v>0</v>
      </c>
      <c r="GM79" s="313">
        <f>(_xlfn.MAXIFS(CtrlDevImpacts!$AN$57:$AN$156,CtrlDevImpacts!$AM$57:$AM$156,$FG79))*IFERROR($QR$15,0)</f>
        <v>0</v>
      </c>
      <c r="GN79" s="313">
        <f>(_xlfn.MAXIFS(VaporOxidizer!$F$111:$F$220,VaporOxidizer!$E$111:$E$220,$FG79)-_xlfn.MAXIFS(CtrlDevImpacts!$AN$57:$AN$156,CtrlDevImpacts!$AM$57:$AM$156,$FG79))*IFERROR($QR$15,0)</f>
        <v>0</v>
      </c>
      <c r="GO79" s="155">
        <f>_xlfn.MAXIFS(LandEmiss!$F$335:$F$434,LandEmiss!$A$335:$A$434,$FG79)*IFERROR($QR$15,0)</f>
        <v>0</v>
      </c>
      <c r="GP79" s="155">
        <f>(_xlfn.MAXIFS(LandEmiss!$BK$335:$BK$434,LandEmiss!$BO$335:$BO$434,$FG79)+_xlfn.MAXIFS(LandEmiss!$DZ$323:$DZ$422,LandEmiss!$DU$323:$DU$422,$FG79))*IFERROR($QR$15,0)</f>
        <v>0</v>
      </c>
      <c r="GQ79" s="313">
        <f>_xlfn.MAXIFS(CtrlDevImpacts!$BD$57:$BD$156,CtrlDevImpacts!$BC$57:$BC$156,$FG79)*IFERROR(Hidden!$QR$16,0)</f>
        <v>0</v>
      </c>
      <c r="GR79" s="313">
        <f>(_xlfn.MAXIFS(CAS!$H$35:$H$144,CAS!$E$35:$E$144,$FG79)-_xlfn.MAXIFS(CtrlDevImpacts!$BD$57:$BD$156,CtrlDevImpacts!$BC$57:$BC$156,$FG79))*IFERROR(Hidden!$QR$16,0)</f>
        <v>0</v>
      </c>
      <c r="GS79" s="155">
        <f>_xlfn.MAXIFS(LandEmiss!$H$335:$H$434,LandEmiss!$A$335:$A$434,$FG79)*IFERROR($QR$27,0)</f>
        <v>0</v>
      </c>
      <c r="GT79" s="155">
        <f>(_xlfn.MAXIFS(LandEmiss!$BK$335:$BK$434,LandEmiss!$BQ$335:$BQ$434,$FG79)+_xlfn.MAXIFS(LandEmiss!$EB$323:$EB$422,LandEmiss!$DU$323:$DU$422,$FG79))*IFERROR($QR$27,0)</f>
        <v>0</v>
      </c>
      <c r="GU79" s="155">
        <f>_xlfn.MAXIFS(LandEmiss!$J$335:$J$434,LandEmiss!$A$335:$A$434,$FG79)*IFERROR($QR$26,0)</f>
        <v>0</v>
      </c>
      <c r="GV79" s="155">
        <f>(_xlfn.MAXIFS(LandEmiss!$BK$335:$BK$434,LandEmiss!$BS$335:$BS$434,$FG79)+_xlfn.MAXIFS(LandEmiss!$ED$323:$ED$422,LandEmiss!$DU$323:$DU$422,$FG79))*IFERROR($QR$26,0)</f>
        <v>0</v>
      </c>
      <c r="GW79" s="155">
        <f>_xlfn.MAXIFS(LandEmiss!$L$335:$L$434,LandEmiss!$A$335:$A$434,$FG79)*IFERROR($QR$25,0)</f>
        <v>0</v>
      </c>
      <c r="GX79" s="155">
        <f>(_xlfn.MAXIFS(LandEmiss!$BK$335:$BK$434,LandEmiss!$BU$335:$BU$434,$FG79)+_xlfn.MAXIFS(LandEmiss!$EF$323:$EF$422,LandEmiss!$DU$323:$DU$422,$FG79))*IFERROR($QR$25,0)</f>
        <v>0</v>
      </c>
      <c r="GY79" s="155">
        <v>0</v>
      </c>
      <c r="GZ79" s="155">
        <v>0</v>
      </c>
      <c r="HA79" s="155">
        <f>IF(OR(HeaterBoiler1!$E$26&lt;&gt;"fuel gas",HeaterBoiler1!$E$15&lt;&gt;"heater"),0,SUMIF(HeaterBoiler1!$A$54:$D$63,$FG79,HeaterBoiler1!$I$54:$I$63))*IFERROR($QR$19,0)</f>
        <v>0</v>
      </c>
      <c r="HB79" s="207">
        <f>IF(OR(HeaterBoiler2!$E$26&lt;&gt;"fuel gas",HeaterBoiler2!$E$15&lt;&gt;"heater"),0,SUMIF(HeaterBoiler2!$A$54:$D$63,$FG79,HeaterBoiler2!$I$54:$I$63))*IFERROR($QR$21,0)</f>
        <v>0</v>
      </c>
      <c r="HC79" s="155">
        <f>IF(OR(HeaterBoiler1!$E$26&lt;&gt;"fuel gas",HeaterBoiler1!$E$15&lt;&gt;"boiler"),0,SUMIF(HeaterBoiler1!$A$41:$A$50,$FG79,HeaterBoiler1!$F$41:$F$50))*IFERROR($QR$20,0)</f>
        <v>0</v>
      </c>
      <c r="HD79" s="207">
        <f>IF(OR(HeaterBoiler2!$E$26&lt;&gt;"fuel gas",HeaterBoiler2!$E$15&lt;&gt;"boiler"),0,SUMIF(HeaterBoiler2!$A$41:$A$50,$FG79,HeaterBoiler2!$F$41:$F$50))*IFERROR($QR$22,0)</f>
        <v>0</v>
      </c>
      <c r="HE79" s="155">
        <f>SUMIF(Fug!$A$96:$A$205,$FG79,Fug!$I$96:$I$205)*IFERROR(Hidden!$QR$23,0)</f>
        <v>0</v>
      </c>
      <c r="HF79" s="155">
        <f t="shared" si="46"/>
        <v>0</v>
      </c>
      <c r="HG79" s="156">
        <f t="shared" si="47"/>
        <v>0</v>
      </c>
      <c r="HH79" s="156">
        <f t="shared" si="48"/>
        <v>0</v>
      </c>
      <c r="HI79" s="156">
        <f t="shared" si="49"/>
        <v>0</v>
      </c>
      <c r="HJ79" s="156">
        <f t="shared" si="50"/>
        <v>0</v>
      </c>
      <c r="HK79" s="156">
        <f t="shared" si="51"/>
        <v>0</v>
      </c>
      <c r="HL79" s="156">
        <f t="shared" si="52"/>
        <v>0</v>
      </c>
      <c r="NO79" s="155">
        <f>IF(Tank1!$D$22="No control",(SUMIF(Tank1!$E$32:$E$141,$FG79,Tank1!$H$32:$H$141)*(2000/8760)*IFERROR($QV$3,0)),0)</f>
        <v>0</v>
      </c>
      <c r="NP79" s="156">
        <f>SUMIF(LandEmiss!$AE$20:$AE$119,$FG79,LandEmiss!$AK$20:$AK$119)*(2000/8760)*IFERROR($QV$3,0)</f>
        <v>0</v>
      </c>
      <c r="NQ79" s="156">
        <f>(SUMIF(LandEmiss!$CN$20:$CN$119,$FG79,LandEmiss!$CT$20:$CT$119)+SUMIF(LandEmiss!$EY$9:$EY$108,$FG79,LandEmiss!$FE$9:$FE$108))*IFERROR($QV$3,0)*(2000/8760)</f>
        <v>0</v>
      </c>
      <c r="NR79" s="155">
        <f>IF(Tank2!$D$22="No control",(SUMIF(Tank2!$E$32:$E$141,$FG79,Tank2!$H$32:$H$141)*(2000/8760)*IFERROR($QV$4,0)),0)</f>
        <v>0</v>
      </c>
      <c r="NS79" s="156">
        <f>SUMIF(LandEmiss!$AE$20:$AE$119,$FG79,LandEmiss!$AL$20:$AL$119)*(2000/8760)*IFERROR($QV$4,0)</f>
        <v>0</v>
      </c>
      <c r="NT79" s="156">
        <f>(SUMIF(LandEmiss!$CN$20:$CN$119,$FG79,LandEmiss!$CU$20:$CU$119)+SUMIF(LandEmiss!$EY$9:$EY$108,$FG79,LandEmiss!$FF$9:$FF$108))*IFERROR($QV$4,0)*(2000/8760)</f>
        <v>0</v>
      </c>
      <c r="NU79" s="155">
        <f>IF(Tank3!$D$22="No control",(SUMIF(Tank3!$E$32:$E$141,$FG79,Tank3!$H$32:$H$141)*(2000/8760)*IFERROR($QV$5,0)),0)</f>
        <v>0</v>
      </c>
      <c r="NV79" s="156">
        <f>SUMIF(LandEmiss!$AE$20:$AE$119,$FG79,LandEmiss!$AM$20:$AM$119)*(2000/8760)*IFERROR($QV$5,0)</f>
        <v>0</v>
      </c>
      <c r="NW79" s="156">
        <f>(SUMIF(LandEmiss!$CN$20:$CN$119,$FG79,LandEmiss!$CV$20:$CV$119)+SUMIF(LandEmiss!$EY$9:$EY$108,$FG79,LandEmiss!$FG$9:$FG$108))*IFERROR($QV$5,0)*(2000/8760)</f>
        <v>0</v>
      </c>
      <c r="NX79" s="155">
        <f>IF(Tank4!$D$22="No control",(SUMIF(Tank4!$E$32:$E$141,$FG79,Tank4!$H$32:$H$141)*(2000/8760)*IFERROR($QV$6,0)),0)</f>
        <v>0</v>
      </c>
      <c r="NY79" s="156">
        <f>SUMIF(LandEmiss!$AE$20:$AE$119,$FG79,LandEmiss!$AN$20:$AN$119)*(2000/8760)*IFERROR($QV$6,0)</f>
        <v>0</v>
      </c>
      <c r="NZ79" s="156">
        <f>(SUMIF(LandEmiss!$CN$20:$CN$119,$FG79,LandEmiss!$CW$20:$CW$119)+SUMIF(LandEmiss!$EY$9:$EY$108,$FG79,LandEmiss!$FH$9:$FH$108))*IFERROR($QV$6,0)*(2000/8760)</f>
        <v>0</v>
      </c>
      <c r="OA79" s="155">
        <f>IF(Tank5!$D$22="No control",(SUMIF(Tank5!$E$32:$E$141,$FG79,Tank5!$H$32:$H$141)*(2000/8760)*IFERROR($QV$7,0)),0)</f>
        <v>0</v>
      </c>
      <c r="OB79" s="156">
        <f>SUMIF(LandEmiss!$AE$20:$AE$119,$FG79,LandEmiss!$AO$20:$AO$119)*(2000/8760)*IFERROR($QV$7,0)</f>
        <v>0</v>
      </c>
      <c r="OC79" s="156">
        <f>(SUMIF(LandEmiss!$CN$20:$CN$119,$FG79,LandEmiss!$CX$20:$CX$119)+SUMIF(LandEmiss!$EY$9:$EY$108,$FG79,LandEmiss!$FI$9:$FI$108))*IFERROR($QV$7,0)*(2000/8760)</f>
        <v>0</v>
      </c>
      <c r="OD79" s="155">
        <f>SUMIFS('Load-DrumTote'!$L$27:$L$136,'Load-DrumTote'!$F$27:$F$136,$FG79)*IFERROR($QV$8,0)*(2000/8760)</f>
        <v>0</v>
      </c>
      <c r="OE79" s="155">
        <f>SUMIFS('Load-Truck'!$L$27:$L$136,'Load-Truck'!$F$27:$F$136,$FG79)*IFERROR($QV$9,0)*(2000/8760)</f>
        <v>0</v>
      </c>
      <c r="OF79" s="155">
        <f>SUMIFS('Load-Rail'!$L$27:$L$136,'Load-Rail'!$F$27:$F$136,$FG79)*IFERROR($QV$10,0)*(2000/8760)</f>
        <v>0</v>
      </c>
      <c r="OG79" s="155">
        <f>SUMIFS('Load-MarineBarge'!$L$27:$L$136,'Load-MarineBarge'!$F$27:$F$136,$FG79)*IFERROR($QV$11,0)*(2000/8760)</f>
        <v>0</v>
      </c>
      <c r="OH79" s="155">
        <f>SUMIFS('Load-MarineShip'!$L$27:$L$136,'Load-MarineShip'!$F$27:$F$136,$FG79)*IFERROR($QV$12,0)*(2000/8760)</f>
        <v>0</v>
      </c>
      <c r="OI79" s="155">
        <f>(IF(OR(Flare!$D$24="FUEL GAS",Flare!$D$38="FUEL GAS"),SUMIF(Flare!$E$97:$E$106,$FG79,Flare!$G$97:$G$105),0)+SUMIF(Flare!$E$107:$E$216,$FG79,Flare!$G$107:$G$216))*(2000/8730)*IFERROR($QV$13,0)</f>
        <v>0</v>
      </c>
      <c r="OJ79" s="155">
        <f>SUMIF(LandEmiss!$A$335:$A$434,$FG79,LandEmiss!$C$335:$C$434)*(2000/8760)*IFERROR($QV$13,0)</f>
        <v>0</v>
      </c>
      <c r="OK79" s="155">
        <f>(SUMIF(LandEmiss!$BJ$335:$BJ$434,$FG79,LandEmiss!$BL$335:$BL$434)+SUMIF(LandEmiss!$DU$323:$DU$422,$FG79,LandEmiss!$DW$323:$DW$422))*(2000/8760)*IFERROR($QV$13,0)</f>
        <v>0</v>
      </c>
      <c r="OL79" s="155">
        <f>(IF(OR(VCU!$D$26="FUEL GAS",VCU!$D$42="FUEL GAS"),SUMIF(VCU!$E$120:$E$129,$FG79,VCU!$G$120:$G$129),0)+SUMIF(VCU!$E$130:$E$239,$FG79,VCU!G207:G316))*(2000/8760)*IFERROR($QV$14,0)</f>
        <v>0</v>
      </c>
      <c r="OM79" s="155">
        <f>SUMIF(LandEmiss!$A$335:$A$434,$FG79,LandEmiss!$E$335:$E$434)*(2000/8760)*IFERROR($QV$14,0)</f>
        <v>0</v>
      </c>
      <c r="ON79" s="155">
        <f>(SUMIF(LandEmiss!$BJ$335:$BJ$434,$FG79,LandEmiss!$BN$335:$BN$434)+SUMIF(LandEmiss!$DU$323:$DU$422,$FG79,LandEmiss!$DY$323:$DY$422))*(2000/8760)*IFERROR($QV$14,0)</f>
        <v>0</v>
      </c>
      <c r="OO79" s="155">
        <f>(IF(VaporOxidizer!$D$33="FUEL GAS",SUMIF(VaporOxidizer!$E$101:$E$110,$FG79,VaporOxidizer!$G$101:$G$110),0)+SUMIF(VaporOxidizer!$E$111:$E$220,$FG79,VaporOxidizer!$G$111:$G$220))*(2000/8760)*IFERROR($QV$15,0)</f>
        <v>0</v>
      </c>
      <c r="OP79" s="155">
        <f>SUMIF(LandEmiss!$A$335:$A$434,$FG79,LandEmiss!$G$335:$G$434)*(2000/8760)*IFERROR($QV$15,0)</f>
        <v>0</v>
      </c>
      <c r="OQ79" s="155">
        <f>(SUMIF(LandEmiss!$BJ$335:$BJ$434,$FG79,LandEmiss!$BP$335:$BP$434)+SUMIF(LandEmiss!$DU$323:$DU$422,$FG79,LandEmiss!$EA$323:$EA$422))*(2000/8760)*IFERROR($QV$15,0)</f>
        <v>0</v>
      </c>
      <c r="OR79" s="155">
        <f>SUMIF(CAS!$E$35:$E$144,Hidden!$FG79,CAS!$I$35:$I$144)*IFERROR($QV$16,0)*(2000/8760)</f>
        <v>0</v>
      </c>
      <c r="OS79" s="155">
        <f>SUMIF(LandEmiss!$A$335:$A$434,$FG79,LandEmiss!$I$335:$I$434)*(2000/8760)*IFERROR($QV$27,0)</f>
        <v>0</v>
      </c>
      <c r="OT79" s="155">
        <f>(SUMIF(LandEmiss!$BJ$335:$BJ$434,$FG79,LandEmiss!$BR$335:$BR$434)+SUMIF(LandEmiss!$DU$323:$DU$422,$FG79,LandEmiss!$EC$323:$EC$422))*(2000/8760)*IFERROR($QV$27,0)</f>
        <v>0</v>
      </c>
      <c r="OU79" s="155">
        <f>SUMIF(LandEmiss!$A$335:$A$434,$FG79,LandEmiss!$K$335:$K$434)*(2000/8760)*IFERROR($QV$26,0)</f>
        <v>0</v>
      </c>
      <c r="OV79" s="155">
        <f>(SUMIF(LandEmiss!$BJ$335:$BJ$434,$FG79,LandEmiss!$BT$335:$BT$434)+SUMIF(LandEmiss!$DU$323:$DU$422,$FG79,LandEmiss!$EE$323:$EE$422))*(2000/8760)*IFERROR($QV$26,0)</f>
        <v>0</v>
      </c>
      <c r="OW79" s="155">
        <f>SUMIF(LandEmiss!$A$335:$A$434,$FG79,LandEmiss!$M$335:$M$434)*(2000/8760)*IFERROR($QV$25,0)</f>
        <v>0</v>
      </c>
      <c r="OX79" s="155">
        <f>(SUMIF(LandEmiss!$BJ$335:$BJ$434,$FG79,LandEmiss!$BV$335:$BV$434)+SUMIF(LandEmiss!$DU$323:$DU$422,$FG79,LandEmiss!$EG$323:$EG$422))*(2000/8760)*IFERROR($QV$25,0)</f>
        <v>0</v>
      </c>
      <c r="OY79" s="8">
        <v>0</v>
      </c>
      <c r="OZ79" s="207">
        <v>0</v>
      </c>
      <c r="PA79" s="207">
        <f>IF(OR(HeaterBoiler1!$E$26&lt;&gt;"fuel gas",HeaterBoiler1!$E$15&lt;&gt;"heater"),0,(SUMIF(HeaterBoiler1!$A$54:$D$63,$FG79,HeaterBoiler1!$J$54:$J$63))*(2000/8760))*IFERROR($QV$19,0)</f>
        <v>0</v>
      </c>
      <c r="PB79" s="207">
        <f>IF(OR(HeaterBoiler2!$E$26&lt;&gt;"fuel gas",HeaterBoiler2!$E$15&lt;&gt;"heater"),0,(SUMIF(HeaterBoiler2!$A$54:$D$63,$FG79,HeaterBoiler2!$J$54:$J$63))*(2000/8760))*IFERROR($QV$21,0)</f>
        <v>0</v>
      </c>
      <c r="PC79" s="207">
        <f>IF(OR(HeaterBoiler1!$E$26&lt;&gt;"fuel gas",HeaterBoiler1!$E$15&lt;&gt;"boiler"),0,(SUMIF(HeaterBoiler1!$A$54:$D$63,$FG79,HeaterBoiler1!$J$54:$J$63))*(2000/8760))*IFERROR($QV$20,0)</f>
        <v>0</v>
      </c>
      <c r="PD79" s="207">
        <f>IF(OR(HeaterBoiler2!$E$26&lt;&gt;"fuel gas",HeaterBoiler2!$E$15&lt;&gt;"boiler"),0,(SUMIF(HeaterBoiler2!$A$54:$D$63,$FG79,HeaterBoiler2!$J$54:$J$63))*(2000/8760))*IFERROR($QV$22,0)</f>
        <v>0</v>
      </c>
      <c r="PE79" s="8">
        <f>(SUMIF(Fug!$A$96:$A$205,$FG79,Fug!$J$96:$J$205))*IFERROR($QV$23,0)*(2000/8760)</f>
        <v>0</v>
      </c>
      <c r="PF79" s="8">
        <f t="shared" si="53"/>
        <v>0</v>
      </c>
      <c r="PG79" s="156">
        <f t="shared" si="54"/>
        <v>0</v>
      </c>
      <c r="QX79" s="89" t="s">
        <v>9325</v>
      </c>
      <c r="QY79">
        <v>5.59</v>
      </c>
      <c r="QZ79">
        <v>5.59</v>
      </c>
      <c r="RA79">
        <v>5.59</v>
      </c>
      <c r="RB79">
        <v>5.59</v>
      </c>
      <c r="RC79">
        <v>5.59</v>
      </c>
      <c r="RD79">
        <v>5.55</v>
      </c>
      <c r="RE79">
        <v>5.2</v>
      </c>
      <c r="RF79">
        <v>4.6399999999999997</v>
      </c>
      <c r="RG79" s="90">
        <v>4.08</v>
      </c>
      <c r="RH79" s="89" t="s">
        <v>9325</v>
      </c>
      <c r="RI79">
        <v>4.6100000000000003</v>
      </c>
      <c r="RJ79">
        <v>4.6100000000000003</v>
      </c>
      <c r="RK79">
        <v>4.6100000000000003</v>
      </c>
      <c r="RL79">
        <v>4.6100000000000003</v>
      </c>
      <c r="RM79">
        <v>4.6100000000000003</v>
      </c>
      <c r="RN79">
        <v>4.6100000000000003</v>
      </c>
      <c r="RO79">
        <v>4.54</v>
      </c>
      <c r="RP79">
        <v>4.26</v>
      </c>
      <c r="RQ79" s="90">
        <v>3.71</v>
      </c>
      <c r="RR79" s="89" t="s">
        <v>9325</v>
      </c>
      <c r="RS79">
        <v>4.0999999999999996</v>
      </c>
      <c r="RT79">
        <v>4.0999999999999996</v>
      </c>
      <c r="RU79">
        <v>4.0999999999999996</v>
      </c>
      <c r="RV79">
        <v>4.0999999999999996</v>
      </c>
      <c r="RW79">
        <v>4.0999999999999996</v>
      </c>
      <c r="RX79">
        <v>4.0999999999999996</v>
      </c>
      <c r="RY79">
        <v>4.0999999999999996</v>
      </c>
      <c r="RZ79">
        <v>4.04</v>
      </c>
      <c r="SA79" s="90">
        <v>3.57</v>
      </c>
      <c r="SB79" s="89" t="s">
        <v>9325</v>
      </c>
      <c r="SC79">
        <v>3.61</v>
      </c>
      <c r="SD79">
        <v>3.61</v>
      </c>
      <c r="SE79">
        <v>3.61</v>
      </c>
      <c r="SF79">
        <v>3.61</v>
      </c>
      <c r="SG79">
        <v>3.61</v>
      </c>
      <c r="SH79">
        <v>3.61</v>
      </c>
      <c r="SI79">
        <v>3.61</v>
      </c>
      <c r="SJ79">
        <v>3.41</v>
      </c>
      <c r="SK79" s="90">
        <v>2.81</v>
      </c>
      <c r="SL79" s="89" t="s">
        <v>9325</v>
      </c>
      <c r="SM79">
        <v>0.84</v>
      </c>
      <c r="SN79">
        <v>0.84</v>
      </c>
      <c r="SO79">
        <v>0.84</v>
      </c>
      <c r="SP79">
        <v>0.84</v>
      </c>
      <c r="SQ79">
        <v>0.84</v>
      </c>
      <c r="SR79">
        <v>0.84</v>
      </c>
      <c r="SS79">
        <v>0.84</v>
      </c>
      <c r="ST79">
        <v>0.82</v>
      </c>
      <c r="SU79" s="90">
        <v>0.7</v>
      </c>
    </row>
    <row r="80" spans="23:515" ht="74.25" customHeight="1" x14ac:dyDescent="0.2">
      <c r="W80">
        <f>IF(OR(X80=0,ISNUMBER(MATCH(X80,$X$1:X79,0))),0,MAX($W$1:W79)+1)</f>
        <v>0</v>
      </c>
      <c r="X80" s="123">
        <f>Products!$E127</f>
        <v>0</v>
      </c>
      <c r="Y80" t="str">
        <f t="shared" si="42"/>
        <v/>
      </c>
      <c r="CA80">
        <f>IF(OR(CB80=0,ISNUMBER(MATCH(CB80,$CB$1:CB79,0))),0,MAX($CA$1:CA79)+1)</f>
        <v>0</v>
      </c>
      <c r="CB80" s="8">
        <f>IF(OR(Tank1!$D$18="EXTERNAL FLOATING ROOF",Tank1!$D$18="INTERNAL FLOATING ROOF"),IF(Tank1!$E110="",0,Tank1!$E110),0)</f>
        <v>0</v>
      </c>
      <c r="CC80" s="8" t="str">
        <f t="shared" si="43"/>
        <v/>
      </c>
      <c r="CD80" s="8"/>
      <c r="CE80" s="8">
        <f>IF(OR(CF80=0,ISNUMBER(MATCH(CF80,$CF$1:CF79,0))),0,MAX($CE$1:CE79)+1)</f>
        <v>0</v>
      </c>
      <c r="CF80" s="8">
        <f>IF(OR(Tank1!$D$18="HORIZONTAL FIXED ROOF",Tank1!$D$18="VERTICAL FIXED ROOF"),IF(Tank1!$E110="",0,Tank1!$E110),0)</f>
        <v>0</v>
      </c>
      <c r="CG80" s="8" t="str">
        <f t="shared" si="44"/>
        <v/>
      </c>
      <c r="DM80">
        <f>IF(OR(DN80=0,ISNUMBER(MATCH(DN80,$DN$1:DN79,0))),0,MAX($DM$1:DM79)+1)</f>
        <v>0</v>
      </c>
      <c r="DN80">
        <f>IF('Load-Rail'!$F$19="Flare",IFERROR(VLOOKUP(Products!$A$139,'Load-Rail'!$A$27:$B$136,1,FALSE),0),0)</f>
        <v>0</v>
      </c>
      <c r="DO80">
        <f>IF($DN80=0,0,VLOOKUP($DN80,'Load-Rail'!$A$27:$N$136,13,FALSE))</f>
        <v>0</v>
      </c>
      <c r="DP80">
        <f>IF($DN80=0,0,VLOOKUP($DN80,'Load-Rail'!$A$27:$N$136,14,FALSE))</f>
        <v>0</v>
      </c>
      <c r="DU80">
        <f>IF(OR(DV80=0,ISNUMBER(MATCH(DV80,$DV$1:DV79,0))),0,MAX($DU$1:DU79)+1)</f>
        <v>0</v>
      </c>
      <c r="DV80">
        <f>IF('Load-Rail'!$F$19="VCU",IFERROR(VLOOKUP(Products!$A$139,'Load-Rail'!$A$27:$B$136,1,FALSE),0),0)</f>
        <v>0</v>
      </c>
      <c r="DW80">
        <f>IF($DV80=0,0,VLOOKUP($DV80,'Load-Rail'!$A$27:$N$136,13,FALSE))</f>
        <v>0</v>
      </c>
      <c r="DX80">
        <f>IF($DV80=0,0,VLOOKUP($DV80,'Load-Rail'!$A$27:$N$136,14,FALSE))</f>
        <v>0</v>
      </c>
      <c r="EC80">
        <f>IF(OR(ED80=0,ISNUMBER(MATCH(ED80,$ED$1:ED79,0))),0,MAX($EC$1:EC79)+1)</f>
        <v>0</v>
      </c>
      <c r="ED80">
        <f>IF('Load-Rail'!$F$19="vapor oxidizer",IFERROR(VLOOKUP(Products!$A$139,'Load-Rail'!$A$27:$B$136,1,FALSE),0),0)</f>
        <v>0</v>
      </c>
      <c r="EE80">
        <f>IF($ED80=0,0,VLOOKUP($ED80,'Load-Rail'!$A$27:$N$136,13,FALSE))</f>
        <v>0</v>
      </c>
      <c r="EF80">
        <f>IF($ED80=0,0,VLOOKUP($ED80,'Load-Rail'!$A$27:$N$136,14,FALSE))</f>
        <v>0</v>
      </c>
      <c r="EK80">
        <f>IF(OR(EL80=0,ISNUMBER(MATCH(EL80,$EL$1:EL79,0))),0,MAX($EK$1:EK79)+1)</f>
        <v>0</v>
      </c>
      <c r="EL80">
        <f>IF('Load-Rail'!$F$19="CAS",IFERROR(VLOOKUP(Products!A139,'Load-Rail'!$A$27:$B$136,1,FALSE),0),0)</f>
        <v>0</v>
      </c>
      <c r="EM80">
        <f>IF($EL80=0,0,VLOOKUP($EL80,'Load-Rail'!$A$27:$N$136,13,FALSE))</f>
        <v>0</v>
      </c>
      <c r="EN80">
        <f>IF($EL80=0,0,VLOOKUP($EL80,'Load-Rail'!$A$27:$N$136,14,FALSE))</f>
        <v>0</v>
      </c>
      <c r="FB80" s="8" t="s">
        <v>506</v>
      </c>
      <c r="FC80" s="8" t="s">
        <v>507</v>
      </c>
      <c r="FD80" s="8">
        <v>10000</v>
      </c>
      <c r="FE80" s="8">
        <v>1000</v>
      </c>
      <c r="FG80" s="360" t="str">
        <f t="shared" si="45"/>
        <v/>
      </c>
      <c r="FH80" s="155">
        <f>IF(Tank1!$D$22="NO CONTROL",_xlfn.MAXIFS(Tank1!$G$32:$G$141,Tank1!$E$32:$E$141,$FG80),0)*IFERROR($QR$3,0)</f>
        <v>0</v>
      </c>
      <c r="FI80" s="155">
        <f>_xlfn.MAXIFS(LandEmiss!$AF$20:$AF$119,LandEmiss!$AE$20:$AE$119,$FG80)*IFERROR($QR$3,0)</f>
        <v>0</v>
      </c>
      <c r="FJ80" s="155">
        <f>MAX(_xlfn.MAXIFS(LandEmiss!$CO$20:$CO$119,LandEmiss!$CN$20:$CN$119,$FG80),_xlfn.MAXIFS(LandEmiss!$EZ$9:$EZ$108,LandEmiss!$EY$9:$EY$108,$FG80))*IFERROR($QR$3,0)</f>
        <v>0</v>
      </c>
      <c r="FK80" s="155">
        <f>IF(Tank2!$D$22="NO CONTROL",_xlfn.MAXIFS(Tank2!$G$32:$G$141,Tank2!$E$32:$E$141,$FG80),0)*IFERROR($QR$4,0)</f>
        <v>0</v>
      </c>
      <c r="FL80" s="155">
        <f>_xlfn.MAXIFS(LandEmiss!$AG$20:$AG$119,LandEmiss!$AE$20:$AE$119,$FG80)*IFERROR($QR$4,0)</f>
        <v>0</v>
      </c>
      <c r="FM80" s="155">
        <f>MAX(_xlfn.MAXIFS(LandEmiss!$CP$20:$CP$119,LandEmiss!$CN$20:$CN$119,$FG80),_xlfn.MAXIFS(LandEmiss!$FA$9:$FA$108,LandEmiss!$EY$9:$EY$108,$FG80))*IFERROR($QR$4,0)</f>
        <v>0</v>
      </c>
      <c r="FN80" s="155">
        <f>IF(Tank3!$D$22="NO CONTROL",_xlfn.MAXIFS(Tank3!$G$32:$G$141,Tank3!$E$32:$E$141,$FG80),0)*IFERROR($QR$5,0)</f>
        <v>0</v>
      </c>
      <c r="FO80" s="155">
        <f>_xlfn.MAXIFS(LandEmiss!$AH$20:$AH$119,LandEmiss!$AE$20:$AE$119,$FG80)*IFERROR($QR$5,0)</f>
        <v>0</v>
      </c>
      <c r="FP80" s="155">
        <f>MAX(_xlfn.MAXIFS(LandEmiss!$CQ$20:$CQ$119,LandEmiss!$CN$20:$CN$119,$FG80),_xlfn.MAXIFS(LandEmiss!$FB$9:$FB$108,LandEmiss!$EY$9:$EY$108,$FG80))*IFERROR($QR$5,0)</f>
        <v>0</v>
      </c>
      <c r="FQ80" s="155">
        <f>IF(Tank4!$D$22="NO CONTROL",_xlfn.MAXIFS(Tank4!$G$32:$G$141,Tank4!$E$32:$E$141,$FG80),0)*IFERROR($QR$6,0)</f>
        <v>0</v>
      </c>
      <c r="FR80" s="155">
        <f>_xlfn.MAXIFS(LandEmiss!$AI$20:$AI$119,LandEmiss!$AE$20:$AE$119,$FG80)*IFERROR($QR$6,0)</f>
        <v>0</v>
      </c>
      <c r="FS80" s="155">
        <f>MAX(_xlfn.MAXIFS(LandEmiss!$CR$20:$CR$119,LandEmiss!$CN$20:$CN$119,$FG80),_xlfn.MAXIFS(LandEmiss!$FC$9:$FC$108,LandEmiss!$EY$9:$EY$108,$FG80))*IFERROR($QR$6,0)</f>
        <v>0</v>
      </c>
      <c r="FT80" s="155">
        <f>IF(Tank5!$D$22="NO CONTROL",_xlfn.MAXIFS(Tank5!$G$32:$G$141,Tank5!$E$32:$E$141,$FG80),0)*IFERROR($QR$7,0)</f>
        <v>0</v>
      </c>
      <c r="FU80" s="155">
        <f>_xlfn.MAXIFS(LandEmiss!$AJ$20:$AJ$119,LandEmiss!$AE$20:$AE$119,$FG80)*IFERROR($QR$7,0)</f>
        <v>0</v>
      </c>
      <c r="FV80" s="155">
        <f>MAX(_xlfn.MAXIFS(LandEmiss!$CS$20:$CS$119,LandEmiss!$CN$20:$CN$119,$FG80),_xlfn.MAXIFS(LandEmiss!$FD$9:$FD$108,LandEmiss!$EY$9:$EY$108,$FG80))*IFERROR($QR85,0)</f>
        <v>0</v>
      </c>
      <c r="FW80" s="155">
        <f>_xlfn.MAXIFS('Load-DrumTote'!$K$27:$K$136,'Load-DrumTote'!$F$27:$F$136,$FG80)*IFERROR($QR$8,0)</f>
        <v>0</v>
      </c>
      <c r="FX80" s="155">
        <f>_xlfn.MAXIFS('Load-Truck'!$K$27:$K$136,'Load-Truck'!$F$27:$F$136,$FG80)*IFERROR($QR$9,0)</f>
        <v>0</v>
      </c>
      <c r="FY80" s="155">
        <f>_xlfn.MAXIFS('Load-Rail'!$K$27:$K$136,'Load-Rail'!$F$27:$F$136,$FG80)*IFERROR($QR$10,0)</f>
        <v>0</v>
      </c>
      <c r="FZ80" s="155">
        <f>_xlfn.MAXIFS('Load-MarineBarge'!$K$27:$K$136,'Load-MarineBarge'!$F$27:$F$136,$FG80)*IFERROR($QR$11,0)</f>
        <v>0</v>
      </c>
      <c r="GA80" s="155">
        <f>_xlfn.MAXIFS('Load-MarineShip'!$K$27:$K$136,'Load-MarineShip'!$F$27:$F$136,$FG80)*IFERROR($QR$12,0)</f>
        <v>0</v>
      </c>
      <c r="GB80" s="313">
        <f>IF(OR(Flare!$D$24="fuel gas",Flare!$D$38="fuel gas"),SUMIF(Flare!$E$97:$E$106,$FG80,Flare!$F$97:$F$106),0)*IFERROR($QR$13,0)</f>
        <v>0</v>
      </c>
      <c r="GC80" s="313">
        <f>(_xlfn.MAXIFS(CtrlDevImpacts!$I$57:$I$156,CtrlDevImpacts!$H$57:$H$156,$FG80))*IFERROR($QR$13,0)</f>
        <v>0</v>
      </c>
      <c r="GD80" s="313">
        <f>(_xlfn.MAXIFS(Flare!$F$107:$F$216,Flare!$E$107:$E$216,$FG80)-_xlfn.MAXIFS(CtrlDevImpacts!$I$57:$I$156,CtrlDevImpacts!$H$57:$H$156,$FG80))*IFERROR($QR$13,0)</f>
        <v>0</v>
      </c>
      <c r="GE80" s="155">
        <f>_xlfn.MAXIFS(LandEmiss!$B$335:$B$434,LandEmiss!$A$335:$A$434,$FG80)*IFERROR($QR$13,0)</f>
        <v>0</v>
      </c>
      <c r="GF80" s="155">
        <f>(_xlfn.MAXIFS(LandEmiss!$BK$335:$BK$434,LandEmiss!$BJ$335:$BJ$434,$FG80)+_xlfn.MAXIFS(LandEmiss!$DV$323:$DV$422,LandEmiss!$DU$323:$DU$422,$FG80))*IFERROR($QR$13,0)</f>
        <v>0</v>
      </c>
      <c r="GG80" s="313">
        <f>IF(OR(VCU!$D$26="fuel gas",VCU!$D$42="fuel gas"),SUMIF(VCU!$E$120:$E$129,$FG80,VCU!$F$120:$F$129),0)*IFERROR($QR$14,0)</f>
        <v>0</v>
      </c>
      <c r="GH80" s="313">
        <f>(_xlfn.MAXIFS(CtrlDevImpacts!$X$57:$X$156,CtrlDevImpacts!$W$57:$W$156,$FG80))*IFERROR($QR$14,0)</f>
        <v>0</v>
      </c>
      <c r="GI80" s="313">
        <f>(_xlfn.MAXIFS(VCU!$F$130:$F$239,VCU!$E$130:$E$239,$FG80)-_xlfn.MAXIFS(CtrlDevImpacts!$X$57:$X$156,CtrlDevImpacts!$W$57:$W$156,$FG80))*IFERROR($QR$14,0)</f>
        <v>0</v>
      </c>
      <c r="GJ80" s="155">
        <f>_xlfn.MAXIFS(LandEmiss!$D$335:$D$434,LandEmiss!$A$335:$A$434,$FG80)*IFERROR($QR$14,0)</f>
        <v>0</v>
      </c>
      <c r="GK80" s="155">
        <f>(_xlfn.MAXIFS(LandEmiss!$BM$335:$BM$434,LandEmiss!$BJ$335:$BJ$434,$FG80)+_xlfn.MAXIFS(LandEmiss!$DX$323:$DX$422,LandEmiss!$DU$323:$DU$422,$FG80))*IFERROR($QR$14,0)</f>
        <v>0</v>
      </c>
      <c r="GL80" s="313">
        <f>IF(VaporOxidizer!D111="FUEL GAS",SUMIF(VaporOxidizer!$E$101:$E$110,$FG80,VaporOxidizer!$F$101:$F$110),0)*IFERROR($QR$15,0)</f>
        <v>0</v>
      </c>
      <c r="GM80" s="313">
        <f>(_xlfn.MAXIFS(CtrlDevImpacts!$AN$57:$AN$156,CtrlDevImpacts!$AM$57:$AM$156,$FG80))*IFERROR($QR$15,0)</f>
        <v>0</v>
      </c>
      <c r="GN80" s="313">
        <f>(_xlfn.MAXIFS(VaporOxidizer!$F$111:$F$220,VaporOxidizer!$E$111:$E$220,$FG80)-_xlfn.MAXIFS(CtrlDevImpacts!$AN$57:$AN$156,CtrlDevImpacts!$AM$57:$AM$156,$FG80))*IFERROR($QR$15,0)</f>
        <v>0</v>
      </c>
      <c r="GO80" s="155">
        <f>_xlfn.MAXIFS(LandEmiss!$F$335:$F$434,LandEmiss!$A$335:$A$434,$FG80)*IFERROR($QR$15,0)</f>
        <v>0</v>
      </c>
      <c r="GP80" s="155">
        <f>(_xlfn.MAXIFS(LandEmiss!$BK$335:$BK$434,LandEmiss!$BO$335:$BO$434,$FG80)+_xlfn.MAXIFS(LandEmiss!$DZ$323:$DZ$422,LandEmiss!$DU$323:$DU$422,$FG80))*IFERROR($QR$15,0)</f>
        <v>0</v>
      </c>
      <c r="GQ80" s="313">
        <f>_xlfn.MAXIFS(CtrlDevImpacts!$BD$57:$BD$156,CtrlDevImpacts!$BC$57:$BC$156,$FG80)*IFERROR(Hidden!$QR$16,0)</f>
        <v>0</v>
      </c>
      <c r="GR80" s="313">
        <f>(_xlfn.MAXIFS(CAS!$H$35:$H$144,CAS!$E$35:$E$144,$FG80)-_xlfn.MAXIFS(CtrlDevImpacts!$BD$57:$BD$156,CtrlDevImpacts!$BC$57:$BC$156,$FG80))*IFERROR(Hidden!$QR$16,0)</f>
        <v>0</v>
      </c>
      <c r="GS80" s="155">
        <f>_xlfn.MAXIFS(LandEmiss!$H$335:$H$434,LandEmiss!$A$335:$A$434,$FG80)*IFERROR($QR$27,0)</f>
        <v>0</v>
      </c>
      <c r="GT80" s="155">
        <f>(_xlfn.MAXIFS(LandEmiss!$BK$335:$BK$434,LandEmiss!$BQ$335:$BQ$434,$FG80)+_xlfn.MAXIFS(LandEmiss!$EB$323:$EB$422,LandEmiss!$DU$323:$DU$422,$FG80))*IFERROR($QR$27,0)</f>
        <v>0</v>
      </c>
      <c r="GU80" s="155">
        <f>_xlfn.MAXIFS(LandEmiss!$J$335:$J$434,LandEmiss!$A$335:$A$434,$FG80)*IFERROR($QR$26,0)</f>
        <v>0</v>
      </c>
      <c r="GV80" s="155">
        <f>(_xlfn.MAXIFS(LandEmiss!$BK$335:$BK$434,LandEmiss!$BS$335:$BS$434,$FG80)+_xlfn.MAXIFS(LandEmiss!$ED$323:$ED$422,LandEmiss!$DU$323:$DU$422,$FG80))*IFERROR($QR$26,0)</f>
        <v>0</v>
      </c>
      <c r="GW80" s="155">
        <f>_xlfn.MAXIFS(LandEmiss!$L$335:$L$434,LandEmiss!$A$335:$A$434,$FG80)*IFERROR($QR$25,0)</f>
        <v>0</v>
      </c>
      <c r="GX80" s="155">
        <f>(_xlfn.MAXIFS(LandEmiss!$BK$335:$BK$434,LandEmiss!$BU$335:$BU$434,$FG80)+_xlfn.MAXIFS(LandEmiss!$EF$323:$EF$422,LandEmiss!$DU$323:$DU$422,$FG80))*IFERROR($QR$25,0)</f>
        <v>0</v>
      </c>
      <c r="GY80" s="155">
        <v>0</v>
      </c>
      <c r="GZ80" s="155">
        <v>0</v>
      </c>
      <c r="HA80" s="155">
        <f>IF(OR(HeaterBoiler1!$E$26&lt;&gt;"fuel gas",HeaterBoiler1!$E$15&lt;&gt;"heater"),0,SUMIF(HeaterBoiler1!$A$54:$D$63,$FG80,HeaterBoiler1!$I$54:$I$63))*IFERROR($QR$19,0)</f>
        <v>0</v>
      </c>
      <c r="HB80" s="207">
        <f>IF(OR(HeaterBoiler2!$E$26&lt;&gt;"fuel gas",HeaterBoiler2!$E$15&lt;&gt;"heater"),0,SUMIF(HeaterBoiler2!$A$54:$D$63,$FG80,HeaterBoiler2!$I$54:$I$63))*IFERROR($QR$21,0)</f>
        <v>0</v>
      </c>
      <c r="HC80" s="155">
        <f>IF(OR(HeaterBoiler1!$E$26&lt;&gt;"fuel gas",HeaterBoiler1!$E$15&lt;&gt;"boiler"),0,SUMIF(HeaterBoiler1!$A$41:$A$50,$FG80,HeaterBoiler1!$F$41:$F$50))*IFERROR($QR$20,0)</f>
        <v>0</v>
      </c>
      <c r="HD80" s="207">
        <f>IF(OR(HeaterBoiler2!$E$26&lt;&gt;"fuel gas",HeaterBoiler2!$E$15&lt;&gt;"boiler"),0,SUMIF(HeaterBoiler2!$A$41:$A$50,$FG80,HeaterBoiler2!$F$41:$F$50))*IFERROR($QR$22,0)</f>
        <v>0</v>
      </c>
      <c r="HE80" s="155">
        <f>SUMIF(Fug!$A$96:$A$205,$FG80,Fug!$I$96:$I$205)*IFERROR(Hidden!$QR$23,0)</f>
        <v>0</v>
      </c>
      <c r="HF80" s="155">
        <f t="shared" si="46"/>
        <v>0</v>
      </c>
      <c r="HG80" s="156">
        <f t="shared" si="47"/>
        <v>0</v>
      </c>
      <c r="HH80" s="156">
        <f t="shared" si="48"/>
        <v>0</v>
      </c>
      <c r="HI80" s="156">
        <f t="shared" si="49"/>
        <v>0</v>
      </c>
      <c r="HJ80" s="156">
        <f t="shared" si="50"/>
        <v>0</v>
      </c>
      <c r="HK80" s="156">
        <f t="shared" si="51"/>
        <v>0</v>
      </c>
      <c r="HL80" s="156">
        <f t="shared" si="52"/>
        <v>0</v>
      </c>
      <c r="NO80" s="155">
        <f>IF(Tank1!$D$22="No control",(SUMIF(Tank1!$E$32:$E$141,$FG80,Tank1!$H$32:$H$141)*(2000/8760)*IFERROR($QV$3,0)),0)</f>
        <v>0</v>
      </c>
      <c r="NP80" s="156">
        <f>SUMIF(LandEmiss!$AE$20:$AE$119,$FG80,LandEmiss!$AK$20:$AK$119)*(2000/8760)*IFERROR($QV$3,0)</f>
        <v>0</v>
      </c>
      <c r="NQ80" s="156">
        <f>(SUMIF(LandEmiss!$CN$20:$CN$119,$FG80,LandEmiss!$CT$20:$CT$119)+SUMIF(LandEmiss!$EY$9:$EY$108,$FG80,LandEmiss!$FE$9:$FE$108))*IFERROR($QV$3,0)*(2000/8760)</f>
        <v>0</v>
      </c>
      <c r="NR80" s="155">
        <f>IF(Tank2!$D$22="No control",(SUMIF(Tank2!$E$32:$E$141,$FG80,Tank2!$H$32:$H$141)*(2000/8760)*IFERROR($QV$4,0)),0)</f>
        <v>0</v>
      </c>
      <c r="NS80" s="156">
        <f>SUMIF(LandEmiss!$AE$20:$AE$119,$FG80,LandEmiss!$AL$20:$AL$119)*(2000/8760)*IFERROR($QV$4,0)</f>
        <v>0</v>
      </c>
      <c r="NT80" s="156">
        <f>(SUMIF(LandEmiss!$CN$20:$CN$119,$FG80,LandEmiss!$CU$20:$CU$119)+SUMIF(LandEmiss!$EY$9:$EY$108,$FG80,LandEmiss!$FF$9:$FF$108))*IFERROR($QV$4,0)*(2000/8760)</f>
        <v>0</v>
      </c>
      <c r="NU80" s="155">
        <f>IF(Tank3!$D$22="No control",(SUMIF(Tank3!$E$32:$E$141,$FG80,Tank3!$H$32:$H$141)*(2000/8760)*IFERROR($QV$5,0)),0)</f>
        <v>0</v>
      </c>
      <c r="NV80" s="156">
        <f>SUMIF(LandEmiss!$AE$20:$AE$119,$FG80,LandEmiss!$AM$20:$AM$119)*(2000/8760)*IFERROR($QV$5,0)</f>
        <v>0</v>
      </c>
      <c r="NW80" s="156">
        <f>(SUMIF(LandEmiss!$CN$20:$CN$119,$FG80,LandEmiss!$CV$20:$CV$119)+SUMIF(LandEmiss!$EY$9:$EY$108,$FG80,LandEmiss!$FG$9:$FG$108))*IFERROR($QV$5,0)*(2000/8760)</f>
        <v>0</v>
      </c>
      <c r="NX80" s="155">
        <f>IF(Tank4!$D$22="No control",(SUMIF(Tank4!$E$32:$E$141,$FG80,Tank4!$H$32:$H$141)*(2000/8760)*IFERROR($QV$6,0)),0)</f>
        <v>0</v>
      </c>
      <c r="NY80" s="156">
        <f>SUMIF(LandEmiss!$AE$20:$AE$119,$FG80,LandEmiss!$AN$20:$AN$119)*(2000/8760)*IFERROR($QV$6,0)</f>
        <v>0</v>
      </c>
      <c r="NZ80" s="156">
        <f>(SUMIF(LandEmiss!$CN$20:$CN$119,$FG80,LandEmiss!$CW$20:$CW$119)+SUMIF(LandEmiss!$EY$9:$EY$108,$FG80,LandEmiss!$FH$9:$FH$108))*IFERROR($QV$6,0)*(2000/8760)</f>
        <v>0</v>
      </c>
      <c r="OA80" s="155">
        <f>IF(Tank5!$D$22="No control",(SUMIF(Tank5!$E$32:$E$141,$FG80,Tank5!$H$32:$H$141)*(2000/8760)*IFERROR($QV$7,0)),0)</f>
        <v>0</v>
      </c>
      <c r="OB80" s="156">
        <f>SUMIF(LandEmiss!$AE$20:$AE$119,$FG80,LandEmiss!$AO$20:$AO$119)*(2000/8760)*IFERROR($QV$7,0)</f>
        <v>0</v>
      </c>
      <c r="OC80" s="156">
        <f>(SUMIF(LandEmiss!$CN$20:$CN$119,$FG80,LandEmiss!$CX$20:$CX$119)+SUMIF(LandEmiss!$EY$9:$EY$108,$FG80,LandEmiss!$FI$9:$FI$108))*IFERROR($QV$7,0)*(2000/8760)</f>
        <v>0</v>
      </c>
      <c r="OD80" s="155">
        <f>SUMIFS('Load-DrumTote'!$L$27:$L$136,'Load-DrumTote'!$F$27:$F$136,$FG80)*IFERROR($QV$8,0)*(2000/8760)</f>
        <v>0</v>
      </c>
      <c r="OE80" s="155">
        <f>SUMIFS('Load-Truck'!$L$27:$L$136,'Load-Truck'!$F$27:$F$136,$FG80)*IFERROR($QV$9,0)*(2000/8760)</f>
        <v>0</v>
      </c>
      <c r="OF80" s="155">
        <f>SUMIFS('Load-Rail'!$L$27:$L$136,'Load-Rail'!$F$27:$F$136,$FG80)*IFERROR($QV$10,0)*(2000/8760)</f>
        <v>0</v>
      </c>
      <c r="OG80" s="155">
        <f>SUMIFS('Load-MarineBarge'!$L$27:$L$136,'Load-MarineBarge'!$F$27:$F$136,$FG80)*IFERROR($QV$11,0)*(2000/8760)</f>
        <v>0</v>
      </c>
      <c r="OH80" s="155">
        <f>SUMIFS('Load-MarineShip'!$L$27:$L$136,'Load-MarineShip'!$F$27:$F$136,$FG80)*IFERROR($QV$12,0)*(2000/8760)</f>
        <v>0</v>
      </c>
      <c r="OI80" s="155">
        <f>(IF(OR(Flare!$D$24="FUEL GAS",Flare!$D$38="FUEL GAS"),SUMIF(Flare!$E$97:$E$106,$FG80,Flare!$G$97:$G$105),0)+SUMIF(Flare!$E$107:$E$216,$FG80,Flare!$G$107:$G$216))*(2000/8730)*IFERROR($QV$13,0)</f>
        <v>0</v>
      </c>
      <c r="OJ80" s="155">
        <f>SUMIF(LandEmiss!$A$335:$A$434,$FG80,LandEmiss!$C$335:$C$434)*(2000/8760)*IFERROR($QV$13,0)</f>
        <v>0</v>
      </c>
      <c r="OK80" s="155">
        <f>(SUMIF(LandEmiss!$BJ$335:$BJ$434,$FG80,LandEmiss!$BL$335:$BL$434)+SUMIF(LandEmiss!$DU$323:$DU$422,$FG80,LandEmiss!$DW$323:$DW$422))*(2000/8760)*IFERROR($QV$13,0)</f>
        <v>0</v>
      </c>
      <c r="OL80" s="155">
        <f>(IF(OR(VCU!$D$26="FUEL GAS",VCU!$D$42="FUEL GAS"),SUMIF(VCU!$E$120:$E$129,$FG80,VCU!$G$120:$G$129),0)+SUMIF(VCU!$E$130:$E$239,$FG80,VCU!G208:G317))*(2000/8760)*IFERROR($QV$14,0)</f>
        <v>0</v>
      </c>
      <c r="OM80" s="155">
        <f>SUMIF(LandEmiss!$A$335:$A$434,$FG80,LandEmiss!$E$335:$E$434)*(2000/8760)*IFERROR($QV$14,0)</f>
        <v>0</v>
      </c>
      <c r="ON80" s="155">
        <f>(SUMIF(LandEmiss!$BJ$335:$BJ$434,$FG80,LandEmiss!$BN$335:$BN$434)+SUMIF(LandEmiss!$DU$323:$DU$422,$FG80,LandEmiss!$DY$323:$DY$422))*(2000/8760)*IFERROR($QV$14,0)</f>
        <v>0</v>
      </c>
      <c r="OO80" s="155">
        <f>(IF(VaporOxidizer!$D$33="FUEL GAS",SUMIF(VaporOxidizer!$E$101:$E$110,$FG80,VaporOxidizer!$G$101:$G$110),0)+SUMIF(VaporOxidizer!$E$111:$E$220,$FG80,VaporOxidizer!$G$111:$G$220))*(2000/8760)*IFERROR($QV$15,0)</f>
        <v>0</v>
      </c>
      <c r="OP80" s="155">
        <f>SUMIF(LandEmiss!$A$335:$A$434,$FG80,LandEmiss!$G$335:$G$434)*(2000/8760)*IFERROR($QV$15,0)</f>
        <v>0</v>
      </c>
      <c r="OQ80" s="155">
        <f>(SUMIF(LandEmiss!$BJ$335:$BJ$434,$FG80,LandEmiss!$BP$335:$BP$434)+SUMIF(LandEmiss!$DU$323:$DU$422,$FG80,LandEmiss!$EA$323:$EA$422))*(2000/8760)*IFERROR($QV$15,0)</f>
        <v>0</v>
      </c>
      <c r="OR80" s="155">
        <f>SUMIF(CAS!$E$35:$E$144,Hidden!$FG80,CAS!$I$35:$I$144)*IFERROR($QV$16,0)*(2000/8760)</f>
        <v>0</v>
      </c>
      <c r="OS80" s="155">
        <f>SUMIF(LandEmiss!$A$335:$A$434,$FG80,LandEmiss!$I$335:$I$434)*(2000/8760)*IFERROR($QV$27,0)</f>
        <v>0</v>
      </c>
      <c r="OT80" s="155">
        <f>(SUMIF(LandEmiss!$BJ$335:$BJ$434,$FG80,LandEmiss!$BR$335:$BR$434)+SUMIF(LandEmiss!$DU$323:$DU$422,$FG80,LandEmiss!$EC$323:$EC$422))*(2000/8760)*IFERROR($QV$27,0)</f>
        <v>0</v>
      </c>
      <c r="OU80" s="155">
        <f>SUMIF(LandEmiss!$A$335:$A$434,$FG80,LandEmiss!$K$335:$K$434)*(2000/8760)*IFERROR($QV$26,0)</f>
        <v>0</v>
      </c>
      <c r="OV80" s="155">
        <f>(SUMIF(LandEmiss!$BJ$335:$BJ$434,$FG80,LandEmiss!$BT$335:$BT$434)+SUMIF(LandEmiss!$DU$323:$DU$422,$FG80,LandEmiss!$EE$323:$EE$422))*(2000/8760)*IFERROR($QV$26,0)</f>
        <v>0</v>
      </c>
      <c r="OW80" s="155">
        <f>SUMIF(LandEmiss!$A$335:$A$434,$FG80,LandEmiss!$M$335:$M$434)*(2000/8760)*IFERROR($QV$25,0)</f>
        <v>0</v>
      </c>
      <c r="OX80" s="155">
        <f>(SUMIF(LandEmiss!$BJ$335:$BJ$434,$FG80,LandEmiss!$BV$335:$BV$434)+SUMIF(LandEmiss!$DU$323:$DU$422,$FG80,LandEmiss!$EG$323:$EG$422))*(2000/8760)*IFERROR($QV$25,0)</f>
        <v>0</v>
      </c>
      <c r="OY80" s="8">
        <v>0</v>
      </c>
      <c r="OZ80" s="207">
        <v>0</v>
      </c>
      <c r="PA80" s="207">
        <f>IF(OR(HeaterBoiler1!$E$26&lt;&gt;"fuel gas",HeaterBoiler1!$E$15&lt;&gt;"heater"),0,(SUMIF(HeaterBoiler1!$A$54:$D$63,$FG80,HeaterBoiler1!$J$54:$J$63))*(2000/8760))*IFERROR($QV$19,0)</f>
        <v>0</v>
      </c>
      <c r="PB80" s="207">
        <f>IF(OR(HeaterBoiler2!$E$26&lt;&gt;"fuel gas",HeaterBoiler2!$E$15&lt;&gt;"heater"),0,(SUMIF(HeaterBoiler2!$A$54:$D$63,$FG80,HeaterBoiler2!$J$54:$J$63))*(2000/8760))*IFERROR($QV$21,0)</f>
        <v>0</v>
      </c>
      <c r="PC80" s="207">
        <f>IF(OR(HeaterBoiler1!$E$26&lt;&gt;"fuel gas",HeaterBoiler1!$E$15&lt;&gt;"boiler"),0,(SUMIF(HeaterBoiler1!$A$54:$D$63,$FG80,HeaterBoiler1!$J$54:$J$63))*(2000/8760))*IFERROR($QV$20,0)</f>
        <v>0</v>
      </c>
      <c r="PD80" s="207">
        <f>IF(OR(HeaterBoiler2!$E$26&lt;&gt;"fuel gas",HeaterBoiler2!$E$15&lt;&gt;"boiler"),0,(SUMIF(HeaterBoiler2!$A$54:$D$63,$FG80,HeaterBoiler2!$J$54:$J$63))*(2000/8760))*IFERROR($QV$22,0)</f>
        <v>0</v>
      </c>
      <c r="PE80" s="8">
        <f>(SUMIF(Fug!$A$96:$A$205,$FG80,Fug!$J$96:$J$205))*IFERROR($QV$23,0)*(2000/8760)</f>
        <v>0</v>
      </c>
      <c r="PF80" s="8">
        <f t="shared" si="53"/>
        <v>0</v>
      </c>
      <c r="PG80" s="156">
        <f t="shared" si="54"/>
        <v>0</v>
      </c>
      <c r="QX80" s="89" t="s">
        <v>9326</v>
      </c>
      <c r="QY80">
        <v>262</v>
      </c>
      <c r="QZ80">
        <v>262</v>
      </c>
      <c r="RA80">
        <v>251.9</v>
      </c>
      <c r="RB80">
        <v>142.69999999999999</v>
      </c>
      <c r="RC80">
        <v>105</v>
      </c>
      <c r="RD80">
        <v>90.55</v>
      </c>
      <c r="RE80">
        <v>77.150000000000006</v>
      </c>
      <c r="RF80">
        <v>57.99</v>
      </c>
      <c r="RG80" s="90">
        <v>44.38</v>
      </c>
      <c r="RH80" s="89" t="s">
        <v>9326</v>
      </c>
      <c r="RI80">
        <v>255.2</v>
      </c>
      <c r="RJ80">
        <v>255.2</v>
      </c>
      <c r="RK80">
        <v>246.4</v>
      </c>
      <c r="RL80">
        <v>140</v>
      </c>
      <c r="RM80">
        <v>90.67</v>
      </c>
      <c r="RN80">
        <v>72.19</v>
      </c>
      <c r="RO80">
        <v>61.86</v>
      </c>
      <c r="RP80">
        <v>48.77</v>
      </c>
      <c r="RQ80" s="90">
        <v>39.950000000000003</v>
      </c>
      <c r="RR80" s="89" t="s">
        <v>9326</v>
      </c>
      <c r="RS80">
        <v>242.1</v>
      </c>
      <c r="RT80">
        <v>242.1</v>
      </c>
      <c r="RU80">
        <v>237.3</v>
      </c>
      <c r="RV80">
        <v>135.5</v>
      </c>
      <c r="RW80">
        <v>81.84</v>
      </c>
      <c r="RX80">
        <v>60.16</v>
      </c>
      <c r="RY80">
        <v>50.02</v>
      </c>
      <c r="RZ80">
        <v>34.03</v>
      </c>
      <c r="SA80" s="90">
        <v>25.56</v>
      </c>
      <c r="SB80" s="89" t="s">
        <v>9326</v>
      </c>
      <c r="SC80">
        <v>188</v>
      </c>
      <c r="SD80">
        <v>188</v>
      </c>
      <c r="SE80">
        <v>185.2</v>
      </c>
      <c r="SF80">
        <v>87.73</v>
      </c>
      <c r="SG80">
        <v>52.81</v>
      </c>
      <c r="SH80">
        <v>36.51</v>
      </c>
      <c r="SI80">
        <v>28.58</v>
      </c>
      <c r="SJ80">
        <v>15.6</v>
      </c>
      <c r="SK80" s="90">
        <v>11.02</v>
      </c>
      <c r="SL80" s="89" t="s">
        <v>9326</v>
      </c>
      <c r="SM80">
        <v>54.36</v>
      </c>
      <c r="SN80">
        <v>54.36</v>
      </c>
      <c r="SO80">
        <v>54.36</v>
      </c>
      <c r="SP80">
        <v>27.36</v>
      </c>
      <c r="SQ80">
        <v>16.05</v>
      </c>
      <c r="SR80">
        <v>10.55</v>
      </c>
      <c r="SS80">
        <v>7.57</v>
      </c>
      <c r="ST80">
        <v>4.01</v>
      </c>
      <c r="SU80" s="90">
        <v>2.54</v>
      </c>
    </row>
    <row r="81" spans="23:515" ht="74.25" customHeight="1" x14ac:dyDescent="0.2">
      <c r="W81">
        <f>IF(OR(X81=0,ISNUMBER(MATCH(X81,$X$1:X80,0))),0,MAX($W$1:W80)+1)</f>
        <v>0</v>
      </c>
      <c r="X81" s="123">
        <f>Products!$E128</f>
        <v>0</v>
      </c>
      <c r="Y81" t="str">
        <f t="shared" si="42"/>
        <v/>
      </c>
      <c r="CA81">
        <f>IF(OR(CB81=0,ISNUMBER(MATCH(CB81,$CB$1:CB80,0))),0,MAX($CA$1:CA80)+1)</f>
        <v>0</v>
      </c>
      <c r="CB81" s="8">
        <f>IF(OR(Tank1!$D$18="EXTERNAL FLOATING ROOF",Tank1!$D$18="INTERNAL FLOATING ROOF"),IF(Tank1!$E111="",0,Tank1!$E111),0)</f>
        <v>0</v>
      </c>
      <c r="CC81" s="8" t="str">
        <f t="shared" si="43"/>
        <v/>
      </c>
      <c r="CD81" s="8"/>
      <c r="CE81" s="8">
        <f>IF(OR(CF81=0,ISNUMBER(MATCH(CF81,$CF$1:CF80,0))),0,MAX($CE$1:CE80)+1)</f>
        <v>0</v>
      </c>
      <c r="CF81" s="8">
        <f>IF(OR(Tank1!$D$18="HORIZONTAL FIXED ROOF",Tank1!$D$18="VERTICAL FIXED ROOF"),IF(Tank1!$E111="",0,Tank1!$E111),0)</f>
        <v>0</v>
      </c>
      <c r="CG81" s="8" t="str">
        <f t="shared" si="44"/>
        <v/>
      </c>
      <c r="DM81">
        <f>IF(OR(DN81=0,ISNUMBER(MATCH(DN81,$DN$1:DN80,0))),0,MAX($DM$1:DM80)+1)</f>
        <v>0</v>
      </c>
      <c r="DN81">
        <f>IF('Load-Rail'!$F$19="Flare",IFERROR(VLOOKUP(Products!$A$149,'Load-Rail'!$A$27:$B$136,1,FALSE),0),0)</f>
        <v>0</v>
      </c>
      <c r="DO81">
        <f>IF($DN81=0,0,VLOOKUP($DN81,'Load-Rail'!$A$27:$N$136,13,FALSE))</f>
        <v>0</v>
      </c>
      <c r="DP81">
        <f>IF($DN81=0,0,VLOOKUP($DN81,'Load-Rail'!$A$27:$N$136,14,FALSE))</f>
        <v>0</v>
      </c>
      <c r="DU81">
        <f>IF(OR(DV81=0,ISNUMBER(MATCH(DV81,$DV$1:DV80,0))),0,MAX($DU$1:DU80)+1)</f>
        <v>0</v>
      </c>
      <c r="DV81">
        <f>IF('Load-Rail'!$F$19="VCU",IFERROR(VLOOKUP(Products!$A$149,'Load-Rail'!$A$27:$B$136,1,FALSE),0),0)</f>
        <v>0</v>
      </c>
      <c r="DW81">
        <f>IF($DV81=0,0,VLOOKUP($DV81,'Load-Rail'!$A$27:$N$136,13,FALSE))</f>
        <v>0</v>
      </c>
      <c r="DX81">
        <f>IF($DV81=0,0,VLOOKUP($DV81,'Load-Rail'!$A$27:$N$136,14,FALSE))</f>
        <v>0</v>
      </c>
      <c r="EC81">
        <f>IF(OR(ED81=0,ISNUMBER(MATCH(ED81,$ED$1:ED80,0))),0,MAX($EC$1:EC80)+1)</f>
        <v>0</v>
      </c>
      <c r="ED81">
        <f>IF('Load-Rail'!$F$19="vapor oxidizer",IFERROR(VLOOKUP(Products!$A$149,'Load-Rail'!$A$27:$B$136,1,FALSE),0),0)</f>
        <v>0</v>
      </c>
      <c r="EE81">
        <f>IF($ED81=0,0,VLOOKUP($ED81,'Load-Rail'!$A$27:$N$136,13,FALSE))</f>
        <v>0</v>
      </c>
      <c r="EF81">
        <f>IF($ED81=0,0,VLOOKUP($ED81,'Load-Rail'!$A$27:$N$136,14,FALSE))</f>
        <v>0</v>
      </c>
      <c r="EK81">
        <f>IF(OR(EL81=0,ISNUMBER(MATCH(EL81,$EL$1:EL80,0))),0,MAX($EK$1:EK80)+1)</f>
        <v>0</v>
      </c>
      <c r="EL81">
        <f>IF('Load-Rail'!$F$19="CAS",IFERROR(VLOOKUP(Products!A149,'Load-Rail'!$A$27:$B$136,1,FALSE),0),0)</f>
        <v>0</v>
      </c>
      <c r="EM81">
        <f>IF($EL81=0,0,VLOOKUP($EL81,'Load-Rail'!$A$27:$N$136,13,FALSE))</f>
        <v>0</v>
      </c>
      <c r="EN81">
        <f>IF($EL81=0,0,VLOOKUP($EL81,'Load-Rail'!$A$27:$N$136,14,FALSE))</f>
        <v>0</v>
      </c>
      <c r="FB81" s="8" t="s">
        <v>508</v>
      </c>
      <c r="FC81" s="8" t="s">
        <v>509</v>
      </c>
      <c r="FD81" s="8">
        <v>10000</v>
      </c>
      <c r="FE81" s="8">
        <v>1000</v>
      </c>
      <c r="FG81" s="360" t="str">
        <f t="shared" si="45"/>
        <v/>
      </c>
      <c r="FH81" s="155">
        <f>IF(Tank1!$D$22="NO CONTROL",_xlfn.MAXIFS(Tank1!$G$32:$G$141,Tank1!$E$32:$E$141,$FG81),0)*IFERROR($QR$3,0)</f>
        <v>0</v>
      </c>
      <c r="FI81" s="155">
        <f>_xlfn.MAXIFS(LandEmiss!$AF$20:$AF$119,LandEmiss!$AE$20:$AE$119,$FG81)*IFERROR($QR$3,0)</f>
        <v>0</v>
      </c>
      <c r="FJ81" s="155">
        <f>MAX(_xlfn.MAXIFS(LandEmiss!$CO$20:$CO$119,LandEmiss!$CN$20:$CN$119,$FG81),_xlfn.MAXIFS(LandEmiss!$EZ$9:$EZ$108,LandEmiss!$EY$9:$EY$108,$FG81))*IFERROR($QR$3,0)</f>
        <v>0</v>
      </c>
      <c r="FK81" s="155">
        <f>IF(Tank2!$D$22="NO CONTROL",_xlfn.MAXIFS(Tank2!$G$32:$G$141,Tank2!$E$32:$E$141,$FG81),0)*IFERROR($QR$4,0)</f>
        <v>0</v>
      </c>
      <c r="FL81" s="155">
        <f>_xlfn.MAXIFS(LandEmiss!$AG$20:$AG$119,LandEmiss!$AE$20:$AE$119,$FG81)*IFERROR($QR$4,0)</f>
        <v>0</v>
      </c>
      <c r="FM81" s="155">
        <f>MAX(_xlfn.MAXIFS(LandEmiss!$CP$20:$CP$119,LandEmiss!$CN$20:$CN$119,$FG81),_xlfn.MAXIFS(LandEmiss!$FA$9:$FA$108,LandEmiss!$EY$9:$EY$108,$FG81))*IFERROR($QR$4,0)</f>
        <v>0</v>
      </c>
      <c r="FN81" s="155">
        <f>IF(Tank3!$D$22="NO CONTROL",_xlfn.MAXIFS(Tank3!$G$32:$G$141,Tank3!$E$32:$E$141,$FG81),0)*IFERROR($QR$5,0)</f>
        <v>0</v>
      </c>
      <c r="FO81" s="155">
        <f>_xlfn.MAXIFS(LandEmiss!$AH$20:$AH$119,LandEmiss!$AE$20:$AE$119,$FG81)*IFERROR($QR$5,0)</f>
        <v>0</v>
      </c>
      <c r="FP81" s="155">
        <f>MAX(_xlfn.MAXIFS(LandEmiss!$CQ$20:$CQ$119,LandEmiss!$CN$20:$CN$119,$FG81),_xlfn.MAXIFS(LandEmiss!$FB$9:$FB$108,LandEmiss!$EY$9:$EY$108,$FG81))*IFERROR($QR$5,0)</f>
        <v>0</v>
      </c>
      <c r="FQ81" s="155">
        <f>IF(Tank4!$D$22="NO CONTROL",_xlfn.MAXIFS(Tank4!$G$32:$G$141,Tank4!$E$32:$E$141,$FG81),0)*IFERROR($QR$6,0)</f>
        <v>0</v>
      </c>
      <c r="FR81" s="155">
        <f>_xlfn.MAXIFS(LandEmiss!$AI$20:$AI$119,LandEmiss!$AE$20:$AE$119,$FG81)*IFERROR($QR$6,0)</f>
        <v>0</v>
      </c>
      <c r="FS81" s="155">
        <f>MAX(_xlfn.MAXIFS(LandEmiss!$CR$20:$CR$119,LandEmiss!$CN$20:$CN$119,$FG81),_xlfn.MAXIFS(LandEmiss!$FC$9:$FC$108,LandEmiss!$EY$9:$EY$108,$FG81))*IFERROR($QR$6,0)</f>
        <v>0</v>
      </c>
      <c r="FT81" s="155">
        <f>IF(Tank5!$D$22="NO CONTROL",_xlfn.MAXIFS(Tank5!$G$32:$G$141,Tank5!$E$32:$E$141,$FG81),0)*IFERROR($QR$7,0)</f>
        <v>0</v>
      </c>
      <c r="FU81" s="155">
        <f>_xlfn.MAXIFS(LandEmiss!$AJ$20:$AJ$119,LandEmiss!$AE$20:$AE$119,$FG81)*IFERROR($QR$7,0)</f>
        <v>0</v>
      </c>
      <c r="FV81" s="155">
        <f>MAX(_xlfn.MAXIFS(LandEmiss!$CS$20:$CS$119,LandEmiss!$CN$20:$CN$119,$FG81),_xlfn.MAXIFS(LandEmiss!$FD$9:$FD$108,LandEmiss!$EY$9:$EY$108,$FG81))*IFERROR($QR86,0)</f>
        <v>0</v>
      </c>
      <c r="FW81" s="155">
        <f>_xlfn.MAXIFS('Load-DrumTote'!$K$27:$K$136,'Load-DrumTote'!$F$27:$F$136,$FG81)*IFERROR($QR$8,0)</f>
        <v>0</v>
      </c>
      <c r="FX81" s="155">
        <f>_xlfn.MAXIFS('Load-Truck'!$K$27:$K$136,'Load-Truck'!$F$27:$F$136,$FG81)*IFERROR($QR$9,0)</f>
        <v>0</v>
      </c>
      <c r="FY81" s="155">
        <f>_xlfn.MAXIFS('Load-Rail'!$K$27:$K$136,'Load-Rail'!$F$27:$F$136,$FG81)*IFERROR($QR$10,0)</f>
        <v>0</v>
      </c>
      <c r="FZ81" s="155">
        <f>_xlfn.MAXIFS('Load-MarineBarge'!$K$27:$K$136,'Load-MarineBarge'!$F$27:$F$136,$FG81)*IFERROR($QR$11,0)</f>
        <v>0</v>
      </c>
      <c r="GA81" s="155">
        <f>_xlfn.MAXIFS('Load-MarineShip'!$K$27:$K$136,'Load-MarineShip'!$F$27:$F$136,$FG81)*IFERROR($QR$12,0)</f>
        <v>0</v>
      </c>
      <c r="GB81" s="313">
        <f>IF(OR(Flare!$D$24="fuel gas",Flare!$D$38="fuel gas"),SUMIF(Flare!$E$97:$E$106,$FG81,Flare!$F$97:$F$106),0)*IFERROR($QR$13,0)</f>
        <v>0</v>
      </c>
      <c r="GC81" s="313">
        <f>(_xlfn.MAXIFS(CtrlDevImpacts!$I$57:$I$156,CtrlDevImpacts!$H$57:$H$156,$FG81))*IFERROR($QR$13,0)</f>
        <v>0</v>
      </c>
      <c r="GD81" s="313">
        <f>(_xlfn.MAXIFS(Flare!$F$107:$F$216,Flare!$E$107:$E$216,$FG81)-_xlfn.MAXIFS(CtrlDevImpacts!$I$57:$I$156,CtrlDevImpacts!$H$57:$H$156,$FG81))*IFERROR($QR$13,0)</f>
        <v>0</v>
      </c>
      <c r="GE81" s="155">
        <f>_xlfn.MAXIFS(LandEmiss!$B$335:$B$434,LandEmiss!$A$335:$A$434,$FG81)*IFERROR($QR$13,0)</f>
        <v>0</v>
      </c>
      <c r="GF81" s="155">
        <f>(_xlfn.MAXIFS(LandEmiss!$BK$335:$BK$434,LandEmiss!$BJ$335:$BJ$434,$FG81)+_xlfn.MAXIFS(LandEmiss!$DV$323:$DV$422,LandEmiss!$DU$323:$DU$422,$FG81))*IFERROR($QR$13,0)</f>
        <v>0</v>
      </c>
      <c r="GG81" s="313">
        <f>IF(OR(VCU!$D$26="fuel gas",VCU!$D$42="fuel gas"),SUMIF(VCU!$E$120:$E$129,$FG81,VCU!$F$120:$F$129),0)*IFERROR($QR$14,0)</f>
        <v>0</v>
      </c>
      <c r="GH81" s="313">
        <f>(_xlfn.MAXIFS(CtrlDevImpacts!$X$57:$X$156,CtrlDevImpacts!$W$57:$W$156,$FG81))*IFERROR($QR$14,0)</f>
        <v>0</v>
      </c>
      <c r="GI81" s="313">
        <f>(_xlfn.MAXIFS(VCU!$F$130:$F$239,VCU!$E$130:$E$239,$FG81)-_xlfn.MAXIFS(CtrlDevImpacts!$X$57:$X$156,CtrlDevImpacts!$W$57:$W$156,$FG81))*IFERROR($QR$14,0)</f>
        <v>0</v>
      </c>
      <c r="GJ81" s="155">
        <f>_xlfn.MAXIFS(LandEmiss!$D$335:$D$434,LandEmiss!$A$335:$A$434,$FG81)*IFERROR($QR$14,0)</f>
        <v>0</v>
      </c>
      <c r="GK81" s="155">
        <f>(_xlfn.MAXIFS(LandEmiss!$BM$335:$BM$434,LandEmiss!$BJ$335:$BJ$434,$FG81)+_xlfn.MAXIFS(LandEmiss!$DX$323:$DX$422,LandEmiss!$DU$323:$DU$422,$FG81))*IFERROR($QR$14,0)</f>
        <v>0</v>
      </c>
      <c r="GL81" s="313">
        <f>IF(VaporOxidizer!D112="FUEL GAS",SUMIF(VaporOxidizer!$E$101:$E$110,$FG81,VaporOxidizer!$F$101:$F$110),0)*IFERROR($QR$15,0)</f>
        <v>0</v>
      </c>
      <c r="GM81" s="313">
        <f>(_xlfn.MAXIFS(CtrlDevImpacts!$AN$57:$AN$156,CtrlDevImpacts!$AM$57:$AM$156,$FG81))*IFERROR($QR$15,0)</f>
        <v>0</v>
      </c>
      <c r="GN81" s="313">
        <f>(_xlfn.MAXIFS(VaporOxidizer!$F$111:$F$220,VaporOxidizer!$E$111:$E$220,$FG81)-_xlfn.MAXIFS(CtrlDevImpacts!$AN$57:$AN$156,CtrlDevImpacts!$AM$57:$AM$156,$FG81))*IFERROR($QR$15,0)</f>
        <v>0</v>
      </c>
      <c r="GO81" s="155">
        <f>_xlfn.MAXIFS(LandEmiss!$F$335:$F$434,LandEmiss!$A$335:$A$434,$FG81)*IFERROR($QR$15,0)</f>
        <v>0</v>
      </c>
      <c r="GP81" s="155">
        <f>(_xlfn.MAXIFS(LandEmiss!$BK$335:$BK$434,LandEmiss!$BO$335:$BO$434,$FG81)+_xlfn.MAXIFS(LandEmiss!$DZ$323:$DZ$422,LandEmiss!$DU$323:$DU$422,$FG81))*IFERROR($QR$15,0)</f>
        <v>0</v>
      </c>
      <c r="GQ81" s="313">
        <f>_xlfn.MAXIFS(CtrlDevImpacts!$BD$57:$BD$156,CtrlDevImpacts!$BC$57:$BC$156,$FG81)*IFERROR(Hidden!$QR$16,0)</f>
        <v>0</v>
      </c>
      <c r="GR81" s="313">
        <f>(_xlfn.MAXIFS(CAS!$H$35:$H$144,CAS!$E$35:$E$144,$FG81)-_xlfn.MAXIFS(CtrlDevImpacts!$BD$57:$BD$156,CtrlDevImpacts!$BC$57:$BC$156,$FG81))*IFERROR(Hidden!$QR$16,0)</f>
        <v>0</v>
      </c>
      <c r="GS81" s="155">
        <f>_xlfn.MAXIFS(LandEmiss!$H$335:$H$434,LandEmiss!$A$335:$A$434,$FG81)*IFERROR($QR$27,0)</f>
        <v>0</v>
      </c>
      <c r="GT81" s="155">
        <f>(_xlfn.MAXIFS(LandEmiss!$BK$335:$BK$434,LandEmiss!$BQ$335:$BQ$434,$FG81)+_xlfn.MAXIFS(LandEmiss!$EB$323:$EB$422,LandEmiss!$DU$323:$DU$422,$FG81))*IFERROR($QR$27,0)</f>
        <v>0</v>
      </c>
      <c r="GU81" s="155">
        <f>_xlfn.MAXIFS(LandEmiss!$J$335:$J$434,LandEmiss!$A$335:$A$434,$FG81)*IFERROR($QR$26,0)</f>
        <v>0</v>
      </c>
      <c r="GV81" s="155">
        <f>(_xlfn.MAXIFS(LandEmiss!$BK$335:$BK$434,LandEmiss!$BS$335:$BS$434,$FG81)+_xlfn.MAXIFS(LandEmiss!$ED$323:$ED$422,LandEmiss!$DU$323:$DU$422,$FG81))*IFERROR($QR$26,0)</f>
        <v>0</v>
      </c>
      <c r="GW81" s="155">
        <f>_xlfn.MAXIFS(LandEmiss!$L$335:$L$434,LandEmiss!$A$335:$A$434,$FG81)*IFERROR($QR$25,0)</f>
        <v>0</v>
      </c>
      <c r="GX81" s="155">
        <f>(_xlfn.MAXIFS(LandEmiss!$BK$335:$BK$434,LandEmiss!$BU$335:$BU$434,$FG81)+_xlfn.MAXIFS(LandEmiss!$EF$323:$EF$422,LandEmiss!$DU$323:$DU$422,$FG81))*IFERROR($QR$25,0)</f>
        <v>0</v>
      </c>
      <c r="GY81" s="155">
        <v>0</v>
      </c>
      <c r="GZ81" s="155">
        <v>0</v>
      </c>
      <c r="HA81" s="155">
        <f>IF(OR(HeaterBoiler1!$E$26&lt;&gt;"fuel gas",HeaterBoiler1!$E$15&lt;&gt;"heater"),0,SUMIF(HeaterBoiler1!$A$54:$D$63,$FG81,HeaterBoiler1!$I$54:$I$63))*IFERROR($QR$19,0)</f>
        <v>0</v>
      </c>
      <c r="HB81" s="207">
        <f>IF(OR(HeaterBoiler2!$E$26&lt;&gt;"fuel gas",HeaterBoiler2!$E$15&lt;&gt;"heater"),0,SUMIF(HeaterBoiler2!$A$54:$D$63,$FG81,HeaterBoiler2!$I$54:$I$63))*IFERROR($QR$21,0)</f>
        <v>0</v>
      </c>
      <c r="HC81" s="155">
        <f>IF(OR(HeaterBoiler1!$E$26&lt;&gt;"fuel gas",HeaterBoiler1!$E$15&lt;&gt;"boiler"),0,SUMIF(HeaterBoiler1!$A$41:$A$50,$FG81,HeaterBoiler1!$F$41:$F$50))*IFERROR($QR$20,0)</f>
        <v>0</v>
      </c>
      <c r="HD81" s="207">
        <f>IF(OR(HeaterBoiler2!$E$26&lt;&gt;"fuel gas",HeaterBoiler2!$E$15&lt;&gt;"boiler"),0,SUMIF(HeaterBoiler2!$A$41:$A$50,$FG81,HeaterBoiler2!$F$41:$F$50))*IFERROR($QR$22,0)</f>
        <v>0</v>
      </c>
      <c r="HE81" s="155">
        <f>SUMIF(Fug!$A$96:$A$205,$FG81,Fug!$I$96:$I$205)*IFERROR(Hidden!$QR$23,0)</f>
        <v>0</v>
      </c>
      <c r="HF81" s="155">
        <f t="shared" si="46"/>
        <v>0</v>
      </c>
      <c r="HG81" s="156">
        <f t="shared" si="47"/>
        <v>0</v>
      </c>
      <c r="HH81" s="156">
        <f t="shared" si="48"/>
        <v>0</v>
      </c>
      <c r="HI81" s="156">
        <f t="shared" si="49"/>
        <v>0</v>
      </c>
      <c r="HJ81" s="156">
        <f t="shared" si="50"/>
        <v>0</v>
      </c>
      <c r="HK81" s="156">
        <f t="shared" si="51"/>
        <v>0</v>
      </c>
      <c r="HL81" s="156">
        <f t="shared" si="52"/>
        <v>0</v>
      </c>
      <c r="NO81" s="155">
        <f>IF(Tank1!$D$22="No control",(SUMIF(Tank1!$E$32:$E$141,$FG81,Tank1!$H$32:$H$141)*(2000/8760)*IFERROR($QV$3,0)),0)</f>
        <v>0</v>
      </c>
      <c r="NP81" s="156">
        <f>SUMIF(LandEmiss!$AE$20:$AE$119,$FG81,LandEmiss!$AK$20:$AK$119)*(2000/8760)*IFERROR($QV$3,0)</f>
        <v>0</v>
      </c>
      <c r="NQ81" s="156">
        <f>(SUMIF(LandEmiss!$CN$20:$CN$119,$FG81,LandEmiss!$CT$20:$CT$119)+SUMIF(LandEmiss!$EY$9:$EY$108,$FG81,LandEmiss!$FE$9:$FE$108))*IFERROR($QV$3,0)*(2000/8760)</f>
        <v>0</v>
      </c>
      <c r="NR81" s="155">
        <f>IF(Tank2!$D$22="No control",(SUMIF(Tank2!$E$32:$E$141,$FG81,Tank2!$H$32:$H$141)*(2000/8760)*IFERROR($QV$4,0)),0)</f>
        <v>0</v>
      </c>
      <c r="NS81" s="156">
        <f>SUMIF(LandEmiss!$AE$20:$AE$119,$FG81,LandEmiss!$AL$20:$AL$119)*(2000/8760)*IFERROR($QV$4,0)</f>
        <v>0</v>
      </c>
      <c r="NT81" s="156">
        <f>(SUMIF(LandEmiss!$CN$20:$CN$119,$FG81,LandEmiss!$CU$20:$CU$119)+SUMIF(LandEmiss!$EY$9:$EY$108,$FG81,LandEmiss!$FF$9:$FF$108))*IFERROR($QV$4,0)*(2000/8760)</f>
        <v>0</v>
      </c>
      <c r="NU81" s="155">
        <f>IF(Tank3!$D$22="No control",(SUMIF(Tank3!$E$32:$E$141,$FG81,Tank3!$H$32:$H$141)*(2000/8760)*IFERROR($QV$5,0)),0)</f>
        <v>0</v>
      </c>
      <c r="NV81" s="156">
        <f>SUMIF(LandEmiss!$AE$20:$AE$119,$FG81,LandEmiss!$AM$20:$AM$119)*(2000/8760)*IFERROR($QV$5,0)</f>
        <v>0</v>
      </c>
      <c r="NW81" s="156">
        <f>(SUMIF(LandEmiss!$CN$20:$CN$119,$FG81,LandEmiss!$CV$20:$CV$119)+SUMIF(LandEmiss!$EY$9:$EY$108,$FG81,LandEmiss!$FG$9:$FG$108))*IFERROR($QV$5,0)*(2000/8760)</f>
        <v>0</v>
      </c>
      <c r="NX81" s="155">
        <f>IF(Tank4!$D$22="No control",(SUMIF(Tank4!$E$32:$E$141,$FG81,Tank4!$H$32:$H$141)*(2000/8760)*IFERROR($QV$6,0)),0)</f>
        <v>0</v>
      </c>
      <c r="NY81" s="156">
        <f>SUMIF(LandEmiss!$AE$20:$AE$119,$FG81,LandEmiss!$AN$20:$AN$119)*(2000/8760)*IFERROR($QV$6,0)</f>
        <v>0</v>
      </c>
      <c r="NZ81" s="156">
        <f>(SUMIF(LandEmiss!$CN$20:$CN$119,$FG81,LandEmiss!$CW$20:$CW$119)+SUMIF(LandEmiss!$EY$9:$EY$108,$FG81,LandEmiss!$FH$9:$FH$108))*IFERROR($QV$6,0)*(2000/8760)</f>
        <v>0</v>
      </c>
      <c r="OA81" s="155">
        <f>IF(Tank5!$D$22="No control",(SUMIF(Tank5!$E$32:$E$141,$FG81,Tank5!$H$32:$H$141)*(2000/8760)*IFERROR($QV$7,0)),0)</f>
        <v>0</v>
      </c>
      <c r="OB81" s="156">
        <f>SUMIF(LandEmiss!$AE$20:$AE$119,$FG81,LandEmiss!$AO$20:$AO$119)*(2000/8760)*IFERROR($QV$7,0)</f>
        <v>0</v>
      </c>
      <c r="OC81" s="156">
        <f>(SUMIF(LandEmiss!$CN$20:$CN$119,$FG81,LandEmiss!$CX$20:$CX$119)+SUMIF(LandEmiss!$EY$9:$EY$108,$FG81,LandEmiss!$FI$9:$FI$108))*IFERROR($QV$7,0)*(2000/8760)</f>
        <v>0</v>
      </c>
      <c r="OD81" s="155">
        <f>SUMIFS('Load-DrumTote'!$L$27:$L$136,'Load-DrumTote'!$F$27:$F$136,$FG81)*IFERROR($QV$8,0)*(2000/8760)</f>
        <v>0</v>
      </c>
      <c r="OE81" s="155">
        <f>SUMIFS('Load-Truck'!$L$27:$L$136,'Load-Truck'!$F$27:$F$136,$FG81)*IFERROR($QV$9,0)*(2000/8760)</f>
        <v>0</v>
      </c>
      <c r="OF81" s="155">
        <f>SUMIFS('Load-Rail'!$L$27:$L$136,'Load-Rail'!$F$27:$F$136,$FG81)*IFERROR($QV$10,0)*(2000/8760)</f>
        <v>0</v>
      </c>
      <c r="OG81" s="155">
        <f>SUMIFS('Load-MarineBarge'!$L$27:$L$136,'Load-MarineBarge'!$F$27:$F$136,$FG81)*IFERROR($QV$11,0)*(2000/8760)</f>
        <v>0</v>
      </c>
      <c r="OH81" s="155">
        <f>SUMIFS('Load-MarineShip'!$L$27:$L$136,'Load-MarineShip'!$F$27:$F$136,$FG81)*IFERROR($QV$12,0)*(2000/8760)</f>
        <v>0</v>
      </c>
      <c r="OI81" s="155">
        <f>(IF(OR(Flare!$D$24="FUEL GAS",Flare!$D$38="FUEL GAS"),SUMIF(Flare!$E$97:$E$106,$FG81,Flare!$G$97:$G$105),0)+SUMIF(Flare!$E$107:$E$216,$FG81,Flare!$G$107:$G$216))*(2000/8730)*IFERROR($QV$13,0)</f>
        <v>0</v>
      </c>
      <c r="OJ81" s="155">
        <f>SUMIF(LandEmiss!$A$335:$A$434,$FG81,LandEmiss!$C$335:$C$434)*(2000/8760)*IFERROR($QV$13,0)</f>
        <v>0</v>
      </c>
      <c r="OK81" s="155">
        <f>(SUMIF(LandEmiss!$BJ$335:$BJ$434,$FG81,LandEmiss!$BL$335:$BL$434)+SUMIF(LandEmiss!$DU$323:$DU$422,$FG81,LandEmiss!$DW$323:$DW$422))*(2000/8760)*IFERROR($QV$13,0)</f>
        <v>0</v>
      </c>
      <c r="OL81" s="155">
        <f>(IF(OR(VCU!$D$26="FUEL GAS",VCU!$D$42="FUEL GAS"),SUMIF(VCU!$E$120:$E$129,$FG81,VCU!$G$120:$G$129),0)+SUMIF(VCU!$E$130:$E$239,$FG81,VCU!G209:G318))*(2000/8760)*IFERROR($QV$14,0)</f>
        <v>0</v>
      </c>
      <c r="OM81" s="155">
        <f>SUMIF(LandEmiss!$A$335:$A$434,$FG81,LandEmiss!$E$335:$E$434)*(2000/8760)*IFERROR($QV$14,0)</f>
        <v>0</v>
      </c>
      <c r="ON81" s="155">
        <f>(SUMIF(LandEmiss!$BJ$335:$BJ$434,$FG81,LandEmiss!$BN$335:$BN$434)+SUMIF(LandEmiss!$DU$323:$DU$422,$FG81,LandEmiss!$DY$323:$DY$422))*(2000/8760)*IFERROR($QV$14,0)</f>
        <v>0</v>
      </c>
      <c r="OO81" s="155">
        <f>(IF(VaporOxidizer!$D$33="FUEL GAS",SUMIF(VaporOxidizer!$E$101:$E$110,$FG81,VaporOxidizer!$G$101:$G$110),0)+SUMIF(VaporOxidizer!$E$111:$E$220,$FG81,VaporOxidizer!$G$111:$G$220))*(2000/8760)*IFERROR($QV$15,0)</f>
        <v>0</v>
      </c>
      <c r="OP81" s="155">
        <f>SUMIF(LandEmiss!$A$335:$A$434,$FG81,LandEmiss!$G$335:$G$434)*(2000/8760)*IFERROR($QV$15,0)</f>
        <v>0</v>
      </c>
      <c r="OQ81" s="155">
        <f>(SUMIF(LandEmiss!$BJ$335:$BJ$434,$FG81,LandEmiss!$BP$335:$BP$434)+SUMIF(LandEmiss!$DU$323:$DU$422,$FG81,LandEmiss!$EA$323:$EA$422))*(2000/8760)*IFERROR($QV$15,0)</f>
        <v>0</v>
      </c>
      <c r="OR81" s="155">
        <f>SUMIF(CAS!$E$35:$E$144,Hidden!$FG81,CAS!$I$35:$I$144)*IFERROR($QV$16,0)*(2000/8760)</f>
        <v>0</v>
      </c>
      <c r="OS81" s="155">
        <f>SUMIF(LandEmiss!$A$335:$A$434,$FG81,LandEmiss!$I$335:$I$434)*(2000/8760)*IFERROR($QV$27,0)</f>
        <v>0</v>
      </c>
      <c r="OT81" s="155">
        <f>(SUMIF(LandEmiss!$BJ$335:$BJ$434,$FG81,LandEmiss!$BR$335:$BR$434)+SUMIF(LandEmiss!$DU$323:$DU$422,$FG81,LandEmiss!$EC$323:$EC$422))*(2000/8760)*IFERROR($QV$27,0)</f>
        <v>0</v>
      </c>
      <c r="OU81" s="155">
        <f>SUMIF(LandEmiss!$A$335:$A$434,$FG81,LandEmiss!$K$335:$K$434)*(2000/8760)*IFERROR($QV$26,0)</f>
        <v>0</v>
      </c>
      <c r="OV81" s="155">
        <f>(SUMIF(LandEmiss!$BJ$335:$BJ$434,$FG81,LandEmiss!$BT$335:$BT$434)+SUMIF(LandEmiss!$DU$323:$DU$422,$FG81,LandEmiss!$EE$323:$EE$422))*(2000/8760)*IFERROR($QV$26,0)</f>
        <v>0</v>
      </c>
      <c r="OW81" s="155">
        <f>SUMIF(LandEmiss!$A$335:$A$434,$FG81,LandEmiss!$M$335:$M$434)*(2000/8760)*IFERROR($QV$25,0)</f>
        <v>0</v>
      </c>
      <c r="OX81" s="155">
        <f>(SUMIF(LandEmiss!$BJ$335:$BJ$434,$FG81,LandEmiss!$BV$335:$BV$434)+SUMIF(LandEmiss!$DU$323:$DU$422,$FG81,LandEmiss!$EG$323:$EG$422))*(2000/8760)*IFERROR($QV$25,0)</f>
        <v>0</v>
      </c>
      <c r="OY81" s="8">
        <v>0</v>
      </c>
      <c r="OZ81" s="207">
        <v>0</v>
      </c>
      <c r="PA81" s="207">
        <f>IF(OR(HeaterBoiler1!$E$26&lt;&gt;"fuel gas",HeaterBoiler1!$E$15&lt;&gt;"heater"),0,(SUMIF(HeaterBoiler1!$A$54:$D$63,$FG81,HeaterBoiler1!$J$54:$J$63))*(2000/8760))*IFERROR($QV$19,0)</f>
        <v>0</v>
      </c>
      <c r="PB81" s="207">
        <f>IF(OR(HeaterBoiler2!$E$26&lt;&gt;"fuel gas",HeaterBoiler2!$E$15&lt;&gt;"heater"),0,(SUMIF(HeaterBoiler2!$A$54:$D$63,$FG81,HeaterBoiler2!$J$54:$J$63))*(2000/8760))*IFERROR($QV$21,0)</f>
        <v>0</v>
      </c>
      <c r="PC81" s="207">
        <f>IF(OR(HeaterBoiler1!$E$26&lt;&gt;"fuel gas",HeaterBoiler1!$E$15&lt;&gt;"boiler"),0,(SUMIF(HeaterBoiler1!$A$54:$D$63,$FG81,HeaterBoiler1!$J$54:$J$63))*(2000/8760))*IFERROR($QV$20,0)</f>
        <v>0</v>
      </c>
      <c r="PD81" s="207">
        <f>IF(OR(HeaterBoiler2!$E$26&lt;&gt;"fuel gas",HeaterBoiler2!$E$15&lt;&gt;"boiler"),0,(SUMIF(HeaterBoiler2!$A$54:$D$63,$FG81,HeaterBoiler2!$J$54:$J$63))*(2000/8760))*IFERROR($QV$22,0)</f>
        <v>0</v>
      </c>
      <c r="PE81" s="8">
        <f>(SUMIF(Fug!$A$96:$A$205,$FG81,Fug!$J$96:$J$205))*IFERROR($QV$23,0)*(2000/8760)</f>
        <v>0</v>
      </c>
      <c r="PF81" s="8">
        <f t="shared" si="53"/>
        <v>0</v>
      </c>
      <c r="PG81" s="156">
        <f t="shared" si="54"/>
        <v>0</v>
      </c>
      <c r="QX81" s="89" t="s">
        <v>9327</v>
      </c>
      <c r="QY81">
        <v>140.5</v>
      </c>
      <c r="QZ81">
        <v>140.5</v>
      </c>
      <c r="RA81">
        <v>140.5</v>
      </c>
      <c r="RB81">
        <v>110.5</v>
      </c>
      <c r="RC81">
        <v>89.48</v>
      </c>
      <c r="RD81">
        <v>82.15</v>
      </c>
      <c r="RE81">
        <v>70.53</v>
      </c>
      <c r="RF81">
        <v>55.02</v>
      </c>
      <c r="RG81" s="90">
        <v>42.14</v>
      </c>
      <c r="RH81" s="89" t="s">
        <v>9327</v>
      </c>
      <c r="RI81">
        <v>135.30000000000001</v>
      </c>
      <c r="RJ81">
        <v>135.30000000000001</v>
      </c>
      <c r="RK81">
        <v>135.30000000000001</v>
      </c>
      <c r="RL81">
        <v>108.4</v>
      </c>
      <c r="RM81">
        <v>77.209999999999994</v>
      </c>
      <c r="RN81">
        <v>62.52</v>
      </c>
      <c r="RO81">
        <v>55.07</v>
      </c>
      <c r="RP81">
        <v>44.78</v>
      </c>
      <c r="RQ81" s="90">
        <v>37.74</v>
      </c>
      <c r="RR81" s="89" t="s">
        <v>9327</v>
      </c>
      <c r="RS81">
        <v>131.80000000000001</v>
      </c>
      <c r="RT81">
        <v>131.80000000000001</v>
      </c>
      <c r="RU81">
        <v>131.80000000000001</v>
      </c>
      <c r="RV81">
        <v>103.9</v>
      </c>
      <c r="RW81">
        <v>72.25</v>
      </c>
      <c r="RX81">
        <v>53.35</v>
      </c>
      <c r="RY81">
        <v>45.08</v>
      </c>
      <c r="RZ81">
        <v>31.89</v>
      </c>
      <c r="SA81" s="90">
        <v>24.52</v>
      </c>
      <c r="SB81" s="89" t="s">
        <v>9327</v>
      </c>
      <c r="SC81">
        <v>95.89</v>
      </c>
      <c r="SD81">
        <v>95.89</v>
      </c>
      <c r="SE81">
        <v>95.89</v>
      </c>
      <c r="SF81">
        <v>73.599999999999994</v>
      </c>
      <c r="SG81">
        <v>45.55</v>
      </c>
      <c r="SH81">
        <v>33.22</v>
      </c>
      <c r="SI81">
        <v>26.8</v>
      </c>
      <c r="SJ81">
        <v>15.12</v>
      </c>
      <c r="SK81" s="90">
        <v>10.61</v>
      </c>
      <c r="SL81" s="89" t="s">
        <v>9327</v>
      </c>
      <c r="SM81">
        <v>28.32</v>
      </c>
      <c r="SN81">
        <v>28.32</v>
      </c>
      <c r="SO81">
        <v>28.32</v>
      </c>
      <c r="SP81">
        <v>22.24</v>
      </c>
      <c r="SQ81">
        <v>14.18</v>
      </c>
      <c r="SR81">
        <v>9.7200000000000006</v>
      </c>
      <c r="SS81">
        <v>7.11</v>
      </c>
      <c r="ST81">
        <v>3.87</v>
      </c>
      <c r="SU81" s="90">
        <v>2.48</v>
      </c>
    </row>
    <row r="82" spans="23:515" ht="74.25" customHeight="1" x14ac:dyDescent="0.2">
      <c r="W82">
        <f>IF(OR(X82=0,ISNUMBER(MATCH(X82,$X$1:X81,0))),0,MAX($W$1:W81)+1)</f>
        <v>0</v>
      </c>
      <c r="X82" s="123">
        <f>Products!$E129</f>
        <v>0</v>
      </c>
      <c r="Y82" t="str">
        <f t="shared" si="42"/>
        <v/>
      </c>
      <c r="CA82">
        <f>IF(OR(CB82=0,ISNUMBER(MATCH(CB82,$CB$1:CB81,0))),0,MAX($CA$1:CA81)+1)</f>
        <v>0</v>
      </c>
      <c r="CB82" s="8">
        <f>IF(OR(Tank1!$D$18="EXTERNAL FLOATING ROOF",Tank1!$D$18="INTERNAL FLOATING ROOF"),IF(Tank1!$E112="",0,Tank1!$E112),0)</f>
        <v>0</v>
      </c>
      <c r="CC82" s="8" t="str">
        <f t="shared" si="43"/>
        <v/>
      </c>
      <c r="CD82" s="8"/>
      <c r="CE82" s="8">
        <f>IF(OR(CF82=0,ISNUMBER(MATCH(CF82,$CF$1:CF81,0))),0,MAX($CE$1:CE81)+1)</f>
        <v>0</v>
      </c>
      <c r="CF82" s="8">
        <f>IF(OR(Tank1!$D$18="HORIZONTAL FIXED ROOF",Tank1!$D$18="VERTICAL FIXED ROOF"),IF(Tank1!$E112="",0,Tank1!$E112),0)</f>
        <v>0</v>
      </c>
      <c r="CG82" s="8" t="str">
        <f t="shared" si="44"/>
        <v/>
      </c>
      <c r="DL82" t="s">
        <v>9302</v>
      </c>
      <c r="DM82">
        <f>IF(OR(DN82=0,ISNUMBER(MATCH(DN82,$DN$1:DN81,0))),0,MAX($DM$1:DM81)+1)</f>
        <v>0</v>
      </c>
      <c r="DN82">
        <f>IF('Load-MarineBarge'!$F$19="Flare",IFERROR(VLOOKUP(Products!$A$59,'Load-MarineBarge'!$A$27:$B$136,1,FALSE),0),0)</f>
        <v>0</v>
      </c>
      <c r="DO82">
        <f>IF($DN82=0,0,VLOOKUP($DN82,'Load-MarineBarge'!$A$27:$N$136,13,FALSE))</f>
        <v>0</v>
      </c>
      <c r="DP82">
        <f>IF($DN82=0,0,VLOOKUP($DN82,'Load-MarineBarge'!$A$27:$N$136,14,FALSE))</f>
        <v>0</v>
      </c>
      <c r="DU82">
        <f>IF(OR(DV82=0,ISNUMBER(MATCH(DV82,$DV$1:DV81,0))),0,MAX($DU$1:DU81)+1)</f>
        <v>0</v>
      </c>
      <c r="DV82">
        <f>IF('Load-MarineBarge'!$F$19="VCU",IFERROR(VLOOKUP(Products!$A$59,'Load-MarineBarge'!$A$27:$B$136,1,FALSE),0),0)</f>
        <v>0</v>
      </c>
      <c r="DW82">
        <f>IF($DV82=0,0,VLOOKUP($DV82,'Load-MarineBarge'!$A$27:$N$136,13,FALSE))</f>
        <v>0</v>
      </c>
      <c r="DX82">
        <f>IF($DV82=0,0,VLOOKUP($DV82,'Load-MarineBarge'!$A$27:$N$136,14,FALSE))</f>
        <v>0</v>
      </c>
      <c r="EC82">
        <f>IF(OR(ED82=0,ISNUMBER(MATCH(ED82,$ED$1:ED81,0))),0,MAX($EC$1:EC81)+1)</f>
        <v>0</v>
      </c>
      <c r="ED82">
        <f>IF('Load-MarineBarge'!$F$19="vapor oxidizer",IFERROR(VLOOKUP(Products!$A$59,'Load-MarineBarge'!$A$27:$B$136,1,FALSE),0),0)</f>
        <v>0</v>
      </c>
      <c r="EE82">
        <f>IF($ED82=0,0,VLOOKUP($ED82,'Load-MarineBarge'!$A$27:$N$136,13,FALSE))</f>
        <v>0</v>
      </c>
      <c r="EF82">
        <f>IF($ED82=0,0,VLOOKUP($ED82,'Load-MarineBarge'!$A$27:$N$136,14,FALSE))</f>
        <v>0</v>
      </c>
      <c r="EK82">
        <f>IF(OR(EL82=0,ISNUMBER(MATCH(EL82,$EL$1:EL81,0))),0,MAX($EK$1:EK81)+1)</f>
        <v>0</v>
      </c>
      <c r="EL82">
        <f>IF('Load-MarineBarge'!$F$19="CAS",IFERROR(VLOOKUP(Products!A59,'Load-MarineBarge'!$A$27:$B$136,1,FALSE),0),0)</f>
        <v>0</v>
      </c>
      <c r="EM82">
        <f>IF($EL82=0,0,VLOOKUP($EL82,'Load-MarineBarge'!$A$27:$N$136,13,FALSE))</f>
        <v>0</v>
      </c>
      <c r="EN82">
        <f>IF($EL82=0,0,VLOOKUP($EL82,'Load-MarineBarge'!$A$27:$N$136,14,FALSE))</f>
        <v>0</v>
      </c>
      <c r="FB82" s="8" t="s">
        <v>9883</v>
      </c>
      <c r="FC82" s="8" t="s">
        <v>9815</v>
      </c>
      <c r="FD82" s="8">
        <v>10000</v>
      </c>
      <c r="FE82" s="8">
        <v>1000</v>
      </c>
      <c r="FG82" s="360" t="str">
        <f t="shared" si="45"/>
        <v/>
      </c>
      <c r="FH82" s="155">
        <f>IF(Tank1!$D$22="NO CONTROL",_xlfn.MAXIFS(Tank1!$G$32:$G$141,Tank1!$E$32:$E$141,$FG82),0)*IFERROR($QR$3,0)</f>
        <v>0</v>
      </c>
      <c r="FI82" s="155">
        <f>_xlfn.MAXIFS(LandEmiss!$AF$20:$AF$119,LandEmiss!$AE$20:$AE$119,$FG82)*IFERROR($QR$3,0)</f>
        <v>0</v>
      </c>
      <c r="FJ82" s="155">
        <f>MAX(_xlfn.MAXIFS(LandEmiss!$CO$20:$CO$119,LandEmiss!$CN$20:$CN$119,$FG82),_xlfn.MAXIFS(LandEmiss!$EZ$9:$EZ$108,LandEmiss!$EY$9:$EY$108,$FG82))*IFERROR($QR$3,0)</f>
        <v>0</v>
      </c>
      <c r="FK82" s="155">
        <f>IF(Tank2!$D$22="NO CONTROL",_xlfn.MAXIFS(Tank2!$G$32:$G$141,Tank2!$E$32:$E$141,$FG82),0)*IFERROR($QR$4,0)</f>
        <v>0</v>
      </c>
      <c r="FL82" s="155">
        <f>_xlfn.MAXIFS(LandEmiss!$AG$20:$AG$119,LandEmiss!$AE$20:$AE$119,$FG82)*IFERROR($QR$4,0)</f>
        <v>0</v>
      </c>
      <c r="FM82" s="155">
        <f>MAX(_xlfn.MAXIFS(LandEmiss!$CP$20:$CP$119,LandEmiss!$CN$20:$CN$119,$FG82),_xlfn.MAXIFS(LandEmiss!$FA$9:$FA$108,LandEmiss!$EY$9:$EY$108,$FG82))*IFERROR($QR$4,0)</f>
        <v>0</v>
      </c>
      <c r="FN82" s="155">
        <f>IF(Tank3!$D$22="NO CONTROL",_xlfn.MAXIFS(Tank3!$G$32:$G$141,Tank3!$E$32:$E$141,$FG82),0)*IFERROR($QR$5,0)</f>
        <v>0</v>
      </c>
      <c r="FO82" s="155">
        <f>_xlfn.MAXIFS(LandEmiss!$AH$20:$AH$119,LandEmiss!$AE$20:$AE$119,$FG82)*IFERROR($QR$5,0)</f>
        <v>0</v>
      </c>
      <c r="FP82" s="155">
        <f>MAX(_xlfn.MAXIFS(LandEmiss!$CQ$20:$CQ$119,LandEmiss!$CN$20:$CN$119,$FG82),_xlfn.MAXIFS(LandEmiss!$FB$9:$FB$108,LandEmiss!$EY$9:$EY$108,$FG82))*IFERROR($QR$5,0)</f>
        <v>0</v>
      </c>
      <c r="FQ82" s="155">
        <f>IF(Tank4!$D$22="NO CONTROL",_xlfn.MAXIFS(Tank4!$G$32:$G$141,Tank4!$E$32:$E$141,$FG82),0)*IFERROR($QR$6,0)</f>
        <v>0</v>
      </c>
      <c r="FR82" s="155">
        <f>_xlfn.MAXIFS(LandEmiss!$AI$20:$AI$119,LandEmiss!$AE$20:$AE$119,$FG82)*IFERROR($QR$6,0)</f>
        <v>0</v>
      </c>
      <c r="FS82" s="155">
        <f>MAX(_xlfn.MAXIFS(LandEmiss!$CR$20:$CR$119,LandEmiss!$CN$20:$CN$119,$FG82),_xlfn.MAXIFS(LandEmiss!$FC$9:$FC$108,LandEmiss!$EY$9:$EY$108,$FG82))*IFERROR($QR$6,0)</f>
        <v>0</v>
      </c>
      <c r="FT82" s="155">
        <f>IF(Tank5!$D$22="NO CONTROL",_xlfn.MAXIFS(Tank5!$G$32:$G$141,Tank5!$E$32:$E$141,$FG82),0)*IFERROR($QR$7,0)</f>
        <v>0</v>
      </c>
      <c r="FU82" s="155">
        <f>_xlfn.MAXIFS(LandEmiss!$AJ$20:$AJ$119,LandEmiss!$AE$20:$AE$119,$FG82)*IFERROR($QR$7,0)</f>
        <v>0</v>
      </c>
      <c r="FV82" s="155">
        <f>MAX(_xlfn.MAXIFS(LandEmiss!$CS$20:$CS$119,LandEmiss!$CN$20:$CN$119,$FG82),_xlfn.MAXIFS(LandEmiss!$FD$9:$FD$108,LandEmiss!$EY$9:$EY$108,$FG82))*IFERROR($QR87,0)</f>
        <v>0</v>
      </c>
      <c r="FW82" s="155">
        <f>_xlfn.MAXIFS('Load-DrumTote'!$K$27:$K$136,'Load-DrumTote'!$F$27:$F$136,$FG82)*IFERROR($QR$8,0)</f>
        <v>0</v>
      </c>
      <c r="FX82" s="155">
        <f>_xlfn.MAXIFS('Load-Truck'!$K$27:$K$136,'Load-Truck'!$F$27:$F$136,$FG82)*IFERROR($QR$9,0)</f>
        <v>0</v>
      </c>
      <c r="FY82" s="155">
        <f>_xlfn.MAXIFS('Load-Rail'!$K$27:$K$136,'Load-Rail'!$F$27:$F$136,$FG82)*IFERROR($QR$10,0)</f>
        <v>0</v>
      </c>
      <c r="FZ82" s="155">
        <f>_xlfn.MAXIFS('Load-MarineBarge'!$K$27:$K$136,'Load-MarineBarge'!$F$27:$F$136,$FG82)*IFERROR($QR$11,0)</f>
        <v>0</v>
      </c>
      <c r="GA82" s="155">
        <f>_xlfn.MAXIFS('Load-MarineShip'!$K$27:$K$136,'Load-MarineShip'!$F$27:$F$136,$FG82)*IFERROR($QR$12,0)</f>
        <v>0</v>
      </c>
      <c r="GB82" s="313">
        <f>IF(OR(Flare!$D$24="fuel gas",Flare!$D$38="fuel gas"),SUMIF(Flare!$E$97:$E$106,$FG82,Flare!$F$97:$F$106),0)*IFERROR($QR$13,0)</f>
        <v>0</v>
      </c>
      <c r="GC82" s="313">
        <f>(_xlfn.MAXIFS(CtrlDevImpacts!$I$57:$I$156,CtrlDevImpacts!$H$57:$H$156,$FG82))*IFERROR($QR$13,0)</f>
        <v>0</v>
      </c>
      <c r="GD82" s="313">
        <f>(_xlfn.MAXIFS(Flare!$F$107:$F$216,Flare!$E$107:$E$216,$FG82)-_xlfn.MAXIFS(CtrlDevImpacts!$I$57:$I$156,CtrlDevImpacts!$H$57:$H$156,$FG82))*IFERROR($QR$13,0)</f>
        <v>0</v>
      </c>
      <c r="GE82" s="155">
        <f>_xlfn.MAXIFS(LandEmiss!$B$335:$B$434,LandEmiss!$A$335:$A$434,$FG82)*IFERROR($QR$13,0)</f>
        <v>0</v>
      </c>
      <c r="GF82" s="155">
        <f>(_xlfn.MAXIFS(LandEmiss!$BK$335:$BK$434,LandEmiss!$BJ$335:$BJ$434,$FG82)+_xlfn.MAXIFS(LandEmiss!$DV$323:$DV$422,LandEmiss!$DU$323:$DU$422,$FG82))*IFERROR($QR$13,0)</f>
        <v>0</v>
      </c>
      <c r="GG82" s="313">
        <f>IF(OR(VCU!$D$26="fuel gas",VCU!$D$42="fuel gas"),SUMIF(VCU!$E$120:$E$129,$FG82,VCU!$F$120:$F$129),0)*IFERROR($QR$14,0)</f>
        <v>0</v>
      </c>
      <c r="GH82" s="313">
        <f>(_xlfn.MAXIFS(CtrlDevImpacts!$X$57:$X$156,CtrlDevImpacts!$W$57:$W$156,$FG82))*IFERROR($QR$14,0)</f>
        <v>0</v>
      </c>
      <c r="GI82" s="313">
        <f>(_xlfn.MAXIFS(VCU!$F$130:$F$239,VCU!$E$130:$E$239,$FG82)-_xlfn.MAXIFS(CtrlDevImpacts!$X$57:$X$156,CtrlDevImpacts!$W$57:$W$156,$FG82))*IFERROR($QR$14,0)</f>
        <v>0</v>
      </c>
      <c r="GJ82" s="155">
        <f>_xlfn.MAXIFS(LandEmiss!$D$335:$D$434,LandEmiss!$A$335:$A$434,$FG82)*IFERROR($QR$14,0)</f>
        <v>0</v>
      </c>
      <c r="GK82" s="155">
        <f>(_xlfn.MAXIFS(LandEmiss!$BM$335:$BM$434,LandEmiss!$BJ$335:$BJ$434,$FG82)+_xlfn.MAXIFS(LandEmiss!$DX$323:$DX$422,LandEmiss!$DU$323:$DU$422,$FG82))*IFERROR($QR$14,0)</f>
        <v>0</v>
      </c>
      <c r="GL82" s="313">
        <f>IF(VaporOxidizer!D113="FUEL GAS",SUMIF(VaporOxidizer!$E$101:$E$110,$FG82,VaporOxidizer!$F$101:$F$110),0)*IFERROR($QR$15,0)</f>
        <v>0</v>
      </c>
      <c r="GM82" s="313">
        <f>(_xlfn.MAXIFS(CtrlDevImpacts!$AN$57:$AN$156,CtrlDevImpacts!$AM$57:$AM$156,$FG82))*IFERROR($QR$15,0)</f>
        <v>0</v>
      </c>
      <c r="GN82" s="313">
        <f>(_xlfn.MAXIFS(VaporOxidizer!$F$111:$F$220,VaporOxidizer!$E$111:$E$220,$FG82)-_xlfn.MAXIFS(CtrlDevImpacts!$AN$57:$AN$156,CtrlDevImpacts!$AM$57:$AM$156,$FG82))*IFERROR($QR$15,0)</f>
        <v>0</v>
      </c>
      <c r="GO82" s="155">
        <f>_xlfn.MAXIFS(LandEmiss!$F$335:$F$434,LandEmiss!$A$335:$A$434,$FG82)*IFERROR($QR$15,0)</f>
        <v>0</v>
      </c>
      <c r="GP82" s="155">
        <f>(_xlfn.MAXIFS(LandEmiss!$BK$335:$BK$434,LandEmiss!$BO$335:$BO$434,$FG82)+_xlfn.MAXIFS(LandEmiss!$DZ$323:$DZ$422,LandEmiss!$DU$323:$DU$422,$FG82))*IFERROR($QR$15,0)</f>
        <v>0</v>
      </c>
      <c r="GQ82" s="313">
        <f>_xlfn.MAXIFS(CtrlDevImpacts!$BD$57:$BD$156,CtrlDevImpacts!$BC$57:$BC$156,$FG82)*IFERROR(Hidden!$QR$16,0)</f>
        <v>0</v>
      </c>
      <c r="GR82" s="313">
        <f>(_xlfn.MAXIFS(CAS!$H$35:$H$144,CAS!$E$35:$E$144,$FG82)-_xlfn.MAXIFS(CtrlDevImpacts!$BD$57:$BD$156,CtrlDevImpacts!$BC$57:$BC$156,$FG82))*IFERROR(Hidden!$QR$16,0)</f>
        <v>0</v>
      </c>
      <c r="GS82" s="155">
        <f>_xlfn.MAXIFS(LandEmiss!$H$335:$H$434,LandEmiss!$A$335:$A$434,$FG82)*IFERROR($QR$27,0)</f>
        <v>0</v>
      </c>
      <c r="GT82" s="155">
        <f>(_xlfn.MAXIFS(LandEmiss!$BK$335:$BK$434,LandEmiss!$BQ$335:$BQ$434,$FG82)+_xlfn.MAXIFS(LandEmiss!$EB$323:$EB$422,LandEmiss!$DU$323:$DU$422,$FG82))*IFERROR($QR$27,0)</f>
        <v>0</v>
      </c>
      <c r="GU82" s="155">
        <f>_xlfn.MAXIFS(LandEmiss!$J$335:$J$434,LandEmiss!$A$335:$A$434,$FG82)*IFERROR($QR$26,0)</f>
        <v>0</v>
      </c>
      <c r="GV82" s="155">
        <f>(_xlfn.MAXIFS(LandEmiss!$BK$335:$BK$434,LandEmiss!$BS$335:$BS$434,$FG82)+_xlfn.MAXIFS(LandEmiss!$ED$323:$ED$422,LandEmiss!$DU$323:$DU$422,$FG82))*IFERROR($QR$26,0)</f>
        <v>0</v>
      </c>
      <c r="GW82" s="155">
        <f>_xlfn.MAXIFS(LandEmiss!$L$335:$L$434,LandEmiss!$A$335:$A$434,$FG82)*IFERROR($QR$25,0)</f>
        <v>0</v>
      </c>
      <c r="GX82" s="155">
        <f>(_xlfn.MAXIFS(LandEmiss!$BK$335:$BK$434,LandEmiss!$BU$335:$BU$434,$FG82)+_xlfn.MAXIFS(LandEmiss!$EF$323:$EF$422,LandEmiss!$DU$323:$DU$422,$FG82))*IFERROR($QR$25,0)</f>
        <v>0</v>
      </c>
      <c r="GY82" s="155">
        <v>0</v>
      </c>
      <c r="GZ82" s="155">
        <v>0</v>
      </c>
      <c r="HA82" s="155">
        <f>IF(OR(HeaterBoiler1!$E$26&lt;&gt;"fuel gas",HeaterBoiler1!$E$15&lt;&gt;"heater"),0,SUMIF(HeaterBoiler1!$A$54:$D$63,$FG82,HeaterBoiler1!$I$54:$I$63))*IFERROR($QR$19,0)</f>
        <v>0</v>
      </c>
      <c r="HB82" s="207">
        <f>IF(OR(HeaterBoiler2!$E$26&lt;&gt;"fuel gas",HeaterBoiler2!$E$15&lt;&gt;"heater"),0,SUMIF(HeaterBoiler2!$A$54:$D$63,$FG82,HeaterBoiler2!$I$54:$I$63))*IFERROR($QR$21,0)</f>
        <v>0</v>
      </c>
      <c r="HC82" s="155">
        <f>IF(OR(HeaterBoiler1!$E$26&lt;&gt;"fuel gas",HeaterBoiler1!$E$15&lt;&gt;"boiler"),0,SUMIF(HeaterBoiler1!$A$41:$A$50,$FG82,HeaterBoiler1!$F$41:$F$50))*IFERROR($QR$20,0)</f>
        <v>0</v>
      </c>
      <c r="HD82" s="207">
        <f>IF(OR(HeaterBoiler2!$E$26&lt;&gt;"fuel gas",HeaterBoiler2!$E$15&lt;&gt;"boiler"),0,SUMIF(HeaterBoiler2!$A$41:$A$50,$FG82,HeaterBoiler2!$F$41:$F$50))*IFERROR($QR$22,0)</f>
        <v>0</v>
      </c>
      <c r="HE82" s="155">
        <f>SUMIF(Fug!$A$96:$A$205,$FG82,Fug!$I$96:$I$205)*IFERROR(Hidden!$QR$23,0)</f>
        <v>0</v>
      </c>
      <c r="HF82" s="155">
        <f t="shared" si="46"/>
        <v>0</v>
      </c>
      <c r="HG82" s="156">
        <f t="shared" si="47"/>
        <v>0</v>
      </c>
      <c r="HH82" s="156">
        <f t="shared" si="48"/>
        <v>0</v>
      </c>
      <c r="HI82" s="156">
        <f t="shared" si="49"/>
        <v>0</v>
      </c>
      <c r="HJ82" s="156">
        <f t="shared" si="50"/>
        <v>0</v>
      </c>
      <c r="HK82" s="156">
        <f t="shared" si="51"/>
        <v>0</v>
      </c>
      <c r="HL82" s="156">
        <f t="shared" si="52"/>
        <v>0</v>
      </c>
      <c r="NO82" s="155">
        <f>IF(Tank1!$D$22="No control",(SUMIF(Tank1!$E$32:$E$141,$FG82,Tank1!$H$32:$H$141)*(2000/8760)*IFERROR($QV$3,0)),0)</f>
        <v>0</v>
      </c>
      <c r="NP82" s="156">
        <f>SUMIF(LandEmiss!$AE$20:$AE$119,$FG82,LandEmiss!$AK$20:$AK$119)*(2000/8760)*IFERROR($QV$3,0)</f>
        <v>0</v>
      </c>
      <c r="NQ82" s="156">
        <f>(SUMIF(LandEmiss!$CN$20:$CN$119,$FG82,LandEmiss!$CT$20:$CT$119)+SUMIF(LandEmiss!$EY$9:$EY$108,$FG82,LandEmiss!$FE$9:$FE$108))*IFERROR($QV$3,0)*(2000/8760)</f>
        <v>0</v>
      </c>
      <c r="NR82" s="155">
        <f>IF(Tank2!$D$22="No control",(SUMIF(Tank2!$E$32:$E$141,$FG82,Tank2!$H$32:$H$141)*(2000/8760)*IFERROR($QV$4,0)),0)</f>
        <v>0</v>
      </c>
      <c r="NS82" s="156">
        <f>SUMIF(LandEmiss!$AE$20:$AE$119,$FG82,LandEmiss!$AL$20:$AL$119)*(2000/8760)*IFERROR($QV$4,0)</f>
        <v>0</v>
      </c>
      <c r="NT82" s="156">
        <f>(SUMIF(LandEmiss!$CN$20:$CN$119,$FG82,LandEmiss!$CU$20:$CU$119)+SUMIF(LandEmiss!$EY$9:$EY$108,$FG82,LandEmiss!$FF$9:$FF$108))*IFERROR($QV$4,0)*(2000/8760)</f>
        <v>0</v>
      </c>
      <c r="NU82" s="155">
        <f>IF(Tank3!$D$22="No control",(SUMIF(Tank3!$E$32:$E$141,$FG82,Tank3!$H$32:$H$141)*(2000/8760)*IFERROR($QV$5,0)),0)</f>
        <v>0</v>
      </c>
      <c r="NV82" s="156">
        <f>SUMIF(LandEmiss!$AE$20:$AE$119,$FG82,LandEmiss!$AM$20:$AM$119)*(2000/8760)*IFERROR($QV$5,0)</f>
        <v>0</v>
      </c>
      <c r="NW82" s="156">
        <f>(SUMIF(LandEmiss!$CN$20:$CN$119,$FG82,LandEmiss!$CV$20:$CV$119)+SUMIF(LandEmiss!$EY$9:$EY$108,$FG82,LandEmiss!$FG$9:$FG$108))*IFERROR($QV$5,0)*(2000/8760)</f>
        <v>0</v>
      </c>
      <c r="NX82" s="155">
        <f>IF(Tank4!$D$22="No control",(SUMIF(Tank4!$E$32:$E$141,$FG82,Tank4!$H$32:$H$141)*(2000/8760)*IFERROR($QV$6,0)),0)</f>
        <v>0</v>
      </c>
      <c r="NY82" s="156">
        <f>SUMIF(LandEmiss!$AE$20:$AE$119,$FG82,LandEmiss!$AN$20:$AN$119)*(2000/8760)*IFERROR($QV$6,0)</f>
        <v>0</v>
      </c>
      <c r="NZ82" s="156">
        <f>(SUMIF(LandEmiss!$CN$20:$CN$119,$FG82,LandEmiss!$CW$20:$CW$119)+SUMIF(LandEmiss!$EY$9:$EY$108,$FG82,LandEmiss!$FH$9:$FH$108))*IFERROR($QV$6,0)*(2000/8760)</f>
        <v>0</v>
      </c>
      <c r="OA82" s="155">
        <f>IF(Tank5!$D$22="No control",(SUMIF(Tank5!$E$32:$E$141,$FG82,Tank5!$H$32:$H$141)*(2000/8760)*IFERROR($QV$7,0)),0)</f>
        <v>0</v>
      </c>
      <c r="OB82" s="156">
        <f>SUMIF(LandEmiss!$AE$20:$AE$119,$FG82,LandEmiss!$AO$20:$AO$119)*(2000/8760)*IFERROR($QV$7,0)</f>
        <v>0</v>
      </c>
      <c r="OC82" s="156">
        <f>(SUMIF(LandEmiss!$CN$20:$CN$119,$FG82,LandEmiss!$CX$20:$CX$119)+SUMIF(LandEmiss!$EY$9:$EY$108,$FG82,LandEmiss!$FI$9:$FI$108))*IFERROR($QV$7,0)*(2000/8760)</f>
        <v>0</v>
      </c>
      <c r="OD82" s="155">
        <f>SUMIFS('Load-DrumTote'!$L$27:$L$136,'Load-DrumTote'!$F$27:$F$136,$FG82)*IFERROR($QV$8,0)*(2000/8760)</f>
        <v>0</v>
      </c>
      <c r="OE82" s="155">
        <f>SUMIFS('Load-Truck'!$L$27:$L$136,'Load-Truck'!$F$27:$F$136,$FG82)*IFERROR($QV$9,0)*(2000/8760)</f>
        <v>0</v>
      </c>
      <c r="OF82" s="155">
        <f>SUMIFS('Load-Rail'!$L$27:$L$136,'Load-Rail'!$F$27:$F$136,$FG82)*IFERROR($QV$10,0)*(2000/8760)</f>
        <v>0</v>
      </c>
      <c r="OG82" s="155">
        <f>SUMIFS('Load-MarineBarge'!$L$27:$L$136,'Load-MarineBarge'!$F$27:$F$136,$FG82)*IFERROR($QV$11,0)*(2000/8760)</f>
        <v>0</v>
      </c>
      <c r="OH82" s="155">
        <f>SUMIFS('Load-MarineShip'!$L$27:$L$136,'Load-MarineShip'!$F$27:$F$136,$FG82)*IFERROR($QV$12,0)*(2000/8760)</f>
        <v>0</v>
      </c>
      <c r="OI82" s="155">
        <f>(IF(OR(Flare!$D$24="FUEL GAS",Flare!$D$38="FUEL GAS"),SUMIF(Flare!$E$97:$E$106,$FG82,Flare!$G$97:$G$105),0)+SUMIF(Flare!$E$107:$E$216,$FG82,Flare!$G$107:$G$216))*(2000/8730)*IFERROR($QV$13,0)</f>
        <v>0</v>
      </c>
      <c r="OJ82" s="155">
        <f>SUMIF(LandEmiss!$A$335:$A$434,$FG82,LandEmiss!$C$335:$C$434)*(2000/8760)*IFERROR($QV$13,0)</f>
        <v>0</v>
      </c>
      <c r="OK82" s="155">
        <f>(SUMIF(LandEmiss!$BJ$335:$BJ$434,$FG82,LandEmiss!$BL$335:$BL$434)+SUMIF(LandEmiss!$DU$323:$DU$422,$FG82,LandEmiss!$DW$323:$DW$422))*(2000/8760)*IFERROR($QV$13,0)</f>
        <v>0</v>
      </c>
      <c r="OL82" s="155">
        <f>(IF(OR(VCU!$D$26="FUEL GAS",VCU!$D$42="FUEL GAS"),SUMIF(VCU!$E$120:$E$129,$FG82,VCU!$G$120:$G$129),0)+SUMIF(VCU!$E$130:$E$239,$FG82,VCU!G210:G319))*(2000/8760)*IFERROR($QV$14,0)</f>
        <v>0</v>
      </c>
      <c r="OM82" s="155">
        <f>SUMIF(LandEmiss!$A$335:$A$434,$FG82,LandEmiss!$E$335:$E$434)*(2000/8760)*IFERROR($QV$14,0)</f>
        <v>0</v>
      </c>
      <c r="ON82" s="155">
        <f>(SUMIF(LandEmiss!$BJ$335:$BJ$434,$FG82,LandEmiss!$BN$335:$BN$434)+SUMIF(LandEmiss!$DU$323:$DU$422,$FG82,LandEmiss!$DY$323:$DY$422))*(2000/8760)*IFERROR($QV$14,0)</f>
        <v>0</v>
      </c>
      <c r="OO82" s="155">
        <f>(IF(VaporOxidizer!$D$33="FUEL GAS",SUMIF(VaporOxidizer!$E$101:$E$110,$FG82,VaporOxidizer!$G$101:$G$110),0)+SUMIF(VaporOxidizer!$E$111:$E$220,$FG82,VaporOxidizer!$G$111:$G$220))*(2000/8760)*IFERROR($QV$15,0)</f>
        <v>0</v>
      </c>
      <c r="OP82" s="155">
        <f>SUMIF(LandEmiss!$A$335:$A$434,$FG82,LandEmiss!$G$335:$G$434)*(2000/8760)*IFERROR($QV$15,0)</f>
        <v>0</v>
      </c>
      <c r="OQ82" s="155">
        <f>(SUMIF(LandEmiss!$BJ$335:$BJ$434,$FG82,LandEmiss!$BP$335:$BP$434)+SUMIF(LandEmiss!$DU$323:$DU$422,$FG82,LandEmiss!$EA$323:$EA$422))*(2000/8760)*IFERROR($QV$15,0)</f>
        <v>0</v>
      </c>
      <c r="OR82" s="155">
        <f>SUMIF(CAS!$E$35:$E$144,Hidden!$FG82,CAS!$I$35:$I$144)*IFERROR($QV$16,0)*(2000/8760)</f>
        <v>0</v>
      </c>
      <c r="OS82" s="155">
        <f>SUMIF(LandEmiss!$A$335:$A$434,$FG82,LandEmiss!$I$335:$I$434)*(2000/8760)*IFERROR($QV$27,0)</f>
        <v>0</v>
      </c>
      <c r="OT82" s="155">
        <f>(SUMIF(LandEmiss!$BJ$335:$BJ$434,$FG82,LandEmiss!$BR$335:$BR$434)+SUMIF(LandEmiss!$DU$323:$DU$422,$FG82,LandEmiss!$EC$323:$EC$422))*(2000/8760)*IFERROR($QV$27,0)</f>
        <v>0</v>
      </c>
      <c r="OU82" s="155">
        <f>SUMIF(LandEmiss!$A$335:$A$434,$FG82,LandEmiss!$K$335:$K$434)*(2000/8760)*IFERROR($QV$26,0)</f>
        <v>0</v>
      </c>
      <c r="OV82" s="155">
        <f>(SUMIF(LandEmiss!$BJ$335:$BJ$434,$FG82,LandEmiss!$BT$335:$BT$434)+SUMIF(LandEmiss!$DU$323:$DU$422,$FG82,LandEmiss!$EE$323:$EE$422))*(2000/8760)*IFERROR($QV$26,0)</f>
        <v>0</v>
      </c>
      <c r="OW82" s="155">
        <f>SUMIF(LandEmiss!$A$335:$A$434,$FG82,LandEmiss!$M$335:$M$434)*(2000/8760)*IFERROR($QV$25,0)</f>
        <v>0</v>
      </c>
      <c r="OX82" s="155">
        <f>(SUMIF(LandEmiss!$BJ$335:$BJ$434,$FG82,LandEmiss!$BV$335:$BV$434)+SUMIF(LandEmiss!$DU$323:$DU$422,$FG82,LandEmiss!$EG$323:$EG$422))*(2000/8760)*IFERROR($QV$25,0)</f>
        <v>0</v>
      </c>
      <c r="OY82" s="8">
        <v>0</v>
      </c>
      <c r="OZ82" s="207">
        <v>0</v>
      </c>
      <c r="PA82" s="207">
        <f>IF(OR(HeaterBoiler1!$E$26&lt;&gt;"fuel gas",HeaterBoiler1!$E$15&lt;&gt;"heater"),0,(SUMIF(HeaterBoiler1!$A$54:$D$63,$FG82,HeaterBoiler1!$J$54:$J$63))*(2000/8760))*IFERROR($QV$19,0)</f>
        <v>0</v>
      </c>
      <c r="PB82" s="207">
        <f>IF(OR(HeaterBoiler2!$E$26&lt;&gt;"fuel gas",HeaterBoiler2!$E$15&lt;&gt;"heater"),0,(SUMIF(HeaterBoiler2!$A$54:$D$63,$FG82,HeaterBoiler2!$J$54:$J$63))*(2000/8760))*IFERROR($QV$21,0)</f>
        <v>0</v>
      </c>
      <c r="PC82" s="207">
        <f>IF(OR(HeaterBoiler1!$E$26&lt;&gt;"fuel gas",HeaterBoiler1!$E$15&lt;&gt;"boiler"),0,(SUMIF(HeaterBoiler1!$A$54:$D$63,$FG82,HeaterBoiler1!$J$54:$J$63))*(2000/8760))*IFERROR($QV$20,0)</f>
        <v>0</v>
      </c>
      <c r="PD82" s="207">
        <f>IF(OR(HeaterBoiler2!$E$26&lt;&gt;"fuel gas",HeaterBoiler2!$E$15&lt;&gt;"boiler"),0,(SUMIF(HeaterBoiler2!$A$54:$D$63,$FG82,HeaterBoiler2!$J$54:$J$63))*(2000/8760))*IFERROR($QV$22,0)</f>
        <v>0</v>
      </c>
      <c r="PE82" s="8">
        <f>(SUMIF(Fug!$A$96:$A$205,$FG82,Fug!$J$96:$J$205))*IFERROR($QV$23,0)*(2000/8760)</f>
        <v>0</v>
      </c>
      <c r="PF82" s="8">
        <f t="shared" si="53"/>
        <v>0</v>
      </c>
      <c r="PG82" s="156">
        <f t="shared" si="54"/>
        <v>0</v>
      </c>
      <c r="QX82" s="89" t="s">
        <v>9328</v>
      </c>
      <c r="QY82">
        <v>5397.4</v>
      </c>
      <c r="QZ82">
        <v>3500.7</v>
      </c>
      <c r="RA82">
        <v>1925.6</v>
      </c>
      <c r="RB82">
        <v>884.5</v>
      </c>
      <c r="RC82">
        <v>518.70000000000005</v>
      </c>
      <c r="RD82">
        <v>351.3</v>
      </c>
      <c r="RE82">
        <v>260.2</v>
      </c>
      <c r="RF82">
        <v>148.19999999999999</v>
      </c>
      <c r="RG82" s="90">
        <v>100.2</v>
      </c>
      <c r="RH82" s="89" t="s">
        <v>9328</v>
      </c>
      <c r="RI82">
        <v>2290.8000000000002</v>
      </c>
      <c r="RJ82">
        <v>2027.9</v>
      </c>
      <c r="RK82">
        <v>1653.3</v>
      </c>
      <c r="RL82">
        <v>735.4</v>
      </c>
      <c r="RM82">
        <v>422.2</v>
      </c>
      <c r="RN82">
        <v>281.39999999999998</v>
      </c>
      <c r="RO82">
        <v>215.6</v>
      </c>
      <c r="RP82">
        <v>121.1</v>
      </c>
      <c r="RQ82" s="90">
        <v>82.89</v>
      </c>
      <c r="RR82" s="89" t="s">
        <v>9328</v>
      </c>
      <c r="RS82">
        <v>1416</v>
      </c>
      <c r="RT82">
        <v>1416</v>
      </c>
      <c r="RU82">
        <v>999.3</v>
      </c>
      <c r="RV82">
        <v>418.3</v>
      </c>
      <c r="RW82">
        <v>236</v>
      </c>
      <c r="RX82">
        <v>156</v>
      </c>
      <c r="RY82">
        <v>113</v>
      </c>
      <c r="RZ82">
        <v>62.68</v>
      </c>
      <c r="SA82" s="90">
        <v>41.22</v>
      </c>
      <c r="SB82" s="89" t="s">
        <v>9328</v>
      </c>
      <c r="SC82">
        <v>758.7</v>
      </c>
      <c r="SD82">
        <v>758.7</v>
      </c>
      <c r="SE82">
        <v>512.29999999999995</v>
      </c>
      <c r="SF82">
        <v>196.7</v>
      </c>
      <c r="SG82">
        <v>106.6</v>
      </c>
      <c r="SH82">
        <v>68.2</v>
      </c>
      <c r="SI82">
        <v>50.09</v>
      </c>
      <c r="SJ82">
        <v>26.31</v>
      </c>
      <c r="SK82" s="90">
        <v>16.87</v>
      </c>
      <c r="SL82" s="89" t="s">
        <v>9328</v>
      </c>
      <c r="SM82">
        <v>225.8</v>
      </c>
      <c r="SN82">
        <v>225.8</v>
      </c>
      <c r="SO82">
        <v>144.5</v>
      </c>
      <c r="SP82">
        <v>48.96</v>
      </c>
      <c r="SQ82">
        <v>24.18</v>
      </c>
      <c r="SR82">
        <v>14.51</v>
      </c>
      <c r="SS82">
        <v>9.8800000000000008</v>
      </c>
      <c r="ST82">
        <v>4.82</v>
      </c>
      <c r="SU82" s="90">
        <v>2.91</v>
      </c>
    </row>
    <row r="83" spans="23:515" ht="74.25" customHeight="1" x14ac:dyDescent="0.2">
      <c r="W83">
        <f>IF(OR(X83=0,ISNUMBER(MATCH(X83,$X$1:X82,0))),0,MAX($W$1:W82)+1)</f>
        <v>0</v>
      </c>
      <c r="X83" s="123">
        <f>Products!$E130</f>
        <v>0</v>
      </c>
      <c r="Y83" t="str">
        <f t="shared" si="42"/>
        <v/>
      </c>
      <c r="CA83">
        <f>IF(OR(CB83=0,ISNUMBER(MATCH(CB83,$CB$1:CB82,0))),0,MAX($CA$1:CA82)+1)</f>
        <v>0</v>
      </c>
      <c r="CB83" s="8">
        <f>IF(OR(Tank1!$D$18="EXTERNAL FLOATING ROOF",Tank1!$D$18="INTERNAL FLOATING ROOF"),IF(Tank1!$E113="",0,Tank1!$E113),0)</f>
        <v>0</v>
      </c>
      <c r="CC83" s="8" t="str">
        <f t="shared" si="43"/>
        <v/>
      </c>
      <c r="CD83" s="8"/>
      <c r="CE83" s="8">
        <f>IF(OR(CF83=0,ISNUMBER(MATCH(CF83,$CF$1:CF82,0))),0,MAX($CE$1:CE82)+1)</f>
        <v>0</v>
      </c>
      <c r="CF83" s="8">
        <f>IF(OR(Tank1!$D$18="HORIZONTAL FIXED ROOF",Tank1!$D$18="VERTICAL FIXED ROOF"),IF(Tank1!$E113="",0,Tank1!$E113),0)</f>
        <v>0</v>
      </c>
      <c r="CG83" s="8" t="str">
        <f t="shared" si="44"/>
        <v/>
      </c>
      <c r="DM83">
        <f>IF(OR(DN83=0,ISNUMBER(MATCH(DN83,$DN$1:DN82,0))),0,MAX($DM$1:DM82)+1)</f>
        <v>0</v>
      </c>
      <c r="DN83">
        <f>IF('Load-MarineBarge'!$F$19="Flare",IFERROR(VLOOKUP(Products!$A$69,'Load-MarineBarge'!$A$27:$B$136,1,FALSE),0),0)</f>
        <v>0</v>
      </c>
      <c r="DO83">
        <f>IF($DN83=0,0,VLOOKUP($DN83,'Load-MarineBarge'!$A$27:$N$136,13,FALSE))</f>
        <v>0</v>
      </c>
      <c r="DP83">
        <f>IF($DN83=0,0,VLOOKUP($DN83,'Load-MarineBarge'!$A$27:$N$136,14,FALSE))</f>
        <v>0</v>
      </c>
      <c r="DU83">
        <f>IF(OR(DV83=0,ISNUMBER(MATCH(DV83,$DV$1:DV82,0))),0,MAX($DU$1:DU82)+1)</f>
        <v>0</v>
      </c>
      <c r="DV83">
        <f>IF('Load-MarineBarge'!$F$19="VCU",IFERROR(VLOOKUP(Products!$A$69,'Load-MarineBarge'!$A$27:$B$136,1,FALSE),0),0)</f>
        <v>0</v>
      </c>
      <c r="DW83">
        <f>IF($DV83=0,0,VLOOKUP($DV83,'Load-MarineBarge'!$A$27:$N$136,13,FALSE))</f>
        <v>0</v>
      </c>
      <c r="DX83">
        <f>IF($DV83=0,0,VLOOKUP($DV83,'Load-MarineBarge'!$A$27:$N$136,14,FALSE))</f>
        <v>0</v>
      </c>
      <c r="EC83">
        <f>IF(OR(ED83=0,ISNUMBER(MATCH(ED83,$ED$1:ED82,0))),0,MAX($EC$1:EC82)+1)</f>
        <v>0</v>
      </c>
      <c r="ED83">
        <f>IF('Load-MarineBarge'!$F$19="vapor oxidizer",IFERROR(VLOOKUP(Products!$A$69,'Load-MarineBarge'!$A$27:$B$136,1,FALSE),0),0)</f>
        <v>0</v>
      </c>
      <c r="EE83">
        <f>IF($ED83=0,0,VLOOKUP($ED83,'Load-MarineBarge'!$A$27:$N$136,13,FALSE))</f>
        <v>0</v>
      </c>
      <c r="EF83">
        <f>IF($ED83=0,0,VLOOKUP($ED83,'Load-MarineBarge'!$A$27:$N$136,14,FALSE))</f>
        <v>0</v>
      </c>
      <c r="EK83">
        <f>IF(OR(EL83=0,ISNUMBER(MATCH(EL83,$EL$1:EL82,0))),0,MAX($EK$1:EK82)+1)</f>
        <v>0</v>
      </c>
      <c r="EL83">
        <f>IF('Load-MarineBarge'!$F$19="CAS",IFERROR(VLOOKUP(Products!A69,'Load-MarineBarge'!$A$27:$B$136,1,FALSE),0),0)</f>
        <v>0</v>
      </c>
      <c r="EM83">
        <f>IF($EL83=0,0,VLOOKUP($EL83,'Load-MarineBarge'!$A$27:$N$136,13,FALSE))</f>
        <v>0</v>
      </c>
      <c r="EN83">
        <f>IF($EL83=0,0,VLOOKUP($EL83,'Load-MarineBarge'!$A$27:$N$136,14,FALSE))</f>
        <v>0</v>
      </c>
      <c r="FB83" s="8" t="s">
        <v>510</v>
      </c>
      <c r="FC83" s="8" t="s">
        <v>511</v>
      </c>
      <c r="FD83" s="8">
        <v>41700</v>
      </c>
      <c r="FE83" s="8">
        <v>4170</v>
      </c>
      <c r="FG83" s="360" t="str">
        <f t="shared" si="45"/>
        <v/>
      </c>
      <c r="FH83" s="155">
        <f>IF(Tank1!$D$22="NO CONTROL",_xlfn.MAXIFS(Tank1!$G$32:$G$141,Tank1!$E$32:$E$141,$FG83),0)*IFERROR($QR$3,0)</f>
        <v>0</v>
      </c>
      <c r="FI83" s="155">
        <f>_xlfn.MAXIFS(LandEmiss!$AF$20:$AF$119,LandEmiss!$AE$20:$AE$119,$FG83)*IFERROR($QR$3,0)</f>
        <v>0</v>
      </c>
      <c r="FJ83" s="155">
        <f>MAX(_xlfn.MAXIFS(LandEmiss!$CO$20:$CO$119,LandEmiss!$CN$20:$CN$119,$FG83),_xlfn.MAXIFS(LandEmiss!$EZ$9:$EZ$108,LandEmiss!$EY$9:$EY$108,$FG83))*IFERROR($QR$3,0)</f>
        <v>0</v>
      </c>
      <c r="FK83" s="155">
        <f>IF(Tank2!$D$22="NO CONTROL",_xlfn.MAXIFS(Tank2!$G$32:$G$141,Tank2!$E$32:$E$141,$FG83),0)*IFERROR($QR$4,0)</f>
        <v>0</v>
      </c>
      <c r="FL83" s="155">
        <f>_xlfn.MAXIFS(LandEmiss!$AG$20:$AG$119,LandEmiss!$AE$20:$AE$119,$FG83)*IFERROR($QR$4,0)</f>
        <v>0</v>
      </c>
      <c r="FM83" s="155">
        <f>MAX(_xlfn.MAXIFS(LandEmiss!$CP$20:$CP$119,LandEmiss!$CN$20:$CN$119,$FG83),_xlfn.MAXIFS(LandEmiss!$FA$9:$FA$108,LandEmiss!$EY$9:$EY$108,$FG83))*IFERROR($QR$4,0)</f>
        <v>0</v>
      </c>
      <c r="FN83" s="155">
        <f>IF(Tank3!$D$22="NO CONTROL",_xlfn.MAXIFS(Tank3!$G$32:$G$141,Tank3!$E$32:$E$141,$FG83),0)*IFERROR($QR$5,0)</f>
        <v>0</v>
      </c>
      <c r="FO83" s="155">
        <f>_xlfn.MAXIFS(LandEmiss!$AH$20:$AH$119,LandEmiss!$AE$20:$AE$119,$FG83)*IFERROR($QR$5,0)</f>
        <v>0</v>
      </c>
      <c r="FP83" s="155">
        <f>MAX(_xlfn.MAXIFS(LandEmiss!$CQ$20:$CQ$119,LandEmiss!$CN$20:$CN$119,$FG83),_xlfn.MAXIFS(LandEmiss!$FB$9:$FB$108,LandEmiss!$EY$9:$EY$108,$FG83))*IFERROR($QR$5,0)</f>
        <v>0</v>
      </c>
      <c r="FQ83" s="155">
        <f>IF(Tank4!$D$22="NO CONTROL",_xlfn.MAXIFS(Tank4!$G$32:$G$141,Tank4!$E$32:$E$141,$FG83),0)*IFERROR($QR$6,0)</f>
        <v>0</v>
      </c>
      <c r="FR83" s="155">
        <f>_xlfn.MAXIFS(LandEmiss!$AI$20:$AI$119,LandEmiss!$AE$20:$AE$119,$FG83)*IFERROR($QR$6,0)</f>
        <v>0</v>
      </c>
      <c r="FS83" s="155">
        <f>MAX(_xlfn.MAXIFS(LandEmiss!$CR$20:$CR$119,LandEmiss!$CN$20:$CN$119,$FG83),_xlfn.MAXIFS(LandEmiss!$FC$9:$FC$108,LandEmiss!$EY$9:$EY$108,$FG83))*IFERROR($QR$6,0)</f>
        <v>0</v>
      </c>
      <c r="FT83" s="155">
        <f>IF(Tank5!$D$22="NO CONTROL",_xlfn.MAXIFS(Tank5!$G$32:$G$141,Tank5!$E$32:$E$141,$FG83),0)*IFERROR($QR$7,0)</f>
        <v>0</v>
      </c>
      <c r="FU83" s="155">
        <f>_xlfn.MAXIFS(LandEmiss!$AJ$20:$AJ$119,LandEmiss!$AE$20:$AE$119,$FG83)*IFERROR($QR$7,0)</f>
        <v>0</v>
      </c>
      <c r="FV83" s="155">
        <f>MAX(_xlfn.MAXIFS(LandEmiss!$CS$20:$CS$119,LandEmiss!$CN$20:$CN$119,$FG83),_xlfn.MAXIFS(LandEmiss!$FD$9:$FD$108,LandEmiss!$EY$9:$EY$108,$FG83))*IFERROR($QR88,0)</f>
        <v>0</v>
      </c>
      <c r="FW83" s="155">
        <f>_xlfn.MAXIFS('Load-DrumTote'!$K$27:$K$136,'Load-DrumTote'!$F$27:$F$136,$FG83)*IFERROR($QR$8,0)</f>
        <v>0</v>
      </c>
      <c r="FX83" s="155">
        <f>_xlfn.MAXIFS('Load-Truck'!$K$27:$K$136,'Load-Truck'!$F$27:$F$136,$FG83)*IFERROR($QR$9,0)</f>
        <v>0</v>
      </c>
      <c r="FY83" s="155">
        <f>_xlfn.MAXIFS('Load-Rail'!$K$27:$K$136,'Load-Rail'!$F$27:$F$136,$FG83)*IFERROR($QR$10,0)</f>
        <v>0</v>
      </c>
      <c r="FZ83" s="155">
        <f>_xlfn.MAXIFS('Load-MarineBarge'!$K$27:$K$136,'Load-MarineBarge'!$F$27:$F$136,$FG83)*IFERROR($QR$11,0)</f>
        <v>0</v>
      </c>
      <c r="GA83" s="155">
        <f>_xlfn.MAXIFS('Load-MarineShip'!$K$27:$K$136,'Load-MarineShip'!$F$27:$F$136,$FG83)*IFERROR($QR$12,0)</f>
        <v>0</v>
      </c>
      <c r="GB83" s="313">
        <f>IF(OR(Flare!$D$24="fuel gas",Flare!$D$38="fuel gas"),SUMIF(Flare!$E$97:$E$106,$FG83,Flare!$F$97:$F$106),0)*IFERROR($QR$13,0)</f>
        <v>0</v>
      </c>
      <c r="GC83" s="313">
        <f>(_xlfn.MAXIFS(CtrlDevImpacts!$I$57:$I$156,CtrlDevImpacts!$H$57:$H$156,$FG83))*IFERROR($QR$13,0)</f>
        <v>0</v>
      </c>
      <c r="GD83" s="313">
        <f>(_xlfn.MAXIFS(Flare!$F$107:$F$216,Flare!$E$107:$E$216,$FG83)-_xlfn.MAXIFS(CtrlDevImpacts!$I$57:$I$156,CtrlDevImpacts!$H$57:$H$156,$FG83))*IFERROR($QR$13,0)</f>
        <v>0</v>
      </c>
      <c r="GE83" s="155">
        <f>_xlfn.MAXIFS(LandEmiss!$B$335:$B$434,LandEmiss!$A$335:$A$434,$FG83)*IFERROR($QR$13,0)</f>
        <v>0</v>
      </c>
      <c r="GF83" s="155">
        <f>(_xlfn.MAXIFS(LandEmiss!$BK$335:$BK$434,LandEmiss!$BJ$335:$BJ$434,$FG83)+_xlfn.MAXIFS(LandEmiss!$DV$323:$DV$422,LandEmiss!$DU$323:$DU$422,$FG83))*IFERROR($QR$13,0)</f>
        <v>0</v>
      </c>
      <c r="GG83" s="313">
        <f>IF(OR(VCU!$D$26="fuel gas",VCU!$D$42="fuel gas"),SUMIF(VCU!$E$120:$E$129,$FG83,VCU!$F$120:$F$129),0)*IFERROR($QR$14,0)</f>
        <v>0</v>
      </c>
      <c r="GH83" s="313">
        <f>(_xlfn.MAXIFS(CtrlDevImpacts!$X$57:$X$156,CtrlDevImpacts!$W$57:$W$156,$FG83))*IFERROR($QR$14,0)</f>
        <v>0</v>
      </c>
      <c r="GI83" s="313">
        <f>(_xlfn.MAXIFS(VCU!$F$130:$F$239,VCU!$E$130:$E$239,$FG83)-_xlfn.MAXIFS(CtrlDevImpacts!$X$57:$X$156,CtrlDevImpacts!$W$57:$W$156,$FG83))*IFERROR($QR$14,0)</f>
        <v>0</v>
      </c>
      <c r="GJ83" s="155">
        <f>_xlfn.MAXIFS(LandEmiss!$D$335:$D$434,LandEmiss!$A$335:$A$434,$FG83)*IFERROR($QR$14,0)</f>
        <v>0</v>
      </c>
      <c r="GK83" s="155">
        <f>(_xlfn.MAXIFS(LandEmiss!$BM$335:$BM$434,LandEmiss!$BJ$335:$BJ$434,$FG83)+_xlfn.MAXIFS(LandEmiss!$DX$323:$DX$422,LandEmiss!$DU$323:$DU$422,$FG83))*IFERROR($QR$14,0)</f>
        <v>0</v>
      </c>
      <c r="GL83" s="313">
        <f>IF(VaporOxidizer!D114="FUEL GAS",SUMIF(VaporOxidizer!$E$101:$E$110,$FG83,VaporOxidizer!$F$101:$F$110),0)*IFERROR($QR$15,0)</f>
        <v>0</v>
      </c>
      <c r="GM83" s="313">
        <f>(_xlfn.MAXIFS(CtrlDevImpacts!$AN$57:$AN$156,CtrlDevImpacts!$AM$57:$AM$156,$FG83))*IFERROR($QR$15,0)</f>
        <v>0</v>
      </c>
      <c r="GN83" s="313">
        <f>(_xlfn.MAXIFS(VaporOxidizer!$F$111:$F$220,VaporOxidizer!$E$111:$E$220,$FG83)-_xlfn.MAXIFS(CtrlDevImpacts!$AN$57:$AN$156,CtrlDevImpacts!$AM$57:$AM$156,$FG83))*IFERROR($QR$15,0)</f>
        <v>0</v>
      </c>
      <c r="GO83" s="155">
        <f>_xlfn.MAXIFS(LandEmiss!$F$335:$F$434,LandEmiss!$A$335:$A$434,$FG83)*IFERROR($QR$15,0)</f>
        <v>0</v>
      </c>
      <c r="GP83" s="155">
        <f>(_xlfn.MAXIFS(LandEmiss!$BK$335:$BK$434,LandEmiss!$BO$335:$BO$434,$FG83)+_xlfn.MAXIFS(LandEmiss!$DZ$323:$DZ$422,LandEmiss!$DU$323:$DU$422,$FG83))*IFERROR($QR$15,0)</f>
        <v>0</v>
      </c>
      <c r="GQ83" s="313">
        <f>_xlfn.MAXIFS(CtrlDevImpacts!$BD$57:$BD$156,CtrlDevImpacts!$BC$57:$BC$156,$FG83)*IFERROR(Hidden!$QR$16,0)</f>
        <v>0</v>
      </c>
      <c r="GR83" s="313">
        <f>(_xlfn.MAXIFS(CAS!$H$35:$H$144,CAS!$E$35:$E$144,$FG83)-_xlfn.MAXIFS(CtrlDevImpacts!$BD$57:$BD$156,CtrlDevImpacts!$BC$57:$BC$156,$FG83))*IFERROR(Hidden!$QR$16,0)</f>
        <v>0</v>
      </c>
      <c r="GS83" s="155">
        <f>_xlfn.MAXIFS(LandEmiss!$H$335:$H$434,LandEmiss!$A$335:$A$434,$FG83)*IFERROR($QR$27,0)</f>
        <v>0</v>
      </c>
      <c r="GT83" s="155">
        <f>(_xlfn.MAXIFS(LandEmiss!$BK$335:$BK$434,LandEmiss!$BQ$335:$BQ$434,$FG83)+_xlfn.MAXIFS(LandEmiss!$EB$323:$EB$422,LandEmiss!$DU$323:$DU$422,$FG83))*IFERROR($QR$27,0)</f>
        <v>0</v>
      </c>
      <c r="GU83" s="155">
        <f>_xlfn.MAXIFS(LandEmiss!$J$335:$J$434,LandEmiss!$A$335:$A$434,$FG83)*IFERROR($QR$26,0)</f>
        <v>0</v>
      </c>
      <c r="GV83" s="155">
        <f>(_xlfn.MAXIFS(LandEmiss!$BK$335:$BK$434,LandEmiss!$BS$335:$BS$434,$FG83)+_xlfn.MAXIFS(LandEmiss!$ED$323:$ED$422,LandEmiss!$DU$323:$DU$422,$FG83))*IFERROR($QR$26,0)</f>
        <v>0</v>
      </c>
      <c r="GW83" s="155">
        <f>_xlfn.MAXIFS(LandEmiss!$L$335:$L$434,LandEmiss!$A$335:$A$434,$FG83)*IFERROR($QR$25,0)</f>
        <v>0</v>
      </c>
      <c r="GX83" s="155">
        <f>(_xlfn.MAXIFS(LandEmiss!$BK$335:$BK$434,LandEmiss!$BU$335:$BU$434,$FG83)+_xlfn.MAXIFS(LandEmiss!$EF$323:$EF$422,LandEmiss!$DU$323:$DU$422,$FG83))*IFERROR($QR$25,0)</f>
        <v>0</v>
      </c>
      <c r="GY83" s="155">
        <v>0</v>
      </c>
      <c r="GZ83" s="155">
        <v>0</v>
      </c>
      <c r="HA83" s="155">
        <f>IF(OR(HeaterBoiler1!$E$26&lt;&gt;"fuel gas",HeaterBoiler1!$E$15&lt;&gt;"heater"),0,SUMIF(HeaterBoiler1!$A$54:$D$63,$FG83,HeaterBoiler1!$I$54:$I$63))*IFERROR($QR$19,0)</f>
        <v>0</v>
      </c>
      <c r="HB83" s="207">
        <f>IF(OR(HeaterBoiler2!$E$26&lt;&gt;"fuel gas",HeaterBoiler2!$E$15&lt;&gt;"heater"),0,SUMIF(HeaterBoiler2!$A$54:$D$63,$FG83,HeaterBoiler2!$I$54:$I$63))*IFERROR($QR$21,0)</f>
        <v>0</v>
      </c>
      <c r="HC83" s="155">
        <f>IF(OR(HeaterBoiler1!$E$26&lt;&gt;"fuel gas",HeaterBoiler1!$E$15&lt;&gt;"boiler"),0,SUMIF(HeaterBoiler1!$A$41:$A$50,$FG83,HeaterBoiler1!$F$41:$F$50))*IFERROR($QR$20,0)</f>
        <v>0</v>
      </c>
      <c r="HD83" s="207">
        <f>IF(OR(HeaterBoiler2!$E$26&lt;&gt;"fuel gas",HeaterBoiler2!$E$15&lt;&gt;"boiler"),0,SUMIF(HeaterBoiler2!$A$41:$A$50,$FG83,HeaterBoiler2!$F$41:$F$50))*IFERROR($QR$22,0)</f>
        <v>0</v>
      </c>
      <c r="HE83" s="155">
        <f>SUMIF(Fug!$A$96:$A$205,$FG83,Fug!$I$96:$I$205)*IFERROR(Hidden!$QR$23,0)</f>
        <v>0</v>
      </c>
      <c r="HF83" s="155">
        <f t="shared" si="46"/>
        <v>0</v>
      </c>
      <c r="HG83" s="156">
        <f t="shared" si="47"/>
        <v>0</v>
      </c>
      <c r="HH83" s="156">
        <f t="shared" si="48"/>
        <v>0</v>
      </c>
      <c r="HI83" s="156">
        <f t="shared" si="49"/>
        <v>0</v>
      </c>
      <c r="HJ83" s="156">
        <f t="shared" si="50"/>
        <v>0</v>
      </c>
      <c r="HK83" s="156">
        <f t="shared" si="51"/>
        <v>0</v>
      </c>
      <c r="HL83" s="156">
        <f t="shared" si="52"/>
        <v>0</v>
      </c>
      <c r="NO83" s="155">
        <f>IF(Tank1!$D$22="No control",(SUMIF(Tank1!$E$32:$E$141,$FG83,Tank1!$H$32:$H$141)*(2000/8760)*IFERROR($QV$3,0)),0)</f>
        <v>0</v>
      </c>
      <c r="NP83" s="156">
        <f>SUMIF(LandEmiss!$AE$20:$AE$119,$FG83,LandEmiss!$AK$20:$AK$119)*(2000/8760)*IFERROR($QV$3,0)</f>
        <v>0</v>
      </c>
      <c r="NQ83" s="156">
        <f>(SUMIF(LandEmiss!$CN$20:$CN$119,$FG83,LandEmiss!$CT$20:$CT$119)+SUMIF(LandEmiss!$EY$9:$EY$108,$FG83,LandEmiss!$FE$9:$FE$108))*IFERROR($QV$3,0)*(2000/8760)</f>
        <v>0</v>
      </c>
      <c r="NR83" s="155">
        <f>IF(Tank2!$D$22="No control",(SUMIF(Tank2!$E$32:$E$141,$FG83,Tank2!$H$32:$H$141)*(2000/8760)*IFERROR($QV$4,0)),0)</f>
        <v>0</v>
      </c>
      <c r="NS83" s="156">
        <f>SUMIF(LandEmiss!$AE$20:$AE$119,$FG83,LandEmiss!$AL$20:$AL$119)*(2000/8760)*IFERROR($QV$4,0)</f>
        <v>0</v>
      </c>
      <c r="NT83" s="156">
        <f>(SUMIF(LandEmiss!$CN$20:$CN$119,$FG83,LandEmiss!$CU$20:$CU$119)+SUMIF(LandEmiss!$EY$9:$EY$108,$FG83,LandEmiss!$FF$9:$FF$108))*IFERROR($QV$4,0)*(2000/8760)</f>
        <v>0</v>
      </c>
      <c r="NU83" s="155">
        <f>IF(Tank3!$D$22="No control",(SUMIF(Tank3!$E$32:$E$141,$FG83,Tank3!$H$32:$H$141)*(2000/8760)*IFERROR($QV$5,0)),0)</f>
        <v>0</v>
      </c>
      <c r="NV83" s="156">
        <f>SUMIF(LandEmiss!$AE$20:$AE$119,$FG83,LandEmiss!$AM$20:$AM$119)*(2000/8760)*IFERROR($QV$5,0)</f>
        <v>0</v>
      </c>
      <c r="NW83" s="156">
        <f>(SUMIF(LandEmiss!$CN$20:$CN$119,$FG83,LandEmiss!$CV$20:$CV$119)+SUMIF(LandEmiss!$EY$9:$EY$108,$FG83,LandEmiss!$FG$9:$FG$108))*IFERROR($QV$5,0)*(2000/8760)</f>
        <v>0</v>
      </c>
      <c r="NX83" s="155">
        <f>IF(Tank4!$D$22="No control",(SUMIF(Tank4!$E$32:$E$141,$FG83,Tank4!$H$32:$H$141)*(2000/8760)*IFERROR($QV$6,0)),0)</f>
        <v>0</v>
      </c>
      <c r="NY83" s="156">
        <f>SUMIF(LandEmiss!$AE$20:$AE$119,$FG83,LandEmiss!$AN$20:$AN$119)*(2000/8760)*IFERROR($QV$6,0)</f>
        <v>0</v>
      </c>
      <c r="NZ83" s="156">
        <f>(SUMIF(LandEmiss!$CN$20:$CN$119,$FG83,LandEmiss!$CW$20:$CW$119)+SUMIF(LandEmiss!$EY$9:$EY$108,$FG83,LandEmiss!$FH$9:$FH$108))*IFERROR($QV$6,0)*(2000/8760)</f>
        <v>0</v>
      </c>
      <c r="OA83" s="155">
        <f>IF(Tank5!$D$22="No control",(SUMIF(Tank5!$E$32:$E$141,$FG83,Tank5!$H$32:$H$141)*(2000/8760)*IFERROR($QV$7,0)),0)</f>
        <v>0</v>
      </c>
      <c r="OB83" s="156">
        <f>SUMIF(LandEmiss!$AE$20:$AE$119,$FG83,LandEmiss!$AO$20:$AO$119)*(2000/8760)*IFERROR($QV$7,0)</f>
        <v>0</v>
      </c>
      <c r="OC83" s="156">
        <f>(SUMIF(LandEmiss!$CN$20:$CN$119,$FG83,LandEmiss!$CX$20:$CX$119)+SUMIF(LandEmiss!$EY$9:$EY$108,$FG83,LandEmiss!$FI$9:$FI$108))*IFERROR($QV$7,0)*(2000/8760)</f>
        <v>0</v>
      </c>
      <c r="OD83" s="155">
        <f>SUMIFS('Load-DrumTote'!$L$27:$L$136,'Load-DrumTote'!$F$27:$F$136,$FG83)*IFERROR($QV$8,0)*(2000/8760)</f>
        <v>0</v>
      </c>
      <c r="OE83" s="155">
        <f>SUMIFS('Load-Truck'!$L$27:$L$136,'Load-Truck'!$F$27:$F$136,$FG83)*IFERROR($QV$9,0)*(2000/8760)</f>
        <v>0</v>
      </c>
      <c r="OF83" s="155">
        <f>SUMIFS('Load-Rail'!$L$27:$L$136,'Load-Rail'!$F$27:$F$136,$FG83)*IFERROR($QV$10,0)*(2000/8760)</f>
        <v>0</v>
      </c>
      <c r="OG83" s="155">
        <f>SUMIFS('Load-MarineBarge'!$L$27:$L$136,'Load-MarineBarge'!$F$27:$F$136,$FG83)*IFERROR($QV$11,0)*(2000/8760)</f>
        <v>0</v>
      </c>
      <c r="OH83" s="155">
        <f>SUMIFS('Load-MarineShip'!$L$27:$L$136,'Load-MarineShip'!$F$27:$F$136,$FG83)*IFERROR($QV$12,0)*(2000/8760)</f>
        <v>0</v>
      </c>
      <c r="OI83" s="155">
        <f>(IF(OR(Flare!$D$24="FUEL GAS",Flare!$D$38="FUEL GAS"),SUMIF(Flare!$E$97:$E$106,$FG83,Flare!$G$97:$G$105),0)+SUMIF(Flare!$E$107:$E$216,$FG83,Flare!$G$107:$G$216))*(2000/8730)*IFERROR($QV$13,0)</f>
        <v>0</v>
      </c>
      <c r="OJ83" s="155">
        <f>SUMIF(LandEmiss!$A$335:$A$434,$FG83,LandEmiss!$C$335:$C$434)*(2000/8760)*IFERROR($QV$13,0)</f>
        <v>0</v>
      </c>
      <c r="OK83" s="155">
        <f>(SUMIF(LandEmiss!$BJ$335:$BJ$434,$FG83,LandEmiss!$BL$335:$BL$434)+SUMIF(LandEmiss!$DU$323:$DU$422,$FG83,LandEmiss!$DW$323:$DW$422))*(2000/8760)*IFERROR($QV$13,0)</f>
        <v>0</v>
      </c>
      <c r="OL83" s="155">
        <f>(IF(OR(VCU!$D$26="FUEL GAS",VCU!$D$42="FUEL GAS"),SUMIF(VCU!$E$120:$E$129,$FG83,VCU!$G$120:$G$129),0)+SUMIF(VCU!$E$130:$E$239,$FG83,VCU!G211:G320))*(2000/8760)*IFERROR($QV$14,0)</f>
        <v>0</v>
      </c>
      <c r="OM83" s="155">
        <f>SUMIF(LandEmiss!$A$335:$A$434,$FG83,LandEmiss!$E$335:$E$434)*(2000/8760)*IFERROR($QV$14,0)</f>
        <v>0</v>
      </c>
      <c r="ON83" s="155">
        <f>(SUMIF(LandEmiss!$BJ$335:$BJ$434,$FG83,LandEmiss!$BN$335:$BN$434)+SUMIF(LandEmiss!$DU$323:$DU$422,$FG83,LandEmiss!$DY$323:$DY$422))*(2000/8760)*IFERROR($QV$14,0)</f>
        <v>0</v>
      </c>
      <c r="OO83" s="155">
        <f>(IF(VaporOxidizer!$D$33="FUEL GAS",SUMIF(VaporOxidizer!$E$101:$E$110,$FG83,VaporOxidizer!$G$101:$G$110),0)+SUMIF(VaporOxidizer!$E$111:$E$220,$FG83,VaporOxidizer!$G$111:$G$220))*(2000/8760)*IFERROR($QV$15,0)</f>
        <v>0</v>
      </c>
      <c r="OP83" s="155">
        <f>SUMIF(LandEmiss!$A$335:$A$434,$FG83,LandEmiss!$G$335:$G$434)*(2000/8760)*IFERROR($QV$15,0)</f>
        <v>0</v>
      </c>
      <c r="OQ83" s="155">
        <f>(SUMIF(LandEmiss!$BJ$335:$BJ$434,$FG83,LandEmiss!$BP$335:$BP$434)+SUMIF(LandEmiss!$DU$323:$DU$422,$FG83,LandEmiss!$EA$323:$EA$422))*(2000/8760)*IFERROR($QV$15,0)</f>
        <v>0</v>
      </c>
      <c r="OR83" s="155">
        <f>SUMIF(CAS!$E$35:$E$144,Hidden!$FG83,CAS!$I$35:$I$144)*IFERROR($QV$16,0)*(2000/8760)</f>
        <v>0</v>
      </c>
      <c r="OS83" s="155">
        <f>SUMIF(LandEmiss!$A$335:$A$434,$FG83,LandEmiss!$I$335:$I$434)*(2000/8760)*IFERROR($QV$27,0)</f>
        <v>0</v>
      </c>
      <c r="OT83" s="155">
        <f>(SUMIF(LandEmiss!$BJ$335:$BJ$434,$FG83,LandEmiss!$BR$335:$BR$434)+SUMIF(LandEmiss!$DU$323:$DU$422,$FG83,LandEmiss!$EC$323:$EC$422))*(2000/8760)*IFERROR($QV$27,0)</f>
        <v>0</v>
      </c>
      <c r="OU83" s="155">
        <f>SUMIF(LandEmiss!$A$335:$A$434,$FG83,LandEmiss!$K$335:$K$434)*(2000/8760)*IFERROR($QV$26,0)</f>
        <v>0</v>
      </c>
      <c r="OV83" s="155">
        <f>(SUMIF(LandEmiss!$BJ$335:$BJ$434,$FG83,LandEmiss!$BT$335:$BT$434)+SUMIF(LandEmiss!$DU$323:$DU$422,$FG83,LandEmiss!$EE$323:$EE$422))*(2000/8760)*IFERROR($QV$26,0)</f>
        <v>0</v>
      </c>
      <c r="OW83" s="155">
        <f>SUMIF(LandEmiss!$A$335:$A$434,$FG83,LandEmiss!$M$335:$M$434)*(2000/8760)*IFERROR($QV$25,0)</f>
        <v>0</v>
      </c>
      <c r="OX83" s="155">
        <f>(SUMIF(LandEmiss!$BJ$335:$BJ$434,$FG83,LandEmiss!$BV$335:$BV$434)+SUMIF(LandEmiss!$DU$323:$DU$422,$FG83,LandEmiss!$EG$323:$EG$422))*(2000/8760)*IFERROR($QV$25,0)</f>
        <v>0</v>
      </c>
      <c r="OY83" s="8">
        <v>0</v>
      </c>
      <c r="OZ83" s="207">
        <v>0</v>
      </c>
      <c r="PA83" s="207">
        <f>IF(OR(HeaterBoiler1!$E$26&lt;&gt;"fuel gas",HeaterBoiler1!$E$15&lt;&gt;"heater"),0,(SUMIF(HeaterBoiler1!$A$54:$D$63,$FG83,HeaterBoiler1!$J$54:$J$63))*(2000/8760))*IFERROR($QV$19,0)</f>
        <v>0</v>
      </c>
      <c r="PB83" s="207">
        <f>IF(OR(HeaterBoiler2!$E$26&lt;&gt;"fuel gas",HeaterBoiler2!$E$15&lt;&gt;"heater"),0,(SUMIF(HeaterBoiler2!$A$54:$D$63,$FG83,HeaterBoiler2!$J$54:$J$63))*(2000/8760))*IFERROR($QV$21,0)</f>
        <v>0</v>
      </c>
      <c r="PC83" s="207">
        <f>IF(OR(HeaterBoiler1!$E$26&lt;&gt;"fuel gas",HeaterBoiler1!$E$15&lt;&gt;"boiler"),0,(SUMIF(HeaterBoiler1!$A$54:$D$63,$FG83,HeaterBoiler1!$J$54:$J$63))*(2000/8760))*IFERROR($QV$20,0)</f>
        <v>0</v>
      </c>
      <c r="PD83" s="207">
        <f>IF(OR(HeaterBoiler2!$E$26&lt;&gt;"fuel gas",HeaterBoiler2!$E$15&lt;&gt;"boiler"),0,(SUMIF(HeaterBoiler2!$A$54:$D$63,$FG83,HeaterBoiler2!$J$54:$J$63))*(2000/8760))*IFERROR($QV$22,0)</f>
        <v>0</v>
      </c>
      <c r="PE83" s="8">
        <f>(SUMIF(Fug!$A$96:$A$205,$FG83,Fug!$J$96:$J$205))*IFERROR($QV$23,0)*(2000/8760)</f>
        <v>0</v>
      </c>
      <c r="PF83" s="8">
        <f t="shared" si="53"/>
        <v>0</v>
      </c>
      <c r="PG83" s="156">
        <f t="shared" si="54"/>
        <v>0</v>
      </c>
      <c r="QX83" s="89" t="s">
        <v>9329</v>
      </c>
      <c r="QY83">
        <v>3232.7</v>
      </c>
      <c r="QZ83">
        <v>2697.3</v>
      </c>
      <c r="RA83">
        <v>1456.7</v>
      </c>
      <c r="RB83">
        <v>768.9</v>
      </c>
      <c r="RC83">
        <v>468.2</v>
      </c>
      <c r="RD83">
        <v>321.89999999999998</v>
      </c>
      <c r="RE83">
        <v>240.7</v>
      </c>
      <c r="RF83">
        <v>138.4</v>
      </c>
      <c r="RG83" s="90">
        <v>93.65</v>
      </c>
      <c r="RH83" s="89" t="s">
        <v>9329</v>
      </c>
      <c r="RI83">
        <v>1283.4000000000001</v>
      </c>
      <c r="RJ83">
        <v>1241.4000000000001</v>
      </c>
      <c r="RK83">
        <v>1241.4000000000001</v>
      </c>
      <c r="RL83">
        <v>647.29999999999995</v>
      </c>
      <c r="RM83">
        <v>385.8</v>
      </c>
      <c r="RN83">
        <v>261.10000000000002</v>
      </c>
      <c r="RO83">
        <v>200.8</v>
      </c>
      <c r="RP83">
        <v>113.9</v>
      </c>
      <c r="RQ83" s="90">
        <v>78.03</v>
      </c>
      <c r="RR83" s="89" t="s">
        <v>9329</v>
      </c>
      <c r="RS83">
        <v>810.5</v>
      </c>
      <c r="RT83">
        <v>810.5</v>
      </c>
      <c r="RU83">
        <v>772.3</v>
      </c>
      <c r="RV83">
        <v>371.5</v>
      </c>
      <c r="RW83">
        <v>217.7</v>
      </c>
      <c r="RX83">
        <v>145.19999999999999</v>
      </c>
      <c r="RY83">
        <v>106.1</v>
      </c>
      <c r="RZ83">
        <v>59.3</v>
      </c>
      <c r="SA83" s="90">
        <v>39.159999999999997</v>
      </c>
      <c r="SB83" s="89" t="s">
        <v>9329</v>
      </c>
      <c r="SC83">
        <v>408.6</v>
      </c>
      <c r="SD83">
        <v>408.6</v>
      </c>
      <c r="SE83">
        <v>408.6</v>
      </c>
      <c r="SF83">
        <v>179</v>
      </c>
      <c r="SG83">
        <v>99.78</v>
      </c>
      <c r="SH83">
        <v>64.790000000000006</v>
      </c>
      <c r="SI83">
        <v>47.98</v>
      </c>
      <c r="SJ83">
        <v>25.48</v>
      </c>
      <c r="SK83" s="90">
        <v>16.399999999999999</v>
      </c>
      <c r="SL83" s="89" t="s">
        <v>9329</v>
      </c>
      <c r="SM83">
        <v>119.3</v>
      </c>
      <c r="SN83">
        <v>119.3</v>
      </c>
      <c r="SO83">
        <v>119.3</v>
      </c>
      <c r="SP83">
        <v>46.2</v>
      </c>
      <c r="SQ83">
        <v>23.45</v>
      </c>
      <c r="SR83">
        <v>14.21</v>
      </c>
      <c r="SS83">
        <v>9.7100000000000009</v>
      </c>
      <c r="ST83">
        <v>4.76</v>
      </c>
      <c r="SU83" s="90">
        <v>2.88</v>
      </c>
    </row>
    <row r="84" spans="23:515" ht="74.25" customHeight="1" x14ac:dyDescent="0.2">
      <c r="W84">
        <f>IF(OR(X84=0,ISNUMBER(MATCH(X84,$X$1:X83,0))),0,MAX($W$1:W83)+1)</f>
        <v>0</v>
      </c>
      <c r="X84" s="123">
        <f>Products!$E131</f>
        <v>0</v>
      </c>
      <c r="Y84" t="str">
        <f t="shared" si="42"/>
        <v/>
      </c>
      <c r="CA84">
        <f>IF(OR(CB84=0,ISNUMBER(MATCH(CB84,$CB$1:CB83,0))),0,MAX($CA$1:CA83)+1)</f>
        <v>0</v>
      </c>
      <c r="CB84" s="8">
        <f>IF(OR(Tank1!$D$18="EXTERNAL FLOATING ROOF",Tank1!$D$18="INTERNAL FLOATING ROOF"),IF(Tank1!$E114="",0,Tank1!$E114),0)</f>
        <v>0</v>
      </c>
      <c r="CC84" s="8" t="str">
        <f t="shared" si="43"/>
        <v/>
      </c>
      <c r="CD84" s="8"/>
      <c r="CE84" s="8">
        <f>IF(OR(CF84=0,ISNUMBER(MATCH(CF84,$CF$1:CF83,0))),0,MAX($CE$1:CE83)+1)</f>
        <v>0</v>
      </c>
      <c r="CF84" s="8">
        <f>IF(OR(Tank1!$D$18="HORIZONTAL FIXED ROOF",Tank1!$D$18="VERTICAL FIXED ROOF"),IF(Tank1!$E114="",0,Tank1!$E114),0)</f>
        <v>0</v>
      </c>
      <c r="CG84" s="8" t="str">
        <f t="shared" si="44"/>
        <v/>
      </c>
      <c r="DM84">
        <f>IF(OR(DN84=0,ISNUMBER(MATCH(DN84,$DN$1:DN83,0))),0,MAX($DM$1:DM83)+1)</f>
        <v>0</v>
      </c>
      <c r="DN84">
        <f>IF('Load-MarineBarge'!$F$19="Flare",IFERROR(VLOOKUP(Products!$A$79,'Load-MarineBarge'!$A$27:$B$136,1,FALSE),0),0)</f>
        <v>0</v>
      </c>
      <c r="DO84">
        <f>IF($DN84=0,0,VLOOKUP($DN84,'Load-MarineBarge'!$A$27:$N$136,13,FALSE))</f>
        <v>0</v>
      </c>
      <c r="DP84">
        <f>IF($DN84=0,0,VLOOKUP($DN84,'Load-MarineBarge'!$A$27:$N$136,14,FALSE))</f>
        <v>0</v>
      </c>
      <c r="DU84">
        <f>IF(OR(DV84=0,ISNUMBER(MATCH(DV84,$DV$1:DV83,0))),0,MAX($DU$1:DU83)+1)</f>
        <v>0</v>
      </c>
      <c r="DV84">
        <f>IF('Load-MarineBarge'!$F$19="VCU",IFERROR(VLOOKUP(Products!$A$79,'Load-MarineBarge'!$A$27:$B$136,1,FALSE),0),0)</f>
        <v>0</v>
      </c>
      <c r="DW84">
        <f>IF($DV84=0,0,VLOOKUP($DV84,'Load-MarineBarge'!$A$27:$N$136,13,FALSE))</f>
        <v>0</v>
      </c>
      <c r="DX84">
        <f>IF($DV84=0,0,VLOOKUP($DV84,'Load-MarineBarge'!$A$27:$N$136,14,FALSE))</f>
        <v>0</v>
      </c>
      <c r="EC84">
        <f>IF(OR(ED84=0,ISNUMBER(MATCH(ED84,$ED$1:ED83,0))),0,MAX($EC$1:EC83)+1)</f>
        <v>0</v>
      </c>
      <c r="ED84">
        <f>IF('Load-MarineBarge'!$F$19="vapor oxidizer",IFERROR(VLOOKUP(Products!$A$79,'Load-MarineBarge'!$A$27:$B$136,1,FALSE),0),0)</f>
        <v>0</v>
      </c>
      <c r="EE84">
        <f>IF($ED84=0,0,VLOOKUP($ED84,'Load-MarineBarge'!$A$27:$N$136,13,FALSE))</f>
        <v>0</v>
      </c>
      <c r="EF84">
        <f>IF($ED84=0,0,VLOOKUP($ED84,'Load-MarineBarge'!$A$27:$N$136,14,FALSE))</f>
        <v>0</v>
      </c>
      <c r="EK84">
        <f>IF(OR(EL84=0,ISNUMBER(MATCH(EL84,$EL$1:EL83,0))),0,MAX($EK$1:EK83)+1)</f>
        <v>0</v>
      </c>
      <c r="EL84">
        <f>IF('Load-MarineBarge'!$F$19="CAS",IFERROR(VLOOKUP(Products!A79,'Load-MarineBarge'!$A$27:$B$136,1,FALSE),0),0)</f>
        <v>0</v>
      </c>
      <c r="EM84">
        <f>IF($EL84=0,0,VLOOKUP($EL84,'Load-MarineBarge'!$A$27:$N$136,13,FALSE))</f>
        <v>0</v>
      </c>
      <c r="EN84">
        <f>IF($EL84=0,0,VLOOKUP($EL84,'Load-MarineBarge'!$A$27:$N$136,14,FALSE))</f>
        <v>0</v>
      </c>
      <c r="FB84" s="8" t="s">
        <v>512</v>
      </c>
      <c r="FC84" s="8" t="s">
        <v>513</v>
      </c>
      <c r="FD84" s="8">
        <v>1050</v>
      </c>
      <c r="FE84" s="8">
        <v>105</v>
      </c>
      <c r="FG84" s="360" t="str">
        <f t="shared" si="45"/>
        <v/>
      </c>
      <c r="FH84" s="155">
        <f>IF(Tank1!$D$22="NO CONTROL",_xlfn.MAXIFS(Tank1!$G$32:$G$141,Tank1!$E$32:$E$141,$FG84),0)*IFERROR($QR$3,0)</f>
        <v>0</v>
      </c>
      <c r="FI84" s="155">
        <f>_xlfn.MAXIFS(LandEmiss!$AF$20:$AF$119,LandEmiss!$AE$20:$AE$119,$FG84)*IFERROR($QR$3,0)</f>
        <v>0</v>
      </c>
      <c r="FJ84" s="155">
        <f>MAX(_xlfn.MAXIFS(LandEmiss!$CO$20:$CO$119,LandEmiss!$CN$20:$CN$119,$FG84),_xlfn.MAXIFS(LandEmiss!$EZ$9:$EZ$108,LandEmiss!$EY$9:$EY$108,$FG84))*IFERROR($QR$3,0)</f>
        <v>0</v>
      </c>
      <c r="FK84" s="155">
        <f>IF(Tank2!$D$22="NO CONTROL",_xlfn.MAXIFS(Tank2!$G$32:$G$141,Tank2!$E$32:$E$141,$FG84),0)*IFERROR($QR$4,0)</f>
        <v>0</v>
      </c>
      <c r="FL84" s="155">
        <f>_xlfn.MAXIFS(LandEmiss!$AG$20:$AG$119,LandEmiss!$AE$20:$AE$119,$FG84)*IFERROR($QR$4,0)</f>
        <v>0</v>
      </c>
      <c r="FM84" s="155">
        <f>MAX(_xlfn.MAXIFS(LandEmiss!$CP$20:$CP$119,LandEmiss!$CN$20:$CN$119,$FG84),_xlfn.MAXIFS(LandEmiss!$FA$9:$FA$108,LandEmiss!$EY$9:$EY$108,$FG84))*IFERROR($QR$4,0)</f>
        <v>0</v>
      </c>
      <c r="FN84" s="155">
        <f>IF(Tank3!$D$22="NO CONTROL",_xlfn.MAXIFS(Tank3!$G$32:$G$141,Tank3!$E$32:$E$141,$FG84),0)*IFERROR($QR$5,0)</f>
        <v>0</v>
      </c>
      <c r="FO84" s="155">
        <f>_xlfn.MAXIFS(LandEmiss!$AH$20:$AH$119,LandEmiss!$AE$20:$AE$119,$FG84)*IFERROR($QR$5,0)</f>
        <v>0</v>
      </c>
      <c r="FP84" s="155">
        <f>MAX(_xlfn.MAXIFS(LandEmiss!$CQ$20:$CQ$119,LandEmiss!$CN$20:$CN$119,$FG84),_xlfn.MAXIFS(LandEmiss!$FB$9:$FB$108,LandEmiss!$EY$9:$EY$108,$FG84))*IFERROR($QR$5,0)</f>
        <v>0</v>
      </c>
      <c r="FQ84" s="155">
        <f>IF(Tank4!$D$22="NO CONTROL",_xlfn.MAXIFS(Tank4!$G$32:$G$141,Tank4!$E$32:$E$141,$FG84),0)*IFERROR($QR$6,0)</f>
        <v>0</v>
      </c>
      <c r="FR84" s="155">
        <f>_xlfn.MAXIFS(LandEmiss!$AI$20:$AI$119,LandEmiss!$AE$20:$AE$119,$FG84)*IFERROR($QR$6,0)</f>
        <v>0</v>
      </c>
      <c r="FS84" s="155">
        <f>MAX(_xlfn.MAXIFS(LandEmiss!$CR$20:$CR$119,LandEmiss!$CN$20:$CN$119,$FG84),_xlfn.MAXIFS(LandEmiss!$FC$9:$FC$108,LandEmiss!$EY$9:$EY$108,$FG84))*IFERROR($QR$6,0)</f>
        <v>0</v>
      </c>
      <c r="FT84" s="155">
        <f>IF(Tank5!$D$22="NO CONTROL",_xlfn.MAXIFS(Tank5!$G$32:$G$141,Tank5!$E$32:$E$141,$FG84),0)*IFERROR($QR$7,0)</f>
        <v>0</v>
      </c>
      <c r="FU84" s="155">
        <f>_xlfn.MAXIFS(LandEmiss!$AJ$20:$AJ$119,LandEmiss!$AE$20:$AE$119,$FG84)*IFERROR($QR$7,0)</f>
        <v>0</v>
      </c>
      <c r="FV84" s="155">
        <f>MAX(_xlfn.MAXIFS(LandEmiss!$CS$20:$CS$119,LandEmiss!$CN$20:$CN$119,$FG84),_xlfn.MAXIFS(LandEmiss!$FD$9:$FD$108,LandEmiss!$EY$9:$EY$108,$FG84))*IFERROR($QR89,0)</f>
        <v>0</v>
      </c>
      <c r="FW84" s="155">
        <f>_xlfn.MAXIFS('Load-DrumTote'!$K$27:$K$136,'Load-DrumTote'!$F$27:$F$136,$FG84)*IFERROR($QR$8,0)</f>
        <v>0</v>
      </c>
      <c r="FX84" s="155">
        <f>_xlfn.MAXIFS('Load-Truck'!$K$27:$K$136,'Load-Truck'!$F$27:$F$136,$FG84)*IFERROR($QR$9,0)</f>
        <v>0</v>
      </c>
      <c r="FY84" s="155">
        <f>_xlfn.MAXIFS('Load-Rail'!$K$27:$K$136,'Load-Rail'!$F$27:$F$136,$FG84)*IFERROR($QR$10,0)</f>
        <v>0</v>
      </c>
      <c r="FZ84" s="155">
        <f>_xlfn.MAXIFS('Load-MarineBarge'!$K$27:$K$136,'Load-MarineBarge'!$F$27:$F$136,$FG84)*IFERROR($QR$11,0)</f>
        <v>0</v>
      </c>
      <c r="GA84" s="155">
        <f>_xlfn.MAXIFS('Load-MarineShip'!$K$27:$K$136,'Load-MarineShip'!$F$27:$F$136,$FG84)*IFERROR($QR$12,0)</f>
        <v>0</v>
      </c>
      <c r="GB84" s="313">
        <f>IF(OR(Flare!$D$24="fuel gas",Flare!$D$38="fuel gas"),SUMIF(Flare!$E$97:$E$106,$FG84,Flare!$F$97:$F$106),0)*IFERROR($QR$13,0)</f>
        <v>0</v>
      </c>
      <c r="GC84" s="313">
        <f>(_xlfn.MAXIFS(CtrlDevImpacts!$I$57:$I$156,CtrlDevImpacts!$H$57:$H$156,$FG84))*IFERROR($QR$13,0)</f>
        <v>0</v>
      </c>
      <c r="GD84" s="313">
        <f>(_xlfn.MAXIFS(Flare!$F$107:$F$216,Flare!$E$107:$E$216,$FG84)-_xlfn.MAXIFS(CtrlDevImpacts!$I$57:$I$156,CtrlDevImpacts!$H$57:$H$156,$FG84))*IFERROR($QR$13,0)</f>
        <v>0</v>
      </c>
      <c r="GE84" s="155">
        <f>_xlfn.MAXIFS(LandEmiss!$B$335:$B$434,LandEmiss!$A$335:$A$434,$FG84)*IFERROR($QR$13,0)</f>
        <v>0</v>
      </c>
      <c r="GF84" s="155">
        <f>(_xlfn.MAXIFS(LandEmiss!$BK$335:$BK$434,LandEmiss!$BJ$335:$BJ$434,$FG84)+_xlfn.MAXIFS(LandEmiss!$DV$323:$DV$422,LandEmiss!$DU$323:$DU$422,$FG84))*IFERROR($QR$13,0)</f>
        <v>0</v>
      </c>
      <c r="GG84" s="313">
        <f>IF(OR(VCU!$D$26="fuel gas",VCU!$D$42="fuel gas"),SUMIF(VCU!$E$120:$E$129,$FG84,VCU!$F$120:$F$129),0)*IFERROR($QR$14,0)</f>
        <v>0</v>
      </c>
      <c r="GH84" s="313">
        <f>(_xlfn.MAXIFS(CtrlDevImpacts!$X$57:$X$156,CtrlDevImpacts!$W$57:$W$156,$FG84))*IFERROR($QR$14,0)</f>
        <v>0</v>
      </c>
      <c r="GI84" s="313">
        <f>(_xlfn.MAXIFS(VCU!$F$130:$F$239,VCU!$E$130:$E$239,$FG84)-_xlfn.MAXIFS(CtrlDevImpacts!$X$57:$X$156,CtrlDevImpacts!$W$57:$W$156,$FG84))*IFERROR($QR$14,0)</f>
        <v>0</v>
      </c>
      <c r="GJ84" s="155">
        <f>_xlfn.MAXIFS(LandEmiss!$D$335:$D$434,LandEmiss!$A$335:$A$434,$FG84)*IFERROR($QR$14,0)</f>
        <v>0</v>
      </c>
      <c r="GK84" s="155">
        <f>(_xlfn.MAXIFS(LandEmiss!$BM$335:$BM$434,LandEmiss!$BJ$335:$BJ$434,$FG84)+_xlfn.MAXIFS(LandEmiss!$DX$323:$DX$422,LandEmiss!$DU$323:$DU$422,$FG84))*IFERROR($QR$14,0)</f>
        <v>0</v>
      </c>
      <c r="GL84" s="313">
        <f>IF(VaporOxidizer!D115="FUEL GAS",SUMIF(VaporOxidizer!$E$101:$E$110,$FG84,VaporOxidizer!$F$101:$F$110),0)*IFERROR($QR$15,0)</f>
        <v>0</v>
      </c>
      <c r="GM84" s="313">
        <f>(_xlfn.MAXIFS(CtrlDevImpacts!$AN$57:$AN$156,CtrlDevImpacts!$AM$57:$AM$156,$FG84))*IFERROR($QR$15,0)</f>
        <v>0</v>
      </c>
      <c r="GN84" s="313">
        <f>(_xlfn.MAXIFS(VaporOxidizer!$F$111:$F$220,VaporOxidizer!$E$111:$E$220,$FG84)-_xlfn.MAXIFS(CtrlDevImpacts!$AN$57:$AN$156,CtrlDevImpacts!$AM$57:$AM$156,$FG84))*IFERROR($QR$15,0)</f>
        <v>0</v>
      </c>
      <c r="GO84" s="155">
        <f>_xlfn.MAXIFS(LandEmiss!$F$335:$F$434,LandEmiss!$A$335:$A$434,$FG84)*IFERROR($QR$15,0)</f>
        <v>0</v>
      </c>
      <c r="GP84" s="155">
        <f>(_xlfn.MAXIFS(LandEmiss!$BK$335:$BK$434,LandEmiss!$BO$335:$BO$434,$FG84)+_xlfn.MAXIFS(LandEmiss!$DZ$323:$DZ$422,LandEmiss!$DU$323:$DU$422,$FG84))*IFERROR($QR$15,0)</f>
        <v>0</v>
      </c>
      <c r="GQ84" s="313">
        <f>_xlfn.MAXIFS(CtrlDevImpacts!$BD$57:$BD$156,CtrlDevImpacts!$BC$57:$BC$156,$FG84)*IFERROR(Hidden!$QR$16,0)</f>
        <v>0</v>
      </c>
      <c r="GR84" s="313">
        <f>(_xlfn.MAXIFS(CAS!$H$35:$H$144,CAS!$E$35:$E$144,$FG84)-_xlfn.MAXIFS(CtrlDevImpacts!$BD$57:$BD$156,CtrlDevImpacts!$BC$57:$BC$156,$FG84))*IFERROR(Hidden!$QR$16,0)</f>
        <v>0</v>
      </c>
      <c r="GS84" s="155">
        <f>_xlfn.MAXIFS(LandEmiss!$H$335:$H$434,LandEmiss!$A$335:$A$434,$FG84)*IFERROR($QR$27,0)</f>
        <v>0</v>
      </c>
      <c r="GT84" s="155">
        <f>(_xlfn.MAXIFS(LandEmiss!$BK$335:$BK$434,LandEmiss!$BQ$335:$BQ$434,$FG84)+_xlfn.MAXIFS(LandEmiss!$EB$323:$EB$422,LandEmiss!$DU$323:$DU$422,$FG84))*IFERROR($QR$27,0)</f>
        <v>0</v>
      </c>
      <c r="GU84" s="155">
        <f>_xlfn.MAXIFS(LandEmiss!$J$335:$J$434,LandEmiss!$A$335:$A$434,$FG84)*IFERROR($QR$26,0)</f>
        <v>0</v>
      </c>
      <c r="GV84" s="155">
        <f>(_xlfn.MAXIFS(LandEmiss!$BK$335:$BK$434,LandEmiss!$BS$335:$BS$434,$FG84)+_xlfn.MAXIFS(LandEmiss!$ED$323:$ED$422,LandEmiss!$DU$323:$DU$422,$FG84))*IFERROR($QR$26,0)</f>
        <v>0</v>
      </c>
      <c r="GW84" s="155">
        <f>_xlfn.MAXIFS(LandEmiss!$L$335:$L$434,LandEmiss!$A$335:$A$434,$FG84)*IFERROR($QR$25,0)</f>
        <v>0</v>
      </c>
      <c r="GX84" s="155">
        <f>(_xlfn.MAXIFS(LandEmiss!$BK$335:$BK$434,LandEmiss!$BU$335:$BU$434,$FG84)+_xlfn.MAXIFS(LandEmiss!$EF$323:$EF$422,LandEmiss!$DU$323:$DU$422,$FG84))*IFERROR($QR$25,0)</f>
        <v>0</v>
      </c>
      <c r="GY84" s="155">
        <v>0</v>
      </c>
      <c r="GZ84" s="155">
        <v>0</v>
      </c>
      <c r="HA84" s="155">
        <f>IF(OR(HeaterBoiler1!$E$26&lt;&gt;"fuel gas",HeaterBoiler1!$E$15&lt;&gt;"heater"),0,SUMIF(HeaterBoiler1!$A$54:$D$63,$FG84,HeaterBoiler1!$I$54:$I$63))*IFERROR($QR$19,0)</f>
        <v>0</v>
      </c>
      <c r="HB84" s="207">
        <f>IF(OR(HeaterBoiler2!$E$26&lt;&gt;"fuel gas",HeaterBoiler2!$E$15&lt;&gt;"heater"),0,SUMIF(HeaterBoiler2!$A$54:$D$63,$FG84,HeaterBoiler2!$I$54:$I$63))*IFERROR($QR$21,0)</f>
        <v>0</v>
      </c>
      <c r="HC84" s="155">
        <f>IF(OR(HeaterBoiler1!$E$26&lt;&gt;"fuel gas",HeaterBoiler1!$E$15&lt;&gt;"boiler"),0,SUMIF(HeaterBoiler1!$A$41:$A$50,$FG84,HeaterBoiler1!$F$41:$F$50))*IFERROR($QR$20,0)</f>
        <v>0</v>
      </c>
      <c r="HD84" s="207">
        <f>IF(OR(HeaterBoiler2!$E$26&lt;&gt;"fuel gas",HeaterBoiler2!$E$15&lt;&gt;"boiler"),0,SUMIF(HeaterBoiler2!$A$41:$A$50,$FG84,HeaterBoiler2!$F$41:$F$50))*IFERROR($QR$22,0)</f>
        <v>0</v>
      </c>
      <c r="HE84" s="155">
        <f>SUMIF(Fug!$A$96:$A$205,$FG84,Fug!$I$96:$I$205)*IFERROR(Hidden!$QR$23,0)</f>
        <v>0</v>
      </c>
      <c r="HF84" s="155">
        <f t="shared" si="46"/>
        <v>0</v>
      </c>
      <c r="HG84" s="156">
        <f t="shared" si="47"/>
        <v>0</v>
      </c>
      <c r="HH84" s="156">
        <f t="shared" si="48"/>
        <v>0</v>
      </c>
      <c r="HI84" s="156">
        <f t="shared" si="49"/>
        <v>0</v>
      </c>
      <c r="HJ84" s="156">
        <f t="shared" si="50"/>
        <v>0</v>
      </c>
      <c r="HK84" s="156">
        <f t="shared" si="51"/>
        <v>0</v>
      </c>
      <c r="HL84" s="156">
        <f t="shared" si="52"/>
        <v>0</v>
      </c>
      <c r="NO84" s="155">
        <f>IF(Tank1!$D$22="No control",(SUMIF(Tank1!$E$32:$E$141,$FG84,Tank1!$H$32:$H$141)*(2000/8760)*IFERROR($QV$3,0)),0)</f>
        <v>0</v>
      </c>
      <c r="NP84" s="156">
        <f>SUMIF(LandEmiss!$AE$20:$AE$119,$FG84,LandEmiss!$AK$20:$AK$119)*(2000/8760)*IFERROR($QV$3,0)</f>
        <v>0</v>
      </c>
      <c r="NQ84" s="156">
        <f>(SUMIF(LandEmiss!$CN$20:$CN$119,$FG84,LandEmiss!$CT$20:$CT$119)+SUMIF(LandEmiss!$EY$9:$EY$108,$FG84,LandEmiss!$FE$9:$FE$108))*IFERROR($QV$3,0)*(2000/8760)</f>
        <v>0</v>
      </c>
      <c r="NR84" s="155">
        <f>IF(Tank2!$D$22="No control",(SUMIF(Tank2!$E$32:$E$141,$FG84,Tank2!$H$32:$H$141)*(2000/8760)*IFERROR($QV$4,0)),0)</f>
        <v>0</v>
      </c>
      <c r="NS84" s="156">
        <f>SUMIF(LandEmiss!$AE$20:$AE$119,$FG84,LandEmiss!$AL$20:$AL$119)*(2000/8760)*IFERROR($QV$4,0)</f>
        <v>0</v>
      </c>
      <c r="NT84" s="156">
        <f>(SUMIF(LandEmiss!$CN$20:$CN$119,$FG84,LandEmiss!$CU$20:$CU$119)+SUMIF(LandEmiss!$EY$9:$EY$108,$FG84,LandEmiss!$FF$9:$FF$108))*IFERROR($QV$4,0)*(2000/8760)</f>
        <v>0</v>
      </c>
      <c r="NU84" s="155">
        <f>IF(Tank3!$D$22="No control",(SUMIF(Tank3!$E$32:$E$141,$FG84,Tank3!$H$32:$H$141)*(2000/8760)*IFERROR($QV$5,0)),0)</f>
        <v>0</v>
      </c>
      <c r="NV84" s="156">
        <f>SUMIF(LandEmiss!$AE$20:$AE$119,$FG84,LandEmiss!$AM$20:$AM$119)*(2000/8760)*IFERROR($QV$5,0)</f>
        <v>0</v>
      </c>
      <c r="NW84" s="156">
        <f>(SUMIF(LandEmiss!$CN$20:$CN$119,$FG84,LandEmiss!$CV$20:$CV$119)+SUMIF(LandEmiss!$EY$9:$EY$108,$FG84,LandEmiss!$FG$9:$FG$108))*IFERROR($QV$5,0)*(2000/8760)</f>
        <v>0</v>
      </c>
      <c r="NX84" s="155">
        <f>IF(Tank4!$D$22="No control",(SUMIF(Tank4!$E$32:$E$141,$FG84,Tank4!$H$32:$H$141)*(2000/8760)*IFERROR($QV$6,0)),0)</f>
        <v>0</v>
      </c>
      <c r="NY84" s="156">
        <f>SUMIF(LandEmiss!$AE$20:$AE$119,$FG84,LandEmiss!$AN$20:$AN$119)*(2000/8760)*IFERROR($QV$6,0)</f>
        <v>0</v>
      </c>
      <c r="NZ84" s="156">
        <f>(SUMIF(LandEmiss!$CN$20:$CN$119,$FG84,LandEmiss!$CW$20:$CW$119)+SUMIF(LandEmiss!$EY$9:$EY$108,$FG84,LandEmiss!$FH$9:$FH$108))*IFERROR($QV$6,0)*(2000/8760)</f>
        <v>0</v>
      </c>
      <c r="OA84" s="155">
        <f>IF(Tank5!$D$22="No control",(SUMIF(Tank5!$E$32:$E$141,$FG84,Tank5!$H$32:$H$141)*(2000/8760)*IFERROR($QV$7,0)),0)</f>
        <v>0</v>
      </c>
      <c r="OB84" s="156">
        <f>SUMIF(LandEmiss!$AE$20:$AE$119,$FG84,LandEmiss!$AO$20:$AO$119)*(2000/8760)*IFERROR($QV$7,0)</f>
        <v>0</v>
      </c>
      <c r="OC84" s="156">
        <f>(SUMIF(LandEmiss!$CN$20:$CN$119,$FG84,LandEmiss!$CX$20:$CX$119)+SUMIF(LandEmiss!$EY$9:$EY$108,$FG84,LandEmiss!$FI$9:$FI$108))*IFERROR($QV$7,0)*(2000/8760)</f>
        <v>0</v>
      </c>
      <c r="OD84" s="155">
        <f>SUMIFS('Load-DrumTote'!$L$27:$L$136,'Load-DrumTote'!$F$27:$F$136,$FG84)*IFERROR($QV$8,0)*(2000/8760)</f>
        <v>0</v>
      </c>
      <c r="OE84" s="155">
        <f>SUMIFS('Load-Truck'!$L$27:$L$136,'Load-Truck'!$F$27:$F$136,$FG84)*IFERROR($QV$9,0)*(2000/8760)</f>
        <v>0</v>
      </c>
      <c r="OF84" s="155">
        <f>SUMIFS('Load-Rail'!$L$27:$L$136,'Load-Rail'!$F$27:$F$136,$FG84)*IFERROR($QV$10,0)*(2000/8760)</f>
        <v>0</v>
      </c>
      <c r="OG84" s="155">
        <f>SUMIFS('Load-MarineBarge'!$L$27:$L$136,'Load-MarineBarge'!$F$27:$F$136,$FG84)*IFERROR($QV$11,0)*(2000/8760)</f>
        <v>0</v>
      </c>
      <c r="OH84" s="155">
        <f>SUMIFS('Load-MarineShip'!$L$27:$L$136,'Load-MarineShip'!$F$27:$F$136,$FG84)*IFERROR($QV$12,0)*(2000/8760)</f>
        <v>0</v>
      </c>
      <c r="OI84" s="155">
        <f>(IF(OR(Flare!$D$24="FUEL GAS",Flare!$D$38="FUEL GAS"),SUMIF(Flare!$E$97:$E$106,$FG84,Flare!$G$97:$G$105),0)+SUMIF(Flare!$E$107:$E$216,$FG84,Flare!$G$107:$G$216))*(2000/8730)*IFERROR($QV$13,0)</f>
        <v>0</v>
      </c>
      <c r="OJ84" s="155">
        <f>SUMIF(LandEmiss!$A$335:$A$434,$FG84,LandEmiss!$C$335:$C$434)*(2000/8760)*IFERROR($QV$13,0)</f>
        <v>0</v>
      </c>
      <c r="OK84" s="155">
        <f>(SUMIF(LandEmiss!$BJ$335:$BJ$434,$FG84,LandEmiss!$BL$335:$BL$434)+SUMIF(LandEmiss!$DU$323:$DU$422,$FG84,LandEmiss!$DW$323:$DW$422))*(2000/8760)*IFERROR($QV$13,0)</f>
        <v>0</v>
      </c>
      <c r="OL84" s="155">
        <f>(IF(OR(VCU!$D$26="FUEL GAS",VCU!$D$42="FUEL GAS"),SUMIF(VCU!$E$120:$E$129,$FG84,VCU!$G$120:$G$129),0)+SUMIF(VCU!$E$130:$E$239,$FG84,VCU!G212:G321))*(2000/8760)*IFERROR($QV$14,0)</f>
        <v>0</v>
      </c>
      <c r="OM84" s="155">
        <f>SUMIF(LandEmiss!$A$335:$A$434,$FG84,LandEmiss!$E$335:$E$434)*(2000/8760)*IFERROR($QV$14,0)</f>
        <v>0</v>
      </c>
      <c r="ON84" s="155">
        <f>(SUMIF(LandEmiss!$BJ$335:$BJ$434,$FG84,LandEmiss!$BN$335:$BN$434)+SUMIF(LandEmiss!$DU$323:$DU$422,$FG84,LandEmiss!$DY$323:$DY$422))*(2000/8760)*IFERROR($QV$14,0)</f>
        <v>0</v>
      </c>
      <c r="OO84" s="155">
        <f>(IF(VaporOxidizer!$D$33="FUEL GAS",SUMIF(VaporOxidizer!$E$101:$E$110,$FG84,VaporOxidizer!$G$101:$G$110),0)+SUMIF(VaporOxidizer!$E$111:$E$220,$FG84,VaporOxidizer!$G$111:$G$220))*(2000/8760)*IFERROR($QV$15,0)</f>
        <v>0</v>
      </c>
      <c r="OP84" s="155">
        <f>SUMIF(LandEmiss!$A$335:$A$434,$FG84,LandEmiss!$G$335:$G$434)*(2000/8760)*IFERROR($QV$15,0)</f>
        <v>0</v>
      </c>
      <c r="OQ84" s="155">
        <f>(SUMIF(LandEmiss!$BJ$335:$BJ$434,$FG84,LandEmiss!$BP$335:$BP$434)+SUMIF(LandEmiss!$DU$323:$DU$422,$FG84,LandEmiss!$EA$323:$EA$422))*(2000/8760)*IFERROR($QV$15,0)</f>
        <v>0</v>
      </c>
      <c r="OR84" s="155">
        <f>SUMIF(CAS!$E$35:$E$144,Hidden!$FG84,CAS!$I$35:$I$144)*IFERROR($QV$16,0)*(2000/8760)</f>
        <v>0</v>
      </c>
      <c r="OS84" s="155">
        <f>SUMIF(LandEmiss!$A$335:$A$434,$FG84,LandEmiss!$I$335:$I$434)*(2000/8760)*IFERROR($QV$27,0)</f>
        <v>0</v>
      </c>
      <c r="OT84" s="155">
        <f>(SUMIF(LandEmiss!$BJ$335:$BJ$434,$FG84,LandEmiss!$BR$335:$BR$434)+SUMIF(LandEmiss!$DU$323:$DU$422,$FG84,LandEmiss!$EC$323:$EC$422))*(2000/8760)*IFERROR($QV$27,0)</f>
        <v>0</v>
      </c>
      <c r="OU84" s="155">
        <f>SUMIF(LandEmiss!$A$335:$A$434,$FG84,LandEmiss!$K$335:$K$434)*(2000/8760)*IFERROR($QV$26,0)</f>
        <v>0</v>
      </c>
      <c r="OV84" s="155">
        <f>(SUMIF(LandEmiss!$BJ$335:$BJ$434,$FG84,LandEmiss!$BT$335:$BT$434)+SUMIF(LandEmiss!$DU$323:$DU$422,$FG84,LandEmiss!$EE$323:$EE$422))*(2000/8760)*IFERROR($QV$26,0)</f>
        <v>0</v>
      </c>
      <c r="OW84" s="155">
        <f>SUMIF(LandEmiss!$A$335:$A$434,$FG84,LandEmiss!$M$335:$M$434)*(2000/8760)*IFERROR($QV$25,0)</f>
        <v>0</v>
      </c>
      <c r="OX84" s="155">
        <f>(SUMIF(LandEmiss!$BJ$335:$BJ$434,$FG84,LandEmiss!$BV$335:$BV$434)+SUMIF(LandEmiss!$DU$323:$DU$422,$FG84,LandEmiss!$EG$323:$EG$422))*(2000/8760)*IFERROR($QV$25,0)</f>
        <v>0</v>
      </c>
      <c r="OY84" s="8">
        <v>0</v>
      </c>
      <c r="OZ84" s="207">
        <v>0</v>
      </c>
      <c r="PA84" s="207">
        <f>IF(OR(HeaterBoiler1!$E$26&lt;&gt;"fuel gas",HeaterBoiler1!$E$15&lt;&gt;"heater"),0,(SUMIF(HeaterBoiler1!$A$54:$D$63,$FG84,HeaterBoiler1!$J$54:$J$63))*(2000/8760))*IFERROR($QV$19,0)</f>
        <v>0</v>
      </c>
      <c r="PB84" s="207">
        <f>IF(OR(HeaterBoiler2!$E$26&lt;&gt;"fuel gas",HeaterBoiler2!$E$15&lt;&gt;"heater"),0,(SUMIF(HeaterBoiler2!$A$54:$D$63,$FG84,HeaterBoiler2!$J$54:$J$63))*(2000/8760))*IFERROR($QV$21,0)</f>
        <v>0</v>
      </c>
      <c r="PC84" s="207">
        <f>IF(OR(HeaterBoiler1!$E$26&lt;&gt;"fuel gas",HeaterBoiler1!$E$15&lt;&gt;"boiler"),0,(SUMIF(HeaterBoiler1!$A$54:$D$63,$FG84,HeaterBoiler1!$J$54:$J$63))*(2000/8760))*IFERROR($QV$20,0)</f>
        <v>0</v>
      </c>
      <c r="PD84" s="207">
        <f>IF(OR(HeaterBoiler2!$E$26&lt;&gt;"fuel gas",HeaterBoiler2!$E$15&lt;&gt;"boiler"),0,(SUMIF(HeaterBoiler2!$A$54:$D$63,$FG84,HeaterBoiler2!$J$54:$J$63))*(2000/8760))*IFERROR($QV$22,0)</f>
        <v>0</v>
      </c>
      <c r="PE84" s="8">
        <f>(SUMIF(Fug!$A$96:$A$205,$FG84,Fug!$J$96:$J$205))*IFERROR($QV$23,0)*(2000/8760)</f>
        <v>0</v>
      </c>
      <c r="PF84" s="8">
        <f t="shared" si="53"/>
        <v>0</v>
      </c>
      <c r="PG84" s="156">
        <f t="shared" si="54"/>
        <v>0</v>
      </c>
      <c r="QX84" s="89" t="s">
        <v>9293</v>
      </c>
      <c r="QY84">
        <v>19161.3</v>
      </c>
      <c r="QZ84">
        <v>9398</v>
      </c>
      <c r="RA84">
        <v>3560.9</v>
      </c>
      <c r="RB84">
        <v>1296.4000000000001</v>
      </c>
      <c r="RC84">
        <v>721.4</v>
      </c>
      <c r="RD84">
        <v>478.7</v>
      </c>
      <c r="RE84">
        <v>348.4</v>
      </c>
      <c r="RF84">
        <v>196.9</v>
      </c>
      <c r="RG84" s="90">
        <v>132.80000000000001</v>
      </c>
      <c r="RH84" s="89" t="s">
        <v>9293</v>
      </c>
      <c r="RI84">
        <v>16174.3</v>
      </c>
      <c r="RJ84">
        <v>7945.6</v>
      </c>
      <c r="RK84">
        <v>2914.4</v>
      </c>
      <c r="RL84">
        <v>1020.4</v>
      </c>
      <c r="RM84">
        <v>551.70000000000005</v>
      </c>
      <c r="RN84">
        <v>357.6</v>
      </c>
      <c r="RO84">
        <v>278.39999999999998</v>
      </c>
      <c r="RP84">
        <v>153.30000000000001</v>
      </c>
      <c r="RQ84" s="90">
        <v>106</v>
      </c>
      <c r="RR84" s="89" t="s">
        <v>9293</v>
      </c>
      <c r="RS84">
        <v>10087.299999999999</v>
      </c>
      <c r="RT84">
        <v>4724.3</v>
      </c>
      <c r="RU84">
        <v>1641.3</v>
      </c>
      <c r="RV84">
        <v>564.9</v>
      </c>
      <c r="RW84">
        <v>306.3</v>
      </c>
      <c r="RX84">
        <v>198.7</v>
      </c>
      <c r="RY84">
        <v>142.30000000000001</v>
      </c>
      <c r="RZ84">
        <v>77.72</v>
      </c>
      <c r="SA84" s="90">
        <v>50.64</v>
      </c>
      <c r="SB84" s="89" t="s">
        <v>9293</v>
      </c>
      <c r="SC84">
        <v>5357.3</v>
      </c>
      <c r="SD84">
        <v>2384.9</v>
      </c>
      <c r="SE84">
        <v>772.5</v>
      </c>
      <c r="SF84">
        <v>246.1</v>
      </c>
      <c r="SG84">
        <v>126.1</v>
      </c>
      <c r="SH84">
        <v>78.67</v>
      </c>
      <c r="SI84">
        <v>56.29</v>
      </c>
      <c r="SJ84">
        <v>28.77</v>
      </c>
      <c r="SK84" s="90">
        <v>18.489999999999998</v>
      </c>
      <c r="SL84" s="89" t="s">
        <v>9293</v>
      </c>
      <c r="SM84">
        <v>1569.3</v>
      </c>
      <c r="SN84">
        <v>653.29999999999995</v>
      </c>
      <c r="SO84">
        <v>196.1</v>
      </c>
      <c r="SP84">
        <v>54.27</v>
      </c>
      <c r="SQ84">
        <v>25.73</v>
      </c>
      <c r="SR84">
        <v>15.19</v>
      </c>
      <c r="SS84">
        <v>10.31</v>
      </c>
      <c r="ST84">
        <v>4.99</v>
      </c>
      <c r="SU84" s="90">
        <v>3</v>
      </c>
    </row>
    <row r="85" spans="23:515" ht="74.25" customHeight="1" x14ac:dyDescent="0.2">
      <c r="W85">
        <f>IF(OR(X85=0,ISNUMBER(MATCH(X85,$X$1:X84,0))),0,MAX($W$1:W84)+1)</f>
        <v>0</v>
      </c>
      <c r="X85" s="123">
        <f>Products!$E132</f>
        <v>0</v>
      </c>
      <c r="Y85" t="str">
        <f t="shared" si="42"/>
        <v/>
      </c>
      <c r="CA85">
        <f>IF(OR(CB85=0,ISNUMBER(MATCH(CB85,$CB$1:CB84,0))),0,MAX($CA$1:CA84)+1)</f>
        <v>0</v>
      </c>
      <c r="CB85" s="8">
        <f>IF(OR(Tank1!$D$18="EXTERNAL FLOATING ROOF",Tank1!$D$18="INTERNAL FLOATING ROOF"),IF(Tank1!$E115="",0,Tank1!$E115),0)</f>
        <v>0</v>
      </c>
      <c r="CC85" s="8" t="str">
        <f t="shared" si="43"/>
        <v/>
      </c>
      <c r="CD85" s="8"/>
      <c r="CE85" s="8">
        <f>IF(OR(CF85=0,ISNUMBER(MATCH(CF85,$CF$1:CF84,0))),0,MAX($CE$1:CE84)+1)</f>
        <v>0</v>
      </c>
      <c r="CF85" s="8">
        <f>IF(OR(Tank1!$D$18="HORIZONTAL FIXED ROOF",Tank1!$D$18="VERTICAL FIXED ROOF"),IF(Tank1!$E115="",0,Tank1!$E115),0)</f>
        <v>0</v>
      </c>
      <c r="CG85" s="8" t="str">
        <f t="shared" si="44"/>
        <v/>
      </c>
      <c r="DM85">
        <f>IF(OR(DN85=0,ISNUMBER(MATCH(DN85,$DN$1:DN84,0))),0,MAX($DM$1:DM84)+1)</f>
        <v>0</v>
      </c>
      <c r="DN85">
        <f>IF('Load-MarineBarge'!$F$19="Flare",IFERROR(VLOOKUP(Products!$A$89,'Load-MarineBarge'!$A$27:$B$136,1,FALSE),0),0)</f>
        <v>0</v>
      </c>
      <c r="DO85">
        <f>IF($DN85=0,0,VLOOKUP($DN85,'Load-MarineBarge'!$A$27:$N$136,13,FALSE))</f>
        <v>0</v>
      </c>
      <c r="DP85">
        <f>IF($DN85=0,0,VLOOKUP($DN85,'Load-MarineBarge'!$A$27:$N$136,14,FALSE))</f>
        <v>0</v>
      </c>
      <c r="DU85">
        <f>IF(OR(DV85=0,ISNUMBER(MATCH(DV85,$DV$1:DV84,0))),0,MAX($DU$1:DU84)+1)</f>
        <v>0</v>
      </c>
      <c r="DV85">
        <f>IF('Load-MarineBarge'!$F$19="VCU",IFERROR(VLOOKUP(Products!$A$89,'Load-MarineBarge'!$A$27:$B$136,1,FALSE),0),0)</f>
        <v>0</v>
      </c>
      <c r="DW85">
        <f>IF($DV85=0,0,VLOOKUP($DV85,'Load-MarineBarge'!$A$27:$N$136,13,FALSE))</f>
        <v>0</v>
      </c>
      <c r="DX85">
        <f>IF($DV85=0,0,VLOOKUP($DV85,'Load-MarineBarge'!$A$27:$N$136,14,FALSE))</f>
        <v>0</v>
      </c>
      <c r="EC85">
        <f>IF(OR(ED85=0,ISNUMBER(MATCH(ED85,$ED$1:ED84,0))),0,MAX($EC$1:EC84)+1)</f>
        <v>0</v>
      </c>
      <c r="ED85">
        <f>IF('Load-MarineBarge'!$F$19="vapor oxidizer",IFERROR(VLOOKUP(Products!$A$89,'Load-MarineBarge'!$A$27:$B$136,1,FALSE),0),0)</f>
        <v>0</v>
      </c>
      <c r="EE85">
        <f>IF($ED85=0,0,VLOOKUP($ED85,'Load-MarineBarge'!$A$27:$N$136,13,FALSE))</f>
        <v>0</v>
      </c>
      <c r="EF85">
        <f>IF($ED85=0,0,VLOOKUP($ED85,'Load-MarineBarge'!$A$27:$N$136,14,FALSE))</f>
        <v>0</v>
      </c>
      <c r="EK85">
        <f>IF(OR(EL85=0,ISNUMBER(MATCH(EL85,$EL$1:EL84,0))),0,MAX($EK$1:EK84)+1)</f>
        <v>0</v>
      </c>
      <c r="EL85">
        <f>IF('Load-MarineBarge'!$F$19="CAS",IFERROR(VLOOKUP(Products!A89,'Load-MarineBarge'!$A$27:$B$136,1,FALSE),0),0)</f>
        <v>0</v>
      </c>
      <c r="EM85">
        <f>IF($EL85=0,0,VLOOKUP($EL85,'Load-MarineBarge'!$A$27:$N$136,13,FALSE))</f>
        <v>0</v>
      </c>
      <c r="EN85">
        <f>IF($EL85=0,0,VLOOKUP($EL85,'Load-MarineBarge'!$A$27:$N$136,14,FALSE))</f>
        <v>0</v>
      </c>
      <c r="FB85" s="8" t="s">
        <v>514</v>
      </c>
      <c r="FC85" s="8" t="s">
        <v>515</v>
      </c>
      <c r="FD85" s="8">
        <v>10000</v>
      </c>
      <c r="FE85" s="8">
        <v>1000</v>
      </c>
      <c r="FG85" s="360" t="str">
        <f t="shared" si="45"/>
        <v/>
      </c>
      <c r="FH85" s="155">
        <f>IF(Tank1!$D$22="NO CONTROL",_xlfn.MAXIFS(Tank1!$G$32:$G$141,Tank1!$E$32:$E$141,$FG85),0)*IFERROR($QR$3,0)</f>
        <v>0</v>
      </c>
      <c r="FI85" s="155">
        <f>_xlfn.MAXIFS(LandEmiss!$AF$20:$AF$119,LandEmiss!$AE$20:$AE$119,$FG85)*IFERROR($QR$3,0)</f>
        <v>0</v>
      </c>
      <c r="FJ85" s="155">
        <f>MAX(_xlfn.MAXIFS(LandEmiss!$CO$20:$CO$119,LandEmiss!$CN$20:$CN$119,$FG85),_xlfn.MAXIFS(LandEmiss!$EZ$9:$EZ$108,LandEmiss!$EY$9:$EY$108,$FG85))*IFERROR($QR$3,0)</f>
        <v>0</v>
      </c>
      <c r="FK85" s="155">
        <f>IF(Tank2!$D$22="NO CONTROL",_xlfn.MAXIFS(Tank2!$G$32:$G$141,Tank2!$E$32:$E$141,$FG85),0)*IFERROR($QR$4,0)</f>
        <v>0</v>
      </c>
      <c r="FL85" s="155">
        <f>_xlfn.MAXIFS(LandEmiss!$AG$20:$AG$119,LandEmiss!$AE$20:$AE$119,$FG85)*IFERROR($QR$4,0)</f>
        <v>0</v>
      </c>
      <c r="FM85" s="155">
        <f>MAX(_xlfn.MAXIFS(LandEmiss!$CP$20:$CP$119,LandEmiss!$CN$20:$CN$119,$FG85),_xlfn.MAXIFS(LandEmiss!$FA$9:$FA$108,LandEmiss!$EY$9:$EY$108,$FG85))*IFERROR($QR$4,0)</f>
        <v>0</v>
      </c>
      <c r="FN85" s="155">
        <f>IF(Tank3!$D$22="NO CONTROL",_xlfn.MAXIFS(Tank3!$G$32:$G$141,Tank3!$E$32:$E$141,$FG85),0)*IFERROR($QR$5,0)</f>
        <v>0</v>
      </c>
      <c r="FO85" s="155">
        <f>_xlfn.MAXIFS(LandEmiss!$AH$20:$AH$119,LandEmiss!$AE$20:$AE$119,$FG85)*IFERROR($QR$5,0)</f>
        <v>0</v>
      </c>
      <c r="FP85" s="155">
        <f>MAX(_xlfn.MAXIFS(LandEmiss!$CQ$20:$CQ$119,LandEmiss!$CN$20:$CN$119,$FG85),_xlfn.MAXIFS(LandEmiss!$FB$9:$FB$108,LandEmiss!$EY$9:$EY$108,$FG85))*IFERROR($QR$5,0)</f>
        <v>0</v>
      </c>
      <c r="FQ85" s="155">
        <f>IF(Tank4!$D$22="NO CONTROL",_xlfn.MAXIFS(Tank4!$G$32:$G$141,Tank4!$E$32:$E$141,$FG85),0)*IFERROR($QR$6,0)</f>
        <v>0</v>
      </c>
      <c r="FR85" s="155">
        <f>_xlfn.MAXIFS(LandEmiss!$AI$20:$AI$119,LandEmiss!$AE$20:$AE$119,$FG85)*IFERROR($QR$6,0)</f>
        <v>0</v>
      </c>
      <c r="FS85" s="155">
        <f>MAX(_xlfn.MAXIFS(LandEmiss!$CR$20:$CR$119,LandEmiss!$CN$20:$CN$119,$FG85),_xlfn.MAXIFS(LandEmiss!$FC$9:$FC$108,LandEmiss!$EY$9:$EY$108,$FG85))*IFERROR($QR$6,0)</f>
        <v>0</v>
      </c>
      <c r="FT85" s="155">
        <f>IF(Tank5!$D$22="NO CONTROL",_xlfn.MAXIFS(Tank5!$G$32:$G$141,Tank5!$E$32:$E$141,$FG85),0)*IFERROR($QR$7,0)</f>
        <v>0</v>
      </c>
      <c r="FU85" s="155">
        <f>_xlfn.MAXIFS(LandEmiss!$AJ$20:$AJ$119,LandEmiss!$AE$20:$AE$119,$FG85)*IFERROR($QR$7,0)</f>
        <v>0</v>
      </c>
      <c r="FV85" s="155">
        <f>MAX(_xlfn.MAXIFS(LandEmiss!$CS$20:$CS$119,LandEmiss!$CN$20:$CN$119,$FG85),_xlfn.MAXIFS(LandEmiss!$FD$9:$FD$108,LandEmiss!$EY$9:$EY$108,$FG85))*IFERROR($QR90,0)</f>
        <v>0</v>
      </c>
      <c r="FW85" s="155">
        <f>_xlfn.MAXIFS('Load-DrumTote'!$K$27:$K$136,'Load-DrumTote'!$F$27:$F$136,$FG85)*IFERROR($QR$8,0)</f>
        <v>0</v>
      </c>
      <c r="FX85" s="155">
        <f>_xlfn.MAXIFS('Load-Truck'!$K$27:$K$136,'Load-Truck'!$F$27:$F$136,$FG85)*IFERROR($QR$9,0)</f>
        <v>0</v>
      </c>
      <c r="FY85" s="155">
        <f>_xlfn.MAXIFS('Load-Rail'!$K$27:$K$136,'Load-Rail'!$F$27:$F$136,$FG85)*IFERROR($QR$10,0)</f>
        <v>0</v>
      </c>
      <c r="FZ85" s="155">
        <f>_xlfn.MAXIFS('Load-MarineBarge'!$K$27:$K$136,'Load-MarineBarge'!$F$27:$F$136,$FG85)*IFERROR($QR$11,0)</f>
        <v>0</v>
      </c>
      <c r="GA85" s="155">
        <f>_xlfn.MAXIFS('Load-MarineShip'!$K$27:$K$136,'Load-MarineShip'!$F$27:$F$136,$FG85)*IFERROR($QR$12,0)</f>
        <v>0</v>
      </c>
      <c r="GB85" s="313">
        <f>IF(OR(Flare!$D$24="fuel gas",Flare!$D$38="fuel gas"),SUMIF(Flare!$E$97:$E$106,$FG85,Flare!$F$97:$F$106),0)*IFERROR($QR$13,0)</f>
        <v>0</v>
      </c>
      <c r="GC85" s="313">
        <f>(_xlfn.MAXIFS(CtrlDevImpacts!$I$57:$I$156,CtrlDevImpacts!$H$57:$H$156,$FG85))*IFERROR($QR$13,0)</f>
        <v>0</v>
      </c>
      <c r="GD85" s="313">
        <f>(_xlfn.MAXIFS(Flare!$F$107:$F$216,Flare!$E$107:$E$216,$FG85)-_xlfn.MAXIFS(CtrlDevImpacts!$I$57:$I$156,CtrlDevImpacts!$H$57:$H$156,$FG85))*IFERROR($QR$13,0)</f>
        <v>0</v>
      </c>
      <c r="GE85" s="155">
        <f>_xlfn.MAXIFS(LandEmiss!$B$335:$B$434,LandEmiss!$A$335:$A$434,$FG85)*IFERROR($QR$13,0)</f>
        <v>0</v>
      </c>
      <c r="GF85" s="155">
        <f>(_xlfn.MAXIFS(LandEmiss!$BK$335:$BK$434,LandEmiss!$BJ$335:$BJ$434,$FG85)+_xlfn.MAXIFS(LandEmiss!$DV$323:$DV$422,LandEmiss!$DU$323:$DU$422,$FG85))*IFERROR($QR$13,0)</f>
        <v>0</v>
      </c>
      <c r="GG85" s="313">
        <f>IF(OR(VCU!$D$26="fuel gas",VCU!$D$42="fuel gas"),SUMIF(VCU!$E$120:$E$129,$FG85,VCU!$F$120:$F$129),0)*IFERROR($QR$14,0)</f>
        <v>0</v>
      </c>
      <c r="GH85" s="313">
        <f>(_xlfn.MAXIFS(CtrlDevImpacts!$X$57:$X$156,CtrlDevImpacts!$W$57:$W$156,$FG85))*IFERROR($QR$14,0)</f>
        <v>0</v>
      </c>
      <c r="GI85" s="313">
        <f>(_xlfn.MAXIFS(VCU!$F$130:$F$239,VCU!$E$130:$E$239,$FG85)-_xlfn.MAXIFS(CtrlDevImpacts!$X$57:$X$156,CtrlDevImpacts!$W$57:$W$156,$FG85))*IFERROR($QR$14,0)</f>
        <v>0</v>
      </c>
      <c r="GJ85" s="155">
        <f>_xlfn.MAXIFS(LandEmiss!$D$335:$D$434,LandEmiss!$A$335:$A$434,$FG85)*IFERROR($QR$14,0)</f>
        <v>0</v>
      </c>
      <c r="GK85" s="155">
        <f>(_xlfn.MAXIFS(LandEmiss!$BM$335:$BM$434,LandEmiss!$BJ$335:$BJ$434,$FG85)+_xlfn.MAXIFS(LandEmiss!$DX$323:$DX$422,LandEmiss!$DU$323:$DU$422,$FG85))*IFERROR($QR$14,0)</f>
        <v>0</v>
      </c>
      <c r="GL85" s="313">
        <f>IF(VaporOxidizer!D116="FUEL GAS",SUMIF(VaporOxidizer!$E$101:$E$110,$FG85,VaporOxidizer!$F$101:$F$110),0)*IFERROR($QR$15,0)</f>
        <v>0</v>
      </c>
      <c r="GM85" s="313">
        <f>(_xlfn.MAXIFS(CtrlDevImpacts!$AN$57:$AN$156,CtrlDevImpacts!$AM$57:$AM$156,$FG85))*IFERROR($QR$15,0)</f>
        <v>0</v>
      </c>
      <c r="GN85" s="313">
        <f>(_xlfn.MAXIFS(VaporOxidizer!$F$111:$F$220,VaporOxidizer!$E$111:$E$220,$FG85)-_xlfn.MAXIFS(CtrlDevImpacts!$AN$57:$AN$156,CtrlDevImpacts!$AM$57:$AM$156,$FG85))*IFERROR($QR$15,0)</f>
        <v>0</v>
      </c>
      <c r="GO85" s="155">
        <f>_xlfn.MAXIFS(LandEmiss!$F$335:$F$434,LandEmiss!$A$335:$A$434,$FG85)*IFERROR($QR$15,0)</f>
        <v>0</v>
      </c>
      <c r="GP85" s="155">
        <f>(_xlfn.MAXIFS(LandEmiss!$BK$335:$BK$434,LandEmiss!$BO$335:$BO$434,$FG85)+_xlfn.MAXIFS(LandEmiss!$DZ$323:$DZ$422,LandEmiss!$DU$323:$DU$422,$FG85))*IFERROR($QR$15,0)</f>
        <v>0</v>
      </c>
      <c r="GQ85" s="313">
        <f>_xlfn.MAXIFS(CtrlDevImpacts!$BD$57:$BD$156,CtrlDevImpacts!$BC$57:$BC$156,$FG85)*IFERROR(Hidden!$QR$16,0)</f>
        <v>0</v>
      </c>
      <c r="GR85" s="313">
        <f>(_xlfn.MAXIFS(CAS!$H$35:$H$144,CAS!$E$35:$E$144,$FG85)-_xlfn.MAXIFS(CtrlDevImpacts!$BD$57:$BD$156,CtrlDevImpacts!$BC$57:$BC$156,$FG85))*IFERROR(Hidden!$QR$16,0)</f>
        <v>0</v>
      </c>
      <c r="GS85" s="155">
        <f>_xlfn.MAXIFS(LandEmiss!$H$335:$H$434,LandEmiss!$A$335:$A$434,$FG85)*IFERROR($QR$27,0)</f>
        <v>0</v>
      </c>
      <c r="GT85" s="155">
        <f>(_xlfn.MAXIFS(LandEmiss!$BK$335:$BK$434,LandEmiss!$BQ$335:$BQ$434,$FG85)+_xlfn.MAXIFS(LandEmiss!$EB$323:$EB$422,LandEmiss!$DU$323:$DU$422,$FG85))*IFERROR($QR$27,0)</f>
        <v>0</v>
      </c>
      <c r="GU85" s="155">
        <f>_xlfn.MAXIFS(LandEmiss!$J$335:$J$434,LandEmiss!$A$335:$A$434,$FG85)*IFERROR($QR$26,0)</f>
        <v>0</v>
      </c>
      <c r="GV85" s="155">
        <f>(_xlfn.MAXIFS(LandEmiss!$BK$335:$BK$434,LandEmiss!$BS$335:$BS$434,$FG85)+_xlfn.MAXIFS(LandEmiss!$ED$323:$ED$422,LandEmiss!$DU$323:$DU$422,$FG85))*IFERROR($QR$26,0)</f>
        <v>0</v>
      </c>
      <c r="GW85" s="155">
        <f>_xlfn.MAXIFS(LandEmiss!$L$335:$L$434,LandEmiss!$A$335:$A$434,$FG85)*IFERROR($QR$25,0)</f>
        <v>0</v>
      </c>
      <c r="GX85" s="155">
        <f>(_xlfn.MAXIFS(LandEmiss!$BK$335:$BK$434,LandEmiss!$BU$335:$BU$434,$FG85)+_xlfn.MAXIFS(LandEmiss!$EF$323:$EF$422,LandEmiss!$DU$323:$DU$422,$FG85))*IFERROR($QR$25,0)</f>
        <v>0</v>
      </c>
      <c r="GY85" s="155">
        <v>0</v>
      </c>
      <c r="GZ85" s="155">
        <v>0</v>
      </c>
      <c r="HA85" s="155">
        <f>IF(OR(HeaterBoiler1!$E$26&lt;&gt;"fuel gas",HeaterBoiler1!$E$15&lt;&gt;"heater"),0,SUMIF(HeaterBoiler1!$A$54:$D$63,$FG85,HeaterBoiler1!$I$54:$I$63))*IFERROR($QR$19,0)</f>
        <v>0</v>
      </c>
      <c r="HB85" s="207">
        <f>IF(OR(HeaterBoiler2!$E$26&lt;&gt;"fuel gas",HeaterBoiler2!$E$15&lt;&gt;"heater"),0,SUMIF(HeaterBoiler2!$A$54:$D$63,$FG85,HeaterBoiler2!$I$54:$I$63))*IFERROR($QR$21,0)</f>
        <v>0</v>
      </c>
      <c r="HC85" s="155">
        <f>IF(OR(HeaterBoiler1!$E$26&lt;&gt;"fuel gas",HeaterBoiler1!$E$15&lt;&gt;"boiler"),0,SUMIF(HeaterBoiler1!$A$41:$A$50,$FG85,HeaterBoiler1!$F$41:$F$50))*IFERROR($QR$20,0)</f>
        <v>0</v>
      </c>
      <c r="HD85" s="207">
        <f>IF(OR(HeaterBoiler2!$E$26&lt;&gt;"fuel gas",HeaterBoiler2!$E$15&lt;&gt;"boiler"),0,SUMIF(HeaterBoiler2!$A$41:$A$50,$FG85,HeaterBoiler2!$F$41:$F$50))*IFERROR($QR$22,0)</f>
        <v>0</v>
      </c>
      <c r="HE85" s="155">
        <f>SUMIF(Fug!$A$96:$A$205,$FG85,Fug!$I$96:$I$205)*IFERROR(Hidden!$QR$23,0)</f>
        <v>0</v>
      </c>
      <c r="HF85" s="155">
        <f t="shared" si="46"/>
        <v>0</v>
      </c>
      <c r="HG85" s="156">
        <f t="shared" si="47"/>
        <v>0</v>
      </c>
      <c r="HH85" s="156">
        <f t="shared" si="48"/>
        <v>0</v>
      </c>
      <c r="HI85" s="156">
        <f t="shared" si="49"/>
        <v>0</v>
      </c>
      <c r="HJ85" s="156">
        <f t="shared" si="50"/>
        <v>0</v>
      </c>
      <c r="HK85" s="156">
        <f t="shared" si="51"/>
        <v>0</v>
      </c>
      <c r="HL85" s="156">
        <f t="shared" si="52"/>
        <v>0</v>
      </c>
      <c r="NO85" s="155">
        <f>IF(Tank1!$D$22="No control",(SUMIF(Tank1!$E$32:$E$141,$FG85,Tank1!$H$32:$H$141)*(2000/8760)*IFERROR($QV$3,0)),0)</f>
        <v>0</v>
      </c>
      <c r="NP85" s="156">
        <f>SUMIF(LandEmiss!$AE$20:$AE$119,$FG85,LandEmiss!$AK$20:$AK$119)*(2000/8760)*IFERROR($QV$3,0)</f>
        <v>0</v>
      </c>
      <c r="NQ85" s="156">
        <f>(SUMIF(LandEmiss!$CN$20:$CN$119,$FG85,LandEmiss!$CT$20:$CT$119)+SUMIF(LandEmiss!$EY$9:$EY$108,$FG85,LandEmiss!$FE$9:$FE$108))*IFERROR($QV$3,0)*(2000/8760)</f>
        <v>0</v>
      </c>
      <c r="NR85" s="155">
        <f>IF(Tank2!$D$22="No control",(SUMIF(Tank2!$E$32:$E$141,$FG85,Tank2!$H$32:$H$141)*(2000/8760)*IFERROR($QV$4,0)),0)</f>
        <v>0</v>
      </c>
      <c r="NS85" s="156">
        <f>SUMIF(LandEmiss!$AE$20:$AE$119,$FG85,LandEmiss!$AL$20:$AL$119)*(2000/8760)*IFERROR($QV$4,0)</f>
        <v>0</v>
      </c>
      <c r="NT85" s="156">
        <f>(SUMIF(LandEmiss!$CN$20:$CN$119,$FG85,LandEmiss!$CU$20:$CU$119)+SUMIF(LandEmiss!$EY$9:$EY$108,$FG85,LandEmiss!$FF$9:$FF$108))*IFERROR($QV$4,0)*(2000/8760)</f>
        <v>0</v>
      </c>
      <c r="NU85" s="155">
        <f>IF(Tank3!$D$22="No control",(SUMIF(Tank3!$E$32:$E$141,$FG85,Tank3!$H$32:$H$141)*(2000/8760)*IFERROR($QV$5,0)),0)</f>
        <v>0</v>
      </c>
      <c r="NV85" s="156">
        <f>SUMIF(LandEmiss!$AE$20:$AE$119,$FG85,LandEmiss!$AM$20:$AM$119)*(2000/8760)*IFERROR($QV$5,0)</f>
        <v>0</v>
      </c>
      <c r="NW85" s="156">
        <f>(SUMIF(LandEmiss!$CN$20:$CN$119,$FG85,LandEmiss!$CV$20:$CV$119)+SUMIF(LandEmiss!$EY$9:$EY$108,$FG85,LandEmiss!$FG$9:$FG$108))*IFERROR($QV$5,0)*(2000/8760)</f>
        <v>0</v>
      </c>
      <c r="NX85" s="155">
        <f>IF(Tank4!$D$22="No control",(SUMIF(Tank4!$E$32:$E$141,$FG85,Tank4!$H$32:$H$141)*(2000/8760)*IFERROR($QV$6,0)),0)</f>
        <v>0</v>
      </c>
      <c r="NY85" s="156">
        <f>SUMIF(LandEmiss!$AE$20:$AE$119,$FG85,LandEmiss!$AN$20:$AN$119)*(2000/8760)*IFERROR($QV$6,0)</f>
        <v>0</v>
      </c>
      <c r="NZ85" s="156">
        <f>(SUMIF(LandEmiss!$CN$20:$CN$119,$FG85,LandEmiss!$CW$20:$CW$119)+SUMIF(LandEmiss!$EY$9:$EY$108,$FG85,LandEmiss!$FH$9:$FH$108))*IFERROR($QV$6,0)*(2000/8760)</f>
        <v>0</v>
      </c>
      <c r="OA85" s="155">
        <f>IF(Tank5!$D$22="No control",(SUMIF(Tank5!$E$32:$E$141,$FG85,Tank5!$H$32:$H$141)*(2000/8760)*IFERROR($QV$7,0)),0)</f>
        <v>0</v>
      </c>
      <c r="OB85" s="156">
        <f>SUMIF(LandEmiss!$AE$20:$AE$119,$FG85,LandEmiss!$AO$20:$AO$119)*(2000/8760)*IFERROR($QV$7,0)</f>
        <v>0</v>
      </c>
      <c r="OC85" s="156">
        <f>(SUMIF(LandEmiss!$CN$20:$CN$119,$FG85,LandEmiss!$CX$20:$CX$119)+SUMIF(LandEmiss!$EY$9:$EY$108,$FG85,LandEmiss!$FI$9:$FI$108))*IFERROR($QV$7,0)*(2000/8760)</f>
        <v>0</v>
      </c>
      <c r="OD85" s="155">
        <f>SUMIFS('Load-DrumTote'!$L$27:$L$136,'Load-DrumTote'!$F$27:$F$136,$FG85)*IFERROR($QV$8,0)*(2000/8760)</f>
        <v>0</v>
      </c>
      <c r="OE85" s="155">
        <f>SUMIFS('Load-Truck'!$L$27:$L$136,'Load-Truck'!$F$27:$F$136,$FG85)*IFERROR($QV$9,0)*(2000/8760)</f>
        <v>0</v>
      </c>
      <c r="OF85" s="155">
        <f>SUMIFS('Load-Rail'!$L$27:$L$136,'Load-Rail'!$F$27:$F$136,$FG85)*IFERROR($QV$10,0)*(2000/8760)</f>
        <v>0</v>
      </c>
      <c r="OG85" s="155">
        <f>SUMIFS('Load-MarineBarge'!$L$27:$L$136,'Load-MarineBarge'!$F$27:$F$136,$FG85)*IFERROR($QV$11,0)*(2000/8760)</f>
        <v>0</v>
      </c>
      <c r="OH85" s="155">
        <f>SUMIFS('Load-MarineShip'!$L$27:$L$136,'Load-MarineShip'!$F$27:$F$136,$FG85)*IFERROR($QV$12,0)*(2000/8760)</f>
        <v>0</v>
      </c>
      <c r="OI85" s="155">
        <f>(IF(OR(Flare!$D$24="FUEL GAS",Flare!$D$38="FUEL GAS"),SUMIF(Flare!$E$97:$E$106,$FG85,Flare!$G$97:$G$105),0)+SUMIF(Flare!$E$107:$E$216,$FG85,Flare!$G$107:$G$216))*(2000/8730)*IFERROR($QV$13,0)</f>
        <v>0</v>
      </c>
      <c r="OJ85" s="155">
        <f>SUMIF(LandEmiss!$A$335:$A$434,$FG85,LandEmiss!$C$335:$C$434)*(2000/8760)*IFERROR($QV$13,0)</f>
        <v>0</v>
      </c>
      <c r="OK85" s="155">
        <f>(SUMIF(LandEmiss!$BJ$335:$BJ$434,$FG85,LandEmiss!$BL$335:$BL$434)+SUMIF(LandEmiss!$DU$323:$DU$422,$FG85,LandEmiss!$DW$323:$DW$422))*(2000/8760)*IFERROR($QV$13,0)</f>
        <v>0</v>
      </c>
      <c r="OL85" s="155">
        <f>(IF(OR(VCU!$D$26="FUEL GAS",VCU!$D$42="FUEL GAS"),SUMIF(VCU!$E$120:$E$129,$FG85,VCU!$G$120:$G$129),0)+SUMIF(VCU!$E$130:$E$239,$FG85,VCU!G213:G322))*(2000/8760)*IFERROR($QV$14,0)</f>
        <v>0</v>
      </c>
      <c r="OM85" s="155">
        <f>SUMIF(LandEmiss!$A$335:$A$434,$FG85,LandEmiss!$E$335:$E$434)*(2000/8760)*IFERROR($QV$14,0)</f>
        <v>0</v>
      </c>
      <c r="ON85" s="155">
        <f>(SUMIF(LandEmiss!$BJ$335:$BJ$434,$FG85,LandEmiss!$BN$335:$BN$434)+SUMIF(LandEmiss!$DU$323:$DU$422,$FG85,LandEmiss!$DY$323:$DY$422))*(2000/8760)*IFERROR($QV$14,0)</f>
        <v>0</v>
      </c>
      <c r="OO85" s="155">
        <f>(IF(VaporOxidizer!$D$33="FUEL GAS",SUMIF(VaporOxidizer!$E$101:$E$110,$FG85,VaporOxidizer!$G$101:$G$110),0)+SUMIF(VaporOxidizer!$E$111:$E$220,$FG85,VaporOxidizer!$G$111:$G$220))*(2000/8760)*IFERROR($QV$15,0)</f>
        <v>0</v>
      </c>
      <c r="OP85" s="155">
        <f>SUMIF(LandEmiss!$A$335:$A$434,$FG85,LandEmiss!$G$335:$G$434)*(2000/8760)*IFERROR($QV$15,0)</f>
        <v>0</v>
      </c>
      <c r="OQ85" s="155">
        <f>(SUMIF(LandEmiss!$BJ$335:$BJ$434,$FG85,LandEmiss!$BP$335:$BP$434)+SUMIF(LandEmiss!$DU$323:$DU$422,$FG85,LandEmiss!$EA$323:$EA$422))*(2000/8760)*IFERROR($QV$15,0)</f>
        <v>0</v>
      </c>
      <c r="OR85" s="155">
        <f>SUMIF(CAS!$E$35:$E$144,Hidden!$FG85,CAS!$I$35:$I$144)*IFERROR($QV$16,0)*(2000/8760)</f>
        <v>0</v>
      </c>
      <c r="OS85" s="155">
        <f>SUMIF(LandEmiss!$A$335:$A$434,$FG85,LandEmiss!$I$335:$I$434)*(2000/8760)*IFERROR($QV$27,0)</f>
        <v>0</v>
      </c>
      <c r="OT85" s="155">
        <f>(SUMIF(LandEmiss!$BJ$335:$BJ$434,$FG85,LandEmiss!$BR$335:$BR$434)+SUMIF(LandEmiss!$DU$323:$DU$422,$FG85,LandEmiss!$EC$323:$EC$422))*(2000/8760)*IFERROR($QV$27,0)</f>
        <v>0</v>
      </c>
      <c r="OU85" s="155">
        <f>SUMIF(LandEmiss!$A$335:$A$434,$FG85,LandEmiss!$K$335:$K$434)*(2000/8760)*IFERROR($QV$26,0)</f>
        <v>0</v>
      </c>
      <c r="OV85" s="155">
        <f>(SUMIF(LandEmiss!$BJ$335:$BJ$434,$FG85,LandEmiss!$BT$335:$BT$434)+SUMIF(LandEmiss!$DU$323:$DU$422,$FG85,LandEmiss!$EE$323:$EE$422))*(2000/8760)*IFERROR($QV$26,0)</f>
        <v>0</v>
      </c>
      <c r="OW85" s="155">
        <f>SUMIF(LandEmiss!$A$335:$A$434,$FG85,LandEmiss!$M$335:$M$434)*(2000/8760)*IFERROR($QV$25,0)</f>
        <v>0</v>
      </c>
      <c r="OX85" s="155">
        <f>(SUMIF(LandEmiss!$BJ$335:$BJ$434,$FG85,LandEmiss!$BV$335:$BV$434)+SUMIF(LandEmiss!$DU$323:$DU$422,$FG85,LandEmiss!$EG$323:$EG$422))*(2000/8760)*IFERROR($QV$25,0)</f>
        <v>0</v>
      </c>
      <c r="OY85" s="8">
        <v>0</v>
      </c>
      <c r="OZ85" s="207">
        <v>0</v>
      </c>
      <c r="PA85" s="207">
        <f>IF(OR(HeaterBoiler1!$E$26&lt;&gt;"fuel gas",HeaterBoiler1!$E$15&lt;&gt;"heater"),0,(SUMIF(HeaterBoiler1!$A$54:$D$63,$FG85,HeaterBoiler1!$J$54:$J$63))*(2000/8760))*IFERROR($QV$19,0)</f>
        <v>0</v>
      </c>
      <c r="PB85" s="207">
        <f>IF(OR(HeaterBoiler2!$E$26&lt;&gt;"fuel gas",HeaterBoiler2!$E$15&lt;&gt;"heater"),0,(SUMIF(HeaterBoiler2!$A$54:$D$63,$FG85,HeaterBoiler2!$J$54:$J$63))*(2000/8760))*IFERROR($QV$21,0)</f>
        <v>0</v>
      </c>
      <c r="PC85" s="207">
        <f>IF(OR(HeaterBoiler1!$E$26&lt;&gt;"fuel gas",HeaterBoiler1!$E$15&lt;&gt;"boiler"),0,(SUMIF(HeaterBoiler1!$A$54:$D$63,$FG85,HeaterBoiler1!$J$54:$J$63))*(2000/8760))*IFERROR($QV$20,0)</f>
        <v>0</v>
      </c>
      <c r="PD85" s="207">
        <f>IF(OR(HeaterBoiler2!$E$26&lt;&gt;"fuel gas",HeaterBoiler2!$E$15&lt;&gt;"boiler"),0,(SUMIF(HeaterBoiler2!$A$54:$D$63,$FG85,HeaterBoiler2!$J$54:$J$63))*(2000/8760))*IFERROR($QV$22,0)</f>
        <v>0</v>
      </c>
      <c r="PE85" s="8">
        <f>(SUMIF(Fug!$A$96:$A$205,$FG85,Fug!$J$96:$J$205))*IFERROR($QV$23,0)*(2000/8760)</f>
        <v>0</v>
      </c>
      <c r="PF85" s="8">
        <f t="shared" si="53"/>
        <v>0</v>
      </c>
      <c r="PG85" s="156">
        <f t="shared" si="54"/>
        <v>0</v>
      </c>
      <c r="QX85" s="89" t="s">
        <v>9330</v>
      </c>
      <c r="QY85">
        <v>57.43</v>
      </c>
      <c r="QZ85">
        <v>57.43</v>
      </c>
      <c r="RA85">
        <v>57.43</v>
      </c>
      <c r="RB85">
        <v>36.99</v>
      </c>
      <c r="RC85">
        <v>24.73</v>
      </c>
      <c r="RD85">
        <v>17.97</v>
      </c>
      <c r="RE85">
        <v>13.98</v>
      </c>
      <c r="RF85">
        <v>8.64</v>
      </c>
      <c r="RG85" s="90">
        <v>6.13</v>
      </c>
      <c r="RH85" s="89" t="s">
        <v>9330</v>
      </c>
      <c r="RI85">
        <v>52</v>
      </c>
      <c r="RJ85">
        <v>52</v>
      </c>
      <c r="RK85">
        <v>52</v>
      </c>
      <c r="RL85">
        <v>36.520000000000003</v>
      </c>
      <c r="RM85">
        <v>24.39</v>
      </c>
      <c r="RN85">
        <v>17.7</v>
      </c>
      <c r="RO85">
        <v>13.8</v>
      </c>
      <c r="RP85">
        <v>8.43</v>
      </c>
      <c r="RQ85" s="90">
        <v>6.02</v>
      </c>
      <c r="RR85" s="89" t="s">
        <v>9330</v>
      </c>
      <c r="RS85">
        <v>45.99</v>
      </c>
      <c r="RT85">
        <v>45.99</v>
      </c>
      <c r="RU85">
        <v>45.99</v>
      </c>
      <c r="RV85">
        <v>35.03</v>
      </c>
      <c r="RW85">
        <v>23.71</v>
      </c>
      <c r="RX85">
        <v>16.920000000000002</v>
      </c>
      <c r="RY85">
        <v>12.97</v>
      </c>
      <c r="RZ85">
        <v>7.72</v>
      </c>
      <c r="SA85" s="90">
        <v>5.66</v>
      </c>
      <c r="SB85" s="89" t="s">
        <v>9330</v>
      </c>
      <c r="SC85">
        <v>29.7</v>
      </c>
      <c r="SD85">
        <v>29.7</v>
      </c>
      <c r="SE85">
        <v>29.7</v>
      </c>
      <c r="SF85">
        <v>29.45</v>
      </c>
      <c r="SG85">
        <v>19.05</v>
      </c>
      <c r="SH85">
        <v>13.82</v>
      </c>
      <c r="SI85">
        <v>10.119999999999999</v>
      </c>
      <c r="SJ85">
        <v>5.63</v>
      </c>
      <c r="SK85" s="90">
        <v>4.07</v>
      </c>
      <c r="SL85" s="89" t="s">
        <v>9330</v>
      </c>
      <c r="SM85">
        <v>4</v>
      </c>
      <c r="SN85">
        <v>4</v>
      </c>
      <c r="SO85">
        <v>4</v>
      </c>
      <c r="SP85">
        <v>4</v>
      </c>
      <c r="SQ85">
        <v>3.66</v>
      </c>
      <c r="SR85">
        <v>2.91</v>
      </c>
      <c r="SS85">
        <v>2.37</v>
      </c>
      <c r="ST85">
        <v>1.42</v>
      </c>
      <c r="SU85" s="90">
        <v>0.96</v>
      </c>
    </row>
    <row r="86" spans="23:515" ht="74.25" customHeight="1" x14ac:dyDescent="0.2">
      <c r="W86">
        <f>IF(OR(X86=0,ISNUMBER(MATCH(X86,$X$1:X85,0))),0,MAX($W$1:W85)+1)</f>
        <v>0</v>
      </c>
      <c r="X86" s="123">
        <f>Products!$E133</f>
        <v>0</v>
      </c>
      <c r="Y86" t="str">
        <f t="shared" si="42"/>
        <v/>
      </c>
      <c r="CA86">
        <f>IF(OR(CB86=0,ISNUMBER(MATCH(CB86,$CB$1:CB85,0))),0,MAX($CA$1:CA85)+1)</f>
        <v>0</v>
      </c>
      <c r="CB86" s="8">
        <f>IF(OR(Tank1!$D$18="EXTERNAL FLOATING ROOF",Tank1!$D$18="INTERNAL FLOATING ROOF"),IF(Tank1!$E116="",0,Tank1!$E116),0)</f>
        <v>0</v>
      </c>
      <c r="CC86" s="8" t="str">
        <f t="shared" si="43"/>
        <v/>
      </c>
      <c r="CD86" s="8"/>
      <c r="CE86" s="8">
        <f>IF(OR(CF86=0,ISNUMBER(MATCH(CF86,$CF$1:CF85,0))),0,MAX($CE$1:CE85)+1)</f>
        <v>0</v>
      </c>
      <c r="CF86" s="8">
        <f>IF(OR(Tank1!$D$18="HORIZONTAL FIXED ROOF",Tank1!$D$18="VERTICAL FIXED ROOF"),IF(Tank1!$E116="",0,Tank1!$E116),0)</f>
        <v>0</v>
      </c>
      <c r="CG86" s="8" t="str">
        <f t="shared" si="44"/>
        <v/>
      </c>
      <c r="DM86">
        <f>IF(OR(DN86=0,ISNUMBER(MATCH(DN86,$DN$1:DN85,0))),0,MAX($DM$1:DM85)+1)</f>
        <v>0</v>
      </c>
      <c r="DN86">
        <f>IF('Load-MarineBarge'!$F$19="Flare",IFERROR(VLOOKUP(Products!$A$99,'Load-MarineBarge'!$A$27:$B$136,1,FALSE),0),0)</f>
        <v>0</v>
      </c>
      <c r="DO86">
        <f>IF($DN86=0,0,VLOOKUP($DN86,'Load-MarineBarge'!$A$27:$N$136,13,FALSE))</f>
        <v>0</v>
      </c>
      <c r="DP86">
        <f>IF($DN86=0,0,VLOOKUP($DN86,'Load-MarineBarge'!$A$27:$N$136,14,FALSE))</f>
        <v>0</v>
      </c>
      <c r="DU86">
        <f>IF(OR(DV86=0,ISNUMBER(MATCH(DV86,$DV$1:DV85,0))),0,MAX($DU$1:DU85)+1)</f>
        <v>0</v>
      </c>
      <c r="DV86">
        <f>IF('Load-MarineBarge'!$F$19="VCU",IFERROR(VLOOKUP(Products!$A$99,'Load-MarineBarge'!$A$27:$B$136,1,FALSE),0),0)</f>
        <v>0</v>
      </c>
      <c r="DW86">
        <f>IF($DV86=0,0,VLOOKUP($DV86,'Load-MarineBarge'!$A$27:$N$136,13,FALSE))</f>
        <v>0</v>
      </c>
      <c r="DX86">
        <f>IF($DV86=0,0,VLOOKUP($DV86,'Load-MarineBarge'!$A$27:$N$136,14,FALSE))</f>
        <v>0</v>
      </c>
      <c r="EC86">
        <f>IF(OR(ED86=0,ISNUMBER(MATCH(ED86,$ED$1:ED85,0))),0,MAX($EC$1:EC85)+1)</f>
        <v>0</v>
      </c>
      <c r="ED86">
        <f>IF('Load-MarineBarge'!$F$19="vapor oxidizer",IFERROR(VLOOKUP(Products!$A$99,'Load-MarineBarge'!$A$27:$B$136,1,FALSE),0),0)</f>
        <v>0</v>
      </c>
      <c r="EE86">
        <f>IF($ED86=0,0,VLOOKUP($ED86,'Load-MarineBarge'!$A$27:$N$136,13,FALSE))</f>
        <v>0</v>
      </c>
      <c r="EF86">
        <f>IF($ED86=0,0,VLOOKUP($ED86,'Load-MarineBarge'!$A$27:$N$136,14,FALSE))</f>
        <v>0</v>
      </c>
      <c r="EK86">
        <f>IF(OR(EL86=0,ISNUMBER(MATCH(EL86,$EL$1:EL85,0))),0,MAX($EK$1:EK85)+1)</f>
        <v>0</v>
      </c>
      <c r="EL86">
        <f>IF('Load-MarineBarge'!$F$19="CAS",IFERROR(VLOOKUP(Products!A99,'Load-MarineBarge'!$A$27:$B$136,1,FALSE),0),0)</f>
        <v>0</v>
      </c>
      <c r="EM86">
        <f>IF($EL86=0,0,VLOOKUP($EL86,'Load-MarineBarge'!$A$27:$N$136,13,FALSE))</f>
        <v>0</v>
      </c>
      <c r="EN86">
        <f>IF($EL86=0,0,VLOOKUP($EL86,'Load-MarineBarge'!$A$27:$N$136,14,FALSE))</f>
        <v>0</v>
      </c>
      <c r="FB86" s="8" t="s">
        <v>516</v>
      </c>
      <c r="FC86" s="8" t="s">
        <v>517</v>
      </c>
      <c r="FD86" s="8">
        <v>41700</v>
      </c>
      <c r="FE86" s="8">
        <v>4170</v>
      </c>
      <c r="FG86" s="360" t="str">
        <f t="shared" si="45"/>
        <v/>
      </c>
      <c r="FH86" s="155">
        <f>IF(Tank1!$D$22="NO CONTROL",_xlfn.MAXIFS(Tank1!$G$32:$G$141,Tank1!$E$32:$E$141,$FG86),0)*IFERROR($QR$3,0)</f>
        <v>0</v>
      </c>
      <c r="FI86" s="155">
        <f>_xlfn.MAXIFS(LandEmiss!$AF$20:$AF$119,LandEmiss!$AE$20:$AE$119,$FG86)*IFERROR($QR$3,0)</f>
        <v>0</v>
      </c>
      <c r="FJ86" s="155">
        <f>MAX(_xlfn.MAXIFS(LandEmiss!$CO$20:$CO$119,LandEmiss!$CN$20:$CN$119,$FG86),_xlfn.MAXIFS(LandEmiss!$EZ$9:$EZ$108,LandEmiss!$EY$9:$EY$108,$FG86))*IFERROR($QR$3,0)</f>
        <v>0</v>
      </c>
      <c r="FK86" s="155">
        <f>IF(Tank2!$D$22="NO CONTROL",_xlfn.MAXIFS(Tank2!$G$32:$G$141,Tank2!$E$32:$E$141,$FG86),0)*IFERROR($QR$4,0)</f>
        <v>0</v>
      </c>
      <c r="FL86" s="155">
        <f>_xlfn.MAXIFS(LandEmiss!$AG$20:$AG$119,LandEmiss!$AE$20:$AE$119,$FG86)*IFERROR($QR$4,0)</f>
        <v>0</v>
      </c>
      <c r="FM86" s="155">
        <f>MAX(_xlfn.MAXIFS(LandEmiss!$CP$20:$CP$119,LandEmiss!$CN$20:$CN$119,$FG86),_xlfn.MAXIFS(LandEmiss!$FA$9:$FA$108,LandEmiss!$EY$9:$EY$108,$FG86))*IFERROR($QR$4,0)</f>
        <v>0</v>
      </c>
      <c r="FN86" s="155">
        <f>IF(Tank3!$D$22="NO CONTROL",_xlfn.MAXIFS(Tank3!$G$32:$G$141,Tank3!$E$32:$E$141,$FG86),0)*IFERROR($QR$5,0)</f>
        <v>0</v>
      </c>
      <c r="FO86" s="155">
        <f>_xlfn.MAXIFS(LandEmiss!$AH$20:$AH$119,LandEmiss!$AE$20:$AE$119,$FG86)*IFERROR($QR$5,0)</f>
        <v>0</v>
      </c>
      <c r="FP86" s="155">
        <f>MAX(_xlfn.MAXIFS(LandEmiss!$CQ$20:$CQ$119,LandEmiss!$CN$20:$CN$119,$FG86),_xlfn.MAXIFS(LandEmiss!$FB$9:$FB$108,LandEmiss!$EY$9:$EY$108,$FG86))*IFERROR($QR$5,0)</f>
        <v>0</v>
      </c>
      <c r="FQ86" s="155">
        <f>IF(Tank4!$D$22="NO CONTROL",_xlfn.MAXIFS(Tank4!$G$32:$G$141,Tank4!$E$32:$E$141,$FG86),0)*IFERROR($QR$6,0)</f>
        <v>0</v>
      </c>
      <c r="FR86" s="155">
        <f>_xlfn.MAXIFS(LandEmiss!$AI$20:$AI$119,LandEmiss!$AE$20:$AE$119,$FG86)*IFERROR($QR$6,0)</f>
        <v>0</v>
      </c>
      <c r="FS86" s="155">
        <f>MAX(_xlfn.MAXIFS(LandEmiss!$CR$20:$CR$119,LandEmiss!$CN$20:$CN$119,$FG86),_xlfn.MAXIFS(LandEmiss!$FC$9:$FC$108,LandEmiss!$EY$9:$EY$108,$FG86))*IFERROR($QR$6,0)</f>
        <v>0</v>
      </c>
      <c r="FT86" s="155">
        <f>IF(Tank5!$D$22="NO CONTROL",_xlfn.MAXIFS(Tank5!$G$32:$G$141,Tank5!$E$32:$E$141,$FG86),0)*IFERROR($QR$7,0)</f>
        <v>0</v>
      </c>
      <c r="FU86" s="155">
        <f>_xlfn.MAXIFS(LandEmiss!$AJ$20:$AJ$119,LandEmiss!$AE$20:$AE$119,$FG86)*IFERROR($QR$7,0)</f>
        <v>0</v>
      </c>
      <c r="FV86" s="155">
        <f>MAX(_xlfn.MAXIFS(LandEmiss!$CS$20:$CS$119,LandEmiss!$CN$20:$CN$119,$FG86),_xlfn.MAXIFS(LandEmiss!$FD$9:$FD$108,LandEmiss!$EY$9:$EY$108,$FG86))*IFERROR($QR91,0)</f>
        <v>0</v>
      </c>
      <c r="FW86" s="155">
        <f>_xlfn.MAXIFS('Load-DrumTote'!$K$27:$K$136,'Load-DrumTote'!$F$27:$F$136,$FG86)*IFERROR($QR$8,0)</f>
        <v>0</v>
      </c>
      <c r="FX86" s="155">
        <f>_xlfn.MAXIFS('Load-Truck'!$K$27:$K$136,'Load-Truck'!$F$27:$F$136,$FG86)*IFERROR($QR$9,0)</f>
        <v>0</v>
      </c>
      <c r="FY86" s="155">
        <f>_xlfn.MAXIFS('Load-Rail'!$K$27:$K$136,'Load-Rail'!$F$27:$F$136,$FG86)*IFERROR($QR$10,0)</f>
        <v>0</v>
      </c>
      <c r="FZ86" s="155">
        <f>_xlfn.MAXIFS('Load-MarineBarge'!$K$27:$K$136,'Load-MarineBarge'!$F$27:$F$136,$FG86)*IFERROR($QR$11,0)</f>
        <v>0</v>
      </c>
      <c r="GA86" s="155">
        <f>_xlfn.MAXIFS('Load-MarineShip'!$K$27:$K$136,'Load-MarineShip'!$F$27:$F$136,$FG86)*IFERROR($QR$12,0)</f>
        <v>0</v>
      </c>
      <c r="GB86" s="313">
        <f>IF(OR(Flare!$D$24="fuel gas",Flare!$D$38="fuel gas"),SUMIF(Flare!$E$97:$E$106,$FG86,Flare!$F$97:$F$106),0)*IFERROR($QR$13,0)</f>
        <v>0</v>
      </c>
      <c r="GC86" s="313">
        <f>(_xlfn.MAXIFS(CtrlDevImpacts!$I$57:$I$156,CtrlDevImpacts!$H$57:$H$156,$FG86))*IFERROR($QR$13,0)</f>
        <v>0</v>
      </c>
      <c r="GD86" s="313">
        <f>(_xlfn.MAXIFS(Flare!$F$107:$F$216,Flare!$E$107:$E$216,$FG86)-_xlfn.MAXIFS(CtrlDevImpacts!$I$57:$I$156,CtrlDevImpacts!$H$57:$H$156,$FG86))*IFERROR($QR$13,0)</f>
        <v>0</v>
      </c>
      <c r="GE86" s="155">
        <f>_xlfn.MAXIFS(LandEmiss!$B$335:$B$434,LandEmiss!$A$335:$A$434,$FG86)*IFERROR($QR$13,0)</f>
        <v>0</v>
      </c>
      <c r="GF86" s="155">
        <f>(_xlfn.MAXIFS(LandEmiss!$BK$335:$BK$434,LandEmiss!$BJ$335:$BJ$434,$FG86)+_xlfn.MAXIFS(LandEmiss!$DV$323:$DV$422,LandEmiss!$DU$323:$DU$422,$FG86))*IFERROR($QR$13,0)</f>
        <v>0</v>
      </c>
      <c r="GG86" s="313">
        <f>IF(OR(VCU!$D$26="fuel gas",VCU!$D$42="fuel gas"),SUMIF(VCU!$E$120:$E$129,$FG86,VCU!$F$120:$F$129),0)*IFERROR($QR$14,0)</f>
        <v>0</v>
      </c>
      <c r="GH86" s="313">
        <f>(_xlfn.MAXIFS(CtrlDevImpacts!$X$57:$X$156,CtrlDevImpacts!$W$57:$W$156,$FG86))*IFERROR($QR$14,0)</f>
        <v>0</v>
      </c>
      <c r="GI86" s="313">
        <f>(_xlfn.MAXIFS(VCU!$F$130:$F$239,VCU!$E$130:$E$239,$FG86)-_xlfn.MAXIFS(CtrlDevImpacts!$X$57:$X$156,CtrlDevImpacts!$W$57:$W$156,$FG86))*IFERROR($QR$14,0)</f>
        <v>0</v>
      </c>
      <c r="GJ86" s="155">
        <f>_xlfn.MAXIFS(LandEmiss!$D$335:$D$434,LandEmiss!$A$335:$A$434,$FG86)*IFERROR($QR$14,0)</f>
        <v>0</v>
      </c>
      <c r="GK86" s="155">
        <f>(_xlfn.MAXIFS(LandEmiss!$BM$335:$BM$434,LandEmiss!$BJ$335:$BJ$434,$FG86)+_xlfn.MAXIFS(LandEmiss!$DX$323:$DX$422,LandEmiss!$DU$323:$DU$422,$FG86))*IFERROR($QR$14,0)</f>
        <v>0</v>
      </c>
      <c r="GL86" s="313">
        <f>IF(VaporOxidizer!D117="FUEL GAS",SUMIF(VaporOxidizer!$E$101:$E$110,$FG86,VaporOxidizer!$F$101:$F$110),0)*IFERROR($QR$15,0)</f>
        <v>0</v>
      </c>
      <c r="GM86" s="313">
        <f>(_xlfn.MAXIFS(CtrlDevImpacts!$AN$57:$AN$156,CtrlDevImpacts!$AM$57:$AM$156,$FG86))*IFERROR($QR$15,0)</f>
        <v>0</v>
      </c>
      <c r="GN86" s="313">
        <f>(_xlfn.MAXIFS(VaporOxidizer!$F$111:$F$220,VaporOxidizer!$E$111:$E$220,$FG86)-_xlfn.MAXIFS(CtrlDevImpacts!$AN$57:$AN$156,CtrlDevImpacts!$AM$57:$AM$156,$FG86))*IFERROR($QR$15,0)</f>
        <v>0</v>
      </c>
      <c r="GO86" s="155">
        <f>_xlfn.MAXIFS(LandEmiss!$F$335:$F$434,LandEmiss!$A$335:$A$434,$FG86)*IFERROR($QR$15,0)</f>
        <v>0</v>
      </c>
      <c r="GP86" s="155">
        <f>(_xlfn.MAXIFS(LandEmiss!$BK$335:$BK$434,LandEmiss!$BO$335:$BO$434,$FG86)+_xlfn.MAXIFS(LandEmiss!$DZ$323:$DZ$422,LandEmiss!$DU$323:$DU$422,$FG86))*IFERROR($QR$15,0)</f>
        <v>0</v>
      </c>
      <c r="GQ86" s="313">
        <f>_xlfn.MAXIFS(CtrlDevImpacts!$BD$57:$BD$156,CtrlDevImpacts!$BC$57:$BC$156,$FG86)*IFERROR(Hidden!$QR$16,0)</f>
        <v>0</v>
      </c>
      <c r="GR86" s="313">
        <f>(_xlfn.MAXIFS(CAS!$H$35:$H$144,CAS!$E$35:$E$144,$FG86)-_xlfn.MAXIFS(CtrlDevImpacts!$BD$57:$BD$156,CtrlDevImpacts!$BC$57:$BC$156,$FG86))*IFERROR(Hidden!$QR$16,0)</f>
        <v>0</v>
      </c>
      <c r="GS86" s="155">
        <f>_xlfn.MAXIFS(LandEmiss!$H$335:$H$434,LandEmiss!$A$335:$A$434,$FG86)*IFERROR($QR$27,0)</f>
        <v>0</v>
      </c>
      <c r="GT86" s="155">
        <f>(_xlfn.MAXIFS(LandEmiss!$BK$335:$BK$434,LandEmiss!$BQ$335:$BQ$434,$FG86)+_xlfn.MAXIFS(LandEmiss!$EB$323:$EB$422,LandEmiss!$DU$323:$DU$422,$FG86))*IFERROR($QR$27,0)</f>
        <v>0</v>
      </c>
      <c r="GU86" s="155">
        <f>_xlfn.MAXIFS(LandEmiss!$J$335:$J$434,LandEmiss!$A$335:$A$434,$FG86)*IFERROR($QR$26,0)</f>
        <v>0</v>
      </c>
      <c r="GV86" s="155">
        <f>(_xlfn.MAXIFS(LandEmiss!$BK$335:$BK$434,LandEmiss!$BS$335:$BS$434,$FG86)+_xlfn.MAXIFS(LandEmiss!$ED$323:$ED$422,LandEmiss!$DU$323:$DU$422,$FG86))*IFERROR($QR$26,0)</f>
        <v>0</v>
      </c>
      <c r="GW86" s="155">
        <f>_xlfn.MAXIFS(LandEmiss!$L$335:$L$434,LandEmiss!$A$335:$A$434,$FG86)*IFERROR($QR$25,0)</f>
        <v>0</v>
      </c>
      <c r="GX86" s="155">
        <f>(_xlfn.MAXIFS(LandEmiss!$BK$335:$BK$434,LandEmiss!$BU$335:$BU$434,$FG86)+_xlfn.MAXIFS(LandEmiss!$EF$323:$EF$422,LandEmiss!$DU$323:$DU$422,$FG86))*IFERROR($QR$25,0)</f>
        <v>0</v>
      </c>
      <c r="GY86" s="155">
        <v>0</v>
      </c>
      <c r="GZ86" s="155">
        <v>0</v>
      </c>
      <c r="HA86" s="155">
        <f>IF(OR(HeaterBoiler1!$E$26&lt;&gt;"fuel gas",HeaterBoiler1!$E$15&lt;&gt;"heater"),0,SUMIF(HeaterBoiler1!$A$54:$D$63,$FG86,HeaterBoiler1!$I$54:$I$63))*IFERROR($QR$19,0)</f>
        <v>0</v>
      </c>
      <c r="HB86" s="207">
        <f>IF(OR(HeaterBoiler2!$E$26&lt;&gt;"fuel gas",HeaterBoiler2!$E$15&lt;&gt;"heater"),0,SUMIF(HeaterBoiler2!$A$54:$D$63,$FG86,HeaterBoiler2!$I$54:$I$63))*IFERROR($QR$21,0)</f>
        <v>0</v>
      </c>
      <c r="HC86" s="155">
        <f>IF(OR(HeaterBoiler1!$E$26&lt;&gt;"fuel gas",HeaterBoiler1!$E$15&lt;&gt;"boiler"),0,SUMIF(HeaterBoiler1!$A$41:$A$50,$FG86,HeaterBoiler1!$F$41:$F$50))*IFERROR($QR$20,0)</f>
        <v>0</v>
      </c>
      <c r="HD86" s="207">
        <f>IF(OR(HeaterBoiler2!$E$26&lt;&gt;"fuel gas",HeaterBoiler2!$E$15&lt;&gt;"boiler"),0,SUMIF(HeaterBoiler2!$A$41:$A$50,$FG86,HeaterBoiler2!$F$41:$F$50))*IFERROR($QR$22,0)</f>
        <v>0</v>
      </c>
      <c r="HE86" s="155">
        <f>SUMIF(Fug!$A$96:$A$205,$FG86,Fug!$I$96:$I$205)*IFERROR(Hidden!$QR$23,0)</f>
        <v>0</v>
      </c>
      <c r="HF86" s="155">
        <f t="shared" si="46"/>
        <v>0</v>
      </c>
      <c r="HG86" s="156">
        <f t="shared" si="47"/>
        <v>0</v>
      </c>
      <c r="HH86" s="156">
        <f t="shared" si="48"/>
        <v>0</v>
      </c>
      <c r="HI86" s="156">
        <f t="shared" si="49"/>
        <v>0</v>
      </c>
      <c r="HJ86" s="156">
        <f t="shared" si="50"/>
        <v>0</v>
      </c>
      <c r="HK86" s="156">
        <f t="shared" si="51"/>
        <v>0</v>
      </c>
      <c r="HL86" s="156">
        <f t="shared" si="52"/>
        <v>0</v>
      </c>
      <c r="NO86" s="155">
        <f>IF(Tank1!$D$22="No control",(SUMIF(Tank1!$E$32:$E$141,$FG86,Tank1!$H$32:$H$141)*(2000/8760)*IFERROR($QV$3,0)),0)</f>
        <v>0</v>
      </c>
      <c r="NP86" s="156">
        <f>SUMIF(LandEmiss!$AE$20:$AE$119,$FG86,LandEmiss!$AK$20:$AK$119)*(2000/8760)*IFERROR($QV$3,0)</f>
        <v>0</v>
      </c>
      <c r="NQ86" s="156">
        <f>(SUMIF(LandEmiss!$CN$20:$CN$119,$FG86,LandEmiss!$CT$20:$CT$119)+SUMIF(LandEmiss!$EY$9:$EY$108,$FG86,LandEmiss!$FE$9:$FE$108))*IFERROR($QV$3,0)*(2000/8760)</f>
        <v>0</v>
      </c>
      <c r="NR86" s="155">
        <f>IF(Tank2!$D$22="No control",(SUMIF(Tank2!$E$32:$E$141,$FG86,Tank2!$H$32:$H$141)*(2000/8760)*IFERROR($QV$4,0)),0)</f>
        <v>0</v>
      </c>
      <c r="NS86" s="156">
        <f>SUMIF(LandEmiss!$AE$20:$AE$119,$FG86,LandEmiss!$AL$20:$AL$119)*(2000/8760)*IFERROR($QV$4,0)</f>
        <v>0</v>
      </c>
      <c r="NT86" s="156">
        <f>(SUMIF(LandEmiss!$CN$20:$CN$119,$FG86,LandEmiss!$CU$20:$CU$119)+SUMIF(LandEmiss!$EY$9:$EY$108,$FG86,LandEmiss!$FF$9:$FF$108))*IFERROR($QV$4,0)*(2000/8760)</f>
        <v>0</v>
      </c>
      <c r="NU86" s="155">
        <f>IF(Tank3!$D$22="No control",(SUMIF(Tank3!$E$32:$E$141,$FG86,Tank3!$H$32:$H$141)*(2000/8760)*IFERROR($QV$5,0)),0)</f>
        <v>0</v>
      </c>
      <c r="NV86" s="156">
        <f>SUMIF(LandEmiss!$AE$20:$AE$119,$FG86,LandEmiss!$AM$20:$AM$119)*(2000/8760)*IFERROR($QV$5,0)</f>
        <v>0</v>
      </c>
      <c r="NW86" s="156">
        <f>(SUMIF(LandEmiss!$CN$20:$CN$119,$FG86,LandEmiss!$CV$20:$CV$119)+SUMIF(LandEmiss!$EY$9:$EY$108,$FG86,LandEmiss!$FG$9:$FG$108))*IFERROR($QV$5,0)*(2000/8760)</f>
        <v>0</v>
      </c>
      <c r="NX86" s="155">
        <f>IF(Tank4!$D$22="No control",(SUMIF(Tank4!$E$32:$E$141,$FG86,Tank4!$H$32:$H$141)*(2000/8760)*IFERROR($QV$6,0)),0)</f>
        <v>0</v>
      </c>
      <c r="NY86" s="156">
        <f>SUMIF(LandEmiss!$AE$20:$AE$119,$FG86,LandEmiss!$AN$20:$AN$119)*(2000/8760)*IFERROR($QV$6,0)</f>
        <v>0</v>
      </c>
      <c r="NZ86" s="156">
        <f>(SUMIF(LandEmiss!$CN$20:$CN$119,$FG86,LandEmiss!$CW$20:$CW$119)+SUMIF(LandEmiss!$EY$9:$EY$108,$FG86,LandEmiss!$FH$9:$FH$108))*IFERROR($QV$6,0)*(2000/8760)</f>
        <v>0</v>
      </c>
      <c r="OA86" s="155">
        <f>IF(Tank5!$D$22="No control",(SUMIF(Tank5!$E$32:$E$141,$FG86,Tank5!$H$32:$H$141)*(2000/8760)*IFERROR($QV$7,0)),0)</f>
        <v>0</v>
      </c>
      <c r="OB86" s="156">
        <f>SUMIF(LandEmiss!$AE$20:$AE$119,$FG86,LandEmiss!$AO$20:$AO$119)*(2000/8760)*IFERROR($QV$7,0)</f>
        <v>0</v>
      </c>
      <c r="OC86" s="156">
        <f>(SUMIF(LandEmiss!$CN$20:$CN$119,$FG86,LandEmiss!$CX$20:$CX$119)+SUMIF(LandEmiss!$EY$9:$EY$108,$FG86,LandEmiss!$FI$9:$FI$108))*IFERROR($QV$7,0)*(2000/8760)</f>
        <v>0</v>
      </c>
      <c r="OD86" s="155">
        <f>SUMIFS('Load-DrumTote'!$L$27:$L$136,'Load-DrumTote'!$F$27:$F$136,$FG86)*IFERROR($QV$8,0)*(2000/8760)</f>
        <v>0</v>
      </c>
      <c r="OE86" s="155">
        <f>SUMIFS('Load-Truck'!$L$27:$L$136,'Load-Truck'!$F$27:$F$136,$FG86)*IFERROR($QV$9,0)*(2000/8760)</f>
        <v>0</v>
      </c>
      <c r="OF86" s="155">
        <f>SUMIFS('Load-Rail'!$L$27:$L$136,'Load-Rail'!$F$27:$F$136,$FG86)*IFERROR($QV$10,0)*(2000/8760)</f>
        <v>0</v>
      </c>
      <c r="OG86" s="155">
        <f>SUMIFS('Load-MarineBarge'!$L$27:$L$136,'Load-MarineBarge'!$F$27:$F$136,$FG86)*IFERROR($QV$11,0)*(2000/8760)</f>
        <v>0</v>
      </c>
      <c r="OH86" s="155">
        <f>SUMIFS('Load-MarineShip'!$L$27:$L$136,'Load-MarineShip'!$F$27:$F$136,$FG86)*IFERROR($QV$12,0)*(2000/8760)</f>
        <v>0</v>
      </c>
      <c r="OI86" s="155">
        <f>(IF(OR(Flare!$D$24="FUEL GAS",Flare!$D$38="FUEL GAS"),SUMIF(Flare!$E$97:$E$106,$FG86,Flare!$G$97:$G$105),0)+SUMIF(Flare!$E$107:$E$216,$FG86,Flare!$G$107:$G$216))*(2000/8730)*IFERROR($QV$13,0)</f>
        <v>0</v>
      </c>
      <c r="OJ86" s="155">
        <f>SUMIF(LandEmiss!$A$335:$A$434,$FG86,LandEmiss!$C$335:$C$434)*(2000/8760)*IFERROR($QV$13,0)</f>
        <v>0</v>
      </c>
      <c r="OK86" s="155">
        <f>(SUMIF(LandEmiss!$BJ$335:$BJ$434,$FG86,LandEmiss!$BL$335:$BL$434)+SUMIF(LandEmiss!$DU$323:$DU$422,$FG86,LandEmiss!$DW$323:$DW$422))*(2000/8760)*IFERROR($QV$13,0)</f>
        <v>0</v>
      </c>
      <c r="OL86" s="155">
        <f>(IF(OR(VCU!$D$26="FUEL GAS",VCU!$D$42="FUEL GAS"),SUMIF(VCU!$E$120:$E$129,$FG86,VCU!$G$120:$G$129),0)+SUMIF(VCU!$E$130:$E$239,$FG86,VCU!G214:G323))*(2000/8760)*IFERROR($QV$14,0)</f>
        <v>0</v>
      </c>
      <c r="OM86" s="155">
        <f>SUMIF(LandEmiss!$A$335:$A$434,$FG86,LandEmiss!$E$335:$E$434)*(2000/8760)*IFERROR($QV$14,0)</f>
        <v>0</v>
      </c>
      <c r="ON86" s="155">
        <f>(SUMIF(LandEmiss!$BJ$335:$BJ$434,$FG86,LandEmiss!$BN$335:$BN$434)+SUMIF(LandEmiss!$DU$323:$DU$422,$FG86,LandEmiss!$DY$323:$DY$422))*(2000/8760)*IFERROR($QV$14,0)</f>
        <v>0</v>
      </c>
      <c r="OO86" s="155">
        <f>(IF(VaporOxidizer!$D$33="FUEL GAS",SUMIF(VaporOxidizer!$E$101:$E$110,$FG86,VaporOxidizer!$G$101:$G$110),0)+SUMIF(VaporOxidizer!$E$111:$E$220,$FG86,VaporOxidizer!$G$111:$G$220))*(2000/8760)*IFERROR($QV$15,0)</f>
        <v>0</v>
      </c>
      <c r="OP86" s="155">
        <f>SUMIF(LandEmiss!$A$335:$A$434,$FG86,LandEmiss!$G$335:$G$434)*(2000/8760)*IFERROR($QV$15,0)</f>
        <v>0</v>
      </c>
      <c r="OQ86" s="155">
        <f>(SUMIF(LandEmiss!$BJ$335:$BJ$434,$FG86,LandEmiss!$BP$335:$BP$434)+SUMIF(LandEmiss!$DU$323:$DU$422,$FG86,LandEmiss!$EA$323:$EA$422))*(2000/8760)*IFERROR($QV$15,0)</f>
        <v>0</v>
      </c>
      <c r="OR86" s="155">
        <f>SUMIF(CAS!$E$35:$E$144,Hidden!$FG86,CAS!$I$35:$I$144)*IFERROR($QV$16,0)*(2000/8760)</f>
        <v>0</v>
      </c>
      <c r="OS86" s="155">
        <f>SUMIF(LandEmiss!$A$335:$A$434,$FG86,LandEmiss!$I$335:$I$434)*(2000/8760)*IFERROR($QV$27,0)</f>
        <v>0</v>
      </c>
      <c r="OT86" s="155">
        <f>(SUMIF(LandEmiss!$BJ$335:$BJ$434,$FG86,LandEmiss!$BR$335:$BR$434)+SUMIF(LandEmiss!$DU$323:$DU$422,$FG86,LandEmiss!$EC$323:$EC$422))*(2000/8760)*IFERROR($QV$27,0)</f>
        <v>0</v>
      </c>
      <c r="OU86" s="155">
        <f>SUMIF(LandEmiss!$A$335:$A$434,$FG86,LandEmiss!$K$335:$K$434)*(2000/8760)*IFERROR($QV$26,0)</f>
        <v>0</v>
      </c>
      <c r="OV86" s="155">
        <f>(SUMIF(LandEmiss!$BJ$335:$BJ$434,$FG86,LandEmiss!$BT$335:$BT$434)+SUMIF(LandEmiss!$DU$323:$DU$422,$FG86,LandEmiss!$EE$323:$EE$422))*(2000/8760)*IFERROR($QV$26,0)</f>
        <v>0</v>
      </c>
      <c r="OW86" s="155">
        <f>SUMIF(LandEmiss!$A$335:$A$434,$FG86,LandEmiss!$M$335:$M$434)*(2000/8760)*IFERROR($QV$25,0)</f>
        <v>0</v>
      </c>
      <c r="OX86" s="155">
        <f>(SUMIF(LandEmiss!$BJ$335:$BJ$434,$FG86,LandEmiss!$BV$335:$BV$434)+SUMIF(LandEmiss!$DU$323:$DU$422,$FG86,LandEmiss!$EG$323:$EG$422))*(2000/8760)*IFERROR($QV$25,0)</f>
        <v>0</v>
      </c>
      <c r="OY86" s="8">
        <v>0</v>
      </c>
      <c r="OZ86" s="207">
        <v>0</v>
      </c>
      <c r="PA86" s="207">
        <f>IF(OR(HeaterBoiler1!$E$26&lt;&gt;"fuel gas",HeaterBoiler1!$E$15&lt;&gt;"heater"),0,(SUMIF(HeaterBoiler1!$A$54:$D$63,$FG86,HeaterBoiler1!$J$54:$J$63))*(2000/8760))*IFERROR($QV$19,0)</f>
        <v>0</v>
      </c>
      <c r="PB86" s="207">
        <f>IF(OR(HeaterBoiler2!$E$26&lt;&gt;"fuel gas",HeaterBoiler2!$E$15&lt;&gt;"heater"),0,(SUMIF(HeaterBoiler2!$A$54:$D$63,$FG86,HeaterBoiler2!$J$54:$J$63))*(2000/8760))*IFERROR($QV$21,0)</f>
        <v>0</v>
      </c>
      <c r="PC86" s="207">
        <f>IF(OR(HeaterBoiler1!$E$26&lt;&gt;"fuel gas",HeaterBoiler1!$E$15&lt;&gt;"boiler"),0,(SUMIF(HeaterBoiler1!$A$54:$D$63,$FG86,HeaterBoiler1!$J$54:$J$63))*(2000/8760))*IFERROR($QV$20,0)</f>
        <v>0</v>
      </c>
      <c r="PD86" s="207">
        <f>IF(OR(HeaterBoiler2!$E$26&lt;&gt;"fuel gas",HeaterBoiler2!$E$15&lt;&gt;"boiler"),0,(SUMIF(HeaterBoiler2!$A$54:$D$63,$FG86,HeaterBoiler2!$J$54:$J$63))*(2000/8760))*IFERROR($QV$22,0)</f>
        <v>0</v>
      </c>
      <c r="PE86" s="8">
        <f>(SUMIF(Fug!$A$96:$A$205,$FG86,Fug!$J$96:$J$205))*IFERROR($QV$23,0)*(2000/8760)</f>
        <v>0</v>
      </c>
      <c r="PF86" s="8">
        <f t="shared" si="53"/>
        <v>0</v>
      </c>
      <c r="PG86" s="156">
        <f t="shared" si="54"/>
        <v>0</v>
      </c>
      <c r="QX86" s="89" t="s">
        <v>9331</v>
      </c>
      <c r="QY86">
        <v>14.4</v>
      </c>
      <c r="QZ86">
        <v>14.4</v>
      </c>
      <c r="RA86">
        <v>14.4</v>
      </c>
      <c r="RB86">
        <v>14.4</v>
      </c>
      <c r="RC86">
        <v>14.37</v>
      </c>
      <c r="RD86">
        <v>12.63</v>
      </c>
      <c r="RE86">
        <v>10.82</v>
      </c>
      <c r="RF86">
        <v>7.58</v>
      </c>
      <c r="RG86" s="90">
        <v>5.73</v>
      </c>
      <c r="RH86" s="89" t="s">
        <v>9331</v>
      </c>
      <c r="RI86">
        <v>14.1</v>
      </c>
      <c r="RJ86">
        <v>14.1</v>
      </c>
      <c r="RK86">
        <v>14.1</v>
      </c>
      <c r="RL86">
        <v>14.1</v>
      </c>
      <c r="RM86">
        <v>13.99</v>
      </c>
      <c r="RN86">
        <v>12.33</v>
      </c>
      <c r="RO86">
        <v>10.61</v>
      </c>
      <c r="RP86">
        <v>7.45</v>
      </c>
      <c r="RQ86" s="90">
        <v>5.65</v>
      </c>
      <c r="RR86" s="89" t="s">
        <v>9331</v>
      </c>
      <c r="RS86">
        <v>13.52</v>
      </c>
      <c r="RT86">
        <v>13.52</v>
      </c>
      <c r="RU86">
        <v>13.52</v>
      </c>
      <c r="RV86">
        <v>13.52</v>
      </c>
      <c r="RW86">
        <v>13.52</v>
      </c>
      <c r="RX86">
        <v>11.99</v>
      </c>
      <c r="RY86">
        <v>10.11</v>
      </c>
      <c r="RZ86">
        <v>6.87</v>
      </c>
      <c r="SA86" s="90">
        <v>5.3</v>
      </c>
      <c r="SB86" s="89" t="s">
        <v>9331</v>
      </c>
      <c r="SC86">
        <v>11.4</v>
      </c>
      <c r="SD86">
        <v>11.4</v>
      </c>
      <c r="SE86">
        <v>11.4</v>
      </c>
      <c r="SF86">
        <v>11.4</v>
      </c>
      <c r="SG86">
        <v>11.4</v>
      </c>
      <c r="SH86">
        <v>9.98</v>
      </c>
      <c r="SI86">
        <v>8.3800000000000008</v>
      </c>
      <c r="SJ86">
        <v>5.14</v>
      </c>
      <c r="SK86" s="90">
        <v>3.99</v>
      </c>
      <c r="SL86" s="89" t="s">
        <v>9331</v>
      </c>
      <c r="SM86">
        <v>2.11</v>
      </c>
      <c r="SN86">
        <v>2.11</v>
      </c>
      <c r="SO86">
        <v>2.11</v>
      </c>
      <c r="SP86">
        <v>2.11</v>
      </c>
      <c r="SQ86">
        <v>2.11</v>
      </c>
      <c r="SR86">
        <v>2.0699999999999998</v>
      </c>
      <c r="SS86">
        <v>1.93</v>
      </c>
      <c r="ST86">
        <v>1.34</v>
      </c>
      <c r="SU86" s="90">
        <v>0.96</v>
      </c>
    </row>
    <row r="87" spans="23:515" ht="74.25" customHeight="1" x14ac:dyDescent="0.2">
      <c r="W87">
        <f>IF(OR(X87=0,ISNUMBER(MATCH(X87,$X$1:X86,0))),0,MAX($W$1:W86)+1)</f>
        <v>0</v>
      </c>
      <c r="X87" s="123">
        <f>Products!$E134</f>
        <v>0</v>
      </c>
      <c r="Y87" t="str">
        <f t="shared" si="42"/>
        <v/>
      </c>
      <c r="CA87">
        <f>IF(OR(CB87=0,ISNUMBER(MATCH(CB87,$CB$1:CB86,0))),0,MAX($CA$1:CA86)+1)</f>
        <v>0</v>
      </c>
      <c r="CB87" s="8">
        <f>IF(OR(Tank1!$D$18="EXTERNAL FLOATING ROOF",Tank1!$D$18="INTERNAL FLOATING ROOF"),IF(Tank1!$E117="",0,Tank1!$E117),0)</f>
        <v>0</v>
      </c>
      <c r="CC87" s="8" t="str">
        <f t="shared" si="43"/>
        <v/>
      </c>
      <c r="CD87" s="8"/>
      <c r="CE87" s="8">
        <f>IF(OR(CF87=0,ISNUMBER(MATCH(CF87,$CF$1:CF86,0))),0,MAX($CE$1:CE86)+1)</f>
        <v>0</v>
      </c>
      <c r="CF87" s="8">
        <f>IF(OR(Tank1!$D$18="HORIZONTAL FIXED ROOF",Tank1!$D$18="VERTICAL FIXED ROOF"),IF(Tank1!$E117="",0,Tank1!$E117),0)</f>
        <v>0</v>
      </c>
      <c r="CG87" s="8" t="str">
        <f t="shared" si="44"/>
        <v/>
      </c>
      <c r="DM87">
        <f>IF(OR(DN87=0,ISNUMBER(MATCH(DN87,$DN$1:DN86,0))),0,MAX($DM$1:DM86)+1)</f>
        <v>0</v>
      </c>
      <c r="DN87">
        <f>IF('Load-MarineBarge'!$F$19="Flare",IFERROR(VLOOKUP(Products!$A$109,'Load-MarineBarge'!$A$27:$B$136,1,FALSE),0),0)</f>
        <v>0</v>
      </c>
      <c r="DO87">
        <f>IF($DN87=0,0,VLOOKUP($DN87,'Load-MarineBarge'!$A$27:$N$136,13,FALSE))</f>
        <v>0</v>
      </c>
      <c r="DP87">
        <f>IF($DN87=0,0,VLOOKUP($DN87,'Load-MarineBarge'!$A$27:$N$136,14,FALSE))</f>
        <v>0</v>
      </c>
      <c r="DU87">
        <f>IF(OR(DV87=0,ISNUMBER(MATCH(DV87,$DV$1:DV86,0))),0,MAX($DU$1:DU86)+1)</f>
        <v>0</v>
      </c>
      <c r="DV87">
        <f>IF('Load-MarineBarge'!$F$19="VCU",IFERROR(VLOOKUP(Products!$A$109,'Load-MarineBarge'!$A$27:$B$136,1,FALSE),0),0)</f>
        <v>0</v>
      </c>
      <c r="DW87">
        <f>IF($DV87=0,0,VLOOKUP($DV87,'Load-MarineBarge'!$A$27:$N$136,13,FALSE))</f>
        <v>0</v>
      </c>
      <c r="DX87">
        <f>IF($DV87=0,0,VLOOKUP($DV87,'Load-MarineBarge'!$A$27:$N$136,14,FALSE))</f>
        <v>0</v>
      </c>
      <c r="EC87">
        <f>IF(OR(ED87=0,ISNUMBER(MATCH(ED87,$ED$1:ED86,0))),0,MAX($EC$1:EC86)+1)</f>
        <v>0</v>
      </c>
      <c r="ED87">
        <f>IF('Load-MarineBarge'!$F$19="vapor oxidizer",IFERROR(VLOOKUP(Products!$A$109,'Load-MarineBarge'!$A$27:$B$136,1,FALSE),0),0)</f>
        <v>0</v>
      </c>
      <c r="EE87">
        <f>IF($ED87=0,0,VLOOKUP($ED87,'Load-MarineBarge'!$A$27:$N$136,13,FALSE))</f>
        <v>0</v>
      </c>
      <c r="EF87">
        <f>IF($ED87=0,0,VLOOKUP($ED87,'Load-MarineBarge'!$A$27:$N$136,14,FALSE))</f>
        <v>0</v>
      </c>
      <c r="EK87">
        <f>IF(OR(EL87=0,ISNUMBER(MATCH(EL87,$EL$1:EL86,0))),0,MAX($EK$1:EK86)+1)</f>
        <v>0</v>
      </c>
      <c r="EL87">
        <f>IF('Load-MarineBarge'!$F$19="CAS",IFERROR(VLOOKUP(Products!A109,'Load-MarineBarge'!$A$27:$B$136,1,FALSE),0),0)</f>
        <v>0</v>
      </c>
      <c r="EM87">
        <f>IF($EL87=0,0,VLOOKUP($EL87,'Load-MarineBarge'!$A$27:$N$136,13,FALSE))</f>
        <v>0</v>
      </c>
      <c r="EN87">
        <f>IF($EL87=0,0,VLOOKUP($EL87,'Load-MarineBarge'!$A$27:$N$136,14,FALSE))</f>
        <v>0</v>
      </c>
      <c r="FB87" s="8" t="s">
        <v>518</v>
      </c>
      <c r="FC87" s="8" t="s">
        <v>519</v>
      </c>
      <c r="FD87" s="8">
        <v>62000</v>
      </c>
      <c r="FE87" s="8">
        <v>6200</v>
      </c>
      <c r="FG87" s="360" t="str">
        <f t="shared" si="45"/>
        <v/>
      </c>
      <c r="FH87" s="155">
        <f>IF(Tank1!$D$22="NO CONTROL",_xlfn.MAXIFS(Tank1!$G$32:$G$141,Tank1!$E$32:$E$141,$FG87),0)*IFERROR($QR$3,0)</f>
        <v>0</v>
      </c>
      <c r="FI87" s="155">
        <f>_xlfn.MAXIFS(LandEmiss!$AF$20:$AF$119,LandEmiss!$AE$20:$AE$119,$FG87)*IFERROR($QR$3,0)</f>
        <v>0</v>
      </c>
      <c r="FJ87" s="155">
        <f>MAX(_xlfn.MAXIFS(LandEmiss!$CO$20:$CO$119,LandEmiss!$CN$20:$CN$119,$FG87),_xlfn.MAXIFS(LandEmiss!$EZ$9:$EZ$108,LandEmiss!$EY$9:$EY$108,$FG87))*IFERROR($QR$3,0)</f>
        <v>0</v>
      </c>
      <c r="FK87" s="155">
        <f>IF(Tank2!$D$22="NO CONTROL",_xlfn.MAXIFS(Tank2!$G$32:$G$141,Tank2!$E$32:$E$141,$FG87),0)*IFERROR($QR$4,0)</f>
        <v>0</v>
      </c>
      <c r="FL87" s="155">
        <f>_xlfn.MAXIFS(LandEmiss!$AG$20:$AG$119,LandEmiss!$AE$20:$AE$119,$FG87)*IFERROR($QR$4,0)</f>
        <v>0</v>
      </c>
      <c r="FM87" s="155">
        <f>MAX(_xlfn.MAXIFS(LandEmiss!$CP$20:$CP$119,LandEmiss!$CN$20:$CN$119,$FG87),_xlfn.MAXIFS(LandEmiss!$FA$9:$FA$108,LandEmiss!$EY$9:$EY$108,$FG87))*IFERROR($QR$4,0)</f>
        <v>0</v>
      </c>
      <c r="FN87" s="155">
        <f>IF(Tank3!$D$22="NO CONTROL",_xlfn.MAXIFS(Tank3!$G$32:$G$141,Tank3!$E$32:$E$141,$FG87),0)*IFERROR($QR$5,0)</f>
        <v>0</v>
      </c>
      <c r="FO87" s="155">
        <f>_xlfn.MAXIFS(LandEmiss!$AH$20:$AH$119,LandEmiss!$AE$20:$AE$119,$FG87)*IFERROR($QR$5,0)</f>
        <v>0</v>
      </c>
      <c r="FP87" s="155">
        <f>MAX(_xlfn.MAXIFS(LandEmiss!$CQ$20:$CQ$119,LandEmiss!$CN$20:$CN$119,$FG87),_xlfn.MAXIFS(LandEmiss!$FB$9:$FB$108,LandEmiss!$EY$9:$EY$108,$FG87))*IFERROR($QR$5,0)</f>
        <v>0</v>
      </c>
      <c r="FQ87" s="155">
        <f>IF(Tank4!$D$22="NO CONTROL",_xlfn.MAXIFS(Tank4!$G$32:$G$141,Tank4!$E$32:$E$141,$FG87),0)*IFERROR($QR$6,0)</f>
        <v>0</v>
      </c>
      <c r="FR87" s="155">
        <f>_xlfn.MAXIFS(LandEmiss!$AI$20:$AI$119,LandEmiss!$AE$20:$AE$119,$FG87)*IFERROR($QR$6,0)</f>
        <v>0</v>
      </c>
      <c r="FS87" s="155">
        <f>MAX(_xlfn.MAXIFS(LandEmiss!$CR$20:$CR$119,LandEmiss!$CN$20:$CN$119,$FG87),_xlfn.MAXIFS(LandEmiss!$FC$9:$FC$108,LandEmiss!$EY$9:$EY$108,$FG87))*IFERROR($QR$6,0)</f>
        <v>0</v>
      </c>
      <c r="FT87" s="155">
        <f>IF(Tank5!$D$22="NO CONTROL",_xlfn.MAXIFS(Tank5!$G$32:$G$141,Tank5!$E$32:$E$141,$FG87),0)*IFERROR($QR$7,0)</f>
        <v>0</v>
      </c>
      <c r="FU87" s="155">
        <f>_xlfn.MAXIFS(LandEmiss!$AJ$20:$AJ$119,LandEmiss!$AE$20:$AE$119,$FG87)*IFERROR($QR$7,0)</f>
        <v>0</v>
      </c>
      <c r="FV87" s="155">
        <f>MAX(_xlfn.MAXIFS(LandEmiss!$CS$20:$CS$119,LandEmiss!$CN$20:$CN$119,$FG87),_xlfn.MAXIFS(LandEmiss!$FD$9:$FD$108,LandEmiss!$EY$9:$EY$108,$FG87))*IFERROR($QR92,0)</f>
        <v>0</v>
      </c>
      <c r="FW87" s="155">
        <f>_xlfn.MAXIFS('Load-DrumTote'!$K$27:$K$136,'Load-DrumTote'!$F$27:$F$136,$FG87)*IFERROR($QR$8,0)</f>
        <v>0</v>
      </c>
      <c r="FX87" s="155">
        <f>_xlfn.MAXIFS('Load-Truck'!$K$27:$K$136,'Load-Truck'!$F$27:$F$136,$FG87)*IFERROR($QR$9,0)</f>
        <v>0</v>
      </c>
      <c r="FY87" s="155">
        <f>_xlfn.MAXIFS('Load-Rail'!$K$27:$K$136,'Load-Rail'!$F$27:$F$136,$FG87)*IFERROR($QR$10,0)</f>
        <v>0</v>
      </c>
      <c r="FZ87" s="155">
        <f>_xlfn.MAXIFS('Load-MarineBarge'!$K$27:$K$136,'Load-MarineBarge'!$F$27:$F$136,$FG87)*IFERROR($QR$11,0)</f>
        <v>0</v>
      </c>
      <c r="GA87" s="155">
        <f>_xlfn.MAXIFS('Load-MarineShip'!$K$27:$K$136,'Load-MarineShip'!$F$27:$F$136,$FG87)*IFERROR($QR$12,0)</f>
        <v>0</v>
      </c>
      <c r="GB87" s="313">
        <f>IF(OR(Flare!$D$24="fuel gas",Flare!$D$38="fuel gas"),SUMIF(Flare!$E$97:$E$106,$FG87,Flare!$F$97:$F$106),0)*IFERROR($QR$13,0)</f>
        <v>0</v>
      </c>
      <c r="GC87" s="313">
        <f>(_xlfn.MAXIFS(CtrlDevImpacts!$I$57:$I$156,CtrlDevImpacts!$H$57:$H$156,$FG87))*IFERROR($QR$13,0)</f>
        <v>0</v>
      </c>
      <c r="GD87" s="313">
        <f>(_xlfn.MAXIFS(Flare!$F$107:$F$216,Flare!$E$107:$E$216,$FG87)-_xlfn.MAXIFS(CtrlDevImpacts!$I$57:$I$156,CtrlDevImpacts!$H$57:$H$156,$FG87))*IFERROR($QR$13,0)</f>
        <v>0</v>
      </c>
      <c r="GE87" s="155">
        <f>_xlfn.MAXIFS(LandEmiss!$B$335:$B$434,LandEmiss!$A$335:$A$434,$FG87)*IFERROR($QR$13,0)</f>
        <v>0</v>
      </c>
      <c r="GF87" s="155">
        <f>(_xlfn.MAXIFS(LandEmiss!$BK$335:$BK$434,LandEmiss!$BJ$335:$BJ$434,$FG87)+_xlfn.MAXIFS(LandEmiss!$DV$323:$DV$422,LandEmiss!$DU$323:$DU$422,$FG87))*IFERROR($QR$13,0)</f>
        <v>0</v>
      </c>
      <c r="GG87" s="313">
        <f>IF(OR(VCU!$D$26="fuel gas",VCU!$D$42="fuel gas"),SUMIF(VCU!$E$120:$E$129,$FG87,VCU!$F$120:$F$129),0)*IFERROR($QR$14,0)</f>
        <v>0</v>
      </c>
      <c r="GH87" s="313">
        <f>(_xlfn.MAXIFS(CtrlDevImpacts!$X$57:$X$156,CtrlDevImpacts!$W$57:$W$156,$FG87))*IFERROR($QR$14,0)</f>
        <v>0</v>
      </c>
      <c r="GI87" s="313">
        <f>(_xlfn.MAXIFS(VCU!$F$130:$F$239,VCU!$E$130:$E$239,$FG87)-_xlfn.MAXIFS(CtrlDevImpacts!$X$57:$X$156,CtrlDevImpacts!$W$57:$W$156,$FG87))*IFERROR($QR$14,0)</f>
        <v>0</v>
      </c>
      <c r="GJ87" s="155">
        <f>_xlfn.MAXIFS(LandEmiss!$D$335:$D$434,LandEmiss!$A$335:$A$434,$FG87)*IFERROR($QR$14,0)</f>
        <v>0</v>
      </c>
      <c r="GK87" s="155">
        <f>(_xlfn.MAXIFS(LandEmiss!$BM$335:$BM$434,LandEmiss!$BJ$335:$BJ$434,$FG87)+_xlfn.MAXIFS(LandEmiss!$DX$323:$DX$422,LandEmiss!$DU$323:$DU$422,$FG87))*IFERROR($QR$14,0)</f>
        <v>0</v>
      </c>
      <c r="GL87" s="313">
        <f>IF(VaporOxidizer!D118="FUEL GAS",SUMIF(VaporOxidizer!$E$101:$E$110,$FG87,VaporOxidizer!$F$101:$F$110),0)*IFERROR($QR$15,0)</f>
        <v>0</v>
      </c>
      <c r="GM87" s="313">
        <f>(_xlfn.MAXIFS(CtrlDevImpacts!$AN$57:$AN$156,CtrlDevImpacts!$AM$57:$AM$156,$FG87))*IFERROR($QR$15,0)</f>
        <v>0</v>
      </c>
      <c r="GN87" s="313">
        <f>(_xlfn.MAXIFS(VaporOxidizer!$F$111:$F$220,VaporOxidizer!$E$111:$E$220,$FG87)-_xlfn.MAXIFS(CtrlDevImpacts!$AN$57:$AN$156,CtrlDevImpacts!$AM$57:$AM$156,$FG87))*IFERROR($QR$15,0)</f>
        <v>0</v>
      </c>
      <c r="GO87" s="155">
        <f>_xlfn.MAXIFS(LandEmiss!$F$335:$F$434,LandEmiss!$A$335:$A$434,$FG87)*IFERROR($QR$15,0)</f>
        <v>0</v>
      </c>
      <c r="GP87" s="155">
        <f>(_xlfn.MAXIFS(LandEmiss!$BK$335:$BK$434,LandEmiss!$BO$335:$BO$434,$FG87)+_xlfn.MAXIFS(LandEmiss!$DZ$323:$DZ$422,LandEmiss!$DU$323:$DU$422,$FG87))*IFERROR($QR$15,0)</f>
        <v>0</v>
      </c>
      <c r="GQ87" s="313">
        <f>_xlfn.MAXIFS(CtrlDevImpacts!$BD$57:$BD$156,CtrlDevImpacts!$BC$57:$BC$156,$FG87)*IFERROR(Hidden!$QR$16,0)</f>
        <v>0</v>
      </c>
      <c r="GR87" s="313">
        <f>(_xlfn.MAXIFS(CAS!$H$35:$H$144,CAS!$E$35:$E$144,$FG87)-_xlfn.MAXIFS(CtrlDevImpacts!$BD$57:$BD$156,CtrlDevImpacts!$BC$57:$BC$156,$FG87))*IFERROR(Hidden!$QR$16,0)</f>
        <v>0</v>
      </c>
      <c r="GS87" s="155">
        <f>_xlfn.MAXIFS(LandEmiss!$H$335:$H$434,LandEmiss!$A$335:$A$434,$FG87)*IFERROR($QR$27,0)</f>
        <v>0</v>
      </c>
      <c r="GT87" s="155">
        <f>(_xlfn.MAXIFS(LandEmiss!$BK$335:$BK$434,LandEmiss!$BQ$335:$BQ$434,$FG87)+_xlfn.MAXIFS(LandEmiss!$EB$323:$EB$422,LandEmiss!$DU$323:$DU$422,$FG87))*IFERROR($QR$27,0)</f>
        <v>0</v>
      </c>
      <c r="GU87" s="155">
        <f>_xlfn.MAXIFS(LandEmiss!$J$335:$J$434,LandEmiss!$A$335:$A$434,$FG87)*IFERROR($QR$26,0)</f>
        <v>0</v>
      </c>
      <c r="GV87" s="155">
        <f>(_xlfn.MAXIFS(LandEmiss!$BK$335:$BK$434,LandEmiss!$BS$335:$BS$434,$FG87)+_xlfn.MAXIFS(LandEmiss!$ED$323:$ED$422,LandEmiss!$DU$323:$DU$422,$FG87))*IFERROR($QR$26,0)</f>
        <v>0</v>
      </c>
      <c r="GW87" s="155">
        <f>_xlfn.MAXIFS(LandEmiss!$L$335:$L$434,LandEmiss!$A$335:$A$434,$FG87)*IFERROR($QR$25,0)</f>
        <v>0</v>
      </c>
      <c r="GX87" s="155">
        <f>(_xlfn.MAXIFS(LandEmiss!$BK$335:$BK$434,LandEmiss!$BU$335:$BU$434,$FG87)+_xlfn.MAXIFS(LandEmiss!$EF$323:$EF$422,LandEmiss!$DU$323:$DU$422,$FG87))*IFERROR($QR$25,0)</f>
        <v>0</v>
      </c>
      <c r="GY87" s="155">
        <v>0</v>
      </c>
      <c r="GZ87" s="155">
        <v>0</v>
      </c>
      <c r="HA87" s="155">
        <f>IF(OR(HeaterBoiler1!$E$26&lt;&gt;"fuel gas",HeaterBoiler1!$E$15&lt;&gt;"heater"),0,SUMIF(HeaterBoiler1!$A$54:$D$63,$FG87,HeaterBoiler1!$I$54:$I$63))*IFERROR($QR$19,0)</f>
        <v>0</v>
      </c>
      <c r="HB87" s="207">
        <f>IF(OR(HeaterBoiler2!$E$26&lt;&gt;"fuel gas",HeaterBoiler2!$E$15&lt;&gt;"heater"),0,SUMIF(HeaterBoiler2!$A$54:$D$63,$FG87,HeaterBoiler2!$I$54:$I$63))*IFERROR($QR$21,0)</f>
        <v>0</v>
      </c>
      <c r="HC87" s="155">
        <f>IF(OR(HeaterBoiler1!$E$26&lt;&gt;"fuel gas",HeaterBoiler1!$E$15&lt;&gt;"boiler"),0,SUMIF(HeaterBoiler1!$A$41:$A$50,$FG87,HeaterBoiler1!$F$41:$F$50))*IFERROR($QR$20,0)</f>
        <v>0</v>
      </c>
      <c r="HD87" s="207">
        <f>IF(OR(HeaterBoiler2!$E$26&lt;&gt;"fuel gas",HeaterBoiler2!$E$15&lt;&gt;"boiler"),0,SUMIF(HeaterBoiler2!$A$41:$A$50,$FG87,HeaterBoiler2!$F$41:$F$50))*IFERROR($QR$22,0)</f>
        <v>0</v>
      </c>
      <c r="HE87" s="155">
        <f>SUMIF(Fug!$A$96:$A$205,$FG87,Fug!$I$96:$I$205)*IFERROR(Hidden!$QR$23,0)</f>
        <v>0</v>
      </c>
      <c r="HF87" s="155">
        <f t="shared" si="46"/>
        <v>0</v>
      </c>
      <c r="HG87" s="156">
        <f t="shared" si="47"/>
        <v>0</v>
      </c>
      <c r="HH87" s="156">
        <f t="shared" si="48"/>
        <v>0</v>
      </c>
      <c r="HI87" s="156">
        <f t="shared" si="49"/>
        <v>0</v>
      </c>
      <c r="HJ87" s="156">
        <f t="shared" si="50"/>
        <v>0</v>
      </c>
      <c r="HK87" s="156">
        <f t="shared" si="51"/>
        <v>0</v>
      </c>
      <c r="HL87" s="156">
        <f t="shared" si="52"/>
        <v>0</v>
      </c>
      <c r="NO87" s="155">
        <f>IF(Tank1!$D$22="No control",(SUMIF(Tank1!$E$32:$E$141,$FG87,Tank1!$H$32:$H$141)*(2000/8760)*IFERROR($QV$3,0)),0)</f>
        <v>0</v>
      </c>
      <c r="NP87" s="156">
        <f>SUMIF(LandEmiss!$AE$20:$AE$119,$FG87,LandEmiss!$AK$20:$AK$119)*(2000/8760)*IFERROR($QV$3,0)</f>
        <v>0</v>
      </c>
      <c r="NQ87" s="156">
        <f>(SUMIF(LandEmiss!$CN$20:$CN$119,$FG87,LandEmiss!$CT$20:$CT$119)+SUMIF(LandEmiss!$EY$9:$EY$108,$FG87,LandEmiss!$FE$9:$FE$108))*IFERROR($QV$3,0)*(2000/8760)</f>
        <v>0</v>
      </c>
      <c r="NR87" s="155">
        <f>IF(Tank2!$D$22="No control",(SUMIF(Tank2!$E$32:$E$141,$FG87,Tank2!$H$32:$H$141)*(2000/8760)*IFERROR($QV$4,0)),0)</f>
        <v>0</v>
      </c>
      <c r="NS87" s="156">
        <f>SUMIF(LandEmiss!$AE$20:$AE$119,$FG87,LandEmiss!$AL$20:$AL$119)*(2000/8760)*IFERROR($QV$4,0)</f>
        <v>0</v>
      </c>
      <c r="NT87" s="156">
        <f>(SUMIF(LandEmiss!$CN$20:$CN$119,$FG87,LandEmiss!$CU$20:$CU$119)+SUMIF(LandEmiss!$EY$9:$EY$108,$FG87,LandEmiss!$FF$9:$FF$108))*IFERROR($QV$4,0)*(2000/8760)</f>
        <v>0</v>
      </c>
      <c r="NU87" s="155">
        <f>IF(Tank3!$D$22="No control",(SUMIF(Tank3!$E$32:$E$141,$FG87,Tank3!$H$32:$H$141)*(2000/8760)*IFERROR($QV$5,0)),0)</f>
        <v>0</v>
      </c>
      <c r="NV87" s="156">
        <f>SUMIF(LandEmiss!$AE$20:$AE$119,$FG87,LandEmiss!$AM$20:$AM$119)*(2000/8760)*IFERROR($QV$5,0)</f>
        <v>0</v>
      </c>
      <c r="NW87" s="156">
        <f>(SUMIF(LandEmiss!$CN$20:$CN$119,$FG87,LandEmiss!$CV$20:$CV$119)+SUMIF(LandEmiss!$EY$9:$EY$108,$FG87,LandEmiss!$FG$9:$FG$108))*IFERROR($QV$5,0)*(2000/8760)</f>
        <v>0</v>
      </c>
      <c r="NX87" s="155">
        <f>IF(Tank4!$D$22="No control",(SUMIF(Tank4!$E$32:$E$141,$FG87,Tank4!$H$32:$H$141)*(2000/8760)*IFERROR($QV$6,0)),0)</f>
        <v>0</v>
      </c>
      <c r="NY87" s="156">
        <f>SUMIF(LandEmiss!$AE$20:$AE$119,$FG87,LandEmiss!$AN$20:$AN$119)*(2000/8760)*IFERROR($QV$6,0)</f>
        <v>0</v>
      </c>
      <c r="NZ87" s="156">
        <f>(SUMIF(LandEmiss!$CN$20:$CN$119,$FG87,LandEmiss!$CW$20:$CW$119)+SUMIF(LandEmiss!$EY$9:$EY$108,$FG87,LandEmiss!$FH$9:$FH$108))*IFERROR($QV$6,0)*(2000/8760)</f>
        <v>0</v>
      </c>
      <c r="OA87" s="155">
        <f>IF(Tank5!$D$22="No control",(SUMIF(Tank5!$E$32:$E$141,$FG87,Tank5!$H$32:$H$141)*(2000/8760)*IFERROR($QV$7,0)),0)</f>
        <v>0</v>
      </c>
      <c r="OB87" s="156">
        <f>SUMIF(LandEmiss!$AE$20:$AE$119,$FG87,LandEmiss!$AO$20:$AO$119)*(2000/8760)*IFERROR($QV$7,0)</f>
        <v>0</v>
      </c>
      <c r="OC87" s="156">
        <f>(SUMIF(LandEmiss!$CN$20:$CN$119,$FG87,LandEmiss!$CX$20:$CX$119)+SUMIF(LandEmiss!$EY$9:$EY$108,$FG87,LandEmiss!$FI$9:$FI$108))*IFERROR($QV$7,0)*(2000/8760)</f>
        <v>0</v>
      </c>
      <c r="OD87" s="155">
        <f>SUMIFS('Load-DrumTote'!$L$27:$L$136,'Load-DrumTote'!$F$27:$F$136,$FG87)*IFERROR($QV$8,0)*(2000/8760)</f>
        <v>0</v>
      </c>
      <c r="OE87" s="155">
        <f>SUMIFS('Load-Truck'!$L$27:$L$136,'Load-Truck'!$F$27:$F$136,$FG87)*IFERROR($QV$9,0)*(2000/8760)</f>
        <v>0</v>
      </c>
      <c r="OF87" s="155">
        <f>SUMIFS('Load-Rail'!$L$27:$L$136,'Load-Rail'!$F$27:$F$136,$FG87)*IFERROR($QV$10,0)*(2000/8760)</f>
        <v>0</v>
      </c>
      <c r="OG87" s="155">
        <f>SUMIFS('Load-MarineBarge'!$L$27:$L$136,'Load-MarineBarge'!$F$27:$F$136,$FG87)*IFERROR($QV$11,0)*(2000/8760)</f>
        <v>0</v>
      </c>
      <c r="OH87" s="155">
        <f>SUMIFS('Load-MarineShip'!$L$27:$L$136,'Load-MarineShip'!$F$27:$F$136,$FG87)*IFERROR($QV$12,0)*(2000/8760)</f>
        <v>0</v>
      </c>
      <c r="OI87" s="155">
        <f>(IF(OR(Flare!$D$24="FUEL GAS",Flare!$D$38="FUEL GAS"),SUMIF(Flare!$E$97:$E$106,$FG87,Flare!$G$97:$G$105),0)+SUMIF(Flare!$E$107:$E$216,$FG87,Flare!$G$107:$G$216))*(2000/8730)*IFERROR($QV$13,0)</f>
        <v>0</v>
      </c>
      <c r="OJ87" s="155">
        <f>SUMIF(LandEmiss!$A$335:$A$434,$FG87,LandEmiss!$C$335:$C$434)*(2000/8760)*IFERROR($QV$13,0)</f>
        <v>0</v>
      </c>
      <c r="OK87" s="155">
        <f>(SUMIF(LandEmiss!$BJ$335:$BJ$434,$FG87,LandEmiss!$BL$335:$BL$434)+SUMIF(LandEmiss!$DU$323:$DU$422,$FG87,LandEmiss!$DW$323:$DW$422))*(2000/8760)*IFERROR($QV$13,0)</f>
        <v>0</v>
      </c>
      <c r="OL87" s="155">
        <f>(IF(OR(VCU!$D$26="FUEL GAS",VCU!$D$42="FUEL GAS"),SUMIF(VCU!$E$120:$E$129,$FG87,VCU!$G$120:$G$129),0)+SUMIF(VCU!$E$130:$E$239,$FG87,VCU!G215:G324))*(2000/8760)*IFERROR($QV$14,0)</f>
        <v>0</v>
      </c>
      <c r="OM87" s="155">
        <f>SUMIF(LandEmiss!$A$335:$A$434,$FG87,LandEmiss!$E$335:$E$434)*(2000/8760)*IFERROR($QV$14,0)</f>
        <v>0</v>
      </c>
      <c r="ON87" s="155">
        <f>(SUMIF(LandEmiss!$BJ$335:$BJ$434,$FG87,LandEmiss!$BN$335:$BN$434)+SUMIF(LandEmiss!$DU$323:$DU$422,$FG87,LandEmiss!$DY$323:$DY$422))*(2000/8760)*IFERROR($QV$14,0)</f>
        <v>0</v>
      </c>
      <c r="OO87" s="155">
        <f>(IF(VaporOxidizer!$D$33="FUEL GAS",SUMIF(VaporOxidizer!$E$101:$E$110,$FG87,VaporOxidizer!$G$101:$G$110),0)+SUMIF(VaporOxidizer!$E$111:$E$220,$FG87,VaporOxidizer!$G$111:$G$220))*(2000/8760)*IFERROR($QV$15,0)</f>
        <v>0</v>
      </c>
      <c r="OP87" s="155">
        <f>SUMIF(LandEmiss!$A$335:$A$434,$FG87,LandEmiss!$G$335:$G$434)*(2000/8760)*IFERROR($QV$15,0)</f>
        <v>0</v>
      </c>
      <c r="OQ87" s="155">
        <f>(SUMIF(LandEmiss!$BJ$335:$BJ$434,$FG87,LandEmiss!$BP$335:$BP$434)+SUMIF(LandEmiss!$DU$323:$DU$422,$FG87,LandEmiss!$EA$323:$EA$422))*(2000/8760)*IFERROR($QV$15,0)</f>
        <v>0</v>
      </c>
      <c r="OR87" s="155">
        <f>SUMIF(CAS!$E$35:$E$144,Hidden!$FG87,CAS!$I$35:$I$144)*IFERROR($QV$16,0)*(2000/8760)</f>
        <v>0</v>
      </c>
      <c r="OS87" s="155">
        <f>SUMIF(LandEmiss!$A$335:$A$434,$FG87,LandEmiss!$I$335:$I$434)*(2000/8760)*IFERROR($QV$27,0)</f>
        <v>0</v>
      </c>
      <c r="OT87" s="155">
        <f>(SUMIF(LandEmiss!$BJ$335:$BJ$434,$FG87,LandEmiss!$BR$335:$BR$434)+SUMIF(LandEmiss!$DU$323:$DU$422,$FG87,LandEmiss!$EC$323:$EC$422))*(2000/8760)*IFERROR($QV$27,0)</f>
        <v>0</v>
      </c>
      <c r="OU87" s="155">
        <f>SUMIF(LandEmiss!$A$335:$A$434,$FG87,LandEmiss!$K$335:$K$434)*(2000/8760)*IFERROR($QV$26,0)</f>
        <v>0</v>
      </c>
      <c r="OV87" s="155">
        <f>(SUMIF(LandEmiss!$BJ$335:$BJ$434,$FG87,LandEmiss!$BT$335:$BT$434)+SUMIF(LandEmiss!$DU$323:$DU$422,$FG87,LandEmiss!$EE$323:$EE$422))*(2000/8760)*IFERROR($QV$26,0)</f>
        <v>0</v>
      </c>
      <c r="OW87" s="155">
        <f>SUMIF(LandEmiss!$A$335:$A$434,$FG87,LandEmiss!$M$335:$M$434)*(2000/8760)*IFERROR($QV$25,0)</f>
        <v>0</v>
      </c>
      <c r="OX87" s="155">
        <f>(SUMIF(LandEmiss!$BJ$335:$BJ$434,$FG87,LandEmiss!$BV$335:$BV$434)+SUMIF(LandEmiss!$DU$323:$DU$422,$FG87,LandEmiss!$EG$323:$EG$422))*(2000/8760)*IFERROR($QV$25,0)</f>
        <v>0</v>
      </c>
      <c r="OY87" s="8">
        <v>0</v>
      </c>
      <c r="OZ87" s="207">
        <v>0</v>
      </c>
      <c r="PA87" s="207">
        <f>IF(OR(HeaterBoiler1!$E$26&lt;&gt;"fuel gas",HeaterBoiler1!$E$15&lt;&gt;"heater"),0,(SUMIF(HeaterBoiler1!$A$54:$D$63,$FG87,HeaterBoiler1!$J$54:$J$63))*(2000/8760))*IFERROR($QV$19,0)</f>
        <v>0</v>
      </c>
      <c r="PB87" s="207">
        <f>IF(OR(HeaterBoiler2!$E$26&lt;&gt;"fuel gas",HeaterBoiler2!$E$15&lt;&gt;"heater"),0,(SUMIF(HeaterBoiler2!$A$54:$D$63,$FG87,HeaterBoiler2!$J$54:$J$63))*(2000/8760))*IFERROR($QV$21,0)</f>
        <v>0</v>
      </c>
      <c r="PC87" s="207">
        <f>IF(OR(HeaterBoiler1!$E$26&lt;&gt;"fuel gas",HeaterBoiler1!$E$15&lt;&gt;"boiler"),0,(SUMIF(HeaterBoiler1!$A$54:$D$63,$FG87,HeaterBoiler1!$J$54:$J$63))*(2000/8760))*IFERROR($QV$20,0)</f>
        <v>0</v>
      </c>
      <c r="PD87" s="207">
        <f>IF(OR(HeaterBoiler2!$E$26&lt;&gt;"fuel gas",HeaterBoiler2!$E$15&lt;&gt;"boiler"),0,(SUMIF(HeaterBoiler2!$A$54:$D$63,$FG87,HeaterBoiler2!$J$54:$J$63))*(2000/8760))*IFERROR($QV$22,0)</f>
        <v>0</v>
      </c>
      <c r="PE87" s="8">
        <f>(SUMIF(Fug!$A$96:$A$205,$FG87,Fug!$J$96:$J$205))*IFERROR($QV$23,0)*(2000/8760)</f>
        <v>0</v>
      </c>
      <c r="PF87" s="8">
        <f t="shared" si="53"/>
        <v>0</v>
      </c>
      <c r="PG87" s="156">
        <f t="shared" si="54"/>
        <v>0</v>
      </c>
      <c r="QX87" s="89" t="s">
        <v>9332</v>
      </c>
      <c r="QY87">
        <v>76.819999999999993</v>
      </c>
      <c r="QZ87">
        <v>76.819999999999993</v>
      </c>
      <c r="RA87">
        <v>72.680000000000007</v>
      </c>
      <c r="RB87">
        <v>40.200000000000003</v>
      </c>
      <c r="RC87">
        <v>25.87</v>
      </c>
      <c r="RD87">
        <v>18.93</v>
      </c>
      <c r="RE87">
        <v>14.75</v>
      </c>
      <c r="RF87">
        <v>9.1199999999999992</v>
      </c>
      <c r="RG87" s="90">
        <v>6.44</v>
      </c>
      <c r="RH87" s="89" t="s">
        <v>9332</v>
      </c>
      <c r="RI87">
        <v>68.02</v>
      </c>
      <c r="RJ87">
        <v>68.02</v>
      </c>
      <c r="RK87">
        <v>68.02</v>
      </c>
      <c r="RL87">
        <v>39.909999999999997</v>
      </c>
      <c r="RM87">
        <v>25.74</v>
      </c>
      <c r="RN87">
        <v>18.829999999999998</v>
      </c>
      <c r="RO87">
        <v>14.6</v>
      </c>
      <c r="RP87">
        <v>8.9</v>
      </c>
      <c r="RQ87" s="90">
        <v>6.36</v>
      </c>
      <c r="RR87" s="89" t="s">
        <v>9332</v>
      </c>
      <c r="RS87">
        <v>61.88</v>
      </c>
      <c r="RT87">
        <v>61.88</v>
      </c>
      <c r="RU87">
        <v>61.88</v>
      </c>
      <c r="RV87">
        <v>38.659999999999997</v>
      </c>
      <c r="RW87">
        <v>25</v>
      </c>
      <c r="RX87">
        <v>18.14</v>
      </c>
      <c r="RY87">
        <v>14.04</v>
      </c>
      <c r="RZ87">
        <v>8.5500000000000007</v>
      </c>
      <c r="SA87" s="90">
        <v>6.05</v>
      </c>
      <c r="SB87" s="89" t="s">
        <v>9332</v>
      </c>
      <c r="SC87">
        <v>44.16</v>
      </c>
      <c r="SD87">
        <v>44.16</v>
      </c>
      <c r="SE87">
        <v>44.16</v>
      </c>
      <c r="SF87">
        <v>31.91</v>
      </c>
      <c r="SG87">
        <v>20.53</v>
      </c>
      <c r="SH87">
        <v>14.32</v>
      </c>
      <c r="SI87">
        <v>10.3</v>
      </c>
      <c r="SJ87">
        <v>5.96</v>
      </c>
      <c r="SK87" s="90">
        <v>4.47</v>
      </c>
      <c r="SL87" s="89" t="s">
        <v>9332</v>
      </c>
      <c r="SM87">
        <v>4.8499999999999996</v>
      </c>
      <c r="SN87">
        <v>4.8499999999999996</v>
      </c>
      <c r="SO87">
        <v>4.8499999999999996</v>
      </c>
      <c r="SP87">
        <v>4.76</v>
      </c>
      <c r="SQ87">
        <v>4.03</v>
      </c>
      <c r="SR87">
        <v>3.11</v>
      </c>
      <c r="SS87">
        <v>2.4900000000000002</v>
      </c>
      <c r="ST87">
        <v>1.47</v>
      </c>
      <c r="SU87" s="90">
        <v>0.99</v>
      </c>
    </row>
    <row r="88" spans="23:515" ht="74.25" customHeight="1" x14ac:dyDescent="0.2">
      <c r="W88">
        <f>IF(OR(X88=0,ISNUMBER(MATCH(X88,$X$1:X87,0))),0,MAX($W$1:W87)+1)</f>
        <v>0</v>
      </c>
      <c r="X88" s="123">
        <f>Products!$E135</f>
        <v>0</v>
      </c>
      <c r="Y88" t="str">
        <f t="shared" si="42"/>
        <v/>
      </c>
      <c r="CA88">
        <f>IF(OR(CB88=0,ISNUMBER(MATCH(CB88,$CB$1:CB87,0))),0,MAX($CA$1:CA87)+1)</f>
        <v>0</v>
      </c>
      <c r="CB88" s="8">
        <f>IF(OR(Tank1!$D$18="EXTERNAL FLOATING ROOF",Tank1!$D$18="INTERNAL FLOATING ROOF"),IF(Tank1!$E118="",0,Tank1!$E118),0)</f>
        <v>0</v>
      </c>
      <c r="CC88" s="8" t="str">
        <f t="shared" si="43"/>
        <v/>
      </c>
      <c r="CD88" s="8"/>
      <c r="CE88" s="8">
        <f>IF(OR(CF88=0,ISNUMBER(MATCH(CF88,$CF$1:CF87,0))),0,MAX($CE$1:CE87)+1)</f>
        <v>0</v>
      </c>
      <c r="CF88" s="8">
        <f>IF(OR(Tank1!$D$18="HORIZONTAL FIXED ROOF",Tank1!$D$18="VERTICAL FIXED ROOF"),IF(Tank1!$E118="",0,Tank1!$E118),0)</f>
        <v>0</v>
      </c>
      <c r="CG88" s="8" t="str">
        <f t="shared" si="44"/>
        <v/>
      </c>
      <c r="DM88">
        <f>IF(OR(DN88=0,ISNUMBER(MATCH(DN88,$DN$1:DN87,0))),0,MAX($DM$1:DM87)+1)</f>
        <v>0</v>
      </c>
      <c r="DN88">
        <f>IF('Load-MarineBarge'!$F$19="Flare",IFERROR(VLOOKUP(Products!$A$119,'Load-MarineBarge'!$A$27:$B$136,1,FALSE),0),0)</f>
        <v>0</v>
      </c>
      <c r="DO88">
        <f>IF($DN88=0,0,VLOOKUP($DN88,'Load-MarineBarge'!$A$27:$N$136,13,FALSE))</f>
        <v>0</v>
      </c>
      <c r="DP88">
        <f>IF($DN88=0,0,VLOOKUP($DN88,'Load-MarineBarge'!$A$27:$N$136,14,FALSE))</f>
        <v>0</v>
      </c>
      <c r="DU88">
        <f>IF(OR(DV88=0,ISNUMBER(MATCH(DV88,$DV$1:DV87,0))),0,MAX($DU$1:DU87)+1)</f>
        <v>0</v>
      </c>
      <c r="DV88">
        <f>IF('Load-MarineBarge'!$F$19="VCU",IFERROR(VLOOKUP(Products!$A$119,'Load-MarineBarge'!$A$27:$B$136,1,FALSE),0),0)</f>
        <v>0</v>
      </c>
      <c r="DW88">
        <f>IF($DV88=0,0,VLOOKUP($DV88,'Load-MarineBarge'!$A$27:$N$136,13,FALSE))</f>
        <v>0</v>
      </c>
      <c r="DX88">
        <f>IF($DV88=0,0,VLOOKUP($DV88,'Load-MarineBarge'!$A$27:$N$136,14,FALSE))</f>
        <v>0</v>
      </c>
      <c r="EC88">
        <f>IF(OR(ED88=0,ISNUMBER(MATCH(ED88,$ED$1:ED87,0))),0,MAX($EC$1:EC87)+1)</f>
        <v>0</v>
      </c>
      <c r="ED88">
        <f>IF('Load-MarineBarge'!$F$19="vapor oxidizer",IFERROR(VLOOKUP(Products!$A$119,'Load-MarineBarge'!$A$27:$B$136,1,FALSE),0),0)</f>
        <v>0</v>
      </c>
      <c r="EE88">
        <f>IF($ED88=0,0,VLOOKUP($ED88,'Load-MarineBarge'!$A$27:$N$136,13,FALSE))</f>
        <v>0</v>
      </c>
      <c r="EF88">
        <f>IF($ED88=0,0,VLOOKUP($ED88,'Load-MarineBarge'!$A$27:$N$136,14,FALSE))</f>
        <v>0</v>
      </c>
      <c r="EK88">
        <f>IF(OR(EL88=0,ISNUMBER(MATCH(EL88,$EL$1:EL87,0))),0,MAX($EK$1:EK87)+1)</f>
        <v>0</v>
      </c>
      <c r="EL88">
        <f>IF('Load-MarineBarge'!$F$19="CAS",IFERROR(VLOOKUP(Products!A119,'Load-MarineBarge'!$A$27:$B$136,1,FALSE),0),0)</f>
        <v>0</v>
      </c>
      <c r="EM88">
        <f>IF($EL88=0,0,VLOOKUP($EL88,'Load-MarineBarge'!$A$27:$N$136,13,FALSE))</f>
        <v>0</v>
      </c>
      <c r="EN88">
        <f>IF($EL88=0,0,VLOOKUP($EL88,'Load-MarineBarge'!$A$27:$N$136,14,FALSE))</f>
        <v>0</v>
      </c>
      <c r="FB88" s="8" t="s">
        <v>520</v>
      </c>
      <c r="FC88" s="8" t="s">
        <v>521</v>
      </c>
      <c r="FD88" s="8">
        <v>10000</v>
      </c>
      <c r="FE88" s="8">
        <v>1000</v>
      </c>
      <c r="FG88" s="360" t="str">
        <f t="shared" si="45"/>
        <v/>
      </c>
      <c r="FH88" s="155">
        <f>IF(Tank1!$D$22="NO CONTROL",_xlfn.MAXIFS(Tank1!$G$32:$G$141,Tank1!$E$32:$E$141,$FG88),0)*IFERROR($QR$3,0)</f>
        <v>0</v>
      </c>
      <c r="FI88" s="155">
        <f>_xlfn.MAXIFS(LandEmiss!$AF$20:$AF$119,LandEmiss!$AE$20:$AE$119,$FG88)*IFERROR($QR$3,0)</f>
        <v>0</v>
      </c>
      <c r="FJ88" s="155">
        <f>MAX(_xlfn.MAXIFS(LandEmiss!$CO$20:$CO$119,LandEmiss!$CN$20:$CN$119,$FG88),_xlfn.MAXIFS(LandEmiss!$EZ$9:$EZ$108,LandEmiss!$EY$9:$EY$108,$FG88))*IFERROR($QR$3,0)</f>
        <v>0</v>
      </c>
      <c r="FK88" s="155">
        <f>IF(Tank2!$D$22="NO CONTROL",_xlfn.MAXIFS(Tank2!$G$32:$G$141,Tank2!$E$32:$E$141,$FG88),0)*IFERROR($QR$4,0)</f>
        <v>0</v>
      </c>
      <c r="FL88" s="155">
        <f>_xlfn.MAXIFS(LandEmiss!$AG$20:$AG$119,LandEmiss!$AE$20:$AE$119,$FG88)*IFERROR($QR$4,0)</f>
        <v>0</v>
      </c>
      <c r="FM88" s="155">
        <f>MAX(_xlfn.MAXIFS(LandEmiss!$CP$20:$CP$119,LandEmiss!$CN$20:$CN$119,$FG88),_xlfn.MAXIFS(LandEmiss!$FA$9:$FA$108,LandEmiss!$EY$9:$EY$108,$FG88))*IFERROR($QR$4,0)</f>
        <v>0</v>
      </c>
      <c r="FN88" s="155">
        <f>IF(Tank3!$D$22="NO CONTROL",_xlfn.MAXIFS(Tank3!$G$32:$G$141,Tank3!$E$32:$E$141,$FG88),0)*IFERROR($QR$5,0)</f>
        <v>0</v>
      </c>
      <c r="FO88" s="155">
        <f>_xlfn.MAXIFS(LandEmiss!$AH$20:$AH$119,LandEmiss!$AE$20:$AE$119,$FG88)*IFERROR($QR$5,0)</f>
        <v>0</v>
      </c>
      <c r="FP88" s="155">
        <f>MAX(_xlfn.MAXIFS(LandEmiss!$CQ$20:$CQ$119,LandEmiss!$CN$20:$CN$119,$FG88),_xlfn.MAXIFS(LandEmiss!$FB$9:$FB$108,LandEmiss!$EY$9:$EY$108,$FG88))*IFERROR($QR$5,0)</f>
        <v>0</v>
      </c>
      <c r="FQ88" s="155">
        <f>IF(Tank4!$D$22="NO CONTROL",_xlfn.MAXIFS(Tank4!$G$32:$G$141,Tank4!$E$32:$E$141,$FG88),0)*IFERROR($QR$6,0)</f>
        <v>0</v>
      </c>
      <c r="FR88" s="155">
        <f>_xlfn.MAXIFS(LandEmiss!$AI$20:$AI$119,LandEmiss!$AE$20:$AE$119,$FG88)*IFERROR($QR$6,0)</f>
        <v>0</v>
      </c>
      <c r="FS88" s="155">
        <f>MAX(_xlfn.MAXIFS(LandEmiss!$CR$20:$CR$119,LandEmiss!$CN$20:$CN$119,$FG88),_xlfn.MAXIFS(LandEmiss!$FC$9:$FC$108,LandEmiss!$EY$9:$EY$108,$FG88))*IFERROR($QR$6,0)</f>
        <v>0</v>
      </c>
      <c r="FT88" s="155">
        <f>IF(Tank5!$D$22="NO CONTROL",_xlfn.MAXIFS(Tank5!$G$32:$G$141,Tank5!$E$32:$E$141,$FG88),0)*IFERROR($QR$7,0)</f>
        <v>0</v>
      </c>
      <c r="FU88" s="155">
        <f>_xlfn.MAXIFS(LandEmiss!$AJ$20:$AJ$119,LandEmiss!$AE$20:$AE$119,$FG88)*IFERROR($QR$7,0)</f>
        <v>0</v>
      </c>
      <c r="FV88" s="155">
        <f>MAX(_xlfn.MAXIFS(LandEmiss!$CS$20:$CS$119,LandEmiss!$CN$20:$CN$119,$FG88),_xlfn.MAXIFS(LandEmiss!$FD$9:$FD$108,LandEmiss!$EY$9:$EY$108,$FG88))*IFERROR($QR93,0)</f>
        <v>0</v>
      </c>
      <c r="FW88" s="155">
        <f>_xlfn.MAXIFS('Load-DrumTote'!$K$27:$K$136,'Load-DrumTote'!$F$27:$F$136,$FG88)*IFERROR($QR$8,0)</f>
        <v>0</v>
      </c>
      <c r="FX88" s="155">
        <f>_xlfn.MAXIFS('Load-Truck'!$K$27:$K$136,'Load-Truck'!$F$27:$F$136,$FG88)*IFERROR($QR$9,0)</f>
        <v>0</v>
      </c>
      <c r="FY88" s="155">
        <f>_xlfn.MAXIFS('Load-Rail'!$K$27:$K$136,'Load-Rail'!$F$27:$F$136,$FG88)*IFERROR($QR$10,0)</f>
        <v>0</v>
      </c>
      <c r="FZ88" s="155">
        <f>_xlfn.MAXIFS('Load-MarineBarge'!$K$27:$K$136,'Load-MarineBarge'!$F$27:$F$136,$FG88)*IFERROR($QR$11,0)</f>
        <v>0</v>
      </c>
      <c r="GA88" s="155">
        <f>_xlfn.MAXIFS('Load-MarineShip'!$K$27:$K$136,'Load-MarineShip'!$F$27:$F$136,$FG88)*IFERROR($QR$12,0)</f>
        <v>0</v>
      </c>
      <c r="GB88" s="313">
        <f>IF(OR(Flare!$D$24="fuel gas",Flare!$D$38="fuel gas"),SUMIF(Flare!$E$97:$E$106,$FG88,Flare!$F$97:$F$106),0)*IFERROR($QR$13,0)</f>
        <v>0</v>
      </c>
      <c r="GC88" s="313">
        <f>(_xlfn.MAXIFS(CtrlDevImpacts!$I$57:$I$156,CtrlDevImpacts!$H$57:$H$156,$FG88))*IFERROR($QR$13,0)</f>
        <v>0</v>
      </c>
      <c r="GD88" s="313">
        <f>(_xlfn.MAXIFS(Flare!$F$107:$F$216,Flare!$E$107:$E$216,$FG88)-_xlfn.MAXIFS(CtrlDevImpacts!$I$57:$I$156,CtrlDevImpacts!$H$57:$H$156,$FG88))*IFERROR($QR$13,0)</f>
        <v>0</v>
      </c>
      <c r="GE88" s="155">
        <f>_xlfn.MAXIFS(LandEmiss!$B$335:$B$434,LandEmiss!$A$335:$A$434,$FG88)*IFERROR($QR$13,0)</f>
        <v>0</v>
      </c>
      <c r="GF88" s="155">
        <f>(_xlfn.MAXIFS(LandEmiss!$BK$335:$BK$434,LandEmiss!$BJ$335:$BJ$434,$FG88)+_xlfn.MAXIFS(LandEmiss!$DV$323:$DV$422,LandEmiss!$DU$323:$DU$422,$FG88))*IFERROR($QR$13,0)</f>
        <v>0</v>
      </c>
      <c r="GG88" s="313">
        <f>IF(OR(VCU!$D$26="fuel gas",VCU!$D$42="fuel gas"),SUMIF(VCU!$E$120:$E$129,$FG88,VCU!$F$120:$F$129),0)*IFERROR($QR$14,0)</f>
        <v>0</v>
      </c>
      <c r="GH88" s="313">
        <f>(_xlfn.MAXIFS(CtrlDevImpacts!$X$57:$X$156,CtrlDevImpacts!$W$57:$W$156,$FG88))*IFERROR($QR$14,0)</f>
        <v>0</v>
      </c>
      <c r="GI88" s="313">
        <f>(_xlfn.MAXIFS(VCU!$F$130:$F$239,VCU!$E$130:$E$239,$FG88)-_xlfn.MAXIFS(CtrlDevImpacts!$X$57:$X$156,CtrlDevImpacts!$W$57:$W$156,$FG88))*IFERROR($QR$14,0)</f>
        <v>0</v>
      </c>
      <c r="GJ88" s="155">
        <f>_xlfn.MAXIFS(LandEmiss!$D$335:$D$434,LandEmiss!$A$335:$A$434,$FG88)*IFERROR($QR$14,0)</f>
        <v>0</v>
      </c>
      <c r="GK88" s="155">
        <f>(_xlfn.MAXIFS(LandEmiss!$BM$335:$BM$434,LandEmiss!$BJ$335:$BJ$434,$FG88)+_xlfn.MAXIFS(LandEmiss!$DX$323:$DX$422,LandEmiss!$DU$323:$DU$422,$FG88))*IFERROR($QR$14,0)</f>
        <v>0</v>
      </c>
      <c r="GL88" s="313">
        <f>IF(VaporOxidizer!D119="FUEL GAS",SUMIF(VaporOxidizer!$E$101:$E$110,$FG88,VaporOxidizer!$F$101:$F$110),0)*IFERROR($QR$15,0)</f>
        <v>0</v>
      </c>
      <c r="GM88" s="313">
        <f>(_xlfn.MAXIFS(CtrlDevImpacts!$AN$57:$AN$156,CtrlDevImpacts!$AM$57:$AM$156,$FG88))*IFERROR($QR$15,0)</f>
        <v>0</v>
      </c>
      <c r="GN88" s="313">
        <f>(_xlfn.MAXIFS(VaporOxidizer!$F$111:$F$220,VaporOxidizer!$E$111:$E$220,$FG88)-_xlfn.MAXIFS(CtrlDevImpacts!$AN$57:$AN$156,CtrlDevImpacts!$AM$57:$AM$156,$FG88))*IFERROR($QR$15,0)</f>
        <v>0</v>
      </c>
      <c r="GO88" s="155">
        <f>_xlfn.MAXIFS(LandEmiss!$F$335:$F$434,LandEmiss!$A$335:$A$434,$FG88)*IFERROR($QR$15,0)</f>
        <v>0</v>
      </c>
      <c r="GP88" s="155">
        <f>(_xlfn.MAXIFS(LandEmiss!$BK$335:$BK$434,LandEmiss!$BO$335:$BO$434,$FG88)+_xlfn.MAXIFS(LandEmiss!$DZ$323:$DZ$422,LandEmiss!$DU$323:$DU$422,$FG88))*IFERROR($QR$15,0)</f>
        <v>0</v>
      </c>
      <c r="GQ88" s="313">
        <f>_xlfn.MAXIFS(CtrlDevImpacts!$BD$57:$BD$156,CtrlDevImpacts!$BC$57:$BC$156,$FG88)*IFERROR(Hidden!$QR$16,0)</f>
        <v>0</v>
      </c>
      <c r="GR88" s="313">
        <f>(_xlfn.MAXIFS(CAS!$H$35:$H$144,CAS!$E$35:$E$144,$FG88)-_xlfn.MAXIFS(CtrlDevImpacts!$BD$57:$BD$156,CtrlDevImpacts!$BC$57:$BC$156,$FG88))*IFERROR(Hidden!$QR$16,0)</f>
        <v>0</v>
      </c>
      <c r="GS88" s="155">
        <f>_xlfn.MAXIFS(LandEmiss!$H$335:$H$434,LandEmiss!$A$335:$A$434,$FG88)*IFERROR($QR$27,0)</f>
        <v>0</v>
      </c>
      <c r="GT88" s="155">
        <f>(_xlfn.MAXIFS(LandEmiss!$BK$335:$BK$434,LandEmiss!$BQ$335:$BQ$434,$FG88)+_xlfn.MAXIFS(LandEmiss!$EB$323:$EB$422,LandEmiss!$DU$323:$DU$422,$FG88))*IFERROR($QR$27,0)</f>
        <v>0</v>
      </c>
      <c r="GU88" s="155">
        <f>_xlfn.MAXIFS(LandEmiss!$J$335:$J$434,LandEmiss!$A$335:$A$434,$FG88)*IFERROR($QR$26,0)</f>
        <v>0</v>
      </c>
      <c r="GV88" s="155">
        <f>(_xlfn.MAXIFS(LandEmiss!$BK$335:$BK$434,LandEmiss!$BS$335:$BS$434,$FG88)+_xlfn.MAXIFS(LandEmiss!$ED$323:$ED$422,LandEmiss!$DU$323:$DU$422,$FG88))*IFERROR($QR$26,0)</f>
        <v>0</v>
      </c>
      <c r="GW88" s="155">
        <f>_xlfn.MAXIFS(LandEmiss!$L$335:$L$434,LandEmiss!$A$335:$A$434,$FG88)*IFERROR($QR$25,0)</f>
        <v>0</v>
      </c>
      <c r="GX88" s="155">
        <f>(_xlfn.MAXIFS(LandEmiss!$BK$335:$BK$434,LandEmiss!$BU$335:$BU$434,$FG88)+_xlfn.MAXIFS(LandEmiss!$EF$323:$EF$422,LandEmiss!$DU$323:$DU$422,$FG88))*IFERROR($QR$25,0)</f>
        <v>0</v>
      </c>
      <c r="GY88" s="155">
        <v>0</v>
      </c>
      <c r="GZ88" s="155">
        <v>0</v>
      </c>
      <c r="HA88" s="155">
        <f>IF(OR(HeaterBoiler1!$E$26&lt;&gt;"fuel gas",HeaterBoiler1!$E$15&lt;&gt;"heater"),0,SUMIF(HeaterBoiler1!$A$54:$D$63,$FG88,HeaterBoiler1!$I$54:$I$63))*IFERROR($QR$19,0)</f>
        <v>0</v>
      </c>
      <c r="HB88" s="207">
        <f>IF(OR(HeaterBoiler2!$E$26&lt;&gt;"fuel gas",HeaterBoiler2!$E$15&lt;&gt;"heater"),0,SUMIF(HeaterBoiler2!$A$54:$D$63,$FG88,HeaterBoiler2!$I$54:$I$63))*IFERROR($QR$21,0)</f>
        <v>0</v>
      </c>
      <c r="HC88" s="155">
        <f>IF(OR(HeaterBoiler1!$E$26&lt;&gt;"fuel gas",HeaterBoiler1!$E$15&lt;&gt;"boiler"),0,SUMIF(HeaterBoiler1!$A$41:$A$50,$FG88,HeaterBoiler1!$F$41:$F$50))*IFERROR($QR$20,0)</f>
        <v>0</v>
      </c>
      <c r="HD88" s="207">
        <f>IF(OR(HeaterBoiler2!$E$26&lt;&gt;"fuel gas",HeaterBoiler2!$E$15&lt;&gt;"boiler"),0,SUMIF(HeaterBoiler2!$A$41:$A$50,$FG88,HeaterBoiler2!$F$41:$F$50))*IFERROR($QR$22,0)</f>
        <v>0</v>
      </c>
      <c r="HE88" s="155">
        <f>SUMIF(Fug!$A$96:$A$205,$FG88,Fug!$I$96:$I$205)*IFERROR(Hidden!$QR$23,0)</f>
        <v>0</v>
      </c>
      <c r="HF88" s="155">
        <f t="shared" si="46"/>
        <v>0</v>
      </c>
      <c r="HG88" s="156">
        <f t="shared" si="47"/>
        <v>0</v>
      </c>
      <c r="HH88" s="156">
        <f t="shared" si="48"/>
        <v>0</v>
      </c>
      <c r="HI88" s="156">
        <f t="shared" si="49"/>
        <v>0</v>
      </c>
      <c r="HJ88" s="156">
        <f t="shared" si="50"/>
        <v>0</v>
      </c>
      <c r="HK88" s="156">
        <f t="shared" si="51"/>
        <v>0</v>
      </c>
      <c r="HL88" s="156">
        <f t="shared" si="52"/>
        <v>0</v>
      </c>
      <c r="NO88" s="155">
        <f>IF(Tank1!$D$22="No control",(SUMIF(Tank1!$E$32:$E$141,$FG88,Tank1!$H$32:$H$141)*(2000/8760)*IFERROR($QV$3,0)),0)</f>
        <v>0</v>
      </c>
      <c r="NP88" s="156">
        <f>SUMIF(LandEmiss!$AE$20:$AE$119,$FG88,LandEmiss!$AK$20:$AK$119)*(2000/8760)*IFERROR($QV$3,0)</f>
        <v>0</v>
      </c>
      <c r="NQ88" s="156">
        <f>(SUMIF(LandEmiss!$CN$20:$CN$119,$FG88,LandEmiss!$CT$20:$CT$119)+SUMIF(LandEmiss!$EY$9:$EY$108,$FG88,LandEmiss!$FE$9:$FE$108))*IFERROR($QV$3,0)*(2000/8760)</f>
        <v>0</v>
      </c>
      <c r="NR88" s="155">
        <f>IF(Tank2!$D$22="No control",(SUMIF(Tank2!$E$32:$E$141,$FG88,Tank2!$H$32:$H$141)*(2000/8760)*IFERROR($QV$4,0)),0)</f>
        <v>0</v>
      </c>
      <c r="NS88" s="156">
        <f>SUMIF(LandEmiss!$AE$20:$AE$119,$FG88,LandEmiss!$AL$20:$AL$119)*(2000/8760)*IFERROR($QV$4,0)</f>
        <v>0</v>
      </c>
      <c r="NT88" s="156">
        <f>(SUMIF(LandEmiss!$CN$20:$CN$119,$FG88,LandEmiss!$CU$20:$CU$119)+SUMIF(LandEmiss!$EY$9:$EY$108,$FG88,LandEmiss!$FF$9:$FF$108))*IFERROR($QV$4,0)*(2000/8760)</f>
        <v>0</v>
      </c>
      <c r="NU88" s="155">
        <f>IF(Tank3!$D$22="No control",(SUMIF(Tank3!$E$32:$E$141,$FG88,Tank3!$H$32:$H$141)*(2000/8760)*IFERROR($QV$5,0)),0)</f>
        <v>0</v>
      </c>
      <c r="NV88" s="156">
        <f>SUMIF(LandEmiss!$AE$20:$AE$119,$FG88,LandEmiss!$AM$20:$AM$119)*(2000/8760)*IFERROR($QV$5,0)</f>
        <v>0</v>
      </c>
      <c r="NW88" s="156">
        <f>(SUMIF(LandEmiss!$CN$20:$CN$119,$FG88,LandEmiss!$CV$20:$CV$119)+SUMIF(LandEmiss!$EY$9:$EY$108,$FG88,LandEmiss!$FG$9:$FG$108))*IFERROR($QV$5,0)*(2000/8760)</f>
        <v>0</v>
      </c>
      <c r="NX88" s="155">
        <f>IF(Tank4!$D$22="No control",(SUMIF(Tank4!$E$32:$E$141,$FG88,Tank4!$H$32:$H$141)*(2000/8760)*IFERROR($QV$6,0)),0)</f>
        <v>0</v>
      </c>
      <c r="NY88" s="156">
        <f>SUMIF(LandEmiss!$AE$20:$AE$119,$FG88,LandEmiss!$AN$20:$AN$119)*(2000/8760)*IFERROR($QV$6,0)</f>
        <v>0</v>
      </c>
      <c r="NZ88" s="156">
        <f>(SUMIF(LandEmiss!$CN$20:$CN$119,$FG88,LandEmiss!$CW$20:$CW$119)+SUMIF(LandEmiss!$EY$9:$EY$108,$FG88,LandEmiss!$FH$9:$FH$108))*IFERROR($QV$6,0)*(2000/8760)</f>
        <v>0</v>
      </c>
      <c r="OA88" s="155">
        <f>IF(Tank5!$D$22="No control",(SUMIF(Tank5!$E$32:$E$141,$FG88,Tank5!$H$32:$H$141)*(2000/8760)*IFERROR($QV$7,0)),0)</f>
        <v>0</v>
      </c>
      <c r="OB88" s="156">
        <f>SUMIF(LandEmiss!$AE$20:$AE$119,$FG88,LandEmiss!$AO$20:$AO$119)*(2000/8760)*IFERROR($QV$7,0)</f>
        <v>0</v>
      </c>
      <c r="OC88" s="156">
        <f>(SUMIF(LandEmiss!$CN$20:$CN$119,$FG88,LandEmiss!$CX$20:$CX$119)+SUMIF(LandEmiss!$EY$9:$EY$108,$FG88,LandEmiss!$FI$9:$FI$108))*IFERROR($QV$7,0)*(2000/8760)</f>
        <v>0</v>
      </c>
      <c r="OD88" s="155">
        <f>SUMIFS('Load-DrumTote'!$L$27:$L$136,'Load-DrumTote'!$F$27:$F$136,$FG88)*IFERROR($QV$8,0)*(2000/8760)</f>
        <v>0</v>
      </c>
      <c r="OE88" s="155">
        <f>SUMIFS('Load-Truck'!$L$27:$L$136,'Load-Truck'!$F$27:$F$136,$FG88)*IFERROR($QV$9,0)*(2000/8760)</f>
        <v>0</v>
      </c>
      <c r="OF88" s="155">
        <f>SUMIFS('Load-Rail'!$L$27:$L$136,'Load-Rail'!$F$27:$F$136,$FG88)*IFERROR($QV$10,0)*(2000/8760)</f>
        <v>0</v>
      </c>
      <c r="OG88" s="155">
        <f>SUMIFS('Load-MarineBarge'!$L$27:$L$136,'Load-MarineBarge'!$F$27:$F$136,$FG88)*IFERROR($QV$11,0)*(2000/8760)</f>
        <v>0</v>
      </c>
      <c r="OH88" s="155">
        <f>SUMIFS('Load-MarineShip'!$L$27:$L$136,'Load-MarineShip'!$F$27:$F$136,$FG88)*IFERROR($QV$12,0)*(2000/8760)</f>
        <v>0</v>
      </c>
      <c r="OI88" s="155">
        <f>(IF(OR(Flare!$D$24="FUEL GAS",Flare!$D$38="FUEL GAS"),SUMIF(Flare!$E$97:$E$106,$FG88,Flare!$G$97:$G$105),0)+SUMIF(Flare!$E$107:$E$216,$FG88,Flare!$G$107:$G$216))*(2000/8730)*IFERROR($QV$13,0)</f>
        <v>0</v>
      </c>
      <c r="OJ88" s="155">
        <f>SUMIF(LandEmiss!$A$335:$A$434,$FG88,LandEmiss!$C$335:$C$434)*(2000/8760)*IFERROR($QV$13,0)</f>
        <v>0</v>
      </c>
      <c r="OK88" s="155">
        <f>(SUMIF(LandEmiss!$BJ$335:$BJ$434,$FG88,LandEmiss!$BL$335:$BL$434)+SUMIF(LandEmiss!$DU$323:$DU$422,$FG88,LandEmiss!$DW$323:$DW$422))*(2000/8760)*IFERROR($QV$13,0)</f>
        <v>0</v>
      </c>
      <c r="OL88" s="155">
        <f>(IF(OR(VCU!$D$26="FUEL GAS",VCU!$D$42="FUEL GAS"),SUMIF(VCU!$E$120:$E$129,$FG88,VCU!$G$120:$G$129),0)+SUMIF(VCU!$E$130:$E$239,$FG88,VCU!G216:G325))*(2000/8760)*IFERROR($QV$14,0)</f>
        <v>0</v>
      </c>
      <c r="OM88" s="155">
        <f>SUMIF(LandEmiss!$A$335:$A$434,$FG88,LandEmiss!$E$335:$E$434)*(2000/8760)*IFERROR($QV$14,0)</f>
        <v>0</v>
      </c>
      <c r="ON88" s="155">
        <f>(SUMIF(LandEmiss!$BJ$335:$BJ$434,$FG88,LandEmiss!$BN$335:$BN$434)+SUMIF(LandEmiss!$DU$323:$DU$422,$FG88,LandEmiss!$DY$323:$DY$422))*(2000/8760)*IFERROR($QV$14,0)</f>
        <v>0</v>
      </c>
      <c r="OO88" s="155">
        <f>(IF(VaporOxidizer!$D$33="FUEL GAS",SUMIF(VaporOxidizer!$E$101:$E$110,$FG88,VaporOxidizer!$G$101:$G$110),0)+SUMIF(VaporOxidizer!$E$111:$E$220,$FG88,VaporOxidizer!$G$111:$G$220))*(2000/8760)*IFERROR($QV$15,0)</f>
        <v>0</v>
      </c>
      <c r="OP88" s="155">
        <f>SUMIF(LandEmiss!$A$335:$A$434,$FG88,LandEmiss!$G$335:$G$434)*(2000/8760)*IFERROR($QV$15,0)</f>
        <v>0</v>
      </c>
      <c r="OQ88" s="155">
        <f>(SUMIF(LandEmiss!$BJ$335:$BJ$434,$FG88,LandEmiss!$BP$335:$BP$434)+SUMIF(LandEmiss!$DU$323:$DU$422,$FG88,LandEmiss!$EA$323:$EA$422))*(2000/8760)*IFERROR($QV$15,0)</f>
        <v>0</v>
      </c>
      <c r="OR88" s="155">
        <f>SUMIF(CAS!$E$35:$E$144,Hidden!$FG88,CAS!$I$35:$I$144)*IFERROR($QV$16,0)*(2000/8760)</f>
        <v>0</v>
      </c>
      <c r="OS88" s="155">
        <f>SUMIF(LandEmiss!$A$335:$A$434,$FG88,LandEmiss!$I$335:$I$434)*(2000/8760)*IFERROR($QV$27,0)</f>
        <v>0</v>
      </c>
      <c r="OT88" s="155">
        <f>(SUMIF(LandEmiss!$BJ$335:$BJ$434,$FG88,LandEmiss!$BR$335:$BR$434)+SUMIF(LandEmiss!$DU$323:$DU$422,$FG88,LandEmiss!$EC$323:$EC$422))*(2000/8760)*IFERROR($QV$27,0)</f>
        <v>0</v>
      </c>
      <c r="OU88" s="155">
        <f>SUMIF(LandEmiss!$A$335:$A$434,$FG88,LandEmiss!$K$335:$K$434)*(2000/8760)*IFERROR($QV$26,0)</f>
        <v>0</v>
      </c>
      <c r="OV88" s="155">
        <f>(SUMIF(LandEmiss!$BJ$335:$BJ$434,$FG88,LandEmiss!$BT$335:$BT$434)+SUMIF(LandEmiss!$DU$323:$DU$422,$FG88,LandEmiss!$EE$323:$EE$422))*(2000/8760)*IFERROR($QV$26,0)</f>
        <v>0</v>
      </c>
      <c r="OW88" s="155">
        <f>SUMIF(LandEmiss!$A$335:$A$434,$FG88,LandEmiss!$M$335:$M$434)*(2000/8760)*IFERROR($QV$25,0)</f>
        <v>0</v>
      </c>
      <c r="OX88" s="155">
        <f>(SUMIF(LandEmiss!$BJ$335:$BJ$434,$FG88,LandEmiss!$BV$335:$BV$434)+SUMIF(LandEmiss!$DU$323:$DU$422,$FG88,LandEmiss!$EG$323:$EG$422))*(2000/8760)*IFERROR($QV$25,0)</f>
        <v>0</v>
      </c>
      <c r="OY88" s="8">
        <v>0</v>
      </c>
      <c r="OZ88" s="207">
        <v>0</v>
      </c>
      <c r="PA88" s="207">
        <f>IF(OR(HeaterBoiler1!$E$26&lt;&gt;"fuel gas",HeaterBoiler1!$E$15&lt;&gt;"heater"),0,(SUMIF(HeaterBoiler1!$A$54:$D$63,$FG88,HeaterBoiler1!$J$54:$J$63))*(2000/8760))*IFERROR($QV$19,0)</f>
        <v>0</v>
      </c>
      <c r="PB88" s="207">
        <f>IF(OR(HeaterBoiler2!$E$26&lt;&gt;"fuel gas",HeaterBoiler2!$E$15&lt;&gt;"heater"),0,(SUMIF(HeaterBoiler2!$A$54:$D$63,$FG88,HeaterBoiler2!$J$54:$J$63))*(2000/8760))*IFERROR($QV$21,0)</f>
        <v>0</v>
      </c>
      <c r="PC88" s="207">
        <f>IF(OR(HeaterBoiler1!$E$26&lt;&gt;"fuel gas",HeaterBoiler1!$E$15&lt;&gt;"boiler"),0,(SUMIF(HeaterBoiler1!$A$54:$D$63,$FG88,HeaterBoiler1!$J$54:$J$63))*(2000/8760))*IFERROR($QV$20,0)</f>
        <v>0</v>
      </c>
      <c r="PD88" s="207">
        <f>IF(OR(HeaterBoiler2!$E$26&lt;&gt;"fuel gas",HeaterBoiler2!$E$15&lt;&gt;"boiler"),0,(SUMIF(HeaterBoiler2!$A$54:$D$63,$FG88,HeaterBoiler2!$J$54:$J$63))*(2000/8760))*IFERROR($QV$22,0)</f>
        <v>0</v>
      </c>
      <c r="PE88" s="8">
        <f>(SUMIF(Fug!$A$96:$A$205,$FG88,Fug!$J$96:$J$205))*IFERROR($QV$23,0)*(2000/8760)</f>
        <v>0</v>
      </c>
      <c r="PF88" s="8">
        <f t="shared" si="53"/>
        <v>0</v>
      </c>
      <c r="PG88" s="156">
        <f t="shared" si="54"/>
        <v>0</v>
      </c>
      <c r="QX88" s="89" t="s">
        <v>9333</v>
      </c>
      <c r="QY88">
        <v>25.33</v>
      </c>
      <c r="QZ88">
        <v>25.33</v>
      </c>
      <c r="RA88">
        <v>25.33</v>
      </c>
      <c r="RB88">
        <v>24.54</v>
      </c>
      <c r="RC88">
        <v>19.04</v>
      </c>
      <c r="RD88">
        <v>14.81</v>
      </c>
      <c r="RE88">
        <v>11.93</v>
      </c>
      <c r="RF88">
        <v>7.9</v>
      </c>
      <c r="RG88" s="90">
        <v>5.76</v>
      </c>
      <c r="RH88" s="89" t="s">
        <v>9333</v>
      </c>
      <c r="RI88">
        <v>25.24</v>
      </c>
      <c r="RJ88">
        <v>25.24</v>
      </c>
      <c r="RK88">
        <v>25.24</v>
      </c>
      <c r="RL88">
        <v>24.36</v>
      </c>
      <c r="RM88">
        <v>18.82</v>
      </c>
      <c r="RN88">
        <v>14.71</v>
      </c>
      <c r="RO88">
        <v>11.82</v>
      </c>
      <c r="RP88">
        <v>7.8</v>
      </c>
      <c r="RQ88" s="90">
        <v>5.69</v>
      </c>
      <c r="RR88" s="89" t="s">
        <v>9333</v>
      </c>
      <c r="RS88">
        <v>23.72</v>
      </c>
      <c r="RT88">
        <v>23.72</v>
      </c>
      <c r="RU88">
        <v>23.72</v>
      </c>
      <c r="RV88">
        <v>23.27</v>
      </c>
      <c r="RW88">
        <v>18.61</v>
      </c>
      <c r="RX88">
        <v>14.22</v>
      </c>
      <c r="RY88">
        <v>11.46</v>
      </c>
      <c r="RZ88">
        <v>7.33</v>
      </c>
      <c r="SA88" s="90">
        <v>5.47</v>
      </c>
      <c r="SB88" s="89" t="s">
        <v>9333</v>
      </c>
      <c r="SC88">
        <v>19.32</v>
      </c>
      <c r="SD88">
        <v>19.32</v>
      </c>
      <c r="SE88">
        <v>19.32</v>
      </c>
      <c r="SF88">
        <v>19.32</v>
      </c>
      <c r="SG88">
        <v>14.9</v>
      </c>
      <c r="SH88">
        <v>11.87</v>
      </c>
      <c r="SI88">
        <v>9.26</v>
      </c>
      <c r="SJ88">
        <v>5.3</v>
      </c>
      <c r="SK88" s="90">
        <v>4.05</v>
      </c>
      <c r="SL88" s="89" t="s">
        <v>9333</v>
      </c>
      <c r="SM88">
        <v>2.61</v>
      </c>
      <c r="SN88">
        <v>2.61</v>
      </c>
      <c r="SO88">
        <v>2.61</v>
      </c>
      <c r="SP88">
        <v>2.61</v>
      </c>
      <c r="SQ88">
        <v>2.61</v>
      </c>
      <c r="SR88">
        <v>2.38</v>
      </c>
      <c r="SS88">
        <v>2.0699999999999998</v>
      </c>
      <c r="ST88">
        <v>1.34</v>
      </c>
      <c r="SU88" s="90">
        <v>0.93</v>
      </c>
    </row>
    <row r="89" spans="23:515" ht="74.25" customHeight="1" x14ac:dyDescent="0.2">
      <c r="W89">
        <f>IF(OR(X89=0,ISNUMBER(MATCH(X89,$X$1:X88,0))),0,MAX($W$1:W88)+1)</f>
        <v>0</v>
      </c>
      <c r="X89" s="123">
        <f>Products!$E136</f>
        <v>0</v>
      </c>
      <c r="Y89" t="str">
        <f t="shared" si="42"/>
        <v/>
      </c>
      <c r="CA89">
        <f>IF(OR(CB89=0,ISNUMBER(MATCH(CB89,$CB$1:CB88,0))),0,MAX($CA$1:CA88)+1)</f>
        <v>0</v>
      </c>
      <c r="CB89" s="8">
        <f>IF(OR(Tank1!$D$18="EXTERNAL FLOATING ROOF",Tank1!$D$18="INTERNAL FLOATING ROOF"),IF(Tank1!$E119="",0,Tank1!$E119),0)</f>
        <v>0</v>
      </c>
      <c r="CC89" s="8" t="str">
        <f t="shared" si="43"/>
        <v/>
      </c>
      <c r="CD89" s="8"/>
      <c r="CE89" s="8">
        <f>IF(OR(CF89=0,ISNUMBER(MATCH(CF89,$CF$1:CF88,0))),0,MAX($CE$1:CE88)+1)</f>
        <v>0</v>
      </c>
      <c r="CF89" s="8">
        <f>IF(OR(Tank1!$D$18="HORIZONTAL FIXED ROOF",Tank1!$D$18="VERTICAL FIXED ROOF"),IF(Tank1!$E119="",0,Tank1!$E119),0)</f>
        <v>0</v>
      </c>
      <c r="CG89" s="8" t="str">
        <f t="shared" si="44"/>
        <v/>
      </c>
      <c r="DM89">
        <f>IF(OR(DN89=0,ISNUMBER(MATCH(DN89,$DN$1:DN88,0))),0,MAX($DM$1:DM88)+1)</f>
        <v>0</v>
      </c>
      <c r="DN89">
        <f>IF('Load-MarineBarge'!$F$19="Flare",IFERROR(VLOOKUP(Products!$A$129,'Load-MarineBarge'!$A$27:$B$136,1,FALSE),0),0)</f>
        <v>0</v>
      </c>
      <c r="DO89">
        <f>IF($DN89=0,0,VLOOKUP($DN89,'Load-MarineBarge'!$A$27:$N$136,13,FALSE))</f>
        <v>0</v>
      </c>
      <c r="DP89">
        <f>IF($DN89=0,0,VLOOKUP($DN89,'Load-MarineBarge'!$A$27:$N$136,14,FALSE))</f>
        <v>0</v>
      </c>
      <c r="DU89">
        <f>IF(OR(DV89=0,ISNUMBER(MATCH(DV89,$DV$1:DV88,0))),0,MAX($DU$1:DU88)+1)</f>
        <v>0</v>
      </c>
      <c r="DV89">
        <f>IF('Load-MarineBarge'!$F$19="VCU",IFERROR(VLOOKUP(Products!$A$129,'Load-MarineBarge'!$A$27:$B$136,1,FALSE),0),0)</f>
        <v>0</v>
      </c>
      <c r="DW89">
        <f>IF($DV89=0,0,VLOOKUP($DV89,'Load-MarineBarge'!$A$27:$N$136,13,FALSE))</f>
        <v>0</v>
      </c>
      <c r="DX89">
        <f>IF($DV89=0,0,VLOOKUP($DV89,'Load-MarineBarge'!$A$27:$N$136,14,FALSE))</f>
        <v>0</v>
      </c>
      <c r="EC89">
        <f>IF(OR(ED89=0,ISNUMBER(MATCH(ED89,$ED$1:ED88,0))),0,MAX($EC$1:EC88)+1)</f>
        <v>0</v>
      </c>
      <c r="ED89">
        <f>IF('Load-MarineBarge'!$F$19="vapor oxidizer",IFERROR(VLOOKUP(Products!$A$129,'Load-MarineBarge'!$A$27:$B$136,1,FALSE),0),0)</f>
        <v>0</v>
      </c>
      <c r="EE89">
        <f>IF($ED89=0,0,VLOOKUP($ED89,'Load-MarineBarge'!$A$27:$N$136,13,FALSE))</f>
        <v>0</v>
      </c>
      <c r="EF89">
        <f>IF($ED89=0,0,VLOOKUP($ED89,'Load-MarineBarge'!$A$27:$N$136,14,FALSE))</f>
        <v>0</v>
      </c>
      <c r="EK89">
        <f>IF(OR(EL89=0,ISNUMBER(MATCH(EL89,$EL$1:EL88,0))),0,MAX($EK$1:EK88)+1)</f>
        <v>0</v>
      </c>
      <c r="EL89">
        <f>IF('Load-MarineBarge'!$F$19="CAS",IFERROR(VLOOKUP(Products!A129,'Load-MarineBarge'!$A$27:$B$136,1,FALSE),0),0)</f>
        <v>0</v>
      </c>
      <c r="EM89">
        <f>IF($EL89=0,0,VLOOKUP($EL89,'Load-MarineBarge'!$A$27:$N$136,13,FALSE))</f>
        <v>0</v>
      </c>
      <c r="EN89">
        <f>IF($EL89=0,0,VLOOKUP($EL89,'Load-MarineBarge'!$A$27:$N$136,14,FALSE))</f>
        <v>0</v>
      </c>
      <c r="FB89" s="8" t="s">
        <v>522</v>
      </c>
      <c r="FC89" s="8" t="s">
        <v>523</v>
      </c>
      <c r="FD89" s="8">
        <v>16440</v>
      </c>
      <c r="FE89" s="8">
        <v>1640</v>
      </c>
      <c r="FG89" s="360" t="str">
        <f t="shared" si="45"/>
        <v/>
      </c>
      <c r="FH89" s="155">
        <f>IF(Tank1!$D$22="NO CONTROL",_xlfn.MAXIFS(Tank1!$G$32:$G$141,Tank1!$E$32:$E$141,$FG89),0)*IFERROR($QR$3,0)</f>
        <v>0</v>
      </c>
      <c r="FI89" s="155">
        <f>_xlfn.MAXIFS(LandEmiss!$AF$20:$AF$119,LandEmiss!$AE$20:$AE$119,$FG89)*IFERROR($QR$3,0)</f>
        <v>0</v>
      </c>
      <c r="FJ89" s="155">
        <f>MAX(_xlfn.MAXIFS(LandEmiss!$CO$20:$CO$119,LandEmiss!$CN$20:$CN$119,$FG89),_xlfn.MAXIFS(LandEmiss!$EZ$9:$EZ$108,LandEmiss!$EY$9:$EY$108,$FG89))*IFERROR($QR$3,0)</f>
        <v>0</v>
      </c>
      <c r="FK89" s="155">
        <f>IF(Tank2!$D$22="NO CONTROL",_xlfn.MAXIFS(Tank2!$G$32:$G$141,Tank2!$E$32:$E$141,$FG89),0)*IFERROR($QR$4,0)</f>
        <v>0</v>
      </c>
      <c r="FL89" s="155">
        <f>_xlfn.MAXIFS(LandEmiss!$AG$20:$AG$119,LandEmiss!$AE$20:$AE$119,$FG89)*IFERROR($QR$4,0)</f>
        <v>0</v>
      </c>
      <c r="FM89" s="155">
        <f>MAX(_xlfn.MAXIFS(LandEmiss!$CP$20:$CP$119,LandEmiss!$CN$20:$CN$119,$FG89),_xlfn.MAXIFS(LandEmiss!$FA$9:$FA$108,LandEmiss!$EY$9:$EY$108,$FG89))*IFERROR($QR$4,0)</f>
        <v>0</v>
      </c>
      <c r="FN89" s="155">
        <f>IF(Tank3!$D$22="NO CONTROL",_xlfn.MAXIFS(Tank3!$G$32:$G$141,Tank3!$E$32:$E$141,$FG89),0)*IFERROR($QR$5,0)</f>
        <v>0</v>
      </c>
      <c r="FO89" s="155">
        <f>_xlfn.MAXIFS(LandEmiss!$AH$20:$AH$119,LandEmiss!$AE$20:$AE$119,$FG89)*IFERROR($QR$5,0)</f>
        <v>0</v>
      </c>
      <c r="FP89" s="155">
        <f>MAX(_xlfn.MAXIFS(LandEmiss!$CQ$20:$CQ$119,LandEmiss!$CN$20:$CN$119,$FG89),_xlfn.MAXIFS(LandEmiss!$FB$9:$FB$108,LandEmiss!$EY$9:$EY$108,$FG89))*IFERROR($QR$5,0)</f>
        <v>0</v>
      </c>
      <c r="FQ89" s="155">
        <f>IF(Tank4!$D$22="NO CONTROL",_xlfn.MAXIFS(Tank4!$G$32:$G$141,Tank4!$E$32:$E$141,$FG89),0)*IFERROR($QR$6,0)</f>
        <v>0</v>
      </c>
      <c r="FR89" s="155">
        <f>_xlfn.MAXIFS(LandEmiss!$AI$20:$AI$119,LandEmiss!$AE$20:$AE$119,$FG89)*IFERROR($QR$6,0)</f>
        <v>0</v>
      </c>
      <c r="FS89" s="155">
        <f>MAX(_xlfn.MAXIFS(LandEmiss!$CR$20:$CR$119,LandEmiss!$CN$20:$CN$119,$FG89),_xlfn.MAXIFS(LandEmiss!$FC$9:$FC$108,LandEmiss!$EY$9:$EY$108,$FG89))*IFERROR($QR$6,0)</f>
        <v>0</v>
      </c>
      <c r="FT89" s="155">
        <f>IF(Tank5!$D$22="NO CONTROL",_xlfn.MAXIFS(Tank5!$G$32:$G$141,Tank5!$E$32:$E$141,$FG89),0)*IFERROR($QR$7,0)</f>
        <v>0</v>
      </c>
      <c r="FU89" s="155">
        <f>_xlfn.MAXIFS(LandEmiss!$AJ$20:$AJ$119,LandEmiss!$AE$20:$AE$119,$FG89)*IFERROR($QR$7,0)</f>
        <v>0</v>
      </c>
      <c r="FV89" s="155">
        <f>MAX(_xlfn.MAXIFS(LandEmiss!$CS$20:$CS$119,LandEmiss!$CN$20:$CN$119,$FG89),_xlfn.MAXIFS(LandEmiss!$FD$9:$FD$108,LandEmiss!$EY$9:$EY$108,$FG89))*IFERROR($QR94,0)</f>
        <v>0</v>
      </c>
      <c r="FW89" s="155">
        <f>_xlfn.MAXIFS('Load-DrumTote'!$K$27:$K$136,'Load-DrumTote'!$F$27:$F$136,$FG89)*IFERROR($QR$8,0)</f>
        <v>0</v>
      </c>
      <c r="FX89" s="155">
        <f>_xlfn.MAXIFS('Load-Truck'!$K$27:$K$136,'Load-Truck'!$F$27:$F$136,$FG89)*IFERROR($QR$9,0)</f>
        <v>0</v>
      </c>
      <c r="FY89" s="155">
        <f>_xlfn.MAXIFS('Load-Rail'!$K$27:$K$136,'Load-Rail'!$F$27:$F$136,$FG89)*IFERROR($QR$10,0)</f>
        <v>0</v>
      </c>
      <c r="FZ89" s="155">
        <f>_xlfn.MAXIFS('Load-MarineBarge'!$K$27:$K$136,'Load-MarineBarge'!$F$27:$F$136,$FG89)*IFERROR($QR$11,0)</f>
        <v>0</v>
      </c>
      <c r="GA89" s="155">
        <f>_xlfn.MAXIFS('Load-MarineShip'!$K$27:$K$136,'Load-MarineShip'!$F$27:$F$136,$FG89)*IFERROR($QR$12,0)</f>
        <v>0</v>
      </c>
      <c r="GB89" s="313">
        <f>IF(OR(Flare!$D$24="fuel gas",Flare!$D$38="fuel gas"),SUMIF(Flare!$E$97:$E$106,$FG89,Flare!$F$97:$F$106),0)*IFERROR($QR$13,0)</f>
        <v>0</v>
      </c>
      <c r="GC89" s="313">
        <f>(_xlfn.MAXIFS(CtrlDevImpacts!$I$57:$I$156,CtrlDevImpacts!$H$57:$H$156,$FG89))*IFERROR($QR$13,0)</f>
        <v>0</v>
      </c>
      <c r="GD89" s="313">
        <f>(_xlfn.MAXIFS(Flare!$F$107:$F$216,Flare!$E$107:$E$216,$FG89)-_xlfn.MAXIFS(CtrlDevImpacts!$I$57:$I$156,CtrlDevImpacts!$H$57:$H$156,$FG89))*IFERROR($QR$13,0)</f>
        <v>0</v>
      </c>
      <c r="GE89" s="155">
        <f>_xlfn.MAXIFS(LandEmiss!$B$335:$B$434,LandEmiss!$A$335:$A$434,$FG89)*IFERROR($QR$13,0)</f>
        <v>0</v>
      </c>
      <c r="GF89" s="155">
        <f>(_xlfn.MAXIFS(LandEmiss!$BK$335:$BK$434,LandEmiss!$BJ$335:$BJ$434,$FG89)+_xlfn.MAXIFS(LandEmiss!$DV$323:$DV$422,LandEmiss!$DU$323:$DU$422,$FG89))*IFERROR($QR$13,0)</f>
        <v>0</v>
      </c>
      <c r="GG89" s="313">
        <f>IF(OR(VCU!$D$26="fuel gas",VCU!$D$42="fuel gas"),SUMIF(VCU!$E$120:$E$129,$FG89,VCU!$F$120:$F$129),0)*IFERROR($QR$14,0)</f>
        <v>0</v>
      </c>
      <c r="GH89" s="313">
        <f>(_xlfn.MAXIFS(CtrlDevImpacts!$X$57:$X$156,CtrlDevImpacts!$W$57:$W$156,$FG89))*IFERROR($QR$14,0)</f>
        <v>0</v>
      </c>
      <c r="GI89" s="313">
        <f>(_xlfn.MAXIFS(VCU!$F$130:$F$239,VCU!$E$130:$E$239,$FG89)-_xlfn.MAXIFS(CtrlDevImpacts!$X$57:$X$156,CtrlDevImpacts!$W$57:$W$156,$FG89))*IFERROR($QR$14,0)</f>
        <v>0</v>
      </c>
      <c r="GJ89" s="155">
        <f>_xlfn.MAXIFS(LandEmiss!$D$335:$D$434,LandEmiss!$A$335:$A$434,$FG89)*IFERROR($QR$14,0)</f>
        <v>0</v>
      </c>
      <c r="GK89" s="155">
        <f>(_xlfn.MAXIFS(LandEmiss!$BM$335:$BM$434,LandEmiss!$BJ$335:$BJ$434,$FG89)+_xlfn.MAXIFS(LandEmiss!$DX$323:$DX$422,LandEmiss!$DU$323:$DU$422,$FG89))*IFERROR($QR$14,0)</f>
        <v>0</v>
      </c>
      <c r="GL89" s="313">
        <f>IF(VaporOxidizer!D120="FUEL GAS",SUMIF(VaporOxidizer!$E$101:$E$110,$FG89,VaporOxidizer!$F$101:$F$110),0)*IFERROR($QR$15,0)</f>
        <v>0</v>
      </c>
      <c r="GM89" s="313">
        <f>(_xlfn.MAXIFS(CtrlDevImpacts!$AN$57:$AN$156,CtrlDevImpacts!$AM$57:$AM$156,$FG89))*IFERROR($QR$15,0)</f>
        <v>0</v>
      </c>
      <c r="GN89" s="313">
        <f>(_xlfn.MAXIFS(VaporOxidizer!$F$111:$F$220,VaporOxidizer!$E$111:$E$220,$FG89)-_xlfn.MAXIFS(CtrlDevImpacts!$AN$57:$AN$156,CtrlDevImpacts!$AM$57:$AM$156,$FG89))*IFERROR($QR$15,0)</f>
        <v>0</v>
      </c>
      <c r="GO89" s="155">
        <f>_xlfn.MAXIFS(LandEmiss!$F$335:$F$434,LandEmiss!$A$335:$A$434,$FG89)*IFERROR($QR$15,0)</f>
        <v>0</v>
      </c>
      <c r="GP89" s="155">
        <f>(_xlfn.MAXIFS(LandEmiss!$BK$335:$BK$434,LandEmiss!$BO$335:$BO$434,$FG89)+_xlfn.MAXIFS(LandEmiss!$DZ$323:$DZ$422,LandEmiss!$DU$323:$DU$422,$FG89))*IFERROR($QR$15,0)</f>
        <v>0</v>
      </c>
      <c r="GQ89" s="313">
        <f>_xlfn.MAXIFS(CtrlDevImpacts!$BD$57:$BD$156,CtrlDevImpacts!$BC$57:$BC$156,$FG89)*IFERROR(Hidden!$QR$16,0)</f>
        <v>0</v>
      </c>
      <c r="GR89" s="313">
        <f>(_xlfn.MAXIFS(CAS!$H$35:$H$144,CAS!$E$35:$E$144,$FG89)-_xlfn.MAXIFS(CtrlDevImpacts!$BD$57:$BD$156,CtrlDevImpacts!$BC$57:$BC$156,$FG89))*IFERROR(Hidden!$QR$16,0)</f>
        <v>0</v>
      </c>
      <c r="GS89" s="155">
        <f>_xlfn.MAXIFS(LandEmiss!$H$335:$H$434,LandEmiss!$A$335:$A$434,$FG89)*IFERROR($QR$27,0)</f>
        <v>0</v>
      </c>
      <c r="GT89" s="155">
        <f>(_xlfn.MAXIFS(LandEmiss!$BK$335:$BK$434,LandEmiss!$BQ$335:$BQ$434,$FG89)+_xlfn.MAXIFS(LandEmiss!$EB$323:$EB$422,LandEmiss!$DU$323:$DU$422,$FG89))*IFERROR($QR$27,0)</f>
        <v>0</v>
      </c>
      <c r="GU89" s="155">
        <f>_xlfn.MAXIFS(LandEmiss!$J$335:$J$434,LandEmiss!$A$335:$A$434,$FG89)*IFERROR($QR$26,0)</f>
        <v>0</v>
      </c>
      <c r="GV89" s="155">
        <f>(_xlfn.MAXIFS(LandEmiss!$BK$335:$BK$434,LandEmiss!$BS$335:$BS$434,$FG89)+_xlfn.MAXIFS(LandEmiss!$ED$323:$ED$422,LandEmiss!$DU$323:$DU$422,$FG89))*IFERROR($QR$26,0)</f>
        <v>0</v>
      </c>
      <c r="GW89" s="155">
        <f>_xlfn.MAXIFS(LandEmiss!$L$335:$L$434,LandEmiss!$A$335:$A$434,$FG89)*IFERROR($QR$25,0)</f>
        <v>0</v>
      </c>
      <c r="GX89" s="155">
        <f>(_xlfn.MAXIFS(LandEmiss!$BK$335:$BK$434,LandEmiss!$BU$335:$BU$434,$FG89)+_xlfn.MAXIFS(LandEmiss!$EF$323:$EF$422,LandEmiss!$DU$323:$DU$422,$FG89))*IFERROR($QR$25,0)</f>
        <v>0</v>
      </c>
      <c r="GY89" s="155">
        <v>0</v>
      </c>
      <c r="GZ89" s="155">
        <v>0</v>
      </c>
      <c r="HA89" s="155">
        <f>IF(OR(HeaterBoiler1!$E$26&lt;&gt;"fuel gas",HeaterBoiler1!$E$15&lt;&gt;"heater"),0,SUMIF(HeaterBoiler1!$A$54:$D$63,$FG89,HeaterBoiler1!$I$54:$I$63))*IFERROR($QR$19,0)</f>
        <v>0</v>
      </c>
      <c r="HB89" s="207">
        <f>IF(OR(HeaterBoiler2!$E$26&lt;&gt;"fuel gas",HeaterBoiler2!$E$15&lt;&gt;"heater"),0,SUMIF(HeaterBoiler2!$A$54:$D$63,$FG89,HeaterBoiler2!$I$54:$I$63))*IFERROR($QR$21,0)</f>
        <v>0</v>
      </c>
      <c r="HC89" s="155">
        <f>IF(OR(HeaterBoiler1!$E$26&lt;&gt;"fuel gas",HeaterBoiler1!$E$15&lt;&gt;"boiler"),0,SUMIF(HeaterBoiler1!$A$41:$A$50,$FG89,HeaterBoiler1!$F$41:$F$50))*IFERROR($QR$20,0)</f>
        <v>0</v>
      </c>
      <c r="HD89" s="207">
        <f>IF(OR(HeaterBoiler2!$E$26&lt;&gt;"fuel gas",HeaterBoiler2!$E$15&lt;&gt;"boiler"),0,SUMIF(HeaterBoiler2!$A$41:$A$50,$FG89,HeaterBoiler2!$F$41:$F$50))*IFERROR($QR$22,0)</f>
        <v>0</v>
      </c>
      <c r="HE89" s="155">
        <f>SUMIF(Fug!$A$96:$A$205,$FG89,Fug!$I$96:$I$205)*IFERROR(Hidden!$QR$23,0)</f>
        <v>0</v>
      </c>
      <c r="HF89" s="155">
        <f t="shared" si="46"/>
        <v>0</v>
      </c>
      <c r="HG89" s="156">
        <f t="shared" si="47"/>
        <v>0</v>
      </c>
      <c r="HH89" s="156">
        <f t="shared" si="48"/>
        <v>0</v>
      </c>
      <c r="HI89" s="156">
        <f t="shared" si="49"/>
        <v>0</v>
      </c>
      <c r="HJ89" s="156">
        <f t="shared" si="50"/>
        <v>0</v>
      </c>
      <c r="HK89" s="156">
        <f t="shared" si="51"/>
        <v>0</v>
      </c>
      <c r="HL89" s="156">
        <f t="shared" si="52"/>
        <v>0</v>
      </c>
      <c r="NO89" s="155">
        <f>IF(Tank1!$D$22="No control",(SUMIF(Tank1!$E$32:$E$141,$FG89,Tank1!$H$32:$H$141)*(2000/8760)*IFERROR($QV$3,0)),0)</f>
        <v>0</v>
      </c>
      <c r="NP89" s="156">
        <f>SUMIF(LandEmiss!$AE$20:$AE$119,$FG89,LandEmiss!$AK$20:$AK$119)*(2000/8760)*IFERROR($QV$3,0)</f>
        <v>0</v>
      </c>
      <c r="NQ89" s="156">
        <f>(SUMIF(LandEmiss!$CN$20:$CN$119,$FG89,LandEmiss!$CT$20:$CT$119)+SUMIF(LandEmiss!$EY$9:$EY$108,$FG89,LandEmiss!$FE$9:$FE$108))*IFERROR($QV$3,0)*(2000/8760)</f>
        <v>0</v>
      </c>
      <c r="NR89" s="155">
        <f>IF(Tank2!$D$22="No control",(SUMIF(Tank2!$E$32:$E$141,$FG89,Tank2!$H$32:$H$141)*(2000/8760)*IFERROR($QV$4,0)),0)</f>
        <v>0</v>
      </c>
      <c r="NS89" s="156">
        <f>SUMIF(LandEmiss!$AE$20:$AE$119,$FG89,LandEmiss!$AL$20:$AL$119)*(2000/8760)*IFERROR($QV$4,0)</f>
        <v>0</v>
      </c>
      <c r="NT89" s="156">
        <f>(SUMIF(LandEmiss!$CN$20:$CN$119,$FG89,LandEmiss!$CU$20:$CU$119)+SUMIF(LandEmiss!$EY$9:$EY$108,$FG89,LandEmiss!$FF$9:$FF$108))*IFERROR($QV$4,0)*(2000/8760)</f>
        <v>0</v>
      </c>
      <c r="NU89" s="155">
        <f>IF(Tank3!$D$22="No control",(SUMIF(Tank3!$E$32:$E$141,$FG89,Tank3!$H$32:$H$141)*(2000/8760)*IFERROR($QV$5,0)),0)</f>
        <v>0</v>
      </c>
      <c r="NV89" s="156">
        <f>SUMIF(LandEmiss!$AE$20:$AE$119,$FG89,LandEmiss!$AM$20:$AM$119)*(2000/8760)*IFERROR($QV$5,0)</f>
        <v>0</v>
      </c>
      <c r="NW89" s="156">
        <f>(SUMIF(LandEmiss!$CN$20:$CN$119,$FG89,LandEmiss!$CV$20:$CV$119)+SUMIF(LandEmiss!$EY$9:$EY$108,$FG89,LandEmiss!$FG$9:$FG$108))*IFERROR($QV$5,0)*(2000/8760)</f>
        <v>0</v>
      </c>
      <c r="NX89" s="155">
        <f>IF(Tank4!$D$22="No control",(SUMIF(Tank4!$E$32:$E$141,$FG89,Tank4!$H$32:$H$141)*(2000/8760)*IFERROR($QV$6,0)),0)</f>
        <v>0</v>
      </c>
      <c r="NY89" s="156">
        <f>SUMIF(LandEmiss!$AE$20:$AE$119,$FG89,LandEmiss!$AN$20:$AN$119)*(2000/8760)*IFERROR($QV$6,0)</f>
        <v>0</v>
      </c>
      <c r="NZ89" s="156">
        <f>(SUMIF(LandEmiss!$CN$20:$CN$119,$FG89,LandEmiss!$CW$20:$CW$119)+SUMIF(LandEmiss!$EY$9:$EY$108,$FG89,LandEmiss!$FH$9:$FH$108))*IFERROR($QV$6,0)*(2000/8760)</f>
        <v>0</v>
      </c>
      <c r="OA89" s="155">
        <f>IF(Tank5!$D$22="No control",(SUMIF(Tank5!$E$32:$E$141,$FG89,Tank5!$H$32:$H$141)*(2000/8760)*IFERROR($QV$7,0)),0)</f>
        <v>0</v>
      </c>
      <c r="OB89" s="156">
        <f>SUMIF(LandEmiss!$AE$20:$AE$119,$FG89,LandEmiss!$AO$20:$AO$119)*(2000/8760)*IFERROR($QV$7,0)</f>
        <v>0</v>
      </c>
      <c r="OC89" s="156">
        <f>(SUMIF(LandEmiss!$CN$20:$CN$119,$FG89,LandEmiss!$CX$20:$CX$119)+SUMIF(LandEmiss!$EY$9:$EY$108,$FG89,LandEmiss!$FI$9:$FI$108))*IFERROR($QV$7,0)*(2000/8760)</f>
        <v>0</v>
      </c>
      <c r="OD89" s="155">
        <f>SUMIFS('Load-DrumTote'!$L$27:$L$136,'Load-DrumTote'!$F$27:$F$136,$FG89)*IFERROR($QV$8,0)*(2000/8760)</f>
        <v>0</v>
      </c>
      <c r="OE89" s="155">
        <f>SUMIFS('Load-Truck'!$L$27:$L$136,'Load-Truck'!$F$27:$F$136,$FG89)*IFERROR($QV$9,0)*(2000/8760)</f>
        <v>0</v>
      </c>
      <c r="OF89" s="155">
        <f>SUMIFS('Load-Rail'!$L$27:$L$136,'Load-Rail'!$F$27:$F$136,$FG89)*IFERROR($QV$10,0)*(2000/8760)</f>
        <v>0</v>
      </c>
      <c r="OG89" s="155">
        <f>SUMIFS('Load-MarineBarge'!$L$27:$L$136,'Load-MarineBarge'!$F$27:$F$136,$FG89)*IFERROR($QV$11,0)*(2000/8760)</f>
        <v>0</v>
      </c>
      <c r="OH89" s="155">
        <f>SUMIFS('Load-MarineShip'!$L$27:$L$136,'Load-MarineShip'!$F$27:$F$136,$FG89)*IFERROR($QV$12,0)*(2000/8760)</f>
        <v>0</v>
      </c>
      <c r="OI89" s="155">
        <f>(IF(OR(Flare!$D$24="FUEL GAS",Flare!$D$38="FUEL GAS"),SUMIF(Flare!$E$97:$E$106,$FG89,Flare!$G$97:$G$105),0)+SUMIF(Flare!$E$107:$E$216,$FG89,Flare!$G$107:$G$216))*(2000/8730)*IFERROR($QV$13,0)</f>
        <v>0</v>
      </c>
      <c r="OJ89" s="155">
        <f>SUMIF(LandEmiss!$A$335:$A$434,$FG89,LandEmiss!$C$335:$C$434)*(2000/8760)*IFERROR($QV$13,0)</f>
        <v>0</v>
      </c>
      <c r="OK89" s="155">
        <f>(SUMIF(LandEmiss!$BJ$335:$BJ$434,$FG89,LandEmiss!$BL$335:$BL$434)+SUMIF(LandEmiss!$DU$323:$DU$422,$FG89,LandEmiss!$DW$323:$DW$422))*(2000/8760)*IFERROR($QV$13,0)</f>
        <v>0</v>
      </c>
      <c r="OL89" s="155">
        <f>(IF(OR(VCU!$D$26="FUEL GAS",VCU!$D$42="FUEL GAS"),SUMIF(VCU!$E$120:$E$129,$FG89,VCU!$G$120:$G$129),0)+SUMIF(VCU!$E$130:$E$239,$FG89,VCU!G217:G326))*(2000/8760)*IFERROR($QV$14,0)</f>
        <v>0</v>
      </c>
      <c r="OM89" s="155">
        <f>SUMIF(LandEmiss!$A$335:$A$434,$FG89,LandEmiss!$E$335:$E$434)*(2000/8760)*IFERROR($QV$14,0)</f>
        <v>0</v>
      </c>
      <c r="ON89" s="155">
        <f>(SUMIF(LandEmiss!$BJ$335:$BJ$434,$FG89,LandEmiss!$BN$335:$BN$434)+SUMIF(LandEmiss!$DU$323:$DU$422,$FG89,LandEmiss!$DY$323:$DY$422))*(2000/8760)*IFERROR($QV$14,0)</f>
        <v>0</v>
      </c>
      <c r="OO89" s="155">
        <f>(IF(VaporOxidizer!$D$33="FUEL GAS",SUMIF(VaporOxidizer!$E$101:$E$110,$FG89,VaporOxidizer!$G$101:$G$110),0)+SUMIF(VaporOxidizer!$E$111:$E$220,$FG89,VaporOxidizer!$G$111:$G$220))*(2000/8760)*IFERROR($QV$15,0)</f>
        <v>0</v>
      </c>
      <c r="OP89" s="155">
        <f>SUMIF(LandEmiss!$A$335:$A$434,$FG89,LandEmiss!$G$335:$G$434)*(2000/8760)*IFERROR($QV$15,0)</f>
        <v>0</v>
      </c>
      <c r="OQ89" s="155">
        <f>(SUMIF(LandEmiss!$BJ$335:$BJ$434,$FG89,LandEmiss!$BP$335:$BP$434)+SUMIF(LandEmiss!$DU$323:$DU$422,$FG89,LandEmiss!$EA$323:$EA$422))*(2000/8760)*IFERROR($QV$15,0)</f>
        <v>0</v>
      </c>
      <c r="OR89" s="155">
        <f>SUMIF(CAS!$E$35:$E$144,Hidden!$FG89,CAS!$I$35:$I$144)*IFERROR($QV$16,0)*(2000/8760)</f>
        <v>0</v>
      </c>
      <c r="OS89" s="155">
        <f>SUMIF(LandEmiss!$A$335:$A$434,$FG89,LandEmiss!$I$335:$I$434)*(2000/8760)*IFERROR($QV$27,0)</f>
        <v>0</v>
      </c>
      <c r="OT89" s="155">
        <f>(SUMIF(LandEmiss!$BJ$335:$BJ$434,$FG89,LandEmiss!$BR$335:$BR$434)+SUMIF(LandEmiss!$DU$323:$DU$422,$FG89,LandEmiss!$EC$323:$EC$422))*(2000/8760)*IFERROR($QV$27,0)</f>
        <v>0</v>
      </c>
      <c r="OU89" s="155">
        <f>SUMIF(LandEmiss!$A$335:$A$434,$FG89,LandEmiss!$K$335:$K$434)*(2000/8760)*IFERROR($QV$26,0)</f>
        <v>0</v>
      </c>
      <c r="OV89" s="155">
        <f>(SUMIF(LandEmiss!$BJ$335:$BJ$434,$FG89,LandEmiss!$BT$335:$BT$434)+SUMIF(LandEmiss!$DU$323:$DU$422,$FG89,LandEmiss!$EE$323:$EE$422))*(2000/8760)*IFERROR($QV$26,0)</f>
        <v>0</v>
      </c>
      <c r="OW89" s="155">
        <f>SUMIF(LandEmiss!$A$335:$A$434,$FG89,LandEmiss!$M$335:$M$434)*(2000/8760)*IFERROR($QV$25,0)</f>
        <v>0</v>
      </c>
      <c r="OX89" s="155">
        <f>(SUMIF(LandEmiss!$BJ$335:$BJ$434,$FG89,LandEmiss!$BV$335:$BV$434)+SUMIF(LandEmiss!$DU$323:$DU$422,$FG89,LandEmiss!$EG$323:$EG$422))*(2000/8760)*IFERROR($QV$25,0)</f>
        <v>0</v>
      </c>
      <c r="OY89" s="8">
        <v>0</v>
      </c>
      <c r="OZ89" s="207">
        <v>0</v>
      </c>
      <c r="PA89" s="207">
        <f>IF(OR(HeaterBoiler1!$E$26&lt;&gt;"fuel gas",HeaterBoiler1!$E$15&lt;&gt;"heater"),0,(SUMIF(HeaterBoiler1!$A$54:$D$63,$FG89,HeaterBoiler1!$J$54:$J$63))*(2000/8760))*IFERROR($QV$19,0)</f>
        <v>0</v>
      </c>
      <c r="PB89" s="207">
        <f>IF(OR(HeaterBoiler2!$E$26&lt;&gt;"fuel gas",HeaterBoiler2!$E$15&lt;&gt;"heater"),0,(SUMIF(HeaterBoiler2!$A$54:$D$63,$FG89,HeaterBoiler2!$J$54:$J$63))*(2000/8760))*IFERROR($QV$21,0)</f>
        <v>0</v>
      </c>
      <c r="PC89" s="207">
        <f>IF(OR(HeaterBoiler1!$E$26&lt;&gt;"fuel gas",HeaterBoiler1!$E$15&lt;&gt;"boiler"),0,(SUMIF(HeaterBoiler1!$A$54:$D$63,$FG89,HeaterBoiler1!$J$54:$J$63))*(2000/8760))*IFERROR($QV$20,0)</f>
        <v>0</v>
      </c>
      <c r="PD89" s="207">
        <f>IF(OR(HeaterBoiler2!$E$26&lt;&gt;"fuel gas",HeaterBoiler2!$E$15&lt;&gt;"boiler"),0,(SUMIF(HeaterBoiler2!$A$54:$D$63,$FG89,HeaterBoiler2!$J$54:$J$63))*(2000/8760))*IFERROR($QV$22,0)</f>
        <v>0</v>
      </c>
      <c r="PE89" s="8">
        <f>(SUMIF(Fug!$A$96:$A$205,$FG89,Fug!$J$96:$J$205))*IFERROR($QV$23,0)*(2000/8760)</f>
        <v>0</v>
      </c>
      <c r="PF89" s="8">
        <f t="shared" si="53"/>
        <v>0</v>
      </c>
      <c r="PG89" s="156">
        <f t="shared" si="54"/>
        <v>0</v>
      </c>
      <c r="QX89" s="89" t="s">
        <v>9334</v>
      </c>
      <c r="QY89">
        <v>1630.8</v>
      </c>
      <c r="QZ89">
        <v>1630.8</v>
      </c>
      <c r="RA89">
        <v>1630.8</v>
      </c>
      <c r="RB89">
        <v>1630.8</v>
      </c>
      <c r="RC89">
        <v>1630.8</v>
      </c>
      <c r="RD89">
        <v>1630.8</v>
      </c>
      <c r="RE89">
        <v>1630.8</v>
      </c>
      <c r="RF89">
        <v>1630.8</v>
      </c>
      <c r="RG89">
        <v>1630.8</v>
      </c>
      <c r="RH89" s="89" t="s">
        <v>9334</v>
      </c>
      <c r="RQ89" s="90"/>
      <c r="RR89" s="89" t="s">
        <v>9334</v>
      </c>
      <c r="SA89" s="90"/>
      <c r="SB89" s="89" t="s">
        <v>9334</v>
      </c>
      <c r="SK89" s="90"/>
      <c r="SL89" s="89" t="s">
        <v>9334</v>
      </c>
      <c r="SM89">
        <v>138.4</v>
      </c>
      <c r="SN89">
        <v>138.4</v>
      </c>
      <c r="SO89">
        <v>138.4</v>
      </c>
      <c r="SP89">
        <v>138.4</v>
      </c>
      <c r="SQ89">
        <v>138.4</v>
      </c>
      <c r="SR89">
        <v>138.4</v>
      </c>
      <c r="SS89">
        <v>138.4</v>
      </c>
      <c r="ST89">
        <v>138.4</v>
      </c>
      <c r="SU89">
        <v>138.4</v>
      </c>
    </row>
    <row r="90" spans="23:515" ht="74.25" customHeight="1" x14ac:dyDescent="0.2">
      <c r="W90">
        <f>IF(OR(X90=0,ISNUMBER(MATCH(X90,$X$1:X89,0))),0,MAX($W$1:W89)+1)</f>
        <v>0</v>
      </c>
      <c r="X90" s="123">
        <f>Products!$E137</f>
        <v>0</v>
      </c>
      <c r="Y90" t="str">
        <f t="shared" si="42"/>
        <v/>
      </c>
      <c r="CA90">
        <f>IF(OR(CB90=0,ISNUMBER(MATCH(CB90,$CB$1:CB89,0))),0,MAX($CA$1:CA89)+1)</f>
        <v>0</v>
      </c>
      <c r="CB90" s="8">
        <f>IF(OR(Tank1!$D$18="EXTERNAL FLOATING ROOF",Tank1!$D$18="INTERNAL FLOATING ROOF"),IF(Tank1!$E120="",0,Tank1!$E120),0)</f>
        <v>0</v>
      </c>
      <c r="CC90" s="8" t="str">
        <f t="shared" si="43"/>
        <v/>
      </c>
      <c r="CD90" s="8"/>
      <c r="CE90" s="8">
        <f>IF(OR(CF90=0,ISNUMBER(MATCH(CF90,$CF$1:CF89,0))),0,MAX($CE$1:CE89)+1)</f>
        <v>0</v>
      </c>
      <c r="CF90" s="8">
        <f>IF(OR(Tank1!$D$18="HORIZONTAL FIXED ROOF",Tank1!$D$18="VERTICAL FIXED ROOF"),IF(Tank1!$E120="",0,Tank1!$E120),0)</f>
        <v>0</v>
      </c>
      <c r="CG90" s="8" t="str">
        <f t="shared" si="44"/>
        <v/>
      </c>
      <c r="DM90">
        <f>IF(OR(DN90=0,ISNUMBER(MATCH(DN90,$DN$1:DN89,0))),0,MAX($DM$1:DM89)+1)</f>
        <v>0</v>
      </c>
      <c r="DN90">
        <f>IF('Load-MarineBarge'!$F$19="Flare",IFERROR(VLOOKUP(Products!$A$139,'Load-MarineBarge'!$A$27:$B$136,1,FALSE),0),0)</f>
        <v>0</v>
      </c>
      <c r="DO90">
        <f>IF($DN90=0,0,VLOOKUP($DN90,'Load-MarineBarge'!$A$27:$N$136,13,FALSE))</f>
        <v>0</v>
      </c>
      <c r="DP90">
        <f>IF($DN90=0,0,VLOOKUP($DN90,'Load-MarineBarge'!$A$27:$N$136,14,FALSE))</f>
        <v>0</v>
      </c>
      <c r="DU90">
        <f>IF(OR(DV90=0,ISNUMBER(MATCH(DV90,$DV$1:DV89,0))),0,MAX($DU$1:DU89)+1)</f>
        <v>0</v>
      </c>
      <c r="DV90">
        <f>IF('Load-MarineBarge'!$F$19="VCU",IFERROR(VLOOKUP(Products!$A$139,'Load-MarineBarge'!$A$27:$B$136,1,FALSE),0),0)</f>
        <v>0</v>
      </c>
      <c r="DW90">
        <f>IF($DV90=0,0,VLOOKUP($DV90,'Load-MarineBarge'!$A$27:$N$136,13,FALSE))</f>
        <v>0</v>
      </c>
      <c r="DX90">
        <f>IF($DV90=0,0,VLOOKUP($DV90,'Load-MarineBarge'!$A$27:$N$136,14,FALSE))</f>
        <v>0</v>
      </c>
      <c r="EC90">
        <f>IF(OR(ED90=0,ISNUMBER(MATCH(ED90,$ED$1:ED89,0))),0,MAX($EC$1:EC89)+1)</f>
        <v>0</v>
      </c>
      <c r="ED90">
        <f>IF('Load-MarineBarge'!$F$19="vapor oxidizer",IFERROR(VLOOKUP(Products!$A$139,'Load-MarineBarge'!$A$27:$B$136,1,FALSE),0),0)</f>
        <v>0</v>
      </c>
      <c r="EE90">
        <f>IF($ED90=0,0,VLOOKUP($ED90,'Load-MarineBarge'!$A$27:$N$136,13,FALSE))</f>
        <v>0</v>
      </c>
      <c r="EF90">
        <f>IF($ED90=0,0,VLOOKUP($ED90,'Load-MarineBarge'!$A$27:$N$136,14,FALSE))</f>
        <v>0</v>
      </c>
      <c r="EK90">
        <f>IF(OR(EL90=0,ISNUMBER(MATCH(EL90,$EL$1:EL89,0))),0,MAX($EK$1:EK89)+1)</f>
        <v>0</v>
      </c>
      <c r="EL90">
        <f>IF('Load-MarineBarge'!$F$19="CAS",IFERROR(VLOOKUP(Products!A139,'Load-MarineBarge'!$A$27:$B$136,1,FALSE),0),0)</f>
        <v>0</v>
      </c>
      <c r="EM90">
        <f>IF($EL90=0,0,VLOOKUP($EL90,'Load-MarineBarge'!$A$27:$N$136,13,FALSE))</f>
        <v>0</v>
      </c>
      <c r="EN90">
        <f>IF($EL90=0,0,VLOOKUP($EL90,'Load-MarineBarge'!$A$27:$N$136,14,FALSE))</f>
        <v>0</v>
      </c>
      <c r="FB90" s="8" t="s">
        <v>524</v>
      </c>
      <c r="FC90" s="8" t="s">
        <v>525</v>
      </c>
      <c r="FD90" s="8">
        <v>1000</v>
      </c>
      <c r="FE90" s="8">
        <v>100</v>
      </c>
      <c r="FG90" s="360" t="str">
        <f t="shared" si="45"/>
        <v/>
      </c>
      <c r="FH90" s="155">
        <f>IF(Tank1!$D$22="NO CONTROL",_xlfn.MAXIFS(Tank1!$G$32:$G$141,Tank1!$E$32:$E$141,$FG90),0)*IFERROR($QR$3,0)</f>
        <v>0</v>
      </c>
      <c r="FI90" s="155">
        <f>_xlfn.MAXIFS(LandEmiss!$AF$20:$AF$119,LandEmiss!$AE$20:$AE$119,$FG90)*IFERROR($QR$3,0)</f>
        <v>0</v>
      </c>
      <c r="FJ90" s="155">
        <f>MAX(_xlfn.MAXIFS(LandEmiss!$CO$20:$CO$119,LandEmiss!$CN$20:$CN$119,$FG90),_xlfn.MAXIFS(LandEmiss!$EZ$9:$EZ$108,LandEmiss!$EY$9:$EY$108,$FG90))*IFERROR($QR$3,0)</f>
        <v>0</v>
      </c>
      <c r="FK90" s="155">
        <f>IF(Tank2!$D$22="NO CONTROL",_xlfn.MAXIFS(Tank2!$G$32:$G$141,Tank2!$E$32:$E$141,$FG90),0)*IFERROR($QR$4,0)</f>
        <v>0</v>
      </c>
      <c r="FL90" s="155">
        <f>_xlfn.MAXIFS(LandEmiss!$AG$20:$AG$119,LandEmiss!$AE$20:$AE$119,$FG90)*IFERROR($QR$4,0)</f>
        <v>0</v>
      </c>
      <c r="FM90" s="155">
        <f>MAX(_xlfn.MAXIFS(LandEmiss!$CP$20:$CP$119,LandEmiss!$CN$20:$CN$119,$FG90),_xlfn.MAXIFS(LandEmiss!$FA$9:$FA$108,LandEmiss!$EY$9:$EY$108,$FG90))*IFERROR($QR$4,0)</f>
        <v>0</v>
      </c>
      <c r="FN90" s="155">
        <f>IF(Tank3!$D$22="NO CONTROL",_xlfn.MAXIFS(Tank3!$G$32:$G$141,Tank3!$E$32:$E$141,$FG90),0)*IFERROR($QR$5,0)</f>
        <v>0</v>
      </c>
      <c r="FO90" s="155">
        <f>_xlfn.MAXIFS(LandEmiss!$AH$20:$AH$119,LandEmiss!$AE$20:$AE$119,$FG90)*IFERROR($QR$5,0)</f>
        <v>0</v>
      </c>
      <c r="FP90" s="155">
        <f>MAX(_xlfn.MAXIFS(LandEmiss!$CQ$20:$CQ$119,LandEmiss!$CN$20:$CN$119,$FG90),_xlfn.MAXIFS(LandEmiss!$FB$9:$FB$108,LandEmiss!$EY$9:$EY$108,$FG90))*IFERROR($QR$5,0)</f>
        <v>0</v>
      </c>
      <c r="FQ90" s="155">
        <f>IF(Tank4!$D$22="NO CONTROL",_xlfn.MAXIFS(Tank4!$G$32:$G$141,Tank4!$E$32:$E$141,$FG90),0)*IFERROR($QR$6,0)</f>
        <v>0</v>
      </c>
      <c r="FR90" s="155">
        <f>_xlfn.MAXIFS(LandEmiss!$AI$20:$AI$119,LandEmiss!$AE$20:$AE$119,$FG90)*IFERROR($QR$6,0)</f>
        <v>0</v>
      </c>
      <c r="FS90" s="155">
        <f>MAX(_xlfn.MAXIFS(LandEmiss!$CR$20:$CR$119,LandEmiss!$CN$20:$CN$119,$FG90),_xlfn.MAXIFS(LandEmiss!$FC$9:$FC$108,LandEmiss!$EY$9:$EY$108,$FG90))*IFERROR($QR$6,0)</f>
        <v>0</v>
      </c>
      <c r="FT90" s="155">
        <f>IF(Tank5!$D$22="NO CONTROL",_xlfn.MAXIFS(Tank5!$G$32:$G$141,Tank5!$E$32:$E$141,$FG90),0)*IFERROR($QR$7,0)</f>
        <v>0</v>
      </c>
      <c r="FU90" s="155">
        <f>_xlfn.MAXIFS(LandEmiss!$AJ$20:$AJ$119,LandEmiss!$AE$20:$AE$119,$FG90)*IFERROR($QR$7,0)</f>
        <v>0</v>
      </c>
      <c r="FV90" s="155">
        <f>MAX(_xlfn.MAXIFS(LandEmiss!$CS$20:$CS$119,LandEmiss!$CN$20:$CN$119,$FG90),_xlfn.MAXIFS(LandEmiss!$FD$9:$FD$108,LandEmiss!$EY$9:$EY$108,$FG90))*IFERROR($QR95,0)</f>
        <v>0</v>
      </c>
      <c r="FW90" s="155">
        <f>_xlfn.MAXIFS('Load-DrumTote'!$K$27:$K$136,'Load-DrumTote'!$F$27:$F$136,$FG90)*IFERROR($QR$8,0)</f>
        <v>0</v>
      </c>
      <c r="FX90" s="155">
        <f>_xlfn.MAXIFS('Load-Truck'!$K$27:$K$136,'Load-Truck'!$F$27:$F$136,$FG90)*IFERROR($QR$9,0)</f>
        <v>0</v>
      </c>
      <c r="FY90" s="155">
        <f>_xlfn.MAXIFS('Load-Rail'!$K$27:$K$136,'Load-Rail'!$F$27:$F$136,$FG90)*IFERROR($QR$10,0)</f>
        <v>0</v>
      </c>
      <c r="FZ90" s="155">
        <f>_xlfn.MAXIFS('Load-MarineBarge'!$K$27:$K$136,'Load-MarineBarge'!$F$27:$F$136,$FG90)*IFERROR($QR$11,0)</f>
        <v>0</v>
      </c>
      <c r="GA90" s="155">
        <f>_xlfn.MAXIFS('Load-MarineShip'!$K$27:$K$136,'Load-MarineShip'!$F$27:$F$136,$FG90)*IFERROR($QR$12,0)</f>
        <v>0</v>
      </c>
      <c r="GB90" s="313">
        <f>IF(OR(Flare!$D$24="fuel gas",Flare!$D$38="fuel gas"),SUMIF(Flare!$E$97:$E$106,$FG90,Flare!$F$97:$F$106),0)*IFERROR($QR$13,0)</f>
        <v>0</v>
      </c>
      <c r="GC90" s="313">
        <f>(_xlfn.MAXIFS(CtrlDevImpacts!$I$57:$I$156,CtrlDevImpacts!$H$57:$H$156,$FG90))*IFERROR($QR$13,0)</f>
        <v>0</v>
      </c>
      <c r="GD90" s="313">
        <f>(_xlfn.MAXIFS(Flare!$F$107:$F$216,Flare!$E$107:$E$216,$FG90)-_xlfn.MAXIFS(CtrlDevImpacts!$I$57:$I$156,CtrlDevImpacts!$H$57:$H$156,$FG90))*IFERROR($QR$13,0)</f>
        <v>0</v>
      </c>
      <c r="GE90" s="155">
        <f>_xlfn.MAXIFS(LandEmiss!$B$335:$B$434,LandEmiss!$A$335:$A$434,$FG90)*IFERROR($QR$13,0)</f>
        <v>0</v>
      </c>
      <c r="GF90" s="155">
        <f>(_xlfn.MAXIFS(LandEmiss!$BK$335:$BK$434,LandEmiss!$BJ$335:$BJ$434,$FG90)+_xlfn.MAXIFS(LandEmiss!$DV$323:$DV$422,LandEmiss!$DU$323:$DU$422,$FG90))*IFERROR($QR$13,0)</f>
        <v>0</v>
      </c>
      <c r="GG90" s="313">
        <f>IF(OR(VCU!$D$26="fuel gas",VCU!$D$42="fuel gas"),SUMIF(VCU!$E$120:$E$129,$FG90,VCU!$F$120:$F$129),0)*IFERROR($QR$14,0)</f>
        <v>0</v>
      </c>
      <c r="GH90" s="313">
        <f>(_xlfn.MAXIFS(CtrlDevImpacts!$X$57:$X$156,CtrlDevImpacts!$W$57:$W$156,$FG90))*IFERROR($QR$14,0)</f>
        <v>0</v>
      </c>
      <c r="GI90" s="313">
        <f>(_xlfn.MAXIFS(VCU!$F$130:$F$239,VCU!$E$130:$E$239,$FG90)-_xlfn.MAXIFS(CtrlDevImpacts!$X$57:$X$156,CtrlDevImpacts!$W$57:$W$156,$FG90))*IFERROR($QR$14,0)</f>
        <v>0</v>
      </c>
      <c r="GJ90" s="155">
        <f>_xlfn.MAXIFS(LandEmiss!$D$335:$D$434,LandEmiss!$A$335:$A$434,$FG90)*IFERROR($QR$14,0)</f>
        <v>0</v>
      </c>
      <c r="GK90" s="155">
        <f>(_xlfn.MAXIFS(LandEmiss!$BM$335:$BM$434,LandEmiss!$BJ$335:$BJ$434,$FG90)+_xlfn.MAXIFS(LandEmiss!$DX$323:$DX$422,LandEmiss!$DU$323:$DU$422,$FG90))*IFERROR($QR$14,0)</f>
        <v>0</v>
      </c>
      <c r="GL90" s="313">
        <f>IF(VaporOxidizer!D121="FUEL GAS",SUMIF(VaporOxidizer!$E$101:$E$110,$FG90,VaporOxidizer!$F$101:$F$110),0)*IFERROR($QR$15,0)</f>
        <v>0</v>
      </c>
      <c r="GM90" s="313">
        <f>(_xlfn.MAXIFS(CtrlDevImpacts!$AN$57:$AN$156,CtrlDevImpacts!$AM$57:$AM$156,$FG90))*IFERROR($QR$15,0)</f>
        <v>0</v>
      </c>
      <c r="GN90" s="313">
        <f>(_xlfn.MAXIFS(VaporOxidizer!$F$111:$F$220,VaporOxidizer!$E$111:$E$220,$FG90)-_xlfn.MAXIFS(CtrlDevImpacts!$AN$57:$AN$156,CtrlDevImpacts!$AM$57:$AM$156,$FG90))*IFERROR($QR$15,0)</f>
        <v>0</v>
      </c>
      <c r="GO90" s="155">
        <f>_xlfn.MAXIFS(LandEmiss!$F$335:$F$434,LandEmiss!$A$335:$A$434,$FG90)*IFERROR($QR$15,0)</f>
        <v>0</v>
      </c>
      <c r="GP90" s="155">
        <f>(_xlfn.MAXIFS(LandEmiss!$BK$335:$BK$434,LandEmiss!$BO$335:$BO$434,$FG90)+_xlfn.MAXIFS(LandEmiss!$DZ$323:$DZ$422,LandEmiss!$DU$323:$DU$422,$FG90))*IFERROR($QR$15,0)</f>
        <v>0</v>
      </c>
      <c r="GQ90" s="313">
        <f>_xlfn.MAXIFS(CtrlDevImpacts!$BD$57:$BD$156,CtrlDevImpacts!$BC$57:$BC$156,$FG90)*IFERROR(Hidden!$QR$16,0)</f>
        <v>0</v>
      </c>
      <c r="GR90" s="313">
        <f>(_xlfn.MAXIFS(CAS!$H$35:$H$144,CAS!$E$35:$E$144,$FG90)-_xlfn.MAXIFS(CtrlDevImpacts!$BD$57:$BD$156,CtrlDevImpacts!$BC$57:$BC$156,$FG90))*IFERROR(Hidden!$QR$16,0)</f>
        <v>0</v>
      </c>
      <c r="GS90" s="155">
        <f>_xlfn.MAXIFS(LandEmiss!$H$335:$H$434,LandEmiss!$A$335:$A$434,$FG90)*IFERROR($QR$27,0)</f>
        <v>0</v>
      </c>
      <c r="GT90" s="155">
        <f>(_xlfn.MAXIFS(LandEmiss!$BK$335:$BK$434,LandEmiss!$BQ$335:$BQ$434,$FG90)+_xlfn.MAXIFS(LandEmiss!$EB$323:$EB$422,LandEmiss!$DU$323:$DU$422,$FG90))*IFERROR($QR$27,0)</f>
        <v>0</v>
      </c>
      <c r="GU90" s="155">
        <f>_xlfn.MAXIFS(LandEmiss!$J$335:$J$434,LandEmiss!$A$335:$A$434,$FG90)*IFERROR($QR$26,0)</f>
        <v>0</v>
      </c>
      <c r="GV90" s="155">
        <f>(_xlfn.MAXIFS(LandEmiss!$BK$335:$BK$434,LandEmiss!$BS$335:$BS$434,$FG90)+_xlfn.MAXIFS(LandEmiss!$ED$323:$ED$422,LandEmiss!$DU$323:$DU$422,$FG90))*IFERROR($QR$26,0)</f>
        <v>0</v>
      </c>
      <c r="GW90" s="155">
        <f>_xlfn.MAXIFS(LandEmiss!$L$335:$L$434,LandEmiss!$A$335:$A$434,$FG90)*IFERROR($QR$25,0)</f>
        <v>0</v>
      </c>
      <c r="GX90" s="155">
        <f>(_xlfn.MAXIFS(LandEmiss!$BK$335:$BK$434,LandEmiss!$BU$335:$BU$434,$FG90)+_xlfn.MAXIFS(LandEmiss!$EF$323:$EF$422,LandEmiss!$DU$323:$DU$422,$FG90))*IFERROR($QR$25,0)</f>
        <v>0</v>
      </c>
      <c r="GY90" s="155">
        <v>0</v>
      </c>
      <c r="GZ90" s="155">
        <v>0</v>
      </c>
      <c r="HA90" s="155">
        <f>IF(OR(HeaterBoiler1!$E$26&lt;&gt;"fuel gas",HeaterBoiler1!$E$15&lt;&gt;"heater"),0,SUMIF(HeaterBoiler1!$A$54:$D$63,$FG90,HeaterBoiler1!$I$54:$I$63))*IFERROR($QR$19,0)</f>
        <v>0</v>
      </c>
      <c r="HB90" s="207">
        <f>IF(OR(HeaterBoiler2!$E$26&lt;&gt;"fuel gas",HeaterBoiler2!$E$15&lt;&gt;"heater"),0,SUMIF(HeaterBoiler2!$A$54:$D$63,$FG90,HeaterBoiler2!$I$54:$I$63))*IFERROR($QR$21,0)</f>
        <v>0</v>
      </c>
      <c r="HC90" s="155">
        <f>IF(OR(HeaterBoiler1!$E$26&lt;&gt;"fuel gas",HeaterBoiler1!$E$15&lt;&gt;"boiler"),0,SUMIF(HeaterBoiler1!$A$41:$A$50,$FG90,HeaterBoiler1!$F$41:$F$50))*IFERROR($QR$20,0)</f>
        <v>0</v>
      </c>
      <c r="HD90" s="207">
        <f>IF(OR(HeaterBoiler2!$E$26&lt;&gt;"fuel gas",HeaterBoiler2!$E$15&lt;&gt;"boiler"),0,SUMIF(HeaterBoiler2!$A$41:$A$50,$FG90,HeaterBoiler2!$F$41:$F$50))*IFERROR($QR$22,0)</f>
        <v>0</v>
      </c>
      <c r="HE90" s="155">
        <f>SUMIF(Fug!$A$96:$A$205,$FG90,Fug!$I$96:$I$205)*IFERROR(Hidden!$QR$23,0)</f>
        <v>0</v>
      </c>
      <c r="HF90" s="155">
        <f t="shared" si="46"/>
        <v>0</v>
      </c>
      <c r="HG90" s="156">
        <f t="shared" si="47"/>
        <v>0</v>
      </c>
      <c r="HH90" s="156">
        <f t="shared" si="48"/>
        <v>0</v>
      </c>
      <c r="HI90" s="156">
        <f t="shared" si="49"/>
        <v>0</v>
      </c>
      <c r="HJ90" s="156">
        <f t="shared" si="50"/>
        <v>0</v>
      </c>
      <c r="HK90" s="156">
        <f t="shared" si="51"/>
        <v>0</v>
      </c>
      <c r="HL90" s="156">
        <f t="shared" si="52"/>
        <v>0</v>
      </c>
      <c r="NO90" s="155">
        <f>IF(Tank1!$D$22="No control",(SUMIF(Tank1!$E$32:$E$141,$FG90,Tank1!$H$32:$H$141)*(2000/8760)*IFERROR($QV$3,0)),0)</f>
        <v>0</v>
      </c>
      <c r="NP90" s="156">
        <f>SUMIF(LandEmiss!$AE$20:$AE$119,$FG90,LandEmiss!$AK$20:$AK$119)*(2000/8760)*IFERROR($QV$3,0)</f>
        <v>0</v>
      </c>
      <c r="NQ90" s="156">
        <f>(SUMIF(LandEmiss!$CN$20:$CN$119,$FG90,LandEmiss!$CT$20:$CT$119)+SUMIF(LandEmiss!$EY$9:$EY$108,$FG90,LandEmiss!$FE$9:$FE$108))*IFERROR($QV$3,0)*(2000/8760)</f>
        <v>0</v>
      </c>
      <c r="NR90" s="155">
        <f>IF(Tank2!$D$22="No control",(SUMIF(Tank2!$E$32:$E$141,$FG90,Tank2!$H$32:$H$141)*(2000/8760)*IFERROR($QV$4,0)),0)</f>
        <v>0</v>
      </c>
      <c r="NS90" s="156">
        <f>SUMIF(LandEmiss!$AE$20:$AE$119,$FG90,LandEmiss!$AL$20:$AL$119)*(2000/8760)*IFERROR($QV$4,0)</f>
        <v>0</v>
      </c>
      <c r="NT90" s="156">
        <f>(SUMIF(LandEmiss!$CN$20:$CN$119,$FG90,LandEmiss!$CU$20:$CU$119)+SUMIF(LandEmiss!$EY$9:$EY$108,$FG90,LandEmiss!$FF$9:$FF$108))*IFERROR($QV$4,0)*(2000/8760)</f>
        <v>0</v>
      </c>
      <c r="NU90" s="155">
        <f>IF(Tank3!$D$22="No control",(SUMIF(Tank3!$E$32:$E$141,$FG90,Tank3!$H$32:$H$141)*(2000/8760)*IFERROR($QV$5,0)),0)</f>
        <v>0</v>
      </c>
      <c r="NV90" s="156">
        <f>SUMIF(LandEmiss!$AE$20:$AE$119,$FG90,LandEmiss!$AM$20:$AM$119)*(2000/8760)*IFERROR($QV$5,0)</f>
        <v>0</v>
      </c>
      <c r="NW90" s="156">
        <f>(SUMIF(LandEmiss!$CN$20:$CN$119,$FG90,LandEmiss!$CV$20:$CV$119)+SUMIF(LandEmiss!$EY$9:$EY$108,$FG90,LandEmiss!$FG$9:$FG$108))*IFERROR($QV$5,0)*(2000/8760)</f>
        <v>0</v>
      </c>
      <c r="NX90" s="155">
        <f>IF(Tank4!$D$22="No control",(SUMIF(Tank4!$E$32:$E$141,$FG90,Tank4!$H$32:$H$141)*(2000/8760)*IFERROR($QV$6,0)),0)</f>
        <v>0</v>
      </c>
      <c r="NY90" s="156">
        <f>SUMIF(LandEmiss!$AE$20:$AE$119,$FG90,LandEmiss!$AN$20:$AN$119)*(2000/8760)*IFERROR($QV$6,0)</f>
        <v>0</v>
      </c>
      <c r="NZ90" s="156">
        <f>(SUMIF(LandEmiss!$CN$20:$CN$119,$FG90,LandEmiss!$CW$20:$CW$119)+SUMIF(LandEmiss!$EY$9:$EY$108,$FG90,LandEmiss!$FH$9:$FH$108))*IFERROR($QV$6,0)*(2000/8760)</f>
        <v>0</v>
      </c>
      <c r="OA90" s="155">
        <f>IF(Tank5!$D$22="No control",(SUMIF(Tank5!$E$32:$E$141,$FG90,Tank5!$H$32:$H$141)*(2000/8760)*IFERROR($QV$7,0)),0)</f>
        <v>0</v>
      </c>
      <c r="OB90" s="156">
        <f>SUMIF(LandEmiss!$AE$20:$AE$119,$FG90,LandEmiss!$AO$20:$AO$119)*(2000/8760)*IFERROR($QV$7,0)</f>
        <v>0</v>
      </c>
      <c r="OC90" s="156">
        <f>(SUMIF(LandEmiss!$CN$20:$CN$119,$FG90,LandEmiss!$CX$20:$CX$119)+SUMIF(LandEmiss!$EY$9:$EY$108,$FG90,LandEmiss!$FI$9:$FI$108))*IFERROR($QV$7,0)*(2000/8760)</f>
        <v>0</v>
      </c>
      <c r="OD90" s="155">
        <f>SUMIFS('Load-DrumTote'!$L$27:$L$136,'Load-DrumTote'!$F$27:$F$136,$FG90)*IFERROR($QV$8,0)*(2000/8760)</f>
        <v>0</v>
      </c>
      <c r="OE90" s="155">
        <f>SUMIFS('Load-Truck'!$L$27:$L$136,'Load-Truck'!$F$27:$F$136,$FG90)*IFERROR($QV$9,0)*(2000/8760)</f>
        <v>0</v>
      </c>
      <c r="OF90" s="155">
        <f>SUMIFS('Load-Rail'!$L$27:$L$136,'Load-Rail'!$F$27:$F$136,$FG90)*IFERROR($QV$10,0)*(2000/8760)</f>
        <v>0</v>
      </c>
      <c r="OG90" s="155">
        <f>SUMIFS('Load-MarineBarge'!$L$27:$L$136,'Load-MarineBarge'!$F$27:$F$136,$FG90)*IFERROR($QV$11,0)*(2000/8760)</f>
        <v>0</v>
      </c>
      <c r="OH90" s="155">
        <f>SUMIFS('Load-MarineShip'!$L$27:$L$136,'Load-MarineShip'!$F$27:$F$136,$FG90)*IFERROR($QV$12,0)*(2000/8760)</f>
        <v>0</v>
      </c>
      <c r="OI90" s="155">
        <f>(IF(OR(Flare!$D$24="FUEL GAS",Flare!$D$38="FUEL GAS"),SUMIF(Flare!$E$97:$E$106,$FG90,Flare!$G$97:$G$105),0)+SUMIF(Flare!$E$107:$E$216,$FG90,Flare!$G$107:$G$216))*(2000/8730)*IFERROR($QV$13,0)</f>
        <v>0</v>
      </c>
      <c r="OJ90" s="155">
        <f>SUMIF(LandEmiss!$A$335:$A$434,$FG90,LandEmiss!$C$335:$C$434)*(2000/8760)*IFERROR($QV$13,0)</f>
        <v>0</v>
      </c>
      <c r="OK90" s="155">
        <f>(SUMIF(LandEmiss!$BJ$335:$BJ$434,$FG90,LandEmiss!$BL$335:$BL$434)+SUMIF(LandEmiss!$DU$323:$DU$422,$FG90,LandEmiss!$DW$323:$DW$422))*(2000/8760)*IFERROR($QV$13,0)</f>
        <v>0</v>
      </c>
      <c r="OL90" s="155">
        <f>(IF(OR(VCU!$D$26="FUEL GAS",VCU!$D$42="FUEL GAS"),SUMIF(VCU!$E$120:$E$129,$FG90,VCU!$G$120:$G$129),0)+SUMIF(VCU!$E$130:$E$239,$FG90,VCU!G218:G327))*(2000/8760)*IFERROR($QV$14,0)</f>
        <v>0</v>
      </c>
      <c r="OM90" s="155">
        <f>SUMIF(LandEmiss!$A$335:$A$434,$FG90,LandEmiss!$E$335:$E$434)*(2000/8760)*IFERROR($QV$14,0)</f>
        <v>0</v>
      </c>
      <c r="ON90" s="155">
        <f>(SUMIF(LandEmiss!$BJ$335:$BJ$434,$FG90,LandEmiss!$BN$335:$BN$434)+SUMIF(LandEmiss!$DU$323:$DU$422,$FG90,LandEmiss!$DY$323:$DY$422))*(2000/8760)*IFERROR($QV$14,0)</f>
        <v>0</v>
      </c>
      <c r="OO90" s="155">
        <f>(IF(VaporOxidizer!$D$33="FUEL GAS",SUMIF(VaporOxidizer!$E$101:$E$110,$FG90,VaporOxidizer!$G$101:$G$110),0)+SUMIF(VaporOxidizer!$E$111:$E$220,$FG90,VaporOxidizer!$G$111:$G$220))*(2000/8760)*IFERROR($QV$15,0)</f>
        <v>0</v>
      </c>
      <c r="OP90" s="155">
        <f>SUMIF(LandEmiss!$A$335:$A$434,$FG90,LandEmiss!$G$335:$G$434)*(2000/8760)*IFERROR($QV$15,0)</f>
        <v>0</v>
      </c>
      <c r="OQ90" s="155">
        <f>(SUMIF(LandEmiss!$BJ$335:$BJ$434,$FG90,LandEmiss!$BP$335:$BP$434)+SUMIF(LandEmiss!$DU$323:$DU$422,$FG90,LandEmiss!$EA$323:$EA$422))*(2000/8760)*IFERROR($QV$15,0)</f>
        <v>0</v>
      </c>
      <c r="OR90" s="155">
        <f>SUMIF(CAS!$E$35:$E$144,Hidden!$FG90,CAS!$I$35:$I$144)*IFERROR($QV$16,0)*(2000/8760)</f>
        <v>0</v>
      </c>
      <c r="OS90" s="155">
        <f>SUMIF(LandEmiss!$A$335:$A$434,$FG90,LandEmiss!$I$335:$I$434)*(2000/8760)*IFERROR($QV$27,0)</f>
        <v>0</v>
      </c>
      <c r="OT90" s="155">
        <f>(SUMIF(LandEmiss!$BJ$335:$BJ$434,$FG90,LandEmiss!$BR$335:$BR$434)+SUMIF(LandEmiss!$DU$323:$DU$422,$FG90,LandEmiss!$EC$323:$EC$422))*(2000/8760)*IFERROR($QV$27,0)</f>
        <v>0</v>
      </c>
      <c r="OU90" s="155">
        <f>SUMIF(LandEmiss!$A$335:$A$434,$FG90,LandEmiss!$K$335:$K$434)*(2000/8760)*IFERROR($QV$26,0)</f>
        <v>0</v>
      </c>
      <c r="OV90" s="155">
        <f>(SUMIF(LandEmiss!$BJ$335:$BJ$434,$FG90,LandEmiss!$BT$335:$BT$434)+SUMIF(LandEmiss!$DU$323:$DU$422,$FG90,LandEmiss!$EE$323:$EE$422))*(2000/8760)*IFERROR($QV$26,0)</f>
        <v>0</v>
      </c>
      <c r="OW90" s="155">
        <f>SUMIF(LandEmiss!$A$335:$A$434,$FG90,LandEmiss!$M$335:$M$434)*(2000/8760)*IFERROR($QV$25,0)</f>
        <v>0</v>
      </c>
      <c r="OX90" s="155">
        <f>(SUMIF(LandEmiss!$BJ$335:$BJ$434,$FG90,LandEmiss!$BV$335:$BV$434)+SUMIF(LandEmiss!$DU$323:$DU$422,$FG90,LandEmiss!$EG$323:$EG$422))*(2000/8760)*IFERROR($QV$25,0)</f>
        <v>0</v>
      </c>
      <c r="OY90" s="8">
        <v>0</v>
      </c>
      <c r="OZ90" s="207">
        <v>0</v>
      </c>
      <c r="PA90" s="207">
        <f>IF(OR(HeaterBoiler1!$E$26&lt;&gt;"fuel gas",HeaterBoiler1!$E$15&lt;&gt;"heater"),0,(SUMIF(HeaterBoiler1!$A$54:$D$63,$FG90,HeaterBoiler1!$J$54:$J$63))*(2000/8760))*IFERROR($QV$19,0)</f>
        <v>0</v>
      </c>
      <c r="PB90" s="207">
        <f>IF(OR(HeaterBoiler2!$E$26&lt;&gt;"fuel gas",HeaterBoiler2!$E$15&lt;&gt;"heater"),0,(SUMIF(HeaterBoiler2!$A$54:$D$63,$FG90,HeaterBoiler2!$J$54:$J$63))*(2000/8760))*IFERROR($QV$21,0)</f>
        <v>0</v>
      </c>
      <c r="PC90" s="207">
        <f>IF(OR(HeaterBoiler1!$E$26&lt;&gt;"fuel gas",HeaterBoiler1!$E$15&lt;&gt;"boiler"),0,(SUMIF(HeaterBoiler1!$A$54:$D$63,$FG90,HeaterBoiler1!$J$54:$J$63))*(2000/8760))*IFERROR($QV$20,0)</f>
        <v>0</v>
      </c>
      <c r="PD90" s="207">
        <f>IF(OR(HeaterBoiler2!$E$26&lt;&gt;"fuel gas",HeaterBoiler2!$E$15&lt;&gt;"boiler"),0,(SUMIF(HeaterBoiler2!$A$54:$D$63,$FG90,HeaterBoiler2!$J$54:$J$63))*(2000/8760))*IFERROR($QV$22,0)</f>
        <v>0</v>
      </c>
      <c r="PE90" s="8">
        <f>(SUMIF(Fug!$A$96:$A$205,$FG90,Fug!$J$96:$J$205))*IFERROR($QV$23,0)*(2000/8760)</f>
        <v>0</v>
      </c>
      <c r="PF90" s="8">
        <f t="shared" si="53"/>
        <v>0</v>
      </c>
      <c r="PG90" s="156">
        <f t="shared" si="54"/>
        <v>0</v>
      </c>
      <c r="QX90" s="89" t="s">
        <v>9335</v>
      </c>
      <c r="QY90">
        <v>1116.0999999999999</v>
      </c>
      <c r="QZ90">
        <v>1116.0999999999999</v>
      </c>
      <c r="RA90">
        <v>1116.0999999999999</v>
      </c>
      <c r="RB90">
        <v>1116.0999999999999</v>
      </c>
      <c r="RC90">
        <v>1116.0999999999999</v>
      </c>
      <c r="RD90">
        <v>1116.0999999999999</v>
      </c>
      <c r="RE90">
        <v>1116.0999999999999</v>
      </c>
      <c r="RF90">
        <v>1116.0999999999999</v>
      </c>
      <c r="RG90">
        <v>1116.0999999999999</v>
      </c>
      <c r="RH90" s="89" t="s">
        <v>9335</v>
      </c>
      <c r="RQ90" s="90"/>
      <c r="RR90" s="89" t="s">
        <v>9335</v>
      </c>
      <c r="SA90" s="90"/>
      <c r="SB90" s="89" t="s">
        <v>9335</v>
      </c>
      <c r="SK90" s="90"/>
      <c r="SL90" s="89" t="s">
        <v>9335</v>
      </c>
      <c r="SM90">
        <v>53.37</v>
      </c>
      <c r="SN90">
        <v>53.37</v>
      </c>
      <c r="SO90">
        <v>53.37</v>
      </c>
      <c r="SP90">
        <v>53.37</v>
      </c>
      <c r="SQ90">
        <v>53.37</v>
      </c>
      <c r="SR90">
        <v>53.37</v>
      </c>
      <c r="SS90">
        <v>53.37</v>
      </c>
      <c r="ST90">
        <v>53.37</v>
      </c>
      <c r="SU90">
        <v>53.37</v>
      </c>
    </row>
    <row r="91" spans="23:515" ht="74.25" customHeight="1" x14ac:dyDescent="0.2">
      <c r="W91">
        <f>IF(OR(X91=0,ISNUMBER(MATCH(X91,$X$1:X90,0))),0,MAX($W$1:W90)+1)</f>
        <v>0</v>
      </c>
      <c r="X91" s="123">
        <f>Products!$E138</f>
        <v>0</v>
      </c>
      <c r="Y91" t="str">
        <f t="shared" si="42"/>
        <v/>
      </c>
      <c r="CA91">
        <f>IF(OR(CB91=0,ISNUMBER(MATCH(CB91,$CB$1:CB90,0))),0,MAX($CA$1:CA90)+1)</f>
        <v>0</v>
      </c>
      <c r="CB91" s="8">
        <f>IF(OR(Tank1!$D$18="EXTERNAL FLOATING ROOF",Tank1!$D$18="INTERNAL FLOATING ROOF"),IF(Tank1!$E121="",0,Tank1!$E121),0)</f>
        <v>0</v>
      </c>
      <c r="CC91" s="8" t="str">
        <f t="shared" si="43"/>
        <v/>
      </c>
      <c r="CD91" s="8"/>
      <c r="CE91" s="8">
        <f>IF(OR(CF91=0,ISNUMBER(MATCH(CF91,$CF$1:CF90,0))),0,MAX($CE$1:CE90)+1)</f>
        <v>0</v>
      </c>
      <c r="CF91" s="8">
        <f>IF(OR(Tank1!$D$18="HORIZONTAL FIXED ROOF",Tank1!$D$18="VERTICAL FIXED ROOF"),IF(Tank1!$E121="",0,Tank1!$E121),0)</f>
        <v>0</v>
      </c>
      <c r="CG91" s="8" t="str">
        <f t="shared" si="44"/>
        <v/>
      </c>
      <c r="DM91">
        <f>IF(OR(DN91=0,ISNUMBER(MATCH(DN91,$DN$1:DN90,0))),0,MAX($DM$1:DM90)+1)</f>
        <v>0</v>
      </c>
      <c r="DN91">
        <f>IF('Load-MarineBarge'!$F$19="Flare",IFERROR(VLOOKUP(Products!$A$149,'Load-MarineBarge'!$A$27:$B$136,1,FALSE),0),0)</f>
        <v>0</v>
      </c>
      <c r="DO91">
        <f>IF($DN91=0,0,VLOOKUP($DN91,'Load-MarineBarge'!$A$27:$N$136,13,FALSE))</f>
        <v>0</v>
      </c>
      <c r="DP91">
        <f>IF($DN91=0,0,VLOOKUP($DN91,'Load-MarineBarge'!$A$27:$N$136,14,FALSE))</f>
        <v>0</v>
      </c>
      <c r="DU91">
        <f>IF(OR(DV91=0,ISNUMBER(MATCH(DV91,$DV$1:DV90,0))),0,MAX($DU$1:DU90)+1)</f>
        <v>0</v>
      </c>
      <c r="DV91">
        <f>IF('Load-MarineBarge'!$F$19="VCU",IFERROR(VLOOKUP(Products!$A$149,'Load-MarineBarge'!$A$27:$B$136,1,FALSE),0),0)</f>
        <v>0</v>
      </c>
      <c r="DW91">
        <f>IF($DV91=0,0,VLOOKUP($DV91,'Load-MarineBarge'!$A$27:$N$136,13,FALSE))</f>
        <v>0</v>
      </c>
      <c r="DX91">
        <f>IF($DV91=0,0,VLOOKUP($DV91,'Load-MarineBarge'!$A$27:$N$136,14,FALSE))</f>
        <v>0</v>
      </c>
      <c r="EC91">
        <f>IF(OR(ED91=0,ISNUMBER(MATCH(ED91,$ED$1:ED90,0))),0,MAX($EC$1:EC90)+1)</f>
        <v>0</v>
      </c>
      <c r="ED91">
        <f>IF('Load-MarineBarge'!$F$19="vapor oxidizer",IFERROR(VLOOKUP(Products!$A$149,'Load-MarineBarge'!$A$27:$B$136,1,FALSE),0),0)</f>
        <v>0</v>
      </c>
      <c r="EE91">
        <f>IF($ED91=0,0,VLOOKUP($ED91,'Load-MarineBarge'!$A$27:$N$136,13,FALSE))</f>
        <v>0</v>
      </c>
      <c r="EF91">
        <f>IF($ED91=0,0,VLOOKUP($ED91,'Load-MarineBarge'!$A$27:$N$136,14,FALSE))</f>
        <v>0</v>
      </c>
      <c r="EK91">
        <f>IF(OR(EL91=0,ISNUMBER(MATCH(EL91,$EL$1:EL90,0))),0,MAX($EK$1:EK90)+1)</f>
        <v>0</v>
      </c>
      <c r="EL91">
        <f>IF('Load-MarineBarge'!$F$19="CAS",IFERROR(VLOOKUP(Products!A149,'Load-MarineBarge'!$A$27:$B$136,1,FALSE),0),0)</f>
        <v>0</v>
      </c>
      <c r="EM91">
        <f>IF($EL91=0,0,VLOOKUP($EL91,'Load-MarineBarge'!$A$27:$N$136,13,FALSE))</f>
        <v>0</v>
      </c>
      <c r="EN91">
        <f>IF($EL91=0,0,VLOOKUP($EL91,'Load-MarineBarge'!$A$27:$N$136,14,FALSE))</f>
        <v>0</v>
      </c>
      <c r="FB91" s="8" t="s">
        <v>526</v>
      </c>
      <c r="FC91" s="8" t="s">
        <v>527</v>
      </c>
      <c r="FD91" s="8">
        <v>600</v>
      </c>
      <c r="FE91" s="8">
        <v>60</v>
      </c>
      <c r="FG91" s="360" t="str">
        <f t="shared" si="45"/>
        <v/>
      </c>
      <c r="FH91" s="155">
        <f>IF(Tank1!$D$22="NO CONTROL",_xlfn.MAXIFS(Tank1!$G$32:$G$141,Tank1!$E$32:$E$141,$FG91),0)*IFERROR($QR$3,0)</f>
        <v>0</v>
      </c>
      <c r="FI91" s="155">
        <f>_xlfn.MAXIFS(LandEmiss!$AF$20:$AF$119,LandEmiss!$AE$20:$AE$119,$FG91)*IFERROR($QR$3,0)</f>
        <v>0</v>
      </c>
      <c r="FJ91" s="155">
        <f>MAX(_xlfn.MAXIFS(LandEmiss!$CO$20:$CO$119,LandEmiss!$CN$20:$CN$119,$FG91),_xlfn.MAXIFS(LandEmiss!$EZ$9:$EZ$108,LandEmiss!$EY$9:$EY$108,$FG91))*IFERROR($QR$3,0)</f>
        <v>0</v>
      </c>
      <c r="FK91" s="155">
        <f>IF(Tank2!$D$22="NO CONTROL",_xlfn.MAXIFS(Tank2!$G$32:$G$141,Tank2!$E$32:$E$141,$FG91),0)*IFERROR($QR$4,0)</f>
        <v>0</v>
      </c>
      <c r="FL91" s="155">
        <f>_xlfn.MAXIFS(LandEmiss!$AG$20:$AG$119,LandEmiss!$AE$20:$AE$119,$FG91)*IFERROR($QR$4,0)</f>
        <v>0</v>
      </c>
      <c r="FM91" s="155">
        <f>MAX(_xlfn.MAXIFS(LandEmiss!$CP$20:$CP$119,LandEmiss!$CN$20:$CN$119,$FG91),_xlfn.MAXIFS(LandEmiss!$FA$9:$FA$108,LandEmiss!$EY$9:$EY$108,$FG91))*IFERROR($QR$4,0)</f>
        <v>0</v>
      </c>
      <c r="FN91" s="155">
        <f>IF(Tank3!$D$22="NO CONTROL",_xlfn.MAXIFS(Tank3!$G$32:$G$141,Tank3!$E$32:$E$141,$FG91),0)*IFERROR($QR$5,0)</f>
        <v>0</v>
      </c>
      <c r="FO91" s="155">
        <f>_xlfn.MAXIFS(LandEmiss!$AH$20:$AH$119,LandEmiss!$AE$20:$AE$119,$FG91)*IFERROR($QR$5,0)</f>
        <v>0</v>
      </c>
      <c r="FP91" s="155">
        <f>MAX(_xlfn.MAXIFS(LandEmiss!$CQ$20:$CQ$119,LandEmiss!$CN$20:$CN$119,$FG91),_xlfn.MAXIFS(LandEmiss!$FB$9:$FB$108,LandEmiss!$EY$9:$EY$108,$FG91))*IFERROR($QR$5,0)</f>
        <v>0</v>
      </c>
      <c r="FQ91" s="155">
        <f>IF(Tank4!$D$22="NO CONTROL",_xlfn.MAXIFS(Tank4!$G$32:$G$141,Tank4!$E$32:$E$141,$FG91),0)*IFERROR($QR$6,0)</f>
        <v>0</v>
      </c>
      <c r="FR91" s="155">
        <f>_xlfn.MAXIFS(LandEmiss!$AI$20:$AI$119,LandEmiss!$AE$20:$AE$119,$FG91)*IFERROR($QR$6,0)</f>
        <v>0</v>
      </c>
      <c r="FS91" s="155">
        <f>MAX(_xlfn.MAXIFS(LandEmiss!$CR$20:$CR$119,LandEmiss!$CN$20:$CN$119,$FG91),_xlfn.MAXIFS(LandEmiss!$FC$9:$FC$108,LandEmiss!$EY$9:$EY$108,$FG91))*IFERROR($QR$6,0)</f>
        <v>0</v>
      </c>
      <c r="FT91" s="155">
        <f>IF(Tank5!$D$22="NO CONTROL",_xlfn.MAXIFS(Tank5!$G$32:$G$141,Tank5!$E$32:$E$141,$FG91),0)*IFERROR($QR$7,0)</f>
        <v>0</v>
      </c>
      <c r="FU91" s="155">
        <f>_xlfn.MAXIFS(LandEmiss!$AJ$20:$AJ$119,LandEmiss!$AE$20:$AE$119,$FG91)*IFERROR($QR$7,0)</f>
        <v>0</v>
      </c>
      <c r="FV91" s="155">
        <f>MAX(_xlfn.MAXIFS(LandEmiss!$CS$20:$CS$119,LandEmiss!$CN$20:$CN$119,$FG91),_xlfn.MAXIFS(LandEmiss!$FD$9:$FD$108,LandEmiss!$EY$9:$EY$108,$FG91))*IFERROR($QR96,0)</f>
        <v>0</v>
      </c>
      <c r="FW91" s="155">
        <f>_xlfn.MAXIFS('Load-DrumTote'!$K$27:$K$136,'Load-DrumTote'!$F$27:$F$136,$FG91)*IFERROR($QR$8,0)</f>
        <v>0</v>
      </c>
      <c r="FX91" s="155">
        <f>_xlfn.MAXIFS('Load-Truck'!$K$27:$K$136,'Load-Truck'!$F$27:$F$136,$FG91)*IFERROR($QR$9,0)</f>
        <v>0</v>
      </c>
      <c r="FY91" s="155">
        <f>_xlfn.MAXIFS('Load-Rail'!$K$27:$K$136,'Load-Rail'!$F$27:$F$136,$FG91)*IFERROR($QR$10,0)</f>
        <v>0</v>
      </c>
      <c r="FZ91" s="155">
        <f>_xlfn.MAXIFS('Load-MarineBarge'!$K$27:$K$136,'Load-MarineBarge'!$F$27:$F$136,$FG91)*IFERROR($QR$11,0)</f>
        <v>0</v>
      </c>
      <c r="GA91" s="155">
        <f>_xlfn.MAXIFS('Load-MarineShip'!$K$27:$K$136,'Load-MarineShip'!$F$27:$F$136,$FG91)*IFERROR($QR$12,0)</f>
        <v>0</v>
      </c>
      <c r="GB91" s="313">
        <f>IF(OR(Flare!$D$24="fuel gas",Flare!$D$38="fuel gas"),SUMIF(Flare!$E$97:$E$106,$FG91,Flare!$F$97:$F$106),0)*IFERROR($QR$13,0)</f>
        <v>0</v>
      </c>
      <c r="GC91" s="313">
        <f>(_xlfn.MAXIFS(CtrlDevImpacts!$I$57:$I$156,CtrlDevImpacts!$H$57:$H$156,$FG91))*IFERROR($QR$13,0)</f>
        <v>0</v>
      </c>
      <c r="GD91" s="313">
        <f>(_xlfn.MAXIFS(Flare!$F$107:$F$216,Flare!$E$107:$E$216,$FG91)-_xlfn.MAXIFS(CtrlDevImpacts!$I$57:$I$156,CtrlDevImpacts!$H$57:$H$156,$FG91))*IFERROR($QR$13,0)</f>
        <v>0</v>
      </c>
      <c r="GE91" s="155">
        <f>_xlfn.MAXIFS(LandEmiss!$B$335:$B$434,LandEmiss!$A$335:$A$434,$FG91)*IFERROR($QR$13,0)</f>
        <v>0</v>
      </c>
      <c r="GF91" s="155">
        <f>(_xlfn.MAXIFS(LandEmiss!$BK$335:$BK$434,LandEmiss!$BJ$335:$BJ$434,$FG91)+_xlfn.MAXIFS(LandEmiss!$DV$323:$DV$422,LandEmiss!$DU$323:$DU$422,$FG91))*IFERROR($QR$13,0)</f>
        <v>0</v>
      </c>
      <c r="GG91" s="313">
        <f>IF(OR(VCU!$D$26="fuel gas",VCU!$D$42="fuel gas"),SUMIF(VCU!$E$120:$E$129,$FG91,VCU!$F$120:$F$129),0)*IFERROR($QR$14,0)</f>
        <v>0</v>
      </c>
      <c r="GH91" s="313">
        <f>(_xlfn.MAXIFS(CtrlDevImpacts!$X$57:$X$156,CtrlDevImpacts!$W$57:$W$156,$FG91))*IFERROR($QR$14,0)</f>
        <v>0</v>
      </c>
      <c r="GI91" s="313">
        <f>(_xlfn.MAXIFS(VCU!$F$130:$F$239,VCU!$E$130:$E$239,$FG91)-_xlfn.MAXIFS(CtrlDevImpacts!$X$57:$X$156,CtrlDevImpacts!$W$57:$W$156,$FG91))*IFERROR($QR$14,0)</f>
        <v>0</v>
      </c>
      <c r="GJ91" s="155">
        <f>_xlfn.MAXIFS(LandEmiss!$D$335:$D$434,LandEmiss!$A$335:$A$434,$FG91)*IFERROR($QR$14,0)</f>
        <v>0</v>
      </c>
      <c r="GK91" s="155">
        <f>(_xlfn.MAXIFS(LandEmiss!$BM$335:$BM$434,LandEmiss!$BJ$335:$BJ$434,$FG91)+_xlfn.MAXIFS(LandEmiss!$DX$323:$DX$422,LandEmiss!$DU$323:$DU$422,$FG91))*IFERROR($QR$14,0)</f>
        <v>0</v>
      </c>
      <c r="GL91" s="313">
        <f>IF(VaporOxidizer!D122="FUEL GAS",SUMIF(VaporOxidizer!$E$101:$E$110,$FG91,VaporOxidizer!$F$101:$F$110),0)*IFERROR($QR$15,0)</f>
        <v>0</v>
      </c>
      <c r="GM91" s="313">
        <f>(_xlfn.MAXIFS(CtrlDevImpacts!$AN$57:$AN$156,CtrlDevImpacts!$AM$57:$AM$156,$FG91))*IFERROR($QR$15,0)</f>
        <v>0</v>
      </c>
      <c r="GN91" s="313">
        <f>(_xlfn.MAXIFS(VaporOxidizer!$F$111:$F$220,VaporOxidizer!$E$111:$E$220,$FG91)-_xlfn.MAXIFS(CtrlDevImpacts!$AN$57:$AN$156,CtrlDevImpacts!$AM$57:$AM$156,$FG91))*IFERROR($QR$15,0)</f>
        <v>0</v>
      </c>
      <c r="GO91" s="155">
        <f>_xlfn.MAXIFS(LandEmiss!$F$335:$F$434,LandEmiss!$A$335:$A$434,$FG91)*IFERROR($QR$15,0)</f>
        <v>0</v>
      </c>
      <c r="GP91" s="155">
        <f>(_xlfn.MAXIFS(LandEmiss!$BK$335:$BK$434,LandEmiss!$BO$335:$BO$434,$FG91)+_xlfn.MAXIFS(LandEmiss!$DZ$323:$DZ$422,LandEmiss!$DU$323:$DU$422,$FG91))*IFERROR($QR$15,0)</f>
        <v>0</v>
      </c>
      <c r="GQ91" s="313">
        <f>_xlfn.MAXIFS(CtrlDevImpacts!$BD$57:$BD$156,CtrlDevImpacts!$BC$57:$BC$156,$FG91)*IFERROR(Hidden!$QR$16,0)</f>
        <v>0</v>
      </c>
      <c r="GR91" s="313">
        <f>(_xlfn.MAXIFS(CAS!$H$35:$H$144,CAS!$E$35:$E$144,$FG91)-_xlfn.MAXIFS(CtrlDevImpacts!$BD$57:$BD$156,CtrlDevImpacts!$BC$57:$BC$156,$FG91))*IFERROR(Hidden!$QR$16,0)</f>
        <v>0</v>
      </c>
      <c r="GS91" s="155">
        <f>_xlfn.MAXIFS(LandEmiss!$H$335:$H$434,LandEmiss!$A$335:$A$434,$FG91)*IFERROR($QR$27,0)</f>
        <v>0</v>
      </c>
      <c r="GT91" s="155">
        <f>(_xlfn.MAXIFS(LandEmiss!$BK$335:$BK$434,LandEmiss!$BQ$335:$BQ$434,$FG91)+_xlfn.MAXIFS(LandEmiss!$EB$323:$EB$422,LandEmiss!$DU$323:$DU$422,$FG91))*IFERROR($QR$27,0)</f>
        <v>0</v>
      </c>
      <c r="GU91" s="155">
        <f>_xlfn.MAXIFS(LandEmiss!$J$335:$J$434,LandEmiss!$A$335:$A$434,$FG91)*IFERROR($QR$26,0)</f>
        <v>0</v>
      </c>
      <c r="GV91" s="155">
        <f>(_xlfn.MAXIFS(LandEmiss!$BK$335:$BK$434,LandEmiss!$BS$335:$BS$434,$FG91)+_xlfn.MAXIFS(LandEmiss!$ED$323:$ED$422,LandEmiss!$DU$323:$DU$422,$FG91))*IFERROR($QR$26,0)</f>
        <v>0</v>
      </c>
      <c r="GW91" s="155">
        <f>_xlfn.MAXIFS(LandEmiss!$L$335:$L$434,LandEmiss!$A$335:$A$434,$FG91)*IFERROR($QR$25,0)</f>
        <v>0</v>
      </c>
      <c r="GX91" s="155">
        <f>(_xlfn.MAXIFS(LandEmiss!$BK$335:$BK$434,LandEmiss!$BU$335:$BU$434,$FG91)+_xlfn.MAXIFS(LandEmiss!$EF$323:$EF$422,LandEmiss!$DU$323:$DU$422,$FG91))*IFERROR($QR$25,0)</f>
        <v>0</v>
      </c>
      <c r="GY91" s="155">
        <v>0</v>
      </c>
      <c r="GZ91" s="155">
        <v>0</v>
      </c>
      <c r="HA91" s="155">
        <f>IF(OR(HeaterBoiler1!$E$26&lt;&gt;"fuel gas",HeaterBoiler1!$E$15&lt;&gt;"heater"),0,SUMIF(HeaterBoiler1!$A$54:$D$63,$FG91,HeaterBoiler1!$I$54:$I$63))*IFERROR($QR$19,0)</f>
        <v>0</v>
      </c>
      <c r="HB91" s="207">
        <f>IF(OR(HeaterBoiler2!$E$26&lt;&gt;"fuel gas",HeaterBoiler2!$E$15&lt;&gt;"heater"),0,SUMIF(HeaterBoiler2!$A$54:$D$63,$FG91,HeaterBoiler2!$I$54:$I$63))*IFERROR($QR$21,0)</f>
        <v>0</v>
      </c>
      <c r="HC91" s="155">
        <f>IF(OR(HeaterBoiler1!$E$26&lt;&gt;"fuel gas",HeaterBoiler1!$E$15&lt;&gt;"boiler"),0,SUMIF(HeaterBoiler1!$A$41:$A$50,$FG91,HeaterBoiler1!$F$41:$F$50))*IFERROR($QR$20,0)</f>
        <v>0</v>
      </c>
      <c r="HD91" s="207">
        <f>IF(OR(HeaterBoiler2!$E$26&lt;&gt;"fuel gas",HeaterBoiler2!$E$15&lt;&gt;"boiler"),0,SUMIF(HeaterBoiler2!$A$41:$A$50,$FG91,HeaterBoiler2!$F$41:$F$50))*IFERROR($QR$22,0)</f>
        <v>0</v>
      </c>
      <c r="HE91" s="155">
        <f>SUMIF(Fug!$A$96:$A$205,$FG91,Fug!$I$96:$I$205)*IFERROR(Hidden!$QR$23,0)</f>
        <v>0</v>
      </c>
      <c r="HF91" s="155">
        <f t="shared" si="46"/>
        <v>0</v>
      </c>
      <c r="HG91" s="156">
        <f t="shared" si="47"/>
        <v>0</v>
      </c>
      <c r="HH91" s="156">
        <f t="shared" si="48"/>
        <v>0</v>
      </c>
      <c r="HI91" s="156">
        <f t="shared" si="49"/>
        <v>0</v>
      </c>
      <c r="HJ91" s="156">
        <f t="shared" si="50"/>
        <v>0</v>
      </c>
      <c r="HK91" s="156">
        <f t="shared" si="51"/>
        <v>0</v>
      </c>
      <c r="HL91" s="156">
        <f t="shared" si="52"/>
        <v>0</v>
      </c>
      <c r="NO91" s="155">
        <f>IF(Tank1!$D$22="No control",(SUMIF(Tank1!$E$32:$E$141,$FG91,Tank1!$H$32:$H$141)*(2000/8760)*IFERROR($QV$3,0)),0)</f>
        <v>0</v>
      </c>
      <c r="NP91" s="156">
        <f>SUMIF(LandEmiss!$AE$20:$AE$119,$FG91,LandEmiss!$AK$20:$AK$119)*(2000/8760)*IFERROR($QV$3,0)</f>
        <v>0</v>
      </c>
      <c r="NQ91" s="156">
        <f>(SUMIF(LandEmiss!$CN$20:$CN$119,$FG91,LandEmiss!$CT$20:$CT$119)+SUMIF(LandEmiss!$EY$9:$EY$108,$FG91,LandEmiss!$FE$9:$FE$108))*IFERROR($QV$3,0)*(2000/8760)</f>
        <v>0</v>
      </c>
      <c r="NR91" s="155">
        <f>IF(Tank2!$D$22="No control",(SUMIF(Tank2!$E$32:$E$141,$FG91,Tank2!$H$32:$H$141)*(2000/8760)*IFERROR($QV$4,0)),0)</f>
        <v>0</v>
      </c>
      <c r="NS91" s="156">
        <f>SUMIF(LandEmiss!$AE$20:$AE$119,$FG91,LandEmiss!$AL$20:$AL$119)*(2000/8760)*IFERROR($QV$4,0)</f>
        <v>0</v>
      </c>
      <c r="NT91" s="156">
        <f>(SUMIF(LandEmiss!$CN$20:$CN$119,$FG91,LandEmiss!$CU$20:$CU$119)+SUMIF(LandEmiss!$EY$9:$EY$108,$FG91,LandEmiss!$FF$9:$FF$108))*IFERROR($QV$4,0)*(2000/8760)</f>
        <v>0</v>
      </c>
      <c r="NU91" s="155">
        <f>IF(Tank3!$D$22="No control",(SUMIF(Tank3!$E$32:$E$141,$FG91,Tank3!$H$32:$H$141)*(2000/8760)*IFERROR($QV$5,0)),0)</f>
        <v>0</v>
      </c>
      <c r="NV91" s="156">
        <f>SUMIF(LandEmiss!$AE$20:$AE$119,$FG91,LandEmiss!$AM$20:$AM$119)*(2000/8760)*IFERROR($QV$5,0)</f>
        <v>0</v>
      </c>
      <c r="NW91" s="156">
        <f>(SUMIF(LandEmiss!$CN$20:$CN$119,$FG91,LandEmiss!$CV$20:$CV$119)+SUMIF(LandEmiss!$EY$9:$EY$108,$FG91,LandEmiss!$FG$9:$FG$108))*IFERROR($QV$5,0)*(2000/8760)</f>
        <v>0</v>
      </c>
      <c r="NX91" s="155">
        <f>IF(Tank4!$D$22="No control",(SUMIF(Tank4!$E$32:$E$141,$FG91,Tank4!$H$32:$H$141)*(2000/8760)*IFERROR($QV$6,0)),0)</f>
        <v>0</v>
      </c>
      <c r="NY91" s="156">
        <f>SUMIF(LandEmiss!$AE$20:$AE$119,$FG91,LandEmiss!$AN$20:$AN$119)*(2000/8760)*IFERROR($QV$6,0)</f>
        <v>0</v>
      </c>
      <c r="NZ91" s="156">
        <f>(SUMIF(LandEmiss!$CN$20:$CN$119,$FG91,LandEmiss!$CW$20:$CW$119)+SUMIF(LandEmiss!$EY$9:$EY$108,$FG91,LandEmiss!$FH$9:$FH$108))*IFERROR($QV$6,0)*(2000/8760)</f>
        <v>0</v>
      </c>
      <c r="OA91" s="155">
        <f>IF(Tank5!$D$22="No control",(SUMIF(Tank5!$E$32:$E$141,$FG91,Tank5!$H$32:$H$141)*(2000/8760)*IFERROR($QV$7,0)),0)</f>
        <v>0</v>
      </c>
      <c r="OB91" s="156">
        <f>SUMIF(LandEmiss!$AE$20:$AE$119,$FG91,LandEmiss!$AO$20:$AO$119)*(2000/8760)*IFERROR($QV$7,0)</f>
        <v>0</v>
      </c>
      <c r="OC91" s="156">
        <f>(SUMIF(LandEmiss!$CN$20:$CN$119,$FG91,LandEmiss!$CX$20:$CX$119)+SUMIF(LandEmiss!$EY$9:$EY$108,$FG91,LandEmiss!$FI$9:$FI$108))*IFERROR($QV$7,0)*(2000/8760)</f>
        <v>0</v>
      </c>
      <c r="OD91" s="155">
        <f>SUMIFS('Load-DrumTote'!$L$27:$L$136,'Load-DrumTote'!$F$27:$F$136,$FG91)*IFERROR($QV$8,0)*(2000/8760)</f>
        <v>0</v>
      </c>
      <c r="OE91" s="155">
        <f>SUMIFS('Load-Truck'!$L$27:$L$136,'Load-Truck'!$F$27:$F$136,$FG91)*IFERROR($QV$9,0)*(2000/8760)</f>
        <v>0</v>
      </c>
      <c r="OF91" s="155">
        <f>SUMIFS('Load-Rail'!$L$27:$L$136,'Load-Rail'!$F$27:$F$136,$FG91)*IFERROR($QV$10,0)*(2000/8760)</f>
        <v>0</v>
      </c>
      <c r="OG91" s="155">
        <f>SUMIFS('Load-MarineBarge'!$L$27:$L$136,'Load-MarineBarge'!$F$27:$F$136,$FG91)*IFERROR($QV$11,0)*(2000/8760)</f>
        <v>0</v>
      </c>
      <c r="OH91" s="155">
        <f>SUMIFS('Load-MarineShip'!$L$27:$L$136,'Load-MarineShip'!$F$27:$F$136,$FG91)*IFERROR($QV$12,0)*(2000/8760)</f>
        <v>0</v>
      </c>
      <c r="OI91" s="155">
        <f>(IF(OR(Flare!$D$24="FUEL GAS",Flare!$D$38="FUEL GAS"),SUMIF(Flare!$E$97:$E$106,$FG91,Flare!$G$97:$G$105),0)+SUMIF(Flare!$E$107:$E$216,$FG91,Flare!$G$107:$G$216))*(2000/8730)*IFERROR($QV$13,0)</f>
        <v>0</v>
      </c>
      <c r="OJ91" s="155">
        <f>SUMIF(LandEmiss!$A$335:$A$434,$FG91,LandEmiss!$C$335:$C$434)*(2000/8760)*IFERROR($QV$13,0)</f>
        <v>0</v>
      </c>
      <c r="OK91" s="155">
        <f>(SUMIF(LandEmiss!$BJ$335:$BJ$434,$FG91,LandEmiss!$BL$335:$BL$434)+SUMIF(LandEmiss!$DU$323:$DU$422,$FG91,LandEmiss!$DW$323:$DW$422))*(2000/8760)*IFERROR($QV$13,0)</f>
        <v>0</v>
      </c>
      <c r="OL91" s="155">
        <f>(IF(OR(VCU!$D$26="FUEL GAS",VCU!$D$42="FUEL GAS"),SUMIF(VCU!$E$120:$E$129,$FG91,VCU!$G$120:$G$129),0)+SUMIF(VCU!$E$130:$E$239,$FG91,VCU!G219:G328))*(2000/8760)*IFERROR($QV$14,0)</f>
        <v>0</v>
      </c>
      <c r="OM91" s="155">
        <f>SUMIF(LandEmiss!$A$335:$A$434,$FG91,LandEmiss!$E$335:$E$434)*(2000/8760)*IFERROR($QV$14,0)</f>
        <v>0</v>
      </c>
      <c r="ON91" s="155">
        <f>(SUMIF(LandEmiss!$BJ$335:$BJ$434,$FG91,LandEmiss!$BN$335:$BN$434)+SUMIF(LandEmiss!$DU$323:$DU$422,$FG91,LandEmiss!$DY$323:$DY$422))*(2000/8760)*IFERROR($QV$14,0)</f>
        <v>0</v>
      </c>
      <c r="OO91" s="155">
        <f>(IF(VaporOxidizer!$D$33="FUEL GAS",SUMIF(VaporOxidizer!$E$101:$E$110,$FG91,VaporOxidizer!$G$101:$G$110),0)+SUMIF(VaporOxidizer!$E$111:$E$220,$FG91,VaporOxidizer!$G$111:$G$220))*(2000/8760)*IFERROR($QV$15,0)</f>
        <v>0</v>
      </c>
      <c r="OP91" s="155">
        <f>SUMIF(LandEmiss!$A$335:$A$434,$FG91,LandEmiss!$G$335:$G$434)*(2000/8760)*IFERROR($QV$15,0)</f>
        <v>0</v>
      </c>
      <c r="OQ91" s="155">
        <f>(SUMIF(LandEmiss!$BJ$335:$BJ$434,$FG91,LandEmiss!$BP$335:$BP$434)+SUMIF(LandEmiss!$DU$323:$DU$422,$FG91,LandEmiss!$EA$323:$EA$422))*(2000/8760)*IFERROR($QV$15,0)</f>
        <v>0</v>
      </c>
      <c r="OR91" s="155">
        <f>SUMIF(CAS!$E$35:$E$144,Hidden!$FG91,CAS!$I$35:$I$144)*IFERROR($QV$16,0)*(2000/8760)</f>
        <v>0</v>
      </c>
      <c r="OS91" s="155">
        <f>SUMIF(LandEmiss!$A$335:$A$434,$FG91,LandEmiss!$I$335:$I$434)*(2000/8760)*IFERROR($QV$27,0)</f>
        <v>0</v>
      </c>
      <c r="OT91" s="155">
        <f>(SUMIF(LandEmiss!$BJ$335:$BJ$434,$FG91,LandEmiss!$BR$335:$BR$434)+SUMIF(LandEmiss!$DU$323:$DU$422,$FG91,LandEmiss!$EC$323:$EC$422))*(2000/8760)*IFERROR($QV$27,0)</f>
        <v>0</v>
      </c>
      <c r="OU91" s="155">
        <f>SUMIF(LandEmiss!$A$335:$A$434,$FG91,LandEmiss!$K$335:$K$434)*(2000/8760)*IFERROR($QV$26,0)</f>
        <v>0</v>
      </c>
      <c r="OV91" s="155">
        <f>(SUMIF(LandEmiss!$BJ$335:$BJ$434,$FG91,LandEmiss!$BT$335:$BT$434)+SUMIF(LandEmiss!$DU$323:$DU$422,$FG91,LandEmiss!$EE$323:$EE$422))*(2000/8760)*IFERROR($QV$26,0)</f>
        <v>0</v>
      </c>
      <c r="OW91" s="155">
        <f>SUMIF(LandEmiss!$A$335:$A$434,$FG91,LandEmiss!$M$335:$M$434)*(2000/8760)*IFERROR($QV$25,0)</f>
        <v>0</v>
      </c>
      <c r="OX91" s="155">
        <f>(SUMIF(LandEmiss!$BJ$335:$BJ$434,$FG91,LandEmiss!$BV$335:$BV$434)+SUMIF(LandEmiss!$DU$323:$DU$422,$FG91,LandEmiss!$EG$323:$EG$422))*(2000/8760)*IFERROR($QV$25,0)</f>
        <v>0</v>
      </c>
      <c r="OY91" s="8">
        <v>0</v>
      </c>
      <c r="OZ91" s="207">
        <v>0</v>
      </c>
      <c r="PA91" s="207">
        <f>IF(OR(HeaterBoiler1!$E$26&lt;&gt;"fuel gas",HeaterBoiler1!$E$15&lt;&gt;"heater"),0,(SUMIF(HeaterBoiler1!$A$54:$D$63,$FG91,HeaterBoiler1!$J$54:$J$63))*(2000/8760))*IFERROR($QV$19,0)</f>
        <v>0</v>
      </c>
      <c r="PB91" s="207">
        <f>IF(OR(HeaterBoiler2!$E$26&lt;&gt;"fuel gas",HeaterBoiler2!$E$15&lt;&gt;"heater"),0,(SUMIF(HeaterBoiler2!$A$54:$D$63,$FG91,HeaterBoiler2!$J$54:$J$63))*(2000/8760))*IFERROR($QV$21,0)</f>
        <v>0</v>
      </c>
      <c r="PC91" s="207">
        <f>IF(OR(HeaterBoiler1!$E$26&lt;&gt;"fuel gas",HeaterBoiler1!$E$15&lt;&gt;"boiler"),0,(SUMIF(HeaterBoiler1!$A$54:$D$63,$FG91,HeaterBoiler1!$J$54:$J$63))*(2000/8760))*IFERROR($QV$20,0)</f>
        <v>0</v>
      </c>
      <c r="PD91" s="207">
        <f>IF(OR(HeaterBoiler2!$E$26&lt;&gt;"fuel gas",HeaterBoiler2!$E$15&lt;&gt;"boiler"),0,(SUMIF(HeaterBoiler2!$A$54:$D$63,$FG91,HeaterBoiler2!$J$54:$J$63))*(2000/8760))*IFERROR($QV$22,0)</f>
        <v>0</v>
      </c>
      <c r="PE91" s="8">
        <f>(SUMIF(Fug!$A$96:$A$205,$FG91,Fug!$J$96:$J$205))*IFERROR($QV$23,0)*(2000/8760)</f>
        <v>0</v>
      </c>
      <c r="PF91" s="8">
        <f t="shared" si="53"/>
        <v>0</v>
      </c>
      <c r="PG91" s="156">
        <f t="shared" si="54"/>
        <v>0</v>
      </c>
      <c r="QX91" s="89" t="s">
        <v>9336</v>
      </c>
      <c r="QY91">
        <v>848.7</v>
      </c>
      <c r="QZ91">
        <v>848.7</v>
      </c>
      <c r="RA91">
        <v>848.7</v>
      </c>
      <c r="RB91">
        <v>848.7</v>
      </c>
      <c r="RC91">
        <v>848.7</v>
      </c>
      <c r="RD91">
        <v>848.7</v>
      </c>
      <c r="RE91">
        <v>848.7</v>
      </c>
      <c r="RF91">
        <v>848.7</v>
      </c>
      <c r="RG91">
        <v>848.7</v>
      </c>
      <c r="RH91" s="89" t="s">
        <v>9336</v>
      </c>
      <c r="RQ91" s="90"/>
      <c r="RR91" s="89" t="s">
        <v>9336</v>
      </c>
      <c r="SA91" s="90"/>
      <c r="SB91" s="89" t="s">
        <v>9336</v>
      </c>
      <c r="SK91" s="90"/>
      <c r="SL91" s="89" t="s">
        <v>9336</v>
      </c>
      <c r="SM91">
        <v>28.61</v>
      </c>
      <c r="SN91">
        <v>28.61</v>
      </c>
      <c r="SO91">
        <v>28.61</v>
      </c>
      <c r="SP91">
        <v>28.61</v>
      </c>
      <c r="SQ91">
        <v>28.61</v>
      </c>
      <c r="SR91">
        <v>28.61</v>
      </c>
      <c r="SS91">
        <v>28.61</v>
      </c>
      <c r="ST91">
        <v>28.61</v>
      </c>
      <c r="SU91">
        <v>28.61</v>
      </c>
    </row>
    <row r="92" spans="23:515" ht="74.25" customHeight="1" x14ac:dyDescent="0.2">
      <c r="W92">
        <f>IF(OR(X92=0,ISNUMBER(MATCH(X92,$X$1:X91,0))),0,MAX($W$1:W91)+1)</f>
        <v>0</v>
      </c>
      <c r="X92" s="123">
        <f>Products!$E139</f>
        <v>0</v>
      </c>
      <c r="Y92" t="str">
        <f t="shared" si="42"/>
        <v/>
      </c>
      <c r="CA92">
        <f>IF(OR(CB92=0,ISNUMBER(MATCH(CB92,$CB$1:CB91,0))),0,MAX($CA$1:CA91)+1)</f>
        <v>0</v>
      </c>
      <c r="CB92" s="8">
        <f>IF(OR(Tank1!$D$18="EXTERNAL FLOATING ROOF",Tank1!$D$18="INTERNAL FLOATING ROOF"),IF(Tank1!$E122="",0,Tank1!$E122),0)</f>
        <v>0</v>
      </c>
      <c r="CC92" s="8" t="str">
        <f t="shared" si="43"/>
        <v/>
      </c>
      <c r="CD92" s="8"/>
      <c r="CE92" s="8">
        <f>IF(OR(CF92=0,ISNUMBER(MATCH(CF92,$CF$1:CF91,0))),0,MAX($CE$1:CE91)+1)</f>
        <v>0</v>
      </c>
      <c r="CF92" s="8">
        <f>IF(OR(Tank1!$D$18="HORIZONTAL FIXED ROOF",Tank1!$D$18="VERTICAL FIXED ROOF"),IF(Tank1!$E122="",0,Tank1!$E122),0)</f>
        <v>0</v>
      </c>
      <c r="CG92" s="8" t="str">
        <f t="shared" si="44"/>
        <v/>
      </c>
      <c r="DL92" t="s">
        <v>9303</v>
      </c>
      <c r="DM92">
        <f>IF(OR(DN92=0,ISNUMBER(MATCH(DN92,$DN$1:DN91,0))),0,MAX($DM$1:DM91)+1)</f>
        <v>0</v>
      </c>
      <c r="DN92">
        <f>IF('Load-MarineShip'!$F$19="Flare",IFERROR(VLOOKUP(Products!$A$59,'Load-MarineShip'!$A$27:$B$136,1,FALSE),0),0)</f>
        <v>0</v>
      </c>
      <c r="DO92">
        <f>IF($DN92=0,0,VLOOKUP($DN92,'Load-MarineShip'!$A$27:$N$136,13,FALSE))</f>
        <v>0</v>
      </c>
      <c r="DP92">
        <f>IF($DN92=0,0,VLOOKUP($DN92,'Load-MarineShip'!$A$27:$N$136,14,FALSE))</f>
        <v>0</v>
      </c>
      <c r="DU92">
        <f>IF(OR(DV92=0,ISNUMBER(MATCH(DV92,$DV$1:DV91,0))),0,MAX($DU$1:DU91)+1)</f>
        <v>0</v>
      </c>
      <c r="DV92">
        <f>IF('Load-MarineShip'!$F$19="VCU",IFERROR(VLOOKUP(Products!$A$59,'Load-MarineShip'!$A$27:$B$136,1,FALSE),0),0)</f>
        <v>0</v>
      </c>
      <c r="DW92">
        <f>IF($DV92=0,0,VLOOKUP($DV92,'Load-MarineShip'!$A$27:$N$136,13,FALSE))</f>
        <v>0</v>
      </c>
      <c r="DX92">
        <f>IF($DV92=0,0,VLOOKUP($DV92,'Load-MarineShip'!$A$27:$N$136,14,FALSE))</f>
        <v>0</v>
      </c>
      <c r="EC92">
        <f>IF(OR(ED92=0,ISNUMBER(MATCH(ED92,$ED$1:ED91,0))),0,MAX($EC$1:EC91)+1)</f>
        <v>0</v>
      </c>
      <c r="ED92">
        <f>IF('Load-MarineShip'!$F$19="vapor oxidizer",IFERROR(VLOOKUP(Products!$A$59,'Load-MarineShip'!$A$27:$B$136,1,FALSE),0),0)</f>
        <v>0</v>
      </c>
      <c r="EE92">
        <f>IF($ED92=0,0,VLOOKUP($ED92,'Load-MarineShip'!$A$27:$N$136,13,FALSE))</f>
        <v>0</v>
      </c>
      <c r="EF92">
        <f>IF($ED92=0,0,VLOOKUP($ED92,'Load-MarineShip'!$A$27:$N$136,14,FALSE))</f>
        <v>0</v>
      </c>
      <c r="EK92">
        <f>IF(OR(EL92=0,ISNUMBER(MATCH(EL92,$EL$1:EL91,0))),0,MAX($EK$1:EK91)+1)</f>
        <v>0</v>
      </c>
      <c r="EL92">
        <f>IF('Load-MarineShip'!$F$19="CAS",IFERROR(VLOOKUP(Products!A59,'Load-MarineShip'!$A$27:$B$136,1,FALSE),0),0)</f>
        <v>0</v>
      </c>
      <c r="EM92">
        <f>IF($EL92=0,0,VLOOKUP($EL92,'Load-MarineShip'!$A$27:$N$136,13,FALSE))</f>
        <v>0</v>
      </c>
      <c r="EN92">
        <f>IF($EL92=0,0,VLOOKUP($EL92,'Load-MarineShip'!$A$27:$N$136,14,FALSE))</f>
        <v>0</v>
      </c>
      <c r="FB92" s="8" t="s">
        <v>528</v>
      </c>
      <c r="FC92" s="8" t="s">
        <v>529</v>
      </c>
      <c r="FD92" s="8">
        <v>10000</v>
      </c>
      <c r="FE92" s="8">
        <v>1000</v>
      </c>
      <c r="FG92" s="360" t="str">
        <f t="shared" si="45"/>
        <v/>
      </c>
      <c r="FH92" s="155">
        <f>IF(Tank1!$D$22="NO CONTROL",_xlfn.MAXIFS(Tank1!$G$32:$G$141,Tank1!$E$32:$E$141,$FG92),0)*IFERROR($QR$3,0)</f>
        <v>0</v>
      </c>
      <c r="FI92" s="155">
        <f>_xlfn.MAXIFS(LandEmiss!$AF$20:$AF$119,LandEmiss!$AE$20:$AE$119,$FG92)*IFERROR($QR$3,0)</f>
        <v>0</v>
      </c>
      <c r="FJ92" s="155">
        <f>MAX(_xlfn.MAXIFS(LandEmiss!$CO$20:$CO$119,LandEmiss!$CN$20:$CN$119,$FG92),_xlfn.MAXIFS(LandEmiss!$EZ$9:$EZ$108,LandEmiss!$EY$9:$EY$108,$FG92))*IFERROR($QR$3,0)</f>
        <v>0</v>
      </c>
      <c r="FK92" s="155">
        <f>IF(Tank2!$D$22="NO CONTROL",_xlfn.MAXIFS(Tank2!$G$32:$G$141,Tank2!$E$32:$E$141,$FG92),0)*IFERROR($QR$4,0)</f>
        <v>0</v>
      </c>
      <c r="FL92" s="155">
        <f>_xlfn.MAXIFS(LandEmiss!$AG$20:$AG$119,LandEmiss!$AE$20:$AE$119,$FG92)*IFERROR($QR$4,0)</f>
        <v>0</v>
      </c>
      <c r="FM92" s="155">
        <f>MAX(_xlfn.MAXIFS(LandEmiss!$CP$20:$CP$119,LandEmiss!$CN$20:$CN$119,$FG92),_xlfn.MAXIFS(LandEmiss!$FA$9:$FA$108,LandEmiss!$EY$9:$EY$108,$FG92))*IFERROR($QR$4,0)</f>
        <v>0</v>
      </c>
      <c r="FN92" s="155">
        <f>IF(Tank3!$D$22="NO CONTROL",_xlfn.MAXIFS(Tank3!$G$32:$G$141,Tank3!$E$32:$E$141,$FG92),0)*IFERROR($QR$5,0)</f>
        <v>0</v>
      </c>
      <c r="FO92" s="155">
        <f>_xlfn.MAXIFS(LandEmiss!$AH$20:$AH$119,LandEmiss!$AE$20:$AE$119,$FG92)*IFERROR($QR$5,0)</f>
        <v>0</v>
      </c>
      <c r="FP92" s="155">
        <f>MAX(_xlfn.MAXIFS(LandEmiss!$CQ$20:$CQ$119,LandEmiss!$CN$20:$CN$119,$FG92),_xlfn.MAXIFS(LandEmiss!$FB$9:$FB$108,LandEmiss!$EY$9:$EY$108,$FG92))*IFERROR($QR$5,0)</f>
        <v>0</v>
      </c>
      <c r="FQ92" s="155">
        <f>IF(Tank4!$D$22="NO CONTROL",_xlfn.MAXIFS(Tank4!$G$32:$G$141,Tank4!$E$32:$E$141,$FG92),0)*IFERROR($QR$6,0)</f>
        <v>0</v>
      </c>
      <c r="FR92" s="155">
        <f>_xlfn.MAXIFS(LandEmiss!$AI$20:$AI$119,LandEmiss!$AE$20:$AE$119,$FG92)*IFERROR($QR$6,0)</f>
        <v>0</v>
      </c>
      <c r="FS92" s="155">
        <f>MAX(_xlfn.MAXIFS(LandEmiss!$CR$20:$CR$119,LandEmiss!$CN$20:$CN$119,$FG92),_xlfn.MAXIFS(LandEmiss!$FC$9:$FC$108,LandEmiss!$EY$9:$EY$108,$FG92))*IFERROR($QR$6,0)</f>
        <v>0</v>
      </c>
      <c r="FT92" s="155">
        <f>IF(Tank5!$D$22="NO CONTROL",_xlfn.MAXIFS(Tank5!$G$32:$G$141,Tank5!$E$32:$E$141,$FG92),0)*IFERROR($QR$7,0)</f>
        <v>0</v>
      </c>
      <c r="FU92" s="155">
        <f>_xlfn.MAXIFS(LandEmiss!$AJ$20:$AJ$119,LandEmiss!$AE$20:$AE$119,$FG92)*IFERROR($QR$7,0)</f>
        <v>0</v>
      </c>
      <c r="FV92" s="155">
        <f>MAX(_xlfn.MAXIFS(LandEmiss!$CS$20:$CS$119,LandEmiss!$CN$20:$CN$119,$FG92),_xlfn.MAXIFS(LandEmiss!$FD$9:$FD$108,LandEmiss!$EY$9:$EY$108,$FG92))*IFERROR($QR97,0)</f>
        <v>0</v>
      </c>
      <c r="FW92" s="155">
        <f>_xlfn.MAXIFS('Load-DrumTote'!$K$27:$K$136,'Load-DrumTote'!$F$27:$F$136,$FG92)*IFERROR($QR$8,0)</f>
        <v>0</v>
      </c>
      <c r="FX92" s="155">
        <f>_xlfn.MAXIFS('Load-Truck'!$K$27:$K$136,'Load-Truck'!$F$27:$F$136,$FG92)*IFERROR($QR$9,0)</f>
        <v>0</v>
      </c>
      <c r="FY92" s="155">
        <f>_xlfn.MAXIFS('Load-Rail'!$K$27:$K$136,'Load-Rail'!$F$27:$F$136,$FG92)*IFERROR($QR$10,0)</f>
        <v>0</v>
      </c>
      <c r="FZ92" s="155">
        <f>_xlfn.MAXIFS('Load-MarineBarge'!$K$27:$K$136,'Load-MarineBarge'!$F$27:$F$136,$FG92)*IFERROR($QR$11,0)</f>
        <v>0</v>
      </c>
      <c r="GA92" s="155">
        <f>_xlfn.MAXIFS('Load-MarineShip'!$K$27:$K$136,'Load-MarineShip'!$F$27:$F$136,$FG92)*IFERROR($QR$12,0)</f>
        <v>0</v>
      </c>
      <c r="GB92" s="313">
        <f>IF(OR(Flare!$D$24="fuel gas",Flare!$D$38="fuel gas"),SUMIF(Flare!$E$97:$E$106,$FG92,Flare!$F$97:$F$106),0)*IFERROR($QR$13,0)</f>
        <v>0</v>
      </c>
      <c r="GC92" s="313">
        <f>(_xlfn.MAXIFS(CtrlDevImpacts!$I$57:$I$156,CtrlDevImpacts!$H$57:$H$156,$FG92))*IFERROR($QR$13,0)</f>
        <v>0</v>
      </c>
      <c r="GD92" s="313">
        <f>(_xlfn.MAXIFS(Flare!$F$107:$F$216,Flare!$E$107:$E$216,$FG92)-_xlfn.MAXIFS(CtrlDevImpacts!$I$57:$I$156,CtrlDevImpacts!$H$57:$H$156,$FG92))*IFERROR($QR$13,0)</f>
        <v>0</v>
      </c>
      <c r="GE92" s="155">
        <f>_xlfn.MAXIFS(LandEmiss!$B$335:$B$434,LandEmiss!$A$335:$A$434,$FG92)*IFERROR($QR$13,0)</f>
        <v>0</v>
      </c>
      <c r="GF92" s="155">
        <f>(_xlfn.MAXIFS(LandEmiss!$BK$335:$BK$434,LandEmiss!$BJ$335:$BJ$434,$FG92)+_xlfn.MAXIFS(LandEmiss!$DV$323:$DV$422,LandEmiss!$DU$323:$DU$422,$FG92))*IFERROR($QR$13,0)</f>
        <v>0</v>
      </c>
      <c r="GG92" s="313">
        <f>IF(OR(VCU!$D$26="fuel gas",VCU!$D$42="fuel gas"),SUMIF(VCU!$E$120:$E$129,$FG92,VCU!$F$120:$F$129),0)*IFERROR($QR$14,0)</f>
        <v>0</v>
      </c>
      <c r="GH92" s="313">
        <f>(_xlfn.MAXIFS(CtrlDevImpacts!$X$57:$X$156,CtrlDevImpacts!$W$57:$W$156,$FG92))*IFERROR($QR$14,0)</f>
        <v>0</v>
      </c>
      <c r="GI92" s="313">
        <f>(_xlfn.MAXIFS(VCU!$F$130:$F$239,VCU!$E$130:$E$239,$FG92)-_xlfn.MAXIFS(CtrlDevImpacts!$X$57:$X$156,CtrlDevImpacts!$W$57:$W$156,$FG92))*IFERROR($QR$14,0)</f>
        <v>0</v>
      </c>
      <c r="GJ92" s="155">
        <f>_xlfn.MAXIFS(LandEmiss!$D$335:$D$434,LandEmiss!$A$335:$A$434,$FG92)*IFERROR($QR$14,0)</f>
        <v>0</v>
      </c>
      <c r="GK92" s="155">
        <f>(_xlfn.MAXIFS(LandEmiss!$BM$335:$BM$434,LandEmiss!$BJ$335:$BJ$434,$FG92)+_xlfn.MAXIFS(LandEmiss!$DX$323:$DX$422,LandEmiss!$DU$323:$DU$422,$FG92))*IFERROR($QR$14,0)</f>
        <v>0</v>
      </c>
      <c r="GL92" s="313">
        <f>IF(VaporOxidizer!D123="FUEL GAS",SUMIF(VaporOxidizer!$E$101:$E$110,$FG92,VaporOxidizer!$F$101:$F$110),0)*IFERROR($QR$15,0)</f>
        <v>0</v>
      </c>
      <c r="GM92" s="313">
        <f>(_xlfn.MAXIFS(CtrlDevImpacts!$AN$57:$AN$156,CtrlDevImpacts!$AM$57:$AM$156,$FG92))*IFERROR($QR$15,0)</f>
        <v>0</v>
      </c>
      <c r="GN92" s="313">
        <f>(_xlfn.MAXIFS(VaporOxidizer!$F$111:$F$220,VaporOxidizer!$E$111:$E$220,$FG92)-_xlfn.MAXIFS(CtrlDevImpacts!$AN$57:$AN$156,CtrlDevImpacts!$AM$57:$AM$156,$FG92))*IFERROR($QR$15,0)</f>
        <v>0</v>
      </c>
      <c r="GO92" s="155">
        <f>_xlfn.MAXIFS(LandEmiss!$F$335:$F$434,LandEmiss!$A$335:$A$434,$FG92)*IFERROR($QR$15,0)</f>
        <v>0</v>
      </c>
      <c r="GP92" s="155">
        <f>(_xlfn.MAXIFS(LandEmiss!$BK$335:$BK$434,LandEmiss!$BO$335:$BO$434,$FG92)+_xlfn.MAXIFS(LandEmiss!$DZ$323:$DZ$422,LandEmiss!$DU$323:$DU$422,$FG92))*IFERROR($QR$15,0)</f>
        <v>0</v>
      </c>
      <c r="GQ92" s="313">
        <f>_xlfn.MAXIFS(CtrlDevImpacts!$BD$57:$BD$156,CtrlDevImpacts!$BC$57:$BC$156,$FG92)*IFERROR(Hidden!$QR$16,0)</f>
        <v>0</v>
      </c>
      <c r="GR92" s="313">
        <f>(_xlfn.MAXIFS(CAS!$H$35:$H$144,CAS!$E$35:$E$144,$FG92)-_xlfn.MAXIFS(CtrlDevImpacts!$BD$57:$BD$156,CtrlDevImpacts!$BC$57:$BC$156,$FG92))*IFERROR(Hidden!$QR$16,0)</f>
        <v>0</v>
      </c>
      <c r="GS92" s="155">
        <f>_xlfn.MAXIFS(LandEmiss!$H$335:$H$434,LandEmiss!$A$335:$A$434,$FG92)*IFERROR($QR$27,0)</f>
        <v>0</v>
      </c>
      <c r="GT92" s="155">
        <f>(_xlfn.MAXIFS(LandEmiss!$BK$335:$BK$434,LandEmiss!$BQ$335:$BQ$434,$FG92)+_xlfn.MAXIFS(LandEmiss!$EB$323:$EB$422,LandEmiss!$DU$323:$DU$422,$FG92))*IFERROR($QR$27,0)</f>
        <v>0</v>
      </c>
      <c r="GU92" s="155">
        <f>_xlfn.MAXIFS(LandEmiss!$J$335:$J$434,LandEmiss!$A$335:$A$434,$FG92)*IFERROR($QR$26,0)</f>
        <v>0</v>
      </c>
      <c r="GV92" s="155">
        <f>(_xlfn.MAXIFS(LandEmiss!$BK$335:$BK$434,LandEmiss!$BS$335:$BS$434,$FG92)+_xlfn.MAXIFS(LandEmiss!$ED$323:$ED$422,LandEmiss!$DU$323:$DU$422,$FG92))*IFERROR($QR$26,0)</f>
        <v>0</v>
      </c>
      <c r="GW92" s="155">
        <f>_xlfn.MAXIFS(LandEmiss!$L$335:$L$434,LandEmiss!$A$335:$A$434,$FG92)*IFERROR($QR$25,0)</f>
        <v>0</v>
      </c>
      <c r="GX92" s="155">
        <f>(_xlfn.MAXIFS(LandEmiss!$BK$335:$BK$434,LandEmiss!$BU$335:$BU$434,$FG92)+_xlfn.MAXIFS(LandEmiss!$EF$323:$EF$422,LandEmiss!$DU$323:$DU$422,$FG92))*IFERROR($QR$25,0)</f>
        <v>0</v>
      </c>
      <c r="GY92" s="155">
        <v>0</v>
      </c>
      <c r="GZ92" s="155">
        <v>0</v>
      </c>
      <c r="HA92" s="155">
        <f>IF(OR(HeaterBoiler1!$E$26&lt;&gt;"fuel gas",HeaterBoiler1!$E$15&lt;&gt;"heater"),0,SUMIF(HeaterBoiler1!$A$54:$D$63,$FG92,HeaterBoiler1!$I$54:$I$63))*IFERROR($QR$19,0)</f>
        <v>0</v>
      </c>
      <c r="HB92" s="207">
        <f>IF(OR(HeaterBoiler2!$E$26&lt;&gt;"fuel gas",HeaterBoiler2!$E$15&lt;&gt;"heater"),0,SUMIF(HeaterBoiler2!$A$54:$D$63,$FG92,HeaterBoiler2!$I$54:$I$63))*IFERROR($QR$21,0)</f>
        <v>0</v>
      </c>
      <c r="HC92" s="155">
        <f>IF(OR(HeaterBoiler1!$E$26&lt;&gt;"fuel gas",HeaterBoiler1!$E$15&lt;&gt;"boiler"),0,SUMIF(HeaterBoiler1!$A$41:$A$50,$FG92,HeaterBoiler1!$F$41:$F$50))*IFERROR($QR$20,0)</f>
        <v>0</v>
      </c>
      <c r="HD92" s="207">
        <f>IF(OR(HeaterBoiler2!$E$26&lt;&gt;"fuel gas",HeaterBoiler2!$E$15&lt;&gt;"boiler"),0,SUMIF(HeaterBoiler2!$A$41:$A$50,$FG92,HeaterBoiler2!$F$41:$F$50))*IFERROR($QR$22,0)</f>
        <v>0</v>
      </c>
      <c r="HE92" s="155">
        <f>SUMIF(Fug!$A$96:$A$205,$FG92,Fug!$I$96:$I$205)*IFERROR(Hidden!$QR$23,0)</f>
        <v>0</v>
      </c>
      <c r="HF92" s="155">
        <f t="shared" si="46"/>
        <v>0</v>
      </c>
      <c r="HG92" s="156">
        <f t="shared" si="47"/>
        <v>0</v>
      </c>
      <c r="HH92" s="156">
        <f t="shared" si="48"/>
        <v>0</v>
      </c>
      <c r="HI92" s="156">
        <f t="shared" si="49"/>
        <v>0</v>
      </c>
      <c r="HJ92" s="156">
        <f t="shared" si="50"/>
        <v>0</v>
      </c>
      <c r="HK92" s="156">
        <f t="shared" si="51"/>
        <v>0</v>
      </c>
      <c r="HL92" s="156">
        <f t="shared" si="52"/>
        <v>0</v>
      </c>
      <c r="NO92" s="155">
        <f>IF(Tank1!$D$22="No control",(SUMIF(Tank1!$E$32:$E$141,$FG92,Tank1!$H$32:$H$141)*(2000/8760)*IFERROR($QV$3,0)),0)</f>
        <v>0</v>
      </c>
      <c r="NP92" s="156">
        <f>SUMIF(LandEmiss!$AE$20:$AE$119,$FG92,LandEmiss!$AK$20:$AK$119)*(2000/8760)*IFERROR($QV$3,0)</f>
        <v>0</v>
      </c>
      <c r="NQ92" s="156">
        <f>(SUMIF(LandEmiss!$CN$20:$CN$119,$FG92,LandEmiss!$CT$20:$CT$119)+SUMIF(LandEmiss!$EY$9:$EY$108,$FG92,LandEmiss!$FE$9:$FE$108))*IFERROR($QV$3,0)*(2000/8760)</f>
        <v>0</v>
      </c>
      <c r="NR92" s="155">
        <f>IF(Tank2!$D$22="No control",(SUMIF(Tank2!$E$32:$E$141,$FG92,Tank2!$H$32:$H$141)*(2000/8760)*IFERROR($QV$4,0)),0)</f>
        <v>0</v>
      </c>
      <c r="NS92" s="156">
        <f>SUMIF(LandEmiss!$AE$20:$AE$119,$FG92,LandEmiss!$AL$20:$AL$119)*(2000/8760)*IFERROR($QV$4,0)</f>
        <v>0</v>
      </c>
      <c r="NT92" s="156">
        <f>(SUMIF(LandEmiss!$CN$20:$CN$119,$FG92,LandEmiss!$CU$20:$CU$119)+SUMIF(LandEmiss!$EY$9:$EY$108,$FG92,LandEmiss!$FF$9:$FF$108))*IFERROR($QV$4,0)*(2000/8760)</f>
        <v>0</v>
      </c>
      <c r="NU92" s="155">
        <f>IF(Tank3!$D$22="No control",(SUMIF(Tank3!$E$32:$E$141,$FG92,Tank3!$H$32:$H$141)*(2000/8760)*IFERROR($QV$5,0)),0)</f>
        <v>0</v>
      </c>
      <c r="NV92" s="156">
        <f>SUMIF(LandEmiss!$AE$20:$AE$119,$FG92,LandEmiss!$AM$20:$AM$119)*(2000/8760)*IFERROR($QV$5,0)</f>
        <v>0</v>
      </c>
      <c r="NW92" s="156">
        <f>(SUMIF(LandEmiss!$CN$20:$CN$119,$FG92,LandEmiss!$CV$20:$CV$119)+SUMIF(LandEmiss!$EY$9:$EY$108,$FG92,LandEmiss!$FG$9:$FG$108))*IFERROR($QV$5,0)*(2000/8760)</f>
        <v>0</v>
      </c>
      <c r="NX92" s="155">
        <f>IF(Tank4!$D$22="No control",(SUMIF(Tank4!$E$32:$E$141,$FG92,Tank4!$H$32:$H$141)*(2000/8760)*IFERROR($QV$6,0)),0)</f>
        <v>0</v>
      </c>
      <c r="NY92" s="156">
        <f>SUMIF(LandEmiss!$AE$20:$AE$119,$FG92,LandEmiss!$AN$20:$AN$119)*(2000/8760)*IFERROR($QV$6,0)</f>
        <v>0</v>
      </c>
      <c r="NZ92" s="156">
        <f>(SUMIF(LandEmiss!$CN$20:$CN$119,$FG92,LandEmiss!$CW$20:$CW$119)+SUMIF(LandEmiss!$EY$9:$EY$108,$FG92,LandEmiss!$FH$9:$FH$108))*IFERROR($QV$6,0)*(2000/8760)</f>
        <v>0</v>
      </c>
      <c r="OA92" s="155">
        <f>IF(Tank5!$D$22="No control",(SUMIF(Tank5!$E$32:$E$141,$FG92,Tank5!$H$32:$H$141)*(2000/8760)*IFERROR($QV$7,0)),0)</f>
        <v>0</v>
      </c>
      <c r="OB92" s="156">
        <f>SUMIF(LandEmiss!$AE$20:$AE$119,$FG92,LandEmiss!$AO$20:$AO$119)*(2000/8760)*IFERROR($QV$7,0)</f>
        <v>0</v>
      </c>
      <c r="OC92" s="156">
        <f>(SUMIF(LandEmiss!$CN$20:$CN$119,$FG92,LandEmiss!$CX$20:$CX$119)+SUMIF(LandEmiss!$EY$9:$EY$108,$FG92,LandEmiss!$FI$9:$FI$108))*IFERROR($QV$7,0)*(2000/8760)</f>
        <v>0</v>
      </c>
      <c r="OD92" s="155">
        <f>SUMIFS('Load-DrumTote'!$L$27:$L$136,'Load-DrumTote'!$F$27:$F$136,$FG92)*IFERROR($QV$8,0)*(2000/8760)</f>
        <v>0</v>
      </c>
      <c r="OE92" s="155">
        <f>SUMIFS('Load-Truck'!$L$27:$L$136,'Load-Truck'!$F$27:$F$136,$FG92)*IFERROR($QV$9,0)*(2000/8760)</f>
        <v>0</v>
      </c>
      <c r="OF92" s="155">
        <f>SUMIFS('Load-Rail'!$L$27:$L$136,'Load-Rail'!$F$27:$F$136,$FG92)*IFERROR($QV$10,0)*(2000/8760)</f>
        <v>0</v>
      </c>
      <c r="OG92" s="155">
        <f>SUMIFS('Load-MarineBarge'!$L$27:$L$136,'Load-MarineBarge'!$F$27:$F$136,$FG92)*IFERROR($QV$11,0)*(2000/8760)</f>
        <v>0</v>
      </c>
      <c r="OH92" s="155">
        <f>SUMIFS('Load-MarineShip'!$L$27:$L$136,'Load-MarineShip'!$F$27:$F$136,$FG92)*IFERROR($QV$12,0)*(2000/8760)</f>
        <v>0</v>
      </c>
      <c r="OI92" s="155">
        <f>(IF(OR(Flare!$D$24="FUEL GAS",Flare!$D$38="FUEL GAS"),SUMIF(Flare!$E$97:$E$106,$FG92,Flare!$G$97:$G$105),0)+SUMIF(Flare!$E$107:$E$216,$FG92,Flare!$G$107:$G$216))*(2000/8730)*IFERROR($QV$13,0)</f>
        <v>0</v>
      </c>
      <c r="OJ92" s="155">
        <f>SUMIF(LandEmiss!$A$335:$A$434,$FG92,LandEmiss!$C$335:$C$434)*(2000/8760)*IFERROR($QV$13,0)</f>
        <v>0</v>
      </c>
      <c r="OK92" s="155">
        <f>(SUMIF(LandEmiss!$BJ$335:$BJ$434,$FG92,LandEmiss!$BL$335:$BL$434)+SUMIF(LandEmiss!$DU$323:$DU$422,$FG92,LandEmiss!$DW$323:$DW$422))*(2000/8760)*IFERROR($QV$13,0)</f>
        <v>0</v>
      </c>
      <c r="OL92" s="155">
        <f>(IF(OR(VCU!$D$26="FUEL GAS",VCU!$D$42="FUEL GAS"),SUMIF(VCU!$E$120:$E$129,$FG92,VCU!$G$120:$G$129),0)+SUMIF(VCU!$E$130:$E$239,$FG92,VCU!G220:G329))*(2000/8760)*IFERROR($QV$14,0)</f>
        <v>0</v>
      </c>
      <c r="OM92" s="155">
        <f>SUMIF(LandEmiss!$A$335:$A$434,$FG92,LandEmiss!$E$335:$E$434)*(2000/8760)*IFERROR($QV$14,0)</f>
        <v>0</v>
      </c>
      <c r="ON92" s="155">
        <f>(SUMIF(LandEmiss!$BJ$335:$BJ$434,$FG92,LandEmiss!$BN$335:$BN$434)+SUMIF(LandEmiss!$DU$323:$DU$422,$FG92,LandEmiss!$DY$323:$DY$422))*(2000/8760)*IFERROR($QV$14,0)</f>
        <v>0</v>
      </c>
      <c r="OO92" s="155">
        <f>(IF(VaporOxidizer!$D$33="FUEL GAS",SUMIF(VaporOxidizer!$E$101:$E$110,$FG92,VaporOxidizer!$G$101:$G$110),0)+SUMIF(VaporOxidizer!$E$111:$E$220,$FG92,VaporOxidizer!$G$111:$G$220))*(2000/8760)*IFERROR($QV$15,0)</f>
        <v>0</v>
      </c>
      <c r="OP92" s="155">
        <f>SUMIF(LandEmiss!$A$335:$A$434,$FG92,LandEmiss!$G$335:$G$434)*(2000/8760)*IFERROR($QV$15,0)</f>
        <v>0</v>
      </c>
      <c r="OQ92" s="155">
        <f>(SUMIF(LandEmiss!$BJ$335:$BJ$434,$FG92,LandEmiss!$BP$335:$BP$434)+SUMIF(LandEmiss!$DU$323:$DU$422,$FG92,LandEmiss!$EA$323:$EA$422))*(2000/8760)*IFERROR($QV$15,0)</f>
        <v>0</v>
      </c>
      <c r="OR92" s="155">
        <f>SUMIF(CAS!$E$35:$E$144,Hidden!$FG92,CAS!$I$35:$I$144)*IFERROR($QV$16,0)*(2000/8760)</f>
        <v>0</v>
      </c>
      <c r="OS92" s="155">
        <f>SUMIF(LandEmiss!$A$335:$A$434,$FG92,LandEmiss!$I$335:$I$434)*(2000/8760)*IFERROR($QV$27,0)</f>
        <v>0</v>
      </c>
      <c r="OT92" s="155">
        <f>(SUMIF(LandEmiss!$BJ$335:$BJ$434,$FG92,LandEmiss!$BR$335:$BR$434)+SUMIF(LandEmiss!$DU$323:$DU$422,$FG92,LandEmiss!$EC$323:$EC$422))*(2000/8760)*IFERROR($QV$27,0)</f>
        <v>0</v>
      </c>
      <c r="OU92" s="155">
        <f>SUMIF(LandEmiss!$A$335:$A$434,$FG92,LandEmiss!$K$335:$K$434)*(2000/8760)*IFERROR($QV$26,0)</f>
        <v>0</v>
      </c>
      <c r="OV92" s="155">
        <f>(SUMIF(LandEmiss!$BJ$335:$BJ$434,$FG92,LandEmiss!$BT$335:$BT$434)+SUMIF(LandEmiss!$DU$323:$DU$422,$FG92,LandEmiss!$EE$323:$EE$422))*(2000/8760)*IFERROR($QV$26,0)</f>
        <v>0</v>
      </c>
      <c r="OW92" s="155">
        <f>SUMIF(LandEmiss!$A$335:$A$434,$FG92,LandEmiss!$M$335:$M$434)*(2000/8760)*IFERROR($QV$25,0)</f>
        <v>0</v>
      </c>
      <c r="OX92" s="155">
        <f>(SUMIF(LandEmiss!$BJ$335:$BJ$434,$FG92,LandEmiss!$BV$335:$BV$434)+SUMIF(LandEmiss!$DU$323:$DU$422,$FG92,LandEmiss!$EG$323:$EG$422))*(2000/8760)*IFERROR($QV$25,0)</f>
        <v>0</v>
      </c>
      <c r="OY92" s="8">
        <v>0</v>
      </c>
      <c r="OZ92" s="207">
        <v>0</v>
      </c>
      <c r="PA92" s="207">
        <f>IF(OR(HeaterBoiler1!$E$26&lt;&gt;"fuel gas",HeaterBoiler1!$E$15&lt;&gt;"heater"),0,(SUMIF(HeaterBoiler1!$A$54:$D$63,$FG92,HeaterBoiler1!$J$54:$J$63))*(2000/8760))*IFERROR($QV$19,0)</f>
        <v>0</v>
      </c>
      <c r="PB92" s="207">
        <f>IF(OR(HeaterBoiler2!$E$26&lt;&gt;"fuel gas",HeaterBoiler2!$E$15&lt;&gt;"heater"),0,(SUMIF(HeaterBoiler2!$A$54:$D$63,$FG92,HeaterBoiler2!$J$54:$J$63))*(2000/8760))*IFERROR($QV$21,0)</f>
        <v>0</v>
      </c>
      <c r="PC92" s="207">
        <f>IF(OR(HeaterBoiler1!$E$26&lt;&gt;"fuel gas",HeaterBoiler1!$E$15&lt;&gt;"boiler"),0,(SUMIF(HeaterBoiler1!$A$54:$D$63,$FG92,HeaterBoiler1!$J$54:$J$63))*(2000/8760))*IFERROR($QV$20,0)</f>
        <v>0</v>
      </c>
      <c r="PD92" s="207">
        <f>IF(OR(HeaterBoiler2!$E$26&lt;&gt;"fuel gas",HeaterBoiler2!$E$15&lt;&gt;"boiler"),0,(SUMIF(HeaterBoiler2!$A$54:$D$63,$FG92,HeaterBoiler2!$J$54:$J$63))*(2000/8760))*IFERROR($QV$22,0)</f>
        <v>0</v>
      </c>
      <c r="PE92" s="8">
        <f>(SUMIF(Fug!$A$96:$A$205,$FG92,Fug!$J$96:$J$205))*IFERROR($QV$23,0)*(2000/8760)</f>
        <v>0</v>
      </c>
      <c r="PF92" s="8">
        <f t="shared" si="53"/>
        <v>0</v>
      </c>
      <c r="PG92" s="156">
        <f t="shared" si="54"/>
        <v>0</v>
      </c>
      <c r="QX92" s="89" t="s">
        <v>9337</v>
      </c>
      <c r="QY92">
        <v>418.6</v>
      </c>
      <c r="QZ92">
        <v>418.6</v>
      </c>
      <c r="RA92">
        <v>418.6</v>
      </c>
      <c r="RB92">
        <v>418.6</v>
      </c>
      <c r="RC92">
        <v>418.6</v>
      </c>
      <c r="RD92">
        <v>418.6</v>
      </c>
      <c r="RE92">
        <v>418.6</v>
      </c>
      <c r="RF92">
        <v>418.6</v>
      </c>
      <c r="RG92">
        <v>418.6</v>
      </c>
      <c r="RH92" s="89" t="s">
        <v>9337</v>
      </c>
      <c r="RQ92" s="90"/>
      <c r="RR92" s="89" t="s">
        <v>9337</v>
      </c>
      <c r="SA92" s="90"/>
      <c r="SB92" s="89" t="s">
        <v>9337</v>
      </c>
      <c r="SK92" s="90"/>
      <c r="SL92" s="89" t="s">
        <v>9337</v>
      </c>
      <c r="SM92">
        <v>10.119999999999999</v>
      </c>
      <c r="SN92">
        <v>10.119999999999999</v>
      </c>
      <c r="SO92">
        <v>10.119999999999999</v>
      </c>
      <c r="SP92">
        <v>10.119999999999999</v>
      </c>
      <c r="SQ92">
        <v>10.119999999999999</v>
      </c>
      <c r="SR92">
        <v>10.119999999999999</v>
      </c>
      <c r="SS92">
        <v>10.119999999999999</v>
      </c>
      <c r="ST92">
        <v>10.119999999999999</v>
      </c>
      <c r="SU92">
        <v>10.119999999999999</v>
      </c>
    </row>
    <row r="93" spans="23:515" ht="74.25" customHeight="1" x14ac:dyDescent="0.2">
      <c r="W93">
        <f>IF(OR(X93=0,ISNUMBER(MATCH(X93,$X$1:X92,0))),0,MAX($W$1:W92)+1)</f>
        <v>0</v>
      </c>
      <c r="X93" s="123">
        <f>Products!$E140</f>
        <v>0</v>
      </c>
      <c r="Y93" t="str">
        <f t="shared" si="42"/>
        <v/>
      </c>
      <c r="CA93">
        <f>IF(OR(CB93=0,ISNUMBER(MATCH(CB93,$CB$1:CB92,0))),0,MAX($CA$1:CA92)+1)</f>
        <v>0</v>
      </c>
      <c r="CB93" s="8">
        <f>IF(OR(Tank1!$D$18="EXTERNAL FLOATING ROOF",Tank1!$D$18="INTERNAL FLOATING ROOF"),IF(Tank1!$E123="",0,Tank1!$E123),0)</f>
        <v>0</v>
      </c>
      <c r="CC93" s="8" t="str">
        <f t="shared" si="43"/>
        <v/>
      </c>
      <c r="CD93" s="8"/>
      <c r="CE93" s="8">
        <f>IF(OR(CF93=0,ISNUMBER(MATCH(CF93,$CF$1:CF92,0))),0,MAX($CE$1:CE92)+1)</f>
        <v>0</v>
      </c>
      <c r="CF93" s="8">
        <f>IF(OR(Tank1!$D$18="HORIZONTAL FIXED ROOF",Tank1!$D$18="VERTICAL FIXED ROOF"),IF(Tank1!$E123="",0,Tank1!$E123),0)</f>
        <v>0</v>
      </c>
      <c r="CG93" s="8" t="str">
        <f t="shared" si="44"/>
        <v/>
      </c>
      <c r="DM93">
        <f>IF(OR(DN93=0,ISNUMBER(MATCH(DN93,$DN$1:DN92,0))),0,MAX($DM$1:DM92)+1)</f>
        <v>0</v>
      </c>
      <c r="DN93">
        <f>IF('Load-MarineShip'!$F$19="Flare",IFERROR(VLOOKUP(Products!$A$69,'Load-MarineShip'!$A$27:$B$136,1,FALSE),0),0)</f>
        <v>0</v>
      </c>
      <c r="DO93">
        <f>IF($DN93=0,0,VLOOKUP($DN93,'Load-MarineShip'!$A$27:$N$136,13,FALSE))</f>
        <v>0</v>
      </c>
      <c r="DP93">
        <f>IF($DN93=0,0,VLOOKUP($DN93,'Load-MarineShip'!$A$27:$N$136,14,FALSE))</f>
        <v>0</v>
      </c>
      <c r="DU93">
        <f>IF(OR(DV93=0,ISNUMBER(MATCH(DV93,$DV$1:DV92,0))),0,MAX($DU$1:DU92)+1)</f>
        <v>0</v>
      </c>
      <c r="DV93">
        <f>IF('Load-MarineShip'!$F$19="VCU",IFERROR(VLOOKUP(Products!$A$69,'Load-MarineShip'!$A$27:$B$136,1,FALSE),0),0)</f>
        <v>0</v>
      </c>
      <c r="DW93">
        <f>IF($DV93=0,0,VLOOKUP($DV93,'Load-MarineShip'!$A$27:$N$136,13,FALSE))</f>
        <v>0</v>
      </c>
      <c r="DX93">
        <f>IF($DV93=0,0,VLOOKUP($DV93,'Load-MarineShip'!$A$27:$N$136,14,FALSE))</f>
        <v>0</v>
      </c>
      <c r="EC93">
        <f>IF(OR(ED93=0,ISNUMBER(MATCH(ED93,$ED$1:ED92,0))),0,MAX($EC$1:EC92)+1)</f>
        <v>0</v>
      </c>
      <c r="ED93">
        <f>IF('Load-MarineShip'!$F$19="vapor oxidizer",IFERROR(VLOOKUP(Products!$A$69,'Load-MarineShip'!$A$27:$B$136,1,FALSE),0),0)</f>
        <v>0</v>
      </c>
      <c r="EE93">
        <f>IF($ED93=0,0,VLOOKUP($ED93,'Load-MarineShip'!$A$27:$N$136,13,FALSE))</f>
        <v>0</v>
      </c>
      <c r="EF93">
        <f>IF($ED93=0,0,VLOOKUP($ED93,'Load-MarineShip'!$A$27:$N$136,14,FALSE))</f>
        <v>0</v>
      </c>
      <c r="EK93">
        <f>IF(OR(EL93=0,ISNUMBER(MATCH(EL93,$EL$1:EL92,0))),0,MAX($EK$1:EK92)+1)</f>
        <v>0</v>
      </c>
      <c r="EL93">
        <f>IF('Load-MarineShip'!$F$19="CAS",IFERROR(VLOOKUP(Products!A69,'Load-MarineShip'!$A$27:$B$136,1,FALSE),0),0)</f>
        <v>0</v>
      </c>
      <c r="EM93">
        <f>IF($EL93=0,0,VLOOKUP($EL93,'Load-MarineShip'!$A$27:$N$136,13,FALSE))</f>
        <v>0</v>
      </c>
      <c r="EN93">
        <f>IF($EL93=0,0,VLOOKUP($EL93,'Load-MarineShip'!$A$27:$N$136,14,FALSE))</f>
        <v>0</v>
      </c>
      <c r="FB93" s="8" t="s">
        <v>530</v>
      </c>
      <c r="FC93" s="8" t="s">
        <v>531</v>
      </c>
      <c r="FD93" s="8">
        <v>1000</v>
      </c>
      <c r="FE93" s="8">
        <v>100</v>
      </c>
      <c r="FG93" s="360" t="str">
        <f t="shared" si="45"/>
        <v/>
      </c>
      <c r="FH93" s="155">
        <f>IF(Tank1!$D$22="NO CONTROL",_xlfn.MAXIFS(Tank1!$G$32:$G$141,Tank1!$E$32:$E$141,$FG93),0)*IFERROR($QR$3,0)</f>
        <v>0</v>
      </c>
      <c r="FI93" s="155">
        <f>_xlfn.MAXIFS(LandEmiss!$AF$20:$AF$119,LandEmiss!$AE$20:$AE$119,$FG93)*IFERROR($QR$3,0)</f>
        <v>0</v>
      </c>
      <c r="FJ93" s="155">
        <f>MAX(_xlfn.MAXIFS(LandEmiss!$CO$20:$CO$119,LandEmiss!$CN$20:$CN$119,$FG93),_xlfn.MAXIFS(LandEmiss!$EZ$9:$EZ$108,LandEmiss!$EY$9:$EY$108,$FG93))*IFERROR($QR$3,0)</f>
        <v>0</v>
      </c>
      <c r="FK93" s="155">
        <f>IF(Tank2!$D$22="NO CONTROL",_xlfn.MAXIFS(Tank2!$G$32:$G$141,Tank2!$E$32:$E$141,$FG93),0)*IFERROR($QR$4,0)</f>
        <v>0</v>
      </c>
      <c r="FL93" s="155">
        <f>_xlfn.MAXIFS(LandEmiss!$AG$20:$AG$119,LandEmiss!$AE$20:$AE$119,$FG93)*IFERROR($QR$4,0)</f>
        <v>0</v>
      </c>
      <c r="FM93" s="155">
        <f>MAX(_xlfn.MAXIFS(LandEmiss!$CP$20:$CP$119,LandEmiss!$CN$20:$CN$119,$FG93),_xlfn.MAXIFS(LandEmiss!$FA$9:$FA$108,LandEmiss!$EY$9:$EY$108,$FG93))*IFERROR($QR$4,0)</f>
        <v>0</v>
      </c>
      <c r="FN93" s="155">
        <f>IF(Tank3!$D$22="NO CONTROL",_xlfn.MAXIFS(Tank3!$G$32:$G$141,Tank3!$E$32:$E$141,$FG93),0)*IFERROR($QR$5,0)</f>
        <v>0</v>
      </c>
      <c r="FO93" s="155">
        <f>_xlfn.MAXIFS(LandEmiss!$AH$20:$AH$119,LandEmiss!$AE$20:$AE$119,$FG93)*IFERROR($QR$5,0)</f>
        <v>0</v>
      </c>
      <c r="FP93" s="155">
        <f>MAX(_xlfn.MAXIFS(LandEmiss!$CQ$20:$CQ$119,LandEmiss!$CN$20:$CN$119,$FG93),_xlfn.MAXIFS(LandEmiss!$FB$9:$FB$108,LandEmiss!$EY$9:$EY$108,$FG93))*IFERROR($QR$5,0)</f>
        <v>0</v>
      </c>
      <c r="FQ93" s="155">
        <f>IF(Tank4!$D$22="NO CONTROL",_xlfn.MAXIFS(Tank4!$G$32:$G$141,Tank4!$E$32:$E$141,$FG93),0)*IFERROR($QR$6,0)</f>
        <v>0</v>
      </c>
      <c r="FR93" s="155">
        <f>_xlfn.MAXIFS(LandEmiss!$AI$20:$AI$119,LandEmiss!$AE$20:$AE$119,$FG93)*IFERROR($QR$6,0)</f>
        <v>0</v>
      </c>
      <c r="FS93" s="155">
        <f>MAX(_xlfn.MAXIFS(LandEmiss!$CR$20:$CR$119,LandEmiss!$CN$20:$CN$119,$FG93),_xlfn.MAXIFS(LandEmiss!$FC$9:$FC$108,LandEmiss!$EY$9:$EY$108,$FG93))*IFERROR($QR$6,0)</f>
        <v>0</v>
      </c>
      <c r="FT93" s="155">
        <f>IF(Tank5!$D$22="NO CONTROL",_xlfn.MAXIFS(Tank5!$G$32:$G$141,Tank5!$E$32:$E$141,$FG93),0)*IFERROR($QR$7,0)</f>
        <v>0</v>
      </c>
      <c r="FU93" s="155">
        <f>_xlfn.MAXIFS(LandEmiss!$AJ$20:$AJ$119,LandEmiss!$AE$20:$AE$119,$FG93)*IFERROR($QR$7,0)</f>
        <v>0</v>
      </c>
      <c r="FV93" s="155">
        <f>MAX(_xlfn.MAXIFS(LandEmiss!$CS$20:$CS$119,LandEmiss!$CN$20:$CN$119,$FG93),_xlfn.MAXIFS(LandEmiss!$FD$9:$FD$108,LandEmiss!$EY$9:$EY$108,$FG93))*IFERROR($QR98,0)</f>
        <v>0</v>
      </c>
      <c r="FW93" s="155">
        <f>_xlfn.MAXIFS('Load-DrumTote'!$K$27:$K$136,'Load-DrumTote'!$F$27:$F$136,$FG93)*IFERROR($QR$8,0)</f>
        <v>0</v>
      </c>
      <c r="FX93" s="155">
        <f>_xlfn.MAXIFS('Load-Truck'!$K$27:$K$136,'Load-Truck'!$F$27:$F$136,$FG93)*IFERROR($QR$9,0)</f>
        <v>0</v>
      </c>
      <c r="FY93" s="155">
        <f>_xlfn.MAXIFS('Load-Rail'!$K$27:$K$136,'Load-Rail'!$F$27:$F$136,$FG93)*IFERROR($QR$10,0)</f>
        <v>0</v>
      </c>
      <c r="FZ93" s="155">
        <f>_xlfn.MAXIFS('Load-MarineBarge'!$K$27:$K$136,'Load-MarineBarge'!$F$27:$F$136,$FG93)*IFERROR($QR$11,0)</f>
        <v>0</v>
      </c>
      <c r="GA93" s="155">
        <f>_xlfn.MAXIFS('Load-MarineShip'!$K$27:$K$136,'Load-MarineShip'!$F$27:$F$136,$FG93)*IFERROR($QR$12,0)</f>
        <v>0</v>
      </c>
      <c r="GB93" s="313">
        <f>IF(OR(Flare!$D$24="fuel gas",Flare!$D$38="fuel gas"),SUMIF(Flare!$E$97:$E$106,$FG93,Flare!$F$97:$F$106),0)*IFERROR($QR$13,0)</f>
        <v>0</v>
      </c>
      <c r="GC93" s="313">
        <f>(_xlfn.MAXIFS(CtrlDevImpacts!$I$57:$I$156,CtrlDevImpacts!$H$57:$H$156,$FG93))*IFERROR($QR$13,0)</f>
        <v>0</v>
      </c>
      <c r="GD93" s="313">
        <f>(_xlfn.MAXIFS(Flare!$F$107:$F$216,Flare!$E$107:$E$216,$FG93)-_xlfn.MAXIFS(CtrlDevImpacts!$I$57:$I$156,CtrlDevImpacts!$H$57:$H$156,$FG93))*IFERROR($QR$13,0)</f>
        <v>0</v>
      </c>
      <c r="GE93" s="155">
        <f>_xlfn.MAXIFS(LandEmiss!$B$335:$B$434,LandEmiss!$A$335:$A$434,$FG93)*IFERROR($QR$13,0)</f>
        <v>0</v>
      </c>
      <c r="GF93" s="155">
        <f>(_xlfn.MAXIFS(LandEmiss!$BK$335:$BK$434,LandEmiss!$BJ$335:$BJ$434,$FG93)+_xlfn.MAXIFS(LandEmiss!$DV$323:$DV$422,LandEmiss!$DU$323:$DU$422,$FG93))*IFERROR($QR$13,0)</f>
        <v>0</v>
      </c>
      <c r="GG93" s="313">
        <f>IF(OR(VCU!$D$26="fuel gas",VCU!$D$42="fuel gas"),SUMIF(VCU!$E$120:$E$129,$FG93,VCU!$F$120:$F$129),0)*IFERROR($QR$14,0)</f>
        <v>0</v>
      </c>
      <c r="GH93" s="313">
        <f>(_xlfn.MAXIFS(CtrlDevImpacts!$X$57:$X$156,CtrlDevImpacts!$W$57:$W$156,$FG93))*IFERROR($QR$14,0)</f>
        <v>0</v>
      </c>
      <c r="GI93" s="313">
        <f>(_xlfn.MAXIFS(VCU!$F$130:$F$239,VCU!$E$130:$E$239,$FG93)-_xlfn.MAXIFS(CtrlDevImpacts!$X$57:$X$156,CtrlDevImpacts!$W$57:$W$156,$FG93))*IFERROR($QR$14,0)</f>
        <v>0</v>
      </c>
      <c r="GJ93" s="155">
        <f>_xlfn.MAXIFS(LandEmiss!$D$335:$D$434,LandEmiss!$A$335:$A$434,$FG93)*IFERROR($QR$14,0)</f>
        <v>0</v>
      </c>
      <c r="GK93" s="155">
        <f>(_xlfn.MAXIFS(LandEmiss!$BM$335:$BM$434,LandEmiss!$BJ$335:$BJ$434,$FG93)+_xlfn.MAXIFS(LandEmiss!$DX$323:$DX$422,LandEmiss!$DU$323:$DU$422,$FG93))*IFERROR($QR$14,0)</f>
        <v>0</v>
      </c>
      <c r="GL93" s="313">
        <f>IF(VaporOxidizer!D124="FUEL GAS",SUMIF(VaporOxidizer!$E$101:$E$110,$FG93,VaporOxidizer!$F$101:$F$110),0)*IFERROR($QR$15,0)</f>
        <v>0</v>
      </c>
      <c r="GM93" s="313">
        <f>(_xlfn.MAXIFS(CtrlDevImpacts!$AN$57:$AN$156,CtrlDevImpacts!$AM$57:$AM$156,$FG93))*IFERROR($QR$15,0)</f>
        <v>0</v>
      </c>
      <c r="GN93" s="313">
        <f>(_xlfn.MAXIFS(VaporOxidizer!$F$111:$F$220,VaporOxidizer!$E$111:$E$220,$FG93)-_xlfn.MAXIFS(CtrlDevImpacts!$AN$57:$AN$156,CtrlDevImpacts!$AM$57:$AM$156,$FG93))*IFERROR($QR$15,0)</f>
        <v>0</v>
      </c>
      <c r="GO93" s="155">
        <f>_xlfn.MAXIFS(LandEmiss!$F$335:$F$434,LandEmiss!$A$335:$A$434,$FG93)*IFERROR($QR$15,0)</f>
        <v>0</v>
      </c>
      <c r="GP93" s="155">
        <f>(_xlfn.MAXIFS(LandEmiss!$BK$335:$BK$434,LandEmiss!$BO$335:$BO$434,$FG93)+_xlfn.MAXIFS(LandEmiss!$DZ$323:$DZ$422,LandEmiss!$DU$323:$DU$422,$FG93))*IFERROR($QR$15,0)</f>
        <v>0</v>
      </c>
      <c r="GQ93" s="313">
        <f>_xlfn.MAXIFS(CtrlDevImpacts!$BD$57:$BD$156,CtrlDevImpacts!$BC$57:$BC$156,$FG93)*IFERROR(Hidden!$QR$16,0)</f>
        <v>0</v>
      </c>
      <c r="GR93" s="313">
        <f>(_xlfn.MAXIFS(CAS!$H$35:$H$144,CAS!$E$35:$E$144,$FG93)-_xlfn.MAXIFS(CtrlDevImpacts!$BD$57:$BD$156,CtrlDevImpacts!$BC$57:$BC$156,$FG93))*IFERROR(Hidden!$QR$16,0)</f>
        <v>0</v>
      </c>
      <c r="GS93" s="155">
        <f>_xlfn.MAXIFS(LandEmiss!$H$335:$H$434,LandEmiss!$A$335:$A$434,$FG93)*IFERROR($QR$27,0)</f>
        <v>0</v>
      </c>
      <c r="GT93" s="155">
        <f>(_xlfn.MAXIFS(LandEmiss!$BK$335:$BK$434,LandEmiss!$BQ$335:$BQ$434,$FG93)+_xlfn.MAXIFS(LandEmiss!$EB$323:$EB$422,LandEmiss!$DU$323:$DU$422,$FG93))*IFERROR($QR$27,0)</f>
        <v>0</v>
      </c>
      <c r="GU93" s="155">
        <f>_xlfn.MAXIFS(LandEmiss!$J$335:$J$434,LandEmiss!$A$335:$A$434,$FG93)*IFERROR($QR$26,0)</f>
        <v>0</v>
      </c>
      <c r="GV93" s="155">
        <f>(_xlfn.MAXIFS(LandEmiss!$BK$335:$BK$434,LandEmiss!$BS$335:$BS$434,$FG93)+_xlfn.MAXIFS(LandEmiss!$ED$323:$ED$422,LandEmiss!$DU$323:$DU$422,$FG93))*IFERROR($QR$26,0)</f>
        <v>0</v>
      </c>
      <c r="GW93" s="155">
        <f>_xlfn.MAXIFS(LandEmiss!$L$335:$L$434,LandEmiss!$A$335:$A$434,$FG93)*IFERROR($QR$25,0)</f>
        <v>0</v>
      </c>
      <c r="GX93" s="155">
        <f>(_xlfn.MAXIFS(LandEmiss!$BK$335:$BK$434,LandEmiss!$BU$335:$BU$434,$FG93)+_xlfn.MAXIFS(LandEmiss!$EF$323:$EF$422,LandEmiss!$DU$323:$DU$422,$FG93))*IFERROR($QR$25,0)</f>
        <v>0</v>
      </c>
      <c r="GY93" s="155">
        <v>0</v>
      </c>
      <c r="GZ93" s="155">
        <v>0</v>
      </c>
      <c r="HA93" s="155">
        <f>IF(OR(HeaterBoiler1!$E$26&lt;&gt;"fuel gas",HeaterBoiler1!$E$15&lt;&gt;"heater"),0,SUMIF(HeaterBoiler1!$A$54:$D$63,$FG93,HeaterBoiler1!$I$54:$I$63))*IFERROR($QR$19,0)</f>
        <v>0</v>
      </c>
      <c r="HB93" s="207">
        <f>IF(OR(HeaterBoiler2!$E$26&lt;&gt;"fuel gas",HeaterBoiler2!$E$15&lt;&gt;"heater"),0,SUMIF(HeaterBoiler2!$A$54:$D$63,$FG93,HeaterBoiler2!$I$54:$I$63))*IFERROR($QR$21,0)</f>
        <v>0</v>
      </c>
      <c r="HC93" s="155">
        <f>IF(OR(HeaterBoiler1!$E$26&lt;&gt;"fuel gas",HeaterBoiler1!$E$15&lt;&gt;"boiler"),0,SUMIF(HeaterBoiler1!$A$41:$A$50,$FG93,HeaterBoiler1!$F$41:$F$50))*IFERROR($QR$20,0)</f>
        <v>0</v>
      </c>
      <c r="HD93" s="207">
        <f>IF(OR(HeaterBoiler2!$E$26&lt;&gt;"fuel gas",HeaterBoiler2!$E$15&lt;&gt;"boiler"),0,SUMIF(HeaterBoiler2!$A$41:$A$50,$FG93,HeaterBoiler2!$F$41:$F$50))*IFERROR($QR$22,0)</f>
        <v>0</v>
      </c>
      <c r="HE93" s="155">
        <f>SUMIF(Fug!$A$96:$A$205,$FG93,Fug!$I$96:$I$205)*IFERROR(Hidden!$QR$23,0)</f>
        <v>0</v>
      </c>
      <c r="HF93" s="155">
        <f t="shared" si="46"/>
        <v>0</v>
      </c>
      <c r="HG93" s="156">
        <f t="shared" si="47"/>
        <v>0</v>
      </c>
      <c r="HH93" s="156">
        <f t="shared" si="48"/>
        <v>0</v>
      </c>
      <c r="HI93" s="156">
        <f t="shared" si="49"/>
        <v>0</v>
      </c>
      <c r="HJ93" s="156">
        <f t="shared" si="50"/>
        <v>0</v>
      </c>
      <c r="HK93" s="156">
        <f t="shared" si="51"/>
        <v>0</v>
      </c>
      <c r="HL93" s="156">
        <f t="shared" si="52"/>
        <v>0</v>
      </c>
      <c r="NO93" s="155">
        <f>IF(Tank1!$D$22="No control",(SUMIF(Tank1!$E$32:$E$141,$FG93,Tank1!$H$32:$H$141)*(2000/8760)*IFERROR($QV$3,0)),0)</f>
        <v>0</v>
      </c>
      <c r="NP93" s="156">
        <f>SUMIF(LandEmiss!$AE$20:$AE$119,$FG93,LandEmiss!$AK$20:$AK$119)*(2000/8760)*IFERROR($QV$3,0)</f>
        <v>0</v>
      </c>
      <c r="NQ93" s="156">
        <f>(SUMIF(LandEmiss!$CN$20:$CN$119,$FG93,LandEmiss!$CT$20:$CT$119)+SUMIF(LandEmiss!$EY$9:$EY$108,$FG93,LandEmiss!$FE$9:$FE$108))*IFERROR($QV$3,0)*(2000/8760)</f>
        <v>0</v>
      </c>
      <c r="NR93" s="155">
        <f>IF(Tank2!$D$22="No control",(SUMIF(Tank2!$E$32:$E$141,$FG93,Tank2!$H$32:$H$141)*(2000/8760)*IFERROR($QV$4,0)),0)</f>
        <v>0</v>
      </c>
      <c r="NS93" s="156">
        <f>SUMIF(LandEmiss!$AE$20:$AE$119,$FG93,LandEmiss!$AL$20:$AL$119)*(2000/8760)*IFERROR($QV$4,0)</f>
        <v>0</v>
      </c>
      <c r="NT93" s="156">
        <f>(SUMIF(LandEmiss!$CN$20:$CN$119,$FG93,LandEmiss!$CU$20:$CU$119)+SUMIF(LandEmiss!$EY$9:$EY$108,$FG93,LandEmiss!$FF$9:$FF$108))*IFERROR($QV$4,0)*(2000/8760)</f>
        <v>0</v>
      </c>
      <c r="NU93" s="155">
        <f>IF(Tank3!$D$22="No control",(SUMIF(Tank3!$E$32:$E$141,$FG93,Tank3!$H$32:$H$141)*(2000/8760)*IFERROR($QV$5,0)),0)</f>
        <v>0</v>
      </c>
      <c r="NV93" s="156">
        <f>SUMIF(LandEmiss!$AE$20:$AE$119,$FG93,LandEmiss!$AM$20:$AM$119)*(2000/8760)*IFERROR($QV$5,0)</f>
        <v>0</v>
      </c>
      <c r="NW93" s="156">
        <f>(SUMIF(LandEmiss!$CN$20:$CN$119,$FG93,LandEmiss!$CV$20:$CV$119)+SUMIF(LandEmiss!$EY$9:$EY$108,$FG93,LandEmiss!$FG$9:$FG$108))*IFERROR($QV$5,0)*(2000/8760)</f>
        <v>0</v>
      </c>
      <c r="NX93" s="155">
        <f>IF(Tank4!$D$22="No control",(SUMIF(Tank4!$E$32:$E$141,$FG93,Tank4!$H$32:$H$141)*(2000/8760)*IFERROR($QV$6,0)),0)</f>
        <v>0</v>
      </c>
      <c r="NY93" s="156">
        <f>SUMIF(LandEmiss!$AE$20:$AE$119,$FG93,LandEmiss!$AN$20:$AN$119)*(2000/8760)*IFERROR($QV$6,0)</f>
        <v>0</v>
      </c>
      <c r="NZ93" s="156">
        <f>(SUMIF(LandEmiss!$CN$20:$CN$119,$FG93,LandEmiss!$CW$20:$CW$119)+SUMIF(LandEmiss!$EY$9:$EY$108,$FG93,LandEmiss!$FH$9:$FH$108))*IFERROR($QV$6,0)*(2000/8760)</f>
        <v>0</v>
      </c>
      <c r="OA93" s="155">
        <f>IF(Tank5!$D$22="No control",(SUMIF(Tank5!$E$32:$E$141,$FG93,Tank5!$H$32:$H$141)*(2000/8760)*IFERROR($QV$7,0)),0)</f>
        <v>0</v>
      </c>
      <c r="OB93" s="156">
        <f>SUMIF(LandEmiss!$AE$20:$AE$119,$FG93,LandEmiss!$AO$20:$AO$119)*(2000/8760)*IFERROR($QV$7,0)</f>
        <v>0</v>
      </c>
      <c r="OC93" s="156">
        <f>(SUMIF(LandEmiss!$CN$20:$CN$119,$FG93,LandEmiss!$CX$20:$CX$119)+SUMIF(LandEmiss!$EY$9:$EY$108,$FG93,LandEmiss!$FI$9:$FI$108))*IFERROR($QV$7,0)*(2000/8760)</f>
        <v>0</v>
      </c>
      <c r="OD93" s="155">
        <f>SUMIFS('Load-DrumTote'!$L$27:$L$136,'Load-DrumTote'!$F$27:$F$136,$FG93)*IFERROR($QV$8,0)*(2000/8760)</f>
        <v>0</v>
      </c>
      <c r="OE93" s="155">
        <f>SUMIFS('Load-Truck'!$L$27:$L$136,'Load-Truck'!$F$27:$F$136,$FG93)*IFERROR($QV$9,0)*(2000/8760)</f>
        <v>0</v>
      </c>
      <c r="OF93" s="155">
        <f>SUMIFS('Load-Rail'!$L$27:$L$136,'Load-Rail'!$F$27:$F$136,$FG93)*IFERROR($QV$10,0)*(2000/8760)</f>
        <v>0</v>
      </c>
      <c r="OG93" s="155">
        <f>SUMIFS('Load-MarineBarge'!$L$27:$L$136,'Load-MarineBarge'!$F$27:$F$136,$FG93)*IFERROR($QV$11,0)*(2000/8760)</f>
        <v>0</v>
      </c>
      <c r="OH93" s="155">
        <f>SUMIFS('Load-MarineShip'!$L$27:$L$136,'Load-MarineShip'!$F$27:$F$136,$FG93)*IFERROR($QV$12,0)*(2000/8760)</f>
        <v>0</v>
      </c>
      <c r="OI93" s="155">
        <f>(IF(OR(Flare!$D$24="FUEL GAS",Flare!$D$38="FUEL GAS"),SUMIF(Flare!$E$97:$E$106,$FG93,Flare!$G$97:$G$105),0)+SUMIF(Flare!$E$107:$E$216,$FG93,Flare!$G$107:$G$216))*(2000/8730)*IFERROR($QV$13,0)</f>
        <v>0</v>
      </c>
      <c r="OJ93" s="155">
        <f>SUMIF(LandEmiss!$A$335:$A$434,$FG93,LandEmiss!$C$335:$C$434)*(2000/8760)*IFERROR($QV$13,0)</f>
        <v>0</v>
      </c>
      <c r="OK93" s="155">
        <f>(SUMIF(LandEmiss!$BJ$335:$BJ$434,$FG93,LandEmiss!$BL$335:$BL$434)+SUMIF(LandEmiss!$DU$323:$DU$422,$FG93,LandEmiss!$DW$323:$DW$422))*(2000/8760)*IFERROR($QV$13,0)</f>
        <v>0</v>
      </c>
      <c r="OL93" s="155">
        <f>(IF(OR(VCU!$D$26="FUEL GAS",VCU!$D$42="FUEL GAS"),SUMIF(VCU!$E$120:$E$129,$FG93,VCU!$G$120:$G$129),0)+SUMIF(VCU!$E$130:$E$239,$FG93,VCU!G221:G330))*(2000/8760)*IFERROR($QV$14,0)</f>
        <v>0</v>
      </c>
      <c r="OM93" s="155">
        <f>SUMIF(LandEmiss!$A$335:$A$434,$FG93,LandEmiss!$E$335:$E$434)*(2000/8760)*IFERROR($QV$14,0)</f>
        <v>0</v>
      </c>
      <c r="ON93" s="155">
        <f>(SUMIF(LandEmiss!$BJ$335:$BJ$434,$FG93,LandEmiss!$BN$335:$BN$434)+SUMIF(LandEmiss!$DU$323:$DU$422,$FG93,LandEmiss!$DY$323:$DY$422))*(2000/8760)*IFERROR($QV$14,0)</f>
        <v>0</v>
      </c>
      <c r="OO93" s="155">
        <f>(IF(VaporOxidizer!$D$33="FUEL GAS",SUMIF(VaporOxidizer!$E$101:$E$110,$FG93,VaporOxidizer!$G$101:$G$110),0)+SUMIF(VaporOxidizer!$E$111:$E$220,$FG93,VaporOxidizer!$G$111:$G$220))*(2000/8760)*IFERROR($QV$15,0)</f>
        <v>0</v>
      </c>
      <c r="OP93" s="155">
        <f>SUMIF(LandEmiss!$A$335:$A$434,$FG93,LandEmiss!$G$335:$G$434)*(2000/8760)*IFERROR($QV$15,0)</f>
        <v>0</v>
      </c>
      <c r="OQ93" s="155">
        <f>(SUMIF(LandEmiss!$BJ$335:$BJ$434,$FG93,LandEmiss!$BP$335:$BP$434)+SUMIF(LandEmiss!$DU$323:$DU$422,$FG93,LandEmiss!$EA$323:$EA$422))*(2000/8760)*IFERROR($QV$15,0)</f>
        <v>0</v>
      </c>
      <c r="OR93" s="155">
        <f>SUMIF(CAS!$E$35:$E$144,Hidden!$FG93,CAS!$I$35:$I$144)*IFERROR($QV$16,0)*(2000/8760)</f>
        <v>0</v>
      </c>
      <c r="OS93" s="155">
        <f>SUMIF(LandEmiss!$A$335:$A$434,$FG93,LandEmiss!$I$335:$I$434)*(2000/8760)*IFERROR($QV$27,0)</f>
        <v>0</v>
      </c>
      <c r="OT93" s="155">
        <f>(SUMIF(LandEmiss!$BJ$335:$BJ$434,$FG93,LandEmiss!$BR$335:$BR$434)+SUMIF(LandEmiss!$DU$323:$DU$422,$FG93,LandEmiss!$EC$323:$EC$422))*(2000/8760)*IFERROR($QV$27,0)</f>
        <v>0</v>
      </c>
      <c r="OU93" s="155">
        <f>SUMIF(LandEmiss!$A$335:$A$434,$FG93,LandEmiss!$K$335:$K$434)*(2000/8760)*IFERROR($QV$26,0)</f>
        <v>0</v>
      </c>
      <c r="OV93" s="155">
        <f>(SUMIF(LandEmiss!$BJ$335:$BJ$434,$FG93,LandEmiss!$BT$335:$BT$434)+SUMIF(LandEmiss!$DU$323:$DU$422,$FG93,LandEmiss!$EE$323:$EE$422))*(2000/8760)*IFERROR($QV$26,0)</f>
        <v>0</v>
      </c>
      <c r="OW93" s="155">
        <f>SUMIF(LandEmiss!$A$335:$A$434,$FG93,LandEmiss!$M$335:$M$434)*(2000/8760)*IFERROR($QV$25,0)</f>
        <v>0</v>
      </c>
      <c r="OX93" s="155">
        <f>(SUMIF(LandEmiss!$BJ$335:$BJ$434,$FG93,LandEmiss!$BV$335:$BV$434)+SUMIF(LandEmiss!$DU$323:$DU$422,$FG93,LandEmiss!$EG$323:$EG$422))*(2000/8760)*IFERROR($QV$25,0)</f>
        <v>0</v>
      </c>
      <c r="OY93" s="8">
        <v>0</v>
      </c>
      <c r="OZ93" s="207">
        <v>0</v>
      </c>
      <c r="PA93" s="207">
        <f>IF(OR(HeaterBoiler1!$E$26&lt;&gt;"fuel gas",HeaterBoiler1!$E$15&lt;&gt;"heater"),0,(SUMIF(HeaterBoiler1!$A$54:$D$63,$FG93,HeaterBoiler1!$J$54:$J$63))*(2000/8760))*IFERROR($QV$19,0)</f>
        <v>0</v>
      </c>
      <c r="PB93" s="207">
        <f>IF(OR(HeaterBoiler2!$E$26&lt;&gt;"fuel gas",HeaterBoiler2!$E$15&lt;&gt;"heater"),0,(SUMIF(HeaterBoiler2!$A$54:$D$63,$FG93,HeaterBoiler2!$J$54:$J$63))*(2000/8760))*IFERROR($QV$21,0)</f>
        <v>0</v>
      </c>
      <c r="PC93" s="207">
        <f>IF(OR(HeaterBoiler1!$E$26&lt;&gt;"fuel gas",HeaterBoiler1!$E$15&lt;&gt;"boiler"),0,(SUMIF(HeaterBoiler1!$A$54:$D$63,$FG93,HeaterBoiler1!$J$54:$J$63))*(2000/8760))*IFERROR($QV$20,0)</f>
        <v>0</v>
      </c>
      <c r="PD93" s="207">
        <f>IF(OR(HeaterBoiler2!$E$26&lt;&gt;"fuel gas",HeaterBoiler2!$E$15&lt;&gt;"boiler"),0,(SUMIF(HeaterBoiler2!$A$54:$D$63,$FG93,HeaterBoiler2!$J$54:$J$63))*(2000/8760))*IFERROR($QV$22,0)</f>
        <v>0</v>
      </c>
      <c r="PE93" s="8">
        <f>(SUMIF(Fug!$A$96:$A$205,$FG93,Fug!$J$96:$J$205))*IFERROR($QV$23,0)*(2000/8760)</f>
        <v>0</v>
      </c>
      <c r="PF93" s="8">
        <f t="shared" si="53"/>
        <v>0</v>
      </c>
      <c r="PG93" s="156">
        <f t="shared" si="54"/>
        <v>0</v>
      </c>
      <c r="QX93" s="89" t="s">
        <v>9338</v>
      </c>
      <c r="QY93">
        <v>212.1</v>
      </c>
      <c r="QZ93">
        <v>212.1</v>
      </c>
      <c r="RA93">
        <v>212.1</v>
      </c>
      <c r="RB93">
        <v>212.1</v>
      </c>
      <c r="RC93">
        <v>212.1</v>
      </c>
      <c r="RD93">
        <v>212.1</v>
      </c>
      <c r="RE93">
        <v>212.1</v>
      </c>
      <c r="RF93">
        <v>212.1</v>
      </c>
      <c r="RG93">
        <v>212.1</v>
      </c>
      <c r="RH93" s="89" t="s">
        <v>9338</v>
      </c>
      <c r="RQ93" s="90"/>
      <c r="RR93" s="89" t="s">
        <v>9338</v>
      </c>
      <c r="SA93" s="90"/>
      <c r="SB93" s="89" t="s">
        <v>9338</v>
      </c>
      <c r="SK93" s="90"/>
      <c r="SL93" s="89" t="s">
        <v>9338</v>
      </c>
      <c r="SM93">
        <v>4.55</v>
      </c>
      <c r="SN93">
        <v>4.55</v>
      </c>
      <c r="SO93">
        <v>4.55</v>
      </c>
      <c r="SP93">
        <v>4.55</v>
      </c>
      <c r="SQ93">
        <v>4.55</v>
      </c>
      <c r="SR93">
        <v>4.55</v>
      </c>
      <c r="SS93">
        <v>4.55</v>
      </c>
      <c r="ST93">
        <v>4.55</v>
      </c>
      <c r="SU93">
        <v>4.55</v>
      </c>
    </row>
    <row r="94" spans="23:515" ht="74.25" customHeight="1" thickBot="1" x14ac:dyDescent="0.25">
      <c r="W94">
        <f>IF(OR(X94=0,ISNUMBER(MATCH(X94,$X$1:X93,0))),0,MAX($W$1:W93)+1)</f>
        <v>0</v>
      </c>
      <c r="X94" s="123">
        <f>Products!$E141</f>
        <v>0</v>
      </c>
      <c r="Y94" t="str">
        <f t="shared" si="42"/>
        <v/>
      </c>
      <c r="CA94">
        <f>IF(OR(CB94=0,ISNUMBER(MATCH(CB94,$CB$1:CB93,0))),0,MAX($CA$1:CA93)+1)</f>
        <v>0</v>
      </c>
      <c r="CB94" s="8">
        <f>IF(OR(Tank1!$D$18="EXTERNAL FLOATING ROOF",Tank1!$D$18="INTERNAL FLOATING ROOF"),IF(Tank1!$E124="",0,Tank1!$E124),0)</f>
        <v>0</v>
      </c>
      <c r="CC94" s="8" t="str">
        <f t="shared" si="43"/>
        <v/>
      </c>
      <c r="CD94" s="8"/>
      <c r="CE94" s="8">
        <f>IF(OR(CF94=0,ISNUMBER(MATCH(CF94,$CF$1:CF93,0))),0,MAX($CE$1:CE93)+1)</f>
        <v>0</v>
      </c>
      <c r="CF94" s="8">
        <f>IF(OR(Tank1!$D$18="HORIZONTAL FIXED ROOF",Tank1!$D$18="VERTICAL FIXED ROOF"),IF(Tank1!$E124="",0,Tank1!$E124),0)</f>
        <v>0</v>
      </c>
      <c r="CG94" s="8" t="str">
        <f t="shared" si="44"/>
        <v/>
      </c>
      <c r="DM94">
        <f>IF(OR(DN94=0,ISNUMBER(MATCH(DN94,$DN$1:DN93,0))),0,MAX($DM$1:DM93)+1)</f>
        <v>0</v>
      </c>
      <c r="DN94">
        <f>IF('Load-MarineShip'!$F$19="Flare",IFERROR(VLOOKUP(Products!$A$79,'Load-MarineShip'!$A$27:$B$136,1,FALSE),0),0)</f>
        <v>0</v>
      </c>
      <c r="DO94">
        <f>IF($DN94=0,0,VLOOKUP($DN94,'Load-MarineShip'!$A$27:$N$136,13,FALSE))</f>
        <v>0</v>
      </c>
      <c r="DP94">
        <f>IF($DN94=0,0,VLOOKUP($DN94,'Load-MarineShip'!$A$27:$N$136,14,FALSE))</f>
        <v>0</v>
      </c>
      <c r="DU94">
        <f>IF(OR(DV94=0,ISNUMBER(MATCH(DV94,$DV$1:DV93,0))),0,MAX($DU$1:DU93)+1)</f>
        <v>0</v>
      </c>
      <c r="DV94">
        <f>IF('Load-MarineShip'!$F$19="VCU",IFERROR(VLOOKUP(Products!$A$79,'Load-MarineShip'!$A$27:$B$136,1,FALSE),0),0)</f>
        <v>0</v>
      </c>
      <c r="DW94">
        <f>IF($DV94=0,0,VLOOKUP($DV94,'Load-MarineShip'!$A$27:$N$136,13,FALSE))</f>
        <v>0</v>
      </c>
      <c r="DX94">
        <f>IF($DV94=0,0,VLOOKUP($DV94,'Load-MarineShip'!$A$27:$N$136,14,FALSE))</f>
        <v>0</v>
      </c>
      <c r="EC94">
        <f>IF(OR(ED94=0,ISNUMBER(MATCH(ED94,$ED$1:ED93,0))),0,MAX($EC$1:EC93)+1)</f>
        <v>0</v>
      </c>
      <c r="ED94">
        <f>IF('Load-MarineShip'!$F$19="vapor oxidizer",IFERROR(VLOOKUP(Products!$A$79,'Load-MarineShip'!$A$27:$B$136,1,FALSE),0),0)</f>
        <v>0</v>
      </c>
      <c r="EE94">
        <f>IF($ED94=0,0,VLOOKUP($ED94,'Load-MarineShip'!$A$27:$N$136,13,FALSE))</f>
        <v>0</v>
      </c>
      <c r="EF94">
        <f>IF($ED94=0,0,VLOOKUP($ED94,'Load-MarineShip'!$A$27:$N$136,14,FALSE))</f>
        <v>0</v>
      </c>
      <c r="EK94">
        <f>IF(OR(EL94=0,ISNUMBER(MATCH(EL94,$EL$1:EL93,0))),0,MAX($EK$1:EK93)+1)</f>
        <v>0</v>
      </c>
      <c r="EL94">
        <f>IF('Load-MarineShip'!$F$19="CAS",IFERROR(VLOOKUP(Products!A79,'Load-MarineShip'!$A$27:$B$136,1,FALSE),0),0)</f>
        <v>0</v>
      </c>
      <c r="EM94">
        <f>IF($EL94=0,0,VLOOKUP($EL94,'Load-MarineShip'!$A$27:$N$136,13,FALSE))</f>
        <v>0</v>
      </c>
      <c r="EN94">
        <f>IF($EL94=0,0,VLOOKUP($EL94,'Load-MarineShip'!$A$27:$N$136,14,FALSE))</f>
        <v>0</v>
      </c>
      <c r="FB94" s="8" t="s">
        <v>9884</v>
      </c>
      <c r="FC94" s="8" t="s">
        <v>9816</v>
      </c>
      <c r="FD94" s="8">
        <v>42000</v>
      </c>
      <c r="FE94" s="8">
        <v>4200</v>
      </c>
      <c r="FG94" s="360" t="str">
        <f t="shared" si="45"/>
        <v/>
      </c>
      <c r="FH94" s="155">
        <f>IF(Tank1!$D$22="NO CONTROL",_xlfn.MAXIFS(Tank1!$G$32:$G$141,Tank1!$E$32:$E$141,$FG94),0)*IFERROR($QR$3,0)</f>
        <v>0</v>
      </c>
      <c r="FI94" s="155">
        <f>_xlfn.MAXIFS(LandEmiss!$AF$20:$AF$119,LandEmiss!$AE$20:$AE$119,$FG94)*IFERROR($QR$3,0)</f>
        <v>0</v>
      </c>
      <c r="FJ94" s="155">
        <f>MAX(_xlfn.MAXIFS(LandEmiss!$CO$20:$CO$119,LandEmiss!$CN$20:$CN$119,$FG94),_xlfn.MAXIFS(LandEmiss!$EZ$9:$EZ$108,LandEmiss!$EY$9:$EY$108,$FG94))*IFERROR($QR$3,0)</f>
        <v>0</v>
      </c>
      <c r="FK94" s="155">
        <f>IF(Tank2!$D$22="NO CONTROL",_xlfn.MAXIFS(Tank2!$G$32:$G$141,Tank2!$E$32:$E$141,$FG94),0)*IFERROR($QR$4,0)</f>
        <v>0</v>
      </c>
      <c r="FL94" s="155">
        <f>_xlfn.MAXIFS(LandEmiss!$AG$20:$AG$119,LandEmiss!$AE$20:$AE$119,$FG94)*IFERROR($QR$4,0)</f>
        <v>0</v>
      </c>
      <c r="FM94" s="155">
        <f>MAX(_xlfn.MAXIFS(LandEmiss!$CP$20:$CP$119,LandEmiss!$CN$20:$CN$119,$FG94),_xlfn.MAXIFS(LandEmiss!$FA$9:$FA$108,LandEmiss!$EY$9:$EY$108,$FG94))*IFERROR($QR$4,0)</f>
        <v>0</v>
      </c>
      <c r="FN94" s="155">
        <f>IF(Tank3!$D$22="NO CONTROL",_xlfn.MAXIFS(Tank3!$G$32:$G$141,Tank3!$E$32:$E$141,$FG94),0)*IFERROR($QR$5,0)</f>
        <v>0</v>
      </c>
      <c r="FO94" s="155">
        <f>_xlfn.MAXIFS(LandEmiss!$AH$20:$AH$119,LandEmiss!$AE$20:$AE$119,$FG94)*IFERROR($QR$5,0)</f>
        <v>0</v>
      </c>
      <c r="FP94" s="155">
        <f>MAX(_xlfn.MAXIFS(LandEmiss!$CQ$20:$CQ$119,LandEmiss!$CN$20:$CN$119,$FG94),_xlfn.MAXIFS(LandEmiss!$FB$9:$FB$108,LandEmiss!$EY$9:$EY$108,$FG94))*IFERROR($QR$5,0)</f>
        <v>0</v>
      </c>
      <c r="FQ94" s="155">
        <f>IF(Tank4!$D$22="NO CONTROL",_xlfn.MAXIFS(Tank4!$G$32:$G$141,Tank4!$E$32:$E$141,$FG94),0)*IFERROR($QR$6,0)</f>
        <v>0</v>
      </c>
      <c r="FR94" s="155">
        <f>_xlfn.MAXIFS(LandEmiss!$AI$20:$AI$119,LandEmiss!$AE$20:$AE$119,$FG94)*IFERROR($QR$6,0)</f>
        <v>0</v>
      </c>
      <c r="FS94" s="155">
        <f>MAX(_xlfn.MAXIFS(LandEmiss!$CR$20:$CR$119,LandEmiss!$CN$20:$CN$119,$FG94),_xlfn.MAXIFS(LandEmiss!$FC$9:$FC$108,LandEmiss!$EY$9:$EY$108,$FG94))*IFERROR($QR$6,0)</f>
        <v>0</v>
      </c>
      <c r="FT94" s="155">
        <f>IF(Tank5!$D$22="NO CONTROL",_xlfn.MAXIFS(Tank5!$G$32:$G$141,Tank5!$E$32:$E$141,$FG94),0)*IFERROR($QR$7,0)</f>
        <v>0</v>
      </c>
      <c r="FU94" s="155">
        <f>_xlfn.MAXIFS(LandEmiss!$AJ$20:$AJ$119,LandEmiss!$AE$20:$AE$119,$FG94)*IFERROR($QR$7,0)</f>
        <v>0</v>
      </c>
      <c r="FV94" s="155">
        <f>MAX(_xlfn.MAXIFS(LandEmiss!$CS$20:$CS$119,LandEmiss!$CN$20:$CN$119,$FG94),_xlfn.MAXIFS(LandEmiss!$FD$9:$FD$108,LandEmiss!$EY$9:$EY$108,$FG94))*IFERROR($QR99,0)</f>
        <v>0</v>
      </c>
      <c r="FW94" s="155">
        <f>_xlfn.MAXIFS('Load-DrumTote'!$K$27:$K$136,'Load-DrumTote'!$F$27:$F$136,$FG94)*IFERROR($QR$8,0)</f>
        <v>0</v>
      </c>
      <c r="FX94" s="155">
        <f>_xlfn.MAXIFS('Load-Truck'!$K$27:$K$136,'Load-Truck'!$F$27:$F$136,$FG94)*IFERROR($QR$9,0)</f>
        <v>0</v>
      </c>
      <c r="FY94" s="155">
        <f>_xlfn.MAXIFS('Load-Rail'!$K$27:$K$136,'Load-Rail'!$F$27:$F$136,$FG94)*IFERROR($QR$10,0)</f>
        <v>0</v>
      </c>
      <c r="FZ94" s="155">
        <f>_xlfn.MAXIFS('Load-MarineBarge'!$K$27:$K$136,'Load-MarineBarge'!$F$27:$F$136,$FG94)*IFERROR($QR$11,0)</f>
        <v>0</v>
      </c>
      <c r="GA94" s="155">
        <f>_xlfn.MAXIFS('Load-MarineShip'!$K$27:$K$136,'Load-MarineShip'!$F$27:$F$136,$FG94)*IFERROR($QR$12,0)</f>
        <v>0</v>
      </c>
      <c r="GB94" s="313">
        <f>IF(OR(Flare!$D$24="fuel gas",Flare!$D$38="fuel gas"),SUMIF(Flare!$E$97:$E$106,$FG94,Flare!$F$97:$F$106),0)*IFERROR($QR$13,0)</f>
        <v>0</v>
      </c>
      <c r="GC94" s="313">
        <f>(_xlfn.MAXIFS(CtrlDevImpacts!$I$57:$I$156,CtrlDevImpacts!$H$57:$H$156,$FG94))*IFERROR($QR$13,0)</f>
        <v>0</v>
      </c>
      <c r="GD94" s="313">
        <f>(_xlfn.MAXIFS(Flare!$F$107:$F$216,Flare!$E$107:$E$216,$FG94)-_xlfn.MAXIFS(CtrlDevImpacts!$I$57:$I$156,CtrlDevImpacts!$H$57:$H$156,$FG94))*IFERROR($QR$13,0)</f>
        <v>0</v>
      </c>
      <c r="GE94" s="155">
        <f>_xlfn.MAXIFS(LandEmiss!$B$335:$B$434,LandEmiss!$A$335:$A$434,$FG94)*IFERROR($QR$13,0)</f>
        <v>0</v>
      </c>
      <c r="GF94" s="155">
        <f>(_xlfn.MAXIFS(LandEmiss!$BK$335:$BK$434,LandEmiss!$BJ$335:$BJ$434,$FG94)+_xlfn.MAXIFS(LandEmiss!$DV$323:$DV$422,LandEmiss!$DU$323:$DU$422,$FG94))*IFERROR($QR$13,0)</f>
        <v>0</v>
      </c>
      <c r="GG94" s="313">
        <f>IF(OR(VCU!$D$26="fuel gas",VCU!$D$42="fuel gas"),SUMIF(VCU!$E$120:$E$129,$FG94,VCU!$F$120:$F$129),0)*IFERROR($QR$14,0)</f>
        <v>0</v>
      </c>
      <c r="GH94" s="313">
        <f>(_xlfn.MAXIFS(CtrlDevImpacts!$X$57:$X$156,CtrlDevImpacts!$W$57:$W$156,$FG94))*IFERROR($QR$14,0)</f>
        <v>0</v>
      </c>
      <c r="GI94" s="313">
        <f>(_xlfn.MAXIFS(VCU!$F$130:$F$239,VCU!$E$130:$E$239,$FG94)-_xlfn.MAXIFS(CtrlDevImpacts!$X$57:$X$156,CtrlDevImpacts!$W$57:$W$156,$FG94))*IFERROR($QR$14,0)</f>
        <v>0</v>
      </c>
      <c r="GJ94" s="155">
        <f>_xlfn.MAXIFS(LandEmiss!$D$335:$D$434,LandEmiss!$A$335:$A$434,$FG94)*IFERROR($QR$14,0)</f>
        <v>0</v>
      </c>
      <c r="GK94" s="155">
        <f>(_xlfn.MAXIFS(LandEmiss!$BM$335:$BM$434,LandEmiss!$BJ$335:$BJ$434,$FG94)+_xlfn.MAXIFS(LandEmiss!$DX$323:$DX$422,LandEmiss!$DU$323:$DU$422,$FG94))*IFERROR($QR$14,0)</f>
        <v>0</v>
      </c>
      <c r="GL94" s="313">
        <f>IF(VaporOxidizer!D125="FUEL GAS",SUMIF(VaporOxidizer!$E$101:$E$110,$FG94,VaporOxidizer!$F$101:$F$110),0)*IFERROR($QR$15,0)</f>
        <v>0</v>
      </c>
      <c r="GM94" s="313">
        <f>(_xlfn.MAXIFS(CtrlDevImpacts!$AN$57:$AN$156,CtrlDevImpacts!$AM$57:$AM$156,$FG94))*IFERROR($QR$15,0)</f>
        <v>0</v>
      </c>
      <c r="GN94" s="313">
        <f>(_xlfn.MAXIFS(VaporOxidizer!$F$111:$F$220,VaporOxidizer!$E$111:$E$220,$FG94)-_xlfn.MAXIFS(CtrlDevImpacts!$AN$57:$AN$156,CtrlDevImpacts!$AM$57:$AM$156,$FG94))*IFERROR($QR$15,0)</f>
        <v>0</v>
      </c>
      <c r="GO94" s="155">
        <f>_xlfn.MAXIFS(LandEmiss!$F$335:$F$434,LandEmiss!$A$335:$A$434,$FG94)*IFERROR($QR$15,0)</f>
        <v>0</v>
      </c>
      <c r="GP94" s="155">
        <f>(_xlfn.MAXIFS(LandEmiss!$BK$335:$BK$434,LandEmiss!$BO$335:$BO$434,$FG94)+_xlfn.MAXIFS(LandEmiss!$DZ$323:$DZ$422,LandEmiss!$DU$323:$DU$422,$FG94))*IFERROR($QR$15,0)</f>
        <v>0</v>
      </c>
      <c r="GQ94" s="313">
        <f>_xlfn.MAXIFS(CtrlDevImpacts!$BD$57:$BD$156,CtrlDevImpacts!$BC$57:$BC$156,$FG94)*IFERROR(Hidden!$QR$16,0)</f>
        <v>0</v>
      </c>
      <c r="GR94" s="313">
        <f>(_xlfn.MAXIFS(CAS!$H$35:$H$144,CAS!$E$35:$E$144,$FG94)-_xlfn.MAXIFS(CtrlDevImpacts!$BD$57:$BD$156,CtrlDevImpacts!$BC$57:$BC$156,$FG94))*IFERROR(Hidden!$QR$16,0)</f>
        <v>0</v>
      </c>
      <c r="GS94" s="155">
        <f>_xlfn.MAXIFS(LandEmiss!$H$335:$H$434,LandEmiss!$A$335:$A$434,$FG94)*IFERROR($QR$27,0)</f>
        <v>0</v>
      </c>
      <c r="GT94" s="155">
        <f>(_xlfn.MAXIFS(LandEmiss!$BK$335:$BK$434,LandEmiss!$BQ$335:$BQ$434,$FG94)+_xlfn.MAXIFS(LandEmiss!$EB$323:$EB$422,LandEmiss!$DU$323:$DU$422,$FG94))*IFERROR($QR$27,0)</f>
        <v>0</v>
      </c>
      <c r="GU94" s="155">
        <f>_xlfn.MAXIFS(LandEmiss!$J$335:$J$434,LandEmiss!$A$335:$A$434,$FG94)*IFERROR($QR$26,0)</f>
        <v>0</v>
      </c>
      <c r="GV94" s="155">
        <f>(_xlfn.MAXIFS(LandEmiss!$BK$335:$BK$434,LandEmiss!$BS$335:$BS$434,$FG94)+_xlfn.MAXIFS(LandEmiss!$ED$323:$ED$422,LandEmiss!$DU$323:$DU$422,$FG94))*IFERROR($QR$26,0)</f>
        <v>0</v>
      </c>
      <c r="GW94" s="155">
        <f>_xlfn.MAXIFS(LandEmiss!$L$335:$L$434,LandEmiss!$A$335:$A$434,$FG94)*IFERROR($QR$25,0)</f>
        <v>0</v>
      </c>
      <c r="GX94" s="155">
        <f>(_xlfn.MAXIFS(LandEmiss!$BK$335:$BK$434,LandEmiss!$BU$335:$BU$434,$FG94)+_xlfn.MAXIFS(LandEmiss!$EF$323:$EF$422,LandEmiss!$DU$323:$DU$422,$FG94))*IFERROR($QR$25,0)</f>
        <v>0</v>
      </c>
      <c r="GY94" s="155">
        <v>0</v>
      </c>
      <c r="GZ94" s="155">
        <v>0</v>
      </c>
      <c r="HA94" s="155">
        <f>IF(OR(HeaterBoiler1!$E$26&lt;&gt;"fuel gas",HeaterBoiler1!$E$15&lt;&gt;"heater"),0,SUMIF(HeaterBoiler1!$A$54:$D$63,$FG94,HeaterBoiler1!$I$54:$I$63))*IFERROR($QR$19,0)</f>
        <v>0</v>
      </c>
      <c r="HB94" s="207">
        <f>IF(OR(HeaterBoiler2!$E$26&lt;&gt;"fuel gas",HeaterBoiler2!$E$15&lt;&gt;"heater"),0,SUMIF(HeaterBoiler2!$A$54:$D$63,$FG94,HeaterBoiler2!$I$54:$I$63))*IFERROR($QR$21,0)</f>
        <v>0</v>
      </c>
      <c r="HC94" s="155">
        <f>IF(OR(HeaterBoiler1!$E$26&lt;&gt;"fuel gas",HeaterBoiler1!$E$15&lt;&gt;"boiler"),0,SUMIF(HeaterBoiler1!$A$41:$A$50,$FG94,HeaterBoiler1!$F$41:$F$50))*IFERROR($QR$20,0)</f>
        <v>0</v>
      </c>
      <c r="HD94" s="207">
        <f>IF(OR(HeaterBoiler2!$E$26&lt;&gt;"fuel gas",HeaterBoiler2!$E$15&lt;&gt;"boiler"),0,SUMIF(HeaterBoiler2!$A$41:$A$50,$FG94,HeaterBoiler2!$F$41:$F$50))*IFERROR($QR$22,0)</f>
        <v>0</v>
      </c>
      <c r="HE94" s="155">
        <f>SUMIF(Fug!$A$96:$A$205,$FG94,Fug!$I$96:$I$205)*IFERROR(Hidden!$QR$23,0)</f>
        <v>0</v>
      </c>
      <c r="HF94" s="155">
        <f t="shared" si="46"/>
        <v>0</v>
      </c>
      <c r="HG94" s="156">
        <f t="shared" si="47"/>
        <v>0</v>
      </c>
      <c r="HH94" s="156">
        <f t="shared" si="48"/>
        <v>0</v>
      </c>
      <c r="HI94" s="156">
        <f t="shared" si="49"/>
        <v>0</v>
      </c>
      <c r="HJ94" s="156">
        <f t="shared" si="50"/>
        <v>0</v>
      </c>
      <c r="HK94" s="156">
        <f t="shared" si="51"/>
        <v>0</v>
      </c>
      <c r="HL94" s="156">
        <f t="shared" si="52"/>
        <v>0</v>
      </c>
      <c r="NO94" s="155">
        <f>IF(Tank1!$D$22="No control",(SUMIF(Tank1!$E$32:$E$141,$FG94,Tank1!$H$32:$H$141)*(2000/8760)*IFERROR($QV$3,0)),0)</f>
        <v>0</v>
      </c>
      <c r="NP94" s="156">
        <f>SUMIF(LandEmiss!$AE$20:$AE$119,$FG94,LandEmiss!$AK$20:$AK$119)*(2000/8760)*IFERROR($QV$3,0)</f>
        <v>0</v>
      </c>
      <c r="NQ94" s="156">
        <f>(SUMIF(LandEmiss!$CN$20:$CN$119,$FG94,LandEmiss!$CT$20:$CT$119)+SUMIF(LandEmiss!$EY$9:$EY$108,$FG94,LandEmiss!$FE$9:$FE$108))*IFERROR($QV$3,0)*(2000/8760)</f>
        <v>0</v>
      </c>
      <c r="NR94" s="155">
        <f>IF(Tank2!$D$22="No control",(SUMIF(Tank2!$E$32:$E$141,$FG94,Tank2!$H$32:$H$141)*(2000/8760)*IFERROR($QV$4,0)),0)</f>
        <v>0</v>
      </c>
      <c r="NS94" s="156">
        <f>SUMIF(LandEmiss!$AE$20:$AE$119,$FG94,LandEmiss!$AL$20:$AL$119)*(2000/8760)*IFERROR($QV$4,0)</f>
        <v>0</v>
      </c>
      <c r="NT94" s="156">
        <f>(SUMIF(LandEmiss!$CN$20:$CN$119,$FG94,LandEmiss!$CU$20:$CU$119)+SUMIF(LandEmiss!$EY$9:$EY$108,$FG94,LandEmiss!$FF$9:$FF$108))*IFERROR($QV$4,0)*(2000/8760)</f>
        <v>0</v>
      </c>
      <c r="NU94" s="155">
        <f>IF(Tank3!$D$22="No control",(SUMIF(Tank3!$E$32:$E$141,$FG94,Tank3!$H$32:$H$141)*(2000/8760)*IFERROR($QV$5,0)),0)</f>
        <v>0</v>
      </c>
      <c r="NV94" s="156">
        <f>SUMIF(LandEmiss!$AE$20:$AE$119,$FG94,LandEmiss!$AM$20:$AM$119)*(2000/8760)*IFERROR($QV$5,0)</f>
        <v>0</v>
      </c>
      <c r="NW94" s="156">
        <f>(SUMIF(LandEmiss!$CN$20:$CN$119,$FG94,LandEmiss!$CV$20:$CV$119)+SUMIF(LandEmiss!$EY$9:$EY$108,$FG94,LandEmiss!$FG$9:$FG$108))*IFERROR($QV$5,0)*(2000/8760)</f>
        <v>0</v>
      </c>
      <c r="NX94" s="155">
        <f>IF(Tank4!$D$22="No control",(SUMIF(Tank4!$E$32:$E$141,$FG94,Tank4!$H$32:$H$141)*(2000/8760)*IFERROR($QV$6,0)),0)</f>
        <v>0</v>
      </c>
      <c r="NY94" s="156">
        <f>SUMIF(LandEmiss!$AE$20:$AE$119,$FG94,LandEmiss!$AN$20:$AN$119)*(2000/8760)*IFERROR($QV$6,0)</f>
        <v>0</v>
      </c>
      <c r="NZ94" s="156">
        <f>(SUMIF(LandEmiss!$CN$20:$CN$119,$FG94,LandEmiss!$CW$20:$CW$119)+SUMIF(LandEmiss!$EY$9:$EY$108,$FG94,LandEmiss!$FH$9:$FH$108))*IFERROR($QV$6,0)*(2000/8760)</f>
        <v>0</v>
      </c>
      <c r="OA94" s="155">
        <f>IF(Tank5!$D$22="No control",(SUMIF(Tank5!$E$32:$E$141,$FG94,Tank5!$H$32:$H$141)*(2000/8760)*IFERROR($QV$7,0)),0)</f>
        <v>0</v>
      </c>
      <c r="OB94" s="156">
        <f>SUMIF(LandEmiss!$AE$20:$AE$119,$FG94,LandEmiss!$AO$20:$AO$119)*(2000/8760)*IFERROR($QV$7,0)</f>
        <v>0</v>
      </c>
      <c r="OC94" s="156">
        <f>(SUMIF(LandEmiss!$CN$20:$CN$119,$FG94,LandEmiss!$CX$20:$CX$119)+SUMIF(LandEmiss!$EY$9:$EY$108,$FG94,LandEmiss!$FI$9:$FI$108))*IFERROR($QV$7,0)*(2000/8760)</f>
        <v>0</v>
      </c>
      <c r="OD94" s="155">
        <f>SUMIFS('Load-DrumTote'!$L$27:$L$136,'Load-DrumTote'!$F$27:$F$136,$FG94)*IFERROR($QV$8,0)*(2000/8760)</f>
        <v>0</v>
      </c>
      <c r="OE94" s="155">
        <f>SUMIFS('Load-Truck'!$L$27:$L$136,'Load-Truck'!$F$27:$F$136,$FG94)*IFERROR($QV$9,0)*(2000/8760)</f>
        <v>0</v>
      </c>
      <c r="OF94" s="155">
        <f>SUMIFS('Load-Rail'!$L$27:$L$136,'Load-Rail'!$F$27:$F$136,$FG94)*IFERROR($QV$10,0)*(2000/8760)</f>
        <v>0</v>
      </c>
      <c r="OG94" s="155">
        <f>SUMIFS('Load-MarineBarge'!$L$27:$L$136,'Load-MarineBarge'!$F$27:$F$136,$FG94)*IFERROR($QV$11,0)*(2000/8760)</f>
        <v>0</v>
      </c>
      <c r="OH94" s="155">
        <f>SUMIFS('Load-MarineShip'!$L$27:$L$136,'Load-MarineShip'!$F$27:$F$136,$FG94)*IFERROR($QV$12,0)*(2000/8760)</f>
        <v>0</v>
      </c>
      <c r="OI94" s="155">
        <f>(IF(OR(Flare!$D$24="FUEL GAS",Flare!$D$38="FUEL GAS"),SUMIF(Flare!$E$97:$E$106,$FG94,Flare!$G$97:$G$105),0)+SUMIF(Flare!$E$107:$E$216,$FG94,Flare!$G$107:$G$216))*(2000/8730)*IFERROR($QV$13,0)</f>
        <v>0</v>
      </c>
      <c r="OJ94" s="155">
        <f>SUMIF(LandEmiss!$A$335:$A$434,$FG94,LandEmiss!$C$335:$C$434)*(2000/8760)*IFERROR($QV$13,0)</f>
        <v>0</v>
      </c>
      <c r="OK94" s="155">
        <f>(SUMIF(LandEmiss!$BJ$335:$BJ$434,$FG94,LandEmiss!$BL$335:$BL$434)+SUMIF(LandEmiss!$DU$323:$DU$422,$FG94,LandEmiss!$DW$323:$DW$422))*(2000/8760)*IFERROR($QV$13,0)</f>
        <v>0</v>
      </c>
      <c r="OL94" s="155">
        <f>(IF(OR(VCU!$D$26="FUEL GAS",VCU!$D$42="FUEL GAS"),SUMIF(VCU!$E$120:$E$129,$FG94,VCU!$G$120:$G$129),0)+SUMIF(VCU!$E$130:$E$239,$FG94,VCU!G222:G331))*(2000/8760)*IFERROR($QV$14,0)</f>
        <v>0</v>
      </c>
      <c r="OM94" s="155">
        <f>SUMIF(LandEmiss!$A$335:$A$434,$FG94,LandEmiss!$E$335:$E$434)*(2000/8760)*IFERROR($QV$14,0)</f>
        <v>0</v>
      </c>
      <c r="ON94" s="155">
        <f>(SUMIF(LandEmiss!$BJ$335:$BJ$434,$FG94,LandEmiss!$BN$335:$BN$434)+SUMIF(LandEmiss!$DU$323:$DU$422,$FG94,LandEmiss!$DY$323:$DY$422))*(2000/8760)*IFERROR($QV$14,0)</f>
        <v>0</v>
      </c>
      <c r="OO94" s="155">
        <f>(IF(VaporOxidizer!$D$33="FUEL GAS",SUMIF(VaporOxidizer!$E$101:$E$110,$FG94,VaporOxidizer!$G$101:$G$110),0)+SUMIF(VaporOxidizer!$E$111:$E$220,$FG94,VaporOxidizer!$G$111:$G$220))*(2000/8760)*IFERROR($QV$15,0)</f>
        <v>0</v>
      </c>
      <c r="OP94" s="155">
        <f>SUMIF(LandEmiss!$A$335:$A$434,$FG94,LandEmiss!$G$335:$G$434)*(2000/8760)*IFERROR($QV$15,0)</f>
        <v>0</v>
      </c>
      <c r="OQ94" s="155">
        <f>(SUMIF(LandEmiss!$BJ$335:$BJ$434,$FG94,LandEmiss!$BP$335:$BP$434)+SUMIF(LandEmiss!$DU$323:$DU$422,$FG94,LandEmiss!$EA$323:$EA$422))*(2000/8760)*IFERROR($QV$15,0)</f>
        <v>0</v>
      </c>
      <c r="OR94" s="155">
        <f>SUMIF(CAS!$E$35:$E$144,Hidden!$FG94,CAS!$I$35:$I$144)*IFERROR($QV$16,0)*(2000/8760)</f>
        <v>0</v>
      </c>
      <c r="OS94" s="155">
        <f>SUMIF(LandEmiss!$A$335:$A$434,$FG94,LandEmiss!$I$335:$I$434)*(2000/8760)*IFERROR($QV$27,0)</f>
        <v>0</v>
      </c>
      <c r="OT94" s="155">
        <f>(SUMIF(LandEmiss!$BJ$335:$BJ$434,$FG94,LandEmiss!$BR$335:$BR$434)+SUMIF(LandEmiss!$DU$323:$DU$422,$FG94,LandEmiss!$EC$323:$EC$422))*(2000/8760)*IFERROR($QV$27,0)</f>
        <v>0</v>
      </c>
      <c r="OU94" s="155">
        <f>SUMIF(LandEmiss!$A$335:$A$434,$FG94,LandEmiss!$K$335:$K$434)*(2000/8760)*IFERROR($QV$26,0)</f>
        <v>0</v>
      </c>
      <c r="OV94" s="155">
        <f>(SUMIF(LandEmiss!$BJ$335:$BJ$434,$FG94,LandEmiss!$BT$335:$BT$434)+SUMIF(LandEmiss!$DU$323:$DU$422,$FG94,LandEmiss!$EE$323:$EE$422))*(2000/8760)*IFERROR($QV$26,0)</f>
        <v>0</v>
      </c>
      <c r="OW94" s="155">
        <f>SUMIF(LandEmiss!$A$335:$A$434,$FG94,LandEmiss!$M$335:$M$434)*(2000/8760)*IFERROR($QV$25,0)</f>
        <v>0</v>
      </c>
      <c r="OX94" s="155">
        <f>(SUMIF(LandEmiss!$BJ$335:$BJ$434,$FG94,LandEmiss!$BV$335:$BV$434)+SUMIF(LandEmiss!$DU$323:$DU$422,$FG94,LandEmiss!$EG$323:$EG$422))*(2000/8760)*IFERROR($QV$25,0)</f>
        <v>0</v>
      </c>
      <c r="OY94" s="8">
        <v>0</v>
      </c>
      <c r="OZ94" s="207">
        <v>0</v>
      </c>
      <c r="PA94" s="207">
        <f>IF(OR(HeaterBoiler1!$E$26&lt;&gt;"fuel gas",HeaterBoiler1!$E$15&lt;&gt;"heater"),0,(SUMIF(HeaterBoiler1!$A$54:$D$63,$FG94,HeaterBoiler1!$J$54:$J$63))*(2000/8760))*IFERROR($QV$19,0)</f>
        <v>0</v>
      </c>
      <c r="PB94" s="207">
        <f>IF(OR(HeaterBoiler2!$E$26&lt;&gt;"fuel gas",HeaterBoiler2!$E$15&lt;&gt;"heater"),0,(SUMIF(HeaterBoiler2!$A$54:$D$63,$FG94,HeaterBoiler2!$J$54:$J$63))*(2000/8760))*IFERROR($QV$21,0)</f>
        <v>0</v>
      </c>
      <c r="PC94" s="207">
        <f>IF(OR(HeaterBoiler1!$E$26&lt;&gt;"fuel gas",HeaterBoiler1!$E$15&lt;&gt;"boiler"),0,(SUMIF(HeaterBoiler1!$A$54:$D$63,$FG94,HeaterBoiler1!$J$54:$J$63))*(2000/8760))*IFERROR($QV$20,0)</f>
        <v>0</v>
      </c>
      <c r="PD94" s="207">
        <f>IF(OR(HeaterBoiler2!$E$26&lt;&gt;"fuel gas",HeaterBoiler2!$E$15&lt;&gt;"boiler"),0,(SUMIF(HeaterBoiler2!$A$54:$D$63,$FG94,HeaterBoiler2!$J$54:$J$63))*(2000/8760))*IFERROR($QV$22,0)</f>
        <v>0</v>
      </c>
      <c r="PE94" s="8">
        <f>(SUMIF(Fug!$A$96:$A$205,$FG94,Fug!$J$96:$J$205))*IFERROR($QV$23,0)*(2000/8760)</f>
        <v>0</v>
      </c>
      <c r="PF94" s="8">
        <f t="shared" si="53"/>
        <v>0</v>
      </c>
      <c r="PG94" s="156">
        <f t="shared" si="54"/>
        <v>0</v>
      </c>
      <c r="QX94" s="91" t="s">
        <v>9339</v>
      </c>
      <c r="QY94" s="92">
        <v>143.80000000000001</v>
      </c>
      <c r="QZ94" s="92">
        <v>143.80000000000001</v>
      </c>
      <c r="RA94" s="92">
        <v>143.80000000000001</v>
      </c>
      <c r="RB94" s="92">
        <v>143.80000000000001</v>
      </c>
      <c r="RC94" s="92">
        <v>143.80000000000001</v>
      </c>
      <c r="RD94" s="92">
        <v>143.80000000000001</v>
      </c>
      <c r="RE94" s="92">
        <v>143.80000000000001</v>
      </c>
      <c r="RF94" s="92">
        <v>143.80000000000001</v>
      </c>
      <c r="RG94" s="92">
        <v>143.80000000000001</v>
      </c>
      <c r="RH94" s="91" t="s">
        <v>9339</v>
      </c>
      <c r="RI94" s="92"/>
      <c r="RJ94" s="92"/>
      <c r="RK94" s="92"/>
      <c r="RL94" s="92"/>
      <c r="RM94" s="92"/>
      <c r="RN94" s="92"/>
      <c r="RO94" s="92"/>
      <c r="RP94" s="92"/>
      <c r="RQ94" s="50"/>
      <c r="RR94" s="91" t="s">
        <v>9339</v>
      </c>
      <c r="RS94" s="92"/>
      <c r="RT94" s="92"/>
      <c r="RU94" s="92"/>
      <c r="RV94" s="92"/>
      <c r="RW94" s="92"/>
      <c r="RX94" s="92"/>
      <c r="RY94" s="92"/>
      <c r="RZ94" s="92"/>
      <c r="SA94" s="50"/>
      <c r="SB94" s="91" t="s">
        <v>9339</v>
      </c>
      <c r="SC94" s="92"/>
      <c r="SD94" s="92"/>
      <c r="SE94" s="92"/>
      <c r="SF94" s="92"/>
      <c r="SG94" s="92"/>
      <c r="SH94" s="92"/>
      <c r="SI94" s="92"/>
      <c r="SJ94" s="92"/>
      <c r="SK94" s="50"/>
      <c r="SL94" s="91" t="s">
        <v>9339</v>
      </c>
      <c r="SM94" s="92">
        <v>2.5299999999999998</v>
      </c>
      <c r="SN94" s="92">
        <v>2.5299999999999998</v>
      </c>
      <c r="SO94" s="92">
        <v>2.5299999999999998</v>
      </c>
      <c r="SP94" s="92">
        <v>2.5299999999999998</v>
      </c>
      <c r="SQ94" s="92">
        <v>2.5299999999999998</v>
      </c>
      <c r="SR94" s="92">
        <v>2.5299999999999998</v>
      </c>
      <c r="SS94" s="92">
        <v>2.5299999999999998</v>
      </c>
      <c r="ST94" s="92">
        <v>2.5299999999999998</v>
      </c>
      <c r="SU94" s="92">
        <v>2.5299999999999998</v>
      </c>
    </row>
    <row r="95" spans="23:515" ht="74.25" customHeight="1" thickBot="1" x14ac:dyDescent="0.25">
      <c r="W95">
        <f>IF(OR(X95=0,ISNUMBER(MATCH(X95,$X$1:X94,0))),0,MAX($W$1:W94)+1)</f>
        <v>0</v>
      </c>
      <c r="X95" s="123">
        <f>Products!$E142</f>
        <v>0</v>
      </c>
      <c r="Y95" t="str">
        <f t="shared" si="42"/>
        <v/>
      </c>
      <c r="CA95">
        <f>IF(OR(CB95=0,ISNUMBER(MATCH(CB95,$CB$1:CB94,0))),0,MAX($CA$1:CA94)+1)</f>
        <v>0</v>
      </c>
      <c r="CB95" s="8">
        <f>IF(OR(Tank1!$D$18="EXTERNAL FLOATING ROOF",Tank1!$D$18="INTERNAL FLOATING ROOF"),IF(Tank1!$E125="",0,Tank1!$E125),0)</f>
        <v>0</v>
      </c>
      <c r="CC95" s="8" t="str">
        <f t="shared" si="43"/>
        <v/>
      </c>
      <c r="CD95" s="8"/>
      <c r="CE95" s="8">
        <f>IF(OR(CF95=0,ISNUMBER(MATCH(CF95,$CF$1:CF94,0))),0,MAX($CE$1:CE94)+1)</f>
        <v>0</v>
      </c>
      <c r="CF95" s="8">
        <f>IF(OR(Tank1!$D$18="HORIZONTAL FIXED ROOF",Tank1!$D$18="VERTICAL FIXED ROOF"),IF(Tank1!$E125="",0,Tank1!$E125),0)</f>
        <v>0</v>
      </c>
      <c r="CG95" s="8" t="str">
        <f t="shared" si="44"/>
        <v/>
      </c>
      <c r="DM95">
        <f>IF(OR(DN95=0,ISNUMBER(MATCH(DN95,$DN$1:DN94,0))),0,MAX($DM$1:DM94)+1)</f>
        <v>0</v>
      </c>
      <c r="DN95">
        <f>IF('Load-MarineShip'!$F$19="Flare",IFERROR(VLOOKUP(Products!$A$89,'Load-MarineShip'!$A$27:$B$136,1,FALSE),0),0)</f>
        <v>0</v>
      </c>
      <c r="DO95">
        <f>IF($DN95=0,0,VLOOKUP($DN95,'Load-MarineShip'!$A$27:$N$136,13,FALSE))</f>
        <v>0</v>
      </c>
      <c r="DP95">
        <f>IF($DN95=0,0,VLOOKUP($DN95,'Load-MarineShip'!$A$27:$N$136,14,FALSE))</f>
        <v>0</v>
      </c>
      <c r="DU95">
        <f>IF(OR(DV95=0,ISNUMBER(MATCH(DV95,$DV$1:DV94,0))),0,MAX($DU$1:DU94)+1)</f>
        <v>0</v>
      </c>
      <c r="DV95">
        <f>IF('Load-MarineShip'!$F$19="VCU",IFERROR(VLOOKUP(Products!$A$89,'Load-MarineShip'!$A$27:$B$136,1,FALSE),0),0)</f>
        <v>0</v>
      </c>
      <c r="DW95">
        <f>IF($DV95=0,0,VLOOKUP($DV95,'Load-MarineShip'!$A$27:$N$136,13,FALSE))</f>
        <v>0</v>
      </c>
      <c r="DX95">
        <f>IF($DV95=0,0,VLOOKUP($DV95,'Load-MarineShip'!$A$27:$N$136,14,FALSE))</f>
        <v>0</v>
      </c>
      <c r="EC95">
        <f>IF(OR(ED95=0,ISNUMBER(MATCH(ED95,$ED$1:ED94,0))),0,MAX($EC$1:EC94)+1)</f>
        <v>0</v>
      </c>
      <c r="ED95">
        <f>IF('Load-MarineShip'!$F$19="vapor oxidizer",IFERROR(VLOOKUP(Products!$A$89,'Load-MarineShip'!$A$27:$B$136,1,FALSE),0),0)</f>
        <v>0</v>
      </c>
      <c r="EE95">
        <f>IF($ED95=0,0,VLOOKUP($ED95,'Load-MarineShip'!$A$27:$N$136,13,FALSE))</f>
        <v>0</v>
      </c>
      <c r="EF95">
        <f>IF($ED95=0,0,VLOOKUP($ED95,'Load-MarineShip'!$A$27:$N$136,14,FALSE))</f>
        <v>0</v>
      </c>
      <c r="EK95">
        <f>IF(OR(EL95=0,ISNUMBER(MATCH(EL95,$EL$1:EL94,0))),0,MAX($EK$1:EK94)+1)</f>
        <v>0</v>
      </c>
      <c r="EL95">
        <f>IF('Load-MarineShip'!$F$19="CAS",IFERROR(VLOOKUP(Products!A89,'Load-MarineShip'!$A$27:$B$136,1,FALSE),0),0)</f>
        <v>0</v>
      </c>
      <c r="EM95">
        <f>IF($EL95=0,0,VLOOKUP($EL95,'Load-MarineShip'!$A$27:$N$136,13,FALSE))</f>
        <v>0</v>
      </c>
      <c r="EN95">
        <f>IF($EL95=0,0,VLOOKUP($EL95,'Load-MarineShip'!$A$27:$N$136,14,FALSE))</f>
        <v>0</v>
      </c>
      <c r="FB95" s="8" t="s">
        <v>532</v>
      </c>
      <c r="FC95" s="8" t="s">
        <v>533</v>
      </c>
      <c r="FD95" s="8">
        <v>10000</v>
      </c>
      <c r="FE95" s="8">
        <v>1000</v>
      </c>
      <c r="FG95" s="360" t="str">
        <f t="shared" si="45"/>
        <v/>
      </c>
      <c r="FH95" s="155">
        <f>IF(Tank1!$D$22="NO CONTROL",_xlfn.MAXIFS(Tank1!$G$32:$G$141,Tank1!$E$32:$E$141,$FG95),0)*IFERROR($QR$3,0)</f>
        <v>0</v>
      </c>
      <c r="FI95" s="155">
        <f>_xlfn.MAXIFS(LandEmiss!$AF$20:$AF$119,LandEmiss!$AE$20:$AE$119,$FG95)*IFERROR($QR$3,0)</f>
        <v>0</v>
      </c>
      <c r="FJ95" s="155">
        <f>MAX(_xlfn.MAXIFS(LandEmiss!$CO$20:$CO$119,LandEmiss!$CN$20:$CN$119,$FG95),_xlfn.MAXIFS(LandEmiss!$EZ$9:$EZ$108,LandEmiss!$EY$9:$EY$108,$FG95))*IFERROR($QR$3,0)</f>
        <v>0</v>
      </c>
      <c r="FK95" s="155">
        <f>IF(Tank2!$D$22="NO CONTROL",_xlfn.MAXIFS(Tank2!$G$32:$G$141,Tank2!$E$32:$E$141,$FG95),0)*IFERROR($QR$4,0)</f>
        <v>0</v>
      </c>
      <c r="FL95" s="155">
        <f>_xlfn.MAXIFS(LandEmiss!$AG$20:$AG$119,LandEmiss!$AE$20:$AE$119,$FG95)*IFERROR($QR$4,0)</f>
        <v>0</v>
      </c>
      <c r="FM95" s="155">
        <f>MAX(_xlfn.MAXIFS(LandEmiss!$CP$20:$CP$119,LandEmiss!$CN$20:$CN$119,$FG95),_xlfn.MAXIFS(LandEmiss!$FA$9:$FA$108,LandEmiss!$EY$9:$EY$108,$FG95))*IFERROR($QR$4,0)</f>
        <v>0</v>
      </c>
      <c r="FN95" s="155">
        <f>IF(Tank3!$D$22="NO CONTROL",_xlfn.MAXIFS(Tank3!$G$32:$G$141,Tank3!$E$32:$E$141,$FG95),0)*IFERROR($QR$5,0)</f>
        <v>0</v>
      </c>
      <c r="FO95" s="155">
        <f>_xlfn.MAXIFS(LandEmiss!$AH$20:$AH$119,LandEmiss!$AE$20:$AE$119,$FG95)*IFERROR($QR$5,0)</f>
        <v>0</v>
      </c>
      <c r="FP95" s="155">
        <f>MAX(_xlfn.MAXIFS(LandEmiss!$CQ$20:$CQ$119,LandEmiss!$CN$20:$CN$119,$FG95),_xlfn.MAXIFS(LandEmiss!$FB$9:$FB$108,LandEmiss!$EY$9:$EY$108,$FG95))*IFERROR($QR$5,0)</f>
        <v>0</v>
      </c>
      <c r="FQ95" s="155">
        <f>IF(Tank4!$D$22="NO CONTROL",_xlfn.MAXIFS(Tank4!$G$32:$G$141,Tank4!$E$32:$E$141,$FG95),0)*IFERROR($QR$6,0)</f>
        <v>0</v>
      </c>
      <c r="FR95" s="155">
        <f>_xlfn.MAXIFS(LandEmiss!$AI$20:$AI$119,LandEmiss!$AE$20:$AE$119,$FG95)*IFERROR($QR$6,0)</f>
        <v>0</v>
      </c>
      <c r="FS95" s="155">
        <f>MAX(_xlfn.MAXIFS(LandEmiss!$CR$20:$CR$119,LandEmiss!$CN$20:$CN$119,$FG95),_xlfn.MAXIFS(LandEmiss!$FC$9:$FC$108,LandEmiss!$EY$9:$EY$108,$FG95))*IFERROR($QR$6,0)</f>
        <v>0</v>
      </c>
      <c r="FT95" s="155">
        <f>IF(Tank5!$D$22="NO CONTROL",_xlfn.MAXIFS(Tank5!$G$32:$G$141,Tank5!$E$32:$E$141,$FG95),0)*IFERROR($QR$7,0)</f>
        <v>0</v>
      </c>
      <c r="FU95" s="155">
        <f>_xlfn.MAXIFS(LandEmiss!$AJ$20:$AJ$119,LandEmiss!$AE$20:$AE$119,$FG95)*IFERROR($QR$7,0)</f>
        <v>0</v>
      </c>
      <c r="FV95" s="155">
        <f>MAX(_xlfn.MAXIFS(LandEmiss!$CS$20:$CS$119,LandEmiss!$CN$20:$CN$119,$FG95),_xlfn.MAXIFS(LandEmiss!$FD$9:$FD$108,LandEmiss!$EY$9:$EY$108,$FG95))*IFERROR($QR100,0)</f>
        <v>0</v>
      </c>
      <c r="FW95" s="155">
        <f>_xlfn.MAXIFS('Load-DrumTote'!$K$27:$K$136,'Load-DrumTote'!$F$27:$F$136,$FG95)*IFERROR($QR$8,0)</f>
        <v>0</v>
      </c>
      <c r="FX95" s="155">
        <f>_xlfn.MAXIFS('Load-Truck'!$K$27:$K$136,'Load-Truck'!$F$27:$F$136,$FG95)*IFERROR($QR$9,0)</f>
        <v>0</v>
      </c>
      <c r="FY95" s="155">
        <f>_xlfn.MAXIFS('Load-Rail'!$K$27:$K$136,'Load-Rail'!$F$27:$F$136,$FG95)*IFERROR($QR$10,0)</f>
        <v>0</v>
      </c>
      <c r="FZ95" s="155">
        <f>_xlfn.MAXIFS('Load-MarineBarge'!$K$27:$K$136,'Load-MarineBarge'!$F$27:$F$136,$FG95)*IFERROR($QR$11,0)</f>
        <v>0</v>
      </c>
      <c r="GA95" s="155">
        <f>_xlfn.MAXIFS('Load-MarineShip'!$K$27:$K$136,'Load-MarineShip'!$F$27:$F$136,$FG95)*IFERROR($QR$12,0)</f>
        <v>0</v>
      </c>
      <c r="GB95" s="313">
        <f>IF(OR(Flare!$D$24="fuel gas",Flare!$D$38="fuel gas"),SUMIF(Flare!$E$97:$E$106,$FG95,Flare!$F$97:$F$106),0)*IFERROR($QR$13,0)</f>
        <v>0</v>
      </c>
      <c r="GC95" s="313">
        <f>(_xlfn.MAXIFS(CtrlDevImpacts!$I$57:$I$156,CtrlDevImpacts!$H$57:$H$156,$FG95))*IFERROR($QR$13,0)</f>
        <v>0</v>
      </c>
      <c r="GD95" s="313">
        <f>(_xlfn.MAXIFS(Flare!$F$107:$F$216,Flare!$E$107:$E$216,$FG95)-_xlfn.MAXIFS(CtrlDevImpacts!$I$57:$I$156,CtrlDevImpacts!$H$57:$H$156,$FG95))*IFERROR($QR$13,0)</f>
        <v>0</v>
      </c>
      <c r="GE95" s="155">
        <f>_xlfn.MAXIFS(LandEmiss!$B$335:$B$434,LandEmiss!$A$335:$A$434,$FG95)*IFERROR($QR$13,0)</f>
        <v>0</v>
      </c>
      <c r="GF95" s="155">
        <f>(_xlfn.MAXIFS(LandEmiss!$BK$335:$BK$434,LandEmiss!$BJ$335:$BJ$434,$FG95)+_xlfn.MAXIFS(LandEmiss!$DV$323:$DV$422,LandEmiss!$DU$323:$DU$422,$FG95))*IFERROR($QR$13,0)</f>
        <v>0</v>
      </c>
      <c r="GG95" s="313">
        <f>IF(OR(VCU!$D$26="fuel gas",VCU!$D$42="fuel gas"),SUMIF(VCU!$E$120:$E$129,$FG95,VCU!$F$120:$F$129),0)*IFERROR($QR$14,0)</f>
        <v>0</v>
      </c>
      <c r="GH95" s="313">
        <f>(_xlfn.MAXIFS(CtrlDevImpacts!$X$57:$X$156,CtrlDevImpacts!$W$57:$W$156,$FG95))*IFERROR($QR$14,0)</f>
        <v>0</v>
      </c>
      <c r="GI95" s="313">
        <f>(_xlfn.MAXIFS(VCU!$F$130:$F$239,VCU!$E$130:$E$239,$FG95)-_xlfn.MAXIFS(CtrlDevImpacts!$X$57:$X$156,CtrlDevImpacts!$W$57:$W$156,$FG95))*IFERROR($QR$14,0)</f>
        <v>0</v>
      </c>
      <c r="GJ95" s="155">
        <f>_xlfn.MAXIFS(LandEmiss!$D$335:$D$434,LandEmiss!$A$335:$A$434,$FG95)*IFERROR($QR$14,0)</f>
        <v>0</v>
      </c>
      <c r="GK95" s="155">
        <f>(_xlfn.MAXIFS(LandEmiss!$BM$335:$BM$434,LandEmiss!$BJ$335:$BJ$434,$FG95)+_xlfn.MAXIFS(LandEmiss!$DX$323:$DX$422,LandEmiss!$DU$323:$DU$422,$FG95))*IFERROR($QR$14,0)</f>
        <v>0</v>
      </c>
      <c r="GL95" s="313">
        <f>IF(VaporOxidizer!D126="FUEL GAS",SUMIF(VaporOxidizer!$E$101:$E$110,$FG95,VaporOxidizer!$F$101:$F$110),0)*IFERROR($QR$15,0)</f>
        <v>0</v>
      </c>
      <c r="GM95" s="313">
        <f>(_xlfn.MAXIFS(CtrlDevImpacts!$AN$57:$AN$156,CtrlDevImpacts!$AM$57:$AM$156,$FG95))*IFERROR($QR$15,0)</f>
        <v>0</v>
      </c>
      <c r="GN95" s="313">
        <f>(_xlfn.MAXIFS(VaporOxidizer!$F$111:$F$220,VaporOxidizer!$E$111:$E$220,$FG95)-_xlfn.MAXIFS(CtrlDevImpacts!$AN$57:$AN$156,CtrlDevImpacts!$AM$57:$AM$156,$FG95))*IFERROR($QR$15,0)</f>
        <v>0</v>
      </c>
      <c r="GO95" s="155">
        <f>_xlfn.MAXIFS(LandEmiss!$F$335:$F$434,LandEmiss!$A$335:$A$434,$FG95)*IFERROR($QR$15,0)</f>
        <v>0</v>
      </c>
      <c r="GP95" s="155">
        <f>(_xlfn.MAXIFS(LandEmiss!$BK$335:$BK$434,LandEmiss!$BO$335:$BO$434,$FG95)+_xlfn.MAXIFS(LandEmiss!$DZ$323:$DZ$422,LandEmiss!$DU$323:$DU$422,$FG95))*IFERROR($QR$15,0)</f>
        <v>0</v>
      </c>
      <c r="GQ95" s="313">
        <f>_xlfn.MAXIFS(CtrlDevImpacts!$BD$57:$BD$156,CtrlDevImpacts!$BC$57:$BC$156,$FG95)*IFERROR(Hidden!$QR$16,0)</f>
        <v>0</v>
      </c>
      <c r="GR95" s="313">
        <f>(_xlfn.MAXIFS(CAS!$H$35:$H$144,CAS!$E$35:$E$144,$FG95)-_xlfn.MAXIFS(CtrlDevImpacts!$BD$57:$BD$156,CtrlDevImpacts!$BC$57:$BC$156,$FG95))*IFERROR(Hidden!$QR$16,0)</f>
        <v>0</v>
      </c>
      <c r="GS95" s="155">
        <f>_xlfn.MAXIFS(LandEmiss!$H$335:$H$434,LandEmiss!$A$335:$A$434,$FG95)*IFERROR($QR$27,0)</f>
        <v>0</v>
      </c>
      <c r="GT95" s="155">
        <f>(_xlfn.MAXIFS(LandEmiss!$BK$335:$BK$434,LandEmiss!$BQ$335:$BQ$434,$FG95)+_xlfn.MAXIFS(LandEmiss!$EB$323:$EB$422,LandEmiss!$DU$323:$DU$422,$FG95))*IFERROR($QR$27,0)</f>
        <v>0</v>
      </c>
      <c r="GU95" s="155">
        <f>_xlfn.MAXIFS(LandEmiss!$J$335:$J$434,LandEmiss!$A$335:$A$434,$FG95)*IFERROR($QR$26,0)</f>
        <v>0</v>
      </c>
      <c r="GV95" s="155">
        <f>(_xlfn.MAXIFS(LandEmiss!$BK$335:$BK$434,LandEmiss!$BS$335:$BS$434,$FG95)+_xlfn.MAXIFS(LandEmiss!$ED$323:$ED$422,LandEmiss!$DU$323:$DU$422,$FG95))*IFERROR($QR$26,0)</f>
        <v>0</v>
      </c>
      <c r="GW95" s="155">
        <f>_xlfn.MAXIFS(LandEmiss!$L$335:$L$434,LandEmiss!$A$335:$A$434,$FG95)*IFERROR($QR$25,0)</f>
        <v>0</v>
      </c>
      <c r="GX95" s="155">
        <f>(_xlfn.MAXIFS(LandEmiss!$BK$335:$BK$434,LandEmiss!$BU$335:$BU$434,$FG95)+_xlfn.MAXIFS(LandEmiss!$EF$323:$EF$422,LandEmiss!$DU$323:$DU$422,$FG95))*IFERROR($QR$25,0)</f>
        <v>0</v>
      </c>
      <c r="GY95" s="155">
        <v>0</v>
      </c>
      <c r="GZ95" s="155">
        <v>0</v>
      </c>
      <c r="HA95" s="155">
        <f>IF(OR(HeaterBoiler1!$E$26&lt;&gt;"fuel gas",HeaterBoiler1!$E$15&lt;&gt;"heater"),0,SUMIF(HeaterBoiler1!$A$54:$D$63,$FG95,HeaterBoiler1!$I$54:$I$63))*IFERROR($QR$19,0)</f>
        <v>0</v>
      </c>
      <c r="HB95" s="207">
        <f>IF(OR(HeaterBoiler2!$E$26&lt;&gt;"fuel gas",HeaterBoiler2!$E$15&lt;&gt;"heater"),0,SUMIF(HeaterBoiler2!$A$54:$D$63,$FG95,HeaterBoiler2!$I$54:$I$63))*IFERROR($QR$21,0)</f>
        <v>0</v>
      </c>
      <c r="HC95" s="155">
        <f>IF(OR(HeaterBoiler1!$E$26&lt;&gt;"fuel gas",HeaterBoiler1!$E$15&lt;&gt;"boiler"),0,SUMIF(HeaterBoiler1!$A$41:$A$50,$FG95,HeaterBoiler1!$F$41:$F$50))*IFERROR($QR$20,0)</f>
        <v>0</v>
      </c>
      <c r="HD95" s="207">
        <f>IF(OR(HeaterBoiler2!$E$26&lt;&gt;"fuel gas",HeaterBoiler2!$E$15&lt;&gt;"boiler"),0,SUMIF(HeaterBoiler2!$A$41:$A$50,$FG95,HeaterBoiler2!$F$41:$F$50))*IFERROR($QR$22,0)</f>
        <v>0</v>
      </c>
      <c r="HE95" s="155">
        <f>SUMIF(Fug!$A$96:$A$205,$FG95,Fug!$I$96:$I$205)*IFERROR(Hidden!$QR$23,0)</f>
        <v>0</v>
      </c>
      <c r="HF95" s="155">
        <f t="shared" si="46"/>
        <v>0</v>
      </c>
      <c r="HG95" s="156">
        <f t="shared" si="47"/>
        <v>0</v>
      </c>
      <c r="HH95" s="156">
        <f t="shared" si="48"/>
        <v>0</v>
      </c>
      <c r="HI95" s="156">
        <f t="shared" si="49"/>
        <v>0</v>
      </c>
      <c r="HJ95" s="156">
        <f t="shared" si="50"/>
        <v>0</v>
      </c>
      <c r="HK95" s="156">
        <f t="shared" si="51"/>
        <v>0</v>
      </c>
      <c r="HL95" s="156">
        <f t="shared" si="52"/>
        <v>0</v>
      </c>
      <c r="NO95" s="155">
        <f>IF(Tank1!$D$22="No control",(SUMIF(Tank1!$E$32:$E$141,$FG95,Tank1!$H$32:$H$141)*(2000/8760)*IFERROR($QV$3,0)),0)</f>
        <v>0</v>
      </c>
      <c r="NP95" s="156">
        <f>SUMIF(LandEmiss!$AE$20:$AE$119,$FG95,LandEmiss!$AK$20:$AK$119)*(2000/8760)*IFERROR($QV$3,0)</f>
        <v>0</v>
      </c>
      <c r="NQ95" s="156">
        <f>(SUMIF(LandEmiss!$CN$20:$CN$119,$FG95,LandEmiss!$CT$20:$CT$119)+SUMIF(LandEmiss!$EY$9:$EY$108,$FG95,LandEmiss!$FE$9:$FE$108))*IFERROR($QV$3,0)*(2000/8760)</f>
        <v>0</v>
      </c>
      <c r="NR95" s="155">
        <f>IF(Tank2!$D$22="No control",(SUMIF(Tank2!$E$32:$E$141,$FG95,Tank2!$H$32:$H$141)*(2000/8760)*IFERROR($QV$4,0)),0)</f>
        <v>0</v>
      </c>
      <c r="NS95" s="156">
        <f>SUMIF(LandEmiss!$AE$20:$AE$119,$FG95,LandEmiss!$AL$20:$AL$119)*(2000/8760)*IFERROR($QV$4,0)</f>
        <v>0</v>
      </c>
      <c r="NT95" s="156">
        <f>(SUMIF(LandEmiss!$CN$20:$CN$119,$FG95,LandEmiss!$CU$20:$CU$119)+SUMIF(LandEmiss!$EY$9:$EY$108,$FG95,LandEmiss!$FF$9:$FF$108))*IFERROR($QV$4,0)*(2000/8760)</f>
        <v>0</v>
      </c>
      <c r="NU95" s="155">
        <f>IF(Tank3!$D$22="No control",(SUMIF(Tank3!$E$32:$E$141,$FG95,Tank3!$H$32:$H$141)*(2000/8760)*IFERROR($QV$5,0)),0)</f>
        <v>0</v>
      </c>
      <c r="NV95" s="156">
        <f>SUMIF(LandEmiss!$AE$20:$AE$119,$FG95,LandEmiss!$AM$20:$AM$119)*(2000/8760)*IFERROR($QV$5,0)</f>
        <v>0</v>
      </c>
      <c r="NW95" s="156">
        <f>(SUMIF(LandEmiss!$CN$20:$CN$119,$FG95,LandEmiss!$CV$20:$CV$119)+SUMIF(LandEmiss!$EY$9:$EY$108,$FG95,LandEmiss!$FG$9:$FG$108))*IFERROR($QV$5,0)*(2000/8760)</f>
        <v>0</v>
      </c>
      <c r="NX95" s="155">
        <f>IF(Tank4!$D$22="No control",(SUMIF(Tank4!$E$32:$E$141,$FG95,Tank4!$H$32:$H$141)*(2000/8760)*IFERROR($QV$6,0)),0)</f>
        <v>0</v>
      </c>
      <c r="NY95" s="156">
        <f>SUMIF(LandEmiss!$AE$20:$AE$119,$FG95,LandEmiss!$AN$20:$AN$119)*(2000/8760)*IFERROR($QV$6,0)</f>
        <v>0</v>
      </c>
      <c r="NZ95" s="156">
        <f>(SUMIF(LandEmiss!$CN$20:$CN$119,$FG95,LandEmiss!$CW$20:$CW$119)+SUMIF(LandEmiss!$EY$9:$EY$108,$FG95,LandEmiss!$FH$9:$FH$108))*IFERROR($QV$6,0)*(2000/8760)</f>
        <v>0</v>
      </c>
      <c r="OA95" s="155">
        <f>IF(Tank5!$D$22="No control",(SUMIF(Tank5!$E$32:$E$141,$FG95,Tank5!$H$32:$H$141)*(2000/8760)*IFERROR($QV$7,0)),0)</f>
        <v>0</v>
      </c>
      <c r="OB95" s="156">
        <f>SUMIF(LandEmiss!$AE$20:$AE$119,$FG95,LandEmiss!$AO$20:$AO$119)*(2000/8760)*IFERROR($QV$7,0)</f>
        <v>0</v>
      </c>
      <c r="OC95" s="156">
        <f>(SUMIF(LandEmiss!$CN$20:$CN$119,$FG95,LandEmiss!$CX$20:$CX$119)+SUMIF(LandEmiss!$EY$9:$EY$108,$FG95,LandEmiss!$FI$9:$FI$108))*IFERROR($QV$7,0)*(2000/8760)</f>
        <v>0</v>
      </c>
      <c r="OD95" s="155">
        <f>SUMIFS('Load-DrumTote'!$L$27:$L$136,'Load-DrumTote'!$F$27:$F$136,$FG95)*IFERROR($QV$8,0)*(2000/8760)</f>
        <v>0</v>
      </c>
      <c r="OE95" s="155">
        <f>SUMIFS('Load-Truck'!$L$27:$L$136,'Load-Truck'!$F$27:$F$136,$FG95)*IFERROR($QV$9,0)*(2000/8760)</f>
        <v>0</v>
      </c>
      <c r="OF95" s="155">
        <f>SUMIFS('Load-Rail'!$L$27:$L$136,'Load-Rail'!$F$27:$F$136,$FG95)*IFERROR($QV$10,0)*(2000/8760)</f>
        <v>0</v>
      </c>
      <c r="OG95" s="155">
        <f>SUMIFS('Load-MarineBarge'!$L$27:$L$136,'Load-MarineBarge'!$F$27:$F$136,$FG95)*IFERROR($QV$11,0)*(2000/8760)</f>
        <v>0</v>
      </c>
      <c r="OH95" s="155">
        <f>SUMIFS('Load-MarineShip'!$L$27:$L$136,'Load-MarineShip'!$F$27:$F$136,$FG95)*IFERROR($QV$12,0)*(2000/8760)</f>
        <v>0</v>
      </c>
      <c r="OI95" s="155">
        <f>(IF(OR(Flare!$D$24="FUEL GAS",Flare!$D$38="FUEL GAS"),SUMIF(Flare!$E$97:$E$106,$FG95,Flare!$G$97:$G$105),0)+SUMIF(Flare!$E$107:$E$216,$FG95,Flare!$G$107:$G$216))*(2000/8730)*IFERROR($QV$13,0)</f>
        <v>0</v>
      </c>
      <c r="OJ95" s="155">
        <f>SUMIF(LandEmiss!$A$335:$A$434,$FG95,LandEmiss!$C$335:$C$434)*(2000/8760)*IFERROR($QV$13,0)</f>
        <v>0</v>
      </c>
      <c r="OK95" s="155">
        <f>(SUMIF(LandEmiss!$BJ$335:$BJ$434,$FG95,LandEmiss!$BL$335:$BL$434)+SUMIF(LandEmiss!$DU$323:$DU$422,$FG95,LandEmiss!$DW$323:$DW$422))*(2000/8760)*IFERROR($QV$13,0)</f>
        <v>0</v>
      </c>
      <c r="OL95" s="155">
        <f>(IF(OR(VCU!$D$26="FUEL GAS",VCU!$D$42="FUEL GAS"),SUMIF(VCU!$E$120:$E$129,$FG95,VCU!$G$120:$G$129),0)+SUMIF(VCU!$E$130:$E$239,$FG95,VCU!G223:G332))*(2000/8760)*IFERROR($QV$14,0)</f>
        <v>0</v>
      </c>
      <c r="OM95" s="155">
        <f>SUMIF(LandEmiss!$A$335:$A$434,$FG95,LandEmiss!$E$335:$E$434)*(2000/8760)*IFERROR($QV$14,0)</f>
        <v>0</v>
      </c>
      <c r="ON95" s="155">
        <f>(SUMIF(LandEmiss!$BJ$335:$BJ$434,$FG95,LandEmiss!$BN$335:$BN$434)+SUMIF(LandEmiss!$DU$323:$DU$422,$FG95,LandEmiss!$DY$323:$DY$422))*(2000/8760)*IFERROR($QV$14,0)</f>
        <v>0</v>
      </c>
      <c r="OO95" s="155">
        <f>(IF(VaporOxidizer!$D$33="FUEL GAS",SUMIF(VaporOxidizer!$E$101:$E$110,$FG95,VaporOxidizer!$G$101:$G$110),0)+SUMIF(VaporOxidizer!$E$111:$E$220,$FG95,VaporOxidizer!$G$111:$G$220))*(2000/8760)*IFERROR($QV$15,0)</f>
        <v>0</v>
      </c>
      <c r="OP95" s="155">
        <f>SUMIF(LandEmiss!$A$335:$A$434,$FG95,LandEmiss!$G$335:$G$434)*(2000/8760)*IFERROR($QV$15,0)</f>
        <v>0</v>
      </c>
      <c r="OQ95" s="155">
        <f>(SUMIF(LandEmiss!$BJ$335:$BJ$434,$FG95,LandEmiss!$BP$335:$BP$434)+SUMIF(LandEmiss!$DU$323:$DU$422,$FG95,LandEmiss!$EA$323:$EA$422))*(2000/8760)*IFERROR($QV$15,0)</f>
        <v>0</v>
      </c>
      <c r="OR95" s="155">
        <f>SUMIF(CAS!$E$35:$E$144,Hidden!$FG95,CAS!$I$35:$I$144)*IFERROR($QV$16,0)*(2000/8760)</f>
        <v>0</v>
      </c>
      <c r="OS95" s="155">
        <f>SUMIF(LandEmiss!$A$335:$A$434,$FG95,LandEmiss!$I$335:$I$434)*(2000/8760)*IFERROR($QV$27,0)</f>
        <v>0</v>
      </c>
      <c r="OT95" s="155">
        <f>(SUMIF(LandEmiss!$BJ$335:$BJ$434,$FG95,LandEmiss!$BR$335:$BR$434)+SUMIF(LandEmiss!$DU$323:$DU$422,$FG95,LandEmiss!$EC$323:$EC$422))*(2000/8760)*IFERROR($QV$27,0)</f>
        <v>0</v>
      </c>
      <c r="OU95" s="155">
        <f>SUMIF(LandEmiss!$A$335:$A$434,$FG95,LandEmiss!$K$335:$K$434)*(2000/8760)*IFERROR($QV$26,0)</f>
        <v>0</v>
      </c>
      <c r="OV95" s="155">
        <f>(SUMIF(LandEmiss!$BJ$335:$BJ$434,$FG95,LandEmiss!$BT$335:$BT$434)+SUMIF(LandEmiss!$DU$323:$DU$422,$FG95,LandEmiss!$EE$323:$EE$422))*(2000/8760)*IFERROR($QV$26,0)</f>
        <v>0</v>
      </c>
      <c r="OW95" s="155">
        <f>SUMIF(LandEmiss!$A$335:$A$434,$FG95,LandEmiss!$M$335:$M$434)*(2000/8760)*IFERROR($QV$25,0)</f>
        <v>0</v>
      </c>
      <c r="OX95" s="155">
        <f>(SUMIF(LandEmiss!$BJ$335:$BJ$434,$FG95,LandEmiss!$BV$335:$BV$434)+SUMIF(LandEmiss!$DU$323:$DU$422,$FG95,LandEmiss!$EG$323:$EG$422))*(2000/8760)*IFERROR($QV$25,0)</f>
        <v>0</v>
      </c>
      <c r="OY95" s="8">
        <v>0</v>
      </c>
      <c r="OZ95" s="207">
        <v>0</v>
      </c>
      <c r="PA95" s="207">
        <f>IF(OR(HeaterBoiler1!$E$26&lt;&gt;"fuel gas",HeaterBoiler1!$E$15&lt;&gt;"heater"),0,(SUMIF(HeaterBoiler1!$A$54:$D$63,$FG95,HeaterBoiler1!$J$54:$J$63))*(2000/8760))*IFERROR($QV$19,0)</f>
        <v>0</v>
      </c>
      <c r="PB95" s="207">
        <f>IF(OR(HeaterBoiler2!$E$26&lt;&gt;"fuel gas",HeaterBoiler2!$E$15&lt;&gt;"heater"),0,(SUMIF(HeaterBoiler2!$A$54:$D$63,$FG95,HeaterBoiler2!$J$54:$J$63))*(2000/8760))*IFERROR($QV$21,0)</f>
        <v>0</v>
      </c>
      <c r="PC95" s="207">
        <f>IF(OR(HeaterBoiler1!$E$26&lt;&gt;"fuel gas",HeaterBoiler1!$E$15&lt;&gt;"boiler"),0,(SUMIF(HeaterBoiler1!$A$54:$D$63,$FG95,HeaterBoiler1!$J$54:$J$63))*(2000/8760))*IFERROR($QV$20,0)</f>
        <v>0</v>
      </c>
      <c r="PD95" s="207">
        <f>IF(OR(HeaterBoiler2!$E$26&lt;&gt;"fuel gas",HeaterBoiler2!$E$15&lt;&gt;"boiler"),0,(SUMIF(HeaterBoiler2!$A$54:$D$63,$FG95,HeaterBoiler2!$J$54:$J$63))*(2000/8760))*IFERROR($QV$22,0)</f>
        <v>0</v>
      </c>
      <c r="PE95" s="8">
        <f>(SUMIF(Fug!$A$96:$A$205,$FG95,Fug!$J$96:$J$205))*IFERROR($QV$23,0)*(2000/8760)</f>
        <v>0</v>
      </c>
      <c r="PF95" s="8">
        <f t="shared" si="53"/>
        <v>0</v>
      </c>
      <c r="PG95" s="156">
        <f t="shared" si="54"/>
        <v>0</v>
      </c>
      <c r="QX95" s="1181" t="s">
        <v>9343</v>
      </c>
      <c r="QY95" s="1182"/>
      <c r="QZ95" s="1182"/>
      <c r="RA95" s="1182"/>
      <c r="RB95" s="1182"/>
      <c r="RC95" s="1182"/>
      <c r="RD95" s="1182"/>
      <c r="RE95" s="1182"/>
      <c r="RF95" s="1182"/>
      <c r="RG95" s="1182"/>
      <c r="RH95" s="1182"/>
      <c r="RI95" s="1182"/>
      <c r="RJ95" s="1182"/>
      <c r="RK95" s="1182"/>
      <c r="RL95" s="1182"/>
      <c r="RM95" s="1182"/>
      <c r="RN95" s="1182"/>
      <c r="RO95" s="1182"/>
      <c r="RP95" s="1182"/>
      <c r="RQ95" s="1182"/>
      <c r="RR95" s="1182"/>
      <c r="RS95" s="1182"/>
      <c r="RT95" s="1182"/>
      <c r="RU95" s="1182"/>
      <c r="RV95" s="1182"/>
      <c r="RW95" s="1182"/>
      <c r="RX95" s="1182"/>
      <c r="RY95" s="1182"/>
      <c r="RZ95" s="1182"/>
      <c r="SA95" s="1182"/>
      <c r="SB95" s="1182"/>
      <c r="SC95" s="1182"/>
      <c r="SD95" s="1182"/>
      <c r="SE95" s="1182"/>
      <c r="SF95" s="1182"/>
      <c r="SG95" s="1182"/>
      <c r="SH95" s="1182"/>
      <c r="SI95" s="1182"/>
      <c r="SJ95" s="1182"/>
      <c r="SK95" s="1182"/>
      <c r="SL95" s="1182"/>
      <c r="SM95" s="1182"/>
      <c r="SN95" s="1182"/>
      <c r="SO95" s="1182"/>
      <c r="SP95" s="1182"/>
      <c r="SQ95" s="1182"/>
      <c r="SR95" s="1182"/>
      <c r="SS95" s="1182"/>
      <c r="ST95" s="1182"/>
      <c r="SU95" s="1183"/>
    </row>
    <row r="96" spans="23:515" ht="74.25" customHeight="1" x14ac:dyDescent="0.2">
      <c r="W96">
        <f>IF(OR(X96=0,ISNUMBER(MATCH(X96,$X$1:X95,0))),0,MAX($W$1:W95)+1)</f>
        <v>0</v>
      </c>
      <c r="X96" s="123">
        <f>Products!$E143</f>
        <v>0</v>
      </c>
      <c r="Y96" t="str">
        <f t="shared" si="42"/>
        <v/>
      </c>
      <c r="CA96">
        <f>IF(OR(CB96=0,ISNUMBER(MATCH(CB96,$CB$1:CB95,0))),0,MAX($CA$1:CA95)+1)</f>
        <v>0</v>
      </c>
      <c r="CB96" s="8">
        <f>IF(OR(Tank1!$D$18="EXTERNAL FLOATING ROOF",Tank1!$D$18="INTERNAL FLOATING ROOF"),IF(Tank1!$E126="",0,Tank1!$E126),0)</f>
        <v>0</v>
      </c>
      <c r="CC96" s="8" t="str">
        <f t="shared" si="43"/>
        <v/>
      </c>
      <c r="CD96" s="8"/>
      <c r="CE96" s="8">
        <f>IF(OR(CF96=0,ISNUMBER(MATCH(CF96,$CF$1:CF95,0))),0,MAX($CE$1:CE95)+1)</f>
        <v>0</v>
      </c>
      <c r="CF96" s="8">
        <f>IF(OR(Tank1!$D$18="HORIZONTAL FIXED ROOF",Tank1!$D$18="VERTICAL FIXED ROOF"),IF(Tank1!$E126="",0,Tank1!$E126),0)</f>
        <v>0</v>
      </c>
      <c r="CG96" s="8" t="str">
        <f t="shared" si="44"/>
        <v/>
      </c>
      <c r="DM96">
        <f>IF(OR(DN96=0,ISNUMBER(MATCH(DN96,$DN$1:DN95,0))),0,MAX($DM$1:DM95)+1)</f>
        <v>0</v>
      </c>
      <c r="DN96">
        <f>IF('Load-MarineShip'!$F$19="Flare",IFERROR(VLOOKUP(Products!$A$99,'Load-MarineShip'!$A$27:$B$136,1,FALSE),0),0)</f>
        <v>0</v>
      </c>
      <c r="DO96">
        <f>IF($DN96=0,0,VLOOKUP($DN96,'Load-MarineShip'!$A$27:$N$136,13,FALSE))</f>
        <v>0</v>
      </c>
      <c r="DP96">
        <f>IF($DN96=0,0,VLOOKUP($DN96,'Load-MarineShip'!$A$27:$N$136,14,FALSE))</f>
        <v>0</v>
      </c>
      <c r="DU96">
        <f>IF(OR(DV96=0,ISNUMBER(MATCH(DV96,$DV$1:DV95,0))),0,MAX($DU$1:DU95)+1)</f>
        <v>0</v>
      </c>
      <c r="DV96">
        <f>IF('Load-MarineShip'!$F$19="VCU",IFERROR(VLOOKUP(Products!$A$99,'Load-MarineShip'!$A$27:$B$136,1,FALSE),0),0)</f>
        <v>0</v>
      </c>
      <c r="DW96">
        <f>IF($DV96=0,0,VLOOKUP($DV96,'Load-MarineShip'!$A$27:$N$136,13,FALSE))</f>
        <v>0</v>
      </c>
      <c r="DX96">
        <f>IF($DV96=0,0,VLOOKUP($DV96,'Load-MarineShip'!$A$27:$N$136,14,FALSE))</f>
        <v>0</v>
      </c>
      <c r="EC96">
        <f>IF(OR(ED96=0,ISNUMBER(MATCH(ED96,$ED$1:ED95,0))),0,MAX($EC$1:EC95)+1)</f>
        <v>0</v>
      </c>
      <c r="ED96">
        <f>IF('Load-MarineShip'!$F$19="vapor oxidizer",IFERROR(VLOOKUP(Products!$A$99,'Load-MarineShip'!$A$27:$B$136,1,FALSE),0),0)</f>
        <v>0</v>
      </c>
      <c r="EE96">
        <f>IF($ED96=0,0,VLOOKUP($ED96,'Load-MarineShip'!$A$27:$N$136,13,FALSE))</f>
        <v>0</v>
      </c>
      <c r="EF96">
        <f>IF($ED96=0,0,VLOOKUP($ED96,'Load-MarineShip'!$A$27:$N$136,14,FALSE))</f>
        <v>0</v>
      </c>
      <c r="EK96">
        <f>IF(OR(EL96=0,ISNUMBER(MATCH(EL96,$EL$1:EL95,0))),0,MAX($EK$1:EK95)+1)</f>
        <v>0</v>
      </c>
      <c r="EL96">
        <f>IF('Load-MarineShip'!$F$19="CAS",IFERROR(VLOOKUP(Products!A99,'Load-MarineShip'!$A$27:$B$136,1,FALSE),0),0)</f>
        <v>0</v>
      </c>
      <c r="EM96">
        <f>IF($EL96=0,0,VLOOKUP($EL96,'Load-MarineShip'!$A$27:$N$136,13,FALSE))</f>
        <v>0</v>
      </c>
      <c r="EN96">
        <f>IF($EL96=0,0,VLOOKUP($EL96,'Load-MarineShip'!$A$27:$N$136,14,FALSE))</f>
        <v>0</v>
      </c>
      <c r="FB96" s="8" t="s">
        <v>534</v>
      </c>
      <c r="FC96" s="8" t="s">
        <v>535</v>
      </c>
      <c r="FD96" s="8">
        <v>40</v>
      </c>
      <c r="FE96" s="8">
        <v>4</v>
      </c>
      <c r="FG96" s="360" t="str">
        <f t="shared" si="45"/>
        <v/>
      </c>
      <c r="FH96" s="155">
        <f>IF(Tank1!$D$22="NO CONTROL",_xlfn.MAXIFS(Tank1!$G$32:$G$141,Tank1!$E$32:$E$141,$FG96),0)*IFERROR($QR$3,0)</f>
        <v>0</v>
      </c>
      <c r="FI96" s="155">
        <f>_xlfn.MAXIFS(LandEmiss!$AF$20:$AF$119,LandEmiss!$AE$20:$AE$119,$FG96)*IFERROR($QR$3,0)</f>
        <v>0</v>
      </c>
      <c r="FJ96" s="155">
        <f>MAX(_xlfn.MAXIFS(LandEmiss!$CO$20:$CO$119,LandEmiss!$CN$20:$CN$119,$FG96),_xlfn.MAXIFS(LandEmiss!$EZ$9:$EZ$108,LandEmiss!$EY$9:$EY$108,$FG96))*IFERROR($QR$3,0)</f>
        <v>0</v>
      </c>
      <c r="FK96" s="155">
        <f>IF(Tank2!$D$22="NO CONTROL",_xlfn.MAXIFS(Tank2!$G$32:$G$141,Tank2!$E$32:$E$141,$FG96),0)*IFERROR($QR$4,0)</f>
        <v>0</v>
      </c>
      <c r="FL96" s="155">
        <f>_xlfn.MAXIFS(LandEmiss!$AG$20:$AG$119,LandEmiss!$AE$20:$AE$119,$FG96)*IFERROR($QR$4,0)</f>
        <v>0</v>
      </c>
      <c r="FM96" s="155">
        <f>MAX(_xlfn.MAXIFS(LandEmiss!$CP$20:$CP$119,LandEmiss!$CN$20:$CN$119,$FG96),_xlfn.MAXIFS(LandEmiss!$FA$9:$FA$108,LandEmiss!$EY$9:$EY$108,$FG96))*IFERROR($QR$4,0)</f>
        <v>0</v>
      </c>
      <c r="FN96" s="155">
        <f>IF(Tank3!$D$22="NO CONTROL",_xlfn.MAXIFS(Tank3!$G$32:$G$141,Tank3!$E$32:$E$141,$FG96),0)*IFERROR($QR$5,0)</f>
        <v>0</v>
      </c>
      <c r="FO96" s="155">
        <f>_xlfn.MAXIFS(LandEmiss!$AH$20:$AH$119,LandEmiss!$AE$20:$AE$119,$FG96)*IFERROR($QR$5,0)</f>
        <v>0</v>
      </c>
      <c r="FP96" s="155">
        <f>MAX(_xlfn.MAXIFS(LandEmiss!$CQ$20:$CQ$119,LandEmiss!$CN$20:$CN$119,$FG96),_xlfn.MAXIFS(LandEmiss!$FB$9:$FB$108,LandEmiss!$EY$9:$EY$108,$FG96))*IFERROR($QR$5,0)</f>
        <v>0</v>
      </c>
      <c r="FQ96" s="155">
        <f>IF(Tank4!$D$22="NO CONTROL",_xlfn.MAXIFS(Tank4!$G$32:$G$141,Tank4!$E$32:$E$141,$FG96),0)*IFERROR($QR$6,0)</f>
        <v>0</v>
      </c>
      <c r="FR96" s="155">
        <f>_xlfn.MAXIFS(LandEmiss!$AI$20:$AI$119,LandEmiss!$AE$20:$AE$119,$FG96)*IFERROR($QR$6,0)</f>
        <v>0</v>
      </c>
      <c r="FS96" s="155">
        <f>MAX(_xlfn.MAXIFS(LandEmiss!$CR$20:$CR$119,LandEmiss!$CN$20:$CN$119,$FG96),_xlfn.MAXIFS(LandEmiss!$FC$9:$FC$108,LandEmiss!$EY$9:$EY$108,$FG96))*IFERROR($QR$6,0)</f>
        <v>0</v>
      </c>
      <c r="FT96" s="155">
        <f>IF(Tank5!$D$22="NO CONTROL",_xlfn.MAXIFS(Tank5!$G$32:$G$141,Tank5!$E$32:$E$141,$FG96),0)*IFERROR($QR$7,0)</f>
        <v>0</v>
      </c>
      <c r="FU96" s="155">
        <f>_xlfn.MAXIFS(LandEmiss!$AJ$20:$AJ$119,LandEmiss!$AE$20:$AE$119,$FG96)*IFERROR($QR$7,0)</f>
        <v>0</v>
      </c>
      <c r="FV96" s="155">
        <f>MAX(_xlfn.MAXIFS(LandEmiss!$CS$20:$CS$119,LandEmiss!$CN$20:$CN$119,$FG96),_xlfn.MAXIFS(LandEmiss!$FD$9:$FD$108,LandEmiss!$EY$9:$EY$108,$FG96))*IFERROR($QR101,0)</f>
        <v>0</v>
      </c>
      <c r="FW96" s="155">
        <f>_xlfn.MAXIFS('Load-DrumTote'!$K$27:$K$136,'Load-DrumTote'!$F$27:$F$136,$FG96)*IFERROR($QR$8,0)</f>
        <v>0</v>
      </c>
      <c r="FX96" s="155">
        <f>_xlfn.MAXIFS('Load-Truck'!$K$27:$K$136,'Load-Truck'!$F$27:$F$136,$FG96)*IFERROR($QR$9,0)</f>
        <v>0</v>
      </c>
      <c r="FY96" s="155">
        <f>_xlfn.MAXIFS('Load-Rail'!$K$27:$K$136,'Load-Rail'!$F$27:$F$136,$FG96)*IFERROR($QR$10,0)</f>
        <v>0</v>
      </c>
      <c r="FZ96" s="155">
        <f>_xlfn.MAXIFS('Load-MarineBarge'!$K$27:$K$136,'Load-MarineBarge'!$F$27:$F$136,$FG96)*IFERROR($QR$11,0)</f>
        <v>0</v>
      </c>
      <c r="GA96" s="155">
        <f>_xlfn.MAXIFS('Load-MarineShip'!$K$27:$K$136,'Load-MarineShip'!$F$27:$F$136,$FG96)*IFERROR($QR$12,0)</f>
        <v>0</v>
      </c>
      <c r="GB96" s="313">
        <f>IF(OR(Flare!$D$24="fuel gas",Flare!$D$38="fuel gas"),SUMIF(Flare!$E$97:$E$106,$FG96,Flare!$F$97:$F$106),0)*IFERROR($QR$13,0)</f>
        <v>0</v>
      </c>
      <c r="GC96" s="313">
        <f>(_xlfn.MAXIFS(CtrlDevImpacts!$I$57:$I$156,CtrlDevImpacts!$H$57:$H$156,$FG96))*IFERROR($QR$13,0)</f>
        <v>0</v>
      </c>
      <c r="GD96" s="313">
        <f>(_xlfn.MAXIFS(Flare!$F$107:$F$216,Flare!$E$107:$E$216,$FG96)-_xlfn.MAXIFS(CtrlDevImpacts!$I$57:$I$156,CtrlDevImpacts!$H$57:$H$156,$FG96))*IFERROR($QR$13,0)</f>
        <v>0</v>
      </c>
      <c r="GE96" s="155">
        <f>_xlfn.MAXIFS(LandEmiss!$B$335:$B$434,LandEmiss!$A$335:$A$434,$FG96)*IFERROR($QR$13,0)</f>
        <v>0</v>
      </c>
      <c r="GF96" s="155">
        <f>(_xlfn.MAXIFS(LandEmiss!$BK$335:$BK$434,LandEmiss!$BJ$335:$BJ$434,$FG96)+_xlfn.MAXIFS(LandEmiss!$DV$323:$DV$422,LandEmiss!$DU$323:$DU$422,$FG96))*IFERROR($QR$13,0)</f>
        <v>0</v>
      </c>
      <c r="GG96" s="313">
        <f>IF(OR(VCU!$D$26="fuel gas",VCU!$D$42="fuel gas"),SUMIF(VCU!$E$120:$E$129,$FG96,VCU!$F$120:$F$129),0)*IFERROR($QR$14,0)</f>
        <v>0</v>
      </c>
      <c r="GH96" s="313">
        <f>(_xlfn.MAXIFS(CtrlDevImpacts!$X$57:$X$156,CtrlDevImpacts!$W$57:$W$156,$FG96))*IFERROR($QR$14,0)</f>
        <v>0</v>
      </c>
      <c r="GI96" s="313">
        <f>(_xlfn.MAXIFS(VCU!$F$130:$F$239,VCU!$E$130:$E$239,$FG96)-_xlfn.MAXIFS(CtrlDevImpacts!$X$57:$X$156,CtrlDevImpacts!$W$57:$W$156,$FG96))*IFERROR($QR$14,0)</f>
        <v>0</v>
      </c>
      <c r="GJ96" s="155">
        <f>_xlfn.MAXIFS(LandEmiss!$D$335:$D$434,LandEmiss!$A$335:$A$434,$FG96)*IFERROR($QR$14,0)</f>
        <v>0</v>
      </c>
      <c r="GK96" s="155">
        <f>(_xlfn.MAXIFS(LandEmiss!$BM$335:$BM$434,LandEmiss!$BJ$335:$BJ$434,$FG96)+_xlfn.MAXIFS(LandEmiss!$DX$323:$DX$422,LandEmiss!$DU$323:$DU$422,$FG96))*IFERROR($QR$14,0)</f>
        <v>0</v>
      </c>
      <c r="GL96" s="313">
        <f>IF(VaporOxidizer!D127="FUEL GAS",SUMIF(VaporOxidizer!$E$101:$E$110,$FG96,VaporOxidizer!$F$101:$F$110),0)*IFERROR($QR$15,0)</f>
        <v>0</v>
      </c>
      <c r="GM96" s="313">
        <f>(_xlfn.MAXIFS(CtrlDevImpacts!$AN$57:$AN$156,CtrlDevImpacts!$AM$57:$AM$156,$FG96))*IFERROR($QR$15,0)</f>
        <v>0</v>
      </c>
      <c r="GN96" s="313">
        <f>(_xlfn.MAXIFS(VaporOxidizer!$F$111:$F$220,VaporOxidizer!$E$111:$E$220,$FG96)-_xlfn.MAXIFS(CtrlDevImpacts!$AN$57:$AN$156,CtrlDevImpacts!$AM$57:$AM$156,$FG96))*IFERROR($QR$15,0)</f>
        <v>0</v>
      </c>
      <c r="GO96" s="155">
        <f>_xlfn.MAXIFS(LandEmiss!$F$335:$F$434,LandEmiss!$A$335:$A$434,$FG96)*IFERROR($QR$15,0)</f>
        <v>0</v>
      </c>
      <c r="GP96" s="155">
        <f>(_xlfn.MAXIFS(LandEmiss!$BK$335:$BK$434,LandEmiss!$BO$335:$BO$434,$FG96)+_xlfn.MAXIFS(LandEmiss!$DZ$323:$DZ$422,LandEmiss!$DU$323:$DU$422,$FG96))*IFERROR($QR$15,0)</f>
        <v>0</v>
      </c>
      <c r="GQ96" s="313">
        <f>_xlfn.MAXIFS(CtrlDevImpacts!$BD$57:$BD$156,CtrlDevImpacts!$BC$57:$BC$156,$FG96)*IFERROR(Hidden!$QR$16,0)</f>
        <v>0</v>
      </c>
      <c r="GR96" s="313">
        <f>(_xlfn.MAXIFS(CAS!$H$35:$H$144,CAS!$E$35:$E$144,$FG96)-_xlfn.MAXIFS(CtrlDevImpacts!$BD$57:$BD$156,CtrlDevImpacts!$BC$57:$BC$156,$FG96))*IFERROR(Hidden!$QR$16,0)</f>
        <v>0</v>
      </c>
      <c r="GS96" s="155">
        <f>_xlfn.MAXIFS(LandEmiss!$H$335:$H$434,LandEmiss!$A$335:$A$434,$FG96)*IFERROR($QR$27,0)</f>
        <v>0</v>
      </c>
      <c r="GT96" s="155">
        <f>(_xlfn.MAXIFS(LandEmiss!$BK$335:$BK$434,LandEmiss!$BQ$335:$BQ$434,$FG96)+_xlfn.MAXIFS(LandEmiss!$EB$323:$EB$422,LandEmiss!$DU$323:$DU$422,$FG96))*IFERROR($QR$27,0)</f>
        <v>0</v>
      </c>
      <c r="GU96" s="155">
        <f>_xlfn.MAXIFS(LandEmiss!$J$335:$J$434,LandEmiss!$A$335:$A$434,$FG96)*IFERROR($QR$26,0)</f>
        <v>0</v>
      </c>
      <c r="GV96" s="155">
        <f>(_xlfn.MAXIFS(LandEmiss!$BK$335:$BK$434,LandEmiss!$BS$335:$BS$434,$FG96)+_xlfn.MAXIFS(LandEmiss!$ED$323:$ED$422,LandEmiss!$DU$323:$DU$422,$FG96))*IFERROR($QR$26,0)</f>
        <v>0</v>
      </c>
      <c r="GW96" s="155">
        <f>_xlfn.MAXIFS(LandEmiss!$L$335:$L$434,LandEmiss!$A$335:$A$434,$FG96)*IFERROR($QR$25,0)</f>
        <v>0</v>
      </c>
      <c r="GX96" s="155">
        <f>(_xlfn.MAXIFS(LandEmiss!$BK$335:$BK$434,LandEmiss!$BU$335:$BU$434,$FG96)+_xlfn.MAXIFS(LandEmiss!$EF$323:$EF$422,LandEmiss!$DU$323:$DU$422,$FG96))*IFERROR($QR$25,0)</f>
        <v>0</v>
      </c>
      <c r="GY96" s="155">
        <v>0</v>
      </c>
      <c r="GZ96" s="155">
        <v>0</v>
      </c>
      <c r="HA96" s="155">
        <f>IF(OR(HeaterBoiler1!$E$26&lt;&gt;"fuel gas",HeaterBoiler1!$E$15&lt;&gt;"heater"),0,SUMIF(HeaterBoiler1!$A$54:$D$63,$FG96,HeaterBoiler1!$I$54:$I$63))*IFERROR($QR$19,0)</f>
        <v>0</v>
      </c>
      <c r="HB96" s="207">
        <f>IF(OR(HeaterBoiler2!$E$26&lt;&gt;"fuel gas",HeaterBoiler2!$E$15&lt;&gt;"heater"),0,SUMIF(HeaterBoiler2!$A$54:$D$63,$FG96,HeaterBoiler2!$I$54:$I$63))*IFERROR($QR$21,0)</f>
        <v>0</v>
      </c>
      <c r="HC96" s="155">
        <f>IF(OR(HeaterBoiler1!$E$26&lt;&gt;"fuel gas",HeaterBoiler1!$E$15&lt;&gt;"boiler"),0,SUMIF(HeaterBoiler1!$A$41:$A$50,$FG96,HeaterBoiler1!$F$41:$F$50))*IFERROR($QR$20,0)</f>
        <v>0</v>
      </c>
      <c r="HD96" s="207">
        <f>IF(OR(HeaterBoiler2!$E$26&lt;&gt;"fuel gas",HeaterBoiler2!$E$15&lt;&gt;"boiler"),0,SUMIF(HeaterBoiler2!$A$41:$A$50,$FG96,HeaterBoiler2!$F$41:$F$50))*IFERROR($QR$22,0)</f>
        <v>0</v>
      </c>
      <c r="HE96" s="155">
        <f>SUMIF(Fug!$A$96:$A$205,$FG96,Fug!$I$96:$I$205)*IFERROR(Hidden!$QR$23,0)</f>
        <v>0</v>
      </c>
      <c r="HF96" s="155">
        <f t="shared" si="46"/>
        <v>0</v>
      </c>
      <c r="HG96" s="156">
        <f t="shared" si="47"/>
        <v>0</v>
      </c>
      <c r="HH96" s="156">
        <f t="shared" si="48"/>
        <v>0</v>
      </c>
      <c r="HI96" s="156">
        <f t="shared" si="49"/>
        <v>0</v>
      </c>
      <c r="HJ96" s="156">
        <f t="shared" si="50"/>
        <v>0</v>
      </c>
      <c r="HK96" s="156">
        <f t="shared" si="51"/>
        <v>0</v>
      </c>
      <c r="HL96" s="156">
        <f t="shared" si="52"/>
        <v>0</v>
      </c>
      <c r="NO96" s="155">
        <f>IF(Tank1!$D$22="No control",(SUMIF(Tank1!$E$32:$E$141,$FG96,Tank1!$H$32:$H$141)*(2000/8760)*IFERROR($QV$3,0)),0)</f>
        <v>0</v>
      </c>
      <c r="NP96" s="156">
        <f>SUMIF(LandEmiss!$AE$20:$AE$119,$FG96,LandEmiss!$AK$20:$AK$119)*(2000/8760)*IFERROR($QV$3,0)</f>
        <v>0</v>
      </c>
      <c r="NQ96" s="156">
        <f>(SUMIF(LandEmiss!$CN$20:$CN$119,$FG96,LandEmiss!$CT$20:$CT$119)+SUMIF(LandEmiss!$EY$9:$EY$108,$FG96,LandEmiss!$FE$9:$FE$108))*IFERROR($QV$3,0)*(2000/8760)</f>
        <v>0</v>
      </c>
      <c r="NR96" s="155">
        <f>IF(Tank2!$D$22="No control",(SUMIF(Tank2!$E$32:$E$141,$FG96,Tank2!$H$32:$H$141)*(2000/8760)*IFERROR($QV$4,0)),0)</f>
        <v>0</v>
      </c>
      <c r="NS96" s="156">
        <f>SUMIF(LandEmiss!$AE$20:$AE$119,$FG96,LandEmiss!$AL$20:$AL$119)*(2000/8760)*IFERROR($QV$4,0)</f>
        <v>0</v>
      </c>
      <c r="NT96" s="156">
        <f>(SUMIF(LandEmiss!$CN$20:$CN$119,$FG96,LandEmiss!$CU$20:$CU$119)+SUMIF(LandEmiss!$EY$9:$EY$108,$FG96,LandEmiss!$FF$9:$FF$108))*IFERROR($QV$4,0)*(2000/8760)</f>
        <v>0</v>
      </c>
      <c r="NU96" s="155">
        <f>IF(Tank3!$D$22="No control",(SUMIF(Tank3!$E$32:$E$141,$FG96,Tank3!$H$32:$H$141)*(2000/8760)*IFERROR($QV$5,0)),0)</f>
        <v>0</v>
      </c>
      <c r="NV96" s="156">
        <f>SUMIF(LandEmiss!$AE$20:$AE$119,$FG96,LandEmiss!$AM$20:$AM$119)*(2000/8760)*IFERROR($QV$5,0)</f>
        <v>0</v>
      </c>
      <c r="NW96" s="156">
        <f>(SUMIF(LandEmiss!$CN$20:$CN$119,$FG96,LandEmiss!$CV$20:$CV$119)+SUMIF(LandEmiss!$EY$9:$EY$108,$FG96,LandEmiss!$FG$9:$FG$108))*IFERROR($QV$5,0)*(2000/8760)</f>
        <v>0</v>
      </c>
      <c r="NX96" s="155">
        <f>IF(Tank4!$D$22="No control",(SUMIF(Tank4!$E$32:$E$141,$FG96,Tank4!$H$32:$H$141)*(2000/8760)*IFERROR($QV$6,0)),0)</f>
        <v>0</v>
      </c>
      <c r="NY96" s="156">
        <f>SUMIF(LandEmiss!$AE$20:$AE$119,$FG96,LandEmiss!$AN$20:$AN$119)*(2000/8760)*IFERROR($QV$6,0)</f>
        <v>0</v>
      </c>
      <c r="NZ96" s="156">
        <f>(SUMIF(LandEmiss!$CN$20:$CN$119,$FG96,LandEmiss!$CW$20:$CW$119)+SUMIF(LandEmiss!$EY$9:$EY$108,$FG96,LandEmiss!$FH$9:$FH$108))*IFERROR($QV$6,0)*(2000/8760)</f>
        <v>0</v>
      </c>
      <c r="OA96" s="155">
        <f>IF(Tank5!$D$22="No control",(SUMIF(Tank5!$E$32:$E$141,$FG96,Tank5!$H$32:$H$141)*(2000/8760)*IFERROR($QV$7,0)),0)</f>
        <v>0</v>
      </c>
      <c r="OB96" s="156">
        <f>SUMIF(LandEmiss!$AE$20:$AE$119,$FG96,LandEmiss!$AO$20:$AO$119)*(2000/8760)*IFERROR($QV$7,0)</f>
        <v>0</v>
      </c>
      <c r="OC96" s="156">
        <f>(SUMIF(LandEmiss!$CN$20:$CN$119,$FG96,LandEmiss!$CX$20:$CX$119)+SUMIF(LandEmiss!$EY$9:$EY$108,$FG96,LandEmiss!$FI$9:$FI$108))*IFERROR($QV$7,0)*(2000/8760)</f>
        <v>0</v>
      </c>
      <c r="OD96" s="155">
        <f>SUMIFS('Load-DrumTote'!$L$27:$L$136,'Load-DrumTote'!$F$27:$F$136,$FG96)*IFERROR($QV$8,0)*(2000/8760)</f>
        <v>0</v>
      </c>
      <c r="OE96" s="155">
        <f>SUMIFS('Load-Truck'!$L$27:$L$136,'Load-Truck'!$F$27:$F$136,$FG96)*IFERROR($QV$9,0)*(2000/8760)</f>
        <v>0</v>
      </c>
      <c r="OF96" s="155">
        <f>SUMIFS('Load-Rail'!$L$27:$L$136,'Load-Rail'!$F$27:$F$136,$FG96)*IFERROR($QV$10,0)*(2000/8760)</f>
        <v>0</v>
      </c>
      <c r="OG96" s="155">
        <f>SUMIFS('Load-MarineBarge'!$L$27:$L$136,'Load-MarineBarge'!$F$27:$F$136,$FG96)*IFERROR($QV$11,0)*(2000/8760)</f>
        <v>0</v>
      </c>
      <c r="OH96" s="155">
        <f>SUMIFS('Load-MarineShip'!$L$27:$L$136,'Load-MarineShip'!$F$27:$F$136,$FG96)*IFERROR($QV$12,0)*(2000/8760)</f>
        <v>0</v>
      </c>
      <c r="OI96" s="155">
        <f>(IF(OR(Flare!$D$24="FUEL GAS",Flare!$D$38="FUEL GAS"),SUMIF(Flare!$E$97:$E$106,$FG96,Flare!$G$97:$G$105),0)+SUMIF(Flare!$E$107:$E$216,$FG96,Flare!$G$107:$G$216))*(2000/8730)*IFERROR($QV$13,0)</f>
        <v>0</v>
      </c>
      <c r="OJ96" s="155">
        <f>SUMIF(LandEmiss!$A$335:$A$434,$FG96,LandEmiss!$C$335:$C$434)*(2000/8760)*IFERROR($QV$13,0)</f>
        <v>0</v>
      </c>
      <c r="OK96" s="155">
        <f>(SUMIF(LandEmiss!$BJ$335:$BJ$434,$FG96,LandEmiss!$BL$335:$BL$434)+SUMIF(LandEmiss!$DU$323:$DU$422,$FG96,LandEmiss!$DW$323:$DW$422))*(2000/8760)*IFERROR($QV$13,0)</f>
        <v>0</v>
      </c>
      <c r="OL96" s="155">
        <f>(IF(OR(VCU!$D$26="FUEL GAS",VCU!$D$42="FUEL GAS"),SUMIF(VCU!$E$120:$E$129,$FG96,VCU!$G$120:$G$129),0)+SUMIF(VCU!$E$130:$E$239,$FG96,VCU!G224:G333))*(2000/8760)*IFERROR($QV$14,0)</f>
        <v>0</v>
      </c>
      <c r="OM96" s="155">
        <f>SUMIF(LandEmiss!$A$335:$A$434,$FG96,LandEmiss!$E$335:$E$434)*(2000/8760)*IFERROR($QV$14,0)</f>
        <v>0</v>
      </c>
      <c r="ON96" s="155">
        <f>(SUMIF(LandEmiss!$BJ$335:$BJ$434,$FG96,LandEmiss!$BN$335:$BN$434)+SUMIF(LandEmiss!$DU$323:$DU$422,$FG96,LandEmiss!$DY$323:$DY$422))*(2000/8760)*IFERROR($QV$14,0)</f>
        <v>0</v>
      </c>
      <c r="OO96" s="155">
        <f>(IF(VaporOxidizer!$D$33="FUEL GAS",SUMIF(VaporOxidizer!$E$101:$E$110,$FG96,VaporOxidizer!$G$101:$G$110),0)+SUMIF(VaporOxidizer!$E$111:$E$220,$FG96,VaporOxidizer!$G$111:$G$220))*(2000/8760)*IFERROR($QV$15,0)</f>
        <v>0</v>
      </c>
      <c r="OP96" s="155">
        <f>SUMIF(LandEmiss!$A$335:$A$434,$FG96,LandEmiss!$G$335:$G$434)*(2000/8760)*IFERROR($QV$15,0)</f>
        <v>0</v>
      </c>
      <c r="OQ96" s="155">
        <f>(SUMIF(LandEmiss!$BJ$335:$BJ$434,$FG96,LandEmiss!$BP$335:$BP$434)+SUMIF(LandEmiss!$DU$323:$DU$422,$FG96,LandEmiss!$EA$323:$EA$422))*(2000/8760)*IFERROR($QV$15,0)</f>
        <v>0</v>
      </c>
      <c r="OR96" s="155">
        <f>SUMIF(CAS!$E$35:$E$144,Hidden!$FG96,CAS!$I$35:$I$144)*IFERROR($QV$16,0)*(2000/8760)</f>
        <v>0</v>
      </c>
      <c r="OS96" s="155">
        <f>SUMIF(LandEmiss!$A$335:$A$434,$FG96,LandEmiss!$I$335:$I$434)*(2000/8760)*IFERROR($QV$27,0)</f>
        <v>0</v>
      </c>
      <c r="OT96" s="155">
        <f>(SUMIF(LandEmiss!$BJ$335:$BJ$434,$FG96,LandEmiss!$BR$335:$BR$434)+SUMIF(LandEmiss!$DU$323:$DU$422,$FG96,LandEmiss!$EC$323:$EC$422))*(2000/8760)*IFERROR($QV$27,0)</f>
        <v>0</v>
      </c>
      <c r="OU96" s="155">
        <f>SUMIF(LandEmiss!$A$335:$A$434,$FG96,LandEmiss!$K$335:$K$434)*(2000/8760)*IFERROR($QV$26,0)</f>
        <v>0</v>
      </c>
      <c r="OV96" s="155">
        <f>(SUMIF(LandEmiss!$BJ$335:$BJ$434,$FG96,LandEmiss!$BT$335:$BT$434)+SUMIF(LandEmiss!$DU$323:$DU$422,$FG96,LandEmiss!$EE$323:$EE$422))*(2000/8760)*IFERROR($QV$26,0)</f>
        <v>0</v>
      </c>
      <c r="OW96" s="155">
        <f>SUMIF(LandEmiss!$A$335:$A$434,$FG96,LandEmiss!$M$335:$M$434)*(2000/8760)*IFERROR($QV$25,0)</f>
        <v>0</v>
      </c>
      <c r="OX96" s="155">
        <f>(SUMIF(LandEmiss!$BJ$335:$BJ$434,$FG96,LandEmiss!$BV$335:$BV$434)+SUMIF(LandEmiss!$DU$323:$DU$422,$FG96,LandEmiss!$EG$323:$EG$422))*(2000/8760)*IFERROR($QV$25,0)</f>
        <v>0</v>
      </c>
      <c r="OY96" s="8">
        <v>0</v>
      </c>
      <c r="OZ96" s="207">
        <v>0</v>
      </c>
      <c r="PA96" s="207">
        <f>IF(OR(HeaterBoiler1!$E$26&lt;&gt;"fuel gas",HeaterBoiler1!$E$15&lt;&gt;"heater"),0,(SUMIF(HeaterBoiler1!$A$54:$D$63,$FG96,HeaterBoiler1!$J$54:$J$63))*(2000/8760))*IFERROR($QV$19,0)</f>
        <v>0</v>
      </c>
      <c r="PB96" s="207">
        <f>IF(OR(HeaterBoiler2!$E$26&lt;&gt;"fuel gas",HeaterBoiler2!$E$15&lt;&gt;"heater"),0,(SUMIF(HeaterBoiler2!$A$54:$D$63,$FG96,HeaterBoiler2!$J$54:$J$63))*(2000/8760))*IFERROR($QV$21,0)</f>
        <v>0</v>
      </c>
      <c r="PC96" s="207">
        <f>IF(OR(HeaterBoiler1!$E$26&lt;&gt;"fuel gas",HeaterBoiler1!$E$15&lt;&gt;"boiler"),0,(SUMIF(HeaterBoiler1!$A$54:$D$63,$FG96,HeaterBoiler1!$J$54:$J$63))*(2000/8760))*IFERROR($QV$20,0)</f>
        <v>0</v>
      </c>
      <c r="PD96" s="207">
        <f>IF(OR(HeaterBoiler2!$E$26&lt;&gt;"fuel gas",HeaterBoiler2!$E$15&lt;&gt;"boiler"),0,(SUMIF(HeaterBoiler2!$A$54:$D$63,$FG96,HeaterBoiler2!$J$54:$J$63))*(2000/8760))*IFERROR($QV$22,0)</f>
        <v>0</v>
      </c>
      <c r="PE96" s="8">
        <f>(SUMIF(Fug!$A$96:$A$205,$FG96,Fug!$J$96:$J$205))*IFERROR($QV$23,0)*(2000/8760)</f>
        <v>0</v>
      </c>
      <c r="PF96" s="8">
        <f t="shared" si="53"/>
        <v>0</v>
      </c>
      <c r="PG96" s="156">
        <f t="shared" si="54"/>
        <v>0</v>
      </c>
      <c r="QX96" s="86"/>
      <c r="QY96" s="87">
        <v>25</v>
      </c>
      <c r="QZ96" s="87">
        <v>50</v>
      </c>
      <c r="RA96" s="87">
        <v>100</v>
      </c>
      <c r="RB96" s="87">
        <v>200</v>
      </c>
      <c r="RC96" s="87">
        <v>300</v>
      </c>
      <c r="RD96" s="87">
        <v>400</v>
      </c>
      <c r="RE96" s="87">
        <v>500</v>
      </c>
      <c r="RF96" s="87">
        <v>750</v>
      </c>
      <c r="RG96" s="88">
        <v>1000</v>
      </c>
      <c r="RH96" s="86"/>
      <c r="RI96" s="87">
        <v>25</v>
      </c>
      <c r="RJ96" s="87">
        <v>50</v>
      </c>
      <c r="RK96" s="87">
        <v>100</v>
      </c>
      <c r="RL96" s="87">
        <v>200</v>
      </c>
      <c r="RM96" s="87">
        <v>300</v>
      </c>
      <c r="RN96" s="87">
        <v>400</v>
      </c>
      <c r="RO96" s="87">
        <v>500</v>
      </c>
      <c r="RP96" s="87">
        <v>750</v>
      </c>
      <c r="RQ96" s="88">
        <v>1000</v>
      </c>
      <c r="RR96" s="86"/>
      <c r="RS96" s="87">
        <v>25</v>
      </c>
      <c r="RT96" s="87">
        <v>50</v>
      </c>
      <c r="RU96" s="87">
        <v>100</v>
      </c>
      <c r="RV96" s="87">
        <v>200</v>
      </c>
      <c r="RW96" s="87">
        <v>300</v>
      </c>
      <c r="RX96" s="87">
        <v>400</v>
      </c>
      <c r="RY96" s="87">
        <v>500</v>
      </c>
      <c r="RZ96" s="87">
        <v>750</v>
      </c>
      <c r="SA96" s="88">
        <v>1000</v>
      </c>
      <c r="SB96" s="86"/>
      <c r="SC96" s="87">
        <v>25</v>
      </c>
      <c r="SD96" s="87">
        <v>50</v>
      </c>
      <c r="SE96" s="87">
        <v>100</v>
      </c>
      <c r="SF96" s="87">
        <v>200</v>
      </c>
      <c r="SG96" s="87">
        <v>300</v>
      </c>
      <c r="SH96" s="87">
        <v>400</v>
      </c>
      <c r="SI96" s="87">
        <v>500</v>
      </c>
      <c r="SJ96" s="87">
        <v>750</v>
      </c>
      <c r="SK96" s="88">
        <v>1000</v>
      </c>
      <c r="SL96" s="86"/>
      <c r="SM96" s="87">
        <v>25</v>
      </c>
      <c r="SN96" s="87">
        <v>50</v>
      </c>
      <c r="SO96" s="87">
        <v>100</v>
      </c>
      <c r="SP96" s="87">
        <v>200</v>
      </c>
      <c r="SQ96" s="87">
        <v>300</v>
      </c>
      <c r="SR96" s="87">
        <v>400</v>
      </c>
      <c r="SS96" s="87">
        <v>500</v>
      </c>
      <c r="ST96" s="87">
        <v>750</v>
      </c>
      <c r="SU96" s="88">
        <v>1000</v>
      </c>
    </row>
    <row r="97" spans="23:515" ht="74.25" customHeight="1" x14ac:dyDescent="0.2">
      <c r="W97">
        <f>IF(OR(X97=0,ISNUMBER(MATCH(X97,$X$1:X96,0))),0,MAX($W$1:W96)+1)</f>
        <v>0</v>
      </c>
      <c r="X97" s="123">
        <f>Products!$E144</f>
        <v>0</v>
      </c>
      <c r="Y97" t="str">
        <f t="shared" si="42"/>
        <v/>
      </c>
      <c r="CA97">
        <f>IF(OR(CB97=0,ISNUMBER(MATCH(CB97,$CB$1:CB96,0))),0,MAX($CA$1:CA96)+1)</f>
        <v>0</v>
      </c>
      <c r="CB97" s="8">
        <f>IF(OR(Tank1!$D$18="EXTERNAL FLOATING ROOF",Tank1!$D$18="INTERNAL FLOATING ROOF"),IF(Tank1!$E127="",0,Tank1!$E127),0)</f>
        <v>0</v>
      </c>
      <c r="CC97" s="8" t="str">
        <f t="shared" si="43"/>
        <v/>
      </c>
      <c r="CD97" s="8"/>
      <c r="CE97" s="8">
        <f>IF(OR(CF97=0,ISNUMBER(MATCH(CF97,$CF$1:CF96,0))),0,MAX($CE$1:CE96)+1)</f>
        <v>0</v>
      </c>
      <c r="CF97" s="8">
        <f>IF(OR(Tank1!$D$18="HORIZONTAL FIXED ROOF",Tank1!$D$18="VERTICAL FIXED ROOF"),IF(Tank1!$E127="",0,Tank1!$E127),0)</f>
        <v>0</v>
      </c>
      <c r="CG97" s="8" t="str">
        <f t="shared" si="44"/>
        <v/>
      </c>
      <c r="DM97">
        <f>IF(OR(DN97=0,ISNUMBER(MATCH(DN97,$DN$1:DN96,0))),0,MAX($DM$1:DM96)+1)</f>
        <v>0</v>
      </c>
      <c r="DN97">
        <f>IF('Load-MarineShip'!$F$19="Flare",IFERROR(VLOOKUP(Products!$A$109,'Load-MarineShip'!$A$27:$B$136,1,FALSE),0),0)</f>
        <v>0</v>
      </c>
      <c r="DO97">
        <f>IF($DN97=0,0,VLOOKUP($DN97,'Load-MarineShip'!$A$27:$N$136,13,FALSE))</f>
        <v>0</v>
      </c>
      <c r="DP97">
        <f>IF($DN97=0,0,VLOOKUP($DN97,'Load-MarineShip'!$A$27:$N$136,14,FALSE))</f>
        <v>0</v>
      </c>
      <c r="DU97">
        <f>IF(OR(DV97=0,ISNUMBER(MATCH(DV97,$DV$1:DV96,0))),0,MAX($DU$1:DU96)+1)</f>
        <v>0</v>
      </c>
      <c r="DV97">
        <f>IF('Load-MarineShip'!$F$19="VCU",IFERROR(VLOOKUP(Products!$A$109,'Load-MarineShip'!$A$27:$B$136,1,FALSE),0),0)</f>
        <v>0</v>
      </c>
      <c r="DW97">
        <f>IF($DV97=0,0,VLOOKUP($DV97,'Load-MarineShip'!$A$27:$N$136,13,FALSE))</f>
        <v>0</v>
      </c>
      <c r="DX97">
        <f>IF($DV97=0,0,VLOOKUP($DV97,'Load-MarineShip'!$A$27:$N$136,14,FALSE))</f>
        <v>0</v>
      </c>
      <c r="EC97">
        <f>IF(OR(ED97=0,ISNUMBER(MATCH(ED97,$ED$1:ED96,0))),0,MAX($EC$1:EC96)+1)</f>
        <v>0</v>
      </c>
      <c r="ED97">
        <f>IF('Load-MarineShip'!$F$19="vapor oxidizer",IFERROR(VLOOKUP(Products!$A$109,'Load-MarineShip'!$A$27:$B$136,1,FALSE),0),0)</f>
        <v>0</v>
      </c>
      <c r="EE97">
        <f>IF($ED97=0,0,VLOOKUP($ED97,'Load-MarineShip'!$A$27:$N$136,13,FALSE))</f>
        <v>0</v>
      </c>
      <c r="EF97">
        <f>IF($ED97=0,0,VLOOKUP($ED97,'Load-MarineShip'!$A$27:$N$136,14,FALSE))</f>
        <v>0</v>
      </c>
      <c r="EK97">
        <f>IF(OR(EL97=0,ISNUMBER(MATCH(EL97,$EL$1:EL96,0))),0,MAX($EK$1:EK96)+1)</f>
        <v>0</v>
      </c>
      <c r="EL97">
        <f>IF('Load-MarineShip'!$F$19="CAS",IFERROR(VLOOKUP(Products!A109,'Load-MarineShip'!$A$27:$B$136,1,FALSE),0),0)</f>
        <v>0</v>
      </c>
      <c r="EM97">
        <f>IF($EL97=0,0,VLOOKUP($EL97,'Load-MarineShip'!$A$27:$N$136,13,FALSE))</f>
        <v>0</v>
      </c>
      <c r="EN97">
        <f>IF($EL97=0,0,VLOOKUP($EL97,'Load-MarineShip'!$A$27:$N$136,14,FALSE))</f>
        <v>0</v>
      </c>
      <c r="FB97" s="8" t="s">
        <v>536</v>
      </c>
      <c r="FC97" s="8" t="s">
        <v>537</v>
      </c>
      <c r="FD97" s="8">
        <v>2800</v>
      </c>
      <c r="FE97" s="8">
        <v>1500</v>
      </c>
      <c r="FG97" s="360" t="str">
        <f t="shared" si="45"/>
        <v/>
      </c>
      <c r="FH97" s="155">
        <f>IF(Tank1!$D$22="NO CONTROL",_xlfn.MAXIFS(Tank1!$G$32:$G$141,Tank1!$E$32:$E$141,$FG97),0)*IFERROR($QR$3,0)</f>
        <v>0</v>
      </c>
      <c r="FI97" s="155">
        <f>_xlfn.MAXIFS(LandEmiss!$AF$20:$AF$119,LandEmiss!$AE$20:$AE$119,$FG97)*IFERROR($QR$3,0)</f>
        <v>0</v>
      </c>
      <c r="FJ97" s="155">
        <f>MAX(_xlfn.MAXIFS(LandEmiss!$CO$20:$CO$119,LandEmiss!$CN$20:$CN$119,$FG97),_xlfn.MAXIFS(LandEmiss!$EZ$9:$EZ$108,LandEmiss!$EY$9:$EY$108,$FG97))*IFERROR($QR$3,0)</f>
        <v>0</v>
      </c>
      <c r="FK97" s="155">
        <f>IF(Tank2!$D$22="NO CONTROL",_xlfn.MAXIFS(Tank2!$G$32:$G$141,Tank2!$E$32:$E$141,$FG97),0)*IFERROR($QR$4,0)</f>
        <v>0</v>
      </c>
      <c r="FL97" s="155">
        <f>_xlfn.MAXIFS(LandEmiss!$AG$20:$AG$119,LandEmiss!$AE$20:$AE$119,$FG97)*IFERROR($QR$4,0)</f>
        <v>0</v>
      </c>
      <c r="FM97" s="155">
        <f>MAX(_xlfn.MAXIFS(LandEmiss!$CP$20:$CP$119,LandEmiss!$CN$20:$CN$119,$FG97),_xlfn.MAXIFS(LandEmiss!$FA$9:$FA$108,LandEmiss!$EY$9:$EY$108,$FG97))*IFERROR($QR$4,0)</f>
        <v>0</v>
      </c>
      <c r="FN97" s="155">
        <f>IF(Tank3!$D$22="NO CONTROL",_xlfn.MAXIFS(Tank3!$G$32:$G$141,Tank3!$E$32:$E$141,$FG97),0)*IFERROR($QR$5,0)</f>
        <v>0</v>
      </c>
      <c r="FO97" s="155">
        <f>_xlfn.MAXIFS(LandEmiss!$AH$20:$AH$119,LandEmiss!$AE$20:$AE$119,$FG97)*IFERROR($QR$5,0)</f>
        <v>0</v>
      </c>
      <c r="FP97" s="155">
        <f>MAX(_xlfn.MAXIFS(LandEmiss!$CQ$20:$CQ$119,LandEmiss!$CN$20:$CN$119,$FG97),_xlfn.MAXIFS(LandEmiss!$FB$9:$FB$108,LandEmiss!$EY$9:$EY$108,$FG97))*IFERROR($QR$5,0)</f>
        <v>0</v>
      </c>
      <c r="FQ97" s="155">
        <f>IF(Tank4!$D$22="NO CONTROL",_xlfn.MAXIFS(Tank4!$G$32:$G$141,Tank4!$E$32:$E$141,$FG97),0)*IFERROR($QR$6,0)</f>
        <v>0</v>
      </c>
      <c r="FR97" s="155">
        <f>_xlfn.MAXIFS(LandEmiss!$AI$20:$AI$119,LandEmiss!$AE$20:$AE$119,$FG97)*IFERROR($QR$6,0)</f>
        <v>0</v>
      </c>
      <c r="FS97" s="155">
        <f>MAX(_xlfn.MAXIFS(LandEmiss!$CR$20:$CR$119,LandEmiss!$CN$20:$CN$119,$FG97),_xlfn.MAXIFS(LandEmiss!$FC$9:$FC$108,LandEmiss!$EY$9:$EY$108,$FG97))*IFERROR($QR$6,0)</f>
        <v>0</v>
      </c>
      <c r="FT97" s="155">
        <f>IF(Tank5!$D$22="NO CONTROL",_xlfn.MAXIFS(Tank5!$G$32:$G$141,Tank5!$E$32:$E$141,$FG97),0)*IFERROR($QR$7,0)</f>
        <v>0</v>
      </c>
      <c r="FU97" s="155">
        <f>_xlfn.MAXIFS(LandEmiss!$AJ$20:$AJ$119,LandEmiss!$AE$20:$AE$119,$FG97)*IFERROR($QR$7,0)</f>
        <v>0</v>
      </c>
      <c r="FV97" s="155">
        <f>MAX(_xlfn.MAXIFS(LandEmiss!$CS$20:$CS$119,LandEmiss!$CN$20:$CN$119,$FG97),_xlfn.MAXIFS(LandEmiss!$FD$9:$FD$108,LandEmiss!$EY$9:$EY$108,$FG97))*IFERROR($QR102,0)</f>
        <v>0</v>
      </c>
      <c r="FW97" s="155">
        <f>_xlfn.MAXIFS('Load-DrumTote'!$K$27:$K$136,'Load-DrumTote'!$F$27:$F$136,$FG97)*IFERROR($QR$8,0)</f>
        <v>0</v>
      </c>
      <c r="FX97" s="155">
        <f>_xlfn.MAXIFS('Load-Truck'!$K$27:$K$136,'Load-Truck'!$F$27:$F$136,$FG97)*IFERROR($QR$9,0)</f>
        <v>0</v>
      </c>
      <c r="FY97" s="155">
        <f>_xlfn.MAXIFS('Load-Rail'!$K$27:$K$136,'Load-Rail'!$F$27:$F$136,$FG97)*IFERROR($QR$10,0)</f>
        <v>0</v>
      </c>
      <c r="FZ97" s="155">
        <f>_xlfn.MAXIFS('Load-MarineBarge'!$K$27:$K$136,'Load-MarineBarge'!$F$27:$F$136,$FG97)*IFERROR($QR$11,0)</f>
        <v>0</v>
      </c>
      <c r="GA97" s="155">
        <f>_xlfn.MAXIFS('Load-MarineShip'!$K$27:$K$136,'Load-MarineShip'!$F$27:$F$136,$FG97)*IFERROR($QR$12,0)</f>
        <v>0</v>
      </c>
      <c r="GB97" s="313">
        <f>IF(OR(Flare!$D$24="fuel gas",Flare!$D$38="fuel gas"),SUMIF(Flare!$E$97:$E$106,$FG97,Flare!$F$97:$F$106),0)*IFERROR($QR$13,0)</f>
        <v>0</v>
      </c>
      <c r="GC97" s="313">
        <f>(_xlfn.MAXIFS(CtrlDevImpacts!$I$57:$I$156,CtrlDevImpacts!$H$57:$H$156,$FG97))*IFERROR($QR$13,0)</f>
        <v>0</v>
      </c>
      <c r="GD97" s="313">
        <f>(_xlfn.MAXIFS(Flare!$F$107:$F$216,Flare!$E$107:$E$216,$FG97)-_xlfn.MAXIFS(CtrlDevImpacts!$I$57:$I$156,CtrlDevImpacts!$H$57:$H$156,$FG97))*IFERROR($QR$13,0)</f>
        <v>0</v>
      </c>
      <c r="GE97" s="155">
        <f>_xlfn.MAXIFS(LandEmiss!$B$335:$B$434,LandEmiss!$A$335:$A$434,$FG97)*IFERROR($QR$13,0)</f>
        <v>0</v>
      </c>
      <c r="GF97" s="155">
        <f>(_xlfn.MAXIFS(LandEmiss!$BK$335:$BK$434,LandEmiss!$BJ$335:$BJ$434,$FG97)+_xlfn.MAXIFS(LandEmiss!$DV$323:$DV$422,LandEmiss!$DU$323:$DU$422,$FG97))*IFERROR($QR$13,0)</f>
        <v>0</v>
      </c>
      <c r="GG97" s="313">
        <f>IF(OR(VCU!$D$26="fuel gas",VCU!$D$42="fuel gas"),SUMIF(VCU!$E$120:$E$129,$FG97,VCU!$F$120:$F$129),0)*IFERROR($QR$14,0)</f>
        <v>0</v>
      </c>
      <c r="GH97" s="313">
        <f>(_xlfn.MAXIFS(CtrlDevImpacts!$X$57:$X$156,CtrlDevImpacts!$W$57:$W$156,$FG97))*IFERROR($QR$14,0)</f>
        <v>0</v>
      </c>
      <c r="GI97" s="313">
        <f>(_xlfn.MAXIFS(VCU!$F$130:$F$239,VCU!$E$130:$E$239,$FG97)-_xlfn.MAXIFS(CtrlDevImpacts!$X$57:$X$156,CtrlDevImpacts!$W$57:$W$156,$FG97))*IFERROR($QR$14,0)</f>
        <v>0</v>
      </c>
      <c r="GJ97" s="155">
        <f>_xlfn.MAXIFS(LandEmiss!$D$335:$D$434,LandEmiss!$A$335:$A$434,$FG97)*IFERROR($QR$14,0)</f>
        <v>0</v>
      </c>
      <c r="GK97" s="155">
        <f>(_xlfn.MAXIFS(LandEmiss!$BM$335:$BM$434,LandEmiss!$BJ$335:$BJ$434,$FG97)+_xlfn.MAXIFS(LandEmiss!$DX$323:$DX$422,LandEmiss!$DU$323:$DU$422,$FG97))*IFERROR($QR$14,0)</f>
        <v>0</v>
      </c>
      <c r="GL97" s="313">
        <f>IF(VaporOxidizer!D128="FUEL GAS",SUMIF(VaporOxidizer!$E$101:$E$110,$FG97,VaporOxidizer!$F$101:$F$110),0)*IFERROR($QR$15,0)</f>
        <v>0</v>
      </c>
      <c r="GM97" s="313">
        <f>(_xlfn.MAXIFS(CtrlDevImpacts!$AN$57:$AN$156,CtrlDevImpacts!$AM$57:$AM$156,$FG97))*IFERROR($QR$15,0)</f>
        <v>0</v>
      </c>
      <c r="GN97" s="313">
        <f>(_xlfn.MAXIFS(VaporOxidizer!$F$111:$F$220,VaporOxidizer!$E$111:$E$220,$FG97)-_xlfn.MAXIFS(CtrlDevImpacts!$AN$57:$AN$156,CtrlDevImpacts!$AM$57:$AM$156,$FG97))*IFERROR($QR$15,0)</f>
        <v>0</v>
      </c>
      <c r="GO97" s="155">
        <f>_xlfn.MAXIFS(LandEmiss!$F$335:$F$434,LandEmiss!$A$335:$A$434,$FG97)*IFERROR($QR$15,0)</f>
        <v>0</v>
      </c>
      <c r="GP97" s="155">
        <f>(_xlfn.MAXIFS(LandEmiss!$BK$335:$BK$434,LandEmiss!$BO$335:$BO$434,$FG97)+_xlfn.MAXIFS(LandEmiss!$DZ$323:$DZ$422,LandEmiss!$DU$323:$DU$422,$FG97))*IFERROR($QR$15,0)</f>
        <v>0</v>
      </c>
      <c r="GQ97" s="313">
        <f>_xlfn.MAXIFS(CtrlDevImpacts!$BD$57:$BD$156,CtrlDevImpacts!$BC$57:$BC$156,$FG97)*IFERROR(Hidden!$QR$16,0)</f>
        <v>0</v>
      </c>
      <c r="GR97" s="313">
        <f>(_xlfn.MAXIFS(CAS!$H$35:$H$144,CAS!$E$35:$E$144,$FG97)-_xlfn.MAXIFS(CtrlDevImpacts!$BD$57:$BD$156,CtrlDevImpacts!$BC$57:$BC$156,$FG97))*IFERROR(Hidden!$QR$16,0)</f>
        <v>0</v>
      </c>
      <c r="GS97" s="155">
        <f>_xlfn.MAXIFS(LandEmiss!$H$335:$H$434,LandEmiss!$A$335:$A$434,$FG97)*IFERROR($QR$27,0)</f>
        <v>0</v>
      </c>
      <c r="GT97" s="155">
        <f>(_xlfn.MAXIFS(LandEmiss!$BK$335:$BK$434,LandEmiss!$BQ$335:$BQ$434,$FG97)+_xlfn.MAXIFS(LandEmiss!$EB$323:$EB$422,LandEmiss!$DU$323:$DU$422,$FG97))*IFERROR($QR$27,0)</f>
        <v>0</v>
      </c>
      <c r="GU97" s="155">
        <f>_xlfn.MAXIFS(LandEmiss!$J$335:$J$434,LandEmiss!$A$335:$A$434,$FG97)*IFERROR($QR$26,0)</f>
        <v>0</v>
      </c>
      <c r="GV97" s="155">
        <f>(_xlfn.MAXIFS(LandEmiss!$BK$335:$BK$434,LandEmiss!$BS$335:$BS$434,$FG97)+_xlfn.MAXIFS(LandEmiss!$ED$323:$ED$422,LandEmiss!$DU$323:$DU$422,$FG97))*IFERROR($QR$26,0)</f>
        <v>0</v>
      </c>
      <c r="GW97" s="155">
        <f>_xlfn.MAXIFS(LandEmiss!$L$335:$L$434,LandEmiss!$A$335:$A$434,$FG97)*IFERROR($QR$25,0)</f>
        <v>0</v>
      </c>
      <c r="GX97" s="155">
        <f>(_xlfn.MAXIFS(LandEmiss!$BK$335:$BK$434,LandEmiss!$BU$335:$BU$434,$FG97)+_xlfn.MAXIFS(LandEmiss!$EF$323:$EF$422,LandEmiss!$DU$323:$DU$422,$FG97))*IFERROR($QR$25,0)</f>
        <v>0</v>
      </c>
      <c r="GY97" s="155">
        <v>0</v>
      </c>
      <c r="GZ97" s="155">
        <v>0</v>
      </c>
      <c r="HA97" s="155">
        <f>IF(OR(HeaterBoiler1!$E$26&lt;&gt;"fuel gas",HeaterBoiler1!$E$15&lt;&gt;"heater"),0,SUMIF(HeaterBoiler1!$A$54:$D$63,$FG97,HeaterBoiler1!$I$54:$I$63))*IFERROR($QR$19,0)</f>
        <v>0</v>
      </c>
      <c r="HB97" s="207">
        <f>IF(OR(HeaterBoiler2!$E$26&lt;&gt;"fuel gas",HeaterBoiler2!$E$15&lt;&gt;"heater"),0,SUMIF(HeaterBoiler2!$A$54:$D$63,$FG97,HeaterBoiler2!$I$54:$I$63))*IFERROR($QR$21,0)</f>
        <v>0</v>
      </c>
      <c r="HC97" s="155">
        <f>IF(OR(HeaterBoiler1!$E$26&lt;&gt;"fuel gas",HeaterBoiler1!$E$15&lt;&gt;"boiler"),0,SUMIF(HeaterBoiler1!$A$41:$A$50,$FG97,HeaterBoiler1!$F$41:$F$50))*IFERROR($QR$20,0)</f>
        <v>0</v>
      </c>
      <c r="HD97" s="207">
        <f>IF(OR(HeaterBoiler2!$E$26&lt;&gt;"fuel gas",HeaterBoiler2!$E$15&lt;&gt;"boiler"),0,SUMIF(HeaterBoiler2!$A$41:$A$50,$FG97,HeaterBoiler2!$F$41:$F$50))*IFERROR($QR$22,0)</f>
        <v>0</v>
      </c>
      <c r="HE97" s="155">
        <f>SUMIF(Fug!$A$96:$A$205,$FG97,Fug!$I$96:$I$205)*IFERROR(Hidden!$QR$23,0)</f>
        <v>0</v>
      </c>
      <c r="HF97" s="155">
        <f t="shared" si="46"/>
        <v>0</v>
      </c>
      <c r="HG97" s="156">
        <f t="shared" si="47"/>
        <v>0</v>
      </c>
      <c r="HH97" s="156">
        <f t="shared" si="48"/>
        <v>0</v>
      </c>
      <c r="HI97" s="156">
        <f t="shared" si="49"/>
        <v>0</v>
      </c>
      <c r="HJ97" s="156">
        <f t="shared" si="50"/>
        <v>0</v>
      </c>
      <c r="HK97" s="156">
        <f t="shared" si="51"/>
        <v>0</v>
      </c>
      <c r="HL97" s="156">
        <f t="shared" si="52"/>
        <v>0</v>
      </c>
      <c r="NO97" s="155">
        <f>IF(Tank1!$D$22="No control",(SUMIF(Tank1!$E$32:$E$141,$FG97,Tank1!$H$32:$H$141)*(2000/8760)*IFERROR($QV$3,0)),0)</f>
        <v>0</v>
      </c>
      <c r="NP97" s="156">
        <f>SUMIF(LandEmiss!$AE$20:$AE$119,$FG97,LandEmiss!$AK$20:$AK$119)*(2000/8760)*IFERROR($QV$3,0)</f>
        <v>0</v>
      </c>
      <c r="NQ97" s="156">
        <f>(SUMIF(LandEmiss!$CN$20:$CN$119,$FG97,LandEmiss!$CT$20:$CT$119)+SUMIF(LandEmiss!$EY$9:$EY$108,$FG97,LandEmiss!$FE$9:$FE$108))*IFERROR($QV$3,0)*(2000/8760)</f>
        <v>0</v>
      </c>
      <c r="NR97" s="155">
        <f>IF(Tank2!$D$22="No control",(SUMIF(Tank2!$E$32:$E$141,$FG97,Tank2!$H$32:$H$141)*(2000/8760)*IFERROR($QV$4,0)),0)</f>
        <v>0</v>
      </c>
      <c r="NS97" s="156">
        <f>SUMIF(LandEmiss!$AE$20:$AE$119,$FG97,LandEmiss!$AL$20:$AL$119)*(2000/8760)*IFERROR($QV$4,0)</f>
        <v>0</v>
      </c>
      <c r="NT97" s="156">
        <f>(SUMIF(LandEmiss!$CN$20:$CN$119,$FG97,LandEmiss!$CU$20:$CU$119)+SUMIF(LandEmiss!$EY$9:$EY$108,$FG97,LandEmiss!$FF$9:$FF$108))*IFERROR($QV$4,0)*(2000/8760)</f>
        <v>0</v>
      </c>
      <c r="NU97" s="155">
        <f>IF(Tank3!$D$22="No control",(SUMIF(Tank3!$E$32:$E$141,$FG97,Tank3!$H$32:$H$141)*(2000/8760)*IFERROR($QV$5,0)),0)</f>
        <v>0</v>
      </c>
      <c r="NV97" s="156">
        <f>SUMIF(LandEmiss!$AE$20:$AE$119,$FG97,LandEmiss!$AM$20:$AM$119)*(2000/8760)*IFERROR($QV$5,0)</f>
        <v>0</v>
      </c>
      <c r="NW97" s="156">
        <f>(SUMIF(LandEmiss!$CN$20:$CN$119,$FG97,LandEmiss!$CV$20:$CV$119)+SUMIF(LandEmiss!$EY$9:$EY$108,$FG97,LandEmiss!$FG$9:$FG$108))*IFERROR($QV$5,0)*(2000/8760)</f>
        <v>0</v>
      </c>
      <c r="NX97" s="155">
        <f>IF(Tank4!$D$22="No control",(SUMIF(Tank4!$E$32:$E$141,$FG97,Tank4!$H$32:$H$141)*(2000/8760)*IFERROR($QV$6,0)),0)</f>
        <v>0</v>
      </c>
      <c r="NY97" s="156">
        <f>SUMIF(LandEmiss!$AE$20:$AE$119,$FG97,LandEmiss!$AN$20:$AN$119)*(2000/8760)*IFERROR($QV$6,0)</f>
        <v>0</v>
      </c>
      <c r="NZ97" s="156">
        <f>(SUMIF(LandEmiss!$CN$20:$CN$119,$FG97,LandEmiss!$CW$20:$CW$119)+SUMIF(LandEmiss!$EY$9:$EY$108,$FG97,LandEmiss!$FH$9:$FH$108))*IFERROR($QV$6,0)*(2000/8760)</f>
        <v>0</v>
      </c>
      <c r="OA97" s="155">
        <f>IF(Tank5!$D$22="No control",(SUMIF(Tank5!$E$32:$E$141,$FG97,Tank5!$H$32:$H$141)*(2000/8760)*IFERROR($QV$7,0)),0)</f>
        <v>0</v>
      </c>
      <c r="OB97" s="156">
        <f>SUMIF(LandEmiss!$AE$20:$AE$119,$FG97,LandEmiss!$AO$20:$AO$119)*(2000/8760)*IFERROR($QV$7,0)</f>
        <v>0</v>
      </c>
      <c r="OC97" s="156">
        <f>(SUMIF(LandEmiss!$CN$20:$CN$119,$FG97,LandEmiss!$CX$20:$CX$119)+SUMIF(LandEmiss!$EY$9:$EY$108,$FG97,LandEmiss!$FI$9:$FI$108))*IFERROR($QV$7,0)*(2000/8760)</f>
        <v>0</v>
      </c>
      <c r="OD97" s="155">
        <f>SUMIFS('Load-DrumTote'!$L$27:$L$136,'Load-DrumTote'!$F$27:$F$136,$FG97)*IFERROR($QV$8,0)*(2000/8760)</f>
        <v>0</v>
      </c>
      <c r="OE97" s="155">
        <f>SUMIFS('Load-Truck'!$L$27:$L$136,'Load-Truck'!$F$27:$F$136,$FG97)*IFERROR($QV$9,0)*(2000/8760)</f>
        <v>0</v>
      </c>
      <c r="OF97" s="155">
        <f>SUMIFS('Load-Rail'!$L$27:$L$136,'Load-Rail'!$F$27:$F$136,$FG97)*IFERROR($QV$10,0)*(2000/8760)</f>
        <v>0</v>
      </c>
      <c r="OG97" s="155">
        <f>SUMIFS('Load-MarineBarge'!$L$27:$L$136,'Load-MarineBarge'!$F$27:$F$136,$FG97)*IFERROR($QV$11,0)*(2000/8760)</f>
        <v>0</v>
      </c>
      <c r="OH97" s="155">
        <f>SUMIFS('Load-MarineShip'!$L$27:$L$136,'Load-MarineShip'!$F$27:$F$136,$FG97)*IFERROR($QV$12,0)*(2000/8760)</f>
        <v>0</v>
      </c>
      <c r="OI97" s="155">
        <f>(IF(OR(Flare!$D$24="FUEL GAS",Flare!$D$38="FUEL GAS"),SUMIF(Flare!$E$97:$E$106,$FG97,Flare!$G$97:$G$105),0)+SUMIF(Flare!$E$107:$E$216,$FG97,Flare!$G$107:$G$216))*(2000/8730)*IFERROR($QV$13,0)</f>
        <v>0</v>
      </c>
      <c r="OJ97" s="155">
        <f>SUMIF(LandEmiss!$A$335:$A$434,$FG97,LandEmiss!$C$335:$C$434)*(2000/8760)*IFERROR($QV$13,0)</f>
        <v>0</v>
      </c>
      <c r="OK97" s="155">
        <f>(SUMIF(LandEmiss!$BJ$335:$BJ$434,$FG97,LandEmiss!$BL$335:$BL$434)+SUMIF(LandEmiss!$DU$323:$DU$422,$FG97,LandEmiss!$DW$323:$DW$422))*(2000/8760)*IFERROR($QV$13,0)</f>
        <v>0</v>
      </c>
      <c r="OL97" s="155">
        <f>(IF(OR(VCU!$D$26="FUEL GAS",VCU!$D$42="FUEL GAS"),SUMIF(VCU!$E$120:$E$129,$FG97,VCU!$G$120:$G$129),0)+SUMIF(VCU!$E$130:$E$239,$FG97,VCU!G225:G334))*(2000/8760)*IFERROR($QV$14,0)</f>
        <v>0</v>
      </c>
      <c r="OM97" s="155">
        <f>SUMIF(LandEmiss!$A$335:$A$434,$FG97,LandEmiss!$E$335:$E$434)*(2000/8760)*IFERROR($QV$14,0)</f>
        <v>0</v>
      </c>
      <c r="ON97" s="155">
        <f>(SUMIF(LandEmiss!$BJ$335:$BJ$434,$FG97,LandEmiss!$BN$335:$BN$434)+SUMIF(LandEmiss!$DU$323:$DU$422,$FG97,LandEmiss!$DY$323:$DY$422))*(2000/8760)*IFERROR($QV$14,0)</f>
        <v>0</v>
      </c>
      <c r="OO97" s="155">
        <f>(IF(VaporOxidizer!$D$33="FUEL GAS",SUMIF(VaporOxidizer!$E$101:$E$110,$FG97,VaporOxidizer!$G$101:$G$110),0)+SUMIF(VaporOxidizer!$E$111:$E$220,$FG97,VaporOxidizer!$G$111:$G$220))*(2000/8760)*IFERROR($QV$15,0)</f>
        <v>0</v>
      </c>
      <c r="OP97" s="155">
        <f>SUMIF(LandEmiss!$A$335:$A$434,$FG97,LandEmiss!$G$335:$G$434)*(2000/8760)*IFERROR($QV$15,0)</f>
        <v>0</v>
      </c>
      <c r="OQ97" s="155">
        <f>(SUMIF(LandEmiss!$BJ$335:$BJ$434,$FG97,LandEmiss!$BP$335:$BP$434)+SUMIF(LandEmiss!$DU$323:$DU$422,$FG97,LandEmiss!$EA$323:$EA$422))*(2000/8760)*IFERROR($QV$15,0)</f>
        <v>0</v>
      </c>
      <c r="OR97" s="155">
        <f>SUMIF(CAS!$E$35:$E$144,Hidden!$FG97,CAS!$I$35:$I$144)*IFERROR($QV$16,0)*(2000/8760)</f>
        <v>0</v>
      </c>
      <c r="OS97" s="155">
        <f>SUMIF(LandEmiss!$A$335:$A$434,$FG97,LandEmiss!$I$335:$I$434)*(2000/8760)*IFERROR($QV$27,0)</f>
        <v>0</v>
      </c>
      <c r="OT97" s="155">
        <f>(SUMIF(LandEmiss!$BJ$335:$BJ$434,$FG97,LandEmiss!$BR$335:$BR$434)+SUMIF(LandEmiss!$DU$323:$DU$422,$FG97,LandEmiss!$EC$323:$EC$422))*(2000/8760)*IFERROR($QV$27,0)</f>
        <v>0</v>
      </c>
      <c r="OU97" s="155">
        <f>SUMIF(LandEmiss!$A$335:$A$434,$FG97,LandEmiss!$K$335:$K$434)*(2000/8760)*IFERROR($QV$26,0)</f>
        <v>0</v>
      </c>
      <c r="OV97" s="155">
        <f>(SUMIF(LandEmiss!$BJ$335:$BJ$434,$FG97,LandEmiss!$BT$335:$BT$434)+SUMIF(LandEmiss!$DU$323:$DU$422,$FG97,LandEmiss!$EE$323:$EE$422))*(2000/8760)*IFERROR($QV$26,0)</f>
        <v>0</v>
      </c>
      <c r="OW97" s="155">
        <f>SUMIF(LandEmiss!$A$335:$A$434,$FG97,LandEmiss!$M$335:$M$434)*(2000/8760)*IFERROR($QV$25,0)</f>
        <v>0</v>
      </c>
      <c r="OX97" s="155">
        <f>(SUMIF(LandEmiss!$BJ$335:$BJ$434,$FG97,LandEmiss!$BV$335:$BV$434)+SUMIF(LandEmiss!$DU$323:$DU$422,$FG97,LandEmiss!$EG$323:$EG$422))*(2000/8760)*IFERROR($QV$25,0)</f>
        <v>0</v>
      </c>
      <c r="OY97" s="8">
        <v>0</v>
      </c>
      <c r="OZ97" s="207">
        <v>0</v>
      </c>
      <c r="PA97" s="207">
        <f>IF(OR(HeaterBoiler1!$E$26&lt;&gt;"fuel gas",HeaterBoiler1!$E$15&lt;&gt;"heater"),0,(SUMIF(HeaterBoiler1!$A$54:$D$63,$FG97,HeaterBoiler1!$J$54:$J$63))*(2000/8760))*IFERROR($QV$19,0)</f>
        <v>0</v>
      </c>
      <c r="PB97" s="207">
        <f>IF(OR(HeaterBoiler2!$E$26&lt;&gt;"fuel gas",HeaterBoiler2!$E$15&lt;&gt;"heater"),0,(SUMIF(HeaterBoiler2!$A$54:$D$63,$FG97,HeaterBoiler2!$J$54:$J$63))*(2000/8760))*IFERROR($QV$21,0)</f>
        <v>0</v>
      </c>
      <c r="PC97" s="207">
        <f>IF(OR(HeaterBoiler1!$E$26&lt;&gt;"fuel gas",HeaterBoiler1!$E$15&lt;&gt;"boiler"),0,(SUMIF(HeaterBoiler1!$A$54:$D$63,$FG97,HeaterBoiler1!$J$54:$J$63))*(2000/8760))*IFERROR($QV$20,0)</f>
        <v>0</v>
      </c>
      <c r="PD97" s="207">
        <f>IF(OR(HeaterBoiler2!$E$26&lt;&gt;"fuel gas",HeaterBoiler2!$E$15&lt;&gt;"boiler"),0,(SUMIF(HeaterBoiler2!$A$54:$D$63,$FG97,HeaterBoiler2!$J$54:$J$63))*(2000/8760))*IFERROR($QV$22,0)</f>
        <v>0</v>
      </c>
      <c r="PE97" s="8">
        <f>(SUMIF(Fug!$A$96:$A$205,$FG97,Fug!$J$96:$J$205))*IFERROR($QV$23,0)*(2000/8760)</f>
        <v>0</v>
      </c>
      <c r="PF97" s="8">
        <f t="shared" si="53"/>
        <v>0</v>
      </c>
      <c r="PG97" s="156">
        <f t="shared" si="54"/>
        <v>0</v>
      </c>
      <c r="QX97" s="89" t="s">
        <v>9306</v>
      </c>
      <c r="QY97" t="s">
        <v>9308</v>
      </c>
      <c r="QZ97" t="s">
        <v>9308</v>
      </c>
      <c r="RA97" t="s">
        <v>9308</v>
      </c>
      <c r="RB97" t="s">
        <v>9308</v>
      </c>
      <c r="RC97" t="s">
        <v>9308</v>
      </c>
      <c r="RD97" t="s">
        <v>9308</v>
      </c>
      <c r="RE97" t="s">
        <v>9308</v>
      </c>
      <c r="RF97" t="s">
        <v>9308</v>
      </c>
      <c r="RG97" s="90" t="s">
        <v>9308</v>
      </c>
      <c r="RH97" s="89" t="s">
        <v>9306</v>
      </c>
      <c r="RI97" t="s">
        <v>9309</v>
      </c>
      <c r="RJ97" t="s">
        <v>9309</v>
      </c>
      <c r="RK97" t="s">
        <v>9309</v>
      </c>
      <c r="RL97" t="s">
        <v>9309</v>
      </c>
      <c r="RM97" t="s">
        <v>9309</v>
      </c>
      <c r="RN97" t="s">
        <v>9309</v>
      </c>
      <c r="RO97" t="s">
        <v>9309</v>
      </c>
      <c r="RP97" t="s">
        <v>9309</v>
      </c>
      <c r="RQ97" s="90" t="s">
        <v>9309</v>
      </c>
      <c r="RR97" s="89" t="s">
        <v>9306</v>
      </c>
      <c r="RS97" t="s">
        <v>9310</v>
      </c>
      <c r="RT97" t="s">
        <v>9310</v>
      </c>
      <c r="RU97" t="s">
        <v>9310</v>
      </c>
      <c r="RV97" t="s">
        <v>9310</v>
      </c>
      <c r="RW97" t="s">
        <v>9310</v>
      </c>
      <c r="RX97" t="s">
        <v>9310</v>
      </c>
      <c r="RY97" t="s">
        <v>9310</v>
      </c>
      <c r="RZ97" t="s">
        <v>9310</v>
      </c>
      <c r="SA97" s="90" t="s">
        <v>9310</v>
      </c>
      <c r="SB97" s="89" t="s">
        <v>9306</v>
      </c>
      <c r="SC97" t="s">
        <v>9311</v>
      </c>
      <c r="SD97" t="s">
        <v>9311</v>
      </c>
      <c r="SE97" t="s">
        <v>9311</v>
      </c>
      <c r="SF97" t="s">
        <v>9311</v>
      </c>
      <c r="SG97" t="s">
        <v>9311</v>
      </c>
      <c r="SH97" t="s">
        <v>9311</v>
      </c>
      <c r="SI97" t="s">
        <v>9311</v>
      </c>
      <c r="SJ97" t="s">
        <v>9311</v>
      </c>
      <c r="SK97" s="90" t="s">
        <v>9311</v>
      </c>
      <c r="SL97" s="89" t="s">
        <v>9306</v>
      </c>
      <c r="SM97" t="s">
        <v>9312</v>
      </c>
      <c r="SN97" t="s">
        <v>9312</v>
      </c>
      <c r="SO97" t="s">
        <v>9312</v>
      </c>
      <c r="SP97" t="s">
        <v>9312</v>
      </c>
      <c r="SQ97" t="s">
        <v>9312</v>
      </c>
      <c r="SR97" t="s">
        <v>9312</v>
      </c>
      <c r="SS97" t="s">
        <v>9312</v>
      </c>
      <c r="ST97" t="s">
        <v>9312</v>
      </c>
      <c r="SU97" s="90" t="s">
        <v>9312</v>
      </c>
    </row>
    <row r="98" spans="23:515" ht="74.25" customHeight="1" x14ac:dyDescent="0.2">
      <c r="W98">
        <f>IF(OR(X98=0,ISNUMBER(MATCH(X98,$X$1:X97,0))),0,MAX($W$1:W97)+1)</f>
        <v>0</v>
      </c>
      <c r="X98" s="123">
        <f>Products!$E145</f>
        <v>0</v>
      </c>
      <c r="Y98" t="str">
        <f t="shared" ref="Y98:Y111" si="55">IFERROR(VLOOKUP(ROW(A97),$W$2:$X$111,2,FALSE),"")</f>
        <v/>
      </c>
      <c r="CA98">
        <f>IF(OR(CB98=0,ISNUMBER(MATCH(CB98,$CB$1:CB97,0))),0,MAX($CA$1:CA97)+1)</f>
        <v>0</v>
      </c>
      <c r="CB98" s="8">
        <f>IF(OR(Tank1!$D$18="EXTERNAL FLOATING ROOF",Tank1!$D$18="INTERNAL FLOATING ROOF"),IF(Tank1!$E128="",0,Tank1!$E128),0)</f>
        <v>0</v>
      </c>
      <c r="CC98" s="8" t="str">
        <f t="shared" si="43"/>
        <v/>
      </c>
      <c r="CD98" s="8"/>
      <c r="CE98" s="8">
        <f>IF(OR(CF98=0,ISNUMBER(MATCH(CF98,$CF$1:CF97,0))),0,MAX($CE$1:CE97)+1)</f>
        <v>0</v>
      </c>
      <c r="CF98" s="8">
        <f>IF(OR(Tank1!$D$18="HORIZONTAL FIXED ROOF",Tank1!$D$18="VERTICAL FIXED ROOF"),IF(Tank1!$E128="",0,Tank1!$E128),0)</f>
        <v>0</v>
      </c>
      <c r="CG98" s="8" t="str">
        <f t="shared" si="44"/>
        <v/>
      </c>
      <c r="DM98">
        <f>IF(OR(DN98=0,ISNUMBER(MATCH(DN98,$DN$1:DN97,0))),0,MAX($DM$1:DM97)+1)</f>
        <v>0</v>
      </c>
      <c r="DN98">
        <f>IF('Load-MarineShip'!$F$19="Flare",IFERROR(VLOOKUP(Products!$A$119,'Load-MarineShip'!$A$27:$B$136,1,FALSE),0),0)</f>
        <v>0</v>
      </c>
      <c r="DO98">
        <f>IF($DN98=0,0,VLOOKUP($DN98,'Load-MarineShip'!$A$27:$N$136,13,FALSE))</f>
        <v>0</v>
      </c>
      <c r="DP98">
        <f>IF($DN98=0,0,VLOOKUP($DN98,'Load-MarineShip'!$A$27:$N$136,14,FALSE))</f>
        <v>0</v>
      </c>
      <c r="DU98">
        <f>IF(OR(DV98=0,ISNUMBER(MATCH(DV98,$DV$1:DV97,0))),0,MAX($DU$1:DU97)+1)</f>
        <v>0</v>
      </c>
      <c r="DV98">
        <f>IF('Load-MarineShip'!$F$19="VCU",IFERROR(VLOOKUP(Products!$A$119,'Load-MarineShip'!$A$27:$B$136,1,FALSE),0),0)</f>
        <v>0</v>
      </c>
      <c r="DW98">
        <f>IF($DV98=0,0,VLOOKUP($DV98,'Load-MarineShip'!$A$27:$N$136,13,FALSE))</f>
        <v>0</v>
      </c>
      <c r="DX98">
        <f>IF($DV98=0,0,VLOOKUP($DV98,'Load-MarineShip'!$A$27:$N$136,14,FALSE))</f>
        <v>0</v>
      </c>
      <c r="EC98">
        <f>IF(OR(ED98=0,ISNUMBER(MATCH(ED98,$ED$1:ED97,0))),0,MAX($EC$1:EC97)+1)</f>
        <v>0</v>
      </c>
      <c r="ED98">
        <f>IF('Load-MarineShip'!$F$19="vapor oxidizer",IFERROR(VLOOKUP(Products!$A$119,'Load-MarineShip'!$A$27:$B$136,1,FALSE),0),0)</f>
        <v>0</v>
      </c>
      <c r="EE98">
        <f>IF($ED98=0,0,VLOOKUP($ED98,'Load-MarineShip'!$A$27:$N$136,13,FALSE))</f>
        <v>0</v>
      </c>
      <c r="EF98">
        <f>IF($ED98=0,0,VLOOKUP($ED98,'Load-MarineShip'!$A$27:$N$136,14,FALSE))</f>
        <v>0</v>
      </c>
      <c r="EK98">
        <f>IF(OR(EL98=0,ISNUMBER(MATCH(EL98,$EL$1:EL97,0))),0,MAX($EK$1:EK97)+1)</f>
        <v>0</v>
      </c>
      <c r="EL98">
        <f>IF('Load-MarineShip'!$F$19="CAS",IFERROR(VLOOKUP(Products!A119,'Load-MarineShip'!$A$27:$B$136,1,FALSE),0),0)</f>
        <v>0</v>
      </c>
      <c r="EM98">
        <f>IF($EL98=0,0,VLOOKUP($EL98,'Load-MarineShip'!$A$27:$N$136,13,FALSE))</f>
        <v>0</v>
      </c>
      <c r="EN98">
        <f>IF($EL98=0,0,VLOOKUP($EL98,'Load-MarineShip'!$A$27:$N$136,14,FALSE))</f>
        <v>0</v>
      </c>
      <c r="FB98" s="8" t="s">
        <v>9885</v>
      </c>
      <c r="FC98" s="8" t="s">
        <v>9817</v>
      </c>
      <c r="FD98" s="8">
        <v>34000</v>
      </c>
      <c r="FE98" s="8">
        <v>3400</v>
      </c>
      <c r="FG98" s="360" t="str">
        <f t="shared" si="45"/>
        <v/>
      </c>
      <c r="FH98" s="155">
        <f>IF(Tank1!$D$22="NO CONTROL",_xlfn.MAXIFS(Tank1!$G$32:$G$141,Tank1!$E$32:$E$141,$FG98),0)*IFERROR($QR$3,0)</f>
        <v>0</v>
      </c>
      <c r="FI98" s="155">
        <f>_xlfn.MAXIFS(LandEmiss!$AF$20:$AF$119,LandEmiss!$AE$20:$AE$119,$FG98)*IFERROR($QR$3,0)</f>
        <v>0</v>
      </c>
      <c r="FJ98" s="155">
        <f>MAX(_xlfn.MAXIFS(LandEmiss!$CO$20:$CO$119,LandEmiss!$CN$20:$CN$119,$FG98),_xlfn.MAXIFS(LandEmiss!$EZ$9:$EZ$108,LandEmiss!$EY$9:$EY$108,$FG98))*IFERROR($QR$3,0)</f>
        <v>0</v>
      </c>
      <c r="FK98" s="155">
        <f>IF(Tank2!$D$22="NO CONTROL",_xlfn.MAXIFS(Tank2!$G$32:$G$141,Tank2!$E$32:$E$141,$FG98),0)*IFERROR($QR$4,0)</f>
        <v>0</v>
      </c>
      <c r="FL98" s="155">
        <f>_xlfn.MAXIFS(LandEmiss!$AG$20:$AG$119,LandEmiss!$AE$20:$AE$119,$FG98)*IFERROR($QR$4,0)</f>
        <v>0</v>
      </c>
      <c r="FM98" s="155">
        <f>MAX(_xlfn.MAXIFS(LandEmiss!$CP$20:$CP$119,LandEmiss!$CN$20:$CN$119,$FG98),_xlfn.MAXIFS(LandEmiss!$FA$9:$FA$108,LandEmiss!$EY$9:$EY$108,$FG98))*IFERROR($QR$4,0)</f>
        <v>0</v>
      </c>
      <c r="FN98" s="155">
        <f>IF(Tank3!$D$22="NO CONTROL",_xlfn.MAXIFS(Tank3!$G$32:$G$141,Tank3!$E$32:$E$141,$FG98),0)*IFERROR($QR$5,0)</f>
        <v>0</v>
      </c>
      <c r="FO98" s="155">
        <f>_xlfn.MAXIFS(LandEmiss!$AH$20:$AH$119,LandEmiss!$AE$20:$AE$119,$FG98)*IFERROR($QR$5,0)</f>
        <v>0</v>
      </c>
      <c r="FP98" s="155">
        <f>MAX(_xlfn.MAXIFS(LandEmiss!$CQ$20:$CQ$119,LandEmiss!$CN$20:$CN$119,$FG98),_xlfn.MAXIFS(LandEmiss!$FB$9:$FB$108,LandEmiss!$EY$9:$EY$108,$FG98))*IFERROR($QR$5,0)</f>
        <v>0</v>
      </c>
      <c r="FQ98" s="155">
        <f>IF(Tank4!$D$22="NO CONTROL",_xlfn.MAXIFS(Tank4!$G$32:$G$141,Tank4!$E$32:$E$141,$FG98),0)*IFERROR($QR$6,0)</f>
        <v>0</v>
      </c>
      <c r="FR98" s="155">
        <f>_xlfn.MAXIFS(LandEmiss!$AI$20:$AI$119,LandEmiss!$AE$20:$AE$119,$FG98)*IFERROR($QR$6,0)</f>
        <v>0</v>
      </c>
      <c r="FS98" s="155">
        <f>MAX(_xlfn.MAXIFS(LandEmiss!$CR$20:$CR$119,LandEmiss!$CN$20:$CN$119,$FG98),_xlfn.MAXIFS(LandEmiss!$FC$9:$FC$108,LandEmiss!$EY$9:$EY$108,$FG98))*IFERROR($QR$6,0)</f>
        <v>0</v>
      </c>
      <c r="FT98" s="155">
        <f>IF(Tank5!$D$22="NO CONTROL",_xlfn.MAXIFS(Tank5!$G$32:$G$141,Tank5!$E$32:$E$141,$FG98),0)*IFERROR($QR$7,0)</f>
        <v>0</v>
      </c>
      <c r="FU98" s="155">
        <f>_xlfn.MAXIFS(LandEmiss!$AJ$20:$AJ$119,LandEmiss!$AE$20:$AE$119,$FG98)*IFERROR($QR$7,0)</f>
        <v>0</v>
      </c>
      <c r="FV98" s="155">
        <f>MAX(_xlfn.MAXIFS(LandEmiss!$CS$20:$CS$119,LandEmiss!$CN$20:$CN$119,$FG98),_xlfn.MAXIFS(LandEmiss!$FD$9:$FD$108,LandEmiss!$EY$9:$EY$108,$FG98))*IFERROR($QR103,0)</f>
        <v>0</v>
      </c>
      <c r="FW98" s="155">
        <f>_xlfn.MAXIFS('Load-DrumTote'!$K$27:$K$136,'Load-DrumTote'!$F$27:$F$136,$FG98)*IFERROR($QR$8,0)</f>
        <v>0</v>
      </c>
      <c r="FX98" s="155">
        <f>_xlfn.MAXIFS('Load-Truck'!$K$27:$K$136,'Load-Truck'!$F$27:$F$136,$FG98)*IFERROR($QR$9,0)</f>
        <v>0</v>
      </c>
      <c r="FY98" s="155">
        <f>_xlfn.MAXIFS('Load-Rail'!$K$27:$K$136,'Load-Rail'!$F$27:$F$136,$FG98)*IFERROR($QR$10,0)</f>
        <v>0</v>
      </c>
      <c r="FZ98" s="155">
        <f>_xlfn.MAXIFS('Load-MarineBarge'!$K$27:$K$136,'Load-MarineBarge'!$F$27:$F$136,$FG98)*IFERROR($QR$11,0)</f>
        <v>0</v>
      </c>
      <c r="GA98" s="155">
        <f>_xlfn.MAXIFS('Load-MarineShip'!$K$27:$K$136,'Load-MarineShip'!$F$27:$F$136,$FG98)*IFERROR($QR$12,0)</f>
        <v>0</v>
      </c>
      <c r="GB98" s="313">
        <f>IF(OR(Flare!$D$24="fuel gas",Flare!$D$38="fuel gas"),SUMIF(Flare!$E$97:$E$106,$FG98,Flare!$F$97:$F$106),0)*IFERROR($QR$13,0)</f>
        <v>0</v>
      </c>
      <c r="GC98" s="313">
        <f>(_xlfn.MAXIFS(CtrlDevImpacts!$I$57:$I$156,CtrlDevImpacts!$H$57:$H$156,$FG98))*IFERROR($QR$13,0)</f>
        <v>0</v>
      </c>
      <c r="GD98" s="313">
        <f>(_xlfn.MAXIFS(Flare!$F$107:$F$216,Flare!$E$107:$E$216,$FG98)-_xlfn.MAXIFS(CtrlDevImpacts!$I$57:$I$156,CtrlDevImpacts!$H$57:$H$156,$FG98))*IFERROR($QR$13,0)</f>
        <v>0</v>
      </c>
      <c r="GE98" s="155">
        <f>_xlfn.MAXIFS(LandEmiss!$B$335:$B$434,LandEmiss!$A$335:$A$434,$FG98)*IFERROR($QR$13,0)</f>
        <v>0</v>
      </c>
      <c r="GF98" s="155">
        <f>(_xlfn.MAXIFS(LandEmiss!$BK$335:$BK$434,LandEmiss!$BJ$335:$BJ$434,$FG98)+_xlfn.MAXIFS(LandEmiss!$DV$323:$DV$422,LandEmiss!$DU$323:$DU$422,$FG98))*IFERROR($QR$13,0)</f>
        <v>0</v>
      </c>
      <c r="GG98" s="313">
        <f>IF(OR(VCU!$D$26="fuel gas",VCU!$D$42="fuel gas"),SUMIF(VCU!$E$120:$E$129,$FG98,VCU!$F$120:$F$129),0)*IFERROR($QR$14,0)</f>
        <v>0</v>
      </c>
      <c r="GH98" s="313">
        <f>(_xlfn.MAXIFS(CtrlDevImpacts!$X$57:$X$156,CtrlDevImpacts!$W$57:$W$156,$FG98))*IFERROR($QR$14,0)</f>
        <v>0</v>
      </c>
      <c r="GI98" s="313">
        <f>(_xlfn.MAXIFS(VCU!$F$130:$F$239,VCU!$E$130:$E$239,$FG98)-_xlfn.MAXIFS(CtrlDevImpacts!$X$57:$X$156,CtrlDevImpacts!$W$57:$W$156,$FG98))*IFERROR($QR$14,0)</f>
        <v>0</v>
      </c>
      <c r="GJ98" s="155">
        <f>_xlfn.MAXIFS(LandEmiss!$D$335:$D$434,LandEmiss!$A$335:$A$434,$FG98)*IFERROR($QR$14,0)</f>
        <v>0</v>
      </c>
      <c r="GK98" s="155">
        <f>(_xlfn.MAXIFS(LandEmiss!$BM$335:$BM$434,LandEmiss!$BJ$335:$BJ$434,$FG98)+_xlfn.MAXIFS(LandEmiss!$DX$323:$DX$422,LandEmiss!$DU$323:$DU$422,$FG98))*IFERROR($QR$14,0)</f>
        <v>0</v>
      </c>
      <c r="GL98" s="313">
        <f>IF(VaporOxidizer!D129="FUEL GAS",SUMIF(VaporOxidizer!$E$101:$E$110,$FG98,VaporOxidizer!$F$101:$F$110),0)*IFERROR($QR$15,0)</f>
        <v>0</v>
      </c>
      <c r="GM98" s="313">
        <f>(_xlfn.MAXIFS(CtrlDevImpacts!$AN$57:$AN$156,CtrlDevImpacts!$AM$57:$AM$156,$FG98))*IFERROR($QR$15,0)</f>
        <v>0</v>
      </c>
      <c r="GN98" s="313">
        <f>(_xlfn.MAXIFS(VaporOxidizer!$F$111:$F$220,VaporOxidizer!$E$111:$E$220,$FG98)-_xlfn.MAXIFS(CtrlDevImpacts!$AN$57:$AN$156,CtrlDevImpacts!$AM$57:$AM$156,$FG98))*IFERROR($QR$15,0)</f>
        <v>0</v>
      </c>
      <c r="GO98" s="155">
        <f>_xlfn.MAXIFS(LandEmiss!$F$335:$F$434,LandEmiss!$A$335:$A$434,$FG98)*IFERROR($QR$15,0)</f>
        <v>0</v>
      </c>
      <c r="GP98" s="155">
        <f>(_xlfn.MAXIFS(LandEmiss!$BK$335:$BK$434,LandEmiss!$BO$335:$BO$434,$FG98)+_xlfn.MAXIFS(LandEmiss!$DZ$323:$DZ$422,LandEmiss!$DU$323:$DU$422,$FG98))*IFERROR($QR$15,0)</f>
        <v>0</v>
      </c>
      <c r="GQ98" s="313">
        <f>_xlfn.MAXIFS(CtrlDevImpacts!$BD$57:$BD$156,CtrlDevImpacts!$BC$57:$BC$156,$FG98)*IFERROR(Hidden!$QR$16,0)</f>
        <v>0</v>
      </c>
      <c r="GR98" s="313">
        <f>(_xlfn.MAXIFS(CAS!$H$35:$H$144,CAS!$E$35:$E$144,$FG98)-_xlfn.MAXIFS(CtrlDevImpacts!$BD$57:$BD$156,CtrlDevImpacts!$BC$57:$BC$156,$FG98))*IFERROR(Hidden!$QR$16,0)</f>
        <v>0</v>
      </c>
      <c r="GS98" s="155">
        <f>_xlfn.MAXIFS(LandEmiss!$H$335:$H$434,LandEmiss!$A$335:$A$434,$FG98)*IFERROR($QR$27,0)</f>
        <v>0</v>
      </c>
      <c r="GT98" s="155">
        <f>(_xlfn.MAXIFS(LandEmiss!$BK$335:$BK$434,LandEmiss!$BQ$335:$BQ$434,$FG98)+_xlfn.MAXIFS(LandEmiss!$EB$323:$EB$422,LandEmiss!$DU$323:$DU$422,$FG98))*IFERROR($QR$27,0)</f>
        <v>0</v>
      </c>
      <c r="GU98" s="155">
        <f>_xlfn.MAXIFS(LandEmiss!$J$335:$J$434,LandEmiss!$A$335:$A$434,$FG98)*IFERROR($QR$26,0)</f>
        <v>0</v>
      </c>
      <c r="GV98" s="155">
        <f>(_xlfn.MAXIFS(LandEmiss!$BK$335:$BK$434,LandEmiss!$BS$335:$BS$434,$FG98)+_xlfn.MAXIFS(LandEmiss!$ED$323:$ED$422,LandEmiss!$DU$323:$DU$422,$FG98))*IFERROR($QR$26,0)</f>
        <v>0</v>
      </c>
      <c r="GW98" s="155">
        <f>_xlfn.MAXIFS(LandEmiss!$L$335:$L$434,LandEmiss!$A$335:$A$434,$FG98)*IFERROR($QR$25,0)</f>
        <v>0</v>
      </c>
      <c r="GX98" s="155">
        <f>(_xlfn.MAXIFS(LandEmiss!$BK$335:$BK$434,LandEmiss!$BU$335:$BU$434,$FG98)+_xlfn.MAXIFS(LandEmiss!$EF$323:$EF$422,LandEmiss!$DU$323:$DU$422,$FG98))*IFERROR($QR$25,0)</f>
        <v>0</v>
      </c>
      <c r="GY98" s="155">
        <v>0</v>
      </c>
      <c r="GZ98" s="155">
        <v>0</v>
      </c>
      <c r="HA98" s="155">
        <f>IF(OR(HeaterBoiler1!$E$26&lt;&gt;"fuel gas",HeaterBoiler1!$E$15&lt;&gt;"heater"),0,SUMIF(HeaterBoiler1!$A$54:$D$63,$FG98,HeaterBoiler1!$I$54:$I$63))*IFERROR($QR$19,0)</f>
        <v>0</v>
      </c>
      <c r="HB98" s="207">
        <f>IF(OR(HeaterBoiler2!$E$26&lt;&gt;"fuel gas",HeaterBoiler2!$E$15&lt;&gt;"heater"),0,SUMIF(HeaterBoiler2!$A$54:$D$63,$FG98,HeaterBoiler2!$I$54:$I$63))*IFERROR($QR$21,0)</f>
        <v>0</v>
      </c>
      <c r="HC98" s="155">
        <f>IF(OR(HeaterBoiler1!$E$26&lt;&gt;"fuel gas",HeaterBoiler1!$E$15&lt;&gt;"boiler"),0,SUMIF(HeaterBoiler1!$A$41:$A$50,$FG98,HeaterBoiler1!$F$41:$F$50))*IFERROR($QR$20,0)</f>
        <v>0</v>
      </c>
      <c r="HD98" s="207">
        <f>IF(OR(HeaterBoiler2!$E$26&lt;&gt;"fuel gas",HeaterBoiler2!$E$15&lt;&gt;"boiler"),0,SUMIF(HeaterBoiler2!$A$41:$A$50,$FG98,HeaterBoiler2!$F$41:$F$50))*IFERROR($QR$22,0)</f>
        <v>0</v>
      </c>
      <c r="HE98" s="155">
        <f>SUMIF(Fug!$A$96:$A$205,$FG98,Fug!$I$96:$I$205)*IFERROR(Hidden!$QR$23,0)</f>
        <v>0</v>
      </c>
      <c r="HF98" s="155">
        <f t="shared" si="46"/>
        <v>0</v>
      </c>
      <c r="HG98" s="156">
        <f t="shared" si="47"/>
        <v>0</v>
      </c>
      <c r="HH98" s="156">
        <f t="shared" si="48"/>
        <v>0</v>
      </c>
      <c r="HI98" s="156">
        <f t="shared" si="49"/>
        <v>0</v>
      </c>
      <c r="HJ98" s="156">
        <f t="shared" si="50"/>
        <v>0</v>
      </c>
      <c r="HK98" s="156">
        <f t="shared" si="51"/>
        <v>0</v>
      </c>
      <c r="HL98" s="156">
        <f t="shared" si="52"/>
        <v>0</v>
      </c>
      <c r="NO98" s="155">
        <f>IF(Tank1!$D$22="No control",(SUMIF(Tank1!$E$32:$E$141,$FG98,Tank1!$H$32:$H$141)*(2000/8760)*IFERROR($QV$3,0)),0)</f>
        <v>0</v>
      </c>
      <c r="NP98" s="156">
        <f>SUMIF(LandEmiss!$AE$20:$AE$119,$FG98,LandEmiss!$AK$20:$AK$119)*(2000/8760)*IFERROR($QV$3,0)</f>
        <v>0</v>
      </c>
      <c r="NQ98" s="156">
        <f>(SUMIF(LandEmiss!$CN$20:$CN$119,$FG98,LandEmiss!$CT$20:$CT$119)+SUMIF(LandEmiss!$EY$9:$EY$108,$FG98,LandEmiss!$FE$9:$FE$108))*IFERROR($QV$3,0)*(2000/8760)</f>
        <v>0</v>
      </c>
      <c r="NR98" s="155">
        <f>IF(Tank2!$D$22="No control",(SUMIF(Tank2!$E$32:$E$141,$FG98,Tank2!$H$32:$H$141)*(2000/8760)*IFERROR($QV$4,0)),0)</f>
        <v>0</v>
      </c>
      <c r="NS98" s="156">
        <f>SUMIF(LandEmiss!$AE$20:$AE$119,$FG98,LandEmiss!$AL$20:$AL$119)*(2000/8760)*IFERROR($QV$4,0)</f>
        <v>0</v>
      </c>
      <c r="NT98" s="156">
        <f>(SUMIF(LandEmiss!$CN$20:$CN$119,$FG98,LandEmiss!$CU$20:$CU$119)+SUMIF(LandEmiss!$EY$9:$EY$108,$FG98,LandEmiss!$FF$9:$FF$108))*IFERROR($QV$4,0)*(2000/8760)</f>
        <v>0</v>
      </c>
      <c r="NU98" s="155">
        <f>IF(Tank3!$D$22="No control",(SUMIF(Tank3!$E$32:$E$141,$FG98,Tank3!$H$32:$H$141)*(2000/8760)*IFERROR($QV$5,0)),0)</f>
        <v>0</v>
      </c>
      <c r="NV98" s="156">
        <f>SUMIF(LandEmiss!$AE$20:$AE$119,$FG98,LandEmiss!$AM$20:$AM$119)*(2000/8760)*IFERROR($QV$5,0)</f>
        <v>0</v>
      </c>
      <c r="NW98" s="156">
        <f>(SUMIF(LandEmiss!$CN$20:$CN$119,$FG98,LandEmiss!$CV$20:$CV$119)+SUMIF(LandEmiss!$EY$9:$EY$108,$FG98,LandEmiss!$FG$9:$FG$108))*IFERROR($QV$5,0)*(2000/8760)</f>
        <v>0</v>
      </c>
      <c r="NX98" s="155">
        <f>IF(Tank4!$D$22="No control",(SUMIF(Tank4!$E$32:$E$141,$FG98,Tank4!$H$32:$H$141)*(2000/8760)*IFERROR($QV$6,0)),0)</f>
        <v>0</v>
      </c>
      <c r="NY98" s="156">
        <f>SUMIF(LandEmiss!$AE$20:$AE$119,$FG98,LandEmiss!$AN$20:$AN$119)*(2000/8760)*IFERROR($QV$6,0)</f>
        <v>0</v>
      </c>
      <c r="NZ98" s="156">
        <f>(SUMIF(LandEmiss!$CN$20:$CN$119,$FG98,LandEmiss!$CW$20:$CW$119)+SUMIF(LandEmiss!$EY$9:$EY$108,$FG98,LandEmiss!$FH$9:$FH$108))*IFERROR($QV$6,0)*(2000/8760)</f>
        <v>0</v>
      </c>
      <c r="OA98" s="155">
        <f>IF(Tank5!$D$22="No control",(SUMIF(Tank5!$E$32:$E$141,$FG98,Tank5!$H$32:$H$141)*(2000/8760)*IFERROR($QV$7,0)),0)</f>
        <v>0</v>
      </c>
      <c r="OB98" s="156">
        <f>SUMIF(LandEmiss!$AE$20:$AE$119,$FG98,LandEmiss!$AO$20:$AO$119)*(2000/8760)*IFERROR($QV$7,0)</f>
        <v>0</v>
      </c>
      <c r="OC98" s="156">
        <f>(SUMIF(LandEmiss!$CN$20:$CN$119,$FG98,LandEmiss!$CX$20:$CX$119)+SUMIF(LandEmiss!$EY$9:$EY$108,$FG98,LandEmiss!$FI$9:$FI$108))*IFERROR($QV$7,0)*(2000/8760)</f>
        <v>0</v>
      </c>
      <c r="OD98" s="155">
        <f>SUMIFS('Load-DrumTote'!$L$27:$L$136,'Load-DrumTote'!$F$27:$F$136,$FG98)*IFERROR($QV$8,0)*(2000/8760)</f>
        <v>0</v>
      </c>
      <c r="OE98" s="155">
        <f>SUMIFS('Load-Truck'!$L$27:$L$136,'Load-Truck'!$F$27:$F$136,$FG98)*IFERROR($QV$9,0)*(2000/8760)</f>
        <v>0</v>
      </c>
      <c r="OF98" s="155">
        <f>SUMIFS('Load-Rail'!$L$27:$L$136,'Load-Rail'!$F$27:$F$136,$FG98)*IFERROR($QV$10,0)*(2000/8760)</f>
        <v>0</v>
      </c>
      <c r="OG98" s="155">
        <f>SUMIFS('Load-MarineBarge'!$L$27:$L$136,'Load-MarineBarge'!$F$27:$F$136,$FG98)*IFERROR($QV$11,0)*(2000/8760)</f>
        <v>0</v>
      </c>
      <c r="OH98" s="155">
        <f>SUMIFS('Load-MarineShip'!$L$27:$L$136,'Load-MarineShip'!$F$27:$F$136,$FG98)*IFERROR($QV$12,0)*(2000/8760)</f>
        <v>0</v>
      </c>
      <c r="OI98" s="155">
        <f>(IF(OR(Flare!$D$24="FUEL GAS",Flare!$D$38="FUEL GAS"),SUMIF(Flare!$E$97:$E$106,$FG98,Flare!$G$97:$G$105),0)+SUMIF(Flare!$E$107:$E$216,$FG98,Flare!$G$107:$G$216))*(2000/8730)*IFERROR($QV$13,0)</f>
        <v>0</v>
      </c>
      <c r="OJ98" s="155">
        <f>SUMIF(LandEmiss!$A$335:$A$434,$FG98,LandEmiss!$C$335:$C$434)*(2000/8760)*IFERROR($QV$13,0)</f>
        <v>0</v>
      </c>
      <c r="OK98" s="155">
        <f>(SUMIF(LandEmiss!$BJ$335:$BJ$434,$FG98,LandEmiss!$BL$335:$BL$434)+SUMIF(LandEmiss!$DU$323:$DU$422,$FG98,LandEmiss!$DW$323:$DW$422))*(2000/8760)*IFERROR($QV$13,0)</f>
        <v>0</v>
      </c>
      <c r="OL98" s="155">
        <f>(IF(OR(VCU!$D$26="FUEL GAS",VCU!$D$42="FUEL GAS"),SUMIF(VCU!$E$120:$E$129,$FG98,VCU!$G$120:$G$129),0)+SUMIF(VCU!$E$130:$E$239,$FG98,VCU!G226:G335))*(2000/8760)*IFERROR($QV$14,0)</f>
        <v>0</v>
      </c>
      <c r="OM98" s="155">
        <f>SUMIF(LandEmiss!$A$335:$A$434,$FG98,LandEmiss!$E$335:$E$434)*(2000/8760)*IFERROR($QV$14,0)</f>
        <v>0</v>
      </c>
      <c r="ON98" s="155">
        <f>(SUMIF(LandEmiss!$BJ$335:$BJ$434,$FG98,LandEmiss!$BN$335:$BN$434)+SUMIF(LandEmiss!$DU$323:$DU$422,$FG98,LandEmiss!$DY$323:$DY$422))*(2000/8760)*IFERROR($QV$14,0)</f>
        <v>0</v>
      </c>
      <c r="OO98" s="155">
        <f>(IF(VaporOxidizer!$D$33="FUEL GAS",SUMIF(VaporOxidizer!$E$101:$E$110,$FG98,VaporOxidizer!$G$101:$G$110),0)+SUMIF(VaporOxidizer!$E$111:$E$220,$FG98,VaporOxidizer!$G$111:$G$220))*(2000/8760)*IFERROR($QV$15,0)</f>
        <v>0</v>
      </c>
      <c r="OP98" s="155">
        <f>SUMIF(LandEmiss!$A$335:$A$434,$FG98,LandEmiss!$G$335:$G$434)*(2000/8760)*IFERROR($QV$15,0)</f>
        <v>0</v>
      </c>
      <c r="OQ98" s="155">
        <f>(SUMIF(LandEmiss!$BJ$335:$BJ$434,$FG98,LandEmiss!$BP$335:$BP$434)+SUMIF(LandEmiss!$DU$323:$DU$422,$FG98,LandEmiss!$EA$323:$EA$422))*(2000/8760)*IFERROR($QV$15,0)</f>
        <v>0</v>
      </c>
      <c r="OR98" s="155">
        <f>SUMIF(CAS!$E$35:$E$144,Hidden!$FG98,CAS!$I$35:$I$144)*IFERROR($QV$16,0)*(2000/8760)</f>
        <v>0</v>
      </c>
      <c r="OS98" s="155">
        <f>SUMIF(LandEmiss!$A$335:$A$434,$FG98,LandEmiss!$I$335:$I$434)*(2000/8760)*IFERROR($QV$27,0)</f>
        <v>0</v>
      </c>
      <c r="OT98" s="155">
        <f>(SUMIF(LandEmiss!$BJ$335:$BJ$434,$FG98,LandEmiss!$BR$335:$BR$434)+SUMIF(LandEmiss!$DU$323:$DU$422,$FG98,LandEmiss!$EC$323:$EC$422))*(2000/8760)*IFERROR($QV$27,0)</f>
        <v>0</v>
      </c>
      <c r="OU98" s="155">
        <f>SUMIF(LandEmiss!$A$335:$A$434,$FG98,LandEmiss!$K$335:$K$434)*(2000/8760)*IFERROR($QV$26,0)</f>
        <v>0</v>
      </c>
      <c r="OV98" s="155">
        <f>(SUMIF(LandEmiss!$BJ$335:$BJ$434,$FG98,LandEmiss!$BT$335:$BT$434)+SUMIF(LandEmiss!$DU$323:$DU$422,$FG98,LandEmiss!$EE$323:$EE$422))*(2000/8760)*IFERROR($QV$26,0)</f>
        <v>0</v>
      </c>
      <c r="OW98" s="155">
        <f>SUMIF(LandEmiss!$A$335:$A$434,$FG98,LandEmiss!$M$335:$M$434)*(2000/8760)*IFERROR($QV$25,0)</f>
        <v>0</v>
      </c>
      <c r="OX98" s="155">
        <f>(SUMIF(LandEmiss!$BJ$335:$BJ$434,$FG98,LandEmiss!$BV$335:$BV$434)+SUMIF(LandEmiss!$DU$323:$DU$422,$FG98,LandEmiss!$EG$323:$EG$422))*(2000/8760)*IFERROR($QV$25,0)</f>
        <v>0</v>
      </c>
      <c r="OY98" s="8">
        <v>0</v>
      </c>
      <c r="OZ98" s="207">
        <v>0</v>
      </c>
      <c r="PA98" s="207">
        <f>IF(OR(HeaterBoiler1!$E$26&lt;&gt;"fuel gas",HeaterBoiler1!$E$15&lt;&gt;"heater"),0,(SUMIF(HeaterBoiler1!$A$54:$D$63,$FG98,HeaterBoiler1!$J$54:$J$63))*(2000/8760))*IFERROR($QV$19,0)</f>
        <v>0</v>
      </c>
      <c r="PB98" s="207">
        <f>IF(OR(HeaterBoiler2!$E$26&lt;&gt;"fuel gas",HeaterBoiler2!$E$15&lt;&gt;"heater"),0,(SUMIF(HeaterBoiler2!$A$54:$D$63,$FG98,HeaterBoiler2!$J$54:$J$63))*(2000/8760))*IFERROR($QV$21,0)</f>
        <v>0</v>
      </c>
      <c r="PC98" s="207">
        <f>IF(OR(HeaterBoiler1!$E$26&lt;&gt;"fuel gas",HeaterBoiler1!$E$15&lt;&gt;"boiler"),0,(SUMIF(HeaterBoiler1!$A$54:$D$63,$FG98,HeaterBoiler1!$J$54:$J$63))*(2000/8760))*IFERROR($QV$20,0)</f>
        <v>0</v>
      </c>
      <c r="PD98" s="207">
        <f>IF(OR(HeaterBoiler2!$E$26&lt;&gt;"fuel gas",HeaterBoiler2!$E$15&lt;&gt;"boiler"),0,(SUMIF(HeaterBoiler2!$A$54:$D$63,$FG98,HeaterBoiler2!$J$54:$J$63))*(2000/8760))*IFERROR($QV$22,0)</f>
        <v>0</v>
      </c>
      <c r="PE98" s="8">
        <f>(SUMIF(Fug!$A$96:$A$205,$FG98,Fug!$J$96:$J$205))*IFERROR($QV$23,0)*(2000/8760)</f>
        <v>0</v>
      </c>
      <c r="PF98" s="8">
        <f t="shared" si="53"/>
        <v>0</v>
      </c>
      <c r="PG98" s="156">
        <f t="shared" si="54"/>
        <v>0</v>
      </c>
      <c r="QX98" s="89" t="s">
        <v>9314</v>
      </c>
      <c r="QY98">
        <v>710.3</v>
      </c>
      <c r="QZ98">
        <v>604.79999999999995</v>
      </c>
      <c r="RA98">
        <v>440.2</v>
      </c>
      <c r="RB98">
        <v>252.9</v>
      </c>
      <c r="RC98">
        <v>167.1</v>
      </c>
      <c r="RD98">
        <v>141.80000000000001</v>
      </c>
      <c r="RE98">
        <v>125.3</v>
      </c>
      <c r="RF98">
        <v>90.59</v>
      </c>
      <c r="RG98" s="90">
        <v>74.25</v>
      </c>
      <c r="RH98" s="89" t="s">
        <v>9314</v>
      </c>
      <c r="RI98">
        <v>596.29999999999995</v>
      </c>
      <c r="RJ98">
        <v>325.2</v>
      </c>
      <c r="RK98">
        <v>231.2</v>
      </c>
      <c r="RL98">
        <v>155.1</v>
      </c>
      <c r="RM98">
        <v>128.5</v>
      </c>
      <c r="RN98">
        <v>115.3</v>
      </c>
      <c r="RO98">
        <v>103.8</v>
      </c>
      <c r="RP98">
        <v>82.06</v>
      </c>
      <c r="RQ98" s="90">
        <v>67.400000000000006</v>
      </c>
      <c r="RR98" s="89" t="s">
        <v>9314</v>
      </c>
      <c r="RS98">
        <v>511</v>
      </c>
      <c r="RT98">
        <v>278.60000000000002</v>
      </c>
      <c r="RU98">
        <v>174.6</v>
      </c>
      <c r="RV98">
        <v>125.7</v>
      </c>
      <c r="RW98">
        <v>105.6</v>
      </c>
      <c r="RX98">
        <v>92.96</v>
      </c>
      <c r="RY98">
        <v>82.4</v>
      </c>
      <c r="RZ98">
        <v>62.01</v>
      </c>
      <c r="SA98" s="90">
        <v>47.96</v>
      </c>
      <c r="SB98" s="89" t="s">
        <v>9314</v>
      </c>
      <c r="SC98">
        <v>246.7</v>
      </c>
      <c r="SD98">
        <v>135.4</v>
      </c>
      <c r="SE98">
        <v>85.59</v>
      </c>
      <c r="SF98">
        <v>62.25</v>
      </c>
      <c r="SG98">
        <v>50.08</v>
      </c>
      <c r="SH98">
        <v>42.44</v>
      </c>
      <c r="SI98">
        <v>36.78</v>
      </c>
      <c r="SJ98">
        <v>26.88</v>
      </c>
      <c r="SK98" s="90">
        <v>20.53</v>
      </c>
      <c r="SL98" s="89" t="s">
        <v>9314</v>
      </c>
      <c r="SM98">
        <v>58.63</v>
      </c>
      <c r="SN98">
        <v>32.049999999999997</v>
      </c>
      <c r="SO98">
        <v>20.83</v>
      </c>
      <c r="SP98">
        <v>15.49</v>
      </c>
      <c r="SQ98">
        <v>12.13</v>
      </c>
      <c r="SR98">
        <v>9.5</v>
      </c>
      <c r="SS98">
        <v>7.71</v>
      </c>
      <c r="ST98">
        <v>4.75</v>
      </c>
      <c r="SU98" s="90">
        <v>3.21</v>
      </c>
    </row>
    <row r="99" spans="23:515" ht="74.25" customHeight="1" x14ac:dyDescent="0.2">
      <c r="W99">
        <f>IF(OR(X99=0,ISNUMBER(MATCH(X99,$X$1:X98,0))),0,MAX($W$1:W98)+1)</f>
        <v>0</v>
      </c>
      <c r="X99" s="123">
        <f>Products!$E146</f>
        <v>0</v>
      </c>
      <c r="Y99" t="str">
        <f t="shared" si="55"/>
        <v/>
      </c>
      <c r="CA99">
        <f>IF(OR(CB99=0,ISNUMBER(MATCH(CB99,$CB$1:CB98,0))),0,MAX($CA$1:CA98)+1)</f>
        <v>0</v>
      </c>
      <c r="CB99" s="8">
        <f>IF(OR(Tank1!$D$18="EXTERNAL FLOATING ROOF",Tank1!$D$18="INTERNAL FLOATING ROOF"),IF(Tank1!$E129="",0,Tank1!$E129),0)</f>
        <v>0</v>
      </c>
      <c r="CC99" s="8" t="str">
        <f t="shared" si="43"/>
        <v/>
      </c>
      <c r="CD99" s="8"/>
      <c r="CE99" s="8">
        <f>IF(OR(CF99=0,ISNUMBER(MATCH(CF99,$CF$1:CF98,0))),0,MAX($CE$1:CE98)+1)</f>
        <v>0</v>
      </c>
      <c r="CF99" s="8">
        <f>IF(OR(Tank1!$D$18="HORIZONTAL FIXED ROOF",Tank1!$D$18="VERTICAL FIXED ROOF"),IF(Tank1!$E129="",0,Tank1!$E129),0)</f>
        <v>0</v>
      </c>
      <c r="CG99" s="8" t="str">
        <f t="shared" si="44"/>
        <v/>
      </c>
      <c r="DM99">
        <f>IF(OR(DN99=0,ISNUMBER(MATCH(DN99,$DN$1:DN98,0))),0,MAX($DM$1:DM98)+1)</f>
        <v>0</v>
      </c>
      <c r="DN99">
        <f>IF('Load-MarineShip'!$F$19="Flare",IFERROR(VLOOKUP(Products!$A$129,'Load-MarineShip'!$A$27:$B$136,1,FALSE),0),0)</f>
        <v>0</v>
      </c>
      <c r="DO99">
        <f>IF($DN99=0,0,VLOOKUP($DN99,'Load-MarineShip'!$A$27:$N$136,13,FALSE))</f>
        <v>0</v>
      </c>
      <c r="DP99">
        <f>IF($DN99=0,0,VLOOKUP($DN99,'Load-MarineShip'!$A$27:$N$136,14,FALSE))</f>
        <v>0</v>
      </c>
      <c r="DU99">
        <f>IF(OR(DV99=0,ISNUMBER(MATCH(DV99,$DV$1:DV98,0))),0,MAX($DU$1:DU98)+1)</f>
        <v>0</v>
      </c>
      <c r="DV99">
        <f>IF('Load-MarineShip'!$F$19="VCU",IFERROR(VLOOKUP(Products!$A$129,'Load-MarineShip'!$A$27:$B$136,1,FALSE),0),0)</f>
        <v>0</v>
      </c>
      <c r="DW99">
        <f>IF($DV99=0,0,VLOOKUP($DV99,'Load-MarineShip'!$A$27:$N$136,13,FALSE))</f>
        <v>0</v>
      </c>
      <c r="DX99">
        <f>IF($DV99=0,0,VLOOKUP($DV99,'Load-MarineShip'!$A$27:$N$136,14,FALSE))</f>
        <v>0</v>
      </c>
      <c r="EC99">
        <f>IF(OR(ED99=0,ISNUMBER(MATCH(ED99,$ED$1:ED98,0))),0,MAX($EC$1:EC98)+1)</f>
        <v>0</v>
      </c>
      <c r="ED99">
        <f>IF('Load-MarineShip'!$F$19="vapor oxidizer",IFERROR(VLOOKUP(Products!$A$129,'Load-MarineShip'!$A$27:$B$136,1,FALSE),0),0)</f>
        <v>0</v>
      </c>
      <c r="EE99">
        <f>IF($ED99=0,0,VLOOKUP($ED99,'Load-MarineShip'!$A$27:$N$136,13,FALSE))</f>
        <v>0</v>
      </c>
      <c r="EF99">
        <f>IF($ED99=0,0,VLOOKUP($ED99,'Load-MarineShip'!$A$27:$N$136,14,FALSE))</f>
        <v>0</v>
      </c>
      <c r="EK99">
        <f>IF(OR(EL99=0,ISNUMBER(MATCH(EL99,$EL$1:EL98,0))),0,MAX($EK$1:EK98)+1)</f>
        <v>0</v>
      </c>
      <c r="EL99">
        <f>IF('Load-MarineShip'!$F$19="CAS",IFERROR(VLOOKUP(Products!A129,'Load-MarineShip'!$A$27:$B$136,1,FALSE),0),0)</f>
        <v>0</v>
      </c>
      <c r="EM99">
        <f>IF($EL99=0,0,VLOOKUP($EL99,'Load-MarineShip'!$A$27:$N$136,13,FALSE))</f>
        <v>0</v>
      </c>
      <c r="EN99">
        <f>IF($EL99=0,0,VLOOKUP($EL99,'Load-MarineShip'!$A$27:$N$136,14,FALSE))</f>
        <v>0</v>
      </c>
      <c r="FB99" s="8" t="s">
        <v>538</v>
      </c>
      <c r="FC99" s="8" t="s">
        <v>539</v>
      </c>
      <c r="FD99" s="8">
        <v>14</v>
      </c>
      <c r="FE99" s="8">
        <v>1.4</v>
      </c>
      <c r="FG99" s="360" t="str">
        <f t="shared" si="45"/>
        <v/>
      </c>
      <c r="FH99" s="155">
        <f>IF(Tank1!$D$22="NO CONTROL",_xlfn.MAXIFS(Tank1!$G$32:$G$141,Tank1!$E$32:$E$141,$FG99),0)*IFERROR($QR$3,0)</f>
        <v>0</v>
      </c>
      <c r="FI99" s="155">
        <f>_xlfn.MAXIFS(LandEmiss!$AF$20:$AF$119,LandEmiss!$AE$20:$AE$119,$FG99)*IFERROR($QR$3,0)</f>
        <v>0</v>
      </c>
      <c r="FJ99" s="155">
        <f>MAX(_xlfn.MAXIFS(LandEmiss!$CO$20:$CO$119,LandEmiss!$CN$20:$CN$119,$FG99),_xlfn.MAXIFS(LandEmiss!$EZ$9:$EZ$108,LandEmiss!$EY$9:$EY$108,$FG99))*IFERROR($QR$3,0)</f>
        <v>0</v>
      </c>
      <c r="FK99" s="155">
        <f>IF(Tank2!$D$22="NO CONTROL",_xlfn.MAXIFS(Tank2!$G$32:$G$141,Tank2!$E$32:$E$141,$FG99),0)*IFERROR($QR$4,0)</f>
        <v>0</v>
      </c>
      <c r="FL99" s="155">
        <f>_xlfn.MAXIFS(LandEmiss!$AG$20:$AG$119,LandEmiss!$AE$20:$AE$119,$FG99)*IFERROR($QR$4,0)</f>
        <v>0</v>
      </c>
      <c r="FM99" s="155">
        <f>MAX(_xlfn.MAXIFS(LandEmiss!$CP$20:$CP$119,LandEmiss!$CN$20:$CN$119,$FG99),_xlfn.MAXIFS(LandEmiss!$FA$9:$FA$108,LandEmiss!$EY$9:$EY$108,$FG99))*IFERROR($QR$4,0)</f>
        <v>0</v>
      </c>
      <c r="FN99" s="155">
        <f>IF(Tank3!$D$22="NO CONTROL",_xlfn.MAXIFS(Tank3!$G$32:$G$141,Tank3!$E$32:$E$141,$FG99),0)*IFERROR($QR$5,0)</f>
        <v>0</v>
      </c>
      <c r="FO99" s="155">
        <f>_xlfn.MAXIFS(LandEmiss!$AH$20:$AH$119,LandEmiss!$AE$20:$AE$119,$FG99)*IFERROR($QR$5,0)</f>
        <v>0</v>
      </c>
      <c r="FP99" s="155">
        <f>MAX(_xlfn.MAXIFS(LandEmiss!$CQ$20:$CQ$119,LandEmiss!$CN$20:$CN$119,$FG99),_xlfn.MAXIFS(LandEmiss!$FB$9:$FB$108,LandEmiss!$EY$9:$EY$108,$FG99))*IFERROR($QR$5,0)</f>
        <v>0</v>
      </c>
      <c r="FQ99" s="155">
        <f>IF(Tank4!$D$22="NO CONTROL",_xlfn.MAXIFS(Tank4!$G$32:$G$141,Tank4!$E$32:$E$141,$FG99),0)*IFERROR($QR$6,0)</f>
        <v>0</v>
      </c>
      <c r="FR99" s="155">
        <f>_xlfn.MAXIFS(LandEmiss!$AI$20:$AI$119,LandEmiss!$AE$20:$AE$119,$FG99)*IFERROR($QR$6,0)</f>
        <v>0</v>
      </c>
      <c r="FS99" s="155">
        <f>MAX(_xlfn.MAXIFS(LandEmiss!$CR$20:$CR$119,LandEmiss!$CN$20:$CN$119,$FG99),_xlfn.MAXIFS(LandEmiss!$FC$9:$FC$108,LandEmiss!$EY$9:$EY$108,$FG99))*IFERROR($QR$6,0)</f>
        <v>0</v>
      </c>
      <c r="FT99" s="155">
        <f>IF(Tank5!$D$22="NO CONTROL",_xlfn.MAXIFS(Tank5!$G$32:$G$141,Tank5!$E$32:$E$141,$FG99),0)*IFERROR($QR$7,0)</f>
        <v>0</v>
      </c>
      <c r="FU99" s="155">
        <f>_xlfn.MAXIFS(LandEmiss!$AJ$20:$AJ$119,LandEmiss!$AE$20:$AE$119,$FG99)*IFERROR($QR$7,0)</f>
        <v>0</v>
      </c>
      <c r="FV99" s="155">
        <f>MAX(_xlfn.MAXIFS(LandEmiss!$CS$20:$CS$119,LandEmiss!$CN$20:$CN$119,$FG99),_xlfn.MAXIFS(LandEmiss!$FD$9:$FD$108,LandEmiss!$EY$9:$EY$108,$FG99))*IFERROR($QR104,0)</f>
        <v>0</v>
      </c>
      <c r="FW99" s="155">
        <f>_xlfn.MAXIFS('Load-DrumTote'!$K$27:$K$136,'Load-DrumTote'!$F$27:$F$136,$FG99)*IFERROR($QR$8,0)</f>
        <v>0</v>
      </c>
      <c r="FX99" s="155">
        <f>_xlfn.MAXIFS('Load-Truck'!$K$27:$K$136,'Load-Truck'!$F$27:$F$136,$FG99)*IFERROR($QR$9,0)</f>
        <v>0</v>
      </c>
      <c r="FY99" s="155">
        <f>_xlfn.MAXIFS('Load-Rail'!$K$27:$K$136,'Load-Rail'!$F$27:$F$136,$FG99)*IFERROR($QR$10,0)</f>
        <v>0</v>
      </c>
      <c r="FZ99" s="155">
        <f>_xlfn.MAXIFS('Load-MarineBarge'!$K$27:$K$136,'Load-MarineBarge'!$F$27:$F$136,$FG99)*IFERROR($QR$11,0)</f>
        <v>0</v>
      </c>
      <c r="GA99" s="155">
        <f>_xlfn.MAXIFS('Load-MarineShip'!$K$27:$K$136,'Load-MarineShip'!$F$27:$F$136,$FG99)*IFERROR($QR$12,0)</f>
        <v>0</v>
      </c>
      <c r="GB99" s="313">
        <f>IF(OR(Flare!$D$24="fuel gas",Flare!$D$38="fuel gas"),SUMIF(Flare!$E$97:$E$106,$FG99,Flare!$F$97:$F$106),0)*IFERROR($QR$13,0)</f>
        <v>0</v>
      </c>
      <c r="GC99" s="313">
        <f>(_xlfn.MAXIFS(CtrlDevImpacts!$I$57:$I$156,CtrlDevImpacts!$H$57:$H$156,$FG99))*IFERROR($QR$13,0)</f>
        <v>0</v>
      </c>
      <c r="GD99" s="313">
        <f>(_xlfn.MAXIFS(Flare!$F$107:$F$216,Flare!$E$107:$E$216,$FG99)-_xlfn.MAXIFS(CtrlDevImpacts!$I$57:$I$156,CtrlDevImpacts!$H$57:$H$156,$FG99))*IFERROR($QR$13,0)</f>
        <v>0</v>
      </c>
      <c r="GE99" s="155">
        <f>_xlfn.MAXIFS(LandEmiss!$B$335:$B$434,LandEmiss!$A$335:$A$434,$FG99)*IFERROR($QR$13,0)</f>
        <v>0</v>
      </c>
      <c r="GF99" s="155">
        <f>(_xlfn.MAXIFS(LandEmiss!$BK$335:$BK$434,LandEmiss!$BJ$335:$BJ$434,$FG99)+_xlfn.MAXIFS(LandEmiss!$DV$323:$DV$422,LandEmiss!$DU$323:$DU$422,$FG99))*IFERROR($QR$13,0)</f>
        <v>0</v>
      </c>
      <c r="GG99" s="313">
        <f>IF(OR(VCU!$D$26="fuel gas",VCU!$D$42="fuel gas"),SUMIF(VCU!$E$120:$E$129,$FG99,VCU!$F$120:$F$129),0)*IFERROR($QR$14,0)</f>
        <v>0</v>
      </c>
      <c r="GH99" s="313">
        <f>(_xlfn.MAXIFS(CtrlDevImpacts!$X$57:$X$156,CtrlDevImpacts!$W$57:$W$156,$FG99))*IFERROR($QR$14,0)</f>
        <v>0</v>
      </c>
      <c r="GI99" s="313">
        <f>(_xlfn.MAXIFS(VCU!$F$130:$F$239,VCU!$E$130:$E$239,$FG99)-_xlfn.MAXIFS(CtrlDevImpacts!$X$57:$X$156,CtrlDevImpacts!$W$57:$W$156,$FG99))*IFERROR($QR$14,0)</f>
        <v>0</v>
      </c>
      <c r="GJ99" s="155">
        <f>_xlfn.MAXIFS(LandEmiss!$D$335:$D$434,LandEmiss!$A$335:$A$434,$FG99)*IFERROR($QR$14,0)</f>
        <v>0</v>
      </c>
      <c r="GK99" s="155">
        <f>(_xlfn.MAXIFS(LandEmiss!$BM$335:$BM$434,LandEmiss!$BJ$335:$BJ$434,$FG99)+_xlfn.MAXIFS(LandEmiss!$DX$323:$DX$422,LandEmiss!$DU$323:$DU$422,$FG99))*IFERROR($QR$14,0)</f>
        <v>0</v>
      </c>
      <c r="GL99" s="313">
        <f>IF(VaporOxidizer!D130="FUEL GAS",SUMIF(VaporOxidizer!$E$101:$E$110,$FG99,VaporOxidizer!$F$101:$F$110),0)*IFERROR($QR$15,0)</f>
        <v>0</v>
      </c>
      <c r="GM99" s="313">
        <f>(_xlfn.MAXIFS(CtrlDevImpacts!$AN$57:$AN$156,CtrlDevImpacts!$AM$57:$AM$156,$FG99))*IFERROR($QR$15,0)</f>
        <v>0</v>
      </c>
      <c r="GN99" s="313">
        <f>(_xlfn.MAXIFS(VaporOxidizer!$F$111:$F$220,VaporOxidizer!$E$111:$E$220,$FG99)-_xlfn.MAXIFS(CtrlDevImpacts!$AN$57:$AN$156,CtrlDevImpacts!$AM$57:$AM$156,$FG99))*IFERROR($QR$15,0)</f>
        <v>0</v>
      </c>
      <c r="GO99" s="155">
        <f>_xlfn.MAXIFS(LandEmiss!$F$335:$F$434,LandEmiss!$A$335:$A$434,$FG99)*IFERROR($QR$15,0)</f>
        <v>0</v>
      </c>
      <c r="GP99" s="155">
        <f>(_xlfn.MAXIFS(LandEmiss!$BK$335:$BK$434,LandEmiss!$BO$335:$BO$434,$FG99)+_xlfn.MAXIFS(LandEmiss!$DZ$323:$DZ$422,LandEmiss!$DU$323:$DU$422,$FG99))*IFERROR($QR$15,0)</f>
        <v>0</v>
      </c>
      <c r="GQ99" s="313">
        <f>_xlfn.MAXIFS(CtrlDevImpacts!$BD$57:$BD$156,CtrlDevImpacts!$BC$57:$BC$156,$FG99)*IFERROR(Hidden!$QR$16,0)</f>
        <v>0</v>
      </c>
      <c r="GR99" s="313">
        <f>(_xlfn.MAXIFS(CAS!$H$35:$H$144,CAS!$E$35:$E$144,$FG99)-_xlfn.MAXIFS(CtrlDevImpacts!$BD$57:$BD$156,CtrlDevImpacts!$BC$57:$BC$156,$FG99))*IFERROR(Hidden!$QR$16,0)</f>
        <v>0</v>
      </c>
      <c r="GS99" s="155">
        <f>_xlfn.MAXIFS(LandEmiss!$H$335:$H$434,LandEmiss!$A$335:$A$434,$FG99)*IFERROR($QR$27,0)</f>
        <v>0</v>
      </c>
      <c r="GT99" s="155">
        <f>(_xlfn.MAXIFS(LandEmiss!$BK$335:$BK$434,LandEmiss!$BQ$335:$BQ$434,$FG99)+_xlfn.MAXIFS(LandEmiss!$EB$323:$EB$422,LandEmiss!$DU$323:$DU$422,$FG99))*IFERROR($QR$27,0)</f>
        <v>0</v>
      </c>
      <c r="GU99" s="155">
        <f>_xlfn.MAXIFS(LandEmiss!$J$335:$J$434,LandEmiss!$A$335:$A$434,$FG99)*IFERROR($QR$26,0)</f>
        <v>0</v>
      </c>
      <c r="GV99" s="155">
        <f>(_xlfn.MAXIFS(LandEmiss!$BK$335:$BK$434,LandEmiss!$BS$335:$BS$434,$FG99)+_xlfn.MAXIFS(LandEmiss!$ED$323:$ED$422,LandEmiss!$DU$323:$DU$422,$FG99))*IFERROR($QR$26,0)</f>
        <v>0</v>
      </c>
      <c r="GW99" s="155">
        <f>_xlfn.MAXIFS(LandEmiss!$L$335:$L$434,LandEmiss!$A$335:$A$434,$FG99)*IFERROR($QR$25,0)</f>
        <v>0</v>
      </c>
      <c r="GX99" s="155">
        <f>(_xlfn.MAXIFS(LandEmiss!$BK$335:$BK$434,LandEmiss!$BU$335:$BU$434,$FG99)+_xlfn.MAXIFS(LandEmiss!$EF$323:$EF$422,LandEmiss!$DU$323:$DU$422,$FG99))*IFERROR($QR$25,0)</f>
        <v>0</v>
      </c>
      <c r="GY99" s="155">
        <v>0</v>
      </c>
      <c r="GZ99" s="155">
        <v>0</v>
      </c>
      <c r="HA99" s="155">
        <f>IF(OR(HeaterBoiler1!$E$26&lt;&gt;"fuel gas",HeaterBoiler1!$E$15&lt;&gt;"heater"),0,SUMIF(HeaterBoiler1!$A$54:$D$63,$FG99,HeaterBoiler1!$I$54:$I$63))*IFERROR($QR$19,0)</f>
        <v>0</v>
      </c>
      <c r="HB99" s="207">
        <f>IF(OR(HeaterBoiler2!$E$26&lt;&gt;"fuel gas",HeaterBoiler2!$E$15&lt;&gt;"heater"),0,SUMIF(HeaterBoiler2!$A$54:$D$63,$FG99,HeaterBoiler2!$I$54:$I$63))*IFERROR($QR$21,0)</f>
        <v>0</v>
      </c>
      <c r="HC99" s="155">
        <f>IF(OR(HeaterBoiler1!$E$26&lt;&gt;"fuel gas",HeaterBoiler1!$E$15&lt;&gt;"boiler"),0,SUMIF(HeaterBoiler1!$A$41:$A$50,$FG99,HeaterBoiler1!$F$41:$F$50))*IFERROR($QR$20,0)</f>
        <v>0</v>
      </c>
      <c r="HD99" s="207">
        <f>IF(OR(HeaterBoiler2!$E$26&lt;&gt;"fuel gas",HeaterBoiler2!$E$15&lt;&gt;"boiler"),0,SUMIF(HeaterBoiler2!$A$41:$A$50,$FG99,HeaterBoiler2!$F$41:$F$50))*IFERROR($QR$22,0)</f>
        <v>0</v>
      </c>
      <c r="HE99" s="155">
        <f>SUMIF(Fug!$A$96:$A$205,$FG99,Fug!$I$96:$I$205)*IFERROR(Hidden!$QR$23,0)</f>
        <v>0</v>
      </c>
      <c r="HF99" s="155">
        <f t="shared" si="46"/>
        <v>0</v>
      </c>
      <c r="HG99" s="156">
        <f t="shared" si="47"/>
        <v>0</v>
      </c>
      <c r="HH99" s="156">
        <f t="shared" si="48"/>
        <v>0</v>
      </c>
      <c r="HI99" s="156">
        <f t="shared" si="49"/>
        <v>0</v>
      </c>
      <c r="HJ99" s="156">
        <f t="shared" si="50"/>
        <v>0</v>
      </c>
      <c r="HK99" s="156">
        <f t="shared" si="51"/>
        <v>0</v>
      </c>
      <c r="HL99" s="156">
        <f t="shared" si="52"/>
        <v>0</v>
      </c>
      <c r="NO99" s="155">
        <f>IF(Tank1!$D$22="No control",(SUMIF(Tank1!$E$32:$E$141,$FG99,Tank1!$H$32:$H$141)*(2000/8760)*IFERROR($QV$3,0)),0)</f>
        <v>0</v>
      </c>
      <c r="NP99" s="156">
        <f>SUMIF(LandEmiss!$AE$20:$AE$119,$FG99,LandEmiss!$AK$20:$AK$119)*(2000/8760)*IFERROR($QV$3,0)</f>
        <v>0</v>
      </c>
      <c r="NQ99" s="156">
        <f>(SUMIF(LandEmiss!$CN$20:$CN$119,$FG99,LandEmiss!$CT$20:$CT$119)+SUMIF(LandEmiss!$EY$9:$EY$108,$FG99,LandEmiss!$FE$9:$FE$108))*IFERROR($QV$3,0)*(2000/8760)</f>
        <v>0</v>
      </c>
      <c r="NR99" s="155">
        <f>IF(Tank2!$D$22="No control",(SUMIF(Tank2!$E$32:$E$141,$FG99,Tank2!$H$32:$H$141)*(2000/8760)*IFERROR($QV$4,0)),0)</f>
        <v>0</v>
      </c>
      <c r="NS99" s="156">
        <f>SUMIF(LandEmiss!$AE$20:$AE$119,$FG99,LandEmiss!$AL$20:$AL$119)*(2000/8760)*IFERROR($QV$4,0)</f>
        <v>0</v>
      </c>
      <c r="NT99" s="156">
        <f>(SUMIF(LandEmiss!$CN$20:$CN$119,$FG99,LandEmiss!$CU$20:$CU$119)+SUMIF(LandEmiss!$EY$9:$EY$108,$FG99,LandEmiss!$FF$9:$FF$108))*IFERROR($QV$4,0)*(2000/8760)</f>
        <v>0</v>
      </c>
      <c r="NU99" s="155">
        <f>IF(Tank3!$D$22="No control",(SUMIF(Tank3!$E$32:$E$141,$FG99,Tank3!$H$32:$H$141)*(2000/8760)*IFERROR($QV$5,0)),0)</f>
        <v>0</v>
      </c>
      <c r="NV99" s="156">
        <f>SUMIF(LandEmiss!$AE$20:$AE$119,$FG99,LandEmiss!$AM$20:$AM$119)*(2000/8760)*IFERROR($QV$5,0)</f>
        <v>0</v>
      </c>
      <c r="NW99" s="156">
        <f>(SUMIF(LandEmiss!$CN$20:$CN$119,$FG99,LandEmiss!$CV$20:$CV$119)+SUMIF(LandEmiss!$EY$9:$EY$108,$FG99,LandEmiss!$FG$9:$FG$108))*IFERROR($QV$5,0)*(2000/8760)</f>
        <v>0</v>
      </c>
      <c r="NX99" s="155">
        <f>IF(Tank4!$D$22="No control",(SUMIF(Tank4!$E$32:$E$141,$FG99,Tank4!$H$32:$H$141)*(2000/8760)*IFERROR($QV$6,0)),0)</f>
        <v>0</v>
      </c>
      <c r="NY99" s="156">
        <f>SUMIF(LandEmiss!$AE$20:$AE$119,$FG99,LandEmiss!$AN$20:$AN$119)*(2000/8760)*IFERROR($QV$6,0)</f>
        <v>0</v>
      </c>
      <c r="NZ99" s="156">
        <f>(SUMIF(LandEmiss!$CN$20:$CN$119,$FG99,LandEmiss!$CW$20:$CW$119)+SUMIF(LandEmiss!$EY$9:$EY$108,$FG99,LandEmiss!$FH$9:$FH$108))*IFERROR($QV$6,0)*(2000/8760)</f>
        <v>0</v>
      </c>
      <c r="OA99" s="155">
        <f>IF(Tank5!$D$22="No control",(SUMIF(Tank5!$E$32:$E$141,$FG99,Tank5!$H$32:$H$141)*(2000/8760)*IFERROR($QV$7,0)),0)</f>
        <v>0</v>
      </c>
      <c r="OB99" s="156">
        <f>SUMIF(LandEmiss!$AE$20:$AE$119,$FG99,LandEmiss!$AO$20:$AO$119)*(2000/8760)*IFERROR($QV$7,0)</f>
        <v>0</v>
      </c>
      <c r="OC99" s="156">
        <f>(SUMIF(LandEmiss!$CN$20:$CN$119,$FG99,LandEmiss!$CX$20:$CX$119)+SUMIF(LandEmiss!$EY$9:$EY$108,$FG99,LandEmiss!$FI$9:$FI$108))*IFERROR($QV$7,0)*(2000/8760)</f>
        <v>0</v>
      </c>
      <c r="OD99" s="155">
        <f>SUMIFS('Load-DrumTote'!$L$27:$L$136,'Load-DrumTote'!$F$27:$F$136,$FG99)*IFERROR($QV$8,0)*(2000/8760)</f>
        <v>0</v>
      </c>
      <c r="OE99" s="155">
        <f>SUMIFS('Load-Truck'!$L$27:$L$136,'Load-Truck'!$F$27:$F$136,$FG99)*IFERROR($QV$9,0)*(2000/8760)</f>
        <v>0</v>
      </c>
      <c r="OF99" s="155">
        <f>SUMIFS('Load-Rail'!$L$27:$L$136,'Load-Rail'!$F$27:$F$136,$FG99)*IFERROR($QV$10,0)*(2000/8760)</f>
        <v>0</v>
      </c>
      <c r="OG99" s="155">
        <f>SUMIFS('Load-MarineBarge'!$L$27:$L$136,'Load-MarineBarge'!$F$27:$F$136,$FG99)*IFERROR($QV$11,0)*(2000/8760)</f>
        <v>0</v>
      </c>
      <c r="OH99" s="155">
        <f>SUMIFS('Load-MarineShip'!$L$27:$L$136,'Load-MarineShip'!$F$27:$F$136,$FG99)*IFERROR($QV$12,0)*(2000/8760)</f>
        <v>0</v>
      </c>
      <c r="OI99" s="155">
        <f>(IF(OR(Flare!$D$24="FUEL GAS",Flare!$D$38="FUEL GAS"),SUMIF(Flare!$E$97:$E$106,$FG99,Flare!$G$97:$G$105),0)+SUMIF(Flare!$E$107:$E$216,$FG99,Flare!$G$107:$G$216))*(2000/8730)*IFERROR($QV$13,0)</f>
        <v>0</v>
      </c>
      <c r="OJ99" s="155">
        <f>SUMIF(LandEmiss!$A$335:$A$434,$FG99,LandEmiss!$C$335:$C$434)*(2000/8760)*IFERROR($QV$13,0)</f>
        <v>0</v>
      </c>
      <c r="OK99" s="155">
        <f>(SUMIF(LandEmiss!$BJ$335:$BJ$434,$FG99,LandEmiss!$BL$335:$BL$434)+SUMIF(LandEmiss!$DU$323:$DU$422,$FG99,LandEmiss!$DW$323:$DW$422))*(2000/8760)*IFERROR($QV$13,0)</f>
        <v>0</v>
      </c>
      <c r="OL99" s="155">
        <f>(IF(OR(VCU!$D$26="FUEL GAS",VCU!$D$42="FUEL GAS"),SUMIF(VCU!$E$120:$E$129,$FG99,VCU!$G$120:$G$129),0)+SUMIF(VCU!$E$130:$E$239,$FG99,VCU!G227:G336))*(2000/8760)*IFERROR($QV$14,0)</f>
        <v>0</v>
      </c>
      <c r="OM99" s="155">
        <f>SUMIF(LandEmiss!$A$335:$A$434,$FG99,LandEmiss!$E$335:$E$434)*(2000/8760)*IFERROR($QV$14,0)</f>
        <v>0</v>
      </c>
      <c r="ON99" s="155">
        <f>(SUMIF(LandEmiss!$BJ$335:$BJ$434,$FG99,LandEmiss!$BN$335:$BN$434)+SUMIF(LandEmiss!$DU$323:$DU$422,$FG99,LandEmiss!$DY$323:$DY$422))*(2000/8760)*IFERROR($QV$14,0)</f>
        <v>0</v>
      </c>
      <c r="OO99" s="155">
        <f>(IF(VaporOxidizer!$D$33="FUEL GAS",SUMIF(VaporOxidizer!$E$101:$E$110,$FG99,VaporOxidizer!$G$101:$G$110),0)+SUMIF(VaporOxidizer!$E$111:$E$220,$FG99,VaporOxidizer!$G$111:$G$220))*(2000/8760)*IFERROR($QV$15,0)</f>
        <v>0</v>
      </c>
      <c r="OP99" s="155">
        <f>SUMIF(LandEmiss!$A$335:$A$434,$FG99,LandEmiss!$G$335:$G$434)*(2000/8760)*IFERROR($QV$15,0)</f>
        <v>0</v>
      </c>
      <c r="OQ99" s="155">
        <f>(SUMIF(LandEmiss!$BJ$335:$BJ$434,$FG99,LandEmiss!$BP$335:$BP$434)+SUMIF(LandEmiss!$DU$323:$DU$422,$FG99,LandEmiss!$EA$323:$EA$422))*(2000/8760)*IFERROR($QV$15,0)</f>
        <v>0</v>
      </c>
      <c r="OR99" s="155">
        <f>SUMIF(CAS!$E$35:$E$144,Hidden!$FG99,CAS!$I$35:$I$144)*IFERROR($QV$16,0)*(2000/8760)</f>
        <v>0</v>
      </c>
      <c r="OS99" s="155">
        <f>SUMIF(LandEmiss!$A$335:$A$434,$FG99,LandEmiss!$I$335:$I$434)*(2000/8760)*IFERROR($QV$27,0)</f>
        <v>0</v>
      </c>
      <c r="OT99" s="155">
        <f>(SUMIF(LandEmiss!$BJ$335:$BJ$434,$FG99,LandEmiss!$BR$335:$BR$434)+SUMIF(LandEmiss!$DU$323:$DU$422,$FG99,LandEmiss!$EC$323:$EC$422))*(2000/8760)*IFERROR($QV$27,0)</f>
        <v>0</v>
      </c>
      <c r="OU99" s="155">
        <f>SUMIF(LandEmiss!$A$335:$A$434,$FG99,LandEmiss!$K$335:$K$434)*(2000/8760)*IFERROR($QV$26,0)</f>
        <v>0</v>
      </c>
      <c r="OV99" s="155">
        <f>(SUMIF(LandEmiss!$BJ$335:$BJ$434,$FG99,LandEmiss!$BT$335:$BT$434)+SUMIF(LandEmiss!$DU$323:$DU$422,$FG99,LandEmiss!$EE$323:$EE$422))*(2000/8760)*IFERROR($QV$26,0)</f>
        <v>0</v>
      </c>
      <c r="OW99" s="155">
        <f>SUMIF(LandEmiss!$A$335:$A$434,$FG99,LandEmiss!$M$335:$M$434)*(2000/8760)*IFERROR($QV$25,0)</f>
        <v>0</v>
      </c>
      <c r="OX99" s="155">
        <f>(SUMIF(LandEmiss!$BJ$335:$BJ$434,$FG99,LandEmiss!$BV$335:$BV$434)+SUMIF(LandEmiss!$DU$323:$DU$422,$FG99,LandEmiss!$EG$323:$EG$422))*(2000/8760)*IFERROR($QV$25,0)</f>
        <v>0</v>
      </c>
      <c r="OY99" s="8">
        <v>0</v>
      </c>
      <c r="OZ99" s="207">
        <v>0</v>
      </c>
      <c r="PA99" s="207">
        <f>IF(OR(HeaterBoiler1!$E$26&lt;&gt;"fuel gas",HeaterBoiler1!$E$15&lt;&gt;"heater"),0,(SUMIF(HeaterBoiler1!$A$54:$D$63,$FG99,HeaterBoiler1!$J$54:$J$63))*(2000/8760))*IFERROR($QV$19,0)</f>
        <v>0</v>
      </c>
      <c r="PB99" s="207">
        <f>IF(OR(HeaterBoiler2!$E$26&lt;&gt;"fuel gas",HeaterBoiler2!$E$15&lt;&gt;"heater"),0,(SUMIF(HeaterBoiler2!$A$54:$D$63,$FG99,HeaterBoiler2!$J$54:$J$63))*(2000/8760))*IFERROR($QV$21,0)</f>
        <v>0</v>
      </c>
      <c r="PC99" s="207">
        <f>IF(OR(HeaterBoiler1!$E$26&lt;&gt;"fuel gas",HeaterBoiler1!$E$15&lt;&gt;"boiler"),0,(SUMIF(HeaterBoiler1!$A$54:$D$63,$FG99,HeaterBoiler1!$J$54:$J$63))*(2000/8760))*IFERROR($QV$20,0)</f>
        <v>0</v>
      </c>
      <c r="PD99" s="207">
        <f>IF(OR(HeaterBoiler2!$E$26&lt;&gt;"fuel gas",HeaterBoiler2!$E$15&lt;&gt;"boiler"),0,(SUMIF(HeaterBoiler2!$A$54:$D$63,$FG99,HeaterBoiler2!$J$54:$J$63))*(2000/8760))*IFERROR($QV$22,0)</f>
        <v>0</v>
      </c>
      <c r="PE99" s="8">
        <f>(SUMIF(Fug!$A$96:$A$205,$FG99,Fug!$J$96:$J$205))*IFERROR($QV$23,0)*(2000/8760)</f>
        <v>0</v>
      </c>
      <c r="PF99" s="8">
        <f t="shared" si="53"/>
        <v>0</v>
      </c>
      <c r="PG99" s="156">
        <f t="shared" si="54"/>
        <v>0</v>
      </c>
      <c r="QX99" s="89" t="s">
        <v>9315</v>
      </c>
      <c r="QY99">
        <v>559.5</v>
      </c>
      <c r="QZ99">
        <v>454.8</v>
      </c>
      <c r="RA99">
        <v>362</v>
      </c>
      <c r="RB99">
        <v>211</v>
      </c>
      <c r="RC99">
        <v>146.5</v>
      </c>
      <c r="RD99">
        <v>107.4</v>
      </c>
      <c r="RE99">
        <v>98.19</v>
      </c>
      <c r="RF99">
        <v>77.569999999999993</v>
      </c>
      <c r="RG99" s="90">
        <v>62.29</v>
      </c>
      <c r="RH99" s="89" t="s">
        <v>9315</v>
      </c>
      <c r="RI99">
        <v>507.9</v>
      </c>
      <c r="RJ99">
        <v>268.39999999999998</v>
      </c>
      <c r="RK99">
        <v>177.3</v>
      </c>
      <c r="RL99">
        <v>121.9</v>
      </c>
      <c r="RM99">
        <v>94.15</v>
      </c>
      <c r="RN99">
        <v>85.21</v>
      </c>
      <c r="RO99">
        <v>78.790000000000006</v>
      </c>
      <c r="RP99">
        <v>64.08</v>
      </c>
      <c r="RQ99" s="90">
        <v>55.34</v>
      </c>
      <c r="RR99" s="89" t="s">
        <v>9315</v>
      </c>
      <c r="RS99">
        <v>433.5</v>
      </c>
      <c r="RT99">
        <v>230.3</v>
      </c>
      <c r="RU99">
        <v>136.80000000000001</v>
      </c>
      <c r="RV99">
        <v>93.73</v>
      </c>
      <c r="RW99">
        <v>77.2</v>
      </c>
      <c r="RX99">
        <v>67.84</v>
      </c>
      <c r="RY99">
        <v>61.54</v>
      </c>
      <c r="RZ99">
        <v>49.26</v>
      </c>
      <c r="SA99" s="90">
        <v>40.04</v>
      </c>
      <c r="SB99" s="89" t="s">
        <v>9315</v>
      </c>
      <c r="SC99">
        <v>208.8</v>
      </c>
      <c r="SD99">
        <v>111.6</v>
      </c>
      <c r="SE99">
        <v>66.930000000000007</v>
      </c>
      <c r="SF99">
        <v>46.75</v>
      </c>
      <c r="SG99">
        <v>38.409999999999997</v>
      </c>
      <c r="SH99">
        <v>32.17</v>
      </c>
      <c r="SI99">
        <v>28.73</v>
      </c>
      <c r="SJ99">
        <v>21.62</v>
      </c>
      <c r="SK99" s="90">
        <v>17.260000000000002</v>
      </c>
      <c r="SL99" s="89" t="s">
        <v>9315</v>
      </c>
      <c r="SM99">
        <v>48.31</v>
      </c>
      <c r="SN99">
        <v>25.72</v>
      </c>
      <c r="SO99">
        <v>15.82</v>
      </c>
      <c r="SP99">
        <v>11.49</v>
      </c>
      <c r="SQ99">
        <v>9.33</v>
      </c>
      <c r="SR99">
        <v>7.59</v>
      </c>
      <c r="SS99">
        <v>6.33</v>
      </c>
      <c r="ST99">
        <v>4.0999999999999996</v>
      </c>
      <c r="SU99" s="90">
        <v>2.87</v>
      </c>
    </row>
    <row r="100" spans="23:515" ht="74.25" customHeight="1" x14ac:dyDescent="0.2">
      <c r="W100">
        <f>IF(OR(X100=0,ISNUMBER(MATCH(X100,$X$1:X99,0))),0,MAX($W$1:W99)+1)</f>
        <v>0</v>
      </c>
      <c r="X100" s="123">
        <f>Products!$E147</f>
        <v>0</v>
      </c>
      <c r="Y100" t="str">
        <f t="shared" si="55"/>
        <v/>
      </c>
      <c r="CA100">
        <f>IF(OR(CB100=0,ISNUMBER(MATCH(CB100,$CB$1:CB99,0))),0,MAX($CA$1:CA99)+1)</f>
        <v>0</v>
      </c>
      <c r="CB100" s="8">
        <f>IF(OR(Tank1!$D$18="EXTERNAL FLOATING ROOF",Tank1!$D$18="INTERNAL FLOATING ROOF"),IF(Tank1!$E130="",0,Tank1!$E130),0)</f>
        <v>0</v>
      </c>
      <c r="CC100" s="8" t="str">
        <f t="shared" si="43"/>
        <v/>
      </c>
      <c r="CD100" s="8"/>
      <c r="CE100" s="8">
        <f>IF(OR(CF100=0,ISNUMBER(MATCH(CF100,$CF$1:CF99,0))),0,MAX($CE$1:CE99)+1)</f>
        <v>0</v>
      </c>
      <c r="CF100" s="8">
        <f>IF(OR(Tank1!$D$18="HORIZONTAL FIXED ROOF",Tank1!$D$18="VERTICAL FIXED ROOF"),IF(Tank1!$E130="",0,Tank1!$E130),0)</f>
        <v>0</v>
      </c>
      <c r="CG100" s="8" t="str">
        <f t="shared" si="44"/>
        <v/>
      </c>
      <c r="DM100">
        <f>IF(OR(DN100=0,ISNUMBER(MATCH(DN100,$DN$1:DN99,0))),0,MAX($DM$1:DM99)+1)</f>
        <v>0</v>
      </c>
      <c r="DN100">
        <f>IF('Load-MarineShip'!$F$19="Flare",IFERROR(VLOOKUP(Products!$A$139,'Load-MarineShip'!$A$27:$B$136,1,FALSE),0),0)</f>
        <v>0</v>
      </c>
      <c r="DO100">
        <f>IF($DN100=0,0,VLOOKUP($DN100,'Load-MarineShip'!$A$27:$N$136,13,FALSE))</f>
        <v>0</v>
      </c>
      <c r="DP100">
        <f>IF($DN100=0,0,VLOOKUP($DN100,'Load-MarineShip'!$A$27:$N$136,14,FALSE))</f>
        <v>0</v>
      </c>
      <c r="DU100">
        <f>IF(OR(DV100=0,ISNUMBER(MATCH(DV100,$DV$1:DV99,0))),0,MAX($DU$1:DU99)+1)</f>
        <v>0</v>
      </c>
      <c r="DV100">
        <f>IF('Load-MarineShip'!$F$19="VCU",IFERROR(VLOOKUP(Products!$A$139,'Load-MarineShip'!$A$27:$B$136,1,FALSE),0),0)</f>
        <v>0</v>
      </c>
      <c r="DW100">
        <f>IF($DV100=0,0,VLOOKUP($DV100,'Load-MarineShip'!$A$27:$N$136,13,FALSE))</f>
        <v>0</v>
      </c>
      <c r="DX100">
        <f>IF($DV100=0,0,VLOOKUP($DV100,'Load-MarineShip'!$A$27:$N$136,14,FALSE))</f>
        <v>0</v>
      </c>
      <c r="EC100">
        <f>IF(OR(ED100=0,ISNUMBER(MATCH(ED100,$ED$1:ED99,0))),0,MAX($EC$1:EC99)+1)</f>
        <v>0</v>
      </c>
      <c r="ED100">
        <f>IF('Load-MarineShip'!$F$19="vapor oxidizer",IFERROR(VLOOKUP(Products!$A$139,'Load-MarineShip'!$A$27:$B$136,1,FALSE),0),0)</f>
        <v>0</v>
      </c>
      <c r="EE100">
        <f>IF($ED100=0,0,VLOOKUP($ED100,'Load-MarineShip'!$A$27:$N$136,13,FALSE))</f>
        <v>0</v>
      </c>
      <c r="EF100">
        <f>IF($ED100=0,0,VLOOKUP($ED100,'Load-MarineShip'!$A$27:$N$136,14,FALSE))</f>
        <v>0</v>
      </c>
      <c r="EK100">
        <f>IF(OR(EL100=0,ISNUMBER(MATCH(EL100,$EL$1:EL99,0))),0,MAX($EK$1:EK99)+1)</f>
        <v>0</v>
      </c>
      <c r="EL100">
        <f>IF('Load-MarineShip'!$F$19="CAS",IFERROR(VLOOKUP(Products!A139,'Load-MarineShip'!$A$27:$B$136,1,FALSE),0),0)</f>
        <v>0</v>
      </c>
      <c r="EM100">
        <f>IF($EL100=0,0,VLOOKUP($EL100,'Load-MarineShip'!$A$27:$N$136,13,FALSE))</f>
        <v>0</v>
      </c>
      <c r="EN100">
        <f>IF($EL100=0,0,VLOOKUP($EL100,'Load-MarineShip'!$A$27:$N$136,14,FALSE))</f>
        <v>0</v>
      </c>
      <c r="FB100" s="8" t="s">
        <v>540</v>
      </c>
      <c r="FC100" s="8" t="s">
        <v>541</v>
      </c>
      <c r="FD100" s="8">
        <v>41700</v>
      </c>
      <c r="FE100" s="8">
        <v>4170</v>
      </c>
      <c r="FG100" s="360" t="str">
        <f t="shared" si="45"/>
        <v/>
      </c>
      <c r="FH100" s="155">
        <f>IF(Tank1!$D$22="NO CONTROL",_xlfn.MAXIFS(Tank1!$G$32:$G$141,Tank1!$E$32:$E$141,$FG100),0)*IFERROR($QR$3,0)</f>
        <v>0</v>
      </c>
      <c r="FI100" s="155">
        <f>_xlfn.MAXIFS(LandEmiss!$AF$20:$AF$119,LandEmiss!$AE$20:$AE$119,$FG100)*IFERROR($QR$3,0)</f>
        <v>0</v>
      </c>
      <c r="FJ100" s="155">
        <f>MAX(_xlfn.MAXIFS(LandEmiss!$CO$20:$CO$119,LandEmiss!$CN$20:$CN$119,$FG100),_xlfn.MAXIFS(LandEmiss!$EZ$9:$EZ$108,LandEmiss!$EY$9:$EY$108,$FG100))*IFERROR($QR$3,0)</f>
        <v>0</v>
      </c>
      <c r="FK100" s="155">
        <f>IF(Tank2!$D$22="NO CONTROL",_xlfn.MAXIFS(Tank2!$G$32:$G$141,Tank2!$E$32:$E$141,$FG100),0)*IFERROR($QR$4,0)</f>
        <v>0</v>
      </c>
      <c r="FL100" s="155">
        <f>_xlfn.MAXIFS(LandEmiss!$AG$20:$AG$119,LandEmiss!$AE$20:$AE$119,$FG100)*IFERROR($QR$4,0)</f>
        <v>0</v>
      </c>
      <c r="FM100" s="155">
        <f>MAX(_xlfn.MAXIFS(LandEmiss!$CP$20:$CP$119,LandEmiss!$CN$20:$CN$119,$FG100),_xlfn.MAXIFS(LandEmiss!$FA$9:$FA$108,LandEmiss!$EY$9:$EY$108,$FG100))*IFERROR($QR$4,0)</f>
        <v>0</v>
      </c>
      <c r="FN100" s="155">
        <f>IF(Tank3!$D$22="NO CONTROL",_xlfn.MAXIFS(Tank3!$G$32:$G$141,Tank3!$E$32:$E$141,$FG100),0)*IFERROR($QR$5,0)</f>
        <v>0</v>
      </c>
      <c r="FO100" s="155">
        <f>_xlfn.MAXIFS(LandEmiss!$AH$20:$AH$119,LandEmiss!$AE$20:$AE$119,$FG100)*IFERROR($QR$5,0)</f>
        <v>0</v>
      </c>
      <c r="FP100" s="155">
        <f>MAX(_xlfn.MAXIFS(LandEmiss!$CQ$20:$CQ$119,LandEmiss!$CN$20:$CN$119,$FG100),_xlfn.MAXIFS(LandEmiss!$FB$9:$FB$108,LandEmiss!$EY$9:$EY$108,$FG100))*IFERROR($QR$5,0)</f>
        <v>0</v>
      </c>
      <c r="FQ100" s="155">
        <f>IF(Tank4!$D$22="NO CONTROL",_xlfn.MAXIFS(Tank4!$G$32:$G$141,Tank4!$E$32:$E$141,$FG100),0)*IFERROR($QR$6,0)</f>
        <v>0</v>
      </c>
      <c r="FR100" s="155">
        <f>_xlfn.MAXIFS(LandEmiss!$AI$20:$AI$119,LandEmiss!$AE$20:$AE$119,$FG100)*IFERROR($QR$6,0)</f>
        <v>0</v>
      </c>
      <c r="FS100" s="155">
        <f>MAX(_xlfn.MAXIFS(LandEmiss!$CR$20:$CR$119,LandEmiss!$CN$20:$CN$119,$FG100),_xlfn.MAXIFS(LandEmiss!$FC$9:$FC$108,LandEmiss!$EY$9:$EY$108,$FG100))*IFERROR($QR$6,0)</f>
        <v>0</v>
      </c>
      <c r="FT100" s="155">
        <f>IF(Tank5!$D$22="NO CONTROL",_xlfn.MAXIFS(Tank5!$G$32:$G$141,Tank5!$E$32:$E$141,$FG100),0)*IFERROR($QR$7,0)</f>
        <v>0</v>
      </c>
      <c r="FU100" s="155">
        <f>_xlfn.MAXIFS(LandEmiss!$AJ$20:$AJ$119,LandEmiss!$AE$20:$AE$119,$FG100)*IFERROR($QR$7,0)</f>
        <v>0</v>
      </c>
      <c r="FV100" s="155">
        <f>MAX(_xlfn.MAXIFS(LandEmiss!$CS$20:$CS$119,LandEmiss!$CN$20:$CN$119,$FG100),_xlfn.MAXIFS(LandEmiss!$FD$9:$FD$108,LandEmiss!$EY$9:$EY$108,$FG100))*IFERROR($QR105,0)</f>
        <v>0</v>
      </c>
      <c r="FW100" s="155">
        <f>_xlfn.MAXIFS('Load-DrumTote'!$K$27:$K$136,'Load-DrumTote'!$F$27:$F$136,$FG100)*IFERROR($QR$8,0)</f>
        <v>0</v>
      </c>
      <c r="FX100" s="155">
        <f>_xlfn.MAXIFS('Load-Truck'!$K$27:$K$136,'Load-Truck'!$F$27:$F$136,$FG100)*IFERROR($QR$9,0)</f>
        <v>0</v>
      </c>
      <c r="FY100" s="155">
        <f>_xlfn.MAXIFS('Load-Rail'!$K$27:$K$136,'Load-Rail'!$F$27:$F$136,$FG100)*IFERROR($QR$10,0)</f>
        <v>0</v>
      </c>
      <c r="FZ100" s="155">
        <f>_xlfn.MAXIFS('Load-MarineBarge'!$K$27:$K$136,'Load-MarineBarge'!$F$27:$F$136,$FG100)*IFERROR($QR$11,0)</f>
        <v>0</v>
      </c>
      <c r="GA100" s="155">
        <f>_xlfn.MAXIFS('Load-MarineShip'!$K$27:$K$136,'Load-MarineShip'!$F$27:$F$136,$FG100)*IFERROR($QR$12,0)</f>
        <v>0</v>
      </c>
      <c r="GB100" s="313">
        <f>IF(OR(Flare!$D$24="fuel gas",Flare!$D$38="fuel gas"),SUMIF(Flare!$E$97:$E$106,$FG100,Flare!$F$97:$F$106),0)*IFERROR($QR$13,0)</f>
        <v>0</v>
      </c>
      <c r="GC100" s="313">
        <f>(_xlfn.MAXIFS(CtrlDevImpacts!$I$57:$I$156,CtrlDevImpacts!$H$57:$H$156,$FG100))*IFERROR($QR$13,0)</f>
        <v>0</v>
      </c>
      <c r="GD100" s="313">
        <f>(_xlfn.MAXIFS(Flare!$F$107:$F$216,Flare!$E$107:$E$216,$FG100)-_xlfn.MAXIFS(CtrlDevImpacts!$I$57:$I$156,CtrlDevImpacts!$H$57:$H$156,$FG100))*IFERROR($QR$13,0)</f>
        <v>0</v>
      </c>
      <c r="GE100" s="155">
        <f>_xlfn.MAXIFS(LandEmiss!$B$335:$B$434,LandEmiss!$A$335:$A$434,$FG100)*IFERROR($QR$13,0)</f>
        <v>0</v>
      </c>
      <c r="GF100" s="155">
        <f>(_xlfn.MAXIFS(LandEmiss!$BK$335:$BK$434,LandEmiss!$BJ$335:$BJ$434,$FG100)+_xlfn.MAXIFS(LandEmiss!$DV$323:$DV$422,LandEmiss!$DU$323:$DU$422,$FG100))*IFERROR($QR$13,0)</f>
        <v>0</v>
      </c>
      <c r="GG100" s="313">
        <f>IF(OR(VCU!$D$26="fuel gas",VCU!$D$42="fuel gas"),SUMIF(VCU!$E$120:$E$129,$FG100,VCU!$F$120:$F$129),0)*IFERROR($QR$14,0)</f>
        <v>0</v>
      </c>
      <c r="GH100" s="313">
        <f>(_xlfn.MAXIFS(CtrlDevImpacts!$X$57:$X$156,CtrlDevImpacts!$W$57:$W$156,$FG100))*IFERROR($QR$14,0)</f>
        <v>0</v>
      </c>
      <c r="GI100" s="313">
        <f>(_xlfn.MAXIFS(VCU!$F$130:$F$239,VCU!$E$130:$E$239,$FG100)-_xlfn.MAXIFS(CtrlDevImpacts!$X$57:$X$156,CtrlDevImpacts!$W$57:$W$156,$FG100))*IFERROR($QR$14,0)</f>
        <v>0</v>
      </c>
      <c r="GJ100" s="155">
        <f>_xlfn.MAXIFS(LandEmiss!$D$335:$D$434,LandEmiss!$A$335:$A$434,$FG100)*IFERROR($QR$14,0)</f>
        <v>0</v>
      </c>
      <c r="GK100" s="155">
        <f>(_xlfn.MAXIFS(LandEmiss!$BM$335:$BM$434,LandEmiss!$BJ$335:$BJ$434,$FG100)+_xlfn.MAXIFS(LandEmiss!$DX$323:$DX$422,LandEmiss!$DU$323:$DU$422,$FG100))*IFERROR($QR$14,0)</f>
        <v>0</v>
      </c>
      <c r="GL100" s="313">
        <f>IF(VaporOxidizer!D131="FUEL GAS",SUMIF(VaporOxidizer!$E$101:$E$110,$FG100,VaporOxidizer!$F$101:$F$110),0)*IFERROR($QR$15,0)</f>
        <v>0</v>
      </c>
      <c r="GM100" s="313">
        <f>(_xlfn.MAXIFS(CtrlDevImpacts!$AN$57:$AN$156,CtrlDevImpacts!$AM$57:$AM$156,$FG100))*IFERROR($QR$15,0)</f>
        <v>0</v>
      </c>
      <c r="GN100" s="313">
        <f>(_xlfn.MAXIFS(VaporOxidizer!$F$111:$F$220,VaporOxidizer!$E$111:$E$220,$FG100)-_xlfn.MAXIFS(CtrlDevImpacts!$AN$57:$AN$156,CtrlDevImpacts!$AM$57:$AM$156,$FG100))*IFERROR($QR$15,0)</f>
        <v>0</v>
      </c>
      <c r="GO100" s="155">
        <f>_xlfn.MAXIFS(LandEmiss!$F$335:$F$434,LandEmiss!$A$335:$A$434,$FG100)*IFERROR($QR$15,0)</f>
        <v>0</v>
      </c>
      <c r="GP100" s="155">
        <f>(_xlfn.MAXIFS(LandEmiss!$BK$335:$BK$434,LandEmiss!$BO$335:$BO$434,$FG100)+_xlfn.MAXIFS(LandEmiss!$DZ$323:$DZ$422,LandEmiss!$DU$323:$DU$422,$FG100))*IFERROR($QR$15,0)</f>
        <v>0</v>
      </c>
      <c r="GQ100" s="313">
        <f>_xlfn.MAXIFS(CtrlDevImpacts!$BD$57:$BD$156,CtrlDevImpacts!$BC$57:$BC$156,$FG100)*IFERROR(Hidden!$QR$16,0)</f>
        <v>0</v>
      </c>
      <c r="GR100" s="313">
        <f>(_xlfn.MAXIFS(CAS!$H$35:$H$144,CAS!$E$35:$E$144,$FG100)-_xlfn.MAXIFS(CtrlDevImpacts!$BD$57:$BD$156,CtrlDevImpacts!$BC$57:$BC$156,$FG100))*IFERROR(Hidden!$QR$16,0)</f>
        <v>0</v>
      </c>
      <c r="GS100" s="155">
        <f>_xlfn.MAXIFS(LandEmiss!$H$335:$H$434,LandEmiss!$A$335:$A$434,$FG100)*IFERROR($QR$27,0)</f>
        <v>0</v>
      </c>
      <c r="GT100" s="155">
        <f>(_xlfn.MAXIFS(LandEmiss!$BK$335:$BK$434,LandEmiss!$BQ$335:$BQ$434,$FG100)+_xlfn.MAXIFS(LandEmiss!$EB$323:$EB$422,LandEmiss!$DU$323:$DU$422,$FG100))*IFERROR($QR$27,0)</f>
        <v>0</v>
      </c>
      <c r="GU100" s="155">
        <f>_xlfn.MAXIFS(LandEmiss!$J$335:$J$434,LandEmiss!$A$335:$A$434,$FG100)*IFERROR($QR$26,0)</f>
        <v>0</v>
      </c>
      <c r="GV100" s="155">
        <f>(_xlfn.MAXIFS(LandEmiss!$BK$335:$BK$434,LandEmiss!$BS$335:$BS$434,$FG100)+_xlfn.MAXIFS(LandEmiss!$ED$323:$ED$422,LandEmiss!$DU$323:$DU$422,$FG100))*IFERROR($QR$26,0)</f>
        <v>0</v>
      </c>
      <c r="GW100" s="155">
        <f>_xlfn.MAXIFS(LandEmiss!$L$335:$L$434,LandEmiss!$A$335:$A$434,$FG100)*IFERROR($QR$25,0)</f>
        <v>0</v>
      </c>
      <c r="GX100" s="155">
        <f>(_xlfn.MAXIFS(LandEmiss!$BK$335:$BK$434,LandEmiss!$BU$335:$BU$434,$FG100)+_xlfn.MAXIFS(LandEmiss!$EF$323:$EF$422,LandEmiss!$DU$323:$DU$422,$FG100))*IFERROR($QR$25,0)</f>
        <v>0</v>
      </c>
      <c r="GY100" s="155">
        <v>0</v>
      </c>
      <c r="GZ100" s="155">
        <v>0</v>
      </c>
      <c r="HA100" s="155">
        <f>IF(OR(HeaterBoiler1!$E$26&lt;&gt;"fuel gas",HeaterBoiler1!$E$15&lt;&gt;"heater"),0,SUMIF(HeaterBoiler1!$A$54:$D$63,$FG100,HeaterBoiler1!$I$54:$I$63))*IFERROR($QR$19,0)</f>
        <v>0</v>
      </c>
      <c r="HB100" s="207">
        <f>IF(OR(HeaterBoiler2!$E$26&lt;&gt;"fuel gas",HeaterBoiler2!$E$15&lt;&gt;"heater"),0,SUMIF(HeaterBoiler2!$A$54:$D$63,$FG100,HeaterBoiler2!$I$54:$I$63))*IFERROR($QR$21,0)</f>
        <v>0</v>
      </c>
      <c r="HC100" s="155">
        <f>IF(OR(HeaterBoiler1!$E$26&lt;&gt;"fuel gas",HeaterBoiler1!$E$15&lt;&gt;"boiler"),0,SUMIF(HeaterBoiler1!$A$41:$A$50,$FG100,HeaterBoiler1!$F$41:$F$50))*IFERROR($QR$20,0)</f>
        <v>0</v>
      </c>
      <c r="HD100" s="207">
        <f>IF(OR(HeaterBoiler2!$E$26&lt;&gt;"fuel gas",HeaterBoiler2!$E$15&lt;&gt;"boiler"),0,SUMIF(HeaterBoiler2!$A$41:$A$50,$FG100,HeaterBoiler2!$F$41:$F$50))*IFERROR($QR$22,0)</f>
        <v>0</v>
      </c>
      <c r="HE100" s="155">
        <f>SUMIF(Fug!$A$96:$A$205,$FG100,Fug!$I$96:$I$205)*IFERROR(Hidden!$QR$23,0)</f>
        <v>0</v>
      </c>
      <c r="HF100" s="155">
        <f t="shared" si="46"/>
        <v>0</v>
      </c>
      <c r="HG100" s="156">
        <f t="shared" si="47"/>
        <v>0</v>
      </c>
      <c r="HH100" s="156">
        <f t="shared" si="48"/>
        <v>0</v>
      </c>
      <c r="HI100" s="156">
        <f t="shared" si="49"/>
        <v>0</v>
      </c>
      <c r="HJ100" s="156">
        <f t="shared" si="50"/>
        <v>0</v>
      </c>
      <c r="HK100" s="156">
        <f t="shared" si="51"/>
        <v>0</v>
      </c>
      <c r="HL100" s="156">
        <f t="shared" si="52"/>
        <v>0</v>
      </c>
      <c r="NO100" s="155">
        <f>IF(Tank1!$D$22="No control",(SUMIF(Tank1!$E$32:$E$141,$FG100,Tank1!$H$32:$H$141)*(2000/8760)*IFERROR($QV$3,0)),0)</f>
        <v>0</v>
      </c>
      <c r="NP100" s="156">
        <f>SUMIF(LandEmiss!$AE$20:$AE$119,$FG100,LandEmiss!$AK$20:$AK$119)*(2000/8760)*IFERROR($QV$3,0)</f>
        <v>0</v>
      </c>
      <c r="NQ100" s="156">
        <f>(SUMIF(LandEmiss!$CN$20:$CN$119,$FG100,LandEmiss!$CT$20:$CT$119)+SUMIF(LandEmiss!$EY$9:$EY$108,$FG100,LandEmiss!$FE$9:$FE$108))*IFERROR($QV$3,0)*(2000/8760)</f>
        <v>0</v>
      </c>
      <c r="NR100" s="155">
        <f>IF(Tank2!$D$22="No control",(SUMIF(Tank2!$E$32:$E$141,$FG100,Tank2!$H$32:$H$141)*(2000/8760)*IFERROR($QV$4,0)),0)</f>
        <v>0</v>
      </c>
      <c r="NS100" s="156">
        <f>SUMIF(LandEmiss!$AE$20:$AE$119,$FG100,LandEmiss!$AL$20:$AL$119)*(2000/8760)*IFERROR($QV$4,0)</f>
        <v>0</v>
      </c>
      <c r="NT100" s="156">
        <f>(SUMIF(LandEmiss!$CN$20:$CN$119,$FG100,LandEmiss!$CU$20:$CU$119)+SUMIF(LandEmiss!$EY$9:$EY$108,$FG100,LandEmiss!$FF$9:$FF$108))*IFERROR($QV$4,0)*(2000/8760)</f>
        <v>0</v>
      </c>
      <c r="NU100" s="155">
        <f>IF(Tank3!$D$22="No control",(SUMIF(Tank3!$E$32:$E$141,$FG100,Tank3!$H$32:$H$141)*(2000/8760)*IFERROR($QV$5,0)),0)</f>
        <v>0</v>
      </c>
      <c r="NV100" s="156">
        <f>SUMIF(LandEmiss!$AE$20:$AE$119,$FG100,LandEmiss!$AM$20:$AM$119)*(2000/8760)*IFERROR($QV$5,0)</f>
        <v>0</v>
      </c>
      <c r="NW100" s="156">
        <f>(SUMIF(LandEmiss!$CN$20:$CN$119,$FG100,LandEmiss!$CV$20:$CV$119)+SUMIF(LandEmiss!$EY$9:$EY$108,$FG100,LandEmiss!$FG$9:$FG$108))*IFERROR($QV$5,0)*(2000/8760)</f>
        <v>0</v>
      </c>
      <c r="NX100" s="155">
        <f>IF(Tank4!$D$22="No control",(SUMIF(Tank4!$E$32:$E$141,$FG100,Tank4!$H$32:$H$141)*(2000/8760)*IFERROR($QV$6,0)),0)</f>
        <v>0</v>
      </c>
      <c r="NY100" s="156">
        <f>SUMIF(LandEmiss!$AE$20:$AE$119,$FG100,LandEmiss!$AN$20:$AN$119)*(2000/8760)*IFERROR($QV$6,0)</f>
        <v>0</v>
      </c>
      <c r="NZ100" s="156">
        <f>(SUMIF(LandEmiss!$CN$20:$CN$119,$FG100,LandEmiss!$CW$20:$CW$119)+SUMIF(LandEmiss!$EY$9:$EY$108,$FG100,LandEmiss!$FH$9:$FH$108))*IFERROR($QV$6,0)*(2000/8760)</f>
        <v>0</v>
      </c>
      <c r="OA100" s="155">
        <f>IF(Tank5!$D$22="No control",(SUMIF(Tank5!$E$32:$E$141,$FG100,Tank5!$H$32:$H$141)*(2000/8760)*IFERROR($QV$7,0)),0)</f>
        <v>0</v>
      </c>
      <c r="OB100" s="156">
        <f>SUMIF(LandEmiss!$AE$20:$AE$119,$FG100,LandEmiss!$AO$20:$AO$119)*(2000/8760)*IFERROR($QV$7,0)</f>
        <v>0</v>
      </c>
      <c r="OC100" s="156">
        <f>(SUMIF(LandEmiss!$CN$20:$CN$119,$FG100,LandEmiss!$CX$20:$CX$119)+SUMIF(LandEmiss!$EY$9:$EY$108,$FG100,LandEmiss!$FI$9:$FI$108))*IFERROR($QV$7,0)*(2000/8760)</f>
        <v>0</v>
      </c>
      <c r="OD100" s="155">
        <f>SUMIFS('Load-DrumTote'!$L$27:$L$136,'Load-DrumTote'!$F$27:$F$136,$FG100)*IFERROR($QV$8,0)*(2000/8760)</f>
        <v>0</v>
      </c>
      <c r="OE100" s="155">
        <f>SUMIFS('Load-Truck'!$L$27:$L$136,'Load-Truck'!$F$27:$F$136,$FG100)*IFERROR($QV$9,0)*(2000/8760)</f>
        <v>0</v>
      </c>
      <c r="OF100" s="155">
        <f>SUMIFS('Load-Rail'!$L$27:$L$136,'Load-Rail'!$F$27:$F$136,$FG100)*IFERROR($QV$10,0)*(2000/8760)</f>
        <v>0</v>
      </c>
      <c r="OG100" s="155">
        <f>SUMIFS('Load-MarineBarge'!$L$27:$L$136,'Load-MarineBarge'!$F$27:$F$136,$FG100)*IFERROR($QV$11,0)*(2000/8760)</f>
        <v>0</v>
      </c>
      <c r="OH100" s="155">
        <f>SUMIFS('Load-MarineShip'!$L$27:$L$136,'Load-MarineShip'!$F$27:$F$136,$FG100)*IFERROR($QV$12,0)*(2000/8760)</f>
        <v>0</v>
      </c>
      <c r="OI100" s="155">
        <f>(IF(OR(Flare!$D$24="FUEL GAS",Flare!$D$38="FUEL GAS"),SUMIF(Flare!$E$97:$E$106,$FG100,Flare!$G$97:$G$105),0)+SUMIF(Flare!$E$107:$E$216,$FG100,Flare!$G$107:$G$216))*(2000/8730)*IFERROR($QV$13,0)</f>
        <v>0</v>
      </c>
      <c r="OJ100" s="155">
        <f>SUMIF(LandEmiss!$A$335:$A$434,$FG100,LandEmiss!$C$335:$C$434)*(2000/8760)*IFERROR($QV$13,0)</f>
        <v>0</v>
      </c>
      <c r="OK100" s="155">
        <f>(SUMIF(LandEmiss!$BJ$335:$BJ$434,$FG100,LandEmiss!$BL$335:$BL$434)+SUMIF(LandEmiss!$DU$323:$DU$422,$FG100,LandEmiss!$DW$323:$DW$422))*(2000/8760)*IFERROR($QV$13,0)</f>
        <v>0</v>
      </c>
      <c r="OL100" s="155">
        <f>(IF(OR(VCU!$D$26="FUEL GAS",VCU!$D$42="FUEL GAS"),SUMIF(VCU!$E$120:$E$129,$FG100,VCU!$G$120:$G$129),0)+SUMIF(VCU!$E$130:$E$239,$FG100,VCU!G228:G337))*(2000/8760)*IFERROR($QV$14,0)</f>
        <v>0</v>
      </c>
      <c r="OM100" s="155">
        <f>SUMIF(LandEmiss!$A$335:$A$434,$FG100,LandEmiss!$E$335:$E$434)*(2000/8760)*IFERROR($QV$14,0)</f>
        <v>0</v>
      </c>
      <c r="ON100" s="155">
        <f>(SUMIF(LandEmiss!$BJ$335:$BJ$434,$FG100,LandEmiss!$BN$335:$BN$434)+SUMIF(LandEmiss!$DU$323:$DU$422,$FG100,LandEmiss!$DY$323:$DY$422))*(2000/8760)*IFERROR($QV$14,0)</f>
        <v>0</v>
      </c>
      <c r="OO100" s="155">
        <f>(IF(VaporOxidizer!$D$33="FUEL GAS",SUMIF(VaporOxidizer!$E$101:$E$110,$FG100,VaporOxidizer!$G$101:$G$110),0)+SUMIF(VaporOxidizer!$E$111:$E$220,$FG100,VaporOxidizer!$G$111:$G$220))*(2000/8760)*IFERROR($QV$15,0)</f>
        <v>0</v>
      </c>
      <c r="OP100" s="155">
        <f>SUMIF(LandEmiss!$A$335:$A$434,$FG100,LandEmiss!$G$335:$G$434)*(2000/8760)*IFERROR($QV$15,0)</f>
        <v>0</v>
      </c>
      <c r="OQ100" s="155">
        <f>(SUMIF(LandEmiss!$BJ$335:$BJ$434,$FG100,LandEmiss!$BP$335:$BP$434)+SUMIF(LandEmiss!$DU$323:$DU$422,$FG100,LandEmiss!$EA$323:$EA$422))*(2000/8760)*IFERROR($QV$15,0)</f>
        <v>0</v>
      </c>
      <c r="OR100" s="155">
        <f>SUMIF(CAS!$E$35:$E$144,Hidden!$FG100,CAS!$I$35:$I$144)*IFERROR($QV$16,0)*(2000/8760)</f>
        <v>0</v>
      </c>
      <c r="OS100" s="155">
        <f>SUMIF(LandEmiss!$A$335:$A$434,$FG100,LandEmiss!$I$335:$I$434)*(2000/8760)*IFERROR($QV$27,0)</f>
        <v>0</v>
      </c>
      <c r="OT100" s="155">
        <f>(SUMIF(LandEmiss!$BJ$335:$BJ$434,$FG100,LandEmiss!$BR$335:$BR$434)+SUMIF(LandEmiss!$DU$323:$DU$422,$FG100,LandEmiss!$EC$323:$EC$422))*(2000/8760)*IFERROR($QV$27,0)</f>
        <v>0</v>
      </c>
      <c r="OU100" s="155">
        <f>SUMIF(LandEmiss!$A$335:$A$434,$FG100,LandEmiss!$K$335:$K$434)*(2000/8760)*IFERROR($QV$26,0)</f>
        <v>0</v>
      </c>
      <c r="OV100" s="155">
        <f>(SUMIF(LandEmiss!$BJ$335:$BJ$434,$FG100,LandEmiss!$BT$335:$BT$434)+SUMIF(LandEmiss!$DU$323:$DU$422,$FG100,LandEmiss!$EE$323:$EE$422))*(2000/8760)*IFERROR($QV$26,0)</f>
        <v>0</v>
      </c>
      <c r="OW100" s="155">
        <f>SUMIF(LandEmiss!$A$335:$A$434,$FG100,LandEmiss!$M$335:$M$434)*(2000/8760)*IFERROR($QV$25,0)</f>
        <v>0</v>
      </c>
      <c r="OX100" s="155">
        <f>(SUMIF(LandEmiss!$BJ$335:$BJ$434,$FG100,LandEmiss!$BV$335:$BV$434)+SUMIF(LandEmiss!$DU$323:$DU$422,$FG100,LandEmiss!$EG$323:$EG$422))*(2000/8760)*IFERROR($QV$25,0)</f>
        <v>0</v>
      </c>
      <c r="OY100" s="8">
        <v>0</v>
      </c>
      <c r="OZ100" s="207">
        <v>0</v>
      </c>
      <c r="PA100" s="207">
        <f>IF(OR(HeaterBoiler1!$E$26&lt;&gt;"fuel gas",HeaterBoiler1!$E$15&lt;&gt;"heater"),0,(SUMIF(HeaterBoiler1!$A$54:$D$63,$FG100,HeaterBoiler1!$J$54:$J$63))*(2000/8760))*IFERROR($QV$19,0)</f>
        <v>0</v>
      </c>
      <c r="PB100" s="207">
        <f>IF(OR(HeaterBoiler2!$E$26&lt;&gt;"fuel gas",HeaterBoiler2!$E$15&lt;&gt;"heater"),0,(SUMIF(HeaterBoiler2!$A$54:$D$63,$FG100,HeaterBoiler2!$J$54:$J$63))*(2000/8760))*IFERROR($QV$21,0)</f>
        <v>0</v>
      </c>
      <c r="PC100" s="207">
        <f>IF(OR(HeaterBoiler1!$E$26&lt;&gt;"fuel gas",HeaterBoiler1!$E$15&lt;&gt;"boiler"),0,(SUMIF(HeaterBoiler1!$A$54:$D$63,$FG100,HeaterBoiler1!$J$54:$J$63))*(2000/8760))*IFERROR($QV$20,0)</f>
        <v>0</v>
      </c>
      <c r="PD100" s="207">
        <f>IF(OR(HeaterBoiler2!$E$26&lt;&gt;"fuel gas",HeaterBoiler2!$E$15&lt;&gt;"boiler"),0,(SUMIF(HeaterBoiler2!$A$54:$D$63,$FG100,HeaterBoiler2!$J$54:$J$63))*(2000/8760))*IFERROR($QV$22,0)</f>
        <v>0</v>
      </c>
      <c r="PE100" s="8">
        <f>(SUMIF(Fug!$A$96:$A$205,$FG100,Fug!$J$96:$J$205))*IFERROR($QV$23,0)*(2000/8760)</f>
        <v>0</v>
      </c>
      <c r="PF100" s="8">
        <f t="shared" si="53"/>
        <v>0</v>
      </c>
      <c r="PG100" s="156">
        <f t="shared" si="54"/>
        <v>0</v>
      </c>
      <c r="QX100" s="89" t="s">
        <v>9316</v>
      </c>
      <c r="QY100">
        <v>462.5</v>
      </c>
      <c r="QZ100">
        <v>355.1</v>
      </c>
      <c r="RA100">
        <v>298.89999999999998</v>
      </c>
      <c r="RB100">
        <v>182.7</v>
      </c>
      <c r="RC100">
        <v>129.30000000000001</v>
      </c>
      <c r="RD100">
        <v>96.32</v>
      </c>
      <c r="RE100">
        <v>76.42</v>
      </c>
      <c r="RF100">
        <v>63.98</v>
      </c>
      <c r="RG100" s="90">
        <v>54.37</v>
      </c>
      <c r="RH100" s="89" t="s">
        <v>9316</v>
      </c>
      <c r="RI100">
        <v>442.1</v>
      </c>
      <c r="RJ100">
        <v>230.2</v>
      </c>
      <c r="RK100">
        <v>141.5</v>
      </c>
      <c r="RL100">
        <v>98.65</v>
      </c>
      <c r="RM100">
        <v>74.62</v>
      </c>
      <c r="RN100">
        <v>64.53</v>
      </c>
      <c r="RO100">
        <v>60.49</v>
      </c>
      <c r="RP100">
        <v>50.52</v>
      </c>
      <c r="RQ100" s="90">
        <v>44.22</v>
      </c>
      <c r="RR100" s="89" t="s">
        <v>9316</v>
      </c>
      <c r="RS100">
        <v>376.1</v>
      </c>
      <c r="RT100">
        <v>196.5</v>
      </c>
      <c r="RU100">
        <v>112.4</v>
      </c>
      <c r="RV100">
        <v>73.56</v>
      </c>
      <c r="RW100">
        <v>59.6</v>
      </c>
      <c r="RX100">
        <v>51.58</v>
      </c>
      <c r="RY100">
        <v>46.38</v>
      </c>
      <c r="RZ100">
        <v>38.53</v>
      </c>
      <c r="SA100" s="90">
        <v>32.590000000000003</v>
      </c>
      <c r="SB100" s="89" t="s">
        <v>9316</v>
      </c>
      <c r="SC100">
        <v>180.7</v>
      </c>
      <c r="SD100">
        <v>94.89</v>
      </c>
      <c r="SE100">
        <v>54.83</v>
      </c>
      <c r="SF100">
        <v>36.56</v>
      </c>
      <c r="SG100">
        <v>30.22</v>
      </c>
      <c r="SH100">
        <v>25.68</v>
      </c>
      <c r="SI100">
        <v>23.33</v>
      </c>
      <c r="SJ100">
        <v>17.25</v>
      </c>
      <c r="SK100" s="90">
        <v>14.24</v>
      </c>
      <c r="SL100" s="89" t="s">
        <v>9316</v>
      </c>
      <c r="SM100">
        <v>40.85</v>
      </c>
      <c r="SN100">
        <v>21.37</v>
      </c>
      <c r="SO100">
        <v>12.62</v>
      </c>
      <c r="SP100">
        <v>8.8699999999999992</v>
      </c>
      <c r="SQ100">
        <v>7.32</v>
      </c>
      <c r="SR100">
        <v>6.13</v>
      </c>
      <c r="SS100">
        <v>5.2</v>
      </c>
      <c r="ST100">
        <v>3.52</v>
      </c>
      <c r="SU100" s="90">
        <v>2.54</v>
      </c>
    </row>
    <row r="101" spans="23:515" ht="74.25" customHeight="1" x14ac:dyDescent="0.2">
      <c r="W101">
        <f>IF(OR(X101=0,ISNUMBER(MATCH(X101,$X$1:X100,0))),0,MAX($W$1:W100)+1)</f>
        <v>0</v>
      </c>
      <c r="X101" s="123">
        <f>Products!$E148</f>
        <v>0</v>
      </c>
      <c r="Y101" t="str">
        <f t="shared" si="55"/>
        <v/>
      </c>
      <c r="CA101">
        <f>IF(OR(CB101=0,ISNUMBER(MATCH(CB101,$CB$1:CB100,0))),0,MAX($CA$1:CA100)+1)</f>
        <v>0</v>
      </c>
      <c r="CB101" s="8">
        <f>IF(OR(Tank1!$D$18="EXTERNAL FLOATING ROOF",Tank1!$D$18="INTERNAL FLOATING ROOF"),IF(Tank1!$E131="",0,Tank1!$E131),0)</f>
        <v>0</v>
      </c>
      <c r="CC101" s="8" t="str">
        <f t="shared" si="43"/>
        <v/>
      </c>
      <c r="CD101" s="8"/>
      <c r="CE101" s="8">
        <f>IF(OR(CF101=0,ISNUMBER(MATCH(CF101,$CF$1:CF100,0))),0,MAX($CE$1:CE100)+1)</f>
        <v>0</v>
      </c>
      <c r="CF101" s="8">
        <f>IF(OR(Tank1!$D$18="HORIZONTAL FIXED ROOF",Tank1!$D$18="VERTICAL FIXED ROOF"),IF(Tank1!$E131="",0,Tank1!$E131),0)</f>
        <v>0</v>
      </c>
      <c r="CG101" s="8" t="str">
        <f t="shared" si="44"/>
        <v/>
      </c>
      <c r="DM101">
        <f>IF(OR(DN101=0,ISNUMBER(MATCH(DN101,$DN$1:DN100,0))),0,MAX($DM$1:DM100)+1)</f>
        <v>0</v>
      </c>
      <c r="DN101">
        <f>IF('Load-MarineShip'!$F$19="Flare",IFERROR(VLOOKUP(Products!$A$149,'Load-MarineShip'!$A$27:$B$136,1,FALSE),0),0)</f>
        <v>0</v>
      </c>
      <c r="DO101">
        <f>IF($DN101=0,0,VLOOKUP($DN101,'Load-MarineShip'!$A$27:$N$136,13,FALSE))</f>
        <v>0</v>
      </c>
      <c r="DP101">
        <f>IF($DN101=0,0,VLOOKUP($DN101,'Load-MarineShip'!$A$27:$N$136,14,FALSE))</f>
        <v>0</v>
      </c>
      <c r="DU101">
        <f>IF(OR(DV101=0,ISNUMBER(MATCH(DV101,$DV$1:DV100,0))),0,MAX($DU$1:DU100)+1)</f>
        <v>0</v>
      </c>
      <c r="DV101">
        <f>IF('Load-MarineShip'!$F$19="VCU",IFERROR(VLOOKUP(Products!$A$149,'Load-MarineShip'!$A$27:$B$136,1,FALSE),0),0)</f>
        <v>0</v>
      </c>
      <c r="DW101">
        <f>IF($DV101=0,0,VLOOKUP($DV101,'Load-MarineShip'!$A$27:$N$136,13,FALSE))</f>
        <v>0</v>
      </c>
      <c r="DX101">
        <f>IF($DV101=0,0,VLOOKUP($DV101,'Load-MarineShip'!$A$27:$N$136,14,FALSE))</f>
        <v>0</v>
      </c>
      <c r="EC101">
        <f>IF(OR(ED101=0,ISNUMBER(MATCH(ED101,$ED$1:ED100,0))),0,MAX($EC$1:EC100)+1)</f>
        <v>0</v>
      </c>
      <c r="ED101">
        <f>IF('Load-MarineShip'!$F$19="vapor oxidizer",IFERROR(VLOOKUP(Products!$A$149,'Load-MarineShip'!$A$27:$B$136,1,FALSE),0),0)</f>
        <v>0</v>
      </c>
      <c r="EE101">
        <f>IF($ED101=0,0,VLOOKUP($ED101,'Load-MarineShip'!$A$27:$N$136,13,FALSE))</f>
        <v>0</v>
      </c>
      <c r="EF101">
        <f>IF($ED101=0,0,VLOOKUP($ED101,'Load-MarineShip'!$A$27:$N$136,14,FALSE))</f>
        <v>0</v>
      </c>
      <c r="EK101">
        <f>IF(OR(EL101=0,ISNUMBER(MATCH(EL101,$EL$1:EL100,0))),0,MAX($EK$1:EK100)+1)</f>
        <v>0</v>
      </c>
      <c r="EL101">
        <f>IF('Load-MarineShip'!$F$19="CAS",IFERROR(VLOOKUP(Products!A149,'Load-MarineShip'!$A$27:$B$136,1,FALSE),0),0)</f>
        <v>0</v>
      </c>
      <c r="EM101">
        <f>IF($EL101=0,0,VLOOKUP($EL101,'Load-MarineShip'!$A$27:$N$136,13,FALSE))</f>
        <v>0</v>
      </c>
      <c r="EN101">
        <f>IF($EL101=0,0,VLOOKUP($EL101,'Load-MarineShip'!$A$27:$N$136,14,FALSE))</f>
        <v>0</v>
      </c>
      <c r="FB101" s="8" t="s">
        <v>542</v>
      </c>
      <c r="FC101" s="8" t="s">
        <v>543</v>
      </c>
      <c r="FD101" s="8">
        <v>70</v>
      </c>
      <c r="FE101" s="8">
        <v>7</v>
      </c>
      <c r="FG101" s="360" t="str">
        <f t="shared" si="45"/>
        <v/>
      </c>
      <c r="FH101" s="155">
        <f>IF(Tank1!$D$22="NO CONTROL",_xlfn.MAXIFS(Tank1!$G$32:$G$141,Tank1!$E$32:$E$141,$FG101),0)*IFERROR($QR$3,0)</f>
        <v>0</v>
      </c>
      <c r="FI101" s="155">
        <f>_xlfn.MAXIFS(LandEmiss!$AF$20:$AF$119,LandEmiss!$AE$20:$AE$119,$FG101)*IFERROR($QR$3,0)</f>
        <v>0</v>
      </c>
      <c r="FJ101" s="155">
        <f>MAX(_xlfn.MAXIFS(LandEmiss!$CO$20:$CO$119,LandEmiss!$CN$20:$CN$119,$FG101),_xlfn.MAXIFS(LandEmiss!$EZ$9:$EZ$108,LandEmiss!$EY$9:$EY$108,$FG101))*IFERROR($QR$3,0)</f>
        <v>0</v>
      </c>
      <c r="FK101" s="155">
        <f>IF(Tank2!$D$22="NO CONTROL",_xlfn.MAXIFS(Tank2!$G$32:$G$141,Tank2!$E$32:$E$141,$FG101),0)*IFERROR($QR$4,0)</f>
        <v>0</v>
      </c>
      <c r="FL101" s="155">
        <f>_xlfn.MAXIFS(LandEmiss!$AG$20:$AG$119,LandEmiss!$AE$20:$AE$119,$FG101)*IFERROR($QR$4,0)</f>
        <v>0</v>
      </c>
      <c r="FM101" s="155">
        <f>MAX(_xlfn.MAXIFS(LandEmiss!$CP$20:$CP$119,LandEmiss!$CN$20:$CN$119,$FG101),_xlfn.MAXIFS(LandEmiss!$FA$9:$FA$108,LandEmiss!$EY$9:$EY$108,$FG101))*IFERROR($QR$4,0)</f>
        <v>0</v>
      </c>
      <c r="FN101" s="155">
        <f>IF(Tank3!$D$22="NO CONTROL",_xlfn.MAXIFS(Tank3!$G$32:$G$141,Tank3!$E$32:$E$141,$FG101),0)*IFERROR($QR$5,0)</f>
        <v>0</v>
      </c>
      <c r="FO101" s="155">
        <f>_xlfn.MAXIFS(LandEmiss!$AH$20:$AH$119,LandEmiss!$AE$20:$AE$119,$FG101)*IFERROR($QR$5,0)</f>
        <v>0</v>
      </c>
      <c r="FP101" s="155">
        <f>MAX(_xlfn.MAXIFS(LandEmiss!$CQ$20:$CQ$119,LandEmiss!$CN$20:$CN$119,$FG101),_xlfn.MAXIFS(LandEmiss!$FB$9:$FB$108,LandEmiss!$EY$9:$EY$108,$FG101))*IFERROR($QR$5,0)</f>
        <v>0</v>
      </c>
      <c r="FQ101" s="155">
        <f>IF(Tank4!$D$22="NO CONTROL",_xlfn.MAXIFS(Tank4!$G$32:$G$141,Tank4!$E$32:$E$141,$FG101),0)*IFERROR($QR$6,0)</f>
        <v>0</v>
      </c>
      <c r="FR101" s="155">
        <f>_xlfn.MAXIFS(LandEmiss!$AI$20:$AI$119,LandEmiss!$AE$20:$AE$119,$FG101)*IFERROR($QR$6,0)</f>
        <v>0</v>
      </c>
      <c r="FS101" s="155">
        <f>MAX(_xlfn.MAXIFS(LandEmiss!$CR$20:$CR$119,LandEmiss!$CN$20:$CN$119,$FG101),_xlfn.MAXIFS(LandEmiss!$FC$9:$FC$108,LandEmiss!$EY$9:$EY$108,$FG101))*IFERROR($QR$6,0)</f>
        <v>0</v>
      </c>
      <c r="FT101" s="155">
        <f>IF(Tank5!$D$22="NO CONTROL",_xlfn.MAXIFS(Tank5!$G$32:$G$141,Tank5!$E$32:$E$141,$FG101),0)*IFERROR($QR$7,0)</f>
        <v>0</v>
      </c>
      <c r="FU101" s="155">
        <f>_xlfn.MAXIFS(LandEmiss!$AJ$20:$AJ$119,LandEmiss!$AE$20:$AE$119,$FG101)*IFERROR($QR$7,0)</f>
        <v>0</v>
      </c>
      <c r="FV101" s="155">
        <f>MAX(_xlfn.MAXIFS(LandEmiss!$CS$20:$CS$119,LandEmiss!$CN$20:$CN$119,$FG101),_xlfn.MAXIFS(LandEmiss!$FD$9:$FD$108,LandEmiss!$EY$9:$EY$108,$FG101))*IFERROR($QR106,0)</f>
        <v>0</v>
      </c>
      <c r="FW101" s="155">
        <f>_xlfn.MAXIFS('Load-DrumTote'!$K$27:$K$136,'Load-DrumTote'!$F$27:$F$136,$FG101)*IFERROR($QR$8,0)</f>
        <v>0</v>
      </c>
      <c r="FX101" s="155">
        <f>_xlfn.MAXIFS('Load-Truck'!$K$27:$K$136,'Load-Truck'!$F$27:$F$136,$FG101)*IFERROR($QR$9,0)</f>
        <v>0</v>
      </c>
      <c r="FY101" s="155">
        <f>_xlfn.MAXIFS('Load-Rail'!$K$27:$K$136,'Load-Rail'!$F$27:$F$136,$FG101)*IFERROR($QR$10,0)</f>
        <v>0</v>
      </c>
      <c r="FZ101" s="155">
        <f>_xlfn.MAXIFS('Load-MarineBarge'!$K$27:$K$136,'Load-MarineBarge'!$F$27:$F$136,$FG101)*IFERROR($QR$11,0)</f>
        <v>0</v>
      </c>
      <c r="GA101" s="155">
        <f>_xlfn.MAXIFS('Load-MarineShip'!$K$27:$K$136,'Load-MarineShip'!$F$27:$F$136,$FG101)*IFERROR($QR$12,0)</f>
        <v>0</v>
      </c>
      <c r="GB101" s="313">
        <f>IF(OR(Flare!$D$24="fuel gas",Flare!$D$38="fuel gas"),SUMIF(Flare!$E$97:$E$106,$FG101,Flare!$F$97:$F$106),0)*IFERROR($QR$13,0)</f>
        <v>0</v>
      </c>
      <c r="GC101" s="313">
        <f>(_xlfn.MAXIFS(CtrlDevImpacts!$I$57:$I$156,CtrlDevImpacts!$H$57:$H$156,$FG101))*IFERROR($QR$13,0)</f>
        <v>0</v>
      </c>
      <c r="GD101" s="313">
        <f>(_xlfn.MAXIFS(Flare!$F$107:$F$216,Flare!$E$107:$E$216,$FG101)-_xlfn.MAXIFS(CtrlDevImpacts!$I$57:$I$156,CtrlDevImpacts!$H$57:$H$156,$FG101))*IFERROR($QR$13,0)</f>
        <v>0</v>
      </c>
      <c r="GE101" s="155">
        <f>_xlfn.MAXIFS(LandEmiss!$B$335:$B$434,LandEmiss!$A$335:$A$434,$FG101)*IFERROR($QR$13,0)</f>
        <v>0</v>
      </c>
      <c r="GF101" s="155">
        <f>(_xlfn.MAXIFS(LandEmiss!$BK$335:$BK$434,LandEmiss!$BJ$335:$BJ$434,$FG101)+_xlfn.MAXIFS(LandEmiss!$DV$323:$DV$422,LandEmiss!$DU$323:$DU$422,$FG101))*IFERROR($QR$13,0)</f>
        <v>0</v>
      </c>
      <c r="GG101" s="313">
        <f>IF(OR(VCU!$D$26="fuel gas",VCU!$D$42="fuel gas"),SUMIF(VCU!$E$120:$E$129,$FG101,VCU!$F$120:$F$129),0)*IFERROR($QR$14,0)</f>
        <v>0</v>
      </c>
      <c r="GH101" s="313">
        <f>(_xlfn.MAXIFS(CtrlDevImpacts!$X$57:$X$156,CtrlDevImpacts!$W$57:$W$156,$FG101))*IFERROR($QR$14,0)</f>
        <v>0</v>
      </c>
      <c r="GI101" s="313">
        <f>(_xlfn.MAXIFS(VCU!$F$130:$F$239,VCU!$E$130:$E$239,$FG101)-_xlfn.MAXIFS(CtrlDevImpacts!$X$57:$X$156,CtrlDevImpacts!$W$57:$W$156,$FG101))*IFERROR($QR$14,0)</f>
        <v>0</v>
      </c>
      <c r="GJ101" s="155">
        <f>_xlfn.MAXIFS(LandEmiss!$D$335:$D$434,LandEmiss!$A$335:$A$434,$FG101)*IFERROR($QR$14,0)</f>
        <v>0</v>
      </c>
      <c r="GK101" s="155">
        <f>(_xlfn.MAXIFS(LandEmiss!$BM$335:$BM$434,LandEmiss!$BJ$335:$BJ$434,$FG101)+_xlfn.MAXIFS(LandEmiss!$DX$323:$DX$422,LandEmiss!$DU$323:$DU$422,$FG101))*IFERROR($QR$14,0)</f>
        <v>0</v>
      </c>
      <c r="GL101" s="313">
        <f>IF(VaporOxidizer!D132="FUEL GAS",SUMIF(VaporOxidizer!$E$101:$E$110,$FG101,VaporOxidizer!$F$101:$F$110),0)*IFERROR($QR$15,0)</f>
        <v>0</v>
      </c>
      <c r="GM101" s="313">
        <f>(_xlfn.MAXIFS(CtrlDevImpacts!$AN$57:$AN$156,CtrlDevImpacts!$AM$57:$AM$156,$FG101))*IFERROR($QR$15,0)</f>
        <v>0</v>
      </c>
      <c r="GN101" s="313">
        <f>(_xlfn.MAXIFS(VaporOxidizer!$F$111:$F$220,VaporOxidizer!$E$111:$E$220,$FG101)-_xlfn.MAXIFS(CtrlDevImpacts!$AN$57:$AN$156,CtrlDevImpacts!$AM$57:$AM$156,$FG101))*IFERROR($QR$15,0)</f>
        <v>0</v>
      </c>
      <c r="GO101" s="155">
        <f>_xlfn.MAXIFS(LandEmiss!$F$335:$F$434,LandEmiss!$A$335:$A$434,$FG101)*IFERROR($QR$15,0)</f>
        <v>0</v>
      </c>
      <c r="GP101" s="155">
        <f>(_xlfn.MAXIFS(LandEmiss!$BK$335:$BK$434,LandEmiss!$BO$335:$BO$434,$FG101)+_xlfn.MAXIFS(LandEmiss!$DZ$323:$DZ$422,LandEmiss!$DU$323:$DU$422,$FG101))*IFERROR($QR$15,0)</f>
        <v>0</v>
      </c>
      <c r="GQ101" s="313">
        <f>_xlfn.MAXIFS(CtrlDevImpacts!$BD$57:$BD$156,CtrlDevImpacts!$BC$57:$BC$156,$FG101)*IFERROR(Hidden!$QR$16,0)</f>
        <v>0</v>
      </c>
      <c r="GR101" s="313">
        <f>(_xlfn.MAXIFS(CAS!$H$35:$H$144,CAS!$E$35:$E$144,$FG101)-_xlfn.MAXIFS(CtrlDevImpacts!$BD$57:$BD$156,CtrlDevImpacts!$BC$57:$BC$156,$FG101))*IFERROR(Hidden!$QR$16,0)</f>
        <v>0</v>
      </c>
      <c r="GS101" s="155">
        <f>_xlfn.MAXIFS(LandEmiss!$H$335:$H$434,LandEmiss!$A$335:$A$434,$FG101)*IFERROR($QR$27,0)</f>
        <v>0</v>
      </c>
      <c r="GT101" s="155">
        <f>(_xlfn.MAXIFS(LandEmiss!$BK$335:$BK$434,LandEmiss!$BQ$335:$BQ$434,$FG101)+_xlfn.MAXIFS(LandEmiss!$EB$323:$EB$422,LandEmiss!$DU$323:$DU$422,$FG101))*IFERROR($QR$27,0)</f>
        <v>0</v>
      </c>
      <c r="GU101" s="155">
        <f>_xlfn.MAXIFS(LandEmiss!$J$335:$J$434,LandEmiss!$A$335:$A$434,$FG101)*IFERROR($QR$26,0)</f>
        <v>0</v>
      </c>
      <c r="GV101" s="155">
        <f>(_xlfn.MAXIFS(LandEmiss!$BK$335:$BK$434,LandEmiss!$BS$335:$BS$434,$FG101)+_xlfn.MAXIFS(LandEmiss!$ED$323:$ED$422,LandEmiss!$DU$323:$DU$422,$FG101))*IFERROR($QR$26,0)</f>
        <v>0</v>
      </c>
      <c r="GW101" s="155">
        <f>_xlfn.MAXIFS(LandEmiss!$L$335:$L$434,LandEmiss!$A$335:$A$434,$FG101)*IFERROR($QR$25,0)</f>
        <v>0</v>
      </c>
      <c r="GX101" s="155">
        <f>(_xlfn.MAXIFS(LandEmiss!$BK$335:$BK$434,LandEmiss!$BU$335:$BU$434,$FG101)+_xlfn.MAXIFS(LandEmiss!$EF$323:$EF$422,LandEmiss!$DU$323:$DU$422,$FG101))*IFERROR($QR$25,0)</f>
        <v>0</v>
      </c>
      <c r="GY101" s="155">
        <v>0</v>
      </c>
      <c r="GZ101" s="155">
        <v>0</v>
      </c>
      <c r="HA101" s="155">
        <f>IF(OR(HeaterBoiler1!$E$26&lt;&gt;"fuel gas",HeaterBoiler1!$E$15&lt;&gt;"heater"),0,SUMIF(HeaterBoiler1!$A$54:$D$63,$FG101,HeaterBoiler1!$I$54:$I$63))*IFERROR($QR$19,0)</f>
        <v>0</v>
      </c>
      <c r="HB101" s="207">
        <f>IF(OR(HeaterBoiler2!$E$26&lt;&gt;"fuel gas",HeaterBoiler2!$E$15&lt;&gt;"heater"),0,SUMIF(HeaterBoiler2!$A$54:$D$63,$FG101,HeaterBoiler2!$I$54:$I$63))*IFERROR($QR$21,0)</f>
        <v>0</v>
      </c>
      <c r="HC101" s="155">
        <f>IF(OR(HeaterBoiler1!$E$26&lt;&gt;"fuel gas",HeaterBoiler1!$E$15&lt;&gt;"boiler"),0,SUMIF(HeaterBoiler1!$A$41:$A$50,$FG101,HeaterBoiler1!$F$41:$F$50))*IFERROR($QR$20,0)</f>
        <v>0</v>
      </c>
      <c r="HD101" s="207">
        <f>IF(OR(HeaterBoiler2!$E$26&lt;&gt;"fuel gas",HeaterBoiler2!$E$15&lt;&gt;"boiler"),0,SUMIF(HeaterBoiler2!$A$41:$A$50,$FG101,HeaterBoiler2!$F$41:$F$50))*IFERROR($QR$22,0)</f>
        <v>0</v>
      </c>
      <c r="HE101" s="155">
        <f>SUMIF(Fug!$A$96:$A$205,$FG101,Fug!$I$96:$I$205)*IFERROR(Hidden!$QR$23,0)</f>
        <v>0</v>
      </c>
      <c r="HF101" s="155">
        <f t="shared" si="46"/>
        <v>0</v>
      </c>
      <c r="HG101" s="156">
        <f t="shared" si="47"/>
        <v>0</v>
      </c>
      <c r="HH101" s="156">
        <f t="shared" si="48"/>
        <v>0</v>
      </c>
      <c r="HI101" s="156">
        <f t="shared" si="49"/>
        <v>0</v>
      </c>
      <c r="HJ101" s="156">
        <f t="shared" si="50"/>
        <v>0</v>
      </c>
      <c r="HK101" s="156">
        <f t="shared" si="51"/>
        <v>0</v>
      </c>
      <c r="HL101" s="156">
        <f t="shared" si="52"/>
        <v>0</v>
      </c>
      <c r="NO101" s="155">
        <f>IF(Tank1!$D$22="No control",(SUMIF(Tank1!$E$32:$E$141,$FG101,Tank1!$H$32:$H$141)*(2000/8760)*IFERROR($QV$3,0)),0)</f>
        <v>0</v>
      </c>
      <c r="NP101" s="156">
        <f>SUMIF(LandEmiss!$AE$20:$AE$119,$FG101,LandEmiss!$AK$20:$AK$119)*(2000/8760)*IFERROR($QV$3,0)</f>
        <v>0</v>
      </c>
      <c r="NQ101" s="156">
        <f>(SUMIF(LandEmiss!$CN$20:$CN$119,$FG101,LandEmiss!$CT$20:$CT$119)+SUMIF(LandEmiss!$EY$9:$EY$108,$FG101,LandEmiss!$FE$9:$FE$108))*IFERROR($QV$3,0)*(2000/8760)</f>
        <v>0</v>
      </c>
      <c r="NR101" s="155">
        <f>IF(Tank2!$D$22="No control",(SUMIF(Tank2!$E$32:$E$141,$FG101,Tank2!$H$32:$H$141)*(2000/8760)*IFERROR($QV$4,0)),0)</f>
        <v>0</v>
      </c>
      <c r="NS101" s="156">
        <f>SUMIF(LandEmiss!$AE$20:$AE$119,$FG101,LandEmiss!$AL$20:$AL$119)*(2000/8760)*IFERROR($QV$4,0)</f>
        <v>0</v>
      </c>
      <c r="NT101" s="156">
        <f>(SUMIF(LandEmiss!$CN$20:$CN$119,$FG101,LandEmiss!$CU$20:$CU$119)+SUMIF(LandEmiss!$EY$9:$EY$108,$FG101,LandEmiss!$FF$9:$FF$108))*IFERROR($QV$4,0)*(2000/8760)</f>
        <v>0</v>
      </c>
      <c r="NU101" s="155">
        <f>IF(Tank3!$D$22="No control",(SUMIF(Tank3!$E$32:$E$141,$FG101,Tank3!$H$32:$H$141)*(2000/8760)*IFERROR($QV$5,0)),0)</f>
        <v>0</v>
      </c>
      <c r="NV101" s="156">
        <f>SUMIF(LandEmiss!$AE$20:$AE$119,$FG101,LandEmiss!$AM$20:$AM$119)*(2000/8760)*IFERROR($QV$5,0)</f>
        <v>0</v>
      </c>
      <c r="NW101" s="156">
        <f>(SUMIF(LandEmiss!$CN$20:$CN$119,$FG101,LandEmiss!$CV$20:$CV$119)+SUMIF(LandEmiss!$EY$9:$EY$108,$FG101,LandEmiss!$FG$9:$FG$108))*IFERROR($QV$5,0)*(2000/8760)</f>
        <v>0</v>
      </c>
      <c r="NX101" s="155">
        <f>IF(Tank4!$D$22="No control",(SUMIF(Tank4!$E$32:$E$141,$FG101,Tank4!$H$32:$H$141)*(2000/8760)*IFERROR($QV$6,0)),0)</f>
        <v>0</v>
      </c>
      <c r="NY101" s="156">
        <f>SUMIF(LandEmiss!$AE$20:$AE$119,$FG101,LandEmiss!$AN$20:$AN$119)*(2000/8760)*IFERROR($QV$6,0)</f>
        <v>0</v>
      </c>
      <c r="NZ101" s="156">
        <f>(SUMIF(LandEmiss!$CN$20:$CN$119,$FG101,LandEmiss!$CW$20:$CW$119)+SUMIF(LandEmiss!$EY$9:$EY$108,$FG101,LandEmiss!$FH$9:$FH$108))*IFERROR($QV$6,0)*(2000/8760)</f>
        <v>0</v>
      </c>
      <c r="OA101" s="155">
        <f>IF(Tank5!$D$22="No control",(SUMIF(Tank5!$E$32:$E$141,$FG101,Tank5!$H$32:$H$141)*(2000/8760)*IFERROR($QV$7,0)),0)</f>
        <v>0</v>
      </c>
      <c r="OB101" s="156">
        <f>SUMIF(LandEmiss!$AE$20:$AE$119,$FG101,LandEmiss!$AO$20:$AO$119)*(2000/8760)*IFERROR($QV$7,0)</f>
        <v>0</v>
      </c>
      <c r="OC101" s="156">
        <f>(SUMIF(LandEmiss!$CN$20:$CN$119,$FG101,LandEmiss!$CX$20:$CX$119)+SUMIF(LandEmiss!$EY$9:$EY$108,$FG101,LandEmiss!$FI$9:$FI$108))*IFERROR($QV$7,0)*(2000/8760)</f>
        <v>0</v>
      </c>
      <c r="OD101" s="155">
        <f>SUMIFS('Load-DrumTote'!$L$27:$L$136,'Load-DrumTote'!$F$27:$F$136,$FG101)*IFERROR($QV$8,0)*(2000/8760)</f>
        <v>0</v>
      </c>
      <c r="OE101" s="155">
        <f>SUMIFS('Load-Truck'!$L$27:$L$136,'Load-Truck'!$F$27:$F$136,$FG101)*IFERROR($QV$9,0)*(2000/8760)</f>
        <v>0</v>
      </c>
      <c r="OF101" s="155">
        <f>SUMIFS('Load-Rail'!$L$27:$L$136,'Load-Rail'!$F$27:$F$136,$FG101)*IFERROR($QV$10,0)*(2000/8760)</f>
        <v>0</v>
      </c>
      <c r="OG101" s="155">
        <f>SUMIFS('Load-MarineBarge'!$L$27:$L$136,'Load-MarineBarge'!$F$27:$F$136,$FG101)*IFERROR($QV$11,0)*(2000/8760)</f>
        <v>0</v>
      </c>
      <c r="OH101" s="155">
        <f>SUMIFS('Load-MarineShip'!$L$27:$L$136,'Load-MarineShip'!$F$27:$F$136,$FG101)*IFERROR($QV$12,0)*(2000/8760)</f>
        <v>0</v>
      </c>
      <c r="OI101" s="155">
        <f>(IF(OR(Flare!$D$24="FUEL GAS",Flare!$D$38="FUEL GAS"),SUMIF(Flare!$E$97:$E$106,$FG101,Flare!$G$97:$G$105),0)+SUMIF(Flare!$E$107:$E$216,$FG101,Flare!$G$107:$G$216))*(2000/8730)*IFERROR($QV$13,0)</f>
        <v>0</v>
      </c>
      <c r="OJ101" s="155">
        <f>SUMIF(LandEmiss!$A$335:$A$434,$FG101,LandEmiss!$C$335:$C$434)*(2000/8760)*IFERROR($QV$13,0)</f>
        <v>0</v>
      </c>
      <c r="OK101" s="155">
        <f>(SUMIF(LandEmiss!$BJ$335:$BJ$434,$FG101,LandEmiss!$BL$335:$BL$434)+SUMIF(LandEmiss!$DU$323:$DU$422,$FG101,LandEmiss!$DW$323:$DW$422))*(2000/8760)*IFERROR($QV$13,0)</f>
        <v>0</v>
      </c>
      <c r="OL101" s="155">
        <f>(IF(OR(VCU!$D$26="FUEL GAS",VCU!$D$42="FUEL GAS"),SUMIF(VCU!$E$120:$E$129,$FG101,VCU!$G$120:$G$129),0)+SUMIF(VCU!$E$130:$E$239,$FG101,VCU!G229:G338))*(2000/8760)*IFERROR($QV$14,0)</f>
        <v>0</v>
      </c>
      <c r="OM101" s="155">
        <f>SUMIF(LandEmiss!$A$335:$A$434,$FG101,LandEmiss!$E$335:$E$434)*(2000/8760)*IFERROR($QV$14,0)</f>
        <v>0</v>
      </c>
      <c r="ON101" s="155">
        <f>(SUMIF(LandEmiss!$BJ$335:$BJ$434,$FG101,LandEmiss!$BN$335:$BN$434)+SUMIF(LandEmiss!$DU$323:$DU$422,$FG101,LandEmiss!$DY$323:$DY$422))*(2000/8760)*IFERROR($QV$14,0)</f>
        <v>0</v>
      </c>
      <c r="OO101" s="155">
        <f>(IF(VaporOxidizer!$D$33="FUEL GAS",SUMIF(VaporOxidizer!$E$101:$E$110,$FG101,VaporOxidizer!$G$101:$G$110),0)+SUMIF(VaporOxidizer!$E$111:$E$220,$FG101,VaporOxidizer!$G$111:$G$220))*(2000/8760)*IFERROR($QV$15,0)</f>
        <v>0</v>
      </c>
      <c r="OP101" s="155">
        <f>SUMIF(LandEmiss!$A$335:$A$434,$FG101,LandEmiss!$G$335:$G$434)*(2000/8760)*IFERROR($QV$15,0)</f>
        <v>0</v>
      </c>
      <c r="OQ101" s="155">
        <f>(SUMIF(LandEmiss!$BJ$335:$BJ$434,$FG101,LandEmiss!$BP$335:$BP$434)+SUMIF(LandEmiss!$DU$323:$DU$422,$FG101,LandEmiss!$EA$323:$EA$422))*(2000/8760)*IFERROR($QV$15,0)</f>
        <v>0</v>
      </c>
      <c r="OR101" s="155">
        <f>SUMIF(CAS!$E$35:$E$144,Hidden!$FG101,CAS!$I$35:$I$144)*IFERROR($QV$16,0)*(2000/8760)</f>
        <v>0</v>
      </c>
      <c r="OS101" s="155">
        <f>SUMIF(LandEmiss!$A$335:$A$434,$FG101,LandEmiss!$I$335:$I$434)*(2000/8760)*IFERROR($QV$27,0)</f>
        <v>0</v>
      </c>
      <c r="OT101" s="155">
        <f>(SUMIF(LandEmiss!$BJ$335:$BJ$434,$FG101,LandEmiss!$BR$335:$BR$434)+SUMIF(LandEmiss!$DU$323:$DU$422,$FG101,LandEmiss!$EC$323:$EC$422))*(2000/8760)*IFERROR($QV$27,0)</f>
        <v>0</v>
      </c>
      <c r="OU101" s="155">
        <f>SUMIF(LandEmiss!$A$335:$A$434,$FG101,LandEmiss!$K$335:$K$434)*(2000/8760)*IFERROR($QV$26,0)</f>
        <v>0</v>
      </c>
      <c r="OV101" s="155">
        <f>(SUMIF(LandEmiss!$BJ$335:$BJ$434,$FG101,LandEmiss!$BT$335:$BT$434)+SUMIF(LandEmiss!$DU$323:$DU$422,$FG101,LandEmiss!$EE$323:$EE$422))*(2000/8760)*IFERROR($QV$26,0)</f>
        <v>0</v>
      </c>
      <c r="OW101" s="155">
        <f>SUMIF(LandEmiss!$A$335:$A$434,$FG101,LandEmiss!$M$335:$M$434)*(2000/8760)*IFERROR($QV$25,0)</f>
        <v>0</v>
      </c>
      <c r="OX101" s="155">
        <f>(SUMIF(LandEmiss!$BJ$335:$BJ$434,$FG101,LandEmiss!$BV$335:$BV$434)+SUMIF(LandEmiss!$DU$323:$DU$422,$FG101,LandEmiss!$EG$323:$EG$422))*(2000/8760)*IFERROR($QV$25,0)</f>
        <v>0</v>
      </c>
      <c r="OY101" s="8">
        <v>0</v>
      </c>
      <c r="OZ101" s="207">
        <v>0</v>
      </c>
      <c r="PA101" s="207">
        <f>IF(OR(HeaterBoiler1!$E$26&lt;&gt;"fuel gas",HeaterBoiler1!$E$15&lt;&gt;"heater"),0,(SUMIF(HeaterBoiler1!$A$54:$D$63,$FG101,HeaterBoiler1!$J$54:$J$63))*(2000/8760))*IFERROR($QV$19,0)</f>
        <v>0</v>
      </c>
      <c r="PB101" s="207">
        <f>IF(OR(HeaterBoiler2!$E$26&lt;&gt;"fuel gas",HeaterBoiler2!$E$15&lt;&gt;"heater"),0,(SUMIF(HeaterBoiler2!$A$54:$D$63,$FG101,HeaterBoiler2!$J$54:$J$63))*(2000/8760))*IFERROR($QV$21,0)</f>
        <v>0</v>
      </c>
      <c r="PC101" s="207">
        <f>IF(OR(HeaterBoiler1!$E$26&lt;&gt;"fuel gas",HeaterBoiler1!$E$15&lt;&gt;"boiler"),0,(SUMIF(HeaterBoiler1!$A$54:$D$63,$FG101,HeaterBoiler1!$J$54:$J$63))*(2000/8760))*IFERROR($QV$20,0)</f>
        <v>0</v>
      </c>
      <c r="PD101" s="207">
        <f>IF(OR(HeaterBoiler2!$E$26&lt;&gt;"fuel gas",HeaterBoiler2!$E$15&lt;&gt;"boiler"),0,(SUMIF(HeaterBoiler2!$A$54:$D$63,$FG101,HeaterBoiler2!$J$54:$J$63))*(2000/8760))*IFERROR($QV$22,0)</f>
        <v>0</v>
      </c>
      <c r="PE101" s="8">
        <f>(SUMIF(Fug!$A$96:$A$205,$FG101,Fug!$J$96:$J$205))*IFERROR($QV$23,0)*(2000/8760)</f>
        <v>0</v>
      </c>
      <c r="PF101" s="8">
        <f t="shared" si="53"/>
        <v>0</v>
      </c>
      <c r="PG101" s="156">
        <f t="shared" si="54"/>
        <v>0</v>
      </c>
      <c r="QX101" s="89" t="s">
        <v>9317</v>
      </c>
      <c r="QY101">
        <v>401.9</v>
      </c>
      <c r="QZ101">
        <v>287.10000000000002</v>
      </c>
      <c r="RA101">
        <v>247.5</v>
      </c>
      <c r="RB101">
        <v>161.1</v>
      </c>
      <c r="RC101">
        <v>114.1</v>
      </c>
      <c r="RD101">
        <v>86.63</v>
      </c>
      <c r="RE101">
        <v>68.209999999999994</v>
      </c>
      <c r="RF101">
        <v>51.89</v>
      </c>
      <c r="RG101" s="90">
        <v>45.85</v>
      </c>
      <c r="RH101" s="89" t="s">
        <v>9317</v>
      </c>
      <c r="RI101">
        <v>392.4</v>
      </c>
      <c r="RJ101">
        <v>202.2</v>
      </c>
      <c r="RK101">
        <v>116.8</v>
      </c>
      <c r="RL101">
        <v>81.55</v>
      </c>
      <c r="RM101">
        <v>61.93</v>
      </c>
      <c r="RN101">
        <v>50.36</v>
      </c>
      <c r="RO101">
        <v>46.92</v>
      </c>
      <c r="RP101">
        <v>40.06</v>
      </c>
      <c r="RQ101" s="90">
        <v>36.22</v>
      </c>
      <c r="RR101" s="89" t="s">
        <v>9317</v>
      </c>
      <c r="RS101">
        <v>332.6</v>
      </c>
      <c r="RT101">
        <v>171.9</v>
      </c>
      <c r="RU101">
        <v>95.66</v>
      </c>
      <c r="RV101">
        <v>60.18</v>
      </c>
      <c r="RW101">
        <v>47.85</v>
      </c>
      <c r="RX101">
        <v>40.99</v>
      </c>
      <c r="RY101">
        <v>36.47</v>
      </c>
      <c r="RZ101">
        <v>30.15</v>
      </c>
      <c r="SA101" s="90">
        <v>26.18</v>
      </c>
      <c r="SB101" s="89" t="s">
        <v>9317</v>
      </c>
      <c r="SC101">
        <v>159.5</v>
      </c>
      <c r="SD101">
        <v>82.78</v>
      </c>
      <c r="SE101">
        <v>46.52</v>
      </c>
      <c r="SF101">
        <v>29.63</v>
      </c>
      <c r="SG101">
        <v>24.41</v>
      </c>
      <c r="SH101">
        <v>20.89</v>
      </c>
      <c r="SI101">
        <v>19.18</v>
      </c>
      <c r="SJ101">
        <v>14.39</v>
      </c>
      <c r="SK101" s="90">
        <v>11.67</v>
      </c>
      <c r="SL101" s="89" t="s">
        <v>9317</v>
      </c>
      <c r="SM101">
        <v>35.32</v>
      </c>
      <c r="SN101">
        <v>18.260000000000002</v>
      </c>
      <c r="SO101">
        <v>10.46</v>
      </c>
      <c r="SP101">
        <v>7.08</v>
      </c>
      <c r="SQ101">
        <v>5.88</v>
      </c>
      <c r="SR101">
        <v>5.01</v>
      </c>
      <c r="SS101">
        <v>4.3099999999999996</v>
      </c>
      <c r="ST101">
        <v>3.02</v>
      </c>
      <c r="SU101" s="90">
        <v>2.23</v>
      </c>
    </row>
    <row r="102" spans="23:515" ht="74.25" customHeight="1" x14ac:dyDescent="0.2">
      <c r="W102">
        <f>IF(OR(X102=0,ISNUMBER(MATCH(X102,$X$1:X101,0))),0,MAX($W$1:W101)+1)</f>
        <v>0</v>
      </c>
      <c r="X102" s="123">
        <f>Products!$E149</f>
        <v>0</v>
      </c>
      <c r="Y102" t="str">
        <f t="shared" si="55"/>
        <v/>
      </c>
      <c r="CA102">
        <f>IF(OR(CB102=0,ISNUMBER(MATCH(CB102,$CB$1:CB101,0))),0,MAX($CA$1:CA101)+1)</f>
        <v>0</v>
      </c>
      <c r="CB102" s="8">
        <f>IF(OR(Tank1!$D$18="EXTERNAL FLOATING ROOF",Tank1!$D$18="INTERNAL FLOATING ROOF"),IF(Tank1!$E132="",0,Tank1!$E132),0)</f>
        <v>0</v>
      </c>
      <c r="CC102" s="8" t="str">
        <f t="shared" si="43"/>
        <v/>
      </c>
      <c r="CD102" s="8"/>
      <c r="CE102" s="8">
        <f>IF(OR(CF102=0,ISNUMBER(MATCH(CF102,$CF$1:CF101,0))),0,MAX($CE$1:CE101)+1)</f>
        <v>0</v>
      </c>
      <c r="CF102" s="8">
        <f>IF(OR(Tank1!$D$18="HORIZONTAL FIXED ROOF",Tank1!$D$18="VERTICAL FIXED ROOF"),IF(Tank1!$E132="",0,Tank1!$E132),0)</f>
        <v>0</v>
      </c>
      <c r="CG102" s="8" t="str">
        <f t="shared" si="44"/>
        <v/>
      </c>
      <c r="FB102" s="8" t="s">
        <v>544</v>
      </c>
      <c r="FC102" s="8" t="s">
        <v>545</v>
      </c>
      <c r="FD102" s="8">
        <v>24</v>
      </c>
      <c r="FE102" s="8">
        <v>2.4</v>
      </c>
      <c r="FG102" s="360" t="str">
        <f t="shared" si="45"/>
        <v/>
      </c>
      <c r="FH102" s="155">
        <f>IF(Tank1!$D$22="NO CONTROL",_xlfn.MAXIFS(Tank1!$G$32:$G$141,Tank1!$E$32:$E$141,$FG102),0)*IFERROR($QR$3,0)</f>
        <v>0</v>
      </c>
      <c r="FI102" s="155">
        <f>_xlfn.MAXIFS(LandEmiss!$AF$20:$AF$119,LandEmiss!$AE$20:$AE$119,$FG102)*IFERROR($QR$3,0)</f>
        <v>0</v>
      </c>
      <c r="FJ102" s="155">
        <f>MAX(_xlfn.MAXIFS(LandEmiss!$CO$20:$CO$119,LandEmiss!$CN$20:$CN$119,$FG102),_xlfn.MAXIFS(LandEmiss!$EZ$9:$EZ$108,LandEmiss!$EY$9:$EY$108,$FG102))*IFERROR($QR$3,0)</f>
        <v>0</v>
      </c>
      <c r="FK102" s="155">
        <f>IF(Tank2!$D$22="NO CONTROL",_xlfn.MAXIFS(Tank2!$G$32:$G$141,Tank2!$E$32:$E$141,$FG102),0)*IFERROR($QR$4,0)</f>
        <v>0</v>
      </c>
      <c r="FL102" s="155">
        <f>_xlfn.MAXIFS(LandEmiss!$AG$20:$AG$119,LandEmiss!$AE$20:$AE$119,$FG102)*IFERROR($QR$4,0)</f>
        <v>0</v>
      </c>
      <c r="FM102" s="155">
        <f>MAX(_xlfn.MAXIFS(LandEmiss!$CP$20:$CP$119,LandEmiss!$CN$20:$CN$119,$FG102),_xlfn.MAXIFS(LandEmiss!$FA$9:$FA$108,LandEmiss!$EY$9:$EY$108,$FG102))*IFERROR($QR$4,0)</f>
        <v>0</v>
      </c>
      <c r="FN102" s="155">
        <f>IF(Tank3!$D$22="NO CONTROL",_xlfn.MAXIFS(Tank3!$G$32:$G$141,Tank3!$E$32:$E$141,$FG102),0)*IFERROR($QR$5,0)</f>
        <v>0</v>
      </c>
      <c r="FO102" s="155">
        <f>_xlfn.MAXIFS(LandEmiss!$AH$20:$AH$119,LandEmiss!$AE$20:$AE$119,$FG102)*IFERROR($QR$5,0)</f>
        <v>0</v>
      </c>
      <c r="FP102" s="155">
        <f>MAX(_xlfn.MAXIFS(LandEmiss!$CQ$20:$CQ$119,LandEmiss!$CN$20:$CN$119,$FG102),_xlfn.MAXIFS(LandEmiss!$FB$9:$FB$108,LandEmiss!$EY$9:$EY$108,$FG102))*IFERROR($QR$5,0)</f>
        <v>0</v>
      </c>
      <c r="FQ102" s="155">
        <f>IF(Tank4!$D$22="NO CONTROL",_xlfn.MAXIFS(Tank4!$G$32:$G$141,Tank4!$E$32:$E$141,$FG102),0)*IFERROR($QR$6,0)</f>
        <v>0</v>
      </c>
      <c r="FR102" s="155">
        <f>_xlfn.MAXIFS(LandEmiss!$AI$20:$AI$119,LandEmiss!$AE$20:$AE$119,$FG102)*IFERROR($QR$6,0)</f>
        <v>0</v>
      </c>
      <c r="FS102" s="155">
        <f>MAX(_xlfn.MAXIFS(LandEmiss!$CR$20:$CR$119,LandEmiss!$CN$20:$CN$119,$FG102),_xlfn.MAXIFS(LandEmiss!$FC$9:$FC$108,LandEmiss!$EY$9:$EY$108,$FG102))*IFERROR($QR$6,0)</f>
        <v>0</v>
      </c>
      <c r="FT102" s="155">
        <f>IF(Tank5!$D$22="NO CONTROL",_xlfn.MAXIFS(Tank5!$G$32:$G$141,Tank5!$E$32:$E$141,$FG102),0)*IFERROR($QR$7,0)</f>
        <v>0</v>
      </c>
      <c r="FU102" s="155">
        <f>_xlfn.MAXIFS(LandEmiss!$AJ$20:$AJ$119,LandEmiss!$AE$20:$AE$119,$FG102)*IFERROR($QR$7,0)</f>
        <v>0</v>
      </c>
      <c r="FV102" s="155">
        <f>MAX(_xlfn.MAXIFS(LandEmiss!$CS$20:$CS$119,LandEmiss!$CN$20:$CN$119,$FG102),_xlfn.MAXIFS(LandEmiss!$FD$9:$FD$108,LandEmiss!$EY$9:$EY$108,$FG102))*IFERROR($QR107,0)</f>
        <v>0</v>
      </c>
      <c r="FW102" s="155">
        <f>_xlfn.MAXIFS('Load-DrumTote'!$K$27:$K$136,'Load-DrumTote'!$F$27:$F$136,$FG102)*IFERROR($QR$8,0)</f>
        <v>0</v>
      </c>
      <c r="FX102" s="155">
        <f>_xlfn.MAXIFS('Load-Truck'!$K$27:$K$136,'Load-Truck'!$F$27:$F$136,$FG102)*IFERROR($QR$9,0)</f>
        <v>0</v>
      </c>
      <c r="FY102" s="155">
        <f>_xlfn.MAXIFS('Load-Rail'!$K$27:$K$136,'Load-Rail'!$F$27:$F$136,$FG102)*IFERROR($QR$10,0)</f>
        <v>0</v>
      </c>
      <c r="FZ102" s="155">
        <f>_xlfn.MAXIFS('Load-MarineBarge'!$K$27:$K$136,'Load-MarineBarge'!$F$27:$F$136,$FG102)*IFERROR($QR$11,0)</f>
        <v>0</v>
      </c>
      <c r="GA102" s="155">
        <f>_xlfn.MAXIFS('Load-MarineShip'!$K$27:$K$136,'Load-MarineShip'!$F$27:$F$136,$FG102)*IFERROR($QR$12,0)</f>
        <v>0</v>
      </c>
      <c r="GB102" s="313">
        <f>IF(OR(Flare!$D$24="fuel gas",Flare!$D$38="fuel gas"),SUMIF(Flare!$E$97:$E$106,$FG102,Flare!$F$97:$F$106),0)*IFERROR($QR$13,0)</f>
        <v>0</v>
      </c>
      <c r="GC102" s="313">
        <f>(_xlfn.MAXIFS(CtrlDevImpacts!$I$57:$I$156,CtrlDevImpacts!$H$57:$H$156,$FG102))*IFERROR($QR$13,0)</f>
        <v>0</v>
      </c>
      <c r="GD102" s="313">
        <f>(_xlfn.MAXIFS(Flare!$F$107:$F$216,Flare!$E$107:$E$216,$FG102)-_xlfn.MAXIFS(CtrlDevImpacts!$I$57:$I$156,CtrlDevImpacts!$H$57:$H$156,$FG102))*IFERROR($QR$13,0)</f>
        <v>0</v>
      </c>
      <c r="GE102" s="155">
        <f>_xlfn.MAXIFS(LandEmiss!$B$335:$B$434,LandEmiss!$A$335:$A$434,$FG102)*IFERROR($QR$13,0)</f>
        <v>0</v>
      </c>
      <c r="GF102" s="155">
        <f>(_xlfn.MAXIFS(LandEmiss!$BK$335:$BK$434,LandEmiss!$BJ$335:$BJ$434,$FG102)+_xlfn.MAXIFS(LandEmiss!$DV$323:$DV$422,LandEmiss!$DU$323:$DU$422,$FG102))*IFERROR($QR$13,0)</f>
        <v>0</v>
      </c>
      <c r="GG102" s="313">
        <f>IF(OR(VCU!$D$26="fuel gas",VCU!$D$42="fuel gas"),SUMIF(VCU!$E$120:$E$129,$FG102,VCU!$F$120:$F$129),0)*IFERROR($QR$14,0)</f>
        <v>0</v>
      </c>
      <c r="GH102" s="313">
        <f>(_xlfn.MAXIFS(CtrlDevImpacts!$X$57:$X$156,CtrlDevImpacts!$W$57:$W$156,$FG102))*IFERROR($QR$14,0)</f>
        <v>0</v>
      </c>
      <c r="GI102" s="313">
        <f>(_xlfn.MAXIFS(VCU!$F$130:$F$239,VCU!$E$130:$E$239,$FG102)-_xlfn.MAXIFS(CtrlDevImpacts!$X$57:$X$156,CtrlDevImpacts!$W$57:$W$156,$FG102))*IFERROR($QR$14,0)</f>
        <v>0</v>
      </c>
      <c r="GJ102" s="155">
        <f>_xlfn.MAXIFS(LandEmiss!$D$335:$D$434,LandEmiss!$A$335:$A$434,$FG102)*IFERROR($QR$14,0)</f>
        <v>0</v>
      </c>
      <c r="GK102" s="155">
        <f>(_xlfn.MAXIFS(LandEmiss!$BM$335:$BM$434,LandEmiss!$BJ$335:$BJ$434,$FG102)+_xlfn.MAXIFS(LandEmiss!$DX$323:$DX$422,LandEmiss!$DU$323:$DU$422,$FG102))*IFERROR($QR$14,0)</f>
        <v>0</v>
      </c>
      <c r="GL102" s="313">
        <f>IF(VaporOxidizer!D133="FUEL GAS",SUMIF(VaporOxidizer!$E$101:$E$110,$FG102,VaporOxidizer!$F$101:$F$110),0)*IFERROR($QR$15,0)</f>
        <v>0</v>
      </c>
      <c r="GM102" s="313">
        <f>(_xlfn.MAXIFS(CtrlDevImpacts!$AN$57:$AN$156,CtrlDevImpacts!$AM$57:$AM$156,$FG102))*IFERROR($QR$15,0)</f>
        <v>0</v>
      </c>
      <c r="GN102" s="313">
        <f>(_xlfn.MAXIFS(VaporOxidizer!$F$111:$F$220,VaporOxidizer!$E$111:$E$220,$FG102)-_xlfn.MAXIFS(CtrlDevImpacts!$AN$57:$AN$156,CtrlDevImpacts!$AM$57:$AM$156,$FG102))*IFERROR($QR$15,0)</f>
        <v>0</v>
      </c>
      <c r="GO102" s="155">
        <f>_xlfn.MAXIFS(LandEmiss!$F$335:$F$434,LandEmiss!$A$335:$A$434,$FG102)*IFERROR($QR$15,0)</f>
        <v>0</v>
      </c>
      <c r="GP102" s="155">
        <f>(_xlfn.MAXIFS(LandEmiss!$BK$335:$BK$434,LandEmiss!$BO$335:$BO$434,$FG102)+_xlfn.MAXIFS(LandEmiss!$DZ$323:$DZ$422,LandEmiss!$DU$323:$DU$422,$FG102))*IFERROR($QR$15,0)</f>
        <v>0</v>
      </c>
      <c r="GQ102" s="313">
        <f>_xlfn.MAXIFS(CtrlDevImpacts!$BD$57:$BD$156,CtrlDevImpacts!$BC$57:$BC$156,$FG102)*IFERROR(Hidden!$QR$16,0)</f>
        <v>0</v>
      </c>
      <c r="GR102" s="313">
        <f>(_xlfn.MAXIFS(CAS!$H$35:$H$144,CAS!$E$35:$E$144,$FG102)-_xlfn.MAXIFS(CtrlDevImpacts!$BD$57:$BD$156,CtrlDevImpacts!$BC$57:$BC$156,$FG102))*IFERROR(Hidden!$QR$16,0)</f>
        <v>0</v>
      </c>
      <c r="GS102" s="155">
        <f>_xlfn.MAXIFS(LandEmiss!$H$335:$H$434,LandEmiss!$A$335:$A$434,$FG102)*IFERROR($QR$27,0)</f>
        <v>0</v>
      </c>
      <c r="GT102" s="155">
        <f>(_xlfn.MAXIFS(LandEmiss!$BK$335:$BK$434,LandEmiss!$BQ$335:$BQ$434,$FG102)+_xlfn.MAXIFS(LandEmiss!$EB$323:$EB$422,LandEmiss!$DU$323:$DU$422,$FG102))*IFERROR($QR$27,0)</f>
        <v>0</v>
      </c>
      <c r="GU102" s="155">
        <f>_xlfn.MAXIFS(LandEmiss!$J$335:$J$434,LandEmiss!$A$335:$A$434,$FG102)*IFERROR($QR$26,0)</f>
        <v>0</v>
      </c>
      <c r="GV102" s="155">
        <f>(_xlfn.MAXIFS(LandEmiss!$BK$335:$BK$434,LandEmiss!$BS$335:$BS$434,$FG102)+_xlfn.MAXIFS(LandEmiss!$ED$323:$ED$422,LandEmiss!$DU$323:$DU$422,$FG102))*IFERROR($QR$26,0)</f>
        <v>0</v>
      </c>
      <c r="GW102" s="155">
        <f>_xlfn.MAXIFS(LandEmiss!$L$335:$L$434,LandEmiss!$A$335:$A$434,$FG102)*IFERROR($QR$25,0)</f>
        <v>0</v>
      </c>
      <c r="GX102" s="155">
        <f>(_xlfn.MAXIFS(LandEmiss!$BK$335:$BK$434,LandEmiss!$BU$335:$BU$434,$FG102)+_xlfn.MAXIFS(LandEmiss!$EF$323:$EF$422,LandEmiss!$DU$323:$DU$422,$FG102))*IFERROR($QR$25,0)</f>
        <v>0</v>
      </c>
      <c r="GY102" s="155">
        <v>0</v>
      </c>
      <c r="GZ102" s="155">
        <v>0</v>
      </c>
      <c r="HA102" s="155">
        <f>IF(OR(HeaterBoiler1!$E$26&lt;&gt;"fuel gas",HeaterBoiler1!$E$15&lt;&gt;"heater"),0,SUMIF(HeaterBoiler1!$A$54:$D$63,$FG102,HeaterBoiler1!$I$54:$I$63))*IFERROR($QR$19,0)</f>
        <v>0</v>
      </c>
      <c r="HB102" s="207">
        <f>IF(OR(HeaterBoiler2!$E$26&lt;&gt;"fuel gas",HeaterBoiler2!$E$15&lt;&gt;"heater"),0,SUMIF(HeaterBoiler2!$A$54:$D$63,$FG102,HeaterBoiler2!$I$54:$I$63))*IFERROR($QR$21,0)</f>
        <v>0</v>
      </c>
      <c r="HC102" s="155">
        <f>IF(OR(HeaterBoiler1!$E$26&lt;&gt;"fuel gas",HeaterBoiler1!$E$15&lt;&gt;"boiler"),0,SUMIF(HeaterBoiler1!$A$41:$A$50,$FG102,HeaterBoiler1!$F$41:$F$50))*IFERROR($QR$20,0)</f>
        <v>0</v>
      </c>
      <c r="HD102" s="207">
        <f>IF(OR(HeaterBoiler2!$E$26&lt;&gt;"fuel gas",HeaterBoiler2!$E$15&lt;&gt;"boiler"),0,SUMIF(HeaterBoiler2!$A$41:$A$50,$FG102,HeaterBoiler2!$F$41:$F$50))*IFERROR($QR$22,0)</f>
        <v>0</v>
      </c>
      <c r="HE102" s="155">
        <f>SUMIF(Fug!$A$96:$A$205,$FG102,Fug!$I$96:$I$205)*IFERROR(Hidden!$QR$23,0)</f>
        <v>0</v>
      </c>
      <c r="HF102" s="155">
        <f t="shared" si="46"/>
        <v>0</v>
      </c>
      <c r="HG102" s="156">
        <f t="shared" si="47"/>
        <v>0</v>
      </c>
      <c r="HH102" s="156">
        <f t="shared" si="48"/>
        <v>0</v>
      </c>
      <c r="HI102" s="156">
        <f t="shared" si="49"/>
        <v>0</v>
      </c>
      <c r="HJ102" s="156">
        <f t="shared" si="50"/>
        <v>0</v>
      </c>
      <c r="HK102" s="156">
        <f t="shared" si="51"/>
        <v>0</v>
      </c>
      <c r="HL102" s="156">
        <f t="shared" si="52"/>
        <v>0</v>
      </c>
      <c r="NO102" s="155">
        <f>IF(Tank1!$D$22="No control",(SUMIF(Tank1!$E$32:$E$141,$FG102,Tank1!$H$32:$H$141)*(2000/8760)*IFERROR($QV$3,0)),0)</f>
        <v>0</v>
      </c>
      <c r="NP102" s="156">
        <f>SUMIF(LandEmiss!$AE$20:$AE$119,$FG102,LandEmiss!$AK$20:$AK$119)*(2000/8760)*IFERROR($QV$3,0)</f>
        <v>0</v>
      </c>
      <c r="NQ102" s="156">
        <f>(SUMIF(LandEmiss!$CN$20:$CN$119,$FG102,LandEmiss!$CT$20:$CT$119)+SUMIF(LandEmiss!$EY$9:$EY$108,$FG102,LandEmiss!$FE$9:$FE$108))*IFERROR($QV$3,0)*(2000/8760)</f>
        <v>0</v>
      </c>
      <c r="NR102" s="155">
        <f>IF(Tank2!$D$22="No control",(SUMIF(Tank2!$E$32:$E$141,$FG102,Tank2!$H$32:$H$141)*(2000/8760)*IFERROR($QV$4,0)),0)</f>
        <v>0</v>
      </c>
      <c r="NS102" s="156">
        <f>SUMIF(LandEmiss!$AE$20:$AE$119,$FG102,LandEmiss!$AL$20:$AL$119)*(2000/8760)*IFERROR($QV$4,0)</f>
        <v>0</v>
      </c>
      <c r="NT102" s="156">
        <f>(SUMIF(LandEmiss!$CN$20:$CN$119,$FG102,LandEmiss!$CU$20:$CU$119)+SUMIF(LandEmiss!$EY$9:$EY$108,$FG102,LandEmiss!$FF$9:$FF$108))*IFERROR($QV$4,0)*(2000/8760)</f>
        <v>0</v>
      </c>
      <c r="NU102" s="155">
        <f>IF(Tank3!$D$22="No control",(SUMIF(Tank3!$E$32:$E$141,$FG102,Tank3!$H$32:$H$141)*(2000/8760)*IFERROR($QV$5,0)),0)</f>
        <v>0</v>
      </c>
      <c r="NV102" s="156">
        <f>SUMIF(LandEmiss!$AE$20:$AE$119,$FG102,LandEmiss!$AM$20:$AM$119)*(2000/8760)*IFERROR($QV$5,0)</f>
        <v>0</v>
      </c>
      <c r="NW102" s="156">
        <f>(SUMIF(LandEmiss!$CN$20:$CN$119,$FG102,LandEmiss!$CV$20:$CV$119)+SUMIF(LandEmiss!$EY$9:$EY$108,$FG102,LandEmiss!$FG$9:$FG$108))*IFERROR($QV$5,0)*(2000/8760)</f>
        <v>0</v>
      </c>
      <c r="NX102" s="155">
        <f>IF(Tank4!$D$22="No control",(SUMIF(Tank4!$E$32:$E$141,$FG102,Tank4!$H$32:$H$141)*(2000/8760)*IFERROR($QV$6,0)),0)</f>
        <v>0</v>
      </c>
      <c r="NY102" s="156">
        <f>SUMIF(LandEmiss!$AE$20:$AE$119,$FG102,LandEmiss!$AN$20:$AN$119)*(2000/8760)*IFERROR($QV$6,0)</f>
        <v>0</v>
      </c>
      <c r="NZ102" s="156">
        <f>(SUMIF(LandEmiss!$CN$20:$CN$119,$FG102,LandEmiss!$CW$20:$CW$119)+SUMIF(LandEmiss!$EY$9:$EY$108,$FG102,LandEmiss!$FH$9:$FH$108))*IFERROR($QV$6,0)*(2000/8760)</f>
        <v>0</v>
      </c>
      <c r="OA102" s="155">
        <f>IF(Tank5!$D$22="No control",(SUMIF(Tank5!$E$32:$E$141,$FG102,Tank5!$H$32:$H$141)*(2000/8760)*IFERROR($QV$7,0)),0)</f>
        <v>0</v>
      </c>
      <c r="OB102" s="156">
        <f>SUMIF(LandEmiss!$AE$20:$AE$119,$FG102,LandEmiss!$AO$20:$AO$119)*(2000/8760)*IFERROR($QV$7,0)</f>
        <v>0</v>
      </c>
      <c r="OC102" s="156">
        <f>(SUMIF(LandEmiss!$CN$20:$CN$119,$FG102,LandEmiss!$CX$20:$CX$119)+SUMIF(LandEmiss!$EY$9:$EY$108,$FG102,LandEmiss!$FI$9:$FI$108))*IFERROR($QV$7,0)*(2000/8760)</f>
        <v>0</v>
      </c>
      <c r="OD102" s="155">
        <f>SUMIFS('Load-DrumTote'!$L$27:$L$136,'Load-DrumTote'!$F$27:$F$136,$FG102)*IFERROR($QV$8,0)*(2000/8760)</f>
        <v>0</v>
      </c>
      <c r="OE102" s="155">
        <f>SUMIFS('Load-Truck'!$L$27:$L$136,'Load-Truck'!$F$27:$F$136,$FG102)*IFERROR($QV$9,0)*(2000/8760)</f>
        <v>0</v>
      </c>
      <c r="OF102" s="155">
        <f>SUMIFS('Load-Rail'!$L$27:$L$136,'Load-Rail'!$F$27:$F$136,$FG102)*IFERROR($QV$10,0)*(2000/8760)</f>
        <v>0</v>
      </c>
      <c r="OG102" s="155">
        <f>SUMIFS('Load-MarineBarge'!$L$27:$L$136,'Load-MarineBarge'!$F$27:$F$136,$FG102)*IFERROR($QV$11,0)*(2000/8760)</f>
        <v>0</v>
      </c>
      <c r="OH102" s="155">
        <f>SUMIFS('Load-MarineShip'!$L$27:$L$136,'Load-MarineShip'!$F$27:$F$136,$FG102)*IFERROR($QV$12,0)*(2000/8760)</f>
        <v>0</v>
      </c>
      <c r="OI102" s="155">
        <f>(IF(OR(Flare!$D$24="FUEL GAS",Flare!$D$38="FUEL GAS"),SUMIF(Flare!$E$97:$E$106,$FG102,Flare!$G$97:$G$105),0)+SUMIF(Flare!$E$107:$E$216,$FG102,Flare!$G$107:$G$216))*(2000/8730)*IFERROR($QV$13,0)</f>
        <v>0</v>
      </c>
      <c r="OJ102" s="155">
        <f>SUMIF(LandEmiss!$A$335:$A$434,$FG102,LandEmiss!$C$335:$C$434)*(2000/8760)*IFERROR($QV$13,0)</f>
        <v>0</v>
      </c>
      <c r="OK102" s="155">
        <f>(SUMIF(LandEmiss!$BJ$335:$BJ$434,$FG102,LandEmiss!$BL$335:$BL$434)+SUMIF(LandEmiss!$DU$323:$DU$422,$FG102,LandEmiss!$DW$323:$DW$422))*(2000/8760)*IFERROR($QV$13,0)</f>
        <v>0</v>
      </c>
      <c r="OL102" s="155">
        <f>(IF(OR(VCU!$D$26="FUEL GAS",VCU!$D$42="FUEL GAS"),SUMIF(VCU!$E$120:$E$129,$FG102,VCU!$G$120:$G$129),0)+SUMIF(VCU!$E$130:$E$239,$FG102,VCU!G230:G339))*(2000/8760)*IFERROR($QV$14,0)</f>
        <v>0</v>
      </c>
      <c r="OM102" s="155">
        <f>SUMIF(LandEmiss!$A$335:$A$434,$FG102,LandEmiss!$E$335:$E$434)*(2000/8760)*IFERROR($QV$14,0)</f>
        <v>0</v>
      </c>
      <c r="ON102" s="155">
        <f>(SUMIF(LandEmiss!$BJ$335:$BJ$434,$FG102,LandEmiss!$BN$335:$BN$434)+SUMIF(LandEmiss!$DU$323:$DU$422,$FG102,LandEmiss!$DY$323:$DY$422))*(2000/8760)*IFERROR($QV$14,0)</f>
        <v>0</v>
      </c>
      <c r="OO102" s="155">
        <f>(IF(VaporOxidizer!$D$33="FUEL GAS",SUMIF(VaporOxidizer!$E$101:$E$110,$FG102,VaporOxidizer!$G$101:$G$110),0)+SUMIF(VaporOxidizer!$E$111:$E$220,$FG102,VaporOxidizer!$G$111:$G$220))*(2000/8760)*IFERROR($QV$15,0)</f>
        <v>0</v>
      </c>
      <c r="OP102" s="155">
        <f>SUMIF(LandEmiss!$A$335:$A$434,$FG102,LandEmiss!$G$335:$G$434)*(2000/8760)*IFERROR($QV$15,0)</f>
        <v>0</v>
      </c>
      <c r="OQ102" s="155">
        <f>(SUMIF(LandEmiss!$BJ$335:$BJ$434,$FG102,LandEmiss!$BP$335:$BP$434)+SUMIF(LandEmiss!$DU$323:$DU$422,$FG102,LandEmiss!$EA$323:$EA$422))*(2000/8760)*IFERROR($QV$15,0)</f>
        <v>0</v>
      </c>
      <c r="OR102" s="155">
        <f>SUMIF(CAS!$E$35:$E$144,Hidden!$FG102,CAS!$I$35:$I$144)*IFERROR($QV$16,0)*(2000/8760)</f>
        <v>0</v>
      </c>
      <c r="OS102" s="155">
        <f>SUMIF(LandEmiss!$A$335:$A$434,$FG102,LandEmiss!$I$335:$I$434)*(2000/8760)*IFERROR($QV$27,0)</f>
        <v>0</v>
      </c>
      <c r="OT102" s="155">
        <f>(SUMIF(LandEmiss!$BJ$335:$BJ$434,$FG102,LandEmiss!$BR$335:$BR$434)+SUMIF(LandEmiss!$DU$323:$DU$422,$FG102,LandEmiss!$EC$323:$EC$422))*(2000/8760)*IFERROR($QV$27,0)</f>
        <v>0</v>
      </c>
      <c r="OU102" s="155">
        <f>SUMIF(LandEmiss!$A$335:$A$434,$FG102,LandEmiss!$K$335:$K$434)*(2000/8760)*IFERROR($QV$26,0)</f>
        <v>0</v>
      </c>
      <c r="OV102" s="155">
        <f>(SUMIF(LandEmiss!$BJ$335:$BJ$434,$FG102,LandEmiss!$BT$335:$BT$434)+SUMIF(LandEmiss!$DU$323:$DU$422,$FG102,LandEmiss!$EE$323:$EE$422))*(2000/8760)*IFERROR($QV$26,0)</f>
        <v>0</v>
      </c>
      <c r="OW102" s="155">
        <f>SUMIF(LandEmiss!$A$335:$A$434,$FG102,LandEmiss!$M$335:$M$434)*(2000/8760)*IFERROR($QV$25,0)</f>
        <v>0</v>
      </c>
      <c r="OX102" s="155">
        <f>(SUMIF(LandEmiss!$BJ$335:$BJ$434,$FG102,LandEmiss!$BV$335:$BV$434)+SUMIF(LandEmiss!$DU$323:$DU$422,$FG102,LandEmiss!$EG$323:$EG$422))*(2000/8760)*IFERROR($QV$25,0)</f>
        <v>0</v>
      </c>
      <c r="OY102" s="8">
        <v>0</v>
      </c>
      <c r="OZ102" s="207">
        <v>0</v>
      </c>
      <c r="PA102" s="207">
        <f>IF(OR(HeaterBoiler1!$E$26&lt;&gt;"fuel gas",HeaterBoiler1!$E$15&lt;&gt;"heater"),0,(SUMIF(HeaterBoiler1!$A$54:$D$63,$FG102,HeaterBoiler1!$J$54:$J$63))*(2000/8760))*IFERROR($QV$19,0)</f>
        <v>0</v>
      </c>
      <c r="PB102" s="207">
        <f>IF(OR(HeaterBoiler2!$E$26&lt;&gt;"fuel gas",HeaterBoiler2!$E$15&lt;&gt;"heater"),0,(SUMIF(HeaterBoiler2!$A$54:$D$63,$FG102,HeaterBoiler2!$J$54:$J$63))*(2000/8760))*IFERROR($QV$21,0)</f>
        <v>0</v>
      </c>
      <c r="PC102" s="207">
        <f>IF(OR(HeaterBoiler1!$E$26&lt;&gt;"fuel gas",HeaterBoiler1!$E$15&lt;&gt;"boiler"),0,(SUMIF(HeaterBoiler1!$A$54:$D$63,$FG102,HeaterBoiler1!$J$54:$J$63))*(2000/8760))*IFERROR($QV$20,0)</f>
        <v>0</v>
      </c>
      <c r="PD102" s="207">
        <f>IF(OR(HeaterBoiler2!$E$26&lt;&gt;"fuel gas",HeaterBoiler2!$E$15&lt;&gt;"boiler"),0,(SUMIF(HeaterBoiler2!$A$54:$D$63,$FG102,HeaterBoiler2!$J$54:$J$63))*(2000/8760))*IFERROR($QV$22,0)</f>
        <v>0</v>
      </c>
      <c r="PE102" s="8">
        <f>(SUMIF(Fug!$A$96:$A$205,$FG102,Fug!$J$96:$J$205))*IFERROR($QV$23,0)*(2000/8760)</f>
        <v>0</v>
      </c>
      <c r="PF102" s="8">
        <f t="shared" si="53"/>
        <v>0</v>
      </c>
      <c r="PG102" s="156">
        <f t="shared" si="54"/>
        <v>0</v>
      </c>
      <c r="QX102" s="89" t="s">
        <v>9318</v>
      </c>
      <c r="QY102">
        <v>360.3</v>
      </c>
      <c r="QZ102">
        <v>238.9</v>
      </c>
      <c r="RA102">
        <v>206.3</v>
      </c>
      <c r="RB102">
        <v>141.30000000000001</v>
      </c>
      <c r="RC102">
        <v>99.99</v>
      </c>
      <c r="RD102">
        <v>78.58</v>
      </c>
      <c r="RE102">
        <v>62.72</v>
      </c>
      <c r="RF102">
        <v>41.88</v>
      </c>
      <c r="RG102" s="90">
        <v>37.619999999999997</v>
      </c>
      <c r="RH102" s="89" t="s">
        <v>9318</v>
      </c>
      <c r="RI102">
        <v>352.9</v>
      </c>
      <c r="RJ102">
        <v>180.6</v>
      </c>
      <c r="RK102">
        <v>98.98</v>
      </c>
      <c r="RL102">
        <v>68.540000000000006</v>
      </c>
      <c r="RM102">
        <v>53</v>
      </c>
      <c r="RN102">
        <v>42.86</v>
      </c>
      <c r="RO102">
        <v>37.18</v>
      </c>
      <c r="RP102">
        <v>32.090000000000003</v>
      </c>
      <c r="RQ102" s="90">
        <v>29.69</v>
      </c>
      <c r="RR102" s="89" t="s">
        <v>9318</v>
      </c>
      <c r="RS102">
        <v>298.10000000000002</v>
      </c>
      <c r="RT102">
        <v>152.9</v>
      </c>
      <c r="RU102">
        <v>83.39</v>
      </c>
      <c r="RV102">
        <v>50.78</v>
      </c>
      <c r="RW102">
        <v>39.67</v>
      </c>
      <c r="RX102">
        <v>33.61</v>
      </c>
      <c r="RY102">
        <v>29.69</v>
      </c>
      <c r="RZ102">
        <v>23.99</v>
      </c>
      <c r="SA102" s="90">
        <v>21.01</v>
      </c>
      <c r="SB102" s="89" t="s">
        <v>9318</v>
      </c>
      <c r="SC102">
        <v>142.69999999999999</v>
      </c>
      <c r="SD102">
        <v>73.45</v>
      </c>
      <c r="SE102">
        <v>40.43</v>
      </c>
      <c r="SF102">
        <v>24.96</v>
      </c>
      <c r="SG102">
        <v>20.2</v>
      </c>
      <c r="SH102">
        <v>17.329999999999998</v>
      </c>
      <c r="SI102">
        <v>16.02</v>
      </c>
      <c r="SJ102">
        <v>12.17</v>
      </c>
      <c r="SK102" s="90">
        <v>10</v>
      </c>
      <c r="SL102" s="89" t="s">
        <v>9318</v>
      </c>
      <c r="SM102">
        <v>31.02</v>
      </c>
      <c r="SN102">
        <v>15.91</v>
      </c>
      <c r="SO102">
        <v>8.9</v>
      </c>
      <c r="SP102">
        <v>5.82</v>
      </c>
      <c r="SQ102">
        <v>4.82</v>
      </c>
      <c r="SR102">
        <v>4.16</v>
      </c>
      <c r="SS102">
        <v>3.61</v>
      </c>
      <c r="ST102">
        <v>2.59</v>
      </c>
      <c r="SU102" s="90">
        <v>1.95</v>
      </c>
    </row>
    <row r="103" spans="23:515" ht="74.25" customHeight="1" x14ac:dyDescent="0.2">
      <c r="W103">
        <f>IF(OR(X103=0,ISNUMBER(MATCH(X103,$X$1:X102,0))),0,MAX($W$1:W102)+1)</f>
        <v>0</v>
      </c>
      <c r="X103" s="123">
        <f>Products!$E150</f>
        <v>0</v>
      </c>
      <c r="Y103" t="str">
        <f t="shared" si="55"/>
        <v/>
      </c>
      <c r="CA103">
        <f>IF(OR(CB103=0,ISNUMBER(MATCH(CB103,$CB$1:CB102,0))),0,MAX($CA$1:CA102)+1)</f>
        <v>0</v>
      </c>
      <c r="CB103" s="8">
        <f>IF(OR(Tank1!$D$18="EXTERNAL FLOATING ROOF",Tank1!$D$18="INTERNAL FLOATING ROOF"),IF(Tank1!$E133="",0,Tank1!$E133),0)</f>
        <v>0</v>
      </c>
      <c r="CC103" s="8"/>
      <c r="CD103" s="8"/>
      <c r="CE103" s="8">
        <f>IF(OR(CF103=0,ISNUMBER(MATCH(CF103,$CF$1:CF102,0))),0,MAX($CE$1:CE102)+1)</f>
        <v>0</v>
      </c>
      <c r="CF103" s="8">
        <f>IF(OR(Tank1!$D$18="HORIZONTAL FIXED ROOF",Tank1!$D$18="VERTICAL FIXED ROOF"),IF(Tank1!$E133="",0,Tank1!$E133),0)</f>
        <v>0</v>
      </c>
      <c r="CG103" s="8"/>
      <c r="FB103" s="8" t="s">
        <v>546</v>
      </c>
      <c r="FC103" s="8" t="s">
        <v>547</v>
      </c>
      <c r="FD103" s="8">
        <v>24</v>
      </c>
      <c r="FE103" s="8">
        <v>2.4</v>
      </c>
      <c r="FG103" s="360" t="str">
        <f t="shared" si="45"/>
        <v/>
      </c>
      <c r="FH103" s="155">
        <f>IF(Tank1!$D$22="NO CONTROL",_xlfn.MAXIFS(Tank1!$G$32:$G$141,Tank1!$E$32:$E$141,$FG103),0)*IFERROR($QR$3,0)</f>
        <v>0</v>
      </c>
      <c r="FI103" s="155">
        <f>_xlfn.MAXIFS(LandEmiss!$AF$20:$AF$119,LandEmiss!$AE$20:$AE$119,$FG103)*IFERROR($QR$3,0)</f>
        <v>0</v>
      </c>
      <c r="FJ103" s="155">
        <f>MAX(_xlfn.MAXIFS(LandEmiss!$CO$20:$CO$119,LandEmiss!$CN$20:$CN$119,$FG103),_xlfn.MAXIFS(LandEmiss!$EZ$9:$EZ$108,LandEmiss!$EY$9:$EY$108,$FG103))*IFERROR($QR$3,0)</f>
        <v>0</v>
      </c>
      <c r="FK103" s="155">
        <f>IF(Tank2!$D$22="NO CONTROL",_xlfn.MAXIFS(Tank2!$G$32:$G$141,Tank2!$E$32:$E$141,$FG103),0)*IFERROR($QR$4,0)</f>
        <v>0</v>
      </c>
      <c r="FL103" s="155">
        <f>_xlfn.MAXIFS(LandEmiss!$AG$20:$AG$119,LandEmiss!$AE$20:$AE$119,$FG103)*IFERROR($QR$4,0)</f>
        <v>0</v>
      </c>
      <c r="FM103" s="155">
        <f>MAX(_xlfn.MAXIFS(LandEmiss!$CP$20:$CP$119,LandEmiss!$CN$20:$CN$119,$FG103),_xlfn.MAXIFS(LandEmiss!$FA$9:$FA$108,LandEmiss!$EY$9:$EY$108,$FG103))*IFERROR($QR$4,0)</f>
        <v>0</v>
      </c>
      <c r="FN103" s="155">
        <f>IF(Tank3!$D$22="NO CONTROL",_xlfn.MAXIFS(Tank3!$G$32:$G$141,Tank3!$E$32:$E$141,$FG103),0)*IFERROR($QR$5,0)</f>
        <v>0</v>
      </c>
      <c r="FO103" s="155">
        <f>_xlfn.MAXIFS(LandEmiss!$AH$20:$AH$119,LandEmiss!$AE$20:$AE$119,$FG103)*IFERROR($QR$5,0)</f>
        <v>0</v>
      </c>
      <c r="FP103" s="155">
        <f>MAX(_xlfn.MAXIFS(LandEmiss!$CQ$20:$CQ$119,LandEmiss!$CN$20:$CN$119,$FG103),_xlfn.MAXIFS(LandEmiss!$FB$9:$FB$108,LandEmiss!$EY$9:$EY$108,$FG103))*IFERROR($QR$5,0)</f>
        <v>0</v>
      </c>
      <c r="FQ103" s="155">
        <f>IF(Tank4!$D$22="NO CONTROL",_xlfn.MAXIFS(Tank4!$G$32:$G$141,Tank4!$E$32:$E$141,$FG103),0)*IFERROR($QR$6,0)</f>
        <v>0</v>
      </c>
      <c r="FR103" s="155">
        <f>_xlfn.MAXIFS(LandEmiss!$AI$20:$AI$119,LandEmiss!$AE$20:$AE$119,$FG103)*IFERROR($QR$6,0)</f>
        <v>0</v>
      </c>
      <c r="FS103" s="155">
        <f>MAX(_xlfn.MAXIFS(LandEmiss!$CR$20:$CR$119,LandEmiss!$CN$20:$CN$119,$FG103),_xlfn.MAXIFS(LandEmiss!$FC$9:$FC$108,LandEmiss!$EY$9:$EY$108,$FG103))*IFERROR($QR$6,0)</f>
        <v>0</v>
      </c>
      <c r="FT103" s="155">
        <f>IF(Tank5!$D$22="NO CONTROL",_xlfn.MAXIFS(Tank5!$G$32:$G$141,Tank5!$E$32:$E$141,$FG103),0)*IFERROR($QR$7,0)</f>
        <v>0</v>
      </c>
      <c r="FU103" s="155">
        <f>_xlfn.MAXIFS(LandEmiss!$AJ$20:$AJ$119,LandEmiss!$AE$20:$AE$119,$FG103)*IFERROR($QR$7,0)</f>
        <v>0</v>
      </c>
      <c r="FV103" s="155">
        <f>MAX(_xlfn.MAXIFS(LandEmiss!$CS$20:$CS$119,LandEmiss!$CN$20:$CN$119,$FG103),_xlfn.MAXIFS(LandEmiss!$FD$9:$FD$108,LandEmiss!$EY$9:$EY$108,$FG103))*IFERROR($QR108,0)</f>
        <v>0</v>
      </c>
      <c r="FW103" s="155">
        <f>_xlfn.MAXIFS('Load-DrumTote'!$K$27:$K$136,'Load-DrumTote'!$F$27:$F$136,$FG103)*IFERROR($QR$8,0)</f>
        <v>0</v>
      </c>
      <c r="FX103" s="155">
        <f>_xlfn.MAXIFS('Load-Truck'!$K$27:$K$136,'Load-Truck'!$F$27:$F$136,$FG103)*IFERROR($QR$9,0)</f>
        <v>0</v>
      </c>
      <c r="FY103" s="155">
        <f>_xlfn.MAXIFS('Load-Rail'!$K$27:$K$136,'Load-Rail'!$F$27:$F$136,$FG103)*IFERROR($QR$10,0)</f>
        <v>0</v>
      </c>
      <c r="FZ103" s="155">
        <f>_xlfn.MAXIFS('Load-MarineBarge'!$K$27:$K$136,'Load-MarineBarge'!$F$27:$F$136,$FG103)*IFERROR($QR$11,0)</f>
        <v>0</v>
      </c>
      <c r="GA103" s="155">
        <f>_xlfn.MAXIFS('Load-MarineShip'!$K$27:$K$136,'Load-MarineShip'!$F$27:$F$136,$FG103)*IFERROR($QR$12,0)</f>
        <v>0</v>
      </c>
      <c r="GB103" s="313">
        <f>IF(OR(Flare!$D$24="fuel gas",Flare!$D$38="fuel gas"),SUMIF(Flare!$E$97:$E$106,$FG103,Flare!$F$97:$F$106),0)*IFERROR($QR$13,0)</f>
        <v>0</v>
      </c>
      <c r="GC103" s="313">
        <f>(_xlfn.MAXIFS(CtrlDevImpacts!$I$57:$I$156,CtrlDevImpacts!$H$57:$H$156,$FG103))*IFERROR($QR$13,0)</f>
        <v>0</v>
      </c>
      <c r="GD103" s="313">
        <f>(_xlfn.MAXIFS(Flare!$F$107:$F$216,Flare!$E$107:$E$216,$FG103)-_xlfn.MAXIFS(CtrlDevImpacts!$I$57:$I$156,CtrlDevImpacts!$H$57:$H$156,$FG103))*IFERROR($QR$13,0)</f>
        <v>0</v>
      </c>
      <c r="GE103" s="155">
        <f>_xlfn.MAXIFS(LandEmiss!$B$335:$B$434,LandEmiss!$A$335:$A$434,$FG103)*IFERROR($QR$13,0)</f>
        <v>0</v>
      </c>
      <c r="GF103" s="155">
        <f>(_xlfn.MAXIFS(LandEmiss!$BK$335:$BK$434,LandEmiss!$BJ$335:$BJ$434,$FG103)+_xlfn.MAXIFS(LandEmiss!$DV$323:$DV$422,LandEmiss!$DU$323:$DU$422,$FG103))*IFERROR($QR$13,0)</f>
        <v>0</v>
      </c>
      <c r="GG103" s="313">
        <f>IF(OR(VCU!$D$26="fuel gas",VCU!$D$42="fuel gas"),SUMIF(VCU!$E$120:$E$129,$FG103,VCU!$F$120:$F$129),0)*IFERROR($QR$14,0)</f>
        <v>0</v>
      </c>
      <c r="GH103" s="313">
        <f>(_xlfn.MAXIFS(CtrlDevImpacts!$X$57:$X$156,CtrlDevImpacts!$W$57:$W$156,$FG103))*IFERROR($QR$14,0)</f>
        <v>0</v>
      </c>
      <c r="GI103" s="313">
        <f>(_xlfn.MAXIFS(VCU!$F$130:$F$239,VCU!$E$130:$E$239,$FG103)-_xlfn.MAXIFS(CtrlDevImpacts!$X$57:$X$156,CtrlDevImpacts!$W$57:$W$156,$FG103))*IFERROR($QR$14,0)</f>
        <v>0</v>
      </c>
      <c r="GJ103" s="155">
        <f>_xlfn.MAXIFS(LandEmiss!$D$335:$D$434,LandEmiss!$A$335:$A$434,$FG103)*IFERROR($QR$14,0)</f>
        <v>0</v>
      </c>
      <c r="GK103" s="155">
        <f>(_xlfn.MAXIFS(LandEmiss!$BM$335:$BM$434,LandEmiss!$BJ$335:$BJ$434,$FG103)+_xlfn.MAXIFS(LandEmiss!$DX$323:$DX$422,LandEmiss!$DU$323:$DU$422,$FG103))*IFERROR($QR$14,0)</f>
        <v>0</v>
      </c>
      <c r="GL103" s="313">
        <f>IF(VaporOxidizer!D134="FUEL GAS",SUMIF(VaporOxidizer!$E$101:$E$110,$FG103,VaporOxidizer!$F$101:$F$110),0)*IFERROR($QR$15,0)</f>
        <v>0</v>
      </c>
      <c r="GM103" s="313">
        <f>(_xlfn.MAXIFS(CtrlDevImpacts!$AN$57:$AN$156,CtrlDevImpacts!$AM$57:$AM$156,$FG103))*IFERROR($QR$15,0)</f>
        <v>0</v>
      </c>
      <c r="GN103" s="313">
        <f>(_xlfn.MAXIFS(VaporOxidizer!$F$111:$F$220,VaporOxidizer!$E$111:$E$220,$FG103)-_xlfn.MAXIFS(CtrlDevImpacts!$AN$57:$AN$156,CtrlDevImpacts!$AM$57:$AM$156,$FG103))*IFERROR($QR$15,0)</f>
        <v>0</v>
      </c>
      <c r="GO103" s="155">
        <f>_xlfn.MAXIFS(LandEmiss!$F$335:$F$434,LandEmiss!$A$335:$A$434,$FG103)*IFERROR($QR$15,0)</f>
        <v>0</v>
      </c>
      <c r="GP103" s="155">
        <f>(_xlfn.MAXIFS(LandEmiss!$BK$335:$BK$434,LandEmiss!$BO$335:$BO$434,$FG103)+_xlfn.MAXIFS(LandEmiss!$DZ$323:$DZ$422,LandEmiss!$DU$323:$DU$422,$FG103))*IFERROR($QR$15,0)</f>
        <v>0</v>
      </c>
      <c r="GQ103" s="313">
        <f>_xlfn.MAXIFS(CtrlDevImpacts!$BD$57:$BD$156,CtrlDevImpacts!$BC$57:$BC$156,$FG103)*IFERROR(Hidden!$QR$16,0)</f>
        <v>0</v>
      </c>
      <c r="GR103" s="313">
        <f>(_xlfn.MAXIFS(CAS!$H$35:$H$144,CAS!$E$35:$E$144,$FG103)-_xlfn.MAXIFS(CtrlDevImpacts!$BD$57:$BD$156,CtrlDevImpacts!$BC$57:$BC$156,$FG103))*IFERROR(Hidden!$QR$16,0)</f>
        <v>0</v>
      </c>
      <c r="GS103" s="155">
        <f>_xlfn.MAXIFS(LandEmiss!$H$335:$H$434,LandEmiss!$A$335:$A$434,$FG103)*IFERROR($QR$27,0)</f>
        <v>0</v>
      </c>
      <c r="GT103" s="155">
        <f>(_xlfn.MAXIFS(LandEmiss!$BK$335:$BK$434,LandEmiss!$BQ$335:$BQ$434,$FG103)+_xlfn.MAXIFS(LandEmiss!$EB$323:$EB$422,LandEmiss!$DU$323:$DU$422,$FG103))*IFERROR($QR$27,0)</f>
        <v>0</v>
      </c>
      <c r="GU103" s="155">
        <f>_xlfn.MAXIFS(LandEmiss!$J$335:$J$434,LandEmiss!$A$335:$A$434,$FG103)*IFERROR($QR$26,0)</f>
        <v>0</v>
      </c>
      <c r="GV103" s="155">
        <f>(_xlfn.MAXIFS(LandEmiss!$BK$335:$BK$434,LandEmiss!$BS$335:$BS$434,$FG103)+_xlfn.MAXIFS(LandEmiss!$ED$323:$ED$422,LandEmiss!$DU$323:$DU$422,$FG103))*IFERROR($QR$26,0)</f>
        <v>0</v>
      </c>
      <c r="GW103" s="155">
        <f>_xlfn.MAXIFS(LandEmiss!$L$335:$L$434,LandEmiss!$A$335:$A$434,$FG103)*IFERROR($QR$25,0)</f>
        <v>0</v>
      </c>
      <c r="GX103" s="155">
        <f>(_xlfn.MAXIFS(LandEmiss!$BK$335:$BK$434,LandEmiss!$BU$335:$BU$434,$FG103)+_xlfn.MAXIFS(LandEmiss!$EF$323:$EF$422,LandEmiss!$DU$323:$DU$422,$FG103))*IFERROR($QR$25,0)</f>
        <v>0</v>
      </c>
      <c r="GY103" s="155">
        <v>0</v>
      </c>
      <c r="GZ103" s="155">
        <v>0</v>
      </c>
      <c r="HA103" s="155">
        <f>IF(OR(HeaterBoiler1!$E$26&lt;&gt;"fuel gas",HeaterBoiler1!$E$15&lt;&gt;"heater"),0,SUMIF(HeaterBoiler1!$A$54:$D$63,$FG103,HeaterBoiler1!$I$54:$I$63))*IFERROR($QR$19,0)</f>
        <v>0</v>
      </c>
      <c r="HB103" s="207">
        <f>IF(OR(HeaterBoiler2!$E$26&lt;&gt;"fuel gas",HeaterBoiler2!$E$15&lt;&gt;"heater"),0,SUMIF(HeaterBoiler2!$A$54:$D$63,$FG103,HeaterBoiler2!$I$54:$I$63))*IFERROR($QR$21,0)</f>
        <v>0</v>
      </c>
      <c r="HC103" s="155">
        <f>IF(OR(HeaterBoiler1!$E$26&lt;&gt;"fuel gas",HeaterBoiler1!$E$15&lt;&gt;"boiler"),0,SUMIF(HeaterBoiler1!$A$41:$A$50,$FG103,HeaterBoiler1!$F$41:$F$50))*IFERROR($QR$20,0)</f>
        <v>0</v>
      </c>
      <c r="HD103" s="207">
        <f>IF(OR(HeaterBoiler2!$E$26&lt;&gt;"fuel gas",HeaterBoiler2!$E$15&lt;&gt;"boiler"),0,SUMIF(HeaterBoiler2!$A$41:$A$50,$FG103,HeaterBoiler2!$F$41:$F$50))*IFERROR($QR$22,0)</f>
        <v>0</v>
      </c>
      <c r="HE103" s="155">
        <f>SUMIF(Fug!$A$96:$A$205,$FG103,Fug!$I$96:$I$205)*IFERROR(Hidden!$QR$23,0)</f>
        <v>0</v>
      </c>
      <c r="HF103" s="155">
        <f t="shared" si="46"/>
        <v>0</v>
      </c>
      <c r="HG103" s="156">
        <f t="shared" si="47"/>
        <v>0</v>
      </c>
      <c r="HH103" s="156">
        <f t="shared" si="48"/>
        <v>0</v>
      </c>
      <c r="HI103" s="156">
        <f t="shared" si="49"/>
        <v>0</v>
      </c>
      <c r="HJ103" s="156">
        <f t="shared" si="50"/>
        <v>0</v>
      </c>
      <c r="HK103" s="156">
        <f t="shared" si="51"/>
        <v>0</v>
      </c>
      <c r="HL103" s="156">
        <f t="shared" si="52"/>
        <v>0</v>
      </c>
      <c r="NO103" s="155">
        <f>IF(Tank1!$D$22="No control",(SUMIF(Tank1!$E$32:$E$141,$FG103,Tank1!$H$32:$H$141)*(2000/8760)*IFERROR($QV$3,0)),0)</f>
        <v>0</v>
      </c>
      <c r="NP103" s="156">
        <f>SUMIF(LandEmiss!$AE$20:$AE$119,$FG103,LandEmiss!$AK$20:$AK$119)*(2000/8760)*IFERROR($QV$3,0)</f>
        <v>0</v>
      </c>
      <c r="NQ103" s="156">
        <f>(SUMIF(LandEmiss!$CN$20:$CN$119,$FG103,LandEmiss!$CT$20:$CT$119)+SUMIF(LandEmiss!$EY$9:$EY$108,$FG103,LandEmiss!$FE$9:$FE$108))*IFERROR($QV$3,0)*(2000/8760)</f>
        <v>0</v>
      </c>
      <c r="NR103" s="155">
        <f>IF(Tank2!$D$22="No control",(SUMIF(Tank2!$E$32:$E$141,$FG103,Tank2!$H$32:$H$141)*(2000/8760)*IFERROR($QV$4,0)),0)</f>
        <v>0</v>
      </c>
      <c r="NS103" s="156">
        <f>SUMIF(LandEmiss!$AE$20:$AE$119,$FG103,LandEmiss!$AL$20:$AL$119)*(2000/8760)*IFERROR($QV$4,0)</f>
        <v>0</v>
      </c>
      <c r="NT103" s="156">
        <f>(SUMIF(LandEmiss!$CN$20:$CN$119,$FG103,LandEmiss!$CU$20:$CU$119)+SUMIF(LandEmiss!$EY$9:$EY$108,$FG103,LandEmiss!$FF$9:$FF$108))*IFERROR($QV$4,0)*(2000/8760)</f>
        <v>0</v>
      </c>
      <c r="NU103" s="155">
        <f>IF(Tank3!$D$22="No control",(SUMIF(Tank3!$E$32:$E$141,$FG103,Tank3!$H$32:$H$141)*(2000/8760)*IFERROR($QV$5,0)),0)</f>
        <v>0</v>
      </c>
      <c r="NV103" s="156">
        <f>SUMIF(LandEmiss!$AE$20:$AE$119,$FG103,LandEmiss!$AM$20:$AM$119)*(2000/8760)*IFERROR($QV$5,0)</f>
        <v>0</v>
      </c>
      <c r="NW103" s="156">
        <f>(SUMIF(LandEmiss!$CN$20:$CN$119,$FG103,LandEmiss!$CV$20:$CV$119)+SUMIF(LandEmiss!$EY$9:$EY$108,$FG103,LandEmiss!$FG$9:$FG$108))*IFERROR($QV$5,0)*(2000/8760)</f>
        <v>0</v>
      </c>
      <c r="NX103" s="155">
        <f>IF(Tank4!$D$22="No control",(SUMIF(Tank4!$E$32:$E$141,$FG103,Tank4!$H$32:$H$141)*(2000/8760)*IFERROR($QV$6,0)),0)</f>
        <v>0</v>
      </c>
      <c r="NY103" s="156">
        <f>SUMIF(LandEmiss!$AE$20:$AE$119,$FG103,LandEmiss!$AN$20:$AN$119)*(2000/8760)*IFERROR($QV$6,0)</f>
        <v>0</v>
      </c>
      <c r="NZ103" s="156">
        <f>(SUMIF(LandEmiss!$CN$20:$CN$119,$FG103,LandEmiss!$CW$20:$CW$119)+SUMIF(LandEmiss!$EY$9:$EY$108,$FG103,LandEmiss!$FH$9:$FH$108))*IFERROR($QV$6,0)*(2000/8760)</f>
        <v>0</v>
      </c>
      <c r="OA103" s="155">
        <f>IF(Tank5!$D$22="No control",(SUMIF(Tank5!$E$32:$E$141,$FG103,Tank5!$H$32:$H$141)*(2000/8760)*IFERROR($QV$7,0)),0)</f>
        <v>0</v>
      </c>
      <c r="OB103" s="156">
        <f>SUMIF(LandEmiss!$AE$20:$AE$119,$FG103,LandEmiss!$AO$20:$AO$119)*(2000/8760)*IFERROR($QV$7,0)</f>
        <v>0</v>
      </c>
      <c r="OC103" s="156">
        <f>(SUMIF(LandEmiss!$CN$20:$CN$119,$FG103,LandEmiss!$CX$20:$CX$119)+SUMIF(LandEmiss!$EY$9:$EY$108,$FG103,LandEmiss!$FI$9:$FI$108))*IFERROR($QV$7,0)*(2000/8760)</f>
        <v>0</v>
      </c>
      <c r="OD103" s="155">
        <f>SUMIFS('Load-DrumTote'!$L$27:$L$136,'Load-DrumTote'!$F$27:$F$136,$FG103)*IFERROR($QV$8,0)*(2000/8760)</f>
        <v>0</v>
      </c>
      <c r="OE103" s="155">
        <f>SUMIFS('Load-Truck'!$L$27:$L$136,'Load-Truck'!$F$27:$F$136,$FG103)*IFERROR($QV$9,0)*(2000/8760)</f>
        <v>0</v>
      </c>
      <c r="OF103" s="155">
        <f>SUMIFS('Load-Rail'!$L$27:$L$136,'Load-Rail'!$F$27:$F$136,$FG103)*IFERROR($QV$10,0)*(2000/8760)</f>
        <v>0</v>
      </c>
      <c r="OG103" s="155">
        <f>SUMIFS('Load-MarineBarge'!$L$27:$L$136,'Load-MarineBarge'!$F$27:$F$136,$FG103)*IFERROR($QV$11,0)*(2000/8760)</f>
        <v>0</v>
      </c>
      <c r="OH103" s="155">
        <f>SUMIFS('Load-MarineShip'!$L$27:$L$136,'Load-MarineShip'!$F$27:$F$136,$FG103)*IFERROR($QV$12,0)*(2000/8760)</f>
        <v>0</v>
      </c>
      <c r="OI103" s="155">
        <f>(IF(OR(Flare!$D$24="FUEL GAS",Flare!$D$38="FUEL GAS"),SUMIF(Flare!$E$97:$E$106,$FG103,Flare!$G$97:$G$105),0)+SUMIF(Flare!$E$107:$E$216,$FG103,Flare!$G$107:$G$216))*(2000/8730)*IFERROR($QV$13,0)</f>
        <v>0</v>
      </c>
      <c r="OJ103" s="155">
        <f>SUMIF(LandEmiss!$A$335:$A$434,$FG103,LandEmiss!$C$335:$C$434)*(2000/8760)*IFERROR($QV$13,0)</f>
        <v>0</v>
      </c>
      <c r="OK103" s="155">
        <f>(SUMIF(LandEmiss!$BJ$335:$BJ$434,$FG103,LandEmiss!$BL$335:$BL$434)+SUMIF(LandEmiss!$DU$323:$DU$422,$FG103,LandEmiss!$DW$323:$DW$422))*(2000/8760)*IFERROR($QV$13,0)</f>
        <v>0</v>
      </c>
      <c r="OL103" s="155">
        <f>(IF(OR(VCU!$D$26="FUEL GAS",VCU!$D$42="FUEL GAS"),SUMIF(VCU!$E$120:$E$129,$FG103,VCU!$G$120:$G$129),0)+SUMIF(VCU!$E$130:$E$239,$FG103,VCU!G231:G340))*(2000/8760)*IFERROR($QV$14,0)</f>
        <v>0</v>
      </c>
      <c r="OM103" s="155">
        <f>SUMIF(LandEmiss!$A$335:$A$434,$FG103,LandEmiss!$E$335:$E$434)*(2000/8760)*IFERROR($QV$14,0)</f>
        <v>0</v>
      </c>
      <c r="ON103" s="155">
        <f>(SUMIF(LandEmiss!$BJ$335:$BJ$434,$FG103,LandEmiss!$BN$335:$BN$434)+SUMIF(LandEmiss!$DU$323:$DU$422,$FG103,LandEmiss!$DY$323:$DY$422))*(2000/8760)*IFERROR($QV$14,0)</f>
        <v>0</v>
      </c>
      <c r="OO103" s="155">
        <f>(IF(VaporOxidizer!$D$33="FUEL GAS",SUMIF(VaporOxidizer!$E$101:$E$110,$FG103,VaporOxidizer!$G$101:$G$110),0)+SUMIF(VaporOxidizer!$E$111:$E$220,$FG103,VaporOxidizer!$G$111:$G$220))*(2000/8760)*IFERROR($QV$15,0)</f>
        <v>0</v>
      </c>
      <c r="OP103" s="155">
        <f>SUMIF(LandEmiss!$A$335:$A$434,$FG103,LandEmiss!$G$335:$G$434)*(2000/8760)*IFERROR($QV$15,0)</f>
        <v>0</v>
      </c>
      <c r="OQ103" s="155">
        <f>(SUMIF(LandEmiss!$BJ$335:$BJ$434,$FG103,LandEmiss!$BP$335:$BP$434)+SUMIF(LandEmiss!$DU$323:$DU$422,$FG103,LandEmiss!$EA$323:$EA$422))*(2000/8760)*IFERROR($QV$15,0)</f>
        <v>0</v>
      </c>
      <c r="OR103" s="155">
        <f>SUMIF(CAS!$E$35:$E$144,Hidden!$FG103,CAS!$I$35:$I$144)*IFERROR($QV$16,0)*(2000/8760)</f>
        <v>0</v>
      </c>
      <c r="OS103" s="155">
        <f>SUMIF(LandEmiss!$A$335:$A$434,$FG103,LandEmiss!$I$335:$I$434)*(2000/8760)*IFERROR($QV$27,0)</f>
        <v>0</v>
      </c>
      <c r="OT103" s="155">
        <f>(SUMIF(LandEmiss!$BJ$335:$BJ$434,$FG103,LandEmiss!$BR$335:$BR$434)+SUMIF(LandEmiss!$DU$323:$DU$422,$FG103,LandEmiss!$EC$323:$EC$422))*(2000/8760)*IFERROR($QV$27,0)</f>
        <v>0</v>
      </c>
      <c r="OU103" s="155">
        <f>SUMIF(LandEmiss!$A$335:$A$434,$FG103,LandEmiss!$K$335:$K$434)*(2000/8760)*IFERROR($QV$26,0)</f>
        <v>0</v>
      </c>
      <c r="OV103" s="155">
        <f>(SUMIF(LandEmiss!$BJ$335:$BJ$434,$FG103,LandEmiss!$BT$335:$BT$434)+SUMIF(LandEmiss!$DU$323:$DU$422,$FG103,LandEmiss!$EE$323:$EE$422))*(2000/8760)*IFERROR($QV$26,0)</f>
        <v>0</v>
      </c>
      <c r="OW103" s="155">
        <f>SUMIF(LandEmiss!$A$335:$A$434,$FG103,LandEmiss!$M$335:$M$434)*(2000/8760)*IFERROR($QV$25,0)</f>
        <v>0</v>
      </c>
      <c r="OX103" s="155">
        <f>(SUMIF(LandEmiss!$BJ$335:$BJ$434,$FG103,LandEmiss!$BV$335:$BV$434)+SUMIF(LandEmiss!$DU$323:$DU$422,$FG103,LandEmiss!$EG$323:$EG$422))*(2000/8760)*IFERROR($QV$25,0)</f>
        <v>0</v>
      </c>
      <c r="OY103" s="8">
        <v>0</v>
      </c>
      <c r="OZ103" s="207">
        <v>0</v>
      </c>
      <c r="PA103" s="207">
        <f>IF(OR(HeaterBoiler1!$E$26&lt;&gt;"fuel gas",HeaterBoiler1!$E$15&lt;&gt;"heater"),0,(SUMIF(HeaterBoiler1!$A$54:$D$63,$FG103,HeaterBoiler1!$J$54:$J$63))*(2000/8760))*IFERROR($QV$19,0)</f>
        <v>0</v>
      </c>
      <c r="PB103" s="207">
        <f>IF(OR(HeaterBoiler2!$E$26&lt;&gt;"fuel gas",HeaterBoiler2!$E$15&lt;&gt;"heater"),0,(SUMIF(HeaterBoiler2!$A$54:$D$63,$FG103,HeaterBoiler2!$J$54:$J$63))*(2000/8760))*IFERROR($QV$21,0)</f>
        <v>0</v>
      </c>
      <c r="PC103" s="207">
        <f>IF(OR(HeaterBoiler1!$E$26&lt;&gt;"fuel gas",HeaterBoiler1!$E$15&lt;&gt;"boiler"),0,(SUMIF(HeaterBoiler1!$A$54:$D$63,$FG103,HeaterBoiler1!$J$54:$J$63))*(2000/8760))*IFERROR($QV$20,0)</f>
        <v>0</v>
      </c>
      <c r="PD103" s="207">
        <f>IF(OR(HeaterBoiler2!$E$26&lt;&gt;"fuel gas",HeaterBoiler2!$E$15&lt;&gt;"boiler"),0,(SUMIF(HeaterBoiler2!$A$54:$D$63,$FG103,HeaterBoiler2!$J$54:$J$63))*(2000/8760))*IFERROR($QV$22,0)</f>
        <v>0</v>
      </c>
      <c r="PE103" s="8">
        <f>(SUMIF(Fug!$A$96:$A$205,$FG103,Fug!$J$96:$J$205))*IFERROR($QV$23,0)*(2000/8760)</f>
        <v>0</v>
      </c>
      <c r="PF103" s="8">
        <f t="shared" si="53"/>
        <v>0</v>
      </c>
      <c r="PG103" s="156">
        <f t="shared" si="54"/>
        <v>0</v>
      </c>
      <c r="QX103" s="89" t="s">
        <v>9313</v>
      </c>
      <c r="QY103">
        <v>3478.3</v>
      </c>
      <c r="QZ103">
        <v>2302.1999999999998</v>
      </c>
      <c r="RA103">
        <v>1216.8</v>
      </c>
      <c r="RB103">
        <v>716.9</v>
      </c>
      <c r="RC103">
        <v>480.6</v>
      </c>
      <c r="RD103">
        <v>346.6</v>
      </c>
      <c r="RE103">
        <v>270.2</v>
      </c>
      <c r="RF103">
        <v>163.1</v>
      </c>
      <c r="RG103" s="90">
        <v>113.5</v>
      </c>
      <c r="RH103" s="89" t="s">
        <v>9313</v>
      </c>
      <c r="RI103">
        <v>1856</v>
      </c>
      <c r="RJ103">
        <v>1455.5</v>
      </c>
      <c r="RK103">
        <v>1078.5999999999999</v>
      </c>
      <c r="RL103">
        <v>667.9</v>
      </c>
      <c r="RM103">
        <v>443.9</v>
      </c>
      <c r="RN103">
        <v>318.60000000000002</v>
      </c>
      <c r="RO103">
        <v>242.4</v>
      </c>
      <c r="RP103">
        <v>143.80000000000001</v>
      </c>
      <c r="RQ103" s="90">
        <v>100.5</v>
      </c>
      <c r="RR103" s="89" t="s">
        <v>9313</v>
      </c>
      <c r="RS103">
        <v>1591.2</v>
      </c>
      <c r="RT103">
        <v>1191</v>
      </c>
      <c r="RU103">
        <v>918.6</v>
      </c>
      <c r="RV103">
        <v>542.6</v>
      </c>
      <c r="RW103">
        <v>347.6</v>
      </c>
      <c r="RX103">
        <v>243.3</v>
      </c>
      <c r="RY103">
        <v>181.2</v>
      </c>
      <c r="RZ103">
        <v>103.3</v>
      </c>
      <c r="SA103" s="90">
        <v>68.290000000000006</v>
      </c>
      <c r="SB103" s="89" t="s">
        <v>9313</v>
      </c>
      <c r="SC103">
        <v>778.2</v>
      </c>
      <c r="SD103">
        <v>579.9</v>
      </c>
      <c r="SE103">
        <v>435.8</v>
      </c>
      <c r="SF103">
        <v>248.7</v>
      </c>
      <c r="SG103">
        <v>157.30000000000001</v>
      </c>
      <c r="SH103">
        <v>109.6</v>
      </c>
      <c r="SI103">
        <v>81.44</v>
      </c>
      <c r="SJ103">
        <v>46.5</v>
      </c>
      <c r="SK103" s="90">
        <v>30.89</v>
      </c>
      <c r="SL103" s="89" t="s">
        <v>9313</v>
      </c>
      <c r="SM103">
        <v>202.6</v>
      </c>
      <c r="SN103">
        <v>149.9</v>
      </c>
      <c r="SO103">
        <v>108.2</v>
      </c>
      <c r="SP103">
        <v>51.78</v>
      </c>
      <c r="SQ103">
        <v>28.82</v>
      </c>
      <c r="SR103">
        <v>18.27</v>
      </c>
      <c r="SS103">
        <v>13.06</v>
      </c>
      <c r="ST103">
        <v>6.63</v>
      </c>
      <c r="SU103" s="90">
        <v>4.0599999999999996</v>
      </c>
    </row>
    <row r="104" spans="23:515" ht="74.25" customHeight="1" x14ac:dyDescent="0.2">
      <c r="W104">
        <f>IF(OR(X104=0,ISNUMBER(MATCH(X104,$X$1:X103,0))),0,MAX($W$1:W103)+1)</f>
        <v>0</v>
      </c>
      <c r="X104" s="123">
        <f>Products!$E151</f>
        <v>0</v>
      </c>
      <c r="Y104" t="str">
        <f t="shared" si="55"/>
        <v/>
      </c>
      <c r="CA104">
        <f>IF(OR(CB104=0,ISNUMBER(MATCH(CB104,$CB$1:CB103,0))),0,MAX($CA$1:CA103)+1)</f>
        <v>0</v>
      </c>
      <c r="CB104" s="8">
        <f>IF(OR(Tank1!$D$18="EXTERNAL FLOATING ROOF",Tank1!$D$18="INTERNAL FLOATING ROOF"),IF(Tank1!$E134="",0,Tank1!$E134),0)</f>
        <v>0</v>
      </c>
      <c r="CC104" s="8"/>
      <c r="CD104" s="8"/>
      <c r="CE104" s="8">
        <f>IF(OR(CF104=0,ISNUMBER(MATCH(CF104,$CF$1:CF103,0))),0,MAX($CE$1:CE103)+1)</f>
        <v>0</v>
      </c>
      <c r="CF104" s="8">
        <f>IF(OR(Tank1!$D$18="HORIZONTAL FIXED ROOF",Tank1!$D$18="VERTICAL FIXED ROOF"),IF(Tank1!$E134="",0,Tank1!$E134),0)</f>
        <v>0</v>
      </c>
      <c r="CG104" s="8"/>
      <c r="FB104" s="8" t="s">
        <v>548</v>
      </c>
      <c r="FC104" s="8" t="s">
        <v>549</v>
      </c>
      <c r="FD104" s="8">
        <v>2</v>
      </c>
      <c r="FE104" s="8">
        <v>0.2</v>
      </c>
      <c r="FG104" s="360" t="str">
        <f t="shared" si="45"/>
        <v/>
      </c>
      <c r="FH104" s="155">
        <f>IF(Tank1!$D$22="NO CONTROL",_xlfn.MAXIFS(Tank1!$G$32:$G$141,Tank1!$E$32:$E$141,$FG104),0)*IFERROR($QR$3,0)</f>
        <v>0</v>
      </c>
      <c r="FI104" s="155">
        <f>_xlfn.MAXIFS(LandEmiss!$AF$20:$AF$119,LandEmiss!$AE$20:$AE$119,$FG104)*IFERROR($QR$3,0)</f>
        <v>0</v>
      </c>
      <c r="FJ104" s="155">
        <f>MAX(_xlfn.MAXIFS(LandEmiss!$CO$20:$CO$119,LandEmiss!$CN$20:$CN$119,$FG104),_xlfn.MAXIFS(LandEmiss!$EZ$9:$EZ$108,LandEmiss!$EY$9:$EY$108,$FG104))*IFERROR($QR$3,0)</f>
        <v>0</v>
      </c>
      <c r="FK104" s="155">
        <f>IF(Tank2!$D$22="NO CONTROL",_xlfn.MAXIFS(Tank2!$G$32:$G$141,Tank2!$E$32:$E$141,$FG104),0)*IFERROR($QR$4,0)</f>
        <v>0</v>
      </c>
      <c r="FL104" s="155">
        <f>_xlfn.MAXIFS(LandEmiss!$AG$20:$AG$119,LandEmiss!$AE$20:$AE$119,$FG104)*IFERROR($QR$4,0)</f>
        <v>0</v>
      </c>
      <c r="FM104" s="155">
        <f>MAX(_xlfn.MAXIFS(LandEmiss!$CP$20:$CP$119,LandEmiss!$CN$20:$CN$119,$FG104),_xlfn.MAXIFS(LandEmiss!$FA$9:$FA$108,LandEmiss!$EY$9:$EY$108,$FG104))*IFERROR($QR$4,0)</f>
        <v>0</v>
      </c>
      <c r="FN104" s="155">
        <f>IF(Tank3!$D$22="NO CONTROL",_xlfn.MAXIFS(Tank3!$G$32:$G$141,Tank3!$E$32:$E$141,$FG104),0)*IFERROR($QR$5,0)</f>
        <v>0</v>
      </c>
      <c r="FO104" s="155">
        <f>_xlfn.MAXIFS(LandEmiss!$AH$20:$AH$119,LandEmiss!$AE$20:$AE$119,$FG104)*IFERROR($QR$5,0)</f>
        <v>0</v>
      </c>
      <c r="FP104" s="155">
        <f>MAX(_xlfn.MAXIFS(LandEmiss!$CQ$20:$CQ$119,LandEmiss!$CN$20:$CN$119,$FG104),_xlfn.MAXIFS(LandEmiss!$FB$9:$FB$108,LandEmiss!$EY$9:$EY$108,$FG104))*IFERROR($QR$5,0)</f>
        <v>0</v>
      </c>
      <c r="FQ104" s="155">
        <f>IF(Tank4!$D$22="NO CONTROL",_xlfn.MAXIFS(Tank4!$G$32:$G$141,Tank4!$E$32:$E$141,$FG104),0)*IFERROR($QR$6,0)</f>
        <v>0</v>
      </c>
      <c r="FR104" s="155">
        <f>_xlfn.MAXIFS(LandEmiss!$AI$20:$AI$119,LandEmiss!$AE$20:$AE$119,$FG104)*IFERROR($QR$6,0)</f>
        <v>0</v>
      </c>
      <c r="FS104" s="155">
        <f>MAX(_xlfn.MAXIFS(LandEmiss!$CR$20:$CR$119,LandEmiss!$CN$20:$CN$119,$FG104),_xlfn.MAXIFS(LandEmiss!$FC$9:$FC$108,LandEmiss!$EY$9:$EY$108,$FG104))*IFERROR($QR$6,0)</f>
        <v>0</v>
      </c>
      <c r="FT104" s="155">
        <f>IF(Tank5!$D$22="NO CONTROL",_xlfn.MAXIFS(Tank5!$G$32:$G$141,Tank5!$E$32:$E$141,$FG104),0)*IFERROR($QR$7,0)</f>
        <v>0</v>
      </c>
      <c r="FU104" s="155">
        <f>_xlfn.MAXIFS(LandEmiss!$AJ$20:$AJ$119,LandEmiss!$AE$20:$AE$119,$FG104)*IFERROR($QR$7,0)</f>
        <v>0</v>
      </c>
      <c r="FV104" s="155">
        <f>MAX(_xlfn.MAXIFS(LandEmiss!$CS$20:$CS$119,LandEmiss!$CN$20:$CN$119,$FG104),_xlfn.MAXIFS(LandEmiss!$FD$9:$FD$108,LandEmiss!$EY$9:$EY$108,$FG104))*IFERROR($QR109,0)</f>
        <v>0</v>
      </c>
      <c r="FW104" s="155">
        <f>_xlfn.MAXIFS('Load-DrumTote'!$K$27:$K$136,'Load-DrumTote'!$F$27:$F$136,$FG104)*IFERROR($QR$8,0)</f>
        <v>0</v>
      </c>
      <c r="FX104" s="155">
        <f>_xlfn.MAXIFS('Load-Truck'!$K$27:$K$136,'Load-Truck'!$F$27:$F$136,$FG104)*IFERROR($QR$9,0)</f>
        <v>0</v>
      </c>
      <c r="FY104" s="155">
        <f>_xlfn.MAXIFS('Load-Rail'!$K$27:$K$136,'Load-Rail'!$F$27:$F$136,$FG104)*IFERROR($QR$10,0)</f>
        <v>0</v>
      </c>
      <c r="FZ104" s="155">
        <f>_xlfn.MAXIFS('Load-MarineBarge'!$K$27:$K$136,'Load-MarineBarge'!$F$27:$F$136,$FG104)*IFERROR($QR$11,0)</f>
        <v>0</v>
      </c>
      <c r="GA104" s="155">
        <f>_xlfn.MAXIFS('Load-MarineShip'!$K$27:$K$136,'Load-MarineShip'!$F$27:$F$136,$FG104)*IFERROR($QR$12,0)</f>
        <v>0</v>
      </c>
      <c r="GB104" s="313">
        <f>IF(OR(Flare!$D$24="fuel gas",Flare!$D$38="fuel gas"),SUMIF(Flare!$E$97:$E$106,$FG104,Flare!$F$97:$F$106),0)*IFERROR($QR$13,0)</f>
        <v>0</v>
      </c>
      <c r="GC104" s="313">
        <f>(_xlfn.MAXIFS(CtrlDevImpacts!$I$57:$I$156,CtrlDevImpacts!$H$57:$H$156,$FG104))*IFERROR($QR$13,0)</f>
        <v>0</v>
      </c>
      <c r="GD104" s="313">
        <f>(_xlfn.MAXIFS(Flare!$F$107:$F$216,Flare!$E$107:$E$216,$FG104)-_xlfn.MAXIFS(CtrlDevImpacts!$I$57:$I$156,CtrlDevImpacts!$H$57:$H$156,$FG104))*IFERROR($QR$13,0)</f>
        <v>0</v>
      </c>
      <c r="GE104" s="155">
        <f>_xlfn.MAXIFS(LandEmiss!$B$335:$B$434,LandEmiss!$A$335:$A$434,$FG104)*IFERROR($QR$13,0)</f>
        <v>0</v>
      </c>
      <c r="GF104" s="155">
        <f>(_xlfn.MAXIFS(LandEmiss!$BK$335:$BK$434,LandEmiss!$BJ$335:$BJ$434,$FG104)+_xlfn.MAXIFS(LandEmiss!$DV$323:$DV$422,LandEmiss!$DU$323:$DU$422,$FG104))*IFERROR($QR$13,0)</f>
        <v>0</v>
      </c>
      <c r="GG104" s="313">
        <f>IF(OR(VCU!$D$26="fuel gas",VCU!$D$42="fuel gas"),SUMIF(VCU!$E$120:$E$129,$FG104,VCU!$F$120:$F$129),0)*IFERROR($QR$14,0)</f>
        <v>0</v>
      </c>
      <c r="GH104" s="313">
        <f>(_xlfn.MAXIFS(CtrlDevImpacts!$X$57:$X$156,CtrlDevImpacts!$W$57:$W$156,$FG104))*IFERROR($QR$14,0)</f>
        <v>0</v>
      </c>
      <c r="GI104" s="313">
        <f>(_xlfn.MAXIFS(VCU!$F$130:$F$239,VCU!$E$130:$E$239,$FG104)-_xlfn.MAXIFS(CtrlDevImpacts!$X$57:$X$156,CtrlDevImpacts!$W$57:$W$156,$FG104))*IFERROR($QR$14,0)</f>
        <v>0</v>
      </c>
      <c r="GJ104" s="155">
        <f>_xlfn.MAXIFS(LandEmiss!$D$335:$D$434,LandEmiss!$A$335:$A$434,$FG104)*IFERROR($QR$14,0)</f>
        <v>0</v>
      </c>
      <c r="GK104" s="155">
        <f>(_xlfn.MAXIFS(LandEmiss!$BM$335:$BM$434,LandEmiss!$BJ$335:$BJ$434,$FG104)+_xlfn.MAXIFS(LandEmiss!$DX$323:$DX$422,LandEmiss!$DU$323:$DU$422,$FG104))*IFERROR($QR$14,0)</f>
        <v>0</v>
      </c>
      <c r="GL104" s="313">
        <f>IF(VaporOxidizer!D135="FUEL GAS",SUMIF(VaporOxidizer!$E$101:$E$110,$FG104,VaporOxidizer!$F$101:$F$110),0)*IFERROR($QR$15,0)</f>
        <v>0</v>
      </c>
      <c r="GM104" s="313">
        <f>(_xlfn.MAXIFS(CtrlDevImpacts!$AN$57:$AN$156,CtrlDevImpacts!$AM$57:$AM$156,$FG104))*IFERROR($QR$15,0)</f>
        <v>0</v>
      </c>
      <c r="GN104" s="313">
        <f>(_xlfn.MAXIFS(VaporOxidizer!$F$111:$F$220,VaporOxidizer!$E$111:$E$220,$FG104)-_xlfn.MAXIFS(CtrlDevImpacts!$AN$57:$AN$156,CtrlDevImpacts!$AM$57:$AM$156,$FG104))*IFERROR($QR$15,0)</f>
        <v>0</v>
      </c>
      <c r="GO104" s="155">
        <f>_xlfn.MAXIFS(LandEmiss!$F$335:$F$434,LandEmiss!$A$335:$A$434,$FG104)*IFERROR($QR$15,0)</f>
        <v>0</v>
      </c>
      <c r="GP104" s="155">
        <f>(_xlfn.MAXIFS(LandEmiss!$BK$335:$BK$434,LandEmiss!$BO$335:$BO$434,$FG104)+_xlfn.MAXIFS(LandEmiss!$DZ$323:$DZ$422,LandEmiss!$DU$323:$DU$422,$FG104))*IFERROR($QR$15,0)</f>
        <v>0</v>
      </c>
      <c r="GQ104" s="313">
        <f>_xlfn.MAXIFS(CtrlDevImpacts!$BD$57:$BD$156,CtrlDevImpacts!$BC$57:$BC$156,$FG104)*IFERROR(Hidden!$QR$16,0)</f>
        <v>0</v>
      </c>
      <c r="GR104" s="313">
        <f>(_xlfn.MAXIFS(CAS!$H$35:$H$144,CAS!$E$35:$E$144,$FG104)-_xlfn.MAXIFS(CtrlDevImpacts!$BD$57:$BD$156,CtrlDevImpacts!$BC$57:$BC$156,$FG104))*IFERROR(Hidden!$QR$16,0)</f>
        <v>0</v>
      </c>
      <c r="GS104" s="155">
        <f>_xlfn.MAXIFS(LandEmiss!$H$335:$H$434,LandEmiss!$A$335:$A$434,$FG104)*IFERROR($QR$27,0)</f>
        <v>0</v>
      </c>
      <c r="GT104" s="155">
        <f>(_xlfn.MAXIFS(LandEmiss!$BK$335:$BK$434,LandEmiss!$BQ$335:$BQ$434,$FG104)+_xlfn.MAXIFS(LandEmiss!$EB$323:$EB$422,LandEmiss!$DU$323:$DU$422,$FG104))*IFERROR($QR$27,0)</f>
        <v>0</v>
      </c>
      <c r="GU104" s="155">
        <f>_xlfn.MAXIFS(LandEmiss!$J$335:$J$434,LandEmiss!$A$335:$A$434,$FG104)*IFERROR($QR$26,0)</f>
        <v>0</v>
      </c>
      <c r="GV104" s="155">
        <f>(_xlfn.MAXIFS(LandEmiss!$BK$335:$BK$434,LandEmiss!$BS$335:$BS$434,$FG104)+_xlfn.MAXIFS(LandEmiss!$ED$323:$ED$422,LandEmiss!$DU$323:$DU$422,$FG104))*IFERROR($QR$26,0)</f>
        <v>0</v>
      </c>
      <c r="GW104" s="155">
        <f>_xlfn.MAXIFS(LandEmiss!$L$335:$L$434,LandEmiss!$A$335:$A$434,$FG104)*IFERROR($QR$25,0)</f>
        <v>0</v>
      </c>
      <c r="GX104" s="155">
        <f>(_xlfn.MAXIFS(LandEmiss!$BK$335:$BK$434,LandEmiss!$BU$335:$BU$434,$FG104)+_xlfn.MAXIFS(LandEmiss!$EF$323:$EF$422,LandEmiss!$DU$323:$DU$422,$FG104))*IFERROR($QR$25,0)</f>
        <v>0</v>
      </c>
      <c r="GY104" s="155">
        <v>0</v>
      </c>
      <c r="GZ104" s="155">
        <v>0</v>
      </c>
      <c r="HA104" s="155">
        <f>IF(OR(HeaterBoiler1!$E$26&lt;&gt;"fuel gas",HeaterBoiler1!$E$15&lt;&gt;"heater"),0,SUMIF(HeaterBoiler1!$A$54:$D$63,$FG104,HeaterBoiler1!$I$54:$I$63))*IFERROR($QR$19,0)</f>
        <v>0</v>
      </c>
      <c r="HB104" s="207">
        <f>IF(OR(HeaterBoiler2!$E$26&lt;&gt;"fuel gas",HeaterBoiler2!$E$15&lt;&gt;"heater"),0,SUMIF(HeaterBoiler2!$A$54:$D$63,$FG104,HeaterBoiler2!$I$54:$I$63))*IFERROR($QR$21,0)</f>
        <v>0</v>
      </c>
      <c r="HC104" s="155">
        <f>IF(OR(HeaterBoiler1!$E$26&lt;&gt;"fuel gas",HeaterBoiler1!$E$15&lt;&gt;"boiler"),0,SUMIF(HeaterBoiler1!$A$41:$A$50,$FG104,HeaterBoiler1!$F$41:$F$50))*IFERROR($QR$20,0)</f>
        <v>0</v>
      </c>
      <c r="HD104" s="207">
        <f>IF(OR(HeaterBoiler2!$E$26&lt;&gt;"fuel gas",HeaterBoiler2!$E$15&lt;&gt;"boiler"),0,SUMIF(HeaterBoiler2!$A$41:$A$50,$FG104,HeaterBoiler2!$F$41:$F$50))*IFERROR($QR$22,0)</f>
        <v>0</v>
      </c>
      <c r="HE104" s="155">
        <f>SUMIF(Fug!$A$96:$A$205,$FG104,Fug!$I$96:$I$205)*IFERROR(Hidden!$QR$23,0)</f>
        <v>0</v>
      </c>
      <c r="HF104" s="155">
        <f t="shared" si="46"/>
        <v>0</v>
      </c>
      <c r="HG104" s="156">
        <f t="shared" si="47"/>
        <v>0</v>
      </c>
      <c r="HH104" s="156">
        <f t="shared" si="48"/>
        <v>0</v>
      </c>
      <c r="HI104" s="156">
        <f t="shared" si="49"/>
        <v>0</v>
      </c>
      <c r="HJ104" s="156">
        <f t="shared" si="50"/>
        <v>0</v>
      </c>
      <c r="HK104" s="156">
        <f t="shared" si="51"/>
        <v>0</v>
      </c>
      <c r="HL104" s="156">
        <f t="shared" si="52"/>
        <v>0</v>
      </c>
      <c r="NO104" s="155">
        <f>IF(Tank1!$D$22="No control",(SUMIF(Tank1!$E$32:$E$141,$FG104,Tank1!$H$32:$H$141)*(2000/8760)*IFERROR($QV$3,0)),0)</f>
        <v>0</v>
      </c>
      <c r="NP104" s="156">
        <f>SUMIF(LandEmiss!$AE$20:$AE$119,$FG104,LandEmiss!$AK$20:$AK$119)*(2000/8760)*IFERROR($QV$3,0)</f>
        <v>0</v>
      </c>
      <c r="NQ104" s="156">
        <f>(SUMIF(LandEmiss!$CN$20:$CN$119,$FG104,LandEmiss!$CT$20:$CT$119)+SUMIF(LandEmiss!$EY$9:$EY$108,$FG104,LandEmiss!$FE$9:$FE$108))*IFERROR($QV$3,0)*(2000/8760)</f>
        <v>0</v>
      </c>
      <c r="NR104" s="155">
        <f>IF(Tank2!$D$22="No control",(SUMIF(Tank2!$E$32:$E$141,$FG104,Tank2!$H$32:$H$141)*(2000/8760)*IFERROR($QV$4,0)),0)</f>
        <v>0</v>
      </c>
      <c r="NS104" s="156">
        <f>SUMIF(LandEmiss!$AE$20:$AE$119,$FG104,LandEmiss!$AL$20:$AL$119)*(2000/8760)*IFERROR($QV$4,0)</f>
        <v>0</v>
      </c>
      <c r="NT104" s="156">
        <f>(SUMIF(LandEmiss!$CN$20:$CN$119,$FG104,LandEmiss!$CU$20:$CU$119)+SUMIF(LandEmiss!$EY$9:$EY$108,$FG104,LandEmiss!$FF$9:$FF$108))*IFERROR($QV$4,0)*(2000/8760)</f>
        <v>0</v>
      </c>
      <c r="NU104" s="155">
        <f>IF(Tank3!$D$22="No control",(SUMIF(Tank3!$E$32:$E$141,$FG104,Tank3!$H$32:$H$141)*(2000/8760)*IFERROR($QV$5,0)),0)</f>
        <v>0</v>
      </c>
      <c r="NV104" s="156">
        <f>SUMIF(LandEmiss!$AE$20:$AE$119,$FG104,LandEmiss!$AM$20:$AM$119)*(2000/8760)*IFERROR($QV$5,0)</f>
        <v>0</v>
      </c>
      <c r="NW104" s="156">
        <f>(SUMIF(LandEmiss!$CN$20:$CN$119,$FG104,LandEmiss!$CV$20:$CV$119)+SUMIF(LandEmiss!$EY$9:$EY$108,$FG104,LandEmiss!$FG$9:$FG$108))*IFERROR($QV$5,0)*(2000/8760)</f>
        <v>0</v>
      </c>
      <c r="NX104" s="155">
        <f>IF(Tank4!$D$22="No control",(SUMIF(Tank4!$E$32:$E$141,$FG104,Tank4!$H$32:$H$141)*(2000/8760)*IFERROR($QV$6,0)),0)</f>
        <v>0</v>
      </c>
      <c r="NY104" s="156">
        <f>SUMIF(LandEmiss!$AE$20:$AE$119,$FG104,LandEmiss!$AN$20:$AN$119)*(2000/8760)*IFERROR($QV$6,0)</f>
        <v>0</v>
      </c>
      <c r="NZ104" s="156">
        <f>(SUMIF(LandEmiss!$CN$20:$CN$119,$FG104,LandEmiss!$CW$20:$CW$119)+SUMIF(LandEmiss!$EY$9:$EY$108,$FG104,LandEmiss!$FH$9:$FH$108))*IFERROR($QV$6,0)*(2000/8760)</f>
        <v>0</v>
      </c>
      <c r="OA104" s="155">
        <f>IF(Tank5!$D$22="No control",(SUMIF(Tank5!$E$32:$E$141,$FG104,Tank5!$H$32:$H$141)*(2000/8760)*IFERROR($QV$7,0)),0)</f>
        <v>0</v>
      </c>
      <c r="OB104" s="156">
        <f>SUMIF(LandEmiss!$AE$20:$AE$119,$FG104,LandEmiss!$AO$20:$AO$119)*(2000/8760)*IFERROR($QV$7,0)</f>
        <v>0</v>
      </c>
      <c r="OC104" s="156">
        <f>(SUMIF(LandEmiss!$CN$20:$CN$119,$FG104,LandEmiss!$CX$20:$CX$119)+SUMIF(LandEmiss!$EY$9:$EY$108,$FG104,LandEmiss!$FI$9:$FI$108))*IFERROR($QV$7,0)*(2000/8760)</f>
        <v>0</v>
      </c>
      <c r="OD104" s="155">
        <f>SUMIFS('Load-DrumTote'!$L$27:$L$136,'Load-DrumTote'!$F$27:$F$136,$FG104)*IFERROR($QV$8,0)*(2000/8760)</f>
        <v>0</v>
      </c>
      <c r="OE104" s="155">
        <f>SUMIFS('Load-Truck'!$L$27:$L$136,'Load-Truck'!$F$27:$F$136,$FG104)*IFERROR($QV$9,0)*(2000/8760)</f>
        <v>0</v>
      </c>
      <c r="OF104" s="155">
        <f>SUMIFS('Load-Rail'!$L$27:$L$136,'Load-Rail'!$F$27:$F$136,$FG104)*IFERROR($QV$10,0)*(2000/8760)</f>
        <v>0</v>
      </c>
      <c r="OG104" s="155">
        <f>SUMIFS('Load-MarineBarge'!$L$27:$L$136,'Load-MarineBarge'!$F$27:$F$136,$FG104)*IFERROR($QV$11,0)*(2000/8760)</f>
        <v>0</v>
      </c>
      <c r="OH104" s="155">
        <f>SUMIFS('Load-MarineShip'!$L$27:$L$136,'Load-MarineShip'!$F$27:$F$136,$FG104)*IFERROR($QV$12,0)*(2000/8760)</f>
        <v>0</v>
      </c>
      <c r="OI104" s="155">
        <f>(IF(OR(Flare!$D$24="FUEL GAS",Flare!$D$38="FUEL GAS"),SUMIF(Flare!$E$97:$E$106,$FG104,Flare!$G$97:$G$105),0)+SUMIF(Flare!$E$107:$E$216,$FG104,Flare!$G$107:$G$216))*(2000/8730)*IFERROR($QV$13,0)</f>
        <v>0</v>
      </c>
      <c r="OJ104" s="155">
        <f>SUMIF(LandEmiss!$A$335:$A$434,$FG104,LandEmiss!$C$335:$C$434)*(2000/8760)*IFERROR($QV$13,0)</f>
        <v>0</v>
      </c>
      <c r="OK104" s="155">
        <f>(SUMIF(LandEmiss!$BJ$335:$BJ$434,$FG104,LandEmiss!$BL$335:$BL$434)+SUMIF(LandEmiss!$DU$323:$DU$422,$FG104,LandEmiss!$DW$323:$DW$422))*(2000/8760)*IFERROR($QV$13,0)</f>
        <v>0</v>
      </c>
      <c r="OL104" s="155">
        <f>(IF(OR(VCU!$D$26="FUEL GAS",VCU!$D$42="FUEL GAS"),SUMIF(VCU!$E$120:$E$129,$FG104,VCU!$G$120:$G$129),0)+SUMIF(VCU!$E$130:$E$239,$FG104,VCU!G232:G341))*(2000/8760)*IFERROR($QV$14,0)</f>
        <v>0</v>
      </c>
      <c r="OM104" s="155">
        <f>SUMIF(LandEmiss!$A$335:$A$434,$FG104,LandEmiss!$E$335:$E$434)*(2000/8760)*IFERROR($QV$14,0)</f>
        <v>0</v>
      </c>
      <c r="ON104" s="155">
        <f>(SUMIF(LandEmiss!$BJ$335:$BJ$434,$FG104,LandEmiss!$BN$335:$BN$434)+SUMIF(LandEmiss!$DU$323:$DU$422,$FG104,LandEmiss!$DY$323:$DY$422))*(2000/8760)*IFERROR($QV$14,0)</f>
        <v>0</v>
      </c>
      <c r="OO104" s="155">
        <f>(IF(VaporOxidizer!$D$33="FUEL GAS",SUMIF(VaporOxidizer!$E$101:$E$110,$FG104,VaporOxidizer!$G$101:$G$110),0)+SUMIF(VaporOxidizer!$E$111:$E$220,$FG104,VaporOxidizer!$G$111:$G$220))*(2000/8760)*IFERROR($QV$15,0)</f>
        <v>0</v>
      </c>
      <c r="OP104" s="155">
        <f>SUMIF(LandEmiss!$A$335:$A$434,$FG104,LandEmiss!$G$335:$G$434)*(2000/8760)*IFERROR($QV$15,0)</f>
        <v>0</v>
      </c>
      <c r="OQ104" s="155">
        <f>(SUMIF(LandEmiss!$BJ$335:$BJ$434,$FG104,LandEmiss!$BP$335:$BP$434)+SUMIF(LandEmiss!$DU$323:$DU$422,$FG104,LandEmiss!$EA$323:$EA$422))*(2000/8760)*IFERROR($QV$15,0)</f>
        <v>0</v>
      </c>
      <c r="OR104" s="155">
        <f>SUMIF(CAS!$E$35:$E$144,Hidden!$FG104,CAS!$I$35:$I$144)*IFERROR($QV$16,0)*(2000/8760)</f>
        <v>0</v>
      </c>
      <c r="OS104" s="155">
        <f>SUMIF(LandEmiss!$A$335:$A$434,$FG104,LandEmiss!$I$335:$I$434)*(2000/8760)*IFERROR($QV$27,0)</f>
        <v>0</v>
      </c>
      <c r="OT104" s="155">
        <f>(SUMIF(LandEmiss!$BJ$335:$BJ$434,$FG104,LandEmiss!$BR$335:$BR$434)+SUMIF(LandEmiss!$DU$323:$DU$422,$FG104,LandEmiss!$EC$323:$EC$422))*(2000/8760)*IFERROR($QV$27,0)</f>
        <v>0</v>
      </c>
      <c r="OU104" s="155">
        <f>SUMIF(LandEmiss!$A$335:$A$434,$FG104,LandEmiss!$K$335:$K$434)*(2000/8760)*IFERROR($QV$26,0)</f>
        <v>0</v>
      </c>
      <c r="OV104" s="155">
        <f>(SUMIF(LandEmiss!$BJ$335:$BJ$434,$FG104,LandEmiss!$BT$335:$BT$434)+SUMIF(LandEmiss!$DU$323:$DU$422,$FG104,LandEmiss!$EE$323:$EE$422))*(2000/8760)*IFERROR($QV$26,0)</f>
        <v>0</v>
      </c>
      <c r="OW104" s="155">
        <f>SUMIF(LandEmiss!$A$335:$A$434,$FG104,LandEmiss!$M$335:$M$434)*(2000/8760)*IFERROR($QV$25,0)</f>
        <v>0</v>
      </c>
      <c r="OX104" s="155">
        <f>(SUMIF(LandEmiss!$BJ$335:$BJ$434,$FG104,LandEmiss!$BV$335:$BV$434)+SUMIF(LandEmiss!$DU$323:$DU$422,$FG104,LandEmiss!$EG$323:$EG$422))*(2000/8760)*IFERROR($QV$25,0)</f>
        <v>0</v>
      </c>
      <c r="OY104" s="8">
        <v>0</v>
      </c>
      <c r="OZ104" s="207">
        <v>0</v>
      </c>
      <c r="PA104" s="207">
        <f>IF(OR(HeaterBoiler1!$E$26&lt;&gt;"fuel gas",HeaterBoiler1!$E$15&lt;&gt;"heater"),0,(SUMIF(HeaterBoiler1!$A$54:$D$63,$FG104,HeaterBoiler1!$J$54:$J$63))*(2000/8760))*IFERROR($QV$19,0)</f>
        <v>0</v>
      </c>
      <c r="PB104" s="207">
        <f>IF(OR(HeaterBoiler2!$E$26&lt;&gt;"fuel gas",HeaterBoiler2!$E$15&lt;&gt;"heater"),0,(SUMIF(HeaterBoiler2!$A$54:$D$63,$FG104,HeaterBoiler2!$J$54:$J$63))*(2000/8760))*IFERROR($QV$21,0)</f>
        <v>0</v>
      </c>
      <c r="PC104" s="207">
        <f>IF(OR(HeaterBoiler1!$E$26&lt;&gt;"fuel gas",HeaterBoiler1!$E$15&lt;&gt;"boiler"),0,(SUMIF(HeaterBoiler1!$A$54:$D$63,$FG104,HeaterBoiler1!$J$54:$J$63))*(2000/8760))*IFERROR($QV$20,0)</f>
        <v>0</v>
      </c>
      <c r="PD104" s="207">
        <f>IF(OR(HeaterBoiler2!$E$26&lt;&gt;"fuel gas",HeaterBoiler2!$E$15&lt;&gt;"boiler"),0,(SUMIF(HeaterBoiler2!$A$54:$D$63,$FG104,HeaterBoiler2!$J$54:$J$63))*(2000/8760))*IFERROR($QV$22,0)</f>
        <v>0</v>
      </c>
      <c r="PE104" s="8">
        <f>(SUMIF(Fug!$A$96:$A$205,$FG104,Fug!$J$96:$J$205))*IFERROR($QV$23,0)*(2000/8760)</f>
        <v>0</v>
      </c>
      <c r="PF104" s="8">
        <f t="shared" si="53"/>
        <v>0</v>
      </c>
      <c r="PG104" s="156">
        <f t="shared" si="54"/>
        <v>0</v>
      </c>
      <c r="QX104" s="89" t="s">
        <v>9319</v>
      </c>
      <c r="QY104">
        <v>20145.5</v>
      </c>
      <c r="QZ104">
        <v>10845.1</v>
      </c>
      <c r="RA104">
        <v>4302.7</v>
      </c>
      <c r="RB104">
        <v>1614.3</v>
      </c>
      <c r="RC104">
        <v>911.4</v>
      </c>
      <c r="RD104">
        <v>607.4</v>
      </c>
      <c r="RE104">
        <v>449.2</v>
      </c>
      <c r="RF104">
        <v>254.8</v>
      </c>
      <c r="RG104" s="90">
        <v>172.6</v>
      </c>
      <c r="RH104" s="89" t="s">
        <v>9319</v>
      </c>
      <c r="RI104">
        <v>18563.2</v>
      </c>
      <c r="RJ104">
        <v>9643</v>
      </c>
      <c r="RK104">
        <v>3851.6</v>
      </c>
      <c r="RL104">
        <v>1436.7</v>
      </c>
      <c r="RM104">
        <v>802.6</v>
      </c>
      <c r="RN104">
        <v>529.9</v>
      </c>
      <c r="RO104">
        <v>384</v>
      </c>
      <c r="RP104">
        <v>213.7</v>
      </c>
      <c r="RQ104" s="90">
        <v>148.1</v>
      </c>
      <c r="RR104" s="89" t="s">
        <v>9319</v>
      </c>
      <c r="RS104">
        <v>15741.7</v>
      </c>
      <c r="RT104">
        <v>7846.6</v>
      </c>
      <c r="RU104">
        <v>2985.5</v>
      </c>
      <c r="RV104">
        <v>1044</v>
      </c>
      <c r="RW104">
        <v>563</v>
      </c>
      <c r="RX104">
        <v>364.7</v>
      </c>
      <c r="RY104">
        <v>260.10000000000002</v>
      </c>
      <c r="RZ104">
        <v>141.1</v>
      </c>
      <c r="SA104" s="90">
        <v>93.61</v>
      </c>
      <c r="SB104" s="89" t="s">
        <v>9319</v>
      </c>
      <c r="SC104">
        <v>7435.1</v>
      </c>
      <c r="SD104">
        <v>3692.3</v>
      </c>
      <c r="SE104">
        <v>1392.5</v>
      </c>
      <c r="SF104">
        <v>486.8</v>
      </c>
      <c r="SG104">
        <v>261.2</v>
      </c>
      <c r="SH104">
        <v>168.4</v>
      </c>
      <c r="SI104">
        <v>119.8</v>
      </c>
      <c r="SJ104">
        <v>64.69</v>
      </c>
      <c r="SK104" s="90">
        <v>41.81</v>
      </c>
      <c r="SL104" s="89" t="s">
        <v>9319</v>
      </c>
      <c r="SM104">
        <v>1776.2</v>
      </c>
      <c r="SN104">
        <v>787.6</v>
      </c>
      <c r="SO104">
        <v>253.7</v>
      </c>
      <c r="SP104">
        <v>72.91</v>
      </c>
      <c r="SQ104">
        <v>35.090000000000003</v>
      </c>
      <c r="SR104">
        <v>21.05</v>
      </c>
      <c r="SS104">
        <v>14.5</v>
      </c>
      <c r="ST104">
        <v>7.05</v>
      </c>
      <c r="SU104" s="90">
        <v>4.24</v>
      </c>
    </row>
    <row r="105" spans="23:515" ht="74.25" customHeight="1" x14ac:dyDescent="0.2">
      <c r="W105">
        <f>IF(OR(X105=0,ISNUMBER(MATCH(X105,$X$1:X104,0))),0,MAX($W$1:W104)+1)</f>
        <v>0</v>
      </c>
      <c r="X105" s="123">
        <f>Products!$E152</f>
        <v>0</v>
      </c>
      <c r="Y105" t="str">
        <f t="shared" si="55"/>
        <v/>
      </c>
      <c r="CA105">
        <f>IF(OR(CB105=0,ISNUMBER(MATCH(CB105,$CB$1:CB104,0))),0,MAX($CA$1:CA104)+1)</f>
        <v>0</v>
      </c>
      <c r="CB105" s="8">
        <f>IF(OR(Tank1!$D$18="EXTERNAL FLOATING ROOF",Tank1!$D$18="INTERNAL FLOATING ROOF"),IF(Tank1!$E135="",0,Tank1!$E135),0)</f>
        <v>0</v>
      </c>
      <c r="CC105" s="8"/>
      <c r="CD105" s="8"/>
      <c r="CE105" s="8">
        <f>IF(OR(CF105=0,ISNUMBER(MATCH(CF105,$CF$1:CF104,0))),0,MAX($CE$1:CE104)+1)</f>
        <v>0</v>
      </c>
      <c r="CF105" s="8">
        <f>IF(OR(Tank1!$D$18="HORIZONTAL FIXED ROOF",Tank1!$D$18="VERTICAL FIXED ROOF"),IF(Tank1!$E135="",0,Tank1!$E135),0)</f>
        <v>0</v>
      </c>
      <c r="CG105" s="8"/>
      <c r="FB105" s="8" t="s">
        <v>550</v>
      </c>
      <c r="FC105" s="8" t="s">
        <v>551</v>
      </c>
      <c r="FD105" s="8">
        <v>38000</v>
      </c>
      <c r="FE105" s="8">
        <v>3800</v>
      </c>
      <c r="FG105" s="360" t="str">
        <f t="shared" si="45"/>
        <v/>
      </c>
      <c r="FH105" s="155">
        <f>IF(Tank1!$D$22="NO CONTROL",_xlfn.MAXIFS(Tank1!$G$32:$G$141,Tank1!$E$32:$E$141,$FG105),0)*IFERROR($QR$3,0)</f>
        <v>0</v>
      </c>
      <c r="FI105" s="155">
        <f>_xlfn.MAXIFS(LandEmiss!$AF$20:$AF$119,LandEmiss!$AE$20:$AE$119,$FG105)*IFERROR($QR$3,0)</f>
        <v>0</v>
      </c>
      <c r="FJ105" s="155">
        <f>MAX(_xlfn.MAXIFS(LandEmiss!$CO$20:$CO$119,LandEmiss!$CN$20:$CN$119,$FG105),_xlfn.MAXIFS(LandEmiss!$EZ$9:$EZ$108,LandEmiss!$EY$9:$EY$108,$FG105))*IFERROR($QR$3,0)</f>
        <v>0</v>
      </c>
      <c r="FK105" s="155">
        <f>IF(Tank2!$D$22="NO CONTROL",_xlfn.MAXIFS(Tank2!$G$32:$G$141,Tank2!$E$32:$E$141,$FG105),0)*IFERROR($QR$4,0)</f>
        <v>0</v>
      </c>
      <c r="FL105" s="155">
        <f>_xlfn.MAXIFS(LandEmiss!$AG$20:$AG$119,LandEmiss!$AE$20:$AE$119,$FG105)*IFERROR($QR$4,0)</f>
        <v>0</v>
      </c>
      <c r="FM105" s="155">
        <f>MAX(_xlfn.MAXIFS(LandEmiss!$CP$20:$CP$119,LandEmiss!$CN$20:$CN$119,$FG105),_xlfn.MAXIFS(LandEmiss!$FA$9:$FA$108,LandEmiss!$EY$9:$EY$108,$FG105))*IFERROR($QR$4,0)</f>
        <v>0</v>
      </c>
      <c r="FN105" s="155">
        <f>IF(Tank3!$D$22="NO CONTROL",_xlfn.MAXIFS(Tank3!$G$32:$G$141,Tank3!$E$32:$E$141,$FG105),0)*IFERROR($QR$5,0)</f>
        <v>0</v>
      </c>
      <c r="FO105" s="155">
        <f>_xlfn.MAXIFS(LandEmiss!$AH$20:$AH$119,LandEmiss!$AE$20:$AE$119,$FG105)*IFERROR($QR$5,0)</f>
        <v>0</v>
      </c>
      <c r="FP105" s="155">
        <f>MAX(_xlfn.MAXIFS(LandEmiss!$CQ$20:$CQ$119,LandEmiss!$CN$20:$CN$119,$FG105),_xlfn.MAXIFS(LandEmiss!$FB$9:$FB$108,LandEmiss!$EY$9:$EY$108,$FG105))*IFERROR($QR$5,0)</f>
        <v>0</v>
      </c>
      <c r="FQ105" s="155">
        <f>IF(Tank4!$D$22="NO CONTROL",_xlfn.MAXIFS(Tank4!$G$32:$G$141,Tank4!$E$32:$E$141,$FG105),0)*IFERROR($QR$6,0)</f>
        <v>0</v>
      </c>
      <c r="FR105" s="155">
        <f>_xlfn.MAXIFS(LandEmiss!$AI$20:$AI$119,LandEmiss!$AE$20:$AE$119,$FG105)*IFERROR($QR$6,0)</f>
        <v>0</v>
      </c>
      <c r="FS105" s="155">
        <f>MAX(_xlfn.MAXIFS(LandEmiss!$CR$20:$CR$119,LandEmiss!$CN$20:$CN$119,$FG105),_xlfn.MAXIFS(LandEmiss!$FC$9:$FC$108,LandEmiss!$EY$9:$EY$108,$FG105))*IFERROR($QR$6,0)</f>
        <v>0</v>
      </c>
      <c r="FT105" s="155">
        <f>IF(Tank5!$D$22="NO CONTROL",_xlfn.MAXIFS(Tank5!$G$32:$G$141,Tank5!$E$32:$E$141,$FG105),0)*IFERROR($QR$7,0)</f>
        <v>0</v>
      </c>
      <c r="FU105" s="155">
        <f>_xlfn.MAXIFS(LandEmiss!$AJ$20:$AJ$119,LandEmiss!$AE$20:$AE$119,$FG105)*IFERROR($QR$7,0)</f>
        <v>0</v>
      </c>
      <c r="FV105" s="155">
        <f>MAX(_xlfn.MAXIFS(LandEmiss!$CS$20:$CS$119,LandEmiss!$CN$20:$CN$119,$FG105),_xlfn.MAXIFS(LandEmiss!$FD$9:$FD$108,LandEmiss!$EY$9:$EY$108,$FG105))*IFERROR($QR110,0)</f>
        <v>0</v>
      </c>
      <c r="FW105" s="155">
        <f>_xlfn.MAXIFS('Load-DrumTote'!$K$27:$K$136,'Load-DrumTote'!$F$27:$F$136,$FG105)*IFERROR($QR$8,0)</f>
        <v>0</v>
      </c>
      <c r="FX105" s="155">
        <f>_xlfn.MAXIFS('Load-Truck'!$K$27:$K$136,'Load-Truck'!$F$27:$F$136,$FG105)*IFERROR($QR$9,0)</f>
        <v>0</v>
      </c>
      <c r="FY105" s="155">
        <f>_xlfn.MAXIFS('Load-Rail'!$K$27:$K$136,'Load-Rail'!$F$27:$F$136,$FG105)*IFERROR($QR$10,0)</f>
        <v>0</v>
      </c>
      <c r="FZ105" s="155">
        <f>_xlfn.MAXIFS('Load-MarineBarge'!$K$27:$K$136,'Load-MarineBarge'!$F$27:$F$136,$FG105)*IFERROR($QR$11,0)</f>
        <v>0</v>
      </c>
      <c r="GA105" s="155">
        <f>_xlfn.MAXIFS('Load-MarineShip'!$K$27:$K$136,'Load-MarineShip'!$F$27:$F$136,$FG105)*IFERROR($QR$12,0)</f>
        <v>0</v>
      </c>
      <c r="GB105" s="313">
        <f>IF(OR(Flare!$D$24="fuel gas",Flare!$D$38="fuel gas"),SUMIF(Flare!$E$97:$E$106,$FG105,Flare!$F$97:$F$106),0)*IFERROR($QR$13,0)</f>
        <v>0</v>
      </c>
      <c r="GC105" s="313">
        <f>(_xlfn.MAXIFS(CtrlDevImpacts!$I$57:$I$156,CtrlDevImpacts!$H$57:$H$156,$FG105))*IFERROR($QR$13,0)</f>
        <v>0</v>
      </c>
      <c r="GD105" s="313">
        <f>(_xlfn.MAXIFS(Flare!$F$107:$F$216,Flare!$E$107:$E$216,$FG105)-_xlfn.MAXIFS(CtrlDevImpacts!$I$57:$I$156,CtrlDevImpacts!$H$57:$H$156,$FG105))*IFERROR($QR$13,0)</f>
        <v>0</v>
      </c>
      <c r="GE105" s="155">
        <f>_xlfn.MAXIFS(LandEmiss!$B$335:$B$434,LandEmiss!$A$335:$A$434,$FG105)*IFERROR($QR$13,0)</f>
        <v>0</v>
      </c>
      <c r="GF105" s="155">
        <f>(_xlfn.MAXIFS(LandEmiss!$BK$335:$BK$434,LandEmiss!$BJ$335:$BJ$434,$FG105)+_xlfn.MAXIFS(LandEmiss!$DV$323:$DV$422,LandEmiss!$DU$323:$DU$422,$FG105))*IFERROR($QR$13,0)</f>
        <v>0</v>
      </c>
      <c r="GG105" s="313">
        <f>IF(OR(VCU!$D$26="fuel gas",VCU!$D$42="fuel gas"),SUMIF(VCU!$E$120:$E$129,$FG105,VCU!$F$120:$F$129),0)*IFERROR($QR$14,0)</f>
        <v>0</v>
      </c>
      <c r="GH105" s="313">
        <f>(_xlfn.MAXIFS(CtrlDevImpacts!$X$57:$X$156,CtrlDevImpacts!$W$57:$W$156,$FG105))*IFERROR($QR$14,0)</f>
        <v>0</v>
      </c>
      <c r="GI105" s="313">
        <f>(_xlfn.MAXIFS(VCU!$F$130:$F$239,VCU!$E$130:$E$239,$FG105)-_xlfn.MAXIFS(CtrlDevImpacts!$X$57:$X$156,CtrlDevImpacts!$W$57:$W$156,$FG105))*IFERROR($QR$14,0)</f>
        <v>0</v>
      </c>
      <c r="GJ105" s="155">
        <f>_xlfn.MAXIFS(LandEmiss!$D$335:$D$434,LandEmiss!$A$335:$A$434,$FG105)*IFERROR($QR$14,0)</f>
        <v>0</v>
      </c>
      <c r="GK105" s="155">
        <f>(_xlfn.MAXIFS(LandEmiss!$BM$335:$BM$434,LandEmiss!$BJ$335:$BJ$434,$FG105)+_xlfn.MAXIFS(LandEmiss!$DX$323:$DX$422,LandEmiss!$DU$323:$DU$422,$FG105))*IFERROR($QR$14,0)</f>
        <v>0</v>
      </c>
      <c r="GL105" s="313">
        <f>IF(VaporOxidizer!D136="FUEL GAS",SUMIF(VaporOxidizer!$E$101:$E$110,$FG105,VaporOxidizer!$F$101:$F$110),0)*IFERROR($QR$15,0)</f>
        <v>0</v>
      </c>
      <c r="GM105" s="313">
        <f>(_xlfn.MAXIFS(CtrlDevImpacts!$AN$57:$AN$156,CtrlDevImpacts!$AM$57:$AM$156,$FG105))*IFERROR($QR$15,0)</f>
        <v>0</v>
      </c>
      <c r="GN105" s="313">
        <f>(_xlfn.MAXIFS(VaporOxidizer!$F$111:$F$220,VaporOxidizer!$E$111:$E$220,$FG105)-_xlfn.MAXIFS(CtrlDevImpacts!$AN$57:$AN$156,CtrlDevImpacts!$AM$57:$AM$156,$FG105))*IFERROR($QR$15,0)</f>
        <v>0</v>
      </c>
      <c r="GO105" s="155">
        <f>_xlfn.MAXIFS(LandEmiss!$F$335:$F$434,LandEmiss!$A$335:$A$434,$FG105)*IFERROR($QR$15,0)</f>
        <v>0</v>
      </c>
      <c r="GP105" s="155">
        <f>(_xlfn.MAXIFS(LandEmiss!$BK$335:$BK$434,LandEmiss!$BO$335:$BO$434,$FG105)+_xlfn.MAXIFS(LandEmiss!$DZ$323:$DZ$422,LandEmiss!$DU$323:$DU$422,$FG105))*IFERROR($QR$15,0)</f>
        <v>0</v>
      </c>
      <c r="GQ105" s="313">
        <f>_xlfn.MAXIFS(CtrlDevImpacts!$BD$57:$BD$156,CtrlDevImpacts!$BC$57:$BC$156,$FG105)*IFERROR(Hidden!$QR$16,0)</f>
        <v>0</v>
      </c>
      <c r="GR105" s="313">
        <f>(_xlfn.MAXIFS(CAS!$H$35:$H$144,CAS!$E$35:$E$144,$FG105)-_xlfn.MAXIFS(CtrlDevImpacts!$BD$57:$BD$156,CtrlDevImpacts!$BC$57:$BC$156,$FG105))*IFERROR(Hidden!$QR$16,0)</f>
        <v>0</v>
      </c>
      <c r="GS105" s="155">
        <f>_xlfn.MAXIFS(LandEmiss!$H$335:$H$434,LandEmiss!$A$335:$A$434,$FG105)*IFERROR($QR$27,0)</f>
        <v>0</v>
      </c>
      <c r="GT105" s="155">
        <f>(_xlfn.MAXIFS(LandEmiss!$BK$335:$BK$434,LandEmiss!$BQ$335:$BQ$434,$FG105)+_xlfn.MAXIFS(LandEmiss!$EB$323:$EB$422,LandEmiss!$DU$323:$DU$422,$FG105))*IFERROR($QR$27,0)</f>
        <v>0</v>
      </c>
      <c r="GU105" s="155">
        <f>_xlfn.MAXIFS(LandEmiss!$J$335:$J$434,LandEmiss!$A$335:$A$434,$FG105)*IFERROR($QR$26,0)</f>
        <v>0</v>
      </c>
      <c r="GV105" s="155">
        <f>(_xlfn.MAXIFS(LandEmiss!$BK$335:$BK$434,LandEmiss!$BS$335:$BS$434,$FG105)+_xlfn.MAXIFS(LandEmiss!$ED$323:$ED$422,LandEmiss!$DU$323:$DU$422,$FG105))*IFERROR($QR$26,0)</f>
        <v>0</v>
      </c>
      <c r="GW105" s="155">
        <f>_xlfn.MAXIFS(LandEmiss!$L$335:$L$434,LandEmiss!$A$335:$A$434,$FG105)*IFERROR($QR$25,0)</f>
        <v>0</v>
      </c>
      <c r="GX105" s="155">
        <f>(_xlfn.MAXIFS(LandEmiss!$BK$335:$BK$434,LandEmiss!$BU$335:$BU$434,$FG105)+_xlfn.MAXIFS(LandEmiss!$EF$323:$EF$422,LandEmiss!$DU$323:$DU$422,$FG105))*IFERROR($QR$25,0)</f>
        <v>0</v>
      </c>
      <c r="GY105" s="155">
        <v>0</v>
      </c>
      <c r="GZ105" s="155">
        <v>0</v>
      </c>
      <c r="HA105" s="155">
        <f>IF(OR(HeaterBoiler1!$E$26&lt;&gt;"fuel gas",HeaterBoiler1!$E$15&lt;&gt;"heater"),0,SUMIF(HeaterBoiler1!$A$54:$D$63,$FG105,HeaterBoiler1!$I$54:$I$63))*IFERROR($QR$19,0)</f>
        <v>0</v>
      </c>
      <c r="HB105" s="207">
        <f>IF(OR(HeaterBoiler2!$E$26&lt;&gt;"fuel gas",HeaterBoiler2!$E$15&lt;&gt;"heater"),0,SUMIF(HeaterBoiler2!$A$54:$D$63,$FG105,HeaterBoiler2!$I$54:$I$63))*IFERROR($QR$21,0)</f>
        <v>0</v>
      </c>
      <c r="HC105" s="155">
        <f>IF(OR(HeaterBoiler1!$E$26&lt;&gt;"fuel gas",HeaterBoiler1!$E$15&lt;&gt;"boiler"),0,SUMIF(HeaterBoiler1!$A$41:$A$50,$FG105,HeaterBoiler1!$F$41:$F$50))*IFERROR($QR$20,0)</f>
        <v>0</v>
      </c>
      <c r="HD105" s="207">
        <f>IF(OR(HeaterBoiler2!$E$26&lt;&gt;"fuel gas",HeaterBoiler2!$E$15&lt;&gt;"boiler"),0,SUMIF(HeaterBoiler2!$A$41:$A$50,$FG105,HeaterBoiler2!$F$41:$F$50))*IFERROR($QR$22,0)</f>
        <v>0</v>
      </c>
      <c r="HE105" s="155">
        <f>SUMIF(Fug!$A$96:$A$205,$FG105,Fug!$I$96:$I$205)*IFERROR(Hidden!$QR$23,0)</f>
        <v>0</v>
      </c>
      <c r="HF105" s="155">
        <f t="shared" si="46"/>
        <v>0</v>
      </c>
      <c r="HG105" s="156">
        <f t="shared" si="47"/>
        <v>0</v>
      </c>
      <c r="HH105" s="156">
        <f t="shared" si="48"/>
        <v>0</v>
      </c>
      <c r="HI105" s="156">
        <f t="shared" si="49"/>
        <v>0</v>
      </c>
      <c r="HJ105" s="156">
        <f t="shared" si="50"/>
        <v>0</v>
      </c>
      <c r="HK105" s="156">
        <f t="shared" si="51"/>
        <v>0</v>
      </c>
      <c r="HL105" s="156">
        <f t="shared" si="52"/>
        <v>0</v>
      </c>
      <c r="NO105" s="155">
        <f>IF(Tank1!$D$22="No control",(SUMIF(Tank1!$E$32:$E$141,$FG105,Tank1!$H$32:$H$141)*(2000/8760)*IFERROR($QV$3,0)),0)</f>
        <v>0</v>
      </c>
      <c r="NP105" s="156">
        <f>SUMIF(LandEmiss!$AE$20:$AE$119,$FG105,LandEmiss!$AK$20:$AK$119)*(2000/8760)*IFERROR($QV$3,0)</f>
        <v>0</v>
      </c>
      <c r="NQ105" s="156">
        <f>(SUMIF(LandEmiss!$CN$20:$CN$119,$FG105,LandEmiss!$CT$20:$CT$119)+SUMIF(LandEmiss!$EY$9:$EY$108,$FG105,LandEmiss!$FE$9:$FE$108))*IFERROR($QV$3,0)*(2000/8760)</f>
        <v>0</v>
      </c>
      <c r="NR105" s="155">
        <f>IF(Tank2!$D$22="No control",(SUMIF(Tank2!$E$32:$E$141,$FG105,Tank2!$H$32:$H$141)*(2000/8760)*IFERROR($QV$4,0)),0)</f>
        <v>0</v>
      </c>
      <c r="NS105" s="156">
        <f>SUMIF(LandEmiss!$AE$20:$AE$119,$FG105,LandEmiss!$AL$20:$AL$119)*(2000/8760)*IFERROR($QV$4,0)</f>
        <v>0</v>
      </c>
      <c r="NT105" s="156">
        <f>(SUMIF(LandEmiss!$CN$20:$CN$119,$FG105,LandEmiss!$CU$20:$CU$119)+SUMIF(LandEmiss!$EY$9:$EY$108,$FG105,LandEmiss!$FF$9:$FF$108))*IFERROR($QV$4,0)*(2000/8760)</f>
        <v>0</v>
      </c>
      <c r="NU105" s="155">
        <f>IF(Tank3!$D$22="No control",(SUMIF(Tank3!$E$32:$E$141,$FG105,Tank3!$H$32:$H$141)*(2000/8760)*IFERROR($QV$5,0)),0)</f>
        <v>0</v>
      </c>
      <c r="NV105" s="156">
        <f>SUMIF(LandEmiss!$AE$20:$AE$119,$FG105,LandEmiss!$AM$20:$AM$119)*(2000/8760)*IFERROR($QV$5,0)</f>
        <v>0</v>
      </c>
      <c r="NW105" s="156">
        <f>(SUMIF(LandEmiss!$CN$20:$CN$119,$FG105,LandEmiss!$CV$20:$CV$119)+SUMIF(LandEmiss!$EY$9:$EY$108,$FG105,LandEmiss!$FG$9:$FG$108))*IFERROR($QV$5,0)*(2000/8760)</f>
        <v>0</v>
      </c>
      <c r="NX105" s="155">
        <f>IF(Tank4!$D$22="No control",(SUMIF(Tank4!$E$32:$E$141,$FG105,Tank4!$H$32:$H$141)*(2000/8760)*IFERROR($QV$6,0)),0)</f>
        <v>0</v>
      </c>
      <c r="NY105" s="156">
        <f>SUMIF(LandEmiss!$AE$20:$AE$119,$FG105,LandEmiss!$AN$20:$AN$119)*(2000/8760)*IFERROR($QV$6,0)</f>
        <v>0</v>
      </c>
      <c r="NZ105" s="156">
        <f>(SUMIF(LandEmiss!$CN$20:$CN$119,$FG105,LandEmiss!$CW$20:$CW$119)+SUMIF(LandEmiss!$EY$9:$EY$108,$FG105,LandEmiss!$FH$9:$FH$108))*IFERROR($QV$6,0)*(2000/8760)</f>
        <v>0</v>
      </c>
      <c r="OA105" s="155">
        <f>IF(Tank5!$D$22="No control",(SUMIF(Tank5!$E$32:$E$141,$FG105,Tank5!$H$32:$H$141)*(2000/8760)*IFERROR($QV$7,0)),0)</f>
        <v>0</v>
      </c>
      <c r="OB105" s="156">
        <f>SUMIF(LandEmiss!$AE$20:$AE$119,$FG105,LandEmiss!$AO$20:$AO$119)*(2000/8760)*IFERROR($QV$7,0)</f>
        <v>0</v>
      </c>
      <c r="OC105" s="156">
        <f>(SUMIF(LandEmiss!$CN$20:$CN$119,$FG105,LandEmiss!$CX$20:$CX$119)+SUMIF(LandEmiss!$EY$9:$EY$108,$FG105,LandEmiss!$FI$9:$FI$108))*IFERROR($QV$7,0)*(2000/8760)</f>
        <v>0</v>
      </c>
      <c r="OD105" s="155">
        <f>SUMIFS('Load-DrumTote'!$L$27:$L$136,'Load-DrumTote'!$F$27:$F$136,$FG105)*IFERROR($QV$8,0)*(2000/8760)</f>
        <v>0</v>
      </c>
      <c r="OE105" s="155">
        <f>SUMIFS('Load-Truck'!$L$27:$L$136,'Load-Truck'!$F$27:$F$136,$FG105)*IFERROR($QV$9,0)*(2000/8760)</f>
        <v>0</v>
      </c>
      <c r="OF105" s="155">
        <f>SUMIFS('Load-Rail'!$L$27:$L$136,'Load-Rail'!$F$27:$F$136,$FG105)*IFERROR($QV$10,0)*(2000/8760)</f>
        <v>0</v>
      </c>
      <c r="OG105" s="155">
        <f>SUMIFS('Load-MarineBarge'!$L$27:$L$136,'Load-MarineBarge'!$F$27:$F$136,$FG105)*IFERROR($QV$11,0)*(2000/8760)</f>
        <v>0</v>
      </c>
      <c r="OH105" s="155">
        <f>SUMIFS('Load-MarineShip'!$L$27:$L$136,'Load-MarineShip'!$F$27:$F$136,$FG105)*IFERROR($QV$12,0)*(2000/8760)</f>
        <v>0</v>
      </c>
      <c r="OI105" s="155">
        <f>(IF(OR(Flare!$D$24="FUEL GAS",Flare!$D$38="FUEL GAS"),SUMIF(Flare!$E$97:$E$106,$FG105,Flare!$G$97:$G$105),0)+SUMIF(Flare!$E$107:$E$216,$FG105,Flare!$G$107:$G$216))*(2000/8730)*IFERROR($QV$13,0)</f>
        <v>0</v>
      </c>
      <c r="OJ105" s="155">
        <f>SUMIF(LandEmiss!$A$335:$A$434,$FG105,LandEmiss!$C$335:$C$434)*(2000/8760)*IFERROR($QV$13,0)</f>
        <v>0</v>
      </c>
      <c r="OK105" s="155">
        <f>(SUMIF(LandEmiss!$BJ$335:$BJ$434,$FG105,LandEmiss!$BL$335:$BL$434)+SUMIF(LandEmiss!$DU$323:$DU$422,$FG105,LandEmiss!$DW$323:$DW$422))*(2000/8760)*IFERROR($QV$13,0)</f>
        <v>0</v>
      </c>
      <c r="OL105" s="155">
        <f>(IF(OR(VCU!$D$26="FUEL GAS",VCU!$D$42="FUEL GAS"),SUMIF(VCU!$E$120:$E$129,$FG105,VCU!$G$120:$G$129),0)+SUMIF(VCU!$E$130:$E$239,$FG105,VCU!G233:G342))*(2000/8760)*IFERROR($QV$14,0)</f>
        <v>0</v>
      </c>
      <c r="OM105" s="155">
        <f>SUMIF(LandEmiss!$A$335:$A$434,$FG105,LandEmiss!$E$335:$E$434)*(2000/8760)*IFERROR($QV$14,0)</f>
        <v>0</v>
      </c>
      <c r="ON105" s="155">
        <f>(SUMIF(LandEmiss!$BJ$335:$BJ$434,$FG105,LandEmiss!$BN$335:$BN$434)+SUMIF(LandEmiss!$DU$323:$DU$422,$FG105,LandEmiss!$DY$323:$DY$422))*(2000/8760)*IFERROR($QV$14,0)</f>
        <v>0</v>
      </c>
      <c r="OO105" s="155">
        <f>(IF(VaporOxidizer!$D$33="FUEL GAS",SUMIF(VaporOxidizer!$E$101:$E$110,$FG105,VaporOxidizer!$G$101:$G$110),0)+SUMIF(VaporOxidizer!$E$111:$E$220,$FG105,VaporOxidizer!$G$111:$G$220))*(2000/8760)*IFERROR($QV$15,0)</f>
        <v>0</v>
      </c>
      <c r="OP105" s="155">
        <f>SUMIF(LandEmiss!$A$335:$A$434,$FG105,LandEmiss!$G$335:$G$434)*(2000/8760)*IFERROR($QV$15,0)</f>
        <v>0</v>
      </c>
      <c r="OQ105" s="155">
        <f>(SUMIF(LandEmiss!$BJ$335:$BJ$434,$FG105,LandEmiss!$BP$335:$BP$434)+SUMIF(LandEmiss!$DU$323:$DU$422,$FG105,LandEmiss!$EA$323:$EA$422))*(2000/8760)*IFERROR($QV$15,0)</f>
        <v>0</v>
      </c>
      <c r="OR105" s="155">
        <f>SUMIF(CAS!$E$35:$E$144,Hidden!$FG105,CAS!$I$35:$I$144)*IFERROR($QV$16,0)*(2000/8760)</f>
        <v>0</v>
      </c>
      <c r="OS105" s="155">
        <f>SUMIF(LandEmiss!$A$335:$A$434,$FG105,LandEmiss!$I$335:$I$434)*(2000/8760)*IFERROR($QV$27,0)</f>
        <v>0</v>
      </c>
      <c r="OT105" s="155">
        <f>(SUMIF(LandEmiss!$BJ$335:$BJ$434,$FG105,LandEmiss!$BR$335:$BR$434)+SUMIF(LandEmiss!$DU$323:$DU$422,$FG105,LandEmiss!$EC$323:$EC$422))*(2000/8760)*IFERROR($QV$27,0)</f>
        <v>0</v>
      </c>
      <c r="OU105" s="155">
        <f>SUMIF(LandEmiss!$A$335:$A$434,$FG105,LandEmiss!$K$335:$K$434)*(2000/8760)*IFERROR($QV$26,0)</f>
        <v>0</v>
      </c>
      <c r="OV105" s="155">
        <f>(SUMIF(LandEmiss!$BJ$335:$BJ$434,$FG105,LandEmiss!$BT$335:$BT$434)+SUMIF(LandEmiss!$DU$323:$DU$422,$FG105,LandEmiss!$EE$323:$EE$422))*(2000/8760)*IFERROR($QV$26,0)</f>
        <v>0</v>
      </c>
      <c r="OW105" s="155">
        <f>SUMIF(LandEmiss!$A$335:$A$434,$FG105,LandEmiss!$M$335:$M$434)*(2000/8760)*IFERROR($QV$25,0)</f>
        <v>0</v>
      </c>
      <c r="OX105" s="155">
        <f>(SUMIF(LandEmiss!$BJ$335:$BJ$434,$FG105,LandEmiss!$BV$335:$BV$434)+SUMIF(LandEmiss!$DU$323:$DU$422,$FG105,LandEmiss!$EG$323:$EG$422))*(2000/8760)*IFERROR($QV$25,0)</f>
        <v>0</v>
      </c>
      <c r="OY105" s="8">
        <v>0</v>
      </c>
      <c r="OZ105" s="207">
        <v>0</v>
      </c>
      <c r="PA105" s="207">
        <f>IF(OR(HeaterBoiler1!$E$26&lt;&gt;"fuel gas",HeaterBoiler1!$E$15&lt;&gt;"heater"),0,(SUMIF(HeaterBoiler1!$A$54:$D$63,$FG105,HeaterBoiler1!$J$54:$J$63))*(2000/8760))*IFERROR($QV$19,0)</f>
        <v>0</v>
      </c>
      <c r="PB105" s="207">
        <f>IF(OR(HeaterBoiler2!$E$26&lt;&gt;"fuel gas",HeaterBoiler2!$E$15&lt;&gt;"heater"),0,(SUMIF(HeaterBoiler2!$A$54:$D$63,$FG105,HeaterBoiler2!$J$54:$J$63))*(2000/8760))*IFERROR($QV$21,0)</f>
        <v>0</v>
      </c>
      <c r="PC105" s="207">
        <f>IF(OR(HeaterBoiler1!$E$26&lt;&gt;"fuel gas",HeaterBoiler1!$E$15&lt;&gt;"boiler"),0,(SUMIF(HeaterBoiler1!$A$54:$D$63,$FG105,HeaterBoiler1!$J$54:$J$63))*(2000/8760))*IFERROR($QV$20,0)</f>
        <v>0</v>
      </c>
      <c r="PD105" s="207">
        <f>IF(OR(HeaterBoiler2!$E$26&lt;&gt;"fuel gas",HeaterBoiler2!$E$15&lt;&gt;"boiler"),0,(SUMIF(HeaterBoiler2!$A$54:$D$63,$FG105,HeaterBoiler2!$J$54:$J$63))*(2000/8760))*IFERROR($QV$22,0)</f>
        <v>0</v>
      </c>
      <c r="PE105" s="8">
        <f>(SUMIF(Fug!$A$96:$A$205,$FG105,Fug!$J$96:$J$205))*IFERROR($QV$23,0)*(2000/8760)</f>
        <v>0</v>
      </c>
      <c r="PF105" s="8">
        <f t="shared" si="53"/>
        <v>0</v>
      </c>
      <c r="PG105" s="156">
        <f t="shared" si="54"/>
        <v>0</v>
      </c>
      <c r="QX105" s="89" t="s">
        <v>9320</v>
      </c>
      <c r="QY105">
        <v>3.01</v>
      </c>
      <c r="QZ105">
        <v>3.01</v>
      </c>
      <c r="RA105">
        <v>3.01</v>
      </c>
      <c r="RB105">
        <v>3.01</v>
      </c>
      <c r="RC105">
        <v>3.01</v>
      </c>
      <c r="RD105">
        <v>3.01</v>
      </c>
      <c r="RE105">
        <v>3.01</v>
      </c>
      <c r="RF105">
        <v>2.86</v>
      </c>
      <c r="RG105" s="90">
        <v>2.2200000000000002</v>
      </c>
      <c r="RH105" s="89" t="s">
        <v>9320</v>
      </c>
      <c r="RI105">
        <v>2.5499999999999998</v>
      </c>
      <c r="RJ105">
        <v>2.5499999999999998</v>
      </c>
      <c r="RK105">
        <v>2.5499999999999998</v>
      </c>
      <c r="RL105">
        <v>2.5499999999999998</v>
      </c>
      <c r="RM105">
        <v>2.5499999999999998</v>
      </c>
      <c r="RN105">
        <v>2.5499999999999998</v>
      </c>
      <c r="RO105">
        <v>2.5499999999999998</v>
      </c>
      <c r="RP105">
        <v>2.5099999999999998</v>
      </c>
      <c r="RQ105" s="90">
        <v>2.12</v>
      </c>
      <c r="RR105" s="89" t="s">
        <v>9320</v>
      </c>
      <c r="RS105">
        <v>2.0499999999999998</v>
      </c>
      <c r="RT105">
        <v>2.0499999999999998</v>
      </c>
      <c r="RU105">
        <v>2.0499999999999998</v>
      </c>
      <c r="RV105">
        <v>2.0499999999999998</v>
      </c>
      <c r="RW105">
        <v>2.0499999999999998</v>
      </c>
      <c r="RX105">
        <v>2.0499999999999998</v>
      </c>
      <c r="RY105">
        <v>2.0499999999999998</v>
      </c>
      <c r="RZ105">
        <v>2.0499999999999998</v>
      </c>
      <c r="SA105" s="90">
        <v>1.86</v>
      </c>
      <c r="SB105" s="89" t="s">
        <v>9320</v>
      </c>
      <c r="SC105">
        <v>1.24</v>
      </c>
      <c r="SD105">
        <v>1.24</v>
      </c>
      <c r="SE105">
        <v>1.24</v>
      </c>
      <c r="SF105">
        <v>1.24</v>
      </c>
      <c r="SG105">
        <v>1.24</v>
      </c>
      <c r="SH105">
        <v>1.24</v>
      </c>
      <c r="SI105">
        <v>1.24</v>
      </c>
      <c r="SJ105">
        <v>1.24</v>
      </c>
      <c r="SK105" s="90">
        <v>1.2</v>
      </c>
      <c r="SL105" s="89" t="s">
        <v>9320</v>
      </c>
      <c r="SM105">
        <v>0.13</v>
      </c>
      <c r="SN105">
        <v>0.13</v>
      </c>
      <c r="SO105">
        <v>0.13</v>
      </c>
      <c r="SP105">
        <v>0.13</v>
      </c>
      <c r="SQ105">
        <v>0.13</v>
      </c>
      <c r="SR105">
        <v>0.13</v>
      </c>
      <c r="SS105">
        <v>0.13</v>
      </c>
      <c r="ST105">
        <v>0.13</v>
      </c>
      <c r="SU105" s="90">
        <v>0.12</v>
      </c>
    </row>
    <row r="106" spans="23:515" ht="74.25" customHeight="1" x14ac:dyDescent="0.2">
      <c r="W106">
        <f>IF(OR(X106=0,ISNUMBER(MATCH(X106,$X$1:X105,0))),0,MAX($W$1:W105)+1)</f>
        <v>0</v>
      </c>
      <c r="X106" s="123">
        <f>Products!$E153</f>
        <v>0</v>
      </c>
      <c r="Y106" t="str">
        <f t="shared" si="55"/>
        <v/>
      </c>
      <c r="CA106">
        <f>IF(OR(CB106=0,ISNUMBER(MATCH(CB106,$CB$1:CB105,0))),0,MAX($CA$1:CA105)+1)</f>
        <v>0</v>
      </c>
      <c r="CB106" s="8">
        <f>IF(OR(Tank1!$D$18="EXTERNAL FLOATING ROOF",Tank1!$D$18="INTERNAL FLOATING ROOF"),IF(Tank1!$E136="",0,Tank1!$E136),0)</f>
        <v>0</v>
      </c>
      <c r="CC106" s="8"/>
      <c r="CD106" s="8"/>
      <c r="CE106" s="8">
        <f>IF(OR(CF106=0,ISNUMBER(MATCH(CF106,$CF$1:CF105,0))),0,MAX($CE$1:CE105)+1)</f>
        <v>0</v>
      </c>
      <c r="CF106" s="8">
        <f>IF(OR(Tank1!$D$18="HORIZONTAL FIXED ROOF",Tank1!$D$18="VERTICAL FIXED ROOF"),IF(Tank1!$E136="",0,Tank1!$E136),0)</f>
        <v>0</v>
      </c>
      <c r="CG106" s="8"/>
      <c r="FB106" s="8" t="s">
        <v>552</v>
      </c>
      <c r="FC106" s="8" t="s">
        <v>553</v>
      </c>
      <c r="FD106" s="8">
        <v>550</v>
      </c>
      <c r="FE106" s="8">
        <v>55</v>
      </c>
      <c r="FG106" s="360" t="str">
        <f t="shared" si="45"/>
        <v/>
      </c>
      <c r="FH106" s="155">
        <f>IF(Tank1!$D$22="NO CONTROL",_xlfn.MAXIFS(Tank1!$G$32:$G$141,Tank1!$E$32:$E$141,$FG106),0)*IFERROR($QR$3,0)</f>
        <v>0</v>
      </c>
      <c r="FI106" s="155">
        <f>_xlfn.MAXIFS(LandEmiss!$AF$20:$AF$119,LandEmiss!$AE$20:$AE$119,$FG106)*IFERROR($QR$3,0)</f>
        <v>0</v>
      </c>
      <c r="FJ106" s="155">
        <f>MAX(_xlfn.MAXIFS(LandEmiss!$CO$20:$CO$119,LandEmiss!$CN$20:$CN$119,$FG106),_xlfn.MAXIFS(LandEmiss!$EZ$9:$EZ$108,LandEmiss!$EY$9:$EY$108,$FG106))*IFERROR($QR$3,0)</f>
        <v>0</v>
      </c>
      <c r="FK106" s="155">
        <f>IF(Tank2!$D$22="NO CONTROL",_xlfn.MAXIFS(Tank2!$G$32:$G$141,Tank2!$E$32:$E$141,$FG106),0)*IFERROR($QR$4,0)</f>
        <v>0</v>
      </c>
      <c r="FL106" s="155">
        <f>_xlfn.MAXIFS(LandEmiss!$AG$20:$AG$119,LandEmiss!$AE$20:$AE$119,$FG106)*IFERROR($QR$4,0)</f>
        <v>0</v>
      </c>
      <c r="FM106" s="155">
        <f>MAX(_xlfn.MAXIFS(LandEmiss!$CP$20:$CP$119,LandEmiss!$CN$20:$CN$119,$FG106),_xlfn.MAXIFS(LandEmiss!$FA$9:$FA$108,LandEmiss!$EY$9:$EY$108,$FG106))*IFERROR($QR$4,0)</f>
        <v>0</v>
      </c>
      <c r="FN106" s="155">
        <f>IF(Tank3!$D$22="NO CONTROL",_xlfn.MAXIFS(Tank3!$G$32:$G$141,Tank3!$E$32:$E$141,$FG106),0)*IFERROR($QR$5,0)</f>
        <v>0</v>
      </c>
      <c r="FO106" s="155">
        <f>_xlfn.MAXIFS(LandEmiss!$AH$20:$AH$119,LandEmiss!$AE$20:$AE$119,$FG106)*IFERROR($QR$5,0)</f>
        <v>0</v>
      </c>
      <c r="FP106" s="155">
        <f>MAX(_xlfn.MAXIFS(LandEmiss!$CQ$20:$CQ$119,LandEmiss!$CN$20:$CN$119,$FG106),_xlfn.MAXIFS(LandEmiss!$FB$9:$FB$108,LandEmiss!$EY$9:$EY$108,$FG106))*IFERROR($QR$5,0)</f>
        <v>0</v>
      </c>
      <c r="FQ106" s="155">
        <f>IF(Tank4!$D$22="NO CONTROL",_xlfn.MAXIFS(Tank4!$G$32:$G$141,Tank4!$E$32:$E$141,$FG106),0)*IFERROR($QR$6,0)</f>
        <v>0</v>
      </c>
      <c r="FR106" s="155">
        <f>_xlfn.MAXIFS(LandEmiss!$AI$20:$AI$119,LandEmiss!$AE$20:$AE$119,$FG106)*IFERROR($QR$6,0)</f>
        <v>0</v>
      </c>
      <c r="FS106" s="155">
        <f>MAX(_xlfn.MAXIFS(LandEmiss!$CR$20:$CR$119,LandEmiss!$CN$20:$CN$119,$FG106),_xlfn.MAXIFS(LandEmiss!$FC$9:$FC$108,LandEmiss!$EY$9:$EY$108,$FG106))*IFERROR($QR$6,0)</f>
        <v>0</v>
      </c>
      <c r="FT106" s="155">
        <f>IF(Tank5!$D$22="NO CONTROL",_xlfn.MAXIFS(Tank5!$G$32:$G$141,Tank5!$E$32:$E$141,$FG106),0)*IFERROR($QR$7,0)</f>
        <v>0</v>
      </c>
      <c r="FU106" s="155">
        <f>_xlfn.MAXIFS(LandEmiss!$AJ$20:$AJ$119,LandEmiss!$AE$20:$AE$119,$FG106)*IFERROR($QR$7,0)</f>
        <v>0</v>
      </c>
      <c r="FV106" s="155">
        <f>MAX(_xlfn.MAXIFS(LandEmiss!$CS$20:$CS$119,LandEmiss!$CN$20:$CN$119,$FG106),_xlfn.MAXIFS(LandEmiss!$FD$9:$FD$108,LandEmiss!$EY$9:$EY$108,$FG106))*IFERROR($QR111,0)</f>
        <v>0</v>
      </c>
      <c r="FW106" s="155">
        <f>_xlfn.MAXIFS('Load-DrumTote'!$K$27:$K$136,'Load-DrumTote'!$F$27:$F$136,$FG106)*IFERROR($QR$8,0)</f>
        <v>0</v>
      </c>
      <c r="FX106" s="155">
        <f>_xlfn.MAXIFS('Load-Truck'!$K$27:$K$136,'Load-Truck'!$F$27:$F$136,$FG106)*IFERROR($QR$9,0)</f>
        <v>0</v>
      </c>
      <c r="FY106" s="155">
        <f>_xlfn.MAXIFS('Load-Rail'!$K$27:$K$136,'Load-Rail'!$F$27:$F$136,$FG106)*IFERROR($QR$10,0)</f>
        <v>0</v>
      </c>
      <c r="FZ106" s="155">
        <f>_xlfn.MAXIFS('Load-MarineBarge'!$K$27:$K$136,'Load-MarineBarge'!$F$27:$F$136,$FG106)*IFERROR($QR$11,0)</f>
        <v>0</v>
      </c>
      <c r="GA106" s="155">
        <f>_xlfn.MAXIFS('Load-MarineShip'!$K$27:$K$136,'Load-MarineShip'!$F$27:$F$136,$FG106)*IFERROR($QR$12,0)</f>
        <v>0</v>
      </c>
      <c r="GB106" s="313">
        <f>IF(OR(Flare!$D$24="fuel gas",Flare!$D$38="fuel gas"),SUMIF(Flare!$E$97:$E$106,$FG106,Flare!$F$97:$F$106),0)*IFERROR($QR$13,0)</f>
        <v>0</v>
      </c>
      <c r="GC106" s="313">
        <f>(_xlfn.MAXIFS(CtrlDevImpacts!$I$57:$I$156,CtrlDevImpacts!$H$57:$H$156,$FG106))*IFERROR($QR$13,0)</f>
        <v>0</v>
      </c>
      <c r="GD106" s="313">
        <f>(_xlfn.MAXIFS(Flare!$F$107:$F$216,Flare!$E$107:$E$216,$FG106)-_xlfn.MAXIFS(CtrlDevImpacts!$I$57:$I$156,CtrlDevImpacts!$H$57:$H$156,$FG106))*IFERROR($QR$13,0)</f>
        <v>0</v>
      </c>
      <c r="GE106" s="155">
        <f>_xlfn.MAXIFS(LandEmiss!$B$335:$B$434,LandEmiss!$A$335:$A$434,$FG106)*IFERROR($QR$13,0)</f>
        <v>0</v>
      </c>
      <c r="GF106" s="155">
        <f>(_xlfn.MAXIFS(LandEmiss!$BK$335:$BK$434,LandEmiss!$BJ$335:$BJ$434,$FG106)+_xlfn.MAXIFS(LandEmiss!$DV$323:$DV$422,LandEmiss!$DU$323:$DU$422,$FG106))*IFERROR($QR$13,0)</f>
        <v>0</v>
      </c>
      <c r="GG106" s="313">
        <f>IF(OR(VCU!$D$26="fuel gas",VCU!$D$42="fuel gas"),SUMIF(VCU!$E$120:$E$129,$FG106,VCU!$F$120:$F$129),0)*IFERROR($QR$14,0)</f>
        <v>0</v>
      </c>
      <c r="GH106" s="313">
        <f>(_xlfn.MAXIFS(CtrlDevImpacts!$X$57:$X$156,CtrlDevImpacts!$W$57:$W$156,$FG106))*IFERROR($QR$14,0)</f>
        <v>0</v>
      </c>
      <c r="GI106" s="313">
        <f>(_xlfn.MAXIFS(VCU!$F$130:$F$239,VCU!$E$130:$E$239,$FG106)-_xlfn.MAXIFS(CtrlDevImpacts!$X$57:$X$156,CtrlDevImpacts!$W$57:$W$156,$FG106))*IFERROR($QR$14,0)</f>
        <v>0</v>
      </c>
      <c r="GJ106" s="155">
        <f>_xlfn.MAXIFS(LandEmiss!$D$335:$D$434,LandEmiss!$A$335:$A$434,$FG106)*IFERROR($QR$14,0)</f>
        <v>0</v>
      </c>
      <c r="GK106" s="155">
        <f>(_xlfn.MAXIFS(LandEmiss!$BM$335:$BM$434,LandEmiss!$BJ$335:$BJ$434,$FG106)+_xlfn.MAXIFS(LandEmiss!$DX$323:$DX$422,LandEmiss!$DU$323:$DU$422,$FG106))*IFERROR($QR$14,0)</f>
        <v>0</v>
      </c>
      <c r="GL106" s="313">
        <f>IF(VaporOxidizer!D137="FUEL GAS",SUMIF(VaporOxidizer!$E$101:$E$110,$FG106,VaporOxidizer!$F$101:$F$110),0)*IFERROR($QR$15,0)</f>
        <v>0</v>
      </c>
      <c r="GM106" s="313">
        <f>(_xlfn.MAXIFS(CtrlDevImpacts!$AN$57:$AN$156,CtrlDevImpacts!$AM$57:$AM$156,$FG106))*IFERROR($QR$15,0)</f>
        <v>0</v>
      </c>
      <c r="GN106" s="313">
        <f>(_xlfn.MAXIFS(VaporOxidizer!$F$111:$F$220,VaporOxidizer!$E$111:$E$220,$FG106)-_xlfn.MAXIFS(CtrlDevImpacts!$AN$57:$AN$156,CtrlDevImpacts!$AM$57:$AM$156,$FG106))*IFERROR($QR$15,0)</f>
        <v>0</v>
      </c>
      <c r="GO106" s="155">
        <f>_xlfn.MAXIFS(LandEmiss!$F$335:$F$434,LandEmiss!$A$335:$A$434,$FG106)*IFERROR($QR$15,0)</f>
        <v>0</v>
      </c>
      <c r="GP106" s="155">
        <f>(_xlfn.MAXIFS(LandEmiss!$BK$335:$BK$434,LandEmiss!$BO$335:$BO$434,$FG106)+_xlfn.MAXIFS(LandEmiss!$DZ$323:$DZ$422,LandEmiss!$DU$323:$DU$422,$FG106))*IFERROR($QR$15,0)</f>
        <v>0</v>
      </c>
      <c r="GQ106" s="313">
        <f>_xlfn.MAXIFS(CtrlDevImpacts!$BD$57:$BD$156,CtrlDevImpacts!$BC$57:$BC$156,$FG106)*IFERROR(Hidden!$QR$16,0)</f>
        <v>0</v>
      </c>
      <c r="GR106" s="313">
        <f>(_xlfn.MAXIFS(CAS!$H$35:$H$144,CAS!$E$35:$E$144,$FG106)-_xlfn.MAXIFS(CtrlDevImpacts!$BD$57:$BD$156,CtrlDevImpacts!$BC$57:$BC$156,$FG106))*IFERROR(Hidden!$QR$16,0)</f>
        <v>0</v>
      </c>
      <c r="GS106" s="155">
        <f>_xlfn.MAXIFS(LandEmiss!$H$335:$H$434,LandEmiss!$A$335:$A$434,$FG106)*IFERROR($QR$27,0)</f>
        <v>0</v>
      </c>
      <c r="GT106" s="155">
        <f>(_xlfn.MAXIFS(LandEmiss!$BK$335:$BK$434,LandEmiss!$BQ$335:$BQ$434,$FG106)+_xlfn.MAXIFS(LandEmiss!$EB$323:$EB$422,LandEmiss!$DU$323:$DU$422,$FG106))*IFERROR($QR$27,0)</f>
        <v>0</v>
      </c>
      <c r="GU106" s="155">
        <f>_xlfn.MAXIFS(LandEmiss!$J$335:$J$434,LandEmiss!$A$335:$A$434,$FG106)*IFERROR($QR$26,0)</f>
        <v>0</v>
      </c>
      <c r="GV106" s="155">
        <f>(_xlfn.MAXIFS(LandEmiss!$BK$335:$BK$434,LandEmiss!$BS$335:$BS$434,$FG106)+_xlfn.MAXIFS(LandEmiss!$ED$323:$ED$422,LandEmiss!$DU$323:$DU$422,$FG106))*IFERROR($QR$26,0)</f>
        <v>0</v>
      </c>
      <c r="GW106" s="155">
        <f>_xlfn.MAXIFS(LandEmiss!$L$335:$L$434,LandEmiss!$A$335:$A$434,$FG106)*IFERROR($QR$25,0)</f>
        <v>0</v>
      </c>
      <c r="GX106" s="155">
        <f>(_xlfn.MAXIFS(LandEmiss!$BK$335:$BK$434,LandEmiss!$BU$335:$BU$434,$FG106)+_xlfn.MAXIFS(LandEmiss!$EF$323:$EF$422,LandEmiss!$DU$323:$DU$422,$FG106))*IFERROR($QR$25,0)</f>
        <v>0</v>
      </c>
      <c r="GY106" s="155">
        <v>0</v>
      </c>
      <c r="GZ106" s="155">
        <v>0</v>
      </c>
      <c r="HA106" s="155">
        <f>IF(OR(HeaterBoiler1!$E$26&lt;&gt;"fuel gas",HeaterBoiler1!$E$15&lt;&gt;"heater"),0,SUMIF(HeaterBoiler1!$A$54:$D$63,$FG106,HeaterBoiler1!$I$54:$I$63))*IFERROR($QR$19,0)</f>
        <v>0</v>
      </c>
      <c r="HB106" s="207">
        <f>IF(OR(HeaterBoiler2!$E$26&lt;&gt;"fuel gas",HeaterBoiler2!$E$15&lt;&gt;"heater"),0,SUMIF(HeaterBoiler2!$A$54:$D$63,$FG106,HeaterBoiler2!$I$54:$I$63))*IFERROR($QR$21,0)</f>
        <v>0</v>
      </c>
      <c r="HC106" s="155">
        <f>IF(OR(HeaterBoiler1!$E$26&lt;&gt;"fuel gas",HeaterBoiler1!$E$15&lt;&gt;"boiler"),0,SUMIF(HeaterBoiler1!$A$41:$A$50,$FG106,HeaterBoiler1!$F$41:$F$50))*IFERROR($QR$20,0)</f>
        <v>0</v>
      </c>
      <c r="HD106" s="207">
        <f>IF(OR(HeaterBoiler2!$E$26&lt;&gt;"fuel gas",HeaterBoiler2!$E$15&lt;&gt;"boiler"),0,SUMIF(HeaterBoiler2!$A$41:$A$50,$FG106,HeaterBoiler2!$F$41:$F$50))*IFERROR($QR$22,0)</f>
        <v>0</v>
      </c>
      <c r="HE106" s="155">
        <f>SUMIF(Fug!$A$96:$A$205,$FG106,Fug!$I$96:$I$205)*IFERROR(Hidden!$QR$23,0)</f>
        <v>0</v>
      </c>
      <c r="HF106" s="155">
        <f t="shared" si="46"/>
        <v>0</v>
      </c>
      <c r="HG106" s="156">
        <f t="shared" si="47"/>
        <v>0</v>
      </c>
      <c r="HH106" s="156">
        <f t="shared" si="48"/>
        <v>0</v>
      </c>
      <c r="HI106" s="156">
        <f t="shared" si="49"/>
        <v>0</v>
      </c>
      <c r="HJ106" s="156">
        <f t="shared" si="50"/>
        <v>0</v>
      </c>
      <c r="HK106" s="156">
        <f t="shared" si="51"/>
        <v>0</v>
      </c>
      <c r="HL106" s="156">
        <f t="shared" si="52"/>
        <v>0</v>
      </c>
      <c r="NO106" s="155">
        <f>IF(Tank1!$D$22="No control",(SUMIF(Tank1!$E$32:$E$141,$FG106,Tank1!$H$32:$H$141)*(2000/8760)*IFERROR($QV$3,0)),0)</f>
        <v>0</v>
      </c>
      <c r="NP106" s="156">
        <f>SUMIF(LandEmiss!$AE$20:$AE$119,$FG106,LandEmiss!$AK$20:$AK$119)*(2000/8760)*IFERROR($QV$3,0)</f>
        <v>0</v>
      </c>
      <c r="NQ106" s="156">
        <f>(SUMIF(LandEmiss!$CN$20:$CN$119,$FG106,LandEmiss!$CT$20:$CT$119)+SUMIF(LandEmiss!$EY$9:$EY$108,$FG106,LandEmiss!$FE$9:$FE$108))*IFERROR($QV$3,0)*(2000/8760)</f>
        <v>0</v>
      </c>
      <c r="NR106" s="155">
        <f>IF(Tank2!$D$22="No control",(SUMIF(Tank2!$E$32:$E$141,$FG106,Tank2!$H$32:$H$141)*(2000/8760)*IFERROR($QV$4,0)),0)</f>
        <v>0</v>
      </c>
      <c r="NS106" s="156">
        <f>SUMIF(LandEmiss!$AE$20:$AE$119,$FG106,LandEmiss!$AL$20:$AL$119)*(2000/8760)*IFERROR($QV$4,0)</f>
        <v>0</v>
      </c>
      <c r="NT106" s="156">
        <f>(SUMIF(LandEmiss!$CN$20:$CN$119,$FG106,LandEmiss!$CU$20:$CU$119)+SUMIF(LandEmiss!$EY$9:$EY$108,$FG106,LandEmiss!$FF$9:$FF$108))*IFERROR($QV$4,0)*(2000/8760)</f>
        <v>0</v>
      </c>
      <c r="NU106" s="155">
        <f>IF(Tank3!$D$22="No control",(SUMIF(Tank3!$E$32:$E$141,$FG106,Tank3!$H$32:$H$141)*(2000/8760)*IFERROR($QV$5,0)),0)</f>
        <v>0</v>
      </c>
      <c r="NV106" s="156">
        <f>SUMIF(LandEmiss!$AE$20:$AE$119,$FG106,LandEmiss!$AM$20:$AM$119)*(2000/8760)*IFERROR($QV$5,0)</f>
        <v>0</v>
      </c>
      <c r="NW106" s="156">
        <f>(SUMIF(LandEmiss!$CN$20:$CN$119,$FG106,LandEmiss!$CV$20:$CV$119)+SUMIF(LandEmiss!$EY$9:$EY$108,$FG106,LandEmiss!$FG$9:$FG$108))*IFERROR($QV$5,0)*(2000/8760)</f>
        <v>0</v>
      </c>
      <c r="NX106" s="155">
        <f>IF(Tank4!$D$22="No control",(SUMIF(Tank4!$E$32:$E$141,$FG106,Tank4!$H$32:$H$141)*(2000/8760)*IFERROR($QV$6,0)),0)</f>
        <v>0</v>
      </c>
      <c r="NY106" s="156">
        <f>SUMIF(LandEmiss!$AE$20:$AE$119,$FG106,LandEmiss!$AN$20:$AN$119)*(2000/8760)*IFERROR($QV$6,0)</f>
        <v>0</v>
      </c>
      <c r="NZ106" s="156">
        <f>(SUMIF(LandEmiss!$CN$20:$CN$119,$FG106,LandEmiss!$CW$20:$CW$119)+SUMIF(LandEmiss!$EY$9:$EY$108,$FG106,LandEmiss!$FH$9:$FH$108))*IFERROR($QV$6,0)*(2000/8760)</f>
        <v>0</v>
      </c>
      <c r="OA106" s="155">
        <f>IF(Tank5!$D$22="No control",(SUMIF(Tank5!$E$32:$E$141,$FG106,Tank5!$H$32:$H$141)*(2000/8760)*IFERROR($QV$7,0)),0)</f>
        <v>0</v>
      </c>
      <c r="OB106" s="156">
        <f>SUMIF(LandEmiss!$AE$20:$AE$119,$FG106,LandEmiss!$AO$20:$AO$119)*(2000/8760)*IFERROR($QV$7,0)</f>
        <v>0</v>
      </c>
      <c r="OC106" s="156">
        <f>(SUMIF(LandEmiss!$CN$20:$CN$119,$FG106,LandEmiss!$CX$20:$CX$119)+SUMIF(LandEmiss!$EY$9:$EY$108,$FG106,LandEmiss!$FI$9:$FI$108))*IFERROR($QV$7,0)*(2000/8760)</f>
        <v>0</v>
      </c>
      <c r="OD106" s="155">
        <f>SUMIFS('Load-DrumTote'!$L$27:$L$136,'Load-DrumTote'!$F$27:$F$136,$FG106)*IFERROR($QV$8,0)*(2000/8760)</f>
        <v>0</v>
      </c>
      <c r="OE106" s="155">
        <f>SUMIFS('Load-Truck'!$L$27:$L$136,'Load-Truck'!$F$27:$F$136,$FG106)*IFERROR($QV$9,0)*(2000/8760)</f>
        <v>0</v>
      </c>
      <c r="OF106" s="155">
        <f>SUMIFS('Load-Rail'!$L$27:$L$136,'Load-Rail'!$F$27:$F$136,$FG106)*IFERROR($QV$10,0)*(2000/8760)</f>
        <v>0</v>
      </c>
      <c r="OG106" s="155">
        <f>SUMIFS('Load-MarineBarge'!$L$27:$L$136,'Load-MarineBarge'!$F$27:$F$136,$FG106)*IFERROR($QV$11,0)*(2000/8760)</f>
        <v>0</v>
      </c>
      <c r="OH106" s="155">
        <f>SUMIFS('Load-MarineShip'!$L$27:$L$136,'Load-MarineShip'!$F$27:$F$136,$FG106)*IFERROR($QV$12,0)*(2000/8760)</f>
        <v>0</v>
      </c>
      <c r="OI106" s="155">
        <f>(IF(OR(Flare!$D$24="FUEL GAS",Flare!$D$38="FUEL GAS"),SUMIF(Flare!$E$97:$E$106,$FG106,Flare!$G$97:$G$105),0)+SUMIF(Flare!$E$107:$E$216,$FG106,Flare!$G$107:$G$216))*(2000/8730)*IFERROR($QV$13,0)</f>
        <v>0</v>
      </c>
      <c r="OJ106" s="155">
        <f>SUMIF(LandEmiss!$A$335:$A$434,$FG106,LandEmiss!$C$335:$C$434)*(2000/8760)*IFERROR($QV$13,0)</f>
        <v>0</v>
      </c>
      <c r="OK106" s="155">
        <f>(SUMIF(LandEmiss!$BJ$335:$BJ$434,$FG106,LandEmiss!$BL$335:$BL$434)+SUMIF(LandEmiss!$DU$323:$DU$422,$FG106,LandEmiss!$DW$323:$DW$422))*(2000/8760)*IFERROR($QV$13,0)</f>
        <v>0</v>
      </c>
      <c r="OL106" s="155">
        <f>(IF(OR(VCU!$D$26="FUEL GAS",VCU!$D$42="FUEL GAS"),SUMIF(VCU!$E$120:$E$129,$FG106,VCU!$G$120:$G$129),0)+SUMIF(VCU!$E$130:$E$239,$FG106,VCU!G234:G343))*(2000/8760)*IFERROR($QV$14,0)</f>
        <v>0</v>
      </c>
      <c r="OM106" s="155">
        <f>SUMIF(LandEmiss!$A$335:$A$434,$FG106,LandEmiss!$E$335:$E$434)*(2000/8760)*IFERROR($QV$14,0)</f>
        <v>0</v>
      </c>
      <c r="ON106" s="155">
        <f>(SUMIF(LandEmiss!$BJ$335:$BJ$434,$FG106,LandEmiss!$BN$335:$BN$434)+SUMIF(LandEmiss!$DU$323:$DU$422,$FG106,LandEmiss!$DY$323:$DY$422))*(2000/8760)*IFERROR($QV$14,0)</f>
        <v>0</v>
      </c>
      <c r="OO106" s="155">
        <f>(IF(VaporOxidizer!$D$33="FUEL GAS",SUMIF(VaporOxidizer!$E$101:$E$110,$FG106,VaporOxidizer!$G$101:$G$110),0)+SUMIF(VaporOxidizer!$E$111:$E$220,$FG106,VaporOxidizer!$G$111:$G$220))*(2000/8760)*IFERROR($QV$15,0)</f>
        <v>0</v>
      </c>
      <c r="OP106" s="155">
        <f>SUMIF(LandEmiss!$A$335:$A$434,$FG106,LandEmiss!$G$335:$G$434)*(2000/8760)*IFERROR($QV$15,0)</f>
        <v>0</v>
      </c>
      <c r="OQ106" s="155">
        <f>(SUMIF(LandEmiss!$BJ$335:$BJ$434,$FG106,LandEmiss!$BP$335:$BP$434)+SUMIF(LandEmiss!$DU$323:$DU$422,$FG106,LandEmiss!$EA$323:$EA$422))*(2000/8760)*IFERROR($QV$15,0)</f>
        <v>0</v>
      </c>
      <c r="OR106" s="155">
        <f>SUMIF(CAS!$E$35:$E$144,Hidden!$FG106,CAS!$I$35:$I$144)*IFERROR($QV$16,0)*(2000/8760)</f>
        <v>0</v>
      </c>
      <c r="OS106" s="155">
        <f>SUMIF(LandEmiss!$A$335:$A$434,$FG106,LandEmiss!$I$335:$I$434)*(2000/8760)*IFERROR($QV$27,0)</f>
        <v>0</v>
      </c>
      <c r="OT106" s="155">
        <f>(SUMIF(LandEmiss!$BJ$335:$BJ$434,$FG106,LandEmiss!$BR$335:$BR$434)+SUMIF(LandEmiss!$DU$323:$DU$422,$FG106,LandEmiss!$EC$323:$EC$422))*(2000/8760)*IFERROR($QV$27,0)</f>
        <v>0</v>
      </c>
      <c r="OU106" s="155">
        <f>SUMIF(LandEmiss!$A$335:$A$434,$FG106,LandEmiss!$K$335:$K$434)*(2000/8760)*IFERROR($QV$26,0)</f>
        <v>0</v>
      </c>
      <c r="OV106" s="155">
        <f>(SUMIF(LandEmiss!$BJ$335:$BJ$434,$FG106,LandEmiss!$BT$335:$BT$434)+SUMIF(LandEmiss!$DU$323:$DU$422,$FG106,LandEmiss!$EE$323:$EE$422))*(2000/8760)*IFERROR($QV$26,0)</f>
        <v>0</v>
      </c>
      <c r="OW106" s="155">
        <f>SUMIF(LandEmiss!$A$335:$A$434,$FG106,LandEmiss!$M$335:$M$434)*(2000/8760)*IFERROR($QV$25,0)</f>
        <v>0</v>
      </c>
      <c r="OX106" s="155">
        <f>(SUMIF(LandEmiss!$BJ$335:$BJ$434,$FG106,LandEmiss!$BV$335:$BV$434)+SUMIF(LandEmiss!$DU$323:$DU$422,$FG106,LandEmiss!$EG$323:$EG$422))*(2000/8760)*IFERROR($QV$25,0)</f>
        <v>0</v>
      </c>
      <c r="OY106" s="8">
        <v>0</v>
      </c>
      <c r="OZ106" s="207">
        <v>0</v>
      </c>
      <c r="PA106" s="207">
        <f>IF(OR(HeaterBoiler1!$E$26&lt;&gt;"fuel gas",HeaterBoiler1!$E$15&lt;&gt;"heater"),0,(SUMIF(HeaterBoiler1!$A$54:$D$63,$FG106,HeaterBoiler1!$J$54:$J$63))*(2000/8760))*IFERROR($QV$19,0)</f>
        <v>0</v>
      </c>
      <c r="PB106" s="207">
        <f>IF(OR(HeaterBoiler2!$E$26&lt;&gt;"fuel gas",HeaterBoiler2!$E$15&lt;&gt;"heater"),0,(SUMIF(HeaterBoiler2!$A$54:$D$63,$FG106,HeaterBoiler2!$J$54:$J$63))*(2000/8760))*IFERROR($QV$21,0)</f>
        <v>0</v>
      </c>
      <c r="PC106" s="207">
        <f>IF(OR(HeaterBoiler1!$E$26&lt;&gt;"fuel gas",HeaterBoiler1!$E$15&lt;&gt;"boiler"),0,(SUMIF(HeaterBoiler1!$A$54:$D$63,$FG106,HeaterBoiler1!$J$54:$J$63))*(2000/8760))*IFERROR($QV$20,0)</f>
        <v>0</v>
      </c>
      <c r="PD106" s="207">
        <f>IF(OR(HeaterBoiler2!$E$26&lt;&gt;"fuel gas",HeaterBoiler2!$E$15&lt;&gt;"boiler"),0,(SUMIF(HeaterBoiler2!$A$54:$D$63,$FG106,HeaterBoiler2!$J$54:$J$63))*(2000/8760))*IFERROR($QV$22,0)</f>
        <v>0</v>
      </c>
      <c r="PE106" s="8">
        <f>(SUMIF(Fug!$A$96:$A$205,$FG106,Fug!$J$96:$J$205))*IFERROR($QV$23,0)*(2000/8760)</f>
        <v>0</v>
      </c>
      <c r="PF106" s="8">
        <f t="shared" si="53"/>
        <v>0</v>
      </c>
      <c r="PG106" s="156">
        <f t="shared" si="54"/>
        <v>0</v>
      </c>
      <c r="QX106" s="89" t="s">
        <v>9321</v>
      </c>
      <c r="QY106">
        <v>2.06</v>
      </c>
      <c r="QZ106">
        <v>2.06</v>
      </c>
      <c r="RA106">
        <v>2.06</v>
      </c>
      <c r="RB106">
        <v>2.06</v>
      </c>
      <c r="RC106">
        <v>2.06</v>
      </c>
      <c r="RD106">
        <v>2.06</v>
      </c>
      <c r="RE106">
        <v>2.06</v>
      </c>
      <c r="RF106">
        <v>2.06</v>
      </c>
      <c r="RG106" s="90">
        <v>1.85</v>
      </c>
      <c r="RH106" s="89" t="s">
        <v>9321</v>
      </c>
      <c r="RI106">
        <v>1.79</v>
      </c>
      <c r="RJ106">
        <v>1.79</v>
      </c>
      <c r="RK106">
        <v>1.79</v>
      </c>
      <c r="RL106">
        <v>1.79</v>
      </c>
      <c r="RM106">
        <v>1.79</v>
      </c>
      <c r="RN106">
        <v>1.79</v>
      </c>
      <c r="RO106">
        <v>1.79</v>
      </c>
      <c r="RP106">
        <v>1.79</v>
      </c>
      <c r="RQ106" s="90">
        <v>1.71</v>
      </c>
      <c r="RR106" s="89" t="s">
        <v>9321</v>
      </c>
      <c r="RS106">
        <v>1.47</v>
      </c>
      <c r="RT106">
        <v>1.47</v>
      </c>
      <c r="RU106">
        <v>1.47</v>
      </c>
      <c r="RV106">
        <v>1.47</v>
      </c>
      <c r="RW106">
        <v>1.47</v>
      </c>
      <c r="RX106">
        <v>1.47</v>
      </c>
      <c r="RY106">
        <v>1.47</v>
      </c>
      <c r="RZ106">
        <v>1.47</v>
      </c>
      <c r="SA106" s="90">
        <v>1.46</v>
      </c>
      <c r="SB106" s="89" t="s">
        <v>9321</v>
      </c>
      <c r="SC106">
        <v>0.93</v>
      </c>
      <c r="SD106">
        <v>0.93</v>
      </c>
      <c r="SE106">
        <v>0.93</v>
      </c>
      <c r="SF106">
        <v>0.93</v>
      </c>
      <c r="SG106">
        <v>0.93</v>
      </c>
      <c r="SH106">
        <v>0.93</v>
      </c>
      <c r="SI106">
        <v>0.93</v>
      </c>
      <c r="SJ106">
        <v>0.93</v>
      </c>
      <c r="SK106" s="90">
        <v>0.93</v>
      </c>
      <c r="SL106" s="89" t="s">
        <v>9321</v>
      </c>
      <c r="SM106">
        <v>0.1</v>
      </c>
      <c r="SN106">
        <v>0.1</v>
      </c>
      <c r="SO106">
        <v>0.1</v>
      </c>
      <c r="SP106">
        <v>0.1</v>
      </c>
      <c r="SQ106">
        <v>0.1</v>
      </c>
      <c r="SR106">
        <v>0.1</v>
      </c>
      <c r="SS106">
        <v>0.1</v>
      </c>
      <c r="ST106">
        <v>0.1</v>
      </c>
      <c r="SU106" s="90">
        <v>0.1</v>
      </c>
    </row>
    <row r="107" spans="23:515" ht="74.25" customHeight="1" x14ac:dyDescent="0.2">
      <c r="W107">
        <f>IF(OR(X107=0,ISNUMBER(MATCH(X107,$X$1:X106,0))),0,MAX($W$1:W106)+1)</f>
        <v>0</v>
      </c>
      <c r="X107" s="123">
        <f>Products!$E154</f>
        <v>0</v>
      </c>
      <c r="Y107" t="str">
        <f t="shared" si="55"/>
        <v/>
      </c>
      <c r="CA107">
        <f>IF(OR(CB107=0,ISNUMBER(MATCH(CB107,$CB$1:CB106,0))),0,MAX($CA$1:CA106)+1)</f>
        <v>0</v>
      </c>
      <c r="CB107" s="8">
        <f>IF(OR(Tank1!$D$18="EXTERNAL FLOATING ROOF",Tank1!$D$18="INTERNAL FLOATING ROOF"),IF(Tank1!$E137="",0,Tank1!$E137),0)</f>
        <v>0</v>
      </c>
      <c r="CC107" s="8"/>
      <c r="CD107" s="8"/>
      <c r="CE107" s="8">
        <f>IF(OR(CF107=0,ISNUMBER(MATCH(CF107,$CF$1:CF106,0))),0,MAX($CE$1:CE106)+1)</f>
        <v>0</v>
      </c>
      <c r="CF107" s="8">
        <f>IF(OR(Tank1!$D$18="HORIZONTAL FIXED ROOF",Tank1!$D$18="VERTICAL FIXED ROOF"),IF(Tank1!$E137="",0,Tank1!$E137),0)</f>
        <v>0</v>
      </c>
      <c r="CG107" s="8"/>
      <c r="FB107" s="8" t="s">
        <v>554</v>
      </c>
      <c r="FC107" s="8" t="s">
        <v>555</v>
      </c>
      <c r="FD107" s="8">
        <v>3400</v>
      </c>
      <c r="FE107" s="8">
        <v>340</v>
      </c>
      <c r="FG107" s="360" t="str">
        <f t="shared" si="45"/>
        <v/>
      </c>
      <c r="FH107" s="155">
        <f>IF(Tank1!$D$22="NO CONTROL",_xlfn.MAXIFS(Tank1!$G$32:$G$141,Tank1!$E$32:$E$141,$FG107),0)*IFERROR($QR$3,0)</f>
        <v>0</v>
      </c>
      <c r="FI107" s="155">
        <f>_xlfn.MAXIFS(LandEmiss!$AF$20:$AF$119,LandEmiss!$AE$20:$AE$119,$FG107)*IFERROR($QR$3,0)</f>
        <v>0</v>
      </c>
      <c r="FJ107" s="155">
        <f>MAX(_xlfn.MAXIFS(LandEmiss!$CO$20:$CO$119,LandEmiss!$CN$20:$CN$119,$FG107),_xlfn.MAXIFS(LandEmiss!$EZ$9:$EZ$108,LandEmiss!$EY$9:$EY$108,$FG107))*IFERROR($QR$3,0)</f>
        <v>0</v>
      </c>
      <c r="FK107" s="155">
        <f>IF(Tank2!$D$22="NO CONTROL",_xlfn.MAXIFS(Tank2!$G$32:$G$141,Tank2!$E$32:$E$141,$FG107),0)*IFERROR($QR$4,0)</f>
        <v>0</v>
      </c>
      <c r="FL107" s="155">
        <f>_xlfn.MAXIFS(LandEmiss!$AG$20:$AG$119,LandEmiss!$AE$20:$AE$119,$FG107)*IFERROR($QR$4,0)</f>
        <v>0</v>
      </c>
      <c r="FM107" s="155">
        <f>MAX(_xlfn.MAXIFS(LandEmiss!$CP$20:$CP$119,LandEmiss!$CN$20:$CN$119,$FG107),_xlfn.MAXIFS(LandEmiss!$FA$9:$FA$108,LandEmiss!$EY$9:$EY$108,$FG107))*IFERROR($QR$4,0)</f>
        <v>0</v>
      </c>
      <c r="FN107" s="155">
        <f>IF(Tank3!$D$22="NO CONTROL",_xlfn.MAXIFS(Tank3!$G$32:$G$141,Tank3!$E$32:$E$141,$FG107),0)*IFERROR($QR$5,0)</f>
        <v>0</v>
      </c>
      <c r="FO107" s="155">
        <f>_xlfn.MAXIFS(LandEmiss!$AH$20:$AH$119,LandEmiss!$AE$20:$AE$119,$FG107)*IFERROR($QR$5,0)</f>
        <v>0</v>
      </c>
      <c r="FP107" s="155">
        <f>MAX(_xlfn.MAXIFS(LandEmiss!$CQ$20:$CQ$119,LandEmiss!$CN$20:$CN$119,$FG107),_xlfn.MAXIFS(LandEmiss!$FB$9:$FB$108,LandEmiss!$EY$9:$EY$108,$FG107))*IFERROR($QR$5,0)</f>
        <v>0</v>
      </c>
      <c r="FQ107" s="155">
        <f>IF(Tank4!$D$22="NO CONTROL",_xlfn.MAXIFS(Tank4!$G$32:$G$141,Tank4!$E$32:$E$141,$FG107),0)*IFERROR($QR$6,0)</f>
        <v>0</v>
      </c>
      <c r="FR107" s="155">
        <f>_xlfn.MAXIFS(LandEmiss!$AI$20:$AI$119,LandEmiss!$AE$20:$AE$119,$FG107)*IFERROR($QR$6,0)</f>
        <v>0</v>
      </c>
      <c r="FS107" s="155">
        <f>MAX(_xlfn.MAXIFS(LandEmiss!$CR$20:$CR$119,LandEmiss!$CN$20:$CN$119,$FG107),_xlfn.MAXIFS(LandEmiss!$FC$9:$FC$108,LandEmiss!$EY$9:$EY$108,$FG107))*IFERROR($QR$6,0)</f>
        <v>0</v>
      </c>
      <c r="FT107" s="155">
        <f>IF(Tank5!$D$22="NO CONTROL",_xlfn.MAXIFS(Tank5!$G$32:$G$141,Tank5!$E$32:$E$141,$FG107),0)*IFERROR($QR$7,0)</f>
        <v>0</v>
      </c>
      <c r="FU107" s="155">
        <f>_xlfn.MAXIFS(LandEmiss!$AJ$20:$AJ$119,LandEmiss!$AE$20:$AE$119,$FG107)*IFERROR($QR$7,0)</f>
        <v>0</v>
      </c>
      <c r="FV107" s="155">
        <f>MAX(_xlfn.MAXIFS(LandEmiss!$CS$20:$CS$119,LandEmiss!$CN$20:$CN$119,$FG107),_xlfn.MAXIFS(LandEmiss!$FD$9:$FD$108,LandEmiss!$EY$9:$EY$108,$FG107))*IFERROR($QR112,0)</f>
        <v>0</v>
      </c>
      <c r="FW107" s="155">
        <f>_xlfn.MAXIFS('Load-DrumTote'!$K$27:$K$136,'Load-DrumTote'!$F$27:$F$136,$FG107)*IFERROR($QR$8,0)</f>
        <v>0</v>
      </c>
      <c r="FX107" s="155">
        <f>_xlfn.MAXIFS('Load-Truck'!$K$27:$K$136,'Load-Truck'!$F$27:$F$136,$FG107)*IFERROR($QR$9,0)</f>
        <v>0</v>
      </c>
      <c r="FY107" s="155">
        <f>_xlfn.MAXIFS('Load-Rail'!$K$27:$K$136,'Load-Rail'!$F$27:$F$136,$FG107)*IFERROR($QR$10,0)</f>
        <v>0</v>
      </c>
      <c r="FZ107" s="155">
        <f>_xlfn.MAXIFS('Load-MarineBarge'!$K$27:$K$136,'Load-MarineBarge'!$F$27:$F$136,$FG107)*IFERROR($QR$11,0)</f>
        <v>0</v>
      </c>
      <c r="GA107" s="155">
        <f>_xlfn.MAXIFS('Load-MarineShip'!$K$27:$K$136,'Load-MarineShip'!$F$27:$F$136,$FG107)*IFERROR($QR$12,0)</f>
        <v>0</v>
      </c>
      <c r="GB107" s="313">
        <f>IF(OR(Flare!$D$24="fuel gas",Flare!$D$38="fuel gas"),SUMIF(Flare!$E$97:$E$106,$FG107,Flare!$F$97:$F$106),0)*IFERROR($QR$13,0)</f>
        <v>0</v>
      </c>
      <c r="GC107" s="313">
        <f>(_xlfn.MAXIFS(CtrlDevImpacts!$I$57:$I$156,CtrlDevImpacts!$H$57:$H$156,$FG107))*IFERROR($QR$13,0)</f>
        <v>0</v>
      </c>
      <c r="GD107" s="313">
        <f>(_xlfn.MAXIFS(Flare!$F$107:$F$216,Flare!$E$107:$E$216,$FG107)-_xlfn.MAXIFS(CtrlDevImpacts!$I$57:$I$156,CtrlDevImpacts!$H$57:$H$156,$FG107))*IFERROR($QR$13,0)</f>
        <v>0</v>
      </c>
      <c r="GE107" s="155">
        <f>_xlfn.MAXIFS(LandEmiss!$B$335:$B$434,LandEmiss!$A$335:$A$434,$FG107)*IFERROR($QR$13,0)</f>
        <v>0</v>
      </c>
      <c r="GF107" s="155">
        <f>(_xlfn.MAXIFS(LandEmiss!$BK$335:$BK$434,LandEmiss!$BJ$335:$BJ$434,$FG107)+_xlfn.MAXIFS(LandEmiss!$DV$323:$DV$422,LandEmiss!$DU$323:$DU$422,$FG107))*IFERROR($QR$13,0)</f>
        <v>0</v>
      </c>
      <c r="GG107" s="313">
        <f>IF(OR(VCU!$D$26="fuel gas",VCU!$D$42="fuel gas"),SUMIF(VCU!$E$120:$E$129,$FG107,VCU!$F$120:$F$129),0)*IFERROR($QR$14,0)</f>
        <v>0</v>
      </c>
      <c r="GH107" s="313">
        <f>(_xlfn.MAXIFS(CtrlDevImpacts!$X$57:$X$156,CtrlDevImpacts!$W$57:$W$156,$FG107))*IFERROR($QR$14,0)</f>
        <v>0</v>
      </c>
      <c r="GI107" s="313">
        <f>(_xlfn.MAXIFS(VCU!$F$130:$F$239,VCU!$E$130:$E$239,$FG107)-_xlfn.MAXIFS(CtrlDevImpacts!$X$57:$X$156,CtrlDevImpacts!$W$57:$W$156,$FG107))*IFERROR($QR$14,0)</f>
        <v>0</v>
      </c>
      <c r="GJ107" s="155">
        <f>_xlfn.MAXIFS(LandEmiss!$D$335:$D$434,LandEmiss!$A$335:$A$434,$FG107)*IFERROR($QR$14,0)</f>
        <v>0</v>
      </c>
      <c r="GK107" s="155">
        <f>(_xlfn.MAXIFS(LandEmiss!$BM$335:$BM$434,LandEmiss!$BJ$335:$BJ$434,$FG107)+_xlfn.MAXIFS(LandEmiss!$DX$323:$DX$422,LandEmiss!$DU$323:$DU$422,$FG107))*IFERROR($QR$14,0)</f>
        <v>0</v>
      </c>
      <c r="GL107" s="313">
        <f>IF(VaporOxidizer!D138="FUEL GAS",SUMIF(VaporOxidizer!$E$101:$E$110,$FG107,VaporOxidizer!$F$101:$F$110),0)*IFERROR($QR$15,0)</f>
        <v>0</v>
      </c>
      <c r="GM107" s="313">
        <f>(_xlfn.MAXIFS(CtrlDevImpacts!$AN$57:$AN$156,CtrlDevImpacts!$AM$57:$AM$156,$FG107))*IFERROR($QR$15,0)</f>
        <v>0</v>
      </c>
      <c r="GN107" s="313">
        <f>(_xlfn.MAXIFS(VaporOxidizer!$F$111:$F$220,VaporOxidizer!$E$111:$E$220,$FG107)-_xlfn.MAXIFS(CtrlDevImpacts!$AN$57:$AN$156,CtrlDevImpacts!$AM$57:$AM$156,$FG107))*IFERROR($QR$15,0)</f>
        <v>0</v>
      </c>
      <c r="GO107" s="155">
        <f>_xlfn.MAXIFS(LandEmiss!$F$335:$F$434,LandEmiss!$A$335:$A$434,$FG107)*IFERROR($QR$15,0)</f>
        <v>0</v>
      </c>
      <c r="GP107" s="155">
        <f>(_xlfn.MAXIFS(LandEmiss!$BK$335:$BK$434,LandEmiss!$BO$335:$BO$434,$FG107)+_xlfn.MAXIFS(LandEmiss!$DZ$323:$DZ$422,LandEmiss!$DU$323:$DU$422,$FG107))*IFERROR($QR$15,0)</f>
        <v>0</v>
      </c>
      <c r="GQ107" s="313">
        <f>_xlfn.MAXIFS(CtrlDevImpacts!$BD$57:$BD$156,CtrlDevImpacts!$BC$57:$BC$156,$FG107)*IFERROR(Hidden!$QR$16,0)</f>
        <v>0</v>
      </c>
      <c r="GR107" s="313">
        <f>(_xlfn.MAXIFS(CAS!$H$35:$H$144,CAS!$E$35:$E$144,$FG107)-_xlfn.MAXIFS(CtrlDevImpacts!$BD$57:$BD$156,CtrlDevImpacts!$BC$57:$BC$156,$FG107))*IFERROR(Hidden!$QR$16,0)</f>
        <v>0</v>
      </c>
      <c r="GS107" s="155">
        <f>_xlfn.MAXIFS(LandEmiss!$H$335:$H$434,LandEmiss!$A$335:$A$434,$FG107)*IFERROR($QR$27,0)</f>
        <v>0</v>
      </c>
      <c r="GT107" s="155">
        <f>(_xlfn.MAXIFS(LandEmiss!$BK$335:$BK$434,LandEmiss!$BQ$335:$BQ$434,$FG107)+_xlfn.MAXIFS(LandEmiss!$EB$323:$EB$422,LandEmiss!$DU$323:$DU$422,$FG107))*IFERROR($QR$27,0)</f>
        <v>0</v>
      </c>
      <c r="GU107" s="155">
        <f>_xlfn.MAXIFS(LandEmiss!$J$335:$J$434,LandEmiss!$A$335:$A$434,$FG107)*IFERROR($QR$26,0)</f>
        <v>0</v>
      </c>
      <c r="GV107" s="155">
        <f>(_xlfn.MAXIFS(LandEmiss!$BK$335:$BK$434,LandEmiss!$BS$335:$BS$434,$FG107)+_xlfn.MAXIFS(LandEmiss!$ED$323:$ED$422,LandEmiss!$DU$323:$DU$422,$FG107))*IFERROR($QR$26,0)</f>
        <v>0</v>
      </c>
      <c r="GW107" s="155">
        <f>_xlfn.MAXIFS(LandEmiss!$L$335:$L$434,LandEmiss!$A$335:$A$434,$FG107)*IFERROR($QR$25,0)</f>
        <v>0</v>
      </c>
      <c r="GX107" s="155">
        <f>(_xlfn.MAXIFS(LandEmiss!$BK$335:$BK$434,LandEmiss!$BU$335:$BU$434,$FG107)+_xlfn.MAXIFS(LandEmiss!$EF$323:$EF$422,LandEmiss!$DU$323:$DU$422,$FG107))*IFERROR($QR$25,0)</f>
        <v>0</v>
      </c>
      <c r="GY107" s="155">
        <v>0</v>
      </c>
      <c r="GZ107" s="155">
        <v>0</v>
      </c>
      <c r="HA107" s="155">
        <f>IF(OR(HeaterBoiler1!$E$26&lt;&gt;"fuel gas",HeaterBoiler1!$E$15&lt;&gt;"heater"),0,SUMIF(HeaterBoiler1!$A$54:$D$63,$FG107,HeaterBoiler1!$I$54:$I$63))*IFERROR($QR$19,0)</f>
        <v>0</v>
      </c>
      <c r="HB107" s="207">
        <f>IF(OR(HeaterBoiler2!$E$26&lt;&gt;"fuel gas",HeaterBoiler2!$E$15&lt;&gt;"heater"),0,SUMIF(HeaterBoiler2!$A$54:$D$63,$FG107,HeaterBoiler2!$I$54:$I$63))*IFERROR($QR$21,0)</f>
        <v>0</v>
      </c>
      <c r="HC107" s="155">
        <f>IF(OR(HeaterBoiler1!$E$26&lt;&gt;"fuel gas",HeaterBoiler1!$E$15&lt;&gt;"boiler"),0,SUMIF(HeaterBoiler1!$A$41:$A$50,$FG107,HeaterBoiler1!$F$41:$F$50))*IFERROR($QR$20,0)</f>
        <v>0</v>
      </c>
      <c r="HD107" s="207">
        <f>IF(OR(HeaterBoiler2!$E$26&lt;&gt;"fuel gas",HeaterBoiler2!$E$15&lt;&gt;"boiler"),0,SUMIF(HeaterBoiler2!$A$41:$A$50,$FG107,HeaterBoiler2!$F$41:$F$50))*IFERROR($QR$22,0)</f>
        <v>0</v>
      </c>
      <c r="HE107" s="155">
        <f>SUMIF(Fug!$A$96:$A$205,$FG107,Fug!$I$96:$I$205)*IFERROR(Hidden!$QR$23,0)</f>
        <v>0</v>
      </c>
      <c r="HF107" s="155">
        <f t="shared" si="46"/>
        <v>0</v>
      </c>
      <c r="HG107" s="156">
        <f t="shared" si="47"/>
        <v>0</v>
      </c>
      <c r="HH107" s="156">
        <f t="shared" si="48"/>
        <v>0</v>
      </c>
      <c r="HI107" s="156">
        <f t="shared" si="49"/>
        <v>0</v>
      </c>
      <c r="HJ107" s="156">
        <f t="shared" si="50"/>
        <v>0</v>
      </c>
      <c r="HK107" s="156">
        <f t="shared" si="51"/>
        <v>0</v>
      </c>
      <c r="HL107" s="156">
        <f t="shared" si="52"/>
        <v>0</v>
      </c>
      <c r="NO107" s="155">
        <f>IF(Tank1!$D$22="No control",(SUMIF(Tank1!$E$32:$E$141,$FG107,Tank1!$H$32:$H$141)*(2000/8760)*IFERROR($QV$3,0)),0)</f>
        <v>0</v>
      </c>
      <c r="NP107" s="156">
        <f>SUMIF(LandEmiss!$AE$20:$AE$119,$FG107,LandEmiss!$AK$20:$AK$119)*(2000/8760)*IFERROR($QV$3,0)</f>
        <v>0</v>
      </c>
      <c r="NQ107" s="156">
        <f>(SUMIF(LandEmiss!$CN$20:$CN$119,$FG107,LandEmiss!$CT$20:$CT$119)+SUMIF(LandEmiss!$EY$9:$EY$108,$FG107,LandEmiss!$FE$9:$FE$108))*IFERROR($QV$3,0)*(2000/8760)</f>
        <v>0</v>
      </c>
      <c r="NR107" s="155">
        <f>IF(Tank2!$D$22="No control",(SUMIF(Tank2!$E$32:$E$141,$FG107,Tank2!$H$32:$H$141)*(2000/8760)*IFERROR($QV$4,0)),0)</f>
        <v>0</v>
      </c>
      <c r="NS107" s="156">
        <f>SUMIF(LandEmiss!$AE$20:$AE$119,$FG107,LandEmiss!$AL$20:$AL$119)*(2000/8760)*IFERROR($QV$4,0)</f>
        <v>0</v>
      </c>
      <c r="NT107" s="156">
        <f>(SUMIF(LandEmiss!$CN$20:$CN$119,$FG107,LandEmiss!$CU$20:$CU$119)+SUMIF(LandEmiss!$EY$9:$EY$108,$FG107,LandEmiss!$FF$9:$FF$108))*IFERROR($QV$4,0)*(2000/8760)</f>
        <v>0</v>
      </c>
      <c r="NU107" s="155">
        <f>IF(Tank3!$D$22="No control",(SUMIF(Tank3!$E$32:$E$141,$FG107,Tank3!$H$32:$H$141)*(2000/8760)*IFERROR($QV$5,0)),0)</f>
        <v>0</v>
      </c>
      <c r="NV107" s="156">
        <f>SUMIF(LandEmiss!$AE$20:$AE$119,$FG107,LandEmiss!$AM$20:$AM$119)*(2000/8760)*IFERROR($QV$5,0)</f>
        <v>0</v>
      </c>
      <c r="NW107" s="156">
        <f>(SUMIF(LandEmiss!$CN$20:$CN$119,$FG107,LandEmiss!$CV$20:$CV$119)+SUMIF(LandEmiss!$EY$9:$EY$108,$FG107,LandEmiss!$FG$9:$FG$108))*IFERROR($QV$5,0)*(2000/8760)</f>
        <v>0</v>
      </c>
      <c r="NX107" s="155">
        <f>IF(Tank4!$D$22="No control",(SUMIF(Tank4!$E$32:$E$141,$FG107,Tank4!$H$32:$H$141)*(2000/8760)*IFERROR($QV$6,0)),0)</f>
        <v>0</v>
      </c>
      <c r="NY107" s="156">
        <f>SUMIF(LandEmiss!$AE$20:$AE$119,$FG107,LandEmiss!$AN$20:$AN$119)*(2000/8760)*IFERROR($QV$6,0)</f>
        <v>0</v>
      </c>
      <c r="NZ107" s="156">
        <f>(SUMIF(LandEmiss!$CN$20:$CN$119,$FG107,LandEmiss!$CW$20:$CW$119)+SUMIF(LandEmiss!$EY$9:$EY$108,$FG107,LandEmiss!$FH$9:$FH$108))*IFERROR($QV$6,0)*(2000/8760)</f>
        <v>0</v>
      </c>
      <c r="OA107" s="155">
        <f>IF(Tank5!$D$22="No control",(SUMIF(Tank5!$E$32:$E$141,$FG107,Tank5!$H$32:$H$141)*(2000/8760)*IFERROR($QV$7,0)),0)</f>
        <v>0</v>
      </c>
      <c r="OB107" s="156">
        <f>SUMIF(LandEmiss!$AE$20:$AE$119,$FG107,LandEmiss!$AO$20:$AO$119)*(2000/8760)*IFERROR($QV$7,0)</f>
        <v>0</v>
      </c>
      <c r="OC107" s="156">
        <f>(SUMIF(LandEmiss!$CN$20:$CN$119,$FG107,LandEmiss!$CX$20:$CX$119)+SUMIF(LandEmiss!$EY$9:$EY$108,$FG107,LandEmiss!$FI$9:$FI$108))*IFERROR($QV$7,0)*(2000/8760)</f>
        <v>0</v>
      </c>
      <c r="OD107" s="155">
        <f>SUMIFS('Load-DrumTote'!$L$27:$L$136,'Load-DrumTote'!$F$27:$F$136,$FG107)*IFERROR($QV$8,0)*(2000/8760)</f>
        <v>0</v>
      </c>
      <c r="OE107" s="155">
        <f>SUMIFS('Load-Truck'!$L$27:$L$136,'Load-Truck'!$F$27:$F$136,$FG107)*IFERROR($QV$9,0)*(2000/8760)</f>
        <v>0</v>
      </c>
      <c r="OF107" s="155">
        <f>SUMIFS('Load-Rail'!$L$27:$L$136,'Load-Rail'!$F$27:$F$136,$FG107)*IFERROR($QV$10,0)*(2000/8760)</f>
        <v>0</v>
      </c>
      <c r="OG107" s="155">
        <f>SUMIFS('Load-MarineBarge'!$L$27:$L$136,'Load-MarineBarge'!$F$27:$F$136,$FG107)*IFERROR($QV$11,0)*(2000/8760)</f>
        <v>0</v>
      </c>
      <c r="OH107" s="155">
        <f>SUMIFS('Load-MarineShip'!$L$27:$L$136,'Load-MarineShip'!$F$27:$F$136,$FG107)*IFERROR($QV$12,0)*(2000/8760)</f>
        <v>0</v>
      </c>
      <c r="OI107" s="155">
        <f>(IF(OR(Flare!$D$24="FUEL GAS",Flare!$D$38="FUEL GAS"),SUMIF(Flare!$E$97:$E$106,$FG107,Flare!$G$97:$G$105),0)+SUMIF(Flare!$E$107:$E$216,$FG107,Flare!$G$107:$G$216))*(2000/8730)*IFERROR($QV$13,0)</f>
        <v>0</v>
      </c>
      <c r="OJ107" s="155">
        <f>SUMIF(LandEmiss!$A$335:$A$434,$FG107,LandEmiss!$C$335:$C$434)*(2000/8760)*IFERROR($QV$13,0)</f>
        <v>0</v>
      </c>
      <c r="OK107" s="155">
        <f>(SUMIF(LandEmiss!$BJ$335:$BJ$434,$FG107,LandEmiss!$BL$335:$BL$434)+SUMIF(LandEmiss!$DU$323:$DU$422,$FG107,LandEmiss!$DW$323:$DW$422))*(2000/8760)*IFERROR($QV$13,0)</f>
        <v>0</v>
      </c>
      <c r="OL107" s="155">
        <f>(IF(OR(VCU!$D$26="FUEL GAS",VCU!$D$42="FUEL GAS"),SUMIF(VCU!$E$120:$E$129,$FG107,VCU!$G$120:$G$129),0)+SUMIF(VCU!$E$130:$E$239,$FG107,VCU!G235:G344))*(2000/8760)*IFERROR($QV$14,0)</f>
        <v>0</v>
      </c>
      <c r="OM107" s="155">
        <f>SUMIF(LandEmiss!$A$335:$A$434,$FG107,LandEmiss!$E$335:$E$434)*(2000/8760)*IFERROR($QV$14,0)</f>
        <v>0</v>
      </c>
      <c r="ON107" s="155">
        <f>(SUMIF(LandEmiss!$BJ$335:$BJ$434,$FG107,LandEmiss!$BN$335:$BN$434)+SUMIF(LandEmiss!$DU$323:$DU$422,$FG107,LandEmiss!$DY$323:$DY$422))*(2000/8760)*IFERROR($QV$14,0)</f>
        <v>0</v>
      </c>
      <c r="OO107" s="155">
        <f>(IF(VaporOxidizer!$D$33="FUEL GAS",SUMIF(VaporOxidizer!$E$101:$E$110,$FG107,VaporOxidizer!$G$101:$G$110),0)+SUMIF(VaporOxidizer!$E$111:$E$220,$FG107,VaporOxidizer!$G$111:$G$220))*(2000/8760)*IFERROR($QV$15,0)</f>
        <v>0</v>
      </c>
      <c r="OP107" s="155">
        <f>SUMIF(LandEmiss!$A$335:$A$434,$FG107,LandEmiss!$G$335:$G$434)*(2000/8760)*IFERROR($QV$15,0)</f>
        <v>0</v>
      </c>
      <c r="OQ107" s="155">
        <f>(SUMIF(LandEmiss!$BJ$335:$BJ$434,$FG107,LandEmiss!$BP$335:$BP$434)+SUMIF(LandEmiss!$DU$323:$DU$422,$FG107,LandEmiss!$EA$323:$EA$422))*(2000/8760)*IFERROR($QV$15,0)</f>
        <v>0</v>
      </c>
      <c r="OR107" s="155">
        <f>SUMIF(CAS!$E$35:$E$144,Hidden!$FG107,CAS!$I$35:$I$144)*IFERROR($QV$16,0)*(2000/8760)</f>
        <v>0</v>
      </c>
      <c r="OS107" s="155">
        <f>SUMIF(LandEmiss!$A$335:$A$434,$FG107,LandEmiss!$I$335:$I$434)*(2000/8760)*IFERROR($QV$27,0)</f>
        <v>0</v>
      </c>
      <c r="OT107" s="155">
        <f>(SUMIF(LandEmiss!$BJ$335:$BJ$434,$FG107,LandEmiss!$BR$335:$BR$434)+SUMIF(LandEmiss!$DU$323:$DU$422,$FG107,LandEmiss!$EC$323:$EC$422))*(2000/8760)*IFERROR($QV$27,0)</f>
        <v>0</v>
      </c>
      <c r="OU107" s="155">
        <f>SUMIF(LandEmiss!$A$335:$A$434,$FG107,LandEmiss!$K$335:$K$434)*(2000/8760)*IFERROR($QV$26,0)</f>
        <v>0</v>
      </c>
      <c r="OV107" s="155">
        <f>(SUMIF(LandEmiss!$BJ$335:$BJ$434,$FG107,LandEmiss!$BT$335:$BT$434)+SUMIF(LandEmiss!$DU$323:$DU$422,$FG107,LandEmiss!$EE$323:$EE$422))*(2000/8760)*IFERROR($QV$26,0)</f>
        <v>0</v>
      </c>
      <c r="OW107" s="155">
        <f>SUMIF(LandEmiss!$A$335:$A$434,$FG107,LandEmiss!$M$335:$M$434)*(2000/8760)*IFERROR($QV$25,0)</f>
        <v>0</v>
      </c>
      <c r="OX107" s="155">
        <f>(SUMIF(LandEmiss!$BJ$335:$BJ$434,$FG107,LandEmiss!$BV$335:$BV$434)+SUMIF(LandEmiss!$DU$323:$DU$422,$FG107,LandEmiss!$EG$323:$EG$422))*(2000/8760)*IFERROR($QV$25,0)</f>
        <v>0</v>
      </c>
      <c r="OY107" s="8">
        <v>0</v>
      </c>
      <c r="OZ107" s="207">
        <v>0</v>
      </c>
      <c r="PA107" s="207">
        <f>IF(OR(HeaterBoiler1!$E$26&lt;&gt;"fuel gas",HeaterBoiler1!$E$15&lt;&gt;"heater"),0,(SUMIF(HeaterBoiler1!$A$54:$D$63,$FG107,HeaterBoiler1!$J$54:$J$63))*(2000/8760))*IFERROR($QV$19,0)</f>
        <v>0</v>
      </c>
      <c r="PB107" s="207">
        <f>IF(OR(HeaterBoiler2!$E$26&lt;&gt;"fuel gas",HeaterBoiler2!$E$15&lt;&gt;"heater"),0,(SUMIF(HeaterBoiler2!$A$54:$D$63,$FG107,HeaterBoiler2!$J$54:$J$63))*(2000/8760))*IFERROR($QV$21,0)</f>
        <v>0</v>
      </c>
      <c r="PC107" s="207">
        <f>IF(OR(HeaterBoiler1!$E$26&lt;&gt;"fuel gas",HeaterBoiler1!$E$15&lt;&gt;"boiler"),0,(SUMIF(HeaterBoiler1!$A$54:$D$63,$FG107,HeaterBoiler1!$J$54:$J$63))*(2000/8760))*IFERROR($QV$20,0)</f>
        <v>0</v>
      </c>
      <c r="PD107" s="207">
        <f>IF(OR(HeaterBoiler2!$E$26&lt;&gt;"fuel gas",HeaterBoiler2!$E$15&lt;&gt;"boiler"),0,(SUMIF(HeaterBoiler2!$A$54:$D$63,$FG107,HeaterBoiler2!$J$54:$J$63))*(2000/8760))*IFERROR($QV$22,0)</f>
        <v>0</v>
      </c>
      <c r="PE107" s="8">
        <f>(SUMIF(Fug!$A$96:$A$205,$FG107,Fug!$J$96:$J$205))*IFERROR($QV$23,0)*(2000/8760)</f>
        <v>0</v>
      </c>
      <c r="PF107" s="8">
        <f t="shared" si="53"/>
        <v>0</v>
      </c>
      <c r="PG107" s="156">
        <f t="shared" si="54"/>
        <v>0</v>
      </c>
      <c r="QX107" s="89" t="s">
        <v>9322</v>
      </c>
      <c r="QY107">
        <v>1.47</v>
      </c>
      <c r="QZ107">
        <v>1.47</v>
      </c>
      <c r="RA107">
        <v>1.47</v>
      </c>
      <c r="RB107">
        <v>1.47</v>
      </c>
      <c r="RC107">
        <v>1.47</v>
      </c>
      <c r="RD107">
        <v>1.47</v>
      </c>
      <c r="RE107">
        <v>1.47</v>
      </c>
      <c r="RF107">
        <v>1.47</v>
      </c>
      <c r="RG107" s="90">
        <v>1.46</v>
      </c>
      <c r="RH107" s="89" t="s">
        <v>9322</v>
      </c>
      <c r="RI107">
        <v>1.3</v>
      </c>
      <c r="RJ107">
        <v>1.3</v>
      </c>
      <c r="RK107">
        <v>1.3</v>
      </c>
      <c r="RL107">
        <v>1.3</v>
      </c>
      <c r="RM107">
        <v>1.3</v>
      </c>
      <c r="RN107">
        <v>1.3</v>
      </c>
      <c r="RO107">
        <v>1.3</v>
      </c>
      <c r="RP107">
        <v>1.3</v>
      </c>
      <c r="RQ107" s="90">
        <v>1.3</v>
      </c>
      <c r="RR107" s="89" t="s">
        <v>9322</v>
      </c>
      <c r="RS107">
        <v>1.0900000000000001</v>
      </c>
      <c r="RT107">
        <v>1.0900000000000001</v>
      </c>
      <c r="RU107">
        <v>1.0900000000000001</v>
      </c>
      <c r="RV107">
        <v>1.0900000000000001</v>
      </c>
      <c r="RW107">
        <v>1.0900000000000001</v>
      </c>
      <c r="RX107">
        <v>1.0900000000000001</v>
      </c>
      <c r="RY107">
        <v>1.0900000000000001</v>
      </c>
      <c r="RZ107">
        <v>1.0900000000000001</v>
      </c>
      <c r="SA107" s="90">
        <v>1.0900000000000001</v>
      </c>
      <c r="SB107" s="89" t="s">
        <v>9322</v>
      </c>
      <c r="SC107">
        <v>0.72</v>
      </c>
      <c r="SD107">
        <v>0.72</v>
      </c>
      <c r="SE107">
        <v>0.72</v>
      </c>
      <c r="SF107">
        <v>0.72</v>
      </c>
      <c r="SG107">
        <v>0.72</v>
      </c>
      <c r="SH107">
        <v>0.72</v>
      </c>
      <c r="SI107">
        <v>0.72</v>
      </c>
      <c r="SJ107">
        <v>0.72</v>
      </c>
      <c r="SK107" s="90">
        <v>0.72</v>
      </c>
      <c r="SL107" s="89" t="s">
        <v>9322</v>
      </c>
      <c r="SM107">
        <v>0.09</v>
      </c>
      <c r="SN107">
        <v>0.09</v>
      </c>
      <c r="SO107">
        <v>0.09</v>
      </c>
      <c r="SP107">
        <v>0.09</v>
      </c>
      <c r="SQ107">
        <v>0.09</v>
      </c>
      <c r="SR107">
        <v>0.09</v>
      </c>
      <c r="SS107">
        <v>0.09</v>
      </c>
      <c r="ST107">
        <v>0.09</v>
      </c>
      <c r="SU107" s="90">
        <v>0.09</v>
      </c>
    </row>
    <row r="108" spans="23:515" ht="74.25" customHeight="1" x14ac:dyDescent="0.2">
      <c r="W108">
        <f>IF(OR(X108=0,ISNUMBER(MATCH(X108,$X$1:X107,0))),0,MAX($W$1:W107)+1)</f>
        <v>0</v>
      </c>
      <c r="X108" s="123">
        <f>Products!$E155</f>
        <v>0</v>
      </c>
      <c r="Y108" t="str">
        <f t="shared" si="55"/>
        <v/>
      </c>
      <c r="CA108">
        <f>IF(OR(CB108=0,ISNUMBER(MATCH(CB108,$CB$1:CB107,0))),0,MAX($CA$1:CA107)+1)</f>
        <v>0</v>
      </c>
      <c r="CB108" s="8">
        <f>IF(OR(Tank1!$D$18="EXTERNAL FLOATING ROOF",Tank1!$D$18="INTERNAL FLOATING ROOF"),IF(Tank1!$E138="",0,Tank1!$E138),0)</f>
        <v>0</v>
      </c>
      <c r="CC108" s="8"/>
      <c r="CD108" s="8"/>
      <c r="CE108" s="8">
        <f>IF(OR(CF108=0,ISNUMBER(MATCH(CF108,$CF$1:CF107,0))),0,MAX($CE$1:CE107)+1)</f>
        <v>0</v>
      </c>
      <c r="CF108" s="8">
        <f>IF(OR(Tank1!$D$18="HORIZONTAL FIXED ROOF",Tank1!$D$18="VERTICAL FIXED ROOF"),IF(Tank1!$E138="",0,Tank1!$E138),0)</f>
        <v>0</v>
      </c>
      <c r="CG108" s="8"/>
      <c r="FB108" s="8" t="s">
        <v>556</v>
      </c>
      <c r="FC108" s="8" t="s">
        <v>557</v>
      </c>
      <c r="FD108" s="8">
        <v>3500</v>
      </c>
      <c r="FE108" s="8">
        <v>350</v>
      </c>
      <c r="FG108" s="360" t="str">
        <f t="shared" si="45"/>
        <v/>
      </c>
      <c r="FH108" s="155">
        <f>IF(Tank1!$D$22="NO CONTROL",_xlfn.MAXIFS(Tank1!$G$32:$G$141,Tank1!$E$32:$E$141,$FG108),0)*IFERROR($QR$3,0)</f>
        <v>0</v>
      </c>
      <c r="FI108" s="155">
        <f>_xlfn.MAXIFS(LandEmiss!$AF$20:$AF$119,LandEmiss!$AE$20:$AE$119,$FG108)*IFERROR($QR$3,0)</f>
        <v>0</v>
      </c>
      <c r="FJ108" s="155">
        <f>MAX(_xlfn.MAXIFS(LandEmiss!$CO$20:$CO$119,LandEmiss!$CN$20:$CN$119,$FG108),_xlfn.MAXIFS(LandEmiss!$EZ$9:$EZ$108,LandEmiss!$EY$9:$EY$108,$FG108))*IFERROR($QR$3,0)</f>
        <v>0</v>
      </c>
      <c r="FK108" s="155">
        <f>IF(Tank2!$D$22="NO CONTROL",_xlfn.MAXIFS(Tank2!$G$32:$G$141,Tank2!$E$32:$E$141,$FG108),0)*IFERROR($QR$4,0)</f>
        <v>0</v>
      </c>
      <c r="FL108" s="155">
        <f>_xlfn.MAXIFS(LandEmiss!$AG$20:$AG$119,LandEmiss!$AE$20:$AE$119,$FG108)*IFERROR($QR$4,0)</f>
        <v>0</v>
      </c>
      <c r="FM108" s="155">
        <f>MAX(_xlfn.MAXIFS(LandEmiss!$CP$20:$CP$119,LandEmiss!$CN$20:$CN$119,$FG108),_xlfn.MAXIFS(LandEmiss!$FA$9:$FA$108,LandEmiss!$EY$9:$EY$108,$FG108))*IFERROR($QR$4,0)</f>
        <v>0</v>
      </c>
      <c r="FN108" s="155">
        <f>IF(Tank3!$D$22="NO CONTROL",_xlfn.MAXIFS(Tank3!$G$32:$G$141,Tank3!$E$32:$E$141,$FG108),0)*IFERROR($QR$5,0)</f>
        <v>0</v>
      </c>
      <c r="FO108" s="155">
        <f>_xlfn.MAXIFS(LandEmiss!$AH$20:$AH$119,LandEmiss!$AE$20:$AE$119,$FG108)*IFERROR($QR$5,0)</f>
        <v>0</v>
      </c>
      <c r="FP108" s="155">
        <f>MAX(_xlfn.MAXIFS(LandEmiss!$CQ$20:$CQ$119,LandEmiss!$CN$20:$CN$119,$FG108),_xlfn.MAXIFS(LandEmiss!$FB$9:$FB$108,LandEmiss!$EY$9:$EY$108,$FG108))*IFERROR($QR$5,0)</f>
        <v>0</v>
      </c>
      <c r="FQ108" s="155">
        <f>IF(Tank4!$D$22="NO CONTROL",_xlfn.MAXIFS(Tank4!$G$32:$G$141,Tank4!$E$32:$E$141,$FG108),0)*IFERROR($QR$6,0)</f>
        <v>0</v>
      </c>
      <c r="FR108" s="155">
        <f>_xlfn.MAXIFS(LandEmiss!$AI$20:$AI$119,LandEmiss!$AE$20:$AE$119,$FG108)*IFERROR($QR$6,0)</f>
        <v>0</v>
      </c>
      <c r="FS108" s="155">
        <f>MAX(_xlfn.MAXIFS(LandEmiss!$CR$20:$CR$119,LandEmiss!$CN$20:$CN$119,$FG108),_xlfn.MAXIFS(LandEmiss!$FC$9:$FC$108,LandEmiss!$EY$9:$EY$108,$FG108))*IFERROR($QR$6,0)</f>
        <v>0</v>
      </c>
      <c r="FT108" s="155">
        <f>IF(Tank5!$D$22="NO CONTROL",_xlfn.MAXIFS(Tank5!$G$32:$G$141,Tank5!$E$32:$E$141,$FG108),0)*IFERROR($QR$7,0)</f>
        <v>0</v>
      </c>
      <c r="FU108" s="155">
        <f>_xlfn.MAXIFS(LandEmiss!$AJ$20:$AJ$119,LandEmiss!$AE$20:$AE$119,$FG108)*IFERROR($QR$7,0)</f>
        <v>0</v>
      </c>
      <c r="FV108" s="155">
        <f>MAX(_xlfn.MAXIFS(LandEmiss!$CS$20:$CS$119,LandEmiss!$CN$20:$CN$119,$FG108),_xlfn.MAXIFS(LandEmiss!$FD$9:$FD$108,LandEmiss!$EY$9:$EY$108,$FG108))*IFERROR($QR113,0)</f>
        <v>0</v>
      </c>
      <c r="FW108" s="155">
        <f>_xlfn.MAXIFS('Load-DrumTote'!$K$27:$K$136,'Load-DrumTote'!$F$27:$F$136,$FG108)*IFERROR($QR$8,0)</f>
        <v>0</v>
      </c>
      <c r="FX108" s="155">
        <f>_xlfn.MAXIFS('Load-Truck'!$K$27:$K$136,'Load-Truck'!$F$27:$F$136,$FG108)*IFERROR($QR$9,0)</f>
        <v>0</v>
      </c>
      <c r="FY108" s="155">
        <f>_xlfn.MAXIFS('Load-Rail'!$K$27:$K$136,'Load-Rail'!$F$27:$F$136,$FG108)*IFERROR($QR$10,0)</f>
        <v>0</v>
      </c>
      <c r="FZ108" s="155">
        <f>_xlfn.MAXIFS('Load-MarineBarge'!$K$27:$K$136,'Load-MarineBarge'!$F$27:$F$136,$FG108)*IFERROR($QR$11,0)</f>
        <v>0</v>
      </c>
      <c r="GA108" s="155">
        <f>_xlfn.MAXIFS('Load-MarineShip'!$K$27:$K$136,'Load-MarineShip'!$F$27:$F$136,$FG108)*IFERROR($QR$12,0)</f>
        <v>0</v>
      </c>
      <c r="GB108" s="313">
        <f>IF(OR(Flare!$D$24="fuel gas",Flare!$D$38="fuel gas"),SUMIF(Flare!$E$97:$E$106,$FG108,Flare!$F$97:$F$106),0)*IFERROR($QR$13,0)</f>
        <v>0</v>
      </c>
      <c r="GC108" s="313">
        <f>(_xlfn.MAXIFS(CtrlDevImpacts!$I$57:$I$156,CtrlDevImpacts!$H$57:$H$156,$FG108))*IFERROR($QR$13,0)</f>
        <v>0</v>
      </c>
      <c r="GD108" s="313">
        <f>(_xlfn.MAXIFS(Flare!$F$107:$F$216,Flare!$E$107:$E$216,$FG108)-_xlfn.MAXIFS(CtrlDevImpacts!$I$57:$I$156,CtrlDevImpacts!$H$57:$H$156,$FG108))*IFERROR($QR$13,0)</f>
        <v>0</v>
      </c>
      <c r="GE108" s="155">
        <f>_xlfn.MAXIFS(LandEmiss!$B$335:$B$434,LandEmiss!$A$335:$A$434,$FG108)*IFERROR($QR$13,0)</f>
        <v>0</v>
      </c>
      <c r="GF108" s="155">
        <f>(_xlfn.MAXIFS(LandEmiss!$BK$335:$BK$434,LandEmiss!$BJ$335:$BJ$434,$FG108)+_xlfn.MAXIFS(LandEmiss!$DV$323:$DV$422,LandEmiss!$DU$323:$DU$422,$FG108))*IFERROR($QR$13,0)</f>
        <v>0</v>
      </c>
      <c r="GG108" s="313">
        <f>IF(OR(VCU!$D$26="fuel gas",VCU!$D$42="fuel gas"),SUMIF(VCU!$E$120:$E$129,$FG108,VCU!$F$120:$F$129),0)*IFERROR($QR$14,0)</f>
        <v>0</v>
      </c>
      <c r="GH108" s="313">
        <f>(_xlfn.MAXIFS(CtrlDevImpacts!$X$57:$X$156,CtrlDevImpacts!$W$57:$W$156,$FG108))*IFERROR($QR$14,0)</f>
        <v>0</v>
      </c>
      <c r="GI108" s="313">
        <f>(_xlfn.MAXIFS(VCU!$F$130:$F$239,VCU!$E$130:$E$239,$FG108)-_xlfn.MAXIFS(CtrlDevImpacts!$X$57:$X$156,CtrlDevImpacts!$W$57:$W$156,$FG108))*IFERROR($QR$14,0)</f>
        <v>0</v>
      </c>
      <c r="GJ108" s="155">
        <f>_xlfn.MAXIFS(LandEmiss!$D$335:$D$434,LandEmiss!$A$335:$A$434,$FG108)*IFERROR($QR$14,0)</f>
        <v>0</v>
      </c>
      <c r="GK108" s="155">
        <f>(_xlfn.MAXIFS(LandEmiss!$BM$335:$BM$434,LandEmiss!$BJ$335:$BJ$434,$FG108)+_xlfn.MAXIFS(LandEmiss!$DX$323:$DX$422,LandEmiss!$DU$323:$DU$422,$FG108))*IFERROR($QR$14,0)</f>
        <v>0</v>
      </c>
      <c r="GL108" s="313">
        <f>IF(VaporOxidizer!D139="FUEL GAS",SUMIF(VaporOxidizer!$E$101:$E$110,$FG108,VaporOxidizer!$F$101:$F$110),0)*IFERROR($QR$15,0)</f>
        <v>0</v>
      </c>
      <c r="GM108" s="313">
        <f>(_xlfn.MAXIFS(CtrlDevImpacts!$AN$57:$AN$156,CtrlDevImpacts!$AM$57:$AM$156,$FG108))*IFERROR($QR$15,0)</f>
        <v>0</v>
      </c>
      <c r="GN108" s="313">
        <f>(_xlfn.MAXIFS(VaporOxidizer!$F$111:$F$220,VaporOxidizer!$E$111:$E$220,$FG108)-_xlfn.MAXIFS(CtrlDevImpacts!$AN$57:$AN$156,CtrlDevImpacts!$AM$57:$AM$156,$FG108))*IFERROR($QR$15,0)</f>
        <v>0</v>
      </c>
      <c r="GO108" s="155">
        <f>_xlfn.MAXIFS(LandEmiss!$F$335:$F$434,LandEmiss!$A$335:$A$434,$FG108)*IFERROR($QR$15,0)</f>
        <v>0</v>
      </c>
      <c r="GP108" s="155">
        <f>(_xlfn.MAXIFS(LandEmiss!$BK$335:$BK$434,LandEmiss!$BO$335:$BO$434,$FG108)+_xlfn.MAXIFS(LandEmiss!$DZ$323:$DZ$422,LandEmiss!$DU$323:$DU$422,$FG108))*IFERROR($QR$15,0)</f>
        <v>0</v>
      </c>
      <c r="GQ108" s="313">
        <f>_xlfn.MAXIFS(CtrlDevImpacts!$BD$57:$BD$156,CtrlDevImpacts!$BC$57:$BC$156,$FG108)*IFERROR(Hidden!$QR$16,0)</f>
        <v>0</v>
      </c>
      <c r="GR108" s="313">
        <f>(_xlfn.MAXIFS(CAS!$H$35:$H$144,CAS!$E$35:$E$144,$FG108)-_xlfn.MAXIFS(CtrlDevImpacts!$BD$57:$BD$156,CtrlDevImpacts!$BC$57:$BC$156,$FG108))*IFERROR(Hidden!$QR$16,0)</f>
        <v>0</v>
      </c>
      <c r="GS108" s="155">
        <f>_xlfn.MAXIFS(LandEmiss!$H$335:$H$434,LandEmiss!$A$335:$A$434,$FG108)*IFERROR($QR$27,0)</f>
        <v>0</v>
      </c>
      <c r="GT108" s="155">
        <f>(_xlfn.MAXIFS(LandEmiss!$BK$335:$BK$434,LandEmiss!$BQ$335:$BQ$434,$FG108)+_xlfn.MAXIFS(LandEmiss!$EB$323:$EB$422,LandEmiss!$DU$323:$DU$422,$FG108))*IFERROR($QR$27,0)</f>
        <v>0</v>
      </c>
      <c r="GU108" s="155">
        <f>_xlfn.MAXIFS(LandEmiss!$J$335:$J$434,LandEmiss!$A$335:$A$434,$FG108)*IFERROR($QR$26,0)</f>
        <v>0</v>
      </c>
      <c r="GV108" s="155">
        <f>(_xlfn.MAXIFS(LandEmiss!$BK$335:$BK$434,LandEmiss!$BS$335:$BS$434,$FG108)+_xlfn.MAXIFS(LandEmiss!$ED$323:$ED$422,LandEmiss!$DU$323:$DU$422,$FG108))*IFERROR($QR$26,0)</f>
        <v>0</v>
      </c>
      <c r="GW108" s="155">
        <f>_xlfn.MAXIFS(LandEmiss!$L$335:$L$434,LandEmiss!$A$335:$A$434,$FG108)*IFERROR($QR$25,0)</f>
        <v>0</v>
      </c>
      <c r="GX108" s="155">
        <f>(_xlfn.MAXIFS(LandEmiss!$BK$335:$BK$434,LandEmiss!$BU$335:$BU$434,$FG108)+_xlfn.MAXIFS(LandEmiss!$EF$323:$EF$422,LandEmiss!$DU$323:$DU$422,$FG108))*IFERROR($QR$25,0)</f>
        <v>0</v>
      </c>
      <c r="GY108" s="155">
        <v>0</v>
      </c>
      <c r="GZ108" s="155">
        <v>0</v>
      </c>
      <c r="HA108" s="155">
        <f>IF(OR(HeaterBoiler1!$E$26&lt;&gt;"fuel gas",HeaterBoiler1!$E$15&lt;&gt;"heater"),0,SUMIF(HeaterBoiler1!$A$54:$D$63,$FG108,HeaterBoiler1!$I$54:$I$63))*IFERROR($QR$19,0)</f>
        <v>0</v>
      </c>
      <c r="HB108" s="207">
        <f>IF(OR(HeaterBoiler2!$E$26&lt;&gt;"fuel gas",HeaterBoiler2!$E$15&lt;&gt;"heater"),0,SUMIF(HeaterBoiler2!$A$54:$D$63,$FG108,HeaterBoiler2!$I$54:$I$63))*IFERROR($QR$21,0)</f>
        <v>0</v>
      </c>
      <c r="HC108" s="155">
        <f>IF(OR(HeaterBoiler1!$E$26&lt;&gt;"fuel gas",HeaterBoiler1!$E$15&lt;&gt;"boiler"),0,SUMIF(HeaterBoiler1!$A$41:$A$50,$FG108,HeaterBoiler1!$F$41:$F$50))*IFERROR($QR$20,0)</f>
        <v>0</v>
      </c>
      <c r="HD108" s="207">
        <f>IF(OR(HeaterBoiler2!$E$26&lt;&gt;"fuel gas",HeaterBoiler2!$E$15&lt;&gt;"boiler"),0,SUMIF(HeaterBoiler2!$A$41:$A$50,$FG108,HeaterBoiler2!$F$41:$F$50))*IFERROR($QR$22,0)</f>
        <v>0</v>
      </c>
      <c r="HE108" s="155">
        <f>SUMIF(Fug!$A$96:$A$205,$FG108,Fug!$I$96:$I$205)*IFERROR(Hidden!$QR$23,0)</f>
        <v>0</v>
      </c>
      <c r="HF108" s="155">
        <f t="shared" si="46"/>
        <v>0</v>
      </c>
      <c r="HG108" s="156">
        <f t="shared" si="47"/>
        <v>0</v>
      </c>
      <c r="HH108" s="156">
        <f t="shared" si="48"/>
        <v>0</v>
      </c>
      <c r="HI108" s="156">
        <f t="shared" si="49"/>
        <v>0</v>
      </c>
      <c r="HJ108" s="156">
        <f t="shared" si="50"/>
        <v>0</v>
      </c>
      <c r="HK108" s="156">
        <f t="shared" si="51"/>
        <v>0</v>
      </c>
      <c r="HL108" s="156">
        <f t="shared" si="52"/>
        <v>0</v>
      </c>
      <c r="NO108" s="155">
        <f>IF(Tank1!$D$22="No control",(SUMIF(Tank1!$E$32:$E$141,$FG108,Tank1!$H$32:$H$141)*(2000/8760)*IFERROR($QV$3,0)),0)</f>
        <v>0</v>
      </c>
      <c r="NP108" s="156">
        <f>SUMIF(LandEmiss!$AE$20:$AE$119,$FG108,LandEmiss!$AK$20:$AK$119)*(2000/8760)*IFERROR($QV$3,0)</f>
        <v>0</v>
      </c>
      <c r="NQ108" s="156">
        <f>(SUMIF(LandEmiss!$CN$20:$CN$119,$FG108,LandEmiss!$CT$20:$CT$119)+SUMIF(LandEmiss!$EY$9:$EY$108,$FG108,LandEmiss!$FE$9:$FE$108))*IFERROR($QV$3,0)*(2000/8760)</f>
        <v>0</v>
      </c>
      <c r="NR108" s="155">
        <f>IF(Tank2!$D$22="No control",(SUMIF(Tank2!$E$32:$E$141,$FG108,Tank2!$H$32:$H$141)*(2000/8760)*IFERROR($QV$4,0)),0)</f>
        <v>0</v>
      </c>
      <c r="NS108" s="156">
        <f>SUMIF(LandEmiss!$AE$20:$AE$119,$FG108,LandEmiss!$AL$20:$AL$119)*(2000/8760)*IFERROR($QV$4,0)</f>
        <v>0</v>
      </c>
      <c r="NT108" s="156">
        <f>(SUMIF(LandEmiss!$CN$20:$CN$119,$FG108,LandEmiss!$CU$20:$CU$119)+SUMIF(LandEmiss!$EY$9:$EY$108,$FG108,LandEmiss!$FF$9:$FF$108))*IFERROR($QV$4,0)*(2000/8760)</f>
        <v>0</v>
      </c>
      <c r="NU108" s="155">
        <f>IF(Tank3!$D$22="No control",(SUMIF(Tank3!$E$32:$E$141,$FG108,Tank3!$H$32:$H$141)*(2000/8760)*IFERROR($QV$5,0)),0)</f>
        <v>0</v>
      </c>
      <c r="NV108" s="156">
        <f>SUMIF(LandEmiss!$AE$20:$AE$119,$FG108,LandEmiss!$AM$20:$AM$119)*(2000/8760)*IFERROR($QV$5,0)</f>
        <v>0</v>
      </c>
      <c r="NW108" s="156">
        <f>(SUMIF(LandEmiss!$CN$20:$CN$119,$FG108,LandEmiss!$CV$20:$CV$119)+SUMIF(LandEmiss!$EY$9:$EY$108,$FG108,LandEmiss!$FG$9:$FG$108))*IFERROR($QV$5,0)*(2000/8760)</f>
        <v>0</v>
      </c>
      <c r="NX108" s="155">
        <f>IF(Tank4!$D$22="No control",(SUMIF(Tank4!$E$32:$E$141,$FG108,Tank4!$H$32:$H$141)*(2000/8760)*IFERROR($QV$6,0)),0)</f>
        <v>0</v>
      </c>
      <c r="NY108" s="156">
        <f>SUMIF(LandEmiss!$AE$20:$AE$119,$FG108,LandEmiss!$AN$20:$AN$119)*(2000/8760)*IFERROR($QV$6,0)</f>
        <v>0</v>
      </c>
      <c r="NZ108" s="156">
        <f>(SUMIF(LandEmiss!$CN$20:$CN$119,$FG108,LandEmiss!$CW$20:$CW$119)+SUMIF(LandEmiss!$EY$9:$EY$108,$FG108,LandEmiss!$FH$9:$FH$108))*IFERROR($QV$6,0)*(2000/8760)</f>
        <v>0</v>
      </c>
      <c r="OA108" s="155">
        <f>IF(Tank5!$D$22="No control",(SUMIF(Tank5!$E$32:$E$141,$FG108,Tank5!$H$32:$H$141)*(2000/8760)*IFERROR($QV$7,0)),0)</f>
        <v>0</v>
      </c>
      <c r="OB108" s="156">
        <f>SUMIF(LandEmiss!$AE$20:$AE$119,$FG108,LandEmiss!$AO$20:$AO$119)*(2000/8760)*IFERROR($QV$7,0)</f>
        <v>0</v>
      </c>
      <c r="OC108" s="156">
        <f>(SUMIF(LandEmiss!$CN$20:$CN$119,$FG108,LandEmiss!$CX$20:$CX$119)+SUMIF(LandEmiss!$EY$9:$EY$108,$FG108,LandEmiss!$FI$9:$FI$108))*IFERROR($QV$7,0)*(2000/8760)</f>
        <v>0</v>
      </c>
      <c r="OD108" s="155">
        <f>SUMIFS('Load-DrumTote'!$L$27:$L$136,'Load-DrumTote'!$F$27:$F$136,$FG108)*IFERROR($QV$8,0)*(2000/8760)</f>
        <v>0</v>
      </c>
      <c r="OE108" s="155">
        <f>SUMIFS('Load-Truck'!$L$27:$L$136,'Load-Truck'!$F$27:$F$136,$FG108)*IFERROR($QV$9,0)*(2000/8760)</f>
        <v>0</v>
      </c>
      <c r="OF108" s="155">
        <f>SUMIFS('Load-Rail'!$L$27:$L$136,'Load-Rail'!$F$27:$F$136,$FG108)*IFERROR($QV$10,0)*(2000/8760)</f>
        <v>0</v>
      </c>
      <c r="OG108" s="155">
        <f>SUMIFS('Load-MarineBarge'!$L$27:$L$136,'Load-MarineBarge'!$F$27:$F$136,$FG108)*IFERROR($QV$11,0)*(2000/8760)</f>
        <v>0</v>
      </c>
      <c r="OH108" s="155">
        <f>SUMIFS('Load-MarineShip'!$L$27:$L$136,'Load-MarineShip'!$F$27:$F$136,$FG108)*IFERROR($QV$12,0)*(2000/8760)</f>
        <v>0</v>
      </c>
      <c r="OI108" s="155">
        <f>(IF(OR(Flare!$D$24="FUEL GAS",Flare!$D$38="FUEL GAS"),SUMIF(Flare!$E$97:$E$106,$FG108,Flare!$G$97:$G$105),0)+SUMIF(Flare!$E$107:$E$216,$FG108,Flare!$G$107:$G$216))*(2000/8730)*IFERROR($QV$13,0)</f>
        <v>0</v>
      </c>
      <c r="OJ108" s="155">
        <f>SUMIF(LandEmiss!$A$335:$A$434,$FG108,LandEmiss!$C$335:$C$434)*(2000/8760)*IFERROR($QV$13,0)</f>
        <v>0</v>
      </c>
      <c r="OK108" s="155">
        <f>(SUMIF(LandEmiss!$BJ$335:$BJ$434,$FG108,LandEmiss!$BL$335:$BL$434)+SUMIF(LandEmiss!$DU$323:$DU$422,$FG108,LandEmiss!$DW$323:$DW$422))*(2000/8760)*IFERROR($QV$13,0)</f>
        <v>0</v>
      </c>
      <c r="OL108" s="155">
        <f>(IF(OR(VCU!$D$26="FUEL GAS",VCU!$D$42="FUEL GAS"),SUMIF(VCU!$E$120:$E$129,$FG108,VCU!$G$120:$G$129),0)+SUMIF(VCU!$E$130:$E$239,$FG108,VCU!G236:G345))*(2000/8760)*IFERROR($QV$14,0)</f>
        <v>0</v>
      </c>
      <c r="OM108" s="155">
        <f>SUMIF(LandEmiss!$A$335:$A$434,$FG108,LandEmiss!$E$335:$E$434)*(2000/8760)*IFERROR($QV$14,0)</f>
        <v>0</v>
      </c>
      <c r="ON108" s="155">
        <f>(SUMIF(LandEmiss!$BJ$335:$BJ$434,$FG108,LandEmiss!$BN$335:$BN$434)+SUMIF(LandEmiss!$DU$323:$DU$422,$FG108,LandEmiss!$DY$323:$DY$422))*(2000/8760)*IFERROR($QV$14,0)</f>
        <v>0</v>
      </c>
      <c r="OO108" s="155">
        <f>(IF(VaporOxidizer!$D$33="FUEL GAS",SUMIF(VaporOxidizer!$E$101:$E$110,$FG108,VaporOxidizer!$G$101:$G$110),0)+SUMIF(VaporOxidizer!$E$111:$E$220,$FG108,VaporOxidizer!$G$111:$G$220))*(2000/8760)*IFERROR($QV$15,0)</f>
        <v>0</v>
      </c>
      <c r="OP108" s="155">
        <f>SUMIF(LandEmiss!$A$335:$A$434,$FG108,LandEmiss!$G$335:$G$434)*(2000/8760)*IFERROR($QV$15,0)</f>
        <v>0</v>
      </c>
      <c r="OQ108" s="155">
        <f>(SUMIF(LandEmiss!$BJ$335:$BJ$434,$FG108,LandEmiss!$BP$335:$BP$434)+SUMIF(LandEmiss!$DU$323:$DU$422,$FG108,LandEmiss!$EA$323:$EA$422))*(2000/8760)*IFERROR($QV$15,0)</f>
        <v>0</v>
      </c>
      <c r="OR108" s="155">
        <f>SUMIF(CAS!$E$35:$E$144,Hidden!$FG108,CAS!$I$35:$I$144)*IFERROR($QV$16,0)*(2000/8760)</f>
        <v>0</v>
      </c>
      <c r="OS108" s="155">
        <f>SUMIF(LandEmiss!$A$335:$A$434,$FG108,LandEmiss!$I$335:$I$434)*(2000/8760)*IFERROR($QV$27,0)</f>
        <v>0</v>
      </c>
      <c r="OT108" s="155">
        <f>(SUMIF(LandEmiss!$BJ$335:$BJ$434,$FG108,LandEmiss!$BR$335:$BR$434)+SUMIF(LandEmiss!$DU$323:$DU$422,$FG108,LandEmiss!$EC$323:$EC$422))*(2000/8760)*IFERROR($QV$27,0)</f>
        <v>0</v>
      </c>
      <c r="OU108" s="155">
        <f>SUMIF(LandEmiss!$A$335:$A$434,$FG108,LandEmiss!$K$335:$K$434)*(2000/8760)*IFERROR($QV$26,0)</f>
        <v>0</v>
      </c>
      <c r="OV108" s="155">
        <f>(SUMIF(LandEmiss!$BJ$335:$BJ$434,$FG108,LandEmiss!$BT$335:$BT$434)+SUMIF(LandEmiss!$DU$323:$DU$422,$FG108,LandEmiss!$EE$323:$EE$422))*(2000/8760)*IFERROR($QV$26,0)</f>
        <v>0</v>
      </c>
      <c r="OW108" s="155">
        <f>SUMIF(LandEmiss!$A$335:$A$434,$FG108,LandEmiss!$M$335:$M$434)*(2000/8760)*IFERROR($QV$25,0)</f>
        <v>0</v>
      </c>
      <c r="OX108" s="155">
        <f>(SUMIF(LandEmiss!$BJ$335:$BJ$434,$FG108,LandEmiss!$BV$335:$BV$434)+SUMIF(LandEmiss!$DU$323:$DU$422,$FG108,LandEmiss!$EG$323:$EG$422))*(2000/8760)*IFERROR($QV$25,0)</f>
        <v>0</v>
      </c>
      <c r="OY108" s="8">
        <v>0</v>
      </c>
      <c r="OZ108" s="207">
        <v>0</v>
      </c>
      <c r="PA108" s="207">
        <f>IF(OR(HeaterBoiler1!$E$26&lt;&gt;"fuel gas",HeaterBoiler1!$E$15&lt;&gt;"heater"),0,(SUMIF(HeaterBoiler1!$A$54:$D$63,$FG108,HeaterBoiler1!$J$54:$J$63))*(2000/8760))*IFERROR($QV$19,0)</f>
        <v>0</v>
      </c>
      <c r="PB108" s="207">
        <f>IF(OR(HeaterBoiler2!$E$26&lt;&gt;"fuel gas",HeaterBoiler2!$E$15&lt;&gt;"heater"),0,(SUMIF(HeaterBoiler2!$A$54:$D$63,$FG108,HeaterBoiler2!$J$54:$J$63))*(2000/8760))*IFERROR($QV$21,0)</f>
        <v>0</v>
      </c>
      <c r="PC108" s="207">
        <f>IF(OR(HeaterBoiler1!$E$26&lt;&gt;"fuel gas",HeaterBoiler1!$E$15&lt;&gt;"boiler"),0,(SUMIF(HeaterBoiler1!$A$54:$D$63,$FG108,HeaterBoiler1!$J$54:$J$63))*(2000/8760))*IFERROR($QV$20,0)</f>
        <v>0</v>
      </c>
      <c r="PD108" s="207">
        <f>IF(OR(HeaterBoiler2!$E$26&lt;&gt;"fuel gas",HeaterBoiler2!$E$15&lt;&gt;"boiler"),0,(SUMIF(HeaterBoiler2!$A$54:$D$63,$FG108,HeaterBoiler2!$J$54:$J$63))*(2000/8760))*IFERROR($QV$22,0)</f>
        <v>0</v>
      </c>
      <c r="PE108" s="8">
        <f>(SUMIF(Fug!$A$96:$A$205,$FG108,Fug!$J$96:$J$205))*IFERROR($QV$23,0)*(2000/8760)</f>
        <v>0</v>
      </c>
      <c r="PF108" s="8">
        <f t="shared" si="53"/>
        <v>0</v>
      </c>
      <c r="PG108" s="156">
        <f t="shared" si="54"/>
        <v>0</v>
      </c>
      <c r="QX108" s="89" t="s">
        <v>9323</v>
      </c>
      <c r="QY108">
        <v>10.89</v>
      </c>
      <c r="QZ108">
        <v>10.89</v>
      </c>
      <c r="RA108">
        <v>10.89</v>
      </c>
      <c r="RB108">
        <v>10.89</v>
      </c>
      <c r="RC108">
        <v>10.89</v>
      </c>
      <c r="RD108">
        <v>10.89</v>
      </c>
      <c r="RE108">
        <v>10.42</v>
      </c>
      <c r="RF108">
        <v>8.0399999999999991</v>
      </c>
      <c r="RG108" s="90">
        <v>6.22</v>
      </c>
      <c r="RH108" s="89" t="s">
        <v>9323</v>
      </c>
      <c r="RI108">
        <v>10.23</v>
      </c>
      <c r="RJ108">
        <v>10.23</v>
      </c>
      <c r="RK108">
        <v>10.23</v>
      </c>
      <c r="RL108">
        <v>10.23</v>
      </c>
      <c r="RM108">
        <v>10.23</v>
      </c>
      <c r="RN108">
        <v>10.23</v>
      </c>
      <c r="RO108">
        <v>9.93</v>
      </c>
      <c r="RP108">
        <v>7.8</v>
      </c>
      <c r="RQ108" s="90">
        <v>6.16</v>
      </c>
      <c r="RR108" s="89" t="s">
        <v>9323</v>
      </c>
      <c r="RS108">
        <v>9.94</v>
      </c>
      <c r="RT108">
        <v>9.94</v>
      </c>
      <c r="RU108">
        <v>9.94</v>
      </c>
      <c r="RV108">
        <v>9.94</v>
      </c>
      <c r="RW108">
        <v>9.94</v>
      </c>
      <c r="RX108">
        <v>9.94</v>
      </c>
      <c r="RY108">
        <v>9.69</v>
      </c>
      <c r="RZ108">
        <v>7.44</v>
      </c>
      <c r="SA108" s="90">
        <v>5.88</v>
      </c>
      <c r="SB108" s="89" t="s">
        <v>9323</v>
      </c>
      <c r="SC108">
        <v>8.35</v>
      </c>
      <c r="SD108">
        <v>8.35</v>
      </c>
      <c r="SE108">
        <v>8.35</v>
      </c>
      <c r="SF108">
        <v>8.35</v>
      </c>
      <c r="SG108">
        <v>8.35</v>
      </c>
      <c r="SH108">
        <v>8.35</v>
      </c>
      <c r="SI108">
        <v>7.69</v>
      </c>
      <c r="SJ108">
        <v>5.58</v>
      </c>
      <c r="SK108" s="90">
        <v>4.5999999999999996</v>
      </c>
      <c r="SL108" s="89" t="s">
        <v>9323</v>
      </c>
      <c r="SM108">
        <v>1.62</v>
      </c>
      <c r="SN108">
        <v>1.62</v>
      </c>
      <c r="SO108">
        <v>1.62</v>
      </c>
      <c r="SP108">
        <v>1.62</v>
      </c>
      <c r="SQ108">
        <v>1.62</v>
      </c>
      <c r="SR108">
        <v>1.62</v>
      </c>
      <c r="SS108">
        <v>1.59</v>
      </c>
      <c r="ST108">
        <v>1.26</v>
      </c>
      <c r="SU108" s="90">
        <v>0.96</v>
      </c>
    </row>
    <row r="109" spans="23:515" ht="74.25" customHeight="1" x14ac:dyDescent="0.2">
      <c r="W109">
        <f>IF(OR(X109=0,ISNUMBER(MATCH(X109,$X$1:X108,0))),0,MAX($W$1:W108)+1)</f>
        <v>0</v>
      </c>
      <c r="X109" s="123">
        <f>Products!$E156</f>
        <v>0</v>
      </c>
      <c r="Y109" t="str">
        <f t="shared" si="55"/>
        <v/>
      </c>
      <c r="CA109">
        <f>IF(OR(CB109=0,ISNUMBER(MATCH(CB109,$CB$1:CB108,0))),0,MAX($CA$1:CA108)+1)</f>
        <v>0</v>
      </c>
      <c r="CB109" s="8">
        <f>IF(OR(Tank1!$D$18="EXTERNAL FLOATING ROOF",Tank1!$D$18="INTERNAL FLOATING ROOF"),IF(Tank1!$E139="",0,Tank1!$E139),0)</f>
        <v>0</v>
      </c>
      <c r="CC109" s="8"/>
      <c r="CD109" s="8"/>
      <c r="CE109" s="8">
        <f>IF(OR(CF109=0,ISNUMBER(MATCH(CF109,$CF$1:CF108,0))),0,MAX($CE$1:CE108)+1)</f>
        <v>0</v>
      </c>
      <c r="CF109" s="8">
        <f>IF(OR(Tank1!$D$18="HORIZONTAL FIXED ROOF",Tank1!$D$18="VERTICAL FIXED ROOF"),IF(Tank1!$E139="",0,Tank1!$E139),0)</f>
        <v>0</v>
      </c>
      <c r="CG109" s="8"/>
      <c r="FB109" s="8" t="s">
        <v>558</v>
      </c>
      <c r="FC109" s="8" t="s">
        <v>559</v>
      </c>
      <c r="FD109" s="8">
        <v>24</v>
      </c>
      <c r="FE109" s="8">
        <v>2.4</v>
      </c>
      <c r="FG109" s="360" t="str">
        <f t="shared" si="45"/>
        <v/>
      </c>
      <c r="FH109" s="155">
        <f>IF(Tank1!$D$22="NO CONTROL",_xlfn.MAXIFS(Tank1!$G$32:$G$141,Tank1!$E$32:$E$141,$FG109),0)*IFERROR($QR$3,0)</f>
        <v>0</v>
      </c>
      <c r="FI109" s="155">
        <f>_xlfn.MAXIFS(LandEmiss!$AF$20:$AF$119,LandEmiss!$AE$20:$AE$119,$FG109)*IFERROR($QR$3,0)</f>
        <v>0</v>
      </c>
      <c r="FJ109" s="155">
        <f>MAX(_xlfn.MAXIFS(LandEmiss!$CO$20:$CO$119,LandEmiss!$CN$20:$CN$119,$FG109),_xlfn.MAXIFS(LandEmiss!$EZ$9:$EZ$108,LandEmiss!$EY$9:$EY$108,$FG109))*IFERROR($QR$3,0)</f>
        <v>0</v>
      </c>
      <c r="FK109" s="155">
        <f>IF(Tank2!$D$22="NO CONTROL",_xlfn.MAXIFS(Tank2!$G$32:$G$141,Tank2!$E$32:$E$141,$FG109),0)*IFERROR($QR$4,0)</f>
        <v>0</v>
      </c>
      <c r="FL109" s="155">
        <f>_xlfn.MAXIFS(LandEmiss!$AG$20:$AG$119,LandEmiss!$AE$20:$AE$119,$FG109)*IFERROR($QR$4,0)</f>
        <v>0</v>
      </c>
      <c r="FM109" s="155">
        <f>MAX(_xlfn.MAXIFS(LandEmiss!$CP$20:$CP$119,LandEmiss!$CN$20:$CN$119,$FG109),_xlfn.MAXIFS(LandEmiss!$FA$9:$FA$108,LandEmiss!$EY$9:$EY$108,$FG109))*IFERROR($QR$4,0)</f>
        <v>0</v>
      </c>
      <c r="FN109" s="155">
        <f>IF(Tank3!$D$22="NO CONTROL",_xlfn.MAXIFS(Tank3!$G$32:$G$141,Tank3!$E$32:$E$141,$FG109),0)*IFERROR($QR$5,0)</f>
        <v>0</v>
      </c>
      <c r="FO109" s="155">
        <f>_xlfn.MAXIFS(LandEmiss!$AH$20:$AH$119,LandEmiss!$AE$20:$AE$119,$FG109)*IFERROR($QR$5,0)</f>
        <v>0</v>
      </c>
      <c r="FP109" s="155">
        <f>MAX(_xlfn.MAXIFS(LandEmiss!$CQ$20:$CQ$119,LandEmiss!$CN$20:$CN$119,$FG109),_xlfn.MAXIFS(LandEmiss!$FB$9:$FB$108,LandEmiss!$EY$9:$EY$108,$FG109))*IFERROR($QR$5,0)</f>
        <v>0</v>
      </c>
      <c r="FQ109" s="155">
        <f>IF(Tank4!$D$22="NO CONTROL",_xlfn.MAXIFS(Tank4!$G$32:$G$141,Tank4!$E$32:$E$141,$FG109),0)*IFERROR($QR$6,0)</f>
        <v>0</v>
      </c>
      <c r="FR109" s="155">
        <f>_xlfn.MAXIFS(LandEmiss!$AI$20:$AI$119,LandEmiss!$AE$20:$AE$119,$FG109)*IFERROR($QR$6,0)</f>
        <v>0</v>
      </c>
      <c r="FS109" s="155">
        <f>MAX(_xlfn.MAXIFS(LandEmiss!$CR$20:$CR$119,LandEmiss!$CN$20:$CN$119,$FG109),_xlfn.MAXIFS(LandEmiss!$FC$9:$FC$108,LandEmiss!$EY$9:$EY$108,$FG109))*IFERROR($QR$6,0)</f>
        <v>0</v>
      </c>
      <c r="FT109" s="155">
        <f>IF(Tank5!$D$22="NO CONTROL",_xlfn.MAXIFS(Tank5!$G$32:$G$141,Tank5!$E$32:$E$141,$FG109),0)*IFERROR($QR$7,0)</f>
        <v>0</v>
      </c>
      <c r="FU109" s="155">
        <f>_xlfn.MAXIFS(LandEmiss!$AJ$20:$AJ$119,LandEmiss!$AE$20:$AE$119,$FG109)*IFERROR($QR$7,0)</f>
        <v>0</v>
      </c>
      <c r="FV109" s="155">
        <f>MAX(_xlfn.MAXIFS(LandEmiss!$CS$20:$CS$119,LandEmiss!$CN$20:$CN$119,$FG109),_xlfn.MAXIFS(LandEmiss!$FD$9:$FD$108,LandEmiss!$EY$9:$EY$108,$FG109))*IFERROR($QR114,0)</f>
        <v>0</v>
      </c>
      <c r="FW109" s="155">
        <f>_xlfn.MAXIFS('Load-DrumTote'!$K$27:$K$136,'Load-DrumTote'!$F$27:$F$136,$FG109)*IFERROR($QR$8,0)</f>
        <v>0</v>
      </c>
      <c r="FX109" s="155">
        <f>_xlfn.MAXIFS('Load-Truck'!$K$27:$K$136,'Load-Truck'!$F$27:$F$136,$FG109)*IFERROR($QR$9,0)</f>
        <v>0</v>
      </c>
      <c r="FY109" s="155">
        <f>_xlfn.MAXIFS('Load-Rail'!$K$27:$K$136,'Load-Rail'!$F$27:$F$136,$FG109)*IFERROR($QR$10,0)</f>
        <v>0</v>
      </c>
      <c r="FZ109" s="155">
        <f>_xlfn.MAXIFS('Load-MarineBarge'!$K$27:$K$136,'Load-MarineBarge'!$F$27:$F$136,$FG109)*IFERROR($QR$11,0)</f>
        <v>0</v>
      </c>
      <c r="GA109" s="155">
        <f>_xlfn.MAXIFS('Load-MarineShip'!$K$27:$K$136,'Load-MarineShip'!$F$27:$F$136,$FG109)*IFERROR($QR$12,0)</f>
        <v>0</v>
      </c>
      <c r="GB109" s="313">
        <f>IF(OR(Flare!$D$24="fuel gas",Flare!$D$38="fuel gas"),SUMIF(Flare!$E$97:$E$106,$FG109,Flare!$F$97:$F$106),0)*IFERROR($QR$13,0)</f>
        <v>0</v>
      </c>
      <c r="GC109" s="313">
        <f>(_xlfn.MAXIFS(CtrlDevImpacts!$I$57:$I$156,CtrlDevImpacts!$H$57:$H$156,$FG109))*IFERROR($QR$13,0)</f>
        <v>0</v>
      </c>
      <c r="GD109" s="313">
        <f>(_xlfn.MAXIFS(Flare!$F$107:$F$216,Flare!$E$107:$E$216,$FG109)-_xlfn.MAXIFS(CtrlDevImpacts!$I$57:$I$156,CtrlDevImpacts!$H$57:$H$156,$FG109))*IFERROR($QR$13,0)</f>
        <v>0</v>
      </c>
      <c r="GE109" s="155">
        <f>_xlfn.MAXIFS(LandEmiss!$B$335:$B$434,LandEmiss!$A$335:$A$434,$FG109)*IFERROR($QR$13,0)</f>
        <v>0</v>
      </c>
      <c r="GF109" s="155">
        <f>(_xlfn.MAXIFS(LandEmiss!$BK$335:$BK$434,LandEmiss!$BJ$335:$BJ$434,$FG109)+_xlfn.MAXIFS(LandEmiss!$DV$323:$DV$422,LandEmiss!$DU$323:$DU$422,$FG109))*IFERROR($QR$13,0)</f>
        <v>0</v>
      </c>
      <c r="GG109" s="313">
        <f>IF(OR(VCU!$D$26="fuel gas",VCU!$D$42="fuel gas"),SUMIF(VCU!$E$120:$E$129,$FG109,VCU!$F$120:$F$129),0)*IFERROR($QR$14,0)</f>
        <v>0</v>
      </c>
      <c r="GH109" s="313">
        <f>(_xlfn.MAXIFS(CtrlDevImpacts!$X$57:$X$156,CtrlDevImpacts!$W$57:$W$156,$FG109))*IFERROR($QR$14,0)</f>
        <v>0</v>
      </c>
      <c r="GI109" s="313">
        <f>(_xlfn.MAXIFS(VCU!$F$130:$F$239,VCU!$E$130:$E$239,$FG109)-_xlfn.MAXIFS(CtrlDevImpacts!$X$57:$X$156,CtrlDevImpacts!$W$57:$W$156,$FG109))*IFERROR($QR$14,0)</f>
        <v>0</v>
      </c>
      <c r="GJ109" s="155">
        <f>_xlfn.MAXIFS(LandEmiss!$D$335:$D$434,LandEmiss!$A$335:$A$434,$FG109)*IFERROR($QR$14,0)</f>
        <v>0</v>
      </c>
      <c r="GK109" s="155">
        <f>(_xlfn.MAXIFS(LandEmiss!$BM$335:$BM$434,LandEmiss!$BJ$335:$BJ$434,$FG109)+_xlfn.MAXIFS(LandEmiss!$DX$323:$DX$422,LandEmiss!$DU$323:$DU$422,$FG109))*IFERROR($QR$14,0)</f>
        <v>0</v>
      </c>
      <c r="GL109" s="313">
        <f>IF(VaporOxidizer!D140="FUEL GAS",SUMIF(VaporOxidizer!$E$101:$E$110,$FG109,VaporOxidizer!$F$101:$F$110),0)*IFERROR($QR$15,0)</f>
        <v>0</v>
      </c>
      <c r="GM109" s="313">
        <f>(_xlfn.MAXIFS(CtrlDevImpacts!$AN$57:$AN$156,CtrlDevImpacts!$AM$57:$AM$156,$FG109))*IFERROR($QR$15,0)</f>
        <v>0</v>
      </c>
      <c r="GN109" s="313">
        <f>(_xlfn.MAXIFS(VaporOxidizer!$F$111:$F$220,VaporOxidizer!$E$111:$E$220,$FG109)-_xlfn.MAXIFS(CtrlDevImpacts!$AN$57:$AN$156,CtrlDevImpacts!$AM$57:$AM$156,$FG109))*IFERROR($QR$15,0)</f>
        <v>0</v>
      </c>
      <c r="GO109" s="155">
        <f>_xlfn.MAXIFS(LandEmiss!$F$335:$F$434,LandEmiss!$A$335:$A$434,$FG109)*IFERROR($QR$15,0)</f>
        <v>0</v>
      </c>
      <c r="GP109" s="155">
        <f>(_xlfn.MAXIFS(LandEmiss!$BK$335:$BK$434,LandEmiss!$BO$335:$BO$434,$FG109)+_xlfn.MAXIFS(LandEmiss!$DZ$323:$DZ$422,LandEmiss!$DU$323:$DU$422,$FG109))*IFERROR($QR$15,0)</f>
        <v>0</v>
      </c>
      <c r="GQ109" s="313">
        <f>_xlfn.MAXIFS(CtrlDevImpacts!$BD$57:$BD$156,CtrlDevImpacts!$BC$57:$BC$156,$FG109)*IFERROR(Hidden!$QR$16,0)</f>
        <v>0</v>
      </c>
      <c r="GR109" s="313">
        <f>(_xlfn.MAXIFS(CAS!$H$35:$H$144,CAS!$E$35:$E$144,$FG109)-_xlfn.MAXIFS(CtrlDevImpacts!$BD$57:$BD$156,CtrlDevImpacts!$BC$57:$BC$156,$FG109))*IFERROR(Hidden!$QR$16,0)</f>
        <v>0</v>
      </c>
      <c r="GS109" s="155">
        <f>_xlfn.MAXIFS(LandEmiss!$H$335:$H$434,LandEmiss!$A$335:$A$434,$FG109)*IFERROR($QR$27,0)</f>
        <v>0</v>
      </c>
      <c r="GT109" s="155">
        <f>(_xlfn.MAXIFS(LandEmiss!$BK$335:$BK$434,LandEmiss!$BQ$335:$BQ$434,$FG109)+_xlfn.MAXIFS(LandEmiss!$EB$323:$EB$422,LandEmiss!$DU$323:$DU$422,$FG109))*IFERROR($QR$27,0)</f>
        <v>0</v>
      </c>
      <c r="GU109" s="155">
        <f>_xlfn.MAXIFS(LandEmiss!$J$335:$J$434,LandEmiss!$A$335:$A$434,$FG109)*IFERROR($QR$26,0)</f>
        <v>0</v>
      </c>
      <c r="GV109" s="155">
        <f>(_xlfn.MAXIFS(LandEmiss!$BK$335:$BK$434,LandEmiss!$BS$335:$BS$434,$FG109)+_xlfn.MAXIFS(LandEmiss!$ED$323:$ED$422,LandEmiss!$DU$323:$DU$422,$FG109))*IFERROR($QR$26,0)</f>
        <v>0</v>
      </c>
      <c r="GW109" s="155">
        <f>_xlfn.MAXIFS(LandEmiss!$L$335:$L$434,LandEmiss!$A$335:$A$434,$FG109)*IFERROR($QR$25,0)</f>
        <v>0</v>
      </c>
      <c r="GX109" s="155">
        <f>(_xlfn.MAXIFS(LandEmiss!$BK$335:$BK$434,LandEmiss!$BU$335:$BU$434,$FG109)+_xlfn.MAXIFS(LandEmiss!$EF$323:$EF$422,LandEmiss!$DU$323:$DU$422,$FG109))*IFERROR($QR$25,0)</f>
        <v>0</v>
      </c>
      <c r="GY109" s="155">
        <v>0</v>
      </c>
      <c r="GZ109" s="155">
        <v>0</v>
      </c>
      <c r="HA109" s="155">
        <f>IF(OR(HeaterBoiler1!$E$26&lt;&gt;"fuel gas",HeaterBoiler1!$E$15&lt;&gt;"heater"),0,SUMIF(HeaterBoiler1!$A$54:$D$63,$FG109,HeaterBoiler1!$I$54:$I$63))*IFERROR($QR$19,0)</f>
        <v>0</v>
      </c>
      <c r="HB109" s="207">
        <f>IF(OR(HeaterBoiler2!$E$26&lt;&gt;"fuel gas",HeaterBoiler2!$E$15&lt;&gt;"heater"),0,SUMIF(HeaterBoiler2!$A$54:$D$63,$FG109,HeaterBoiler2!$I$54:$I$63))*IFERROR($QR$21,0)</f>
        <v>0</v>
      </c>
      <c r="HC109" s="155">
        <f>IF(OR(HeaterBoiler1!$E$26&lt;&gt;"fuel gas",HeaterBoiler1!$E$15&lt;&gt;"boiler"),0,SUMIF(HeaterBoiler1!$A$41:$A$50,$FG109,HeaterBoiler1!$F$41:$F$50))*IFERROR($QR$20,0)</f>
        <v>0</v>
      </c>
      <c r="HD109" s="207">
        <f>IF(OR(HeaterBoiler2!$E$26&lt;&gt;"fuel gas",HeaterBoiler2!$E$15&lt;&gt;"boiler"),0,SUMIF(HeaterBoiler2!$A$41:$A$50,$FG109,HeaterBoiler2!$F$41:$F$50))*IFERROR($QR$22,0)</f>
        <v>0</v>
      </c>
      <c r="HE109" s="155">
        <f>SUMIF(Fug!$A$96:$A$205,$FG109,Fug!$I$96:$I$205)*IFERROR(Hidden!$QR$23,0)</f>
        <v>0</v>
      </c>
      <c r="HF109" s="155">
        <f t="shared" si="46"/>
        <v>0</v>
      </c>
      <c r="HG109" s="156">
        <f t="shared" si="47"/>
        <v>0</v>
      </c>
      <c r="HH109" s="156">
        <f t="shared" si="48"/>
        <v>0</v>
      </c>
      <c r="HI109" s="156">
        <f t="shared" si="49"/>
        <v>0</v>
      </c>
      <c r="HJ109" s="156">
        <f t="shared" si="50"/>
        <v>0</v>
      </c>
      <c r="HK109" s="156">
        <f t="shared" si="51"/>
        <v>0</v>
      </c>
      <c r="HL109" s="156">
        <f t="shared" si="52"/>
        <v>0</v>
      </c>
      <c r="NO109" s="155">
        <f>IF(Tank1!$D$22="No control",(SUMIF(Tank1!$E$32:$E$141,$FG109,Tank1!$H$32:$H$141)*(2000/8760)*IFERROR($QV$3,0)),0)</f>
        <v>0</v>
      </c>
      <c r="NP109" s="156">
        <f>SUMIF(LandEmiss!$AE$20:$AE$119,$FG109,LandEmiss!$AK$20:$AK$119)*(2000/8760)*IFERROR($QV$3,0)</f>
        <v>0</v>
      </c>
      <c r="NQ109" s="156">
        <f>(SUMIF(LandEmiss!$CN$20:$CN$119,$FG109,LandEmiss!$CT$20:$CT$119)+SUMIF(LandEmiss!$EY$9:$EY$108,$FG109,LandEmiss!$FE$9:$FE$108))*IFERROR($QV$3,0)*(2000/8760)</f>
        <v>0</v>
      </c>
      <c r="NR109" s="155">
        <f>IF(Tank2!$D$22="No control",(SUMIF(Tank2!$E$32:$E$141,$FG109,Tank2!$H$32:$H$141)*(2000/8760)*IFERROR($QV$4,0)),0)</f>
        <v>0</v>
      </c>
      <c r="NS109" s="156">
        <f>SUMIF(LandEmiss!$AE$20:$AE$119,$FG109,LandEmiss!$AL$20:$AL$119)*(2000/8760)*IFERROR($QV$4,0)</f>
        <v>0</v>
      </c>
      <c r="NT109" s="156">
        <f>(SUMIF(LandEmiss!$CN$20:$CN$119,$FG109,LandEmiss!$CU$20:$CU$119)+SUMIF(LandEmiss!$EY$9:$EY$108,$FG109,LandEmiss!$FF$9:$FF$108))*IFERROR($QV$4,0)*(2000/8760)</f>
        <v>0</v>
      </c>
      <c r="NU109" s="155">
        <f>IF(Tank3!$D$22="No control",(SUMIF(Tank3!$E$32:$E$141,$FG109,Tank3!$H$32:$H$141)*(2000/8760)*IFERROR($QV$5,0)),0)</f>
        <v>0</v>
      </c>
      <c r="NV109" s="156">
        <f>SUMIF(LandEmiss!$AE$20:$AE$119,$FG109,LandEmiss!$AM$20:$AM$119)*(2000/8760)*IFERROR($QV$5,0)</f>
        <v>0</v>
      </c>
      <c r="NW109" s="156">
        <f>(SUMIF(LandEmiss!$CN$20:$CN$119,$FG109,LandEmiss!$CV$20:$CV$119)+SUMIF(LandEmiss!$EY$9:$EY$108,$FG109,LandEmiss!$FG$9:$FG$108))*IFERROR($QV$5,0)*(2000/8760)</f>
        <v>0</v>
      </c>
      <c r="NX109" s="155">
        <f>IF(Tank4!$D$22="No control",(SUMIF(Tank4!$E$32:$E$141,$FG109,Tank4!$H$32:$H$141)*(2000/8760)*IFERROR($QV$6,0)),0)</f>
        <v>0</v>
      </c>
      <c r="NY109" s="156">
        <f>SUMIF(LandEmiss!$AE$20:$AE$119,$FG109,LandEmiss!$AN$20:$AN$119)*(2000/8760)*IFERROR($QV$6,0)</f>
        <v>0</v>
      </c>
      <c r="NZ109" s="156">
        <f>(SUMIF(LandEmiss!$CN$20:$CN$119,$FG109,LandEmiss!$CW$20:$CW$119)+SUMIF(LandEmiss!$EY$9:$EY$108,$FG109,LandEmiss!$FH$9:$FH$108))*IFERROR($QV$6,0)*(2000/8760)</f>
        <v>0</v>
      </c>
      <c r="OA109" s="155">
        <f>IF(Tank5!$D$22="No control",(SUMIF(Tank5!$E$32:$E$141,$FG109,Tank5!$H$32:$H$141)*(2000/8760)*IFERROR($QV$7,0)),0)</f>
        <v>0</v>
      </c>
      <c r="OB109" s="156">
        <f>SUMIF(LandEmiss!$AE$20:$AE$119,$FG109,LandEmiss!$AO$20:$AO$119)*(2000/8760)*IFERROR($QV$7,0)</f>
        <v>0</v>
      </c>
      <c r="OC109" s="156">
        <f>(SUMIF(LandEmiss!$CN$20:$CN$119,$FG109,LandEmiss!$CX$20:$CX$119)+SUMIF(LandEmiss!$EY$9:$EY$108,$FG109,LandEmiss!$FI$9:$FI$108))*IFERROR($QV$7,0)*(2000/8760)</f>
        <v>0</v>
      </c>
      <c r="OD109" s="155">
        <f>SUMIFS('Load-DrumTote'!$L$27:$L$136,'Load-DrumTote'!$F$27:$F$136,$FG109)*IFERROR($QV$8,0)*(2000/8760)</f>
        <v>0</v>
      </c>
      <c r="OE109" s="155">
        <f>SUMIFS('Load-Truck'!$L$27:$L$136,'Load-Truck'!$F$27:$F$136,$FG109)*IFERROR($QV$9,0)*(2000/8760)</f>
        <v>0</v>
      </c>
      <c r="OF109" s="155">
        <f>SUMIFS('Load-Rail'!$L$27:$L$136,'Load-Rail'!$F$27:$F$136,$FG109)*IFERROR($QV$10,0)*(2000/8760)</f>
        <v>0</v>
      </c>
      <c r="OG109" s="155">
        <f>SUMIFS('Load-MarineBarge'!$L$27:$L$136,'Load-MarineBarge'!$F$27:$F$136,$FG109)*IFERROR($QV$11,0)*(2000/8760)</f>
        <v>0</v>
      </c>
      <c r="OH109" s="155">
        <f>SUMIFS('Load-MarineShip'!$L$27:$L$136,'Load-MarineShip'!$F$27:$F$136,$FG109)*IFERROR($QV$12,0)*(2000/8760)</f>
        <v>0</v>
      </c>
      <c r="OI109" s="155">
        <f>(IF(OR(Flare!$D$24="FUEL GAS",Flare!$D$38="FUEL GAS"),SUMIF(Flare!$E$97:$E$106,$FG109,Flare!$G$97:$G$105),0)+SUMIF(Flare!$E$107:$E$216,$FG109,Flare!$G$107:$G$216))*(2000/8730)*IFERROR($QV$13,0)</f>
        <v>0</v>
      </c>
      <c r="OJ109" s="155">
        <f>SUMIF(LandEmiss!$A$335:$A$434,$FG109,LandEmiss!$C$335:$C$434)*(2000/8760)*IFERROR($QV$13,0)</f>
        <v>0</v>
      </c>
      <c r="OK109" s="155">
        <f>(SUMIF(LandEmiss!$BJ$335:$BJ$434,$FG109,LandEmiss!$BL$335:$BL$434)+SUMIF(LandEmiss!$DU$323:$DU$422,$FG109,LandEmiss!$DW$323:$DW$422))*(2000/8760)*IFERROR($QV$13,0)</f>
        <v>0</v>
      </c>
      <c r="OL109" s="155">
        <f>(IF(OR(VCU!$D$26="FUEL GAS",VCU!$D$42="FUEL GAS"),SUMIF(VCU!$E$120:$E$129,$FG109,VCU!$G$120:$G$129),0)+SUMIF(VCU!$E$130:$E$239,$FG109,VCU!G237:G346))*(2000/8760)*IFERROR($QV$14,0)</f>
        <v>0</v>
      </c>
      <c r="OM109" s="155">
        <f>SUMIF(LandEmiss!$A$335:$A$434,$FG109,LandEmiss!$E$335:$E$434)*(2000/8760)*IFERROR($QV$14,0)</f>
        <v>0</v>
      </c>
      <c r="ON109" s="155">
        <f>(SUMIF(LandEmiss!$BJ$335:$BJ$434,$FG109,LandEmiss!$BN$335:$BN$434)+SUMIF(LandEmiss!$DU$323:$DU$422,$FG109,LandEmiss!$DY$323:$DY$422))*(2000/8760)*IFERROR($QV$14,0)</f>
        <v>0</v>
      </c>
      <c r="OO109" s="155">
        <f>(IF(VaporOxidizer!$D$33="FUEL GAS",SUMIF(VaporOxidizer!$E$101:$E$110,$FG109,VaporOxidizer!$G$101:$G$110),0)+SUMIF(VaporOxidizer!$E$111:$E$220,$FG109,VaporOxidizer!$G$111:$G$220))*(2000/8760)*IFERROR($QV$15,0)</f>
        <v>0</v>
      </c>
      <c r="OP109" s="155">
        <f>SUMIF(LandEmiss!$A$335:$A$434,$FG109,LandEmiss!$G$335:$G$434)*(2000/8760)*IFERROR($QV$15,0)</f>
        <v>0</v>
      </c>
      <c r="OQ109" s="155">
        <f>(SUMIF(LandEmiss!$BJ$335:$BJ$434,$FG109,LandEmiss!$BP$335:$BP$434)+SUMIF(LandEmiss!$DU$323:$DU$422,$FG109,LandEmiss!$EA$323:$EA$422))*(2000/8760)*IFERROR($QV$15,0)</f>
        <v>0</v>
      </c>
      <c r="OR109" s="155">
        <f>SUMIF(CAS!$E$35:$E$144,Hidden!$FG109,CAS!$I$35:$I$144)*IFERROR($QV$16,0)*(2000/8760)</f>
        <v>0</v>
      </c>
      <c r="OS109" s="155">
        <f>SUMIF(LandEmiss!$A$335:$A$434,$FG109,LandEmiss!$I$335:$I$434)*(2000/8760)*IFERROR($QV$27,0)</f>
        <v>0</v>
      </c>
      <c r="OT109" s="155">
        <f>(SUMIF(LandEmiss!$BJ$335:$BJ$434,$FG109,LandEmiss!$BR$335:$BR$434)+SUMIF(LandEmiss!$DU$323:$DU$422,$FG109,LandEmiss!$EC$323:$EC$422))*(2000/8760)*IFERROR($QV$27,0)</f>
        <v>0</v>
      </c>
      <c r="OU109" s="155">
        <f>SUMIF(LandEmiss!$A$335:$A$434,$FG109,LandEmiss!$K$335:$K$434)*(2000/8760)*IFERROR($QV$26,0)</f>
        <v>0</v>
      </c>
      <c r="OV109" s="155">
        <f>(SUMIF(LandEmiss!$BJ$335:$BJ$434,$FG109,LandEmiss!$BT$335:$BT$434)+SUMIF(LandEmiss!$DU$323:$DU$422,$FG109,LandEmiss!$EE$323:$EE$422))*(2000/8760)*IFERROR($QV$26,0)</f>
        <v>0</v>
      </c>
      <c r="OW109" s="155">
        <f>SUMIF(LandEmiss!$A$335:$A$434,$FG109,LandEmiss!$M$335:$M$434)*(2000/8760)*IFERROR($QV$25,0)</f>
        <v>0</v>
      </c>
      <c r="OX109" s="155">
        <f>(SUMIF(LandEmiss!$BJ$335:$BJ$434,$FG109,LandEmiss!$BV$335:$BV$434)+SUMIF(LandEmiss!$DU$323:$DU$422,$FG109,LandEmiss!$EG$323:$EG$422))*(2000/8760)*IFERROR($QV$25,0)</f>
        <v>0</v>
      </c>
      <c r="OY109" s="8">
        <v>0</v>
      </c>
      <c r="OZ109" s="207">
        <v>0</v>
      </c>
      <c r="PA109" s="207">
        <f>IF(OR(HeaterBoiler1!$E$26&lt;&gt;"fuel gas",HeaterBoiler1!$E$15&lt;&gt;"heater"),0,(SUMIF(HeaterBoiler1!$A$54:$D$63,$FG109,HeaterBoiler1!$J$54:$J$63))*(2000/8760))*IFERROR($QV$19,0)</f>
        <v>0</v>
      </c>
      <c r="PB109" s="207">
        <f>IF(OR(HeaterBoiler2!$E$26&lt;&gt;"fuel gas",HeaterBoiler2!$E$15&lt;&gt;"heater"),0,(SUMIF(HeaterBoiler2!$A$54:$D$63,$FG109,HeaterBoiler2!$J$54:$J$63))*(2000/8760))*IFERROR($QV$21,0)</f>
        <v>0</v>
      </c>
      <c r="PC109" s="207">
        <f>IF(OR(HeaterBoiler1!$E$26&lt;&gt;"fuel gas",HeaterBoiler1!$E$15&lt;&gt;"boiler"),0,(SUMIF(HeaterBoiler1!$A$54:$D$63,$FG109,HeaterBoiler1!$J$54:$J$63))*(2000/8760))*IFERROR($QV$20,0)</f>
        <v>0</v>
      </c>
      <c r="PD109" s="207">
        <f>IF(OR(HeaterBoiler2!$E$26&lt;&gt;"fuel gas",HeaterBoiler2!$E$15&lt;&gt;"boiler"),0,(SUMIF(HeaterBoiler2!$A$54:$D$63,$FG109,HeaterBoiler2!$J$54:$J$63))*(2000/8760))*IFERROR($QV$22,0)</f>
        <v>0</v>
      </c>
      <c r="PE109" s="8">
        <f>(SUMIF(Fug!$A$96:$A$205,$FG109,Fug!$J$96:$J$205))*IFERROR($QV$23,0)*(2000/8760)</f>
        <v>0</v>
      </c>
      <c r="PF109" s="8">
        <f t="shared" si="53"/>
        <v>0</v>
      </c>
      <c r="PG109" s="156">
        <f t="shared" si="54"/>
        <v>0</v>
      </c>
      <c r="QX109" s="89" t="s">
        <v>9324</v>
      </c>
      <c r="QY109">
        <v>6.91</v>
      </c>
      <c r="QZ109">
        <v>6.91</v>
      </c>
      <c r="RA109">
        <v>6.91</v>
      </c>
      <c r="RB109">
        <v>6.91</v>
      </c>
      <c r="RC109">
        <v>6.91</v>
      </c>
      <c r="RD109">
        <v>6.91</v>
      </c>
      <c r="RE109">
        <v>6.52</v>
      </c>
      <c r="RF109">
        <v>6.07</v>
      </c>
      <c r="RG109" s="90">
        <v>5.08</v>
      </c>
      <c r="RH109" s="89" t="s">
        <v>9324</v>
      </c>
      <c r="RI109">
        <v>6.05</v>
      </c>
      <c r="RJ109">
        <v>6.05</v>
      </c>
      <c r="RK109">
        <v>6.05</v>
      </c>
      <c r="RL109">
        <v>6.05</v>
      </c>
      <c r="RM109">
        <v>6.05</v>
      </c>
      <c r="RN109">
        <v>6.05</v>
      </c>
      <c r="RO109">
        <v>6.05</v>
      </c>
      <c r="RP109">
        <v>5.61</v>
      </c>
      <c r="RQ109" s="90">
        <v>4.78</v>
      </c>
      <c r="RR109" s="89" t="s">
        <v>9324</v>
      </c>
      <c r="RS109">
        <v>5.82</v>
      </c>
      <c r="RT109">
        <v>5.82</v>
      </c>
      <c r="RU109">
        <v>5.82</v>
      </c>
      <c r="RV109">
        <v>5.82</v>
      </c>
      <c r="RW109">
        <v>5.82</v>
      </c>
      <c r="RX109">
        <v>5.82</v>
      </c>
      <c r="RY109">
        <v>5.82</v>
      </c>
      <c r="RZ109">
        <v>5.44</v>
      </c>
      <c r="SA109" s="90">
        <v>4.55</v>
      </c>
      <c r="SB109" s="89" t="s">
        <v>9324</v>
      </c>
      <c r="SC109">
        <v>4.8600000000000003</v>
      </c>
      <c r="SD109">
        <v>4.8600000000000003</v>
      </c>
      <c r="SE109">
        <v>4.8600000000000003</v>
      </c>
      <c r="SF109">
        <v>4.8600000000000003</v>
      </c>
      <c r="SG109">
        <v>4.8600000000000003</v>
      </c>
      <c r="SH109">
        <v>4.8600000000000003</v>
      </c>
      <c r="SI109">
        <v>4.8600000000000003</v>
      </c>
      <c r="SJ109">
        <v>4.29</v>
      </c>
      <c r="SK109" s="90">
        <v>3.6</v>
      </c>
      <c r="SL109" s="89" t="s">
        <v>9324</v>
      </c>
      <c r="SM109">
        <v>0.99</v>
      </c>
      <c r="SN109">
        <v>0.99</v>
      </c>
      <c r="SO109">
        <v>0.99</v>
      </c>
      <c r="SP109">
        <v>0.99</v>
      </c>
      <c r="SQ109">
        <v>0.99</v>
      </c>
      <c r="SR109">
        <v>0.99</v>
      </c>
      <c r="SS109">
        <v>0.99</v>
      </c>
      <c r="ST109">
        <v>0.94</v>
      </c>
      <c r="SU109" s="90">
        <v>0.78</v>
      </c>
    </row>
    <row r="110" spans="23:515" ht="74.25" customHeight="1" x14ac:dyDescent="0.2">
      <c r="W110">
        <f>IF(OR(X110=0,ISNUMBER(MATCH(X110,$X$1:X109,0))),0,MAX($W$1:W109)+1)</f>
        <v>0</v>
      </c>
      <c r="X110" s="123">
        <f>Products!$E157</f>
        <v>0</v>
      </c>
      <c r="Y110" t="str">
        <f t="shared" si="55"/>
        <v/>
      </c>
      <c r="CA110">
        <f>IF(OR(CB110=0,ISNUMBER(MATCH(CB110,$CB$1:CB109,0))),0,MAX($CA$1:CA109)+1)</f>
        <v>0</v>
      </c>
      <c r="CB110" s="8">
        <f>IF(OR(Tank1!$D$18="EXTERNAL FLOATING ROOF",Tank1!$D$18="INTERNAL FLOATING ROOF"),IF(Tank1!$E140="",0,Tank1!$E140),0)</f>
        <v>0</v>
      </c>
      <c r="CC110" s="8"/>
      <c r="CD110" s="8"/>
      <c r="CE110" s="8">
        <f>IF(OR(CF110=0,ISNUMBER(MATCH(CF110,$CF$1:CF109,0))),0,MAX($CE$1:CE109)+1)</f>
        <v>0</v>
      </c>
      <c r="CF110" s="8">
        <f>IF(OR(Tank1!$D$18="HORIZONTAL FIXED ROOF",Tank1!$D$18="VERTICAL FIXED ROOF"),IF(Tank1!$E140="",0,Tank1!$E140),0)</f>
        <v>0</v>
      </c>
      <c r="CG110" s="8"/>
      <c r="FB110" s="8" t="s">
        <v>560</v>
      </c>
      <c r="FC110" s="8" t="s">
        <v>561</v>
      </c>
      <c r="FD110" s="8">
        <v>58</v>
      </c>
      <c r="FE110" s="8">
        <v>5.8</v>
      </c>
      <c r="FG110" s="360" t="str">
        <f t="shared" si="45"/>
        <v/>
      </c>
      <c r="FH110" s="155">
        <f>IF(Tank1!$D$22="NO CONTROL",_xlfn.MAXIFS(Tank1!$G$32:$G$141,Tank1!$E$32:$E$141,$FG110),0)*IFERROR($QR$3,0)</f>
        <v>0</v>
      </c>
      <c r="FI110" s="155">
        <f>_xlfn.MAXIFS(LandEmiss!$AF$20:$AF$119,LandEmiss!$AE$20:$AE$119,$FG110)*IFERROR($QR$3,0)</f>
        <v>0</v>
      </c>
      <c r="FJ110" s="155">
        <f>MAX(_xlfn.MAXIFS(LandEmiss!$CO$20:$CO$119,LandEmiss!$CN$20:$CN$119,$FG110),_xlfn.MAXIFS(LandEmiss!$EZ$9:$EZ$108,LandEmiss!$EY$9:$EY$108,$FG110))*IFERROR($QR$3,0)</f>
        <v>0</v>
      </c>
      <c r="FK110" s="155">
        <f>IF(Tank2!$D$22="NO CONTROL",_xlfn.MAXIFS(Tank2!$G$32:$G$141,Tank2!$E$32:$E$141,$FG110),0)*IFERROR($QR$4,0)</f>
        <v>0</v>
      </c>
      <c r="FL110" s="155">
        <f>_xlfn.MAXIFS(LandEmiss!$AG$20:$AG$119,LandEmiss!$AE$20:$AE$119,$FG110)*IFERROR($QR$4,0)</f>
        <v>0</v>
      </c>
      <c r="FM110" s="155">
        <f>MAX(_xlfn.MAXIFS(LandEmiss!$CP$20:$CP$119,LandEmiss!$CN$20:$CN$119,$FG110),_xlfn.MAXIFS(LandEmiss!$FA$9:$FA$108,LandEmiss!$EY$9:$EY$108,$FG110))*IFERROR($QR$4,0)</f>
        <v>0</v>
      </c>
      <c r="FN110" s="155">
        <f>IF(Tank3!$D$22="NO CONTROL",_xlfn.MAXIFS(Tank3!$G$32:$G$141,Tank3!$E$32:$E$141,$FG110),0)*IFERROR($QR$5,0)</f>
        <v>0</v>
      </c>
      <c r="FO110" s="155">
        <f>_xlfn.MAXIFS(LandEmiss!$AH$20:$AH$119,LandEmiss!$AE$20:$AE$119,$FG110)*IFERROR($QR$5,0)</f>
        <v>0</v>
      </c>
      <c r="FP110" s="155">
        <f>MAX(_xlfn.MAXIFS(LandEmiss!$CQ$20:$CQ$119,LandEmiss!$CN$20:$CN$119,$FG110),_xlfn.MAXIFS(LandEmiss!$FB$9:$FB$108,LandEmiss!$EY$9:$EY$108,$FG110))*IFERROR($QR$5,0)</f>
        <v>0</v>
      </c>
      <c r="FQ110" s="155">
        <f>IF(Tank4!$D$22="NO CONTROL",_xlfn.MAXIFS(Tank4!$G$32:$G$141,Tank4!$E$32:$E$141,$FG110),0)*IFERROR($QR$6,0)</f>
        <v>0</v>
      </c>
      <c r="FR110" s="155">
        <f>_xlfn.MAXIFS(LandEmiss!$AI$20:$AI$119,LandEmiss!$AE$20:$AE$119,$FG110)*IFERROR($QR$6,0)</f>
        <v>0</v>
      </c>
      <c r="FS110" s="155">
        <f>MAX(_xlfn.MAXIFS(LandEmiss!$CR$20:$CR$119,LandEmiss!$CN$20:$CN$119,$FG110),_xlfn.MAXIFS(LandEmiss!$FC$9:$FC$108,LandEmiss!$EY$9:$EY$108,$FG110))*IFERROR($QR$6,0)</f>
        <v>0</v>
      </c>
      <c r="FT110" s="155">
        <f>IF(Tank5!$D$22="NO CONTROL",_xlfn.MAXIFS(Tank5!$G$32:$G$141,Tank5!$E$32:$E$141,$FG110),0)*IFERROR($QR$7,0)</f>
        <v>0</v>
      </c>
      <c r="FU110" s="155">
        <f>_xlfn.MAXIFS(LandEmiss!$AJ$20:$AJ$119,LandEmiss!$AE$20:$AE$119,$FG110)*IFERROR($QR$7,0)</f>
        <v>0</v>
      </c>
      <c r="FV110" s="155">
        <f>MAX(_xlfn.MAXIFS(LandEmiss!$CS$20:$CS$119,LandEmiss!$CN$20:$CN$119,$FG110),_xlfn.MAXIFS(LandEmiss!$FD$9:$FD$108,LandEmiss!$EY$9:$EY$108,$FG110))*IFERROR($QR115,0)</f>
        <v>0</v>
      </c>
      <c r="FW110" s="155">
        <f>_xlfn.MAXIFS('Load-DrumTote'!$K$27:$K$136,'Load-DrumTote'!$F$27:$F$136,$FG110)*IFERROR($QR$8,0)</f>
        <v>0</v>
      </c>
      <c r="FX110" s="155">
        <f>_xlfn.MAXIFS('Load-Truck'!$K$27:$K$136,'Load-Truck'!$F$27:$F$136,$FG110)*IFERROR($QR$9,0)</f>
        <v>0</v>
      </c>
      <c r="FY110" s="155">
        <f>_xlfn.MAXIFS('Load-Rail'!$K$27:$K$136,'Load-Rail'!$F$27:$F$136,$FG110)*IFERROR($QR$10,0)</f>
        <v>0</v>
      </c>
      <c r="FZ110" s="155">
        <f>_xlfn.MAXIFS('Load-MarineBarge'!$K$27:$K$136,'Load-MarineBarge'!$F$27:$F$136,$FG110)*IFERROR($QR$11,0)</f>
        <v>0</v>
      </c>
      <c r="GA110" s="155">
        <f>_xlfn.MAXIFS('Load-MarineShip'!$K$27:$K$136,'Load-MarineShip'!$F$27:$F$136,$FG110)*IFERROR($QR$12,0)</f>
        <v>0</v>
      </c>
      <c r="GB110" s="313">
        <f>IF(OR(Flare!$D$24="fuel gas",Flare!$D$38="fuel gas"),SUMIF(Flare!$E$97:$E$106,$FG110,Flare!$F$97:$F$106),0)*IFERROR($QR$13,0)</f>
        <v>0</v>
      </c>
      <c r="GC110" s="313">
        <f>(_xlfn.MAXIFS(CtrlDevImpacts!$I$57:$I$156,CtrlDevImpacts!$H$57:$H$156,$FG110))*IFERROR($QR$13,0)</f>
        <v>0</v>
      </c>
      <c r="GD110" s="313">
        <f>(_xlfn.MAXIFS(Flare!$F$107:$F$216,Flare!$E$107:$E$216,$FG110)-_xlfn.MAXIFS(CtrlDevImpacts!$I$57:$I$156,CtrlDevImpacts!$H$57:$H$156,$FG110))*IFERROR($QR$13,0)</f>
        <v>0</v>
      </c>
      <c r="GE110" s="155">
        <f>_xlfn.MAXIFS(LandEmiss!$B$335:$B$434,LandEmiss!$A$335:$A$434,$FG110)*IFERROR($QR$13,0)</f>
        <v>0</v>
      </c>
      <c r="GF110" s="155">
        <f>(_xlfn.MAXIFS(LandEmiss!$BK$335:$BK$434,LandEmiss!$BJ$335:$BJ$434,$FG110)+_xlfn.MAXIFS(LandEmiss!$DV$323:$DV$422,LandEmiss!$DU$323:$DU$422,$FG110))*IFERROR($QR$13,0)</f>
        <v>0</v>
      </c>
      <c r="GG110" s="313">
        <f>IF(OR(VCU!$D$26="fuel gas",VCU!$D$42="fuel gas"),SUMIF(VCU!$E$120:$E$129,$FG110,VCU!$F$120:$F$129),0)*IFERROR($QR$14,0)</f>
        <v>0</v>
      </c>
      <c r="GH110" s="313">
        <f>(_xlfn.MAXIFS(CtrlDevImpacts!$X$57:$X$156,CtrlDevImpacts!$W$57:$W$156,$FG110))*IFERROR($QR$14,0)</f>
        <v>0</v>
      </c>
      <c r="GI110" s="313">
        <f>(_xlfn.MAXIFS(VCU!$F$130:$F$239,VCU!$E$130:$E$239,$FG110)-_xlfn.MAXIFS(CtrlDevImpacts!$X$57:$X$156,CtrlDevImpacts!$W$57:$W$156,$FG110))*IFERROR($QR$14,0)</f>
        <v>0</v>
      </c>
      <c r="GJ110" s="155">
        <f>_xlfn.MAXIFS(LandEmiss!$D$335:$D$434,LandEmiss!$A$335:$A$434,$FG110)*IFERROR($QR$14,0)</f>
        <v>0</v>
      </c>
      <c r="GK110" s="155">
        <f>(_xlfn.MAXIFS(LandEmiss!$BM$335:$BM$434,LandEmiss!$BJ$335:$BJ$434,$FG110)+_xlfn.MAXIFS(LandEmiss!$DX$323:$DX$422,LandEmiss!$DU$323:$DU$422,$FG110))*IFERROR($QR$14,0)</f>
        <v>0</v>
      </c>
      <c r="GL110" s="313">
        <f>IF(VaporOxidizer!D141="FUEL GAS",SUMIF(VaporOxidizer!$E$101:$E$110,$FG110,VaporOxidizer!$F$101:$F$110),0)*IFERROR($QR$15,0)</f>
        <v>0</v>
      </c>
      <c r="GM110" s="313">
        <f>(_xlfn.MAXIFS(CtrlDevImpacts!$AN$57:$AN$156,CtrlDevImpacts!$AM$57:$AM$156,$FG110))*IFERROR($QR$15,0)</f>
        <v>0</v>
      </c>
      <c r="GN110" s="313">
        <f>(_xlfn.MAXIFS(VaporOxidizer!$F$111:$F$220,VaporOxidizer!$E$111:$E$220,$FG110)-_xlfn.MAXIFS(CtrlDevImpacts!$AN$57:$AN$156,CtrlDevImpacts!$AM$57:$AM$156,$FG110))*IFERROR($QR$15,0)</f>
        <v>0</v>
      </c>
      <c r="GO110" s="155">
        <f>_xlfn.MAXIFS(LandEmiss!$F$335:$F$434,LandEmiss!$A$335:$A$434,$FG110)*IFERROR($QR$15,0)</f>
        <v>0</v>
      </c>
      <c r="GP110" s="155">
        <f>(_xlfn.MAXIFS(LandEmiss!$BK$335:$BK$434,LandEmiss!$BO$335:$BO$434,$FG110)+_xlfn.MAXIFS(LandEmiss!$DZ$323:$DZ$422,LandEmiss!$DU$323:$DU$422,$FG110))*IFERROR($QR$15,0)</f>
        <v>0</v>
      </c>
      <c r="GQ110" s="313">
        <f>_xlfn.MAXIFS(CtrlDevImpacts!$BD$57:$BD$156,CtrlDevImpacts!$BC$57:$BC$156,$FG110)*IFERROR(Hidden!$QR$16,0)</f>
        <v>0</v>
      </c>
      <c r="GR110" s="313">
        <f>(_xlfn.MAXIFS(CAS!$H$35:$H$144,CAS!$E$35:$E$144,$FG110)-_xlfn.MAXIFS(CtrlDevImpacts!$BD$57:$BD$156,CtrlDevImpacts!$BC$57:$BC$156,$FG110))*IFERROR(Hidden!$QR$16,0)</f>
        <v>0</v>
      </c>
      <c r="GS110" s="155">
        <f>_xlfn.MAXIFS(LandEmiss!$H$335:$H$434,LandEmiss!$A$335:$A$434,$FG110)*IFERROR($QR$27,0)</f>
        <v>0</v>
      </c>
      <c r="GT110" s="155">
        <f>(_xlfn.MAXIFS(LandEmiss!$BK$335:$BK$434,LandEmiss!$BQ$335:$BQ$434,$FG110)+_xlfn.MAXIFS(LandEmiss!$EB$323:$EB$422,LandEmiss!$DU$323:$DU$422,$FG110))*IFERROR($QR$27,0)</f>
        <v>0</v>
      </c>
      <c r="GU110" s="155">
        <f>_xlfn.MAXIFS(LandEmiss!$J$335:$J$434,LandEmiss!$A$335:$A$434,$FG110)*IFERROR($QR$26,0)</f>
        <v>0</v>
      </c>
      <c r="GV110" s="155">
        <f>(_xlfn.MAXIFS(LandEmiss!$BK$335:$BK$434,LandEmiss!$BS$335:$BS$434,$FG110)+_xlfn.MAXIFS(LandEmiss!$ED$323:$ED$422,LandEmiss!$DU$323:$DU$422,$FG110))*IFERROR($QR$26,0)</f>
        <v>0</v>
      </c>
      <c r="GW110" s="155">
        <f>_xlfn.MAXIFS(LandEmiss!$L$335:$L$434,LandEmiss!$A$335:$A$434,$FG110)*IFERROR($QR$25,0)</f>
        <v>0</v>
      </c>
      <c r="GX110" s="155">
        <f>(_xlfn.MAXIFS(LandEmiss!$BK$335:$BK$434,LandEmiss!$BU$335:$BU$434,$FG110)+_xlfn.MAXIFS(LandEmiss!$EF$323:$EF$422,LandEmiss!$DU$323:$DU$422,$FG110))*IFERROR($QR$25,0)</f>
        <v>0</v>
      </c>
      <c r="GY110" s="155">
        <v>0</v>
      </c>
      <c r="GZ110" s="155">
        <v>0</v>
      </c>
      <c r="HA110" s="155">
        <f>IF(OR(HeaterBoiler1!$E$26&lt;&gt;"fuel gas",HeaterBoiler1!$E$15&lt;&gt;"heater"),0,SUMIF(HeaterBoiler1!$A$54:$D$63,$FG110,HeaterBoiler1!$I$54:$I$63))*IFERROR($QR$19,0)</f>
        <v>0</v>
      </c>
      <c r="HB110" s="207">
        <f>IF(OR(HeaterBoiler2!$E$26&lt;&gt;"fuel gas",HeaterBoiler2!$E$15&lt;&gt;"heater"),0,SUMIF(HeaterBoiler2!$A$54:$D$63,$FG110,HeaterBoiler2!$I$54:$I$63))*IFERROR($QR$21,0)</f>
        <v>0</v>
      </c>
      <c r="HC110" s="155">
        <f>IF(OR(HeaterBoiler1!$E$26&lt;&gt;"fuel gas",HeaterBoiler1!$E$15&lt;&gt;"boiler"),0,SUMIF(HeaterBoiler1!$A$41:$A$50,$FG110,HeaterBoiler1!$F$41:$F$50))*IFERROR($QR$20,0)</f>
        <v>0</v>
      </c>
      <c r="HD110" s="207">
        <f>IF(OR(HeaterBoiler2!$E$26&lt;&gt;"fuel gas",HeaterBoiler2!$E$15&lt;&gt;"boiler"),0,SUMIF(HeaterBoiler2!$A$41:$A$50,$FG110,HeaterBoiler2!$F$41:$F$50))*IFERROR($QR$22,0)</f>
        <v>0</v>
      </c>
      <c r="HE110" s="155">
        <f>SUMIF(Fug!$A$96:$A$205,$FG110,Fug!$I$96:$I$205)*IFERROR(Hidden!$QR$23,0)</f>
        <v>0</v>
      </c>
      <c r="HF110" s="155">
        <f t="shared" si="46"/>
        <v>0</v>
      </c>
      <c r="HG110" s="156">
        <f t="shared" si="47"/>
        <v>0</v>
      </c>
      <c r="HH110" s="156">
        <f t="shared" si="48"/>
        <v>0</v>
      </c>
      <c r="HI110" s="156">
        <f t="shared" si="49"/>
        <v>0</v>
      </c>
      <c r="HJ110" s="156">
        <f t="shared" si="50"/>
        <v>0</v>
      </c>
      <c r="HK110" s="156">
        <f t="shared" si="51"/>
        <v>0</v>
      </c>
      <c r="HL110" s="156">
        <f t="shared" si="52"/>
        <v>0</v>
      </c>
      <c r="NO110" s="155">
        <f>IF(Tank1!$D$22="No control",(SUMIF(Tank1!$E$32:$E$141,$FG110,Tank1!$H$32:$H$141)*(2000/8760)*IFERROR($QV$3,0)),0)</f>
        <v>0</v>
      </c>
      <c r="NP110" s="156">
        <f>SUMIF(LandEmiss!$AE$20:$AE$119,$FG110,LandEmiss!$AK$20:$AK$119)*(2000/8760)*IFERROR($QV$3,0)</f>
        <v>0</v>
      </c>
      <c r="NQ110" s="156">
        <f>(SUMIF(LandEmiss!$CN$20:$CN$119,$FG110,LandEmiss!$CT$20:$CT$119)+SUMIF(LandEmiss!$EY$9:$EY$108,$FG110,LandEmiss!$FE$9:$FE$108))*IFERROR($QV$3,0)*(2000/8760)</f>
        <v>0</v>
      </c>
      <c r="NR110" s="155">
        <f>IF(Tank2!$D$22="No control",(SUMIF(Tank2!$E$32:$E$141,$FG110,Tank2!$H$32:$H$141)*(2000/8760)*IFERROR($QV$4,0)),0)</f>
        <v>0</v>
      </c>
      <c r="NS110" s="156">
        <f>SUMIF(LandEmiss!$AE$20:$AE$119,$FG110,LandEmiss!$AL$20:$AL$119)*(2000/8760)*IFERROR($QV$4,0)</f>
        <v>0</v>
      </c>
      <c r="NT110" s="156">
        <f>(SUMIF(LandEmiss!$CN$20:$CN$119,$FG110,LandEmiss!$CU$20:$CU$119)+SUMIF(LandEmiss!$EY$9:$EY$108,$FG110,LandEmiss!$FF$9:$FF$108))*IFERROR($QV$4,0)*(2000/8760)</f>
        <v>0</v>
      </c>
      <c r="NU110" s="155">
        <f>IF(Tank3!$D$22="No control",(SUMIF(Tank3!$E$32:$E$141,$FG110,Tank3!$H$32:$H$141)*(2000/8760)*IFERROR($QV$5,0)),0)</f>
        <v>0</v>
      </c>
      <c r="NV110" s="156">
        <f>SUMIF(LandEmiss!$AE$20:$AE$119,$FG110,LandEmiss!$AM$20:$AM$119)*(2000/8760)*IFERROR($QV$5,0)</f>
        <v>0</v>
      </c>
      <c r="NW110" s="156">
        <f>(SUMIF(LandEmiss!$CN$20:$CN$119,$FG110,LandEmiss!$CV$20:$CV$119)+SUMIF(LandEmiss!$EY$9:$EY$108,$FG110,LandEmiss!$FG$9:$FG$108))*IFERROR($QV$5,0)*(2000/8760)</f>
        <v>0</v>
      </c>
      <c r="NX110" s="155">
        <f>IF(Tank4!$D$22="No control",(SUMIF(Tank4!$E$32:$E$141,$FG110,Tank4!$H$32:$H$141)*(2000/8760)*IFERROR($QV$6,0)),0)</f>
        <v>0</v>
      </c>
      <c r="NY110" s="156">
        <f>SUMIF(LandEmiss!$AE$20:$AE$119,$FG110,LandEmiss!$AN$20:$AN$119)*(2000/8760)*IFERROR($QV$6,0)</f>
        <v>0</v>
      </c>
      <c r="NZ110" s="156">
        <f>(SUMIF(LandEmiss!$CN$20:$CN$119,$FG110,LandEmiss!$CW$20:$CW$119)+SUMIF(LandEmiss!$EY$9:$EY$108,$FG110,LandEmiss!$FH$9:$FH$108))*IFERROR($QV$6,0)*(2000/8760)</f>
        <v>0</v>
      </c>
      <c r="OA110" s="155">
        <f>IF(Tank5!$D$22="No control",(SUMIF(Tank5!$E$32:$E$141,$FG110,Tank5!$H$32:$H$141)*(2000/8760)*IFERROR($QV$7,0)),0)</f>
        <v>0</v>
      </c>
      <c r="OB110" s="156">
        <f>SUMIF(LandEmiss!$AE$20:$AE$119,$FG110,LandEmiss!$AO$20:$AO$119)*(2000/8760)*IFERROR($QV$7,0)</f>
        <v>0</v>
      </c>
      <c r="OC110" s="156">
        <f>(SUMIF(LandEmiss!$CN$20:$CN$119,$FG110,LandEmiss!$CX$20:$CX$119)+SUMIF(LandEmiss!$EY$9:$EY$108,$FG110,LandEmiss!$FI$9:$FI$108))*IFERROR($QV$7,0)*(2000/8760)</f>
        <v>0</v>
      </c>
      <c r="OD110" s="155">
        <f>SUMIFS('Load-DrumTote'!$L$27:$L$136,'Load-DrumTote'!$F$27:$F$136,$FG110)*IFERROR($QV$8,0)*(2000/8760)</f>
        <v>0</v>
      </c>
      <c r="OE110" s="155">
        <f>SUMIFS('Load-Truck'!$L$27:$L$136,'Load-Truck'!$F$27:$F$136,$FG110)*IFERROR($QV$9,0)*(2000/8760)</f>
        <v>0</v>
      </c>
      <c r="OF110" s="155">
        <f>SUMIFS('Load-Rail'!$L$27:$L$136,'Load-Rail'!$F$27:$F$136,$FG110)*IFERROR($QV$10,0)*(2000/8760)</f>
        <v>0</v>
      </c>
      <c r="OG110" s="155">
        <f>SUMIFS('Load-MarineBarge'!$L$27:$L$136,'Load-MarineBarge'!$F$27:$F$136,$FG110)*IFERROR($QV$11,0)*(2000/8760)</f>
        <v>0</v>
      </c>
      <c r="OH110" s="155">
        <f>SUMIFS('Load-MarineShip'!$L$27:$L$136,'Load-MarineShip'!$F$27:$F$136,$FG110)*IFERROR($QV$12,0)*(2000/8760)</f>
        <v>0</v>
      </c>
      <c r="OI110" s="155">
        <f>(IF(OR(Flare!$D$24="FUEL GAS",Flare!$D$38="FUEL GAS"),SUMIF(Flare!$E$97:$E$106,$FG110,Flare!$G$97:$G$105),0)+SUMIF(Flare!$E$107:$E$216,$FG110,Flare!$G$107:$G$216))*(2000/8730)*IFERROR($QV$13,0)</f>
        <v>0</v>
      </c>
      <c r="OJ110" s="155">
        <f>SUMIF(LandEmiss!$A$335:$A$434,$FG110,LandEmiss!$C$335:$C$434)*(2000/8760)*IFERROR($QV$13,0)</f>
        <v>0</v>
      </c>
      <c r="OK110" s="155">
        <f>(SUMIF(LandEmiss!$BJ$335:$BJ$434,$FG110,LandEmiss!$BL$335:$BL$434)+SUMIF(LandEmiss!$DU$323:$DU$422,$FG110,LandEmiss!$DW$323:$DW$422))*(2000/8760)*IFERROR($QV$13,0)</f>
        <v>0</v>
      </c>
      <c r="OL110" s="155">
        <f>(IF(OR(VCU!$D$26="FUEL GAS",VCU!$D$42="FUEL GAS"),SUMIF(VCU!$E$120:$E$129,$FG110,VCU!$G$120:$G$129),0)+SUMIF(VCU!$E$130:$E$239,$FG110,VCU!G238:G347))*(2000/8760)*IFERROR($QV$14,0)</f>
        <v>0</v>
      </c>
      <c r="OM110" s="155">
        <f>SUMIF(LandEmiss!$A$335:$A$434,$FG110,LandEmiss!$E$335:$E$434)*(2000/8760)*IFERROR($QV$14,0)</f>
        <v>0</v>
      </c>
      <c r="ON110" s="155">
        <f>(SUMIF(LandEmiss!$BJ$335:$BJ$434,$FG110,LandEmiss!$BN$335:$BN$434)+SUMIF(LandEmiss!$DU$323:$DU$422,$FG110,LandEmiss!$DY$323:$DY$422))*(2000/8760)*IFERROR($QV$14,0)</f>
        <v>0</v>
      </c>
      <c r="OO110" s="155">
        <f>(IF(VaporOxidizer!$D$33="FUEL GAS",SUMIF(VaporOxidizer!$E$101:$E$110,$FG110,VaporOxidizer!$G$101:$G$110),0)+SUMIF(VaporOxidizer!$E$111:$E$220,$FG110,VaporOxidizer!$G$111:$G$220))*(2000/8760)*IFERROR($QV$15,0)</f>
        <v>0</v>
      </c>
      <c r="OP110" s="155">
        <f>SUMIF(LandEmiss!$A$335:$A$434,$FG110,LandEmiss!$G$335:$G$434)*(2000/8760)*IFERROR($QV$15,0)</f>
        <v>0</v>
      </c>
      <c r="OQ110" s="155">
        <f>(SUMIF(LandEmiss!$BJ$335:$BJ$434,$FG110,LandEmiss!$BP$335:$BP$434)+SUMIF(LandEmiss!$DU$323:$DU$422,$FG110,LandEmiss!$EA$323:$EA$422))*(2000/8760)*IFERROR($QV$15,0)</f>
        <v>0</v>
      </c>
      <c r="OR110" s="155">
        <f>SUMIF(CAS!$E$35:$E$144,Hidden!$FG110,CAS!$I$35:$I$144)*IFERROR($QV$16,0)*(2000/8760)</f>
        <v>0</v>
      </c>
      <c r="OS110" s="155">
        <f>SUMIF(LandEmiss!$A$335:$A$434,$FG110,LandEmiss!$I$335:$I$434)*(2000/8760)*IFERROR($QV$27,0)</f>
        <v>0</v>
      </c>
      <c r="OT110" s="155">
        <f>(SUMIF(LandEmiss!$BJ$335:$BJ$434,$FG110,LandEmiss!$BR$335:$BR$434)+SUMIF(LandEmiss!$DU$323:$DU$422,$FG110,LandEmiss!$EC$323:$EC$422))*(2000/8760)*IFERROR($QV$27,0)</f>
        <v>0</v>
      </c>
      <c r="OU110" s="155">
        <f>SUMIF(LandEmiss!$A$335:$A$434,$FG110,LandEmiss!$K$335:$K$434)*(2000/8760)*IFERROR($QV$26,0)</f>
        <v>0</v>
      </c>
      <c r="OV110" s="155">
        <f>(SUMIF(LandEmiss!$BJ$335:$BJ$434,$FG110,LandEmiss!$BT$335:$BT$434)+SUMIF(LandEmiss!$DU$323:$DU$422,$FG110,LandEmiss!$EE$323:$EE$422))*(2000/8760)*IFERROR($QV$26,0)</f>
        <v>0</v>
      </c>
      <c r="OW110" s="155">
        <f>SUMIF(LandEmiss!$A$335:$A$434,$FG110,LandEmiss!$M$335:$M$434)*(2000/8760)*IFERROR($QV$25,0)</f>
        <v>0</v>
      </c>
      <c r="OX110" s="155">
        <f>(SUMIF(LandEmiss!$BJ$335:$BJ$434,$FG110,LandEmiss!$BV$335:$BV$434)+SUMIF(LandEmiss!$DU$323:$DU$422,$FG110,LandEmiss!$EG$323:$EG$422))*(2000/8760)*IFERROR($QV$25,0)</f>
        <v>0</v>
      </c>
      <c r="OY110" s="8">
        <v>0</v>
      </c>
      <c r="OZ110" s="207">
        <v>0</v>
      </c>
      <c r="PA110" s="207">
        <f>IF(OR(HeaterBoiler1!$E$26&lt;&gt;"fuel gas",HeaterBoiler1!$E$15&lt;&gt;"heater"),0,(SUMIF(HeaterBoiler1!$A$54:$D$63,$FG110,HeaterBoiler1!$J$54:$J$63))*(2000/8760))*IFERROR($QV$19,0)</f>
        <v>0</v>
      </c>
      <c r="PB110" s="207">
        <f>IF(OR(HeaterBoiler2!$E$26&lt;&gt;"fuel gas",HeaterBoiler2!$E$15&lt;&gt;"heater"),0,(SUMIF(HeaterBoiler2!$A$54:$D$63,$FG110,HeaterBoiler2!$J$54:$J$63))*(2000/8760))*IFERROR($QV$21,0)</f>
        <v>0</v>
      </c>
      <c r="PC110" s="207">
        <f>IF(OR(HeaterBoiler1!$E$26&lt;&gt;"fuel gas",HeaterBoiler1!$E$15&lt;&gt;"boiler"),0,(SUMIF(HeaterBoiler1!$A$54:$D$63,$FG110,HeaterBoiler1!$J$54:$J$63))*(2000/8760))*IFERROR($QV$20,0)</f>
        <v>0</v>
      </c>
      <c r="PD110" s="207">
        <f>IF(OR(HeaterBoiler2!$E$26&lt;&gt;"fuel gas",HeaterBoiler2!$E$15&lt;&gt;"boiler"),0,(SUMIF(HeaterBoiler2!$A$54:$D$63,$FG110,HeaterBoiler2!$J$54:$J$63))*(2000/8760))*IFERROR($QV$22,0)</f>
        <v>0</v>
      </c>
      <c r="PE110" s="8">
        <f>(SUMIF(Fug!$A$96:$A$205,$FG110,Fug!$J$96:$J$205))*IFERROR($QV$23,0)*(2000/8760)</f>
        <v>0</v>
      </c>
      <c r="PF110" s="8">
        <f t="shared" si="53"/>
        <v>0</v>
      </c>
      <c r="PG110" s="156">
        <f t="shared" si="54"/>
        <v>0</v>
      </c>
      <c r="QX110" s="89" t="s">
        <v>9325</v>
      </c>
      <c r="QY110">
        <v>5.55</v>
      </c>
      <c r="QZ110">
        <v>5.55</v>
      </c>
      <c r="RA110">
        <v>5.55</v>
      </c>
      <c r="RB110">
        <v>5.55</v>
      </c>
      <c r="RC110">
        <v>5.55</v>
      </c>
      <c r="RD110">
        <v>5.55</v>
      </c>
      <c r="RE110">
        <v>5.28</v>
      </c>
      <c r="RF110">
        <v>4.41</v>
      </c>
      <c r="RG110" s="90">
        <v>4.03</v>
      </c>
      <c r="RH110" s="89" t="s">
        <v>9325</v>
      </c>
      <c r="RI110">
        <v>4.42</v>
      </c>
      <c r="RJ110">
        <v>4.42</v>
      </c>
      <c r="RK110">
        <v>4.42</v>
      </c>
      <c r="RL110">
        <v>4.42</v>
      </c>
      <c r="RM110">
        <v>4.42</v>
      </c>
      <c r="RN110">
        <v>4.42</v>
      </c>
      <c r="RO110">
        <v>4.3</v>
      </c>
      <c r="RP110">
        <v>3.95</v>
      </c>
      <c r="RQ110" s="90">
        <v>3.62</v>
      </c>
      <c r="RR110" s="89" t="s">
        <v>9325</v>
      </c>
      <c r="RS110">
        <v>3.78</v>
      </c>
      <c r="RT110">
        <v>3.78</v>
      </c>
      <c r="RU110">
        <v>3.78</v>
      </c>
      <c r="RV110">
        <v>3.78</v>
      </c>
      <c r="RW110">
        <v>3.78</v>
      </c>
      <c r="RX110">
        <v>3.78</v>
      </c>
      <c r="RY110">
        <v>3.78</v>
      </c>
      <c r="RZ110">
        <v>3.78</v>
      </c>
      <c r="SA110" s="90">
        <v>3.51</v>
      </c>
      <c r="SB110" s="89" t="s">
        <v>9325</v>
      </c>
      <c r="SC110">
        <v>3.14</v>
      </c>
      <c r="SD110">
        <v>3.14</v>
      </c>
      <c r="SE110">
        <v>3.14</v>
      </c>
      <c r="SF110">
        <v>3.14</v>
      </c>
      <c r="SG110">
        <v>3.14</v>
      </c>
      <c r="SH110">
        <v>3.14</v>
      </c>
      <c r="SI110">
        <v>3.14</v>
      </c>
      <c r="SJ110">
        <v>3.08</v>
      </c>
      <c r="SK110" s="90">
        <v>2.75</v>
      </c>
      <c r="SL110" s="89" t="s">
        <v>9325</v>
      </c>
      <c r="SM110">
        <v>0.67</v>
      </c>
      <c r="SN110">
        <v>0.67</v>
      </c>
      <c r="SO110">
        <v>0.67</v>
      </c>
      <c r="SP110">
        <v>0.67</v>
      </c>
      <c r="SQ110">
        <v>0.67</v>
      </c>
      <c r="SR110">
        <v>0.67</v>
      </c>
      <c r="SS110">
        <v>0.67</v>
      </c>
      <c r="ST110">
        <v>0.67</v>
      </c>
      <c r="SU110" s="90">
        <v>0.62</v>
      </c>
    </row>
    <row r="111" spans="23:515" ht="74.25" customHeight="1" x14ac:dyDescent="0.2">
      <c r="W111">
        <f>IF(OR(X111=0,ISNUMBER(MATCH(X111,$X$1:X110,0))),0,MAX($W$1:W110)+1)</f>
        <v>0</v>
      </c>
      <c r="X111" s="123">
        <f>Products!$E158</f>
        <v>0</v>
      </c>
      <c r="Y111" t="str">
        <f t="shared" si="55"/>
        <v/>
      </c>
      <c r="CA111">
        <f>IF(OR(CB111=0,ISNUMBER(MATCH(CB111,$CB$1:CB110,0))),0,MAX($CA$1:CA110)+1)</f>
        <v>0</v>
      </c>
      <c r="CB111" s="8">
        <f>IF(OR(Tank1!$D$18="EXTERNAL FLOATING ROOF",Tank1!$D$18="INTERNAL FLOATING ROOF"),IF(Tank1!$E141="",0,Tank1!$E141),0)</f>
        <v>0</v>
      </c>
      <c r="CC111" s="8"/>
      <c r="CD111" s="8"/>
      <c r="CE111" s="8">
        <f>IF(OR(CF111=0,ISNUMBER(MATCH(CF111,$CF$1:CF110,0))),0,MAX($CE$1:CE110)+1)</f>
        <v>0</v>
      </c>
      <c r="CF111" s="8">
        <f>IF(OR(Tank1!$D$18="HORIZONTAL FIXED ROOF",Tank1!$D$18="VERTICAL FIXED ROOF"),IF(Tank1!$E141="",0,Tank1!$E141),0)</f>
        <v>0</v>
      </c>
      <c r="CG111" s="8"/>
      <c r="FB111" s="8" t="s">
        <v>562</v>
      </c>
      <c r="FC111" s="8" t="s">
        <v>563</v>
      </c>
      <c r="FD111" s="8">
        <v>100</v>
      </c>
      <c r="FE111" s="8">
        <v>10</v>
      </c>
      <c r="FG111" s="360" t="str">
        <f t="shared" si="45"/>
        <v/>
      </c>
      <c r="FH111" s="155">
        <f>IF(Tank1!$D$22="NO CONTROL",_xlfn.MAXIFS(Tank1!$G$32:$G$141,Tank1!$E$32:$E$141,$FG111),0)*IFERROR($QR$3,0)</f>
        <v>0</v>
      </c>
      <c r="FI111" s="155">
        <f>_xlfn.MAXIFS(LandEmiss!$AF$20:$AF$119,LandEmiss!$AE$20:$AE$119,$FG111)*IFERROR($QR$3,0)</f>
        <v>0</v>
      </c>
      <c r="FJ111" s="155">
        <f>MAX(_xlfn.MAXIFS(LandEmiss!$CO$20:$CO$119,LandEmiss!$CN$20:$CN$119,$FG111),_xlfn.MAXIFS(LandEmiss!$EZ$9:$EZ$108,LandEmiss!$EY$9:$EY$108,$FG111))*IFERROR($QR$3,0)</f>
        <v>0</v>
      </c>
      <c r="FK111" s="155">
        <f>IF(Tank2!$D$22="NO CONTROL",_xlfn.MAXIFS(Tank2!$G$32:$G$141,Tank2!$E$32:$E$141,$FG111),0)*IFERROR($QR$4,0)</f>
        <v>0</v>
      </c>
      <c r="FL111" s="155">
        <f>_xlfn.MAXIFS(LandEmiss!$AG$20:$AG$119,LandEmiss!$AE$20:$AE$119,$FG111)*IFERROR($QR$4,0)</f>
        <v>0</v>
      </c>
      <c r="FM111" s="155">
        <f>MAX(_xlfn.MAXIFS(LandEmiss!$CP$20:$CP$119,LandEmiss!$CN$20:$CN$119,$FG111),_xlfn.MAXIFS(LandEmiss!$FA$9:$FA$108,LandEmiss!$EY$9:$EY$108,$FG111))*IFERROR($QR$4,0)</f>
        <v>0</v>
      </c>
      <c r="FN111" s="155">
        <f>IF(Tank3!$D$22="NO CONTROL",_xlfn.MAXIFS(Tank3!$G$32:$G$141,Tank3!$E$32:$E$141,$FG111),0)*IFERROR($QR$5,0)</f>
        <v>0</v>
      </c>
      <c r="FO111" s="155">
        <f>_xlfn.MAXIFS(LandEmiss!$AH$20:$AH$119,LandEmiss!$AE$20:$AE$119,$FG111)*IFERROR($QR$5,0)</f>
        <v>0</v>
      </c>
      <c r="FP111" s="155">
        <f>MAX(_xlfn.MAXIFS(LandEmiss!$CQ$20:$CQ$119,LandEmiss!$CN$20:$CN$119,$FG111),_xlfn.MAXIFS(LandEmiss!$FB$9:$FB$108,LandEmiss!$EY$9:$EY$108,$FG111))*IFERROR($QR$5,0)</f>
        <v>0</v>
      </c>
      <c r="FQ111" s="155">
        <f>IF(Tank4!$D$22="NO CONTROL",_xlfn.MAXIFS(Tank4!$G$32:$G$141,Tank4!$E$32:$E$141,$FG111),0)*IFERROR($QR$6,0)</f>
        <v>0</v>
      </c>
      <c r="FR111" s="155">
        <f>_xlfn.MAXIFS(LandEmiss!$AI$20:$AI$119,LandEmiss!$AE$20:$AE$119,$FG111)*IFERROR($QR$6,0)</f>
        <v>0</v>
      </c>
      <c r="FS111" s="155">
        <f>MAX(_xlfn.MAXIFS(LandEmiss!$CR$20:$CR$119,LandEmiss!$CN$20:$CN$119,$FG111),_xlfn.MAXIFS(LandEmiss!$FC$9:$FC$108,LandEmiss!$EY$9:$EY$108,$FG111))*IFERROR($QR$6,0)</f>
        <v>0</v>
      </c>
      <c r="FT111" s="155">
        <f>IF(Tank5!$D$22="NO CONTROL",_xlfn.MAXIFS(Tank5!$G$32:$G$141,Tank5!$E$32:$E$141,$FG111),0)*IFERROR($QR$7,0)</f>
        <v>0</v>
      </c>
      <c r="FU111" s="155">
        <f>_xlfn.MAXIFS(LandEmiss!$AJ$20:$AJ$119,LandEmiss!$AE$20:$AE$119,$FG111)*IFERROR($QR$7,0)</f>
        <v>0</v>
      </c>
      <c r="FV111" s="155">
        <f>MAX(_xlfn.MAXIFS(LandEmiss!$CS$20:$CS$119,LandEmiss!$CN$20:$CN$119,$FG111),_xlfn.MAXIFS(LandEmiss!$FD$9:$FD$108,LandEmiss!$EY$9:$EY$108,$FG111))*IFERROR($QR116,0)</f>
        <v>0</v>
      </c>
      <c r="FW111" s="155">
        <f>_xlfn.MAXIFS('Load-DrumTote'!$K$27:$K$136,'Load-DrumTote'!$F$27:$F$136,$FG111)*IFERROR($QR$8,0)</f>
        <v>0</v>
      </c>
      <c r="FX111" s="155">
        <f>_xlfn.MAXIFS('Load-Truck'!$K$27:$K$136,'Load-Truck'!$F$27:$F$136,$FG111)*IFERROR($QR$9,0)</f>
        <v>0</v>
      </c>
      <c r="FY111" s="155">
        <f>_xlfn.MAXIFS('Load-Rail'!$K$27:$K$136,'Load-Rail'!$F$27:$F$136,$FG111)*IFERROR($QR$10,0)</f>
        <v>0</v>
      </c>
      <c r="FZ111" s="155">
        <f>_xlfn.MAXIFS('Load-MarineBarge'!$K$27:$K$136,'Load-MarineBarge'!$F$27:$F$136,$FG111)*IFERROR($QR$11,0)</f>
        <v>0</v>
      </c>
      <c r="GA111" s="155">
        <f>_xlfn.MAXIFS('Load-MarineShip'!$K$27:$K$136,'Load-MarineShip'!$F$27:$F$136,$FG111)*IFERROR($QR$12,0)</f>
        <v>0</v>
      </c>
      <c r="GB111" s="313">
        <f>IF(OR(Flare!$D$24="fuel gas",Flare!$D$38="fuel gas"),SUMIF(Flare!$E$97:$E$106,$FG111,Flare!$F$97:$F$106),0)*IFERROR($QR$13,0)</f>
        <v>0</v>
      </c>
      <c r="GC111" s="313">
        <f>(_xlfn.MAXIFS(CtrlDevImpacts!$I$57:$I$156,CtrlDevImpacts!$H$57:$H$156,$FG111))*IFERROR($QR$13,0)</f>
        <v>0</v>
      </c>
      <c r="GD111" s="313">
        <f>(_xlfn.MAXIFS(Flare!$F$107:$F$216,Flare!$E$107:$E$216,$FG111)-_xlfn.MAXIFS(CtrlDevImpacts!$I$57:$I$156,CtrlDevImpacts!$H$57:$H$156,$FG111))*IFERROR($QR$13,0)</f>
        <v>0</v>
      </c>
      <c r="GE111" s="155">
        <f>_xlfn.MAXIFS(LandEmiss!$B$335:$B$434,LandEmiss!$A$335:$A$434,$FG111)*IFERROR($QR$13,0)</f>
        <v>0</v>
      </c>
      <c r="GF111" s="155">
        <f>(_xlfn.MAXIFS(LandEmiss!$BK$335:$BK$434,LandEmiss!$BJ$335:$BJ$434,$FG111)+_xlfn.MAXIFS(LandEmiss!$DV$323:$DV$422,LandEmiss!$DU$323:$DU$422,$FG111))*IFERROR($QR$13,0)</f>
        <v>0</v>
      </c>
      <c r="GG111" s="313">
        <f>IF(OR(VCU!$D$26="fuel gas",VCU!$D$42="fuel gas"),SUMIF(VCU!$E$120:$E$129,$FG111,VCU!$F$120:$F$129),0)*IFERROR($QR$14,0)</f>
        <v>0</v>
      </c>
      <c r="GH111" s="313">
        <f>(_xlfn.MAXIFS(CtrlDevImpacts!$X$57:$X$156,CtrlDevImpacts!$W$57:$W$156,$FG111))*IFERROR($QR$14,0)</f>
        <v>0</v>
      </c>
      <c r="GI111" s="313">
        <f>(_xlfn.MAXIFS(VCU!$F$130:$F$239,VCU!$E$130:$E$239,$FG111)-_xlfn.MAXIFS(CtrlDevImpacts!$X$57:$X$156,CtrlDevImpacts!$W$57:$W$156,$FG111))*IFERROR($QR$14,0)</f>
        <v>0</v>
      </c>
      <c r="GJ111" s="155">
        <f>_xlfn.MAXIFS(LandEmiss!$D$335:$D$434,LandEmiss!$A$335:$A$434,$FG111)*IFERROR($QR$14,0)</f>
        <v>0</v>
      </c>
      <c r="GK111" s="155">
        <f>(_xlfn.MAXIFS(LandEmiss!$BM$335:$BM$434,LandEmiss!$BJ$335:$BJ$434,$FG111)+_xlfn.MAXIFS(LandEmiss!$DX$323:$DX$422,LandEmiss!$DU$323:$DU$422,$FG111))*IFERROR($QR$14,0)</f>
        <v>0</v>
      </c>
      <c r="GL111" s="313">
        <f>IF(VaporOxidizer!D142="FUEL GAS",SUMIF(VaporOxidizer!$E$101:$E$110,$FG111,VaporOxidizer!$F$101:$F$110),0)*IFERROR($QR$15,0)</f>
        <v>0</v>
      </c>
      <c r="GM111" s="313">
        <f>(_xlfn.MAXIFS(CtrlDevImpacts!$AN$57:$AN$156,CtrlDevImpacts!$AM$57:$AM$156,$FG111))*IFERROR($QR$15,0)</f>
        <v>0</v>
      </c>
      <c r="GN111" s="313">
        <f>(_xlfn.MAXIFS(VaporOxidizer!$F$111:$F$220,VaporOxidizer!$E$111:$E$220,$FG111)-_xlfn.MAXIFS(CtrlDevImpacts!$AN$57:$AN$156,CtrlDevImpacts!$AM$57:$AM$156,$FG111))*IFERROR($QR$15,0)</f>
        <v>0</v>
      </c>
      <c r="GO111" s="155">
        <f>_xlfn.MAXIFS(LandEmiss!$F$335:$F$434,LandEmiss!$A$335:$A$434,$FG111)*IFERROR($QR$15,0)</f>
        <v>0</v>
      </c>
      <c r="GP111" s="155">
        <f>(_xlfn.MAXIFS(LandEmiss!$BK$335:$BK$434,LandEmiss!$BO$335:$BO$434,$FG111)+_xlfn.MAXIFS(LandEmiss!$DZ$323:$DZ$422,LandEmiss!$DU$323:$DU$422,$FG111))*IFERROR($QR$15,0)</f>
        <v>0</v>
      </c>
      <c r="GQ111" s="313">
        <f>_xlfn.MAXIFS(CtrlDevImpacts!$BD$57:$BD$156,CtrlDevImpacts!$BC$57:$BC$156,$FG111)*IFERROR(Hidden!$QR$16,0)</f>
        <v>0</v>
      </c>
      <c r="GR111" s="313">
        <f>(_xlfn.MAXIFS(CAS!$H$35:$H$144,CAS!$E$35:$E$144,$FG111)-_xlfn.MAXIFS(CtrlDevImpacts!$BD$57:$BD$156,CtrlDevImpacts!$BC$57:$BC$156,$FG111))*IFERROR(Hidden!$QR$16,0)</f>
        <v>0</v>
      </c>
      <c r="GS111" s="155">
        <f>_xlfn.MAXIFS(LandEmiss!$H$335:$H$434,LandEmiss!$A$335:$A$434,$FG111)*IFERROR($QR$27,0)</f>
        <v>0</v>
      </c>
      <c r="GT111" s="155">
        <f>(_xlfn.MAXIFS(LandEmiss!$BK$335:$BK$434,LandEmiss!$BQ$335:$BQ$434,$FG111)+_xlfn.MAXIFS(LandEmiss!$EB$323:$EB$422,LandEmiss!$DU$323:$DU$422,$FG111))*IFERROR($QR$27,0)</f>
        <v>0</v>
      </c>
      <c r="GU111" s="155">
        <f>_xlfn.MAXIFS(LandEmiss!$J$335:$J$434,LandEmiss!$A$335:$A$434,$FG111)*IFERROR($QR$26,0)</f>
        <v>0</v>
      </c>
      <c r="GV111" s="155">
        <f>(_xlfn.MAXIFS(LandEmiss!$BK$335:$BK$434,LandEmiss!$BS$335:$BS$434,$FG111)+_xlfn.MAXIFS(LandEmiss!$ED$323:$ED$422,LandEmiss!$DU$323:$DU$422,$FG111))*IFERROR($QR$26,0)</f>
        <v>0</v>
      </c>
      <c r="GW111" s="155">
        <f>_xlfn.MAXIFS(LandEmiss!$L$335:$L$434,LandEmiss!$A$335:$A$434,$FG111)*IFERROR($QR$25,0)</f>
        <v>0</v>
      </c>
      <c r="GX111" s="155">
        <f>(_xlfn.MAXIFS(LandEmiss!$BK$335:$BK$434,LandEmiss!$BU$335:$BU$434,$FG111)+_xlfn.MAXIFS(LandEmiss!$EF$323:$EF$422,LandEmiss!$DU$323:$DU$422,$FG111))*IFERROR($QR$25,0)</f>
        <v>0</v>
      </c>
      <c r="GY111" s="155">
        <v>0</v>
      </c>
      <c r="GZ111" s="155">
        <v>0</v>
      </c>
      <c r="HA111" s="155">
        <f>IF(OR(HeaterBoiler1!$E$26&lt;&gt;"fuel gas",HeaterBoiler1!$E$15&lt;&gt;"heater"),0,SUMIF(HeaterBoiler1!$A$54:$D$63,$FG111,HeaterBoiler1!$I$54:$I$63))*IFERROR($QR$19,0)</f>
        <v>0</v>
      </c>
      <c r="HB111" s="207">
        <f>IF(OR(HeaterBoiler2!$E$26&lt;&gt;"fuel gas",HeaterBoiler2!$E$15&lt;&gt;"heater"),0,SUMIF(HeaterBoiler2!$A$54:$D$63,$FG111,HeaterBoiler2!$I$54:$I$63))*IFERROR($QR$21,0)</f>
        <v>0</v>
      </c>
      <c r="HC111" s="155">
        <f>IF(OR(HeaterBoiler1!$E$26&lt;&gt;"fuel gas",HeaterBoiler1!$E$15&lt;&gt;"boiler"),0,SUMIF(HeaterBoiler1!$A$41:$A$50,$FG111,HeaterBoiler1!$F$41:$F$50))*IFERROR($QR$20,0)</f>
        <v>0</v>
      </c>
      <c r="HD111" s="207">
        <f>IF(OR(HeaterBoiler2!$E$26&lt;&gt;"fuel gas",HeaterBoiler2!$E$15&lt;&gt;"boiler"),0,SUMIF(HeaterBoiler2!$A$41:$A$50,$FG111,HeaterBoiler2!$F$41:$F$50))*IFERROR($QR$22,0)</f>
        <v>0</v>
      </c>
      <c r="HE111" s="155">
        <f>SUMIF(Fug!$A$96:$A$205,$FG111,Fug!$I$96:$I$205)*IFERROR(Hidden!$QR$23,0)</f>
        <v>0</v>
      </c>
      <c r="HF111" s="155">
        <f t="shared" si="46"/>
        <v>0</v>
      </c>
      <c r="HG111" s="156">
        <f t="shared" si="47"/>
        <v>0</v>
      </c>
      <c r="HH111" s="156">
        <f t="shared" si="48"/>
        <v>0</v>
      </c>
      <c r="HI111" s="156">
        <f t="shared" si="49"/>
        <v>0</v>
      </c>
      <c r="HJ111" s="156">
        <f t="shared" si="50"/>
        <v>0</v>
      </c>
      <c r="HK111" s="156">
        <f t="shared" si="51"/>
        <v>0</v>
      </c>
      <c r="HL111" s="156">
        <f t="shared" si="52"/>
        <v>0</v>
      </c>
      <c r="NO111" s="155">
        <f>IF(Tank1!$D$22="No control",(SUMIF(Tank1!$E$32:$E$141,$FG111,Tank1!$H$32:$H$141)*(2000/8760)*IFERROR($QV$3,0)),0)</f>
        <v>0</v>
      </c>
      <c r="NP111" s="156">
        <f>SUMIF(LandEmiss!$AE$20:$AE$119,$FG111,LandEmiss!$AK$20:$AK$119)*(2000/8760)*IFERROR($QV$3,0)</f>
        <v>0</v>
      </c>
      <c r="NQ111" s="156">
        <f>(SUMIF(LandEmiss!$CN$20:$CN$119,$FG111,LandEmiss!$CT$20:$CT$119)+SUMIF(LandEmiss!$EY$9:$EY$108,$FG111,LandEmiss!$FE$9:$FE$108))*IFERROR($QV$3,0)*(2000/8760)</f>
        <v>0</v>
      </c>
      <c r="NR111" s="155">
        <f>IF(Tank2!$D$22="No control",(SUMIF(Tank2!$E$32:$E$141,$FG111,Tank2!$H$32:$H$141)*(2000/8760)*IFERROR($QV$4,0)),0)</f>
        <v>0</v>
      </c>
      <c r="NS111" s="156">
        <f>SUMIF(LandEmiss!$AE$20:$AE$119,$FG111,LandEmiss!$AL$20:$AL$119)*(2000/8760)*IFERROR($QV$4,0)</f>
        <v>0</v>
      </c>
      <c r="NT111" s="156">
        <f>(SUMIF(LandEmiss!$CN$20:$CN$119,$FG111,LandEmiss!$CU$20:$CU$119)+SUMIF(LandEmiss!$EY$9:$EY$108,$FG111,LandEmiss!$FF$9:$FF$108))*IFERROR($QV$4,0)*(2000/8760)</f>
        <v>0</v>
      </c>
      <c r="NU111" s="155">
        <f>IF(Tank3!$D$22="No control",(SUMIF(Tank3!$E$32:$E$141,$FG111,Tank3!$H$32:$H$141)*(2000/8760)*IFERROR($QV$5,0)),0)</f>
        <v>0</v>
      </c>
      <c r="NV111" s="156">
        <f>SUMIF(LandEmiss!$AE$20:$AE$119,$FG111,LandEmiss!$AM$20:$AM$119)*(2000/8760)*IFERROR($QV$5,0)</f>
        <v>0</v>
      </c>
      <c r="NW111" s="156">
        <f>(SUMIF(LandEmiss!$CN$20:$CN$119,$FG111,LandEmiss!$CV$20:$CV$119)+SUMIF(LandEmiss!$EY$9:$EY$108,$FG111,LandEmiss!$FG$9:$FG$108))*IFERROR($QV$5,0)*(2000/8760)</f>
        <v>0</v>
      </c>
      <c r="NX111" s="155">
        <f>IF(Tank4!$D$22="No control",(SUMIF(Tank4!$E$32:$E$141,$FG111,Tank4!$H$32:$H$141)*(2000/8760)*IFERROR($QV$6,0)),0)</f>
        <v>0</v>
      </c>
      <c r="NY111" s="156">
        <f>SUMIF(LandEmiss!$AE$20:$AE$119,$FG111,LandEmiss!$AN$20:$AN$119)*(2000/8760)*IFERROR($QV$6,0)</f>
        <v>0</v>
      </c>
      <c r="NZ111" s="156">
        <f>(SUMIF(LandEmiss!$CN$20:$CN$119,$FG111,LandEmiss!$CW$20:$CW$119)+SUMIF(LandEmiss!$EY$9:$EY$108,$FG111,LandEmiss!$FH$9:$FH$108))*IFERROR($QV$6,0)*(2000/8760)</f>
        <v>0</v>
      </c>
      <c r="OA111" s="155">
        <f>IF(Tank5!$D$22="No control",(SUMIF(Tank5!$E$32:$E$141,$FG111,Tank5!$H$32:$H$141)*(2000/8760)*IFERROR($QV$7,0)),0)</f>
        <v>0</v>
      </c>
      <c r="OB111" s="156">
        <f>SUMIF(LandEmiss!$AE$20:$AE$119,$FG111,LandEmiss!$AO$20:$AO$119)*(2000/8760)*IFERROR($QV$7,0)</f>
        <v>0</v>
      </c>
      <c r="OC111" s="156">
        <f>(SUMIF(LandEmiss!$CN$20:$CN$119,$FG111,LandEmiss!$CX$20:$CX$119)+SUMIF(LandEmiss!$EY$9:$EY$108,$FG111,LandEmiss!$FI$9:$FI$108))*IFERROR($QV$7,0)*(2000/8760)</f>
        <v>0</v>
      </c>
      <c r="OD111" s="155">
        <f>SUMIFS('Load-DrumTote'!$L$27:$L$136,'Load-DrumTote'!$F$27:$F$136,$FG111)*IFERROR($QV$8,0)*(2000/8760)</f>
        <v>0</v>
      </c>
      <c r="OE111" s="155">
        <f>SUMIFS('Load-Truck'!$L$27:$L$136,'Load-Truck'!$F$27:$F$136,$FG111)*IFERROR($QV$9,0)*(2000/8760)</f>
        <v>0</v>
      </c>
      <c r="OF111" s="155">
        <f>SUMIFS('Load-Rail'!$L$27:$L$136,'Load-Rail'!$F$27:$F$136,$FG111)*IFERROR($QV$10,0)*(2000/8760)</f>
        <v>0</v>
      </c>
      <c r="OG111" s="155">
        <f>SUMIFS('Load-MarineBarge'!$L$27:$L$136,'Load-MarineBarge'!$F$27:$F$136,$FG111)*IFERROR($QV$11,0)*(2000/8760)</f>
        <v>0</v>
      </c>
      <c r="OH111" s="155">
        <f>SUMIFS('Load-MarineShip'!$L$27:$L$136,'Load-MarineShip'!$F$27:$F$136,$FG111)*IFERROR($QV$12,0)*(2000/8760)</f>
        <v>0</v>
      </c>
      <c r="OI111" s="155">
        <f>(IF(OR(Flare!$D$24="FUEL GAS",Flare!$D$38="FUEL GAS"),SUMIF(Flare!$E$97:$E$106,$FG111,Flare!$G$97:$G$105),0)+SUMIF(Flare!$E$107:$E$216,$FG111,Flare!$G$107:$G$216))*(2000/8730)*IFERROR($QV$13,0)</f>
        <v>0</v>
      </c>
      <c r="OJ111" s="155">
        <f>SUMIF(LandEmiss!$A$335:$A$434,$FG111,LandEmiss!$C$335:$C$434)*(2000/8760)*IFERROR($QV$13,0)</f>
        <v>0</v>
      </c>
      <c r="OK111" s="155">
        <f>(SUMIF(LandEmiss!$BJ$335:$BJ$434,$FG111,LandEmiss!$BL$335:$BL$434)+SUMIF(LandEmiss!$DU$323:$DU$422,$FG111,LandEmiss!$DW$323:$DW$422))*(2000/8760)*IFERROR($QV$13,0)</f>
        <v>0</v>
      </c>
      <c r="OL111" s="155">
        <f>(IF(OR(VCU!$D$26="FUEL GAS",VCU!$D$42="FUEL GAS"),SUMIF(VCU!$E$120:$E$129,$FG111,VCU!$G$120:$G$129),0)+SUMIF(VCU!$E$130:$E$239,$FG111,VCU!G239:G348))*(2000/8760)*IFERROR($QV$14,0)</f>
        <v>0</v>
      </c>
      <c r="OM111" s="155">
        <f>SUMIF(LandEmiss!$A$335:$A$434,$FG111,LandEmiss!$E$335:$E$434)*(2000/8760)*IFERROR($QV$14,0)</f>
        <v>0</v>
      </c>
      <c r="ON111" s="155">
        <f>(SUMIF(LandEmiss!$BJ$335:$BJ$434,$FG111,LandEmiss!$BN$335:$BN$434)+SUMIF(LandEmiss!$DU$323:$DU$422,$FG111,LandEmiss!$DY$323:$DY$422))*(2000/8760)*IFERROR($QV$14,0)</f>
        <v>0</v>
      </c>
      <c r="OO111" s="155">
        <f>(IF(VaporOxidizer!$D$33="FUEL GAS",SUMIF(VaporOxidizer!$E$101:$E$110,$FG111,VaporOxidizer!$G$101:$G$110),0)+SUMIF(VaporOxidizer!$E$111:$E$220,$FG111,VaporOxidizer!$G$111:$G$220))*(2000/8760)*IFERROR($QV$15,0)</f>
        <v>0</v>
      </c>
      <c r="OP111" s="155">
        <f>SUMIF(LandEmiss!$A$335:$A$434,$FG111,LandEmiss!$G$335:$G$434)*(2000/8760)*IFERROR($QV$15,0)</f>
        <v>0</v>
      </c>
      <c r="OQ111" s="155">
        <f>(SUMIF(LandEmiss!$BJ$335:$BJ$434,$FG111,LandEmiss!$BP$335:$BP$434)+SUMIF(LandEmiss!$DU$323:$DU$422,$FG111,LandEmiss!$EA$323:$EA$422))*(2000/8760)*IFERROR($QV$15,0)</f>
        <v>0</v>
      </c>
      <c r="OR111" s="155">
        <f>SUMIF(CAS!$E$35:$E$144,Hidden!$FG111,CAS!$I$35:$I$144)*IFERROR($QV$16,0)*(2000/8760)</f>
        <v>0</v>
      </c>
      <c r="OS111" s="155">
        <f>SUMIF(LandEmiss!$A$335:$A$434,$FG111,LandEmiss!$I$335:$I$434)*(2000/8760)*IFERROR($QV$27,0)</f>
        <v>0</v>
      </c>
      <c r="OT111" s="155">
        <f>(SUMIF(LandEmiss!$BJ$335:$BJ$434,$FG111,LandEmiss!$BR$335:$BR$434)+SUMIF(LandEmiss!$DU$323:$DU$422,$FG111,LandEmiss!$EC$323:$EC$422))*(2000/8760)*IFERROR($QV$27,0)</f>
        <v>0</v>
      </c>
      <c r="OU111" s="155">
        <f>SUMIF(LandEmiss!$A$335:$A$434,$FG111,LandEmiss!$K$335:$K$434)*(2000/8760)*IFERROR($QV$26,0)</f>
        <v>0</v>
      </c>
      <c r="OV111" s="155">
        <f>(SUMIF(LandEmiss!$BJ$335:$BJ$434,$FG111,LandEmiss!$BT$335:$BT$434)+SUMIF(LandEmiss!$DU$323:$DU$422,$FG111,LandEmiss!$EE$323:$EE$422))*(2000/8760)*IFERROR($QV$26,0)</f>
        <v>0</v>
      </c>
      <c r="OW111" s="155">
        <f>SUMIF(LandEmiss!$A$335:$A$434,$FG111,LandEmiss!$M$335:$M$434)*(2000/8760)*IFERROR($QV$25,0)</f>
        <v>0</v>
      </c>
      <c r="OX111" s="155">
        <f>(SUMIF(LandEmiss!$BJ$335:$BJ$434,$FG111,LandEmiss!$BV$335:$BV$434)+SUMIF(LandEmiss!$DU$323:$DU$422,$FG111,LandEmiss!$EG$323:$EG$422))*(2000/8760)*IFERROR($QV$25,0)</f>
        <v>0</v>
      </c>
      <c r="OY111" s="8">
        <v>0</v>
      </c>
      <c r="OZ111" s="207">
        <v>0</v>
      </c>
      <c r="PA111" s="207">
        <f>IF(OR(HeaterBoiler1!$E$26&lt;&gt;"fuel gas",HeaterBoiler1!$E$15&lt;&gt;"heater"),0,(SUMIF(HeaterBoiler1!$A$54:$D$63,$FG111,HeaterBoiler1!$J$54:$J$63))*(2000/8760))*IFERROR($QV$19,0)</f>
        <v>0</v>
      </c>
      <c r="PB111" s="207">
        <f>IF(OR(HeaterBoiler2!$E$26&lt;&gt;"fuel gas",HeaterBoiler2!$E$15&lt;&gt;"heater"),0,(SUMIF(HeaterBoiler2!$A$54:$D$63,$FG111,HeaterBoiler2!$J$54:$J$63))*(2000/8760))*IFERROR($QV$21,0)</f>
        <v>0</v>
      </c>
      <c r="PC111" s="207">
        <f>IF(OR(HeaterBoiler1!$E$26&lt;&gt;"fuel gas",HeaterBoiler1!$E$15&lt;&gt;"boiler"),0,(SUMIF(HeaterBoiler1!$A$54:$D$63,$FG111,HeaterBoiler1!$J$54:$J$63))*(2000/8760))*IFERROR($QV$20,0)</f>
        <v>0</v>
      </c>
      <c r="PD111" s="207">
        <f>IF(OR(HeaterBoiler2!$E$26&lt;&gt;"fuel gas",HeaterBoiler2!$E$15&lt;&gt;"boiler"),0,(SUMIF(HeaterBoiler2!$A$54:$D$63,$FG111,HeaterBoiler2!$J$54:$J$63))*(2000/8760))*IFERROR($QV$22,0)</f>
        <v>0</v>
      </c>
      <c r="PE111" s="8">
        <f>(SUMIF(Fug!$A$96:$A$205,$FG111,Fug!$J$96:$J$205))*IFERROR($QV$23,0)*(2000/8760)</f>
        <v>0</v>
      </c>
      <c r="PF111" s="8">
        <f t="shared" si="53"/>
        <v>0</v>
      </c>
      <c r="PG111" s="156">
        <f t="shared" si="54"/>
        <v>0</v>
      </c>
      <c r="QX111" s="89" t="s">
        <v>9326</v>
      </c>
      <c r="QY111">
        <v>246.4</v>
      </c>
      <c r="QZ111">
        <v>246.4</v>
      </c>
      <c r="RA111">
        <v>246.4</v>
      </c>
      <c r="RB111">
        <v>155.1</v>
      </c>
      <c r="RC111">
        <v>112.7</v>
      </c>
      <c r="RD111">
        <v>99.5</v>
      </c>
      <c r="RE111">
        <v>88.71</v>
      </c>
      <c r="RF111">
        <v>63.9</v>
      </c>
      <c r="RG111" s="90">
        <v>49.54</v>
      </c>
      <c r="RH111" s="89" t="s">
        <v>9326</v>
      </c>
      <c r="RI111">
        <v>236.7</v>
      </c>
      <c r="RJ111">
        <v>236.7</v>
      </c>
      <c r="RK111">
        <v>236.7</v>
      </c>
      <c r="RL111">
        <v>154</v>
      </c>
      <c r="RM111">
        <v>99.94</v>
      </c>
      <c r="RN111">
        <v>78.02</v>
      </c>
      <c r="RO111">
        <v>68.83</v>
      </c>
      <c r="RP111">
        <v>54.01</v>
      </c>
      <c r="RQ111" s="90">
        <v>46.53</v>
      </c>
      <c r="RR111" s="89" t="s">
        <v>9326</v>
      </c>
      <c r="RS111">
        <v>223.2</v>
      </c>
      <c r="RT111">
        <v>223.2</v>
      </c>
      <c r="RU111">
        <v>223.2</v>
      </c>
      <c r="RV111">
        <v>141.6</v>
      </c>
      <c r="RW111">
        <v>96.89</v>
      </c>
      <c r="RX111">
        <v>73.53</v>
      </c>
      <c r="RY111">
        <v>62.88</v>
      </c>
      <c r="RZ111">
        <v>44.05</v>
      </c>
      <c r="SA111" s="90">
        <v>37.28</v>
      </c>
      <c r="SB111" s="89" t="s">
        <v>9326</v>
      </c>
      <c r="SC111">
        <v>171.1</v>
      </c>
      <c r="SD111">
        <v>171.1</v>
      </c>
      <c r="SE111">
        <v>171.1</v>
      </c>
      <c r="SF111">
        <v>96.98</v>
      </c>
      <c r="SG111">
        <v>60.13</v>
      </c>
      <c r="SH111">
        <v>44.82</v>
      </c>
      <c r="SI111">
        <v>38.020000000000003</v>
      </c>
      <c r="SJ111">
        <v>25.22</v>
      </c>
      <c r="SK111" s="90">
        <v>18.3</v>
      </c>
      <c r="SL111" s="89" t="s">
        <v>9326</v>
      </c>
      <c r="SM111">
        <v>44.76</v>
      </c>
      <c r="SN111">
        <v>44.76</v>
      </c>
      <c r="SO111">
        <v>44.76</v>
      </c>
      <c r="SP111">
        <v>27.86</v>
      </c>
      <c r="SQ111">
        <v>17.010000000000002</v>
      </c>
      <c r="SR111">
        <v>11.52</v>
      </c>
      <c r="SS111">
        <v>8.67</v>
      </c>
      <c r="ST111">
        <v>4.92</v>
      </c>
      <c r="SU111" s="90">
        <v>3.23</v>
      </c>
    </row>
    <row r="112" spans="23:515" ht="74.25" customHeight="1" x14ac:dyDescent="0.2">
      <c r="X112" s="123"/>
      <c r="CA112">
        <f>IF(OR(CB112=0,ISNUMBER(MATCH(CB112,$CB$1:CB111,0))),0,MAX($CA$1:CA111)+1)</f>
        <v>0</v>
      </c>
      <c r="CB112" s="245">
        <f>IF(OR(Tank2!$D$18="EXTERNAL FLOATING ROOF",Tank2!$D$18="INTERNAL FLOATING ROOF"),IF(Tank2!$E32="",0,Tank2!$E32),0)</f>
        <v>0</v>
      </c>
      <c r="CE112" s="8">
        <f>IF(OR(CF112=0,ISNUMBER(MATCH(CF112,$CF$1:CF111,0))),0,MAX($CE$1:CE111)+1)</f>
        <v>0</v>
      </c>
      <c r="CF112" s="8">
        <f>IF(OR(Tank2!$D$18="HORIZONTAL FIXED ROOF",Tank2!$D$18="VERTICAL FIXED ROOF"),IF(Tank2!$E32="",0,Tank2!$E32),0)</f>
        <v>0</v>
      </c>
      <c r="FB112" s="8" t="s">
        <v>564</v>
      </c>
      <c r="FC112" s="8" t="s">
        <v>565</v>
      </c>
      <c r="FD112" s="8">
        <v>250</v>
      </c>
      <c r="FE112" s="8">
        <v>25</v>
      </c>
      <c r="QX112" s="89" t="s">
        <v>9327</v>
      </c>
      <c r="QY112">
        <v>124.7</v>
      </c>
      <c r="QZ112">
        <v>124.7</v>
      </c>
      <c r="RA112">
        <v>124.7</v>
      </c>
      <c r="RB112">
        <v>113</v>
      </c>
      <c r="RC112">
        <v>91.3</v>
      </c>
      <c r="RD112">
        <v>87.79</v>
      </c>
      <c r="RE112">
        <v>80.19</v>
      </c>
      <c r="RF112">
        <v>58.71</v>
      </c>
      <c r="RG112" s="90">
        <v>46.66</v>
      </c>
      <c r="RH112" s="89" t="s">
        <v>9327</v>
      </c>
      <c r="RI112">
        <v>119.8</v>
      </c>
      <c r="RJ112">
        <v>119.8</v>
      </c>
      <c r="RK112">
        <v>119.8</v>
      </c>
      <c r="RL112">
        <v>109.8</v>
      </c>
      <c r="RM112">
        <v>81.12</v>
      </c>
      <c r="RN112">
        <v>64.8</v>
      </c>
      <c r="RO112">
        <v>59.27</v>
      </c>
      <c r="RP112">
        <v>48.54</v>
      </c>
      <c r="RQ112" s="90">
        <v>42.8</v>
      </c>
      <c r="RR112" s="89" t="s">
        <v>9327</v>
      </c>
      <c r="RS112">
        <v>110.6</v>
      </c>
      <c r="RT112">
        <v>110.6</v>
      </c>
      <c r="RU112">
        <v>110.6</v>
      </c>
      <c r="RV112">
        <v>103.8</v>
      </c>
      <c r="RW112">
        <v>76.67</v>
      </c>
      <c r="RX112">
        <v>60.45</v>
      </c>
      <c r="RY112">
        <v>54.72</v>
      </c>
      <c r="RZ112">
        <v>38.97</v>
      </c>
      <c r="SA112" s="90">
        <v>34.24</v>
      </c>
      <c r="SB112" s="89" t="s">
        <v>9327</v>
      </c>
      <c r="SC112">
        <v>82.13</v>
      </c>
      <c r="SD112">
        <v>82.13</v>
      </c>
      <c r="SE112">
        <v>82.13</v>
      </c>
      <c r="SF112">
        <v>76.739999999999995</v>
      </c>
      <c r="SG112">
        <v>49.49</v>
      </c>
      <c r="SH112">
        <v>38.58</v>
      </c>
      <c r="SI112">
        <v>33.32</v>
      </c>
      <c r="SJ112">
        <v>23.37</v>
      </c>
      <c r="SK112" s="90">
        <v>17.37</v>
      </c>
      <c r="SL112" s="89" t="s">
        <v>9327</v>
      </c>
      <c r="SM112">
        <v>21.5</v>
      </c>
      <c r="SN112">
        <v>21.5</v>
      </c>
      <c r="SO112">
        <v>21.5</v>
      </c>
      <c r="SP112">
        <v>21.14</v>
      </c>
      <c r="SQ112">
        <v>14.5</v>
      </c>
      <c r="SR112">
        <v>10.28</v>
      </c>
      <c r="SS112">
        <v>7.85</v>
      </c>
      <c r="ST112">
        <v>4.6100000000000003</v>
      </c>
      <c r="SU112" s="90">
        <v>3.08</v>
      </c>
    </row>
    <row r="113" spans="24:515" ht="74.25" customHeight="1" x14ac:dyDescent="0.2">
      <c r="X113" s="123"/>
      <c r="CA113">
        <f>IF(OR(CB113=0,ISNUMBER(MATCH(CB113,$CB$1:CB112,0))),0,MAX($CA$1:CA112)+1)</f>
        <v>0</v>
      </c>
      <c r="CB113" s="8">
        <f>IF(OR(Tank2!$D$18="EXTERNAL FLOATING ROOF",Tank2!$D$18="INTERNAL FLOATING ROOF"),IF(Tank2!$E33="",0,Tank2!$E33),0)</f>
        <v>0</v>
      </c>
      <c r="CE113" s="8">
        <f>IF(OR(CF113=0,ISNUMBER(MATCH(CF113,$CF$1:CF112,0))),0,MAX($CE$1:CE112)+1)</f>
        <v>0</v>
      </c>
      <c r="CF113" s="8">
        <f>IF(OR(Tank2!$D$18="HORIZONTAL FIXED ROOF",Tank2!$D$18="VERTICAL FIXED ROOF"),IF(Tank2!$E33="",0,Tank2!$E33),0)</f>
        <v>0</v>
      </c>
      <c r="FB113" s="8" t="s">
        <v>566</v>
      </c>
      <c r="FC113" s="8" t="s">
        <v>567</v>
      </c>
      <c r="FD113" s="8">
        <v>500</v>
      </c>
      <c r="FE113" s="8">
        <v>50</v>
      </c>
      <c r="QX113" s="89" t="s">
        <v>9328</v>
      </c>
      <c r="QY113">
        <v>6149</v>
      </c>
      <c r="QZ113">
        <v>3728.1</v>
      </c>
      <c r="RA113">
        <v>2086.5</v>
      </c>
      <c r="RB113">
        <v>1047</v>
      </c>
      <c r="RC113">
        <v>633.70000000000005</v>
      </c>
      <c r="RD113">
        <v>435.9</v>
      </c>
      <c r="RE113">
        <v>329.6</v>
      </c>
      <c r="RF113">
        <v>190.9</v>
      </c>
      <c r="RG113" s="90">
        <v>130.5</v>
      </c>
      <c r="RH113" s="89" t="s">
        <v>9328</v>
      </c>
      <c r="RI113">
        <v>2107.8000000000002</v>
      </c>
      <c r="RJ113">
        <v>2107.8000000000002</v>
      </c>
      <c r="RK113">
        <v>1896.2</v>
      </c>
      <c r="RL113">
        <v>960</v>
      </c>
      <c r="RM113">
        <v>577.5</v>
      </c>
      <c r="RN113">
        <v>394</v>
      </c>
      <c r="RO113">
        <v>291.10000000000002</v>
      </c>
      <c r="RP113">
        <v>166.1</v>
      </c>
      <c r="RQ113" s="90">
        <v>114.6</v>
      </c>
      <c r="RR113" s="89" t="s">
        <v>9328</v>
      </c>
      <c r="RS113">
        <v>1665.6</v>
      </c>
      <c r="RT113">
        <v>1665.6</v>
      </c>
      <c r="RU113">
        <v>1567.8</v>
      </c>
      <c r="RV113">
        <v>755.5</v>
      </c>
      <c r="RW113">
        <v>437.2</v>
      </c>
      <c r="RX113">
        <v>290.60000000000002</v>
      </c>
      <c r="RY113">
        <v>209.9</v>
      </c>
      <c r="RZ113">
        <v>115</v>
      </c>
      <c r="SA113" s="90">
        <v>75.67</v>
      </c>
      <c r="SB113" s="89" t="s">
        <v>9328</v>
      </c>
      <c r="SC113">
        <v>728.9</v>
      </c>
      <c r="SD113">
        <v>728.9</v>
      </c>
      <c r="SE113">
        <v>728.9</v>
      </c>
      <c r="SF113">
        <v>345</v>
      </c>
      <c r="SG113">
        <v>198.6</v>
      </c>
      <c r="SH113">
        <v>132</v>
      </c>
      <c r="SI113">
        <v>95.44</v>
      </c>
      <c r="SJ113">
        <v>52.64</v>
      </c>
      <c r="SK113" s="90">
        <v>34.4</v>
      </c>
      <c r="SL113" s="89" t="s">
        <v>9328</v>
      </c>
      <c r="SM113">
        <v>190.6</v>
      </c>
      <c r="SN113">
        <v>190.6</v>
      </c>
      <c r="SO113">
        <v>168.2</v>
      </c>
      <c r="SP113">
        <v>63.81</v>
      </c>
      <c r="SQ113">
        <v>32.56</v>
      </c>
      <c r="SR113">
        <v>19.850000000000001</v>
      </c>
      <c r="SS113">
        <v>13.93</v>
      </c>
      <c r="ST113">
        <v>6.88</v>
      </c>
      <c r="SU113" s="90">
        <v>4.17</v>
      </c>
    </row>
    <row r="114" spans="24:515" ht="74.25" customHeight="1" x14ac:dyDescent="0.2">
      <c r="X114" s="123"/>
      <c r="CA114">
        <f>IF(OR(CB114=0,ISNUMBER(MATCH(CB114,$CB$1:CB113,0))),0,MAX($CA$1:CA113)+1)</f>
        <v>0</v>
      </c>
      <c r="CB114" s="8">
        <f>IF(OR(Tank2!$D$18="EXTERNAL FLOATING ROOF",Tank2!$D$18="INTERNAL FLOATING ROOF"),IF(Tank2!$E34="",0,Tank2!$E34),0)</f>
        <v>0</v>
      </c>
      <c r="CE114" s="8">
        <f>IF(OR(CF114=0,ISNUMBER(MATCH(CF114,$CF$1:CF113,0))),0,MAX($CE$1:CE113)+1)</f>
        <v>0</v>
      </c>
      <c r="CF114" s="8">
        <f>IF(OR(Tank2!$D$18="HORIZONTAL FIXED ROOF",Tank2!$D$18="VERTICAL FIXED ROOF"),IF(Tank2!$E34="",0,Tank2!$E34),0)</f>
        <v>0</v>
      </c>
      <c r="FB114" s="8" t="s">
        <v>568</v>
      </c>
      <c r="FC114" s="8" t="s">
        <v>569</v>
      </c>
      <c r="FD114" s="8">
        <v>10000</v>
      </c>
      <c r="FE114" s="8">
        <v>1000</v>
      </c>
      <c r="QX114" s="89" t="s">
        <v>9329</v>
      </c>
      <c r="QY114">
        <v>4003.7</v>
      </c>
      <c r="QZ114">
        <v>2912</v>
      </c>
      <c r="RA114">
        <v>1485.4</v>
      </c>
      <c r="RB114">
        <v>878.7</v>
      </c>
      <c r="RC114">
        <v>560</v>
      </c>
      <c r="RD114">
        <v>393</v>
      </c>
      <c r="RE114">
        <v>301.3</v>
      </c>
      <c r="RF114">
        <v>177.2</v>
      </c>
      <c r="RG114" s="90">
        <v>121.8</v>
      </c>
      <c r="RH114" s="89" t="s">
        <v>9329</v>
      </c>
      <c r="RI114">
        <v>1336.4</v>
      </c>
      <c r="RJ114">
        <v>1300.9000000000001</v>
      </c>
      <c r="RK114">
        <v>1300.9000000000001</v>
      </c>
      <c r="RL114">
        <v>813</v>
      </c>
      <c r="RM114">
        <v>514.5</v>
      </c>
      <c r="RN114">
        <v>358.6</v>
      </c>
      <c r="RO114">
        <v>267.89999999999998</v>
      </c>
      <c r="RP114">
        <v>155.1</v>
      </c>
      <c r="RQ114" s="90">
        <v>107.4</v>
      </c>
      <c r="RR114" s="89" t="s">
        <v>9329</v>
      </c>
      <c r="RS114">
        <v>1090</v>
      </c>
      <c r="RT114">
        <v>1090</v>
      </c>
      <c r="RU114">
        <v>1090</v>
      </c>
      <c r="RV114">
        <v>650.9</v>
      </c>
      <c r="RW114">
        <v>396.6</v>
      </c>
      <c r="RX114">
        <v>269.5</v>
      </c>
      <c r="RY114">
        <v>197</v>
      </c>
      <c r="RZ114">
        <v>109.6</v>
      </c>
      <c r="SA114" s="90">
        <v>71.59</v>
      </c>
      <c r="SB114" s="89" t="s">
        <v>9329</v>
      </c>
      <c r="SC114">
        <v>510.8</v>
      </c>
      <c r="SD114">
        <v>510.8</v>
      </c>
      <c r="SE114">
        <v>510.8</v>
      </c>
      <c r="SF114">
        <v>297.2</v>
      </c>
      <c r="SG114">
        <v>179.6</v>
      </c>
      <c r="SH114">
        <v>121.7</v>
      </c>
      <c r="SI114">
        <v>88.96</v>
      </c>
      <c r="SJ114">
        <v>49.69</v>
      </c>
      <c r="SK114" s="90">
        <v>32.659999999999997</v>
      </c>
      <c r="SL114" s="89" t="s">
        <v>9329</v>
      </c>
      <c r="SM114">
        <v>128.5</v>
      </c>
      <c r="SN114">
        <v>128.5</v>
      </c>
      <c r="SO114">
        <v>128.5</v>
      </c>
      <c r="SP114">
        <v>58.65</v>
      </c>
      <c r="SQ114">
        <v>31.13</v>
      </c>
      <c r="SR114">
        <v>19.27</v>
      </c>
      <c r="SS114">
        <v>13.61</v>
      </c>
      <c r="ST114">
        <v>6.79</v>
      </c>
      <c r="SU114" s="90">
        <v>4.13</v>
      </c>
    </row>
    <row r="115" spans="24:515" ht="74.25" customHeight="1" x14ac:dyDescent="0.2">
      <c r="X115" s="123"/>
      <c r="CA115">
        <f>IF(OR(CB115=0,ISNUMBER(MATCH(CB115,$CB$1:CB114,0))),0,MAX($CA$1:CA114)+1)</f>
        <v>0</v>
      </c>
      <c r="CB115" s="8">
        <f>IF(OR(Tank2!$D$18="EXTERNAL FLOATING ROOF",Tank2!$D$18="INTERNAL FLOATING ROOF"),IF(Tank2!$E35="",0,Tank2!$E35),0)</f>
        <v>0</v>
      </c>
      <c r="CE115" s="8">
        <f>IF(OR(CF115=0,ISNUMBER(MATCH(CF115,$CF$1:CF114,0))),0,MAX($CE$1:CE114)+1)</f>
        <v>0</v>
      </c>
      <c r="CF115" s="8">
        <f>IF(OR(Tank2!$D$18="HORIZONTAL FIXED ROOF",Tank2!$D$18="VERTICAL FIXED ROOF"),IF(Tank2!$E35="",0,Tank2!$E35),0)</f>
        <v>0</v>
      </c>
      <c r="FB115" s="8" t="s">
        <v>570</v>
      </c>
      <c r="FC115" s="8" t="s">
        <v>571</v>
      </c>
      <c r="FD115" s="8">
        <v>3500</v>
      </c>
      <c r="FE115" s="8">
        <v>350</v>
      </c>
      <c r="QX115" s="89" t="s">
        <v>9293</v>
      </c>
      <c r="QY115">
        <v>20673.3</v>
      </c>
      <c r="QZ115">
        <v>11135.2</v>
      </c>
      <c r="RA115">
        <v>4368</v>
      </c>
      <c r="RB115">
        <v>1624.4</v>
      </c>
      <c r="RC115">
        <v>914.7</v>
      </c>
      <c r="RD115">
        <v>608.79999999999995</v>
      </c>
      <c r="RE115">
        <v>450</v>
      </c>
      <c r="RF115">
        <v>255.1</v>
      </c>
      <c r="RG115" s="90">
        <v>172.7</v>
      </c>
      <c r="RH115" s="89" t="s">
        <v>9293</v>
      </c>
      <c r="RI115">
        <v>17396.5</v>
      </c>
      <c r="RJ115">
        <v>9899.7000000000007</v>
      </c>
      <c r="RK115">
        <v>3906.4</v>
      </c>
      <c r="RL115">
        <v>1444.7</v>
      </c>
      <c r="RM115">
        <v>805.2</v>
      </c>
      <c r="RN115">
        <v>531.1</v>
      </c>
      <c r="RO115">
        <v>384.6</v>
      </c>
      <c r="RP115">
        <v>213.9</v>
      </c>
      <c r="RQ115" s="90">
        <v>148.19999999999999</v>
      </c>
      <c r="RR115" s="89" t="s">
        <v>9293</v>
      </c>
      <c r="RS115">
        <v>14452.7</v>
      </c>
      <c r="RT115">
        <v>8053.4</v>
      </c>
      <c r="RU115">
        <v>3028.5</v>
      </c>
      <c r="RV115">
        <v>1049.9000000000001</v>
      </c>
      <c r="RW115">
        <v>564.79999999999995</v>
      </c>
      <c r="RX115">
        <v>365.4</v>
      </c>
      <c r="RY115">
        <v>260.5</v>
      </c>
      <c r="RZ115">
        <v>141.30000000000001</v>
      </c>
      <c r="SA115" s="90">
        <v>93.67</v>
      </c>
      <c r="SB115" s="89" t="s">
        <v>9293</v>
      </c>
      <c r="SC115">
        <v>6741.7</v>
      </c>
      <c r="SD115">
        <v>3789.1</v>
      </c>
      <c r="SE115">
        <v>1412.8</v>
      </c>
      <c r="SF115">
        <v>489.5</v>
      </c>
      <c r="SG115">
        <v>262</v>
      </c>
      <c r="SH115">
        <v>168.8</v>
      </c>
      <c r="SI115">
        <v>120</v>
      </c>
      <c r="SJ115">
        <v>64.75</v>
      </c>
      <c r="SK115" s="90">
        <v>41.84</v>
      </c>
      <c r="SL115" s="89" t="s">
        <v>9293</v>
      </c>
      <c r="SM115">
        <v>1628.2</v>
      </c>
      <c r="SN115">
        <v>808.6</v>
      </c>
      <c r="SO115">
        <v>256.89999999999998</v>
      </c>
      <c r="SP115">
        <v>73.22</v>
      </c>
      <c r="SQ115">
        <v>35.17</v>
      </c>
      <c r="SR115">
        <v>21.08</v>
      </c>
      <c r="SS115">
        <v>14.52</v>
      </c>
      <c r="ST115">
        <v>7.05</v>
      </c>
      <c r="SU115" s="90">
        <v>4.25</v>
      </c>
    </row>
    <row r="116" spans="24:515" ht="74.25" customHeight="1" x14ac:dyDescent="0.2">
      <c r="X116" s="123"/>
      <c r="CA116">
        <f>IF(OR(CB116=0,ISNUMBER(MATCH(CB116,$CB$1:CB115,0))),0,MAX($CA$1:CA115)+1)</f>
        <v>0</v>
      </c>
      <c r="CB116" s="8">
        <f>IF(OR(Tank2!$D$18="EXTERNAL FLOATING ROOF",Tank2!$D$18="INTERNAL FLOATING ROOF"),IF(Tank2!$E36="",0,Tank2!$E36),0)</f>
        <v>0</v>
      </c>
      <c r="CE116" s="8">
        <f>IF(OR(CF116=0,ISNUMBER(MATCH(CF116,$CF$1:CF115,0))),0,MAX($CE$1:CE115)+1)</f>
        <v>0</v>
      </c>
      <c r="CF116" s="8">
        <f>IF(OR(Tank2!$D$18="HORIZONTAL FIXED ROOF",Tank2!$D$18="VERTICAL FIXED ROOF"),IF(Tank2!$E36="",0,Tank2!$E36),0)</f>
        <v>0</v>
      </c>
      <c r="FB116" s="8" t="s">
        <v>572</v>
      </c>
      <c r="FC116" s="8" t="s">
        <v>573</v>
      </c>
      <c r="FD116" s="8">
        <v>70</v>
      </c>
      <c r="FE116" s="8">
        <v>7</v>
      </c>
      <c r="QX116" s="89" t="s">
        <v>9330</v>
      </c>
      <c r="QY116">
        <v>42.54</v>
      </c>
      <c r="QZ116">
        <v>42.54</v>
      </c>
      <c r="RA116">
        <v>42.54</v>
      </c>
      <c r="RB116">
        <v>39.89</v>
      </c>
      <c r="RC116">
        <v>27.03</v>
      </c>
      <c r="RD116">
        <v>19.809999999999999</v>
      </c>
      <c r="RE116">
        <v>15.41</v>
      </c>
      <c r="RF116">
        <v>9.59</v>
      </c>
      <c r="RG116" s="90">
        <v>6.77</v>
      </c>
      <c r="RH116" s="89" t="s">
        <v>9330</v>
      </c>
      <c r="RI116">
        <v>40.909999999999997</v>
      </c>
      <c r="RJ116">
        <v>40.909999999999997</v>
      </c>
      <c r="RK116">
        <v>40.909999999999997</v>
      </c>
      <c r="RL116">
        <v>39.28</v>
      </c>
      <c r="RM116">
        <v>26.57</v>
      </c>
      <c r="RN116">
        <v>19.510000000000002</v>
      </c>
      <c r="RO116">
        <v>15.27</v>
      </c>
      <c r="RP116">
        <v>9.44</v>
      </c>
      <c r="RQ116" s="90">
        <v>6.66</v>
      </c>
      <c r="RR116" s="89" t="s">
        <v>9330</v>
      </c>
      <c r="RS116">
        <v>37.270000000000003</v>
      </c>
      <c r="RT116">
        <v>37.270000000000003</v>
      </c>
      <c r="RU116">
        <v>37.270000000000003</v>
      </c>
      <c r="RV116">
        <v>37.270000000000003</v>
      </c>
      <c r="RW116">
        <v>25.24</v>
      </c>
      <c r="RX116">
        <v>18.77</v>
      </c>
      <c r="RY116">
        <v>14.55</v>
      </c>
      <c r="RZ116">
        <v>8.91</v>
      </c>
      <c r="SA116" s="90">
        <v>6.23</v>
      </c>
      <c r="SB116" s="89" t="s">
        <v>9330</v>
      </c>
      <c r="SC116">
        <v>28.39</v>
      </c>
      <c r="SD116">
        <v>28.39</v>
      </c>
      <c r="SE116">
        <v>28.39</v>
      </c>
      <c r="SF116">
        <v>28.39</v>
      </c>
      <c r="SG116">
        <v>20.82</v>
      </c>
      <c r="SH116">
        <v>14.53</v>
      </c>
      <c r="SI116">
        <v>11.28</v>
      </c>
      <c r="SJ116">
        <v>6.44</v>
      </c>
      <c r="SK116" s="90">
        <v>4.42</v>
      </c>
      <c r="SL116" s="89" t="s">
        <v>9330</v>
      </c>
      <c r="SM116">
        <v>2.9</v>
      </c>
      <c r="SN116">
        <v>2.9</v>
      </c>
      <c r="SO116">
        <v>2.9</v>
      </c>
      <c r="SP116">
        <v>2.9</v>
      </c>
      <c r="SQ116">
        <v>2.89</v>
      </c>
      <c r="SR116">
        <v>2.5099999999999998</v>
      </c>
      <c r="SS116">
        <v>2.12</v>
      </c>
      <c r="ST116">
        <v>1.35</v>
      </c>
      <c r="SU116" s="90">
        <v>0.94</v>
      </c>
    </row>
    <row r="117" spans="24:515" ht="74.25" customHeight="1" x14ac:dyDescent="0.2">
      <c r="X117" s="123"/>
      <c r="CA117">
        <f>IF(OR(CB117=0,ISNUMBER(MATCH(CB117,$CB$1:CB116,0))),0,MAX($CA$1:CA116)+1)</f>
        <v>0</v>
      </c>
      <c r="CB117" s="8">
        <f>IF(OR(Tank2!$D$18="EXTERNAL FLOATING ROOF",Tank2!$D$18="INTERNAL FLOATING ROOF"),IF(Tank2!$E37="",0,Tank2!$E37),0)</f>
        <v>0</v>
      </c>
      <c r="CE117" s="8">
        <f>IF(OR(CF117=0,ISNUMBER(MATCH(CF117,$CF$1:CF116,0))),0,MAX($CE$1:CE116)+1)</f>
        <v>0</v>
      </c>
      <c r="CF117" s="8">
        <f>IF(OR(Tank2!$D$18="HORIZONTAL FIXED ROOF",Tank2!$D$18="VERTICAL FIXED ROOF"),IF(Tank2!$E37="",0,Tank2!$E37),0)</f>
        <v>0</v>
      </c>
      <c r="FB117" s="8" t="s">
        <v>574</v>
      </c>
      <c r="FC117" s="8" t="s">
        <v>575</v>
      </c>
      <c r="FD117" s="8">
        <v>3500</v>
      </c>
      <c r="FE117" s="8">
        <v>350</v>
      </c>
      <c r="QX117" s="89" t="s">
        <v>9331</v>
      </c>
      <c r="QY117">
        <v>13.55</v>
      </c>
      <c r="QZ117">
        <v>13.55</v>
      </c>
      <c r="RA117">
        <v>13.55</v>
      </c>
      <c r="RB117">
        <v>13.55</v>
      </c>
      <c r="RC117">
        <v>13.55</v>
      </c>
      <c r="RD117">
        <v>12.73</v>
      </c>
      <c r="RE117">
        <v>11.2</v>
      </c>
      <c r="RF117">
        <v>8.01</v>
      </c>
      <c r="RG117" s="90">
        <v>6.1</v>
      </c>
      <c r="RH117" s="89" t="s">
        <v>9331</v>
      </c>
      <c r="RI117">
        <v>13.31</v>
      </c>
      <c r="RJ117">
        <v>13.31</v>
      </c>
      <c r="RK117">
        <v>13.31</v>
      </c>
      <c r="RL117">
        <v>13.31</v>
      </c>
      <c r="RM117">
        <v>13.31</v>
      </c>
      <c r="RN117">
        <v>12.35</v>
      </c>
      <c r="RO117">
        <v>10.95</v>
      </c>
      <c r="RP117">
        <v>7.92</v>
      </c>
      <c r="RQ117" s="90">
        <v>5.99</v>
      </c>
      <c r="RR117" s="89" t="s">
        <v>9331</v>
      </c>
      <c r="RS117">
        <v>12.49</v>
      </c>
      <c r="RT117">
        <v>12.49</v>
      </c>
      <c r="RU117">
        <v>12.49</v>
      </c>
      <c r="RV117">
        <v>12.49</v>
      </c>
      <c r="RW117">
        <v>12.49</v>
      </c>
      <c r="RX117">
        <v>11.79</v>
      </c>
      <c r="RY117">
        <v>10.59</v>
      </c>
      <c r="RZ117">
        <v>7.5</v>
      </c>
      <c r="SA117" s="90">
        <v>5.61</v>
      </c>
      <c r="SB117" s="89" t="s">
        <v>9331</v>
      </c>
      <c r="SC117">
        <v>10.18</v>
      </c>
      <c r="SD117">
        <v>10.18</v>
      </c>
      <c r="SE117">
        <v>10.18</v>
      </c>
      <c r="SF117">
        <v>10.18</v>
      </c>
      <c r="SG117">
        <v>10.18</v>
      </c>
      <c r="SH117">
        <v>9.9499999999999993</v>
      </c>
      <c r="SI117">
        <v>8.3000000000000007</v>
      </c>
      <c r="SJ117">
        <v>5.66</v>
      </c>
      <c r="SK117" s="90">
        <v>4.2</v>
      </c>
      <c r="SL117" s="89" t="s">
        <v>9331</v>
      </c>
      <c r="SM117">
        <v>1.64</v>
      </c>
      <c r="SN117">
        <v>1.64</v>
      </c>
      <c r="SO117">
        <v>1.64</v>
      </c>
      <c r="SP117">
        <v>1.64</v>
      </c>
      <c r="SQ117">
        <v>1.64</v>
      </c>
      <c r="SR117">
        <v>1.64</v>
      </c>
      <c r="SS117">
        <v>1.61</v>
      </c>
      <c r="ST117">
        <v>1.22</v>
      </c>
      <c r="SU117" s="90">
        <v>0.92</v>
      </c>
    </row>
    <row r="118" spans="24:515" ht="74.25" customHeight="1" x14ac:dyDescent="0.2">
      <c r="X118" s="123"/>
      <c r="CA118">
        <f>IF(OR(CB118=0,ISNUMBER(MATCH(CB118,$CB$1:CB117,0))),0,MAX($CA$1:CA117)+1)</f>
        <v>0</v>
      </c>
      <c r="CB118" s="8">
        <f>IF(OR(Tank2!$D$18="EXTERNAL FLOATING ROOF",Tank2!$D$18="INTERNAL FLOATING ROOF"),IF(Tank2!$E38="",0,Tank2!$E38),0)</f>
        <v>0</v>
      </c>
      <c r="CE118" s="8">
        <f>IF(OR(CF118=0,ISNUMBER(MATCH(CF118,$CF$1:CF117,0))),0,MAX($CE$1:CE117)+1)</f>
        <v>0</v>
      </c>
      <c r="CF118" s="8">
        <f>IF(OR(Tank2!$D$18="HORIZONTAL FIXED ROOF",Tank2!$D$18="VERTICAL FIXED ROOF"),IF(Tank2!$E38="",0,Tank2!$E38),0)</f>
        <v>0</v>
      </c>
      <c r="FB118" s="8" t="s">
        <v>576</v>
      </c>
      <c r="FC118" s="8" t="s">
        <v>577</v>
      </c>
      <c r="FD118" s="8">
        <v>2</v>
      </c>
      <c r="FE118" s="8">
        <v>0.2</v>
      </c>
      <c r="QX118" s="89" t="s">
        <v>9332</v>
      </c>
      <c r="QY118">
        <v>61.89</v>
      </c>
      <c r="QZ118">
        <v>61.89</v>
      </c>
      <c r="RA118">
        <v>61.89</v>
      </c>
      <c r="RB118">
        <v>44.67</v>
      </c>
      <c r="RC118">
        <v>28.83</v>
      </c>
      <c r="RD118">
        <v>20.63</v>
      </c>
      <c r="RE118">
        <v>16.11</v>
      </c>
      <c r="RF118">
        <v>10.01</v>
      </c>
      <c r="RG118" s="90">
        <v>7.08</v>
      </c>
      <c r="RH118" s="89" t="s">
        <v>9332</v>
      </c>
      <c r="RI118">
        <v>53.8</v>
      </c>
      <c r="RJ118">
        <v>53.8</v>
      </c>
      <c r="RK118">
        <v>53.8</v>
      </c>
      <c r="RL118">
        <v>43.79</v>
      </c>
      <c r="RM118">
        <v>28.56</v>
      </c>
      <c r="RN118">
        <v>20.52</v>
      </c>
      <c r="RO118">
        <v>15.95</v>
      </c>
      <c r="RP118">
        <v>9.93</v>
      </c>
      <c r="RQ118" s="90">
        <v>7.03</v>
      </c>
      <c r="RR118" s="89" t="s">
        <v>9332</v>
      </c>
      <c r="RS118">
        <v>44.04</v>
      </c>
      <c r="RT118">
        <v>44.04</v>
      </c>
      <c r="RU118">
        <v>44.04</v>
      </c>
      <c r="RV118">
        <v>42.17</v>
      </c>
      <c r="RW118">
        <v>27.36</v>
      </c>
      <c r="RX118">
        <v>20.010000000000002</v>
      </c>
      <c r="RY118">
        <v>15.3</v>
      </c>
      <c r="RZ118">
        <v>9.32</v>
      </c>
      <c r="SA118" s="90">
        <v>6.58</v>
      </c>
      <c r="SB118" s="89" t="s">
        <v>9332</v>
      </c>
      <c r="SC118">
        <v>32.65</v>
      </c>
      <c r="SD118">
        <v>32.65</v>
      </c>
      <c r="SE118">
        <v>32.65</v>
      </c>
      <c r="SF118">
        <v>32.65</v>
      </c>
      <c r="SG118">
        <v>22.04</v>
      </c>
      <c r="SH118">
        <v>15.24</v>
      </c>
      <c r="SI118">
        <v>11.77</v>
      </c>
      <c r="SJ118">
        <v>6.67</v>
      </c>
      <c r="SK118" s="90">
        <v>4.8899999999999997</v>
      </c>
      <c r="SL118" s="89" t="s">
        <v>9332</v>
      </c>
      <c r="SM118">
        <v>3.28</v>
      </c>
      <c r="SN118">
        <v>3.28</v>
      </c>
      <c r="SO118">
        <v>3.28</v>
      </c>
      <c r="SP118">
        <v>3.26</v>
      </c>
      <c r="SQ118">
        <v>3.23</v>
      </c>
      <c r="SR118">
        <v>2.71</v>
      </c>
      <c r="SS118">
        <v>2.2400000000000002</v>
      </c>
      <c r="ST118">
        <v>1.4</v>
      </c>
      <c r="SU118" s="90">
        <v>0.98</v>
      </c>
    </row>
    <row r="119" spans="24:515" ht="74.25" customHeight="1" x14ac:dyDescent="0.2">
      <c r="X119" s="123"/>
      <c r="CA119">
        <f>IF(OR(CB119=0,ISNUMBER(MATCH(CB119,$CB$1:CB118,0))),0,MAX($CA$1:CA118)+1)</f>
        <v>0</v>
      </c>
      <c r="CB119" s="8">
        <f>IF(OR(Tank2!$D$18="EXTERNAL FLOATING ROOF",Tank2!$D$18="INTERNAL FLOATING ROOF"),IF(Tank2!$E39="",0,Tank2!$E39),0)</f>
        <v>0</v>
      </c>
      <c r="CE119" s="8">
        <f>IF(OR(CF119=0,ISNUMBER(MATCH(CF119,$CF$1:CF118,0))),0,MAX($CE$1:CE118)+1)</f>
        <v>0</v>
      </c>
      <c r="CF119" s="8">
        <f>IF(OR(Tank2!$D$18="HORIZONTAL FIXED ROOF",Tank2!$D$18="VERTICAL FIXED ROOF"),IF(Tank2!$E39="",0,Tank2!$E39),0)</f>
        <v>0</v>
      </c>
      <c r="FB119" s="8" t="s">
        <v>578</v>
      </c>
      <c r="FC119" s="8" t="s">
        <v>579</v>
      </c>
      <c r="FD119" s="8">
        <v>100</v>
      </c>
      <c r="FE119" s="8">
        <v>10</v>
      </c>
      <c r="QX119" s="89" t="s">
        <v>9333</v>
      </c>
      <c r="QY119">
        <v>23.98</v>
      </c>
      <c r="QZ119">
        <v>23.98</v>
      </c>
      <c r="RA119">
        <v>23.98</v>
      </c>
      <c r="RB119">
        <v>23.98</v>
      </c>
      <c r="RC119">
        <v>19.89</v>
      </c>
      <c r="RD119">
        <v>15.77</v>
      </c>
      <c r="RE119">
        <v>12.84</v>
      </c>
      <c r="RF119">
        <v>8.43</v>
      </c>
      <c r="RG119" s="90">
        <v>6.2</v>
      </c>
      <c r="RH119" s="89" t="s">
        <v>9333</v>
      </c>
      <c r="RI119">
        <v>22.84</v>
      </c>
      <c r="RJ119">
        <v>22.84</v>
      </c>
      <c r="RK119">
        <v>22.84</v>
      </c>
      <c r="RL119">
        <v>22.84</v>
      </c>
      <c r="RM119">
        <v>19.55</v>
      </c>
      <c r="RN119">
        <v>15.61</v>
      </c>
      <c r="RO119">
        <v>12.74</v>
      </c>
      <c r="RP119">
        <v>8.3699999999999992</v>
      </c>
      <c r="RQ119" s="90">
        <v>6.12</v>
      </c>
      <c r="RR119" s="89" t="s">
        <v>9333</v>
      </c>
      <c r="RS119">
        <v>20.29</v>
      </c>
      <c r="RT119">
        <v>20.29</v>
      </c>
      <c r="RU119">
        <v>20.29</v>
      </c>
      <c r="RV119">
        <v>20.29</v>
      </c>
      <c r="RW119">
        <v>18.48</v>
      </c>
      <c r="RX119">
        <v>15</v>
      </c>
      <c r="RY119">
        <v>12.34</v>
      </c>
      <c r="RZ119">
        <v>8.0500000000000007</v>
      </c>
      <c r="SA119" s="90">
        <v>5.76</v>
      </c>
      <c r="SB119" s="89" t="s">
        <v>9333</v>
      </c>
      <c r="SC119">
        <v>15.34</v>
      </c>
      <c r="SD119">
        <v>15.34</v>
      </c>
      <c r="SE119">
        <v>15.34</v>
      </c>
      <c r="SF119">
        <v>15.34</v>
      </c>
      <c r="SG119">
        <v>15.34</v>
      </c>
      <c r="SH119">
        <v>12.21</v>
      </c>
      <c r="SI119">
        <v>9.4600000000000009</v>
      </c>
      <c r="SJ119">
        <v>5.96</v>
      </c>
      <c r="SK119" s="90">
        <v>4.28</v>
      </c>
      <c r="SL119" s="89" t="s">
        <v>9333</v>
      </c>
      <c r="SM119">
        <v>1.96</v>
      </c>
      <c r="SN119">
        <v>1.96</v>
      </c>
      <c r="SO119">
        <v>1.96</v>
      </c>
      <c r="SP119">
        <v>1.96</v>
      </c>
      <c r="SQ119">
        <v>1.96</v>
      </c>
      <c r="SR119">
        <v>1.91</v>
      </c>
      <c r="SS119">
        <v>1.76</v>
      </c>
      <c r="ST119">
        <v>1.22</v>
      </c>
      <c r="SU119" s="90">
        <v>0.89</v>
      </c>
    </row>
    <row r="120" spans="24:515" ht="74.25" customHeight="1" x14ac:dyDescent="0.2">
      <c r="X120" s="123"/>
      <c r="CA120">
        <f>IF(OR(CB120=0,ISNUMBER(MATCH(CB120,$CB$1:CB119,0))),0,MAX($CA$1:CA119)+1)</f>
        <v>0</v>
      </c>
      <c r="CB120" s="8">
        <f>IF(OR(Tank2!$D$18="EXTERNAL FLOATING ROOF",Tank2!$D$18="INTERNAL FLOATING ROOF"),IF(Tank2!$E40="",0,Tank2!$E40),0)</f>
        <v>0</v>
      </c>
      <c r="CE120" s="8">
        <f>IF(OR(CF120=0,ISNUMBER(MATCH(CF120,$CF$1:CF119,0))),0,MAX($CE$1:CE119)+1)</f>
        <v>0</v>
      </c>
      <c r="CF120" s="8">
        <f>IF(OR(Tank2!$D$18="HORIZONTAL FIXED ROOF",Tank2!$D$18="VERTICAL FIXED ROOF"),IF(Tank2!$E40="",0,Tank2!$E40),0)</f>
        <v>0</v>
      </c>
      <c r="FB120" s="8" t="s">
        <v>580</v>
      </c>
      <c r="FC120" s="8" t="s">
        <v>581</v>
      </c>
      <c r="FD120" s="8">
        <v>42</v>
      </c>
      <c r="FE120" s="8">
        <v>4.2</v>
      </c>
      <c r="QX120" s="89" t="s">
        <v>9334</v>
      </c>
      <c r="QY120">
        <v>1836.8</v>
      </c>
      <c r="QZ120">
        <v>1836.8</v>
      </c>
      <c r="RA120">
        <v>1836.8</v>
      </c>
      <c r="RB120">
        <v>1836.8</v>
      </c>
      <c r="RC120">
        <v>1836.8</v>
      </c>
      <c r="RD120">
        <v>1836.8</v>
      </c>
      <c r="RE120">
        <v>1836.8</v>
      </c>
      <c r="RF120">
        <v>1836.8</v>
      </c>
      <c r="RG120">
        <v>1836.8</v>
      </c>
      <c r="RH120" s="89" t="s">
        <v>9334</v>
      </c>
      <c r="RQ120" s="90"/>
      <c r="RR120" s="89" t="s">
        <v>9334</v>
      </c>
      <c r="SA120" s="90"/>
      <c r="SB120" s="89" t="s">
        <v>9334</v>
      </c>
      <c r="SK120" s="90"/>
      <c r="SL120" s="89" t="s">
        <v>9334</v>
      </c>
      <c r="SM120">
        <v>136.80000000000001</v>
      </c>
      <c r="SN120">
        <v>136.80000000000001</v>
      </c>
      <c r="SO120">
        <v>136.80000000000001</v>
      </c>
      <c r="SP120">
        <v>136.80000000000001</v>
      </c>
      <c r="SQ120">
        <v>136.80000000000001</v>
      </c>
      <c r="SR120">
        <v>136.80000000000001</v>
      </c>
      <c r="SS120">
        <v>136.80000000000001</v>
      </c>
      <c r="ST120">
        <v>136.80000000000001</v>
      </c>
      <c r="SU120">
        <v>136.80000000000001</v>
      </c>
    </row>
    <row r="121" spans="24:515" ht="74.25" customHeight="1" x14ac:dyDescent="0.2">
      <c r="X121" s="123"/>
      <c r="CA121">
        <f>IF(OR(CB121=0,ISNUMBER(MATCH(CB121,$CB$1:CB120,0))),0,MAX($CA$1:CA120)+1)</f>
        <v>0</v>
      </c>
      <c r="CB121" s="8">
        <f>IF(OR(Tank2!$D$18="EXTERNAL FLOATING ROOF",Tank2!$D$18="INTERNAL FLOATING ROOF"),IF(Tank2!$E41="",0,Tank2!$E41),0)</f>
        <v>0</v>
      </c>
      <c r="CE121" s="8">
        <f>IF(OR(CF121=0,ISNUMBER(MATCH(CF121,$CF$1:CF120,0))),0,MAX($CE$1:CE120)+1)</f>
        <v>0</v>
      </c>
      <c r="CF121" s="8">
        <f>IF(OR(Tank2!$D$18="HORIZONTAL FIXED ROOF",Tank2!$D$18="VERTICAL FIXED ROOF"),IF(Tank2!$E41="",0,Tank2!$E41),0)</f>
        <v>0</v>
      </c>
      <c r="FB121" s="8" t="s">
        <v>582</v>
      </c>
      <c r="FC121" s="8" t="s">
        <v>583</v>
      </c>
      <c r="FD121" s="8">
        <v>3400</v>
      </c>
      <c r="FE121" s="8">
        <v>340</v>
      </c>
      <c r="QX121" s="89" t="s">
        <v>9335</v>
      </c>
      <c r="QY121">
        <v>1212.0999999999999</v>
      </c>
      <c r="QZ121">
        <v>1212.0999999999999</v>
      </c>
      <c r="RA121">
        <v>1212.0999999999999</v>
      </c>
      <c r="RB121">
        <v>1212.0999999999999</v>
      </c>
      <c r="RC121">
        <v>1212.0999999999999</v>
      </c>
      <c r="RD121">
        <v>1212.0999999999999</v>
      </c>
      <c r="RE121">
        <v>1212.0999999999999</v>
      </c>
      <c r="RF121">
        <v>1212.0999999999999</v>
      </c>
      <c r="RG121">
        <v>1212.0999999999999</v>
      </c>
      <c r="RH121" s="89" t="s">
        <v>9335</v>
      </c>
      <c r="RQ121" s="90"/>
      <c r="RR121" s="89" t="s">
        <v>9335</v>
      </c>
      <c r="SA121" s="90"/>
      <c r="SB121" s="89" t="s">
        <v>9335</v>
      </c>
      <c r="SK121" s="90"/>
      <c r="SL121" s="89" t="s">
        <v>9335</v>
      </c>
      <c r="SM121">
        <v>53.62</v>
      </c>
      <c r="SN121">
        <v>53.62</v>
      </c>
      <c r="SO121">
        <v>53.62</v>
      </c>
      <c r="SP121">
        <v>53.62</v>
      </c>
      <c r="SQ121">
        <v>53.62</v>
      </c>
      <c r="SR121">
        <v>53.62</v>
      </c>
      <c r="SS121">
        <v>53.62</v>
      </c>
      <c r="ST121">
        <v>53.62</v>
      </c>
      <c r="SU121">
        <v>53.62</v>
      </c>
    </row>
    <row r="122" spans="24:515" ht="74.25" customHeight="1" x14ac:dyDescent="0.2">
      <c r="X122" s="123"/>
      <c r="CA122">
        <f>IF(OR(CB122=0,ISNUMBER(MATCH(CB122,$CB$1:CB121,0))),0,MAX($CA$1:CA121)+1)</f>
        <v>0</v>
      </c>
      <c r="CB122" s="8">
        <f>IF(OR(Tank2!$D$18="EXTERNAL FLOATING ROOF",Tank2!$D$18="INTERNAL FLOATING ROOF"),IF(Tank2!$E42="",0,Tank2!$E42),0)</f>
        <v>0</v>
      </c>
      <c r="CE122" s="8">
        <f>IF(OR(CF122=0,ISNUMBER(MATCH(CF122,$CF$1:CF121,0))),0,MAX($CE$1:CE121)+1)</f>
        <v>0</v>
      </c>
      <c r="CF122" s="8">
        <f>IF(OR(Tank2!$D$18="HORIZONTAL FIXED ROOF",Tank2!$D$18="VERTICAL FIXED ROOF"),IF(Tank2!$E42="",0,Tank2!$E42),0)</f>
        <v>0</v>
      </c>
      <c r="FB122" s="8" t="s">
        <v>584</v>
      </c>
      <c r="FC122" s="8" t="s">
        <v>585</v>
      </c>
      <c r="FD122" s="8">
        <v>5</v>
      </c>
      <c r="FE122" s="8">
        <v>0.5</v>
      </c>
      <c r="QX122" s="89" t="s">
        <v>9336</v>
      </c>
      <c r="QY122">
        <v>872.2</v>
      </c>
      <c r="QZ122">
        <v>872.2</v>
      </c>
      <c r="RA122">
        <v>872.2</v>
      </c>
      <c r="RB122">
        <v>872.2</v>
      </c>
      <c r="RC122">
        <v>872.2</v>
      </c>
      <c r="RD122">
        <v>872.2</v>
      </c>
      <c r="RE122">
        <v>872.2</v>
      </c>
      <c r="RF122">
        <v>872.2</v>
      </c>
      <c r="RG122">
        <v>872.2</v>
      </c>
      <c r="RH122" s="89" t="s">
        <v>9336</v>
      </c>
      <c r="RQ122" s="90"/>
      <c r="RR122" s="89" t="s">
        <v>9336</v>
      </c>
      <c r="SA122" s="90"/>
      <c r="SB122" s="89" t="s">
        <v>9336</v>
      </c>
      <c r="SK122" s="90"/>
      <c r="SL122" s="89" t="s">
        <v>9336</v>
      </c>
      <c r="SM122">
        <v>25.97</v>
      </c>
      <c r="SN122">
        <v>25.97</v>
      </c>
      <c r="SO122">
        <v>25.97</v>
      </c>
      <c r="SP122">
        <v>25.97</v>
      </c>
      <c r="SQ122">
        <v>25.97</v>
      </c>
      <c r="SR122">
        <v>25.97</v>
      </c>
      <c r="SS122">
        <v>25.97</v>
      </c>
      <c r="ST122">
        <v>25.97</v>
      </c>
      <c r="SU122">
        <v>25.97</v>
      </c>
    </row>
    <row r="123" spans="24:515" ht="74.25" customHeight="1" x14ac:dyDescent="0.2">
      <c r="X123" s="123"/>
      <c r="CA123">
        <f>IF(OR(CB123=0,ISNUMBER(MATCH(CB123,$CB$1:CB122,0))),0,MAX($CA$1:CA122)+1)</f>
        <v>0</v>
      </c>
      <c r="CB123" s="8">
        <f>IF(OR(Tank2!$D$18="EXTERNAL FLOATING ROOF",Tank2!$D$18="INTERNAL FLOATING ROOF"),IF(Tank2!$E43="",0,Tank2!$E43),0)</f>
        <v>0</v>
      </c>
      <c r="CE123" s="8">
        <f>IF(OR(CF123=0,ISNUMBER(MATCH(CF123,$CF$1:CF122,0))),0,MAX($CE$1:CE122)+1)</f>
        <v>0</v>
      </c>
      <c r="CF123" s="8">
        <f>IF(OR(Tank2!$D$18="HORIZONTAL FIXED ROOF",Tank2!$D$18="VERTICAL FIXED ROOF"),IF(Tank2!$E43="",0,Tank2!$E43),0)</f>
        <v>0</v>
      </c>
      <c r="FB123" s="8" t="s">
        <v>586</v>
      </c>
      <c r="FC123" s="8" t="s">
        <v>587</v>
      </c>
      <c r="FD123" s="8">
        <v>100</v>
      </c>
      <c r="FE123" s="8">
        <v>10</v>
      </c>
      <c r="QX123" s="89" t="s">
        <v>9337</v>
      </c>
      <c r="QY123">
        <v>476.9</v>
      </c>
      <c r="QZ123">
        <v>476.9</v>
      </c>
      <c r="RA123">
        <v>476.9</v>
      </c>
      <c r="RB123">
        <v>476.9</v>
      </c>
      <c r="RC123">
        <v>476.9</v>
      </c>
      <c r="RD123">
        <v>476.9</v>
      </c>
      <c r="RE123">
        <v>476.9</v>
      </c>
      <c r="RF123">
        <v>476.9</v>
      </c>
      <c r="RG123">
        <v>476.9</v>
      </c>
      <c r="RH123" s="89" t="s">
        <v>9337</v>
      </c>
      <c r="RQ123" s="90"/>
      <c r="RR123" s="89" t="s">
        <v>9337</v>
      </c>
      <c r="SA123" s="90"/>
      <c r="SB123" s="89" t="s">
        <v>9337</v>
      </c>
      <c r="SK123" s="90"/>
      <c r="SL123" s="89" t="s">
        <v>9337</v>
      </c>
      <c r="SM123">
        <v>8.9</v>
      </c>
      <c r="SN123">
        <v>8.9</v>
      </c>
      <c r="SO123">
        <v>8.9</v>
      </c>
      <c r="SP123">
        <v>8.9</v>
      </c>
      <c r="SQ123">
        <v>8.9</v>
      </c>
      <c r="SR123">
        <v>8.9</v>
      </c>
      <c r="SS123">
        <v>8.9</v>
      </c>
      <c r="ST123">
        <v>8.9</v>
      </c>
      <c r="SU123">
        <v>8.9</v>
      </c>
    </row>
    <row r="124" spans="24:515" ht="74.25" customHeight="1" x14ac:dyDescent="0.2">
      <c r="X124" s="123"/>
      <c r="CA124">
        <f>IF(OR(CB124=0,ISNUMBER(MATCH(CB124,$CB$1:CB123,0))),0,MAX($CA$1:CA123)+1)</f>
        <v>0</v>
      </c>
      <c r="CB124" s="8">
        <f>IF(OR(Tank2!$D$18="EXTERNAL FLOATING ROOF",Tank2!$D$18="INTERNAL FLOATING ROOF"),IF(Tank2!$E44="",0,Tank2!$E44),0)</f>
        <v>0</v>
      </c>
      <c r="CE124" s="8">
        <f>IF(OR(CF124=0,ISNUMBER(MATCH(CF124,$CF$1:CF123,0))),0,MAX($CE$1:CE123)+1)</f>
        <v>0</v>
      </c>
      <c r="CF124" s="8">
        <f>IF(OR(Tank2!$D$18="HORIZONTAL FIXED ROOF",Tank2!$D$18="VERTICAL FIXED ROOF"),IF(Tank2!$E44="",0,Tank2!$E44),0)</f>
        <v>0</v>
      </c>
      <c r="FB124" s="8" t="s">
        <v>588</v>
      </c>
      <c r="FC124" s="8" t="s">
        <v>589</v>
      </c>
      <c r="FD124" s="8">
        <v>3400</v>
      </c>
      <c r="FE124" s="8">
        <v>340</v>
      </c>
      <c r="QX124" s="89" t="s">
        <v>9338</v>
      </c>
      <c r="QY124">
        <v>252.8</v>
      </c>
      <c r="QZ124">
        <v>252.8</v>
      </c>
      <c r="RA124">
        <v>252.8</v>
      </c>
      <c r="RB124">
        <v>252.8</v>
      </c>
      <c r="RC124">
        <v>252.8</v>
      </c>
      <c r="RD124">
        <v>252.8</v>
      </c>
      <c r="RE124">
        <v>252.8</v>
      </c>
      <c r="RF124">
        <v>252.8</v>
      </c>
      <c r="RG124">
        <v>252.8</v>
      </c>
      <c r="RH124" s="89" t="s">
        <v>9338</v>
      </c>
      <c r="RQ124" s="90"/>
      <c r="RR124" s="89" t="s">
        <v>9338</v>
      </c>
      <c r="SA124" s="90"/>
      <c r="SB124" s="89" t="s">
        <v>9338</v>
      </c>
      <c r="SK124" s="90"/>
      <c r="SL124" s="89" t="s">
        <v>9338</v>
      </c>
      <c r="SM124">
        <v>3.99</v>
      </c>
      <c r="SN124">
        <v>3.99</v>
      </c>
      <c r="SO124">
        <v>3.99</v>
      </c>
      <c r="SP124">
        <v>3.99</v>
      </c>
      <c r="SQ124">
        <v>3.99</v>
      </c>
      <c r="SR124">
        <v>3.99</v>
      </c>
      <c r="SS124">
        <v>3.99</v>
      </c>
      <c r="ST124">
        <v>3.99</v>
      </c>
      <c r="SU124">
        <v>3.99</v>
      </c>
    </row>
    <row r="125" spans="24:515" ht="74.25" customHeight="1" thickBot="1" x14ac:dyDescent="0.25">
      <c r="X125" s="123"/>
      <c r="CA125">
        <f>IF(OR(CB125=0,ISNUMBER(MATCH(CB125,$CB$1:CB124,0))),0,MAX($CA$1:CA124)+1)</f>
        <v>0</v>
      </c>
      <c r="CB125" s="8">
        <f>IF(OR(Tank2!$D$18="EXTERNAL FLOATING ROOF",Tank2!$D$18="INTERNAL FLOATING ROOF"),IF(Tank2!$E45="",0,Tank2!$E45),0)</f>
        <v>0</v>
      </c>
      <c r="CE125" s="8">
        <f>IF(OR(CF125=0,ISNUMBER(MATCH(CF125,$CF$1:CF124,0))),0,MAX($CE$1:CE124)+1)</f>
        <v>0</v>
      </c>
      <c r="CF125" s="8">
        <f>IF(OR(Tank2!$D$18="HORIZONTAL FIXED ROOF",Tank2!$D$18="VERTICAL FIXED ROOF"),IF(Tank2!$E45="",0,Tank2!$E45),0)</f>
        <v>0</v>
      </c>
      <c r="FB125" s="8" t="s">
        <v>590</v>
      </c>
      <c r="FC125" s="8" t="s">
        <v>591</v>
      </c>
      <c r="FD125" s="8">
        <v>20</v>
      </c>
      <c r="FE125" s="8">
        <v>2</v>
      </c>
      <c r="QX125" s="91" t="s">
        <v>9339</v>
      </c>
      <c r="QY125" s="92">
        <v>159.1</v>
      </c>
      <c r="QZ125" s="92">
        <v>159.1</v>
      </c>
      <c r="RA125" s="92">
        <v>159.1</v>
      </c>
      <c r="RB125" s="92">
        <v>159.1</v>
      </c>
      <c r="RC125" s="92">
        <v>159.1</v>
      </c>
      <c r="RD125" s="92">
        <v>159.1</v>
      </c>
      <c r="RE125" s="92">
        <v>159.1</v>
      </c>
      <c r="RF125" s="92">
        <v>159.1</v>
      </c>
      <c r="RG125" s="92">
        <v>159.1</v>
      </c>
      <c r="RH125" s="91" t="s">
        <v>9339</v>
      </c>
      <c r="RI125" s="92"/>
      <c r="RJ125" s="92"/>
      <c r="RK125" s="92"/>
      <c r="RL125" s="92"/>
      <c r="RM125" s="92"/>
      <c r="RN125" s="92"/>
      <c r="RO125" s="92"/>
      <c r="RP125" s="92"/>
      <c r="RQ125" s="50"/>
      <c r="RR125" s="91" t="s">
        <v>9339</v>
      </c>
      <c r="RS125" s="92"/>
      <c r="RT125" s="92"/>
      <c r="RU125" s="92"/>
      <c r="RV125" s="92"/>
      <c r="RW125" s="92"/>
      <c r="RX125" s="92"/>
      <c r="RY125" s="92"/>
      <c r="RZ125" s="92"/>
      <c r="SA125" s="50"/>
      <c r="SB125" s="91" t="s">
        <v>9339</v>
      </c>
      <c r="SC125" s="92"/>
      <c r="SD125" s="92"/>
      <c r="SE125" s="92"/>
      <c r="SF125" s="92"/>
      <c r="SG125" s="92"/>
      <c r="SH125" s="92"/>
      <c r="SI125" s="92"/>
      <c r="SJ125" s="92"/>
      <c r="SK125" s="50"/>
      <c r="SL125" s="91" t="s">
        <v>9339</v>
      </c>
      <c r="SM125" s="92">
        <v>2.17</v>
      </c>
      <c r="SN125" s="92">
        <v>2.17</v>
      </c>
      <c r="SO125" s="92">
        <v>2.17</v>
      </c>
      <c r="SP125" s="92">
        <v>2.17</v>
      </c>
      <c r="SQ125" s="92">
        <v>2.17</v>
      </c>
      <c r="SR125" s="92">
        <v>2.17</v>
      </c>
      <c r="SS125" s="92">
        <v>2.17</v>
      </c>
      <c r="ST125" s="92">
        <v>2.17</v>
      </c>
      <c r="SU125" s="92">
        <v>2.17</v>
      </c>
    </row>
    <row r="126" spans="24:515" ht="74.25" customHeight="1" x14ac:dyDescent="0.2">
      <c r="X126" s="123"/>
      <c r="CA126">
        <f>IF(OR(CB126=0,ISNUMBER(MATCH(CB126,$CB$1:CB125,0))),0,MAX($CA$1:CA125)+1)</f>
        <v>0</v>
      </c>
      <c r="CB126" s="8">
        <f>IF(OR(Tank2!$D$18="EXTERNAL FLOATING ROOF",Tank2!$D$18="INTERNAL FLOATING ROOF"),IF(Tank2!$E46="",0,Tank2!$E46),0)</f>
        <v>0</v>
      </c>
      <c r="CE126" s="8">
        <f>IF(OR(CF126=0,ISNUMBER(MATCH(CF126,$CF$1:CF125,0))),0,MAX($CE$1:CE125)+1)</f>
        <v>0</v>
      </c>
      <c r="CF126" s="8">
        <f>IF(OR(Tank2!$D$18="HORIZONTAL FIXED ROOF",Tank2!$D$18="VERTICAL FIXED ROOF"),IF(Tank2!$E46="",0,Tank2!$E46),0)</f>
        <v>0</v>
      </c>
      <c r="FB126" s="8" t="s">
        <v>592</v>
      </c>
      <c r="FC126" s="8" t="s">
        <v>593</v>
      </c>
      <c r="FD126" s="8">
        <v>100</v>
      </c>
      <c r="FE126" s="8">
        <v>10</v>
      </c>
    </row>
    <row r="127" spans="24:515" ht="74.25" customHeight="1" x14ac:dyDescent="0.2">
      <c r="X127" s="123"/>
      <c r="CA127">
        <f>IF(OR(CB127=0,ISNUMBER(MATCH(CB127,$CB$1:CB126,0))),0,MAX($CA$1:CA126)+1)</f>
        <v>0</v>
      </c>
      <c r="CB127" s="8">
        <f>IF(OR(Tank2!$D$18="EXTERNAL FLOATING ROOF",Tank2!$D$18="INTERNAL FLOATING ROOF"),IF(Tank2!$E47="",0,Tank2!$E47),0)</f>
        <v>0</v>
      </c>
      <c r="CE127" s="8">
        <f>IF(OR(CF127=0,ISNUMBER(MATCH(CF127,$CF$1:CF126,0))),0,MAX($CE$1:CE126)+1)</f>
        <v>0</v>
      </c>
      <c r="CF127" s="8">
        <f>IF(OR(Tank2!$D$18="HORIZONTAL FIXED ROOF",Tank2!$D$18="VERTICAL FIXED ROOF"),IF(Tank2!$E47="",0,Tank2!$E47),0)</f>
        <v>0</v>
      </c>
      <c r="FB127" s="8" t="s">
        <v>594</v>
      </c>
      <c r="FC127" s="8" t="s">
        <v>595</v>
      </c>
      <c r="FD127" s="8">
        <v>70000</v>
      </c>
      <c r="FE127" s="8">
        <v>7000</v>
      </c>
    </row>
    <row r="128" spans="24:515" ht="74.25" customHeight="1" x14ac:dyDescent="0.2">
      <c r="CA128">
        <f>IF(OR(CB128=0,ISNUMBER(MATCH(CB128,$CB$1:CB127,0))),0,MAX($CA$1:CA127)+1)</f>
        <v>0</v>
      </c>
      <c r="CB128" s="8">
        <f>IF(OR(Tank2!$D$18="EXTERNAL FLOATING ROOF",Tank2!$D$18="INTERNAL FLOATING ROOF"),IF(Tank2!$E48="",0,Tank2!$E48),0)</f>
        <v>0</v>
      </c>
      <c r="CE128" s="8">
        <f>IF(OR(CF128=0,ISNUMBER(MATCH(CF128,$CF$1:CF127,0))),0,MAX($CE$1:CE127)+1)</f>
        <v>0</v>
      </c>
      <c r="CF128" s="8">
        <f>IF(OR(Tank2!$D$18="HORIZONTAL FIXED ROOF",Tank2!$D$18="VERTICAL FIXED ROOF"),IF(Tank2!$E48="",0,Tank2!$E48),0)</f>
        <v>0</v>
      </c>
      <c r="FB128" s="8" t="s">
        <v>596</v>
      </c>
      <c r="FC128" s="8" t="s">
        <v>597</v>
      </c>
      <c r="FD128" s="8">
        <v>10000</v>
      </c>
      <c r="FE128" s="8">
        <v>1000</v>
      </c>
    </row>
    <row r="129" spans="79:161" ht="74.25" customHeight="1" x14ac:dyDescent="0.2">
      <c r="CA129">
        <f>IF(OR(CB129=0,ISNUMBER(MATCH(CB129,$CB$1:CB128,0))),0,MAX($CA$1:CA128)+1)</f>
        <v>0</v>
      </c>
      <c r="CB129" s="8">
        <f>IF(OR(Tank2!$D$18="EXTERNAL FLOATING ROOF",Tank2!$D$18="INTERNAL FLOATING ROOF"),IF(Tank2!$E49="",0,Tank2!$E49),0)</f>
        <v>0</v>
      </c>
      <c r="CE129" s="8">
        <f>IF(OR(CF129=0,ISNUMBER(MATCH(CF129,$CF$1:CF128,0))),0,MAX($CE$1:CE128)+1)</f>
        <v>0</v>
      </c>
      <c r="CF129" s="8">
        <f>IF(OR(Tank2!$D$18="HORIZONTAL FIXED ROOF",Tank2!$D$18="VERTICAL FIXED ROOF"),IF(Tank2!$E49="",0,Tank2!$E49),0)</f>
        <v>0</v>
      </c>
      <c r="FB129" s="8" t="s">
        <v>598</v>
      </c>
      <c r="FC129" s="8" t="s">
        <v>599</v>
      </c>
      <c r="FD129" s="8">
        <v>120</v>
      </c>
      <c r="FE129" s="8">
        <v>12</v>
      </c>
    </row>
    <row r="130" spans="79:161" ht="74.25" customHeight="1" x14ac:dyDescent="0.2">
      <c r="CA130">
        <f>IF(OR(CB130=0,ISNUMBER(MATCH(CB130,$CB$1:CB129,0))),0,MAX($CA$1:CA129)+1)</f>
        <v>0</v>
      </c>
      <c r="CB130" s="8">
        <f>IF(OR(Tank2!$D$18="EXTERNAL FLOATING ROOF",Tank2!$D$18="INTERNAL FLOATING ROOF"),IF(Tank2!$E50="",0,Tank2!$E50),0)</f>
        <v>0</v>
      </c>
      <c r="CE130" s="8">
        <f>IF(OR(CF130=0,ISNUMBER(MATCH(CF130,$CF$1:CF129,0))),0,MAX($CE$1:CE129)+1)</f>
        <v>0</v>
      </c>
      <c r="CF130" s="8">
        <f>IF(OR(Tank2!$D$18="HORIZONTAL FIXED ROOF",Tank2!$D$18="VERTICAL FIXED ROOF"),IF(Tank2!$E50="",0,Tank2!$E50),0)</f>
        <v>0</v>
      </c>
      <c r="FB130" s="8" t="s">
        <v>600</v>
      </c>
      <c r="FC130" s="8" t="s">
        <v>601</v>
      </c>
      <c r="FD130" s="8">
        <v>210</v>
      </c>
      <c r="FE130" s="8">
        <v>100</v>
      </c>
    </row>
    <row r="131" spans="79:161" ht="74.25" customHeight="1" x14ac:dyDescent="0.2">
      <c r="CA131">
        <f>IF(OR(CB131=0,ISNUMBER(MATCH(CB131,$CB$1:CB130,0))),0,MAX($CA$1:CA130)+1)</f>
        <v>0</v>
      </c>
      <c r="CB131" s="8">
        <f>IF(OR(Tank2!$D$18="EXTERNAL FLOATING ROOF",Tank2!$D$18="INTERNAL FLOATING ROOF"),IF(Tank2!$E51="",0,Tank2!$E51),0)</f>
        <v>0</v>
      </c>
      <c r="CE131" s="8">
        <f>IF(OR(CF131=0,ISNUMBER(MATCH(CF131,$CF$1:CF130,0))),0,MAX($CE$1:CE130)+1)</f>
        <v>0</v>
      </c>
      <c r="CF131" s="8">
        <f>IF(OR(Tank2!$D$18="HORIZONTAL FIXED ROOF",Tank2!$D$18="VERTICAL FIXED ROOF"),IF(Tank2!$E51="",0,Tank2!$E51),0)</f>
        <v>0</v>
      </c>
      <c r="FB131" s="8" t="s">
        <v>602</v>
      </c>
      <c r="FC131" s="8" t="s">
        <v>603</v>
      </c>
      <c r="FD131" s="8">
        <v>4000</v>
      </c>
      <c r="FE131" s="8">
        <v>400</v>
      </c>
    </row>
    <row r="132" spans="79:161" ht="74.25" customHeight="1" x14ac:dyDescent="0.2">
      <c r="CA132">
        <f>IF(OR(CB132=0,ISNUMBER(MATCH(CB132,$CB$1:CB131,0))),0,MAX($CA$1:CA131)+1)</f>
        <v>0</v>
      </c>
      <c r="CB132" s="8">
        <f>IF(OR(Tank2!$D$18="EXTERNAL FLOATING ROOF",Tank2!$D$18="INTERNAL FLOATING ROOF"),IF(Tank2!$E52="",0,Tank2!$E52),0)</f>
        <v>0</v>
      </c>
      <c r="CE132" s="8">
        <f>IF(OR(CF132=0,ISNUMBER(MATCH(CF132,$CF$1:CF131,0))),0,MAX($CE$1:CE131)+1)</f>
        <v>0</v>
      </c>
      <c r="CF132" s="8">
        <f>IF(OR(Tank2!$D$18="HORIZONTAL FIXED ROOF",Tank2!$D$18="VERTICAL FIXED ROOF"),IF(Tank2!$E52="",0,Tank2!$E52),0)</f>
        <v>0</v>
      </c>
      <c r="FB132" s="8" t="s">
        <v>604</v>
      </c>
      <c r="FC132" s="8" t="s">
        <v>605</v>
      </c>
      <c r="FD132" s="8">
        <v>210</v>
      </c>
      <c r="FE132" s="8">
        <v>100</v>
      </c>
    </row>
    <row r="133" spans="79:161" ht="74.25" customHeight="1" x14ac:dyDescent="0.2">
      <c r="CA133">
        <f>IF(OR(CB133=0,ISNUMBER(MATCH(CB133,$CB$1:CB132,0))),0,MAX($CA$1:CA132)+1)</f>
        <v>0</v>
      </c>
      <c r="CB133" s="8">
        <f>IF(OR(Tank2!$D$18="EXTERNAL FLOATING ROOF",Tank2!$D$18="INTERNAL FLOATING ROOF"),IF(Tank2!$E53="",0,Tank2!$E53),0)</f>
        <v>0</v>
      </c>
      <c r="CE133" s="8">
        <f>IF(OR(CF133=0,ISNUMBER(MATCH(CF133,$CF$1:CF132,0))),0,MAX($CE$1:CE132)+1)</f>
        <v>0</v>
      </c>
      <c r="CF133" s="8">
        <f>IF(OR(Tank2!$D$18="HORIZONTAL FIXED ROOF",Tank2!$D$18="VERTICAL FIXED ROOF"),IF(Tank2!$E53="",0,Tank2!$E53),0)</f>
        <v>0</v>
      </c>
      <c r="FB133" s="8" t="s">
        <v>606</v>
      </c>
      <c r="FC133" s="8" t="s">
        <v>607</v>
      </c>
      <c r="FD133" s="8">
        <v>130</v>
      </c>
      <c r="FE133" s="8">
        <v>13</v>
      </c>
    </row>
    <row r="134" spans="79:161" ht="74.25" customHeight="1" x14ac:dyDescent="0.2">
      <c r="CA134">
        <f>IF(OR(CB134=0,ISNUMBER(MATCH(CB134,$CB$1:CB133,0))),0,MAX($CA$1:CA133)+1)</f>
        <v>0</v>
      </c>
      <c r="CB134" s="8">
        <f>IF(OR(Tank2!$D$18="EXTERNAL FLOATING ROOF",Tank2!$D$18="INTERNAL FLOATING ROOF"),IF(Tank2!$E54="",0,Tank2!$E54),0)</f>
        <v>0</v>
      </c>
      <c r="CE134" s="8">
        <f>IF(OR(CF134=0,ISNUMBER(MATCH(CF134,$CF$1:CF133,0))),0,MAX($CE$1:CE133)+1)</f>
        <v>0</v>
      </c>
      <c r="CF134" s="8">
        <f>IF(OR(Tank2!$D$18="HORIZONTAL FIXED ROOF",Tank2!$D$18="VERTICAL FIXED ROOF"),IF(Tank2!$E54="",0,Tank2!$E54),0)</f>
        <v>0</v>
      </c>
      <c r="FB134" s="8" t="s">
        <v>608</v>
      </c>
      <c r="FC134" s="8" t="s">
        <v>609</v>
      </c>
      <c r="FD134" s="8">
        <v>460</v>
      </c>
      <c r="FE134" s="8">
        <v>46</v>
      </c>
    </row>
    <row r="135" spans="79:161" ht="74.25" customHeight="1" x14ac:dyDescent="0.2">
      <c r="CA135">
        <f>IF(OR(CB135=0,ISNUMBER(MATCH(CB135,$CB$1:CB134,0))),0,MAX($CA$1:CA134)+1)</f>
        <v>0</v>
      </c>
      <c r="CB135" s="8">
        <f>IF(OR(Tank2!$D$18="EXTERNAL FLOATING ROOF",Tank2!$D$18="INTERNAL FLOATING ROOF"),IF(Tank2!$E55="",0,Tank2!$E55),0)</f>
        <v>0</v>
      </c>
      <c r="CE135" s="8">
        <f>IF(OR(CF135=0,ISNUMBER(MATCH(CF135,$CF$1:CF134,0))),0,MAX($CE$1:CE134)+1)</f>
        <v>0</v>
      </c>
      <c r="CF135" s="8">
        <f>IF(OR(Tank2!$D$18="HORIZONTAL FIXED ROOF",Tank2!$D$18="VERTICAL FIXED ROOF"),IF(Tank2!$E55="",0,Tank2!$E55),0)</f>
        <v>0</v>
      </c>
      <c r="FB135" s="8" t="s">
        <v>610</v>
      </c>
      <c r="FC135" s="8" t="s">
        <v>611</v>
      </c>
      <c r="FD135" s="8">
        <v>45</v>
      </c>
      <c r="FE135" s="8">
        <v>4.5</v>
      </c>
    </row>
    <row r="136" spans="79:161" ht="74.25" customHeight="1" x14ac:dyDescent="0.2">
      <c r="CA136">
        <f>IF(OR(CB136=0,ISNUMBER(MATCH(CB136,$CB$1:CB135,0))),0,MAX($CA$1:CA135)+1)</f>
        <v>0</v>
      </c>
      <c r="CB136" s="8">
        <f>IF(OR(Tank2!$D$18="EXTERNAL FLOATING ROOF",Tank2!$D$18="INTERNAL FLOATING ROOF"),IF(Tank2!$E56="",0,Tank2!$E56),0)</f>
        <v>0</v>
      </c>
      <c r="CE136" s="8">
        <f>IF(OR(CF136=0,ISNUMBER(MATCH(CF136,$CF$1:CF135,0))),0,MAX($CE$1:CE135)+1)</f>
        <v>0</v>
      </c>
      <c r="CF136" s="8">
        <f>IF(OR(Tank2!$D$18="HORIZONTAL FIXED ROOF",Tank2!$D$18="VERTICAL FIXED ROOF"),IF(Tank2!$E56="",0,Tank2!$E56),0)</f>
        <v>0</v>
      </c>
      <c r="FB136" s="8" t="s">
        <v>612</v>
      </c>
      <c r="FC136" s="8" t="s">
        <v>613</v>
      </c>
      <c r="FD136" s="8">
        <v>450</v>
      </c>
      <c r="FE136" s="8">
        <v>45</v>
      </c>
    </row>
    <row r="137" spans="79:161" ht="74.25" customHeight="1" x14ac:dyDescent="0.2">
      <c r="CA137">
        <f>IF(OR(CB137=0,ISNUMBER(MATCH(CB137,$CB$1:CB136,0))),0,MAX($CA$1:CA136)+1)</f>
        <v>0</v>
      </c>
      <c r="CB137" s="8">
        <f>IF(OR(Tank2!$D$18="EXTERNAL FLOATING ROOF",Tank2!$D$18="INTERNAL FLOATING ROOF"),IF(Tank2!$E57="",0,Tank2!$E57),0)</f>
        <v>0</v>
      </c>
      <c r="CE137" s="8">
        <f>IF(OR(CF137=0,ISNUMBER(MATCH(CF137,$CF$1:CF136,0))),0,MAX($CE$1:CE136)+1)</f>
        <v>0</v>
      </c>
      <c r="CF137" s="8">
        <f>IF(OR(Tank2!$D$18="HORIZONTAL FIXED ROOF",Tank2!$D$18="VERTICAL FIXED ROOF"),IF(Tank2!$E57="",0,Tank2!$E57),0)</f>
        <v>0</v>
      </c>
      <c r="FB137" s="8" t="s">
        <v>614</v>
      </c>
      <c r="FC137" s="8" t="s">
        <v>615</v>
      </c>
      <c r="FD137" s="8">
        <v>27000</v>
      </c>
      <c r="FE137" s="8">
        <v>2700</v>
      </c>
    </row>
    <row r="138" spans="79:161" ht="74.25" customHeight="1" x14ac:dyDescent="0.2">
      <c r="CA138">
        <f>IF(OR(CB138=0,ISNUMBER(MATCH(CB138,$CB$1:CB137,0))),0,MAX($CA$1:CA137)+1)</f>
        <v>0</v>
      </c>
      <c r="CB138" s="8">
        <f>IF(OR(Tank2!$D$18="EXTERNAL FLOATING ROOF",Tank2!$D$18="INTERNAL FLOATING ROOF"),IF(Tank2!$E58="",0,Tank2!$E58),0)</f>
        <v>0</v>
      </c>
      <c r="CE138" s="8">
        <f>IF(OR(CF138=0,ISNUMBER(MATCH(CF138,$CF$1:CF137,0))),0,MAX($CE$1:CE137)+1)</f>
        <v>0</v>
      </c>
      <c r="CF138" s="8">
        <f>IF(OR(Tank2!$D$18="HORIZONTAL FIXED ROOF",Tank2!$D$18="VERTICAL FIXED ROOF"),IF(Tank2!$E58="",0,Tank2!$E58),0)</f>
        <v>0</v>
      </c>
      <c r="FB138" s="8" t="s">
        <v>616</v>
      </c>
      <c r="FC138" s="8" t="s">
        <v>617</v>
      </c>
      <c r="FD138" s="8">
        <v>0.25</v>
      </c>
      <c r="FE138" s="8">
        <v>2.5000000000000001E-2</v>
      </c>
    </row>
    <row r="139" spans="79:161" ht="74.25" customHeight="1" x14ac:dyDescent="0.2">
      <c r="CA139">
        <f>IF(OR(CB139=0,ISNUMBER(MATCH(CB139,$CB$1:CB138,0))),0,MAX($CA$1:CA138)+1)</f>
        <v>0</v>
      </c>
      <c r="CB139" s="8">
        <f>IF(OR(Tank2!$D$18="EXTERNAL FLOATING ROOF",Tank2!$D$18="INTERNAL FLOATING ROOF"),IF(Tank2!$E59="",0,Tank2!$E59),0)</f>
        <v>0</v>
      </c>
      <c r="CE139" s="8">
        <f>IF(OR(CF139=0,ISNUMBER(MATCH(CF139,$CF$1:CF138,0))),0,MAX($CE$1:CE138)+1)</f>
        <v>0</v>
      </c>
      <c r="CF139" s="8">
        <f>IF(OR(Tank2!$D$18="HORIZONTAL FIXED ROOF",Tank2!$D$18="VERTICAL FIXED ROOF"),IF(Tank2!$E59="",0,Tank2!$E59),0)</f>
        <v>0</v>
      </c>
      <c r="FB139" s="8" t="s">
        <v>618</v>
      </c>
      <c r="FC139" s="8" t="s">
        <v>619</v>
      </c>
      <c r="FD139" s="8">
        <v>16100</v>
      </c>
      <c r="FE139" s="8">
        <v>1610</v>
      </c>
    </row>
    <row r="140" spans="79:161" ht="74.25" customHeight="1" x14ac:dyDescent="0.2">
      <c r="CA140">
        <f>IF(OR(CB140=0,ISNUMBER(MATCH(CB140,$CB$1:CB139,0))),0,MAX($CA$1:CA139)+1)</f>
        <v>0</v>
      </c>
      <c r="CB140" s="8">
        <f>IF(OR(Tank2!$D$18="EXTERNAL FLOATING ROOF",Tank2!$D$18="INTERNAL FLOATING ROOF"),IF(Tank2!$E60="",0,Tank2!$E60),0)</f>
        <v>0</v>
      </c>
      <c r="CE140" s="8">
        <f>IF(OR(CF140=0,ISNUMBER(MATCH(CF140,$CF$1:CF139,0))),0,MAX($CE$1:CE139)+1)</f>
        <v>0</v>
      </c>
      <c r="CF140" s="8">
        <f>IF(OR(Tank2!$D$18="HORIZONTAL FIXED ROOF",Tank2!$D$18="VERTICAL FIXED ROOF"),IF(Tank2!$E60="",0,Tank2!$E60),0)</f>
        <v>0</v>
      </c>
      <c r="FB140" s="8" t="s">
        <v>620</v>
      </c>
      <c r="FC140" s="8" t="s">
        <v>621</v>
      </c>
      <c r="FD140" s="8">
        <v>100</v>
      </c>
      <c r="FE140" s="8">
        <v>10</v>
      </c>
    </row>
    <row r="141" spans="79:161" ht="74.25" customHeight="1" x14ac:dyDescent="0.2">
      <c r="CA141">
        <f>IF(OR(CB141=0,ISNUMBER(MATCH(CB141,$CB$1:CB140,0))),0,MAX($CA$1:CA140)+1)</f>
        <v>0</v>
      </c>
      <c r="CB141" s="8">
        <f>IF(OR(Tank2!$D$18="EXTERNAL FLOATING ROOF",Tank2!$D$18="INTERNAL FLOATING ROOF"),IF(Tank2!$E61="",0,Tank2!$E61),0)</f>
        <v>0</v>
      </c>
      <c r="CE141" s="8">
        <f>IF(OR(CF141=0,ISNUMBER(MATCH(CF141,$CF$1:CF140,0))),0,MAX($CE$1:CE140)+1)</f>
        <v>0</v>
      </c>
      <c r="CF141" s="8">
        <f>IF(OR(Tank2!$D$18="HORIZONTAL FIXED ROOF",Tank2!$D$18="VERTICAL FIXED ROOF"),IF(Tank2!$E61="",0,Tank2!$E61),0)</f>
        <v>0</v>
      </c>
      <c r="FB141" s="8" t="s">
        <v>622</v>
      </c>
      <c r="FC141" s="8" t="s">
        <v>623</v>
      </c>
      <c r="FD141" s="8">
        <v>100</v>
      </c>
      <c r="FE141" s="8">
        <v>10</v>
      </c>
    </row>
    <row r="142" spans="79:161" ht="74.25" customHeight="1" x14ac:dyDescent="0.2">
      <c r="CA142">
        <f>IF(OR(CB142=0,ISNUMBER(MATCH(CB142,$CB$1:CB141,0))),0,MAX($CA$1:CA141)+1)</f>
        <v>0</v>
      </c>
      <c r="CB142" s="8">
        <f>IF(OR(Tank2!$D$18="EXTERNAL FLOATING ROOF",Tank2!$D$18="INTERNAL FLOATING ROOF"),IF(Tank2!$E62="",0,Tank2!$E62),0)</f>
        <v>0</v>
      </c>
      <c r="CE142" s="8">
        <f>IF(OR(CF142=0,ISNUMBER(MATCH(CF142,$CF$1:CF141,0))),0,MAX($CE$1:CE141)+1)</f>
        <v>0</v>
      </c>
      <c r="CF142" s="8">
        <f>IF(OR(Tank2!$D$18="HORIZONTAL FIXED ROOF",Tank2!$D$18="VERTICAL FIXED ROOF"),IF(Tank2!$E62="",0,Tank2!$E62),0)</f>
        <v>0</v>
      </c>
      <c r="FB142" s="8" t="s">
        <v>624</v>
      </c>
      <c r="FC142" s="8" t="s">
        <v>625</v>
      </c>
      <c r="FD142" s="8">
        <v>100</v>
      </c>
      <c r="FE142" s="8">
        <v>10</v>
      </c>
    </row>
    <row r="143" spans="79:161" ht="74.25" customHeight="1" x14ac:dyDescent="0.2">
      <c r="CA143">
        <f>IF(OR(CB143=0,ISNUMBER(MATCH(CB143,$CB$1:CB142,0))),0,MAX($CA$1:CA142)+1)</f>
        <v>0</v>
      </c>
      <c r="CB143" s="8">
        <f>IF(OR(Tank2!$D$18="EXTERNAL FLOATING ROOF",Tank2!$D$18="INTERNAL FLOATING ROOF"),IF(Tank2!$E63="",0,Tank2!$E63),0)</f>
        <v>0</v>
      </c>
      <c r="CE143" s="8">
        <f>IF(OR(CF143=0,ISNUMBER(MATCH(CF143,$CF$1:CF142,0))),0,MAX($CE$1:CE142)+1)</f>
        <v>0</v>
      </c>
      <c r="CF143" s="8">
        <f>IF(OR(Tank2!$D$18="HORIZONTAL FIXED ROOF",Tank2!$D$18="VERTICAL FIXED ROOF"),IF(Tank2!$E63="",0,Tank2!$E63),0)</f>
        <v>0</v>
      </c>
      <c r="FB143" s="8" t="s">
        <v>626</v>
      </c>
      <c r="FC143" s="8" t="s">
        <v>627</v>
      </c>
      <c r="FD143" s="8">
        <v>3500</v>
      </c>
      <c r="FE143" s="8">
        <v>350</v>
      </c>
    </row>
    <row r="144" spans="79:161" ht="74.25" customHeight="1" x14ac:dyDescent="0.2">
      <c r="CA144">
        <f>IF(OR(CB144=0,ISNUMBER(MATCH(CB144,$CB$1:CB143,0))),0,MAX($CA$1:CA143)+1)</f>
        <v>0</v>
      </c>
      <c r="CB144" s="8">
        <f>IF(OR(Tank2!$D$18="EXTERNAL FLOATING ROOF",Tank2!$D$18="INTERNAL FLOATING ROOF"),IF(Tank2!$E64="",0,Tank2!$E64),0)</f>
        <v>0</v>
      </c>
      <c r="CE144" s="8">
        <f>IF(OR(CF144=0,ISNUMBER(MATCH(CF144,$CF$1:CF143,0))),0,MAX($CE$1:CE143)+1)</f>
        <v>0</v>
      </c>
      <c r="CF144" s="8">
        <f>IF(OR(Tank2!$D$18="HORIZONTAL FIXED ROOF",Tank2!$D$18="VERTICAL FIXED ROOF"),IF(Tank2!$E64="",0,Tank2!$E64),0)</f>
        <v>0</v>
      </c>
      <c r="FB144" s="8" t="s">
        <v>628</v>
      </c>
      <c r="FC144" s="8" t="s">
        <v>629</v>
      </c>
      <c r="FD144" s="8">
        <v>290</v>
      </c>
      <c r="FE144" s="8">
        <v>29</v>
      </c>
    </row>
    <row r="145" spans="79:161" ht="74.25" customHeight="1" x14ac:dyDescent="0.2">
      <c r="CA145">
        <f>IF(OR(CB145=0,ISNUMBER(MATCH(CB145,$CB$1:CB144,0))),0,MAX($CA$1:CA144)+1)</f>
        <v>0</v>
      </c>
      <c r="CB145" s="8">
        <f>IF(OR(Tank2!$D$18="EXTERNAL FLOATING ROOF",Tank2!$D$18="INTERNAL FLOATING ROOF"),IF(Tank2!$E65="",0,Tank2!$E65),0)</f>
        <v>0</v>
      </c>
      <c r="CE145" s="8">
        <f>IF(OR(CF145=0,ISNUMBER(MATCH(CF145,$CF$1:CF144,0))),0,MAX($CE$1:CE144)+1)</f>
        <v>0</v>
      </c>
      <c r="CF145" s="8">
        <f>IF(OR(Tank2!$D$18="HORIZONTAL FIXED ROOF",Tank2!$D$18="VERTICAL FIXED ROOF"),IF(Tank2!$E65="",0,Tank2!$E65),0)</f>
        <v>0</v>
      </c>
      <c r="FB145" s="8" t="s">
        <v>630</v>
      </c>
      <c r="FC145" s="8" t="s">
        <v>631</v>
      </c>
      <c r="FD145" s="8">
        <v>5</v>
      </c>
      <c r="FE145" s="8">
        <v>0.5</v>
      </c>
    </row>
    <row r="146" spans="79:161" ht="74.25" customHeight="1" x14ac:dyDescent="0.2">
      <c r="CA146">
        <f>IF(OR(CB146=0,ISNUMBER(MATCH(CB146,$CB$1:CB145,0))),0,MAX($CA$1:CA145)+1)</f>
        <v>0</v>
      </c>
      <c r="CB146" s="8">
        <f>IF(OR(Tank2!$D$18="EXTERNAL FLOATING ROOF",Tank2!$D$18="INTERNAL FLOATING ROOF"),IF(Tank2!$E66="",0,Tank2!$E66),0)</f>
        <v>0</v>
      </c>
      <c r="CE146" s="8">
        <f>IF(OR(CF146=0,ISNUMBER(MATCH(CF146,$CF$1:CF145,0))),0,MAX($CE$1:CE145)+1)</f>
        <v>0</v>
      </c>
      <c r="CF146" s="8">
        <f>IF(OR(Tank2!$D$18="HORIZONTAL FIXED ROOF",Tank2!$D$18="VERTICAL FIXED ROOF"),IF(Tank2!$E66="",0,Tank2!$E66),0)</f>
        <v>0</v>
      </c>
      <c r="FB146" s="8" t="s">
        <v>632</v>
      </c>
      <c r="FC146" s="8" t="s">
        <v>633</v>
      </c>
      <c r="FD146" s="8">
        <v>600</v>
      </c>
      <c r="FE146" s="8">
        <v>60</v>
      </c>
    </row>
    <row r="147" spans="79:161" ht="74.25" customHeight="1" x14ac:dyDescent="0.2">
      <c r="CA147">
        <f>IF(OR(CB147=0,ISNUMBER(MATCH(CB147,$CB$1:CB146,0))),0,MAX($CA$1:CA146)+1)</f>
        <v>0</v>
      </c>
      <c r="CB147" s="8">
        <f>IF(OR(Tank2!$D$18="EXTERNAL FLOATING ROOF",Tank2!$D$18="INTERNAL FLOATING ROOF"),IF(Tank2!$E67="",0,Tank2!$E67),0)</f>
        <v>0</v>
      </c>
      <c r="CE147" s="8">
        <f>IF(OR(CF147=0,ISNUMBER(MATCH(CF147,$CF$1:CF146,0))),0,MAX($CE$1:CE146)+1)</f>
        <v>0</v>
      </c>
      <c r="CF147" s="8">
        <f>IF(OR(Tank2!$D$18="HORIZONTAL FIXED ROOF",Tank2!$D$18="VERTICAL FIXED ROOF"),IF(Tank2!$E67="",0,Tank2!$E67),0)</f>
        <v>0</v>
      </c>
      <c r="FB147" s="8" t="s">
        <v>634</v>
      </c>
      <c r="FC147" s="8" t="s">
        <v>635</v>
      </c>
      <c r="FD147" s="8">
        <v>100</v>
      </c>
      <c r="FE147" s="8">
        <v>10</v>
      </c>
    </row>
    <row r="148" spans="79:161" ht="74.25" customHeight="1" x14ac:dyDescent="0.2">
      <c r="CA148">
        <f>IF(OR(CB148=0,ISNUMBER(MATCH(CB148,$CB$1:CB147,0))),0,MAX($CA$1:CA147)+1)</f>
        <v>0</v>
      </c>
      <c r="CB148" s="8">
        <f>IF(OR(Tank2!$D$18="EXTERNAL FLOATING ROOF",Tank2!$D$18="INTERNAL FLOATING ROOF"),IF(Tank2!$E68="",0,Tank2!$E68),0)</f>
        <v>0</v>
      </c>
      <c r="CE148" s="8">
        <f>IF(OR(CF148=0,ISNUMBER(MATCH(CF148,$CF$1:CF147,0))),0,MAX($CE$1:CE147)+1)</f>
        <v>0</v>
      </c>
      <c r="CF148" s="8">
        <f>IF(OR(Tank2!$D$18="HORIZONTAL FIXED ROOF",Tank2!$D$18="VERTICAL FIXED ROOF"),IF(Tank2!$E68="",0,Tank2!$E68),0)</f>
        <v>0</v>
      </c>
      <c r="FB148" s="8" t="s">
        <v>636</v>
      </c>
      <c r="FC148" s="8" t="s">
        <v>637</v>
      </c>
      <c r="FD148" s="8">
        <v>1200</v>
      </c>
      <c r="FE148" s="8">
        <v>120</v>
      </c>
    </row>
    <row r="149" spans="79:161" ht="74.25" customHeight="1" x14ac:dyDescent="0.2">
      <c r="CA149">
        <f>IF(OR(CB149=0,ISNUMBER(MATCH(CB149,$CB$1:CB148,0))),0,MAX($CA$1:CA148)+1)</f>
        <v>0</v>
      </c>
      <c r="CB149" s="8">
        <f>IF(OR(Tank2!$D$18="EXTERNAL FLOATING ROOF",Tank2!$D$18="INTERNAL FLOATING ROOF"),IF(Tank2!$E69="",0,Tank2!$E69),0)</f>
        <v>0</v>
      </c>
      <c r="CE149" s="8">
        <f>IF(OR(CF149=0,ISNUMBER(MATCH(CF149,$CF$1:CF148,0))),0,MAX($CE$1:CE148)+1)</f>
        <v>0</v>
      </c>
      <c r="CF149" s="8">
        <f>IF(OR(Tank2!$D$18="HORIZONTAL FIXED ROOF",Tank2!$D$18="VERTICAL FIXED ROOF"),IF(Tank2!$E69="",0,Tank2!$E69),0)</f>
        <v>0</v>
      </c>
      <c r="FB149" s="8" t="s">
        <v>638</v>
      </c>
      <c r="FC149" s="8" t="s">
        <v>639</v>
      </c>
      <c r="FD149" s="8">
        <v>610</v>
      </c>
      <c r="FE149" s="8">
        <v>61</v>
      </c>
    </row>
    <row r="150" spans="79:161" ht="74.25" customHeight="1" x14ac:dyDescent="0.2">
      <c r="CA150">
        <f>IF(OR(CB150=0,ISNUMBER(MATCH(CB150,$CB$1:CB149,0))),0,MAX($CA$1:CA149)+1)</f>
        <v>0</v>
      </c>
      <c r="CB150" s="8">
        <f>IF(OR(Tank2!$D$18="EXTERNAL FLOATING ROOF",Tank2!$D$18="INTERNAL FLOATING ROOF"),IF(Tank2!$E70="",0,Tank2!$E70),0)</f>
        <v>0</v>
      </c>
      <c r="CE150" s="8">
        <f>IF(OR(CF150=0,ISNUMBER(MATCH(CF150,$CF$1:CF149,0))),0,MAX($CE$1:CE149)+1)</f>
        <v>0</v>
      </c>
      <c r="CF150" s="8">
        <f>IF(OR(Tank2!$D$18="HORIZONTAL FIXED ROOF",Tank2!$D$18="VERTICAL FIXED ROOF"),IF(Tank2!$E70="",0,Tank2!$E70),0)</f>
        <v>0</v>
      </c>
      <c r="FB150" s="8" t="s">
        <v>640</v>
      </c>
      <c r="FC150" s="8" t="s">
        <v>641</v>
      </c>
      <c r="FD150" s="8">
        <v>10000</v>
      </c>
      <c r="FE150" s="8">
        <v>1000</v>
      </c>
    </row>
    <row r="151" spans="79:161" ht="74.25" customHeight="1" x14ac:dyDescent="0.2">
      <c r="CA151">
        <f>IF(OR(CB151=0,ISNUMBER(MATCH(CB151,$CB$1:CB150,0))),0,MAX($CA$1:CA150)+1)</f>
        <v>0</v>
      </c>
      <c r="CB151" s="8">
        <f>IF(OR(Tank2!$D$18="EXTERNAL FLOATING ROOF",Tank2!$D$18="INTERNAL FLOATING ROOF"),IF(Tank2!$E71="",0,Tank2!$E71),0)</f>
        <v>0</v>
      </c>
      <c r="CE151" s="8">
        <f>IF(OR(CF151=0,ISNUMBER(MATCH(CF151,$CF$1:CF150,0))),0,MAX($CE$1:CE150)+1)</f>
        <v>0</v>
      </c>
      <c r="CF151" s="8">
        <f>IF(OR(Tank2!$D$18="HORIZONTAL FIXED ROOF",Tank2!$D$18="VERTICAL FIXED ROOF"),IF(Tank2!$E71="",0,Tank2!$E71),0)</f>
        <v>0</v>
      </c>
      <c r="FB151" s="8" t="s">
        <v>642</v>
      </c>
      <c r="FC151" s="8" t="s">
        <v>643</v>
      </c>
      <c r="FD151" s="8">
        <v>3500</v>
      </c>
      <c r="FE151" s="8">
        <v>350</v>
      </c>
    </row>
    <row r="152" spans="79:161" ht="74.25" customHeight="1" x14ac:dyDescent="0.2">
      <c r="CA152">
        <f>IF(OR(CB152=0,ISNUMBER(MATCH(CB152,$CB$1:CB151,0))),0,MAX($CA$1:CA151)+1)</f>
        <v>0</v>
      </c>
      <c r="CB152" s="8">
        <f>IF(OR(Tank2!$D$18="EXTERNAL FLOATING ROOF",Tank2!$D$18="INTERNAL FLOATING ROOF"),IF(Tank2!$E72="",0,Tank2!$E72),0)</f>
        <v>0</v>
      </c>
      <c r="CE152" s="8">
        <f>IF(OR(CF152=0,ISNUMBER(MATCH(CF152,$CF$1:CF151,0))),0,MAX($CE$1:CE151)+1)</f>
        <v>0</v>
      </c>
      <c r="CF152" s="8">
        <f>IF(OR(Tank2!$D$18="HORIZONTAL FIXED ROOF",Tank2!$D$18="VERTICAL FIXED ROOF"),IF(Tank2!$E72="",0,Tank2!$E72),0)</f>
        <v>0</v>
      </c>
      <c r="FB152" s="8" t="s">
        <v>644</v>
      </c>
      <c r="FC152" s="8" t="s">
        <v>645</v>
      </c>
      <c r="FD152" s="8">
        <v>400</v>
      </c>
      <c r="FE152" s="8">
        <v>40</v>
      </c>
    </row>
    <row r="153" spans="79:161" ht="74.25" customHeight="1" x14ac:dyDescent="0.2">
      <c r="CA153">
        <f>IF(OR(CB153=0,ISNUMBER(MATCH(CB153,$CB$1:CB152,0))),0,MAX($CA$1:CA152)+1)</f>
        <v>0</v>
      </c>
      <c r="CB153" s="8">
        <f>IF(OR(Tank2!$D$18="EXTERNAL FLOATING ROOF",Tank2!$D$18="INTERNAL FLOATING ROOF"),IF(Tank2!$E73="",0,Tank2!$E73),0)</f>
        <v>0</v>
      </c>
      <c r="CE153" s="8">
        <f>IF(OR(CF153=0,ISNUMBER(MATCH(CF153,$CF$1:CF152,0))),0,MAX($CE$1:CE152)+1)</f>
        <v>0</v>
      </c>
      <c r="CF153" s="8">
        <f>IF(OR(Tank2!$D$18="HORIZONTAL FIXED ROOF",Tank2!$D$18="VERTICAL FIXED ROOF"),IF(Tank2!$E73="",0,Tank2!$E73),0)</f>
        <v>0</v>
      </c>
      <c r="FB153" s="8" t="s">
        <v>646</v>
      </c>
      <c r="FC153" s="8" t="s">
        <v>647</v>
      </c>
      <c r="FD153" s="8">
        <v>700</v>
      </c>
      <c r="FE153" s="8">
        <v>70</v>
      </c>
    </row>
    <row r="154" spans="79:161" ht="74.25" customHeight="1" x14ac:dyDescent="0.2">
      <c r="CA154">
        <f>IF(OR(CB154=0,ISNUMBER(MATCH(CB154,$CB$1:CB153,0))),0,MAX($CA$1:CA153)+1)</f>
        <v>0</v>
      </c>
      <c r="CB154" s="8">
        <f>IF(OR(Tank2!$D$18="EXTERNAL FLOATING ROOF",Tank2!$D$18="INTERNAL FLOATING ROOF"),IF(Tank2!$E74="",0,Tank2!$E74),0)</f>
        <v>0</v>
      </c>
      <c r="CE154" s="8">
        <f>IF(OR(CF154=0,ISNUMBER(MATCH(CF154,$CF$1:CF153,0))),0,MAX($CE$1:CE153)+1)</f>
        <v>0</v>
      </c>
      <c r="CF154" s="8">
        <f>IF(OR(Tank2!$D$18="HORIZONTAL FIXED ROOF",Tank2!$D$18="VERTICAL FIXED ROOF"),IF(Tank2!$E74="",0,Tank2!$E74),0)</f>
        <v>0</v>
      </c>
      <c r="FB154" s="8" t="s">
        <v>648</v>
      </c>
      <c r="FC154" s="8" t="s">
        <v>649</v>
      </c>
      <c r="FD154" s="8">
        <v>700</v>
      </c>
      <c r="FE154" s="8">
        <v>70</v>
      </c>
    </row>
    <row r="155" spans="79:161" ht="74.25" customHeight="1" x14ac:dyDescent="0.2">
      <c r="CA155">
        <f>IF(OR(CB155=0,ISNUMBER(MATCH(CB155,$CB$1:CB154,0))),0,MAX($CA$1:CA154)+1)</f>
        <v>0</v>
      </c>
      <c r="CB155" s="8">
        <f>IF(OR(Tank2!$D$18="EXTERNAL FLOATING ROOF",Tank2!$D$18="INTERNAL FLOATING ROOF"),IF(Tank2!$E75="",0,Tank2!$E75),0)</f>
        <v>0</v>
      </c>
      <c r="CE155" s="8">
        <f>IF(OR(CF155=0,ISNUMBER(MATCH(CF155,$CF$1:CF154,0))),0,MAX($CE$1:CE154)+1)</f>
        <v>0</v>
      </c>
      <c r="CF155" s="8">
        <f>IF(OR(Tank2!$D$18="HORIZONTAL FIXED ROOF",Tank2!$D$18="VERTICAL FIXED ROOF"),IF(Tank2!$E75="",0,Tank2!$E75),0)</f>
        <v>0</v>
      </c>
      <c r="FB155" s="8" t="s">
        <v>650</v>
      </c>
      <c r="FC155" s="8" t="s">
        <v>651</v>
      </c>
      <c r="FD155" s="8">
        <v>700</v>
      </c>
      <c r="FE155" s="8">
        <v>70</v>
      </c>
    </row>
    <row r="156" spans="79:161" ht="74.25" customHeight="1" x14ac:dyDescent="0.2">
      <c r="CA156">
        <f>IF(OR(CB156=0,ISNUMBER(MATCH(CB156,$CB$1:CB155,0))),0,MAX($CA$1:CA155)+1)</f>
        <v>0</v>
      </c>
      <c r="CB156" s="8">
        <f>IF(OR(Tank2!$D$18="EXTERNAL FLOATING ROOF",Tank2!$D$18="INTERNAL FLOATING ROOF"),IF(Tank2!$E76="",0,Tank2!$E76),0)</f>
        <v>0</v>
      </c>
      <c r="CE156" s="8">
        <f>IF(OR(CF156=0,ISNUMBER(MATCH(CF156,$CF$1:CF155,0))),0,MAX($CE$1:CE155)+1)</f>
        <v>0</v>
      </c>
      <c r="CF156" s="8">
        <f>IF(OR(Tank2!$D$18="HORIZONTAL FIXED ROOF",Tank2!$D$18="VERTICAL FIXED ROOF"),IF(Tank2!$E76="",0,Tank2!$E76),0)</f>
        <v>0</v>
      </c>
      <c r="FB156" s="8" t="s">
        <v>652</v>
      </c>
      <c r="FC156" s="8" t="s">
        <v>653</v>
      </c>
      <c r="FD156" s="8">
        <v>3030</v>
      </c>
      <c r="FE156" s="8">
        <v>303</v>
      </c>
    </row>
    <row r="157" spans="79:161" ht="74.25" customHeight="1" x14ac:dyDescent="0.2">
      <c r="CA157">
        <f>IF(OR(CB157=0,ISNUMBER(MATCH(CB157,$CB$1:CB156,0))),0,MAX($CA$1:CA156)+1)</f>
        <v>0</v>
      </c>
      <c r="CB157" s="8">
        <f>IF(OR(Tank2!$D$18="EXTERNAL FLOATING ROOF",Tank2!$D$18="INTERNAL FLOATING ROOF"),IF(Tank2!$E77="",0,Tank2!$E77),0)</f>
        <v>0</v>
      </c>
      <c r="CE157" s="8">
        <f>IF(OR(CF157=0,ISNUMBER(MATCH(CF157,$CF$1:CF156,0))),0,MAX($CE$1:CE156)+1)</f>
        <v>0</v>
      </c>
      <c r="CF157" s="8">
        <f>IF(OR(Tank2!$D$18="HORIZONTAL FIXED ROOF",Tank2!$D$18="VERTICAL FIXED ROOF"),IF(Tank2!$E77="",0,Tank2!$E77),0)</f>
        <v>0</v>
      </c>
      <c r="FB157" s="8" t="s">
        <v>654</v>
      </c>
      <c r="FC157" s="8" t="s">
        <v>655</v>
      </c>
      <c r="FD157" s="8">
        <v>260</v>
      </c>
      <c r="FE157" s="8">
        <v>26</v>
      </c>
    </row>
    <row r="158" spans="79:161" ht="74.25" customHeight="1" x14ac:dyDescent="0.2">
      <c r="CA158">
        <f>IF(OR(CB158=0,ISNUMBER(MATCH(CB158,$CB$1:CB157,0))),0,MAX($CA$1:CA157)+1)</f>
        <v>0</v>
      </c>
      <c r="CB158" s="8">
        <f>IF(OR(Tank2!$D$18="EXTERNAL FLOATING ROOF",Tank2!$D$18="INTERNAL FLOATING ROOF"),IF(Tank2!$E78="",0,Tank2!$E78),0)</f>
        <v>0</v>
      </c>
      <c r="CE158" s="8">
        <f>IF(OR(CF158=0,ISNUMBER(MATCH(CF158,$CF$1:CF157,0))),0,MAX($CE$1:CE157)+1)</f>
        <v>0</v>
      </c>
      <c r="CF158" s="8">
        <f>IF(OR(Tank2!$D$18="HORIZONTAL FIXED ROOF",Tank2!$D$18="VERTICAL FIXED ROOF"),IF(Tank2!$E78="",0,Tank2!$E78),0)</f>
        <v>0</v>
      </c>
      <c r="FB158" s="8" t="s">
        <v>656</v>
      </c>
      <c r="FC158" s="8" t="s">
        <v>657</v>
      </c>
      <c r="FD158" s="8">
        <v>2450</v>
      </c>
      <c r="FE158" s="8">
        <v>245</v>
      </c>
    </row>
    <row r="159" spans="79:161" ht="74.25" customHeight="1" x14ac:dyDescent="0.2">
      <c r="CA159">
        <f>IF(OR(CB159=0,ISNUMBER(MATCH(CB159,$CB$1:CB158,0))),0,MAX($CA$1:CA158)+1)</f>
        <v>0</v>
      </c>
      <c r="CB159" s="8">
        <f>IF(OR(Tank2!$D$18="EXTERNAL FLOATING ROOF",Tank2!$D$18="INTERNAL FLOATING ROOF"),IF(Tank2!$E79="",0,Tank2!$E79),0)</f>
        <v>0</v>
      </c>
      <c r="CE159" s="8">
        <f>IF(OR(CF159=0,ISNUMBER(MATCH(CF159,$CF$1:CF158,0))),0,MAX($CE$1:CE158)+1)</f>
        <v>0</v>
      </c>
      <c r="CF159" s="8">
        <f>IF(OR(Tank2!$D$18="HORIZONTAL FIXED ROOF",Tank2!$D$18="VERTICAL FIXED ROOF"),IF(Tank2!$E79="",0,Tank2!$E79),0)</f>
        <v>0</v>
      </c>
      <c r="FB159" s="8" t="s">
        <v>658</v>
      </c>
      <c r="FC159" s="8" t="s">
        <v>659</v>
      </c>
      <c r="FD159" s="8">
        <v>200</v>
      </c>
      <c r="FE159" s="8">
        <v>20</v>
      </c>
    </row>
    <row r="160" spans="79:161" ht="74.25" customHeight="1" x14ac:dyDescent="0.2">
      <c r="CA160">
        <f>IF(OR(CB160=0,ISNUMBER(MATCH(CB160,$CB$1:CB159,0))),0,MAX($CA$1:CA159)+1)</f>
        <v>0</v>
      </c>
      <c r="CB160" s="8">
        <f>IF(OR(Tank2!$D$18="EXTERNAL FLOATING ROOF",Tank2!$D$18="INTERNAL FLOATING ROOF"),IF(Tank2!$E80="",0,Tank2!$E80),0)</f>
        <v>0</v>
      </c>
      <c r="CE160" s="8">
        <f>IF(OR(CF160=0,ISNUMBER(MATCH(CF160,$CF$1:CF159,0))),0,MAX($CE$1:CE159)+1)</f>
        <v>0</v>
      </c>
      <c r="CF160" s="8">
        <f>IF(OR(Tank2!$D$18="HORIZONTAL FIXED ROOF",Tank2!$D$18="VERTICAL FIXED ROOF"),IF(Tank2!$E80="",0,Tank2!$E80),0)</f>
        <v>0</v>
      </c>
      <c r="FB160" s="8" t="s">
        <v>660</v>
      </c>
      <c r="FC160" s="8" t="s">
        <v>661</v>
      </c>
      <c r="FD160" s="8">
        <v>400</v>
      </c>
      <c r="FE160" s="8">
        <v>40</v>
      </c>
    </row>
    <row r="161" spans="79:161" ht="74.25" customHeight="1" x14ac:dyDescent="0.2">
      <c r="CA161">
        <f>IF(OR(CB161=0,ISNUMBER(MATCH(CB161,$CB$1:CB160,0))),0,MAX($CA$1:CA160)+1)</f>
        <v>0</v>
      </c>
      <c r="CB161" s="8">
        <f>IF(OR(Tank2!$D$18="EXTERNAL FLOATING ROOF",Tank2!$D$18="INTERNAL FLOATING ROOF"),IF(Tank2!$E81="",0,Tank2!$E81),0)</f>
        <v>0</v>
      </c>
      <c r="CE161" s="8">
        <f>IF(OR(CF161=0,ISNUMBER(MATCH(CF161,$CF$1:CF160,0))),0,MAX($CE$1:CE160)+1)</f>
        <v>0</v>
      </c>
      <c r="CF161" s="8">
        <f>IF(OR(Tank2!$D$18="HORIZONTAL FIXED ROOF",Tank2!$D$18="VERTICAL FIXED ROOF"),IF(Tank2!$E81="",0,Tank2!$E81),0)</f>
        <v>0</v>
      </c>
      <c r="FB161" s="8" t="s">
        <v>662</v>
      </c>
      <c r="FC161" s="8" t="s">
        <v>663</v>
      </c>
      <c r="FD161" s="8">
        <v>2450</v>
      </c>
      <c r="FE161" s="8">
        <v>245</v>
      </c>
    </row>
    <row r="162" spans="79:161" ht="74.25" customHeight="1" x14ac:dyDescent="0.2">
      <c r="CA162">
        <f>IF(OR(CB162=0,ISNUMBER(MATCH(CB162,$CB$1:CB161,0))),0,MAX($CA$1:CA161)+1)</f>
        <v>0</v>
      </c>
      <c r="CB162" s="8">
        <f>IF(OR(Tank2!$D$18="EXTERNAL FLOATING ROOF",Tank2!$D$18="INTERNAL FLOATING ROOF"),IF(Tank2!$E82="",0,Tank2!$E82),0)</f>
        <v>0</v>
      </c>
      <c r="CE162" s="8">
        <f>IF(OR(CF162=0,ISNUMBER(MATCH(CF162,$CF$1:CF161,0))),0,MAX($CE$1:CE161)+1)</f>
        <v>0</v>
      </c>
      <c r="CF162" s="8">
        <f>IF(OR(Tank2!$D$18="HORIZONTAL FIXED ROOF",Tank2!$D$18="VERTICAL FIXED ROOF"),IF(Tank2!$E82="",0,Tank2!$E82),0)</f>
        <v>0</v>
      </c>
      <c r="FB162" s="8" t="s">
        <v>664</v>
      </c>
      <c r="FC162" s="8" t="s">
        <v>665</v>
      </c>
      <c r="FD162" s="8">
        <v>90</v>
      </c>
      <c r="FE162" s="8">
        <v>9</v>
      </c>
    </row>
    <row r="163" spans="79:161" ht="74.25" customHeight="1" x14ac:dyDescent="0.2">
      <c r="CA163">
        <f>IF(OR(CB163=0,ISNUMBER(MATCH(CB163,$CB$1:CB162,0))),0,MAX($CA$1:CA162)+1)</f>
        <v>0</v>
      </c>
      <c r="CB163" s="8">
        <f>IF(OR(Tank2!$D$18="EXTERNAL FLOATING ROOF",Tank2!$D$18="INTERNAL FLOATING ROOF"),IF(Tank2!$E83="",0,Tank2!$E83),0)</f>
        <v>0</v>
      </c>
      <c r="CE163" s="8">
        <f>IF(OR(CF163=0,ISNUMBER(MATCH(CF163,$CF$1:CF162,0))),0,MAX($CE$1:CE162)+1)</f>
        <v>0</v>
      </c>
      <c r="CF163" s="8">
        <f>IF(OR(Tank2!$D$18="HORIZONTAL FIXED ROOF",Tank2!$D$18="VERTICAL FIXED ROOF"),IF(Tank2!$E83="",0,Tank2!$E83),0)</f>
        <v>0</v>
      </c>
      <c r="FB163" s="8" t="s">
        <v>666</v>
      </c>
      <c r="FC163" s="8" t="s">
        <v>667</v>
      </c>
      <c r="FD163" s="8">
        <v>120</v>
      </c>
      <c r="FE163" s="8">
        <v>12</v>
      </c>
    </row>
    <row r="164" spans="79:161" ht="74.25" customHeight="1" x14ac:dyDescent="0.2">
      <c r="CA164">
        <f>IF(OR(CB164=0,ISNUMBER(MATCH(CB164,$CB$1:CB163,0))),0,MAX($CA$1:CA163)+1)</f>
        <v>0</v>
      </c>
      <c r="CB164" s="8">
        <f>IF(OR(Tank2!$D$18="EXTERNAL FLOATING ROOF",Tank2!$D$18="INTERNAL FLOATING ROOF"),IF(Tank2!$E84="",0,Tank2!$E84),0)</f>
        <v>0</v>
      </c>
      <c r="CE164" s="8">
        <f>IF(OR(CF164=0,ISNUMBER(MATCH(CF164,$CF$1:CF163,0))),0,MAX($CE$1:CE163)+1)</f>
        <v>0</v>
      </c>
      <c r="CF164" s="8">
        <f>IF(OR(Tank2!$D$18="HORIZONTAL FIXED ROOF",Tank2!$D$18="VERTICAL FIXED ROOF"),IF(Tank2!$E84="",0,Tank2!$E84),0)</f>
        <v>0</v>
      </c>
      <c r="FB164" s="8" t="s">
        <v>668</v>
      </c>
      <c r="FC164" s="8" t="s">
        <v>669</v>
      </c>
      <c r="FD164" s="8">
        <v>400</v>
      </c>
      <c r="FE164" s="8">
        <v>40</v>
      </c>
    </row>
    <row r="165" spans="79:161" ht="74.25" customHeight="1" x14ac:dyDescent="0.2">
      <c r="CA165">
        <f>IF(OR(CB165=0,ISNUMBER(MATCH(CB165,$CB$1:CB164,0))),0,MAX($CA$1:CA164)+1)</f>
        <v>0</v>
      </c>
      <c r="CB165" s="8">
        <f>IF(OR(Tank2!$D$18="EXTERNAL FLOATING ROOF",Tank2!$D$18="INTERNAL FLOATING ROOF"),IF(Tank2!$E85="",0,Tank2!$E85),0)</f>
        <v>0</v>
      </c>
      <c r="CE165" s="8">
        <f>IF(OR(CF165=0,ISNUMBER(MATCH(CF165,$CF$1:CF164,0))),0,MAX($CE$1:CE164)+1)</f>
        <v>0</v>
      </c>
      <c r="CF165" s="8">
        <f>IF(OR(Tank2!$D$18="HORIZONTAL FIXED ROOF",Tank2!$D$18="VERTICAL FIXED ROOF"),IF(Tank2!$E85="",0,Tank2!$E85),0)</f>
        <v>0</v>
      </c>
      <c r="FB165" s="8" t="s">
        <v>670</v>
      </c>
      <c r="FC165" s="8" t="s">
        <v>671</v>
      </c>
      <c r="FD165" s="8">
        <v>600</v>
      </c>
      <c r="FE165" s="8">
        <v>60</v>
      </c>
    </row>
    <row r="166" spans="79:161" ht="74.25" customHeight="1" x14ac:dyDescent="0.2">
      <c r="CA166">
        <f>IF(OR(CB166=0,ISNUMBER(MATCH(CB166,$CB$1:CB165,0))),0,MAX($CA$1:CA165)+1)</f>
        <v>0</v>
      </c>
      <c r="CB166" s="8">
        <f>IF(OR(Tank2!$D$18="EXTERNAL FLOATING ROOF",Tank2!$D$18="INTERNAL FLOATING ROOF"),IF(Tank2!$E86="",0,Tank2!$E86),0)</f>
        <v>0</v>
      </c>
      <c r="CE166" s="8">
        <f>IF(OR(CF166=0,ISNUMBER(MATCH(CF166,$CF$1:CF165,0))),0,MAX($CE$1:CE165)+1)</f>
        <v>0</v>
      </c>
      <c r="CF166" s="8">
        <f>IF(OR(Tank2!$D$18="HORIZONTAL FIXED ROOF",Tank2!$D$18="VERTICAL FIXED ROOF"),IF(Tank2!$E86="",0,Tank2!$E86),0)</f>
        <v>0</v>
      </c>
      <c r="FB166" s="8" t="s">
        <v>672</v>
      </c>
      <c r="FC166" s="8" t="s">
        <v>673</v>
      </c>
      <c r="FD166" s="8">
        <v>45</v>
      </c>
      <c r="FE166" s="8">
        <v>4.5</v>
      </c>
    </row>
    <row r="167" spans="79:161" ht="74.25" customHeight="1" x14ac:dyDescent="0.2">
      <c r="CA167">
        <f>IF(OR(CB167=0,ISNUMBER(MATCH(CB167,$CB$1:CB166,0))),0,MAX($CA$1:CA166)+1)</f>
        <v>0</v>
      </c>
      <c r="CB167" s="8">
        <f>IF(OR(Tank2!$D$18="EXTERNAL FLOATING ROOF",Tank2!$D$18="INTERNAL FLOATING ROOF"),IF(Tank2!$E87="",0,Tank2!$E87),0)</f>
        <v>0</v>
      </c>
      <c r="CE167" s="8">
        <f>IF(OR(CF167=0,ISNUMBER(MATCH(CF167,$CF$1:CF166,0))),0,MAX($CE$1:CE166)+1)</f>
        <v>0</v>
      </c>
      <c r="CF167" s="8">
        <f>IF(OR(Tank2!$D$18="HORIZONTAL FIXED ROOF",Tank2!$D$18="VERTICAL FIXED ROOF"),IF(Tank2!$E87="",0,Tank2!$E87),0)</f>
        <v>0</v>
      </c>
      <c r="FB167" s="8" t="s">
        <v>674</v>
      </c>
      <c r="FC167" s="8" t="s">
        <v>675</v>
      </c>
      <c r="FD167" s="8">
        <v>4400</v>
      </c>
      <c r="FE167" s="8">
        <v>54</v>
      </c>
    </row>
    <row r="168" spans="79:161" ht="74.25" customHeight="1" x14ac:dyDescent="0.2">
      <c r="CA168">
        <f>IF(OR(CB168=0,ISNUMBER(MATCH(CB168,$CB$1:CB167,0))),0,MAX($CA$1:CA167)+1)</f>
        <v>0</v>
      </c>
      <c r="CB168" s="8">
        <f>IF(OR(Tank2!$D$18="EXTERNAL FLOATING ROOF",Tank2!$D$18="INTERNAL FLOATING ROOF"),IF(Tank2!$E88="",0,Tank2!$E88),0)</f>
        <v>0</v>
      </c>
      <c r="CE168" s="8">
        <f>IF(OR(CF168=0,ISNUMBER(MATCH(CF168,$CF$1:CF167,0))),0,MAX($CE$1:CE167)+1)</f>
        <v>0</v>
      </c>
      <c r="CF168" s="8">
        <f>IF(OR(Tank2!$D$18="HORIZONTAL FIXED ROOF",Tank2!$D$18="VERTICAL FIXED ROOF"),IF(Tank2!$E88="",0,Tank2!$E88),0)</f>
        <v>0</v>
      </c>
      <c r="FB168" s="8" t="s">
        <v>676</v>
      </c>
      <c r="FC168" s="8" t="s">
        <v>677</v>
      </c>
      <c r="FD168" s="8">
        <v>50</v>
      </c>
      <c r="FE168" s="8">
        <v>5</v>
      </c>
    </row>
    <row r="169" spans="79:161" ht="74.25" customHeight="1" x14ac:dyDescent="0.2">
      <c r="CA169">
        <f>IF(OR(CB169=0,ISNUMBER(MATCH(CB169,$CB$1:CB168,0))),0,MAX($CA$1:CA168)+1)</f>
        <v>0</v>
      </c>
      <c r="CB169" s="8">
        <f>IF(OR(Tank2!$D$18="EXTERNAL FLOATING ROOF",Tank2!$D$18="INTERNAL FLOATING ROOF"),IF(Tank2!$E89="",0,Tank2!$E89),0)</f>
        <v>0</v>
      </c>
      <c r="CE169" s="8">
        <f>IF(OR(CF169=0,ISNUMBER(MATCH(CF169,$CF$1:CF168,0))),0,MAX($CE$1:CE168)+1)</f>
        <v>0</v>
      </c>
      <c r="CF169" s="8">
        <f>IF(OR(Tank2!$D$18="HORIZONTAL FIXED ROOF",Tank2!$D$18="VERTICAL FIXED ROOF"),IF(Tank2!$E89="",0,Tank2!$E89),0)</f>
        <v>0</v>
      </c>
      <c r="FB169" s="8" t="s">
        <v>678</v>
      </c>
      <c r="FC169" s="8" t="s">
        <v>679</v>
      </c>
      <c r="FD169" s="8">
        <v>1250</v>
      </c>
      <c r="FE169" s="8">
        <v>125</v>
      </c>
    </row>
    <row r="170" spans="79:161" ht="74.25" customHeight="1" x14ac:dyDescent="0.2">
      <c r="CA170">
        <f>IF(OR(CB170=0,ISNUMBER(MATCH(CB170,$CB$1:CB169,0))),0,MAX($CA$1:CA169)+1)</f>
        <v>0</v>
      </c>
      <c r="CB170" s="8">
        <f>IF(OR(Tank2!$D$18="EXTERNAL FLOATING ROOF",Tank2!$D$18="INTERNAL FLOATING ROOF"),IF(Tank2!$E90="",0,Tank2!$E90),0)</f>
        <v>0</v>
      </c>
      <c r="CE170" s="8">
        <f>IF(OR(CF170=0,ISNUMBER(MATCH(CF170,$CF$1:CF169,0))),0,MAX($CE$1:CE169)+1)</f>
        <v>0</v>
      </c>
      <c r="CF170" s="8">
        <f>IF(OR(Tank2!$D$18="HORIZONTAL FIXED ROOF",Tank2!$D$18="VERTICAL FIXED ROOF"),IF(Tank2!$E90="",0,Tank2!$E90),0)</f>
        <v>0</v>
      </c>
      <c r="FB170" s="8" t="s">
        <v>680</v>
      </c>
      <c r="FC170" s="8" t="s">
        <v>681</v>
      </c>
      <c r="FD170" s="8">
        <v>400</v>
      </c>
      <c r="FE170" s="8">
        <v>40</v>
      </c>
    </row>
    <row r="171" spans="79:161" ht="74.25" customHeight="1" x14ac:dyDescent="0.2">
      <c r="CA171">
        <f>IF(OR(CB171=0,ISNUMBER(MATCH(CB171,$CB$1:CB170,0))),0,MAX($CA$1:CA170)+1)</f>
        <v>0</v>
      </c>
      <c r="CB171" s="8">
        <f>IF(OR(Tank2!$D$18="EXTERNAL FLOATING ROOF",Tank2!$D$18="INTERNAL FLOATING ROOF"),IF(Tank2!$E91="",0,Tank2!$E91),0)</f>
        <v>0</v>
      </c>
      <c r="CE171" s="8">
        <f>IF(OR(CF171=0,ISNUMBER(MATCH(CF171,$CF$1:CF170,0))),0,MAX($CE$1:CE170)+1)</f>
        <v>0</v>
      </c>
      <c r="CF171" s="8">
        <f>IF(OR(Tank2!$D$18="HORIZONTAL FIXED ROOF",Tank2!$D$18="VERTICAL FIXED ROOF"),IF(Tank2!$E91="",0,Tank2!$E91),0)</f>
        <v>0</v>
      </c>
      <c r="FB171" s="8" t="s">
        <v>682</v>
      </c>
      <c r="FC171" s="8" t="s">
        <v>683</v>
      </c>
      <c r="FD171" s="8">
        <v>2450</v>
      </c>
      <c r="FE171" s="8">
        <v>245</v>
      </c>
    </row>
    <row r="172" spans="79:161" ht="74.25" customHeight="1" x14ac:dyDescent="0.2">
      <c r="CA172">
        <f>IF(OR(CB172=0,ISNUMBER(MATCH(CB172,$CB$1:CB171,0))),0,MAX($CA$1:CA171)+1)</f>
        <v>0</v>
      </c>
      <c r="CB172" s="8">
        <f>IF(OR(Tank2!$D$18="EXTERNAL FLOATING ROOF",Tank2!$D$18="INTERNAL FLOATING ROOF"),IF(Tank2!$E92="",0,Tank2!$E92),0)</f>
        <v>0</v>
      </c>
      <c r="CE172" s="8">
        <f>IF(OR(CF172=0,ISNUMBER(MATCH(CF172,$CF$1:CF171,0))),0,MAX($CE$1:CE171)+1)</f>
        <v>0</v>
      </c>
      <c r="CF172" s="8">
        <f>IF(OR(Tank2!$D$18="HORIZONTAL FIXED ROOF",Tank2!$D$18="VERTICAL FIXED ROOF"),IF(Tank2!$E92="",0,Tank2!$E92),0)</f>
        <v>0</v>
      </c>
      <c r="FB172" s="8" t="s">
        <v>684</v>
      </c>
      <c r="FC172" s="8" t="s">
        <v>685</v>
      </c>
      <c r="FD172" s="8">
        <v>2450</v>
      </c>
      <c r="FE172" s="8">
        <v>245</v>
      </c>
    </row>
    <row r="173" spans="79:161" ht="74.25" customHeight="1" x14ac:dyDescent="0.2">
      <c r="CA173">
        <f>IF(OR(CB173=0,ISNUMBER(MATCH(CB173,$CB$1:CB172,0))),0,MAX($CA$1:CA172)+1)</f>
        <v>0</v>
      </c>
      <c r="CB173" s="8">
        <f>IF(OR(Tank2!$D$18="EXTERNAL FLOATING ROOF",Tank2!$D$18="INTERNAL FLOATING ROOF"),IF(Tank2!$E93="",0,Tank2!$E93),0)</f>
        <v>0</v>
      </c>
      <c r="CE173" s="8">
        <f>IF(OR(CF173=0,ISNUMBER(MATCH(CF173,$CF$1:CF172,0))),0,MAX($CE$1:CE172)+1)</f>
        <v>0</v>
      </c>
      <c r="CF173" s="8">
        <f>IF(OR(Tank2!$D$18="HORIZONTAL FIXED ROOF",Tank2!$D$18="VERTICAL FIXED ROOF"),IF(Tank2!$E93="",0,Tank2!$E93),0)</f>
        <v>0</v>
      </c>
      <c r="FB173" s="8" t="s">
        <v>686</v>
      </c>
      <c r="FC173" s="8" t="s">
        <v>687</v>
      </c>
      <c r="FD173" s="8">
        <v>18</v>
      </c>
      <c r="FE173" s="8">
        <v>1.8</v>
      </c>
    </row>
    <row r="174" spans="79:161" ht="74.25" customHeight="1" x14ac:dyDescent="0.2">
      <c r="CA174">
        <f>IF(OR(CB174=0,ISNUMBER(MATCH(CB174,$CB$1:CB173,0))),0,MAX($CA$1:CA173)+1)</f>
        <v>0</v>
      </c>
      <c r="CB174" s="8">
        <f>IF(OR(Tank2!$D$18="EXTERNAL FLOATING ROOF",Tank2!$D$18="INTERNAL FLOATING ROOF"),IF(Tank2!$E94="",0,Tank2!$E94),0)</f>
        <v>0</v>
      </c>
      <c r="CE174" s="8">
        <f>IF(OR(CF174=0,ISNUMBER(MATCH(CF174,$CF$1:CF173,0))),0,MAX($CE$1:CE173)+1)</f>
        <v>0</v>
      </c>
      <c r="CF174" s="8">
        <f>IF(OR(Tank2!$D$18="HORIZONTAL FIXED ROOF",Tank2!$D$18="VERTICAL FIXED ROOF"),IF(Tank2!$E94="",0,Tank2!$E94),0)</f>
        <v>0</v>
      </c>
      <c r="FB174" s="8" t="s">
        <v>688</v>
      </c>
      <c r="FC174" s="8" t="s">
        <v>689</v>
      </c>
      <c r="FD174" s="8">
        <v>50</v>
      </c>
      <c r="FE174" s="8">
        <v>5</v>
      </c>
    </row>
    <row r="175" spans="79:161" ht="74.25" customHeight="1" x14ac:dyDescent="0.2">
      <c r="CA175">
        <f>IF(OR(CB175=0,ISNUMBER(MATCH(CB175,$CB$1:CB174,0))),0,MAX($CA$1:CA174)+1)</f>
        <v>0</v>
      </c>
      <c r="CB175" s="8">
        <f>IF(OR(Tank2!$D$18="EXTERNAL FLOATING ROOF",Tank2!$D$18="INTERNAL FLOATING ROOF"),IF(Tank2!$E95="",0,Tank2!$E95),0)</f>
        <v>0</v>
      </c>
      <c r="CE175" s="8">
        <f>IF(OR(CF175=0,ISNUMBER(MATCH(CF175,$CF$1:CF174,0))),0,MAX($CE$1:CE174)+1)</f>
        <v>0</v>
      </c>
      <c r="CF175" s="8">
        <f>IF(OR(Tank2!$D$18="HORIZONTAL FIXED ROOF",Tank2!$D$18="VERTICAL FIXED ROOF"),IF(Tank2!$E95="",0,Tank2!$E95),0)</f>
        <v>0</v>
      </c>
      <c r="FB175" s="8" t="s">
        <v>690</v>
      </c>
      <c r="FC175" s="8" t="s">
        <v>691</v>
      </c>
      <c r="FD175" s="8">
        <v>400</v>
      </c>
      <c r="FE175" s="8">
        <v>40</v>
      </c>
    </row>
    <row r="176" spans="79:161" ht="74.25" customHeight="1" x14ac:dyDescent="0.2">
      <c r="CA176">
        <f>IF(OR(CB176=0,ISNUMBER(MATCH(CB176,$CB$1:CB175,0))),0,MAX($CA$1:CA175)+1)</f>
        <v>0</v>
      </c>
      <c r="CB176" s="8">
        <f>IF(OR(Tank2!$D$18="EXTERNAL FLOATING ROOF",Tank2!$D$18="INTERNAL FLOATING ROOF"),IF(Tank2!$E96="",0,Tank2!$E96),0)</f>
        <v>0</v>
      </c>
      <c r="CE176" s="8">
        <f>IF(OR(CF176=0,ISNUMBER(MATCH(CF176,$CF$1:CF175,0))),0,MAX($CE$1:CE175)+1)</f>
        <v>0</v>
      </c>
      <c r="CF176" s="8">
        <f>IF(OR(Tank2!$D$18="HORIZONTAL FIXED ROOF",Tank2!$D$18="VERTICAL FIXED ROOF"),IF(Tank2!$E96="",0,Tank2!$E96),0)</f>
        <v>0</v>
      </c>
      <c r="FB176" s="8" t="s">
        <v>692</v>
      </c>
      <c r="FC176" s="8" t="s">
        <v>693</v>
      </c>
      <c r="FD176" s="8">
        <v>2000</v>
      </c>
      <c r="FE176" s="8">
        <v>200</v>
      </c>
    </row>
    <row r="177" spans="79:161" ht="74.25" customHeight="1" x14ac:dyDescent="0.2">
      <c r="CA177">
        <f>IF(OR(CB177=0,ISNUMBER(MATCH(CB177,$CB$1:CB176,0))),0,MAX($CA$1:CA176)+1)</f>
        <v>0</v>
      </c>
      <c r="CB177" s="8">
        <f>IF(OR(Tank2!$D$18="EXTERNAL FLOATING ROOF",Tank2!$D$18="INTERNAL FLOATING ROOF"),IF(Tank2!$E97="",0,Tank2!$E97),0)</f>
        <v>0</v>
      </c>
      <c r="CE177" s="8">
        <f>IF(OR(CF177=0,ISNUMBER(MATCH(CF177,$CF$1:CF176,0))),0,MAX($CE$1:CE176)+1)</f>
        <v>0</v>
      </c>
      <c r="CF177" s="8">
        <f>IF(OR(Tank2!$D$18="HORIZONTAL FIXED ROOF",Tank2!$D$18="VERTICAL FIXED ROOF"),IF(Tank2!$E97="",0,Tank2!$E97),0)</f>
        <v>0</v>
      </c>
      <c r="FB177" s="8" t="s">
        <v>694</v>
      </c>
      <c r="FC177" s="8" t="s">
        <v>695</v>
      </c>
      <c r="FD177" s="8">
        <v>2450</v>
      </c>
      <c r="FE177" s="8">
        <v>245</v>
      </c>
    </row>
    <row r="178" spans="79:161" ht="74.25" customHeight="1" x14ac:dyDescent="0.2">
      <c r="CA178">
        <f>IF(OR(CB178=0,ISNUMBER(MATCH(CB178,$CB$1:CB177,0))),0,MAX($CA$1:CA177)+1)</f>
        <v>0</v>
      </c>
      <c r="CB178" s="8">
        <f>IF(OR(Tank2!$D$18="EXTERNAL FLOATING ROOF",Tank2!$D$18="INTERNAL FLOATING ROOF"),IF(Tank2!$E98="",0,Tank2!$E98),0)</f>
        <v>0</v>
      </c>
      <c r="CE178" s="8">
        <f>IF(OR(CF178=0,ISNUMBER(MATCH(CF178,$CF$1:CF177,0))),0,MAX($CE$1:CE177)+1)</f>
        <v>0</v>
      </c>
      <c r="CF178" s="8">
        <f>IF(OR(Tank2!$D$18="HORIZONTAL FIXED ROOF",Tank2!$D$18="VERTICAL FIXED ROOF"),IF(Tank2!$E98="",0,Tank2!$E98),0)</f>
        <v>0</v>
      </c>
      <c r="FB178" s="8" t="s">
        <v>696</v>
      </c>
      <c r="FC178" s="8" t="s">
        <v>697</v>
      </c>
      <c r="FD178" s="8">
        <v>2450</v>
      </c>
      <c r="FE178" s="8">
        <v>245</v>
      </c>
    </row>
    <row r="179" spans="79:161" ht="74.25" customHeight="1" x14ac:dyDescent="0.2">
      <c r="CA179">
        <f>IF(OR(CB179=0,ISNUMBER(MATCH(CB179,$CB$1:CB178,0))),0,MAX($CA$1:CA178)+1)</f>
        <v>0</v>
      </c>
      <c r="CB179" s="8">
        <f>IF(OR(Tank2!$D$18="EXTERNAL FLOATING ROOF",Tank2!$D$18="INTERNAL FLOATING ROOF"),IF(Tank2!$E99="",0,Tank2!$E99),0)</f>
        <v>0</v>
      </c>
      <c r="CE179" s="8">
        <f>IF(OR(CF179=0,ISNUMBER(MATCH(CF179,$CF$1:CF178,0))),0,MAX($CE$1:CE178)+1)</f>
        <v>0</v>
      </c>
      <c r="CF179" s="8">
        <f>IF(OR(Tank2!$D$18="HORIZONTAL FIXED ROOF",Tank2!$D$18="VERTICAL FIXED ROOF"),IF(Tank2!$E99="",0,Tank2!$E99),0)</f>
        <v>0</v>
      </c>
      <c r="FB179" s="8" t="s">
        <v>698</v>
      </c>
      <c r="FC179" s="8" t="s">
        <v>699</v>
      </c>
      <c r="FD179" s="8">
        <v>4400</v>
      </c>
      <c r="FE179" s="8">
        <v>54</v>
      </c>
    </row>
    <row r="180" spans="79:161" ht="74.25" customHeight="1" x14ac:dyDescent="0.2">
      <c r="CA180">
        <f>IF(OR(CB180=0,ISNUMBER(MATCH(CB180,$CB$1:CB179,0))),0,MAX($CA$1:CA179)+1)</f>
        <v>0</v>
      </c>
      <c r="CB180" s="8">
        <f>IF(OR(Tank2!$D$18="EXTERNAL FLOATING ROOF",Tank2!$D$18="INTERNAL FLOATING ROOF"),IF(Tank2!$E100="",0,Tank2!$E100),0)</f>
        <v>0</v>
      </c>
      <c r="CE180" s="8">
        <f>IF(OR(CF180=0,ISNUMBER(MATCH(CF180,$CF$1:CF179,0))),0,MAX($CE$1:CE179)+1)</f>
        <v>0</v>
      </c>
      <c r="CF180" s="8">
        <f>IF(OR(Tank2!$D$18="HORIZONTAL FIXED ROOF",Tank2!$D$18="VERTICAL FIXED ROOF"),IF(Tank2!$E100="",0,Tank2!$E100),0)</f>
        <v>0</v>
      </c>
      <c r="FB180" s="8" t="s">
        <v>700</v>
      </c>
      <c r="FC180" s="8" t="s">
        <v>701</v>
      </c>
      <c r="FD180" s="8">
        <v>4400</v>
      </c>
      <c r="FE180" s="8">
        <v>440</v>
      </c>
    </row>
    <row r="181" spans="79:161" ht="74.25" customHeight="1" x14ac:dyDescent="0.2">
      <c r="CA181">
        <f>IF(OR(CB181=0,ISNUMBER(MATCH(CB181,$CB$1:CB180,0))),0,MAX($CA$1:CA180)+1)</f>
        <v>0</v>
      </c>
      <c r="CB181" s="8">
        <f>IF(OR(Tank2!$D$18="EXTERNAL FLOATING ROOF",Tank2!$D$18="INTERNAL FLOATING ROOF"),IF(Tank2!$E101="",0,Tank2!$E101),0)</f>
        <v>0</v>
      </c>
      <c r="CE181" s="8">
        <f>IF(OR(CF181=0,ISNUMBER(MATCH(CF181,$CF$1:CF180,0))),0,MAX($CE$1:CE180)+1)</f>
        <v>0</v>
      </c>
      <c r="CF181" s="8">
        <f>IF(OR(Tank2!$D$18="HORIZONTAL FIXED ROOF",Tank2!$D$18="VERTICAL FIXED ROOF"),IF(Tank2!$E101="",0,Tank2!$E101),0)</f>
        <v>0</v>
      </c>
      <c r="FB181" s="8" t="s">
        <v>702</v>
      </c>
      <c r="FC181" s="8" t="s">
        <v>703</v>
      </c>
      <c r="FD181" s="8">
        <v>50</v>
      </c>
      <c r="FE181" s="8">
        <v>5</v>
      </c>
    </row>
    <row r="182" spans="79:161" ht="74.25" customHeight="1" x14ac:dyDescent="0.2">
      <c r="CA182">
        <f>IF(OR(CB182=0,ISNUMBER(MATCH(CB182,$CB$1:CB181,0))),0,MAX($CA$1:CA181)+1)</f>
        <v>0</v>
      </c>
      <c r="CB182" s="8">
        <f>IF(OR(Tank2!$D$18="EXTERNAL FLOATING ROOF",Tank2!$D$18="INTERNAL FLOATING ROOF"),IF(Tank2!$E102="",0,Tank2!$E102),0)</f>
        <v>0</v>
      </c>
      <c r="CE182" s="8">
        <f>IF(OR(CF182=0,ISNUMBER(MATCH(CF182,$CF$1:CF181,0))),0,MAX($CE$1:CE181)+1)</f>
        <v>0</v>
      </c>
      <c r="CF182" s="8">
        <f>IF(OR(Tank2!$D$18="HORIZONTAL FIXED ROOF",Tank2!$D$18="VERTICAL FIXED ROOF"),IF(Tank2!$E102="",0,Tank2!$E102),0)</f>
        <v>0</v>
      </c>
      <c r="FB182" s="8" t="s">
        <v>704</v>
      </c>
      <c r="FC182" s="8" t="s">
        <v>705</v>
      </c>
      <c r="FD182" s="8">
        <v>50</v>
      </c>
      <c r="FE182" s="8">
        <v>5</v>
      </c>
    </row>
    <row r="183" spans="79:161" ht="74.25" customHeight="1" x14ac:dyDescent="0.2">
      <c r="CA183">
        <f>IF(OR(CB183=0,ISNUMBER(MATCH(CB183,$CB$1:CB182,0))),0,MAX($CA$1:CA182)+1)</f>
        <v>0</v>
      </c>
      <c r="CB183" s="8">
        <f>IF(OR(Tank2!$D$18="EXTERNAL FLOATING ROOF",Tank2!$D$18="INTERNAL FLOATING ROOF"),IF(Tank2!$E103="",0,Tank2!$E103),0)</f>
        <v>0</v>
      </c>
      <c r="CE183" s="8">
        <f>IF(OR(CF183=0,ISNUMBER(MATCH(CF183,$CF$1:CF182,0))),0,MAX($CE$1:CE182)+1)</f>
        <v>0</v>
      </c>
      <c r="CF183" s="8">
        <f>IF(OR(Tank2!$D$18="HORIZONTAL FIXED ROOF",Tank2!$D$18="VERTICAL FIXED ROOF"),IF(Tank2!$E103="",0,Tank2!$E103),0)</f>
        <v>0</v>
      </c>
      <c r="FB183" s="8" t="s">
        <v>706</v>
      </c>
      <c r="FC183" s="8" t="s">
        <v>707</v>
      </c>
      <c r="FD183" s="8">
        <v>50</v>
      </c>
      <c r="FE183" s="8">
        <v>5</v>
      </c>
    </row>
    <row r="184" spans="79:161" ht="74.25" customHeight="1" x14ac:dyDescent="0.2">
      <c r="CA184">
        <f>IF(OR(CB184=0,ISNUMBER(MATCH(CB184,$CB$1:CB183,0))),0,MAX($CA$1:CA183)+1)</f>
        <v>0</v>
      </c>
      <c r="CB184" s="8">
        <f>IF(OR(Tank2!$D$18="EXTERNAL FLOATING ROOF",Tank2!$D$18="INTERNAL FLOATING ROOF"),IF(Tank2!$E104="",0,Tank2!$E104),0)</f>
        <v>0</v>
      </c>
      <c r="CE184" s="8">
        <f>IF(OR(CF184=0,ISNUMBER(MATCH(CF184,$CF$1:CF183,0))),0,MAX($CE$1:CE183)+1)</f>
        <v>0</v>
      </c>
      <c r="CF184" s="8">
        <f>IF(OR(Tank2!$D$18="HORIZONTAL FIXED ROOF",Tank2!$D$18="VERTICAL FIXED ROOF"),IF(Tank2!$E104="",0,Tank2!$E104),0)</f>
        <v>0</v>
      </c>
      <c r="FB184" s="8" t="s">
        <v>708</v>
      </c>
      <c r="FC184" s="8" t="s">
        <v>709</v>
      </c>
      <c r="FD184" s="8">
        <v>50</v>
      </c>
      <c r="FE184" s="8">
        <v>5</v>
      </c>
    </row>
    <row r="185" spans="79:161" ht="74.25" customHeight="1" x14ac:dyDescent="0.2">
      <c r="CA185">
        <f>IF(OR(CB185=0,ISNUMBER(MATCH(CB185,$CB$1:CB184,0))),0,MAX($CA$1:CA184)+1)</f>
        <v>0</v>
      </c>
      <c r="CB185" s="8">
        <f>IF(OR(Tank2!$D$18="EXTERNAL FLOATING ROOF",Tank2!$D$18="INTERNAL FLOATING ROOF"),IF(Tank2!$E105="",0,Tank2!$E105),0)</f>
        <v>0</v>
      </c>
      <c r="CE185" s="8">
        <f>IF(OR(CF185=0,ISNUMBER(MATCH(CF185,$CF$1:CF184,0))),0,MAX($CE$1:CE184)+1)</f>
        <v>0</v>
      </c>
      <c r="CF185" s="8">
        <f>IF(OR(Tank2!$D$18="HORIZONTAL FIXED ROOF",Tank2!$D$18="VERTICAL FIXED ROOF"),IF(Tank2!$E105="",0,Tank2!$E105),0)</f>
        <v>0</v>
      </c>
      <c r="FB185" s="8" t="s">
        <v>710</v>
      </c>
      <c r="FC185" s="8" t="s">
        <v>711</v>
      </c>
      <c r="FD185" s="8">
        <v>50</v>
      </c>
      <c r="FE185" s="8">
        <v>5</v>
      </c>
    </row>
    <row r="186" spans="79:161" ht="74.25" customHeight="1" x14ac:dyDescent="0.2">
      <c r="CA186">
        <f>IF(OR(CB186=0,ISNUMBER(MATCH(CB186,$CB$1:CB185,0))),0,MAX($CA$1:CA185)+1)</f>
        <v>0</v>
      </c>
      <c r="CB186" s="8">
        <f>IF(OR(Tank2!$D$18="EXTERNAL FLOATING ROOF",Tank2!$D$18="INTERNAL FLOATING ROOF"),IF(Tank2!$E106="",0,Tank2!$E106),0)</f>
        <v>0</v>
      </c>
      <c r="CE186" s="8">
        <f>IF(OR(CF186=0,ISNUMBER(MATCH(CF186,$CF$1:CF185,0))),0,MAX($CE$1:CE185)+1)</f>
        <v>0</v>
      </c>
      <c r="CF186" s="8">
        <f>IF(OR(Tank2!$D$18="HORIZONTAL FIXED ROOF",Tank2!$D$18="VERTICAL FIXED ROOF"),IF(Tank2!$E106="",0,Tank2!$E106),0)</f>
        <v>0</v>
      </c>
      <c r="FB186" s="8" t="s">
        <v>712</v>
      </c>
      <c r="FC186" s="8" t="s">
        <v>713</v>
      </c>
      <c r="FD186" s="8">
        <v>50</v>
      </c>
      <c r="FE186" s="8">
        <v>5</v>
      </c>
    </row>
    <row r="187" spans="79:161" ht="74.25" customHeight="1" x14ac:dyDescent="0.2">
      <c r="CA187">
        <f>IF(OR(CB187=0,ISNUMBER(MATCH(CB187,$CB$1:CB186,0))),0,MAX($CA$1:CA186)+1)</f>
        <v>0</v>
      </c>
      <c r="CB187" s="8">
        <f>IF(OR(Tank2!$D$18="EXTERNAL FLOATING ROOF",Tank2!$D$18="INTERNAL FLOATING ROOF"),IF(Tank2!$E107="",0,Tank2!$E107),0)</f>
        <v>0</v>
      </c>
      <c r="CE187" s="8">
        <f>IF(OR(CF187=0,ISNUMBER(MATCH(CF187,$CF$1:CF186,0))),0,MAX($CE$1:CE186)+1)</f>
        <v>0</v>
      </c>
      <c r="CF187" s="8">
        <f>IF(OR(Tank2!$D$18="HORIZONTAL FIXED ROOF",Tank2!$D$18="VERTICAL FIXED ROOF"),IF(Tank2!$E107="",0,Tank2!$E107),0)</f>
        <v>0</v>
      </c>
      <c r="FB187" s="8" t="s">
        <v>714</v>
      </c>
      <c r="FC187" s="8" t="s">
        <v>715</v>
      </c>
      <c r="FD187" s="8">
        <v>50</v>
      </c>
      <c r="FE187" s="8">
        <v>5</v>
      </c>
    </row>
    <row r="188" spans="79:161" ht="74.25" customHeight="1" x14ac:dyDescent="0.2">
      <c r="CA188">
        <f>IF(OR(CB188=0,ISNUMBER(MATCH(CB188,$CB$1:CB187,0))),0,MAX($CA$1:CA187)+1)</f>
        <v>0</v>
      </c>
      <c r="CB188" s="8">
        <f>IF(OR(Tank2!$D$18="EXTERNAL FLOATING ROOF",Tank2!$D$18="INTERNAL FLOATING ROOF"),IF(Tank2!$E108="",0,Tank2!$E108),0)</f>
        <v>0</v>
      </c>
      <c r="CE188" s="8">
        <f>IF(OR(CF188=0,ISNUMBER(MATCH(CF188,$CF$1:CF187,0))),0,MAX($CE$1:CE187)+1)</f>
        <v>0</v>
      </c>
      <c r="CF188" s="8">
        <f>IF(OR(Tank2!$D$18="HORIZONTAL FIXED ROOF",Tank2!$D$18="VERTICAL FIXED ROOF"),IF(Tank2!$E108="",0,Tank2!$E108),0)</f>
        <v>0</v>
      </c>
      <c r="FB188" s="8" t="s">
        <v>716</v>
      </c>
      <c r="FC188" s="8" t="s">
        <v>717</v>
      </c>
      <c r="FD188" s="8">
        <v>50</v>
      </c>
      <c r="FE188" s="8">
        <v>5</v>
      </c>
    </row>
    <row r="189" spans="79:161" ht="74.25" customHeight="1" x14ac:dyDescent="0.2">
      <c r="CA189">
        <f>IF(OR(CB189=0,ISNUMBER(MATCH(CB189,$CB$1:CB188,0))),0,MAX($CA$1:CA188)+1)</f>
        <v>0</v>
      </c>
      <c r="CB189" s="8">
        <f>IF(OR(Tank2!$D$18="EXTERNAL FLOATING ROOF",Tank2!$D$18="INTERNAL FLOATING ROOF"),IF(Tank2!$E109="",0,Tank2!$E109),0)</f>
        <v>0</v>
      </c>
      <c r="CE189" s="8">
        <f>IF(OR(CF189=0,ISNUMBER(MATCH(CF189,$CF$1:CF188,0))),0,MAX($CE$1:CE188)+1)</f>
        <v>0</v>
      </c>
      <c r="CF189" s="8">
        <f>IF(OR(Tank2!$D$18="HORIZONTAL FIXED ROOF",Tank2!$D$18="VERTICAL FIXED ROOF"),IF(Tank2!$E109="",0,Tank2!$E109),0)</f>
        <v>0</v>
      </c>
      <c r="FB189" s="8" t="s">
        <v>718</v>
      </c>
      <c r="FC189" s="8" t="s">
        <v>719</v>
      </c>
      <c r="FD189" s="8">
        <v>50</v>
      </c>
      <c r="FE189" s="8">
        <v>5</v>
      </c>
    </row>
    <row r="190" spans="79:161" ht="74.25" customHeight="1" x14ac:dyDescent="0.2">
      <c r="CA190">
        <f>IF(OR(CB190=0,ISNUMBER(MATCH(CB190,$CB$1:CB189,0))),0,MAX($CA$1:CA189)+1)</f>
        <v>0</v>
      </c>
      <c r="CB190" s="8">
        <f>IF(OR(Tank2!$D$18="EXTERNAL FLOATING ROOF",Tank2!$D$18="INTERNAL FLOATING ROOF"),IF(Tank2!$E110="",0,Tank2!$E110),0)</f>
        <v>0</v>
      </c>
      <c r="CE190" s="8">
        <f>IF(OR(CF190=0,ISNUMBER(MATCH(CF190,$CF$1:CF189,0))),0,MAX($CE$1:CE189)+1)</f>
        <v>0</v>
      </c>
      <c r="CF190" s="8">
        <f>IF(OR(Tank2!$D$18="HORIZONTAL FIXED ROOF",Tank2!$D$18="VERTICAL FIXED ROOF"),IF(Tank2!$E110="",0,Tank2!$E110),0)</f>
        <v>0</v>
      </c>
      <c r="FB190" s="8" t="s">
        <v>720</v>
      </c>
      <c r="FC190" s="8" t="s">
        <v>721</v>
      </c>
      <c r="FD190" s="8">
        <v>50</v>
      </c>
      <c r="FE190" s="8">
        <v>5</v>
      </c>
    </row>
    <row r="191" spans="79:161" ht="74.25" customHeight="1" x14ac:dyDescent="0.2">
      <c r="CA191">
        <f>IF(OR(CB191=0,ISNUMBER(MATCH(CB191,$CB$1:CB190,0))),0,MAX($CA$1:CA190)+1)</f>
        <v>0</v>
      </c>
      <c r="CB191" s="8">
        <f>IF(OR(Tank2!$D$18="EXTERNAL FLOATING ROOF",Tank2!$D$18="INTERNAL FLOATING ROOF"),IF(Tank2!$E111="",0,Tank2!$E111),0)</f>
        <v>0</v>
      </c>
      <c r="CE191" s="8">
        <f>IF(OR(CF191=0,ISNUMBER(MATCH(CF191,$CF$1:CF190,0))),0,MAX($CE$1:CE190)+1)</f>
        <v>0</v>
      </c>
      <c r="CF191" s="8">
        <f>IF(OR(Tank2!$D$18="HORIZONTAL FIXED ROOF",Tank2!$D$18="VERTICAL FIXED ROOF"),IF(Tank2!$E111="",0,Tank2!$E111),0)</f>
        <v>0</v>
      </c>
      <c r="FB191" s="8" t="s">
        <v>722</v>
      </c>
      <c r="FC191" s="8" t="s">
        <v>723</v>
      </c>
      <c r="FD191" s="8">
        <v>50</v>
      </c>
      <c r="FE191" s="8">
        <v>5</v>
      </c>
    </row>
    <row r="192" spans="79:161" ht="74.25" customHeight="1" x14ac:dyDescent="0.2">
      <c r="CA192">
        <f>IF(OR(CB192=0,ISNUMBER(MATCH(CB192,$CB$1:CB191,0))),0,MAX($CA$1:CA191)+1)</f>
        <v>0</v>
      </c>
      <c r="CB192" s="8">
        <f>IF(OR(Tank2!$D$18="EXTERNAL FLOATING ROOF",Tank2!$D$18="INTERNAL FLOATING ROOF"),IF(Tank2!$E112="",0,Tank2!$E112),0)</f>
        <v>0</v>
      </c>
      <c r="CE192" s="8">
        <f>IF(OR(CF192=0,ISNUMBER(MATCH(CF192,$CF$1:CF191,0))),0,MAX($CE$1:CE191)+1)</f>
        <v>0</v>
      </c>
      <c r="CF192" s="8">
        <f>IF(OR(Tank2!$D$18="HORIZONTAL FIXED ROOF",Tank2!$D$18="VERTICAL FIXED ROOF"),IF(Tank2!$E112="",0,Tank2!$E112),0)</f>
        <v>0</v>
      </c>
      <c r="FB192" s="8" t="s">
        <v>724</v>
      </c>
      <c r="FC192" s="8" t="s">
        <v>725</v>
      </c>
      <c r="FD192" s="8">
        <v>50</v>
      </c>
      <c r="FE192" s="8">
        <v>5</v>
      </c>
    </row>
    <row r="193" spans="79:161" ht="74.25" customHeight="1" x14ac:dyDescent="0.2">
      <c r="CA193">
        <f>IF(OR(CB193=0,ISNUMBER(MATCH(CB193,$CB$1:CB192,0))),0,MAX($CA$1:CA192)+1)</f>
        <v>0</v>
      </c>
      <c r="CB193" s="8">
        <f>IF(OR(Tank2!$D$18="EXTERNAL FLOATING ROOF",Tank2!$D$18="INTERNAL FLOATING ROOF"),IF(Tank2!$E113="",0,Tank2!$E113),0)</f>
        <v>0</v>
      </c>
      <c r="CE193" s="8">
        <f>IF(OR(CF193=0,ISNUMBER(MATCH(CF193,$CF$1:CF192,0))),0,MAX($CE$1:CE192)+1)</f>
        <v>0</v>
      </c>
      <c r="CF193" s="8">
        <f>IF(OR(Tank2!$D$18="HORIZONTAL FIXED ROOF",Tank2!$D$18="VERTICAL FIXED ROOF"),IF(Tank2!$E113="",0,Tank2!$E113),0)</f>
        <v>0</v>
      </c>
      <c r="FB193" s="8" t="s">
        <v>726</v>
      </c>
      <c r="FC193" s="8" t="s">
        <v>727</v>
      </c>
      <c r="FD193" s="8">
        <v>50</v>
      </c>
      <c r="FE193" s="8">
        <v>5</v>
      </c>
    </row>
    <row r="194" spans="79:161" ht="74.25" customHeight="1" x14ac:dyDescent="0.2">
      <c r="CA194">
        <f>IF(OR(CB194=0,ISNUMBER(MATCH(CB194,$CB$1:CB193,0))),0,MAX($CA$1:CA193)+1)</f>
        <v>0</v>
      </c>
      <c r="CB194" s="8">
        <f>IF(OR(Tank2!$D$18="EXTERNAL FLOATING ROOF",Tank2!$D$18="INTERNAL FLOATING ROOF"),IF(Tank2!$E114="",0,Tank2!$E114),0)</f>
        <v>0</v>
      </c>
      <c r="CE194" s="8">
        <f>IF(OR(CF194=0,ISNUMBER(MATCH(CF194,$CF$1:CF193,0))),0,MAX($CE$1:CE193)+1)</f>
        <v>0</v>
      </c>
      <c r="CF194" s="8">
        <f>IF(OR(Tank2!$D$18="HORIZONTAL FIXED ROOF",Tank2!$D$18="VERTICAL FIXED ROOF"),IF(Tank2!$E114="",0,Tank2!$E114),0)</f>
        <v>0</v>
      </c>
      <c r="FB194" s="8" t="s">
        <v>728</v>
      </c>
      <c r="FC194" s="8" t="s">
        <v>729</v>
      </c>
      <c r="FD194" s="8">
        <v>50</v>
      </c>
      <c r="FE194" s="8">
        <v>5</v>
      </c>
    </row>
    <row r="195" spans="79:161" ht="74.25" customHeight="1" x14ac:dyDescent="0.2">
      <c r="CA195">
        <f>IF(OR(CB195=0,ISNUMBER(MATCH(CB195,$CB$1:CB194,0))),0,MAX($CA$1:CA194)+1)</f>
        <v>0</v>
      </c>
      <c r="CB195" s="8">
        <f>IF(OR(Tank2!$D$18="EXTERNAL FLOATING ROOF",Tank2!$D$18="INTERNAL FLOATING ROOF"),IF(Tank2!$E115="",0,Tank2!$E115),0)</f>
        <v>0</v>
      </c>
      <c r="CE195" s="8">
        <f>IF(OR(CF195=0,ISNUMBER(MATCH(CF195,$CF$1:CF194,0))),0,MAX($CE$1:CE194)+1)</f>
        <v>0</v>
      </c>
      <c r="CF195" s="8">
        <f>IF(OR(Tank2!$D$18="HORIZONTAL FIXED ROOF",Tank2!$D$18="VERTICAL FIXED ROOF"),IF(Tank2!$E115="",0,Tank2!$E115),0)</f>
        <v>0</v>
      </c>
      <c r="FB195" s="8" t="s">
        <v>730</v>
      </c>
      <c r="FC195" s="8" t="s">
        <v>731</v>
      </c>
      <c r="FD195" s="8">
        <v>350</v>
      </c>
      <c r="FE195" s="8">
        <v>35</v>
      </c>
    </row>
    <row r="196" spans="79:161" ht="74.25" customHeight="1" x14ac:dyDescent="0.2">
      <c r="CA196">
        <f>IF(OR(CB196=0,ISNUMBER(MATCH(CB196,$CB$1:CB195,0))),0,MAX($CA$1:CA195)+1)</f>
        <v>0</v>
      </c>
      <c r="CB196" s="8">
        <f>IF(OR(Tank2!$D$18="EXTERNAL FLOATING ROOF",Tank2!$D$18="INTERNAL FLOATING ROOF"),IF(Tank2!$E116="",0,Tank2!$E116),0)</f>
        <v>0</v>
      </c>
      <c r="CE196" s="8">
        <f>IF(OR(CF196=0,ISNUMBER(MATCH(CF196,$CF$1:CF195,0))),0,MAX($CE$1:CE195)+1)</f>
        <v>0</v>
      </c>
      <c r="CF196" s="8">
        <f>IF(OR(Tank2!$D$18="HORIZONTAL FIXED ROOF",Tank2!$D$18="VERTICAL FIXED ROOF"),IF(Tank2!$E116="",0,Tank2!$E116),0)</f>
        <v>0</v>
      </c>
      <c r="FB196" s="8" t="s">
        <v>732</v>
      </c>
      <c r="FC196" s="8" t="s">
        <v>733</v>
      </c>
      <c r="FD196" s="8">
        <v>290</v>
      </c>
      <c r="FE196" s="8">
        <v>29</v>
      </c>
    </row>
    <row r="197" spans="79:161" ht="74.25" customHeight="1" x14ac:dyDescent="0.2">
      <c r="CA197">
        <f>IF(OR(CB197=0,ISNUMBER(MATCH(CB197,$CB$1:CB196,0))),0,MAX($CA$1:CA196)+1)</f>
        <v>0</v>
      </c>
      <c r="CB197" s="8">
        <f>IF(OR(Tank2!$D$18="EXTERNAL FLOATING ROOF",Tank2!$D$18="INTERNAL FLOATING ROOF"),IF(Tank2!$E117="",0,Tank2!$E117),0)</f>
        <v>0</v>
      </c>
      <c r="CE197" s="8">
        <f>IF(OR(CF197=0,ISNUMBER(MATCH(CF197,$CF$1:CF196,0))),0,MAX($CE$1:CE196)+1)</f>
        <v>0</v>
      </c>
      <c r="CF197" s="8">
        <f>IF(OR(Tank2!$D$18="HORIZONTAL FIXED ROOF",Tank2!$D$18="VERTICAL FIXED ROOF"),IF(Tank2!$E117="",0,Tank2!$E117),0)</f>
        <v>0</v>
      </c>
      <c r="FB197" s="8" t="s">
        <v>734</v>
      </c>
      <c r="FC197" s="8" t="s">
        <v>735</v>
      </c>
      <c r="FD197" s="8">
        <v>50</v>
      </c>
      <c r="FE197" s="8">
        <v>5</v>
      </c>
    </row>
    <row r="198" spans="79:161" ht="74.25" customHeight="1" x14ac:dyDescent="0.2">
      <c r="CA198">
        <f>IF(OR(CB198=0,ISNUMBER(MATCH(CB198,$CB$1:CB197,0))),0,MAX($CA$1:CA197)+1)</f>
        <v>0</v>
      </c>
      <c r="CB198" s="8">
        <f>IF(OR(Tank2!$D$18="EXTERNAL FLOATING ROOF",Tank2!$D$18="INTERNAL FLOATING ROOF"),IF(Tank2!$E118="",0,Tank2!$E118),0)</f>
        <v>0</v>
      </c>
      <c r="CE198" s="8">
        <f>IF(OR(CF198=0,ISNUMBER(MATCH(CF198,$CF$1:CF197,0))),0,MAX($CE$1:CE197)+1)</f>
        <v>0</v>
      </c>
      <c r="CF198" s="8">
        <f>IF(OR(Tank2!$D$18="HORIZONTAL FIXED ROOF",Tank2!$D$18="VERTICAL FIXED ROOF"),IF(Tank2!$E118="",0,Tank2!$E118),0)</f>
        <v>0</v>
      </c>
      <c r="FB198" s="8" t="s">
        <v>736</v>
      </c>
      <c r="FC198" s="8" t="s">
        <v>737</v>
      </c>
      <c r="FD198" s="8">
        <v>1100</v>
      </c>
      <c r="FE198" s="8">
        <v>9.9</v>
      </c>
    </row>
    <row r="199" spans="79:161" ht="74.25" customHeight="1" x14ac:dyDescent="0.2">
      <c r="CA199">
        <f>IF(OR(CB199=0,ISNUMBER(MATCH(CB199,$CB$1:CB198,0))),0,MAX($CA$1:CA198)+1)</f>
        <v>0</v>
      </c>
      <c r="CB199" s="8">
        <f>IF(OR(Tank2!$D$18="EXTERNAL FLOATING ROOF",Tank2!$D$18="INTERNAL FLOATING ROOF"),IF(Tank2!$E119="",0,Tank2!$E119),0)</f>
        <v>0</v>
      </c>
      <c r="CE199" s="8">
        <f>IF(OR(CF199=0,ISNUMBER(MATCH(CF199,$CF$1:CF198,0))),0,MAX($CE$1:CE198)+1)</f>
        <v>0</v>
      </c>
      <c r="CF199" s="8">
        <f>IF(OR(Tank2!$D$18="HORIZONTAL FIXED ROOF",Tank2!$D$18="VERTICAL FIXED ROOF"),IF(Tank2!$E119="",0,Tank2!$E119),0)</f>
        <v>0</v>
      </c>
      <c r="FB199" s="8" t="s">
        <v>738</v>
      </c>
      <c r="FC199" s="8" t="s">
        <v>739</v>
      </c>
      <c r="FD199" s="8">
        <v>2100</v>
      </c>
      <c r="FE199" s="8">
        <v>210</v>
      </c>
    </row>
    <row r="200" spans="79:161" ht="74.25" customHeight="1" x14ac:dyDescent="0.2">
      <c r="CA200">
        <f>IF(OR(CB200=0,ISNUMBER(MATCH(CB200,$CB$1:CB199,0))),0,MAX($CA$1:CA199)+1)</f>
        <v>0</v>
      </c>
      <c r="CB200" s="8">
        <f>IF(OR(Tank2!$D$18="EXTERNAL FLOATING ROOF",Tank2!$D$18="INTERNAL FLOATING ROOF"),IF(Tank2!$E120="",0,Tank2!$E120),0)</f>
        <v>0</v>
      </c>
      <c r="CE200" s="8">
        <f>IF(OR(CF200=0,ISNUMBER(MATCH(CF200,$CF$1:CF199,0))),0,MAX($CE$1:CE199)+1)</f>
        <v>0</v>
      </c>
      <c r="CF200" s="8">
        <f>IF(OR(Tank2!$D$18="HORIZONTAL FIXED ROOF",Tank2!$D$18="VERTICAL FIXED ROOF"),IF(Tank2!$E120="",0,Tank2!$E120),0)</f>
        <v>0</v>
      </c>
      <c r="FB200" s="8" t="s">
        <v>740</v>
      </c>
      <c r="FC200" s="8" t="s">
        <v>741</v>
      </c>
      <c r="FD200" s="8">
        <v>250</v>
      </c>
      <c r="FE200" s="8">
        <v>25</v>
      </c>
    </row>
    <row r="201" spans="79:161" ht="74.25" customHeight="1" x14ac:dyDescent="0.2">
      <c r="CA201">
        <f>IF(OR(CB201=0,ISNUMBER(MATCH(CB201,$CB$1:CB200,0))),0,MAX($CA$1:CA200)+1)</f>
        <v>0</v>
      </c>
      <c r="CB201" s="8">
        <f>IF(OR(Tank2!$D$18="EXTERNAL FLOATING ROOF",Tank2!$D$18="INTERNAL FLOATING ROOF"),IF(Tank2!$E121="",0,Tank2!$E121),0)</f>
        <v>0</v>
      </c>
      <c r="CE201" s="8">
        <f>IF(OR(CF201=0,ISNUMBER(MATCH(CF201,$CF$1:CF200,0))),0,MAX($CE$1:CE200)+1)</f>
        <v>0</v>
      </c>
      <c r="CF201" s="8">
        <f>IF(OR(Tank2!$D$18="HORIZONTAL FIXED ROOF",Tank2!$D$18="VERTICAL FIXED ROOF"),IF(Tank2!$E121="",0,Tank2!$E121),0)</f>
        <v>0</v>
      </c>
      <c r="FB201" s="8" t="s">
        <v>742</v>
      </c>
      <c r="FC201" s="8" t="s">
        <v>743</v>
      </c>
      <c r="FD201" s="8">
        <v>2340</v>
      </c>
      <c r="FE201" s="8">
        <v>234</v>
      </c>
    </row>
    <row r="202" spans="79:161" ht="74.25" customHeight="1" x14ac:dyDescent="0.2">
      <c r="CA202">
        <f>IF(OR(CB202=0,ISNUMBER(MATCH(CB202,$CB$1:CB201,0))),0,MAX($CA$1:CA201)+1)</f>
        <v>0</v>
      </c>
      <c r="CB202" s="8">
        <f>IF(OR(Tank2!$D$18="EXTERNAL FLOATING ROOF",Tank2!$D$18="INTERNAL FLOATING ROOF"),IF(Tank2!$E122="",0,Tank2!$E122),0)</f>
        <v>0</v>
      </c>
      <c r="CE202" s="8">
        <f>IF(OR(CF202=0,ISNUMBER(MATCH(CF202,$CF$1:CF201,0))),0,MAX($CE$1:CE201)+1)</f>
        <v>0</v>
      </c>
      <c r="CF202" s="8">
        <f>IF(OR(Tank2!$D$18="HORIZONTAL FIXED ROOF",Tank2!$D$18="VERTICAL FIXED ROOF"),IF(Tank2!$E122="",0,Tank2!$E122),0)</f>
        <v>0</v>
      </c>
      <c r="FB202" s="8" t="s">
        <v>744</v>
      </c>
      <c r="FC202" s="8" t="s">
        <v>745</v>
      </c>
      <c r="FD202" s="8">
        <v>1000</v>
      </c>
      <c r="FE202" s="8">
        <v>100</v>
      </c>
    </row>
    <row r="203" spans="79:161" ht="74.25" customHeight="1" x14ac:dyDescent="0.2">
      <c r="CA203">
        <f>IF(OR(CB203=0,ISNUMBER(MATCH(CB203,$CB$1:CB202,0))),0,MAX($CA$1:CA202)+1)</f>
        <v>0</v>
      </c>
      <c r="CB203" s="8">
        <f>IF(OR(Tank2!$D$18="EXTERNAL FLOATING ROOF",Tank2!$D$18="INTERNAL FLOATING ROOF"),IF(Tank2!$E123="",0,Tank2!$E123),0)</f>
        <v>0</v>
      </c>
      <c r="CE203" s="8">
        <f>IF(OR(CF203=0,ISNUMBER(MATCH(CF203,$CF$1:CF202,0))),0,MAX($CE$1:CE202)+1)</f>
        <v>0</v>
      </c>
      <c r="CF203" s="8">
        <f>IF(OR(Tank2!$D$18="HORIZONTAL FIXED ROOF",Tank2!$D$18="VERTICAL FIXED ROOF"),IF(Tank2!$E123="",0,Tank2!$E123),0)</f>
        <v>0</v>
      </c>
      <c r="FB203" s="8" t="s">
        <v>746</v>
      </c>
      <c r="FC203" s="8" t="s">
        <v>747</v>
      </c>
      <c r="FD203" s="8">
        <v>100</v>
      </c>
      <c r="FE203" s="8">
        <v>10</v>
      </c>
    </row>
    <row r="204" spans="79:161" ht="74.25" customHeight="1" x14ac:dyDescent="0.2">
      <c r="CA204">
        <f>IF(OR(CB204=0,ISNUMBER(MATCH(CB204,$CB$1:CB203,0))),0,MAX($CA$1:CA203)+1)</f>
        <v>0</v>
      </c>
      <c r="CB204" s="8">
        <f>IF(OR(Tank2!$D$18="EXTERNAL FLOATING ROOF",Tank2!$D$18="INTERNAL FLOATING ROOF"),IF(Tank2!$E124="",0,Tank2!$E124),0)</f>
        <v>0</v>
      </c>
      <c r="CE204" s="8">
        <f>IF(OR(CF204=0,ISNUMBER(MATCH(CF204,$CF$1:CF203,0))),0,MAX($CE$1:CE203)+1)</f>
        <v>0</v>
      </c>
      <c r="CF204" s="8">
        <f>IF(OR(Tank2!$D$18="HORIZONTAL FIXED ROOF",Tank2!$D$18="VERTICAL FIXED ROOF"),IF(Tank2!$E124="",0,Tank2!$E124),0)</f>
        <v>0</v>
      </c>
      <c r="FB204" s="8" t="s">
        <v>748</v>
      </c>
      <c r="FC204" s="8" t="s">
        <v>749</v>
      </c>
      <c r="FD204" s="8">
        <v>0.1</v>
      </c>
      <c r="FE204" s="8">
        <v>0.01</v>
      </c>
    </row>
    <row r="205" spans="79:161" ht="74.25" customHeight="1" x14ac:dyDescent="0.2">
      <c r="CA205">
        <f>IF(OR(CB205=0,ISNUMBER(MATCH(CB205,$CB$1:CB204,0))),0,MAX($CA$1:CA204)+1)</f>
        <v>0</v>
      </c>
      <c r="CB205" s="8">
        <f>IF(OR(Tank2!$D$18="EXTERNAL FLOATING ROOF",Tank2!$D$18="INTERNAL FLOATING ROOF"),IF(Tank2!$E125="",0,Tank2!$E125),0)</f>
        <v>0</v>
      </c>
      <c r="CE205" s="8">
        <f>IF(OR(CF205=0,ISNUMBER(MATCH(CF205,$CF$1:CF204,0))),0,MAX($CE$1:CE204)+1)</f>
        <v>0</v>
      </c>
      <c r="CF205" s="8">
        <f>IF(OR(Tank2!$D$18="HORIZONTAL FIXED ROOF",Tank2!$D$18="VERTICAL FIXED ROOF"),IF(Tank2!$E125="",0,Tank2!$E125),0)</f>
        <v>0</v>
      </c>
      <c r="FB205" s="8" t="s">
        <v>750</v>
      </c>
      <c r="FC205" s="8" t="s">
        <v>751</v>
      </c>
      <c r="FD205" s="8">
        <v>70000</v>
      </c>
      <c r="FE205" s="8">
        <v>7000</v>
      </c>
    </row>
    <row r="206" spans="79:161" ht="74.25" customHeight="1" x14ac:dyDescent="0.2">
      <c r="CA206">
        <f>IF(OR(CB206=0,ISNUMBER(MATCH(CB206,$CB$1:CB205,0))),0,MAX($CA$1:CA205)+1)</f>
        <v>0</v>
      </c>
      <c r="CB206" s="8">
        <f>IF(OR(Tank2!$D$18="EXTERNAL FLOATING ROOF",Tank2!$D$18="INTERNAL FLOATING ROOF"),IF(Tank2!$E126="",0,Tank2!$E126),0)</f>
        <v>0</v>
      </c>
      <c r="CE206" s="8">
        <f>IF(OR(CF206=0,ISNUMBER(MATCH(CF206,$CF$1:CF205,0))),0,MAX($CE$1:CE205)+1)</f>
        <v>0</v>
      </c>
      <c r="CF206" s="8">
        <f>IF(OR(Tank2!$D$18="HORIZONTAL FIXED ROOF",Tank2!$D$18="VERTICAL FIXED ROOF"),IF(Tank2!$E126="",0,Tank2!$E126),0)</f>
        <v>0</v>
      </c>
      <c r="FB206" s="8" t="s">
        <v>752</v>
      </c>
      <c r="FC206" s="8" t="s">
        <v>753</v>
      </c>
      <c r="FD206" s="8">
        <v>10000</v>
      </c>
      <c r="FE206" s="8">
        <v>1000</v>
      </c>
    </row>
    <row r="207" spans="79:161" ht="74.25" customHeight="1" x14ac:dyDescent="0.2">
      <c r="CA207">
        <f>IF(OR(CB207=0,ISNUMBER(MATCH(CB207,$CB$1:CB206,0))),0,MAX($CA$1:CA206)+1)</f>
        <v>0</v>
      </c>
      <c r="CB207" s="8">
        <f>IF(OR(Tank2!$D$18="EXTERNAL FLOATING ROOF",Tank2!$D$18="INTERNAL FLOATING ROOF"),IF(Tank2!$E127="",0,Tank2!$E127),0)</f>
        <v>0</v>
      </c>
      <c r="CE207" s="8">
        <f>IF(OR(CF207=0,ISNUMBER(MATCH(CF207,$CF$1:CF206,0))),0,MAX($CE$1:CE206)+1)</f>
        <v>0</v>
      </c>
      <c r="CF207" s="8">
        <f>IF(OR(Tank2!$D$18="HORIZONTAL FIXED ROOF",Tank2!$D$18="VERTICAL FIXED ROOF"),IF(Tank2!$E127="",0,Tank2!$E127),0)</f>
        <v>0</v>
      </c>
      <c r="FB207" s="8" t="s">
        <v>754</v>
      </c>
      <c r="FC207" s="8" t="s">
        <v>755</v>
      </c>
      <c r="FD207" s="8">
        <v>1800</v>
      </c>
      <c r="FE207" s="8">
        <v>180</v>
      </c>
    </row>
    <row r="208" spans="79:161" ht="74.25" customHeight="1" x14ac:dyDescent="0.2">
      <c r="CA208">
        <f>IF(OR(CB208=0,ISNUMBER(MATCH(CB208,$CB$1:CB207,0))),0,MAX($CA$1:CA207)+1)</f>
        <v>0</v>
      </c>
      <c r="CB208" s="8">
        <f>IF(OR(Tank2!$D$18="EXTERNAL FLOATING ROOF",Tank2!$D$18="INTERNAL FLOATING ROOF"),IF(Tank2!$E128="",0,Tank2!$E128),0)</f>
        <v>0</v>
      </c>
      <c r="CE208" s="8">
        <f>IF(OR(CF208=0,ISNUMBER(MATCH(CF208,$CF$1:CF207,0))),0,MAX($CE$1:CE207)+1)</f>
        <v>0</v>
      </c>
      <c r="CF208" s="8">
        <f>IF(OR(Tank2!$D$18="HORIZONTAL FIXED ROOF",Tank2!$D$18="VERTICAL FIXED ROOF"),IF(Tank2!$E128="",0,Tank2!$E128),0)</f>
        <v>0</v>
      </c>
      <c r="FB208" s="8" t="s">
        <v>756</v>
      </c>
      <c r="FC208" s="8" t="s">
        <v>757</v>
      </c>
      <c r="FD208" s="8">
        <v>9</v>
      </c>
      <c r="FE208" s="8">
        <v>0.9</v>
      </c>
    </row>
    <row r="209" spans="79:161" ht="74.25" customHeight="1" x14ac:dyDescent="0.2">
      <c r="CA209">
        <f>IF(OR(CB209=0,ISNUMBER(MATCH(CB209,$CB$1:CB208,0))),0,MAX($CA$1:CA208)+1)</f>
        <v>0</v>
      </c>
      <c r="CB209" s="8">
        <f>IF(OR(Tank2!$D$18="EXTERNAL FLOATING ROOF",Tank2!$D$18="INTERNAL FLOATING ROOF"),IF(Tank2!$E129="",0,Tank2!$E129),0)</f>
        <v>0</v>
      </c>
      <c r="CE209" s="8">
        <f>IF(OR(CF209=0,ISNUMBER(MATCH(CF209,$CF$1:CF208,0))),0,MAX($CE$1:CE208)+1)</f>
        <v>0</v>
      </c>
      <c r="CF209" s="8">
        <f>IF(OR(Tank2!$D$18="HORIZONTAL FIXED ROOF",Tank2!$D$18="VERTICAL FIXED ROOF"),IF(Tank2!$E129="",0,Tank2!$E129),0)</f>
        <v>0</v>
      </c>
      <c r="FB209" s="8" t="s">
        <v>758</v>
      </c>
      <c r="FC209" s="8" t="s">
        <v>759</v>
      </c>
      <c r="FD209" s="8">
        <v>1000</v>
      </c>
      <c r="FE209" s="8">
        <v>100</v>
      </c>
    </row>
    <row r="210" spans="79:161" ht="74.25" customHeight="1" x14ac:dyDescent="0.2">
      <c r="CA210">
        <f>IF(OR(CB210=0,ISNUMBER(MATCH(CB210,$CB$1:CB209,0))),0,MAX($CA$1:CA209)+1)</f>
        <v>0</v>
      </c>
      <c r="CB210" s="8">
        <f>IF(OR(Tank2!$D$18="EXTERNAL FLOATING ROOF",Tank2!$D$18="INTERNAL FLOATING ROOF"),IF(Tank2!$E130="",0,Tank2!$E130),0)</f>
        <v>0</v>
      </c>
      <c r="CE210" s="8">
        <f>IF(OR(CF210=0,ISNUMBER(MATCH(CF210,$CF$1:CF209,0))),0,MAX($CE$1:CE209)+1)</f>
        <v>0</v>
      </c>
      <c r="CF210" s="8">
        <f>IF(OR(Tank2!$D$18="HORIZONTAL FIXED ROOF",Tank2!$D$18="VERTICAL FIXED ROOF"),IF(Tank2!$E130="",0,Tank2!$E130),0)</f>
        <v>0</v>
      </c>
      <c r="FB210" s="8" t="s">
        <v>760</v>
      </c>
      <c r="FC210" s="8" t="s">
        <v>761</v>
      </c>
      <c r="FD210" s="8">
        <v>900</v>
      </c>
      <c r="FE210" s="8">
        <v>160</v>
      </c>
    </row>
    <row r="211" spans="79:161" ht="74.25" customHeight="1" x14ac:dyDescent="0.2">
      <c r="CA211">
        <f>IF(OR(CB211=0,ISNUMBER(MATCH(CB211,$CB$1:CB210,0))),0,MAX($CA$1:CA210)+1)</f>
        <v>0</v>
      </c>
      <c r="CB211" s="8">
        <f>IF(OR(Tank2!$D$18="EXTERNAL FLOATING ROOF",Tank2!$D$18="INTERNAL FLOATING ROOF"),IF(Tank2!$E131="",0,Tank2!$E131),0)</f>
        <v>0</v>
      </c>
      <c r="CE211" s="8">
        <f>IF(OR(CF211=0,ISNUMBER(MATCH(CF211,$CF$1:CF210,0))),0,MAX($CE$1:CE210)+1)</f>
        <v>0</v>
      </c>
      <c r="CF211" s="8">
        <f>IF(OR(Tank2!$D$18="HORIZONTAL FIXED ROOF",Tank2!$D$18="VERTICAL FIXED ROOF"),IF(Tank2!$E131="",0,Tank2!$E131),0)</f>
        <v>0</v>
      </c>
      <c r="FB211" s="8" t="s">
        <v>762</v>
      </c>
      <c r="FC211" s="8" t="s">
        <v>763</v>
      </c>
      <c r="FD211" s="8">
        <v>460</v>
      </c>
      <c r="FE211" s="8">
        <v>46</v>
      </c>
    </row>
    <row r="212" spans="79:161" ht="74.25" customHeight="1" x14ac:dyDescent="0.2">
      <c r="CA212">
        <f>IF(OR(CB212=0,ISNUMBER(MATCH(CB212,$CB$1:CB211,0))),0,MAX($CA$1:CA211)+1)</f>
        <v>0</v>
      </c>
      <c r="CB212" s="8">
        <f>IF(OR(Tank2!$D$18="EXTERNAL FLOATING ROOF",Tank2!$D$18="INTERNAL FLOATING ROOF"),IF(Tank2!$E132="",0,Tank2!$E132),0)</f>
        <v>0</v>
      </c>
      <c r="CE212" s="8">
        <f>IF(OR(CF212=0,ISNUMBER(MATCH(CF212,$CF$1:CF211,0))),0,MAX($CE$1:CE211)+1)</f>
        <v>0</v>
      </c>
      <c r="CF212" s="8">
        <f>IF(OR(Tank2!$D$18="HORIZONTAL FIXED ROOF",Tank2!$D$18="VERTICAL FIXED ROOF"),IF(Tank2!$E132="",0,Tank2!$E132),0)</f>
        <v>0</v>
      </c>
      <c r="FB212" s="8" t="s">
        <v>764</v>
      </c>
      <c r="FC212" s="8" t="s">
        <v>765</v>
      </c>
      <c r="FD212" s="8">
        <v>7900</v>
      </c>
      <c r="FE212" s="8">
        <v>790</v>
      </c>
    </row>
    <row r="213" spans="79:161" ht="74.25" customHeight="1" x14ac:dyDescent="0.2">
      <c r="CA213">
        <f>IF(OR(CB213=0,ISNUMBER(MATCH(CB213,$CB$1:CB212,0))),0,MAX($CA$1:CA212)+1)</f>
        <v>0</v>
      </c>
      <c r="CB213" s="8">
        <f>IF(OR(Tank2!$D$18="EXTERNAL FLOATING ROOF",Tank2!$D$18="INTERNAL FLOATING ROOF"),IF(Tank2!$E133="",0,Tank2!$E133),0)</f>
        <v>0</v>
      </c>
      <c r="CE213" s="8">
        <f>IF(OR(CF213=0,ISNUMBER(MATCH(CF213,$CF$1:CF212,0))),0,MAX($CE$1:CE212)+1)</f>
        <v>0</v>
      </c>
      <c r="CF213" s="8">
        <f>IF(OR(Tank2!$D$18="HORIZONTAL FIXED ROOF",Tank2!$D$18="VERTICAL FIXED ROOF"),IF(Tank2!$E133="",0,Tank2!$E133),0)</f>
        <v>0</v>
      </c>
      <c r="FB213" s="8" t="s">
        <v>766</v>
      </c>
      <c r="FC213" s="8" t="s">
        <v>767</v>
      </c>
      <c r="FD213" s="8">
        <v>460</v>
      </c>
      <c r="FE213" s="8">
        <v>46</v>
      </c>
    </row>
    <row r="214" spans="79:161" ht="74.25" customHeight="1" x14ac:dyDescent="0.2">
      <c r="CA214">
        <f>IF(OR(CB214=0,ISNUMBER(MATCH(CB214,$CB$1:CB213,0))),0,MAX($CA$1:CA213)+1)</f>
        <v>0</v>
      </c>
      <c r="CB214" s="8">
        <f>IF(OR(Tank2!$D$18="EXTERNAL FLOATING ROOF",Tank2!$D$18="INTERNAL FLOATING ROOF"),IF(Tank2!$E134="",0,Tank2!$E134),0)</f>
        <v>0</v>
      </c>
      <c r="CE214" s="8">
        <f>IF(OR(CF214=0,ISNUMBER(MATCH(CF214,$CF$1:CF213,0))),0,MAX($CE$1:CE213)+1)</f>
        <v>0</v>
      </c>
      <c r="CF214" s="8">
        <f>IF(OR(Tank2!$D$18="HORIZONTAL FIXED ROOF",Tank2!$D$18="VERTICAL FIXED ROOF"),IF(Tank2!$E134="",0,Tank2!$E134),0)</f>
        <v>0</v>
      </c>
      <c r="FB214" s="8" t="s">
        <v>768</v>
      </c>
      <c r="FC214" s="8" t="s">
        <v>769</v>
      </c>
      <c r="FD214" s="8">
        <v>45</v>
      </c>
      <c r="FE214" s="8">
        <v>4.5</v>
      </c>
    </row>
    <row r="215" spans="79:161" ht="74.25" customHeight="1" x14ac:dyDescent="0.2">
      <c r="CA215">
        <f>IF(OR(CB215=0,ISNUMBER(MATCH(CB215,$CB$1:CB214,0))),0,MAX($CA$1:CA214)+1)</f>
        <v>0</v>
      </c>
      <c r="CB215" s="8">
        <f>IF(OR(Tank2!$D$18="EXTERNAL FLOATING ROOF",Tank2!$D$18="INTERNAL FLOATING ROOF"),IF(Tank2!$E135="",0,Tank2!$E135),0)</f>
        <v>0</v>
      </c>
      <c r="CE215" s="8">
        <f>IF(OR(CF215=0,ISNUMBER(MATCH(CF215,$CF$1:CF214,0))),0,MAX($CE$1:CE214)+1)</f>
        <v>0</v>
      </c>
      <c r="CF215" s="8">
        <f>IF(OR(Tank2!$D$18="HORIZONTAL FIXED ROOF",Tank2!$D$18="VERTICAL FIXED ROOF"),IF(Tank2!$E135="",0,Tank2!$E135),0)</f>
        <v>0</v>
      </c>
      <c r="FB215" s="8" t="s">
        <v>770</v>
      </c>
      <c r="FC215" s="8" t="s">
        <v>771</v>
      </c>
      <c r="FD215" s="8">
        <v>3030</v>
      </c>
      <c r="FE215" s="8">
        <v>303</v>
      </c>
    </row>
    <row r="216" spans="79:161" ht="74.25" customHeight="1" x14ac:dyDescent="0.2">
      <c r="CA216">
        <f>IF(OR(CB216=0,ISNUMBER(MATCH(CB216,$CB$1:CB215,0))),0,MAX($CA$1:CA215)+1)</f>
        <v>0</v>
      </c>
      <c r="CB216" s="8">
        <f>IF(OR(Tank2!$D$18="EXTERNAL FLOATING ROOF",Tank2!$D$18="INTERNAL FLOATING ROOF"),IF(Tank2!$E136="",0,Tank2!$E136),0)</f>
        <v>0</v>
      </c>
      <c r="CE216" s="8">
        <f>IF(OR(CF216=0,ISNUMBER(MATCH(CF216,$CF$1:CF215,0))),0,MAX($CE$1:CE215)+1)</f>
        <v>0</v>
      </c>
      <c r="CF216" s="8">
        <f>IF(OR(Tank2!$D$18="HORIZONTAL FIXED ROOF",Tank2!$D$18="VERTICAL FIXED ROOF"),IF(Tank2!$E136="",0,Tank2!$E136),0)</f>
        <v>0</v>
      </c>
      <c r="FB216" s="8" t="s">
        <v>772</v>
      </c>
      <c r="FC216" s="8" t="s">
        <v>773</v>
      </c>
      <c r="FD216" s="8">
        <v>2450</v>
      </c>
      <c r="FE216" s="8">
        <v>245</v>
      </c>
    </row>
    <row r="217" spans="79:161" ht="74.25" customHeight="1" x14ac:dyDescent="0.2">
      <c r="CA217">
        <f>IF(OR(CB217=0,ISNUMBER(MATCH(CB217,$CB$1:CB216,0))),0,MAX($CA$1:CA216)+1)</f>
        <v>0</v>
      </c>
      <c r="CB217" s="8">
        <f>IF(OR(Tank2!$D$18="EXTERNAL FLOATING ROOF",Tank2!$D$18="INTERNAL FLOATING ROOF"),IF(Tank2!$E137="",0,Tank2!$E137),0)</f>
        <v>0</v>
      </c>
      <c r="CE217" s="8">
        <f>IF(OR(CF217=0,ISNUMBER(MATCH(CF217,$CF$1:CF216,0))),0,MAX($CE$1:CE216)+1)</f>
        <v>0</v>
      </c>
      <c r="CF217" s="8">
        <f>IF(OR(Tank2!$D$18="HORIZONTAL FIXED ROOF",Tank2!$D$18="VERTICAL FIXED ROOF"),IF(Tank2!$E137="",0,Tank2!$E137),0)</f>
        <v>0</v>
      </c>
      <c r="FB217" s="8" t="s">
        <v>774</v>
      </c>
      <c r="FC217" s="8" t="s">
        <v>775</v>
      </c>
      <c r="FD217" s="8">
        <v>220</v>
      </c>
      <c r="FE217" s="8">
        <v>22</v>
      </c>
    </row>
    <row r="218" spans="79:161" ht="74.25" customHeight="1" x14ac:dyDescent="0.2">
      <c r="CA218">
        <f>IF(OR(CB218=0,ISNUMBER(MATCH(CB218,$CB$1:CB217,0))),0,MAX($CA$1:CA217)+1)</f>
        <v>0</v>
      </c>
      <c r="CB218" s="8">
        <f>IF(OR(Tank2!$D$18="EXTERNAL FLOATING ROOF",Tank2!$D$18="INTERNAL FLOATING ROOF"),IF(Tank2!$E138="",0,Tank2!$E138),0)</f>
        <v>0</v>
      </c>
      <c r="CE218" s="8">
        <f>IF(OR(CF218=0,ISNUMBER(MATCH(CF218,$CF$1:CF217,0))),0,MAX($CE$1:CE217)+1)</f>
        <v>0</v>
      </c>
      <c r="CF218" s="8">
        <f>IF(OR(Tank2!$D$18="HORIZONTAL FIXED ROOF",Tank2!$D$18="VERTICAL FIXED ROOF"),IF(Tank2!$E138="",0,Tank2!$E138),0)</f>
        <v>0</v>
      </c>
      <c r="FB218" s="8" t="s">
        <v>776</v>
      </c>
      <c r="FC218" s="8" t="s">
        <v>777</v>
      </c>
      <c r="FD218" s="8">
        <v>24</v>
      </c>
      <c r="FE218" s="8">
        <v>2.4</v>
      </c>
    </row>
    <row r="219" spans="79:161" ht="74.25" customHeight="1" x14ac:dyDescent="0.2">
      <c r="CA219">
        <f>IF(OR(CB219=0,ISNUMBER(MATCH(CB219,$CB$1:CB218,0))),0,MAX($CA$1:CA218)+1)</f>
        <v>0</v>
      </c>
      <c r="CB219" s="8">
        <f>IF(OR(Tank2!$D$18="EXTERNAL FLOATING ROOF",Tank2!$D$18="INTERNAL FLOATING ROOF"),IF(Tank2!$E139="",0,Tank2!$E139),0)</f>
        <v>0</v>
      </c>
      <c r="CE219" s="8">
        <f>IF(OR(CF219=0,ISNUMBER(MATCH(CF219,$CF$1:CF218,0))),0,MAX($CE$1:CE218)+1)</f>
        <v>0</v>
      </c>
      <c r="CF219" s="8">
        <f>IF(OR(Tank2!$D$18="HORIZONTAL FIXED ROOF",Tank2!$D$18="VERTICAL FIXED ROOF"),IF(Tank2!$E139="",0,Tank2!$E139),0)</f>
        <v>0</v>
      </c>
      <c r="FB219" s="8" t="s">
        <v>778</v>
      </c>
      <c r="FC219" s="8" t="s">
        <v>779</v>
      </c>
      <c r="FD219" s="8">
        <v>2000</v>
      </c>
      <c r="FE219" s="8">
        <v>200</v>
      </c>
    </row>
    <row r="220" spans="79:161" ht="74.25" customHeight="1" x14ac:dyDescent="0.2">
      <c r="CA220">
        <f>IF(OR(CB220=0,ISNUMBER(MATCH(CB220,$CB$1:CB219,0))),0,MAX($CA$1:CA219)+1)</f>
        <v>0</v>
      </c>
      <c r="CB220" s="8">
        <f>IF(OR(Tank2!$D$18="EXTERNAL FLOATING ROOF",Tank2!$D$18="INTERNAL FLOATING ROOF"),IF(Tank2!$E140="",0,Tank2!$E140),0)</f>
        <v>0</v>
      </c>
      <c r="CE220" s="8">
        <f>IF(OR(CF220=0,ISNUMBER(MATCH(CF220,$CF$1:CF219,0))),0,MAX($CE$1:CE219)+1)</f>
        <v>0</v>
      </c>
      <c r="CF220" s="8">
        <f>IF(OR(Tank2!$D$18="HORIZONTAL FIXED ROOF",Tank2!$D$18="VERTICAL FIXED ROOF"),IF(Tank2!$E140="",0,Tank2!$E140),0)</f>
        <v>0</v>
      </c>
      <c r="FB220" s="8" t="s">
        <v>780</v>
      </c>
      <c r="FC220" s="8" t="s">
        <v>781</v>
      </c>
      <c r="FD220" s="8">
        <v>2450</v>
      </c>
      <c r="FE220" s="8">
        <v>245</v>
      </c>
    </row>
    <row r="221" spans="79:161" ht="74.25" customHeight="1" x14ac:dyDescent="0.2">
      <c r="CA221">
        <f>IF(OR(CB221=0,ISNUMBER(MATCH(CB221,$CB$1:CB220,0))),0,MAX($CA$1:CA220)+1)</f>
        <v>0</v>
      </c>
      <c r="CB221" s="8">
        <f>IF(OR(Tank2!$D$18="EXTERNAL FLOATING ROOF",Tank2!$D$18="INTERNAL FLOATING ROOF"),IF(Tank2!$E141="",0,Tank2!$E141),0)</f>
        <v>0</v>
      </c>
      <c r="CE221" s="8">
        <f>IF(OR(CF221=0,ISNUMBER(MATCH(CF221,$CF$1:CF220,0))),0,MAX($CE$1:CE220)+1)</f>
        <v>0</v>
      </c>
      <c r="CF221" s="8">
        <f>IF(OR(Tank2!$D$18="HORIZONTAL FIXED ROOF",Tank2!$D$18="VERTICAL FIXED ROOF"),IF(Tank2!$E141="",0,Tank2!$E141),0)</f>
        <v>0</v>
      </c>
      <c r="FB221" s="8" t="s">
        <v>782</v>
      </c>
      <c r="FC221" s="8" t="s">
        <v>783</v>
      </c>
      <c r="FD221" s="8">
        <v>16100</v>
      </c>
      <c r="FE221" s="8">
        <v>1610</v>
      </c>
    </row>
    <row r="222" spans="79:161" ht="74.25" customHeight="1" x14ac:dyDescent="0.2">
      <c r="CA222">
        <f>IF(OR(CB222=0,ISNUMBER(MATCH(CB222,$CB$1:CB221,0))),0,MAX($CA$1:CA221)+1)</f>
        <v>0</v>
      </c>
      <c r="CB222" s="245">
        <f>IF(OR(Tank3!$D$18="EXTERNAL FLOATING ROOF",Tank3!$D$18="INTERNAL FLOATING ROOF"),IF(Tank3!$E32="",0,Tank3!$E32),0)</f>
        <v>0</v>
      </c>
      <c r="CE222" s="8">
        <f>IF(OR(CF222=0,ISNUMBER(MATCH(CF222,$CF$1:CF221,0))),0,MAX($CE$1:CE221)+1)</f>
        <v>0</v>
      </c>
      <c r="CF222" s="8">
        <f>IF(OR(Tank3!$D$18="HORIZONTAL FIXED ROOF",Tank3!$D$18="VERTICAL FIXED ROOF"),IF(Tank3!$E32="",0,Tank3!$E32),0)</f>
        <v>0</v>
      </c>
      <c r="FB222" s="8" t="s">
        <v>784</v>
      </c>
      <c r="FC222" s="8" t="s">
        <v>785</v>
      </c>
      <c r="FD222" s="8">
        <v>940</v>
      </c>
      <c r="FE222" s="8">
        <v>94</v>
      </c>
    </row>
    <row r="223" spans="79:161" ht="74.25" customHeight="1" x14ac:dyDescent="0.2">
      <c r="CA223">
        <f>IF(OR(CB223=0,ISNUMBER(MATCH(CB223,$CB$1:CB222,0))),0,MAX($CA$1:CA222)+1)</f>
        <v>0</v>
      </c>
      <c r="CB223" s="8">
        <f>IF(OR(Tank3!$D$18="EXTERNAL FLOATING ROOF",Tank3!$D$18="INTERNAL FLOATING ROOF"),IF(Tank3!$E33="",0,Tank3!$E33),0)</f>
        <v>0</v>
      </c>
      <c r="CE223" s="8">
        <f>IF(OR(CF223=0,ISNUMBER(MATCH(CF223,$CF$1:CF222,0))),0,MAX($CE$1:CE222)+1)</f>
        <v>0</v>
      </c>
      <c r="CF223" s="8">
        <f>IF(OR(Tank3!$D$18="HORIZONTAL FIXED ROOF",Tank3!$D$18="VERTICAL FIXED ROOF"),IF(Tank3!$E33="",0,Tank3!$E33),0)</f>
        <v>0</v>
      </c>
      <c r="FB223" s="8" t="s">
        <v>786</v>
      </c>
      <c r="FC223" s="8" t="s">
        <v>787</v>
      </c>
      <c r="FD223" s="8">
        <v>3400</v>
      </c>
      <c r="FE223" s="8">
        <v>340</v>
      </c>
    </row>
    <row r="224" spans="79:161" ht="74.25" customHeight="1" x14ac:dyDescent="0.2">
      <c r="CA224">
        <f>IF(OR(CB224=0,ISNUMBER(MATCH(CB224,$CB$1:CB223,0))),0,MAX($CA$1:CA223)+1)</f>
        <v>0</v>
      </c>
      <c r="CB224" s="8">
        <f>IF(OR(Tank3!$D$18="EXTERNAL FLOATING ROOF",Tank3!$D$18="INTERNAL FLOATING ROOF"),IF(Tank3!$E34="",0,Tank3!$E34),0)</f>
        <v>0</v>
      </c>
      <c r="CE224" s="8">
        <f>IF(OR(CF224=0,ISNUMBER(MATCH(CF224,$CF$1:CF223,0))),0,MAX($CE$1:CE223)+1)</f>
        <v>0</v>
      </c>
      <c r="CF224" s="8">
        <f>IF(OR(Tank3!$D$18="HORIZONTAL FIXED ROOF",Tank3!$D$18="VERTICAL FIXED ROOF"),IF(Tank3!$E34="",0,Tank3!$E34),0)</f>
        <v>0</v>
      </c>
      <c r="FB224" s="8" t="s">
        <v>788</v>
      </c>
      <c r="FC224" s="8" t="s">
        <v>789</v>
      </c>
      <c r="FD224" s="8">
        <v>200</v>
      </c>
      <c r="FE224" s="8">
        <v>20</v>
      </c>
    </row>
    <row r="225" spans="79:161" ht="74.25" customHeight="1" x14ac:dyDescent="0.2">
      <c r="CA225">
        <f>IF(OR(CB225=0,ISNUMBER(MATCH(CB225,$CB$1:CB224,0))),0,MAX($CA$1:CA224)+1)</f>
        <v>0</v>
      </c>
      <c r="CB225" s="8">
        <f>IF(OR(Tank3!$D$18="EXTERNAL FLOATING ROOF",Tank3!$D$18="INTERNAL FLOATING ROOF"),IF(Tank3!$E35="",0,Tank3!$E35),0)</f>
        <v>0</v>
      </c>
      <c r="CE225" s="8">
        <f>IF(OR(CF225=0,ISNUMBER(MATCH(CF225,$CF$1:CF224,0))),0,MAX($CE$1:CE224)+1)</f>
        <v>0</v>
      </c>
      <c r="CF225" s="8">
        <f>IF(OR(Tank3!$D$18="HORIZONTAL FIXED ROOF",Tank3!$D$18="VERTICAL FIXED ROOF"),IF(Tank3!$E35="",0,Tank3!$E35),0)</f>
        <v>0</v>
      </c>
      <c r="FB225" s="8" t="s">
        <v>790</v>
      </c>
      <c r="FC225" s="8" t="s">
        <v>791</v>
      </c>
      <c r="FD225" s="8">
        <v>10</v>
      </c>
      <c r="FE225" s="8">
        <v>1</v>
      </c>
    </row>
    <row r="226" spans="79:161" ht="74.25" customHeight="1" x14ac:dyDescent="0.2">
      <c r="CA226">
        <f>IF(OR(CB226=0,ISNUMBER(MATCH(CB226,$CB$1:CB225,0))),0,MAX($CA$1:CA225)+1)</f>
        <v>0</v>
      </c>
      <c r="CB226" s="8">
        <f>IF(OR(Tank3!$D$18="EXTERNAL FLOATING ROOF",Tank3!$D$18="INTERNAL FLOATING ROOF"),IF(Tank3!$E36="",0,Tank3!$E36),0)</f>
        <v>0</v>
      </c>
      <c r="CE226" s="8">
        <f>IF(OR(CF226=0,ISNUMBER(MATCH(CF226,$CF$1:CF225,0))),0,MAX($CE$1:CE225)+1)</f>
        <v>0</v>
      </c>
      <c r="CF226" s="8">
        <f>IF(OR(Tank3!$D$18="HORIZONTAL FIXED ROOF",Tank3!$D$18="VERTICAL FIXED ROOF"),IF(Tank3!$E36="",0,Tank3!$E36),0)</f>
        <v>0</v>
      </c>
      <c r="FB226" s="8" t="s">
        <v>792</v>
      </c>
      <c r="FC226" s="8" t="s">
        <v>793</v>
      </c>
      <c r="FD226" s="8">
        <v>50</v>
      </c>
      <c r="FE226" s="8">
        <v>5</v>
      </c>
    </row>
    <row r="227" spans="79:161" ht="74.25" customHeight="1" x14ac:dyDescent="0.2">
      <c r="CA227">
        <f>IF(OR(CB227=0,ISNUMBER(MATCH(CB227,$CB$1:CB226,0))),0,MAX($CA$1:CA226)+1)</f>
        <v>0</v>
      </c>
      <c r="CB227" s="8">
        <f>IF(OR(Tank3!$D$18="EXTERNAL FLOATING ROOF",Tank3!$D$18="INTERNAL FLOATING ROOF"),IF(Tank3!$E37="",0,Tank3!$E37),0)</f>
        <v>0</v>
      </c>
      <c r="CE227" s="8">
        <f>IF(OR(CF227=0,ISNUMBER(MATCH(CF227,$CF$1:CF226,0))),0,MAX($CE$1:CE226)+1)</f>
        <v>0</v>
      </c>
      <c r="CF227" s="8">
        <f>IF(OR(Tank3!$D$18="HORIZONTAL FIXED ROOF",Tank3!$D$18="VERTICAL FIXED ROOF"),IF(Tank3!$E37="",0,Tank3!$E37),0)</f>
        <v>0</v>
      </c>
      <c r="FB227" s="8" t="s">
        <v>794</v>
      </c>
      <c r="FC227" s="8" t="s">
        <v>795</v>
      </c>
      <c r="FD227" s="8">
        <v>60</v>
      </c>
      <c r="FE227" s="8">
        <v>6</v>
      </c>
    </row>
    <row r="228" spans="79:161" ht="74.25" customHeight="1" x14ac:dyDescent="0.2">
      <c r="CA228">
        <f>IF(OR(CB228=0,ISNUMBER(MATCH(CB228,$CB$1:CB227,0))),0,MAX($CA$1:CA227)+1)</f>
        <v>0</v>
      </c>
      <c r="CB228" s="8">
        <f>IF(OR(Tank3!$D$18="EXTERNAL FLOATING ROOF",Tank3!$D$18="INTERNAL FLOATING ROOF"),IF(Tank3!$E38="",0,Tank3!$E38),0)</f>
        <v>0</v>
      </c>
      <c r="CE228" s="8">
        <f>IF(OR(CF228=0,ISNUMBER(MATCH(CF228,$CF$1:CF227,0))),0,MAX($CE$1:CE227)+1)</f>
        <v>0</v>
      </c>
      <c r="CF228" s="8">
        <f>IF(OR(Tank3!$D$18="HORIZONTAL FIXED ROOF",Tank3!$D$18="VERTICAL FIXED ROOF"),IF(Tank3!$E38="",0,Tank3!$E38),0)</f>
        <v>0</v>
      </c>
      <c r="FB228" s="8" t="s">
        <v>796</v>
      </c>
      <c r="FC228" s="8" t="s">
        <v>797</v>
      </c>
      <c r="FD228" s="8">
        <v>1000</v>
      </c>
      <c r="FE228" s="8">
        <v>100</v>
      </c>
    </row>
    <row r="229" spans="79:161" ht="74.25" customHeight="1" x14ac:dyDescent="0.2">
      <c r="CA229">
        <f>IF(OR(CB229=0,ISNUMBER(MATCH(CB229,$CB$1:CB228,0))),0,MAX($CA$1:CA228)+1)</f>
        <v>0</v>
      </c>
      <c r="CB229" s="8">
        <f>IF(OR(Tank3!$D$18="EXTERNAL FLOATING ROOF",Tank3!$D$18="INTERNAL FLOATING ROOF"),IF(Tank3!$E39="",0,Tank3!$E39),0)</f>
        <v>0</v>
      </c>
      <c r="CE229" s="8">
        <f>IF(OR(CF229=0,ISNUMBER(MATCH(CF229,$CF$1:CF228,0))),0,MAX($CE$1:CE228)+1)</f>
        <v>0</v>
      </c>
      <c r="CF229" s="8">
        <f>IF(OR(Tank3!$D$18="HORIZONTAL FIXED ROOF",Tank3!$D$18="VERTICAL FIXED ROOF"),IF(Tank3!$E39="",0,Tank3!$E39),0)</f>
        <v>0</v>
      </c>
      <c r="FB229" s="8" t="s">
        <v>798</v>
      </c>
      <c r="FC229" s="8" t="s">
        <v>799</v>
      </c>
      <c r="FD229" s="8">
        <v>70</v>
      </c>
      <c r="FE229" s="8">
        <v>7</v>
      </c>
    </row>
    <row r="230" spans="79:161" ht="74.25" customHeight="1" x14ac:dyDescent="0.2">
      <c r="CA230">
        <f>IF(OR(CB230=0,ISNUMBER(MATCH(CB230,$CB$1:CB229,0))),0,MAX($CA$1:CA229)+1)</f>
        <v>0</v>
      </c>
      <c r="CB230" s="8">
        <f>IF(OR(Tank3!$D$18="EXTERNAL FLOATING ROOF",Tank3!$D$18="INTERNAL FLOATING ROOF"),IF(Tank3!$E40="",0,Tank3!$E40),0)</f>
        <v>0</v>
      </c>
      <c r="CE230" s="8">
        <f>IF(OR(CF230=0,ISNUMBER(MATCH(CF230,$CF$1:CF229,0))),0,MAX($CE$1:CE229)+1)</f>
        <v>0</v>
      </c>
      <c r="CF230" s="8">
        <f>IF(OR(Tank3!$D$18="HORIZONTAL FIXED ROOF",Tank3!$D$18="VERTICAL FIXED ROOF"),IF(Tank3!$E40="",0,Tank3!$E40),0)</f>
        <v>0</v>
      </c>
      <c r="FB230" s="8" t="s">
        <v>800</v>
      </c>
      <c r="FC230" s="8" t="s">
        <v>801</v>
      </c>
      <c r="FD230" s="8">
        <v>410</v>
      </c>
      <c r="FE230" s="8">
        <v>41</v>
      </c>
    </row>
    <row r="231" spans="79:161" ht="74.25" customHeight="1" x14ac:dyDescent="0.2">
      <c r="CA231">
        <f>IF(OR(CB231=0,ISNUMBER(MATCH(CB231,$CB$1:CB230,0))),0,MAX($CA$1:CA230)+1)</f>
        <v>0</v>
      </c>
      <c r="CB231" s="8">
        <f>IF(OR(Tank3!$D$18="EXTERNAL FLOATING ROOF",Tank3!$D$18="INTERNAL FLOATING ROOF"),IF(Tank3!$E41="",0,Tank3!$E41),0)</f>
        <v>0</v>
      </c>
      <c r="CE231" s="8">
        <f>IF(OR(CF231=0,ISNUMBER(MATCH(CF231,$CF$1:CF230,0))),0,MAX($CE$1:CE230)+1)</f>
        <v>0</v>
      </c>
      <c r="CF231" s="8">
        <f>IF(OR(Tank3!$D$18="HORIZONTAL FIXED ROOF",Tank3!$D$18="VERTICAL FIXED ROOF"),IF(Tank3!$E41="",0,Tank3!$E41),0)</f>
        <v>0</v>
      </c>
      <c r="FB231" s="8" t="s">
        <v>802</v>
      </c>
      <c r="FC231" s="8" t="s">
        <v>803</v>
      </c>
      <c r="FD231" s="8">
        <v>18</v>
      </c>
      <c r="FE231" s="8">
        <v>1.8</v>
      </c>
    </row>
    <row r="232" spans="79:161" ht="74.25" customHeight="1" x14ac:dyDescent="0.2">
      <c r="CA232">
        <f>IF(OR(CB232=0,ISNUMBER(MATCH(CB232,$CB$1:CB231,0))),0,MAX($CA$1:CA231)+1)</f>
        <v>0</v>
      </c>
      <c r="CB232" s="8">
        <f>IF(OR(Tank3!$D$18="EXTERNAL FLOATING ROOF",Tank3!$D$18="INTERNAL FLOATING ROOF"),IF(Tank3!$E42="",0,Tank3!$E42),0)</f>
        <v>0</v>
      </c>
      <c r="CE232" s="8">
        <f>IF(OR(CF232=0,ISNUMBER(MATCH(CF232,$CF$1:CF231,0))),0,MAX($CE$1:CE231)+1)</f>
        <v>0</v>
      </c>
      <c r="CF232" s="8">
        <f>IF(OR(Tank3!$D$18="HORIZONTAL FIXED ROOF",Tank3!$D$18="VERTICAL FIXED ROOF"),IF(Tank3!$E42="",0,Tank3!$E42),0)</f>
        <v>0</v>
      </c>
      <c r="FB232" s="8" t="s">
        <v>804</v>
      </c>
      <c r="FC232" s="8" t="s">
        <v>805</v>
      </c>
      <c r="FD232" s="8">
        <v>1100</v>
      </c>
      <c r="FE232" s="8">
        <v>9.9</v>
      </c>
    </row>
    <row r="233" spans="79:161" ht="74.25" customHeight="1" x14ac:dyDescent="0.2">
      <c r="CA233">
        <f>IF(OR(CB233=0,ISNUMBER(MATCH(CB233,$CB$1:CB232,0))),0,MAX($CA$1:CA232)+1)</f>
        <v>0</v>
      </c>
      <c r="CB233" s="8">
        <f>IF(OR(Tank3!$D$18="EXTERNAL FLOATING ROOF",Tank3!$D$18="INTERNAL FLOATING ROOF"),IF(Tank3!$E43="",0,Tank3!$E43),0)</f>
        <v>0</v>
      </c>
      <c r="CE233" s="8">
        <f>IF(OR(CF233=0,ISNUMBER(MATCH(CF233,$CF$1:CF232,0))),0,MAX($CE$1:CE232)+1)</f>
        <v>0</v>
      </c>
      <c r="CF233" s="8">
        <f>IF(OR(Tank3!$D$18="HORIZONTAL FIXED ROOF",Tank3!$D$18="VERTICAL FIXED ROOF"),IF(Tank3!$E43="",0,Tank3!$E43),0)</f>
        <v>0</v>
      </c>
      <c r="FB233" s="8" t="s">
        <v>806</v>
      </c>
      <c r="FC233" s="8" t="s">
        <v>807</v>
      </c>
      <c r="FD233" s="8">
        <v>1200</v>
      </c>
      <c r="FE233" s="8">
        <v>120</v>
      </c>
    </row>
    <row r="234" spans="79:161" ht="74.25" customHeight="1" x14ac:dyDescent="0.2">
      <c r="CA234">
        <f>IF(OR(CB234=0,ISNUMBER(MATCH(CB234,$CB$1:CB233,0))),0,MAX($CA$1:CA233)+1)</f>
        <v>0</v>
      </c>
      <c r="CB234" s="8">
        <f>IF(OR(Tank3!$D$18="EXTERNAL FLOATING ROOF",Tank3!$D$18="INTERNAL FLOATING ROOF"),IF(Tank3!$E44="",0,Tank3!$E44),0)</f>
        <v>0</v>
      </c>
      <c r="CE234" s="8">
        <f>IF(OR(CF234=0,ISNUMBER(MATCH(CF234,$CF$1:CF233,0))),0,MAX($CE$1:CE233)+1)</f>
        <v>0</v>
      </c>
      <c r="CF234" s="8">
        <f>IF(OR(Tank3!$D$18="HORIZONTAL FIXED ROOF",Tank3!$D$18="VERTICAL FIXED ROOF"),IF(Tank3!$E44="",0,Tank3!$E44),0)</f>
        <v>0</v>
      </c>
      <c r="FB234" s="8" t="s">
        <v>808</v>
      </c>
      <c r="FC234" s="8" t="s">
        <v>809</v>
      </c>
      <c r="FD234" s="8">
        <v>3500</v>
      </c>
      <c r="FE234" s="8">
        <v>350</v>
      </c>
    </row>
    <row r="235" spans="79:161" ht="74.25" customHeight="1" x14ac:dyDescent="0.2">
      <c r="CA235">
        <f>IF(OR(CB235=0,ISNUMBER(MATCH(CB235,$CB$1:CB234,0))),0,MAX($CA$1:CA234)+1)</f>
        <v>0</v>
      </c>
      <c r="CB235" s="8">
        <f>IF(OR(Tank3!$D$18="EXTERNAL FLOATING ROOF",Tank3!$D$18="INTERNAL FLOATING ROOF"),IF(Tank3!$E45="",0,Tank3!$E45),0)</f>
        <v>0</v>
      </c>
      <c r="CE235" s="8">
        <f>IF(OR(CF235=0,ISNUMBER(MATCH(CF235,$CF$1:CF234,0))),0,MAX($CE$1:CE234)+1)</f>
        <v>0</v>
      </c>
      <c r="CF235" s="8">
        <f>IF(OR(Tank3!$D$18="HORIZONTAL FIXED ROOF",Tank3!$D$18="VERTICAL FIXED ROOF"),IF(Tank3!$E45="",0,Tank3!$E45),0)</f>
        <v>0</v>
      </c>
      <c r="FB235" s="8" t="s">
        <v>810</v>
      </c>
      <c r="FC235" s="8" t="s">
        <v>811</v>
      </c>
      <c r="FD235" s="8">
        <v>45</v>
      </c>
      <c r="FE235" s="8">
        <v>4.5</v>
      </c>
    </row>
    <row r="236" spans="79:161" ht="74.25" customHeight="1" x14ac:dyDescent="0.2">
      <c r="CA236">
        <f>IF(OR(CB236=0,ISNUMBER(MATCH(CB236,$CB$1:CB235,0))),0,MAX($CA$1:CA235)+1)</f>
        <v>0</v>
      </c>
      <c r="CB236" s="8">
        <f>IF(OR(Tank3!$D$18="EXTERNAL FLOATING ROOF",Tank3!$D$18="INTERNAL FLOATING ROOF"),IF(Tank3!$E46="",0,Tank3!$E46),0)</f>
        <v>0</v>
      </c>
      <c r="CE236" s="8">
        <f>IF(OR(CF236=0,ISNUMBER(MATCH(CF236,$CF$1:CF235,0))),0,MAX($CE$1:CE235)+1)</f>
        <v>0</v>
      </c>
      <c r="CF236" s="8">
        <f>IF(OR(Tank3!$D$18="HORIZONTAL FIXED ROOF",Tank3!$D$18="VERTICAL FIXED ROOF"),IF(Tank3!$E46="",0,Tank3!$E46),0)</f>
        <v>0</v>
      </c>
      <c r="FB236" s="8" t="s">
        <v>812</v>
      </c>
      <c r="FC236" s="8" t="s">
        <v>813</v>
      </c>
      <c r="FD236" s="8">
        <v>1000</v>
      </c>
      <c r="FE236" s="8">
        <v>100</v>
      </c>
    </row>
    <row r="237" spans="79:161" ht="74.25" customHeight="1" x14ac:dyDescent="0.2">
      <c r="CA237">
        <f>IF(OR(CB237=0,ISNUMBER(MATCH(CB237,$CB$1:CB236,0))),0,MAX($CA$1:CA236)+1)</f>
        <v>0</v>
      </c>
      <c r="CB237" s="8">
        <f>IF(OR(Tank3!$D$18="EXTERNAL FLOATING ROOF",Tank3!$D$18="INTERNAL FLOATING ROOF"),IF(Tank3!$E47="",0,Tank3!$E47),0)</f>
        <v>0</v>
      </c>
      <c r="CE237" s="8">
        <f>IF(OR(CF237=0,ISNUMBER(MATCH(CF237,$CF$1:CF236,0))),0,MAX($CE$1:CE236)+1)</f>
        <v>0</v>
      </c>
      <c r="CF237" s="8">
        <f>IF(OR(Tank3!$D$18="HORIZONTAL FIXED ROOF",Tank3!$D$18="VERTICAL FIXED ROOF"),IF(Tank3!$E47="",0,Tank3!$E47),0)</f>
        <v>0</v>
      </c>
      <c r="FB237" s="8" t="s">
        <v>814</v>
      </c>
      <c r="FC237" s="8" t="s">
        <v>815</v>
      </c>
      <c r="FD237" s="8">
        <v>400</v>
      </c>
      <c r="FE237" s="8">
        <v>40</v>
      </c>
    </row>
    <row r="238" spans="79:161" ht="74.25" customHeight="1" x14ac:dyDescent="0.2">
      <c r="CA238">
        <f>IF(OR(CB238=0,ISNUMBER(MATCH(CB238,$CB$1:CB237,0))),0,MAX($CA$1:CA237)+1)</f>
        <v>0</v>
      </c>
      <c r="CB238" s="8">
        <f>IF(OR(Tank3!$D$18="EXTERNAL FLOATING ROOF",Tank3!$D$18="INTERNAL FLOATING ROOF"),IF(Tank3!$E48="",0,Tank3!$E48),0)</f>
        <v>0</v>
      </c>
      <c r="CE238" s="8">
        <f>IF(OR(CF238=0,ISNUMBER(MATCH(CF238,$CF$1:CF237,0))),0,MAX($CE$1:CE237)+1)</f>
        <v>0</v>
      </c>
      <c r="CF238" s="8">
        <f>IF(OR(Tank3!$D$18="HORIZONTAL FIXED ROOF",Tank3!$D$18="VERTICAL FIXED ROOF"),IF(Tank3!$E48="",0,Tank3!$E48),0)</f>
        <v>0</v>
      </c>
      <c r="FB238" s="8" t="s">
        <v>816</v>
      </c>
      <c r="FC238" s="8" t="s">
        <v>817</v>
      </c>
      <c r="FD238" s="8">
        <v>2450</v>
      </c>
      <c r="FE238" s="8">
        <v>245</v>
      </c>
    </row>
    <row r="239" spans="79:161" ht="74.25" customHeight="1" x14ac:dyDescent="0.2">
      <c r="CA239">
        <f>IF(OR(CB239=0,ISNUMBER(MATCH(CB239,$CB$1:CB238,0))),0,MAX($CA$1:CA238)+1)</f>
        <v>0</v>
      </c>
      <c r="CB239" s="8">
        <f>IF(OR(Tank3!$D$18="EXTERNAL FLOATING ROOF",Tank3!$D$18="INTERNAL FLOATING ROOF"),IF(Tank3!$E49="",0,Tank3!$E49),0)</f>
        <v>0</v>
      </c>
      <c r="CE239" s="8">
        <f>IF(OR(CF239=0,ISNUMBER(MATCH(CF239,$CF$1:CF238,0))),0,MAX($CE$1:CE238)+1)</f>
        <v>0</v>
      </c>
      <c r="CF239" s="8">
        <f>IF(OR(Tank3!$D$18="HORIZONTAL FIXED ROOF",Tank3!$D$18="VERTICAL FIXED ROOF"),IF(Tank3!$E49="",0,Tank3!$E49),0)</f>
        <v>0</v>
      </c>
      <c r="FB239" s="8" t="s">
        <v>818</v>
      </c>
      <c r="FC239" s="8" t="s">
        <v>819</v>
      </c>
      <c r="FD239" s="8">
        <v>2450</v>
      </c>
      <c r="FE239" s="8">
        <v>245</v>
      </c>
    </row>
    <row r="240" spans="79:161" ht="74.25" customHeight="1" x14ac:dyDescent="0.2">
      <c r="CA240">
        <f>IF(OR(CB240=0,ISNUMBER(MATCH(CB240,$CB$1:CB239,0))),0,MAX($CA$1:CA239)+1)</f>
        <v>0</v>
      </c>
      <c r="CB240" s="8">
        <f>IF(OR(Tank3!$D$18="EXTERNAL FLOATING ROOF",Tank3!$D$18="INTERNAL FLOATING ROOF"),IF(Tank3!$E50="",0,Tank3!$E50),0)</f>
        <v>0</v>
      </c>
      <c r="CE240" s="8">
        <f>IF(OR(CF240=0,ISNUMBER(MATCH(CF240,$CF$1:CF239,0))),0,MAX($CE$1:CE239)+1)</f>
        <v>0</v>
      </c>
      <c r="CF240" s="8">
        <f>IF(OR(Tank3!$D$18="HORIZONTAL FIXED ROOF",Tank3!$D$18="VERTICAL FIXED ROOF"),IF(Tank3!$E50="",0,Tank3!$E50),0)</f>
        <v>0</v>
      </c>
      <c r="FB240" s="8" t="s">
        <v>820</v>
      </c>
      <c r="FC240" s="8" t="s">
        <v>821</v>
      </c>
      <c r="FD240" s="8">
        <v>4400</v>
      </c>
      <c r="FE240" s="8">
        <v>54</v>
      </c>
    </row>
    <row r="241" spans="79:161" ht="74.25" customHeight="1" x14ac:dyDescent="0.2">
      <c r="CA241">
        <f>IF(OR(CB241=0,ISNUMBER(MATCH(CB241,$CB$1:CB240,0))),0,MAX($CA$1:CA240)+1)</f>
        <v>0</v>
      </c>
      <c r="CB241" s="8">
        <f>IF(OR(Tank3!$D$18="EXTERNAL FLOATING ROOF",Tank3!$D$18="INTERNAL FLOATING ROOF"),IF(Tank3!$E51="",0,Tank3!$E51),0)</f>
        <v>0</v>
      </c>
      <c r="CE241" s="8">
        <f>IF(OR(CF241=0,ISNUMBER(MATCH(CF241,$CF$1:CF240,0))),0,MAX($CE$1:CE240)+1)</f>
        <v>0</v>
      </c>
      <c r="CF241" s="8">
        <f>IF(OR(Tank3!$D$18="HORIZONTAL FIXED ROOF",Tank3!$D$18="VERTICAL FIXED ROOF"),IF(Tank3!$E51="",0,Tank3!$E51),0)</f>
        <v>0</v>
      </c>
      <c r="FB241" s="8" t="s">
        <v>822</v>
      </c>
      <c r="FC241" s="8" t="s">
        <v>823</v>
      </c>
      <c r="FD241" s="8">
        <v>3400</v>
      </c>
      <c r="FE241" s="8">
        <v>340</v>
      </c>
    </row>
    <row r="242" spans="79:161" ht="74.25" customHeight="1" x14ac:dyDescent="0.2">
      <c r="CA242">
        <f>IF(OR(CB242=0,ISNUMBER(MATCH(CB242,$CB$1:CB241,0))),0,MAX($CA$1:CA241)+1)</f>
        <v>0</v>
      </c>
      <c r="CB242" s="8">
        <f>IF(OR(Tank3!$D$18="EXTERNAL FLOATING ROOF",Tank3!$D$18="INTERNAL FLOATING ROOF"),IF(Tank3!$E52="",0,Tank3!$E52),0)</f>
        <v>0</v>
      </c>
      <c r="CE242" s="8">
        <f>IF(OR(CF242=0,ISNUMBER(MATCH(CF242,$CF$1:CF241,0))),0,MAX($CE$1:CE241)+1)</f>
        <v>0</v>
      </c>
      <c r="CF242" s="8">
        <f>IF(OR(Tank3!$D$18="HORIZONTAL FIXED ROOF",Tank3!$D$18="VERTICAL FIXED ROOF"),IF(Tank3!$E52="",0,Tank3!$E52),0)</f>
        <v>0</v>
      </c>
      <c r="FB242" s="8" t="s">
        <v>824</v>
      </c>
      <c r="FC242" s="8" t="s">
        <v>825</v>
      </c>
      <c r="FD242" s="8">
        <v>350</v>
      </c>
      <c r="FE242" s="8">
        <v>35</v>
      </c>
    </row>
    <row r="243" spans="79:161" ht="74.25" customHeight="1" x14ac:dyDescent="0.2">
      <c r="CA243">
        <f>IF(OR(CB243=0,ISNUMBER(MATCH(CB243,$CB$1:CB242,0))),0,MAX($CA$1:CA242)+1)</f>
        <v>0</v>
      </c>
      <c r="CB243" s="8">
        <f>IF(OR(Tank3!$D$18="EXTERNAL FLOATING ROOF",Tank3!$D$18="INTERNAL FLOATING ROOF"),IF(Tank3!$E53="",0,Tank3!$E53),0)</f>
        <v>0</v>
      </c>
      <c r="CE243" s="8">
        <f>IF(OR(CF243=0,ISNUMBER(MATCH(CF243,$CF$1:CF242,0))),0,MAX($CE$1:CE242)+1)</f>
        <v>0</v>
      </c>
      <c r="CF243" s="8">
        <f>IF(OR(Tank3!$D$18="HORIZONTAL FIXED ROOF",Tank3!$D$18="VERTICAL FIXED ROOF"),IF(Tank3!$E53="",0,Tank3!$E53),0)</f>
        <v>0</v>
      </c>
      <c r="FB243" s="8" t="s">
        <v>826</v>
      </c>
      <c r="FC243" s="8" t="s">
        <v>827</v>
      </c>
      <c r="FD243" s="8">
        <v>40</v>
      </c>
      <c r="FE243" s="8">
        <v>4</v>
      </c>
    </row>
    <row r="244" spans="79:161" ht="74.25" customHeight="1" x14ac:dyDescent="0.2">
      <c r="CA244">
        <f>IF(OR(CB244=0,ISNUMBER(MATCH(CB244,$CB$1:CB243,0))),0,MAX($CA$1:CA243)+1)</f>
        <v>0</v>
      </c>
      <c r="CB244" s="8">
        <f>IF(OR(Tank3!$D$18="EXTERNAL FLOATING ROOF",Tank3!$D$18="INTERNAL FLOATING ROOF"),IF(Tank3!$E54="",0,Tank3!$E54),0)</f>
        <v>0</v>
      </c>
      <c r="CE244" s="8">
        <f>IF(OR(CF244=0,ISNUMBER(MATCH(CF244,$CF$1:CF243,0))),0,MAX($CE$1:CE243)+1)</f>
        <v>0</v>
      </c>
      <c r="CF244" s="8">
        <f>IF(OR(Tank3!$D$18="HORIZONTAL FIXED ROOF",Tank3!$D$18="VERTICAL FIXED ROOF"),IF(Tank3!$E54="",0,Tank3!$E54),0)</f>
        <v>0</v>
      </c>
      <c r="FB244" s="8" t="s">
        <v>828</v>
      </c>
      <c r="FC244" s="8" t="s">
        <v>829</v>
      </c>
      <c r="FD244" s="8">
        <v>10</v>
      </c>
      <c r="FE244" s="8">
        <v>1</v>
      </c>
    </row>
    <row r="245" spans="79:161" ht="74.25" customHeight="1" x14ac:dyDescent="0.2">
      <c r="CA245">
        <f>IF(OR(CB245=0,ISNUMBER(MATCH(CB245,$CB$1:CB244,0))),0,MAX($CA$1:CA244)+1)</f>
        <v>0</v>
      </c>
      <c r="CB245" s="8">
        <f>IF(OR(Tank3!$D$18="EXTERNAL FLOATING ROOF",Tank3!$D$18="INTERNAL FLOATING ROOF"),IF(Tank3!$E55="",0,Tank3!$E55),0)</f>
        <v>0</v>
      </c>
      <c r="CE245" s="8">
        <f>IF(OR(CF245=0,ISNUMBER(MATCH(CF245,$CF$1:CF244,0))),0,MAX($CE$1:CE244)+1)</f>
        <v>0</v>
      </c>
      <c r="CF245" s="8">
        <f>IF(OR(Tank3!$D$18="HORIZONTAL FIXED ROOF",Tank3!$D$18="VERTICAL FIXED ROOF"),IF(Tank3!$E55="",0,Tank3!$E55),0)</f>
        <v>0</v>
      </c>
      <c r="FB245" s="8" t="s">
        <v>830</v>
      </c>
      <c r="FC245" s="8" t="s">
        <v>831</v>
      </c>
      <c r="FD245" s="8">
        <v>700</v>
      </c>
      <c r="FE245" s="8">
        <v>70</v>
      </c>
    </row>
    <row r="246" spans="79:161" ht="74.25" customHeight="1" x14ac:dyDescent="0.2">
      <c r="CA246">
        <f>IF(OR(CB246=0,ISNUMBER(MATCH(CB246,$CB$1:CB245,0))),0,MAX($CA$1:CA245)+1)</f>
        <v>0</v>
      </c>
      <c r="CB246" s="8">
        <f>IF(OR(Tank3!$D$18="EXTERNAL FLOATING ROOF",Tank3!$D$18="INTERNAL FLOATING ROOF"),IF(Tank3!$E56="",0,Tank3!$E56),0)</f>
        <v>0</v>
      </c>
      <c r="CE246" s="8">
        <f>IF(OR(CF246=0,ISNUMBER(MATCH(CF246,$CF$1:CF245,0))),0,MAX($CE$1:CE245)+1)</f>
        <v>0</v>
      </c>
      <c r="CF246" s="8">
        <f>IF(OR(Tank3!$D$18="HORIZONTAL FIXED ROOF",Tank3!$D$18="VERTICAL FIXED ROOF"),IF(Tank3!$E56="",0,Tank3!$E56),0)</f>
        <v>0</v>
      </c>
      <c r="FB246" s="8" t="s">
        <v>832</v>
      </c>
      <c r="FC246" s="8" t="s">
        <v>833</v>
      </c>
      <c r="FD246" s="8">
        <v>1000</v>
      </c>
      <c r="FE246" s="8">
        <v>100</v>
      </c>
    </row>
    <row r="247" spans="79:161" ht="74.25" customHeight="1" x14ac:dyDescent="0.2">
      <c r="CA247">
        <f>IF(OR(CB247=0,ISNUMBER(MATCH(CB247,$CB$1:CB246,0))),0,MAX($CA$1:CA246)+1)</f>
        <v>0</v>
      </c>
      <c r="CB247" s="8">
        <f>IF(OR(Tank3!$D$18="EXTERNAL FLOATING ROOF",Tank3!$D$18="INTERNAL FLOATING ROOF"),IF(Tank3!$E57="",0,Tank3!$E57),0)</f>
        <v>0</v>
      </c>
      <c r="CE247" s="8">
        <f>IF(OR(CF247=0,ISNUMBER(MATCH(CF247,$CF$1:CF246,0))),0,MAX($CE$1:CE246)+1)</f>
        <v>0</v>
      </c>
      <c r="CF247" s="8">
        <f>IF(OR(Tank3!$D$18="HORIZONTAL FIXED ROOF",Tank3!$D$18="VERTICAL FIXED ROOF"),IF(Tank3!$E57="",0,Tank3!$E57),0)</f>
        <v>0</v>
      </c>
      <c r="FB247" s="8" t="s">
        <v>834</v>
      </c>
      <c r="FC247" s="8" t="s">
        <v>835</v>
      </c>
      <c r="FD247" s="8">
        <v>50</v>
      </c>
      <c r="FE247" s="8">
        <v>5</v>
      </c>
    </row>
    <row r="248" spans="79:161" ht="74.25" customHeight="1" x14ac:dyDescent="0.2">
      <c r="CA248">
        <f>IF(OR(CB248=0,ISNUMBER(MATCH(CB248,$CB$1:CB247,0))),0,MAX($CA$1:CA247)+1)</f>
        <v>0</v>
      </c>
      <c r="CB248" s="8">
        <f>IF(OR(Tank3!$D$18="EXTERNAL FLOATING ROOF",Tank3!$D$18="INTERNAL FLOATING ROOF"),IF(Tank3!$E58="",0,Tank3!$E58),0)</f>
        <v>0</v>
      </c>
      <c r="CE248" s="8">
        <f>IF(OR(CF248=0,ISNUMBER(MATCH(CF248,$CF$1:CF247,0))),0,MAX($CE$1:CE247)+1)</f>
        <v>0</v>
      </c>
      <c r="CF248" s="8">
        <f>IF(OR(Tank3!$D$18="HORIZONTAL FIXED ROOF",Tank3!$D$18="VERTICAL FIXED ROOF"),IF(Tank3!$E58="",0,Tank3!$E58),0)</f>
        <v>0</v>
      </c>
      <c r="FB248" s="8" t="s">
        <v>836</v>
      </c>
      <c r="FC248" s="8" t="s">
        <v>837</v>
      </c>
      <c r="FD248" s="8">
        <v>50</v>
      </c>
      <c r="FE248" s="8">
        <v>5</v>
      </c>
    </row>
    <row r="249" spans="79:161" ht="74.25" customHeight="1" x14ac:dyDescent="0.2">
      <c r="CA249">
        <f>IF(OR(CB249=0,ISNUMBER(MATCH(CB249,$CB$1:CB248,0))),0,MAX($CA$1:CA248)+1)</f>
        <v>0</v>
      </c>
      <c r="CB249" s="8">
        <f>IF(OR(Tank3!$D$18="EXTERNAL FLOATING ROOF",Tank3!$D$18="INTERNAL FLOATING ROOF"),IF(Tank3!$E59="",0,Tank3!$E59),0)</f>
        <v>0</v>
      </c>
      <c r="CE249" s="8">
        <f>IF(OR(CF249=0,ISNUMBER(MATCH(CF249,$CF$1:CF248,0))),0,MAX($CE$1:CE248)+1)</f>
        <v>0</v>
      </c>
      <c r="CF249" s="8">
        <f>IF(OR(Tank3!$D$18="HORIZONTAL FIXED ROOF",Tank3!$D$18="VERTICAL FIXED ROOF"),IF(Tank3!$E59="",0,Tank3!$E59),0)</f>
        <v>0</v>
      </c>
      <c r="FB249" s="8" t="s">
        <v>838</v>
      </c>
      <c r="FC249" s="8" t="s">
        <v>839</v>
      </c>
      <c r="FD249" s="8">
        <v>1000</v>
      </c>
      <c r="FE249" s="8">
        <v>100</v>
      </c>
    </row>
    <row r="250" spans="79:161" ht="74.25" customHeight="1" x14ac:dyDescent="0.2">
      <c r="CA250">
        <f>IF(OR(CB250=0,ISNUMBER(MATCH(CB250,$CB$1:CB249,0))),0,MAX($CA$1:CA249)+1)</f>
        <v>0</v>
      </c>
      <c r="CB250" s="8">
        <f>IF(OR(Tank3!$D$18="EXTERNAL FLOATING ROOF",Tank3!$D$18="INTERNAL FLOATING ROOF"),IF(Tank3!$E60="",0,Tank3!$E60),0)</f>
        <v>0</v>
      </c>
      <c r="CE250" s="8">
        <f>IF(OR(CF250=0,ISNUMBER(MATCH(CF250,$CF$1:CF249,0))),0,MAX($CE$1:CE249)+1)</f>
        <v>0</v>
      </c>
      <c r="CF250" s="8">
        <f>IF(OR(Tank3!$D$18="HORIZONTAL FIXED ROOF",Tank3!$D$18="VERTICAL FIXED ROOF"),IF(Tank3!$E60="",0,Tank3!$E60),0)</f>
        <v>0</v>
      </c>
      <c r="FB250" s="8" t="s">
        <v>840</v>
      </c>
      <c r="FC250" s="8" t="s">
        <v>841</v>
      </c>
      <c r="FD250" s="8">
        <v>160</v>
      </c>
      <c r="FE250" s="8">
        <v>16</v>
      </c>
    </row>
    <row r="251" spans="79:161" ht="74.25" customHeight="1" x14ac:dyDescent="0.2">
      <c r="CA251">
        <f>IF(OR(CB251=0,ISNUMBER(MATCH(CB251,$CB$1:CB250,0))),0,MAX($CA$1:CA250)+1)</f>
        <v>0</v>
      </c>
      <c r="CB251" s="8">
        <f>IF(OR(Tank3!$D$18="EXTERNAL FLOATING ROOF",Tank3!$D$18="INTERNAL FLOATING ROOF"),IF(Tank3!$E61="",0,Tank3!$E61),0)</f>
        <v>0</v>
      </c>
      <c r="CE251" s="8">
        <f>IF(OR(CF251=0,ISNUMBER(MATCH(CF251,$CF$1:CF250,0))),0,MAX($CE$1:CE250)+1)</f>
        <v>0</v>
      </c>
      <c r="CF251" s="8">
        <f>IF(OR(Tank3!$D$18="HORIZONTAL FIXED ROOF",Tank3!$D$18="VERTICAL FIXED ROOF"),IF(Tank3!$E61="",0,Tank3!$E61),0)</f>
        <v>0</v>
      </c>
      <c r="FB251" s="8" t="s">
        <v>842</v>
      </c>
      <c r="FC251" s="8" t="s">
        <v>843</v>
      </c>
      <c r="FD251" s="8">
        <v>510</v>
      </c>
      <c r="FE251" s="8">
        <v>9.9</v>
      </c>
    </row>
    <row r="252" spans="79:161" ht="74.25" customHeight="1" x14ac:dyDescent="0.2">
      <c r="CA252">
        <f>IF(OR(CB252=0,ISNUMBER(MATCH(CB252,$CB$1:CB251,0))),0,MAX($CA$1:CA251)+1)</f>
        <v>0</v>
      </c>
      <c r="CB252" s="8">
        <f>IF(OR(Tank3!$D$18="EXTERNAL FLOATING ROOF",Tank3!$D$18="INTERNAL FLOATING ROOF"),IF(Tank3!$E62="",0,Tank3!$E62),0)</f>
        <v>0</v>
      </c>
      <c r="CE252" s="8">
        <f>IF(OR(CF252=0,ISNUMBER(MATCH(CF252,$CF$1:CF251,0))),0,MAX($CE$1:CE251)+1)</f>
        <v>0</v>
      </c>
      <c r="CF252" s="8">
        <f>IF(OR(Tank3!$D$18="HORIZONTAL FIXED ROOF",Tank3!$D$18="VERTICAL FIXED ROOF"),IF(Tank3!$E62="",0,Tank3!$E62),0)</f>
        <v>0</v>
      </c>
      <c r="FB252" s="8" t="s">
        <v>844</v>
      </c>
      <c r="FC252" s="8" t="s">
        <v>845</v>
      </c>
      <c r="FD252" s="8">
        <v>4400</v>
      </c>
      <c r="FE252" s="8">
        <v>440</v>
      </c>
    </row>
    <row r="253" spans="79:161" ht="74.25" customHeight="1" x14ac:dyDescent="0.2">
      <c r="CA253">
        <f>IF(OR(CB253=0,ISNUMBER(MATCH(CB253,$CB$1:CB252,0))),0,MAX($CA$1:CA252)+1)</f>
        <v>0</v>
      </c>
      <c r="CB253" s="8">
        <f>IF(OR(Tank3!$D$18="EXTERNAL FLOATING ROOF",Tank3!$D$18="INTERNAL FLOATING ROOF"),IF(Tank3!$E63="",0,Tank3!$E63),0)</f>
        <v>0</v>
      </c>
      <c r="CE253" s="8">
        <f>IF(OR(CF253=0,ISNUMBER(MATCH(CF253,$CF$1:CF252,0))),0,MAX($CE$1:CE252)+1)</f>
        <v>0</v>
      </c>
      <c r="CF253" s="8">
        <f>IF(OR(Tank3!$D$18="HORIZONTAL FIXED ROOF",Tank3!$D$18="VERTICAL FIXED ROOF"),IF(Tank3!$E63="",0,Tank3!$E63),0)</f>
        <v>0</v>
      </c>
      <c r="FB253" s="8" t="s">
        <v>846</v>
      </c>
      <c r="FC253" s="8" t="s">
        <v>847</v>
      </c>
      <c r="FD253" s="8">
        <v>100</v>
      </c>
      <c r="FE253" s="8">
        <v>10</v>
      </c>
    </row>
    <row r="254" spans="79:161" ht="74.25" customHeight="1" x14ac:dyDescent="0.2">
      <c r="CA254">
        <f>IF(OR(CB254=0,ISNUMBER(MATCH(CB254,$CB$1:CB253,0))),0,MAX($CA$1:CA253)+1)</f>
        <v>0</v>
      </c>
      <c r="CB254" s="8">
        <f>IF(OR(Tank3!$D$18="EXTERNAL FLOATING ROOF",Tank3!$D$18="INTERNAL FLOATING ROOF"),IF(Tank3!$E64="",0,Tank3!$E64),0)</f>
        <v>0</v>
      </c>
      <c r="CE254" s="8">
        <f>IF(OR(CF254=0,ISNUMBER(MATCH(CF254,$CF$1:CF253,0))),0,MAX($CE$1:CE253)+1)</f>
        <v>0</v>
      </c>
      <c r="CF254" s="8">
        <f>IF(OR(Tank3!$D$18="HORIZONTAL FIXED ROOF",Tank3!$D$18="VERTICAL FIXED ROOF"),IF(Tank3!$E64="",0,Tank3!$E64),0)</f>
        <v>0</v>
      </c>
      <c r="FB254" s="8" t="s">
        <v>848</v>
      </c>
      <c r="FC254" s="8" t="s">
        <v>849</v>
      </c>
      <c r="FD254" s="8">
        <v>100</v>
      </c>
      <c r="FE254" s="8">
        <v>10</v>
      </c>
    </row>
    <row r="255" spans="79:161" ht="74.25" customHeight="1" x14ac:dyDescent="0.2">
      <c r="CA255">
        <f>IF(OR(CB255=0,ISNUMBER(MATCH(CB255,$CB$1:CB254,0))),0,MAX($CA$1:CA254)+1)</f>
        <v>0</v>
      </c>
      <c r="CB255" s="8">
        <f>IF(OR(Tank3!$D$18="EXTERNAL FLOATING ROOF",Tank3!$D$18="INTERNAL FLOATING ROOF"),IF(Tank3!$E65="",0,Tank3!$E65),0)</f>
        <v>0</v>
      </c>
      <c r="CE255" s="8">
        <f>IF(OR(CF255=0,ISNUMBER(MATCH(CF255,$CF$1:CF254,0))),0,MAX($CE$1:CE254)+1)</f>
        <v>0</v>
      </c>
      <c r="CF255" s="8">
        <f>IF(OR(Tank3!$D$18="HORIZONTAL FIXED ROOF",Tank3!$D$18="VERTICAL FIXED ROOF"),IF(Tank3!$E65="",0,Tank3!$E65),0)</f>
        <v>0</v>
      </c>
      <c r="FB255" s="8" t="s">
        <v>850</v>
      </c>
      <c r="FC255" s="8" t="s">
        <v>851</v>
      </c>
      <c r="FD255" s="8">
        <v>250</v>
      </c>
      <c r="FE255" s="8">
        <v>25</v>
      </c>
    </row>
    <row r="256" spans="79:161" ht="74.25" customHeight="1" x14ac:dyDescent="0.2">
      <c r="CA256">
        <f>IF(OR(CB256=0,ISNUMBER(MATCH(CB256,$CB$1:CB255,0))),0,MAX($CA$1:CA255)+1)</f>
        <v>0</v>
      </c>
      <c r="CB256" s="8">
        <f>IF(OR(Tank3!$D$18="EXTERNAL FLOATING ROOF",Tank3!$D$18="INTERNAL FLOATING ROOF"),IF(Tank3!$E66="",0,Tank3!$E66),0)</f>
        <v>0</v>
      </c>
      <c r="CE256" s="8">
        <f>IF(OR(CF256=0,ISNUMBER(MATCH(CF256,$CF$1:CF255,0))),0,MAX($CE$1:CE255)+1)</f>
        <v>0</v>
      </c>
      <c r="CF256" s="8">
        <f>IF(OR(Tank3!$D$18="HORIZONTAL FIXED ROOF",Tank3!$D$18="VERTICAL FIXED ROOF"),IF(Tank3!$E66="",0,Tank3!$E66),0)</f>
        <v>0</v>
      </c>
      <c r="FB256" s="8" t="s">
        <v>852</v>
      </c>
      <c r="FC256" s="8" t="s">
        <v>853</v>
      </c>
      <c r="FD256" s="8">
        <v>10000</v>
      </c>
      <c r="FE256" s="8">
        <v>1000</v>
      </c>
    </row>
    <row r="257" spans="79:161" ht="74.25" customHeight="1" x14ac:dyDescent="0.2">
      <c r="CA257">
        <f>IF(OR(CB257=0,ISNUMBER(MATCH(CB257,$CB$1:CB256,0))),0,MAX($CA$1:CA256)+1)</f>
        <v>0</v>
      </c>
      <c r="CB257" s="8">
        <f>IF(OR(Tank3!$D$18="EXTERNAL FLOATING ROOF",Tank3!$D$18="INTERNAL FLOATING ROOF"),IF(Tank3!$E67="",0,Tank3!$E67),0)</f>
        <v>0</v>
      </c>
      <c r="CE257" s="8">
        <f>IF(OR(CF257=0,ISNUMBER(MATCH(CF257,$CF$1:CF256,0))),0,MAX($CE$1:CE256)+1)</f>
        <v>0</v>
      </c>
      <c r="CF257" s="8">
        <f>IF(OR(Tank3!$D$18="HORIZONTAL FIXED ROOF",Tank3!$D$18="VERTICAL FIXED ROOF"),IF(Tank3!$E67="",0,Tank3!$E67),0)</f>
        <v>0</v>
      </c>
      <c r="FB257" s="8" t="s">
        <v>854</v>
      </c>
      <c r="FC257" s="8" t="s">
        <v>855</v>
      </c>
      <c r="FD257" s="8">
        <v>160</v>
      </c>
      <c r="FE257" s="8">
        <v>16</v>
      </c>
    </row>
    <row r="258" spans="79:161" ht="74.25" customHeight="1" x14ac:dyDescent="0.2">
      <c r="CA258">
        <f>IF(OR(CB258=0,ISNUMBER(MATCH(CB258,$CB$1:CB257,0))),0,MAX($CA$1:CA257)+1)</f>
        <v>0</v>
      </c>
      <c r="CB258" s="8">
        <f>IF(OR(Tank3!$D$18="EXTERNAL FLOATING ROOF",Tank3!$D$18="INTERNAL FLOATING ROOF"),IF(Tank3!$E68="",0,Tank3!$E68),0)</f>
        <v>0</v>
      </c>
      <c r="CE258" s="8">
        <f>IF(OR(CF258=0,ISNUMBER(MATCH(CF258,$CF$1:CF257,0))),0,MAX($CE$1:CE257)+1)</f>
        <v>0</v>
      </c>
      <c r="CF258" s="8">
        <f>IF(OR(Tank3!$D$18="HORIZONTAL FIXED ROOF",Tank3!$D$18="VERTICAL FIXED ROOF"),IF(Tank3!$E68="",0,Tank3!$E68),0)</f>
        <v>0</v>
      </c>
      <c r="FB258" s="8" t="s">
        <v>856</v>
      </c>
      <c r="FC258" s="8" t="s">
        <v>857</v>
      </c>
      <c r="FD258" s="8">
        <v>160</v>
      </c>
      <c r="FE258" s="8">
        <v>16</v>
      </c>
    </row>
    <row r="259" spans="79:161" ht="74.25" customHeight="1" x14ac:dyDescent="0.2">
      <c r="CA259">
        <f>IF(OR(CB259=0,ISNUMBER(MATCH(CB259,$CB$1:CB258,0))),0,MAX($CA$1:CA258)+1)</f>
        <v>0</v>
      </c>
      <c r="CB259" s="8">
        <f>IF(OR(Tank3!$D$18="EXTERNAL FLOATING ROOF",Tank3!$D$18="INTERNAL FLOATING ROOF"),IF(Tank3!$E69="",0,Tank3!$E69),0)</f>
        <v>0</v>
      </c>
      <c r="CE259" s="8">
        <f>IF(OR(CF259=0,ISNUMBER(MATCH(CF259,$CF$1:CF258,0))),0,MAX($CE$1:CE258)+1)</f>
        <v>0</v>
      </c>
      <c r="CF259" s="8">
        <f>IF(OR(Tank3!$D$18="HORIZONTAL FIXED ROOF",Tank3!$D$18="VERTICAL FIXED ROOF"),IF(Tank3!$E69="",0,Tank3!$E69),0)</f>
        <v>0</v>
      </c>
      <c r="FB259" s="8" t="s">
        <v>858</v>
      </c>
      <c r="FC259" s="8" t="s">
        <v>859</v>
      </c>
      <c r="FD259" s="8">
        <v>130</v>
      </c>
      <c r="FE259" s="8">
        <v>13</v>
      </c>
    </row>
    <row r="260" spans="79:161" ht="74.25" customHeight="1" x14ac:dyDescent="0.2">
      <c r="CA260">
        <f>IF(OR(CB260=0,ISNUMBER(MATCH(CB260,$CB$1:CB259,0))),0,MAX($CA$1:CA259)+1)</f>
        <v>0</v>
      </c>
      <c r="CB260" s="8">
        <f>IF(OR(Tank3!$D$18="EXTERNAL FLOATING ROOF",Tank3!$D$18="INTERNAL FLOATING ROOF"),IF(Tank3!$E70="",0,Tank3!$E70),0)</f>
        <v>0</v>
      </c>
      <c r="CE260" s="8">
        <f>IF(OR(CF260=0,ISNUMBER(MATCH(CF260,$CF$1:CF259,0))),0,MAX($CE$1:CE259)+1)</f>
        <v>0</v>
      </c>
      <c r="CF260" s="8">
        <f>IF(OR(Tank3!$D$18="HORIZONTAL FIXED ROOF",Tank3!$D$18="VERTICAL FIXED ROOF"),IF(Tank3!$E70="",0,Tank3!$E70),0)</f>
        <v>0</v>
      </c>
      <c r="FB260" s="8" t="s">
        <v>860</v>
      </c>
      <c r="FC260" s="8" t="s">
        <v>861</v>
      </c>
      <c r="FD260" s="8">
        <v>600</v>
      </c>
      <c r="FE260" s="8">
        <v>60</v>
      </c>
    </row>
    <row r="261" spans="79:161" ht="74.25" customHeight="1" x14ac:dyDescent="0.2">
      <c r="CA261">
        <f>IF(OR(CB261=0,ISNUMBER(MATCH(CB261,$CB$1:CB260,0))),0,MAX($CA$1:CA260)+1)</f>
        <v>0</v>
      </c>
      <c r="CB261" s="8">
        <f>IF(OR(Tank3!$D$18="EXTERNAL FLOATING ROOF",Tank3!$D$18="INTERNAL FLOATING ROOF"),IF(Tank3!$E71="",0,Tank3!$E71),0)</f>
        <v>0</v>
      </c>
      <c r="CE261" s="8">
        <f>IF(OR(CF261=0,ISNUMBER(MATCH(CF261,$CF$1:CF260,0))),0,MAX($CE$1:CE260)+1)</f>
        <v>0</v>
      </c>
      <c r="CF261" s="8">
        <f>IF(OR(Tank3!$D$18="HORIZONTAL FIXED ROOF",Tank3!$D$18="VERTICAL FIXED ROOF"),IF(Tank3!$E71="",0,Tank3!$E71),0)</f>
        <v>0</v>
      </c>
      <c r="FB261" s="8" t="s">
        <v>862</v>
      </c>
      <c r="FC261" s="8" t="s">
        <v>863</v>
      </c>
      <c r="FD261" s="8">
        <v>2500</v>
      </c>
      <c r="FE261" s="8">
        <v>250</v>
      </c>
    </row>
    <row r="262" spans="79:161" ht="74.25" customHeight="1" x14ac:dyDescent="0.2">
      <c r="CA262">
        <f>IF(OR(CB262=0,ISNUMBER(MATCH(CB262,$CB$1:CB261,0))),0,MAX($CA$1:CA261)+1)</f>
        <v>0</v>
      </c>
      <c r="CB262" s="8">
        <f>IF(OR(Tank3!$D$18="EXTERNAL FLOATING ROOF",Tank3!$D$18="INTERNAL FLOATING ROOF"),IF(Tank3!$E72="",0,Tank3!$E72),0)</f>
        <v>0</v>
      </c>
      <c r="CE262" s="8">
        <f>IF(OR(CF262=0,ISNUMBER(MATCH(CF262,$CF$1:CF261,0))),0,MAX($CE$1:CE261)+1)</f>
        <v>0</v>
      </c>
      <c r="CF262" s="8">
        <f>IF(OR(Tank3!$D$18="HORIZONTAL FIXED ROOF",Tank3!$D$18="VERTICAL FIXED ROOF"),IF(Tank3!$E72="",0,Tank3!$E72),0)</f>
        <v>0</v>
      </c>
      <c r="FB262" s="8" t="s">
        <v>864</v>
      </c>
      <c r="FC262" s="8" t="s">
        <v>865</v>
      </c>
      <c r="FD262" s="8">
        <v>2</v>
      </c>
      <c r="FE262" s="8">
        <v>0.2</v>
      </c>
    </row>
    <row r="263" spans="79:161" ht="74.25" customHeight="1" x14ac:dyDescent="0.2">
      <c r="CA263">
        <f>IF(OR(CB263=0,ISNUMBER(MATCH(CB263,$CB$1:CB262,0))),0,MAX($CA$1:CA262)+1)</f>
        <v>0</v>
      </c>
      <c r="CB263" s="8">
        <f>IF(OR(Tank3!$D$18="EXTERNAL FLOATING ROOF",Tank3!$D$18="INTERNAL FLOATING ROOF"),IF(Tank3!$E73="",0,Tank3!$E73),0)</f>
        <v>0</v>
      </c>
      <c r="CE263" s="8">
        <f>IF(OR(CF263=0,ISNUMBER(MATCH(CF263,$CF$1:CF262,0))),0,MAX($CE$1:CE262)+1)</f>
        <v>0</v>
      </c>
      <c r="CF263" s="8">
        <f>IF(OR(Tank3!$D$18="HORIZONTAL FIXED ROOF",Tank3!$D$18="VERTICAL FIXED ROOF"),IF(Tank3!$E73="",0,Tank3!$E73),0)</f>
        <v>0</v>
      </c>
      <c r="FB263" s="8" t="s">
        <v>866</v>
      </c>
      <c r="FC263" s="8" t="s">
        <v>867</v>
      </c>
      <c r="FD263" s="8">
        <v>900</v>
      </c>
      <c r="FE263" s="8">
        <v>160</v>
      </c>
    </row>
    <row r="264" spans="79:161" ht="74.25" customHeight="1" x14ac:dyDescent="0.2">
      <c r="CA264">
        <f>IF(OR(CB264=0,ISNUMBER(MATCH(CB264,$CB$1:CB263,0))),0,MAX($CA$1:CA263)+1)</f>
        <v>0</v>
      </c>
      <c r="CB264" s="8">
        <f>IF(OR(Tank3!$D$18="EXTERNAL FLOATING ROOF",Tank3!$D$18="INTERNAL FLOATING ROOF"),IF(Tank3!$E74="",0,Tank3!$E74),0)</f>
        <v>0</v>
      </c>
      <c r="CE264" s="8">
        <f>IF(OR(CF264=0,ISNUMBER(MATCH(CF264,$CF$1:CF263,0))),0,MAX($CE$1:CE263)+1)</f>
        <v>0</v>
      </c>
      <c r="CF264" s="8">
        <f>IF(OR(Tank3!$D$18="HORIZONTAL FIXED ROOF",Tank3!$D$18="VERTICAL FIXED ROOF"),IF(Tank3!$E74="",0,Tank3!$E74),0)</f>
        <v>0</v>
      </c>
      <c r="FB264" s="8" t="s">
        <v>868</v>
      </c>
      <c r="FC264" s="8" t="s">
        <v>869</v>
      </c>
      <c r="FD264" s="8">
        <v>460</v>
      </c>
      <c r="FE264" s="8">
        <v>46</v>
      </c>
    </row>
    <row r="265" spans="79:161" ht="74.25" customHeight="1" x14ac:dyDescent="0.2">
      <c r="CA265">
        <f>IF(OR(CB265=0,ISNUMBER(MATCH(CB265,$CB$1:CB264,0))),0,MAX($CA$1:CA264)+1)</f>
        <v>0</v>
      </c>
      <c r="CB265" s="8">
        <f>IF(OR(Tank3!$D$18="EXTERNAL FLOATING ROOF",Tank3!$D$18="INTERNAL FLOATING ROOF"),IF(Tank3!$E75="",0,Tank3!$E75),0)</f>
        <v>0</v>
      </c>
      <c r="CE265" s="8">
        <f>IF(OR(CF265=0,ISNUMBER(MATCH(CF265,$CF$1:CF264,0))),0,MAX($CE$1:CE264)+1)</f>
        <v>0</v>
      </c>
      <c r="CF265" s="8">
        <f>IF(OR(Tank3!$D$18="HORIZONTAL FIXED ROOF",Tank3!$D$18="VERTICAL FIXED ROOF"),IF(Tank3!$E75="",0,Tank3!$E75),0)</f>
        <v>0</v>
      </c>
      <c r="FB265" s="8" t="s">
        <v>870</v>
      </c>
      <c r="FC265" s="8" t="s">
        <v>871</v>
      </c>
      <c r="FD265" s="8">
        <v>45</v>
      </c>
      <c r="FE265" s="8">
        <v>4.5</v>
      </c>
    </row>
    <row r="266" spans="79:161" ht="74.25" customHeight="1" x14ac:dyDescent="0.2">
      <c r="CA266">
        <f>IF(OR(CB266=0,ISNUMBER(MATCH(CB266,$CB$1:CB265,0))),0,MAX($CA$1:CA265)+1)</f>
        <v>0</v>
      </c>
      <c r="CB266" s="8">
        <f>IF(OR(Tank3!$D$18="EXTERNAL FLOATING ROOF",Tank3!$D$18="INTERNAL FLOATING ROOF"),IF(Tank3!$E76="",0,Tank3!$E76),0)</f>
        <v>0</v>
      </c>
      <c r="CE266" s="8">
        <f>IF(OR(CF266=0,ISNUMBER(MATCH(CF266,$CF$1:CF265,0))),0,MAX($CE$1:CE265)+1)</f>
        <v>0</v>
      </c>
      <c r="CF266" s="8">
        <f>IF(OR(Tank3!$D$18="HORIZONTAL FIXED ROOF",Tank3!$D$18="VERTICAL FIXED ROOF"),IF(Tank3!$E76="",0,Tank3!$E76),0)</f>
        <v>0</v>
      </c>
      <c r="FB266" s="8" t="s">
        <v>872</v>
      </c>
      <c r="FC266" s="8" t="s">
        <v>873</v>
      </c>
      <c r="FD266" s="8">
        <v>230</v>
      </c>
      <c r="FE266" s="8">
        <v>23</v>
      </c>
    </row>
    <row r="267" spans="79:161" ht="74.25" customHeight="1" x14ac:dyDescent="0.2">
      <c r="CA267">
        <f>IF(OR(CB267=0,ISNUMBER(MATCH(CB267,$CB$1:CB266,0))),0,MAX($CA$1:CA266)+1)</f>
        <v>0</v>
      </c>
      <c r="CB267" s="8">
        <f>IF(OR(Tank3!$D$18="EXTERNAL FLOATING ROOF",Tank3!$D$18="INTERNAL FLOATING ROOF"),IF(Tank3!$E77="",0,Tank3!$E77),0)</f>
        <v>0</v>
      </c>
      <c r="CE267" s="8">
        <f>IF(OR(CF267=0,ISNUMBER(MATCH(CF267,$CF$1:CF266,0))),0,MAX($CE$1:CE266)+1)</f>
        <v>0</v>
      </c>
      <c r="CF267" s="8">
        <f>IF(OR(Tank3!$D$18="HORIZONTAL FIXED ROOF",Tank3!$D$18="VERTICAL FIXED ROOF"),IF(Tank3!$E77="",0,Tank3!$E77),0)</f>
        <v>0</v>
      </c>
      <c r="FB267" s="8" t="s">
        <v>874</v>
      </c>
      <c r="FC267" s="8" t="s">
        <v>875</v>
      </c>
      <c r="FD267" s="8">
        <v>2450</v>
      </c>
      <c r="FE267" s="8">
        <v>245</v>
      </c>
    </row>
    <row r="268" spans="79:161" ht="74.25" customHeight="1" x14ac:dyDescent="0.2">
      <c r="CA268">
        <f>IF(OR(CB268=0,ISNUMBER(MATCH(CB268,$CB$1:CB267,0))),0,MAX($CA$1:CA267)+1)</f>
        <v>0</v>
      </c>
      <c r="CB268" s="8">
        <f>IF(OR(Tank3!$D$18="EXTERNAL FLOATING ROOF",Tank3!$D$18="INTERNAL FLOATING ROOF"),IF(Tank3!$E78="",0,Tank3!$E78),0)</f>
        <v>0</v>
      </c>
      <c r="CE268" s="8">
        <f>IF(OR(CF268=0,ISNUMBER(MATCH(CF268,$CF$1:CF267,0))),0,MAX($CE$1:CE267)+1)</f>
        <v>0</v>
      </c>
      <c r="CF268" s="8">
        <f>IF(OR(Tank3!$D$18="HORIZONTAL FIXED ROOF",Tank3!$D$18="VERTICAL FIXED ROOF"),IF(Tank3!$E78="",0,Tank3!$E78),0)</f>
        <v>0</v>
      </c>
      <c r="FB268" s="8" t="s">
        <v>876</v>
      </c>
      <c r="FC268" s="8" t="s">
        <v>877</v>
      </c>
      <c r="FD268" s="8">
        <v>2450</v>
      </c>
      <c r="FE268" s="8">
        <v>245</v>
      </c>
    </row>
    <row r="269" spans="79:161" ht="74.25" customHeight="1" x14ac:dyDescent="0.2">
      <c r="CA269">
        <f>IF(OR(CB269=0,ISNUMBER(MATCH(CB269,$CB$1:CB268,0))),0,MAX($CA$1:CA268)+1)</f>
        <v>0</v>
      </c>
      <c r="CB269" s="8">
        <f>IF(OR(Tank3!$D$18="EXTERNAL FLOATING ROOF",Tank3!$D$18="INTERNAL FLOATING ROOF"),IF(Tank3!$E79="",0,Tank3!$E79),0)</f>
        <v>0</v>
      </c>
      <c r="CE269" s="8">
        <f>IF(OR(CF269=0,ISNUMBER(MATCH(CF269,$CF$1:CF268,0))),0,MAX($CE$1:CE268)+1)</f>
        <v>0</v>
      </c>
      <c r="CF269" s="8">
        <f>IF(OR(Tank3!$D$18="HORIZONTAL FIXED ROOF",Tank3!$D$18="VERTICAL FIXED ROOF"),IF(Tank3!$E79="",0,Tank3!$E79),0)</f>
        <v>0</v>
      </c>
      <c r="FB269" s="8" t="s">
        <v>878</v>
      </c>
      <c r="FC269" s="8" t="s">
        <v>879</v>
      </c>
      <c r="FD269" s="8">
        <v>2450</v>
      </c>
      <c r="FE269" s="8">
        <v>245</v>
      </c>
    </row>
    <row r="270" spans="79:161" ht="74.25" customHeight="1" x14ac:dyDescent="0.2">
      <c r="CA270">
        <f>IF(OR(CB270=0,ISNUMBER(MATCH(CB270,$CB$1:CB269,0))),0,MAX($CA$1:CA269)+1)</f>
        <v>0</v>
      </c>
      <c r="CB270" s="8">
        <f>IF(OR(Tank3!$D$18="EXTERNAL FLOATING ROOF",Tank3!$D$18="INTERNAL FLOATING ROOF"),IF(Tank3!$E80="",0,Tank3!$E80),0)</f>
        <v>0</v>
      </c>
      <c r="CE270" s="8">
        <f>IF(OR(CF270=0,ISNUMBER(MATCH(CF270,$CF$1:CF269,0))),0,MAX($CE$1:CE269)+1)</f>
        <v>0</v>
      </c>
      <c r="CF270" s="8">
        <f>IF(OR(Tank3!$D$18="HORIZONTAL FIXED ROOF",Tank3!$D$18="VERTICAL FIXED ROOF"),IF(Tank3!$E80="",0,Tank3!$E80),0)</f>
        <v>0</v>
      </c>
      <c r="FB270" s="8" t="s">
        <v>880</v>
      </c>
      <c r="FC270" s="8" t="s">
        <v>881</v>
      </c>
      <c r="FD270" s="8">
        <v>100</v>
      </c>
      <c r="FE270" s="8">
        <v>10</v>
      </c>
    </row>
    <row r="271" spans="79:161" ht="74.25" customHeight="1" x14ac:dyDescent="0.2">
      <c r="CA271">
        <f>IF(OR(CB271=0,ISNUMBER(MATCH(CB271,$CB$1:CB270,0))),0,MAX($CA$1:CA270)+1)</f>
        <v>0</v>
      </c>
      <c r="CB271" s="8">
        <f>IF(OR(Tank3!$D$18="EXTERNAL FLOATING ROOF",Tank3!$D$18="INTERNAL FLOATING ROOF"),IF(Tank3!$E81="",0,Tank3!$E81),0)</f>
        <v>0</v>
      </c>
      <c r="CE271" s="8">
        <f>IF(OR(CF271=0,ISNUMBER(MATCH(CF271,$CF$1:CF270,0))),0,MAX($CE$1:CE270)+1)</f>
        <v>0</v>
      </c>
      <c r="CF271" s="8">
        <f>IF(OR(Tank3!$D$18="HORIZONTAL FIXED ROOF",Tank3!$D$18="VERTICAL FIXED ROOF"),IF(Tank3!$E81="",0,Tank3!$E81),0)</f>
        <v>0</v>
      </c>
      <c r="FB271" s="8" t="s">
        <v>882</v>
      </c>
      <c r="FC271" s="8" t="s">
        <v>883</v>
      </c>
      <c r="FD271" s="8">
        <v>2450</v>
      </c>
      <c r="FE271" s="8">
        <v>245</v>
      </c>
    </row>
    <row r="272" spans="79:161" ht="74.25" customHeight="1" x14ac:dyDescent="0.2">
      <c r="CA272">
        <f>IF(OR(CB272=0,ISNUMBER(MATCH(CB272,$CB$1:CB271,0))),0,MAX($CA$1:CA271)+1)</f>
        <v>0</v>
      </c>
      <c r="CB272" s="8">
        <f>IF(OR(Tank3!$D$18="EXTERNAL FLOATING ROOF",Tank3!$D$18="INTERNAL FLOATING ROOF"),IF(Tank3!$E82="",0,Tank3!$E82),0)</f>
        <v>0</v>
      </c>
      <c r="CE272" s="8">
        <f>IF(OR(CF272=0,ISNUMBER(MATCH(CF272,$CF$1:CF271,0))),0,MAX($CE$1:CE271)+1)</f>
        <v>0</v>
      </c>
      <c r="CF272" s="8">
        <f>IF(OR(Tank3!$D$18="HORIZONTAL FIXED ROOF",Tank3!$D$18="VERTICAL FIXED ROOF"),IF(Tank3!$E82="",0,Tank3!$E82),0)</f>
        <v>0</v>
      </c>
      <c r="FB272" s="8" t="s">
        <v>884</v>
      </c>
      <c r="FC272" s="8" t="s">
        <v>885</v>
      </c>
      <c r="FD272" s="8">
        <v>2450</v>
      </c>
      <c r="FE272" s="8">
        <v>245</v>
      </c>
    </row>
    <row r="273" spans="79:161" ht="74.25" customHeight="1" x14ac:dyDescent="0.2">
      <c r="CA273">
        <f>IF(OR(CB273=0,ISNUMBER(MATCH(CB273,$CB$1:CB272,0))),0,MAX($CA$1:CA272)+1)</f>
        <v>0</v>
      </c>
      <c r="CB273" s="8">
        <f>IF(OR(Tank3!$D$18="EXTERNAL FLOATING ROOF",Tank3!$D$18="INTERNAL FLOATING ROOF"),IF(Tank3!$E83="",0,Tank3!$E83),0)</f>
        <v>0</v>
      </c>
      <c r="CE273" s="8">
        <f>IF(OR(CF273=0,ISNUMBER(MATCH(CF273,$CF$1:CF272,0))),0,MAX($CE$1:CE272)+1)</f>
        <v>0</v>
      </c>
      <c r="CF273" s="8">
        <f>IF(OR(Tank3!$D$18="HORIZONTAL FIXED ROOF",Tank3!$D$18="VERTICAL FIXED ROOF"),IF(Tank3!$E83="",0,Tank3!$E83),0)</f>
        <v>0</v>
      </c>
      <c r="FB273" s="8" t="s">
        <v>886</v>
      </c>
      <c r="FC273" s="8" t="s">
        <v>887</v>
      </c>
      <c r="FD273" s="8">
        <v>60</v>
      </c>
      <c r="FE273" s="8">
        <v>6</v>
      </c>
    </row>
    <row r="274" spans="79:161" ht="74.25" customHeight="1" x14ac:dyDescent="0.2">
      <c r="CA274">
        <f>IF(OR(CB274=0,ISNUMBER(MATCH(CB274,$CB$1:CB273,0))),0,MAX($CA$1:CA273)+1)</f>
        <v>0</v>
      </c>
      <c r="CB274" s="8">
        <f>IF(OR(Tank3!$D$18="EXTERNAL FLOATING ROOF",Tank3!$D$18="INTERNAL FLOATING ROOF"),IF(Tank3!$E84="",0,Tank3!$E84),0)</f>
        <v>0</v>
      </c>
      <c r="CE274" s="8">
        <f>IF(OR(CF274=0,ISNUMBER(MATCH(CF274,$CF$1:CF273,0))),0,MAX($CE$1:CE273)+1)</f>
        <v>0</v>
      </c>
      <c r="CF274" s="8">
        <f>IF(OR(Tank3!$D$18="HORIZONTAL FIXED ROOF",Tank3!$D$18="VERTICAL FIXED ROOF"),IF(Tank3!$E84="",0,Tank3!$E84),0)</f>
        <v>0</v>
      </c>
      <c r="FB274" s="8" t="s">
        <v>888</v>
      </c>
      <c r="FC274" s="8" t="s">
        <v>889</v>
      </c>
      <c r="FD274" s="8">
        <v>16100</v>
      </c>
      <c r="FE274" s="8">
        <v>1610</v>
      </c>
    </row>
    <row r="275" spans="79:161" ht="74.25" customHeight="1" x14ac:dyDescent="0.2">
      <c r="CA275">
        <f>IF(OR(CB275=0,ISNUMBER(MATCH(CB275,$CB$1:CB274,0))),0,MAX($CA$1:CA274)+1)</f>
        <v>0</v>
      </c>
      <c r="CB275" s="8">
        <f>IF(OR(Tank3!$D$18="EXTERNAL FLOATING ROOF",Tank3!$D$18="INTERNAL FLOATING ROOF"),IF(Tank3!$E85="",0,Tank3!$E85),0)</f>
        <v>0</v>
      </c>
      <c r="CE275" s="8">
        <f>IF(OR(CF275=0,ISNUMBER(MATCH(CF275,$CF$1:CF274,0))),0,MAX($CE$1:CE274)+1)</f>
        <v>0</v>
      </c>
      <c r="CF275" s="8">
        <f>IF(OR(Tank3!$D$18="HORIZONTAL FIXED ROOF",Tank3!$D$18="VERTICAL FIXED ROOF"),IF(Tank3!$E85="",0,Tank3!$E85),0)</f>
        <v>0</v>
      </c>
      <c r="FB275" s="8" t="s">
        <v>890</v>
      </c>
      <c r="FC275" s="8" t="s">
        <v>891</v>
      </c>
      <c r="FD275" s="8">
        <v>5</v>
      </c>
      <c r="FE275" s="8">
        <v>0.5</v>
      </c>
    </row>
    <row r="276" spans="79:161" ht="74.25" customHeight="1" x14ac:dyDescent="0.2">
      <c r="CA276">
        <f>IF(OR(CB276=0,ISNUMBER(MATCH(CB276,$CB$1:CB275,0))),0,MAX($CA$1:CA275)+1)</f>
        <v>0</v>
      </c>
      <c r="CB276" s="8">
        <f>IF(OR(Tank3!$D$18="EXTERNAL FLOATING ROOF",Tank3!$D$18="INTERNAL FLOATING ROOF"),IF(Tank3!$E86="",0,Tank3!$E86),0)</f>
        <v>0</v>
      </c>
      <c r="CE276" s="8">
        <f>IF(OR(CF276=0,ISNUMBER(MATCH(CF276,$CF$1:CF275,0))),0,MAX($CE$1:CE275)+1)</f>
        <v>0</v>
      </c>
      <c r="CF276" s="8">
        <f>IF(OR(Tank3!$D$18="HORIZONTAL FIXED ROOF",Tank3!$D$18="VERTICAL FIXED ROOF"),IF(Tank3!$E86="",0,Tank3!$E86),0)</f>
        <v>0</v>
      </c>
      <c r="FB276" s="8" t="s">
        <v>892</v>
      </c>
      <c r="FC276" s="8" t="s">
        <v>893</v>
      </c>
      <c r="FD276" s="8">
        <v>200</v>
      </c>
      <c r="FE276" s="8">
        <v>20</v>
      </c>
    </row>
    <row r="277" spans="79:161" ht="74.25" customHeight="1" x14ac:dyDescent="0.2">
      <c r="CA277">
        <f>IF(OR(CB277=0,ISNUMBER(MATCH(CB277,$CB$1:CB276,0))),0,MAX($CA$1:CA276)+1)</f>
        <v>0</v>
      </c>
      <c r="CB277" s="8">
        <f>IF(OR(Tank3!$D$18="EXTERNAL FLOATING ROOF",Tank3!$D$18="INTERNAL FLOATING ROOF"),IF(Tank3!$E87="",0,Tank3!$E87),0)</f>
        <v>0</v>
      </c>
      <c r="CE277" s="8">
        <f>IF(OR(CF277=0,ISNUMBER(MATCH(CF277,$CF$1:CF276,0))),0,MAX($CE$1:CE276)+1)</f>
        <v>0</v>
      </c>
      <c r="CF277" s="8">
        <f>IF(OR(Tank3!$D$18="HORIZONTAL FIXED ROOF",Tank3!$D$18="VERTICAL FIXED ROOF"),IF(Tank3!$E87="",0,Tank3!$E87),0)</f>
        <v>0</v>
      </c>
      <c r="FB277" s="8" t="s">
        <v>894</v>
      </c>
      <c r="FC277" s="8" t="s">
        <v>895</v>
      </c>
      <c r="FD277" s="8">
        <v>610</v>
      </c>
      <c r="FE277" s="8">
        <v>61</v>
      </c>
    </row>
    <row r="278" spans="79:161" ht="74.25" customHeight="1" x14ac:dyDescent="0.2">
      <c r="CA278">
        <f>IF(OR(CB278=0,ISNUMBER(MATCH(CB278,$CB$1:CB277,0))),0,MAX($CA$1:CA277)+1)</f>
        <v>0</v>
      </c>
      <c r="CB278" s="8">
        <f>IF(OR(Tank3!$D$18="EXTERNAL FLOATING ROOF",Tank3!$D$18="INTERNAL FLOATING ROOF"),IF(Tank3!$E88="",0,Tank3!$E88),0)</f>
        <v>0</v>
      </c>
      <c r="CE278" s="8">
        <f>IF(OR(CF278=0,ISNUMBER(MATCH(CF278,$CF$1:CF277,0))),0,MAX($CE$1:CE277)+1)</f>
        <v>0</v>
      </c>
      <c r="CF278" s="8">
        <f>IF(OR(Tank3!$D$18="HORIZONTAL FIXED ROOF",Tank3!$D$18="VERTICAL FIXED ROOF"),IF(Tank3!$E88="",0,Tank3!$E88),0)</f>
        <v>0</v>
      </c>
      <c r="FB278" s="8" t="s">
        <v>896</v>
      </c>
      <c r="FC278" s="8" t="s">
        <v>897</v>
      </c>
      <c r="FD278" s="8">
        <v>2000</v>
      </c>
      <c r="FE278" s="8">
        <v>200</v>
      </c>
    </row>
    <row r="279" spans="79:161" ht="74.25" customHeight="1" x14ac:dyDescent="0.2">
      <c r="CA279">
        <f>IF(OR(CB279=0,ISNUMBER(MATCH(CB279,$CB$1:CB278,0))),0,MAX($CA$1:CA278)+1)</f>
        <v>0</v>
      </c>
      <c r="CB279" s="8">
        <f>IF(OR(Tank3!$D$18="EXTERNAL FLOATING ROOF",Tank3!$D$18="INTERNAL FLOATING ROOF"),IF(Tank3!$E89="",0,Tank3!$E89),0)</f>
        <v>0</v>
      </c>
      <c r="CE279" s="8">
        <f>IF(OR(CF279=0,ISNUMBER(MATCH(CF279,$CF$1:CF278,0))),0,MAX($CE$1:CE278)+1)</f>
        <v>0</v>
      </c>
      <c r="CF279" s="8">
        <f>IF(OR(Tank3!$D$18="HORIZONTAL FIXED ROOF",Tank3!$D$18="VERTICAL FIXED ROOF"),IF(Tank3!$E89="",0,Tank3!$E89),0)</f>
        <v>0</v>
      </c>
      <c r="FB279" s="8" t="s">
        <v>898</v>
      </c>
      <c r="FC279" s="8" t="s">
        <v>899</v>
      </c>
      <c r="FD279" s="8">
        <v>1000</v>
      </c>
      <c r="FE279" s="8">
        <v>100</v>
      </c>
    </row>
    <row r="280" spans="79:161" ht="74.25" customHeight="1" x14ac:dyDescent="0.2">
      <c r="CA280">
        <f>IF(OR(CB280=0,ISNUMBER(MATCH(CB280,$CB$1:CB279,0))),0,MAX($CA$1:CA279)+1)</f>
        <v>0</v>
      </c>
      <c r="CB280" s="8">
        <f>IF(OR(Tank3!$D$18="EXTERNAL FLOATING ROOF",Tank3!$D$18="INTERNAL FLOATING ROOF"),IF(Tank3!$E90="",0,Tank3!$E90),0)</f>
        <v>0</v>
      </c>
      <c r="CE280" s="8">
        <f>IF(OR(CF280=0,ISNUMBER(MATCH(CF280,$CF$1:CF279,0))),0,MAX($CE$1:CE279)+1)</f>
        <v>0</v>
      </c>
      <c r="CF280" s="8">
        <f>IF(OR(Tank3!$D$18="HORIZONTAL FIXED ROOF",Tank3!$D$18="VERTICAL FIXED ROOF"),IF(Tank3!$E90="",0,Tank3!$E90),0)</f>
        <v>0</v>
      </c>
      <c r="FB280" s="8" t="s">
        <v>900</v>
      </c>
      <c r="FC280" s="8" t="s">
        <v>901</v>
      </c>
      <c r="FD280" s="8">
        <v>1</v>
      </c>
      <c r="FE280" s="8">
        <v>0.1</v>
      </c>
    </row>
    <row r="281" spans="79:161" ht="74.25" customHeight="1" x14ac:dyDescent="0.2">
      <c r="CA281">
        <f>IF(OR(CB281=0,ISNUMBER(MATCH(CB281,$CB$1:CB280,0))),0,MAX($CA$1:CA280)+1)</f>
        <v>0</v>
      </c>
      <c r="CB281" s="8">
        <f>IF(OR(Tank3!$D$18="EXTERNAL FLOATING ROOF",Tank3!$D$18="INTERNAL FLOATING ROOF"),IF(Tank3!$E91="",0,Tank3!$E91),0)</f>
        <v>0</v>
      </c>
      <c r="CE281" s="8">
        <f>IF(OR(CF281=0,ISNUMBER(MATCH(CF281,$CF$1:CF280,0))),0,MAX($CE$1:CE280)+1)</f>
        <v>0</v>
      </c>
      <c r="CF281" s="8">
        <f>IF(OR(Tank3!$D$18="HORIZONTAL FIXED ROOF",Tank3!$D$18="VERTICAL FIXED ROOF"),IF(Tank3!$E91="",0,Tank3!$E91),0)</f>
        <v>0</v>
      </c>
      <c r="FB281" s="8" t="s">
        <v>902</v>
      </c>
      <c r="FC281" s="8" t="s">
        <v>903</v>
      </c>
      <c r="FD281" s="8">
        <v>100</v>
      </c>
      <c r="FE281" s="8">
        <v>10</v>
      </c>
    </row>
    <row r="282" spans="79:161" ht="74.25" customHeight="1" x14ac:dyDescent="0.2">
      <c r="CA282">
        <f>IF(OR(CB282=0,ISNUMBER(MATCH(CB282,$CB$1:CB281,0))),0,MAX($CA$1:CA281)+1)</f>
        <v>0</v>
      </c>
      <c r="CB282" s="8">
        <f>IF(OR(Tank3!$D$18="EXTERNAL FLOATING ROOF",Tank3!$D$18="INTERNAL FLOATING ROOF"),IF(Tank3!$E92="",0,Tank3!$E92),0)</f>
        <v>0</v>
      </c>
      <c r="CE282" s="8">
        <f>IF(OR(CF282=0,ISNUMBER(MATCH(CF282,$CF$1:CF281,0))),0,MAX($CE$1:CE281)+1)</f>
        <v>0</v>
      </c>
      <c r="CF282" s="8">
        <f>IF(OR(Tank3!$D$18="HORIZONTAL FIXED ROOF",Tank3!$D$18="VERTICAL FIXED ROOF"),IF(Tank3!$E92="",0,Tank3!$E92),0)</f>
        <v>0</v>
      </c>
      <c r="FB282" s="8" t="s">
        <v>904</v>
      </c>
      <c r="FC282" s="8" t="s">
        <v>905</v>
      </c>
      <c r="FD282" s="8">
        <v>270</v>
      </c>
      <c r="FE282" s="8">
        <v>5.4</v>
      </c>
    </row>
    <row r="283" spans="79:161" ht="74.25" customHeight="1" x14ac:dyDescent="0.2">
      <c r="CA283">
        <f>IF(OR(CB283=0,ISNUMBER(MATCH(CB283,$CB$1:CB282,0))),0,MAX($CA$1:CA282)+1)</f>
        <v>0</v>
      </c>
      <c r="CB283" s="8">
        <f>IF(OR(Tank3!$D$18="EXTERNAL FLOATING ROOF",Tank3!$D$18="INTERNAL FLOATING ROOF"),IF(Tank3!$E93="",0,Tank3!$E93),0)</f>
        <v>0</v>
      </c>
      <c r="CE283" s="8">
        <f>IF(OR(CF283=0,ISNUMBER(MATCH(CF283,$CF$1:CF282,0))),0,MAX($CE$1:CE282)+1)</f>
        <v>0</v>
      </c>
      <c r="CF283" s="8">
        <f>IF(OR(Tank3!$D$18="HORIZONTAL FIXED ROOF",Tank3!$D$18="VERTICAL FIXED ROOF"),IF(Tank3!$E93="",0,Tank3!$E93),0)</f>
        <v>0</v>
      </c>
      <c r="FB283" s="8" t="s">
        <v>906</v>
      </c>
      <c r="FC283" s="8" t="s">
        <v>907</v>
      </c>
      <c r="FD283" s="8">
        <v>1000</v>
      </c>
      <c r="FE283" s="8">
        <v>100</v>
      </c>
    </row>
    <row r="284" spans="79:161" ht="74.25" customHeight="1" x14ac:dyDescent="0.2">
      <c r="CA284">
        <f>IF(OR(CB284=0,ISNUMBER(MATCH(CB284,$CB$1:CB283,0))),0,MAX($CA$1:CA283)+1)</f>
        <v>0</v>
      </c>
      <c r="CB284" s="8">
        <f>IF(OR(Tank3!$D$18="EXTERNAL FLOATING ROOF",Tank3!$D$18="INTERNAL FLOATING ROOF"),IF(Tank3!$E94="",0,Tank3!$E94),0)</f>
        <v>0</v>
      </c>
      <c r="CE284" s="8">
        <f>IF(OR(CF284=0,ISNUMBER(MATCH(CF284,$CF$1:CF283,0))),0,MAX($CE$1:CE283)+1)</f>
        <v>0</v>
      </c>
      <c r="CF284" s="8">
        <f>IF(OR(Tank3!$D$18="HORIZONTAL FIXED ROOF",Tank3!$D$18="VERTICAL FIXED ROOF"),IF(Tank3!$E94="",0,Tank3!$E94),0)</f>
        <v>0</v>
      </c>
      <c r="FB284" s="8" t="s">
        <v>908</v>
      </c>
      <c r="FC284" s="8" t="s">
        <v>909</v>
      </c>
      <c r="FD284" s="8">
        <v>1000</v>
      </c>
      <c r="FE284" s="8">
        <v>100</v>
      </c>
    </row>
    <row r="285" spans="79:161" ht="74.25" customHeight="1" x14ac:dyDescent="0.2">
      <c r="CA285">
        <f>IF(OR(CB285=0,ISNUMBER(MATCH(CB285,$CB$1:CB284,0))),0,MAX($CA$1:CA284)+1)</f>
        <v>0</v>
      </c>
      <c r="CB285" s="8">
        <f>IF(OR(Tank3!$D$18="EXTERNAL FLOATING ROOF",Tank3!$D$18="INTERNAL FLOATING ROOF"),IF(Tank3!$E95="",0,Tank3!$E95),0)</f>
        <v>0</v>
      </c>
      <c r="CE285" s="8">
        <f>IF(OR(CF285=0,ISNUMBER(MATCH(CF285,$CF$1:CF284,0))),0,MAX($CE$1:CE284)+1)</f>
        <v>0</v>
      </c>
      <c r="CF285" s="8">
        <f>IF(OR(Tank3!$D$18="HORIZONTAL FIXED ROOF",Tank3!$D$18="VERTICAL FIXED ROOF"),IF(Tank3!$E95="",0,Tank3!$E95),0)</f>
        <v>0</v>
      </c>
      <c r="FB285" s="8" t="s">
        <v>910</v>
      </c>
      <c r="FC285" s="8" t="s">
        <v>911</v>
      </c>
      <c r="FD285" s="8">
        <v>1000</v>
      </c>
      <c r="FE285" s="8">
        <v>100</v>
      </c>
    </row>
    <row r="286" spans="79:161" ht="74.25" customHeight="1" x14ac:dyDescent="0.2">
      <c r="CA286">
        <f>IF(OR(CB286=0,ISNUMBER(MATCH(CB286,$CB$1:CB285,0))),0,MAX($CA$1:CA285)+1)</f>
        <v>0</v>
      </c>
      <c r="CB286" s="8">
        <f>IF(OR(Tank3!$D$18="EXTERNAL FLOATING ROOF",Tank3!$D$18="INTERNAL FLOATING ROOF"),IF(Tank3!$E96="",0,Tank3!$E96),0)</f>
        <v>0</v>
      </c>
      <c r="CE286" s="8">
        <f>IF(OR(CF286=0,ISNUMBER(MATCH(CF286,$CF$1:CF285,0))),0,MAX($CE$1:CE285)+1)</f>
        <v>0</v>
      </c>
      <c r="CF286" s="8">
        <f>IF(OR(Tank3!$D$18="HORIZONTAL FIXED ROOF",Tank3!$D$18="VERTICAL FIXED ROOF"),IF(Tank3!$E96="",0,Tank3!$E96),0)</f>
        <v>0</v>
      </c>
      <c r="FB286" s="8" t="s">
        <v>912</v>
      </c>
      <c r="FC286" s="8" t="s">
        <v>913</v>
      </c>
      <c r="FD286" s="8">
        <v>610</v>
      </c>
      <c r="FE286" s="8">
        <v>61</v>
      </c>
    </row>
    <row r="287" spans="79:161" ht="74.25" customHeight="1" x14ac:dyDescent="0.2">
      <c r="CA287">
        <f>IF(OR(CB287=0,ISNUMBER(MATCH(CB287,$CB$1:CB286,0))),0,MAX($CA$1:CA286)+1)</f>
        <v>0</v>
      </c>
      <c r="CB287" s="8">
        <f>IF(OR(Tank3!$D$18="EXTERNAL FLOATING ROOF",Tank3!$D$18="INTERNAL FLOATING ROOF"),IF(Tank3!$E97="",0,Tank3!$E97),0)</f>
        <v>0</v>
      </c>
      <c r="CE287" s="8">
        <f>IF(OR(CF287=0,ISNUMBER(MATCH(CF287,$CF$1:CF286,0))),0,MAX($CE$1:CE286)+1)</f>
        <v>0</v>
      </c>
      <c r="CF287" s="8">
        <f>IF(OR(Tank3!$D$18="HORIZONTAL FIXED ROOF",Tank3!$D$18="VERTICAL FIXED ROOF"),IF(Tank3!$E97="",0,Tank3!$E97),0)</f>
        <v>0</v>
      </c>
      <c r="FB287" s="8" t="s">
        <v>914</v>
      </c>
      <c r="FC287" s="8" t="s">
        <v>915</v>
      </c>
      <c r="FD287" s="8">
        <v>1200</v>
      </c>
      <c r="FE287" s="8">
        <v>120</v>
      </c>
    </row>
    <row r="288" spans="79:161" ht="74.25" customHeight="1" x14ac:dyDescent="0.2">
      <c r="CA288">
        <f>IF(OR(CB288=0,ISNUMBER(MATCH(CB288,$CB$1:CB287,0))),0,MAX($CA$1:CA287)+1)</f>
        <v>0</v>
      </c>
      <c r="CB288" s="8">
        <f>IF(OR(Tank3!$D$18="EXTERNAL FLOATING ROOF",Tank3!$D$18="INTERNAL FLOATING ROOF"),IF(Tank3!$E98="",0,Tank3!$E98),0)</f>
        <v>0</v>
      </c>
      <c r="CE288" s="8">
        <f>IF(OR(CF288=0,ISNUMBER(MATCH(CF288,$CF$1:CF287,0))),0,MAX($CE$1:CE287)+1)</f>
        <v>0</v>
      </c>
      <c r="CF288" s="8">
        <f>IF(OR(Tank3!$D$18="HORIZONTAL FIXED ROOF",Tank3!$D$18="VERTICAL FIXED ROOF"),IF(Tank3!$E98="",0,Tank3!$E98),0)</f>
        <v>0</v>
      </c>
      <c r="FB288" s="8" t="s">
        <v>916</v>
      </c>
      <c r="FC288" s="8" t="s">
        <v>917</v>
      </c>
      <c r="FD288" s="8">
        <v>500</v>
      </c>
      <c r="FE288" s="8">
        <v>50</v>
      </c>
    </row>
    <row r="289" spans="79:161" ht="74.25" customHeight="1" x14ac:dyDescent="0.2">
      <c r="CA289">
        <f>IF(OR(CB289=0,ISNUMBER(MATCH(CB289,$CB$1:CB288,0))),0,MAX($CA$1:CA288)+1)</f>
        <v>0</v>
      </c>
      <c r="CB289" s="8">
        <f>IF(OR(Tank3!$D$18="EXTERNAL FLOATING ROOF",Tank3!$D$18="INTERNAL FLOATING ROOF"),IF(Tank3!$E99="",0,Tank3!$E99),0)</f>
        <v>0</v>
      </c>
      <c r="CE289" s="8">
        <f>IF(OR(CF289=0,ISNUMBER(MATCH(CF289,$CF$1:CF288,0))),0,MAX($CE$1:CE288)+1)</f>
        <v>0</v>
      </c>
      <c r="CF289" s="8">
        <f>IF(OR(Tank3!$D$18="HORIZONTAL FIXED ROOF",Tank3!$D$18="VERTICAL FIXED ROOF"),IF(Tank3!$E99="",0,Tank3!$E99),0)</f>
        <v>0</v>
      </c>
      <c r="FB289" s="8" t="s">
        <v>918</v>
      </c>
      <c r="FC289" s="8" t="s">
        <v>919</v>
      </c>
      <c r="FD289" s="8">
        <v>600</v>
      </c>
      <c r="FE289" s="8">
        <v>60</v>
      </c>
    </row>
    <row r="290" spans="79:161" ht="74.25" customHeight="1" x14ac:dyDescent="0.2">
      <c r="CA290">
        <f>IF(OR(CB290=0,ISNUMBER(MATCH(CB290,$CB$1:CB289,0))),0,MAX($CA$1:CA289)+1)</f>
        <v>0</v>
      </c>
      <c r="CB290" s="8">
        <f>IF(OR(Tank3!$D$18="EXTERNAL FLOATING ROOF",Tank3!$D$18="INTERNAL FLOATING ROOF"),IF(Tank3!$E100="",0,Tank3!$E100),0)</f>
        <v>0</v>
      </c>
      <c r="CE290" s="8">
        <f>IF(OR(CF290=0,ISNUMBER(MATCH(CF290,$CF$1:CF289,0))),0,MAX($CE$1:CE289)+1)</f>
        <v>0</v>
      </c>
      <c r="CF290" s="8">
        <f>IF(OR(Tank3!$D$18="HORIZONTAL FIXED ROOF",Tank3!$D$18="VERTICAL FIXED ROOF"),IF(Tank3!$E100="",0,Tank3!$E100),0)</f>
        <v>0</v>
      </c>
      <c r="FB290" s="8" t="s">
        <v>920</v>
      </c>
      <c r="FC290" s="8" t="s">
        <v>921</v>
      </c>
      <c r="FD290" s="8">
        <v>2</v>
      </c>
      <c r="FE290" s="8">
        <v>0.2</v>
      </c>
    </row>
    <row r="291" spans="79:161" ht="74.25" customHeight="1" x14ac:dyDescent="0.2">
      <c r="CA291">
        <f>IF(OR(CB291=0,ISNUMBER(MATCH(CB291,$CB$1:CB290,0))),0,MAX($CA$1:CA290)+1)</f>
        <v>0</v>
      </c>
      <c r="CB291" s="8">
        <f>IF(OR(Tank3!$D$18="EXTERNAL FLOATING ROOF",Tank3!$D$18="INTERNAL FLOATING ROOF"),IF(Tank3!$E101="",0,Tank3!$E101),0)</f>
        <v>0</v>
      </c>
      <c r="CE291" s="8">
        <f>IF(OR(CF291=0,ISNUMBER(MATCH(CF291,$CF$1:CF290,0))),0,MAX($CE$1:CE290)+1)</f>
        <v>0</v>
      </c>
      <c r="CF291" s="8">
        <f>IF(OR(Tank3!$D$18="HORIZONTAL FIXED ROOF",Tank3!$D$18="VERTICAL FIXED ROOF"),IF(Tank3!$E101="",0,Tank3!$E101),0)</f>
        <v>0</v>
      </c>
      <c r="FB291" s="8" t="s">
        <v>922</v>
      </c>
      <c r="FC291" s="8" t="s">
        <v>923</v>
      </c>
      <c r="FD291" s="8">
        <v>100</v>
      </c>
      <c r="FE291" s="8">
        <v>10</v>
      </c>
    </row>
    <row r="292" spans="79:161" ht="74.25" customHeight="1" x14ac:dyDescent="0.2">
      <c r="CA292">
        <f>IF(OR(CB292=0,ISNUMBER(MATCH(CB292,$CB$1:CB291,0))),0,MAX($CA$1:CA291)+1)</f>
        <v>0</v>
      </c>
      <c r="CB292" s="8">
        <f>IF(OR(Tank3!$D$18="EXTERNAL FLOATING ROOF",Tank3!$D$18="INTERNAL FLOATING ROOF"),IF(Tank3!$E102="",0,Tank3!$E102),0)</f>
        <v>0</v>
      </c>
      <c r="CE292" s="8">
        <f>IF(OR(CF292=0,ISNUMBER(MATCH(CF292,$CF$1:CF291,0))),0,MAX($CE$1:CE291)+1)</f>
        <v>0</v>
      </c>
      <c r="CF292" s="8">
        <f>IF(OR(Tank3!$D$18="HORIZONTAL FIXED ROOF",Tank3!$D$18="VERTICAL FIXED ROOF"),IF(Tank3!$E102="",0,Tank3!$E102),0)</f>
        <v>0</v>
      </c>
      <c r="FB292" s="8" t="s">
        <v>924</v>
      </c>
      <c r="FC292" s="8" t="s">
        <v>925</v>
      </c>
      <c r="FD292" s="8">
        <v>250</v>
      </c>
      <c r="FE292" s="8">
        <v>25</v>
      </c>
    </row>
    <row r="293" spans="79:161" ht="74.25" customHeight="1" x14ac:dyDescent="0.2">
      <c r="CA293">
        <f>IF(OR(CB293=0,ISNUMBER(MATCH(CB293,$CB$1:CB292,0))),0,MAX($CA$1:CA292)+1)</f>
        <v>0</v>
      </c>
      <c r="CB293" s="8">
        <f>IF(OR(Tank3!$D$18="EXTERNAL FLOATING ROOF",Tank3!$D$18="INTERNAL FLOATING ROOF"),IF(Tank3!$E103="",0,Tank3!$E103),0)</f>
        <v>0</v>
      </c>
      <c r="CE293" s="8">
        <f>IF(OR(CF293=0,ISNUMBER(MATCH(CF293,$CF$1:CF292,0))),0,MAX($CE$1:CE292)+1)</f>
        <v>0</v>
      </c>
      <c r="CF293" s="8">
        <f>IF(OR(Tank3!$D$18="HORIZONTAL FIXED ROOF",Tank3!$D$18="VERTICAL FIXED ROOF"),IF(Tank3!$E103="",0,Tank3!$E103),0)</f>
        <v>0</v>
      </c>
      <c r="FB293" s="8" t="s">
        <v>926</v>
      </c>
      <c r="FC293" s="8" t="s">
        <v>927</v>
      </c>
      <c r="FD293" s="8">
        <v>250</v>
      </c>
      <c r="FE293" s="8">
        <v>25</v>
      </c>
    </row>
    <row r="294" spans="79:161" ht="74.25" customHeight="1" x14ac:dyDescent="0.2">
      <c r="CA294">
        <f>IF(OR(CB294=0,ISNUMBER(MATCH(CB294,$CB$1:CB293,0))),0,MAX($CA$1:CA293)+1)</f>
        <v>0</v>
      </c>
      <c r="CB294" s="8">
        <f>IF(OR(Tank3!$D$18="EXTERNAL FLOATING ROOF",Tank3!$D$18="INTERNAL FLOATING ROOF"),IF(Tank3!$E104="",0,Tank3!$E104),0)</f>
        <v>0</v>
      </c>
      <c r="CE294" s="8">
        <f>IF(OR(CF294=0,ISNUMBER(MATCH(CF294,$CF$1:CF293,0))),0,MAX($CE$1:CE293)+1)</f>
        <v>0</v>
      </c>
      <c r="CF294" s="8">
        <f>IF(OR(Tank3!$D$18="HORIZONTAL FIXED ROOF",Tank3!$D$18="VERTICAL FIXED ROOF"),IF(Tank3!$E104="",0,Tank3!$E104),0)</f>
        <v>0</v>
      </c>
      <c r="FB294" s="8" t="s">
        <v>928</v>
      </c>
      <c r="FC294" s="8" t="s">
        <v>929</v>
      </c>
      <c r="FD294" s="8">
        <v>250</v>
      </c>
      <c r="FE294" s="8">
        <v>25</v>
      </c>
    </row>
    <row r="295" spans="79:161" ht="74.25" customHeight="1" x14ac:dyDescent="0.2">
      <c r="CA295">
        <f>IF(OR(CB295=0,ISNUMBER(MATCH(CB295,$CB$1:CB294,0))),0,MAX($CA$1:CA294)+1)</f>
        <v>0</v>
      </c>
      <c r="CB295" s="8">
        <f>IF(OR(Tank3!$D$18="EXTERNAL FLOATING ROOF",Tank3!$D$18="INTERNAL FLOATING ROOF"),IF(Tank3!$E105="",0,Tank3!$E105),0)</f>
        <v>0</v>
      </c>
      <c r="CE295" s="8">
        <f>IF(OR(CF295=0,ISNUMBER(MATCH(CF295,$CF$1:CF294,0))),0,MAX($CE$1:CE294)+1)</f>
        <v>0</v>
      </c>
      <c r="CF295" s="8">
        <f>IF(OR(Tank3!$D$18="HORIZONTAL FIXED ROOF",Tank3!$D$18="VERTICAL FIXED ROOF"),IF(Tank3!$E105="",0,Tank3!$E105),0)</f>
        <v>0</v>
      </c>
      <c r="FB295" s="8" t="s">
        <v>930</v>
      </c>
      <c r="FC295" s="8" t="s">
        <v>9818</v>
      </c>
      <c r="FD295" s="8">
        <v>830</v>
      </c>
      <c r="FE295" s="8">
        <v>83</v>
      </c>
    </row>
    <row r="296" spans="79:161" ht="74.25" customHeight="1" x14ac:dyDescent="0.2">
      <c r="CA296">
        <f>IF(OR(CB296=0,ISNUMBER(MATCH(CB296,$CB$1:CB295,0))),0,MAX($CA$1:CA295)+1)</f>
        <v>0</v>
      </c>
      <c r="CB296" s="8">
        <f>IF(OR(Tank3!$D$18="EXTERNAL FLOATING ROOF",Tank3!$D$18="INTERNAL FLOATING ROOF"),IF(Tank3!$E106="",0,Tank3!$E106),0)</f>
        <v>0</v>
      </c>
      <c r="CE296" s="8">
        <f>IF(OR(CF296=0,ISNUMBER(MATCH(CF296,$CF$1:CF295,0))),0,MAX($CE$1:CE295)+1)</f>
        <v>0</v>
      </c>
      <c r="CF296" s="8">
        <f>IF(OR(Tank3!$D$18="HORIZONTAL FIXED ROOF",Tank3!$D$18="VERTICAL FIXED ROOF"),IF(Tank3!$E106="",0,Tank3!$E106),0)</f>
        <v>0</v>
      </c>
      <c r="FB296" s="8" t="s">
        <v>931</v>
      </c>
      <c r="FC296" s="8" t="s">
        <v>932</v>
      </c>
      <c r="FD296" s="8">
        <v>6</v>
      </c>
      <c r="FE296" s="8">
        <v>0.6</v>
      </c>
    </row>
    <row r="297" spans="79:161" ht="74.25" customHeight="1" x14ac:dyDescent="0.2">
      <c r="CA297">
        <f>IF(OR(CB297=0,ISNUMBER(MATCH(CB297,$CB$1:CB296,0))),0,MAX($CA$1:CA296)+1)</f>
        <v>0</v>
      </c>
      <c r="CB297" s="8">
        <f>IF(OR(Tank3!$D$18="EXTERNAL FLOATING ROOF",Tank3!$D$18="INTERNAL FLOATING ROOF"),IF(Tank3!$E107="",0,Tank3!$E107),0)</f>
        <v>0</v>
      </c>
      <c r="CE297" s="8">
        <f>IF(OR(CF297=0,ISNUMBER(MATCH(CF297,$CF$1:CF296,0))),0,MAX($CE$1:CE296)+1)</f>
        <v>0</v>
      </c>
      <c r="CF297" s="8">
        <f>IF(OR(Tank3!$D$18="HORIZONTAL FIXED ROOF",Tank3!$D$18="VERTICAL FIXED ROOF"),IF(Tank3!$E107="",0,Tank3!$E107),0)</f>
        <v>0</v>
      </c>
      <c r="FB297" s="8" t="s">
        <v>933</v>
      </c>
      <c r="FC297" s="8" t="s">
        <v>934</v>
      </c>
      <c r="FD297" s="8">
        <v>900</v>
      </c>
      <c r="FE297" s="8">
        <v>160</v>
      </c>
    </row>
    <row r="298" spans="79:161" ht="74.25" customHeight="1" x14ac:dyDescent="0.2">
      <c r="CA298">
        <f>IF(OR(CB298=0,ISNUMBER(MATCH(CB298,$CB$1:CB297,0))),0,MAX($CA$1:CA297)+1)</f>
        <v>0</v>
      </c>
      <c r="CB298" s="8">
        <f>IF(OR(Tank3!$D$18="EXTERNAL FLOATING ROOF",Tank3!$D$18="INTERNAL FLOATING ROOF"),IF(Tank3!$E108="",0,Tank3!$E108),0)</f>
        <v>0</v>
      </c>
      <c r="CE298" s="8">
        <f>IF(OR(CF298=0,ISNUMBER(MATCH(CF298,$CF$1:CF297,0))),0,MAX($CE$1:CE297)+1)</f>
        <v>0</v>
      </c>
      <c r="CF298" s="8">
        <f>IF(OR(Tank3!$D$18="HORIZONTAL FIXED ROOF",Tank3!$D$18="VERTICAL FIXED ROOF"),IF(Tank3!$E108="",0,Tank3!$E108),0)</f>
        <v>0</v>
      </c>
      <c r="FB298" s="8" t="s">
        <v>935</v>
      </c>
      <c r="FC298" s="8" t="s">
        <v>936</v>
      </c>
      <c r="FD298" s="8">
        <v>460</v>
      </c>
      <c r="FE298" s="8">
        <v>46</v>
      </c>
    </row>
    <row r="299" spans="79:161" ht="74.25" customHeight="1" x14ac:dyDescent="0.2">
      <c r="CA299">
        <f>IF(OR(CB299=0,ISNUMBER(MATCH(CB299,$CB$1:CB298,0))),0,MAX($CA$1:CA298)+1)</f>
        <v>0</v>
      </c>
      <c r="CB299" s="8">
        <f>IF(OR(Tank3!$D$18="EXTERNAL FLOATING ROOF",Tank3!$D$18="INTERNAL FLOATING ROOF"),IF(Tank3!$E109="",0,Tank3!$E109),0)</f>
        <v>0</v>
      </c>
      <c r="CE299" s="8">
        <f>IF(OR(CF299=0,ISNUMBER(MATCH(CF299,$CF$1:CF298,0))),0,MAX($CE$1:CE298)+1)</f>
        <v>0</v>
      </c>
      <c r="CF299" s="8">
        <f>IF(OR(Tank3!$D$18="HORIZONTAL FIXED ROOF",Tank3!$D$18="VERTICAL FIXED ROOF"),IF(Tank3!$E109="",0,Tank3!$E109),0)</f>
        <v>0</v>
      </c>
      <c r="FB299" s="8" t="s">
        <v>937</v>
      </c>
      <c r="FC299" s="8" t="s">
        <v>938</v>
      </c>
      <c r="FD299" s="8">
        <v>125</v>
      </c>
      <c r="FE299" s="8">
        <v>12.5</v>
      </c>
    </row>
    <row r="300" spans="79:161" ht="74.25" customHeight="1" x14ac:dyDescent="0.2">
      <c r="CA300">
        <f>IF(OR(CB300=0,ISNUMBER(MATCH(CB300,$CB$1:CB299,0))),0,MAX($CA$1:CA299)+1)</f>
        <v>0</v>
      </c>
      <c r="CB300" s="8">
        <f>IF(OR(Tank3!$D$18="EXTERNAL FLOATING ROOF",Tank3!$D$18="INTERNAL FLOATING ROOF"),IF(Tank3!$E110="",0,Tank3!$E110),0)</f>
        <v>0</v>
      </c>
      <c r="CE300" s="8">
        <f>IF(OR(CF300=0,ISNUMBER(MATCH(CF300,$CF$1:CF299,0))),0,MAX($CE$1:CE299)+1)</f>
        <v>0</v>
      </c>
      <c r="CF300" s="8">
        <f>IF(OR(Tank3!$D$18="HORIZONTAL FIXED ROOF",Tank3!$D$18="VERTICAL FIXED ROOF"),IF(Tank3!$E110="",0,Tank3!$E110),0)</f>
        <v>0</v>
      </c>
      <c r="FB300" s="8" t="s">
        <v>939</v>
      </c>
      <c r="FC300" s="8" t="s">
        <v>940</v>
      </c>
      <c r="FD300" s="8">
        <v>2450</v>
      </c>
      <c r="FE300" s="8">
        <v>245</v>
      </c>
    </row>
    <row r="301" spans="79:161" ht="74.25" customHeight="1" x14ac:dyDescent="0.2">
      <c r="CA301">
        <f>IF(OR(CB301=0,ISNUMBER(MATCH(CB301,$CB$1:CB300,0))),0,MAX($CA$1:CA300)+1)</f>
        <v>0</v>
      </c>
      <c r="CB301" s="8">
        <f>IF(OR(Tank3!$D$18="EXTERNAL FLOATING ROOF",Tank3!$D$18="INTERNAL FLOATING ROOF"),IF(Tank3!$E111="",0,Tank3!$E111),0)</f>
        <v>0</v>
      </c>
      <c r="CE301" s="8">
        <f>IF(OR(CF301=0,ISNUMBER(MATCH(CF301,$CF$1:CF300,0))),0,MAX($CE$1:CE300)+1)</f>
        <v>0</v>
      </c>
      <c r="CF301" s="8">
        <f>IF(OR(Tank3!$D$18="HORIZONTAL FIXED ROOF",Tank3!$D$18="VERTICAL FIXED ROOF"),IF(Tank3!$E111="",0,Tank3!$E111),0)</f>
        <v>0</v>
      </c>
      <c r="FB301" s="8" t="s">
        <v>941</v>
      </c>
      <c r="FC301" s="8" t="s">
        <v>942</v>
      </c>
      <c r="FD301" s="8">
        <v>940</v>
      </c>
      <c r="FE301" s="8">
        <v>94</v>
      </c>
    </row>
    <row r="302" spans="79:161" ht="74.25" customHeight="1" x14ac:dyDescent="0.2">
      <c r="CA302">
        <f>IF(OR(CB302=0,ISNUMBER(MATCH(CB302,$CB$1:CB301,0))),0,MAX($CA$1:CA301)+1)</f>
        <v>0</v>
      </c>
      <c r="CB302" s="8">
        <f>IF(OR(Tank3!$D$18="EXTERNAL FLOATING ROOF",Tank3!$D$18="INTERNAL FLOATING ROOF"),IF(Tank3!$E112="",0,Tank3!$E112),0)</f>
        <v>0</v>
      </c>
      <c r="CE302" s="8">
        <f>IF(OR(CF302=0,ISNUMBER(MATCH(CF302,$CF$1:CF301,0))),0,MAX($CE$1:CE301)+1)</f>
        <v>0</v>
      </c>
      <c r="CF302" s="8">
        <f>IF(OR(Tank3!$D$18="HORIZONTAL FIXED ROOF",Tank3!$D$18="VERTICAL FIXED ROOF"),IF(Tank3!$E112="",0,Tank3!$E112),0)</f>
        <v>0</v>
      </c>
      <c r="FB302" s="8" t="s">
        <v>943</v>
      </c>
      <c r="FC302" s="8" t="s">
        <v>944</v>
      </c>
      <c r="FD302" s="8">
        <v>2450</v>
      </c>
      <c r="FE302" s="8">
        <v>245</v>
      </c>
    </row>
    <row r="303" spans="79:161" ht="74.25" customHeight="1" x14ac:dyDescent="0.2">
      <c r="CA303">
        <f>IF(OR(CB303=0,ISNUMBER(MATCH(CB303,$CB$1:CB302,0))),0,MAX($CA$1:CA302)+1)</f>
        <v>0</v>
      </c>
      <c r="CB303" s="8">
        <f>IF(OR(Tank3!$D$18="EXTERNAL FLOATING ROOF",Tank3!$D$18="INTERNAL FLOATING ROOF"),IF(Tank3!$E113="",0,Tank3!$E113),0)</f>
        <v>0</v>
      </c>
      <c r="CE303" s="8">
        <f>IF(OR(CF303=0,ISNUMBER(MATCH(CF303,$CF$1:CF302,0))),0,MAX($CE$1:CE302)+1)</f>
        <v>0</v>
      </c>
      <c r="CF303" s="8">
        <f>IF(OR(Tank3!$D$18="HORIZONTAL FIXED ROOF",Tank3!$D$18="VERTICAL FIXED ROOF"),IF(Tank3!$E113="",0,Tank3!$E113),0)</f>
        <v>0</v>
      </c>
      <c r="FB303" s="8" t="s">
        <v>945</v>
      </c>
      <c r="FC303" s="8" t="s">
        <v>946</v>
      </c>
      <c r="FD303" s="8">
        <v>200</v>
      </c>
      <c r="FE303" s="8">
        <v>20</v>
      </c>
    </row>
    <row r="304" spans="79:161" ht="74.25" customHeight="1" x14ac:dyDescent="0.2">
      <c r="CA304">
        <f>IF(OR(CB304=0,ISNUMBER(MATCH(CB304,$CB$1:CB303,0))),0,MAX($CA$1:CA303)+1)</f>
        <v>0</v>
      </c>
      <c r="CB304" s="8">
        <f>IF(OR(Tank3!$D$18="EXTERNAL FLOATING ROOF",Tank3!$D$18="INTERNAL FLOATING ROOF"),IF(Tank3!$E114="",0,Tank3!$E114),0)</f>
        <v>0</v>
      </c>
      <c r="CE304" s="8">
        <f>IF(OR(CF304=0,ISNUMBER(MATCH(CF304,$CF$1:CF303,0))),0,MAX($CE$1:CE303)+1)</f>
        <v>0</v>
      </c>
      <c r="CF304" s="8">
        <f>IF(OR(Tank3!$D$18="HORIZONTAL FIXED ROOF",Tank3!$D$18="VERTICAL FIXED ROOF"),IF(Tank3!$E114="",0,Tank3!$E114),0)</f>
        <v>0</v>
      </c>
      <c r="FB304" s="8" t="s">
        <v>947</v>
      </c>
      <c r="FC304" s="8" t="s">
        <v>948</v>
      </c>
      <c r="FD304" s="8">
        <v>610</v>
      </c>
      <c r="FE304" s="8">
        <v>61</v>
      </c>
    </row>
    <row r="305" spans="79:161" ht="74.25" customHeight="1" x14ac:dyDescent="0.2">
      <c r="CA305">
        <f>IF(OR(CB305=0,ISNUMBER(MATCH(CB305,$CB$1:CB304,0))),0,MAX($CA$1:CA304)+1)</f>
        <v>0</v>
      </c>
      <c r="CB305" s="8">
        <f>IF(OR(Tank3!$D$18="EXTERNAL FLOATING ROOF",Tank3!$D$18="INTERNAL FLOATING ROOF"),IF(Tank3!$E115="",0,Tank3!$E115),0)</f>
        <v>0</v>
      </c>
      <c r="CE305" s="8">
        <f>IF(OR(CF305=0,ISNUMBER(MATCH(CF305,$CF$1:CF304,0))),0,MAX($CE$1:CE304)+1)</f>
        <v>0</v>
      </c>
      <c r="CF305" s="8">
        <f>IF(OR(Tank3!$D$18="HORIZONTAL FIXED ROOF",Tank3!$D$18="VERTICAL FIXED ROOF"),IF(Tank3!$E115="",0,Tank3!$E115),0)</f>
        <v>0</v>
      </c>
      <c r="FB305" s="8" t="s">
        <v>949</v>
      </c>
      <c r="FC305" s="8" t="s">
        <v>950</v>
      </c>
      <c r="FD305" s="8">
        <v>10</v>
      </c>
      <c r="FE305" s="8">
        <v>1</v>
      </c>
    </row>
    <row r="306" spans="79:161" ht="74.25" customHeight="1" x14ac:dyDescent="0.2">
      <c r="CA306">
        <f>IF(OR(CB306=0,ISNUMBER(MATCH(CB306,$CB$1:CB305,0))),0,MAX($CA$1:CA305)+1)</f>
        <v>0</v>
      </c>
      <c r="CB306" s="8">
        <f>IF(OR(Tank3!$D$18="EXTERNAL FLOATING ROOF",Tank3!$D$18="INTERNAL FLOATING ROOF"),IF(Tank3!$E116="",0,Tank3!$E116),0)</f>
        <v>0</v>
      </c>
      <c r="CE306" s="8">
        <f>IF(OR(CF306=0,ISNUMBER(MATCH(CF306,$CF$1:CF305,0))),0,MAX($CE$1:CE305)+1)</f>
        <v>0</v>
      </c>
      <c r="CF306" s="8">
        <f>IF(OR(Tank3!$D$18="HORIZONTAL FIXED ROOF",Tank3!$D$18="VERTICAL FIXED ROOF"),IF(Tank3!$E116="",0,Tank3!$E116),0)</f>
        <v>0</v>
      </c>
      <c r="FB306" s="8" t="s">
        <v>951</v>
      </c>
      <c r="FC306" s="8" t="s">
        <v>952</v>
      </c>
      <c r="FD306" s="8">
        <v>200</v>
      </c>
      <c r="FE306" s="8">
        <v>20</v>
      </c>
    </row>
    <row r="307" spans="79:161" ht="74.25" customHeight="1" x14ac:dyDescent="0.2">
      <c r="CA307">
        <f>IF(OR(CB307=0,ISNUMBER(MATCH(CB307,$CB$1:CB306,0))),0,MAX($CA$1:CA306)+1)</f>
        <v>0</v>
      </c>
      <c r="CB307" s="8">
        <f>IF(OR(Tank3!$D$18="EXTERNAL FLOATING ROOF",Tank3!$D$18="INTERNAL FLOATING ROOF"),IF(Tank3!$E117="",0,Tank3!$E117),0)</f>
        <v>0</v>
      </c>
      <c r="CE307" s="8">
        <f>IF(OR(CF307=0,ISNUMBER(MATCH(CF307,$CF$1:CF306,0))),0,MAX($CE$1:CE306)+1)</f>
        <v>0</v>
      </c>
      <c r="CF307" s="8">
        <f>IF(OR(Tank3!$D$18="HORIZONTAL FIXED ROOF",Tank3!$D$18="VERTICAL FIXED ROOF"),IF(Tank3!$E117="",0,Tank3!$E117),0)</f>
        <v>0</v>
      </c>
      <c r="FB307" s="8" t="s">
        <v>953</v>
      </c>
      <c r="FC307" s="8" t="s">
        <v>954</v>
      </c>
      <c r="FD307" s="8">
        <v>70</v>
      </c>
      <c r="FE307" s="8">
        <v>7</v>
      </c>
    </row>
    <row r="308" spans="79:161" ht="74.25" customHeight="1" x14ac:dyDescent="0.2">
      <c r="CA308">
        <f>IF(OR(CB308=0,ISNUMBER(MATCH(CB308,$CB$1:CB307,0))),0,MAX($CA$1:CA307)+1)</f>
        <v>0</v>
      </c>
      <c r="CB308" s="8">
        <f>IF(OR(Tank3!$D$18="EXTERNAL FLOATING ROOF",Tank3!$D$18="INTERNAL FLOATING ROOF"),IF(Tank3!$E118="",0,Tank3!$E118),0)</f>
        <v>0</v>
      </c>
      <c r="CE308" s="8">
        <f>IF(OR(CF308=0,ISNUMBER(MATCH(CF308,$CF$1:CF307,0))),0,MAX($CE$1:CE307)+1)</f>
        <v>0</v>
      </c>
      <c r="CF308" s="8">
        <f>IF(OR(Tank3!$D$18="HORIZONTAL FIXED ROOF",Tank3!$D$18="VERTICAL FIXED ROOF"),IF(Tank3!$E118="",0,Tank3!$E118),0)</f>
        <v>0</v>
      </c>
      <c r="FB308" s="8" t="s">
        <v>955</v>
      </c>
      <c r="FC308" s="8" t="s">
        <v>956</v>
      </c>
      <c r="FD308" s="8">
        <v>720</v>
      </c>
      <c r="FE308" s="8">
        <v>72</v>
      </c>
    </row>
    <row r="309" spans="79:161" ht="74.25" customHeight="1" x14ac:dyDescent="0.2">
      <c r="CA309">
        <f>IF(OR(CB309=0,ISNUMBER(MATCH(CB309,$CB$1:CB308,0))),0,MAX($CA$1:CA308)+1)</f>
        <v>0</v>
      </c>
      <c r="CB309" s="8">
        <f>IF(OR(Tank3!$D$18="EXTERNAL FLOATING ROOF",Tank3!$D$18="INTERNAL FLOATING ROOF"),IF(Tank3!$E119="",0,Tank3!$E119),0)</f>
        <v>0</v>
      </c>
      <c r="CE309" s="8">
        <f>IF(OR(CF309=0,ISNUMBER(MATCH(CF309,$CF$1:CF308,0))),0,MAX($CE$1:CE308)+1)</f>
        <v>0</v>
      </c>
      <c r="CF309" s="8">
        <f>IF(OR(Tank3!$D$18="HORIZONTAL FIXED ROOF",Tank3!$D$18="VERTICAL FIXED ROOF"),IF(Tank3!$E119="",0,Tank3!$E119),0)</f>
        <v>0</v>
      </c>
      <c r="FB309" s="8" t="s">
        <v>957</v>
      </c>
      <c r="FC309" s="8" t="s">
        <v>958</v>
      </c>
      <c r="FD309" s="8">
        <v>340</v>
      </c>
      <c r="FE309" s="8">
        <v>34</v>
      </c>
    </row>
    <row r="310" spans="79:161" ht="74.25" customHeight="1" x14ac:dyDescent="0.2">
      <c r="CA310">
        <f>IF(OR(CB310=0,ISNUMBER(MATCH(CB310,$CB$1:CB309,0))),0,MAX($CA$1:CA309)+1)</f>
        <v>0</v>
      </c>
      <c r="CB310" s="8">
        <f>IF(OR(Tank3!$D$18="EXTERNAL FLOATING ROOF",Tank3!$D$18="INTERNAL FLOATING ROOF"),IF(Tank3!$E120="",0,Tank3!$E120),0)</f>
        <v>0</v>
      </c>
      <c r="CE310" s="8">
        <f>IF(OR(CF310=0,ISNUMBER(MATCH(CF310,$CF$1:CF309,0))),0,MAX($CE$1:CE309)+1)</f>
        <v>0</v>
      </c>
      <c r="CF310" s="8">
        <f>IF(OR(Tank3!$D$18="HORIZONTAL FIXED ROOF",Tank3!$D$18="VERTICAL FIXED ROOF"),IF(Tank3!$E120="",0,Tank3!$E120),0)</f>
        <v>0</v>
      </c>
      <c r="FB310" s="8" t="s">
        <v>959</v>
      </c>
      <c r="FC310" s="8" t="s">
        <v>960</v>
      </c>
      <c r="FD310" s="8">
        <v>2000</v>
      </c>
      <c r="FE310" s="8">
        <v>200</v>
      </c>
    </row>
    <row r="311" spans="79:161" ht="74.25" customHeight="1" x14ac:dyDescent="0.2">
      <c r="CA311">
        <f>IF(OR(CB311=0,ISNUMBER(MATCH(CB311,$CB$1:CB310,0))),0,MAX($CA$1:CA310)+1)</f>
        <v>0</v>
      </c>
      <c r="CB311" s="8">
        <f>IF(OR(Tank3!$D$18="EXTERNAL FLOATING ROOF",Tank3!$D$18="INTERNAL FLOATING ROOF"),IF(Tank3!$E121="",0,Tank3!$E121),0)</f>
        <v>0</v>
      </c>
      <c r="CE311" s="8">
        <f>IF(OR(CF311=0,ISNUMBER(MATCH(CF311,$CF$1:CF310,0))),0,MAX($CE$1:CE310)+1)</f>
        <v>0</v>
      </c>
      <c r="CF311" s="8">
        <f>IF(OR(Tank3!$D$18="HORIZONTAL FIXED ROOF",Tank3!$D$18="VERTICAL FIXED ROOF"),IF(Tank3!$E121="",0,Tank3!$E121),0)</f>
        <v>0</v>
      </c>
      <c r="FB311" s="8" t="s">
        <v>961</v>
      </c>
      <c r="FC311" s="8" t="s">
        <v>962</v>
      </c>
      <c r="FD311" s="8">
        <v>610</v>
      </c>
      <c r="FE311" s="8">
        <v>61</v>
      </c>
    </row>
    <row r="312" spans="79:161" ht="74.25" customHeight="1" x14ac:dyDescent="0.2">
      <c r="CA312">
        <f>IF(OR(CB312=0,ISNUMBER(MATCH(CB312,$CB$1:CB311,0))),0,MAX($CA$1:CA311)+1)</f>
        <v>0</v>
      </c>
      <c r="CB312" s="8">
        <f>IF(OR(Tank3!$D$18="EXTERNAL FLOATING ROOF",Tank3!$D$18="INTERNAL FLOATING ROOF"),IF(Tank3!$E122="",0,Tank3!$E122),0)</f>
        <v>0</v>
      </c>
      <c r="CE312" s="8">
        <f>IF(OR(CF312=0,ISNUMBER(MATCH(CF312,$CF$1:CF311,0))),0,MAX($CE$1:CE311)+1)</f>
        <v>0</v>
      </c>
      <c r="CF312" s="8">
        <f>IF(OR(Tank3!$D$18="HORIZONTAL FIXED ROOF",Tank3!$D$18="VERTICAL FIXED ROOF"),IF(Tank3!$E122="",0,Tank3!$E122),0)</f>
        <v>0</v>
      </c>
      <c r="FB312" s="8" t="s">
        <v>963</v>
      </c>
      <c r="FC312" s="8" t="s">
        <v>964</v>
      </c>
      <c r="FD312" s="8">
        <v>490</v>
      </c>
      <c r="FE312" s="8">
        <v>49</v>
      </c>
    </row>
    <row r="313" spans="79:161" ht="74.25" customHeight="1" x14ac:dyDescent="0.2">
      <c r="CA313">
        <f>IF(OR(CB313=0,ISNUMBER(MATCH(CB313,$CB$1:CB312,0))),0,MAX($CA$1:CA312)+1)</f>
        <v>0</v>
      </c>
      <c r="CB313" s="8">
        <f>IF(OR(Tank3!$D$18="EXTERNAL FLOATING ROOF",Tank3!$D$18="INTERNAL FLOATING ROOF"),IF(Tank3!$E123="",0,Tank3!$E123),0)</f>
        <v>0</v>
      </c>
      <c r="CE313" s="8">
        <f>IF(OR(CF313=0,ISNUMBER(MATCH(CF313,$CF$1:CF312,0))),0,MAX($CE$1:CE312)+1)</f>
        <v>0</v>
      </c>
      <c r="CF313" s="8">
        <f>IF(OR(Tank3!$D$18="HORIZONTAL FIXED ROOF",Tank3!$D$18="VERTICAL FIXED ROOF"),IF(Tank3!$E123="",0,Tank3!$E123),0)</f>
        <v>0</v>
      </c>
      <c r="FB313" s="8" t="s">
        <v>965</v>
      </c>
      <c r="FC313" s="8" t="s">
        <v>966</v>
      </c>
      <c r="FD313" s="8">
        <v>1000</v>
      </c>
      <c r="FE313" s="8">
        <v>100</v>
      </c>
    </row>
    <row r="314" spans="79:161" ht="74.25" customHeight="1" x14ac:dyDescent="0.2">
      <c r="CA314">
        <f>IF(OR(CB314=0,ISNUMBER(MATCH(CB314,$CB$1:CB313,0))),0,MAX($CA$1:CA313)+1)</f>
        <v>0</v>
      </c>
      <c r="CB314" s="8">
        <f>IF(OR(Tank3!$D$18="EXTERNAL FLOATING ROOF",Tank3!$D$18="INTERNAL FLOATING ROOF"),IF(Tank3!$E124="",0,Tank3!$E124),0)</f>
        <v>0</v>
      </c>
      <c r="CE314" s="8">
        <f>IF(OR(CF314=0,ISNUMBER(MATCH(CF314,$CF$1:CF313,0))),0,MAX($CE$1:CE313)+1)</f>
        <v>0</v>
      </c>
      <c r="CF314" s="8">
        <f>IF(OR(Tank3!$D$18="HORIZONTAL FIXED ROOF",Tank3!$D$18="VERTICAL FIXED ROOF"),IF(Tank3!$E124="",0,Tank3!$E124),0)</f>
        <v>0</v>
      </c>
      <c r="FB314" s="8" t="s">
        <v>967</v>
      </c>
      <c r="FC314" s="8" t="s">
        <v>968</v>
      </c>
      <c r="FD314" s="8">
        <v>80</v>
      </c>
      <c r="FE314" s="8">
        <v>8</v>
      </c>
    </row>
    <row r="315" spans="79:161" ht="74.25" customHeight="1" x14ac:dyDescent="0.2">
      <c r="CA315">
        <f>IF(OR(CB315=0,ISNUMBER(MATCH(CB315,$CB$1:CB314,0))),0,MAX($CA$1:CA314)+1)</f>
        <v>0</v>
      </c>
      <c r="CB315" s="8">
        <f>IF(OR(Tank3!$D$18="EXTERNAL FLOATING ROOF",Tank3!$D$18="INTERNAL FLOATING ROOF"),IF(Tank3!$E125="",0,Tank3!$E125),0)</f>
        <v>0</v>
      </c>
      <c r="CE315" s="8">
        <f>IF(OR(CF315=0,ISNUMBER(MATCH(CF315,$CF$1:CF314,0))),0,MAX($CE$1:CE314)+1)</f>
        <v>0</v>
      </c>
      <c r="CF315" s="8">
        <f>IF(OR(Tank3!$D$18="HORIZONTAL FIXED ROOF",Tank3!$D$18="VERTICAL FIXED ROOF"),IF(Tank3!$E125="",0,Tank3!$E125),0)</f>
        <v>0</v>
      </c>
      <c r="FB315" s="8" t="s">
        <v>969</v>
      </c>
      <c r="FC315" s="8" t="s">
        <v>970</v>
      </c>
      <c r="FD315" s="8">
        <v>250</v>
      </c>
      <c r="FE315" s="8">
        <v>25</v>
      </c>
    </row>
    <row r="316" spans="79:161" ht="74.25" customHeight="1" x14ac:dyDescent="0.2">
      <c r="CA316">
        <f>IF(OR(CB316=0,ISNUMBER(MATCH(CB316,$CB$1:CB315,0))),0,MAX($CA$1:CA315)+1)</f>
        <v>0</v>
      </c>
      <c r="CB316" s="8">
        <f>IF(OR(Tank3!$D$18="EXTERNAL FLOATING ROOF",Tank3!$D$18="INTERNAL FLOATING ROOF"),IF(Tank3!$E126="",0,Tank3!$E126),0)</f>
        <v>0</v>
      </c>
      <c r="CE316" s="8">
        <f>IF(OR(CF316=0,ISNUMBER(MATCH(CF316,$CF$1:CF315,0))),0,MAX($CE$1:CE315)+1)</f>
        <v>0</v>
      </c>
      <c r="CF316" s="8">
        <f>IF(OR(Tank3!$D$18="HORIZONTAL FIXED ROOF",Tank3!$D$18="VERTICAL FIXED ROOF"),IF(Tank3!$E126="",0,Tank3!$E126),0)</f>
        <v>0</v>
      </c>
      <c r="FB316" s="8" t="s">
        <v>971</v>
      </c>
      <c r="FC316" s="8" t="s">
        <v>972</v>
      </c>
      <c r="FD316" s="8">
        <v>220</v>
      </c>
      <c r="FE316" s="8">
        <v>22</v>
      </c>
    </row>
    <row r="317" spans="79:161" ht="74.25" customHeight="1" x14ac:dyDescent="0.2">
      <c r="CA317">
        <f>IF(OR(CB317=0,ISNUMBER(MATCH(CB317,$CB$1:CB316,0))),0,MAX($CA$1:CA316)+1)</f>
        <v>0</v>
      </c>
      <c r="CB317" s="8">
        <f>IF(OR(Tank3!$D$18="EXTERNAL FLOATING ROOF",Tank3!$D$18="INTERNAL FLOATING ROOF"),IF(Tank3!$E127="",0,Tank3!$E127),0)</f>
        <v>0</v>
      </c>
      <c r="CE317" s="8">
        <f>IF(OR(CF317=0,ISNUMBER(MATCH(CF317,$CF$1:CF316,0))),0,MAX($CE$1:CE316)+1)</f>
        <v>0</v>
      </c>
      <c r="CF317" s="8">
        <f>IF(OR(Tank3!$D$18="HORIZONTAL FIXED ROOF",Tank3!$D$18="VERTICAL FIXED ROOF"),IF(Tank3!$E127="",0,Tank3!$E127),0)</f>
        <v>0</v>
      </c>
      <c r="FB317" s="8" t="s">
        <v>973</v>
      </c>
      <c r="FC317" s="8" t="s">
        <v>974</v>
      </c>
      <c r="FD317" s="8">
        <v>2000</v>
      </c>
      <c r="FE317" s="8">
        <v>200</v>
      </c>
    </row>
    <row r="318" spans="79:161" ht="74.25" customHeight="1" x14ac:dyDescent="0.2">
      <c r="CA318">
        <f>IF(OR(CB318=0,ISNUMBER(MATCH(CB318,$CB$1:CB317,0))),0,MAX($CA$1:CA317)+1)</f>
        <v>0</v>
      </c>
      <c r="CB318" s="8">
        <f>IF(OR(Tank3!$D$18="EXTERNAL FLOATING ROOF",Tank3!$D$18="INTERNAL FLOATING ROOF"),IF(Tank3!$E128="",0,Tank3!$E128),0)</f>
        <v>0</v>
      </c>
      <c r="CE318" s="8">
        <f>IF(OR(CF318=0,ISNUMBER(MATCH(CF318,$CF$1:CF317,0))),0,MAX($CE$1:CE317)+1)</f>
        <v>0</v>
      </c>
      <c r="CF318" s="8">
        <f>IF(OR(Tank3!$D$18="HORIZONTAL FIXED ROOF",Tank3!$D$18="VERTICAL FIXED ROOF"),IF(Tank3!$E128="",0,Tank3!$E128),0)</f>
        <v>0</v>
      </c>
      <c r="FB318" s="8" t="s">
        <v>975</v>
      </c>
      <c r="FC318" s="8" t="s">
        <v>976</v>
      </c>
      <c r="FD318" s="8">
        <v>260</v>
      </c>
      <c r="FE318" s="8">
        <v>26</v>
      </c>
    </row>
    <row r="319" spans="79:161" ht="74.25" customHeight="1" x14ac:dyDescent="0.2">
      <c r="CA319">
        <f>IF(OR(CB319=0,ISNUMBER(MATCH(CB319,$CB$1:CB318,0))),0,MAX($CA$1:CA318)+1)</f>
        <v>0</v>
      </c>
      <c r="CB319" s="8">
        <f>IF(OR(Tank3!$D$18="EXTERNAL FLOATING ROOF",Tank3!$D$18="INTERNAL FLOATING ROOF"),IF(Tank3!$E129="",0,Tank3!$E129),0)</f>
        <v>0</v>
      </c>
      <c r="CE319" s="8">
        <f>IF(OR(CF319=0,ISNUMBER(MATCH(CF319,$CF$1:CF318,0))),0,MAX($CE$1:CE318)+1)</f>
        <v>0</v>
      </c>
      <c r="CF319" s="8">
        <f>IF(OR(Tank3!$D$18="HORIZONTAL FIXED ROOF",Tank3!$D$18="VERTICAL FIXED ROOF"),IF(Tank3!$E129="",0,Tank3!$E129),0)</f>
        <v>0</v>
      </c>
      <c r="FB319" s="8" t="s">
        <v>977</v>
      </c>
      <c r="FC319" s="8" t="s">
        <v>978</v>
      </c>
      <c r="FD319" s="8">
        <v>200</v>
      </c>
      <c r="FE319" s="8">
        <v>20</v>
      </c>
    </row>
    <row r="320" spans="79:161" ht="74.25" customHeight="1" x14ac:dyDescent="0.2">
      <c r="CA320">
        <f>IF(OR(CB320=0,ISNUMBER(MATCH(CB320,$CB$1:CB319,0))),0,MAX($CA$1:CA319)+1)</f>
        <v>0</v>
      </c>
      <c r="CB320" s="8">
        <f>IF(OR(Tank3!$D$18="EXTERNAL FLOATING ROOF",Tank3!$D$18="INTERNAL FLOATING ROOF"),IF(Tank3!$E130="",0,Tank3!$E130),0)</f>
        <v>0</v>
      </c>
      <c r="CE320" s="8">
        <f>IF(OR(CF320=0,ISNUMBER(MATCH(CF320,$CF$1:CF319,0))),0,MAX($CE$1:CE319)+1)</f>
        <v>0</v>
      </c>
      <c r="CF320" s="8">
        <f>IF(OR(Tank3!$D$18="HORIZONTAL FIXED ROOF",Tank3!$D$18="VERTICAL FIXED ROOF"),IF(Tank3!$E130="",0,Tank3!$E130),0)</f>
        <v>0</v>
      </c>
      <c r="FB320" s="8" t="s">
        <v>979</v>
      </c>
      <c r="FC320" s="8" t="s">
        <v>980</v>
      </c>
      <c r="FD320" s="8">
        <v>500</v>
      </c>
      <c r="FE320" s="8">
        <v>50</v>
      </c>
    </row>
    <row r="321" spans="79:161" ht="74.25" customHeight="1" x14ac:dyDescent="0.2">
      <c r="CA321">
        <f>IF(OR(CB321=0,ISNUMBER(MATCH(CB321,$CB$1:CB320,0))),0,MAX($CA$1:CA320)+1)</f>
        <v>0</v>
      </c>
      <c r="CB321" s="8">
        <f>IF(OR(Tank3!$D$18="EXTERNAL FLOATING ROOF",Tank3!$D$18="INTERNAL FLOATING ROOF"),IF(Tank3!$E131="",0,Tank3!$E131),0)</f>
        <v>0</v>
      </c>
      <c r="CE321" s="8">
        <f>IF(OR(CF321=0,ISNUMBER(MATCH(CF321,$CF$1:CF320,0))),0,MAX($CE$1:CE320)+1)</f>
        <v>0</v>
      </c>
      <c r="CF321" s="8">
        <f>IF(OR(Tank3!$D$18="HORIZONTAL FIXED ROOF",Tank3!$D$18="VERTICAL FIXED ROOF"),IF(Tank3!$E131="",0,Tank3!$E131),0)</f>
        <v>0</v>
      </c>
      <c r="FB321" s="8" t="s">
        <v>981</v>
      </c>
      <c r="FC321" s="8" t="s">
        <v>982</v>
      </c>
      <c r="FD321" s="8">
        <v>340</v>
      </c>
      <c r="FE321" s="8">
        <v>34</v>
      </c>
    </row>
    <row r="322" spans="79:161" ht="74.25" customHeight="1" x14ac:dyDescent="0.2">
      <c r="CA322">
        <f>IF(OR(CB322=0,ISNUMBER(MATCH(CB322,$CB$1:CB321,0))),0,MAX($CA$1:CA321)+1)</f>
        <v>0</v>
      </c>
      <c r="CB322" s="8">
        <f>IF(OR(Tank3!$D$18="EXTERNAL FLOATING ROOF",Tank3!$D$18="INTERNAL FLOATING ROOF"),IF(Tank3!$E132="",0,Tank3!$E132),0)</f>
        <v>0</v>
      </c>
      <c r="CE322" s="8">
        <f>IF(OR(CF322=0,ISNUMBER(MATCH(CF322,$CF$1:CF321,0))),0,MAX($CE$1:CE321)+1)</f>
        <v>0</v>
      </c>
      <c r="CF322" s="8">
        <f>IF(OR(Tank3!$D$18="HORIZONTAL FIXED ROOF",Tank3!$D$18="VERTICAL FIXED ROOF"),IF(Tank3!$E132="",0,Tank3!$E132),0)</f>
        <v>0</v>
      </c>
      <c r="FB322" s="8" t="s">
        <v>983</v>
      </c>
      <c r="FC322" s="8" t="s">
        <v>984</v>
      </c>
      <c r="FD322" s="8">
        <v>500</v>
      </c>
      <c r="FE322" s="8">
        <v>50</v>
      </c>
    </row>
    <row r="323" spans="79:161" ht="74.25" customHeight="1" x14ac:dyDescent="0.2">
      <c r="CA323">
        <f>IF(OR(CB323=0,ISNUMBER(MATCH(CB323,$CB$1:CB322,0))),0,MAX($CA$1:CA322)+1)</f>
        <v>0</v>
      </c>
      <c r="CB323" s="8">
        <f>IF(OR(Tank3!$D$18="EXTERNAL FLOATING ROOF",Tank3!$D$18="INTERNAL FLOATING ROOF"),IF(Tank3!$E133="",0,Tank3!$E133),0)</f>
        <v>0</v>
      </c>
      <c r="CE323" s="8">
        <f>IF(OR(CF323=0,ISNUMBER(MATCH(CF323,$CF$1:CF322,0))),0,MAX($CE$1:CE322)+1)</f>
        <v>0</v>
      </c>
      <c r="CF323" s="8">
        <f>IF(OR(Tank3!$D$18="HORIZONTAL FIXED ROOF",Tank3!$D$18="VERTICAL FIXED ROOF"),IF(Tank3!$E133="",0,Tank3!$E133),0)</f>
        <v>0</v>
      </c>
      <c r="FB323" s="8" t="s">
        <v>985</v>
      </c>
      <c r="FC323" s="8" t="s">
        <v>986</v>
      </c>
      <c r="FD323" s="8">
        <v>0.7</v>
      </c>
      <c r="FE323" s="8">
        <v>0.1</v>
      </c>
    </row>
    <row r="324" spans="79:161" ht="74.25" customHeight="1" x14ac:dyDescent="0.2">
      <c r="CA324">
        <f>IF(OR(CB324=0,ISNUMBER(MATCH(CB324,$CB$1:CB323,0))),0,MAX($CA$1:CA323)+1)</f>
        <v>0</v>
      </c>
      <c r="CB324" s="8">
        <f>IF(OR(Tank3!$D$18="EXTERNAL FLOATING ROOF",Tank3!$D$18="INTERNAL FLOATING ROOF"),IF(Tank3!$E134="",0,Tank3!$E134),0)</f>
        <v>0</v>
      </c>
      <c r="CE324" s="8">
        <f>IF(OR(CF324=0,ISNUMBER(MATCH(CF324,$CF$1:CF323,0))),0,MAX($CE$1:CE323)+1)</f>
        <v>0</v>
      </c>
      <c r="CF324" s="8">
        <f>IF(OR(Tank3!$D$18="HORIZONTAL FIXED ROOF",Tank3!$D$18="VERTICAL FIXED ROOF"),IF(Tank3!$E134="",0,Tank3!$E134),0)</f>
        <v>0</v>
      </c>
      <c r="FB324" s="8" t="s">
        <v>987</v>
      </c>
      <c r="FC324" s="8" t="s">
        <v>988</v>
      </c>
      <c r="FD324" s="8">
        <v>100</v>
      </c>
      <c r="FE324" s="8">
        <v>10</v>
      </c>
    </row>
    <row r="325" spans="79:161" ht="74.25" customHeight="1" x14ac:dyDescent="0.2">
      <c r="CA325">
        <f>IF(OR(CB325=0,ISNUMBER(MATCH(CB325,$CB$1:CB324,0))),0,MAX($CA$1:CA324)+1)</f>
        <v>0</v>
      </c>
      <c r="CB325" s="8">
        <f>IF(OR(Tank3!$D$18="EXTERNAL FLOATING ROOF",Tank3!$D$18="INTERNAL FLOATING ROOF"),IF(Tank3!$E135="",0,Tank3!$E135),0)</f>
        <v>0</v>
      </c>
      <c r="CE325" s="8">
        <f>IF(OR(CF325=0,ISNUMBER(MATCH(CF325,$CF$1:CF324,0))),0,MAX($CE$1:CE324)+1)</f>
        <v>0</v>
      </c>
      <c r="CF325" s="8">
        <f>IF(OR(Tank3!$D$18="HORIZONTAL FIXED ROOF",Tank3!$D$18="VERTICAL FIXED ROOF"),IF(Tank3!$E135="",0,Tank3!$E135),0)</f>
        <v>0</v>
      </c>
      <c r="FB325" s="8" t="s">
        <v>989</v>
      </c>
      <c r="FC325" s="8" t="s">
        <v>990</v>
      </c>
      <c r="FD325" s="8">
        <v>1000</v>
      </c>
      <c r="FE325" s="8">
        <v>100</v>
      </c>
    </row>
    <row r="326" spans="79:161" ht="74.25" customHeight="1" x14ac:dyDescent="0.2">
      <c r="CA326">
        <f>IF(OR(CB326=0,ISNUMBER(MATCH(CB326,$CB$1:CB325,0))),0,MAX($CA$1:CA325)+1)</f>
        <v>0</v>
      </c>
      <c r="CB326" s="8">
        <f>IF(OR(Tank3!$D$18="EXTERNAL FLOATING ROOF",Tank3!$D$18="INTERNAL FLOATING ROOF"),IF(Tank3!$E136="",0,Tank3!$E136),0)</f>
        <v>0</v>
      </c>
      <c r="CE326" s="8">
        <f>IF(OR(CF326=0,ISNUMBER(MATCH(CF326,$CF$1:CF325,0))),0,MAX($CE$1:CE325)+1)</f>
        <v>0</v>
      </c>
      <c r="CF326" s="8">
        <f>IF(OR(Tank3!$D$18="HORIZONTAL FIXED ROOF",Tank3!$D$18="VERTICAL FIXED ROOF"),IF(Tank3!$E136="",0,Tank3!$E136),0)</f>
        <v>0</v>
      </c>
      <c r="FB326" s="8" t="s">
        <v>991</v>
      </c>
      <c r="FC326" s="8" t="s">
        <v>992</v>
      </c>
      <c r="FD326" s="8">
        <v>90</v>
      </c>
      <c r="FE326" s="8">
        <v>9</v>
      </c>
    </row>
    <row r="327" spans="79:161" ht="74.25" customHeight="1" x14ac:dyDescent="0.2">
      <c r="CA327">
        <f>IF(OR(CB327=0,ISNUMBER(MATCH(CB327,$CB$1:CB326,0))),0,MAX($CA$1:CA326)+1)</f>
        <v>0</v>
      </c>
      <c r="CB327" s="8">
        <f>IF(OR(Tank3!$D$18="EXTERNAL FLOATING ROOF",Tank3!$D$18="INTERNAL FLOATING ROOF"),IF(Tank3!$E137="",0,Tank3!$E137),0)</f>
        <v>0</v>
      </c>
      <c r="CE327" s="8">
        <f>IF(OR(CF327=0,ISNUMBER(MATCH(CF327,$CF$1:CF326,0))),0,MAX($CE$1:CE326)+1)</f>
        <v>0</v>
      </c>
      <c r="CF327" s="8">
        <f>IF(OR(Tank3!$D$18="HORIZONTAL FIXED ROOF",Tank3!$D$18="VERTICAL FIXED ROOF"),IF(Tank3!$E137="",0,Tank3!$E137),0)</f>
        <v>0</v>
      </c>
      <c r="FB327" s="8" t="s">
        <v>993</v>
      </c>
      <c r="FC327" s="8" t="s">
        <v>994</v>
      </c>
      <c r="FD327" s="8">
        <v>3600</v>
      </c>
      <c r="FE327" s="8">
        <v>350</v>
      </c>
    </row>
    <row r="328" spans="79:161" ht="74.25" customHeight="1" x14ac:dyDescent="0.2">
      <c r="CA328">
        <f>IF(OR(CB328=0,ISNUMBER(MATCH(CB328,$CB$1:CB327,0))),0,MAX($CA$1:CA327)+1)</f>
        <v>0</v>
      </c>
      <c r="CB328" s="8">
        <f>IF(OR(Tank3!$D$18="EXTERNAL FLOATING ROOF",Tank3!$D$18="INTERNAL FLOATING ROOF"),IF(Tank3!$E138="",0,Tank3!$E138),0)</f>
        <v>0</v>
      </c>
      <c r="CE328" s="8">
        <f>IF(OR(CF328=0,ISNUMBER(MATCH(CF328,$CF$1:CF327,0))),0,MAX($CE$1:CE327)+1)</f>
        <v>0</v>
      </c>
      <c r="CF328" s="8">
        <f>IF(OR(Tank3!$D$18="HORIZONTAL FIXED ROOF",Tank3!$D$18="VERTICAL FIXED ROOF"),IF(Tank3!$E138="",0,Tank3!$E138),0)</f>
        <v>0</v>
      </c>
      <c r="FB328" s="8" t="s">
        <v>995</v>
      </c>
      <c r="FC328" s="8" t="s">
        <v>996</v>
      </c>
      <c r="FD328" s="8">
        <v>200</v>
      </c>
      <c r="FE328" s="8">
        <v>20</v>
      </c>
    </row>
    <row r="329" spans="79:161" ht="74.25" customHeight="1" x14ac:dyDescent="0.2">
      <c r="CA329">
        <f>IF(OR(CB329=0,ISNUMBER(MATCH(CB329,$CB$1:CB328,0))),0,MAX($CA$1:CA328)+1)</f>
        <v>0</v>
      </c>
      <c r="CB329" s="8">
        <f>IF(OR(Tank3!$D$18="EXTERNAL FLOATING ROOF",Tank3!$D$18="INTERNAL FLOATING ROOF"),IF(Tank3!$E139="",0,Tank3!$E139),0)</f>
        <v>0</v>
      </c>
      <c r="CE329" s="8">
        <f>IF(OR(CF329=0,ISNUMBER(MATCH(CF329,$CF$1:CF328,0))),0,MAX($CE$1:CE328)+1)</f>
        <v>0</v>
      </c>
      <c r="CF329" s="8">
        <f>IF(OR(Tank3!$D$18="HORIZONTAL FIXED ROOF",Tank3!$D$18="VERTICAL FIXED ROOF"),IF(Tank3!$E139="",0,Tank3!$E139),0)</f>
        <v>0</v>
      </c>
      <c r="FB329" s="8" t="s">
        <v>997</v>
      </c>
      <c r="FC329" s="8" t="s">
        <v>998</v>
      </c>
      <c r="FD329" s="8">
        <v>100</v>
      </c>
      <c r="FE329" s="8">
        <v>10</v>
      </c>
    </row>
    <row r="330" spans="79:161" ht="74.25" customHeight="1" x14ac:dyDescent="0.2">
      <c r="CA330">
        <f>IF(OR(CB330=0,ISNUMBER(MATCH(CB330,$CB$1:CB329,0))),0,MAX($CA$1:CA329)+1)</f>
        <v>0</v>
      </c>
      <c r="CB330" s="8">
        <f>IF(OR(Tank3!$D$18="EXTERNAL FLOATING ROOF",Tank3!$D$18="INTERNAL FLOATING ROOF"),IF(Tank3!$E140="",0,Tank3!$E140),0)</f>
        <v>0</v>
      </c>
      <c r="CE330" s="8">
        <f>IF(OR(CF330=0,ISNUMBER(MATCH(CF330,$CF$1:CF329,0))),0,MAX($CE$1:CE329)+1)</f>
        <v>0</v>
      </c>
      <c r="CF330" s="8">
        <f>IF(OR(Tank3!$D$18="HORIZONTAL FIXED ROOF",Tank3!$D$18="VERTICAL FIXED ROOF"),IF(Tank3!$E140="",0,Tank3!$E140),0)</f>
        <v>0</v>
      </c>
      <c r="FB330" s="8" t="s">
        <v>999</v>
      </c>
      <c r="FC330" s="8" t="s">
        <v>1000</v>
      </c>
      <c r="FD330" s="8">
        <v>10</v>
      </c>
      <c r="FE330" s="8">
        <v>1</v>
      </c>
    </row>
    <row r="331" spans="79:161" ht="74.25" customHeight="1" x14ac:dyDescent="0.2">
      <c r="CA331">
        <f>IF(OR(CB331=0,ISNUMBER(MATCH(CB331,$CB$1:CB330,0))),0,MAX($CA$1:CA330)+1)</f>
        <v>0</v>
      </c>
      <c r="CB331" s="8">
        <f>IF(OR(Tank3!$D$18="EXTERNAL FLOATING ROOF",Tank3!$D$18="INTERNAL FLOATING ROOF"),IF(Tank3!$E141="",0,Tank3!$E141),0)</f>
        <v>0</v>
      </c>
      <c r="CE331" s="8">
        <f>IF(OR(CF331=0,ISNUMBER(MATCH(CF331,$CF$1:CF330,0))),0,MAX($CE$1:CE330)+1)</f>
        <v>0</v>
      </c>
      <c r="CF331" s="8">
        <f>IF(OR(Tank3!$D$18="HORIZONTAL FIXED ROOF",Tank3!$D$18="VERTICAL FIXED ROOF"),IF(Tank3!$E141="",0,Tank3!$E141),0)</f>
        <v>0</v>
      </c>
      <c r="FB331" s="8" t="s">
        <v>1001</v>
      </c>
      <c r="FC331" s="8" t="s">
        <v>1002</v>
      </c>
      <c r="FD331" s="8">
        <v>300</v>
      </c>
      <c r="FE331" s="8">
        <v>30</v>
      </c>
    </row>
    <row r="332" spans="79:161" ht="74.25" customHeight="1" x14ac:dyDescent="0.2">
      <c r="CA332">
        <f>IF(OR(CB332=0,ISNUMBER(MATCH(CB332,$CB$1:CB331,0))),0,MAX($CA$1:CA331)+1)</f>
        <v>0</v>
      </c>
      <c r="CB332" s="245">
        <f>IF(OR(Tank4!$D$18="EXTERNAL FLOATING ROOF",Tank4!$D$18="INTERNAL FLOATING ROOF"),IF(Tank4!$E32="",0,Tank4!$E32),0)</f>
        <v>0</v>
      </c>
      <c r="CE332" s="8">
        <f>IF(OR(CF332=0,ISNUMBER(MATCH(CF332,$CF$1:CF331,0))),0,MAX($CE$1:CE331)+1)</f>
        <v>0</v>
      </c>
      <c r="CF332" s="8">
        <f>IF(OR(Tank4!$D$18="HORIZONTAL FIXED ROOF",Tank4!$D$18="VERTICAL FIXED ROOF"),IF(Tank4!$E32="",0,Tank4!$E32),0)</f>
        <v>0</v>
      </c>
      <c r="FB332" s="8" t="s">
        <v>1003</v>
      </c>
      <c r="FC332" s="8" t="s">
        <v>1004</v>
      </c>
      <c r="FD332" s="8">
        <v>200</v>
      </c>
      <c r="FE332" s="8">
        <v>20</v>
      </c>
    </row>
    <row r="333" spans="79:161" ht="74.25" customHeight="1" x14ac:dyDescent="0.2">
      <c r="CA333">
        <f>IF(OR(CB333=0,ISNUMBER(MATCH(CB333,$CB$1:CB332,0))),0,MAX($CA$1:CA332)+1)</f>
        <v>0</v>
      </c>
      <c r="CB333" s="8">
        <f>IF(OR(Tank4!$D$18="EXTERNAL FLOATING ROOF",Tank4!$D$18="INTERNAL FLOATING ROOF"),IF(Tank4!$E33="",0,Tank4!$E33),0)</f>
        <v>0</v>
      </c>
      <c r="CE333" s="8">
        <f>IF(OR(CF333=0,ISNUMBER(MATCH(CF333,$CF$1:CF332,0))),0,MAX($CE$1:CE332)+1)</f>
        <v>0</v>
      </c>
      <c r="CF333" s="8">
        <f>IF(OR(Tank4!$D$18="HORIZONTAL FIXED ROOF",Tank4!$D$18="VERTICAL FIXED ROOF"),IF(Tank4!$E33="",0,Tank4!$E33),0)</f>
        <v>0</v>
      </c>
      <c r="FB333" s="8" t="s">
        <v>1005</v>
      </c>
      <c r="FC333" s="8" t="s">
        <v>1006</v>
      </c>
      <c r="FD333" s="8">
        <v>2000</v>
      </c>
      <c r="FE333" s="8">
        <v>200</v>
      </c>
    </row>
    <row r="334" spans="79:161" ht="74.25" customHeight="1" x14ac:dyDescent="0.2">
      <c r="CA334">
        <f>IF(OR(CB334=0,ISNUMBER(MATCH(CB334,$CB$1:CB333,0))),0,MAX($CA$1:CA333)+1)</f>
        <v>0</v>
      </c>
      <c r="CB334" s="8">
        <f>IF(OR(Tank4!$D$18="EXTERNAL FLOATING ROOF",Tank4!$D$18="INTERNAL FLOATING ROOF"),IF(Tank4!$E34="",0,Tank4!$E34),0)</f>
        <v>0</v>
      </c>
      <c r="CE334" s="8">
        <f>IF(OR(CF334=0,ISNUMBER(MATCH(CF334,$CF$1:CF333,0))),0,MAX($CE$1:CE333)+1)</f>
        <v>0</v>
      </c>
      <c r="CF334" s="8">
        <f>IF(OR(Tank4!$D$18="HORIZONTAL FIXED ROOF",Tank4!$D$18="VERTICAL FIXED ROOF"),IF(Tank4!$E34="",0,Tank4!$E34),0)</f>
        <v>0</v>
      </c>
      <c r="FB334" s="8" t="s">
        <v>1007</v>
      </c>
      <c r="FC334" s="8" t="s">
        <v>1008</v>
      </c>
      <c r="FD334" s="8">
        <v>200</v>
      </c>
      <c r="FE334" s="8">
        <v>20</v>
      </c>
    </row>
    <row r="335" spans="79:161" ht="74.25" customHeight="1" x14ac:dyDescent="0.2">
      <c r="CA335">
        <f>IF(OR(CB335=0,ISNUMBER(MATCH(CB335,$CB$1:CB334,0))),0,MAX($CA$1:CA334)+1)</f>
        <v>0</v>
      </c>
      <c r="CB335" s="8">
        <f>IF(OR(Tank4!$D$18="EXTERNAL FLOATING ROOF",Tank4!$D$18="INTERNAL FLOATING ROOF"),IF(Tank4!$E35="",0,Tank4!$E35),0)</f>
        <v>0</v>
      </c>
      <c r="CE335" s="8">
        <f>IF(OR(CF335=0,ISNUMBER(MATCH(CF335,$CF$1:CF334,0))),0,MAX($CE$1:CE334)+1)</f>
        <v>0</v>
      </c>
      <c r="CF335" s="8">
        <f>IF(OR(Tank4!$D$18="HORIZONTAL FIXED ROOF",Tank4!$D$18="VERTICAL FIXED ROOF"),IF(Tank4!$E35="",0,Tank4!$E35),0)</f>
        <v>0</v>
      </c>
      <c r="FB335" s="8" t="s">
        <v>1009</v>
      </c>
      <c r="FC335" s="8" t="s">
        <v>1010</v>
      </c>
      <c r="FD335" s="8">
        <v>1400</v>
      </c>
      <c r="FE335" s="8">
        <v>140</v>
      </c>
    </row>
    <row r="336" spans="79:161" ht="74.25" customHeight="1" x14ac:dyDescent="0.2">
      <c r="CA336">
        <f>IF(OR(CB336=0,ISNUMBER(MATCH(CB336,$CB$1:CB335,0))),0,MAX($CA$1:CA335)+1)</f>
        <v>0</v>
      </c>
      <c r="CB336" s="8">
        <f>IF(OR(Tank4!$D$18="EXTERNAL FLOATING ROOF",Tank4!$D$18="INTERNAL FLOATING ROOF"),IF(Tank4!$E36="",0,Tank4!$E36),0)</f>
        <v>0</v>
      </c>
      <c r="CE336" s="8">
        <f>IF(OR(CF336=0,ISNUMBER(MATCH(CF336,$CF$1:CF335,0))),0,MAX($CE$1:CE335)+1)</f>
        <v>0</v>
      </c>
      <c r="CF336" s="8">
        <f>IF(OR(Tank4!$D$18="HORIZONTAL FIXED ROOF",Tank4!$D$18="VERTICAL FIXED ROOF"),IF(Tank4!$E36="",0,Tank4!$E36),0)</f>
        <v>0</v>
      </c>
      <c r="FB336" s="8" t="s">
        <v>1011</v>
      </c>
      <c r="FC336" s="8" t="s">
        <v>1012</v>
      </c>
      <c r="FD336" s="8">
        <v>20</v>
      </c>
      <c r="FE336" s="8">
        <v>2</v>
      </c>
    </row>
    <row r="337" spans="79:161" ht="74.25" customHeight="1" x14ac:dyDescent="0.2">
      <c r="CA337">
        <f>IF(OR(CB337=0,ISNUMBER(MATCH(CB337,$CB$1:CB336,0))),0,MAX($CA$1:CA336)+1)</f>
        <v>0</v>
      </c>
      <c r="CB337" s="8">
        <f>IF(OR(Tank4!$D$18="EXTERNAL FLOATING ROOF",Tank4!$D$18="INTERNAL FLOATING ROOF"),IF(Tank4!$E37="",0,Tank4!$E37),0)</f>
        <v>0</v>
      </c>
      <c r="CE337" s="8">
        <f>IF(OR(CF337=0,ISNUMBER(MATCH(CF337,$CF$1:CF336,0))),0,MAX($CE$1:CE336)+1)</f>
        <v>0</v>
      </c>
      <c r="CF337" s="8">
        <f>IF(OR(Tank4!$D$18="HORIZONTAL FIXED ROOF",Tank4!$D$18="VERTICAL FIXED ROOF"),IF(Tank4!$E37="",0,Tank4!$E37),0)</f>
        <v>0</v>
      </c>
      <c r="FB337" s="8" t="s">
        <v>1013</v>
      </c>
      <c r="FC337" s="8" t="s">
        <v>1014</v>
      </c>
      <c r="FD337" s="8">
        <v>12</v>
      </c>
      <c r="FE337" s="8">
        <v>1.2</v>
      </c>
    </row>
    <row r="338" spans="79:161" ht="74.25" customHeight="1" x14ac:dyDescent="0.2">
      <c r="CA338">
        <f>IF(OR(CB338=0,ISNUMBER(MATCH(CB338,$CB$1:CB337,0))),0,MAX($CA$1:CA337)+1)</f>
        <v>0</v>
      </c>
      <c r="CB338" s="8">
        <f>IF(OR(Tank4!$D$18="EXTERNAL FLOATING ROOF",Tank4!$D$18="INTERNAL FLOATING ROOF"),IF(Tank4!$E38="",0,Tank4!$E38),0)</f>
        <v>0</v>
      </c>
      <c r="CE338" s="8">
        <f>IF(OR(CF338=0,ISNUMBER(MATCH(CF338,$CF$1:CF337,0))),0,MAX($CE$1:CE337)+1)</f>
        <v>0</v>
      </c>
      <c r="CF338" s="8">
        <f>IF(OR(Tank4!$D$18="HORIZONTAL FIXED ROOF",Tank4!$D$18="VERTICAL FIXED ROOF"),IF(Tank4!$E38="",0,Tank4!$E38),0)</f>
        <v>0</v>
      </c>
      <c r="FB338" s="8" t="s">
        <v>1015</v>
      </c>
      <c r="FC338" s="8" t="s">
        <v>1016</v>
      </c>
      <c r="FD338" s="8">
        <v>3500</v>
      </c>
      <c r="FE338" s="8">
        <v>350</v>
      </c>
    </row>
    <row r="339" spans="79:161" ht="74.25" customHeight="1" x14ac:dyDescent="0.2">
      <c r="CA339">
        <f>IF(OR(CB339=0,ISNUMBER(MATCH(CB339,$CB$1:CB338,0))),0,MAX($CA$1:CA338)+1)</f>
        <v>0</v>
      </c>
      <c r="CB339" s="8">
        <f>IF(OR(Tank4!$D$18="EXTERNAL FLOATING ROOF",Tank4!$D$18="INTERNAL FLOATING ROOF"),IF(Tank4!$E39="",0,Tank4!$E39),0)</f>
        <v>0</v>
      </c>
      <c r="CE339" s="8">
        <f>IF(OR(CF339=0,ISNUMBER(MATCH(CF339,$CF$1:CF338,0))),0,MAX($CE$1:CE338)+1)</f>
        <v>0</v>
      </c>
      <c r="CF339" s="8">
        <f>IF(OR(Tank4!$D$18="HORIZONTAL FIXED ROOF",Tank4!$D$18="VERTICAL FIXED ROOF"),IF(Tank4!$E39="",0,Tank4!$E39),0)</f>
        <v>0</v>
      </c>
      <c r="FB339" s="8" t="s">
        <v>1017</v>
      </c>
      <c r="FC339" s="8" t="s">
        <v>1018</v>
      </c>
      <c r="FD339" s="8">
        <v>100</v>
      </c>
      <c r="FE339" s="8">
        <v>10</v>
      </c>
    </row>
    <row r="340" spans="79:161" ht="74.25" customHeight="1" x14ac:dyDescent="0.2">
      <c r="CA340">
        <f>IF(OR(CB340=0,ISNUMBER(MATCH(CB340,$CB$1:CB339,0))),0,MAX($CA$1:CA339)+1)</f>
        <v>0</v>
      </c>
      <c r="CB340" s="8">
        <f>IF(OR(Tank4!$D$18="EXTERNAL FLOATING ROOF",Tank4!$D$18="INTERNAL FLOATING ROOF"),IF(Tank4!$E40="",0,Tank4!$E40),0)</f>
        <v>0</v>
      </c>
      <c r="CE340" s="8">
        <f>IF(OR(CF340=0,ISNUMBER(MATCH(CF340,$CF$1:CF339,0))),0,MAX($CE$1:CE339)+1)</f>
        <v>0</v>
      </c>
      <c r="CF340" s="8">
        <f>IF(OR(Tank4!$D$18="HORIZONTAL FIXED ROOF",Tank4!$D$18="VERTICAL FIXED ROOF"),IF(Tank4!$E40="",0,Tank4!$E40),0)</f>
        <v>0</v>
      </c>
      <c r="FB340" s="8" t="s">
        <v>1019</v>
      </c>
      <c r="FC340" s="8" t="s">
        <v>1020</v>
      </c>
      <c r="FD340" s="8">
        <v>20</v>
      </c>
      <c r="FE340" s="8">
        <v>2</v>
      </c>
    </row>
    <row r="341" spans="79:161" ht="74.25" customHeight="1" x14ac:dyDescent="0.2">
      <c r="CA341">
        <f>IF(OR(CB341=0,ISNUMBER(MATCH(CB341,$CB$1:CB340,0))),0,MAX($CA$1:CA340)+1)</f>
        <v>0</v>
      </c>
      <c r="CB341" s="8">
        <f>IF(OR(Tank4!$D$18="EXTERNAL FLOATING ROOF",Tank4!$D$18="INTERNAL FLOATING ROOF"),IF(Tank4!$E41="",0,Tank4!$E41),0)</f>
        <v>0</v>
      </c>
      <c r="CE341" s="8">
        <f>IF(OR(CF341=0,ISNUMBER(MATCH(CF341,$CF$1:CF340,0))),0,MAX($CE$1:CE340)+1)</f>
        <v>0</v>
      </c>
      <c r="CF341" s="8">
        <f>IF(OR(Tank4!$D$18="HORIZONTAL FIXED ROOF",Tank4!$D$18="VERTICAL FIXED ROOF"),IF(Tank4!$E41="",0,Tank4!$E41),0)</f>
        <v>0</v>
      </c>
      <c r="FB341" s="8" t="s">
        <v>1021</v>
      </c>
      <c r="FC341" s="8" t="s">
        <v>1022</v>
      </c>
      <c r="FD341" s="8">
        <v>480</v>
      </c>
      <c r="FE341" s="8">
        <v>48</v>
      </c>
    </row>
    <row r="342" spans="79:161" ht="74.25" customHeight="1" x14ac:dyDescent="0.2">
      <c r="CA342">
        <f>IF(OR(CB342=0,ISNUMBER(MATCH(CB342,$CB$1:CB341,0))),0,MAX($CA$1:CA341)+1)</f>
        <v>0</v>
      </c>
      <c r="CB342" s="8">
        <f>IF(OR(Tank4!$D$18="EXTERNAL FLOATING ROOF",Tank4!$D$18="INTERNAL FLOATING ROOF"),IF(Tank4!$E42="",0,Tank4!$E42),0)</f>
        <v>0</v>
      </c>
      <c r="CE342" s="8">
        <f>IF(OR(CF342=0,ISNUMBER(MATCH(CF342,$CF$1:CF341,0))),0,MAX($CE$1:CE341)+1)</f>
        <v>0</v>
      </c>
      <c r="CF342" s="8">
        <f>IF(OR(Tank4!$D$18="HORIZONTAL FIXED ROOF",Tank4!$D$18="VERTICAL FIXED ROOF"),IF(Tank4!$E42="",0,Tank4!$E42),0)</f>
        <v>0</v>
      </c>
      <c r="FB342" s="8" t="s">
        <v>1023</v>
      </c>
      <c r="FC342" s="8" t="s">
        <v>1024</v>
      </c>
      <c r="FD342" s="8">
        <v>1100</v>
      </c>
      <c r="FE342" s="8">
        <v>9.9</v>
      </c>
    </row>
    <row r="343" spans="79:161" ht="74.25" customHeight="1" x14ac:dyDescent="0.2">
      <c r="CA343">
        <f>IF(OR(CB343=0,ISNUMBER(MATCH(CB343,$CB$1:CB342,0))),0,MAX($CA$1:CA342)+1)</f>
        <v>0</v>
      </c>
      <c r="CB343" s="8">
        <f>IF(OR(Tank4!$D$18="EXTERNAL FLOATING ROOF",Tank4!$D$18="INTERNAL FLOATING ROOF"),IF(Tank4!$E43="",0,Tank4!$E43),0)</f>
        <v>0</v>
      </c>
      <c r="CE343" s="8">
        <f>IF(OR(CF343=0,ISNUMBER(MATCH(CF343,$CF$1:CF342,0))),0,MAX($CE$1:CE342)+1)</f>
        <v>0</v>
      </c>
      <c r="CF343" s="8">
        <f>IF(OR(Tank4!$D$18="HORIZONTAL FIXED ROOF",Tank4!$D$18="VERTICAL FIXED ROOF"),IF(Tank4!$E43="",0,Tank4!$E43),0)</f>
        <v>0</v>
      </c>
      <c r="FB343" s="8" t="s">
        <v>1025</v>
      </c>
      <c r="FC343" s="8" t="s">
        <v>1026</v>
      </c>
      <c r="FD343" s="8">
        <v>4.4000000000000004</v>
      </c>
      <c r="FE343" s="8">
        <v>0.44</v>
      </c>
    </row>
    <row r="344" spans="79:161" ht="74.25" customHeight="1" x14ac:dyDescent="0.2">
      <c r="CA344">
        <f>IF(OR(CB344=0,ISNUMBER(MATCH(CB344,$CB$1:CB343,0))),0,MAX($CA$1:CA343)+1)</f>
        <v>0</v>
      </c>
      <c r="CB344" s="8">
        <f>IF(OR(Tank4!$D$18="EXTERNAL FLOATING ROOF",Tank4!$D$18="INTERNAL FLOATING ROOF"),IF(Tank4!$E44="",0,Tank4!$E44),0)</f>
        <v>0</v>
      </c>
      <c r="CE344" s="8">
        <f>IF(OR(CF344=0,ISNUMBER(MATCH(CF344,$CF$1:CF343,0))),0,MAX($CE$1:CE343)+1)</f>
        <v>0</v>
      </c>
      <c r="CF344" s="8">
        <f>IF(OR(Tank4!$D$18="HORIZONTAL FIXED ROOF",Tank4!$D$18="VERTICAL FIXED ROOF"),IF(Tank4!$E44="",0,Tank4!$E44),0)</f>
        <v>0</v>
      </c>
      <c r="FB344" s="8" t="s">
        <v>1027</v>
      </c>
      <c r="FC344" s="8" t="s">
        <v>1028</v>
      </c>
      <c r="FD344" s="8">
        <v>1000</v>
      </c>
      <c r="FE344" s="8">
        <v>100</v>
      </c>
    </row>
    <row r="345" spans="79:161" ht="74.25" customHeight="1" x14ac:dyDescent="0.2">
      <c r="CA345">
        <f>IF(OR(CB345=0,ISNUMBER(MATCH(CB345,$CB$1:CB344,0))),0,MAX($CA$1:CA344)+1)</f>
        <v>0</v>
      </c>
      <c r="CB345" s="8">
        <f>IF(OR(Tank4!$D$18="EXTERNAL FLOATING ROOF",Tank4!$D$18="INTERNAL FLOATING ROOF"),IF(Tank4!$E45="",0,Tank4!$E45),0)</f>
        <v>0</v>
      </c>
      <c r="CE345" s="8">
        <f>IF(OR(CF345=0,ISNUMBER(MATCH(CF345,$CF$1:CF344,0))),0,MAX($CE$1:CE344)+1)</f>
        <v>0</v>
      </c>
      <c r="CF345" s="8">
        <f>IF(OR(Tank4!$D$18="HORIZONTAL FIXED ROOF",Tank4!$D$18="VERTICAL FIXED ROOF"),IF(Tank4!$E45="",0,Tank4!$E45),0)</f>
        <v>0</v>
      </c>
      <c r="FB345" s="8" t="s">
        <v>1029</v>
      </c>
      <c r="FC345" s="8" t="s">
        <v>1030</v>
      </c>
      <c r="FD345" s="8">
        <v>83</v>
      </c>
      <c r="FE345" s="8">
        <v>8.3000000000000007</v>
      </c>
    </row>
    <row r="346" spans="79:161" ht="74.25" customHeight="1" x14ac:dyDescent="0.2">
      <c r="CA346">
        <f>IF(OR(CB346=0,ISNUMBER(MATCH(CB346,$CB$1:CB345,0))),0,MAX($CA$1:CA345)+1)</f>
        <v>0</v>
      </c>
      <c r="CB346" s="8">
        <f>IF(OR(Tank4!$D$18="EXTERNAL FLOATING ROOF",Tank4!$D$18="INTERNAL FLOATING ROOF"),IF(Tank4!$E46="",0,Tank4!$E46),0)</f>
        <v>0</v>
      </c>
      <c r="CE346" s="8">
        <f>IF(OR(CF346=0,ISNUMBER(MATCH(CF346,$CF$1:CF345,0))),0,MAX($CE$1:CE345)+1)</f>
        <v>0</v>
      </c>
      <c r="CF346" s="8">
        <f>IF(OR(Tank4!$D$18="HORIZONTAL FIXED ROOF",Tank4!$D$18="VERTICAL FIXED ROOF"),IF(Tank4!$E46="",0,Tank4!$E46),0)</f>
        <v>0</v>
      </c>
      <c r="FB346" s="8" t="s">
        <v>1031</v>
      </c>
      <c r="FC346" s="8" t="s">
        <v>1032</v>
      </c>
      <c r="FD346" s="8">
        <v>20</v>
      </c>
      <c r="FE346" s="8">
        <v>2</v>
      </c>
    </row>
    <row r="347" spans="79:161" ht="74.25" customHeight="1" x14ac:dyDescent="0.2">
      <c r="CA347">
        <f>IF(OR(CB347=0,ISNUMBER(MATCH(CB347,$CB$1:CB346,0))),0,MAX($CA$1:CA346)+1)</f>
        <v>0</v>
      </c>
      <c r="CB347" s="8">
        <f>IF(OR(Tank4!$D$18="EXTERNAL FLOATING ROOF",Tank4!$D$18="INTERNAL FLOATING ROOF"),IF(Tank4!$E47="",0,Tank4!$E47),0)</f>
        <v>0</v>
      </c>
      <c r="CE347" s="8">
        <f>IF(OR(CF347=0,ISNUMBER(MATCH(CF347,$CF$1:CF346,0))),0,MAX($CE$1:CE346)+1)</f>
        <v>0</v>
      </c>
      <c r="CF347" s="8">
        <f>IF(OR(Tank4!$D$18="HORIZONTAL FIXED ROOF",Tank4!$D$18="VERTICAL FIXED ROOF"),IF(Tank4!$E47="",0,Tank4!$E47),0)</f>
        <v>0</v>
      </c>
      <c r="FB347" s="8" t="s">
        <v>1033</v>
      </c>
      <c r="FC347" s="8" t="s">
        <v>1034</v>
      </c>
      <c r="FD347" s="8">
        <v>200</v>
      </c>
      <c r="FE347" s="8">
        <v>20</v>
      </c>
    </row>
    <row r="348" spans="79:161" ht="74.25" customHeight="1" x14ac:dyDescent="0.2">
      <c r="CA348">
        <f>IF(OR(CB348=0,ISNUMBER(MATCH(CB348,$CB$1:CB347,0))),0,MAX($CA$1:CA347)+1)</f>
        <v>0</v>
      </c>
      <c r="CB348" s="8">
        <f>IF(OR(Tank4!$D$18="EXTERNAL FLOATING ROOF",Tank4!$D$18="INTERNAL FLOATING ROOF"),IF(Tank4!$E48="",0,Tank4!$E48),0)</f>
        <v>0</v>
      </c>
      <c r="CE348" s="8">
        <f>IF(OR(CF348=0,ISNUMBER(MATCH(CF348,$CF$1:CF347,0))),0,MAX($CE$1:CE347)+1)</f>
        <v>0</v>
      </c>
      <c r="CF348" s="8">
        <f>IF(OR(Tank4!$D$18="HORIZONTAL FIXED ROOF",Tank4!$D$18="VERTICAL FIXED ROOF"),IF(Tank4!$E48="",0,Tank4!$E48),0)</f>
        <v>0</v>
      </c>
      <c r="FB348" s="8" t="s">
        <v>1035</v>
      </c>
      <c r="FC348" s="8" t="s">
        <v>1036</v>
      </c>
      <c r="FD348" s="8">
        <v>50</v>
      </c>
      <c r="FE348" s="8">
        <v>5</v>
      </c>
    </row>
    <row r="349" spans="79:161" ht="74.25" customHeight="1" x14ac:dyDescent="0.2">
      <c r="CA349">
        <f>IF(OR(CB349=0,ISNUMBER(MATCH(CB349,$CB$1:CB348,0))),0,MAX($CA$1:CA348)+1)</f>
        <v>0</v>
      </c>
      <c r="CB349" s="8">
        <f>IF(OR(Tank4!$D$18="EXTERNAL FLOATING ROOF",Tank4!$D$18="INTERNAL FLOATING ROOF"),IF(Tank4!$E49="",0,Tank4!$E49),0)</f>
        <v>0</v>
      </c>
      <c r="CE349" s="8">
        <f>IF(OR(CF349=0,ISNUMBER(MATCH(CF349,$CF$1:CF348,0))),0,MAX($CE$1:CE348)+1)</f>
        <v>0</v>
      </c>
      <c r="CF349" s="8">
        <f>IF(OR(Tank4!$D$18="HORIZONTAL FIXED ROOF",Tank4!$D$18="VERTICAL FIXED ROOF"),IF(Tank4!$E49="",0,Tank4!$E49),0)</f>
        <v>0</v>
      </c>
      <c r="FB349" s="8" t="s">
        <v>1037</v>
      </c>
      <c r="FC349" s="8" t="s">
        <v>1038</v>
      </c>
      <c r="FD349" s="8">
        <v>50</v>
      </c>
      <c r="FE349" s="8">
        <v>5</v>
      </c>
    </row>
    <row r="350" spans="79:161" ht="74.25" customHeight="1" x14ac:dyDescent="0.2">
      <c r="CA350">
        <f>IF(OR(CB350=0,ISNUMBER(MATCH(CB350,$CB$1:CB349,0))),0,MAX($CA$1:CA349)+1)</f>
        <v>0</v>
      </c>
      <c r="CB350" s="8">
        <f>IF(OR(Tank4!$D$18="EXTERNAL FLOATING ROOF",Tank4!$D$18="INTERNAL FLOATING ROOF"),IF(Tank4!$E50="",0,Tank4!$E50),0)</f>
        <v>0</v>
      </c>
      <c r="CE350" s="8">
        <f>IF(OR(CF350=0,ISNUMBER(MATCH(CF350,$CF$1:CF349,0))),0,MAX($CE$1:CE349)+1)</f>
        <v>0</v>
      </c>
      <c r="CF350" s="8">
        <f>IF(OR(Tank4!$D$18="HORIZONTAL FIXED ROOF",Tank4!$D$18="VERTICAL FIXED ROOF"),IF(Tank4!$E50="",0,Tank4!$E50),0)</f>
        <v>0</v>
      </c>
      <c r="FB350" s="8" t="s">
        <v>1039</v>
      </c>
      <c r="FC350" s="8" t="s">
        <v>1040</v>
      </c>
      <c r="FD350" s="8">
        <v>25</v>
      </c>
      <c r="FE350" s="8">
        <v>2.5</v>
      </c>
    </row>
    <row r="351" spans="79:161" ht="74.25" customHeight="1" x14ac:dyDescent="0.2">
      <c r="CA351">
        <f>IF(OR(CB351=0,ISNUMBER(MATCH(CB351,$CB$1:CB350,0))),0,MAX($CA$1:CA350)+1)</f>
        <v>0</v>
      </c>
      <c r="CB351" s="8">
        <f>IF(OR(Tank4!$D$18="EXTERNAL FLOATING ROOF",Tank4!$D$18="INTERNAL FLOATING ROOF"),IF(Tank4!$E51="",0,Tank4!$E51),0)</f>
        <v>0</v>
      </c>
      <c r="CE351" s="8">
        <f>IF(OR(CF351=0,ISNUMBER(MATCH(CF351,$CF$1:CF350,0))),0,MAX($CE$1:CE350)+1)</f>
        <v>0</v>
      </c>
      <c r="CF351" s="8">
        <f>IF(OR(Tank4!$D$18="HORIZONTAL FIXED ROOF",Tank4!$D$18="VERTICAL FIXED ROOF"),IF(Tank4!$E51="",0,Tank4!$E51),0)</f>
        <v>0</v>
      </c>
      <c r="FB351" s="8" t="s">
        <v>1041</v>
      </c>
      <c r="FC351" s="8" t="s">
        <v>1042</v>
      </c>
      <c r="FD351" s="8">
        <v>1000</v>
      </c>
      <c r="FE351" s="8">
        <v>100</v>
      </c>
    </row>
    <row r="352" spans="79:161" ht="74.25" customHeight="1" x14ac:dyDescent="0.2">
      <c r="CA352">
        <f>IF(OR(CB352=0,ISNUMBER(MATCH(CB352,$CB$1:CB351,0))),0,MAX($CA$1:CA351)+1)</f>
        <v>0</v>
      </c>
      <c r="CB352" s="8">
        <f>IF(OR(Tank4!$D$18="EXTERNAL FLOATING ROOF",Tank4!$D$18="INTERNAL FLOATING ROOF"),IF(Tank4!$E52="",0,Tank4!$E52),0)</f>
        <v>0</v>
      </c>
      <c r="CE352" s="8">
        <f>IF(OR(CF352=0,ISNUMBER(MATCH(CF352,$CF$1:CF351,0))),0,MAX($CE$1:CE351)+1)</f>
        <v>0</v>
      </c>
      <c r="CF352" s="8">
        <f>IF(OR(Tank4!$D$18="HORIZONTAL FIXED ROOF",Tank4!$D$18="VERTICAL FIXED ROOF"),IF(Tank4!$E52="",0,Tank4!$E52),0)</f>
        <v>0</v>
      </c>
      <c r="FB352" s="8" t="s">
        <v>1043</v>
      </c>
      <c r="FC352" s="8" t="s">
        <v>1044</v>
      </c>
      <c r="FD352" s="8">
        <v>10</v>
      </c>
      <c r="FE352" s="8">
        <v>1</v>
      </c>
    </row>
    <row r="353" spans="79:161" ht="74.25" customHeight="1" x14ac:dyDescent="0.2">
      <c r="CA353">
        <f>IF(OR(CB353=0,ISNUMBER(MATCH(CB353,$CB$1:CB352,0))),0,MAX($CA$1:CA352)+1)</f>
        <v>0</v>
      </c>
      <c r="CB353" s="8">
        <f>IF(OR(Tank4!$D$18="EXTERNAL FLOATING ROOF",Tank4!$D$18="INTERNAL FLOATING ROOF"),IF(Tank4!$E53="",0,Tank4!$E53),0)</f>
        <v>0</v>
      </c>
      <c r="CE353" s="8">
        <f>IF(OR(CF353=0,ISNUMBER(MATCH(CF353,$CF$1:CF352,0))),0,MAX($CE$1:CE352)+1)</f>
        <v>0</v>
      </c>
      <c r="CF353" s="8">
        <f>IF(OR(Tank4!$D$18="HORIZONTAL FIXED ROOF",Tank4!$D$18="VERTICAL FIXED ROOF"),IF(Tank4!$E53="",0,Tank4!$E53),0)</f>
        <v>0</v>
      </c>
      <c r="FB353" s="8" t="s">
        <v>1045</v>
      </c>
      <c r="FC353" s="8" t="s">
        <v>1046</v>
      </c>
      <c r="FD353" s="8">
        <v>540</v>
      </c>
      <c r="FE353" s="8">
        <v>54</v>
      </c>
    </row>
    <row r="354" spans="79:161" ht="74.25" customHeight="1" x14ac:dyDescent="0.2">
      <c r="CA354">
        <f>IF(OR(CB354=0,ISNUMBER(MATCH(CB354,$CB$1:CB353,0))),0,MAX($CA$1:CA353)+1)</f>
        <v>0</v>
      </c>
      <c r="CB354" s="8">
        <f>IF(OR(Tank4!$D$18="EXTERNAL FLOATING ROOF",Tank4!$D$18="INTERNAL FLOATING ROOF"),IF(Tank4!$E54="",0,Tank4!$E54),0)</f>
        <v>0</v>
      </c>
      <c r="CE354" s="8">
        <f>IF(OR(CF354=0,ISNUMBER(MATCH(CF354,$CF$1:CF353,0))),0,MAX($CE$1:CE353)+1)</f>
        <v>0</v>
      </c>
      <c r="CF354" s="8">
        <f>IF(OR(Tank4!$D$18="HORIZONTAL FIXED ROOF",Tank4!$D$18="VERTICAL FIXED ROOF"),IF(Tank4!$E54="",0,Tank4!$E54),0)</f>
        <v>0</v>
      </c>
      <c r="FB354" s="8" t="s">
        <v>1047</v>
      </c>
      <c r="FC354" s="8" t="s">
        <v>1048</v>
      </c>
      <c r="FD354" s="8">
        <v>540</v>
      </c>
      <c r="FE354" s="8">
        <v>54</v>
      </c>
    </row>
    <row r="355" spans="79:161" ht="74.25" customHeight="1" x14ac:dyDescent="0.2">
      <c r="CA355">
        <f>IF(OR(CB355=0,ISNUMBER(MATCH(CB355,$CB$1:CB354,0))),0,MAX($CA$1:CA354)+1)</f>
        <v>0</v>
      </c>
      <c r="CB355" s="8">
        <f>IF(OR(Tank4!$D$18="EXTERNAL FLOATING ROOF",Tank4!$D$18="INTERNAL FLOATING ROOF"),IF(Tank4!$E55="",0,Tank4!$E55),0)</f>
        <v>0</v>
      </c>
      <c r="CE355" s="8">
        <f>IF(OR(CF355=0,ISNUMBER(MATCH(CF355,$CF$1:CF354,0))),0,MAX($CE$1:CE354)+1)</f>
        <v>0</v>
      </c>
      <c r="CF355" s="8">
        <f>IF(OR(Tank4!$D$18="HORIZONTAL FIXED ROOF",Tank4!$D$18="VERTICAL FIXED ROOF"),IF(Tank4!$E55="",0,Tank4!$E55),0)</f>
        <v>0</v>
      </c>
      <c r="FB355" s="8" t="s">
        <v>1049</v>
      </c>
      <c r="FC355" s="8" t="s">
        <v>1050</v>
      </c>
      <c r="FD355" s="8">
        <v>2000</v>
      </c>
      <c r="FE355" s="8">
        <v>200</v>
      </c>
    </row>
    <row r="356" spans="79:161" ht="74.25" customHeight="1" x14ac:dyDescent="0.2">
      <c r="CA356">
        <f>IF(OR(CB356=0,ISNUMBER(MATCH(CB356,$CB$1:CB355,0))),0,MAX($CA$1:CA355)+1)</f>
        <v>0</v>
      </c>
      <c r="CB356" s="8">
        <f>IF(OR(Tank4!$D$18="EXTERNAL FLOATING ROOF",Tank4!$D$18="INTERNAL FLOATING ROOF"),IF(Tank4!$E56="",0,Tank4!$E56),0)</f>
        <v>0</v>
      </c>
      <c r="CE356" s="8">
        <f>IF(OR(CF356=0,ISNUMBER(MATCH(CF356,$CF$1:CF355,0))),0,MAX($CE$1:CE355)+1)</f>
        <v>0</v>
      </c>
      <c r="CF356" s="8">
        <f>IF(OR(Tank4!$D$18="HORIZONTAL FIXED ROOF",Tank4!$D$18="VERTICAL FIXED ROOF"),IF(Tank4!$E56="",0,Tank4!$E56),0)</f>
        <v>0</v>
      </c>
      <c r="FB356" s="8" t="s">
        <v>1051</v>
      </c>
      <c r="FC356" s="8" t="s">
        <v>1052</v>
      </c>
      <c r="FD356" s="8">
        <v>2800</v>
      </c>
      <c r="FE356" s="8">
        <v>110</v>
      </c>
    </row>
    <row r="357" spans="79:161" ht="74.25" customHeight="1" x14ac:dyDescent="0.2">
      <c r="CA357">
        <f>IF(OR(CB357=0,ISNUMBER(MATCH(CB357,$CB$1:CB356,0))),0,MAX($CA$1:CA356)+1)</f>
        <v>0</v>
      </c>
      <c r="CB357" s="8">
        <f>IF(OR(Tank4!$D$18="EXTERNAL FLOATING ROOF",Tank4!$D$18="INTERNAL FLOATING ROOF"),IF(Tank4!$E57="",0,Tank4!$E57),0)</f>
        <v>0</v>
      </c>
      <c r="CE357" s="8">
        <f>IF(OR(CF357=0,ISNUMBER(MATCH(CF357,$CF$1:CF356,0))),0,MAX($CE$1:CE356)+1)</f>
        <v>0</v>
      </c>
      <c r="CF357" s="8">
        <f>IF(OR(Tank4!$D$18="HORIZONTAL FIXED ROOF",Tank4!$D$18="VERTICAL FIXED ROOF"),IF(Tank4!$E57="",0,Tank4!$E57),0)</f>
        <v>0</v>
      </c>
      <c r="FB357" s="8" t="s">
        <v>1053</v>
      </c>
      <c r="FC357" s="8" t="s">
        <v>1054</v>
      </c>
      <c r="FD357" s="8">
        <v>2.7</v>
      </c>
      <c r="FE357" s="8">
        <v>1.8</v>
      </c>
    </row>
    <row r="358" spans="79:161" ht="74.25" customHeight="1" x14ac:dyDescent="0.2">
      <c r="CA358">
        <f>IF(OR(CB358=0,ISNUMBER(MATCH(CB358,$CB$1:CB357,0))),0,MAX($CA$1:CA357)+1)</f>
        <v>0</v>
      </c>
      <c r="CB358" s="8">
        <f>IF(OR(Tank4!$D$18="EXTERNAL FLOATING ROOF",Tank4!$D$18="INTERNAL FLOATING ROOF"),IF(Tank4!$E58="",0,Tank4!$E58),0)</f>
        <v>0</v>
      </c>
      <c r="CE358" s="8">
        <f>IF(OR(CF358=0,ISNUMBER(MATCH(CF358,$CF$1:CF357,0))),0,MAX($CE$1:CE357)+1)</f>
        <v>0</v>
      </c>
      <c r="CF358" s="8">
        <f>IF(OR(Tank4!$D$18="HORIZONTAL FIXED ROOF",Tank4!$D$18="VERTICAL FIXED ROOF"),IF(Tank4!$E58="",0,Tank4!$E58),0)</f>
        <v>0</v>
      </c>
      <c r="FB358" s="8" t="s">
        <v>1055</v>
      </c>
      <c r="FC358" s="8" t="s">
        <v>1056</v>
      </c>
      <c r="FD358" s="8">
        <v>610</v>
      </c>
      <c r="FE358" s="8">
        <v>61</v>
      </c>
    </row>
    <row r="359" spans="79:161" ht="74.25" customHeight="1" x14ac:dyDescent="0.2">
      <c r="CA359">
        <f>IF(OR(CB359=0,ISNUMBER(MATCH(CB359,$CB$1:CB358,0))),0,MAX($CA$1:CA358)+1)</f>
        <v>0</v>
      </c>
      <c r="CB359" s="8">
        <f>IF(OR(Tank4!$D$18="EXTERNAL FLOATING ROOF",Tank4!$D$18="INTERNAL FLOATING ROOF"),IF(Tank4!$E59="",0,Tank4!$E59),0)</f>
        <v>0</v>
      </c>
      <c r="CE359" s="8">
        <f>IF(OR(CF359=0,ISNUMBER(MATCH(CF359,$CF$1:CF358,0))),0,MAX($CE$1:CE358)+1)</f>
        <v>0</v>
      </c>
      <c r="CF359" s="8">
        <f>IF(OR(Tank4!$D$18="HORIZONTAL FIXED ROOF",Tank4!$D$18="VERTICAL FIXED ROOF"),IF(Tank4!$E59="",0,Tank4!$E59),0)</f>
        <v>0</v>
      </c>
      <c r="FB359" s="8" t="s">
        <v>1057</v>
      </c>
      <c r="FC359" s="8" t="s">
        <v>1058</v>
      </c>
      <c r="FD359" s="8">
        <v>16400</v>
      </c>
      <c r="FE359" s="8">
        <v>1640</v>
      </c>
    </row>
    <row r="360" spans="79:161" ht="74.25" customHeight="1" x14ac:dyDescent="0.2">
      <c r="CA360">
        <f>IF(OR(CB360=0,ISNUMBER(MATCH(CB360,$CB$1:CB359,0))),0,MAX($CA$1:CA359)+1)</f>
        <v>0</v>
      </c>
      <c r="CB360" s="8">
        <f>IF(OR(Tank4!$D$18="EXTERNAL FLOATING ROOF",Tank4!$D$18="INTERNAL FLOATING ROOF"),IF(Tank4!$E60="",0,Tank4!$E60),0)</f>
        <v>0</v>
      </c>
      <c r="CE360" s="8">
        <f>IF(OR(CF360=0,ISNUMBER(MATCH(CF360,$CF$1:CF359,0))),0,MAX($CE$1:CE359)+1)</f>
        <v>0</v>
      </c>
      <c r="CF360" s="8">
        <f>IF(OR(Tank4!$D$18="HORIZONTAL FIXED ROOF",Tank4!$D$18="VERTICAL FIXED ROOF"),IF(Tank4!$E60="",0,Tank4!$E60),0)</f>
        <v>0</v>
      </c>
      <c r="FB360" s="8" t="s">
        <v>1059</v>
      </c>
      <c r="FC360" s="8" t="s">
        <v>1060</v>
      </c>
      <c r="FD360" s="8">
        <v>19000</v>
      </c>
      <c r="FE360" s="8">
        <v>1600</v>
      </c>
    </row>
    <row r="361" spans="79:161" ht="74.25" customHeight="1" x14ac:dyDescent="0.2">
      <c r="CA361">
        <f>IF(OR(CB361=0,ISNUMBER(MATCH(CB361,$CB$1:CB360,0))),0,MAX($CA$1:CA360)+1)</f>
        <v>0</v>
      </c>
      <c r="CB361" s="8">
        <f>IF(OR(Tank4!$D$18="EXTERNAL FLOATING ROOF",Tank4!$D$18="INTERNAL FLOATING ROOF"),IF(Tank4!$E61="",0,Tank4!$E61),0)</f>
        <v>0</v>
      </c>
      <c r="CE361" s="8">
        <f>IF(OR(CF361=0,ISNUMBER(MATCH(CF361,$CF$1:CF360,0))),0,MAX($CE$1:CE360)+1)</f>
        <v>0</v>
      </c>
      <c r="CF361" s="8">
        <f>IF(OR(Tank4!$D$18="HORIZONTAL FIXED ROOF",Tank4!$D$18="VERTICAL FIXED ROOF"),IF(Tank4!$E61="",0,Tank4!$E61),0)</f>
        <v>0</v>
      </c>
      <c r="FB361" s="8" t="s">
        <v>1061</v>
      </c>
      <c r="FC361" s="8" t="s">
        <v>1062</v>
      </c>
      <c r="FD361" s="8">
        <v>1000</v>
      </c>
      <c r="FE361" s="8">
        <v>100</v>
      </c>
    </row>
    <row r="362" spans="79:161" ht="74.25" customHeight="1" x14ac:dyDescent="0.2">
      <c r="CA362">
        <f>IF(OR(CB362=0,ISNUMBER(MATCH(CB362,$CB$1:CB361,0))),0,MAX($CA$1:CA361)+1)</f>
        <v>0</v>
      </c>
      <c r="CB362" s="8">
        <f>IF(OR(Tank4!$D$18="EXTERNAL FLOATING ROOF",Tank4!$D$18="INTERNAL FLOATING ROOF"),IF(Tank4!$E62="",0,Tank4!$E62),0)</f>
        <v>0</v>
      </c>
      <c r="CE362" s="8">
        <f>IF(OR(CF362=0,ISNUMBER(MATCH(CF362,$CF$1:CF361,0))),0,MAX($CE$1:CE361)+1)</f>
        <v>0</v>
      </c>
      <c r="CF362" s="8">
        <f>IF(OR(Tank4!$D$18="HORIZONTAL FIXED ROOF",Tank4!$D$18="VERTICAL FIXED ROOF"),IF(Tank4!$E62="",0,Tank4!$E62),0)</f>
        <v>0</v>
      </c>
      <c r="FB362" s="8" t="s">
        <v>1063</v>
      </c>
      <c r="FC362" s="8" t="s">
        <v>1064</v>
      </c>
      <c r="FD362" s="8">
        <v>840</v>
      </c>
      <c r="FE362" s="8">
        <v>84</v>
      </c>
    </row>
    <row r="363" spans="79:161" ht="74.25" customHeight="1" x14ac:dyDescent="0.2">
      <c r="CA363">
        <f>IF(OR(CB363=0,ISNUMBER(MATCH(CB363,$CB$1:CB362,0))),0,MAX($CA$1:CA362)+1)</f>
        <v>0</v>
      </c>
      <c r="CB363" s="8">
        <f>IF(OR(Tank4!$D$18="EXTERNAL FLOATING ROOF",Tank4!$D$18="INTERNAL FLOATING ROOF"),IF(Tank4!$E63="",0,Tank4!$E63),0)</f>
        <v>0</v>
      </c>
      <c r="CE363" s="8">
        <f>IF(OR(CF363=0,ISNUMBER(MATCH(CF363,$CF$1:CF362,0))),0,MAX($CE$1:CE362)+1)</f>
        <v>0</v>
      </c>
      <c r="CF363" s="8">
        <f>IF(OR(Tank4!$D$18="HORIZONTAL FIXED ROOF",Tank4!$D$18="VERTICAL FIXED ROOF"),IF(Tank4!$E63="",0,Tank4!$E63),0)</f>
        <v>0</v>
      </c>
      <c r="FB363" s="8" t="s">
        <v>9886</v>
      </c>
      <c r="FC363" s="8" t="s">
        <v>9886</v>
      </c>
      <c r="FD363" s="8">
        <v>1000</v>
      </c>
      <c r="FE363" s="8">
        <v>100</v>
      </c>
    </row>
    <row r="364" spans="79:161" ht="74.25" customHeight="1" x14ac:dyDescent="0.2">
      <c r="CA364">
        <f>IF(OR(CB364=0,ISNUMBER(MATCH(CB364,$CB$1:CB363,0))),0,MAX($CA$1:CA363)+1)</f>
        <v>0</v>
      </c>
      <c r="CB364" s="8">
        <f>IF(OR(Tank4!$D$18="EXTERNAL FLOATING ROOF",Tank4!$D$18="INTERNAL FLOATING ROOF"),IF(Tank4!$E64="",0,Tank4!$E64),0)</f>
        <v>0</v>
      </c>
      <c r="CE364" s="8">
        <f>IF(OR(CF364=0,ISNUMBER(MATCH(CF364,$CF$1:CF363,0))),0,MAX($CE$1:CE363)+1)</f>
        <v>0</v>
      </c>
      <c r="CF364" s="8">
        <f>IF(OR(Tank4!$D$18="HORIZONTAL FIXED ROOF",Tank4!$D$18="VERTICAL FIXED ROOF"),IF(Tank4!$E64="",0,Tank4!$E64),0)</f>
        <v>0</v>
      </c>
      <c r="FB364" s="8" t="s">
        <v>1066</v>
      </c>
      <c r="FC364" s="8" t="s">
        <v>1067</v>
      </c>
      <c r="FD364" s="8">
        <v>8200</v>
      </c>
      <c r="FE364" s="8">
        <v>820</v>
      </c>
    </row>
    <row r="365" spans="79:161" ht="74.25" customHeight="1" x14ac:dyDescent="0.2">
      <c r="CA365">
        <f>IF(OR(CB365=0,ISNUMBER(MATCH(CB365,$CB$1:CB364,0))),0,MAX($CA$1:CA364)+1)</f>
        <v>0</v>
      </c>
      <c r="CB365" s="8">
        <f>IF(OR(Tank4!$D$18="EXTERNAL FLOATING ROOF",Tank4!$D$18="INTERNAL FLOATING ROOF"),IF(Tank4!$E65="",0,Tank4!$E65),0)</f>
        <v>0</v>
      </c>
      <c r="CE365" s="8">
        <f>IF(OR(CF365=0,ISNUMBER(MATCH(CF365,$CF$1:CF364,0))),0,MAX($CE$1:CE364)+1)</f>
        <v>0</v>
      </c>
      <c r="CF365" s="8">
        <f>IF(OR(Tank4!$D$18="HORIZONTAL FIXED ROOF",Tank4!$D$18="VERTICAL FIXED ROOF"),IF(Tank4!$E65="",0,Tank4!$E65),0)</f>
        <v>0</v>
      </c>
      <c r="FB365" s="8" t="s">
        <v>1068</v>
      </c>
      <c r="FC365" s="8" t="s">
        <v>1069</v>
      </c>
      <c r="FD365" s="8">
        <v>2700</v>
      </c>
      <c r="FE365" s="8">
        <v>270</v>
      </c>
    </row>
    <row r="366" spans="79:161" ht="74.25" customHeight="1" x14ac:dyDescent="0.2">
      <c r="CA366">
        <f>IF(OR(CB366=0,ISNUMBER(MATCH(CB366,$CB$1:CB365,0))),0,MAX($CA$1:CA365)+1)</f>
        <v>0</v>
      </c>
      <c r="CB366" s="8">
        <f>IF(OR(Tank4!$D$18="EXTERNAL FLOATING ROOF",Tank4!$D$18="INTERNAL FLOATING ROOF"),IF(Tank4!$E66="",0,Tank4!$E66),0)</f>
        <v>0</v>
      </c>
      <c r="CE366" s="8">
        <f>IF(OR(CF366=0,ISNUMBER(MATCH(CF366,$CF$1:CF365,0))),0,MAX($CE$1:CE365)+1)</f>
        <v>0</v>
      </c>
      <c r="CF366" s="8">
        <f>IF(OR(Tank4!$D$18="HORIZONTAL FIXED ROOF",Tank4!$D$18="VERTICAL FIXED ROOF"),IF(Tank4!$E66="",0,Tank4!$E66),0)</f>
        <v>0</v>
      </c>
      <c r="FB366" s="8" t="s">
        <v>1070</v>
      </c>
      <c r="FC366" s="8" t="s">
        <v>1071</v>
      </c>
      <c r="FD366" s="8">
        <v>8200</v>
      </c>
      <c r="FE366" s="8">
        <v>820</v>
      </c>
    </row>
    <row r="367" spans="79:161" ht="74.25" customHeight="1" x14ac:dyDescent="0.2">
      <c r="CA367">
        <f>IF(OR(CB367=0,ISNUMBER(MATCH(CB367,$CB$1:CB366,0))),0,MAX($CA$1:CA366)+1)</f>
        <v>0</v>
      </c>
      <c r="CB367" s="8">
        <f>IF(OR(Tank4!$D$18="EXTERNAL FLOATING ROOF",Tank4!$D$18="INTERNAL FLOATING ROOF"),IF(Tank4!$E67="",0,Tank4!$E67),0)</f>
        <v>0</v>
      </c>
      <c r="CE367" s="8">
        <f>IF(OR(CF367=0,ISNUMBER(MATCH(CF367,$CF$1:CF366,0))),0,MAX($CE$1:CE366)+1)</f>
        <v>0</v>
      </c>
      <c r="CF367" s="8">
        <f>IF(OR(Tank4!$D$18="HORIZONTAL FIXED ROOF",Tank4!$D$18="VERTICAL FIXED ROOF"),IF(Tank4!$E67="",0,Tank4!$E67),0)</f>
        <v>0</v>
      </c>
      <c r="FB367" s="8" t="s">
        <v>1072</v>
      </c>
      <c r="FC367" s="8" t="s">
        <v>1073</v>
      </c>
      <c r="FD367" s="8">
        <v>600</v>
      </c>
      <c r="FE367" s="8">
        <v>20</v>
      </c>
    </row>
    <row r="368" spans="79:161" ht="74.25" customHeight="1" x14ac:dyDescent="0.2">
      <c r="CA368">
        <f>IF(OR(CB368=0,ISNUMBER(MATCH(CB368,$CB$1:CB367,0))),0,MAX($CA$1:CA367)+1)</f>
        <v>0</v>
      </c>
      <c r="CB368" s="8">
        <f>IF(OR(Tank4!$D$18="EXTERNAL FLOATING ROOF",Tank4!$D$18="INTERNAL FLOATING ROOF"),IF(Tank4!$E68="",0,Tank4!$E68),0)</f>
        <v>0</v>
      </c>
      <c r="CE368" s="8">
        <f>IF(OR(CF368=0,ISNUMBER(MATCH(CF368,$CF$1:CF367,0))),0,MAX($CE$1:CE367)+1)</f>
        <v>0</v>
      </c>
      <c r="CF368" s="8">
        <f>IF(OR(Tank4!$D$18="HORIZONTAL FIXED ROOF",Tank4!$D$18="VERTICAL FIXED ROOF"),IF(Tank4!$E68="",0,Tank4!$E68),0)</f>
        <v>0</v>
      </c>
      <c r="FB368" s="8" t="s">
        <v>1074</v>
      </c>
      <c r="FC368" s="8" t="s">
        <v>1075</v>
      </c>
      <c r="FD368" s="8">
        <v>1030</v>
      </c>
      <c r="FE368" s="8">
        <v>103</v>
      </c>
    </row>
    <row r="369" spans="79:161" ht="74.25" customHeight="1" x14ac:dyDescent="0.2">
      <c r="CA369">
        <f>IF(OR(CB369=0,ISNUMBER(MATCH(CB369,$CB$1:CB368,0))),0,MAX($CA$1:CA368)+1)</f>
        <v>0</v>
      </c>
      <c r="CB369" s="8">
        <f>IF(OR(Tank4!$D$18="EXTERNAL FLOATING ROOF",Tank4!$D$18="INTERNAL FLOATING ROOF"),IF(Tank4!$E69="",0,Tank4!$E69),0)</f>
        <v>0</v>
      </c>
      <c r="CE369" s="8">
        <f>IF(OR(CF369=0,ISNUMBER(MATCH(CF369,$CF$1:CF368,0))),0,MAX($CE$1:CE368)+1)</f>
        <v>0</v>
      </c>
      <c r="CF369" s="8">
        <f>IF(OR(Tank4!$D$18="HORIZONTAL FIXED ROOF",Tank4!$D$18="VERTICAL FIXED ROOF"),IF(Tank4!$E69="",0,Tank4!$E69),0)</f>
        <v>0</v>
      </c>
      <c r="FB369" s="8" t="s">
        <v>1076</v>
      </c>
      <c r="FC369" s="8" t="s">
        <v>1077</v>
      </c>
      <c r="FD369" s="8">
        <v>40</v>
      </c>
      <c r="FE369" s="8">
        <v>4</v>
      </c>
    </row>
    <row r="370" spans="79:161" ht="74.25" customHeight="1" x14ac:dyDescent="0.2">
      <c r="CA370">
        <f>IF(OR(CB370=0,ISNUMBER(MATCH(CB370,$CB$1:CB369,0))),0,MAX($CA$1:CA369)+1)</f>
        <v>0</v>
      </c>
      <c r="CB370" s="8">
        <f>IF(OR(Tank4!$D$18="EXTERNAL FLOATING ROOF",Tank4!$D$18="INTERNAL FLOATING ROOF"),IF(Tank4!$E70="",0,Tank4!$E70),0)</f>
        <v>0</v>
      </c>
      <c r="CE370" s="8">
        <f>IF(OR(CF370=0,ISNUMBER(MATCH(CF370,$CF$1:CF369,0))),0,MAX($CE$1:CE369)+1)</f>
        <v>0</v>
      </c>
      <c r="CF370" s="8">
        <f>IF(OR(Tank4!$D$18="HORIZONTAL FIXED ROOF",Tank4!$D$18="VERTICAL FIXED ROOF"),IF(Tank4!$E70="",0,Tank4!$E70),0)</f>
        <v>0</v>
      </c>
      <c r="FB370" s="8" t="s">
        <v>1078</v>
      </c>
      <c r="FC370" s="8" t="s">
        <v>1079</v>
      </c>
      <c r="FD370" s="8">
        <v>10000</v>
      </c>
      <c r="FE370" s="8">
        <v>1000</v>
      </c>
    </row>
    <row r="371" spans="79:161" ht="74.25" customHeight="1" x14ac:dyDescent="0.2">
      <c r="CA371">
        <f>IF(OR(CB371=0,ISNUMBER(MATCH(CB371,$CB$1:CB370,0))),0,MAX($CA$1:CA370)+1)</f>
        <v>0</v>
      </c>
      <c r="CB371" s="8">
        <f>IF(OR(Tank4!$D$18="EXTERNAL FLOATING ROOF",Tank4!$D$18="INTERNAL FLOATING ROOF"),IF(Tank4!$E71="",0,Tank4!$E71),0)</f>
        <v>0</v>
      </c>
      <c r="CE371" s="8">
        <f>IF(OR(CF371=0,ISNUMBER(MATCH(CF371,$CF$1:CF370,0))),0,MAX($CE$1:CE370)+1)</f>
        <v>0</v>
      </c>
      <c r="CF371" s="8">
        <f>IF(OR(Tank4!$D$18="HORIZONTAL FIXED ROOF",Tank4!$D$18="VERTICAL FIXED ROOF"),IF(Tank4!$E71="",0,Tank4!$E71),0)</f>
        <v>0</v>
      </c>
      <c r="FB371" s="8" t="s">
        <v>1080</v>
      </c>
      <c r="FC371" s="8" t="s">
        <v>1081</v>
      </c>
      <c r="FD371" s="8">
        <v>1830</v>
      </c>
      <c r="FE371" s="8">
        <v>183</v>
      </c>
    </row>
    <row r="372" spans="79:161" ht="74.25" customHeight="1" x14ac:dyDescent="0.2">
      <c r="CA372">
        <f>IF(OR(CB372=0,ISNUMBER(MATCH(CB372,$CB$1:CB371,0))),0,MAX($CA$1:CA371)+1)</f>
        <v>0</v>
      </c>
      <c r="CB372" s="8">
        <f>IF(OR(Tank4!$D$18="EXTERNAL FLOATING ROOF",Tank4!$D$18="INTERNAL FLOATING ROOF"),IF(Tank4!$E72="",0,Tank4!$E72),0)</f>
        <v>0</v>
      </c>
      <c r="CE372" s="8">
        <f>IF(OR(CF372=0,ISNUMBER(MATCH(CF372,$CF$1:CF371,0))),0,MAX($CE$1:CE371)+1)</f>
        <v>0</v>
      </c>
      <c r="CF372" s="8">
        <f>IF(OR(Tank4!$D$18="HORIZONTAL FIXED ROOF",Tank4!$D$18="VERTICAL FIXED ROOF"),IF(Tank4!$E72="",0,Tank4!$E72),0)</f>
        <v>0</v>
      </c>
      <c r="FB372" s="8" t="s">
        <v>1082</v>
      </c>
      <c r="FC372" s="8" t="s">
        <v>1083</v>
      </c>
      <c r="FD372" s="8">
        <v>6.4</v>
      </c>
      <c r="FE372" s="8">
        <v>0.64</v>
      </c>
    </row>
    <row r="373" spans="79:161" ht="74.25" customHeight="1" x14ac:dyDescent="0.2">
      <c r="CA373">
        <f>IF(OR(CB373=0,ISNUMBER(MATCH(CB373,$CB$1:CB372,0))),0,MAX($CA$1:CA372)+1)</f>
        <v>0</v>
      </c>
      <c r="CB373" s="8">
        <f>IF(OR(Tank4!$D$18="EXTERNAL FLOATING ROOF",Tank4!$D$18="INTERNAL FLOATING ROOF"),IF(Tank4!$E73="",0,Tank4!$E73),0)</f>
        <v>0</v>
      </c>
      <c r="CE373" s="8">
        <f>IF(OR(CF373=0,ISNUMBER(MATCH(CF373,$CF$1:CF372,0))),0,MAX($CE$1:CE372)+1)</f>
        <v>0</v>
      </c>
      <c r="CF373" s="8">
        <f>IF(OR(Tank4!$D$18="HORIZONTAL FIXED ROOF",Tank4!$D$18="VERTICAL FIXED ROOF"),IF(Tank4!$E73="",0,Tank4!$E73),0)</f>
        <v>0</v>
      </c>
      <c r="FB373" s="8" t="s">
        <v>1084</v>
      </c>
      <c r="FC373" s="8" t="s">
        <v>1085</v>
      </c>
      <c r="FD373" s="8">
        <v>2700</v>
      </c>
      <c r="FE373" s="8">
        <v>270</v>
      </c>
    </row>
    <row r="374" spans="79:161" ht="74.25" customHeight="1" x14ac:dyDescent="0.2">
      <c r="CA374">
        <f>IF(OR(CB374=0,ISNUMBER(MATCH(CB374,$CB$1:CB373,0))),0,MAX($CA$1:CA373)+1)</f>
        <v>0</v>
      </c>
      <c r="CB374" s="8">
        <f>IF(OR(Tank4!$D$18="EXTERNAL FLOATING ROOF",Tank4!$D$18="INTERNAL FLOATING ROOF"),IF(Tank4!$E74="",0,Tank4!$E74),0)</f>
        <v>0</v>
      </c>
      <c r="CE374" s="8">
        <f>IF(OR(CF374=0,ISNUMBER(MATCH(CF374,$CF$1:CF373,0))),0,MAX($CE$1:CE373)+1)</f>
        <v>0</v>
      </c>
      <c r="CF374" s="8">
        <f>IF(OR(Tank4!$D$18="HORIZONTAL FIXED ROOF",Tank4!$D$18="VERTICAL FIXED ROOF"),IF(Tank4!$E74="",0,Tank4!$E74),0)</f>
        <v>0</v>
      </c>
      <c r="FB374" s="8" t="s">
        <v>1086</v>
      </c>
      <c r="FC374" s="8" t="s">
        <v>1087</v>
      </c>
      <c r="FD374" s="8">
        <v>2700</v>
      </c>
      <c r="FE374" s="8">
        <v>270</v>
      </c>
    </row>
    <row r="375" spans="79:161" ht="74.25" customHeight="1" x14ac:dyDescent="0.2">
      <c r="CA375">
        <f>IF(OR(CB375=0,ISNUMBER(MATCH(CB375,$CB$1:CB374,0))),0,MAX($CA$1:CA374)+1)</f>
        <v>0</v>
      </c>
      <c r="CB375" s="8">
        <f>IF(OR(Tank4!$D$18="EXTERNAL FLOATING ROOF",Tank4!$D$18="INTERNAL FLOATING ROOF"),IF(Tank4!$E75="",0,Tank4!$E75),0)</f>
        <v>0</v>
      </c>
      <c r="CE375" s="8">
        <f>IF(OR(CF375=0,ISNUMBER(MATCH(CF375,$CF$1:CF374,0))),0,MAX($CE$1:CE374)+1)</f>
        <v>0</v>
      </c>
      <c r="CF375" s="8">
        <f>IF(OR(Tank4!$D$18="HORIZONTAL FIXED ROOF",Tank4!$D$18="VERTICAL FIXED ROOF"),IF(Tank4!$E75="",0,Tank4!$E75),0)</f>
        <v>0</v>
      </c>
      <c r="FB375" s="8" t="s">
        <v>1088</v>
      </c>
      <c r="FC375" s="8" t="s">
        <v>1089</v>
      </c>
      <c r="FD375" s="8">
        <v>30</v>
      </c>
      <c r="FE375" s="8">
        <v>3</v>
      </c>
    </row>
    <row r="376" spans="79:161" ht="74.25" customHeight="1" x14ac:dyDescent="0.2">
      <c r="CA376">
        <f>IF(OR(CB376=0,ISNUMBER(MATCH(CB376,$CB$1:CB375,0))),0,MAX($CA$1:CA375)+1)</f>
        <v>0</v>
      </c>
      <c r="CB376" s="8">
        <f>IF(OR(Tank4!$D$18="EXTERNAL FLOATING ROOF",Tank4!$D$18="INTERNAL FLOATING ROOF"),IF(Tank4!$E76="",0,Tank4!$E76),0)</f>
        <v>0</v>
      </c>
      <c r="CE376" s="8">
        <f>IF(OR(CF376=0,ISNUMBER(MATCH(CF376,$CF$1:CF375,0))),0,MAX($CE$1:CE375)+1)</f>
        <v>0</v>
      </c>
      <c r="CF376" s="8">
        <f>IF(OR(Tank4!$D$18="HORIZONTAL FIXED ROOF",Tank4!$D$18="VERTICAL FIXED ROOF"),IF(Tank4!$E76="",0,Tank4!$E76),0)</f>
        <v>0</v>
      </c>
      <c r="FB376" s="8" t="s">
        <v>1090</v>
      </c>
      <c r="FC376" s="8" t="s">
        <v>1091</v>
      </c>
      <c r="FD376" s="8">
        <v>2700</v>
      </c>
      <c r="FE376" s="8">
        <v>270</v>
      </c>
    </row>
    <row r="377" spans="79:161" ht="74.25" customHeight="1" x14ac:dyDescent="0.2">
      <c r="CA377">
        <f>IF(OR(CB377=0,ISNUMBER(MATCH(CB377,$CB$1:CB376,0))),0,MAX($CA$1:CA376)+1)</f>
        <v>0</v>
      </c>
      <c r="CB377" s="8">
        <f>IF(OR(Tank4!$D$18="EXTERNAL FLOATING ROOF",Tank4!$D$18="INTERNAL FLOATING ROOF"),IF(Tank4!$E77="",0,Tank4!$E77),0)</f>
        <v>0</v>
      </c>
      <c r="CE377" s="8">
        <f>IF(OR(CF377=0,ISNUMBER(MATCH(CF377,$CF$1:CF376,0))),0,MAX($CE$1:CE376)+1)</f>
        <v>0</v>
      </c>
      <c r="CF377" s="8">
        <f>IF(OR(Tank4!$D$18="HORIZONTAL FIXED ROOF",Tank4!$D$18="VERTICAL FIXED ROOF"),IF(Tank4!$E77="",0,Tank4!$E77),0)</f>
        <v>0</v>
      </c>
      <c r="FB377" s="8" t="s">
        <v>1092</v>
      </c>
      <c r="FC377" s="8" t="s">
        <v>1093</v>
      </c>
      <c r="FD377" s="8">
        <v>5700</v>
      </c>
      <c r="FE377" s="8">
        <v>570</v>
      </c>
    </row>
    <row r="378" spans="79:161" ht="74.25" customHeight="1" x14ac:dyDescent="0.2">
      <c r="CA378">
        <f>IF(OR(CB378=0,ISNUMBER(MATCH(CB378,$CB$1:CB377,0))),0,MAX($CA$1:CA377)+1)</f>
        <v>0</v>
      </c>
      <c r="CB378" s="8">
        <f>IF(OR(Tank4!$D$18="EXTERNAL FLOATING ROOF",Tank4!$D$18="INTERNAL FLOATING ROOF"),IF(Tank4!$E78="",0,Tank4!$E78),0)</f>
        <v>0</v>
      </c>
      <c r="CE378" s="8">
        <f>IF(OR(CF378=0,ISNUMBER(MATCH(CF378,$CF$1:CF377,0))),0,MAX($CE$1:CE377)+1)</f>
        <v>0</v>
      </c>
      <c r="CF378" s="8">
        <f>IF(OR(Tank4!$D$18="HORIZONTAL FIXED ROOF",Tank4!$D$18="VERTICAL FIXED ROOF"),IF(Tank4!$E78="",0,Tank4!$E78),0)</f>
        <v>0</v>
      </c>
      <c r="FB378" s="8" t="s">
        <v>1094</v>
      </c>
      <c r="FC378" s="8" t="s">
        <v>9819</v>
      </c>
      <c r="FD378" s="8">
        <v>5700</v>
      </c>
      <c r="FE378" s="8">
        <v>570</v>
      </c>
    </row>
    <row r="379" spans="79:161" ht="74.25" customHeight="1" x14ac:dyDescent="0.2">
      <c r="CA379">
        <f>IF(OR(CB379=0,ISNUMBER(MATCH(CB379,$CB$1:CB378,0))),0,MAX($CA$1:CA378)+1)</f>
        <v>0</v>
      </c>
      <c r="CB379" s="8">
        <f>IF(OR(Tank4!$D$18="EXTERNAL FLOATING ROOF",Tank4!$D$18="INTERNAL FLOATING ROOF"),IF(Tank4!$E79="",0,Tank4!$E79),0)</f>
        <v>0</v>
      </c>
      <c r="CE379" s="8">
        <f>IF(OR(CF379=0,ISNUMBER(MATCH(CF379,$CF$1:CF378,0))),0,MAX($CE$1:CE378)+1)</f>
        <v>0</v>
      </c>
      <c r="CF379" s="8">
        <f>IF(OR(Tank4!$D$18="HORIZONTAL FIXED ROOF",Tank4!$D$18="VERTICAL FIXED ROOF"),IF(Tank4!$E79="",0,Tank4!$E79),0)</f>
        <v>0</v>
      </c>
      <c r="FB379" s="8" t="s">
        <v>1095</v>
      </c>
      <c r="FC379" s="8" t="s">
        <v>1096</v>
      </c>
      <c r="FD379" s="8">
        <v>8</v>
      </c>
      <c r="FE379" s="8">
        <v>0.8</v>
      </c>
    </row>
    <row r="380" spans="79:161" ht="74.25" customHeight="1" x14ac:dyDescent="0.2">
      <c r="CA380">
        <f>IF(OR(CB380=0,ISNUMBER(MATCH(CB380,$CB$1:CB379,0))),0,MAX($CA$1:CA379)+1)</f>
        <v>0</v>
      </c>
      <c r="CB380" s="8">
        <f>IF(OR(Tank4!$D$18="EXTERNAL FLOATING ROOF",Tank4!$D$18="INTERNAL FLOATING ROOF"),IF(Tank4!$E80="",0,Tank4!$E80),0)</f>
        <v>0</v>
      </c>
      <c r="CE380" s="8">
        <f>IF(OR(CF380=0,ISNUMBER(MATCH(CF380,$CF$1:CF379,0))),0,MAX($CE$1:CE379)+1)</f>
        <v>0</v>
      </c>
      <c r="CF380" s="8">
        <f>IF(OR(Tank4!$D$18="HORIZONTAL FIXED ROOF",Tank4!$D$18="VERTICAL FIXED ROOF"),IF(Tank4!$E80="",0,Tank4!$E80),0)</f>
        <v>0</v>
      </c>
      <c r="FB380" s="8" t="s">
        <v>1097</v>
      </c>
      <c r="FC380" s="8" t="s">
        <v>1098</v>
      </c>
      <c r="FD380" s="8">
        <v>1500</v>
      </c>
      <c r="FE380" s="8">
        <v>150</v>
      </c>
    </row>
    <row r="381" spans="79:161" ht="74.25" customHeight="1" x14ac:dyDescent="0.2">
      <c r="CA381">
        <f>IF(OR(CB381=0,ISNUMBER(MATCH(CB381,$CB$1:CB380,0))),0,MAX($CA$1:CA380)+1)</f>
        <v>0</v>
      </c>
      <c r="CB381" s="8">
        <f>IF(OR(Tank4!$D$18="EXTERNAL FLOATING ROOF",Tank4!$D$18="INTERNAL FLOATING ROOF"),IF(Tank4!$E81="",0,Tank4!$E81),0)</f>
        <v>0</v>
      </c>
      <c r="CE381" s="8">
        <f>IF(OR(CF381=0,ISNUMBER(MATCH(CF381,$CF$1:CF380,0))),0,MAX($CE$1:CE380)+1)</f>
        <v>0</v>
      </c>
      <c r="CF381" s="8">
        <f>IF(OR(Tank4!$D$18="HORIZONTAL FIXED ROOF",Tank4!$D$18="VERTICAL FIXED ROOF"),IF(Tank4!$E81="",0,Tank4!$E81),0)</f>
        <v>0</v>
      </c>
      <c r="FB381" s="8" t="s">
        <v>1099</v>
      </c>
      <c r="FC381" s="8" t="s">
        <v>1100</v>
      </c>
      <c r="FD381" s="8">
        <v>5700</v>
      </c>
      <c r="FE381" s="8">
        <v>570</v>
      </c>
    </row>
    <row r="382" spans="79:161" ht="74.25" customHeight="1" x14ac:dyDescent="0.2">
      <c r="CA382">
        <f>IF(OR(CB382=0,ISNUMBER(MATCH(CB382,$CB$1:CB381,0))),0,MAX($CA$1:CA381)+1)</f>
        <v>0</v>
      </c>
      <c r="CB382" s="8">
        <f>IF(OR(Tank4!$D$18="EXTERNAL FLOATING ROOF",Tank4!$D$18="INTERNAL FLOATING ROOF"),IF(Tank4!$E82="",0,Tank4!$E82),0)</f>
        <v>0</v>
      </c>
      <c r="CE382" s="8">
        <f>IF(OR(CF382=0,ISNUMBER(MATCH(CF382,$CF$1:CF381,0))),0,MAX($CE$1:CE381)+1)</f>
        <v>0</v>
      </c>
      <c r="CF382" s="8">
        <f>IF(OR(Tank4!$D$18="HORIZONTAL FIXED ROOF",Tank4!$D$18="VERTICAL FIXED ROOF"),IF(Tank4!$E82="",0,Tank4!$E82),0)</f>
        <v>0</v>
      </c>
      <c r="FB382" s="8" t="s">
        <v>1101</v>
      </c>
      <c r="FC382" s="8" t="s">
        <v>1102</v>
      </c>
      <c r="FD382" s="8">
        <v>5700</v>
      </c>
      <c r="FE382" s="8">
        <v>570</v>
      </c>
    </row>
    <row r="383" spans="79:161" ht="74.25" customHeight="1" x14ac:dyDescent="0.2">
      <c r="CA383">
        <f>IF(OR(CB383=0,ISNUMBER(MATCH(CB383,$CB$1:CB382,0))),0,MAX($CA$1:CA382)+1)</f>
        <v>0</v>
      </c>
      <c r="CB383" s="8">
        <f>IF(OR(Tank4!$D$18="EXTERNAL FLOATING ROOF",Tank4!$D$18="INTERNAL FLOATING ROOF"),IF(Tank4!$E83="",0,Tank4!$E83),0)</f>
        <v>0</v>
      </c>
      <c r="CE383" s="8">
        <f>IF(OR(CF383=0,ISNUMBER(MATCH(CF383,$CF$1:CF382,0))),0,MAX($CE$1:CE382)+1)</f>
        <v>0</v>
      </c>
      <c r="CF383" s="8">
        <f>IF(OR(Tank4!$D$18="HORIZONTAL FIXED ROOF",Tank4!$D$18="VERTICAL FIXED ROOF"),IF(Tank4!$E83="",0,Tank4!$E83),0)</f>
        <v>0</v>
      </c>
      <c r="FB383" s="8" t="s">
        <v>1103</v>
      </c>
      <c r="FC383" s="8" t="s">
        <v>1104</v>
      </c>
      <c r="FD383" s="8">
        <v>16400</v>
      </c>
      <c r="FE383" s="8">
        <v>1640</v>
      </c>
    </row>
    <row r="384" spans="79:161" ht="74.25" customHeight="1" x14ac:dyDescent="0.2">
      <c r="CA384">
        <f>IF(OR(CB384=0,ISNUMBER(MATCH(CB384,$CB$1:CB383,0))),0,MAX($CA$1:CA383)+1)</f>
        <v>0</v>
      </c>
      <c r="CB384" s="8">
        <f>IF(OR(Tank4!$D$18="EXTERNAL FLOATING ROOF",Tank4!$D$18="INTERNAL FLOATING ROOF"),IF(Tank4!$E84="",0,Tank4!$E84),0)</f>
        <v>0</v>
      </c>
      <c r="CE384" s="8">
        <f>IF(OR(CF384=0,ISNUMBER(MATCH(CF384,$CF$1:CF383,0))),0,MAX($CE$1:CE383)+1)</f>
        <v>0</v>
      </c>
      <c r="CF384" s="8">
        <f>IF(OR(Tank4!$D$18="HORIZONTAL FIXED ROOF",Tank4!$D$18="VERTICAL FIXED ROOF"),IF(Tank4!$E84="",0,Tank4!$E84),0)</f>
        <v>0</v>
      </c>
      <c r="FB384" s="8" t="s">
        <v>1105</v>
      </c>
      <c r="FC384" s="8" t="s">
        <v>9820</v>
      </c>
      <c r="FD384" s="8">
        <v>5700</v>
      </c>
      <c r="FE384" s="8">
        <v>570</v>
      </c>
    </row>
    <row r="385" spans="79:161" ht="74.25" customHeight="1" x14ac:dyDescent="0.2">
      <c r="CA385">
        <f>IF(OR(CB385=0,ISNUMBER(MATCH(CB385,$CB$1:CB384,0))),0,MAX($CA$1:CA384)+1)</f>
        <v>0</v>
      </c>
      <c r="CB385" s="8">
        <f>IF(OR(Tank4!$D$18="EXTERNAL FLOATING ROOF",Tank4!$D$18="INTERNAL FLOATING ROOF"),IF(Tank4!$E85="",0,Tank4!$E85),0)</f>
        <v>0</v>
      </c>
      <c r="CE385" s="8">
        <f>IF(OR(CF385=0,ISNUMBER(MATCH(CF385,$CF$1:CF384,0))),0,MAX($CE$1:CE384)+1)</f>
        <v>0</v>
      </c>
      <c r="CF385" s="8">
        <f>IF(OR(Tank4!$D$18="HORIZONTAL FIXED ROOF",Tank4!$D$18="VERTICAL FIXED ROOF"),IF(Tank4!$E85="",0,Tank4!$E85),0)</f>
        <v>0</v>
      </c>
      <c r="FB385" s="8" t="s">
        <v>1106</v>
      </c>
      <c r="FC385" s="8" t="s">
        <v>1107</v>
      </c>
      <c r="FD385" s="8">
        <v>3800</v>
      </c>
      <c r="FE385" s="8">
        <v>380</v>
      </c>
    </row>
    <row r="386" spans="79:161" ht="74.25" customHeight="1" x14ac:dyDescent="0.2">
      <c r="CA386">
        <f>IF(OR(CB386=0,ISNUMBER(MATCH(CB386,$CB$1:CB385,0))),0,MAX($CA$1:CA385)+1)</f>
        <v>0</v>
      </c>
      <c r="CB386" s="8">
        <f>IF(OR(Tank4!$D$18="EXTERNAL FLOATING ROOF",Tank4!$D$18="INTERNAL FLOATING ROOF"),IF(Tank4!$E86="",0,Tank4!$E86),0)</f>
        <v>0</v>
      </c>
      <c r="CE386" s="8">
        <f>IF(OR(CF386=0,ISNUMBER(MATCH(CF386,$CF$1:CF385,0))),0,MAX($CE$1:CE385)+1)</f>
        <v>0</v>
      </c>
      <c r="CF386" s="8">
        <f>IF(OR(Tank4!$D$18="HORIZONTAL FIXED ROOF",Tank4!$D$18="VERTICAL FIXED ROOF"),IF(Tank4!$E86="",0,Tank4!$E86),0)</f>
        <v>0</v>
      </c>
      <c r="FB386" s="8" t="s">
        <v>1108</v>
      </c>
      <c r="FC386" s="8" t="s">
        <v>1109</v>
      </c>
      <c r="FD386" s="8">
        <v>720</v>
      </c>
      <c r="FE386" s="8">
        <v>72</v>
      </c>
    </row>
    <row r="387" spans="79:161" ht="74.25" customHeight="1" x14ac:dyDescent="0.2">
      <c r="CA387">
        <f>IF(OR(CB387=0,ISNUMBER(MATCH(CB387,$CB$1:CB386,0))),0,MAX($CA$1:CA386)+1)</f>
        <v>0</v>
      </c>
      <c r="CB387" s="8">
        <f>IF(OR(Tank4!$D$18="EXTERNAL FLOATING ROOF",Tank4!$D$18="INTERNAL FLOATING ROOF"),IF(Tank4!$E87="",0,Tank4!$E87),0)</f>
        <v>0</v>
      </c>
      <c r="CE387" s="8">
        <f>IF(OR(CF387=0,ISNUMBER(MATCH(CF387,$CF$1:CF386,0))),0,MAX($CE$1:CE386)+1)</f>
        <v>0</v>
      </c>
      <c r="CF387" s="8">
        <f>IF(OR(Tank4!$D$18="HORIZONTAL FIXED ROOF",Tank4!$D$18="VERTICAL FIXED ROOF"),IF(Tank4!$E87="",0,Tank4!$E87),0)</f>
        <v>0</v>
      </c>
      <c r="FB387" s="8" t="s">
        <v>1110</v>
      </c>
      <c r="FC387" s="8" t="s">
        <v>1111</v>
      </c>
      <c r="FD387" s="8">
        <v>1900</v>
      </c>
      <c r="FE387" s="8">
        <v>190</v>
      </c>
    </row>
    <row r="388" spans="79:161" ht="74.25" customHeight="1" x14ac:dyDescent="0.2">
      <c r="CA388">
        <f>IF(OR(CB388=0,ISNUMBER(MATCH(CB388,$CB$1:CB387,0))),0,MAX($CA$1:CA387)+1)</f>
        <v>0</v>
      </c>
      <c r="CB388" s="8">
        <f>IF(OR(Tank4!$D$18="EXTERNAL FLOATING ROOF",Tank4!$D$18="INTERNAL FLOATING ROOF"),IF(Tank4!$E88="",0,Tank4!$E88),0)</f>
        <v>0</v>
      </c>
      <c r="CE388" s="8">
        <f>IF(OR(CF388=0,ISNUMBER(MATCH(CF388,$CF$1:CF387,0))),0,MAX($CE$1:CE387)+1)</f>
        <v>0</v>
      </c>
      <c r="CF388" s="8">
        <f>IF(OR(Tank4!$D$18="HORIZONTAL FIXED ROOF",Tank4!$D$18="VERTICAL FIXED ROOF"),IF(Tank4!$E88="",0,Tank4!$E88),0)</f>
        <v>0</v>
      </c>
      <c r="FB388" s="8" t="s">
        <v>1112</v>
      </c>
      <c r="FC388" s="8" t="s">
        <v>1113</v>
      </c>
      <c r="FD388" s="8">
        <v>150</v>
      </c>
      <c r="FE388" s="8">
        <v>15</v>
      </c>
    </row>
    <row r="389" spans="79:161" ht="74.25" customHeight="1" x14ac:dyDescent="0.2">
      <c r="CA389">
        <f>IF(OR(CB389=0,ISNUMBER(MATCH(CB389,$CB$1:CB388,0))),0,MAX($CA$1:CA388)+1)</f>
        <v>0</v>
      </c>
      <c r="CB389" s="8">
        <f>IF(OR(Tank4!$D$18="EXTERNAL FLOATING ROOF",Tank4!$D$18="INTERNAL FLOATING ROOF"),IF(Tank4!$E89="",0,Tank4!$E89),0)</f>
        <v>0</v>
      </c>
      <c r="CE389" s="8">
        <f>IF(OR(CF389=0,ISNUMBER(MATCH(CF389,$CF$1:CF388,0))),0,MAX($CE$1:CE388)+1)</f>
        <v>0</v>
      </c>
      <c r="CF389" s="8">
        <f>IF(OR(Tank4!$D$18="HORIZONTAL FIXED ROOF",Tank4!$D$18="VERTICAL FIXED ROOF"),IF(Tank4!$E89="",0,Tank4!$E89),0)</f>
        <v>0</v>
      </c>
      <c r="FB389" s="8" t="s">
        <v>1114</v>
      </c>
      <c r="FC389" s="8" t="s">
        <v>1115</v>
      </c>
      <c r="FD389" s="8">
        <v>2450</v>
      </c>
      <c r="FE389" s="8">
        <v>245</v>
      </c>
    </row>
    <row r="390" spans="79:161" ht="74.25" customHeight="1" x14ac:dyDescent="0.2">
      <c r="CA390">
        <f>IF(OR(CB390=0,ISNUMBER(MATCH(CB390,$CB$1:CB389,0))),0,MAX($CA$1:CA389)+1)</f>
        <v>0</v>
      </c>
      <c r="CB390" s="8">
        <f>IF(OR(Tank4!$D$18="EXTERNAL FLOATING ROOF",Tank4!$D$18="INTERNAL FLOATING ROOF"),IF(Tank4!$E90="",0,Tank4!$E90),0)</f>
        <v>0</v>
      </c>
      <c r="CE390" s="8">
        <f>IF(OR(CF390=0,ISNUMBER(MATCH(CF390,$CF$1:CF389,0))),0,MAX($CE$1:CE389)+1)</f>
        <v>0</v>
      </c>
      <c r="CF390" s="8">
        <f>IF(OR(Tank4!$D$18="HORIZONTAL FIXED ROOF",Tank4!$D$18="VERTICAL FIXED ROOF"),IF(Tank4!$E90="",0,Tank4!$E90),0)</f>
        <v>0</v>
      </c>
      <c r="FB390" s="8" t="s">
        <v>1116</v>
      </c>
      <c r="FC390" s="8" t="s">
        <v>1117</v>
      </c>
      <c r="FD390" s="8">
        <v>420</v>
      </c>
      <c r="FE390" s="8">
        <v>42</v>
      </c>
    </row>
    <row r="391" spans="79:161" ht="74.25" customHeight="1" x14ac:dyDescent="0.2">
      <c r="CA391">
        <f>IF(OR(CB391=0,ISNUMBER(MATCH(CB391,$CB$1:CB390,0))),0,MAX($CA$1:CA390)+1)</f>
        <v>0</v>
      </c>
      <c r="CB391" s="8">
        <f>IF(OR(Tank4!$D$18="EXTERNAL FLOATING ROOF",Tank4!$D$18="INTERNAL FLOATING ROOF"),IF(Tank4!$E91="",0,Tank4!$E91),0)</f>
        <v>0</v>
      </c>
      <c r="CE391" s="8">
        <f>IF(OR(CF391=0,ISNUMBER(MATCH(CF391,$CF$1:CF390,0))),0,MAX($CE$1:CE390)+1)</f>
        <v>0</v>
      </c>
      <c r="CF391" s="8">
        <f>IF(OR(Tank4!$D$18="HORIZONTAL FIXED ROOF",Tank4!$D$18="VERTICAL FIXED ROOF"),IF(Tank4!$E91="",0,Tank4!$E91),0)</f>
        <v>0</v>
      </c>
      <c r="FB391" s="8" t="s">
        <v>1118</v>
      </c>
      <c r="FC391" s="8" t="s">
        <v>1119</v>
      </c>
      <c r="FD391" s="8">
        <v>150</v>
      </c>
      <c r="FE391" s="8">
        <v>15</v>
      </c>
    </row>
    <row r="392" spans="79:161" ht="74.25" customHeight="1" x14ac:dyDescent="0.2">
      <c r="CA392">
        <f>IF(OR(CB392=0,ISNUMBER(MATCH(CB392,$CB$1:CB391,0))),0,MAX($CA$1:CA391)+1)</f>
        <v>0</v>
      </c>
      <c r="CB392" s="8">
        <f>IF(OR(Tank4!$D$18="EXTERNAL FLOATING ROOF",Tank4!$D$18="INTERNAL FLOATING ROOF"),IF(Tank4!$E92="",0,Tank4!$E92),0)</f>
        <v>0</v>
      </c>
      <c r="CE392" s="8">
        <f>IF(OR(CF392=0,ISNUMBER(MATCH(CF392,$CF$1:CF391,0))),0,MAX($CE$1:CE391)+1)</f>
        <v>0</v>
      </c>
      <c r="CF392" s="8">
        <f>IF(OR(Tank4!$D$18="HORIZONTAL FIXED ROOF",Tank4!$D$18="VERTICAL FIXED ROOF"),IF(Tank4!$E92="",0,Tank4!$E92),0)</f>
        <v>0</v>
      </c>
      <c r="FB392" s="8" t="s">
        <v>1120</v>
      </c>
      <c r="FC392" s="8" t="s">
        <v>1121</v>
      </c>
      <c r="FD392" s="8">
        <v>200</v>
      </c>
      <c r="FE392" s="8">
        <v>20</v>
      </c>
    </row>
    <row r="393" spans="79:161" ht="74.25" customHeight="1" x14ac:dyDescent="0.2">
      <c r="CA393">
        <f>IF(OR(CB393=0,ISNUMBER(MATCH(CB393,$CB$1:CB392,0))),0,MAX($CA$1:CA392)+1)</f>
        <v>0</v>
      </c>
      <c r="CB393" s="8">
        <f>IF(OR(Tank4!$D$18="EXTERNAL FLOATING ROOF",Tank4!$D$18="INTERNAL FLOATING ROOF"),IF(Tank4!$E93="",0,Tank4!$E93),0)</f>
        <v>0</v>
      </c>
      <c r="CE393" s="8">
        <f>IF(OR(CF393=0,ISNUMBER(MATCH(CF393,$CF$1:CF392,0))),0,MAX($CE$1:CE392)+1)</f>
        <v>0</v>
      </c>
      <c r="CF393" s="8">
        <f>IF(OR(Tank4!$D$18="HORIZONTAL FIXED ROOF",Tank4!$D$18="VERTICAL FIXED ROOF"),IF(Tank4!$E93="",0,Tank4!$E93),0)</f>
        <v>0</v>
      </c>
      <c r="FB393" s="8" t="s">
        <v>1122</v>
      </c>
      <c r="FC393" s="8" t="s">
        <v>1123</v>
      </c>
      <c r="FD393" s="8">
        <v>120</v>
      </c>
      <c r="FE393" s="8">
        <v>12</v>
      </c>
    </row>
    <row r="394" spans="79:161" ht="74.25" customHeight="1" x14ac:dyDescent="0.2">
      <c r="CA394">
        <f>IF(OR(CB394=0,ISNUMBER(MATCH(CB394,$CB$1:CB393,0))),0,MAX($CA$1:CA393)+1)</f>
        <v>0</v>
      </c>
      <c r="CB394" s="8">
        <f>IF(OR(Tank4!$D$18="EXTERNAL FLOATING ROOF",Tank4!$D$18="INTERNAL FLOATING ROOF"),IF(Tank4!$E94="",0,Tank4!$E94),0)</f>
        <v>0</v>
      </c>
      <c r="CE394" s="8">
        <f>IF(OR(CF394=0,ISNUMBER(MATCH(CF394,$CF$1:CF393,0))),0,MAX($CE$1:CE393)+1)</f>
        <v>0</v>
      </c>
      <c r="CF394" s="8">
        <f>IF(OR(Tank4!$D$18="HORIZONTAL FIXED ROOF",Tank4!$D$18="VERTICAL FIXED ROOF"),IF(Tank4!$E94="",0,Tank4!$E94),0)</f>
        <v>0</v>
      </c>
      <c r="FB394" s="8" t="s">
        <v>1124</v>
      </c>
      <c r="FC394" s="8" t="s">
        <v>9821</v>
      </c>
      <c r="FD394" s="8">
        <v>1500</v>
      </c>
      <c r="FE394" s="8">
        <v>150</v>
      </c>
    </row>
    <row r="395" spans="79:161" ht="74.25" customHeight="1" x14ac:dyDescent="0.2">
      <c r="CA395">
        <f>IF(OR(CB395=0,ISNUMBER(MATCH(CB395,$CB$1:CB394,0))),0,MAX($CA$1:CA394)+1)</f>
        <v>0</v>
      </c>
      <c r="CB395" s="8">
        <f>IF(OR(Tank4!$D$18="EXTERNAL FLOATING ROOF",Tank4!$D$18="INTERNAL FLOATING ROOF"),IF(Tank4!$E95="",0,Tank4!$E95),0)</f>
        <v>0</v>
      </c>
      <c r="CE395" s="8">
        <f>IF(OR(CF395=0,ISNUMBER(MATCH(CF395,$CF$1:CF394,0))),0,MAX($CE$1:CE394)+1)</f>
        <v>0</v>
      </c>
      <c r="CF395" s="8">
        <f>IF(OR(Tank4!$D$18="HORIZONTAL FIXED ROOF",Tank4!$D$18="VERTICAL FIXED ROOF"),IF(Tank4!$E95="",0,Tank4!$E95),0)</f>
        <v>0</v>
      </c>
      <c r="FB395" s="8" t="s">
        <v>1125</v>
      </c>
      <c r="FC395" s="8" t="s">
        <v>1126</v>
      </c>
      <c r="FD395" s="8">
        <v>5700</v>
      </c>
      <c r="FE395" s="8">
        <v>570</v>
      </c>
    </row>
    <row r="396" spans="79:161" ht="74.25" customHeight="1" x14ac:dyDescent="0.2">
      <c r="CA396">
        <f>IF(OR(CB396=0,ISNUMBER(MATCH(CB396,$CB$1:CB395,0))),0,MAX($CA$1:CA395)+1)</f>
        <v>0</v>
      </c>
      <c r="CB396" s="8">
        <f>IF(OR(Tank4!$D$18="EXTERNAL FLOATING ROOF",Tank4!$D$18="INTERNAL FLOATING ROOF"),IF(Tank4!$E96="",0,Tank4!$E96),0)</f>
        <v>0</v>
      </c>
      <c r="CE396" s="8">
        <f>IF(OR(CF396=0,ISNUMBER(MATCH(CF396,$CF$1:CF395,0))),0,MAX($CE$1:CE395)+1)</f>
        <v>0</v>
      </c>
      <c r="CF396" s="8">
        <f>IF(OR(Tank4!$D$18="HORIZONTAL FIXED ROOF",Tank4!$D$18="VERTICAL FIXED ROOF"),IF(Tank4!$E96="",0,Tank4!$E96),0)</f>
        <v>0</v>
      </c>
      <c r="FB396" s="8" t="s">
        <v>1127</v>
      </c>
      <c r="FC396" s="8" t="s">
        <v>1128</v>
      </c>
      <c r="FD396" s="8">
        <v>5000</v>
      </c>
      <c r="FE396" s="8">
        <v>500</v>
      </c>
    </row>
    <row r="397" spans="79:161" ht="74.25" customHeight="1" x14ac:dyDescent="0.2">
      <c r="CA397">
        <f>IF(OR(CB397=0,ISNUMBER(MATCH(CB397,$CB$1:CB396,0))),0,MAX($CA$1:CA396)+1)</f>
        <v>0</v>
      </c>
      <c r="CB397" s="8">
        <f>IF(OR(Tank4!$D$18="EXTERNAL FLOATING ROOF",Tank4!$D$18="INTERNAL FLOATING ROOF"),IF(Tank4!$E97="",0,Tank4!$E97),0)</f>
        <v>0</v>
      </c>
      <c r="CE397" s="8">
        <f>IF(OR(CF397=0,ISNUMBER(MATCH(CF397,$CF$1:CF396,0))),0,MAX($CE$1:CE396)+1)</f>
        <v>0</v>
      </c>
      <c r="CF397" s="8">
        <f>IF(OR(Tank4!$D$18="HORIZONTAL FIXED ROOF",Tank4!$D$18="VERTICAL FIXED ROOF"),IF(Tank4!$E97="",0,Tank4!$E97),0)</f>
        <v>0</v>
      </c>
      <c r="FB397" s="8" t="s">
        <v>1129</v>
      </c>
      <c r="FC397" s="8" t="s">
        <v>9822</v>
      </c>
      <c r="FD397" s="8">
        <v>1500</v>
      </c>
      <c r="FE397" s="8">
        <v>150</v>
      </c>
    </row>
    <row r="398" spans="79:161" ht="74.25" customHeight="1" x14ac:dyDescent="0.2">
      <c r="CA398">
        <f>IF(OR(CB398=0,ISNUMBER(MATCH(CB398,$CB$1:CB397,0))),0,MAX($CA$1:CA397)+1)</f>
        <v>0</v>
      </c>
      <c r="CB398" s="8">
        <f>IF(OR(Tank4!$D$18="EXTERNAL FLOATING ROOF",Tank4!$D$18="INTERNAL FLOATING ROOF"),IF(Tank4!$E98="",0,Tank4!$E98),0)</f>
        <v>0</v>
      </c>
      <c r="CE398" s="8">
        <f>IF(OR(CF398=0,ISNUMBER(MATCH(CF398,$CF$1:CF397,0))),0,MAX($CE$1:CE397)+1)</f>
        <v>0</v>
      </c>
      <c r="CF398" s="8">
        <f>IF(OR(Tank4!$D$18="HORIZONTAL FIXED ROOF",Tank4!$D$18="VERTICAL FIXED ROOF"),IF(Tank4!$E98="",0,Tank4!$E98),0)</f>
        <v>0</v>
      </c>
      <c r="FB398" s="8" t="s">
        <v>1130</v>
      </c>
      <c r="FC398" s="8" t="s">
        <v>9823</v>
      </c>
      <c r="FD398" s="8">
        <v>5700</v>
      </c>
      <c r="FE398" s="8">
        <v>570</v>
      </c>
    </row>
    <row r="399" spans="79:161" ht="74.25" customHeight="1" x14ac:dyDescent="0.2">
      <c r="CA399">
        <f>IF(OR(CB399=0,ISNUMBER(MATCH(CB399,$CB$1:CB398,0))),0,MAX($CA$1:CA398)+1)</f>
        <v>0</v>
      </c>
      <c r="CB399" s="8">
        <f>IF(OR(Tank4!$D$18="EXTERNAL FLOATING ROOF",Tank4!$D$18="INTERNAL FLOATING ROOF"),IF(Tank4!$E99="",0,Tank4!$E99),0)</f>
        <v>0</v>
      </c>
      <c r="CE399" s="8">
        <f>IF(OR(CF399=0,ISNUMBER(MATCH(CF399,$CF$1:CF398,0))),0,MAX($CE$1:CE398)+1)</f>
        <v>0</v>
      </c>
      <c r="CF399" s="8">
        <f>IF(OR(Tank4!$D$18="HORIZONTAL FIXED ROOF",Tank4!$D$18="VERTICAL FIXED ROOF"),IF(Tank4!$E99="",0,Tank4!$E99),0)</f>
        <v>0</v>
      </c>
      <c r="FB399" s="8" t="s">
        <v>1131</v>
      </c>
      <c r="FC399" s="8" t="s">
        <v>1132</v>
      </c>
      <c r="FD399" s="8">
        <v>50</v>
      </c>
      <c r="FE399" s="8">
        <v>5</v>
      </c>
    </row>
    <row r="400" spans="79:161" ht="74.25" customHeight="1" x14ac:dyDescent="0.2">
      <c r="CA400">
        <f>IF(OR(CB400=0,ISNUMBER(MATCH(CB400,$CB$1:CB399,0))),0,MAX($CA$1:CA399)+1)</f>
        <v>0</v>
      </c>
      <c r="CB400" s="8">
        <f>IF(OR(Tank4!$D$18="EXTERNAL FLOATING ROOF",Tank4!$D$18="INTERNAL FLOATING ROOF"),IF(Tank4!$E100="",0,Tank4!$E100),0)</f>
        <v>0</v>
      </c>
      <c r="CE400" s="8">
        <f>IF(OR(CF400=0,ISNUMBER(MATCH(CF400,$CF$1:CF399,0))),0,MAX($CE$1:CE399)+1)</f>
        <v>0</v>
      </c>
      <c r="CF400" s="8">
        <f>IF(OR(Tank4!$D$18="HORIZONTAL FIXED ROOF",Tank4!$D$18="VERTICAL FIXED ROOF"),IF(Tank4!$E100="",0,Tank4!$E100),0)</f>
        <v>0</v>
      </c>
      <c r="FB400" s="8" t="s">
        <v>1133</v>
      </c>
      <c r="FC400" s="8" t="s">
        <v>9824</v>
      </c>
      <c r="FD400" s="8">
        <v>1500</v>
      </c>
      <c r="FE400" s="8">
        <v>150</v>
      </c>
    </row>
    <row r="401" spans="79:161" ht="74.25" customHeight="1" x14ac:dyDescent="0.2">
      <c r="CA401">
        <f>IF(OR(CB401=0,ISNUMBER(MATCH(CB401,$CB$1:CB400,0))),0,MAX($CA$1:CA400)+1)</f>
        <v>0</v>
      </c>
      <c r="CB401" s="8">
        <f>IF(OR(Tank4!$D$18="EXTERNAL FLOATING ROOF",Tank4!$D$18="INTERNAL FLOATING ROOF"),IF(Tank4!$E101="",0,Tank4!$E101),0)</f>
        <v>0</v>
      </c>
      <c r="CE401" s="8">
        <f>IF(OR(CF401=0,ISNUMBER(MATCH(CF401,$CF$1:CF400,0))),0,MAX($CE$1:CE400)+1)</f>
        <v>0</v>
      </c>
      <c r="CF401" s="8">
        <f>IF(OR(Tank4!$D$18="HORIZONTAL FIXED ROOF",Tank4!$D$18="VERTICAL FIXED ROOF"),IF(Tank4!$E101="",0,Tank4!$E101),0)</f>
        <v>0</v>
      </c>
      <c r="FB401" s="8" t="s">
        <v>1134</v>
      </c>
      <c r="FC401" s="8" t="s">
        <v>1135</v>
      </c>
      <c r="FD401" s="8">
        <v>5700</v>
      </c>
      <c r="FE401" s="8">
        <v>570</v>
      </c>
    </row>
    <row r="402" spans="79:161" ht="74.25" customHeight="1" x14ac:dyDescent="0.2">
      <c r="CA402">
        <f>IF(OR(CB402=0,ISNUMBER(MATCH(CB402,$CB$1:CB401,0))),0,MAX($CA$1:CA401)+1)</f>
        <v>0</v>
      </c>
      <c r="CB402" s="8">
        <f>IF(OR(Tank4!$D$18="EXTERNAL FLOATING ROOF",Tank4!$D$18="INTERNAL FLOATING ROOF"),IF(Tank4!$E102="",0,Tank4!$E102),0)</f>
        <v>0</v>
      </c>
      <c r="CE402" s="8">
        <f>IF(OR(CF402=0,ISNUMBER(MATCH(CF402,$CF$1:CF401,0))),0,MAX($CE$1:CE401)+1)</f>
        <v>0</v>
      </c>
      <c r="CF402" s="8">
        <f>IF(OR(Tank4!$D$18="HORIZONTAL FIXED ROOF",Tank4!$D$18="VERTICAL FIXED ROOF"),IF(Tank4!$E102="",0,Tank4!$E102),0)</f>
        <v>0</v>
      </c>
      <c r="FB402" s="8" t="s">
        <v>1136</v>
      </c>
      <c r="FC402" s="8" t="s">
        <v>1137</v>
      </c>
      <c r="FD402" s="8">
        <v>1700</v>
      </c>
      <c r="FE402" s="8">
        <v>170</v>
      </c>
    </row>
    <row r="403" spans="79:161" ht="74.25" customHeight="1" x14ac:dyDescent="0.2">
      <c r="CA403">
        <f>IF(OR(CB403=0,ISNUMBER(MATCH(CB403,$CB$1:CB402,0))),0,MAX($CA$1:CA402)+1)</f>
        <v>0</v>
      </c>
      <c r="CB403" s="8">
        <f>IF(OR(Tank4!$D$18="EXTERNAL FLOATING ROOF",Tank4!$D$18="INTERNAL FLOATING ROOF"),IF(Tank4!$E103="",0,Tank4!$E103),0)</f>
        <v>0</v>
      </c>
      <c r="CE403" s="8">
        <f>IF(OR(CF403=0,ISNUMBER(MATCH(CF403,$CF$1:CF402,0))),0,MAX($CE$1:CE402)+1)</f>
        <v>0</v>
      </c>
      <c r="CF403" s="8">
        <f>IF(OR(Tank4!$D$18="HORIZONTAL FIXED ROOF",Tank4!$D$18="VERTICAL FIXED ROOF"),IF(Tank4!$E103="",0,Tank4!$E103),0)</f>
        <v>0</v>
      </c>
      <c r="FB403" s="8" t="s">
        <v>1138</v>
      </c>
      <c r="FC403" s="8" t="s">
        <v>1139</v>
      </c>
      <c r="FD403" s="8">
        <v>16400</v>
      </c>
      <c r="FE403" s="8">
        <v>1640</v>
      </c>
    </row>
    <row r="404" spans="79:161" ht="74.25" customHeight="1" x14ac:dyDescent="0.2">
      <c r="CA404">
        <f>IF(OR(CB404=0,ISNUMBER(MATCH(CB404,$CB$1:CB403,0))),0,MAX($CA$1:CA403)+1)</f>
        <v>0</v>
      </c>
      <c r="CB404" s="8">
        <f>IF(OR(Tank4!$D$18="EXTERNAL FLOATING ROOF",Tank4!$D$18="INTERNAL FLOATING ROOF"),IF(Tank4!$E104="",0,Tank4!$E104),0)</f>
        <v>0</v>
      </c>
      <c r="CE404" s="8">
        <f>IF(OR(CF404=0,ISNUMBER(MATCH(CF404,$CF$1:CF403,0))),0,MAX($CE$1:CE403)+1)</f>
        <v>0</v>
      </c>
      <c r="CF404" s="8">
        <f>IF(OR(Tank4!$D$18="HORIZONTAL FIXED ROOF",Tank4!$D$18="VERTICAL FIXED ROOF"),IF(Tank4!$E104="",0,Tank4!$E104),0)</f>
        <v>0</v>
      </c>
      <c r="FB404" s="8" t="s">
        <v>1140</v>
      </c>
      <c r="FC404" s="8" t="s">
        <v>1141</v>
      </c>
      <c r="FD404" s="8">
        <v>1700</v>
      </c>
      <c r="FE404" s="8">
        <v>170</v>
      </c>
    </row>
    <row r="405" spans="79:161" ht="74.25" customHeight="1" x14ac:dyDescent="0.2">
      <c r="CA405">
        <f>IF(OR(CB405=0,ISNUMBER(MATCH(CB405,$CB$1:CB404,0))),0,MAX($CA$1:CA404)+1)</f>
        <v>0</v>
      </c>
      <c r="CB405" s="8">
        <f>IF(OR(Tank4!$D$18="EXTERNAL FLOATING ROOF",Tank4!$D$18="INTERNAL FLOATING ROOF"),IF(Tank4!$E105="",0,Tank4!$E105),0)</f>
        <v>0</v>
      </c>
      <c r="CE405" s="8">
        <f>IF(OR(CF405=0,ISNUMBER(MATCH(CF405,$CF$1:CF404,0))),0,MAX($CE$1:CE404)+1)</f>
        <v>0</v>
      </c>
      <c r="CF405" s="8">
        <f>IF(OR(Tank4!$D$18="HORIZONTAL FIXED ROOF",Tank4!$D$18="VERTICAL FIXED ROOF"),IF(Tank4!$E105="",0,Tank4!$E105),0)</f>
        <v>0</v>
      </c>
      <c r="FB405" s="8" t="s">
        <v>1142</v>
      </c>
      <c r="FC405" s="8" t="s">
        <v>1143</v>
      </c>
      <c r="FD405" s="8">
        <v>125</v>
      </c>
      <c r="FE405" s="8">
        <v>12.5</v>
      </c>
    </row>
    <row r="406" spans="79:161" ht="74.25" customHeight="1" x14ac:dyDescent="0.2">
      <c r="CA406">
        <f>IF(OR(CB406=0,ISNUMBER(MATCH(CB406,$CB$1:CB405,0))),0,MAX($CA$1:CA405)+1)</f>
        <v>0</v>
      </c>
      <c r="CB406" s="8">
        <f>IF(OR(Tank4!$D$18="EXTERNAL FLOATING ROOF",Tank4!$D$18="INTERNAL FLOATING ROOF"),IF(Tank4!$E106="",0,Tank4!$E106),0)</f>
        <v>0</v>
      </c>
      <c r="CE406" s="8">
        <f>IF(OR(CF406=0,ISNUMBER(MATCH(CF406,$CF$1:CF405,0))),0,MAX($CE$1:CE405)+1)</f>
        <v>0</v>
      </c>
      <c r="CF406" s="8">
        <f>IF(OR(Tank4!$D$18="HORIZONTAL FIXED ROOF",Tank4!$D$18="VERTICAL FIXED ROOF"),IF(Tank4!$E106="",0,Tank4!$E106),0)</f>
        <v>0</v>
      </c>
      <c r="FB406" s="8" t="s">
        <v>1144</v>
      </c>
      <c r="FC406" s="8" t="s">
        <v>1145</v>
      </c>
      <c r="FD406" s="8">
        <v>100</v>
      </c>
      <c r="FE406" s="8">
        <v>10</v>
      </c>
    </row>
    <row r="407" spans="79:161" ht="74.25" customHeight="1" x14ac:dyDescent="0.2">
      <c r="CA407">
        <f>IF(OR(CB407=0,ISNUMBER(MATCH(CB407,$CB$1:CB406,0))),0,MAX($CA$1:CA406)+1)</f>
        <v>0</v>
      </c>
      <c r="CB407" s="8">
        <f>IF(OR(Tank4!$D$18="EXTERNAL FLOATING ROOF",Tank4!$D$18="INTERNAL FLOATING ROOF"),IF(Tank4!$E107="",0,Tank4!$E107),0)</f>
        <v>0</v>
      </c>
      <c r="CE407" s="8">
        <f>IF(OR(CF407=0,ISNUMBER(MATCH(CF407,$CF$1:CF406,0))),0,MAX($CE$1:CE406)+1)</f>
        <v>0</v>
      </c>
      <c r="CF407" s="8">
        <f>IF(OR(Tank4!$D$18="HORIZONTAL FIXED ROOF",Tank4!$D$18="VERTICAL FIXED ROOF"),IF(Tank4!$E107="",0,Tank4!$E107),0)</f>
        <v>0</v>
      </c>
      <c r="FB407" s="8" t="s">
        <v>1146</v>
      </c>
      <c r="FC407" s="8" t="s">
        <v>1147</v>
      </c>
      <c r="FD407" s="8">
        <v>50</v>
      </c>
      <c r="FE407" s="8">
        <v>5</v>
      </c>
    </row>
    <row r="408" spans="79:161" ht="74.25" customHeight="1" x14ac:dyDescent="0.2">
      <c r="CA408">
        <f>IF(OR(CB408=0,ISNUMBER(MATCH(CB408,$CB$1:CB407,0))),0,MAX($CA$1:CA407)+1)</f>
        <v>0</v>
      </c>
      <c r="CB408" s="8">
        <f>IF(OR(Tank4!$D$18="EXTERNAL FLOATING ROOF",Tank4!$D$18="INTERNAL FLOATING ROOF"),IF(Tank4!$E108="",0,Tank4!$E108),0)</f>
        <v>0</v>
      </c>
      <c r="CE408" s="8">
        <f>IF(OR(CF408=0,ISNUMBER(MATCH(CF408,$CF$1:CF407,0))),0,MAX($CE$1:CE407)+1)</f>
        <v>0</v>
      </c>
      <c r="CF408" s="8">
        <f>IF(OR(Tank4!$D$18="HORIZONTAL FIXED ROOF",Tank4!$D$18="VERTICAL FIXED ROOF"),IF(Tank4!$E108="",0,Tank4!$E108),0)</f>
        <v>0</v>
      </c>
      <c r="FB408" s="8" t="s">
        <v>1148</v>
      </c>
      <c r="FC408" s="8" t="s">
        <v>1149</v>
      </c>
      <c r="FD408" s="8">
        <v>100</v>
      </c>
      <c r="FE408" s="8">
        <v>10</v>
      </c>
    </row>
    <row r="409" spans="79:161" ht="74.25" customHeight="1" x14ac:dyDescent="0.2">
      <c r="CA409">
        <f>IF(OR(CB409=0,ISNUMBER(MATCH(CB409,$CB$1:CB408,0))),0,MAX($CA$1:CA408)+1)</f>
        <v>0</v>
      </c>
      <c r="CB409" s="8">
        <f>IF(OR(Tank4!$D$18="EXTERNAL FLOATING ROOF",Tank4!$D$18="INTERNAL FLOATING ROOF"),IF(Tank4!$E109="",0,Tank4!$E109),0)</f>
        <v>0</v>
      </c>
      <c r="CE409" s="8">
        <f>IF(OR(CF409=0,ISNUMBER(MATCH(CF409,$CF$1:CF408,0))),0,MAX($CE$1:CE408)+1)</f>
        <v>0</v>
      </c>
      <c r="CF409" s="8">
        <f>IF(OR(Tank4!$D$18="HORIZONTAL FIXED ROOF",Tank4!$D$18="VERTICAL FIXED ROOF"),IF(Tank4!$E109="",0,Tank4!$E109),0)</f>
        <v>0</v>
      </c>
      <c r="FB409" s="8" t="s">
        <v>1150</v>
      </c>
      <c r="FC409" s="8" t="s">
        <v>1151</v>
      </c>
      <c r="FD409" s="8">
        <v>1000</v>
      </c>
      <c r="FE409" s="8">
        <v>100</v>
      </c>
    </row>
    <row r="410" spans="79:161" ht="74.25" customHeight="1" x14ac:dyDescent="0.2">
      <c r="CA410">
        <f>IF(OR(CB410=0,ISNUMBER(MATCH(CB410,$CB$1:CB409,0))),0,MAX($CA$1:CA409)+1)</f>
        <v>0</v>
      </c>
      <c r="CB410" s="8">
        <f>IF(OR(Tank4!$D$18="EXTERNAL FLOATING ROOF",Tank4!$D$18="INTERNAL FLOATING ROOF"),IF(Tank4!$E110="",0,Tank4!$E110),0)</f>
        <v>0</v>
      </c>
      <c r="CE410" s="8">
        <f>IF(OR(CF410=0,ISNUMBER(MATCH(CF410,$CF$1:CF409,0))),0,MAX($CE$1:CE409)+1)</f>
        <v>0</v>
      </c>
      <c r="CF410" s="8">
        <f>IF(OR(Tank4!$D$18="HORIZONTAL FIXED ROOF",Tank4!$D$18="VERTICAL FIXED ROOF"),IF(Tank4!$E110="",0,Tank4!$E110),0)</f>
        <v>0</v>
      </c>
      <c r="FB410" s="8" t="s">
        <v>1152</v>
      </c>
      <c r="FC410" s="8" t="s">
        <v>1153</v>
      </c>
      <c r="FD410" s="8">
        <v>1330</v>
      </c>
      <c r="FE410" s="8">
        <v>133</v>
      </c>
    </row>
    <row r="411" spans="79:161" ht="74.25" customHeight="1" x14ac:dyDescent="0.2">
      <c r="CA411">
        <f>IF(OR(CB411=0,ISNUMBER(MATCH(CB411,$CB$1:CB410,0))),0,MAX($CA$1:CA410)+1)</f>
        <v>0</v>
      </c>
      <c r="CB411" s="8">
        <f>IF(OR(Tank4!$D$18="EXTERNAL FLOATING ROOF",Tank4!$D$18="INTERNAL FLOATING ROOF"),IF(Tank4!$E111="",0,Tank4!$E111),0)</f>
        <v>0</v>
      </c>
      <c r="CE411" s="8">
        <f>IF(OR(CF411=0,ISNUMBER(MATCH(CF411,$CF$1:CF410,0))),0,MAX($CE$1:CE410)+1)</f>
        <v>0</v>
      </c>
      <c r="CF411" s="8">
        <f>IF(OR(Tank4!$D$18="HORIZONTAL FIXED ROOF",Tank4!$D$18="VERTICAL FIXED ROOF"),IF(Tank4!$E111="",0,Tank4!$E111),0)</f>
        <v>0</v>
      </c>
      <c r="FB411" s="8" t="s">
        <v>1154</v>
      </c>
      <c r="FC411" s="8" t="s">
        <v>1155</v>
      </c>
      <c r="FD411" s="8">
        <v>600</v>
      </c>
      <c r="FE411" s="8">
        <v>60</v>
      </c>
    </row>
    <row r="412" spans="79:161" ht="74.25" customHeight="1" x14ac:dyDescent="0.2">
      <c r="CA412">
        <f>IF(OR(CB412=0,ISNUMBER(MATCH(CB412,$CB$1:CB411,0))),0,MAX($CA$1:CA411)+1)</f>
        <v>0</v>
      </c>
      <c r="CB412" s="8">
        <f>IF(OR(Tank4!$D$18="EXTERNAL FLOATING ROOF",Tank4!$D$18="INTERNAL FLOATING ROOF"),IF(Tank4!$E112="",0,Tank4!$E112),0)</f>
        <v>0</v>
      </c>
      <c r="CE412" s="8">
        <f>IF(OR(CF412=0,ISNUMBER(MATCH(CF412,$CF$1:CF411,0))),0,MAX($CE$1:CE411)+1)</f>
        <v>0</v>
      </c>
      <c r="CF412" s="8">
        <f>IF(OR(Tank4!$D$18="HORIZONTAL FIXED ROOF",Tank4!$D$18="VERTICAL FIXED ROOF"),IF(Tank4!$E112="",0,Tank4!$E112),0)</f>
        <v>0</v>
      </c>
      <c r="FB412" s="8" t="s">
        <v>1156</v>
      </c>
      <c r="FC412" s="8" t="s">
        <v>1157</v>
      </c>
      <c r="FD412" s="8">
        <v>375</v>
      </c>
      <c r="FE412" s="8">
        <v>38</v>
      </c>
    </row>
    <row r="413" spans="79:161" ht="74.25" customHeight="1" x14ac:dyDescent="0.2">
      <c r="CA413">
        <f>IF(OR(CB413=0,ISNUMBER(MATCH(CB413,$CB$1:CB412,0))),0,MAX($CA$1:CA412)+1)</f>
        <v>0</v>
      </c>
      <c r="CB413" s="8">
        <f>IF(OR(Tank4!$D$18="EXTERNAL FLOATING ROOF",Tank4!$D$18="INTERNAL FLOATING ROOF"),IF(Tank4!$E113="",0,Tank4!$E113),0)</f>
        <v>0</v>
      </c>
      <c r="CE413" s="8">
        <f>IF(OR(CF413=0,ISNUMBER(MATCH(CF413,$CF$1:CF412,0))),0,MAX($CE$1:CE412)+1)</f>
        <v>0</v>
      </c>
      <c r="CF413" s="8">
        <f>IF(OR(Tank4!$D$18="HORIZONTAL FIXED ROOF",Tank4!$D$18="VERTICAL FIXED ROOF"),IF(Tank4!$E113="",0,Tank4!$E113),0)</f>
        <v>0</v>
      </c>
      <c r="FB413" s="8" t="s">
        <v>1158</v>
      </c>
      <c r="FC413" s="8" t="s">
        <v>1159</v>
      </c>
      <c r="FD413" s="8">
        <v>1300</v>
      </c>
      <c r="FE413" s="8">
        <v>130</v>
      </c>
    </row>
    <row r="414" spans="79:161" ht="74.25" customHeight="1" x14ac:dyDescent="0.2">
      <c r="CA414">
        <f>IF(OR(CB414=0,ISNUMBER(MATCH(CB414,$CB$1:CB413,0))),0,MAX($CA$1:CA413)+1)</f>
        <v>0</v>
      </c>
      <c r="CB414" s="8">
        <f>IF(OR(Tank4!$D$18="EXTERNAL FLOATING ROOF",Tank4!$D$18="INTERNAL FLOATING ROOF"),IF(Tank4!$E114="",0,Tank4!$E114),0)</f>
        <v>0</v>
      </c>
      <c r="CE414" s="8">
        <f>IF(OR(CF414=0,ISNUMBER(MATCH(CF414,$CF$1:CF413,0))),0,MAX($CE$1:CE413)+1)</f>
        <v>0</v>
      </c>
      <c r="CF414" s="8">
        <f>IF(OR(Tank4!$D$18="HORIZONTAL FIXED ROOF",Tank4!$D$18="VERTICAL FIXED ROOF"),IF(Tank4!$E114="",0,Tank4!$E114),0)</f>
        <v>0</v>
      </c>
      <c r="FB414" s="8" t="s">
        <v>1160</v>
      </c>
      <c r="FC414" s="8" t="s">
        <v>1161</v>
      </c>
      <c r="FD414" s="8">
        <v>1300</v>
      </c>
      <c r="FE414" s="8">
        <v>130</v>
      </c>
    </row>
    <row r="415" spans="79:161" ht="74.25" customHeight="1" x14ac:dyDescent="0.2">
      <c r="CA415">
        <f>IF(OR(CB415=0,ISNUMBER(MATCH(CB415,$CB$1:CB414,0))),0,MAX($CA$1:CA414)+1)</f>
        <v>0</v>
      </c>
      <c r="CB415" s="8">
        <f>IF(OR(Tank4!$D$18="EXTERNAL FLOATING ROOF",Tank4!$D$18="INTERNAL FLOATING ROOF"),IF(Tank4!$E115="",0,Tank4!$E115),0)</f>
        <v>0</v>
      </c>
      <c r="CE415" s="8">
        <f>IF(OR(CF415=0,ISNUMBER(MATCH(CF415,$CF$1:CF414,0))),0,MAX($CE$1:CE414)+1)</f>
        <v>0</v>
      </c>
      <c r="CF415" s="8">
        <f>IF(OR(Tank4!$D$18="HORIZONTAL FIXED ROOF",Tank4!$D$18="VERTICAL FIXED ROOF"),IF(Tank4!$E115="",0,Tank4!$E115),0)</f>
        <v>0</v>
      </c>
      <c r="FB415" s="8" t="s">
        <v>1162</v>
      </c>
      <c r="FC415" s="8" t="s">
        <v>1163</v>
      </c>
      <c r="FD415" s="8">
        <v>3700</v>
      </c>
      <c r="FE415" s="8">
        <v>370</v>
      </c>
    </row>
    <row r="416" spans="79:161" ht="74.25" customHeight="1" x14ac:dyDescent="0.2">
      <c r="CA416">
        <f>IF(OR(CB416=0,ISNUMBER(MATCH(CB416,$CB$1:CB415,0))),0,MAX($CA$1:CA415)+1)</f>
        <v>0</v>
      </c>
      <c r="CB416" s="8">
        <f>IF(OR(Tank4!$D$18="EXTERNAL FLOATING ROOF",Tank4!$D$18="INTERNAL FLOATING ROOF"),IF(Tank4!$E116="",0,Tank4!$E116),0)</f>
        <v>0</v>
      </c>
      <c r="CE416" s="8">
        <f>IF(OR(CF416=0,ISNUMBER(MATCH(CF416,$CF$1:CF415,0))),0,MAX($CE$1:CE415)+1)</f>
        <v>0</v>
      </c>
      <c r="CF416" s="8">
        <f>IF(OR(Tank4!$D$18="HORIZONTAL FIXED ROOF",Tank4!$D$18="VERTICAL FIXED ROOF"),IF(Tank4!$E116="",0,Tank4!$E116),0)</f>
        <v>0</v>
      </c>
      <c r="FB416" s="8" t="s">
        <v>1164</v>
      </c>
      <c r="FC416" s="8" t="s">
        <v>1165</v>
      </c>
      <c r="FD416" s="8">
        <v>2700</v>
      </c>
      <c r="FE416" s="8">
        <v>270</v>
      </c>
    </row>
    <row r="417" spans="79:161" ht="74.25" customHeight="1" x14ac:dyDescent="0.2">
      <c r="CA417">
        <f>IF(OR(CB417=0,ISNUMBER(MATCH(CB417,$CB$1:CB416,0))),0,MAX($CA$1:CA416)+1)</f>
        <v>0</v>
      </c>
      <c r="CB417" s="8">
        <f>IF(OR(Tank4!$D$18="EXTERNAL FLOATING ROOF",Tank4!$D$18="INTERNAL FLOATING ROOF"),IF(Tank4!$E117="",0,Tank4!$E117),0)</f>
        <v>0</v>
      </c>
      <c r="CE417" s="8">
        <f>IF(OR(CF417=0,ISNUMBER(MATCH(CF417,$CF$1:CF416,0))),0,MAX($CE$1:CE416)+1)</f>
        <v>0</v>
      </c>
      <c r="CF417" s="8">
        <f>IF(OR(Tank4!$D$18="HORIZONTAL FIXED ROOF",Tank4!$D$18="VERTICAL FIXED ROOF"),IF(Tank4!$E117="",0,Tank4!$E117),0)</f>
        <v>0</v>
      </c>
      <c r="FB417" s="8" t="s">
        <v>1166</v>
      </c>
      <c r="FC417" s="8" t="s">
        <v>1167</v>
      </c>
      <c r="FD417" s="8">
        <v>720</v>
      </c>
      <c r="FE417" s="8">
        <v>72</v>
      </c>
    </row>
    <row r="418" spans="79:161" ht="74.25" customHeight="1" x14ac:dyDescent="0.2">
      <c r="CA418">
        <f>IF(OR(CB418=0,ISNUMBER(MATCH(CB418,$CB$1:CB417,0))),0,MAX($CA$1:CA417)+1)</f>
        <v>0</v>
      </c>
      <c r="CB418" s="8">
        <f>IF(OR(Tank4!$D$18="EXTERNAL FLOATING ROOF",Tank4!$D$18="INTERNAL FLOATING ROOF"),IF(Tank4!$E118="",0,Tank4!$E118),0)</f>
        <v>0</v>
      </c>
      <c r="CE418" s="8">
        <f>IF(OR(CF418=0,ISNUMBER(MATCH(CF418,$CF$1:CF417,0))),0,MAX($CE$1:CE417)+1)</f>
        <v>0</v>
      </c>
      <c r="CF418" s="8">
        <f>IF(OR(Tank4!$D$18="HORIZONTAL FIXED ROOF",Tank4!$D$18="VERTICAL FIXED ROOF"),IF(Tank4!$E118="",0,Tank4!$E118),0)</f>
        <v>0</v>
      </c>
      <c r="FB418" s="8" t="s">
        <v>1168</v>
      </c>
      <c r="FC418" s="8" t="s">
        <v>1169</v>
      </c>
      <c r="FD418" s="8">
        <v>630</v>
      </c>
      <c r="FE418" s="8">
        <v>270</v>
      </c>
    </row>
    <row r="419" spans="79:161" ht="74.25" customHeight="1" x14ac:dyDescent="0.2">
      <c r="CA419">
        <f>IF(OR(CB419=0,ISNUMBER(MATCH(CB419,$CB$1:CB418,0))),0,MAX($CA$1:CA418)+1)</f>
        <v>0</v>
      </c>
      <c r="CB419" s="8">
        <f>IF(OR(Tank4!$D$18="EXTERNAL FLOATING ROOF",Tank4!$D$18="INTERNAL FLOATING ROOF"),IF(Tank4!$E119="",0,Tank4!$E119),0)</f>
        <v>0</v>
      </c>
      <c r="CE419" s="8">
        <f>IF(OR(CF419=0,ISNUMBER(MATCH(CF419,$CF$1:CF418,0))),0,MAX($CE$1:CE418)+1)</f>
        <v>0</v>
      </c>
      <c r="CF419" s="8">
        <f>IF(OR(Tank4!$D$18="HORIZONTAL FIXED ROOF",Tank4!$D$18="VERTICAL FIXED ROOF"),IF(Tank4!$E119="",0,Tank4!$E119),0)</f>
        <v>0</v>
      </c>
      <c r="FB419" s="8" t="s">
        <v>1170</v>
      </c>
      <c r="FC419" s="8" t="s">
        <v>1171</v>
      </c>
      <c r="FD419" s="8">
        <v>470</v>
      </c>
      <c r="FE419" s="8">
        <v>47</v>
      </c>
    </row>
    <row r="420" spans="79:161" ht="74.25" customHeight="1" x14ac:dyDescent="0.2">
      <c r="CA420">
        <f>IF(OR(CB420=0,ISNUMBER(MATCH(CB420,$CB$1:CB419,0))),0,MAX($CA$1:CA419)+1)</f>
        <v>0</v>
      </c>
      <c r="CB420" s="8">
        <f>IF(OR(Tank4!$D$18="EXTERNAL FLOATING ROOF",Tank4!$D$18="INTERNAL FLOATING ROOF"),IF(Tank4!$E120="",0,Tank4!$E120),0)</f>
        <v>0</v>
      </c>
      <c r="CE420" s="8">
        <f>IF(OR(CF420=0,ISNUMBER(MATCH(CF420,$CF$1:CF419,0))),0,MAX($CE$1:CE419)+1)</f>
        <v>0</v>
      </c>
      <c r="CF420" s="8">
        <f>IF(OR(Tank4!$D$18="HORIZONTAL FIXED ROOF",Tank4!$D$18="VERTICAL FIXED ROOF"),IF(Tank4!$E120="",0,Tank4!$E120),0)</f>
        <v>0</v>
      </c>
      <c r="FB420" s="8" t="s">
        <v>1172</v>
      </c>
      <c r="FC420" s="8" t="s">
        <v>1173</v>
      </c>
      <c r="FD420" s="8">
        <v>1250</v>
      </c>
      <c r="FE420" s="8">
        <v>125</v>
      </c>
    </row>
    <row r="421" spans="79:161" ht="74.25" customHeight="1" x14ac:dyDescent="0.2">
      <c r="CA421">
        <f>IF(OR(CB421=0,ISNUMBER(MATCH(CB421,$CB$1:CB420,0))),0,MAX($CA$1:CA420)+1)</f>
        <v>0</v>
      </c>
      <c r="CB421" s="8">
        <f>IF(OR(Tank4!$D$18="EXTERNAL FLOATING ROOF",Tank4!$D$18="INTERNAL FLOATING ROOF"),IF(Tank4!$E121="",0,Tank4!$E121),0)</f>
        <v>0</v>
      </c>
      <c r="CE421" s="8">
        <f>IF(OR(CF421=0,ISNUMBER(MATCH(CF421,$CF$1:CF420,0))),0,MAX($CE$1:CE420)+1)</f>
        <v>0</v>
      </c>
      <c r="CF421" s="8">
        <f>IF(OR(Tank4!$D$18="HORIZONTAL FIXED ROOF",Tank4!$D$18="VERTICAL FIXED ROOF"),IF(Tank4!$E121="",0,Tank4!$E121),0)</f>
        <v>0</v>
      </c>
      <c r="FB421" s="8" t="s">
        <v>1174</v>
      </c>
      <c r="FC421" s="8" t="s">
        <v>1175</v>
      </c>
      <c r="FD421" s="8">
        <v>1000</v>
      </c>
      <c r="FE421" s="8">
        <v>100</v>
      </c>
    </row>
    <row r="422" spans="79:161" ht="74.25" customHeight="1" x14ac:dyDescent="0.2">
      <c r="CA422">
        <f>IF(OR(CB422=0,ISNUMBER(MATCH(CB422,$CB$1:CB421,0))),0,MAX($CA$1:CA421)+1)</f>
        <v>0</v>
      </c>
      <c r="CB422" s="8">
        <f>IF(OR(Tank4!$D$18="EXTERNAL FLOATING ROOF",Tank4!$D$18="INTERNAL FLOATING ROOF"),IF(Tank4!$E122="",0,Tank4!$E122),0)</f>
        <v>0</v>
      </c>
      <c r="CE422" s="8">
        <f>IF(OR(CF422=0,ISNUMBER(MATCH(CF422,$CF$1:CF421,0))),0,MAX($CE$1:CE421)+1)</f>
        <v>0</v>
      </c>
      <c r="CF422" s="8">
        <f>IF(OR(Tank4!$D$18="HORIZONTAL FIXED ROOF",Tank4!$D$18="VERTICAL FIXED ROOF"),IF(Tank4!$E122="",0,Tank4!$E122),0)</f>
        <v>0</v>
      </c>
      <c r="FB422" s="8" t="s">
        <v>1176</v>
      </c>
      <c r="FC422" s="8" t="s">
        <v>1177</v>
      </c>
      <c r="FD422" s="8">
        <v>70</v>
      </c>
      <c r="FE422" s="8">
        <v>7</v>
      </c>
    </row>
    <row r="423" spans="79:161" ht="74.25" customHeight="1" x14ac:dyDescent="0.2">
      <c r="CA423">
        <f>IF(OR(CB423=0,ISNUMBER(MATCH(CB423,$CB$1:CB422,0))),0,MAX($CA$1:CA422)+1)</f>
        <v>0</v>
      </c>
      <c r="CB423" s="8">
        <f>IF(OR(Tank4!$D$18="EXTERNAL FLOATING ROOF",Tank4!$D$18="INTERNAL FLOATING ROOF"),IF(Tank4!$E123="",0,Tank4!$E123),0)</f>
        <v>0</v>
      </c>
      <c r="CE423" s="8">
        <f>IF(OR(CF423=0,ISNUMBER(MATCH(CF423,$CF$1:CF422,0))),0,MAX($CE$1:CE422)+1)</f>
        <v>0</v>
      </c>
      <c r="CF423" s="8">
        <f>IF(OR(Tank4!$D$18="HORIZONTAL FIXED ROOF",Tank4!$D$18="VERTICAL FIXED ROOF"),IF(Tank4!$E123="",0,Tank4!$E123),0)</f>
        <v>0</v>
      </c>
      <c r="FB423" s="8" t="s">
        <v>1178</v>
      </c>
      <c r="FC423" s="8" t="s">
        <v>1179</v>
      </c>
      <c r="FD423" s="8">
        <v>460</v>
      </c>
      <c r="FE423" s="8">
        <v>46</v>
      </c>
    </row>
    <row r="424" spans="79:161" ht="74.25" customHeight="1" x14ac:dyDescent="0.2">
      <c r="CA424">
        <f>IF(OR(CB424=0,ISNUMBER(MATCH(CB424,$CB$1:CB423,0))),0,MAX($CA$1:CA423)+1)</f>
        <v>0</v>
      </c>
      <c r="CB424" s="8">
        <f>IF(OR(Tank4!$D$18="EXTERNAL FLOATING ROOF",Tank4!$D$18="INTERNAL FLOATING ROOF"),IF(Tank4!$E124="",0,Tank4!$E124),0)</f>
        <v>0</v>
      </c>
      <c r="CE424" s="8">
        <f>IF(OR(CF424=0,ISNUMBER(MATCH(CF424,$CF$1:CF423,0))),0,MAX($CE$1:CE423)+1)</f>
        <v>0</v>
      </c>
      <c r="CF424" s="8">
        <f>IF(OR(Tank4!$D$18="HORIZONTAL FIXED ROOF",Tank4!$D$18="VERTICAL FIXED ROOF"),IF(Tank4!$E124="",0,Tank4!$E124),0)</f>
        <v>0</v>
      </c>
      <c r="FB424" s="8" t="s">
        <v>1180</v>
      </c>
      <c r="FC424" s="8" t="s">
        <v>1181</v>
      </c>
      <c r="FD424" s="8">
        <v>1200</v>
      </c>
      <c r="FE424" s="8">
        <v>120</v>
      </c>
    </row>
    <row r="425" spans="79:161" ht="74.25" customHeight="1" x14ac:dyDescent="0.2">
      <c r="CA425">
        <f>IF(OR(CB425=0,ISNUMBER(MATCH(CB425,$CB$1:CB424,0))),0,MAX($CA$1:CA424)+1)</f>
        <v>0</v>
      </c>
      <c r="CB425" s="8">
        <f>IF(OR(Tank4!$D$18="EXTERNAL FLOATING ROOF",Tank4!$D$18="INTERNAL FLOATING ROOF"),IF(Tank4!$E125="",0,Tank4!$E125),0)</f>
        <v>0</v>
      </c>
      <c r="CE425" s="8">
        <f>IF(OR(CF425=0,ISNUMBER(MATCH(CF425,$CF$1:CF424,0))),0,MAX($CE$1:CE424)+1)</f>
        <v>0</v>
      </c>
      <c r="CF425" s="8">
        <f>IF(OR(Tank4!$D$18="HORIZONTAL FIXED ROOF",Tank4!$D$18="VERTICAL FIXED ROOF"),IF(Tank4!$E125="",0,Tank4!$E125),0)</f>
        <v>0</v>
      </c>
      <c r="FB425" s="8" t="s">
        <v>1182</v>
      </c>
      <c r="FC425" s="8" t="s">
        <v>1183</v>
      </c>
      <c r="FD425" s="8">
        <v>2450</v>
      </c>
      <c r="FE425" s="8">
        <v>245</v>
      </c>
    </row>
    <row r="426" spans="79:161" ht="74.25" customHeight="1" x14ac:dyDescent="0.2">
      <c r="CA426">
        <f>IF(OR(CB426=0,ISNUMBER(MATCH(CB426,$CB$1:CB425,0))),0,MAX($CA$1:CA425)+1)</f>
        <v>0</v>
      </c>
      <c r="CB426" s="8">
        <f>IF(OR(Tank4!$D$18="EXTERNAL FLOATING ROOF",Tank4!$D$18="INTERNAL FLOATING ROOF"),IF(Tank4!$E126="",0,Tank4!$E126),0)</f>
        <v>0</v>
      </c>
      <c r="CE426" s="8">
        <f>IF(OR(CF426=0,ISNUMBER(MATCH(CF426,$CF$1:CF425,0))),0,MAX($CE$1:CE425)+1)</f>
        <v>0</v>
      </c>
      <c r="CF426" s="8">
        <f>IF(OR(Tank4!$D$18="HORIZONTAL FIXED ROOF",Tank4!$D$18="VERTICAL FIXED ROOF"),IF(Tank4!$E126="",0,Tank4!$E126),0)</f>
        <v>0</v>
      </c>
      <c r="FB426" s="8" t="s">
        <v>1184</v>
      </c>
      <c r="FC426" s="8" t="s">
        <v>1185</v>
      </c>
      <c r="FD426" s="8">
        <v>2450</v>
      </c>
      <c r="FE426" s="8">
        <v>245</v>
      </c>
    </row>
    <row r="427" spans="79:161" ht="74.25" customHeight="1" x14ac:dyDescent="0.2">
      <c r="CA427">
        <f>IF(OR(CB427=0,ISNUMBER(MATCH(CB427,$CB$1:CB426,0))),0,MAX($CA$1:CA426)+1)</f>
        <v>0</v>
      </c>
      <c r="CB427" s="8">
        <f>IF(OR(Tank4!$D$18="EXTERNAL FLOATING ROOF",Tank4!$D$18="INTERNAL FLOATING ROOF"),IF(Tank4!$E127="",0,Tank4!$E127),0)</f>
        <v>0</v>
      </c>
      <c r="CE427" s="8">
        <f>IF(OR(CF427=0,ISNUMBER(MATCH(CF427,$CF$1:CF426,0))),0,MAX($CE$1:CE426)+1)</f>
        <v>0</v>
      </c>
      <c r="CF427" s="8">
        <f>IF(OR(Tank4!$D$18="HORIZONTAL FIXED ROOF",Tank4!$D$18="VERTICAL FIXED ROOF"),IF(Tank4!$E127="",0,Tank4!$E127),0)</f>
        <v>0</v>
      </c>
      <c r="FB427" s="8" t="s">
        <v>1186</v>
      </c>
      <c r="FC427" s="8" t="s">
        <v>1187</v>
      </c>
      <c r="FD427" s="8">
        <v>3500</v>
      </c>
      <c r="FE427" s="8">
        <v>350</v>
      </c>
    </row>
    <row r="428" spans="79:161" ht="74.25" customHeight="1" x14ac:dyDescent="0.2">
      <c r="CA428">
        <f>IF(OR(CB428=0,ISNUMBER(MATCH(CB428,$CB$1:CB427,0))),0,MAX($CA$1:CA427)+1)</f>
        <v>0</v>
      </c>
      <c r="CB428" s="8">
        <f>IF(OR(Tank4!$D$18="EXTERNAL FLOATING ROOF",Tank4!$D$18="INTERNAL FLOATING ROOF"),IF(Tank4!$E128="",0,Tank4!$E128),0)</f>
        <v>0</v>
      </c>
      <c r="CE428" s="8">
        <f>IF(OR(CF428=0,ISNUMBER(MATCH(CF428,$CF$1:CF427,0))),0,MAX($CE$1:CE427)+1)</f>
        <v>0</v>
      </c>
      <c r="CF428" s="8">
        <f>IF(OR(Tank4!$D$18="HORIZONTAL FIXED ROOF",Tank4!$D$18="VERTICAL FIXED ROOF"),IF(Tank4!$E128="",0,Tank4!$E128),0)</f>
        <v>0</v>
      </c>
      <c r="FB428" s="8" t="s">
        <v>1188</v>
      </c>
      <c r="FC428" s="8" t="s">
        <v>1189</v>
      </c>
      <c r="FD428" s="8">
        <v>2450</v>
      </c>
      <c r="FE428" s="8">
        <v>245</v>
      </c>
    </row>
    <row r="429" spans="79:161" ht="74.25" customHeight="1" x14ac:dyDescent="0.2">
      <c r="CA429">
        <f>IF(OR(CB429=0,ISNUMBER(MATCH(CB429,$CB$1:CB428,0))),0,MAX($CA$1:CA428)+1)</f>
        <v>0</v>
      </c>
      <c r="CB429" s="8">
        <f>IF(OR(Tank4!$D$18="EXTERNAL FLOATING ROOF",Tank4!$D$18="INTERNAL FLOATING ROOF"),IF(Tank4!$E129="",0,Tank4!$E129),0)</f>
        <v>0</v>
      </c>
      <c r="CE429" s="8">
        <f>IF(OR(CF429=0,ISNUMBER(MATCH(CF429,$CF$1:CF428,0))),0,MAX($CE$1:CE428)+1)</f>
        <v>0</v>
      </c>
      <c r="CF429" s="8">
        <f>IF(OR(Tank4!$D$18="HORIZONTAL FIXED ROOF",Tank4!$D$18="VERTICAL FIXED ROOF"),IF(Tank4!$E129="",0,Tank4!$E129),0)</f>
        <v>0</v>
      </c>
      <c r="FB429" s="8" t="s">
        <v>1190</v>
      </c>
      <c r="FC429" s="8" t="s">
        <v>1191</v>
      </c>
      <c r="FD429" s="8">
        <v>2450</v>
      </c>
      <c r="FE429" s="8">
        <v>245</v>
      </c>
    </row>
    <row r="430" spans="79:161" ht="74.25" customHeight="1" x14ac:dyDescent="0.2">
      <c r="CA430">
        <f>IF(OR(CB430=0,ISNUMBER(MATCH(CB430,$CB$1:CB429,0))),0,MAX($CA$1:CA429)+1)</f>
        <v>0</v>
      </c>
      <c r="CB430" s="8">
        <f>IF(OR(Tank4!$D$18="EXTERNAL FLOATING ROOF",Tank4!$D$18="INTERNAL FLOATING ROOF"),IF(Tank4!$E130="",0,Tank4!$E130),0)</f>
        <v>0</v>
      </c>
      <c r="CE430" s="8">
        <f>IF(OR(CF430=0,ISNUMBER(MATCH(CF430,$CF$1:CF429,0))),0,MAX($CE$1:CE429)+1)</f>
        <v>0</v>
      </c>
      <c r="CF430" s="8">
        <f>IF(OR(Tank4!$D$18="HORIZONTAL FIXED ROOF",Tank4!$D$18="VERTICAL FIXED ROOF"),IF(Tank4!$E130="",0,Tank4!$E130),0)</f>
        <v>0</v>
      </c>
      <c r="FB430" s="8" t="s">
        <v>1192</v>
      </c>
      <c r="FC430" s="8" t="s">
        <v>1193</v>
      </c>
      <c r="FD430" s="8">
        <v>2450</v>
      </c>
      <c r="FE430" s="8">
        <v>245</v>
      </c>
    </row>
    <row r="431" spans="79:161" ht="74.25" customHeight="1" x14ac:dyDescent="0.2">
      <c r="CA431">
        <f>IF(OR(CB431=0,ISNUMBER(MATCH(CB431,$CB$1:CB430,0))),0,MAX($CA$1:CA430)+1)</f>
        <v>0</v>
      </c>
      <c r="CB431" s="8">
        <f>IF(OR(Tank4!$D$18="EXTERNAL FLOATING ROOF",Tank4!$D$18="INTERNAL FLOATING ROOF"),IF(Tank4!$E131="",0,Tank4!$E131),0)</f>
        <v>0</v>
      </c>
      <c r="CE431" s="8">
        <f>IF(OR(CF431=0,ISNUMBER(MATCH(CF431,$CF$1:CF430,0))),0,MAX($CE$1:CE430)+1)</f>
        <v>0</v>
      </c>
      <c r="CF431" s="8">
        <f>IF(OR(Tank4!$D$18="HORIZONTAL FIXED ROOF",Tank4!$D$18="VERTICAL FIXED ROOF"),IF(Tank4!$E131="",0,Tank4!$E131),0)</f>
        <v>0</v>
      </c>
      <c r="FB431" s="8" t="s">
        <v>1194</v>
      </c>
      <c r="FC431" s="8" t="s">
        <v>1195</v>
      </c>
      <c r="FD431" s="8">
        <v>2340</v>
      </c>
      <c r="FE431" s="8">
        <v>234</v>
      </c>
    </row>
    <row r="432" spans="79:161" ht="74.25" customHeight="1" x14ac:dyDescent="0.2">
      <c r="CA432">
        <f>IF(OR(CB432=0,ISNUMBER(MATCH(CB432,$CB$1:CB431,0))),0,MAX($CA$1:CA431)+1)</f>
        <v>0</v>
      </c>
      <c r="CB432" s="8">
        <f>IF(OR(Tank4!$D$18="EXTERNAL FLOATING ROOF",Tank4!$D$18="INTERNAL FLOATING ROOF"),IF(Tank4!$E132="",0,Tank4!$E132),0)</f>
        <v>0</v>
      </c>
      <c r="CE432" s="8">
        <f>IF(OR(CF432=0,ISNUMBER(MATCH(CF432,$CF$1:CF431,0))),0,MAX($CE$1:CE431)+1)</f>
        <v>0</v>
      </c>
      <c r="CF432" s="8">
        <f>IF(OR(Tank4!$D$18="HORIZONTAL FIXED ROOF",Tank4!$D$18="VERTICAL FIXED ROOF"),IF(Tank4!$E132="",0,Tank4!$E132),0)</f>
        <v>0</v>
      </c>
      <c r="FB432" s="8" t="s">
        <v>1196</v>
      </c>
      <c r="FC432" s="8" t="s">
        <v>1197</v>
      </c>
      <c r="FD432" s="8">
        <v>2450</v>
      </c>
      <c r="FE432" s="8">
        <v>245</v>
      </c>
    </row>
    <row r="433" spans="79:161" ht="74.25" customHeight="1" x14ac:dyDescent="0.2">
      <c r="CA433">
        <f>IF(OR(CB433=0,ISNUMBER(MATCH(CB433,$CB$1:CB432,0))),0,MAX($CA$1:CA432)+1)</f>
        <v>0</v>
      </c>
      <c r="CB433" s="8">
        <f>IF(OR(Tank4!$D$18="EXTERNAL FLOATING ROOF",Tank4!$D$18="INTERNAL FLOATING ROOF"),IF(Tank4!$E133="",0,Tank4!$E133),0)</f>
        <v>0</v>
      </c>
      <c r="CE433" s="8">
        <f>IF(OR(CF433=0,ISNUMBER(MATCH(CF433,$CF$1:CF432,0))),0,MAX($CE$1:CE432)+1)</f>
        <v>0</v>
      </c>
      <c r="CF433" s="8">
        <f>IF(OR(Tank4!$D$18="HORIZONTAL FIXED ROOF",Tank4!$D$18="VERTICAL FIXED ROOF"),IF(Tank4!$E133="",0,Tank4!$E133),0)</f>
        <v>0</v>
      </c>
      <c r="FB433" s="8" t="s">
        <v>1198</v>
      </c>
      <c r="FC433" s="8" t="s">
        <v>1199</v>
      </c>
      <c r="FD433" s="8">
        <v>2450</v>
      </c>
      <c r="FE433" s="8">
        <v>245</v>
      </c>
    </row>
    <row r="434" spans="79:161" ht="74.25" customHeight="1" x14ac:dyDescent="0.2">
      <c r="CA434">
        <f>IF(OR(CB434=0,ISNUMBER(MATCH(CB434,$CB$1:CB433,0))),0,MAX($CA$1:CA433)+1)</f>
        <v>0</v>
      </c>
      <c r="CB434" s="8">
        <f>IF(OR(Tank4!$D$18="EXTERNAL FLOATING ROOF",Tank4!$D$18="INTERNAL FLOATING ROOF"),IF(Tank4!$E134="",0,Tank4!$E134),0)</f>
        <v>0</v>
      </c>
      <c r="CE434" s="8">
        <f>IF(OR(CF434=0,ISNUMBER(MATCH(CF434,$CF$1:CF433,0))),0,MAX($CE$1:CE433)+1)</f>
        <v>0</v>
      </c>
      <c r="CF434" s="8">
        <f>IF(OR(Tank4!$D$18="HORIZONTAL FIXED ROOF",Tank4!$D$18="VERTICAL FIXED ROOF"),IF(Tank4!$E134="",0,Tank4!$E134),0)</f>
        <v>0</v>
      </c>
      <c r="FB434" s="8" t="s">
        <v>1200</v>
      </c>
      <c r="FC434" s="8" t="s">
        <v>1201</v>
      </c>
      <c r="FD434" s="8">
        <v>1000</v>
      </c>
      <c r="FE434" s="8">
        <v>100</v>
      </c>
    </row>
    <row r="435" spans="79:161" ht="74.25" customHeight="1" x14ac:dyDescent="0.2">
      <c r="CA435">
        <f>IF(OR(CB435=0,ISNUMBER(MATCH(CB435,$CB$1:CB434,0))),0,MAX($CA$1:CA434)+1)</f>
        <v>0</v>
      </c>
      <c r="CB435" s="8">
        <f>IF(OR(Tank4!$D$18="EXTERNAL FLOATING ROOF",Tank4!$D$18="INTERNAL FLOATING ROOF"),IF(Tank4!$E135="",0,Tank4!$E135),0)</f>
        <v>0</v>
      </c>
      <c r="CE435" s="8">
        <f>IF(OR(CF435=0,ISNUMBER(MATCH(CF435,$CF$1:CF434,0))),0,MAX($CE$1:CE434)+1)</f>
        <v>0</v>
      </c>
      <c r="CF435" s="8">
        <f>IF(OR(Tank4!$D$18="HORIZONTAL FIXED ROOF",Tank4!$D$18="VERTICAL FIXED ROOF"),IF(Tank4!$E135="",0,Tank4!$E135),0)</f>
        <v>0</v>
      </c>
      <c r="FB435" s="8" t="s">
        <v>1202</v>
      </c>
      <c r="FC435" s="8" t="s">
        <v>1203</v>
      </c>
      <c r="FD435" s="8">
        <v>3700</v>
      </c>
      <c r="FE435" s="8">
        <v>370</v>
      </c>
    </row>
    <row r="436" spans="79:161" ht="74.25" customHeight="1" x14ac:dyDescent="0.2">
      <c r="CA436">
        <f>IF(OR(CB436=0,ISNUMBER(MATCH(CB436,$CB$1:CB435,0))),0,MAX($CA$1:CA435)+1)</f>
        <v>0</v>
      </c>
      <c r="CB436" s="8">
        <f>IF(OR(Tank4!$D$18="EXTERNAL FLOATING ROOF",Tank4!$D$18="INTERNAL FLOATING ROOF"),IF(Tank4!$E136="",0,Tank4!$E136),0)</f>
        <v>0</v>
      </c>
      <c r="CE436" s="8">
        <f>IF(OR(CF436=0,ISNUMBER(MATCH(CF436,$CF$1:CF435,0))),0,MAX($CE$1:CE435)+1)</f>
        <v>0</v>
      </c>
      <c r="CF436" s="8">
        <f>IF(OR(Tank4!$D$18="HORIZONTAL FIXED ROOF",Tank4!$D$18="VERTICAL FIXED ROOF"),IF(Tank4!$E136="",0,Tank4!$E136),0)</f>
        <v>0</v>
      </c>
      <c r="FB436" s="8" t="s">
        <v>1204</v>
      </c>
      <c r="FC436" s="8" t="s">
        <v>1205</v>
      </c>
      <c r="FD436" s="8">
        <v>100</v>
      </c>
      <c r="FE436" s="8">
        <v>10</v>
      </c>
    </row>
    <row r="437" spans="79:161" ht="74.25" customHeight="1" x14ac:dyDescent="0.2">
      <c r="CA437">
        <f>IF(OR(CB437=0,ISNUMBER(MATCH(CB437,$CB$1:CB436,0))),0,MAX($CA$1:CA436)+1)</f>
        <v>0</v>
      </c>
      <c r="CB437" s="8">
        <f>IF(OR(Tank4!$D$18="EXTERNAL FLOATING ROOF",Tank4!$D$18="INTERNAL FLOATING ROOF"),IF(Tank4!$E137="",0,Tank4!$E137),0)</f>
        <v>0</v>
      </c>
      <c r="CE437" s="8">
        <f>IF(OR(CF437=0,ISNUMBER(MATCH(CF437,$CF$1:CF436,0))),0,MAX($CE$1:CE436)+1)</f>
        <v>0</v>
      </c>
      <c r="CF437" s="8">
        <f>IF(OR(Tank4!$D$18="HORIZONTAL FIXED ROOF",Tank4!$D$18="VERTICAL FIXED ROOF"),IF(Tank4!$E137="",0,Tank4!$E137),0)</f>
        <v>0</v>
      </c>
      <c r="FB437" s="8" t="s">
        <v>1206</v>
      </c>
      <c r="FC437" s="8" t="s">
        <v>1207</v>
      </c>
      <c r="FD437" s="8">
        <v>100</v>
      </c>
      <c r="FE437" s="8">
        <v>10</v>
      </c>
    </row>
    <row r="438" spans="79:161" ht="74.25" customHeight="1" x14ac:dyDescent="0.2">
      <c r="CA438">
        <f>IF(OR(CB438=0,ISNUMBER(MATCH(CB438,$CB$1:CB437,0))),0,MAX($CA$1:CA437)+1)</f>
        <v>0</v>
      </c>
      <c r="CB438" s="8">
        <f>IF(OR(Tank4!$D$18="EXTERNAL FLOATING ROOF",Tank4!$D$18="INTERNAL FLOATING ROOF"),IF(Tank4!$E138="",0,Tank4!$E138),0)</f>
        <v>0</v>
      </c>
      <c r="CE438" s="8">
        <f>IF(OR(CF438=0,ISNUMBER(MATCH(CF438,$CF$1:CF437,0))),0,MAX($CE$1:CE437)+1)</f>
        <v>0</v>
      </c>
      <c r="CF438" s="8">
        <f>IF(OR(Tank4!$D$18="HORIZONTAL FIXED ROOF",Tank4!$D$18="VERTICAL FIXED ROOF"),IF(Tank4!$E138="",0,Tank4!$E138),0)</f>
        <v>0</v>
      </c>
      <c r="FB438" s="8" t="s">
        <v>1208</v>
      </c>
      <c r="FC438" s="8" t="s">
        <v>1209</v>
      </c>
      <c r="FD438" s="8">
        <v>5</v>
      </c>
      <c r="FE438" s="8">
        <v>0.5</v>
      </c>
    </row>
    <row r="439" spans="79:161" ht="74.25" customHeight="1" x14ac:dyDescent="0.2">
      <c r="CA439">
        <f>IF(OR(CB439=0,ISNUMBER(MATCH(CB439,$CB$1:CB438,0))),0,MAX($CA$1:CA438)+1)</f>
        <v>0</v>
      </c>
      <c r="CB439" s="8">
        <f>IF(OR(Tank4!$D$18="EXTERNAL FLOATING ROOF",Tank4!$D$18="INTERNAL FLOATING ROOF"),IF(Tank4!$E139="",0,Tank4!$E139),0)</f>
        <v>0</v>
      </c>
      <c r="CE439" s="8">
        <f>IF(OR(CF439=0,ISNUMBER(MATCH(CF439,$CF$1:CF438,0))),0,MAX($CE$1:CE438)+1)</f>
        <v>0</v>
      </c>
      <c r="CF439" s="8">
        <f>IF(OR(Tank4!$D$18="HORIZONTAL FIXED ROOF",Tank4!$D$18="VERTICAL FIXED ROOF"),IF(Tank4!$E139="",0,Tank4!$E139),0)</f>
        <v>0</v>
      </c>
      <c r="FB439" s="8" t="s">
        <v>1210</v>
      </c>
      <c r="FC439" s="8" t="s">
        <v>1211</v>
      </c>
      <c r="FD439" s="8">
        <v>1000</v>
      </c>
      <c r="FE439" s="8">
        <v>100</v>
      </c>
    </row>
    <row r="440" spans="79:161" ht="74.25" customHeight="1" x14ac:dyDescent="0.2">
      <c r="CA440">
        <f>IF(OR(CB440=0,ISNUMBER(MATCH(CB440,$CB$1:CB439,0))),0,MAX($CA$1:CA439)+1)</f>
        <v>0</v>
      </c>
      <c r="CB440" s="8">
        <f>IF(OR(Tank4!$D$18="EXTERNAL FLOATING ROOF",Tank4!$D$18="INTERNAL FLOATING ROOF"),IF(Tank4!$E140="",0,Tank4!$E140),0)</f>
        <v>0</v>
      </c>
      <c r="CE440" s="8">
        <f>IF(OR(CF440=0,ISNUMBER(MATCH(CF440,$CF$1:CF439,0))),0,MAX($CE$1:CE439)+1)</f>
        <v>0</v>
      </c>
      <c r="CF440" s="8">
        <f>IF(OR(Tank4!$D$18="HORIZONTAL FIXED ROOF",Tank4!$D$18="VERTICAL FIXED ROOF"),IF(Tank4!$E140="",0,Tank4!$E140),0)</f>
        <v>0</v>
      </c>
      <c r="FB440" s="8" t="s">
        <v>1212</v>
      </c>
      <c r="FC440" s="8" t="s">
        <v>1213</v>
      </c>
      <c r="FD440" s="8">
        <v>200</v>
      </c>
      <c r="FE440" s="8">
        <v>20</v>
      </c>
    </row>
    <row r="441" spans="79:161" ht="74.25" customHeight="1" x14ac:dyDescent="0.2">
      <c r="CA441">
        <f>IF(OR(CB441=0,ISNUMBER(MATCH(CB441,$CB$1:CB440,0))),0,MAX($CA$1:CA440)+1)</f>
        <v>0</v>
      </c>
      <c r="CB441" s="8">
        <f>IF(OR(Tank4!$D$18="EXTERNAL FLOATING ROOF",Tank4!$D$18="INTERNAL FLOATING ROOF"),IF(Tank4!$E141="",0,Tank4!$E141),0)</f>
        <v>0</v>
      </c>
      <c r="CE441" s="8">
        <f>IF(OR(CF441=0,ISNUMBER(MATCH(CF441,$CF$1:CF440,0))),0,MAX($CE$1:CE440)+1)</f>
        <v>0</v>
      </c>
      <c r="CF441" s="8">
        <f>IF(OR(Tank4!$D$18="HORIZONTAL FIXED ROOF",Tank4!$D$18="VERTICAL FIXED ROOF"),IF(Tank4!$E141="",0,Tank4!$E141),0)</f>
        <v>0</v>
      </c>
      <c r="FB441" s="8" t="s">
        <v>1214</v>
      </c>
      <c r="FC441" s="8" t="s">
        <v>1215</v>
      </c>
      <c r="FD441" s="8">
        <v>3500</v>
      </c>
      <c r="FE441" s="8">
        <v>350</v>
      </c>
    </row>
    <row r="442" spans="79:161" ht="74.25" customHeight="1" x14ac:dyDescent="0.2">
      <c r="CA442">
        <f>IF(OR(CB442=0,ISNUMBER(MATCH(CB442,$CB$1:CB441,0))),0,MAX($CA$1:CA441)+1)</f>
        <v>0</v>
      </c>
      <c r="CB442" s="245">
        <f>IF(OR(Tank5!$D$18="EXTERNAL FLOATING ROOF",Tank5!$D$18="INTERNAL FLOATING ROOF"),IF(Tank5!$E32="",0,Tank5!$E32),0)</f>
        <v>0</v>
      </c>
      <c r="CE442" s="8">
        <f>IF(OR(CF442=0,ISNUMBER(MATCH(CF442,$CF$1:CF441,0))),0,MAX($CE$1:CE441)+1)</f>
        <v>0</v>
      </c>
      <c r="CF442" s="8">
        <f>IF(OR(Tank5!$D$18="HORIZONTAL FIXED ROOF",Tank5!$D$18="VERTICAL FIXED ROOF"),IF(Tank5!$E32="",0,Tank5!$E32),0)</f>
        <v>0</v>
      </c>
      <c r="FB442" s="8" t="s">
        <v>1216</v>
      </c>
      <c r="FC442" s="8" t="s">
        <v>1217</v>
      </c>
      <c r="FD442" s="8">
        <v>0.05</v>
      </c>
      <c r="FE442" s="8">
        <v>5.0000000000000001E-3</v>
      </c>
    </row>
    <row r="443" spans="79:161" ht="74.25" customHeight="1" x14ac:dyDescent="0.2">
      <c r="CA443">
        <f>IF(OR(CB443=0,ISNUMBER(MATCH(CB443,$CB$1:CB442,0))),0,MAX($CA$1:CA442)+1)</f>
        <v>0</v>
      </c>
      <c r="CB443" s="8">
        <f>IF(OR(Tank5!$D$18="EXTERNAL FLOATING ROOF",Tank5!$D$18="INTERNAL FLOATING ROOF"),IF(Tank5!$E33="",0,Tank5!$E33),0)</f>
        <v>0</v>
      </c>
      <c r="CE443" s="8">
        <f>IF(OR(CF443=0,ISNUMBER(MATCH(CF443,$CF$1:CF442,0))),0,MAX($CE$1:CE442)+1)</f>
        <v>0</v>
      </c>
      <c r="CF443" s="8">
        <f>IF(OR(Tank5!$D$18="HORIZONTAL FIXED ROOF",Tank5!$D$18="VERTICAL FIXED ROOF"),IF(Tank5!$E33="",0,Tank5!$E33),0)</f>
        <v>0</v>
      </c>
      <c r="FB443" s="8" t="s">
        <v>1218</v>
      </c>
      <c r="FC443" s="8" t="s">
        <v>1219</v>
      </c>
      <c r="FD443" s="8">
        <v>900</v>
      </c>
      <c r="FE443" s="8">
        <v>90</v>
      </c>
    </row>
    <row r="444" spans="79:161" ht="74.25" customHeight="1" x14ac:dyDescent="0.2">
      <c r="CA444">
        <f>IF(OR(CB444=0,ISNUMBER(MATCH(CB444,$CB$1:CB443,0))),0,MAX($CA$1:CA443)+1)</f>
        <v>0</v>
      </c>
      <c r="CB444" s="8">
        <f>IF(OR(Tank5!$D$18="EXTERNAL FLOATING ROOF",Tank5!$D$18="INTERNAL FLOATING ROOF"),IF(Tank5!$E34="",0,Tank5!$E34),0)</f>
        <v>0</v>
      </c>
      <c r="CE444" s="8">
        <f>IF(OR(CF444=0,ISNUMBER(MATCH(CF444,$CF$1:CF443,0))),0,MAX($CE$1:CE443)+1)</f>
        <v>0</v>
      </c>
      <c r="CF444" s="8">
        <f>IF(OR(Tank5!$D$18="HORIZONTAL FIXED ROOF",Tank5!$D$18="VERTICAL FIXED ROOF"),IF(Tank5!$E34="",0,Tank5!$E34),0)</f>
        <v>0</v>
      </c>
      <c r="FB444" s="8" t="s">
        <v>1220</v>
      </c>
      <c r="FC444" s="8" t="s">
        <v>1221</v>
      </c>
      <c r="FD444" s="8">
        <v>0.5</v>
      </c>
      <c r="FE444" s="8">
        <v>0.05</v>
      </c>
    </row>
    <row r="445" spans="79:161" ht="74.25" customHeight="1" x14ac:dyDescent="0.2">
      <c r="CA445">
        <f>IF(OR(CB445=0,ISNUMBER(MATCH(CB445,$CB$1:CB444,0))),0,MAX($CA$1:CA444)+1)</f>
        <v>0</v>
      </c>
      <c r="CB445" s="8">
        <f>IF(OR(Tank5!$D$18="EXTERNAL FLOATING ROOF",Tank5!$D$18="INTERNAL FLOATING ROOF"),IF(Tank5!$E35="",0,Tank5!$E35),0)</f>
        <v>0</v>
      </c>
      <c r="CE445" s="8">
        <f>IF(OR(CF445=0,ISNUMBER(MATCH(CF445,$CF$1:CF444,0))),0,MAX($CE$1:CE444)+1)</f>
        <v>0</v>
      </c>
      <c r="CF445" s="8">
        <f>IF(OR(Tank5!$D$18="HORIZONTAL FIXED ROOF",Tank5!$D$18="VERTICAL FIXED ROOF"),IF(Tank5!$E35="",0,Tank5!$E35),0)</f>
        <v>0</v>
      </c>
      <c r="FB445" s="8" t="s">
        <v>1222</v>
      </c>
      <c r="FC445" s="8" t="s">
        <v>9825</v>
      </c>
      <c r="FD445" s="8">
        <v>1500</v>
      </c>
      <c r="FE445" s="8">
        <v>150</v>
      </c>
    </row>
    <row r="446" spans="79:161" ht="74.25" customHeight="1" x14ac:dyDescent="0.2">
      <c r="CA446">
        <f>IF(OR(CB446=0,ISNUMBER(MATCH(CB446,$CB$1:CB445,0))),0,MAX($CA$1:CA445)+1)</f>
        <v>0</v>
      </c>
      <c r="CB446" s="8">
        <f>IF(OR(Tank5!$D$18="EXTERNAL FLOATING ROOF",Tank5!$D$18="INTERNAL FLOATING ROOF"),IF(Tank5!$E36="",0,Tank5!$E36),0)</f>
        <v>0</v>
      </c>
      <c r="CE446" s="8">
        <f>IF(OR(CF446=0,ISNUMBER(MATCH(CF446,$CF$1:CF445,0))),0,MAX($CE$1:CE445)+1)</f>
        <v>0</v>
      </c>
      <c r="CF446" s="8">
        <f>IF(OR(Tank5!$D$18="HORIZONTAL FIXED ROOF",Tank5!$D$18="VERTICAL FIXED ROOF"),IF(Tank5!$E36="",0,Tank5!$E36),0)</f>
        <v>0</v>
      </c>
      <c r="FB446" s="8" t="s">
        <v>1223</v>
      </c>
      <c r="FC446" s="8" t="s">
        <v>1224</v>
      </c>
      <c r="FD446" s="8">
        <v>5700</v>
      </c>
      <c r="FE446" s="8">
        <v>570</v>
      </c>
    </row>
    <row r="447" spans="79:161" ht="74.25" customHeight="1" x14ac:dyDescent="0.2">
      <c r="CA447">
        <f>IF(OR(CB447=0,ISNUMBER(MATCH(CB447,$CB$1:CB446,0))),0,MAX($CA$1:CA446)+1)</f>
        <v>0</v>
      </c>
      <c r="CB447" s="8">
        <f>IF(OR(Tank5!$D$18="EXTERNAL FLOATING ROOF",Tank5!$D$18="INTERNAL FLOATING ROOF"),IF(Tank5!$E37="",0,Tank5!$E37),0)</f>
        <v>0</v>
      </c>
      <c r="CE447" s="8">
        <f>IF(OR(CF447=0,ISNUMBER(MATCH(CF447,$CF$1:CF446,0))),0,MAX($CE$1:CE446)+1)</f>
        <v>0</v>
      </c>
      <c r="CF447" s="8">
        <f>IF(OR(Tank5!$D$18="HORIZONTAL FIXED ROOF",Tank5!$D$18="VERTICAL FIXED ROOF"),IF(Tank5!$E37="",0,Tank5!$E37),0)</f>
        <v>0</v>
      </c>
      <c r="FB447" s="8" t="s">
        <v>1225</v>
      </c>
      <c r="FC447" s="8" t="s">
        <v>1226</v>
      </c>
      <c r="FD447" s="8">
        <v>100</v>
      </c>
      <c r="FE447" s="8">
        <v>10</v>
      </c>
    </row>
    <row r="448" spans="79:161" ht="74.25" customHeight="1" x14ac:dyDescent="0.2">
      <c r="CA448">
        <f>IF(OR(CB448=0,ISNUMBER(MATCH(CB448,$CB$1:CB447,0))),0,MAX($CA$1:CA447)+1)</f>
        <v>0</v>
      </c>
      <c r="CB448" s="8">
        <f>IF(OR(Tank5!$D$18="EXTERNAL FLOATING ROOF",Tank5!$D$18="INTERNAL FLOATING ROOF"),IF(Tank5!$E38="",0,Tank5!$E38),0)</f>
        <v>0</v>
      </c>
      <c r="CE448" s="8">
        <f>IF(OR(CF448=0,ISNUMBER(MATCH(CF448,$CF$1:CF447,0))),0,MAX($CE$1:CE447)+1)</f>
        <v>0</v>
      </c>
      <c r="CF448" s="8">
        <f>IF(OR(Tank5!$D$18="HORIZONTAL FIXED ROOF",Tank5!$D$18="VERTICAL FIXED ROOF"),IF(Tank5!$E38="",0,Tank5!$E38),0)</f>
        <v>0</v>
      </c>
      <c r="FB448" s="8" t="s">
        <v>1227</v>
      </c>
      <c r="FC448" s="8" t="s">
        <v>1228</v>
      </c>
      <c r="FD448" s="8">
        <v>33</v>
      </c>
      <c r="FE448" s="8">
        <v>3.3</v>
      </c>
    </row>
    <row r="449" spans="79:161" ht="74.25" customHeight="1" x14ac:dyDescent="0.2">
      <c r="CA449">
        <f>IF(OR(CB449=0,ISNUMBER(MATCH(CB449,$CB$1:CB448,0))),0,MAX($CA$1:CA448)+1)</f>
        <v>0</v>
      </c>
      <c r="CB449" s="8">
        <f>IF(OR(Tank5!$D$18="EXTERNAL FLOATING ROOF",Tank5!$D$18="INTERNAL FLOATING ROOF"),IF(Tank5!$E39="",0,Tank5!$E39),0)</f>
        <v>0</v>
      </c>
      <c r="CE449" s="8">
        <f>IF(OR(CF449=0,ISNUMBER(MATCH(CF449,$CF$1:CF448,0))),0,MAX($CE$1:CE448)+1)</f>
        <v>0</v>
      </c>
      <c r="CF449" s="8">
        <f>IF(OR(Tank5!$D$18="HORIZONTAL FIXED ROOF",Tank5!$D$18="VERTICAL FIXED ROOF"),IF(Tank5!$E39="",0,Tank5!$E39),0)</f>
        <v>0</v>
      </c>
      <c r="FB449" s="8" t="s">
        <v>1229</v>
      </c>
      <c r="FC449" s="8" t="s">
        <v>1230</v>
      </c>
      <c r="FD449" s="8">
        <v>5700</v>
      </c>
      <c r="FE449" s="8">
        <v>570</v>
      </c>
    </row>
    <row r="450" spans="79:161" ht="74.25" customHeight="1" x14ac:dyDescent="0.2">
      <c r="CA450">
        <f>IF(OR(CB450=0,ISNUMBER(MATCH(CB450,$CB$1:CB449,0))),0,MAX($CA$1:CA449)+1)</f>
        <v>0</v>
      </c>
      <c r="CB450" s="8">
        <f>IF(OR(Tank5!$D$18="EXTERNAL FLOATING ROOF",Tank5!$D$18="INTERNAL FLOATING ROOF"),IF(Tank5!$E40="",0,Tank5!$E40),0)</f>
        <v>0</v>
      </c>
      <c r="CE450" s="8">
        <f>IF(OR(CF450=0,ISNUMBER(MATCH(CF450,$CF$1:CF449,0))),0,MAX($CE$1:CE449)+1)</f>
        <v>0</v>
      </c>
      <c r="CF450" s="8">
        <f>IF(OR(Tank5!$D$18="HORIZONTAL FIXED ROOF",Tank5!$D$18="VERTICAL FIXED ROOF"),IF(Tank5!$E40="",0,Tank5!$E40),0)</f>
        <v>0</v>
      </c>
      <c r="FB450" s="8" t="s">
        <v>1231</v>
      </c>
      <c r="FC450" s="8" t="s">
        <v>1232</v>
      </c>
      <c r="FD450" s="8">
        <v>16400</v>
      </c>
      <c r="FE450" s="8">
        <v>1640</v>
      </c>
    </row>
    <row r="451" spans="79:161" ht="74.25" customHeight="1" x14ac:dyDescent="0.2">
      <c r="CA451">
        <f>IF(OR(CB451=0,ISNUMBER(MATCH(CB451,$CB$1:CB450,0))),0,MAX($CA$1:CA450)+1)</f>
        <v>0</v>
      </c>
      <c r="CB451" s="8">
        <f>IF(OR(Tank5!$D$18="EXTERNAL FLOATING ROOF",Tank5!$D$18="INTERNAL FLOATING ROOF"),IF(Tank5!$E41="",0,Tank5!$E41),0)</f>
        <v>0</v>
      </c>
      <c r="CE451" s="8">
        <f>IF(OR(CF451=0,ISNUMBER(MATCH(CF451,$CF$1:CF450,0))),0,MAX($CE$1:CE450)+1)</f>
        <v>0</v>
      </c>
      <c r="CF451" s="8">
        <f>IF(OR(Tank5!$D$18="HORIZONTAL FIXED ROOF",Tank5!$D$18="VERTICAL FIXED ROOF"),IF(Tank5!$E41="",0,Tank5!$E41),0)</f>
        <v>0</v>
      </c>
      <c r="FB451" s="8" t="s">
        <v>1233</v>
      </c>
      <c r="FC451" s="8" t="s">
        <v>9826</v>
      </c>
      <c r="FD451" s="8">
        <v>5700</v>
      </c>
      <c r="FE451" s="8">
        <v>570</v>
      </c>
    </row>
    <row r="452" spans="79:161" ht="74.25" customHeight="1" x14ac:dyDescent="0.2">
      <c r="CA452">
        <f>IF(OR(CB452=0,ISNUMBER(MATCH(CB452,$CB$1:CB451,0))),0,MAX($CA$1:CA451)+1)</f>
        <v>0</v>
      </c>
      <c r="CB452" s="8">
        <f>IF(OR(Tank5!$D$18="EXTERNAL FLOATING ROOF",Tank5!$D$18="INTERNAL FLOATING ROOF"),IF(Tank5!$E42="",0,Tank5!$E42),0)</f>
        <v>0</v>
      </c>
      <c r="CE452" s="8">
        <f>IF(OR(CF452=0,ISNUMBER(MATCH(CF452,$CF$1:CF451,0))),0,MAX($CE$1:CE451)+1)</f>
        <v>0</v>
      </c>
      <c r="CF452" s="8">
        <f>IF(OR(Tank5!$D$18="HORIZONTAL FIXED ROOF",Tank5!$D$18="VERTICAL FIXED ROOF"),IF(Tank5!$E42="",0,Tank5!$E42),0)</f>
        <v>0</v>
      </c>
      <c r="FB452" s="8" t="s">
        <v>1234</v>
      </c>
      <c r="FC452" s="8" t="s">
        <v>1235</v>
      </c>
      <c r="FD452" s="8">
        <v>60</v>
      </c>
      <c r="FE452" s="8">
        <v>6</v>
      </c>
    </row>
    <row r="453" spans="79:161" ht="74.25" customHeight="1" x14ac:dyDescent="0.2">
      <c r="CA453">
        <f>IF(OR(CB453=0,ISNUMBER(MATCH(CB453,$CB$1:CB452,0))),0,MAX($CA$1:CA452)+1)</f>
        <v>0</v>
      </c>
      <c r="CB453" s="8">
        <f>IF(OR(Tank5!$D$18="EXTERNAL FLOATING ROOF",Tank5!$D$18="INTERNAL FLOATING ROOF"),IF(Tank5!$E43="",0,Tank5!$E43),0)</f>
        <v>0</v>
      </c>
      <c r="CE453" s="8">
        <f>IF(OR(CF453=0,ISNUMBER(MATCH(CF453,$CF$1:CF452,0))),0,MAX($CE$1:CE452)+1)</f>
        <v>0</v>
      </c>
      <c r="CF453" s="8">
        <f>IF(OR(Tank5!$D$18="HORIZONTAL FIXED ROOF",Tank5!$D$18="VERTICAL FIXED ROOF"),IF(Tank5!$E43="",0,Tank5!$E43),0)</f>
        <v>0</v>
      </c>
      <c r="FB453" s="8" t="s">
        <v>1236</v>
      </c>
      <c r="FC453" s="8" t="s">
        <v>9827</v>
      </c>
      <c r="FD453" s="8">
        <v>1500</v>
      </c>
      <c r="FE453" s="8">
        <v>150</v>
      </c>
    </row>
    <row r="454" spans="79:161" ht="74.25" customHeight="1" x14ac:dyDescent="0.2">
      <c r="CA454">
        <f>IF(OR(CB454=0,ISNUMBER(MATCH(CB454,$CB$1:CB453,0))),0,MAX($CA$1:CA453)+1)</f>
        <v>0</v>
      </c>
      <c r="CB454" s="8">
        <f>IF(OR(Tank5!$D$18="EXTERNAL FLOATING ROOF",Tank5!$D$18="INTERNAL FLOATING ROOF"),IF(Tank5!$E44="",0,Tank5!$E44),0)</f>
        <v>0</v>
      </c>
      <c r="CE454" s="8">
        <f>IF(OR(CF454=0,ISNUMBER(MATCH(CF454,$CF$1:CF453,0))),0,MAX($CE$1:CE453)+1)</f>
        <v>0</v>
      </c>
      <c r="CF454" s="8">
        <f>IF(OR(Tank5!$D$18="HORIZONTAL FIXED ROOF",Tank5!$D$18="VERTICAL FIXED ROOF"),IF(Tank5!$E44="",0,Tank5!$E44),0)</f>
        <v>0</v>
      </c>
      <c r="FB454" s="8" t="s">
        <v>1237</v>
      </c>
      <c r="FC454" s="8" t="s">
        <v>9828</v>
      </c>
      <c r="FD454" s="8">
        <v>1500</v>
      </c>
      <c r="FE454" s="8">
        <v>150</v>
      </c>
    </row>
    <row r="455" spans="79:161" ht="74.25" customHeight="1" x14ac:dyDescent="0.2">
      <c r="CA455">
        <f>IF(OR(CB455=0,ISNUMBER(MATCH(CB455,$CB$1:CB454,0))),0,MAX($CA$1:CA454)+1)</f>
        <v>0</v>
      </c>
      <c r="CB455" s="8">
        <f>IF(OR(Tank5!$D$18="EXTERNAL FLOATING ROOF",Tank5!$D$18="INTERNAL FLOATING ROOF"),IF(Tank5!$E45="",0,Tank5!$E45),0)</f>
        <v>0</v>
      </c>
      <c r="CE455" s="8">
        <f>IF(OR(CF455=0,ISNUMBER(MATCH(CF455,$CF$1:CF454,0))),0,MAX($CE$1:CE454)+1)</f>
        <v>0</v>
      </c>
      <c r="CF455" s="8">
        <f>IF(OR(Tank5!$D$18="HORIZONTAL FIXED ROOF",Tank5!$D$18="VERTICAL FIXED ROOF"),IF(Tank5!$E45="",0,Tank5!$E45),0)</f>
        <v>0</v>
      </c>
      <c r="FB455" s="8" t="s">
        <v>1238</v>
      </c>
      <c r="FC455" s="8" t="s">
        <v>1239</v>
      </c>
      <c r="FD455" s="8">
        <v>5700</v>
      </c>
      <c r="FE455" s="8">
        <v>570</v>
      </c>
    </row>
    <row r="456" spans="79:161" ht="74.25" customHeight="1" x14ac:dyDescent="0.2">
      <c r="CA456">
        <f>IF(OR(CB456=0,ISNUMBER(MATCH(CB456,$CB$1:CB455,0))),0,MAX($CA$1:CA455)+1)</f>
        <v>0</v>
      </c>
      <c r="CB456" s="8">
        <f>IF(OR(Tank5!$D$18="EXTERNAL FLOATING ROOF",Tank5!$D$18="INTERNAL FLOATING ROOF"),IF(Tank5!$E46="",0,Tank5!$E46),0)</f>
        <v>0</v>
      </c>
      <c r="CE456" s="8">
        <f>IF(OR(CF456=0,ISNUMBER(MATCH(CF456,$CF$1:CF455,0))),0,MAX($CE$1:CE455)+1)</f>
        <v>0</v>
      </c>
      <c r="CF456" s="8">
        <f>IF(OR(Tank5!$D$18="HORIZONTAL FIXED ROOF",Tank5!$D$18="VERTICAL FIXED ROOF"),IF(Tank5!$E46="",0,Tank5!$E46),0)</f>
        <v>0</v>
      </c>
      <c r="FB456" s="8" t="s">
        <v>1240</v>
      </c>
      <c r="FC456" s="8" t="s">
        <v>1241</v>
      </c>
      <c r="FD456" s="8">
        <v>3400</v>
      </c>
      <c r="FE456" s="8">
        <v>340</v>
      </c>
    </row>
    <row r="457" spans="79:161" ht="74.25" customHeight="1" x14ac:dyDescent="0.2">
      <c r="CA457">
        <f>IF(OR(CB457=0,ISNUMBER(MATCH(CB457,$CB$1:CB456,0))),0,MAX($CA$1:CA456)+1)</f>
        <v>0</v>
      </c>
      <c r="CB457" s="8">
        <f>IF(OR(Tank5!$D$18="EXTERNAL FLOATING ROOF",Tank5!$D$18="INTERNAL FLOATING ROOF"),IF(Tank5!$E47="",0,Tank5!$E47),0)</f>
        <v>0</v>
      </c>
      <c r="CE457" s="8">
        <f>IF(OR(CF457=0,ISNUMBER(MATCH(CF457,$CF$1:CF456,0))),0,MAX($CE$1:CE456)+1)</f>
        <v>0</v>
      </c>
      <c r="CF457" s="8">
        <f>IF(OR(Tank5!$D$18="HORIZONTAL FIXED ROOF",Tank5!$D$18="VERTICAL FIXED ROOF"),IF(Tank5!$E47="",0,Tank5!$E47),0)</f>
        <v>0</v>
      </c>
      <c r="FB457" s="8" t="s">
        <v>1242</v>
      </c>
      <c r="FC457" s="8" t="s">
        <v>1243</v>
      </c>
      <c r="FD457" s="8">
        <v>2700</v>
      </c>
      <c r="FE457" s="8">
        <v>270</v>
      </c>
    </row>
    <row r="458" spans="79:161" ht="74.25" customHeight="1" x14ac:dyDescent="0.2">
      <c r="CA458">
        <f>IF(OR(CB458=0,ISNUMBER(MATCH(CB458,$CB$1:CB457,0))),0,MAX($CA$1:CA457)+1)</f>
        <v>0</v>
      </c>
      <c r="CB458" s="8">
        <f>IF(OR(Tank5!$D$18="EXTERNAL FLOATING ROOF",Tank5!$D$18="INTERNAL FLOATING ROOF"),IF(Tank5!$E48="",0,Tank5!$E48),0)</f>
        <v>0</v>
      </c>
      <c r="CE458" s="8">
        <f>IF(OR(CF458=0,ISNUMBER(MATCH(CF458,$CF$1:CF457,0))),0,MAX($CE$1:CE457)+1)</f>
        <v>0</v>
      </c>
      <c r="CF458" s="8">
        <f>IF(OR(Tank5!$D$18="HORIZONTAL FIXED ROOF",Tank5!$D$18="VERTICAL FIXED ROOF"),IF(Tank5!$E48="",0,Tank5!$E48),0)</f>
        <v>0</v>
      </c>
      <c r="FB458" s="8" t="s">
        <v>1244</v>
      </c>
      <c r="FC458" s="8" t="s">
        <v>9829</v>
      </c>
      <c r="FD458" s="8">
        <v>3500</v>
      </c>
      <c r="FE458" s="8">
        <v>350</v>
      </c>
    </row>
    <row r="459" spans="79:161" ht="74.25" customHeight="1" x14ac:dyDescent="0.2">
      <c r="CA459">
        <f>IF(OR(CB459=0,ISNUMBER(MATCH(CB459,$CB$1:CB458,0))),0,MAX($CA$1:CA458)+1)</f>
        <v>0</v>
      </c>
      <c r="CB459" s="8">
        <f>IF(OR(Tank5!$D$18="EXTERNAL FLOATING ROOF",Tank5!$D$18="INTERNAL FLOATING ROOF"),IF(Tank5!$E49="",0,Tank5!$E49),0)</f>
        <v>0</v>
      </c>
      <c r="CE459" s="8">
        <f>IF(OR(CF459=0,ISNUMBER(MATCH(CF459,$CF$1:CF458,0))),0,MAX($CE$1:CE458)+1)</f>
        <v>0</v>
      </c>
      <c r="CF459" s="8">
        <f>IF(OR(Tank5!$D$18="HORIZONTAL FIXED ROOF",Tank5!$D$18="VERTICAL FIXED ROOF"),IF(Tank5!$E49="",0,Tank5!$E49),0)</f>
        <v>0</v>
      </c>
      <c r="FB459" s="8" t="s">
        <v>1245</v>
      </c>
      <c r="FC459" s="8" t="s">
        <v>9830</v>
      </c>
      <c r="FD459" s="8">
        <v>1500</v>
      </c>
      <c r="FE459" s="8">
        <v>150</v>
      </c>
    </row>
    <row r="460" spans="79:161" ht="74.25" customHeight="1" x14ac:dyDescent="0.2">
      <c r="CA460">
        <f>IF(OR(CB460=0,ISNUMBER(MATCH(CB460,$CB$1:CB459,0))),0,MAX($CA$1:CA459)+1)</f>
        <v>0</v>
      </c>
      <c r="CB460" s="8">
        <f>IF(OR(Tank5!$D$18="EXTERNAL FLOATING ROOF",Tank5!$D$18="INTERNAL FLOATING ROOF"),IF(Tank5!$E50="",0,Tank5!$E50),0)</f>
        <v>0</v>
      </c>
      <c r="CE460" s="8">
        <f>IF(OR(CF460=0,ISNUMBER(MATCH(CF460,$CF$1:CF459,0))),0,MAX($CE$1:CE459)+1)</f>
        <v>0</v>
      </c>
      <c r="CF460" s="8">
        <f>IF(OR(Tank5!$D$18="HORIZONTAL FIXED ROOF",Tank5!$D$18="VERTICAL FIXED ROOF"),IF(Tank5!$E50="",0,Tank5!$E50),0)</f>
        <v>0</v>
      </c>
      <c r="FB460" s="8" t="s">
        <v>1246</v>
      </c>
      <c r="FC460" s="8" t="s">
        <v>9831</v>
      </c>
      <c r="FD460" s="8">
        <v>5700</v>
      </c>
      <c r="FE460" s="8">
        <v>570</v>
      </c>
    </row>
    <row r="461" spans="79:161" ht="74.25" customHeight="1" x14ac:dyDescent="0.2">
      <c r="CA461">
        <f>IF(OR(CB461=0,ISNUMBER(MATCH(CB461,$CB$1:CB460,0))),0,MAX($CA$1:CA460)+1)</f>
        <v>0</v>
      </c>
      <c r="CB461" s="8">
        <f>IF(OR(Tank5!$D$18="EXTERNAL FLOATING ROOF",Tank5!$D$18="INTERNAL FLOATING ROOF"),IF(Tank5!$E51="",0,Tank5!$E51),0)</f>
        <v>0</v>
      </c>
      <c r="CE461" s="8">
        <f>IF(OR(CF461=0,ISNUMBER(MATCH(CF461,$CF$1:CF460,0))),0,MAX($CE$1:CE460)+1)</f>
        <v>0</v>
      </c>
      <c r="CF461" s="8">
        <f>IF(OR(Tank5!$D$18="HORIZONTAL FIXED ROOF",Tank5!$D$18="VERTICAL FIXED ROOF"),IF(Tank5!$E51="",0,Tank5!$E51),0)</f>
        <v>0</v>
      </c>
      <c r="FB461" s="8" t="s">
        <v>1247</v>
      </c>
      <c r="FC461" s="8" t="s">
        <v>1248</v>
      </c>
      <c r="FD461" s="8">
        <v>0.1</v>
      </c>
      <c r="FE461" s="8">
        <v>2</v>
      </c>
    </row>
    <row r="462" spans="79:161" ht="74.25" customHeight="1" x14ac:dyDescent="0.2">
      <c r="CA462">
        <f>IF(OR(CB462=0,ISNUMBER(MATCH(CB462,$CB$1:CB461,0))),0,MAX($CA$1:CA461)+1)</f>
        <v>0</v>
      </c>
      <c r="CB462" s="8">
        <f>IF(OR(Tank5!$D$18="EXTERNAL FLOATING ROOF",Tank5!$D$18="INTERNAL FLOATING ROOF"),IF(Tank5!$E52="",0,Tank5!$E52),0)</f>
        <v>0</v>
      </c>
      <c r="CE462" s="8">
        <f>IF(OR(CF462=0,ISNUMBER(MATCH(CF462,$CF$1:CF461,0))),0,MAX($CE$1:CE461)+1)</f>
        <v>0</v>
      </c>
      <c r="CF462" s="8">
        <f>IF(OR(Tank5!$D$18="HORIZONTAL FIXED ROOF",Tank5!$D$18="VERTICAL FIXED ROOF"),IF(Tank5!$E52="",0,Tank5!$E52),0)</f>
        <v>0</v>
      </c>
      <c r="FB462" s="8" t="s">
        <v>1249</v>
      </c>
      <c r="FC462" s="8" t="s">
        <v>1250</v>
      </c>
      <c r="FD462" s="8">
        <v>360</v>
      </c>
      <c r="FE462" s="8">
        <v>73</v>
      </c>
    </row>
    <row r="463" spans="79:161" ht="74.25" customHeight="1" x14ac:dyDescent="0.2">
      <c r="CA463">
        <f>IF(OR(CB463=0,ISNUMBER(MATCH(CB463,$CB$1:CB462,0))),0,MAX($CA$1:CA462)+1)</f>
        <v>0</v>
      </c>
      <c r="CB463" s="8">
        <f>IF(OR(Tank5!$D$18="EXTERNAL FLOATING ROOF",Tank5!$D$18="INTERNAL FLOATING ROOF"),IF(Tank5!$E53="",0,Tank5!$E53),0)</f>
        <v>0</v>
      </c>
      <c r="CE463" s="8">
        <f>IF(OR(CF463=0,ISNUMBER(MATCH(CF463,$CF$1:CF462,0))),0,MAX($CE$1:CE462)+1)</f>
        <v>0</v>
      </c>
      <c r="CF463" s="8">
        <f>IF(OR(Tank5!$D$18="HORIZONTAL FIXED ROOF",Tank5!$D$18="VERTICAL FIXED ROOF"),IF(Tank5!$E53="",0,Tank5!$E53),0)</f>
        <v>0</v>
      </c>
      <c r="FB463" s="8" t="s">
        <v>1251</v>
      </c>
      <c r="FC463" s="8" t="s">
        <v>1252</v>
      </c>
      <c r="FD463" s="8">
        <v>16400</v>
      </c>
      <c r="FE463" s="8">
        <v>1640</v>
      </c>
    </row>
    <row r="464" spans="79:161" ht="74.25" customHeight="1" x14ac:dyDescent="0.2">
      <c r="CA464">
        <f>IF(OR(CB464=0,ISNUMBER(MATCH(CB464,$CB$1:CB463,0))),0,MAX($CA$1:CA463)+1)</f>
        <v>0</v>
      </c>
      <c r="CB464" s="8">
        <f>IF(OR(Tank5!$D$18="EXTERNAL FLOATING ROOF",Tank5!$D$18="INTERNAL FLOATING ROOF"),IF(Tank5!$E54="",0,Tank5!$E54),0)</f>
        <v>0</v>
      </c>
      <c r="CE464" s="8">
        <f>IF(OR(CF464=0,ISNUMBER(MATCH(CF464,$CF$1:CF463,0))),0,MAX($CE$1:CE463)+1)</f>
        <v>0</v>
      </c>
      <c r="CF464" s="8">
        <f>IF(OR(Tank5!$D$18="HORIZONTAL FIXED ROOF",Tank5!$D$18="VERTICAL FIXED ROOF"),IF(Tank5!$E54="",0,Tank5!$E54),0)</f>
        <v>0</v>
      </c>
      <c r="FB464" s="8" t="s">
        <v>1253</v>
      </c>
      <c r="FC464" s="8" t="s">
        <v>1254</v>
      </c>
      <c r="FD464" s="8">
        <v>290</v>
      </c>
      <c r="FE464" s="8">
        <v>480</v>
      </c>
    </row>
    <row r="465" spans="79:161" ht="74.25" customHeight="1" x14ac:dyDescent="0.2">
      <c r="CA465">
        <f>IF(OR(CB465=0,ISNUMBER(MATCH(CB465,$CB$1:CB464,0))),0,MAX($CA$1:CA464)+1)</f>
        <v>0</v>
      </c>
      <c r="CB465" s="8">
        <f>IF(OR(Tank5!$D$18="EXTERNAL FLOATING ROOF",Tank5!$D$18="INTERNAL FLOATING ROOF"),IF(Tank5!$E55="",0,Tank5!$E55),0)</f>
        <v>0</v>
      </c>
      <c r="CE465" s="8">
        <f>IF(OR(CF465=0,ISNUMBER(MATCH(CF465,$CF$1:CF464,0))),0,MAX($CE$1:CE464)+1)</f>
        <v>0</v>
      </c>
      <c r="CF465" s="8">
        <f>IF(OR(Tank5!$D$18="HORIZONTAL FIXED ROOF",Tank5!$D$18="VERTICAL FIXED ROOF"),IF(Tank5!$E55="",0,Tank5!$E55),0)</f>
        <v>0</v>
      </c>
      <c r="FB465" s="8" t="s">
        <v>1255</v>
      </c>
      <c r="FC465" s="8" t="s">
        <v>1256</v>
      </c>
      <c r="FD465" s="8">
        <v>420</v>
      </c>
      <c r="FE465" s="8">
        <v>42</v>
      </c>
    </row>
    <row r="466" spans="79:161" ht="74.25" customHeight="1" x14ac:dyDescent="0.2">
      <c r="CA466">
        <f>IF(OR(CB466=0,ISNUMBER(MATCH(CB466,$CB$1:CB465,0))),0,MAX($CA$1:CA465)+1)</f>
        <v>0</v>
      </c>
      <c r="CB466" s="8">
        <f>IF(OR(Tank5!$D$18="EXTERNAL FLOATING ROOF",Tank5!$D$18="INTERNAL FLOATING ROOF"),IF(Tank5!$E56="",0,Tank5!$E56),0)</f>
        <v>0</v>
      </c>
      <c r="CE466" s="8">
        <f>IF(OR(CF466=0,ISNUMBER(MATCH(CF466,$CF$1:CF465,0))),0,MAX($CE$1:CE465)+1)</f>
        <v>0</v>
      </c>
      <c r="CF466" s="8">
        <f>IF(OR(Tank5!$D$18="HORIZONTAL FIXED ROOF",Tank5!$D$18="VERTICAL FIXED ROOF"),IF(Tank5!$E56="",0,Tank5!$E56),0)</f>
        <v>0</v>
      </c>
      <c r="FB466" s="8" t="s">
        <v>1257</v>
      </c>
      <c r="FC466" s="8" t="s">
        <v>1258</v>
      </c>
      <c r="FD466" s="8">
        <v>16400</v>
      </c>
      <c r="FE466" s="8">
        <v>1640</v>
      </c>
    </row>
    <row r="467" spans="79:161" ht="74.25" customHeight="1" x14ac:dyDescent="0.2">
      <c r="CA467">
        <f>IF(OR(CB467=0,ISNUMBER(MATCH(CB467,$CB$1:CB466,0))),0,MAX($CA$1:CA466)+1)</f>
        <v>0</v>
      </c>
      <c r="CB467" s="8">
        <f>IF(OR(Tank5!$D$18="EXTERNAL FLOATING ROOF",Tank5!$D$18="INTERNAL FLOATING ROOF"),IF(Tank5!$E57="",0,Tank5!$E57),0)</f>
        <v>0</v>
      </c>
      <c r="CE467" s="8">
        <f>IF(OR(CF467=0,ISNUMBER(MATCH(CF467,$CF$1:CF466,0))),0,MAX($CE$1:CE466)+1)</f>
        <v>0</v>
      </c>
      <c r="CF467" s="8">
        <f>IF(OR(Tank5!$D$18="HORIZONTAL FIXED ROOF",Tank5!$D$18="VERTICAL FIXED ROOF"),IF(Tank5!$E57="",0,Tank5!$E57),0)</f>
        <v>0</v>
      </c>
      <c r="FB467" s="8" t="s">
        <v>1259</v>
      </c>
      <c r="FC467" s="8" t="s">
        <v>1260</v>
      </c>
      <c r="FD467" s="8">
        <v>440</v>
      </c>
      <c r="FE467" s="8">
        <v>44</v>
      </c>
    </row>
    <row r="468" spans="79:161" ht="74.25" customHeight="1" x14ac:dyDescent="0.2">
      <c r="CA468">
        <f>IF(OR(CB468=0,ISNUMBER(MATCH(CB468,$CB$1:CB467,0))),0,MAX($CA$1:CA467)+1)</f>
        <v>0</v>
      </c>
      <c r="CB468" s="8">
        <f>IF(OR(Tank5!$D$18="EXTERNAL FLOATING ROOF",Tank5!$D$18="INTERNAL FLOATING ROOF"),IF(Tank5!$E58="",0,Tank5!$E58),0)</f>
        <v>0</v>
      </c>
      <c r="CE468" s="8">
        <f>IF(OR(CF468=0,ISNUMBER(MATCH(CF468,$CF$1:CF467,0))),0,MAX($CE$1:CE467)+1)</f>
        <v>0</v>
      </c>
      <c r="CF468" s="8">
        <f>IF(OR(Tank5!$D$18="HORIZONTAL FIXED ROOF",Tank5!$D$18="VERTICAL FIXED ROOF"),IF(Tank5!$E58="",0,Tank5!$E58),0)</f>
        <v>0</v>
      </c>
      <c r="FB468" s="8" t="s">
        <v>1261</v>
      </c>
      <c r="FC468" s="8" t="s">
        <v>1262</v>
      </c>
      <c r="FD468" s="8">
        <v>500</v>
      </c>
      <c r="FE468" s="8">
        <v>50</v>
      </c>
    </row>
    <row r="469" spans="79:161" ht="74.25" customHeight="1" x14ac:dyDescent="0.2">
      <c r="CA469">
        <f>IF(OR(CB469=0,ISNUMBER(MATCH(CB469,$CB$1:CB468,0))),0,MAX($CA$1:CA468)+1)</f>
        <v>0</v>
      </c>
      <c r="CB469" s="8">
        <f>IF(OR(Tank5!$D$18="EXTERNAL FLOATING ROOF",Tank5!$D$18="INTERNAL FLOATING ROOF"),IF(Tank5!$E59="",0,Tank5!$E59),0)</f>
        <v>0</v>
      </c>
      <c r="CE469" s="8">
        <f>IF(OR(CF469=0,ISNUMBER(MATCH(CF469,$CF$1:CF468,0))),0,MAX($CE$1:CE468)+1)</f>
        <v>0</v>
      </c>
      <c r="CF469" s="8">
        <f>IF(OR(Tank5!$D$18="HORIZONTAL FIXED ROOF",Tank5!$D$18="VERTICAL FIXED ROOF"),IF(Tank5!$E59="",0,Tank5!$E59),0)</f>
        <v>0</v>
      </c>
      <c r="FB469" s="8" t="s">
        <v>1263</v>
      </c>
      <c r="FC469" s="8" t="s">
        <v>1264</v>
      </c>
      <c r="FD469" s="8">
        <v>200</v>
      </c>
      <c r="FE469" s="8">
        <v>20</v>
      </c>
    </row>
    <row r="470" spans="79:161" ht="74.25" customHeight="1" x14ac:dyDescent="0.2">
      <c r="CA470">
        <f>IF(OR(CB470=0,ISNUMBER(MATCH(CB470,$CB$1:CB469,0))),0,MAX($CA$1:CA469)+1)</f>
        <v>0</v>
      </c>
      <c r="CB470" s="8">
        <f>IF(OR(Tank5!$D$18="EXTERNAL FLOATING ROOF",Tank5!$D$18="INTERNAL FLOATING ROOF"),IF(Tank5!$E60="",0,Tank5!$E60),0)</f>
        <v>0</v>
      </c>
      <c r="CE470" s="8">
        <f>IF(OR(CF470=0,ISNUMBER(MATCH(CF470,$CF$1:CF469,0))),0,MAX($CE$1:CE469)+1)</f>
        <v>0</v>
      </c>
      <c r="CF470" s="8">
        <f>IF(OR(Tank5!$D$18="HORIZONTAL FIXED ROOF",Tank5!$D$18="VERTICAL FIXED ROOF"),IF(Tank5!$E60="",0,Tank5!$E60),0)</f>
        <v>0</v>
      </c>
      <c r="FB470" s="8" t="s">
        <v>1265</v>
      </c>
      <c r="FC470" s="8" t="s">
        <v>1266</v>
      </c>
      <c r="FD470" s="8">
        <v>100</v>
      </c>
      <c r="FE470" s="8">
        <v>10</v>
      </c>
    </row>
    <row r="471" spans="79:161" ht="74.25" customHeight="1" x14ac:dyDescent="0.2">
      <c r="CA471">
        <f>IF(OR(CB471=0,ISNUMBER(MATCH(CB471,$CB$1:CB470,0))),0,MAX($CA$1:CA470)+1)</f>
        <v>0</v>
      </c>
      <c r="CB471" s="8">
        <f>IF(OR(Tank5!$D$18="EXTERNAL FLOATING ROOF",Tank5!$D$18="INTERNAL FLOATING ROOF"),IF(Tank5!$E61="",0,Tank5!$E61),0)</f>
        <v>0</v>
      </c>
      <c r="CE471" s="8">
        <f>IF(OR(CF471=0,ISNUMBER(MATCH(CF471,$CF$1:CF470,0))),0,MAX($CE$1:CE470)+1)</f>
        <v>0</v>
      </c>
      <c r="CF471" s="8">
        <f>IF(OR(Tank5!$D$18="HORIZONTAL FIXED ROOF",Tank5!$D$18="VERTICAL FIXED ROOF"),IF(Tank5!$E61="",0,Tank5!$E61),0)</f>
        <v>0</v>
      </c>
      <c r="FB471" s="8" t="s">
        <v>1267</v>
      </c>
      <c r="FC471" s="8" t="s">
        <v>1268</v>
      </c>
      <c r="FD471" s="8">
        <v>40</v>
      </c>
      <c r="FE471" s="8">
        <v>4</v>
      </c>
    </row>
    <row r="472" spans="79:161" ht="74.25" customHeight="1" x14ac:dyDescent="0.2">
      <c r="CA472">
        <f>IF(OR(CB472=0,ISNUMBER(MATCH(CB472,$CB$1:CB471,0))),0,MAX($CA$1:CA471)+1)</f>
        <v>0</v>
      </c>
      <c r="CB472" s="8">
        <f>IF(OR(Tank5!$D$18="EXTERNAL FLOATING ROOF",Tank5!$D$18="INTERNAL FLOATING ROOF"),IF(Tank5!$E62="",0,Tank5!$E62),0)</f>
        <v>0</v>
      </c>
      <c r="CE472" s="8">
        <f>IF(OR(CF472=0,ISNUMBER(MATCH(CF472,$CF$1:CF471,0))),0,MAX($CE$1:CE471)+1)</f>
        <v>0</v>
      </c>
      <c r="CF472" s="8">
        <f>IF(OR(Tank5!$D$18="HORIZONTAL FIXED ROOF",Tank5!$D$18="VERTICAL FIXED ROOF"),IF(Tank5!$E62="",0,Tank5!$E62),0)</f>
        <v>0</v>
      </c>
      <c r="FB472" s="8" t="s">
        <v>1269</v>
      </c>
      <c r="FC472" s="8" t="s">
        <v>1270</v>
      </c>
      <c r="FD472" s="8">
        <v>2460</v>
      </c>
      <c r="FE472" s="8">
        <v>246</v>
      </c>
    </row>
    <row r="473" spans="79:161" ht="74.25" customHeight="1" x14ac:dyDescent="0.2">
      <c r="CA473">
        <f>IF(OR(CB473=0,ISNUMBER(MATCH(CB473,$CB$1:CB472,0))),0,MAX($CA$1:CA472)+1)</f>
        <v>0</v>
      </c>
      <c r="CB473" s="8">
        <f>IF(OR(Tank5!$D$18="EXTERNAL FLOATING ROOF",Tank5!$D$18="INTERNAL FLOATING ROOF"),IF(Tank5!$E63="",0,Tank5!$E63),0)</f>
        <v>0</v>
      </c>
      <c r="CE473" s="8">
        <f>IF(OR(CF473=0,ISNUMBER(MATCH(CF473,$CF$1:CF472,0))),0,MAX($CE$1:CE472)+1)</f>
        <v>0</v>
      </c>
      <c r="CF473" s="8">
        <f>IF(OR(Tank5!$D$18="HORIZONTAL FIXED ROOF",Tank5!$D$18="VERTICAL FIXED ROOF"),IF(Tank5!$E63="",0,Tank5!$E63),0)</f>
        <v>0</v>
      </c>
      <c r="FB473" s="8" t="s">
        <v>1271</v>
      </c>
      <c r="FC473" s="8" t="s">
        <v>1272</v>
      </c>
      <c r="FD473" s="8">
        <v>1400</v>
      </c>
      <c r="FE473" s="8">
        <v>140</v>
      </c>
    </row>
    <row r="474" spans="79:161" ht="74.25" customHeight="1" x14ac:dyDescent="0.2">
      <c r="CA474">
        <f>IF(OR(CB474=0,ISNUMBER(MATCH(CB474,$CB$1:CB473,0))),0,MAX($CA$1:CA473)+1)</f>
        <v>0</v>
      </c>
      <c r="CB474" s="8">
        <f>IF(OR(Tank5!$D$18="EXTERNAL FLOATING ROOF",Tank5!$D$18="INTERNAL FLOATING ROOF"),IF(Tank5!$E64="",0,Tank5!$E64),0)</f>
        <v>0</v>
      </c>
      <c r="CE474" s="8">
        <f>IF(OR(CF474=0,ISNUMBER(MATCH(CF474,$CF$1:CF473,0))),0,MAX($CE$1:CE473)+1)</f>
        <v>0</v>
      </c>
      <c r="CF474" s="8">
        <f>IF(OR(Tank5!$D$18="HORIZONTAL FIXED ROOF",Tank5!$D$18="VERTICAL FIXED ROOF"),IF(Tank5!$E64="",0,Tank5!$E64),0)</f>
        <v>0</v>
      </c>
      <c r="FB474" s="8" t="s">
        <v>1273</v>
      </c>
      <c r="FC474" s="8" t="s">
        <v>1274</v>
      </c>
      <c r="FD474" s="8">
        <v>1400</v>
      </c>
      <c r="FE474" s="8">
        <v>140</v>
      </c>
    </row>
    <row r="475" spans="79:161" ht="74.25" customHeight="1" x14ac:dyDescent="0.2">
      <c r="CA475">
        <f>IF(OR(CB475=0,ISNUMBER(MATCH(CB475,$CB$1:CB474,0))),0,MAX($CA$1:CA474)+1)</f>
        <v>0</v>
      </c>
      <c r="CB475" s="8">
        <f>IF(OR(Tank5!$D$18="EXTERNAL FLOATING ROOF",Tank5!$D$18="INTERNAL FLOATING ROOF"),IF(Tank5!$E65="",0,Tank5!$E65),0)</f>
        <v>0</v>
      </c>
      <c r="CE475" s="8">
        <f>IF(OR(CF475=0,ISNUMBER(MATCH(CF475,$CF$1:CF474,0))),0,MAX($CE$1:CE474)+1)</f>
        <v>0</v>
      </c>
      <c r="CF475" s="8">
        <f>IF(OR(Tank5!$D$18="HORIZONTAL FIXED ROOF",Tank5!$D$18="VERTICAL FIXED ROOF"),IF(Tank5!$E65="",0,Tank5!$E65),0)</f>
        <v>0</v>
      </c>
      <c r="FB475" s="8" t="s">
        <v>1275</v>
      </c>
      <c r="FC475" s="8" t="s">
        <v>1275</v>
      </c>
      <c r="FD475" s="8">
        <v>20</v>
      </c>
      <c r="FE475" s="8">
        <v>2</v>
      </c>
    </row>
    <row r="476" spans="79:161" ht="74.25" customHeight="1" x14ac:dyDescent="0.2">
      <c r="CA476">
        <f>IF(OR(CB476=0,ISNUMBER(MATCH(CB476,$CB$1:CB475,0))),0,MAX($CA$1:CA475)+1)</f>
        <v>0</v>
      </c>
      <c r="CB476" s="8">
        <f>IF(OR(Tank5!$D$18="EXTERNAL FLOATING ROOF",Tank5!$D$18="INTERNAL FLOATING ROOF"),IF(Tank5!$E66="",0,Tank5!$E66),0)</f>
        <v>0</v>
      </c>
      <c r="CE476" s="8">
        <f>IF(OR(CF476=0,ISNUMBER(MATCH(CF476,$CF$1:CF475,0))),0,MAX($CE$1:CE475)+1)</f>
        <v>0</v>
      </c>
      <c r="CF476" s="8">
        <f>IF(OR(Tank5!$D$18="HORIZONTAL FIXED ROOF",Tank5!$D$18="VERTICAL FIXED ROOF"),IF(Tank5!$E66="",0,Tank5!$E66),0)</f>
        <v>0</v>
      </c>
      <c r="FB476" s="8" t="s">
        <v>1276</v>
      </c>
      <c r="FC476" s="8" t="s">
        <v>1277</v>
      </c>
      <c r="FD476" s="8">
        <v>1000</v>
      </c>
      <c r="FE476" s="8">
        <v>100</v>
      </c>
    </row>
    <row r="477" spans="79:161" ht="74.25" customHeight="1" x14ac:dyDescent="0.2">
      <c r="CA477">
        <f>IF(OR(CB477=0,ISNUMBER(MATCH(CB477,$CB$1:CB476,0))),0,MAX($CA$1:CA476)+1)</f>
        <v>0</v>
      </c>
      <c r="CB477" s="8">
        <f>IF(OR(Tank5!$D$18="EXTERNAL FLOATING ROOF",Tank5!$D$18="INTERNAL FLOATING ROOF"),IF(Tank5!$E67="",0,Tank5!$E67),0)</f>
        <v>0</v>
      </c>
      <c r="CE477" s="8">
        <f>IF(OR(CF477=0,ISNUMBER(MATCH(CF477,$CF$1:CF476,0))),0,MAX($CE$1:CE476)+1)</f>
        <v>0</v>
      </c>
      <c r="CF477" s="8">
        <f>IF(OR(Tank5!$D$18="HORIZONTAL FIXED ROOF",Tank5!$D$18="VERTICAL FIXED ROOF"),IF(Tank5!$E67="",0,Tank5!$E67),0)</f>
        <v>0</v>
      </c>
      <c r="FB477" s="8" t="s">
        <v>1278</v>
      </c>
      <c r="FC477" s="8" t="s">
        <v>9832</v>
      </c>
      <c r="FD477" s="8">
        <v>5700</v>
      </c>
      <c r="FE477" s="8">
        <v>570</v>
      </c>
    </row>
    <row r="478" spans="79:161" ht="74.25" customHeight="1" x14ac:dyDescent="0.2">
      <c r="CA478">
        <f>IF(OR(CB478=0,ISNUMBER(MATCH(CB478,$CB$1:CB477,0))),0,MAX($CA$1:CA477)+1)</f>
        <v>0</v>
      </c>
      <c r="CB478" s="8">
        <f>IF(OR(Tank5!$D$18="EXTERNAL FLOATING ROOF",Tank5!$D$18="INTERNAL FLOATING ROOF"),IF(Tank5!$E68="",0,Tank5!$E68),0)</f>
        <v>0</v>
      </c>
      <c r="CE478" s="8">
        <f>IF(OR(CF478=0,ISNUMBER(MATCH(CF478,$CF$1:CF477,0))),0,MAX($CE$1:CE477)+1)</f>
        <v>0</v>
      </c>
      <c r="CF478" s="8">
        <f>IF(OR(Tank5!$D$18="HORIZONTAL FIXED ROOF",Tank5!$D$18="VERTICAL FIXED ROOF"),IF(Tank5!$E68="",0,Tank5!$E68),0)</f>
        <v>0</v>
      </c>
      <c r="FB478" s="8" t="s">
        <v>1279</v>
      </c>
      <c r="FC478" s="8" t="s">
        <v>9833</v>
      </c>
      <c r="FD478" s="8">
        <v>1500</v>
      </c>
      <c r="FE478" s="8">
        <v>150</v>
      </c>
    </row>
    <row r="479" spans="79:161" ht="74.25" customHeight="1" x14ac:dyDescent="0.2">
      <c r="CA479">
        <f>IF(OR(CB479=0,ISNUMBER(MATCH(CB479,$CB$1:CB478,0))),0,MAX($CA$1:CA478)+1)</f>
        <v>0</v>
      </c>
      <c r="CB479" s="8">
        <f>IF(OR(Tank5!$D$18="EXTERNAL FLOATING ROOF",Tank5!$D$18="INTERNAL FLOATING ROOF"),IF(Tank5!$E69="",0,Tank5!$E69),0)</f>
        <v>0</v>
      </c>
      <c r="CE479" s="8">
        <f>IF(OR(CF479=0,ISNUMBER(MATCH(CF479,$CF$1:CF478,0))),0,MAX($CE$1:CE478)+1)</f>
        <v>0</v>
      </c>
      <c r="CF479" s="8">
        <f>IF(OR(Tank5!$D$18="HORIZONTAL FIXED ROOF",Tank5!$D$18="VERTICAL FIXED ROOF"),IF(Tank5!$E69="",0,Tank5!$E69),0)</f>
        <v>0</v>
      </c>
      <c r="FB479" s="8" t="s">
        <v>1280</v>
      </c>
      <c r="FC479" s="8" t="s">
        <v>1281</v>
      </c>
      <c r="FD479" s="8">
        <v>340</v>
      </c>
      <c r="FE479" s="8">
        <v>34</v>
      </c>
    </row>
    <row r="480" spans="79:161" ht="74.25" customHeight="1" x14ac:dyDescent="0.2">
      <c r="CA480">
        <f>IF(OR(CB480=0,ISNUMBER(MATCH(CB480,$CB$1:CB479,0))),0,MAX($CA$1:CA479)+1)</f>
        <v>0</v>
      </c>
      <c r="CB480" s="8">
        <f>IF(OR(Tank5!$D$18="EXTERNAL FLOATING ROOF",Tank5!$D$18="INTERNAL FLOATING ROOF"),IF(Tank5!$E70="",0,Tank5!$E70),0)</f>
        <v>0</v>
      </c>
      <c r="CE480" s="8">
        <f>IF(OR(CF480=0,ISNUMBER(MATCH(CF480,$CF$1:CF479,0))),0,MAX($CE$1:CE479)+1)</f>
        <v>0</v>
      </c>
      <c r="CF480" s="8">
        <f>IF(OR(Tank5!$D$18="HORIZONTAL FIXED ROOF",Tank5!$D$18="VERTICAL FIXED ROOF"),IF(Tank5!$E70="",0,Tank5!$E70),0)</f>
        <v>0</v>
      </c>
      <c r="FB480" s="8" t="s">
        <v>1282</v>
      </c>
      <c r="FC480" s="8" t="s">
        <v>1283</v>
      </c>
      <c r="FD480" s="8">
        <v>5700</v>
      </c>
      <c r="FE480" s="8">
        <v>570</v>
      </c>
    </row>
    <row r="481" spans="79:161" ht="74.25" customHeight="1" x14ac:dyDescent="0.2">
      <c r="CA481">
        <f>IF(OR(CB481=0,ISNUMBER(MATCH(CB481,$CB$1:CB480,0))),0,MAX($CA$1:CA480)+1)</f>
        <v>0</v>
      </c>
      <c r="CB481" s="8">
        <f>IF(OR(Tank5!$D$18="EXTERNAL FLOATING ROOF",Tank5!$D$18="INTERNAL FLOATING ROOF"),IF(Tank5!$E71="",0,Tank5!$E71),0)</f>
        <v>0</v>
      </c>
      <c r="CE481" s="8">
        <f>IF(OR(CF481=0,ISNUMBER(MATCH(CF481,$CF$1:CF480,0))),0,MAX($CE$1:CE480)+1)</f>
        <v>0</v>
      </c>
      <c r="CF481" s="8">
        <f>IF(OR(Tank5!$D$18="HORIZONTAL FIXED ROOF",Tank5!$D$18="VERTICAL FIXED ROOF"),IF(Tank5!$E71="",0,Tank5!$E71),0)</f>
        <v>0</v>
      </c>
      <c r="FB481" s="8" t="s">
        <v>1284</v>
      </c>
      <c r="FC481" s="8" t="s">
        <v>1285</v>
      </c>
      <c r="FD481" s="8">
        <v>5700</v>
      </c>
      <c r="FE481" s="8">
        <v>570</v>
      </c>
    </row>
    <row r="482" spans="79:161" ht="74.25" customHeight="1" x14ac:dyDescent="0.2">
      <c r="CA482">
        <f>IF(OR(CB482=0,ISNUMBER(MATCH(CB482,$CB$1:CB481,0))),0,MAX($CA$1:CA481)+1)</f>
        <v>0</v>
      </c>
      <c r="CB482" s="8">
        <f>IF(OR(Tank5!$D$18="EXTERNAL FLOATING ROOF",Tank5!$D$18="INTERNAL FLOATING ROOF"),IF(Tank5!$E72="",0,Tank5!$E72),0)</f>
        <v>0</v>
      </c>
      <c r="CE482" s="8">
        <f>IF(OR(CF482=0,ISNUMBER(MATCH(CF482,$CF$1:CF481,0))),0,MAX($CE$1:CE481)+1)</f>
        <v>0</v>
      </c>
      <c r="CF482" s="8">
        <f>IF(OR(Tank5!$D$18="HORIZONTAL FIXED ROOF",Tank5!$D$18="VERTICAL FIXED ROOF"),IF(Tank5!$E72="",0,Tank5!$E72),0)</f>
        <v>0</v>
      </c>
      <c r="FB482" s="8" t="s">
        <v>1286</v>
      </c>
      <c r="FC482" s="8" t="s">
        <v>1287</v>
      </c>
      <c r="FD482" s="8">
        <v>1500</v>
      </c>
      <c r="FE482" s="8">
        <v>150</v>
      </c>
    </row>
    <row r="483" spans="79:161" ht="74.25" customHeight="1" x14ac:dyDescent="0.2">
      <c r="CA483">
        <f>IF(OR(CB483=0,ISNUMBER(MATCH(CB483,$CB$1:CB482,0))),0,MAX($CA$1:CA482)+1)</f>
        <v>0</v>
      </c>
      <c r="CB483" s="8">
        <f>IF(OR(Tank5!$D$18="EXTERNAL FLOATING ROOF",Tank5!$D$18="INTERNAL FLOATING ROOF"),IF(Tank5!$E73="",0,Tank5!$E73),0)</f>
        <v>0</v>
      </c>
      <c r="CE483" s="8">
        <f>IF(OR(CF483=0,ISNUMBER(MATCH(CF483,$CF$1:CF482,0))),0,MAX($CE$1:CE482)+1)</f>
        <v>0</v>
      </c>
      <c r="CF483" s="8">
        <f>IF(OR(Tank5!$D$18="HORIZONTAL FIXED ROOF",Tank5!$D$18="VERTICAL FIXED ROOF"),IF(Tank5!$E73="",0,Tank5!$E73),0)</f>
        <v>0</v>
      </c>
      <c r="FB483" s="8" t="s">
        <v>1288</v>
      </c>
      <c r="FC483" s="8" t="s">
        <v>1289</v>
      </c>
      <c r="FD483" s="8">
        <v>39</v>
      </c>
      <c r="FE483" s="8">
        <v>3.9</v>
      </c>
    </row>
    <row r="484" spans="79:161" ht="74.25" customHeight="1" x14ac:dyDescent="0.2">
      <c r="CA484">
        <f>IF(OR(CB484=0,ISNUMBER(MATCH(CB484,$CB$1:CB483,0))),0,MAX($CA$1:CA483)+1)</f>
        <v>0</v>
      </c>
      <c r="CB484" s="8">
        <f>IF(OR(Tank5!$D$18="EXTERNAL FLOATING ROOF",Tank5!$D$18="INTERNAL FLOATING ROOF"),IF(Tank5!$E74="",0,Tank5!$E74),0)</f>
        <v>0</v>
      </c>
      <c r="CE484" s="8">
        <f>IF(OR(CF484=0,ISNUMBER(MATCH(CF484,$CF$1:CF483,0))),0,MAX($CE$1:CE483)+1)</f>
        <v>0</v>
      </c>
      <c r="CF484" s="8">
        <f>IF(OR(Tank5!$D$18="HORIZONTAL FIXED ROOF",Tank5!$D$18="VERTICAL FIXED ROOF"),IF(Tank5!$E74="",0,Tank5!$E74),0)</f>
        <v>0</v>
      </c>
      <c r="FB484" s="8" t="s">
        <v>1290</v>
      </c>
      <c r="FC484" s="8" t="s">
        <v>1291</v>
      </c>
      <c r="FD484" s="8">
        <v>5700</v>
      </c>
      <c r="FE484" s="8">
        <v>570</v>
      </c>
    </row>
    <row r="485" spans="79:161" ht="74.25" customHeight="1" x14ac:dyDescent="0.2">
      <c r="CA485">
        <f>IF(OR(CB485=0,ISNUMBER(MATCH(CB485,$CB$1:CB484,0))),0,MAX($CA$1:CA484)+1)</f>
        <v>0</v>
      </c>
      <c r="CB485" s="8">
        <f>IF(OR(Tank5!$D$18="EXTERNAL FLOATING ROOF",Tank5!$D$18="INTERNAL FLOATING ROOF"),IF(Tank5!$E75="",0,Tank5!$E75),0)</f>
        <v>0</v>
      </c>
      <c r="CE485" s="8">
        <f>IF(OR(CF485=0,ISNUMBER(MATCH(CF485,$CF$1:CF484,0))),0,MAX($CE$1:CE484)+1)</f>
        <v>0</v>
      </c>
      <c r="CF485" s="8">
        <f>IF(OR(Tank5!$D$18="HORIZONTAL FIXED ROOF",Tank5!$D$18="VERTICAL FIXED ROOF"),IF(Tank5!$E75="",0,Tank5!$E75),0)</f>
        <v>0</v>
      </c>
      <c r="FB485" s="8" t="s">
        <v>1292</v>
      </c>
      <c r="FC485" s="8" t="s">
        <v>1293</v>
      </c>
      <c r="FD485" s="8">
        <v>100</v>
      </c>
      <c r="FE485" s="8">
        <v>10</v>
      </c>
    </row>
    <row r="486" spans="79:161" ht="74.25" customHeight="1" x14ac:dyDescent="0.2">
      <c r="CA486">
        <f>IF(OR(CB486=0,ISNUMBER(MATCH(CB486,$CB$1:CB485,0))),0,MAX($CA$1:CA485)+1)</f>
        <v>0</v>
      </c>
      <c r="CB486" s="8">
        <f>IF(OR(Tank5!$D$18="EXTERNAL FLOATING ROOF",Tank5!$D$18="INTERNAL FLOATING ROOF"),IF(Tank5!$E76="",0,Tank5!$E76),0)</f>
        <v>0</v>
      </c>
      <c r="CE486" s="8">
        <f>IF(OR(CF486=0,ISNUMBER(MATCH(CF486,$CF$1:CF485,0))),0,MAX($CE$1:CE485)+1)</f>
        <v>0</v>
      </c>
      <c r="CF486" s="8">
        <f>IF(OR(Tank5!$D$18="HORIZONTAL FIXED ROOF",Tank5!$D$18="VERTICAL FIXED ROOF"),IF(Tank5!$E76="",0,Tank5!$E76),0)</f>
        <v>0</v>
      </c>
      <c r="FB486" s="8" t="s">
        <v>1294</v>
      </c>
      <c r="FC486" s="8" t="s">
        <v>1295</v>
      </c>
      <c r="FD486" s="8">
        <v>120</v>
      </c>
      <c r="FE486" s="8">
        <v>12</v>
      </c>
    </row>
    <row r="487" spans="79:161" ht="74.25" customHeight="1" x14ac:dyDescent="0.2">
      <c r="CA487">
        <f>IF(OR(CB487=0,ISNUMBER(MATCH(CB487,$CB$1:CB486,0))),0,MAX($CA$1:CA486)+1)</f>
        <v>0</v>
      </c>
      <c r="CB487" s="8">
        <f>IF(OR(Tank5!$D$18="EXTERNAL FLOATING ROOF",Tank5!$D$18="INTERNAL FLOATING ROOF"),IF(Tank5!$E77="",0,Tank5!$E77),0)</f>
        <v>0</v>
      </c>
      <c r="CE487" s="8">
        <f>IF(OR(CF487=0,ISNUMBER(MATCH(CF487,$CF$1:CF486,0))),0,MAX($CE$1:CE486)+1)</f>
        <v>0</v>
      </c>
      <c r="CF487" s="8">
        <f>IF(OR(Tank5!$D$18="HORIZONTAL FIXED ROOF",Tank5!$D$18="VERTICAL FIXED ROOF"),IF(Tank5!$E77="",0,Tank5!$E77),0)</f>
        <v>0</v>
      </c>
      <c r="FB487" s="8" t="s">
        <v>1296</v>
      </c>
      <c r="FC487" s="8" t="s">
        <v>1297</v>
      </c>
      <c r="FD487" s="8">
        <v>50</v>
      </c>
      <c r="FE487" s="8">
        <v>5</v>
      </c>
    </row>
    <row r="488" spans="79:161" ht="74.25" customHeight="1" x14ac:dyDescent="0.2">
      <c r="CA488">
        <f>IF(OR(CB488=0,ISNUMBER(MATCH(CB488,$CB$1:CB487,0))),0,MAX($CA$1:CA487)+1)</f>
        <v>0</v>
      </c>
      <c r="CB488" s="8">
        <f>IF(OR(Tank5!$D$18="EXTERNAL FLOATING ROOF",Tank5!$D$18="INTERNAL FLOATING ROOF"),IF(Tank5!$E78="",0,Tank5!$E78),0)</f>
        <v>0</v>
      </c>
      <c r="CE488" s="8">
        <f>IF(OR(CF488=0,ISNUMBER(MATCH(CF488,$CF$1:CF487,0))),0,MAX($CE$1:CE487)+1)</f>
        <v>0</v>
      </c>
      <c r="CF488" s="8">
        <f>IF(OR(Tank5!$D$18="HORIZONTAL FIXED ROOF",Tank5!$D$18="VERTICAL FIXED ROOF"),IF(Tank5!$E78="",0,Tank5!$E78),0)</f>
        <v>0</v>
      </c>
      <c r="FB488" s="8" t="s">
        <v>1298</v>
      </c>
      <c r="FC488" s="8" t="s">
        <v>1299</v>
      </c>
      <c r="FD488" s="8">
        <v>420</v>
      </c>
      <c r="FE488" s="8">
        <v>42</v>
      </c>
    </row>
    <row r="489" spans="79:161" ht="74.25" customHeight="1" x14ac:dyDescent="0.2">
      <c r="CA489">
        <f>IF(OR(CB489=0,ISNUMBER(MATCH(CB489,$CB$1:CB488,0))),0,MAX($CA$1:CA488)+1)</f>
        <v>0</v>
      </c>
      <c r="CB489" s="8">
        <f>IF(OR(Tank5!$D$18="EXTERNAL FLOATING ROOF",Tank5!$D$18="INTERNAL FLOATING ROOF"),IF(Tank5!$E79="",0,Tank5!$E79),0)</f>
        <v>0</v>
      </c>
      <c r="CE489" s="8">
        <f>IF(OR(CF489=0,ISNUMBER(MATCH(CF489,$CF$1:CF488,0))),0,MAX($CE$1:CE488)+1)</f>
        <v>0</v>
      </c>
      <c r="CF489" s="8">
        <f>IF(OR(Tank5!$D$18="HORIZONTAL FIXED ROOF",Tank5!$D$18="VERTICAL FIXED ROOF"),IF(Tank5!$E79="",0,Tank5!$E79),0)</f>
        <v>0</v>
      </c>
      <c r="FB489" s="8" t="s">
        <v>1300</v>
      </c>
      <c r="FC489" s="8" t="s">
        <v>1301</v>
      </c>
      <c r="FD489" s="8">
        <v>20</v>
      </c>
      <c r="FE489" s="8">
        <v>2</v>
      </c>
    </row>
    <row r="490" spans="79:161" ht="74.25" customHeight="1" x14ac:dyDescent="0.2">
      <c r="CA490">
        <f>IF(OR(CB490=0,ISNUMBER(MATCH(CB490,$CB$1:CB489,0))),0,MAX($CA$1:CA489)+1)</f>
        <v>0</v>
      </c>
      <c r="CB490" s="8">
        <f>IF(OR(Tank5!$D$18="EXTERNAL FLOATING ROOF",Tank5!$D$18="INTERNAL FLOATING ROOF"),IF(Tank5!$E80="",0,Tank5!$E80),0)</f>
        <v>0</v>
      </c>
      <c r="CE490" s="8">
        <f>IF(OR(CF490=0,ISNUMBER(MATCH(CF490,$CF$1:CF489,0))),0,MAX($CE$1:CE489)+1)</f>
        <v>0</v>
      </c>
      <c r="CF490" s="8">
        <f>IF(OR(Tank5!$D$18="HORIZONTAL FIXED ROOF",Tank5!$D$18="VERTICAL FIXED ROOF"),IF(Tank5!$E80="",0,Tank5!$E80),0)</f>
        <v>0</v>
      </c>
      <c r="FB490" s="8" t="s">
        <v>1302</v>
      </c>
      <c r="FC490" s="8" t="s">
        <v>1303</v>
      </c>
      <c r="FD490" s="8">
        <v>100</v>
      </c>
      <c r="FE490" s="8">
        <v>10</v>
      </c>
    </row>
    <row r="491" spans="79:161" ht="74.25" customHeight="1" x14ac:dyDescent="0.2">
      <c r="CA491">
        <f>IF(OR(CB491=0,ISNUMBER(MATCH(CB491,$CB$1:CB490,0))),0,MAX($CA$1:CA490)+1)</f>
        <v>0</v>
      </c>
      <c r="CB491" s="8">
        <f>IF(OR(Tank5!$D$18="EXTERNAL FLOATING ROOF",Tank5!$D$18="INTERNAL FLOATING ROOF"),IF(Tank5!$E81="",0,Tank5!$E81),0)</f>
        <v>0</v>
      </c>
      <c r="CE491" s="8">
        <f>IF(OR(CF491=0,ISNUMBER(MATCH(CF491,$CF$1:CF490,0))),0,MAX($CE$1:CE490)+1)</f>
        <v>0</v>
      </c>
      <c r="CF491" s="8">
        <f>IF(OR(Tank5!$D$18="HORIZONTAL FIXED ROOF",Tank5!$D$18="VERTICAL FIXED ROOF"),IF(Tank5!$E81="",0,Tank5!$E81),0)</f>
        <v>0</v>
      </c>
      <c r="FB491" s="8" t="s">
        <v>1304</v>
      </c>
      <c r="FC491" s="8" t="s">
        <v>1305</v>
      </c>
      <c r="FD491" s="8">
        <v>600</v>
      </c>
      <c r="FE491" s="8">
        <v>60</v>
      </c>
    </row>
    <row r="492" spans="79:161" ht="74.25" customHeight="1" x14ac:dyDescent="0.2">
      <c r="CA492">
        <f>IF(OR(CB492=0,ISNUMBER(MATCH(CB492,$CB$1:CB491,0))),0,MAX($CA$1:CA491)+1)</f>
        <v>0</v>
      </c>
      <c r="CB492" s="8">
        <f>IF(OR(Tank5!$D$18="EXTERNAL FLOATING ROOF",Tank5!$D$18="INTERNAL FLOATING ROOF"),IF(Tank5!$E82="",0,Tank5!$E82),0)</f>
        <v>0</v>
      </c>
      <c r="CE492" s="8">
        <f>IF(OR(CF492=0,ISNUMBER(MATCH(CF492,$CF$1:CF491,0))),0,MAX($CE$1:CE491)+1)</f>
        <v>0</v>
      </c>
      <c r="CF492" s="8">
        <f>IF(OR(Tank5!$D$18="HORIZONTAL FIXED ROOF",Tank5!$D$18="VERTICAL FIXED ROOF"),IF(Tank5!$E82="",0,Tank5!$E82),0)</f>
        <v>0</v>
      </c>
      <c r="FB492" s="8" t="s">
        <v>1306</v>
      </c>
      <c r="FC492" s="8" t="s">
        <v>1307</v>
      </c>
      <c r="FD492" s="8">
        <v>380</v>
      </c>
      <c r="FE492" s="8">
        <v>38</v>
      </c>
    </row>
    <row r="493" spans="79:161" ht="74.25" customHeight="1" x14ac:dyDescent="0.2">
      <c r="CA493">
        <f>IF(OR(CB493=0,ISNUMBER(MATCH(CB493,$CB$1:CB492,0))),0,MAX($CA$1:CA492)+1)</f>
        <v>0</v>
      </c>
      <c r="CB493" s="8">
        <f>IF(OR(Tank5!$D$18="EXTERNAL FLOATING ROOF",Tank5!$D$18="INTERNAL FLOATING ROOF"),IF(Tank5!$E83="",0,Tank5!$E83),0)</f>
        <v>0</v>
      </c>
      <c r="CE493" s="8">
        <f>IF(OR(CF493=0,ISNUMBER(MATCH(CF493,$CF$1:CF492,0))),0,MAX($CE$1:CE492)+1)</f>
        <v>0</v>
      </c>
      <c r="CF493" s="8">
        <f>IF(OR(Tank5!$D$18="HORIZONTAL FIXED ROOF",Tank5!$D$18="VERTICAL FIXED ROOF"),IF(Tank5!$E83="",0,Tank5!$E83),0)</f>
        <v>0</v>
      </c>
      <c r="FB493" s="8" t="s">
        <v>1308</v>
      </c>
      <c r="FC493" s="8" t="s">
        <v>1309</v>
      </c>
      <c r="FD493" s="8">
        <v>600</v>
      </c>
      <c r="FE493" s="8">
        <v>60</v>
      </c>
    </row>
    <row r="494" spans="79:161" ht="74.25" customHeight="1" x14ac:dyDescent="0.2">
      <c r="CA494">
        <f>IF(OR(CB494=0,ISNUMBER(MATCH(CB494,$CB$1:CB493,0))),0,MAX($CA$1:CA493)+1)</f>
        <v>0</v>
      </c>
      <c r="CB494" s="8">
        <f>IF(OR(Tank5!$D$18="EXTERNAL FLOATING ROOF",Tank5!$D$18="INTERNAL FLOATING ROOF"),IF(Tank5!$E84="",0,Tank5!$E84),0)</f>
        <v>0</v>
      </c>
      <c r="CE494" s="8">
        <f>IF(OR(CF494=0,ISNUMBER(MATCH(CF494,$CF$1:CF493,0))),0,MAX($CE$1:CE493)+1)</f>
        <v>0</v>
      </c>
      <c r="CF494" s="8">
        <f>IF(OR(Tank5!$D$18="HORIZONTAL FIXED ROOF",Tank5!$D$18="VERTICAL FIXED ROOF"),IF(Tank5!$E84="",0,Tank5!$E84),0)</f>
        <v>0</v>
      </c>
      <c r="FB494" s="8" t="s">
        <v>1310</v>
      </c>
      <c r="FC494" s="8" t="s">
        <v>1311</v>
      </c>
      <c r="FD494" s="8">
        <v>10</v>
      </c>
      <c r="FE494" s="8">
        <v>1</v>
      </c>
    </row>
    <row r="495" spans="79:161" ht="74.25" customHeight="1" x14ac:dyDescent="0.2">
      <c r="CA495">
        <f>IF(OR(CB495=0,ISNUMBER(MATCH(CB495,$CB$1:CB494,0))),0,MAX($CA$1:CA494)+1)</f>
        <v>0</v>
      </c>
      <c r="CB495" s="8">
        <f>IF(OR(Tank5!$D$18="EXTERNAL FLOATING ROOF",Tank5!$D$18="INTERNAL FLOATING ROOF"),IF(Tank5!$E85="",0,Tank5!$E85),0)</f>
        <v>0</v>
      </c>
      <c r="CE495" s="8">
        <f>IF(OR(CF495=0,ISNUMBER(MATCH(CF495,$CF$1:CF494,0))),0,MAX($CE$1:CE494)+1)</f>
        <v>0</v>
      </c>
      <c r="CF495" s="8">
        <f>IF(OR(Tank5!$D$18="HORIZONTAL FIXED ROOF",Tank5!$D$18="VERTICAL FIXED ROOF"),IF(Tank5!$E85="",0,Tank5!$E85),0)</f>
        <v>0</v>
      </c>
      <c r="FB495" s="8" t="s">
        <v>1312</v>
      </c>
      <c r="FC495" s="8" t="s">
        <v>1313</v>
      </c>
      <c r="FD495" s="8">
        <v>800</v>
      </c>
      <c r="FE495" s="8">
        <v>80</v>
      </c>
    </row>
    <row r="496" spans="79:161" ht="74.25" customHeight="1" x14ac:dyDescent="0.2">
      <c r="CA496">
        <f>IF(OR(CB496=0,ISNUMBER(MATCH(CB496,$CB$1:CB495,0))),0,MAX($CA$1:CA495)+1)</f>
        <v>0</v>
      </c>
      <c r="CB496" s="8">
        <f>IF(OR(Tank5!$D$18="EXTERNAL FLOATING ROOF",Tank5!$D$18="INTERNAL FLOATING ROOF"),IF(Tank5!$E86="",0,Tank5!$E86),0)</f>
        <v>0</v>
      </c>
      <c r="CE496" s="8">
        <f>IF(OR(CF496=0,ISNUMBER(MATCH(CF496,$CF$1:CF495,0))),0,MAX($CE$1:CE495)+1)</f>
        <v>0</v>
      </c>
      <c r="CF496" s="8">
        <f>IF(OR(Tank5!$D$18="HORIZONTAL FIXED ROOF",Tank5!$D$18="VERTICAL FIXED ROOF"),IF(Tank5!$E86="",0,Tank5!$E86),0)</f>
        <v>0</v>
      </c>
      <c r="FB496" s="8" t="s">
        <v>1314</v>
      </c>
      <c r="FC496" s="8" t="s">
        <v>1315</v>
      </c>
      <c r="FD496" s="8">
        <v>120</v>
      </c>
      <c r="FE496" s="8">
        <v>12</v>
      </c>
    </row>
    <row r="497" spans="79:161" ht="74.25" customHeight="1" x14ac:dyDescent="0.2">
      <c r="CA497">
        <f>IF(OR(CB497=0,ISNUMBER(MATCH(CB497,$CB$1:CB496,0))),0,MAX($CA$1:CA496)+1)</f>
        <v>0</v>
      </c>
      <c r="CB497" s="8">
        <f>IF(OR(Tank5!$D$18="EXTERNAL FLOATING ROOF",Tank5!$D$18="INTERNAL FLOATING ROOF"),IF(Tank5!$E87="",0,Tank5!$E87),0)</f>
        <v>0</v>
      </c>
      <c r="CE497" s="8">
        <f>IF(OR(CF497=0,ISNUMBER(MATCH(CF497,$CF$1:CF496,0))),0,MAX($CE$1:CE496)+1)</f>
        <v>0</v>
      </c>
      <c r="CF497" s="8">
        <f>IF(OR(Tank5!$D$18="HORIZONTAL FIXED ROOF",Tank5!$D$18="VERTICAL FIXED ROOF"),IF(Tank5!$E87="",0,Tank5!$E87),0)</f>
        <v>0</v>
      </c>
      <c r="FB497" s="8" t="s">
        <v>1316</v>
      </c>
      <c r="FC497" s="8" t="s">
        <v>1317</v>
      </c>
      <c r="FD497" s="8">
        <v>120</v>
      </c>
      <c r="FE497" s="8">
        <v>12</v>
      </c>
    </row>
    <row r="498" spans="79:161" ht="74.25" customHeight="1" x14ac:dyDescent="0.2">
      <c r="CA498">
        <f>IF(OR(CB498=0,ISNUMBER(MATCH(CB498,$CB$1:CB497,0))),0,MAX($CA$1:CA497)+1)</f>
        <v>0</v>
      </c>
      <c r="CB498" s="8">
        <f>IF(OR(Tank5!$D$18="EXTERNAL FLOATING ROOF",Tank5!$D$18="INTERNAL FLOATING ROOF"),IF(Tank5!$E88="",0,Tank5!$E88),0)</f>
        <v>0</v>
      </c>
      <c r="CE498" s="8">
        <f>IF(OR(CF498=0,ISNUMBER(MATCH(CF498,$CF$1:CF497,0))),0,MAX($CE$1:CE497)+1)</f>
        <v>0</v>
      </c>
      <c r="CF498" s="8">
        <f>IF(OR(Tank5!$D$18="HORIZONTAL FIXED ROOF",Tank5!$D$18="VERTICAL FIXED ROOF"),IF(Tank5!$E88="",0,Tank5!$E88),0)</f>
        <v>0</v>
      </c>
      <c r="FB498" s="8" t="s">
        <v>1318</v>
      </c>
      <c r="FC498" s="8" t="s">
        <v>1319</v>
      </c>
      <c r="FD498" s="8">
        <v>140</v>
      </c>
      <c r="FE498" s="8">
        <v>14</v>
      </c>
    </row>
    <row r="499" spans="79:161" ht="74.25" customHeight="1" x14ac:dyDescent="0.2">
      <c r="CA499">
        <f>IF(OR(CB499=0,ISNUMBER(MATCH(CB499,$CB$1:CB498,0))),0,MAX($CA$1:CA498)+1)</f>
        <v>0</v>
      </c>
      <c r="CB499" s="8">
        <f>IF(OR(Tank5!$D$18="EXTERNAL FLOATING ROOF",Tank5!$D$18="INTERNAL FLOATING ROOF"),IF(Tank5!$E89="",0,Tank5!$E89),0)</f>
        <v>0</v>
      </c>
      <c r="CE499" s="8">
        <f>IF(OR(CF499=0,ISNUMBER(MATCH(CF499,$CF$1:CF498,0))),0,MAX($CE$1:CE498)+1)</f>
        <v>0</v>
      </c>
      <c r="CF499" s="8">
        <f>IF(OR(Tank5!$D$18="HORIZONTAL FIXED ROOF",Tank5!$D$18="VERTICAL FIXED ROOF"),IF(Tank5!$E89="",0,Tank5!$E89),0)</f>
        <v>0</v>
      </c>
      <c r="FB499" s="8" t="s">
        <v>1320</v>
      </c>
      <c r="FC499" s="8" t="s">
        <v>1321</v>
      </c>
      <c r="FD499" s="8">
        <v>800</v>
      </c>
      <c r="FE499" s="8">
        <v>80</v>
      </c>
    </row>
    <row r="500" spans="79:161" ht="74.25" customHeight="1" x14ac:dyDescent="0.2">
      <c r="CA500">
        <f>IF(OR(CB500=0,ISNUMBER(MATCH(CB500,$CB$1:CB499,0))),0,MAX($CA$1:CA499)+1)</f>
        <v>0</v>
      </c>
      <c r="CB500" s="8">
        <f>IF(OR(Tank5!$D$18="EXTERNAL FLOATING ROOF",Tank5!$D$18="INTERNAL FLOATING ROOF"),IF(Tank5!$E90="",0,Tank5!$E90),0)</f>
        <v>0</v>
      </c>
      <c r="CE500" s="8">
        <f>IF(OR(CF500=0,ISNUMBER(MATCH(CF500,$CF$1:CF499,0))),0,MAX($CE$1:CE499)+1)</f>
        <v>0</v>
      </c>
      <c r="CF500" s="8">
        <f>IF(OR(Tank5!$D$18="HORIZONTAL FIXED ROOF",Tank5!$D$18="VERTICAL FIXED ROOF"),IF(Tank5!$E90="",0,Tank5!$E90),0)</f>
        <v>0</v>
      </c>
      <c r="FB500" s="8" t="s">
        <v>1322</v>
      </c>
      <c r="FC500" s="8" t="s">
        <v>1323</v>
      </c>
      <c r="FD500" s="8">
        <v>600</v>
      </c>
      <c r="FE500" s="8">
        <v>60</v>
      </c>
    </row>
    <row r="501" spans="79:161" ht="74.25" customHeight="1" x14ac:dyDescent="0.2">
      <c r="CA501">
        <f>IF(OR(CB501=0,ISNUMBER(MATCH(CB501,$CB$1:CB500,0))),0,MAX($CA$1:CA500)+1)</f>
        <v>0</v>
      </c>
      <c r="CB501" s="8">
        <f>IF(OR(Tank5!$D$18="EXTERNAL FLOATING ROOF",Tank5!$D$18="INTERNAL FLOATING ROOF"),IF(Tank5!$E91="",0,Tank5!$E91),0)</f>
        <v>0</v>
      </c>
      <c r="CE501" s="8">
        <f>IF(OR(CF501=0,ISNUMBER(MATCH(CF501,$CF$1:CF500,0))),0,MAX($CE$1:CE500)+1)</f>
        <v>0</v>
      </c>
      <c r="CF501" s="8">
        <f>IF(OR(Tank5!$D$18="HORIZONTAL FIXED ROOF",Tank5!$D$18="VERTICAL FIXED ROOF"),IF(Tank5!$E91="",0,Tank5!$E91),0)</f>
        <v>0</v>
      </c>
      <c r="FB501" s="8" t="s">
        <v>1324</v>
      </c>
      <c r="FC501" s="8" t="s">
        <v>1325</v>
      </c>
      <c r="FD501" s="8">
        <v>35</v>
      </c>
      <c r="FE501" s="8">
        <v>3.5</v>
      </c>
    </row>
    <row r="502" spans="79:161" ht="74.25" customHeight="1" x14ac:dyDescent="0.2">
      <c r="CA502">
        <f>IF(OR(CB502=0,ISNUMBER(MATCH(CB502,$CB$1:CB501,0))),0,MAX($CA$1:CA501)+1)</f>
        <v>0</v>
      </c>
      <c r="CB502" s="8">
        <f>IF(OR(Tank5!$D$18="EXTERNAL FLOATING ROOF",Tank5!$D$18="INTERNAL FLOATING ROOF"),IF(Tank5!$E92="",0,Tank5!$E92),0)</f>
        <v>0</v>
      </c>
      <c r="CE502" s="8">
        <f>IF(OR(CF502=0,ISNUMBER(MATCH(CF502,$CF$1:CF501,0))),0,MAX($CE$1:CE501)+1)</f>
        <v>0</v>
      </c>
      <c r="CF502" s="8">
        <f>IF(OR(Tank5!$D$18="HORIZONTAL FIXED ROOF",Tank5!$D$18="VERTICAL FIXED ROOF"),IF(Tank5!$E92="",0,Tank5!$E92),0)</f>
        <v>0</v>
      </c>
      <c r="FB502" s="8" t="s">
        <v>1326</v>
      </c>
      <c r="FC502" s="8" t="s">
        <v>1327</v>
      </c>
      <c r="FD502" s="8">
        <v>600</v>
      </c>
      <c r="FE502" s="8">
        <v>60</v>
      </c>
    </row>
    <row r="503" spans="79:161" ht="74.25" customHeight="1" x14ac:dyDescent="0.2">
      <c r="CA503">
        <f>IF(OR(CB503=0,ISNUMBER(MATCH(CB503,$CB$1:CB502,0))),0,MAX($CA$1:CA502)+1)</f>
        <v>0</v>
      </c>
      <c r="CB503" s="8">
        <f>IF(OR(Tank5!$D$18="EXTERNAL FLOATING ROOF",Tank5!$D$18="INTERNAL FLOATING ROOF"),IF(Tank5!$E93="",0,Tank5!$E93),0)</f>
        <v>0</v>
      </c>
      <c r="CE503" s="8">
        <f>IF(OR(CF503=0,ISNUMBER(MATCH(CF503,$CF$1:CF502,0))),0,MAX($CE$1:CE502)+1)</f>
        <v>0</v>
      </c>
      <c r="CF503" s="8">
        <f>IF(OR(Tank5!$D$18="HORIZONTAL FIXED ROOF",Tank5!$D$18="VERTICAL FIXED ROOF"),IF(Tank5!$E93="",0,Tank5!$E93),0)</f>
        <v>0</v>
      </c>
      <c r="FB503" s="8" t="s">
        <v>1328</v>
      </c>
      <c r="FC503" s="8" t="s">
        <v>1329</v>
      </c>
      <c r="FD503" s="8">
        <v>170</v>
      </c>
      <c r="FE503" s="8">
        <v>17</v>
      </c>
    </row>
    <row r="504" spans="79:161" ht="74.25" customHeight="1" x14ac:dyDescent="0.2">
      <c r="CA504">
        <f>IF(OR(CB504=0,ISNUMBER(MATCH(CB504,$CB$1:CB503,0))),0,MAX($CA$1:CA503)+1)</f>
        <v>0</v>
      </c>
      <c r="CB504" s="8">
        <f>IF(OR(Tank5!$D$18="EXTERNAL FLOATING ROOF",Tank5!$D$18="INTERNAL FLOATING ROOF"),IF(Tank5!$E94="",0,Tank5!$E94),0)</f>
        <v>0</v>
      </c>
      <c r="CE504" s="8">
        <f>IF(OR(CF504=0,ISNUMBER(MATCH(CF504,$CF$1:CF503,0))),0,MAX($CE$1:CE503)+1)</f>
        <v>0</v>
      </c>
      <c r="CF504" s="8">
        <f>IF(OR(Tank5!$D$18="HORIZONTAL FIXED ROOF",Tank5!$D$18="VERTICAL FIXED ROOF"),IF(Tank5!$E94="",0,Tank5!$E94),0)</f>
        <v>0</v>
      </c>
      <c r="FB504" s="8" t="s">
        <v>1330</v>
      </c>
      <c r="FC504" s="8" t="s">
        <v>1331</v>
      </c>
      <c r="FD504" s="8">
        <v>100</v>
      </c>
      <c r="FE504" s="8">
        <v>10</v>
      </c>
    </row>
    <row r="505" spans="79:161" ht="74.25" customHeight="1" x14ac:dyDescent="0.2">
      <c r="CA505">
        <f>IF(OR(CB505=0,ISNUMBER(MATCH(CB505,$CB$1:CB504,0))),0,MAX($CA$1:CA504)+1)</f>
        <v>0</v>
      </c>
      <c r="CB505" s="8">
        <f>IF(OR(Tank5!$D$18="EXTERNAL FLOATING ROOF",Tank5!$D$18="INTERNAL FLOATING ROOF"),IF(Tank5!$E95="",0,Tank5!$E95),0)</f>
        <v>0</v>
      </c>
      <c r="CE505" s="8">
        <f>IF(OR(CF505=0,ISNUMBER(MATCH(CF505,$CF$1:CF504,0))),0,MAX($CE$1:CE504)+1)</f>
        <v>0</v>
      </c>
      <c r="CF505" s="8">
        <f>IF(OR(Tank5!$D$18="HORIZONTAL FIXED ROOF",Tank5!$D$18="VERTICAL FIXED ROOF"),IF(Tank5!$E95="",0,Tank5!$E95),0)</f>
        <v>0</v>
      </c>
      <c r="FB505" s="8" t="s">
        <v>1332</v>
      </c>
      <c r="FC505" s="8" t="s">
        <v>1333</v>
      </c>
      <c r="FD505" s="8">
        <v>140</v>
      </c>
      <c r="FE505" s="8">
        <v>14</v>
      </c>
    </row>
    <row r="506" spans="79:161" ht="74.25" customHeight="1" x14ac:dyDescent="0.2">
      <c r="CA506">
        <f>IF(OR(CB506=0,ISNUMBER(MATCH(CB506,$CB$1:CB505,0))),0,MAX($CA$1:CA505)+1)</f>
        <v>0</v>
      </c>
      <c r="CB506" s="8">
        <f>IF(OR(Tank5!$D$18="EXTERNAL FLOATING ROOF",Tank5!$D$18="INTERNAL FLOATING ROOF"),IF(Tank5!$E96="",0,Tank5!$E96),0)</f>
        <v>0</v>
      </c>
      <c r="CE506" s="8">
        <f>IF(OR(CF506=0,ISNUMBER(MATCH(CF506,$CF$1:CF505,0))),0,MAX($CE$1:CE505)+1)</f>
        <v>0</v>
      </c>
      <c r="CF506" s="8">
        <f>IF(OR(Tank5!$D$18="HORIZONTAL FIXED ROOF",Tank5!$D$18="VERTICAL FIXED ROOF"),IF(Tank5!$E96="",0,Tank5!$E96),0)</f>
        <v>0</v>
      </c>
      <c r="FB506" s="8" t="s">
        <v>1334</v>
      </c>
      <c r="FC506" s="8" t="s">
        <v>1335</v>
      </c>
      <c r="FD506" s="8">
        <v>97</v>
      </c>
      <c r="FE506" s="8">
        <v>7</v>
      </c>
    </row>
    <row r="507" spans="79:161" ht="74.25" customHeight="1" x14ac:dyDescent="0.2">
      <c r="CA507">
        <f>IF(OR(CB507=0,ISNUMBER(MATCH(CB507,$CB$1:CB506,0))),0,MAX($CA$1:CA506)+1)</f>
        <v>0</v>
      </c>
      <c r="CB507" s="8">
        <f>IF(OR(Tank5!$D$18="EXTERNAL FLOATING ROOF",Tank5!$D$18="INTERNAL FLOATING ROOF"),IF(Tank5!$E97="",0,Tank5!$E97),0)</f>
        <v>0</v>
      </c>
      <c r="CE507" s="8">
        <f>IF(OR(CF507=0,ISNUMBER(MATCH(CF507,$CF$1:CF506,0))),0,MAX($CE$1:CE506)+1)</f>
        <v>0</v>
      </c>
      <c r="CF507" s="8">
        <f>IF(OR(Tank5!$D$18="HORIZONTAL FIXED ROOF",Tank5!$D$18="VERTICAL FIXED ROOF"),IF(Tank5!$E97="",0,Tank5!$E97),0)</f>
        <v>0</v>
      </c>
      <c r="FB507" s="8" t="s">
        <v>1336</v>
      </c>
      <c r="FC507" s="8" t="s">
        <v>1337</v>
      </c>
      <c r="FD507" s="8">
        <v>20</v>
      </c>
      <c r="FE507" s="8">
        <v>2</v>
      </c>
    </row>
    <row r="508" spans="79:161" ht="74.25" customHeight="1" x14ac:dyDescent="0.2">
      <c r="CA508">
        <f>IF(OR(CB508=0,ISNUMBER(MATCH(CB508,$CB$1:CB507,0))),0,MAX($CA$1:CA507)+1)</f>
        <v>0</v>
      </c>
      <c r="CB508" s="8">
        <f>IF(OR(Tank5!$D$18="EXTERNAL FLOATING ROOF",Tank5!$D$18="INTERNAL FLOATING ROOF"),IF(Tank5!$E98="",0,Tank5!$E98),0)</f>
        <v>0</v>
      </c>
      <c r="CE508" s="8">
        <f>IF(OR(CF508=0,ISNUMBER(MATCH(CF508,$CF$1:CF507,0))),0,MAX($CE$1:CE507)+1)</f>
        <v>0</v>
      </c>
      <c r="CF508" s="8">
        <f>IF(OR(Tank5!$D$18="HORIZONTAL FIXED ROOF",Tank5!$D$18="VERTICAL FIXED ROOF"),IF(Tank5!$E98="",0,Tank5!$E98),0)</f>
        <v>0</v>
      </c>
      <c r="FB508" s="8" t="s">
        <v>1338</v>
      </c>
      <c r="FC508" s="8" t="s">
        <v>1339</v>
      </c>
      <c r="FD508" s="8">
        <v>1000</v>
      </c>
      <c r="FE508" s="8">
        <v>100</v>
      </c>
    </row>
    <row r="509" spans="79:161" ht="74.25" customHeight="1" x14ac:dyDescent="0.2">
      <c r="CA509">
        <f>IF(OR(CB509=0,ISNUMBER(MATCH(CB509,$CB$1:CB508,0))),0,MAX($CA$1:CA508)+1)</f>
        <v>0</v>
      </c>
      <c r="CB509" s="8">
        <f>IF(OR(Tank5!$D$18="EXTERNAL FLOATING ROOF",Tank5!$D$18="INTERNAL FLOATING ROOF"),IF(Tank5!$E99="",0,Tank5!$E99),0)</f>
        <v>0</v>
      </c>
      <c r="CE509" s="8">
        <f>IF(OR(CF509=0,ISNUMBER(MATCH(CF509,$CF$1:CF508,0))),0,MAX($CE$1:CE508)+1)</f>
        <v>0</v>
      </c>
      <c r="CF509" s="8">
        <f>IF(OR(Tank5!$D$18="HORIZONTAL FIXED ROOF",Tank5!$D$18="VERTICAL FIXED ROOF"),IF(Tank5!$E99="",0,Tank5!$E99),0)</f>
        <v>0</v>
      </c>
      <c r="FB509" s="8" t="s">
        <v>1340</v>
      </c>
      <c r="FC509" s="8" t="s">
        <v>1341</v>
      </c>
      <c r="FD509" s="8">
        <v>1000</v>
      </c>
      <c r="FE509" s="8">
        <v>100</v>
      </c>
    </row>
    <row r="510" spans="79:161" ht="74.25" customHeight="1" x14ac:dyDescent="0.2">
      <c r="CA510">
        <f>IF(OR(CB510=0,ISNUMBER(MATCH(CB510,$CB$1:CB509,0))),0,MAX($CA$1:CA509)+1)</f>
        <v>0</v>
      </c>
      <c r="CB510" s="8">
        <f>IF(OR(Tank5!$D$18="EXTERNAL FLOATING ROOF",Tank5!$D$18="INTERNAL FLOATING ROOF"),IF(Tank5!$E100="",0,Tank5!$E100),0)</f>
        <v>0</v>
      </c>
      <c r="CE510" s="8">
        <f>IF(OR(CF510=0,ISNUMBER(MATCH(CF510,$CF$1:CF509,0))),0,MAX($CE$1:CE509)+1)</f>
        <v>0</v>
      </c>
      <c r="CF510" s="8">
        <f>IF(OR(Tank5!$D$18="HORIZONTAL FIXED ROOF",Tank5!$D$18="VERTICAL FIXED ROOF"),IF(Tank5!$E100="",0,Tank5!$E100),0)</f>
        <v>0</v>
      </c>
      <c r="FB510" s="8" t="s">
        <v>1342</v>
      </c>
      <c r="FC510" s="8" t="s">
        <v>1343</v>
      </c>
      <c r="FD510" s="8">
        <v>97</v>
      </c>
      <c r="FE510" s="8">
        <v>7</v>
      </c>
    </row>
    <row r="511" spans="79:161" ht="74.25" customHeight="1" x14ac:dyDescent="0.2">
      <c r="CA511">
        <f>IF(OR(CB511=0,ISNUMBER(MATCH(CB511,$CB$1:CB510,0))),0,MAX($CA$1:CA510)+1)</f>
        <v>0</v>
      </c>
      <c r="CB511" s="8">
        <f>IF(OR(Tank5!$D$18="EXTERNAL FLOATING ROOF",Tank5!$D$18="INTERNAL FLOATING ROOF"),IF(Tank5!$E101="",0,Tank5!$E101),0)</f>
        <v>0</v>
      </c>
      <c r="CE511" s="8">
        <f>IF(OR(CF511=0,ISNUMBER(MATCH(CF511,$CF$1:CF510,0))),0,MAX($CE$1:CE510)+1)</f>
        <v>0</v>
      </c>
      <c r="CF511" s="8">
        <f>IF(OR(Tank5!$D$18="HORIZONTAL FIXED ROOF",Tank5!$D$18="VERTICAL FIXED ROOF"),IF(Tank5!$E101="",0,Tank5!$E101),0)</f>
        <v>0</v>
      </c>
      <c r="FB511" s="8" t="s">
        <v>1344</v>
      </c>
      <c r="FC511" s="8" t="s">
        <v>1345</v>
      </c>
      <c r="FD511" s="8">
        <v>600</v>
      </c>
      <c r="FE511" s="8">
        <v>60</v>
      </c>
    </row>
    <row r="512" spans="79:161" ht="74.25" customHeight="1" x14ac:dyDescent="0.2">
      <c r="CA512">
        <f>IF(OR(CB512=0,ISNUMBER(MATCH(CB512,$CB$1:CB511,0))),0,MAX($CA$1:CA511)+1)</f>
        <v>0</v>
      </c>
      <c r="CB512" s="8">
        <f>IF(OR(Tank5!$D$18="EXTERNAL FLOATING ROOF",Tank5!$D$18="INTERNAL FLOATING ROOF"),IF(Tank5!$E102="",0,Tank5!$E102),0)</f>
        <v>0</v>
      </c>
      <c r="CE512" s="8">
        <f>IF(OR(CF512=0,ISNUMBER(MATCH(CF512,$CF$1:CF511,0))),0,MAX($CE$1:CE511)+1)</f>
        <v>0</v>
      </c>
      <c r="CF512" s="8">
        <f>IF(OR(Tank5!$D$18="HORIZONTAL FIXED ROOF",Tank5!$D$18="VERTICAL FIXED ROOF"),IF(Tank5!$E102="",0,Tank5!$E102),0)</f>
        <v>0</v>
      </c>
      <c r="FB512" s="8" t="s">
        <v>1346</v>
      </c>
      <c r="FC512" s="8" t="s">
        <v>1346</v>
      </c>
      <c r="FD512" s="8">
        <v>500</v>
      </c>
      <c r="FE512" s="8">
        <v>50</v>
      </c>
    </row>
    <row r="513" spans="79:161" ht="74.25" customHeight="1" x14ac:dyDescent="0.2">
      <c r="CA513">
        <f>IF(OR(CB513=0,ISNUMBER(MATCH(CB513,$CB$1:CB512,0))),0,MAX($CA$1:CA512)+1)</f>
        <v>0</v>
      </c>
      <c r="CB513" s="8">
        <f>IF(OR(Tank5!$D$18="EXTERNAL FLOATING ROOF",Tank5!$D$18="INTERNAL FLOATING ROOF"),IF(Tank5!$E103="",0,Tank5!$E103),0)</f>
        <v>0</v>
      </c>
      <c r="CE513" s="8">
        <f>IF(OR(CF513=0,ISNUMBER(MATCH(CF513,$CF$1:CF512,0))),0,MAX($CE$1:CE512)+1)</f>
        <v>0</v>
      </c>
      <c r="CF513" s="8">
        <f>IF(OR(Tank5!$D$18="HORIZONTAL FIXED ROOF",Tank5!$D$18="VERTICAL FIXED ROOF"),IF(Tank5!$E103="",0,Tank5!$E103),0)</f>
        <v>0</v>
      </c>
      <c r="FB513" s="8" t="s">
        <v>1347</v>
      </c>
      <c r="FC513" s="8" t="s">
        <v>1347</v>
      </c>
      <c r="FD513" s="8">
        <v>20</v>
      </c>
      <c r="FE513" s="8">
        <v>2</v>
      </c>
    </row>
    <row r="514" spans="79:161" ht="74.25" customHeight="1" x14ac:dyDescent="0.2">
      <c r="CA514">
        <f>IF(OR(CB514=0,ISNUMBER(MATCH(CB514,$CB$1:CB513,0))),0,MAX($CA$1:CA513)+1)</f>
        <v>0</v>
      </c>
      <c r="CB514" s="8">
        <f>IF(OR(Tank5!$D$18="EXTERNAL FLOATING ROOF",Tank5!$D$18="INTERNAL FLOATING ROOF"),IF(Tank5!$E104="",0,Tank5!$E104),0)</f>
        <v>0</v>
      </c>
      <c r="CE514" s="8">
        <f>IF(OR(CF514=0,ISNUMBER(MATCH(CF514,$CF$1:CF513,0))),0,MAX($CE$1:CE513)+1)</f>
        <v>0</v>
      </c>
      <c r="CF514" s="8">
        <f>IF(OR(Tank5!$D$18="HORIZONTAL FIXED ROOF",Tank5!$D$18="VERTICAL FIXED ROOF"),IF(Tank5!$E104="",0,Tank5!$E104),0)</f>
        <v>0</v>
      </c>
      <c r="FB514" s="8" t="s">
        <v>1348</v>
      </c>
      <c r="FC514" s="8" t="s">
        <v>1349</v>
      </c>
      <c r="FD514" s="8">
        <v>150</v>
      </c>
      <c r="FE514" s="8" t="s">
        <v>9511</v>
      </c>
    </row>
    <row r="515" spans="79:161" ht="74.25" customHeight="1" x14ac:dyDescent="0.2">
      <c r="CA515">
        <f>IF(OR(CB515=0,ISNUMBER(MATCH(CB515,$CB$1:CB514,0))),0,MAX($CA$1:CA514)+1)</f>
        <v>0</v>
      </c>
      <c r="CB515" s="8">
        <f>IF(OR(Tank5!$D$18="EXTERNAL FLOATING ROOF",Tank5!$D$18="INTERNAL FLOATING ROOF"),IF(Tank5!$E105="",0,Tank5!$E105),0)</f>
        <v>0</v>
      </c>
      <c r="CE515" s="8">
        <f>IF(OR(CF515=0,ISNUMBER(MATCH(CF515,$CF$1:CF514,0))),0,MAX($CE$1:CE514)+1)</f>
        <v>0</v>
      </c>
      <c r="CF515" s="8">
        <f>IF(OR(Tank5!$D$18="HORIZONTAL FIXED ROOF",Tank5!$D$18="VERTICAL FIXED ROOF"),IF(Tank5!$E105="",0,Tank5!$E105),0)</f>
        <v>0</v>
      </c>
      <c r="FB515" s="8" t="s">
        <v>1350</v>
      </c>
      <c r="FC515" s="8" t="s">
        <v>1351</v>
      </c>
      <c r="FD515" s="8">
        <v>20</v>
      </c>
      <c r="FE515" s="8">
        <v>2</v>
      </c>
    </row>
    <row r="516" spans="79:161" ht="74.25" customHeight="1" x14ac:dyDescent="0.2">
      <c r="CA516">
        <f>IF(OR(CB516=0,ISNUMBER(MATCH(CB516,$CB$1:CB515,0))),0,MAX($CA$1:CA515)+1)</f>
        <v>0</v>
      </c>
      <c r="CB516" s="8">
        <f>IF(OR(Tank5!$D$18="EXTERNAL FLOATING ROOF",Tank5!$D$18="INTERNAL FLOATING ROOF"),IF(Tank5!$E106="",0,Tank5!$E106),0)</f>
        <v>0</v>
      </c>
      <c r="CE516" s="8">
        <f>IF(OR(CF516=0,ISNUMBER(MATCH(CF516,$CF$1:CF515,0))),0,MAX($CE$1:CE515)+1)</f>
        <v>0</v>
      </c>
      <c r="CF516" s="8">
        <f>IF(OR(Tank5!$D$18="HORIZONTAL FIXED ROOF",Tank5!$D$18="VERTICAL FIXED ROOF"),IF(Tank5!$E106="",0,Tank5!$E106),0)</f>
        <v>0</v>
      </c>
      <c r="FB516" s="8" t="s">
        <v>1352</v>
      </c>
      <c r="FC516" s="8" t="s">
        <v>1353</v>
      </c>
      <c r="FD516" s="8">
        <v>280</v>
      </c>
      <c r="FE516" s="8">
        <v>28</v>
      </c>
    </row>
    <row r="517" spans="79:161" ht="74.25" customHeight="1" x14ac:dyDescent="0.2">
      <c r="CA517">
        <f>IF(OR(CB517=0,ISNUMBER(MATCH(CB517,$CB$1:CB516,0))),0,MAX($CA$1:CA516)+1)</f>
        <v>0</v>
      </c>
      <c r="CB517" s="8">
        <f>IF(OR(Tank5!$D$18="EXTERNAL FLOATING ROOF",Tank5!$D$18="INTERNAL FLOATING ROOF"),IF(Tank5!$E107="",0,Tank5!$E107),0)</f>
        <v>0</v>
      </c>
      <c r="CE517" s="8">
        <f>IF(OR(CF517=0,ISNUMBER(MATCH(CF517,$CF$1:CF516,0))),0,MAX($CE$1:CE516)+1)</f>
        <v>0</v>
      </c>
      <c r="CF517" s="8">
        <f>IF(OR(Tank5!$D$18="HORIZONTAL FIXED ROOF",Tank5!$D$18="VERTICAL FIXED ROOF"),IF(Tank5!$E107="",0,Tank5!$E107),0)</f>
        <v>0</v>
      </c>
      <c r="FB517" s="8" t="s">
        <v>1354</v>
      </c>
      <c r="FC517" s="8" t="s">
        <v>1355</v>
      </c>
      <c r="FD517" s="8">
        <v>100</v>
      </c>
      <c r="FE517" s="8">
        <v>10</v>
      </c>
    </row>
    <row r="518" spans="79:161" ht="74.25" customHeight="1" x14ac:dyDescent="0.2">
      <c r="CA518">
        <f>IF(OR(CB518=0,ISNUMBER(MATCH(CB518,$CB$1:CB517,0))),0,MAX($CA$1:CA517)+1)</f>
        <v>0</v>
      </c>
      <c r="CB518" s="8">
        <f>IF(OR(Tank5!$D$18="EXTERNAL FLOATING ROOF",Tank5!$D$18="INTERNAL FLOATING ROOF"),IF(Tank5!$E108="",0,Tank5!$E108),0)</f>
        <v>0</v>
      </c>
      <c r="CE518" s="8">
        <f>IF(OR(CF518=0,ISNUMBER(MATCH(CF518,$CF$1:CF517,0))),0,MAX($CE$1:CE517)+1)</f>
        <v>0</v>
      </c>
      <c r="CF518" s="8">
        <f>IF(OR(Tank5!$D$18="HORIZONTAL FIXED ROOF",Tank5!$D$18="VERTICAL FIXED ROOF"),IF(Tank5!$E108="",0,Tank5!$E108),0)</f>
        <v>0</v>
      </c>
      <c r="FB518" s="8" t="s">
        <v>1356</v>
      </c>
      <c r="FC518" s="8" t="s">
        <v>1357</v>
      </c>
      <c r="FD518" s="8">
        <v>360</v>
      </c>
      <c r="FE518" s="8">
        <v>36</v>
      </c>
    </row>
    <row r="519" spans="79:161" ht="74.25" customHeight="1" x14ac:dyDescent="0.2">
      <c r="CA519">
        <f>IF(OR(CB519=0,ISNUMBER(MATCH(CB519,$CB$1:CB518,0))),0,MAX($CA$1:CA518)+1)</f>
        <v>0</v>
      </c>
      <c r="CB519" s="8">
        <f>IF(OR(Tank5!$D$18="EXTERNAL FLOATING ROOF",Tank5!$D$18="INTERNAL FLOATING ROOF"),IF(Tank5!$E109="",0,Tank5!$E109),0)</f>
        <v>0</v>
      </c>
      <c r="CE519" s="8">
        <f>IF(OR(CF519=0,ISNUMBER(MATCH(CF519,$CF$1:CF518,0))),0,MAX($CE$1:CE518)+1)</f>
        <v>0</v>
      </c>
      <c r="CF519" s="8">
        <f>IF(OR(Tank5!$D$18="HORIZONTAL FIXED ROOF",Tank5!$D$18="VERTICAL FIXED ROOF"),IF(Tank5!$E109="",0,Tank5!$E109),0)</f>
        <v>0</v>
      </c>
      <c r="FB519" s="8" t="s">
        <v>1358</v>
      </c>
      <c r="FC519" s="8" t="s">
        <v>1359</v>
      </c>
      <c r="FD519" s="8">
        <v>100</v>
      </c>
      <c r="FE519" s="8">
        <v>10</v>
      </c>
    </row>
    <row r="520" spans="79:161" ht="74.25" customHeight="1" x14ac:dyDescent="0.2">
      <c r="CA520">
        <f>IF(OR(CB520=0,ISNUMBER(MATCH(CB520,$CB$1:CB519,0))),0,MAX($CA$1:CA519)+1)</f>
        <v>0</v>
      </c>
      <c r="CB520" s="8">
        <f>IF(OR(Tank5!$D$18="EXTERNAL FLOATING ROOF",Tank5!$D$18="INTERNAL FLOATING ROOF"),IF(Tank5!$E110="",0,Tank5!$E110),0)</f>
        <v>0</v>
      </c>
      <c r="CE520" s="8">
        <f>IF(OR(CF520=0,ISNUMBER(MATCH(CF520,$CF$1:CF519,0))),0,MAX($CE$1:CE519)+1)</f>
        <v>0</v>
      </c>
      <c r="CF520" s="8">
        <f>IF(OR(Tank5!$D$18="HORIZONTAL FIXED ROOF",Tank5!$D$18="VERTICAL FIXED ROOF"),IF(Tank5!$E110="",0,Tank5!$E110),0)</f>
        <v>0</v>
      </c>
      <c r="FB520" s="8" t="s">
        <v>1360</v>
      </c>
      <c r="FC520" s="8" t="s">
        <v>1361</v>
      </c>
      <c r="FD520" s="8">
        <v>100</v>
      </c>
      <c r="FE520" s="8">
        <v>10</v>
      </c>
    </row>
    <row r="521" spans="79:161" ht="74.25" customHeight="1" x14ac:dyDescent="0.2">
      <c r="CA521">
        <f>IF(OR(CB521=0,ISNUMBER(MATCH(CB521,$CB$1:CB520,0))),0,MAX($CA$1:CA520)+1)</f>
        <v>0</v>
      </c>
      <c r="CB521" s="8">
        <f>IF(OR(Tank5!$D$18="EXTERNAL FLOATING ROOF",Tank5!$D$18="INTERNAL FLOATING ROOF"),IF(Tank5!$E111="",0,Tank5!$E111),0)</f>
        <v>0</v>
      </c>
      <c r="CE521" s="8">
        <f>IF(OR(CF521=0,ISNUMBER(MATCH(CF521,$CF$1:CF520,0))),0,MAX($CE$1:CE520)+1)</f>
        <v>0</v>
      </c>
      <c r="CF521" s="8">
        <f>IF(OR(Tank5!$D$18="HORIZONTAL FIXED ROOF",Tank5!$D$18="VERTICAL FIXED ROOF"),IF(Tank5!$E111="",0,Tank5!$E111),0)</f>
        <v>0</v>
      </c>
      <c r="FB521" s="8" t="s">
        <v>1362</v>
      </c>
      <c r="FC521" s="8" t="s">
        <v>9834</v>
      </c>
      <c r="FD521" s="8">
        <v>100</v>
      </c>
      <c r="FE521" s="8">
        <v>10</v>
      </c>
    </row>
    <row r="522" spans="79:161" ht="74.25" customHeight="1" x14ac:dyDescent="0.2">
      <c r="CA522">
        <f>IF(OR(CB522=0,ISNUMBER(MATCH(CB522,$CB$1:CB521,0))),0,MAX($CA$1:CA521)+1)</f>
        <v>0</v>
      </c>
      <c r="CB522" s="8">
        <f>IF(OR(Tank5!$D$18="EXTERNAL FLOATING ROOF",Tank5!$D$18="INTERNAL FLOATING ROOF"),IF(Tank5!$E112="",0,Tank5!$E112),0)</f>
        <v>0</v>
      </c>
      <c r="CE522" s="8">
        <f>IF(OR(CF522=0,ISNUMBER(MATCH(CF522,$CF$1:CF521,0))),0,MAX($CE$1:CE521)+1)</f>
        <v>0</v>
      </c>
      <c r="CF522" s="8">
        <f>IF(OR(Tank5!$D$18="HORIZONTAL FIXED ROOF",Tank5!$D$18="VERTICAL FIXED ROOF"),IF(Tank5!$E112="",0,Tank5!$E112),0)</f>
        <v>0</v>
      </c>
      <c r="FB522" s="8" t="s">
        <v>1363</v>
      </c>
      <c r="FC522" s="8" t="s">
        <v>1364</v>
      </c>
      <c r="FD522" s="8">
        <v>50</v>
      </c>
      <c r="FE522" s="8">
        <v>5</v>
      </c>
    </row>
    <row r="523" spans="79:161" ht="74.25" customHeight="1" x14ac:dyDescent="0.2">
      <c r="CA523">
        <f>IF(OR(CB523=0,ISNUMBER(MATCH(CB523,$CB$1:CB522,0))),0,MAX($CA$1:CA522)+1)</f>
        <v>0</v>
      </c>
      <c r="CB523" s="8">
        <f>IF(OR(Tank5!$D$18="EXTERNAL FLOATING ROOF",Tank5!$D$18="INTERNAL FLOATING ROOF"),IF(Tank5!$E113="",0,Tank5!$E113),0)</f>
        <v>0</v>
      </c>
      <c r="CE523" s="8">
        <f>IF(OR(CF523=0,ISNUMBER(MATCH(CF523,$CF$1:CF522,0))),0,MAX($CE$1:CE522)+1)</f>
        <v>0</v>
      </c>
      <c r="CF523" s="8">
        <f>IF(OR(Tank5!$D$18="HORIZONTAL FIXED ROOF",Tank5!$D$18="VERTICAL FIXED ROOF"),IF(Tank5!$E113="",0,Tank5!$E113),0)</f>
        <v>0</v>
      </c>
      <c r="FB523" s="8" t="s">
        <v>1365</v>
      </c>
      <c r="FC523" s="8" t="s">
        <v>1366</v>
      </c>
      <c r="FD523" s="8">
        <v>175</v>
      </c>
      <c r="FE523" s="8">
        <v>18</v>
      </c>
    </row>
    <row r="524" spans="79:161" ht="74.25" customHeight="1" x14ac:dyDescent="0.2">
      <c r="CA524">
        <f>IF(OR(CB524=0,ISNUMBER(MATCH(CB524,$CB$1:CB523,0))),0,MAX($CA$1:CA523)+1)</f>
        <v>0</v>
      </c>
      <c r="CB524" s="8">
        <f>IF(OR(Tank5!$D$18="EXTERNAL FLOATING ROOF",Tank5!$D$18="INTERNAL FLOATING ROOF"),IF(Tank5!$E114="",0,Tank5!$E114),0)</f>
        <v>0</v>
      </c>
      <c r="CE524" s="8">
        <f>IF(OR(CF524=0,ISNUMBER(MATCH(CF524,$CF$1:CF523,0))),0,MAX($CE$1:CE523)+1)</f>
        <v>0</v>
      </c>
      <c r="CF524" s="8">
        <f>IF(OR(Tank5!$D$18="HORIZONTAL FIXED ROOF",Tank5!$D$18="VERTICAL FIXED ROOF"),IF(Tank5!$E114="",0,Tank5!$E114),0)</f>
        <v>0</v>
      </c>
      <c r="FB524" s="8" t="s">
        <v>1367</v>
      </c>
      <c r="FC524" s="8" t="s">
        <v>1368</v>
      </c>
      <c r="FD524" s="8">
        <v>1700</v>
      </c>
      <c r="FE524" s="8">
        <v>330</v>
      </c>
    </row>
    <row r="525" spans="79:161" ht="74.25" customHeight="1" x14ac:dyDescent="0.2">
      <c r="CA525">
        <f>IF(OR(CB525=0,ISNUMBER(MATCH(CB525,$CB$1:CB524,0))),0,MAX($CA$1:CA524)+1)</f>
        <v>0</v>
      </c>
      <c r="CB525" s="8">
        <f>IF(OR(Tank5!$D$18="EXTERNAL FLOATING ROOF",Tank5!$D$18="INTERNAL FLOATING ROOF"),IF(Tank5!$E115="",0,Tank5!$E115),0)</f>
        <v>0</v>
      </c>
      <c r="CE525" s="8">
        <f>IF(OR(CF525=0,ISNUMBER(MATCH(CF525,$CF$1:CF524,0))),0,MAX($CE$1:CE524)+1)</f>
        <v>0</v>
      </c>
      <c r="CF525" s="8">
        <f>IF(OR(Tank5!$D$18="HORIZONTAL FIXED ROOF",Tank5!$D$18="VERTICAL FIXED ROOF"),IF(Tank5!$E115="",0,Tank5!$E115),0)</f>
        <v>0</v>
      </c>
      <c r="FB525" s="8" t="s">
        <v>1369</v>
      </c>
      <c r="FC525" s="8" t="s">
        <v>1370</v>
      </c>
      <c r="FD525" s="8">
        <v>5600</v>
      </c>
      <c r="FE525" s="8">
        <v>540</v>
      </c>
    </row>
    <row r="526" spans="79:161" ht="74.25" customHeight="1" x14ac:dyDescent="0.2">
      <c r="CA526">
        <f>IF(OR(CB526=0,ISNUMBER(MATCH(CB526,$CB$1:CB525,0))),0,MAX($CA$1:CA525)+1)</f>
        <v>0</v>
      </c>
      <c r="CB526" s="8">
        <f>IF(OR(Tank5!$D$18="EXTERNAL FLOATING ROOF",Tank5!$D$18="INTERNAL FLOATING ROOF"),IF(Tank5!$E116="",0,Tank5!$E116),0)</f>
        <v>0</v>
      </c>
      <c r="CE526" s="8">
        <f>IF(OR(CF526=0,ISNUMBER(MATCH(CF526,$CF$1:CF525,0))),0,MAX($CE$1:CE525)+1)</f>
        <v>0</v>
      </c>
      <c r="CF526" s="8">
        <f>IF(OR(Tank5!$D$18="HORIZONTAL FIXED ROOF",Tank5!$D$18="VERTICAL FIXED ROOF"),IF(Tank5!$E116="",0,Tank5!$E116),0)</f>
        <v>0</v>
      </c>
      <c r="FB526" s="8" t="s">
        <v>1371</v>
      </c>
      <c r="FC526" s="8" t="s">
        <v>1372</v>
      </c>
      <c r="FD526" s="8">
        <v>1700</v>
      </c>
      <c r="FE526" s="8">
        <v>330</v>
      </c>
    </row>
    <row r="527" spans="79:161" ht="74.25" customHeight="1" x14ac:dyDescent="0.2">
      <c r="CA527">
        <f>IF(OR(CB527=0,ISNUMBER(MATCH(CB527,$CB$1:CB526,0))),0,MAX($CA$1:CA526)+1)</f>
        <v>0</v>
      </c>
      <c r="CB527" s="8">
        <f>IF(OR(Tank5!$D$18="EXTERNAL FLOATING ROOF",Tank5!$D$18="INTERNAL FLOATING ROOF"),IF(Tank5!$E117="",0,Tank5!$E117),0)</f>
        <v>0</v>
      </c>
      <c r="CE527" s="8">
        <f>IF(OR(CF527=0,ISNUMBER(MATCH(CF527,$CF$1:CF526,0))),0,MAX($CE$1:CE526)+1)</f>
        <v>0</v>
      </c>
      <c r="CF527" s="8">
        <f>IF(OR(Tank5!$D$18="HORIZONTAL FIXED ROOF",Tank5!$D$18="VERTICAL FIXED ROOF"),IF(Tank5!$E117="",0,Tank5!$E117),0)</f>
        <v>0</v>
      </c>
      <c r="FB527" s="8" t="s">
        <v>1373</v>
      </c>
      <c r="FC527" s="8" t="s">
        <v>1374</v>
      </c>
      <c r="FD527" s="8">
        <v>4800</v>
      </c>
      <c r="FE527" s="8">
        <v>450</v>
      </c>
    </row>
    <row r="528" spans="79:161" ht="74.25" customHeight="1" x14ac:dyDescent="0.2">
      <c r="CA528">
        <f>IF(OR(CB528=0,ISNUMBER(MATCH(CB528,$CB$1:CB527,0))),0,MAX($CA$1:CA527)+1)</f>
        <v>0</v>
      </c>
      <c r="CB528" s="8">
        <f>IF(OR(Tank5!$D$18="EXTERNAL FLOATING ROOF",Tank5!$D$18="INTERNAL FLOATING ROOF"),IF(Tank5!$E118="",0,Tank5!$E118),0)</f>
        <v>0</v>
      </c>
      <c r="CE528" s="8">
        <f>IF(OR(CF528=0,ISNUMBER(MATCH(CF528,$CF$1:CF527,0))),0,MAX($CE$1:CE527)+1)</f>
        <v>0</v>
      </c>
      <c r="CF528" s="8">
        <f>IF(OR(Tank5!$D$18="HORIZONTAL FIXED ROOF",Tank5!$D$18="VERTICAL FIXED ROOF"),IF(Tank5!$E118="",0,Tank5!$E118),0)</f>
        <v>0</v>
      </c>
      <c r="FB528" s="8" t="s">
        <v>1375</v>
      </c>
      <c r="FC528" s="8" t="s">
        <v>1376</v>
      </c>
      <c r="FD528" s="8">
        <v>1700</v>
      </c>
      <c r="FE528" s="8">
        <v>330</v>
      </c>
    </row>
    <row r="529" spans="79:161" ht="74.25" customHeight="1" x14ac:dyDescent="0.2">
      <c r="CA529">
        <f>IF(OR(CB529=0,ISNUMBER(MATCH(CB529,$CB$1:CB528,0))),0,MAX($CA$1:CA528)+1)</f>
        <v>0</v>
      </c>
      <c r="CB529" s="8">
        <f>IF(OR(Tank5!$D$18="EXTERNAL FLOATING ROOF",Tank5!$D$18="INTERNAL FLOATING ROOF"),IF(Tank5!$E119="",0,Tank5!$E119),0)</f>
        <v>0</v>
      </c>
      <c r="CE529" s="8">
        <f>IF(OR(CF529=0,ISNUMBER(MATCH(CF529,$CF$1:CF528,0))),0,MAX($CE$1:CE528)+1)</f>
        <v>0</v>
      </c>
      <c r="CF529" s="8">
        <f>IF(OR(Tank5!$D$18="HORIZONTAL FIXED ROOF",Tank5!$D$18="VERTICAL FIXED ROOF"),IF(Tank5!$E119="",0,Tank5!$E119),0)</f>
        <v>0</v>
      </c>
      <c r="FB529" s="8" t="s">
        <v>1377</v>
      </c>
      <c r="FC529" s="8" t="s">
        <v>1378</v>
      </c>
      <c r="FD529" s="8">
        <v>1700</v>
      </c>
      <c r="FE529" s="8">
        <v>330</v>
      </c>
    </row>
    <row r="530" spans="79:161" ht="74.25" customHeight="1" x14ac:dyDescent="0.2">
      <c r="CA530">
        <f>IF(OR(CB530=0,ISNUMBER(MATCH(CB530,$CB$1:CB529,0))),0,MAX($CA$1:CA529)+1)</f>
        <v>0</v>
      </c>
      <c r="CB530" s="8">
        <f>IF(OR(Tank5!$D$18="EXTERNAL FLOATING ROOF",Tank5!$D$18="INTERNAL FLOATING ROOF"),IF(Tank5!$E120="",0,Tank5!$E120),0)</f>
        <v>0</v>
      </c>
      <c r="CE530" s="8">
        <f>IF(OR(CF530=0,ISNUMBER(MATCH(CF530,$CF$1:CF529,0))),0,MAX($CE$1:CE529)+1)</f>
        <v>0</v>
      </c>
      <c r="CF530" s="8">
        <f>IF(OR(Tank5!$D$18="HORIZONTAL FIXED ROOF",Tank5!$D$18="VERTICAL FIXED ROOF"),IF(Tank5!$E120="",0,Tank5!$E120),0)</f>
        <v>0</v>
      </c>
      <c r="FB530" s="8" t="s">
        <v>1379</v>
      </c>
      <c r="FC530" s="8" t="s">
        <v>1380</v>
      </c>
      <c r="FD530" s="8">
        <v>4800</v>
      </c>
      <c r="FE530" s="8">
        <v>450</v>
      </c>
    </row>
    <row r="531" spans="79:161" ht="74.25" customHeight="1" x14ac:dyDescent="0.2">
      <c r="CA531">
        <f>IF(OR(CB531=0,ISNUMBER(MATCH(CB531,$CB$1:CB530,0))),0,MAX($CA$1:CA530)+1)</f>
        <v>0</v>
      </c>
      <c r="CB531" s="8">
        <f>IF(OR(Tank5!$D$18="EXTERNAL FLOATING ROOF",Tank5!$D$18="INTERNAL FLOATING ROOF"),IF(Tank5!$E121="",0,Tank5!$E121),0)</f>
        <v>0</v>
      </c>
      <c r="CE531" s="8">
        <f>IF(OR(CF531=0,ISNUMBER(MATCH(CF531,$CF$1:CF530,0))),0,MAX($CE$1:CE530)+1)</f>
        <v>0</v>
      </c>
      <c r="CF531" s="8">
        <f>IF(OR(Tank5!$D$18="HORIZONTAL FIXED ROOF",Tank5!$D$18="VERTICAL FIXED ROOF"),IF(Tank5!$E121="",0,Tank5!$E121),0)</f>
        <v>0</v>
      </c>
      <c r="FB531" s="8" t="s">
        <v>1381</v>
      </c>
      <c r="FC531" s="8" t="s">
        <v>1382</v>
      </c>
      <c r="FD531" s="8">
        <v>1700</v>
      </c>
      <c r="FE531" s="8">
        <v>330</v>
      </c>
    </row>
    <row r="532" spans="79:161" ht="74.25" customHeight="1" x14ac:dyDescent="0.2">
      <c r="CA532">
        <f>IF(OR(CB532=0,ISNUMBER(MATCH(CB532,$CB$1:CB531,0))),0,MAX($CA$1:CA531)+1)</f>
        <v>0</v>
      </c>
      <c r="CB532" s="8">
        <f>IF(OR(Tank5!$D$18="EXTERNAL FLOATING ROOF",Tank5!$D$18="INTERNAL FLOATING ROOF"),IF(Tank5!$E122="",0,Tank5!$E122),0)</f>
        <v>0</v>
      </c>
      <c r="CE532" s="8">
        <f>IF(OR(CF532=0,ISNUMBER(MATCH(CF532,$CF$1:CF531,0))),0,MAX($CE$1:CE531)+1)</f>
        <v>0</v>
      </c>
      <c r="CF532" s="8">
        <f>IF(OR(Tank5!$D$18="HORIZONTAL FIXED ROOF",Tank5!$D$18="VERTICAL FIXED ROOF"),IF(Tank5!$E122="",0,Tank5!$E122),0)</f>
        <v>0</v>
      </c>
      <c r="FB532" s="8" t="s">
        <v>1383</v>
      </c>
      <c r="FC532" s="8" t="s">
        <v>1384</v>
      </c>
      <c r="FD532" s="8">
        <v>13</v>
      </c>
      <c r="FE532" s="8">
        <v>1.3</v>
      </c>
    </row>
    <row r="533" spans="79:161" ht="74.25" customHeight="1" x14ac:dyDescent="0.2">
      <c r="CA533">
        <f>IF(OR(CB533=0,ISNUMBER(MATCH(CB533,$CB$1:CB532,0))),0,MAX($CA$1:CA532)+1)</f>
        <v>0</v>
      </c>
      <c r="CB533" s="8">
        <f>IF(OR(Tank5!$D$18="EXTERNAL FLOATING ROOF",Tank5!$D$18="INTERNAL FLOATING ROOF"),IF(Tank5!$E123="",0,Tank5!$E123),0)</f>
        <v>0</v>
      </c>
      <c r="CE533" s="8">
        <f>IF(OR(CF533=0,ISNUMBER(MATCH(CF533,$CF$1:CF532,0))),0,MAX($CE$1:CE532)+1)</f>
        <v>0</v>
      </c>
      <c r="CF533" s="8">
        <f>IF(OR(Tank5!$D$18="HORIZONTAL FIXED ROOF",Tank5!$D$18="VERTICAL FIXED ROOF"),IF(Tank5!$E123="",0,Tank5!$E123),0)</f>
        <v>0</v>
      </c>
      <c r="FB533" s="8" t="s">
        <v>1385</v>
      </c>
      <c r="FC533" s="8" t="s">
        <v>1386</v>
      </c>
      <c r="FD533" s="8">
        <v>10000</v>
      </c>
      <c r="FE533" s="8">
        <v>2700</v>
      </c>
    </row>
    <row r="534" spans="79:161" ht="74.25" customHeight="1" x14ac:dyDescent="0.2">
      <c r="CA534">
        <f>IF(OR(CB534=0,ISNUMBER(MATCH(CB534,$CB$1:CB533,0))),0,MAX($CA$1:CA533)+1)</f>
        <v>0</v>
      </c>
      <c r="CB534" s="8">
        <f>IF(OR(Tank5!$D$18="EXTERNAL FLOATING ROOF",Tank5!$D$18="INTERNAL FLOATING ROOF"),IF(Tank5!$E124="",0,Tank5!$E124),0)</f>
        <v>0</v>
      </c>
      <c r="CE534" s="8">
        <f>IF(OR(CF534=0,ISNUMBER(MATCH(CF534,$CF$1:CF533,0))),0,MAX($CE$1:CE533)+1)</f>
        <v>0</v>
      </c>
      <c r="CF534" s="8">
        <f>IF(OR(Tank5!$D$18="HORIZONTAL FIXED ROOF",Tank5!$D$18="VERTICAL FIXED ROOF"),IF(Tank5!$E124="",0,Tank5!$E124),0)</f>
        <v>0</v>
      </c>
      <c r="FB534" s="8" t="s">
        <v>1387</v>
      </c>
      <c r="FC534" s="8" t="s">
        <v>1388</v>
      </c>
      <c r="FD534" s="8">
        <v>1700</v>
      </c>
      <c r="FE534" s="8">
        <v>330</v>
      </c>
    </row>
    <row r="535" spans="79:161" ht="74.25" customHeight="1" x14ac:dyDescent="0.2">
      <c r="CA535">
        <f>IF(OR(CB535=0,ISNUMBER(MATCH(CB535,$CB$1:CB534,0))),0,MAX($CA$1:CA534)+1)</f>
        <v>0</v>
      </c>
      <c r="CB535" s="8">
        <f>IF(OR(Tank5!$D$18="EXTERNAL FLOATING ROOF",Tank5!$D$18="INTERNAL FLOATING ROOF"),IF(Tank5!$E125="",0,Tank5!$E125),0)</f>
        <v>0</v>
      </c>
      <c r="CE535" s="8">
        <f>IF(OR(CF535=0,ISNUMBER(MATCH(CF535,$CF$1:CF534,0))),0,MAX($CE$1:CE534)+1)</f>
        <v>0</v>
      </c>
      <c r="CF535" s="8">
        <f>IF(OR(Tank5!$D$18="HORIZONTAL FIXED ROOF",Tank5!$D$18="VERTICAL FIXED ROOF"),IF(Tank5!$E125="",0,Tank5!$E125),0)</f>
        <v>0</v>
      </c>
      <c r="FB535" s="8" t="s">
        <v>1389</v>
      </c>
      <c r="FC535" s="8" t="s">
        <v>1390</v>
      </c>
      <c r="FD535" s="8">
        <v>4800</v>
      </c>
      <c r="FE535" s="8">
        <v>450</v>
      </c>
    </row>
    <row r="536" spans="79:161" ht="74.25" customHeight="1" x14ac:dyDescent="0.2">
      <c r="CA536">
        <f>IF(OR(CB536=0,ISNUMBER(MATCH(CB536,$CB$1:CB535,0))),0,MAX($CA$1:CA535)+1)</f>
        <v>0</v>
      </c>
      <c r="CB536" s="8">
        <f>IF(OR(Tank5!$D$18="EXTERNAL FLOATING ROOF",Tank5!$D$18="INTERNAL FLOATING ROOF"),IF(Tank5!$E126="",0,Tank5!$E126),0)</f>
        <v>0</v>
      </c>
      <c r="CE536" s="8">
        <f>IF(OR(CF536=0,ISNUMBER(MATCH(CF536,$CF$1:CF535,0))),0,MAX($CE$1:CE535)+1)</f>
        <v>0</v>
      </c>
      <c r="CF536" s="8">
        <f>IF(OR(Tank5!$D$18="HORIZONTAL FIXED ROOF",Tank5!$D$18="VERTICAL FIXED ROOF"),IF(Tank5!$E126="",0,Tank5!$E126),0)</f>
        <v>0</v>
      </c>
      <c r="FB536" s="8" t="s">
        <v>1391</v>
      </c>
      <c r="FC536" s="8" t="s">
        <v>1392</v>
      </c>
      <c r="FD536" s="8">
        <v>5600</v>
      </c>
      <c r="FE536" s="8">
        <v>540</v>
      </c>
    </row>
    <row r="537" spans="79:161" ht="74.25" customHeight="1" x14ac:dyDescent="0.2">
      <c r="CA537">
        <f>IF(OR(CB537=0,ISNUMBER(MATCH(CB537,$CB$1:CB536,0))),0,MAX($CA$1:CA536)+1)</f>
        <v>0</v>
      </c>
      <c r="CB537" s="8">
        <f>IF(OR(Tank5!$D$18="EXTERNAL FLOATING ROOF",Tank5!$D$18="INTERNAL FLOATING ROOF"),IF(Tank5!$E127="",0,Tank5!$E127),0)</f>
        <v>0</v>
      </c>
      <c r="CE537" s="8">
        <f>IF(OR(CF537=0,ISNUMBER(MATCH(CF537,$CF$1:CF536,0))),0,MAX($CE$1:CE536)+1)</f>
        <v>0</v>
      </c>
      <c r="CF537" s="8">
        <f>IF(OR(Tank5!$D$18="HORIZONTAL FIXED ROOF",Tank5!$D$18="VERTICAL FIXED ROOF"),IF(Tank5!$E127="",0,Tank5!$E127),0)</f>
        <v>0</v>
      </c>
      <c r="FB537" s="8" t="s">
        <v>1393</v>
      </c>
      <c r="FC537" s="8" t="s">
        <v>1394</v>
      </c>
      <c r="FD537" s="8">
        <v>50</v>
      </c>
      <c r="FE537" s="8">
        <v>5</v>
      </c>
    </row>
    <row r="538" spans="79:161" ht="74.25" customHeight="1" x14ac:dyDescent="0.2">
      <c r="CA538">
        <f>IF(OR(CB538=0,ISNUMBER(MATCH(CB538,$CB$1:CB537,0))),0,MAX($CA$1:CA537)+1)</f>
        <v>0</v>
      </c>
      <c r="CB538" s="8">
        <f>IF(OR(Tank5!$D$18="EXTERNAL FLOATING ROOF",Tank5!$D$18="INTERNAL FLOATING ROOF"),IF(Tank5!$E128="",0,Tank5!$E128),0)</f>
        <v>0</v>
      </c>
      <c r="CE538" s="8">
        <f>IF(OR(CF538=0,ISNUMBER(MATCH(CF538,$CF$1:CF537,0))),0,MAX($CE$1:CE537)+1)</f>
        <v>0</v>
      </c>
      <c r="CF538" s="8">
        <f>IF(OR(Tank5!$D$18="HORIZONTAL FIXED ROOF",Tank5!$D$18="VERTICAL FIXED ROOF"),IF(Tank5!$E128="",0,Tank5!$E128),0)</f>
        <v>0</v>
      </c>
      <c r="FB538" s="8" t="s">
        <v>1395</v>
      </c>
      <c r="FC538" s="8" t="s">
        <v>1396</v>
      </c>
      <c r="FD538" s="8">
        <v>1700</v>
      </c>
      <c r="FE538" s="8">
        <v>330</v>
      </c>
    </row>
    <row r="539" spans="79:161" ht="74.25" customHeight="1" x14ac:dyDescent="0.2">
      <c r="CA539">
        <f>IF(OR(CB539=0,ISNUMBER(MATCH(CB539,$CB$1:CB538,0))),0,MAX($CA$1:CA538)+1)</f>
        <v>0</v>
      </c>
      <c r="CB539" s="8">
        <f>IF(OR(Tank5!$D$18="EXTERNAL FLOATING ROOF",Tank5!$D$18="INTERNAL FLOATING ROOF"),IF(Tank5!$E129="",0,Tank5!$E129),0)</f>
        <v>0</v>
      </c>
      <c r="CE539" s="8">
        <f>IF(OR(CF539=0,ISNUMBER(MATCH(CF539,$CF$1:CF538,0))),0,MAX($CE$1:CE538)+1)</f>
        <v>0</v>
      </c>
      <c r="CF539" s="8">
        <f>IF(OR(Tank5!$D$18="HORIZONTAL FIXED ROOF",Tank5!$D$18="VERTICAL FIXED ROOF"),IF(Tank5!$E129="",0,Tank5!$E129),0)</f>
        <v>0</v>
      </c>
      <c r="FB539" s="8" t="s">
        <v>1397</v>
      </c>
      <c r="FC539" s="8" t="s">
        <v>1398</v>
      </c>
      <c r="FD539" s="8">
        <v>4800</v>
      </c>
      <c r="FE539" s="8">
        <v>450</v>
      </c>
    </row>
    <row r="540" spans="79:161" ht="74.25" customHeight="1" x14ac:dyDescent="0.2">
      <c r="CA540">
        <f>IF(OR(CB540=0,ISNUMBER(MATCH(CB540,$CB$1:CB539,0))),0,MAX($CA$1:CA539)+1)</f>
        <v>0</v>
      </c>
      <c r="CB540" s="8">
        <f>IF(OR(Tank5!$D$18="EXTERNAL FLOATING ROOF",Tank5!$D$18="INTERNAL FLOATING ROOF"),IF(Tank5!$E130="",0,Tank5!$E130),0)</f>
        <v>0</v>
      </c>
      <c r="CE540" s="8">
        <f>IF(OR(CF540=0,ISNUMBER(MATCH(CF540,$CF$1:CF539,0))),0,MAX($CE$1:CE539)+1)</f>
        <v>0</v>
      </c>
      <c r="CF540" s="8">
        <f>IF(OR(Tank5!$D$18="HORIZONTAL FIXED ROOF",Tank5!$D$18="VERTICAL FIXED ROOF"),IF(Tank5!$E130="",0,Tank5!$E130),0)</f>
        <v>0</v>
      </c>
      <c r="FB540" s="8" t="s">
        <v>1399</v>
      </c>
      <c r="FC540" s="8" t="s">
        <v>1400</v>
      </c>
      <c r="FD540" s="8">
        <v>1700</v>
      </c>
      <c r="FE540" s="8">
        <v>330</v>
      </c>
    </row>
    <row r="541" spans="79:161" ht="74.25" customHeight="1" x14ac:dyDescent="0.2">
      <c r="CA541">
        <f>IF(OR(CB541=0,ISNUMBER(MATCH(CB541,$CB$1:CB540,0))),0,MAX($CA$1:CA540)+1)</f>
        <v>0</v>
      </c>
      <c r="CB541" s="8">
        <f>IF(OR(Tank5!$D$18="EXTERNAL FLOATING ROOF",Tank5!$D$18="INTERNAL FLOATING ROOF"),IF(Tank5!$E131="",0,Tank5!$E131),0)</f>
        <v>0</v>
      </c>
      <c r="CE541" s="8">
        <f>IF(OR(CF541=0,ISNUMBER(MATCH(CF541,$CF$1:CF540,0))),0,MAX($CE$1:CE540)+1)</f>
        <v>0</v>
      </c>
      <c r="CF541" s="8">
        <f>IF(OR(Tank5!$D$18="HORIZONTAL FIXED ROOF",Tank5!$D$18="VERTICAL FIXED ROOF"),IF(Tank5!$E131="",0,Tank5!$E131),0)</f>
        <v>0</v>
      </c>
      <c r="FB541" s="8" t="s">
        <v>1401</v>
      </c>
      <c r="FC541" s="8" t="s">
        <v>1402</v>
      </c>
      <c r="FD541" s="8">
        <v>840</v>
      </c>
      <c r="FE541" s="8">
        <v>84</v>
      </c>
    </row>
    <row r="542" spans="79:161" ht="74.25" customHeight="1" x14ac:dyDescent="0.2">
      <c r="CA542">
        <f>IF(OR(CB542=0,ISNUMBER(MATCH(CB542,$CB$1:CB541,0))),0,MAX($CA$1:CA541)+1)</f>
        <v>0</v>
      </c>
      <c r="CB542" s="8">
        <f>IF(OR(Tank5!$D$18="EXTERNAL FLOATING ROOF",Tank5!$D$18="INTERNAL FLOATING ROOF"),IF(Tank5!$E132="",0,Tank5!$E132),0)</f>
        <v>0</v>
      </c>
      <c r="CE542" s="8">
        <f>IF(OR(CF542=0,ISNUMBER(MATCH(CF542,$CF$1:CF541,0))),0,MAX($CE$1:CE541)+1)</f>
        <v>0</v>
      </c>
      <c r="CF542" s="8">
        <f>IF(OR(Tank5!$D$18="HORIZONTAL FIXED ROOF",Tank5!$D$18="VERTICAL FIXED ROOF"),IF(Tank5!$E132="",0,Tank5!$E132),0)</f>
        <v>0</v>
      </c>
      <c r="FB542" s="8" t="s">
        <v>1403</v>
      </c>
      <c r="FC542" s="8" t="s">
        <v>1404</v>
      </c>
      <c r="FD542" s="8">
        <v>220</v>
      </c>
      <c r="FE542" s="8">
        <v>22</v>
      </c>
    </row>
    <row r="543" spans="79:161" ht="74.25" customHeight="1" x14ac:dyDescent="0.2">
      <c r="CA543">
        <f>IF(OR(CB543=0,ISNUMBER(MATCH(CB543,$CB$1:CB542,0))),0,MAX($CA$1:CA542)+1)</f>
        <v>0</v>
      </c>
      <c r="CB543" s="8">
        <f>IF(OR(Tank5!$D$18="EXTERNAL FLOATING ROOF",Tank5!$D$18="INTERNAL FLOATING ROOF"),IF(Tank5!$E133="",0,Tank5!$E133),0)</f>
        <v>0</v>
      </c>
      <c r="CE543" s="8">
        <f>IF(OR(CF543=0,ISNUMBER(MATCH(CF543,$CF$1:CF542,0))),0,MAX($CE$1:CE542)+1)</f>
        <v>0</v>
      </c>
      <c r="CF543" s="8">
        <f>IF(OR(Tank5!$D$18="HORIZONTAL FIXED ROOF",Tank5!$D$18="VERTICAL FIXED ROOF"),IF(Tank5!$E133="",0,Tank5!$E133),0)</f>
        <v>0</v>
      </c>
      <c r="FB543" s="8" t="s">
        <v>1405</v>
      </c>
      <c r="FC543" s="8" t="s">
        <v>1406</v>
      </c>
      <c r="FD543" s="8">
        <v>440</v>
      </c>
      <c r="FE543" s="8">
        <v>44</v>
      </c>
    </row>
    <row r="544" spans="79:161" ht="74.25" customHeight="1" x14ac:dyDescent="0.2">
      <c r="CA544">
        <f>IF(OR(CB544=0,ISNUMBER(MATCH(CB544,$CB$1:CB543,0))),0,MAX($CA$1:CA543)+1)</f>
        <v>0</v>
      </c>
      <c r="CB544" s="8">
        <f>IF(OR(Tank5!$D$18="EXTERNAL FLOATING ROOF",Tank5!$D$18="INTERNAL FLOATING ROOF"),IF(Tank5!$E134="",0,Tank5!$E134),0)</f>
        <v>0</v>
      </c>
      <c r="CE544" s="8">
        <f>IF(OR(CF544=0,ISNUMBER(MATCH(CF544,$CF$1:CF543,0))),0,MAX($CE$1:CE543)+1)</f>
        <v>0</v>
      </c>
      <c r="CF544" s="8">
        <f>IF(OR(Tank5!$D$18="HORIZONTAL FIXED ROOF",Tank5!$D$18="VERTICAL FIXED ROOF"),IF(Tank5!$E134="",0,Tank5!$E134),0)</f>
        <v>0</v>
      </c>
      <c r="FB544" s="8" t="s">
        <v>1407</v>
      </c>
      <c r="FC544" s="8" t="s">
        <v>1408</v>
      </c>
      <c r="FD544" s="8">
        <v>1700</v>
      </c>
      <c r="FE544" s="8">
        <v>330</v>
      </c>
    </row>
    <row r="545" spans="79:161" ht="74.25" customHeight="1" x14ac:dyDescent="0.2">
      <c r="CA545">
        <f>IF(OR(CB545=0,ISNUMBER(MATCH(CB545,$CB$1:CB544,0))),0,MAX($CA$1:CA544)+1)</f>
        <v>0</v>
      </c>
      <c r="CB545" s="8">
        <f>IF(OR(Tank5!$D$18="EXTERNAL FLOATING ROOF",Tank5!$D$18="INTERNAL FLOATING ROOF"),IF(Tank5!$E135="",0,Tank5!$E135),0)</f>
        <v>0</v>
      </c>
      <c r="CE545" s="8">
        <f>IF(OR(CF545=0,ISNUMBER(MATCH(CF545,$CF$1:CF544,0))),0,MAX($CE$1:CE544)+1)</f>
        <v>0</v>
      </c>
      <c r="CF545" s="8">
        <f>IF(OR(Tank5!$D$18="HORIZONTAL FIXED ROOF",Tank5!$D$18="VERTICAL FIXED ROOF"),IF(Tank5!$E135="",0,Tank5!$E135),0)</f>
        <v>0</v>
      </c>
      <c r="FB545" s="8" t="s">
        <v>1409</v>
      </c>
      <c r="FC545" s="8" t="s">
        <v>1410</v>
      </c>
      <c r="FD545" s="8">
        <v>4800</v>
      </c>
      <c r="FE545" s="8">
        <v>450</v>
      </c>
    </row>
    <row r="546" spans="79:161" ht="74.25" customHeight="1" x14ac:dyDescent="0.2">
      <c r="CA546">
        <f>IF(OR(CB546=0,ISNUMBER(MATCH(CB546,$CB$1:CB545,0))),0,MAX($CA$1:CA545)+1)</f>
        <v>0</v>
      </c>
      <c r="CB546" s="8">
        <f>IF(OR(Tank5!$D$18="EXTERNAL FLOATING ROOF",Tank5!$D$18="INTERNAL FLOATING ROOF"),IF(Tank5!$E136="",0,Tank5!$E136),0)</f>
        <v>0</v>
      </c>
      <c r="CE546" s="8">
        <f>IF(OR(CF546=0,ISNUMBER(MATCH(CF546,$CF$1:CF545,0))),0,MAX($CE$1:CE545)+1)</f>
        <v>0</v>
      </c>
      <c r="CF546" s="8">
        <f>IF(OR(Tank5!$D$18="HORIZONTAL FIXED ROOF",Tank5!$D$18="VERTICAL FIXED ROOF"),IF(Tank5!$E136="",0,Tank5!$E136),0)</f>
        <v>0</v>
      </c>
      <c r="FB546" s="8" t="s">
        <v>1411</v>
      </c>
      <c r="FC546" s="8" t="s">
        <v>1412</v>
      </c>
      <c r="FD546" s="8">
        <v>500</v>
      </c>
      <c r="FE546" s="8">
        <v>50</v>
      </c>
    </row>
    <row r="547" spans="79:161" ht="74.25" customHeight="1" x14ac:dyDescent="0.2">
      <c r="CA547">
        <f>IF(OR(CB547=0,ISNUMBER(MATCH(CB547,$CB$1:CB546,0))),0,MAX($CA$1:CA546)+1)</f>
        <v>0</v>
      </c>
      <c r="CB547" s="8">
        <f>IF(OR(Tank5!$D$18="EXTERNAL FLOATING ROOF",Tank5!$D$18="INTERNAL FLOATING ROOF"),IF(Tank5!$E137="",0,Tank5!$E137),0)</f>
        <v>0</v>
      </c>
      <c r="CE547" s="8">
        <f>IF(OR(CF547=0,ISNUMBER(MATCH(CF547,$CF$1:CF546,0))),0,MAX($CE$1:CE546)+1)</f>
        <v>0</v>
      </c>
      <c r="CF547" s="8">
        <f>IF(OR(Tank5!$D$18="HORIZONTAL FIXED ROOF",Tank5!$D$18="VERTICAL FIXED ROOF"),IF(Tank5!$E137="",0,Tank5!$E137),0)</f>
        <v>0</v>
      </c>
      <c r="FB547" s="8" t="s">
        <v>1413</v>
      </c>
      <c r="FC547" s="8" t="s">
        <v>1414</v>
      </c>
      <c r="FD547" s="8">
        <v>5600</v>
      </c>
      <c r="FE547" s="8">
        <v>540</v>
      </c>
    </row>
    <row r="548" spans="79:161" ht="74.25" customHeight="1" x14ac:dyDescent="0.2">
      <c r="CA548">
        <f>IF(OR(CB548=0,ISNUMBER(MATCH(CB548,$CB$1:CB547,0))),0,MAX($CA$1:CA547)+1)</f>
        <v>0</v>
      </c>
      <c r="CB548" s="8">
        <f>IF(OR(Tank5!$D$18="EXTERNAL FLOATING ROOF",Tank5!$D$18="INTERNAL FLOATING ROOF"),IF(Tank5!$E138="",0,Tank5!$E138),0)</f>
        <v>0</v>
      </c>
      <c r="CE548" s="8">
        <f>IF(OR(CF548=0,ISNUMBER(MATCH(CF548,$CF$1:CF547,0))),0,MAX($CE$1:CE547)+1)</f>
        <v>0</v>
      </c>
      <c r="CF548" s="8">
        <f>IF(OR(Tank5!$D$18="HORIZONTAL FIXED ROOF",Tank5!$D$18="VERTICAL FIXED ROOF"),IF(Tank5!$E138="",0,Tank5!$E138),0)</f>
        <v>0</v>
      </c>
      <c r="FB548" s="8" t="s">
        <v>1415</v>
      </c>
      <c r="FC548" s="8" t="s">
        <v>1416</v>
      </c>
      <c r="FD548" s="8">
        <v>1500</v>
      </c>
      <c r="FE548" s="8">
        <v>150</v>
      </c>
    </row>
    <row r="549" spans="79:161" ht="74.25" customHeight="1" x14ac:dyDescent="0.2">
      <c r="CA549">
        <f>IF(OR(CB549=0,ISNUMBER(MATCH(CB549,$CB$1:CB548,0))),0,MAX($CA$1:CA548)+1)</f>
        <v>0</v>
      </c>
      <c r="CB549" s="8">
        <f>IF(OR(Tank5!$D$18="EXTERNAL FLOATING ROOF",Tank5!$D$18="INTERNAL FLOATING ROOF"),IF(Tank5!$E139="",0,Tank5!$E139),0)</f>
        <v>0</v>
      </c>
      <c r="CE549" s="8">
        <f>IF(OR(CF549=0,ISNUMBER(MATCH(CF549,$CF$1:CF548,0))),0,MAX($CE$1:CE548)+1)</f>
        <v>0</v>
      </c>
      <c r="CF549" s="8">
        <f>IF(OR(Tank5!$D$18="HORIZONTAL FIXED ROOF",Tank5!$D$18="VERTICAL FIXED ROOF"),IF(Tank5!$E139="",0,Tank5!$E139),0)</f>
        <v>0</v>
      </c>
      <c r="FB549" s="8" t="s">
        <v>1417</v>
      </c>
      <c r="FC549" s="8" t="s">
        <v>1418</v>
      </c>
      <c r="FD549" s="8">
        <v>1700</v>
      </c>
      <c r="FE549" s="8">
        <v>330</v>
      </c>
    </row>
    <row r="550" spans="79:161" ht="74.25" customHeight="1" x14ac:dyDescent="0.2">
      <c r="CA550">
        <f>IF(OR(CB550=0,ISNUMBER(MATCH(CB550,$CB$1:CB549,0))),0,MAX($CA$1:CA549)+1)</f>
        <v>0</v>
      </c>
      <c r="CB550" s="8">
        <f>IF(OR(Tank5!$D$18="EXTERNAL FLOATING ROOF",Tank5!$D$18="INTERNAL FLOATING ROOF"),IF(Tank5!$E140="",0,Tank5!$E140),0)</f>
        <v>0</v>
      </c>
      <c r="CE550" s="8">
        <f>IF(OR(CF550=0,ISNUMBER(MATCH(CF550,$CF$1:CF549,0))),0,MAX($CE$1:CE549)+1)</f>
        <v>0</v>
      </c>
      <c r="CF550" s="8">
        <f>IF(OR(Tank5!$D$18="HORIZONTAL FIXED ROOF",Tank5!$D$18="VERTICAL FIXED ROOF"),IF(Tank5!$E140="",0,Tank5!$E140),0)</f>
        <v>0</v>
      </c>
      <c r="FB550" s="8" t="s">
        <v>1419</v>
      </c>
      <c r="FC550" s="8" t="s">
        <v>1420</v>
      </c>
      <c r="FD550" s="8">
        <v>1700</v>
      </c>
      <c r="FE550" s="8">
        <v>330</v>
      </c>
    </row>
    <row r="551" spans="79:161" ht="74.25" customHeight="1" x14ac:dyDescent="0.2">
      <c r="CA551">
        <f>IF(OR(CB551=0,ISNUMBER(MATCH(CB551,$CB$1:CB550,0))),0,MAX($CA$1:CA550)+1)</f>
        <v>0</v>
      </c>
      <c r="CB551" s="8">
        <f>IF(OR(Tank5!$D$18="EXTERNAL FLOATING ROOF",Tank5!$D$18="INTERNAL FLOATING ROOF"),IF(Tank5!$E141="",0,Tank5!$E141),0)</f>
        <v>0</v>
      </c>
      <c r="CE551" s="8">
        <f>IF(OR(CF551=0,ISNUMBER(MATCH(CF551,$CF$1:CF550,0))),0,MAX($CE$1:CE550)+1)</f>
        <v>0</v>
      </c>
      <c r="CF551" s="8">
        <f>IF(OR(Tank5!$D$18="HORIZONTAL FIXED ROOF",Tank5!$D$18="VERTICAL FIXED ROOF"),IF(Tank5!$E141="",0,Tank5!$E141),0)</f>
        <v>0</v>
      </c>
      <c r="FB551" s="8" t="s">
        <v>1421</v>
      </c>
      <c r="FC551" s="8" t="s">
        <v>1422</v>
      </c>
      <c r="FD551" s="8">
        <v>4800</v>
      </c>
      <c r="FE551" s="8">
        <v>450</v>
      </c>
    </row>
    <row r="552" spans="79:161" ht="74.25" customHeight="1" x14ac:dyDescent="0.2">
      <c r="CB552" s="8"/>
      <c r="CF552" s="8"/>
      <c r="FB552" s="8" t="s">
        <v>1423</v>
      </c>
      <c r="FC552" s="8" t="s">
        <v>1424</v>
      </c>
      <c r="FD552" s="8">
        <v>1700</v>
      </c>
      <c r="FE552" s="8">
        <v>330</v>
      </c>
    </row>
    <row r="553" spans="79:161" ht="74.25" customHeight="1" x14ac:dyDescent="0.2">
      <c r="CB553" s="8"/>
      <c r="CF553" s="8"/>
      <c r="FB553" s="8" t="s">
        <v>1425</v>
      </c>
      <c r="FC553" s="8" t="s">
        <v>1426</v>
      </c>
      <c r="FD553" s="8">
        <v>1000</v>
      </c>
      <c r="FE553" s="8">
        <v>100</v>
      </c>
    </row>
    <row r="554" spans="79:161" ht="74.25" customHeight="1" x14ac:dyDescent="0.2">
      <c r="CB554" s="8"/>
      <c r="FB554" s="8" t="s">
        <v>1427</v>
      </c>
      <c r="FC554" s="8" t="s">
        <v>1428</v>
      </c>
      <c r="FD554" s="8">
        <v>1000</v>
      </c>
      <c r="FE554" s="8">
        <v>100</v>
      </c>
    </row>
    <row r="555" spans="79:161" ht="74.25" customHeight="1" x14ac:dyDescent="0.2">
      <c r="CB555" s="8"/>
      <c r="FB555" s="8" t="s">
        <v>1429</v>
      </c>
      <c r="FC555" s="8" t="s">
        <v>1430</v>
      </c>
      <c r="FD555" s="8">
        <v>600</v>
      </c>
      <c r="FE555" s="8">
        <v>60</v>
      </c>
    </row>
    <row r="556" spans="79:161" ht="74.25" customHeight="1" x14ac:dyDescent="0.2">
      <c r="CB556" s="8"/>
      <c r="FB556" s="8" t="s">
        <v>1431</v>
      </c>
      <c r="FC556" s="8" t="s">
        <v>1432</v>
      </c>
      <c r="FD556" s="8">
        <v>180</v>
      </c>
      <c r="FE556" s="8">
        <v>18</v>
      </c>
    </row>
    <row r="557" spans="79:161" ht="74.25" customHeight="1" x14ac:dyDescent="0.2">
      <c r="CB557" s="8"/>
      <c r="FB557" s="8" t="s">
        <v>1433</v>
      </c>
      <c r="FC557" s="8" t="s">
        <v>1434</v>
      </c>
      <c r="FD557" s="8">
        <v>500</v>
      </c>
      <c r="FE557" s="8">
        <v>50</v>
      </c>
    </row>
    <row r="558" spans="79:161" ht="74.25" customHeight="1" x14ac:dyDescent="0.2">
      <c r="CB558" s="8"/>
      <c r="FB558" s="8" t="s">
        <v>1435</v>
      </c>
      <c r="FC558" s="8" t="s">
        <v>1436</v>
      </c>
      <c r="FD558" s="8">
        <v>100</v>
      </c>
      <c r="FE558" s="8">
        <v>10</v>
      </c>
    </row>
    <row r="559" spans="79:161" ht="74.25" customHeight="1" x14ac:dyDescent="0.2">
      <c r="CB559" s="8"/>
      <c r="FB559" s="8" t="s">
        <v>1437</v>
      </c>
      <c r="FC559" s="8" t="s">
        <v>1438</v>
      </c>
      <c r="FD559" s="8">
        <v>1000</v>
      </c>
      <c r="FE559" s="8">
        <v>100</v>
      </c>
    </row>
    <row r="560" spans="79:161" ht="74.25" customHeight="1" x14ac:dyDescent="0.2">
      <c r="CB560" s="8"/>
      <c r="FB560" s="8" t="s">
        <v>1439</v>
      </c>
      <c r="FC560" s="8" t="s">
        <v>9835</v>
      </c>
      <c r="FD560" s="8">
        <v>50</v>
      </c>
      <c r="FE560" s="8">
        <v>5</v>
      </c>
    </row>
    <row r="561" spans="80:161" ht="74.25" customHeight="1" x14ac:dyDescent="0.2">
      <c r="CB561" s="8"/>
      <c r="FB561" s="8" t="s">
        <v>1440</v>
      </c>
      <c r="FC561" s="8" t="s">
        <v>1441</v>
      </c>
      <c r="FD561" s="8">
        <v>30</v>
      </c>
      <c r="FE561" s="8">
        <v>3</v>
      </c>
    </row>
    <row r="562" spans="80:161" ht="74.25" customHeight="1" x14ac:dyDescent="0.2">
      <c r="CB562" s="8"/>
      <c r="FB562" s="8" t="s">
        <v>1442</v>
      </c>
      <c r="FC562" s="8" t="s">
        <v>1443</v>
      </c>
      <c r="FD562" s="8">
        <v>3100</v>
      </c>
      <c r="FE562" s="8">
        <v>310</v>
      </c>
    </row>
    <row r="563" spans="80:161" ht="74.25" customHeight="1" x14ac:dyDescent="0.2">
      <c r="CB563" s="8"/>
      <c r="FB563" s="8" t="s">
        <v>1444</v>
      </c>
      <c r="FC563" s="8" t="s">
        <v>1445</v>
      </c>
      <c r="FD563" s="8">
        <v>210</v>
      </c>
      <c r="FE563" s="8">
        <v>21</v>
      </c>
    </row>
    <row r="564" spans="80:161" ht="74.25" customHeight="1" x14ac:dyDescent="0.2">
      <c r="CB564" s="8"/>
      <c r="FB564" s="8" t="s">
        <v>1446</v>
      </c>
      <c r="FC564" s="8" t="s">
        <v>1447</v>
      </c>
      <c r="FD564" s="8">
        <v>460</v>
      </c>
      <c r="FE564" s="8">
        <v>46</v>
      </c>
    </row>
    <row r="565" spans="80:161" ht="74.25" customHeight="1" x14ac:dyDescent="0.2">
      <c r="CB565" s="8"/>
      <c r="FB565" s="8" t="s">
        <v>1448</v>
      </c>
      <c r="FC565" s="8" t="s">
        <v>1449</v>
      </c>
      <c r="FD565" s="8">
        <v>60</v>
      </c>
      <c r="FE565" s="8">
        <v>6</v>
      </c>
    </row>
    <row r="566" spans="80:161" ht="74.25" customHeight="1" x14ac:dyDescent="0.2">
      <c r="CB566" s="8"/>
      <c r="FB566" s="8" t="s">
        <v>1450</v>
      </c>
      <c r="FC566" s="8" t="s">
        <v>1451</v>
      </c>
      <c r="FD566" s="8">
        <v>2500</v>
      </c>
      <c r="FE566" s="8">
        <v>250</v>
      </c>
    </row>
    <row r="567" spans="80:161" ht="74.25" customHeight="1" x14ac:dyDescent="0.2">
      <c r="CB567" s="8"/>
      <c r="FB567" s="8" t="s">
        <v>1452</v>
      </c>
      <c r="FC567" s="8" t="s">
        <v>1453</v>
      </c>
      <c r="FD567" s="8">
        <v>13</v>
      </c>
      <c r="FE567" s="8">
        <v>1.3</v>
      </c>
    </row>
    <row r="568" spans="80:161" ht="74.25" customHeight="1" x14ac:dyDescent="0.2">
      <c r="CB568" s="8"/>
      <c r="FB568" s="8" t="s">
        <v>1454</v>
      </c>
      <c r="FC568" s="8" t="s">
        <v>1455</v>
      </c>
      <c r="FD568" s="8">
        <v>5600</v>
      </c>
      <c r="FE568" s="8">
        <v>540</v>
      </c>
    </row>
    <row r="569" spans="80:161" ht="74.25" customHeight="1" x14ac:dyDescent="0.2">
      <c r="CB569" s="8"/>
      <c r="FB569" s="8" t="s">
        <v>1456</v>
      </c>
      <c r="FC569" s="8" t="s">
        <v>1457</v>
      </c>
      <c r="FD569" s="8">
        <v>2200</v>
      </c>
      <c r="FE569" s="8">
        <v>220</v>
      </c>
    </row>
    <row r="570" spans="80:161" ht="74.25" customHeight="1" x14ac:dyDescent="0.2">
      <c r="CB570" s="8"/>
      <c r="FB570" s="8" t="s">
        <v>1458</v>
      </c>
      <c r="FC570" s="8" t="s">
        <v>1459</v>
      </c>
      <c r="FD570" s="8">
        <v>3440</v>
      </c>
      <c r="FE570" s="8">
        <v>344</v>
      </c>
    </row>
    <row r="571" spans="80:161" ht="74.25" customHeight="1" x14ac:dyDescent="0.2">
      <c r="CB571" s="8"/>
      <c r="FB571" s="8" t="s">
        <v>1460</v>
      </c>
      <c r="FC571" s="8" t="s">
        <v>1461</v>
      </c>
      <c r="FD571" s="8">
        <v>1000</v>
      </c>
      <c r="FE571" s="8">
        <v>100</v>
      </c>
    </row>
    <row r="572" spans="80:161" ht="74.25" customHeight="1" x14ac:dyDescent="0.2">
      <c r="CB572" s="8"/>
      <c r="FB572" s="8" t="s">
        <v>1462</v>
      </c>
      <c r="FC572" s="8" t="s">
        <v>1463</v>
      </c>
      <c r="FD572" s="8">
        <v>50</v>
      </c>
      <c r="FE572" s="8">
        <v>5</v>
      </c>
    </row>
    <row r="573" spans="80:161" ht="74.25" customHeight="1" x14ac:dyDescent="0.2">
      <c r="CB573" s="8"/>
      <c r="FB573" s="8" t="s">
        <v>1464</v>
      </c>
      <c r="FC573" s="8" t="s">
        <v>1465</v>
      </c>
      <c r="FD573" s="8">
        <v>1520</v>
      </c>
      <c r="FE573" s="8">
        <v>152</v>
      </c>
    </row>
    <row r="574" spans="80:161" ht="74.25" customHeight="1" x14ac:dyDescent="0.2">
      <c r="CB574" s="8"/>
      <c r="FB574" s="8" t="s">
        <v>1466</v>
      </c>
      <c r="FC574" s="8" t="s">
        <v>1467</v>
      </c>
      <c r="FD574" s="8">
        <v>5600</v>
      </c>
      <c r="FE574" s="8">
        <v>200</v>
      </c>
    </row>
    <row r="575" spans="80:161" ht="74.25" customHeight="1" x14ac:dyDescent="0.2">
      <c r="CB575" s="8"/>
      <c r="FB575" s="8" t="s">
        <v>1468</v>
      </c>
      <c r="FC575" s="8" t="s">
        <v>1469</v>
      </c>
      <c r="FD575" s="8">
        <v>1700</v>
      </c>
      <c r="FE575" s="8">
        <v>170</v>
      </c>
    </row>
    <row r="576" spans="80:161" ht="74.25" customHeight="1" x14ac:dyDescent="0.2">
      <c r="CB576" s="8"/>
      <c r="FB576" s="8" t="s">
        <v>1470</v>
      </c>
      <c r="FC576" s="8" t="s">
        <v>1471</v>
      </c>
      <c r="FD576" s="8">
        <v>4800</v>
      </c>
      <c r="FE576" s="8">
        <v>450</v>
      </c>
    </row>
    <row r="577" spans="80:161" ht="74.25" customHeight="1" x14ac:dyDescent="0.2">
      <c r="CB577" s="8"/>
      <c r="FB577" s="8" t="s">
        <v>1472</v>
      </c>
      <c r="FC577" s="8" t="s">
        <v>1473</v>
      </c>
      <c r="FD577" s="8">
        <v>1700</v>
      </c>
      <c r="FE577" s="8">
        <v>330</v>
      </c>
    </row>
    <row r="578" spans="80:161" ht="74.25" customHeight="1" x14ac:dyDescent="0.2">
      <c r="CB578" s="8"/>
      <c r="FB578" s="8" t="s">
        <v>1474</v>
      </c>
      <c r="FC578" s="8" t="s">
        <v>1475</v>
      </c>
      <c r="FD578" s="8">
        <v>10000</v>
      </c>
      <c r="FE578" s="8">
        <v>2700</v>
      </c>
    </row>
    <row r="579" spans="80:161" ht="74.25" customHeight="1" x14ac:dyDescent="0.2">
      <c r="CB579" s="8"/>
      <c r="FB579" s="8" t="s">
        <v>1476</v>
      </c>
      <c r="FC579" s="8" t="s">
        <v>1477</v>
      </c>
      <c r="FD579" s="8">
        <v>125</v>
      </c>
      <c r="FE579" s="8">
        <v>12.5</v>
      </c>
    </row>
    <row r="580" spans="80:161" ht="74.25" customHeight="1" x14ac:dyDescent="0.2">
      <c r="CB580" s="8"/>
      <c r="FB580" s="8" t="s">
        <v>1478</v>
      </c>
      <c r="FC580" s="8" t="s">
        <v>1479</v>
      </c>
      <c r="FD580" s="8">
        <v>140</v>
      </c>
      <c r="FE580" s="8">
        <v>14</v>
      </c>
    </row>
    <row r="581" spans="80:161" ht="74.25" customHeight="1" x14ac:dyDescent="0.2">
      <c r="CB581" s="8"/>
      <c r="FB581" s="8" t="s">
        <v>1480</v>
      </c>
      <c r="FC581" s="8" t="s">
        <v>9836</v>
      </c>
      <c r="FD581" s="8">
        <v>100</v>
      </c>
      <c r="FE581" s="8">
        <v>10</v>
      </c>
    </row>
    <row r="582" spans="80:161" ht="74.25" customHeight="1" x14ac:dyDescent="0.2">
      <c r="CB582" s="8"/>
      <c r="FB582" s="8" t="s">
        <v>1481</v>
      </c>
      <c r="FC582" s="8" t="s">
        <v>1482</v>
      </c>
      <c r="FD582" s="8">
        <v>100</v>
      </c>
      <c r="FE582" s="8">
        <v>10</v>
      </c>
    </row>
    <row r="583" spans="80:161" ht="74.25" customHeight="1" x14ac:dyDescent="0.2">
      <c r="CB583" s="8"/>
      <c r="FB583" s="8" t="s">
        <v>1483</v>
      </c>
      <c r="FC583" s="8" t="s">
        <v>1484</v>
      </c>
      <c r="FD583" s="8">
        <v>100</v>
      </c>
      <c r="FE583" s="8">
        <v>10</v>
      </c>
    </row>
    <row r="584" spans="80:161" ht="74.25" customHeight="1" x14ac:dyDescent="0.2">
      <c r="CB584" s="8"/>
      <c r="FB584" s="8" t="s">
        <v>1485</v>
      </c>
      <c r="FC584" s="8" t="s">
        <v>1486</v>
      </c>
      <c r="FD584" s="8">
        <v>100</v>
      </c>
      <c r="FE584" s="8">
        <v>10</v>
      </c>
    </row>
    <row r="585" spans="80:161" ht="74.25" customHeight="1" x14ac:dyDescent="0.2">
      <c r="CB585" s="8"/>
      <c r="FB585" s="8" t="s">
        <v>1487</v>
      </c>
      <c r="FC585" s="8" t="s">
        <v>1488</v>
      </c>
      <c r="FD585" s="8">
        <v>3.3</v>
      </c>
      <c r="FE585" s="8">
        <v>6.3E-2</v>
      </c>
    </row>
    <row r="586" spans="80:161" ht="74.25" customHeight="1" x14ac:dyDescent="0.2">
      <c r="CB586" s="8"/>
      <c r="FB586" s="8" t="s">
        <v>1489</v>
      </c>
      <c r="FC586" s="8" t="s">
        <v>1490</v>
      </c>
      <c r="FD586" s="8">
        <v>990</v>
      </c>
      <c r="FE586" s="8">
        <v>99</v>
      </c>
    </row>
    <row r="587" spans="80:161" ht="74.25" customHeight="1" x14ac:dyDescent="0.2">
      <c r="CB587" s="8"/>
      <c r="FB587" s="8" t="s">
        <v>1491</v>
      </c>
      <c r="FC587" s="8" t="s">
        <v>1492</v>
      </c>
      <c r="FD587" s="8">
        <v>280</v>
      </c>
      <c r="FE587" s="8">
        <v>28</v>
      </c>
    </row>
    <row r="588" spans="80:161" ht="74.25" customHeight="1" x14ac:dyDescent="0.2">
      <c r="CB588" s="8"/>
      <c r="FB588" s="8" t="s">
        <v>1493</v>
      </c>
      <c r="FC588" s="8" t="s">
        <v>1494</v>
      </c>
      <c r="FD588" s="8">
        <v>50</v>
      </c>
      <c r="FE588" s="8">
        <v>5</v>
      </c>
    </row>
    <row r="589" spans="80:161" ht="74.25" customHeight="1" x14ac:dyDescent="0.2">
      <c r="CB589" s="8"/>
      <c r="FB589" s="8" t="s">
        <v>1495</v>
      </c>
      <c r="FC589" s="8" t="s">
        <v>1496</v>
      </c>
      <c r="FD589" s="8">
        <v>100</v>
      </c>
      <c r="FE589" s="8">
        <v>10</v>
      </c>
    </row>
    <row r="590" spans="80:161" ht="74.25" customHeight="1" x14ac:dyDescent="0.2">
      <c r="CB590" s="8"/>
      <c r="FB590" s="8" t="s">
        <v>1497</v>
      </c>
      <c r="FC590" s="8" t="s">
        <v>1498</v>
      </c>
      <c r="FD590" s="8">
        <v>1400</v>
      </c>
      <c r="FE590" s="8">
        <v>140</v>
      </c>
    </row>
    <row r="591" spans="80:161" ht="74.25" customHeight="1" x14ac:dyDescent="0.2">
      <c r="CB591" s="8"/>
      <c r="FB591" s="8" t="s">
        <v>1499</v>
      </c>
      <c r="FC591" s="8" t="s">
        <v>1500</v>
      </c>
      <c r="FD591" s="8">
        <v>100</v>
      </c>
      <c r="FE591" s="8">
        <v>10</v>
      </c>
    </row>
    <row r="592" spans="80:161" ht="74.25" customHeight="1" x14ac:dyDescent="0.2">
      <c r="CB592" s="8"/>
      <c r="FB592" s="8" t="s">
        <v>1501</v>
      </c>
      <c r="FC592" s="8" t="s">
        <v>1502</v>
      </c>
      <c r="FD592" s="8">
        <v>100</v>
      </c>
      <c r="FE592" s="8">
        <v>10</v>
      </c>
    </row>
    <row r="593" spans="80:161" ht="74.25" customHeight="1" x14ac:dyDescent="0.2">
      <c r="CB593" s="8"/>
      <c r="FB593" s="8" t="s">
        <v>1503</v>
      </c>
      <c r="FC593" s="8" t="s">
        <v>1504</v>
      </c>
      <c r="FD593" s="8">
        <v>20</v>
      </c>
      <c r="FE593" s="8">
        <v>2</v>
      </c>
    </row>
    <row r="594" spans="80:161" ht="74.25" customHeight="1" x14ac:dyDescent="0.2">
      <c r="CB594" s="8"/>
      <c r="FB594" s="8" t="s">
        <v>1505</v>
      </c>
      <c r="FC594" s="8" t="s">
        <v>1506</v>
      </c>
      <c r="FD594" s="8">
        <v>45</v>
      </c>
      <c r="FE594" s="8">
        <v>4.5</v>
      </c>
    </row>
    <row r="595" spans="80:161" ht="74.25" customHeight="1" x14ac:dyDescent="0.2">
      <c r="CB595" s="8"/>
      <c r="FB595" s="8" t="s">
        <v>1507</v>
      </c>
      <c r="FC595" s="8" t="s">
        <v>1508</v>
      </c>
      <c r="FD595" s="8">
        <v>10000</v>
      </c>
      <c r="FE595" s="8">
        <v>1000</v>
      </c>
    </row>
    <row r="596" spans="80:161" ht="74.25" customHeight="1" x14ac:dyDescent="0.2">
      <c r="CB596" s="8"/>
      <c r="FB596" s="8" t="s">
        <v>1509</v>
      </c>
      <c r="FC596" s="8" t="s">
        <v>1510</v>
      </c>
      <c r="FD596" s="8">
        <v>1700</v>
      </c>
      <c r="FE596" s="8">
        <v>330</v>
      </c>
    </row>
    <row r="597" spans="80:161" ht="74.25" customHeight="1" x14ac:dyDescent="0.2">
      <c r="CB597" s="8"/>
      <c r="FB597" s="8" t="s">
        <v>1511</v>
      </c>
      <c r="FC597" s="8" t="s">
        <v>1512</v>
      </c>
      <c r="FD597" s="8">
        <v>4800</v>
      </c>
      <c r="FE597" s="8">
        <v>450</v>
      </c>
    </row>
    <row r="598" spans="80:161" ht="74.25" customHeight="1" x14ac:dyDescent="0.2">
      <c r="CB598" s="8"/>
      <c r="FB598" s="8" t="s">
        <v>1513</v>
      </c>
      <c r="FC598" s="8" t="s">
        <v>1514</v>
      </c>
      <c r="FD598" s="8">
        <v>1700</v>
      </c>
      <c r="FE598" s="8">
        <v>330</v>
      </c>
    </row>
    <row r="599" spans="80:161" ht="74.25" customHeight="1" x14ac:dyDescent="0.2">
      <c r="CB599" s="8"/>
      <c r="FB599" s="8" t="s">
        <v>1515</v>
      </c>
      <c r="FC599" s="8" t="s">
        <v>1516</v>
      </c>
      <c r="FD599" s="8">
        <v>38000</v>
      </c>
      <c r="FE599" s="8">
        <v>3800</v>
      </c>
    </row>
    <row r="600" spans="80:161" ht="74.25" customHeight="1" x14ac:dyDescent="0.2">
      <c r="CB600" s="8"/>
      <c r="FB600" s="8" t="s">
        <v>1517</v>
      </c>
      <c r="FC600" s="8" t="s">
        <v>1518</v>
      </c>
      <c r="FD600" s="8">
        <v>1700</v>
      </c>
      <c r="FE600" s="8">
        <v>330</v>
      </c>
    </row>
    <row r="601" spans="80:161" ht="74.25" customHeight="1" x14ac:dyDescent="0.2">
      <c r="CB601" s="8"/>
      <c r="FB601" s="8" t="s">
        <v>1519</v>
      </c>
      <c r="FC601" s="8" t="s">
        <v>1520</v>
      </c>
      <c r="FD601" s="8">
        <v>4800</v>
      </c>
      <c r="FE601" s="8">
        <v>450</v>
      </c>
    </row>
    <row r="602" spans="80:161" ht="74.25" customHeight="1" x14ac:dyDescent="0.2">
      <c r="CB602" s="8"/>
      <c r="FB602" s="8" t="s">
        <v>1521</v>
      </c>
      <c r="FC602" s="8" t="s">
        <v>1522</v>
      </c>
      <c r="FD602" s="8">
        <v>5600</v>
      </c>
      <c r="FE602" s="8">
        <v>540</v>
      </c>
    </row>
    <row r="603" spans="80:161" ht="74.25" customHeight="1" x14ac:dyDescent="0.2">
      <c r="CB603" s="8"/>
      <c r="FB603" s="8" t="s">
        <v>1523</v>
      </c>
      <c r="FC603" s="8" t="s">
        <v>1524</v>
      </c>
      <c r="FD603" s="8">
        <v>1000</v>
      </c>
      <c r="FE603" s="8">
        <v>100</v>
      </c>
    </row>
    <row r="604" spans="80:161" ht="74.25" customHeight="1" x14ac:dyDescent="0.2">
      <c r="CB604" s="8"/>
      <c r="FB604" s="8" t="s">
        <v>1525</v>
      </c>
      <c r="FC604" s="8" t="s">
        <v>1526</v>
      </c>
      <c r="FD604" s="8">
        <v>1000</v>
      </c>
      <c r="FE604" s="8">
        <v>100</v>
      </c>
    </row>
    <row r="605" spans="80:161" ht="74.25" customHeight="1" x14ac:dyDescent="0.2">
      <c r="CB605" s="8"/>
      <c r="FB605" s="8" t="s">
        <v>1527</v>
      </c>
      <c r="FC605" s="8" t="s">
        <v>1528</v>
      </c>
      <c r="FD605" s="8">
        <v>1700</v>
      </c>
      <c r="FE605" s="8">
        <v>330</v>
      </c>
    </row>
    <row r="606" spans="80:161" ht="74.25" customHeight="1" x14ac:dyDescent="0.2">
      <c r="CB606" s="8"/>
      <c r="FB606" s="8" t="s">
        <v>1529</v>
      </c>
      <c r="FC606" s="8" t="s">
        <v>1530</v>
      </c>
      <c r="FD606" s="8">
        <v>4800</v>
      </c>
      <c r="FE606" s="8">
        <v>450</v>
      </c>
    </row>
    <row r="607" spans="80:161" ht="74.25" customHeight="1" x14ac:dyDescent="0.2">
      <c r="CB607" s="8"/>
      <c r="FB607" s="8" t="s">
        <v>1531</v>
      </c>
      <c r="FC607" s="8" t="s">
        <v>1532</v>
      </c>
      <c r="FD607" s="8">
        <v>5600</v>
      </c>
      <c r="FE607" s="8">
        <v>540</v>
      </c>
    </row>
    <row r="608" spans="80:161" ht="74.25" customHeight="1" x14ac:dyDescent="0.2">
      <c r="CB608" s="8"/>
      <c r="FB608" s="8" t="s">
        <v>1533</v>
      </c>
      <c r="FC608" s="8" t="s">
        <v>1534</v>
      </c>
      <c r="FD608" s="8">
        <v>30</v>
      </c>
      <c r="FE608" s="8">
        <v>3</v>
      </c>
    </row>
    <row r="609" spans="80:161" ht="74.25" customHeight="1" x14ac:dyDescent="0.2">
      <c r="CB609" s="8"/>
      <c r="FB609" s="8" t="s">
        <v>1535</v>
      </c>
      <c r="FC609" s="8" t="s">
        <v>1536</v>
      </c>
      <c r="FD609" s="8">
        <v>1700</v>
      </c>
      <c r="FE609" s="8">
        <v>330</v>
      </c>
    </row>
    <row r="610" spans="80:161" ht="74.25" customHeight="1" x14ac:dyDescent="0.2">
      <c r="CB610" s="8"/>
      <c r="FB610" s="8" t="s">
        <v>1537</v>
      </c>
      <c r="FC610" s="8" t="s">
        <v>1538</v>
      </c>
      <c r="FD610" s="8">
        <v>4800</v>
      </c>
      <c r="FE610" s="8">
        <v>450</v>
      </c>
    </row>
    <row r="611" spans="80:161" ht="74.25" customHeight="1" x14ac:dyDescent="0.2">
      <c r="CB611" s="8"/>
      <c r="FB611" s="8" t="s">
        <v>1539</v>
      </c>
      <c r="FC611" s="8" t="s">
        <v>1540</v>
      </c>
      <c r="FD611" s="8">
        <v>5700</v>
      </c>
      <c r="FE611" s="8">
        <v>570</v>
      </c>
    </row>
    <row r="612" spans="80:161" ht="74.25" customHeight="1" x14ac:dyDescent="0.2">
      <c r="CB612" s="8"/>
      <c r="FB612" s="8" t="s">
        <v>1541</v>
      </c>
      <c r="FC612" s="8" t="s">
        <v>1542</v>
      </c>
      <c r="FD612" s="8">
        <v>1700</v>
      </c>
      <c r="FE612" s="8">
        <v>330</v>
      </c>
    </row>
    <row r="613" spans="80:161" ht="74.25" customHeight="1" x14ac:dyDescent="0.2">
      <c r="CB613" s="8"/>
      <c r="FB613" s="8" t="s">
        <v>1543</v>
      </c>
      <c r="FC613" s="8" t="s">
        <v>1544</v>
      </c>
      <c r="FD613" s="8">
        <v>1000</v>
      </c>
      <c r="FE613" s="8">
        <v>100</v>
      </c>
    </row>
    <row r="614" spans="80:161" ht="74.25" customHeight="1" x14ac:dyDescent="0.2">
      <c r="CB614" s="8"/>
      <c r="FB614" s="8" t="s">
        <v>1545</v>
      </c>
      <c r="FC614" s="8" t="s">
        <v>1546</v>
      </c>
      <c r="FD614" s="8" t="s">
        <v>9511</v>
      </c>
      <c r="FE614" s="8">
        <v>2.9999999999999997E-8</v>
      </c>
    </row>
    <row r="615" spans="80:161" ht="74.25" customHeight="1" x14ac:dyDescent="0.2">
      <c r="CB615" s="8"/>
      <c r="FB615" s="8" t="s">
        <v>1547</v>
      </c>
      <c r="FC615" s="8" t="s">
        <v>1548</v>
      </c>
      <c r="FD615" s="8">
        <v>3500</v>
      </c>
      <c r="FE615" s="8">
        <v>350</v>
      </c>
    </row>
    <row r="616" spans="80:161" ht="74.25" customHeight="1" x14ac:dyDescent="0.2">
      <c r="CB616" s="8"/>
      <c r="FB616" s="8" t="s">
        <v>1549</v>
      </c>
      <c r="FC616" s="8" t="s">
        <v>1550</v>
      </c>
      <c r="FD616" s="8">
        <v>1400</v>
      </c>
      <c r="FE616" s="8">
        <v>140</v>
      </c>
    </row>
    <row r="617" spans="80:161" ht="74.25" customHeight="1" x14ac:dyDescent="0.2">
      <c r="CB617" s="8"/>
      <c r="FB617" s="8" t="s">
        <v>1551</v>
      </c>
      <c r="FC617" s="8" t="s">
        <v>1552</v>
      </c>
      <c r="FD617" s="8">
        <v>90</v>
      </c>
      <c r="FE617" s="8">
        <v>9</v>
      </c>
    </row>
    <row r="618" spans="80:161" ht="74.25" customHeight="1" x14ac:dyDescent="0.2">
      <c r="CB618" s="8"/>
      <c r="FB618" s="8" t="s">
        <v>1553</v>
      </c>
      <c r="FC618" s="8" t="s">
        <v>1554</v>
      </c>
      <c r="FD618" s="8">
        <v>10000</v>
      </c>
      <c r="FE618" s="8">
        <v>1000</v>
      </c>
    </row>
    <row r="619" spans="80:161" ht="74.25" customHeight="1" x14ac:dyDescent="0.2">
      <c r="CB619" s="8"/>
      <c r="FB619" s="8" t="s">
        <v>1555</v>
      </c>
      <c r="FC619" s="8" t="s">
        <v>1556</v>
      </c>
      <c r="FD619" s="8">
        <v>130</v>
      </c>
      <c r="FE619" s="8">
        <v>13</v>
      </c>
    </row>
    <row r="620" spans="80:161" ht="74.25" customHeight="1" x14ac:dyDescent="0.2">
      <c r="CB620" s="8"/>
      <c r="FB620" s="8" t="s">
        <v>1557</v>
      </c>
      <c r="FC620" s="8" t="s">
        <v>1558</v>
      </c>
      <c r="FD620" s="8">
        <v>46</v>
      </c>
      <c r="FE620" s="8">
        <v>4.5999999999999996</v>
      </c>
    </row>
    <row r="621" spans="80:161" ht="74.25" customHeight="1" x14ac:dyDescent="0.2">
      <c r="CB621" s="8"/>
      <c r="FB621" s="8" t="s">
        <v>1559</v>
      </c>
      <c r="FC621" s="8" t="s">
        <v>1560</v>
      </c>
      <c r="FD621" s="8">
        <v>70</v>
      </c>
      <c r="FE621" s="8">
        <v>7</v>
      </c>
    </row>
    <row r="622" spans="80:161" ht="74.25" customHeight="1" x14ac:dyDescent="0.2">
      <c r="CB622" s="8"/>
      <c r="FB622" s="8" t="s">
        <v>1561</v>
      </c>
      <c r="FC622" s="8" t="s">
        <v>1562</v>
      </c>
      <c r="FD622" s="8">
        <v>100</v>
      </c>
      <c r="FE622" s="8">
        <v>10</v>
      </c>
    </row>
    <row r="623" spans="80:161" ht="74.25" customHeight="1" x14ac:dyDescent="0.2">
      <c r="CB623" s="8"/>
      <c r="FB623" s="8" t="s">
        <v>1563</v>
      </c>
      <c r="FC623" s="8" t="s">
        <v>1564</v>
      </c>
      <c r="FD623" s="8">
        <v>900</v>
      </c>
      <c r="FE623" s="8">
        <v>90</v>
      </c>
    </row>
    <row r="624" spans="80:161" ht="74.25" customHeight="1" x14ac:dyDescent="0.2">
      <c r="CB624" s="8"/>
      <c r="FB624" s="8" t="s">
        <v>1565</v>
      </c>
      <c r="FC624" s="8" t="s">
        <v>1566</v>
      </c>
      <c r="FD624" s="8">
        <v>3</v>
      </c>
      <c r="FE624" s="8">
        <v>0.3</v>
      </c>
    </row>
    <row r="625" spans="80:161" ht="74.25" customHeight="1" x14ac:dyDescent="0.2">
      <c r="CB625" s="8"/>
      <c r="FB625" s="8" t="s">
        <v>1567</v>
      </c>
      <c r="FC625" s="8" t="s">
        <v>1568</v>
      </c>
      <c r="FD625" s="8">
        <v>900</v>
      </c>
      <c r="FE625" s="8">
        <v>90</v>
      </c>
    </row>
    <row r="626" spans="80:161" ht="74.25" customHeight="1" x14ac:dyDescent="0.2">
      <c r="CB626" s="8"/>
      <c r="FB626" s="8" t="s">
        <v>1569</v>
      </c>
      <c r="FC626" s="8" t="s">
        <v>1570</v>
      </c>
      <c r="FD626" s="8">
        <v>900</v>
      </c>
      <c r="FE626" s="8">
        <v>90</v>
      </c>
    </row>
    <row r="627" spans="80:161" ht="74.25" customHeight="1" x14ac:dyDescent="0.2">
      <c r="CB627" s="8"/>
      <c r="FB627" s="8" t="s">
        <v>1571</v>
      </c>
      <c r="FC627" s="8" t="s">
        <v>1572</v>
      </c>
      <c r="FD627" s="8">
        <v>200</v>
      </c>
      <c r="FE627" s="8">
        <v>20</v>
      </c>
    </row>
    <row r="628" spans="80:161" ht="74.25" customHeight="1" x14ac:dyDescent="0.2">
      <c r="CB628" s="8"/>
      <c r="FB628" s="8" t="s">
        <v>1573</v>
      </c>
      <c r="FC628" s="8" t="s">
        <v>1574</v>
      </c>
      <c r="FD628" s="8">
        <v>1800</v>
      </c>
      <c r="FE628" s="8">
        <v>180</v>
      </c>
    </row>
    <row r="629" spans="80:161" ht="74.25" customHeight="1" x14ac:dyDescent="0.2">
      <c r="CB629" s="8"/>
      <c r="FB629" s="8" t="s">
        <v>1575</v>
      </c>
      <c r="FC629" s="8" t="s">
        <v>1576</v>
      </c>
      <c r="FD629" s="8">
        <v>1700</v>
      </c>
      <c r="FE629" s="8">
        <v>170</v>
      </c>
    </row>
    <row r="630" spans="80:161" ht="74.25" customHeight="1" x14ac:dyDescent="0.2">
      <c r="CB630" s="8"/>
      <c r="FB630" s="8" t="s">
        <v>1577</v>
      </c>
      <c r="FC630" s="8" t="s">
        <v>1578</v>
      </c>
      <c r="FD630" s="8">
        <v>3400</v>
      </c>
      <c r="FE630" s="8">
        <v>340</v>
      </c>
    </row>
    <row r="631" spans="80:161" ht="74.25" customHeight="1" x14ac:dyDescent="0.2">
      <c r="CB631" s="8"/>
      <c r="FB631" s="8" t="s">
        <v>1579</v>
      </c>
      <c r="FC631" s="8" t="s">
        <v>1580</v>
      </c>
      <c r="FD631" s="8">
        <v>1700</v>
      </c>
      <c r="FE631" s="8">
        <v>170</v>
      </c>
    </row>
    <row r="632" spans="80:161" ht="74.25" customHeight="1" x14ac:dyDescent="0.2">
      <c r="CB632" s="8"/>
      <c r="FB632" s="8" t="s">
        <v>1581</v>
      </c>
      <c r="FC632" s="8" t="s">
        <v>1582</v>
      </c>
      <c r="FD632" s="8">
        <v>5700</v>
      </c>
      <c r="FE632" s="8">
        <v>570</v>
      </c>
    </row>
    <row r="633" spans="80:161" ht="74.25" customHeight="1" x14ac:dyDescent="0.2">
      <c r="CB633" s="8"/>
      <c r="FB633" s="8" t="s">
        <v>1583</v>
      </c>
      <c r="FC633" s="8" t="s">
        <v>1584</v>
      </c>
      <c r="FD633" s="8">
        <v>480</v>
      </c>
      <c r="FE633" s="8">
        <v>48</v>
      </c>
    </row>
    <row r="634" spans="80:161" ht="74.25" customHeight="1" x14ac:dyDescent="0.2">
      <c r="CB634" s="8"/>
      <c r="FB634" s="8" t="s">
        <v>1585</v>
      </c>
      <c r="FC634" s="8" t="s">
        <v>1586</v>
      </c>
      <c r="FD634" s="8">
        <v>5600</v>
      </c>
      <c r="FE634" s="8">
        <v>200</v>
      </c>
    </row>
    <row r="635" spans="80:161" ht="74.25" customHeight="1" x14ac:dyDescent="0.2">
      <c r="CB635" s="8"/>
      <c r="FB635" s="8" t="s">
        <v>1587</v>
      </c>
      <c r="FC635" s="8" t="s">
        <v>1588</v>
      </c>
      <c r="FD635" s="8">
        <v>4800</v>
      </c>
      <c r="FE635" s="8">
        <v>450</v>
      </c>
    </row>
    <row r="636" spans="80:161" ht="74.25" customHeight="1" x14ac:dyDescent="0.2">
      <c r="CB636" s="8"/>
      <c r="FB636" s="8" t="s">
        <v>1589</v>
      </c>
      <c r="FC636" s="8" t="s">
        <v>1590</v>
      </c>
      <c r="FD636" s="8">
        <v>5600</v>
      </c>
      <c r="FE636" s="8">
        <v>540</v>
      </c>
    </row>
    <row r="637" spans="80:161" ht="74.25" customHeight="1" x14ac:dyDescent="0.2">
      <c r="CB637" s="8"/>
      <c r="FB637" s="8" t="s">
        <v>1591</v>
      </c>
      <c r="FC637" s="8" t="s">
        <v>1592</v>
      </c>
      <c r="FD637" s="8">
        <v>200</v>
      </c>
      <c r="FE637" s="8">
        <v>20</v>
      </c>
    </row>
    <row r="638" spans="80:161" ht="74.25" customHeight="1" x14ac:dyDescent="0.2">
      <c r="FB638" s="8" t="s">
        <v>1593</v>
      </c>
      <c r="FC638" s="8" t="s">
        <v>1594</v>
      </c>
      <c r="FD638" s="8">
        <v>1700</v>
      </c>
      <c r="FE638" s="8">
        <v>330</v>
      </c>
    </row>
    <row r="639" spans="80:161" ht="74.25" customHeight="1" x14ac:dyDescent="0.2">
      <c r="FB639" s="8" t="s">
        <v>1595</v>
      </c>
      <c r="FC639" s="8" t="s">
        <v>1596</v>
      </c>
      <c r="FD639" s="8">
        <v>10000</v>
      </c>
      <c r="FE639" s="8">
        <v>2700</v>
      </c>
    </row>
    <row r="640" spans="80:161" ht="74.25" customHeight="1" x14ac:dyDescent="0.2">
      <c r="FB640" s="8" t="s">
        <v>1597</v>
      </c>
      <c r="FC640" s="8" t="s">
        <v>1598</v>
      </c>
      <c r="FD640" s="8">
        <v>30</v>
      </c>
      <c r="FE640" s="8">
        <v>3</v>
      </c>
    </row>
    <row r="641" spans="158:161" ht="74.25" customHeight="1" x14ac:dyDescent="0.2">
      <c r="FB641" s="8" t="s">
        <v>1599</v>
      </c>
      <c r="FC641" s="8" t="s">
        <v>1600</v>
      </c>
      <c r="FD641" s="8">
        <v>61</v>
      </c>
      <c r="FE641" s="8">
        <v>6.1</v>
      </c>
    </row>
    <row r="642" spans="158:161" ht="74.25" customHeight="1" x14ac:dyDescent="0.2">
      <c r="FB642" s="8" t="s">
        <v>1601</v>
      </c>
      <c r="FC642" s="8" t="s">
        <v>1602</v>
      </c>
      <c r="FD642" s="8">
        <v>50</v>
      </c>
      <c r="FE642" s="8">
        <v>5</v>
      </c>
    </row>
    <row r="643" spans="158:161" ht="74.25" customHeight="1" x14ac:dyDescent="0.2">
      <c r="FB643" s="8" t="s">
        <v>1603</v>
      </c>
      <c r="FC643" s="8" t="s">
        <v>1604</v>
      </c>
      <c r="FD643" s="8">
        <v>290</v>
      </c>
      <c r="FE643" s="8">
        <v>3.3</v>
      </c>
    </row>
    <row r="644" spans="158:161" ht="74.25" customHeight="1" x14ac:dyDescent="0.2">
      <c r="FB644" s="8" t="s">
        <v>1605</v>
      </c>
      <c r="FC644" s="8" t="s">
        <v>1606</v>
      </c>
      <c r="FD644" s="8">
        <v>5700</v>
      </c>
      <c r="FE644" s="8">
        <v>570</v>
      </c>
    </row>
    <row r="645" spans="158:161" ht="74.25" customHeight="1" x14ac:dyDescent="0.2">
      <c r="FB645" s="8" t="s">
        <v>1607</v>
      </c>
      <c r="FC645" s="8" t="s">
        <v>1608</v>
      </c>
      <c r="FD645" s="8">
        <v>500</v>
      </c>
      <c r="FE645" s="8">
        <v>50</v>
      </c>
    </row>
    <row r="646" spans="158:161" ht="74.25" customHeight="1" x14ac:dyDescent="0.2">
      <c r="FB646" s="8" t="s">
        <v>1609</v>
      </c>
      <c r="FC646" s="8" t="s">
        <v>1610</v>
      </c>
      <c r="FD646" s="8">
        <v>5700</v>
      </c>
      <c r="FE646" s="8">
        <v>570</v>
      </c>
    </row>
    <row r="647" spans="158:161" ht="74.25" customHeight="1" x14ac:dyDescent="0.2">
      <c r="FB647" s="8" t="s">
        <v>1611</v>
      </c>
      <c r="FC647" s="8" t="s">
        <v>1612</v>
      </c>
      <c r="FD647" s="8">
        <v>1700</v>
      </c>
      <c r="FE647" s="8">
        <v>330</v>
      </c>
    </row>
    <row r="648" spans="158:161" ht="74.25" customHeight="1" x14ac:dyDescent="0.2">
      <c r="FB648" s="8" t="s">
        <v>1613</v>
      </c>
      <c r="FC648" s="8" t="s">
        <v>1614</v>
      </c>
      <c r="FD648" s="8">
        <v>4800</v>
      </c>
      <c r="FE648" s="8">
        <v>450</v>
      </c>
    </row>
    <row r="649" spans="158:161" ht="74.25" customHeight="1" x14ac:dyDescent="0.2">
      <c r="FB649" s="8" t="s">
        <v>1615</v>
      </c>
      <c r="FC649" s="8" t="s">
        <v>1616</v>
      </c>
      <c r="FD649" s="8">
        <v>440</v>
      </c>
      <c r="FE649" s="8">
        <v>44</v>
      </c>
    </row>
    <row r="650" spans="158:161" ht="74.25" customHeight="1" x14ac:dyDescent="0.2">
      <c r="FB650" s="8" t="s">
        <v>1617</v>
      </c>
      <c r="FC650" s="8" t="s">
        <v>1618</v>
      </c>
      <c r="FD650" s="8">
        <v>1700</v>
      </c>
      <c r="FE650" s="8">
        <v>330</v>
      </c>
    </row>
    <row r="651" spans="158:161" ht="74.25" customHeight="1" x14ac:dyDescent="0.2">
      <c r="FB651" s="8" t="s">
        <v>1619</v>
      </c>
      <c r="FC651" s="8" t="s">
        <v>1620</v>
      </c>
      <c r="FD651" s="8">
        <v>440</v>
      </c>
      <c r="FE651" s="8">
        <v>44</v>
      </c>
    </row>
    <row r="652" spans="158:161" ht="74.25" customHeight="1" x14ac:dyDescent="0.2">
      <c r="FB652" s="8" t="s">
        <v>1621</v>
      </c>
      <c r="FC652" s="8" t="s">
        <v>1622</v>
      </c>
      <c r="FD652" s="8">
        <v>5700</v>
      </c>
      <c r="FE652" s="8">
        <v>570</v>
      </c>
    </row>
    <row r="653" spans="158:161" ht="74.25" customHeight="1" x14ac:dyDescent="0.2">
      <c r="FB653" s="8" t="s">
        <v>1623</v>
      </c>
      <c r="FC653" s="8" t="s">
        <v>1624</v>
      </c>
      <c r="FD653" s="8">
        <v>100</v>
      </c>
      <c r="FE653" s="8">
        <v>10</v>
      </c>
    </row>
    <row r="654" spans="158:161" ht="74.25" customHeight="1" x14ac:dyDescent="0.2">
      <c r="FB654" s="8" t="s">
        <v>1625</v>
      </c>
      <c r="FC654" s="8" t="s">
        <v>1626</v>
      </c>
      <c r="FD654" s="8">
        <v>1700</v>
      </c>
      <c r="FE654" s="8">
        <v>330</v>
      </c>
    </row>
    <row r="655" spans="158:161" ht="74.25" customHeight="1" x14ac:dyDescent="0.2">
      <c r="FB655" s="8" t="s">
        <v>1627</v>
      </c>
      <c r="FC655" s="8" t="s">
        <v>1628</v>
      </c>
      <c r="FD655" s="8">
        <v>1000</v>
      </c>
      <c r="FE655" s="8">
        <v>100</v>
      </c>
    </row>
    <row r="656" spans="158:161" ht="74.25" customHeight="1" x14ac:dyDescent="0.2">
      <c r="FB656" s="8" t="s">
        <v>1629</v>
      </c>
      <c r="FC656" s="8" t="s">
        <v>1630</v>
      </c>
      <c r="FD656" s="8">
        <v>30</v>
      </c>
      <c r="FE656" s="8">
        <v>3</v>
      </c>
    </row>
    <row r="657" spans="158:161" ht="74.25" customHeight="1" x14ac:dyDescent="0.2">
      <c r="FB657" s="8" t="s">
        <v>1631</v>
      </c>
      <c r="FC657" s="8" t="s">
        <v>1632</v>
      </c>
      <c r="FD657" s="8">
        <v>480</v>
      </c>
      <c r="FE657" s="8">
        <v>48</v>
      </c>
    </row>
    <row r="658" spans="158:161" ht="74.25" customHeight="1" x14ac:dyDescent="0.2">
      <c r="FB658" s="8" t="s">
        <v>1633</v>
      </c>
      <c r="FC658" s="8" t="s">
        <v>1634</v>
      </c>
      <c r="FD658" s="8">
        <v>290</v>
      </c>
      <c r="FE658" s="8">
        <v>3.3</v>
      </c>
    </row>
    <row r="659" spans="158:161" ht="74.25" customHeight="1" x14ac:dyDescent="0.2">
      <c r="FB659" s="8" t="s">
        <v>1635</v>
      </c>
      <c r="FC659" s="8" t="s">
        <v>1636</v>
      </c>
      <c r="FD659" s="8">
        <v>350</v>
      </c>
      <c r="FE659" s="8">
        <v>35</v>
      </c>
    </row>
    <row r="660" spans="158:161" ht="74.25" customHeight="1" x14ac:dyDescent="0.2">
      <c r="FB660" s="8" t="s">
        <v>1637</v>
      </c>
      <c r="FC660" s="8" t="s">
        <v>1638</v>
      </c>
      <c r="FD660" s="8">
        <v>420</v>
      </c>
      <c r="FE660" s="8">
        <v>42</v>
      </c>
    </row>
    <row r="661" spans="158:161" ht="74.25" customHeight="1" x14ac:dyDescent="0.2">
      <c r="FB661" s="8" t="s">
        <v>1639</v>
      </c>
      <c r="FC661" s="8" t="s">
        <v>1640</v>
      </c>
      <c r="FD661" s="8">
        <v>2200</v>
      </c>
      <c r="FE661" s="8">
        <v>220</v>
      </c>
    </row>
    <row r="662" spans="158:161" ht="74.25" customHeight="1" x14ac:dyDescent="0.2">
      <c r="FB662" s="8" t="s">
        <v>1641</v>
      </c>
      <c r="FC662" s="8" t="s">
        <v>1642</v>
      </c>
      <c r="FD662" s="8">
        <v>420</v>
      </c>
      <c r="FE662" s="8">
        <v>42</v>
      </c>
    </row>
    <row r="663" spans="158:161" ht="74.25" customHeight="1" x14ac:dyDescent="0.2">
      <c r="FB663" s="8" t="s">
        <v>1643</v>
      </c>
      <c r="FC663" s="8" t="s">
        <v>1644</v>
      </c>
      <c r="FD663" s="8">
        <v>20</v>
      </c>
      <c r="FE663" s="8">
        <v>2</v>
      </c>
    </row>
    <row r="664" spans="158:161" ht="74.25" customHeight="1" x14ac:dyDescent="0.2">
      <c r="FB664" s="8" t="s">
        <v>1645</v>
      </c>
      <c r="FC664" s="8" t="s">
        <v>1646</v>
      </c>
      <c r="FD664" s="8">
        <v>67</v>
      </c>
      <c r="FE664" s="8">
        <v>6.7</v>
      </c>
    </row>
    <row r="665" spans="158:161" ht="74.25" customHeight="1" x14ac:dyDescent="0.2">
      <c r="FB665" s="8" t="s">
        <v>1647</v>
      </c>
      <c r="FC665" s="8" t="s">
        <v>1648</v>
      </c>
      <c r="FD665" s="8">
        <v>1</v>
      </c>
      <c r="FE665" s="8">
        <v>0.1</v>
      </c>
    </row>
    <row r="666" spans="158:161" ht="74.25" customHeight="1" x14ac:dyDescent="0.2">
      <c r="FB666" s="8" t="s">
        <v>1649</v>
      </c>
      <c r="FC666" s="8" t="s">
        <v>1650</v>
      </c>
      <c r="FD666" s="8">
        <v>67</v>
      </c>
      <c r="FE666" s="8">
        <v>6.7</v>
      </c>
    </row>
    <row r="667" spans="158:161" ht="74.25" customHeight="1" x14ac:dyDescent="0.2">
      <c r="FB667" s="8" t="s">
        <v>1651</v>
      </c>
      <c r="FC667" s="8" t="s">
        <v>1652</v>
      </c>
      <c r="FD667" s="8">
        <v>600</v>
      </c>
      <c r="FE667" s="8">
        <v>60</v>
      </c>
    </row>
    <row r="668" spans="158:161" ht="74.25" customHeight="1" x14ac:dyDescent="0.2">
      <c r="FB668" s="8" t="s">
        <v>1653</v>
      </c>
      <c r="FC668" s="8" t="s">
        <v>1654</v>
      </c>
      <c r="FD668" s="8">
        <v>600</v>
      </c>
      <c r="FE668" s="8">
        <v>60</v>
      </c>
    </row>
    <row r="669" spans="158:161" ht="74.25" customHeight="1" x14ac:dyDescent="0.2">
      <c r="FB669" s="8" t="s">
        <v>1655</v>
      </c>
      <c r="FC669" s="8" t="s">
        <v>1656</v>
      </c>
      <c r="FD669" s="8">
        <v>46</v>
      </c>
      <c r="FE669" s="8">
        <v>4.5999999999999996</v>
      </c>
    </row>
    <row r="670" spans="158:161" ht="74.25" customHeight="1" x14ac:dyDescent="0.2">
      <c r="FB670" s="8" t="s">
        <v>1657</v>
      </c>
      <c r="FC670" s="8" t="s">
        <v>1658</v>
      </c>
      <c r="FD670" s="8">
        <v>5700</v>
      </c>
      <c r="FE670" s="8">
        <v>570</v>
      </c>
    </row>
    <row r="671" spans="158:161" ht="74.25" customHeight="1" x14ac:dyDescent="0.2">
      <c r="FB671" s="8" t="s">
        <v>1659</v>
      </c>
      <c r="FC671" s="8" t="s">
        <v>1660</v>
      </c>
      <c r="FD671" s="8">
        <v>1000</v>
      </c>
      <c r="FE671" s="8">
        <v>100</v>
      </c>
    </row>
    <row r="672" spans="158:161" ht="74.25" customHeight="1" x14ac:dyDescent="0.2">
      <c r="FB672" s="8" t="s">
        <v>1661</v>
      </c>
      <c r="FC672" s="8" t="s">
        <v>1662</v>
      </c>
      <c r="FD672" s="8">
        <v>4800</v>
      </c>
      <c r="FE672" s="8">
        <v>450</v>
      </c>
    </row>
    <row r="673" spans="158:161" ht="74.25" customHeight="1" x14ac:dyDescent="0.2">
      <c r="FB673" s="8" t="s">
        <v>1663</v>
      </c>
      <c r="FC673" s="8" t="s">
        <v>1664</v>
      </c>
      <c r="FD673" s="8">
        <v>5600</v>
      </c>
      <c r="FE673" s="8">
        <v>540</v>
      </c>
    </row>
    <row r="674" spans="158:161" ht="74.25" customHeight="1" x14ac:dyDescent="0.2">
      <c r="FB674" s="8" t="s">
        <v>1665</v>
      </c>
      <c r="FC674" s="8" t="s">
        <v>1666</v>
      </c>
      <c r="FD674" s="8">
        <v>1700</v>
      </c>
      <c r="FE674" s="8">
        <v>330</v>
      </c>
    </row>
    <row r="675" spans="158:161" ht="74.25" customHeight="1" x14ac:dyDescent="0.2">
      <c r="FB675" s="8" t="s">
        <v>1667</v>
      </c>
      <c r="FC675" s="8" t="s">
        <v>1668</v>
      </c>
      <c r="FD675" s="8">
        <v>10000</v>
      </c>
      <c r="FE675" s="8">
        <v>2700</v>
      </c>
    </row>
    <row r="676" spans="158:161" ht="74.25" customHeight="1" x14ac:dyDescent="0.2">
      <c r="FB676" s="8" t="s">
        <v>1669</v>
      </c>
      <c r="FC676" s="8" t="s">
        <v>1670</v>
      </c>
      <c r="FD676" s="8">
        <v>2</v>
      </c>
      <c r="FE676" s="8">
        <v>0.2</v>
      </c>
    </row>
    <row r="677" spans="158:161" ht="74.25" customHeight="1" x14ac:dyDescent="0.2">
      <c r="FB677" s="8" t="s">
        <v>1671</v>
      </c>
      <c r="FC677" s="8" t="s">
        <v>1672</v>
      </c>
      <c r="FD677" s="8">
        <v>290</v>
      </c>
      <c r="FE677" s="8">
        <v>3.3</v>
      </c>
    </row>
    <row r="678" spans="158:161" ht="74.25" customHeight="1" x14ac:dyDescent="0.2">
      <c r="FB678" s="8" t="s">
        <v>1673</v>
      </c>
      <c r="FC678" s="8" t="s">
        <v>1674</v>
      </c>
      <c r="FD678" s="8">
        <v>830</v>
      </c>
      <c r="FE678" s="8">
        <v>83</v>
      </c>
    </row>
    <row r="679" spans="158:161" ht="74.25" customHeight="1" x14ac:dyDescent="0.2">
      <c r="FB679" s="8" t="s">
        <v>1675</v>
      </c>
      <c r="FC679" s="8" t="s">
        <v>1676</v>
      </c>
      <c r="FD679" s="8">
        <v>3.3</v>
      </c>
      <c r="FE679" s="8">
        <v>6.3E-2</v>
      </c>
    </row>
    <row r="680" spans="158:161" ht="74.25" customHeight="1" x14ac:dyDescent="0.2">
      <c r="FB680" s="8" t="s">
        <v>1677</v>
      </c>
      <c r="FC680" s="8" t="s">
        <v>1678</v>
      </c>
      <c r="FD680" s="8">
        <v>1000</v>
      </c>
      <c r="FE680" s="8">
        <v>100</v>
      </c>
    </row>
    <row r="681" spans="158:161" ht="74.25" customHeight="1" x14ac:dyDescent="0.2">
      <c r="FB681" s="8" t="s">
        <v>1679</v>
      </c>
      <c r="FC681" s="8" t="s">
        <v>1680</v>
      </c>
      <c r="FD681" s="8">
        <v>830</v>
      </c>
      <c r="FE681" s="8">
        <v>83</v>
      </c>
    </row>
    <row r="682" spans="158:161" ht="74.25" customHeight="1" x14ac:dyDescent="0.2">
      <c r="FB682" s="8" t="s">
        <v>1681</v>
      </c>
      <c r="FC682" s="8" t="s">
        <v>1682</v>
      </c>
      <c r="FD682" s="8">
        <v>24</v>
      </c>
      <c r="FE682" s="8">
        <v>2.4</v>
      </c>
    </row>
    <row r="683" spans="158:161" ht="74.25" customHeight="1" x14ac:dyDescent="0.2">
      <c r="FB683" s="8" t="s">
        <v>1683</v>
      </c>
      <c r="FC683" s="8" t="s">
        <v>1684</v>
      </c>
      <c r="FD683" s="8">
        <v>290</v>
      </c>
      <c r="FE683" s="8">
        <v>3.3</v>
      </c>
    </row>
    <row r="684" spans="158:161" ht="74.25" customHeight="1" x14ac:dyDescent="0.2">
      <c r="FB684" s="8" t="s">
        <v>1685</v>
      </c>
      <c r="FC684" s="8" t="s">
        <v>1686</v>
      </c>
      <c r="FD684" s="8">
        <v>5700</v>
      </c>
      <c r="FE684" s="8">
        <v>570</v>
      </c>
    </row>
    <row r="685" spans="158:161" ht="74.25" customHeight="1" x14ac:dyDescent="0.2">
      <c r="FB685" s="8" t="s">
        <v>1687</v>
      </c>
      <c r="FC685" s="8" t="s">
        <v>1688</v>
      </c>
      <c r="FD685" s="8">
        <v>1700</v>
      </c>
      <c r="FE685" s="8">
        <v>330</v>
      </c>
    </row>
    <row r="686" spans="158:161" ht="74.25" customHeight="1" x14ac:dyDescent="0.2">
      <c r="FB686" s="8" t="s">
        <v>1689</v>
      </c>
      <c r="FC686" s="8" t="s">
        <v>1690</v>
      </c>
      <c r="FD686" s="8">
        <v>1000</v>
      </c>
      <c r="FE686" s="8">
        <v>100</v>
      </c>
    </row>
    <row r="687" spans="158:161" ht="74.25" customHeight="1" x14ac:dyDescent="0.2">
      <c r="FB687" s="8" t="s">
        <v>1691</v>
      </c>
      <c r="FC687" s="8" t="s">
        <v>1692</v>
      </c>
      <c r="FD687" s="8">
        <v>46</v>
      </c>
      <c r="FE687" s="8">
        <v>4.5999999999999996</v>
      </c>
    </row>
    <row r="688" spans="158:161" ht="74.25" customHeight="1" x14ac:dyDescent="0.2">
      <c r="FB688" s="8" t="s">
        <v>1693</v>
      </c>
      <c r="FC688" s="8" t="s">
        <v>1694</v>
      </c>
      <c r="FD688" s="8">
        <v>270</v>
      </c>
      <c r="FE688" s="8">
        <v>100</v>
      </c>
    </row>
    <row r="689" spans="158:161" ht="74.25" customHeight="1" x14ac:dyDescent="0.2">
      <c r="FB689" s="8" t="s">
        <v>1695</v>
      </c>
      <c r="FC689" s="8" t="s">
        <v>1696</v>
      </c>
      <c r="FD689" s="8">
        <v>100</v>
      </c>
      <c r="FE689" s="8">
        <v>10</v>
      </c>
    </row>
    <row r="690" spans="158:161" ht="74.25" customHeight="1" x14ac:dyDescent="0.2">
      <c r="FB690" s="8" t="s">
        <v>1697</v>
      </c>
      <c r="FC690" s="8" t="s">
        <v>1698</v>
      </c>
      <c r="FD690" s="8">
        <v>1800</v>
      </c>
      <c r="FE690" s="8">
        <v>180</v>
      </c>
    </row>
    <row r="691" spans="158:161" ht="74.25" customHeight="1" x14ac:dyDescent="0.2">
      <c r="FB691" s="8" t="s">
        <v>1699</v>
      </c>
      <c r="FC691" s="8" t="s">
        <v>1700</v>
      </c>
      <c r="FD691" s="8">
        <v>100</v>
      </c>
      <c r="FE691" s="8">
        <v>10</v>
      </c>
    </row>
    <row r="692" spans="158:161" ht="74.25" customHeight="1" x14ac:dyDescent="0.2">
      <c r="FB692" s="8" t="s">
        <v>1701</v>
      </c>
      <c r="FC692" s="8" t="s">
        <v>1702</v>
      </c>
      <c r="FD692" s="8">
        <v>100</v>
      </c>
      <c r="FE692" s="8">
        <v>10</v>
      </c>
    </row>
    <row r="693" spans="158:161" ht="74.25" customHeight="1" x14ac:dyDescent="0.2">
      <c r="FB693" s="8" t="s">
        <v>1703</v>
      </c>
      <c r="FC693" s="8" t="s">
        <v>1704</v>
      </c>
      <c r="FD693" s="8">
        <v>500</v>
      </c>
      <c r="FE693" s="8">
        <v>50</v>
      </c>
    </row>
    <row r="694" spans="158:161" ht="74.25" customHeight="1" x14ac:dyDescent="0.2">
      <c r="FB694" s="8" t="s">
        <v>1705</v>
      </c>
      <c r="FC694" s="8" t="s">
        <v>1706</v>
      </c>
      <c r="FD694" s="8">
        <v>5700</v>
      </c>
      <c r="FE694" s="8">
        <v>570</v>
      </c>
    </row>
    <row r="695" spans="158:161" ht="74.25" customHeight="1" x14ac:dyDescent="0.2">
      <c r="FB695" s="8" t="s">
        <v>1707</v>
      </c>
      <c r="FC695" s="8" t="s">
        <v>1708</v>
      </c>
      <c r="FD695" s="8">
        <v>90</v>
      </c>
      <c r="FE695" s="8">
        <v>9</v>
      </c>
    </row>
    <row r="696" spans="158:161" ht="74.25" customHeight="1" x14ac:dyDescent="0.2">
      <c r="FB696" s="8" t="s">
        <v>1709</v>
      </c>
      <c r="FC696" s="8" t="s">
        <v>1710</v>
      </c>
      <c r="FD696" s="8">
        <v>1700</v>
      </c>
      <c r="FE696" s="8">
        <v>170</v>
      </c>
    </row>
    <row r="697" spans="158:161" ht="74.25" customHeight="1" x14ac:dyDescent="0.2">
      <c r="FB697" s="8" t="s">
        <v>1711</v>
      </c>
      <c r="FC697" s="8" t="s">
        <v>1712</v>
      </c>
      <c r="FD697" s="8">
        <v>4800</v>
      </c>
      <c r="FE697" s="8">
        <v>450</v>
      </c>
    </row>
    <row r="698" spans="158:161" ht="74.25" customHeight="1" x14ac:dyDescent="0.2">
      <c r="FB698" s="8" t="s">
        <v>1713</v>
      </c>
      <c r="FC698" s="8" t="s">
        <v>1714</v>
      </c>
      <c r="FD698" s="8">
        <v>5600</v>
      </c>
      <c r="FE698" s="8">
        <v>540</v>
      </c>
    </row>
    <row r="699" spans="158:161" ht="74.25" customHeight="1" x14ac:dyDescent="0.2">
      <c r="FB699" s="8" t="s">
        <v>1715</v>
      </c>
      <c r="FC699" s="8" t="s">
        <v>1716</v>
      </c>
      <c r="FD699" s="8">
        <v>100</v>
      </c>
      <c r="FE699" s="8">
        <v>10</v>
      </c>
    </row>
    <row r="700" spans="158:161" ht="74.25" customHeight="1" x14ac:dyDescent="0.2">
      <c r="FB700" s="8" t="s">
        <v>1717</v>
      </c>
      <c r="FC700" s="8" t="s">
        <v>1718</v>
      </c>
      <c r="FD700" s="8">
        <v>1700</v>
      </c>
      <c r="FE700" s="8">
        <v>330</v>
      </c>
    </row>
    <row r="701" spans="158:161" ht="74.25" customHeight="1" x14ac:dyDescent="0.2">
      <c r="FB701" s="8" t="s">
        <v>1719</v>
      </c>
      <c r="FC701" s="8" t="s">
        <v>1720</v>
      </c>
      <c r="FD701" s="8">
        <v>290</v>
      </c>
      <c r="FE701" s="8">
        <v>3.3</v>
      </c>
    </row>
    <row r="702" spans="158:161" ht="74.25" customHeight="1" x14ac:dyDescent="0.2">
      <c r="FB702" s="8" t="s">
        <v>1721</v>
      </c>
      <c r="FC702" s="8" t="s">
        <v>1722</v>
      </c>
      <c r="FD702" s="8">
        <v>1000</v>
      </c>
      <c r="FE702" s="8">
        <v>100</v>
      </c>
    </row>
    <row r="703" spans="158:161" ht="74.25" customHeight="1" x14ac:dyDescent="0.2">
      <c r="FB703" s="8" t="s">
        <v>1723</v>
      </c>
      <c r="FC703" s="8" t="s">
        <v>1724</v>
      </c>
      <c r="FD703" s="8">
        <v>830</v>
      </c>
      <c r="FE703" s="8">
        <v>83</v>
      </c>
    </row>
    <row r="704" spans="158:161" ht="74.25" customHeight="1" x14ac:dyDescent="0.2">
      <c r="FB704" s="8" t="s">
        <v>1725</v>
      </c>
      <c r="FC704" s="8" t="s">
        <v>1726</v>
      </c>
      <c r="FD704" s="8">
        <v>290</v>
      </c>
      <c r="FE704" s="8">
        <v>3.3</v>
      </c>
    </row>
    <row r="705" spans="158:161" ht="74.25" customHeight="1" x14ac:dyDescent="0.2">
      <c r="FB705" s="8" t="s">
        <v>1727</v>
      </c>
      <c r="FC705" s="8" t="s">
        <v>1728</v>
      </c>
      <c r="FD705" s="8">
        <v>3500</v>
      </c>
      <c r="FE705" s="8">
        <v>350</v>
      </c>
    </row>
    <row r="706" spans="158:161" ht="74.25" customHeight="1" x14ac:dyDescent="0.2">
      <c r="FB706" s="8" t="s">
        <v>1729</v>
      </c>
      <c r="FC706" s="8" t="s">
        <v>1730</v>
      </c>
      <c r="FD706" s="8">
        <v>100</v>
      </c>
      <c r="FE706" s="8">
        <v>10</v>
      </c>
    </row>
    <row r="707" spans="158:161" ht="74.25" customHeight="1" x14ac:dyDescent="0.2">
      <c r="FB707" s="8" t="s">
        <v>1731</v>
      </c>
      <c r="FC707" s="8" t="s">
        <v>1732</v>
      </c>
      <c r="FD707" s="8">
        <v>3500</v>
      </c>
      <c r="FE707" s="8">
        <v>350</v>
      </c>
    </row>
    <row r="708" spans="158:161" ht="74.25" customHeight="1" x14ac:dyDescent="0.2">
      <c r="FB708" s="8" t="s">
        <v>1733</v>
      </c>
      <c r="FC708" s="8" t="s">
        <v>1734</v>
      </c>
      <c r="FD708" s="8">
        <v>1500</v>
      </c>
      <c r="FE708" s="8">
        <v>150</v>
      </c>
    </row>
    <row r="709" spans="158:161" ht="74.25" customHeight="1" x14ac:dyDescent="0.2">
      <c r="FB709" s="8" t="s">
        <v>1735</v>
      </c>
      <c r="FC709" s="8" t="s">
        <v>1736</v>
      </c>
      <c r="FD709" s="8">
        <v>3750</v>
      </c>
      <c r="FE709" s="8">
        <v>375</v>
      </c>
    </row>
    <row r="710" spans="158:161" ht="74.25" customHeight="1" x14ac:dyDescent="0.2">
      <c r="FB710" s="8" t="s">
        <v>1737</v>
      </c>
      <c r="FC710" s="8" t="s">
        <v>1738</v>
      </c>
      <c r="FD710" s="8">
        <v>600</v>
      </c>
      <c r="FE710" s="8">
        <v>60</v>
      </c>
    </row>
    <row r="711" spans="158:161" ht="74.25" customHeight="1" x14ac:dyDescent="0.2">
      <c r="FB711" s="8" t="s">
        <v>1739</v>
      </c>
      <c r="FC711" s="8" t="s">
        <v>1740</v>
      </c>
      <c r="FD711" s="8">
        <v>120</v>
      </c>
      <c r="FE711" s="8">
        <v>12</v>
      </c>
    </row>
    <row r="712" spans="158:161" ht="74.25" customHeight="1" x14ac:dyDescent="0.2">
      <c r="FB712" s="8" t="s">
        <v>1741</v>
      </c>
      <c r="FC712" s="8" t="s">
        <v>1742</v>
      </c>
      <c r="FD712" s="8">
        <v>67</v>
      </c>
      <c r="FE712" s="8">
        <v>6.7</v>
      </c>
    </row>
    <row r="713" spans="158:161" ht="74.25" customHeight="1" x14ac:dyDescent="0.2">
      <c r="FB713" s="8" t="s">
        <v>1743</v>
      </c>
      <c r="FC713" s="8" t="s">
        <v>1744</v>
      </c>
      <c r="FD713" s="8">
        <v>46</v>
      </c>
      <c r="FE713" s="8">
        <v>4.5999999999999996</v>
      </c>
    </row>
    <row r="714" spans="158:161" ht="74.25" customHeight="1" x14ac:dyDescent="0.2">
      <c r="FB714" s="8" t="s">
        <v>1745</v>
      </c>
      <c r="FC714" s="8" t="s">
        <v>1746</v>
      </c>
      <c r="FD714" s="8">
        <v>110</v>
      </c>
      <c r="FE714" s="8">
        <v>11</v>
      </c>
    </row>
    <row r="715" spans="158:161" ht="74.25" customHeight="1" x14ac:dyDescent="0.2">
      <c r="FB715" s="8" t="s">
        <v>1747</v>
      </c>
      <c r="FC715" s="8" t="s">
        <v>1748</v>
      </c>
      <c r="FD715" s="8">
        <v>100</v>
      </c>
      <c r="FE715" s="8">
        <v>10</v>
      </c>
    </row>
    <row r="716" spans="158:161" ht="74.25" customHeight="1" x14ac:dyDescent="0.2">
      <c r="FB716" s="8" t="s">
        <v>1749</v>
      </c>
      <c r="FC716" s="8" t="s">
        <v>1750</v>
      </c>
      <c r="FD716" s="8">
        <v>46</v>
      </c>
      <c r="FE716" s="8">
        <v>4.5999999999999996</v>
      </c>
    </row>
    <row r="717" spans="158:161" ht="74.25" customHeight="1" x14ac:dyDescent="0.2">
      <c r="FB717" s="8" t="s">
        <v>1751</v>
      </c>
      <c r="FC717" s="8" t="s">
        <v>1752</v>
      </c>
      <c r="FD717" s="8">
        <v>700</v>
      </c>
      <c r="FE717" s="8">
        <v>70</v>
      </c>
    </row>
    <row r="718" spans="158:161" ht="74.25" customHeight="1" x14ac:dyDescent="0.2">
      <c r="FB718" s="8" t="s">
        <v>1753</v>
      </c>
      <c r="FC718" s="8" t="s">
        <v>1754</v>
      </c>
      <c r="FD718" s="8">
        <v>5700</v>
      </c>
      <c r="FE718" s="8">
        <v>570</v>
      </c>
    </row>
    <row r="719" spans="158:161" ht="74.25" customHeight="1" x14ac:dyDescent="0.2">
      <c r="FB719" s="8" t="s">
        <v>1755</v>
      </c>
      <c r="FC719" s="8" t="s">
        <v>1756</v>
      </c>
      <c r="FD719" s="8">
        <v>1000</v>
      </c>
      <c r="FE719" s="8">
        <v>100</v>
      </c>
    </row>
    <row r="720" spans="158:161" ht="74.25" customHeight="1" x14ac:dyDescent="0.2">
      <c r="FB720" s="8" t="s">
        <v>1757</v>
      </c>
      <c r="FC720" s="8" t="s">
        <v>1758</v>
      </c>
      <c r="FD720" s="8">
        <v>3500</v>
      </c>
      <c r="FE720" s="8">
        <v>350</v>
      </c>
    </row>
    <row r="721" spans="158:161" ht="74.25" customHeight="1" x14ac:dyDescent="0.2">
      <c r="FB721" s="8" t="s">
        <v>1759</v>
      </c>
      <c r="FC721" s="8" t="s">
        <v>1760</v>
      </c>
      <c r="FD721" s="8">
        <v>5700</v>
      </c>
      <c r="FE721" s="8">
        <v>570</v>
      </c>
    </row>
    <row r="722" spans="158:161" ht="74.25" customHeight="1" x14ac:dyDescent="0.2">
      <c r="FB722" s="8" t="s">
        <v>1761</v>
      </c>
      <c r="FC722" s="8" t="s">
        <v>1762</v>
      </c>
      <c r="FD722" s="8">
        <v>1000</v>
      </c>
      <c r="FE722" s="8">
        <v>100</v>
      </c>
    </row>
    <row r="723" spans="158:161" ht="74.25" customHeight="1" x14ac:dyDescent="0.2">
      <c r="FB723" s="8" t="s">
        <v>1763</v>
      </c>
      <c r="FC723" s="8" t="s">
        <v>1764</v>
      </c>
      <c r="FD723" s="8">
        <v>1450</v>
      </c>
      <c r="FE723" s="8">
        <v>145</v>
      </c>
    </row>
    <row r="724" spans="158:161" ht="74.25" customHeight="1" x14ac:dyDescent="0.2">
      <c r="FB724" s="8" t="s">
        <v>1765</v>
      </c>
      <c r="FC724" s="8" t="s">
        <v>1766</v>
      </c>
      <c r="FD724" s="8">
        <v>4800</v>
      </c>
      <c r="FE724" s="8">
        <v>450</v>
      </c>
    </row>
    <row r="725" spans="158:161" ht="74.25" customHeight="1" x14ac:dyDescent="0.2">
      <c r="FB725" s="8" t="s">
        <v>1767</v>
      </c>
      <c r="FC725" s="8" t="s">
        <v>1768</v>
      </c>
      <c r="FD725" s="8">
        <v>1700</v>
      </c>
      <c r="FE725" s="8">
        <v>330</v>
      </c>
    </row>
    <row r="726" spans="158:161" ht="74.25" customHeight="1" x14ac:dyDescent="0.2">
      <c r="FB726" s="8" t="s">
        <v>1769</v>
      </c>
      <c r="FC726" s="8" t="s">
        <v>1770</v>
      </c>
      <c r="FD726" s="8">
        <v>3500</v>
      </c>
      <c r="FE726" s="8">
        <v>350</v>
      </c>
    </row>
    <row r="727" spans="158:161" ht="74.25" customHeight="1" x14ac:dyDescent="0.2">
      <c r="FB727" s="8" t="s">
        <v>1771</v>
      </c>
      <c r="FC727" s="8" t="s">
        <v>1772</v>
      </c>
      <c r="FD727" s="8">
        <v>3</v>
      </c>
      <c r="FE727" s="8">
        <v>0.3</v>
      </c>
    </row>
    <row r="728" spans="158:161" ht="74.25" customHeight="1" x14ac:dyDescent="0.2">
      <c r="FB728" s="8" t="s">
        <v>1773</v>
      </c>
      <c r="FC728" s="8" t="s">
        <v>1774</v>
      </c>
      <c r="FD728" s="8">
        <v>50</v>
      </c>
      <c r="FE728" s="8">
        <v>5</v>
      </c>
    </row>
    <row r="729" spans="158:161" ht="74.25" customHeight="1" x14ac:dyDescent="0.2">
      <c r="FB729" s="8" t="s">
        <v>1775</v>
      </c>
      <c r="FC729" s="8" t="s">
        <v>1776</v>
      </c>
      <c r="FD729" s="8">
        <v>38</v>
      </c>
      <c r="FE729" s="8">
        <v>3.8</v>
      </c>
    </row>
    <row r="730" spans="158:161" ht="74.25" customHeight="1" x14ac:dyDescent="0.2">
      <c r="FB730" s="8" t="s">
        <v>1777</v>
      </c>
      <c r="FC730" s="8" t="s">
        <v>1778</v>
      </c>
      <c r="FD730" s="8">
        <v>290</v>
      </c>
      <c r="FE730" s="8">
        <v>3.3</v>
      </c>
    </row>
    <row r="731" spans="158:161" ht="74.25" customHeight="1" x14ac:dyDescent="0.2">
      <c r="FB731" s="8" t="s">
        <v>1779</v>
      </c>
      <c r="FC731" s="8" t="s">
        <v>9837</v>
      </c>
      <c r="FD731" s="8">
        <v>310</v>
      </c>
      <c r="FE731" s="8">
        <v>31</v>
      </c>
    </row>
    <row r="732" spans="158:161" ht="74.25" customHeight="1" x14ac:dyDescent="0.2">
      <c r="FB732" s="8" t="s">
        <v>1780</v>
      </c>
      <c r="FC732" s="8" t="s">
        <v>1781</v>
      </c>
      <c r="FD732" s="8">
        <v>290</v>
      </c>
      <c r="FE732" s="8">
        <v>3.3</v>
      </c>
    </row>
    <row r="733" spans="158:161" ht="74.25" customHeight="1" x14ac:dyDescent="0.2">
      <c r="FB733" s="8" t="s">
        <v>1782</v>
      </c>
      <c r="FC733" s="8" t="s">
        <v>1783</v>
      </c>
      <c r="FD733" s="8">
        <v>1700</v>
      </c>
      <c r="FE733" s="8">
        <v>330</v>
      </c>
    </row>
    <row r="734" spans="158:161" ht="74.25" customHeight="1" x14ac:dyDescent="0.2">
      <c r="FB734" s="8" t="s">
        <v>1784</v>
      </c>
      <c r="FC734" s="8" t="s">
        <v>1785</v>
      </c>
      <c r="FD734" s="8">
        <v>3500</v>
      </c>
      <c r="FE734" s="8">
        <v>350</v>
      </c>
    </row>
    <row r="735" spans="158:161" ht="74.25" customHeight="1" x14ac:dyDescent="0.2">
      <c r="FB735" s="8" t="s">
        <v>1786</v>
      </c>
      <c r="FC735" s="8" t="s">
        <v>1787</v>
      </c>
      <c r="FD735" s="8">
        <v>1000</v>
      </c>
      <c r="FE735" s="8">
        <v>100</v>
      </c>
    </row>
    <row r="736" spans="158:161" ht="74.25" customHeight="1" x14ac:dyDescent="0.2">
      <c r="FB736" s="8" t="s">
        <v>1788</v>
      </c>
      <c r="FC736" s="8" t="s">
        <v>1789</v>
      </c>
      <c r="FD736" s="8">
        <v>1000</v>
      </c>
      <c r="FE736" s="8">
        <v>100</v>
      </c>
    </row>
    <row r="737" spans="158:161" ht="74.25" customHeight="1" x14ac:dyDescent="0.2">
      <c r="FB737" s="8" t="s">
        <v>1790</v>
      </c>
      <c r="FC737" s="8" t="s">
        <v>1791</v>
      </c>
      <c r="FD737" s="8">
        <v>2900</v>
      </c>
      <c r="FE737" s="8">
        <v>3700</v>
      </c>
    </row>
    <row r="738" spans="158:161" ht="74.25" customHeight="1" x14ac:dyDescent="0.2">
      <c r="FB738" s="8" t="s">
        <v>1792</v>
      </c>
      <c r="FC738" s="8" t="s">
        <v>1793</v>
      </c>
      <c r="FD738" s="8">
        <v>280</v>
      </c>
      <c r="FE738" s="8">
        <v>28</v>
      </c>
    </row>
    <row r="739" spans="158:161" ht="74.25" customHeight="1" x14ac:dyDescent="0.2">
      <c r="FB739" s="8" t="s">
        <v>1794</v>
      </c>
      <c r="FC739" s="8" t="s">
        <v>1795</v>
      </c>
      <c r="FD739" s="8">
        <v>500</v>
      </c>
      <c r="FE739" s="8">
        <v>50</v>
      </c>
    </row>
    <row r="740" spans="158:161" ht="74.25" customHeight="1" x14ac:dyDescent="0.2">
      <c r="FB740" s="8" t="s">
        <v>1796</v>
      </c>
      <c r="FC740" s="8" t="s">
        <v>1797</v>
      </c>
      <c r="FD740" s="8">
        <v>1000</v>
      </c>
      <c r="FE740" s="8">
        <v>100</v>
      </c>
    </row>
    <row r="741" spans="158:161" ht="74.25" customHeight="1" x14ac:dyDescent="0.2">
      <c r="FB741" s="8" t="s">
        <v>1798</v>
      </c>
      <c r="FC741" s="8" t="s">
        <v>1799</v>
      </c>
      <c r="FD741" s="8">
        <v>3.3</v>
      </c>
      <c r="FE741" s="8">
        <v>0.33</v>
      </c>
    </row>
    <row r="742" spans="158:161" ht="74.25" customHeight="1" x14ac:dyDescent="0.2">
      <c r="FB742" s="8" t="s">
        <v>1800</v>
      </c>
      <c r="FC742" s="8" t="s">
        <v>1801</v>
      </c>
      <c r="FD742" s="8">
        <v>2000</v>
      </c>
      <c r="FE742" s="8">
        <v>200</v>
      </c>
    </row>
    <row r="743" spans="158:161" ht="74.25" customHeight="1" x14ac:dyDescent="0.2">
      <c r="FB743" s="8" t="s">
        <v>1802</v>
      </c>
      <c r="FC743" s="8" t="s">
        <v>1803</v>
      </c>
      <c r="FD743" s="8">
        <v>720</v>
      </c>
      <c r="FE743" s="8">
        <v>72</v>
      </c>
    </row>
    <row r="744" spans="158:161" ht="74.25" customHeight="1" x14ac:dyDescent="0.2">
      <c r="FB744" s="8" t="s">
        <v>1804</v>
      </c>
      <c r="FC744" s="8" t="s">
        <v>1805</v>
      </c>
      <c r="FD744" s="8">
        <v>100</v>
      </c>
      <c r="FE744" s="8">
        <v>10</v>
      </c>
    </row>
    <row r="745" spans="158:161" ht="74.25" customHeight="1" x14ac:dyDescent="0.2">
      <c r="FB745" s="8" t="s">
        <v>1806</v>
      </c>
      <c r="FC745" s="8" t="s">
        <v>1807</v>
      </c>
      <c r="FD745" s="8">
        <v>40</v>
      </c>
      <c r="FE745" s="8">
        <v>4</v>
      </c>
    </row>
    <row r="746" spans="158:161" ht="74.25" customHeight="1" x14ac:dyDescent="0.2">
      <c r="FB746" s="8" t="s">
        <v>1808</v>
      </c>
      <c r="FC746" s="8" t="s">
        <v>1809</v>
      </c>
      <c r="FD746" s="8">
        <v>57</v>
      </c>
      <c r="FE746" s="8">
        <v>5.7</v>
      </c>
    </row>
    <row r="747" spans="158:161" ht="74.25" customHeight="1" x14ac:dyDescent="0.2">
      <c r="FB747" s="8" t="s">
        <v>1810</v>
      </c>
      <c r="FC747" s="8" t="s">
        <v>1811</v>
      </c>
      <c r="FD747" s="8">
        <v>280</v>
      </c>
      <c r="FE747" s="8">
        <v>28</v>
      </c>
    </row>
    <row r="748" spans="158:161" ht="74.25" customHeight="1" x14ac:dyDescent="0.2">
      <c r="FB748" s="8" t="s">
        <v>1812</v>
      </c>
      <c r="FC748" s="8" t="s">
        <v>1813</v>
      </c>
      <c r="FD748" s="8">
        <v>400</v>
      </c>
      <c r="FE748" s="8">
        <v>40</v>
      </c>
    </row>
    <row r="749" spans="158:161" ht="74.25" customHeight="1" x14ac:dyDescent="0.2">
      <c r="FB749" s="8" t="s">
        <v>1814</v>
      </c>
      <c r="FC749" s="8" t="s">
        <v>1815</v>
      </c>
      <c r="FD749" s="8">
        <v>800</v>
      </c>
      <c r="FE749" s="8">
        <v>80</v>
      </c>
    </row>
    <row r="750" spans="158:161" ht="74.25" customHeight="1" x14ac:dyDescent="0.2">
      <c r="FB750" s="8" t="s">
        <v>1816</v>
      </c>
      <c r="FC750" s="8" t="s">
        <v>1817</v>
      </c>
      <c r="FD750" s="8">
        <v>20</v>
      </c>
      <c r="FE750" s="8">
        <v>2</v>
      </c>
    </row>
    <row r="751" spans="158:161" ht="74.25" customHeight="1" x14ac:dyDescent="0.2">
      <c r="FB751" s="8" t="s">
        <v>1818</v>
      </c>
      <c r="FC751" s="8" t="s">
        <v>1819</v>
      </c>
      <c r="FD751" s="8">
        <v>190</v>
      </c>
      <c r="FE751" s="8">
        <v>19</v>
      </c>
    </row>
    <row r="752" spans="158:161" ht="74.25" customHeight="1" x14ac:dyDescent="0.2">
      <c r="FB752" s="8" t="s">
        <v>1820</v>
      </c>
      <c r="FC752" s="8" t="s">
        <v>1821</v>
      </c>
      <c r="FD752" s="8">
        <v>100</v>
      </c>
      <c r="FE752" s="8">
        <v>10</v>
      </c>
    </row>
    <row r="753" spans="158:161" ht="74.25" customHeight="1" x14ac:dyDescent="0.2">
      <c r="FB753" s="8" t="s">
        <v>1822</v>
      </c>
      <c r="FC753" s="8" t="s">
        <v>1823</v>
      </c>
      <c r="FD753" s="8">
        <v>97</v>
      </c>
      <c r="FE753" s="8">
        <v>7</v>
      </c>
    </row>
    <row r="754" spans="158:161" ht="74.25" customHeight="1" x14ac:dyDescent="0.2">
      <c r="FB754" s="8" t="s">
        <v>1824</v>
      </c>
      <c r="FC754" s="8" t="s">
        <v>1825</v>
      </c>
      <c r="FD754" s="8">
        <v>97</v>
      </c>
      <c r="FE754" s="8">
        <v>7</v>
      </c>
    </row>
    <row r="755" spans="158:161" ht="74.25" customHeight="1" x14ac:dyDescent="0.2">
      <c r="FB755" s="8" t="s">
        <v>1826</v>
      </c>
      <c r="FC755" s="8" t="s">
        <v>1827</v>
      </c>
      <c r="FD755" s="8">
        <v>97</v>
      </c>
      <c r="FE755" s="8">
        <v>7</v>
      </c>
    </row>
    <row r="756" spans="158:161" ht="74.25" customHeight="1" x14ac:dyDescent="0.2">
      <c r="FB756" s="8" t="s">
        <v>1828</v>
      </c>
      <c r="FC756" s="8" t="s">
        <v>1829</v>
      </c>
      <c r="FD756" s="8">
        <v>97</v>
      </c>
      <c r="FE756" s="8">
        <v>7</v>
      </c>
    </row>
    <row r="757" spans="158:161" ht="74.25" customHeight="1" x14ac:dyDescent="0.2">
      <c r="FB757" s="8" t="s">
        <v>1830</v>
      </c>
      <c r="FC757" s="8" t="s">
        <v>1831</v>
      </c>
      <c r="FD757" s="8">
        <v>97</v>
      </c>
      <c r="FE757" s="8">
        <v>7</v>
      </c>
    </row>
    <row r="758" spans="158:161" ht="74.25" customHeight="1" x14ac:dyDescent="0.2">
      <c r="FB758" s="8" t="s">
        <v>1832</v>
      </c>
      <c r="FC758" s="8" t="s">
        <v>1833</v>
      </c>
      <c r="FD758" s="8">
        <v>97</v>
      </c>
      <c r="FE758" s="8">
        <v>7</v>
      </c>
    </row>
    <row r="759" spans="158:161" ht="74.25" customHeight="1" x14ac:dyDescent="0.2">
      <c r="FB759" s="8" t="s">
        <v>1834</v>
      </c>
      <c r="FC759" s="8" t="s">
        <v>1835</v>
      </c>
      <c r="FD759" s="8">
        <v>350</v>
      </c>
      <c r="FE759" s="8">
        <v>35</v>
      </c>
    </row>
    <row r="760" spans="158:161" ht="74.25" customHeight="1" x14ac:dyDescent="0.2">
      <c r="FB760" s="8" t="s">
        <v>1836</v>
      </c>
      <c r="FC760" s="8" t="s">
        <v>1837</v>
      </c>
      <c r="FD760" s="8">
        <v>61000</v>
      </c>
      <c r="FE760" s="8">
        <v>6100</v>
      </c>
    </row>
    <row r="761" spans="158:161" ht="74.25" customHeight="1" x14ac:dyDescent="0.2">
      <c r="FB761" s="8" t="s">
        <v>1838</v>
      </c>
      <c r="FC761" s="8" t="s">
        <v>1839</v>
      </c>
      <c r="FD761" s="8">
        <v>2</v>
      </c>
      <c r="FE761" s="8">
        <v>0.2</v>
      </c>
    </row>
    <row r="762" spans="158:161" ht="74.25" customHeight="1" x14ac:dyDescent="0.2">
      <c r="FB762" s="8" t="s">
        <v>1840</v>
      </c>
      <c r="FC762" s="8" t="s">
        <v>1841</v>
      </c>
      <c r="FD762" s="8">
        <v>1500</v>
      </c>
      <c r="FE762" s="8">
        <v>150</v>
      </c>
    </row>
    <row r="763" spans="158:161" ht="74.25" customHeight="1" x14ac:dyDescent="0.2">
      <c r="FB763" s="8" t="s">
        <v>1842</v>
      </c>
      <c r="FC763" s="8" t="s">
        <v>1843</v>
      </c>
      <c r="FD763" s="8">
        <v>50</v>
      </c>
      <c r="FE763" s="8">
        <v>5</v>
      </c>
    </row>
    <row r="764" spans="158:161" ht="74.25" customHeight="1" x14ac:dyDescent="0.2">
      <c r="FB764" s="8" t="s">
        <v>1844</v>
      </c>
      <c r="FC764" s="8" t="s">
        <v>1845</v>
      </c>
      <c r="FD764" s="8">
        <v>100</v>
      </c>
      <c r="FE764" s="8">
        <v>10</v>
      </c>
    </row>
    <row r="765" spans="158:161" ht="74.25" customHeight="1" x14ac:dyDescent="0.2">
      <c r="FB765" s="8" t="s">
        <v>1846</v>
      </c>
      <c r="FC765" s="8" t="s">
        <v>1847</v>
      </c>
      <c r="FD765" s="8">
        <v>220</v>
      </c>
      <c r="FE765" s="8">
        <v>22</v>
      </c>
    </row>
    <row r="766" spans="158:161" ht="74.25" customHeight="1" x14ac:dyDescent="0.2">
      <c r="FB766" s="8" t="s">
        <v>1848</v>
      </c>
      <c r="FC766" s="8" t="s">
        <v>1849</v>
      </c>
      <c r="FD766" s="8">
        <v>2800</v>
      </c>
      <c r="FE766" s="8">
        <v>110</v>
      </c>
    </row>
    <row r="767" spans="158:161" ht="74.25" customHeight="1" x14ac:dyDescent="0.2">
      <c r="FB767" s="8" t="s">
        <v>1850</v>
      </c>
      <c r="FC767" s="8" t="s">
        <v>1851</v>
      </c>
      <c r="FD767" s="8">
        <v>10000</v>
      </c>
      <c r="FE767" s="8">
        <v>480</v>
      </c>
    </row>
    <row r="768" spans="158:161" ht="74.25" customHeight="1" x14ac:dyDescent="0.2">
      <c r="FB768" s="8" t="s">
        <v>1852</v>
      </c>
      <c r="FC768" s="8" t="s">
        <v>1853</v>
      </c>
      <c r="FD768" s="8">
        <v>400</v>
      </c>
      <c r="FE768" s="8">
        <v>40</v>
      </c>
    </row>
    <row r="769" spans="158:161" ht="74.25" customHeight="1" x14ac:dyDescent="0.2">
      <c r="FB769" s="8" t="s">
        <v>1854</v>
      </c>
      <c r="FC769" s="8" t="s">
        <v>1855</v>
      </c>
      <c r="FD769" s="8">
        <v>1000</v>
      </c>
      <c r="FE769" s="8">
        <v>100</v>
      </c>
    </row>
    <row r="770" spans="158:161" ht="74.25" customHeight="1" x14ac:dyDescent="0.2">
      <c r="FB770" s="8" t="s">
        <v>1856</v>
      </c>
      <c r="FC770" s="8" t="s">
        <v>1857</v>
      </c>
      <c r="FD770" s="8">
        <v>2900</v>
      </c>
      <c r="FE770" s="8">
        <v>3700</v>
      </c>
    </row>
    <row r="771" spans="158:161" ht="74.25" customHeight="1" x14ac:dyDescent="0.2">
      <c r="FB771" s="8" t="s">
        <v>1858</v>
      </c>
      <c r="FC771" s="8" t="s">
        <v>1859</v>
      </c>
      <c r="FD771" s="8">
        <v>125</v>
      </c>
      <c r="FE771" s="8">
        <v>12.5</v>
      </c>
    </row>
    <row r="772" spans="158:161" ht="74.25" customHeight="1" x14ac:dyDescent="0.2">
      <c r="FB772" s="8" t="s">
        <v>1860</v>
      </c>
      <c r="FC772" s="8" t="s">
        <v>1861</v>
      </c>
      <c r="FD772" s="8">
        <v>330</v>
      </c>
      <c r="FE772" s="8">
        <v>33</v>
      </c>
    </row>
    <row r="773" spans="158:161" ht="74.25" customHeight="1" x14ac:dyDescent="0.2">
      <c r="FB773" s="8" t="s">
        <v>1862</v>
      </c>
      <c r="FC773" s="8" t="s">
        <v>1863</v>
      </c>
      <c r="FD773" s="8">
        <v>250</v>
      </c>
      <c r="FE773" s="8">
        <v>25</v>
      </c>
    </row>
    <row r="774" spans="158:161" ht="74.25" customHeight="1" x14ac:dyDescent="0.2">
      <c r="FB774" s="8" t="s">
        <v>1864</v>
      </c>
      <c r="FC774" s="8" t="s">
        <v>1865</v>
      </c>
      <c r="FD774" s="8">
        <v>2700</v>
      </c>
      <c r="FE774" s="8">
        <v>270</v>
      </c>
    </row>
    <row r="775" spans="158:161" ht="74.25" customHeight="1" x14ac:dyDescent="0.2">
      <c r="FB775" s="8" t="s">
        <v>1866</v>
      </c>
      <c r="FC775" s="8" t="s">
        <v>1867</v>
      </c>
      <c r="FD775" s="8">
        <v>2500</v>
      </c>
      <c r="FE775" s="8">
        <v>250</v>
      </c>
    </row>
    <row r="776" spans="158:161" ht="74.25" customHeight="1" x14ac:dyDescent="0.2">
      <c r="FB776" s="8" t="s">
        <v>1868</v>
      </c>
      <c r="FC776" s="8" t="s">
        <v>1869</v>
      </c>
      <c r="FD776" s="8">
        <v>800</v>
      </c>
      <c r="FE776" s="8">
        <v>80</v>
      </c>
    </row>
    <row r="777" spans="158:161" ht="74.25" customHeight="1" x14ac:dyDescent="0.2">
      <c r="FB777" s="8" t="s">
        <v>1870</v>
      </c>
      <c r="FC777" s="8" t="s">
        <v>1871</v>
      </c>
      <c r="FD777" s="8">
        <v>16400</v>
      </c>
      <c r="FE777" s="8">
        <v>1640</v>
      </c>
    </row>
    <row r="778" spans="158:161" ht="74.25" customHeight="1" x14ac:dyDescent="0.2">
      <c r="FB778" s="8" t="s">
        <v>1872</v>
      </c>
      <c r="FC778" s="8" t="s">
        <v>1873</v>
      </c>
      <c r="FD778" s="8">
        <v>21</v>
      </c>
      <c r="FE778" s="8">
        <v>2.1</v>
      </c>
    </row>
    <row r="779" spans="158:161" ht="74.25" customHeight="1" x14ac:dyDescent="0.2">
      <c r="FB779" s="8" t="s">
        <v>1874</v>
      </c>
      <c r="FC779" s="8" t="s">
        <v>1875</v>
      </c>
      <c r="FD779" s="8">
        <v>10000</v>
      </c>
      <c r="FE779" s="8">
        <v>1000</v>
      </c>
    </row>
    <row r="780" spans="158:161" ht="74.25" customHeight="1" x14ac:dyDescent="0.2">
      <c r="FB780" s="8" t="s">
        <v>1876</v>
      </c>
      <c r="FC780" s="8" t="s">
        <v>1877</v>
      </c>
      <c r="FD780" s="8">
        <v>10000</v>
      </c>
      <c r="FE780" s="8">
        <v>1000</v>
      </c>
    </row>
    <row r="781" spans="158:161" ht="74.25" customHeight="1" x14ac:dyDescent="0.2">
      <c r="FB781" s="8" t="s">
        <v>1878</v>
      </c>
      <c r="FC781" s="8" t="s">
        <v>1879</v>
      </c>
      <c r="FD781" s="8">
        <v>40</v>
      </c>
      <c r="FE781" s="8">
        <v>4</v>
      </c>
    </row>
    <row r="782" spans="158:161" ht="74.25" customHeight="1" x14ac:dyDescent="0.2">
      <c r="FB782" s="8" t="s">
        <v>1880</v>
      </c>
      <c r="FC782" s="8" t="s">
        <v>1881</v>
      </c>
      <c r="FD782" s="8">
        <v>40</v>
      </c>
      <c r="FE782" s="8">
        <v>4</v>
      </c>
    </row>
    <row r="783" spans="158:161" ht="74.25" customHeight="1" x14ac:dyDescent="0.2">
      <c r="FB783" s="8" t="s">
        <v>1882</v>
      </c>
      <c r="FC783" s="8" t="s">
        <v>1883</v>
      </c>
      <c r="FD783" s="8">
        <v>62</v>
      </c>
      <c r="FE783" s="8">
        <v>6.2</v>
      </c>
    </row>
    <row r="784" spans="158:161" ht="74.25" customHeight="1" x14ac:dyDescent="0.2">
      <c r="FB784" s="8" t="s">
        <v>1884</v>
      </c>
      <c r="FC784" s="8" t="s">
        <v>1885</v>
      </c>
      <c r="FD784" s="8">
        <v>50</v>
      </c>
      <c r="FE784" s="8">
        <v>5</v>
      </c>
    </row>
    <row r="785" spans="158:161" ht="74.25" customHeight="1" x14ac:dyDescent="0.2">
      <c r="FB785" s="8" t="s">
        <v>1886</v>
      </c>
      <c r="FC785" s="8" t="s">
        <v>1887</v>
      </c>
      <c r="FD785" s="8">
        <v>10000</v>
      </c>
      <c r="FE785" s="8">
        <v>1000</v>
      </c>
    </row>
    <row r="786" spans="158:161" ht="74.25" customHeight="1" x14ac:dyDescent="0.2">
      <c r="FB786" s="8" t="s">
        <v>1888</v>
      </c>
      <c r="FC786" s="8" t="s">
        <v>1889</v>
      </c>
      <c r="FD786" s="8">
        <v>3.2</v>
      </c>
      <c r="FE786" s="8">
        <v>0.32</v>
      </c>
    </row>
    <row r="787" spans="158:161" ht="74.25" customHeight="1" x14ac:dyDescent="0.2">
      <c r="FB787" s="8" t="s">
        <v>1890</v>
      </c>
      <c r="FC787" s="8" t="s">
        <v>1891</v>
      </c>
      <c r="FD787" s="8">
        <v>180</v>
      </c>
      <c r="FE787" s="8">
        <v>18</v>
      </c>
    </row>
    <row r="788" spans="158:161" ht="74.25" customHeight="1" x14ac:dyDescent="0.2">
      <c r="FB788" s="8" t="s">
        <v>1892</v>
      </c>
      <c r="FC788" s="8" t="s">
        <v>1893</v>
      </c>
      <c r="FD788" s="8">
        <v>33</v>
      </c>
      <c r="FE788" s="8">
        <v>3.3</v>
      </c>
    </row>
    <row r="789" spans="158:161" ht="74.25" customHeight="1" x14ac:dyDescent="0.2">
      <c r="FB789" s="8" t="s">
        <v>1894</v>
      </c>
      <c r="FC789" s="8" t="s">
        <v>1895</v>
      </c>
      <c r="FD789" s="8">
        <v>7.5</v>
      </c>
      <c r="FE789" s="8">
        <v>0.75</v>
      </c>
    </row>
    <row r="790" spans="158:161" ht="74.25" customHeight="1" x14ac:dyDescent="0.2">
      <c r="FB790" s="8" t="s">
        <v>1896</v>
      </c>
      <c r="FC790" s="8" t="s">
        <v>1897</v>
      </c>
      <c r="FD790" s="8">
        <v>1030</v>
      </c>
      <c r="FE790" s="8">
        <v>103</v>
      </c>
    </row>
    <row r="791" spans="158:161" ht="74.25" customHeight="1" x14ac:dyDescent="0.2">
      <c r="FB791" s="8" t="s">
        <v>1898</v>
      </c>
      <c r="FC791" s="8" t="s">
        <v>1899</v>
      </c>
      <c r="FD791" s="8">
        <v>2700</v>
      </c>
      <c r="FE791" s="8">
        <v>270</v>
      </c>
    </row>
    <row r="792" spans="158:161" ht="74.25" customHeight="1" x14ac:dyDescent="0.2">
      <c r="FB792" s="8" t="s">
        <v>1900</v>
      </c>
      <c r="FC792" s="8" t="s">
        <v>1901</v>
      </c>
      <c r="FD792" s="8">
        <v>30</v>
      </c>
      <c r="FE792" s="8">
        <v>3</v>
      </c>
    </row>
    <row r="793" spans="158:161" ht="74.25" customHeight="1" x14ac:dyDescent="0.2">
      <c r="FB793" s="8" t="s">
        <v>1902</v>
      </c>
      <c r="FC793" s="8" t="s">
        <v>1903</v>
      </c>
      <c r="FD793" s="8">
        <v>4.4000000000000004</v>
      </c>
      <c r="FE793" s="8">
        <v>0.44</v>
      </c>
    </row>
    <row r="794" spans="158:161" ht="74.25" customHeight="1" x14ac:dyDescent="0.2">
      <c r="FB794" s="8" t="s">
        <v>1904</v>
      </c>
      <c r="FC794" s="8" t="s">
        <v>1905</v>
      </c>
      <c r="FD794" s="8">
        <v>50</v>
      </c>
      <c r="FE794" s="8">
        <v>5</v>
      </c>
    </row>
    <row r="795" spans="158:161" ht="74.25" customHeight="1" x14ac:dyDescent="0.2">
      <c r="FB795" s="8" t="s">
        <v>1906</v>
      </c>
      <c r="FC795" s="8" t="s">
        <v>1907</v>
      </c>
      <c r="FD795" s="8">
        <v>50</v>
      </c>
      <c r="FE795" s="8">
        <v>5</v>
      </c>
    </row>
    <row r="796" spans="158:161" ht="74.25" customHeight="1" x14ac:dyDescent="0.2">
      <c r="FB796" s="8" t="s">
        <v>1908</v>
      </c>
      <c r="FC796" s="8" t="s">
        <v>1909</v>
      </c>
      <c r="FD796" s="8">
        <v>2000</v>
      </c>
      <c r="FE796" s="8">
        <v>200</v>
      </c>
    </row>
    <row r="797" spans="158:161" ht="74.25" customHeight="1" x14ac:dyDescent="0.2">
      <c r="FB797" s="8" t="s">
        <v>1910</v>
      </c>
      <c r="FC797" s="8" t="s">
        <v>1911</v>
      </c>
      <c r="FD797" s="8">
        <v>1100</v>
      </c>
      <c r="FE797" s="8">
        <v>110</v>
      </c>
    </row>
    <row r="798" spans="158:161" ht="74.25" customHeight="1" x14ac:dyDescent="0.2">
      <c r="FB798" s="8" t="s">
        <v>1912</v>
      </c>
      <c r="FC798" s="8" t="s">
        <v>1913</v>
      </c>
      <c r="FD798" s="8">
        <v>100</v>
      </c>
      <c r="FE798" s="8">
        <v>10</v>
      </c>
    </row>
    <row r="799" spans="158:161" ht="74.25" customHeight="1" x14ac:dyDescent="0.2">
      <c r="FB799" s="8" t="s">
        <v>1914</v>
      </c>
      <c r="FC799" s="8" t="s">
        <v>1915</v>
      </c>
      <c r="FD799" s="8">
        <v>1000</v>
      </c>
      <c r="FE799" s="8">
        <v>100</v>
      </c>
    </row>
    <row r="800" spans="158:161" ht="74.25" customHeight="1" x14ac:dyDescent="0.2">
      <c r="FB800" s="8" t="s">
        <v>1916</v>
      </c>
      <c r="FC800" s="8" t="s">
        <v>1917</v>
      </c>
      <c r="FD800" s="8">
        <v>125</v>
      </c>
      <c r="FE800" s="8">
        <v>12.5</v>
      </c>
    </row>
    <row r="801" spans="158:161" ht="74.25" customHeight="1" x14ac:dyDescent="0.2">
      <c r="FB801" s="8" t="s">
        <v>1918</v>
      </c>
      <c r="FC801" s="8" t="s">
        <v>1919</v>
      </c>
      <c r="FD801" s="8">
        <v>53</v>
      </c>
      <c r="FE801" s="8">
        <v>9.6</v>
      </c>
    </row>
    <row r="802" spans="158:161" ht="74.25" customHeight="1" x14ac:dyDescent="0.2">
      <c r="FB802" s="8" t="s">
        <v>1920</v>
      </c>
      <c r="FC802" s="8" t="s">
        <v>1921</v>
      </c>
      <c r="FD802" s="8">
        <v>55</v>
      </c>
      <c r="FE802" s="8">
        <v>50</v>
      </c>
    </row>
    <row r="803" spans="158:161" ht="74.25" customHeight="1" x14ac:dyDescent="0.2">
      <c r="FB803" s="8" t="s">
        <v>1922</v>
      </c>
      <c r="FC803" s="8" t="s">
        <v>1923</v>
      </c>
      <c r="FD803" s="8">
        <v>1000</v>
      </c>
      <c r="FE803" s="8">
        <v>100</v>
      </c>
    </row>
    <row r="804" spans="158:161" ht="74.25" customHeight="1" x14ac:dyDescent="0.2">
      <c r="FB804" s="8" t="s">
        <v>1924</v>
      </c>
      <c r="FC804" s="8" t="s">
        <v>1925</v>
      </c>
      <c r="FD804" s="8">
        <v>1500</v>
      </c>
      <c r="FE804" s="8">
        <v>150</v>
      </c>
    </row>
    <row r="805" spans="158:161" ht="74.25" customHeight="1" x14ac:dyDescent="0.2">
      <c r="FB805" s="8" t="s">
        <v>1926</v>
      </c>
      <c r="FC805" s="8" t="s">
        <v>1927</v>
      </c>
      <c r="FD805" s="8">
        <v>3000</v>
      </c>
      <c r="FE805" s="8">
        <v>300</v>
      </c>
    </row>
    <row r="806" spans="158:161" ht="74.25" customHeight="1" x14ac:dyDescent="0.2">
      <c r="FB806" s="8" t="s">
        <v>1928</v>
      </c>
      <c r="FC806" s="8" t="s">
        <v>1929</v>
      </c>
      <c r="FD806" s="8">
        <v>3500</v>
      </c>
      <c r="FE806" s="8">
        <v>350</v>
      </c>
    </row>
    <row r="807" spans="158:161" ht="74.25" customHeight="1" x14ac:dyDescent="0.2">
      <c r="FB807" s="8" t="s">
        <v>1930</v>
      </c>
      <c r="FC807" s="8" t="s">
        <v>1931</v>
      </c>
      <c r="FD807" s="8">
        <v>20</v>
      </c>
      <c r="FE807" s="8">
        <v>2</v>
      </c>
    </row>
    <row r="808" spans="158:161" ht="74.25" customHeight="1" x14ac:dyDescent="0.2">
      <c r="FB808" s="8" t="s">
        <v>1932</v>
      </c>
      <c r="FC808" s="8" t="s">
        <v>1933</v>
      </c>
      <c r="FD808" s="8">
        <v>20</v>
      </c>
      <c r="FE808" s="8">
        <v>2</v>
      </c>
    </row>
    <row r="809" spans="158:161" ht="74.25" customHeight="1" x14ac:dyDescent="0.2">
      <c r="FB809" s="8" t="s">
        <v>1934</v>
      </c>
      <c r="FC809" s="8" t="s">
        <v>1935</v>
      </c>
      <c r="FD809" s="8">
        <v>180</v>
      </c>
      <c r="FE809" s="8">
        <v>18</v>
      </c>
    </row>
    <row r="810" spans="158:161" ht="74.25" customHeight="1" x14ac:dyDescent="0.2">
      <c r="FB810" s="8" t="s">
        <v>1936</v>
      </c>
      <c r="FC810" s="8" t="s">
        <v>1937</v>
      </c>
      <c r="FD810" s="8">
        <v>270</v>
      </c>
      <c r="FE810" s="8">
        <v>27</v>
      </c>
    </row>
    <row r="811" spans="158:161" ht="74.25" customHeight="1" x14ac:dyDescent="0.2">
      <c r="FB811" s="8" t="s">
        <v>1938</v>
      </c>
      <c r="FC811" s="8" t="s">
        <v>1939</v>
      </c>
      <c r="FD811" s="8">
        <v>900</v>
      </c>
      <c r="FE811" s="8">
        <v>90</v>
      </c>
    </row>
    <row r="812" spans="158:161" ht="74.25" customHeight="1" x14ac:dyDescent="0.2">
      <c r="FB812" s="8" t="s">
        <v>1940</v>
      </c>
      <c r="FC812" s="8" t="s">
        <v>1941</v>
      </c>
      <c r="FD812" s="8">
        <v>60</v>
      </c>
      <c r="FE812" s="8">
        <v>6</v>
      </c>
    </row>
    <row r="813" spans="158:161" ht="74.25" customHeight="1" x14ac:dyDescent="0.2">
      <c r="FB813" s="8" t="s">
        <v>1942</v>
      </c>
      <c r="FC813" s="8" t="s">
        <v>1943</v>
      </c>
      <c r="FD813" s="8">
        <v>3600</v>
      </c>
      <c r="FE813" s="8">
        <v>360</v>
      </c>
    </row>
    <row r="814" spans="158:161" ht="74.25" customHeight="1" x14ac:dyDescent="0.2">
      <c r="FB814" s="8" t="s">
        <v>1944</v>
      </c>
      <c r="FC814" s="8" t="s">
        <v>1945</v>
      </c>
      <c r="FD814" s="8">
        <v>250</v>
      </c>
      <c r="FE814" s="8">
        <v>25</v>
      </c>
    </row>
    <row r="815" spans="158:161" ht="74.25" customHeight="1" x14ac:dyDescent="0.2">
      <c r="FB815" s="8" t="s">
        <v>1946</v>
      </c>
      <c r="FC815" s="8" t="s">
        <v>1947</v>
      </c>
      <c r="FD815" s="8">
        <v>5</v>
      </c>
      <c r="FE815" s="8">
        <v>0.5</v>
      </c>
    </row>
    <row r="816" spans="158:161" ht="74.25" customHeight="1" x14ac:dyDescent="0.2">
      <c r="FB816" s="8" t="s">
        <v>1948</v>
      </c>
      <c r="FC816" s="8" t="s">
        <v>1949</v>
      </c>
      <c r="FD816" s="8">
        <v>2560</v>
      </c>
      <c r="FE816" s="8">
        <v>256</v>
      </c>
    </row>
    <row r="817" spans="158:161" ht="74.25" customHeight="1" x14ac:dyDescent="0.2">
      <c r="FB817" s="8" t="s">
        <v>1950</v>
      </c>
      <c r="FC817" s="8" t="s">
        <v>1951</v>
      </c>
      <c r="FD817" s="8">
        <v>500</v>
      </c>
      <c r="FE817" s="8">
        <v>50</v>
      </c>
    </row>
    <row r="818" spans="158:161" ht="74.25" customHeight="1" x14ac:dyDescent="0.2">
      <c r="FB818" s="8" t="s">
        <v>1952</v>
      </c>
      <c r="FC818" s="8" t="s">
        <v>1953</v>
      </c>
      <c r="FD818" s="8">
        <v>1700</v>
      </c>
      <c r="FE818" s="8">
        <v>170</v>
      </c>
    </row>
    <row r="819" spans="158:161" ht="74.25" customHeight="1" x14ac:dyDescent="0.2">
      <c r="FB819" s="8" t="s">
        <v>1954</v>
      </c>
      <c r="FC819" s="8" t="s">
        <v>1955</v>
      </c>
      <c r="FD819" s="8">
        <v>3400</v>
      </c>
      <c r="FE819" s="8">
        <v>340</v>
      </c>
    </row>
    <row r="820" spans="158:161" ht="74.25" customHeight="1" x14ac:dyDescent="0.2">
      <c r="FB820" s="8" t="s">
        <v>1956</v>
      </c>
      <c r="FC820" s="8" t="s">
        <v>1957</v>
      </c>
      <c r="FD820" s="8">
        <v>650</v>
      </c>
      <c r="FE820" s="8">
        <v>65</v>
      </c>
    </row>
    <row r="821" spans="158:161" ht="74.25" customHeight="1" x14ac:dyDescent="0.2">
      <c r="FB821" s="8" t="s">
        <v>1958</v>
      </c>
      <c r="FC821" s="8" t="s">
        <v>1959</v>
      </c>
      <c r="FD821" s="8">
        <v>110</v>
      </c>
      <c r="FE821" s="8">
        <v>11</v>
      </c>
    </row>
    <row r="822" spans="158:161" ht="74.25" customHeight="1" x14ac:dyDescent="0.2">
      <c r="FB822" s="8" t="s">
        <v>1958</v>
      </c>
      <c r="FC822" s="8" t="s">
        <v>1960</v>
      </c>
      <c r="FD822" s="8">
        <v>110</v>
      </c>
      <c r="FE822" s="8">
        <v>11</v>
      </c>
    </row>
    <row r="823" spans="158:161" ht="74.25" customHeight="1" x14ac:dyDescent="0.2">
      <c r="FB823" s="8" t="s">
        <v>1961</v>
      </c>
      <c r="FC823" s="8" t="s">
        <v>1962</v>
      </c>
      <c r="FD823" s="8">
        <v>200</v>
      </c>
      <c r="FE823" s="8">
        <v>20</v>
      </c>
    </row>
    <row r="824" spans="158:161" ht="74.25" customHeight="1" x14ac:dyDescent="0.2">
      <c r="FB824" s="8" t="s">
        <v>1963</v>
      </c>
      <c r="FC824" s="8" t="s">
        <v>1964</v>
      </c>
      <c r="FD824" s="8">
        <v>3500</v>
      </c>
      <c r="FE824" s="8">
        <v>350</v>
      </c>
    </row>
    <row r="825" spans="158:161" ht="74.25" customHeight="1" x14ac:dyDescent="0.2">
      <c r="FB825" s="8" t="s">
        <v>1965</v>
      </c>
      <c r="FC825" s="8" t="s">
        <v>1966</v>
      </c>
      <c r="FD825" s="8">
        <v>50</v>
      </c>
      <c r="FE825" s="8">
        <v>5</v>
      </c>
    </row>
    <row r="826" spans="158:161" ht="74.25" customHeight="1" x14ac:dyDescent="0.2">
      <c r="FB826" s="8" t="s">
        <v>1967</v>
      </c>
      <c r="FC826" s="8" t="s">
        <v>1968</v>
      </c>
      <c r="FD826" s="8">
        <v>110</v>
      </c>
      <c r="FE826" s="8">
        <v>11</v>
      </c>
    </row>
    <row r="827" spans="158:161" ht="74.25" customHeight="1" x14ac:dyDescent="0.2">
      <c r="FB827" s="8" t="s">
        <v>1969</v>
      </c>
      <c r="FC827" s="8" t="s">
        <v>1970</v>
      </c>
      <c r="FD827" s="8">
        <v>1000</v>
      </c>
      <c r="FE827" s="8">
        <v>100</v>
      </c>
    </row>
    <row r="828" spans="158:161" ht="74.25" customHeight="1" x14ac:dyDescent="0.2">
      <c r="FB828" s="8" t="s">
        <v>1971</v>
      </c>
      <c r="FC828" s="8" t="s">
        <v>1972</v>
      </c>
      <c r="FD828" s="8">
        <v>1400</v>
      </c>
      <c r="FE828" s="8">
        <v>140</v>
      </c>
    </row>
    <row r="829" spans="158:161" ht="74.25" customHeight="1" x14ac:dyDescent="0.2">
      <c r="FB829" s="8" t="s">
        <v>1973</v>
      </c>
      <c r="FC829" s="8" t="s">
        <v>1974</v>
      </c>
      <c r="FD829" s="8">
        <v>380</v>
      </c>
      <c r="FE829" s="8">
        <v>38</v>
      </c>
    </row>
    <row r="830" spans="158:161" ht="74.25" customHeight="1" x14ac:dyDescent="0.2">
      <c r="FB830" s="8" t="s">
        <v>1975</v>
      </c>
      <c r="FC830" s="8" t="s">
        <v>1976</v>
      </c>
      <c r="FD830" s="8">
        <v>540</v>
      </c>
      <c r="FE830" s="8">
        <v>54</v>
      </c>
    </row>
    <row r="831" spans="158:161" ht="74.25" customHeight="1" x14ac:dyDescent="0.2">
      <c r="FB831" s="8" t="s">
        <v>1977</v>
      </c>
      <c r="FC831" s="8" t="s">
        <v>1978</v>
      </c>
      <c r="FD831" s="8">
        <v>2700</v>
      </c>
      <c r="FE831" s="8">
        <v>270</v>
      </c>
    </row>
    <row r="832" spans="158:161" ht="74.25" customHeight="1" x14ac:dyDescent="0.2">
      <c r="FB832" s="8" t="s">
        <v>1979</v>
      </c>
      <c r="FC832" s="8" t="s">
        <v>1980</v>
      </c>
      <c r="FD832" s="8">
        <v>100</v>
      </c>
      <c r="FE832" s="8">
        <v>10</v>
      </c>
    </row>
    <row r="833" spans="158:161" ht="74.25" customHeight="1" x14ac:dyDescent="0.2">
      <c r="FB833" s="8" t="s">
        <v>1981</v>
      </c>
      <c r="FC833" s="8" t="s">
        <v>1982</v>
      </c>
      <c r="FD833" s="8">
        <v>340</v>
      </c>
      <c r="FE833" s="8">
        <v>34</v>
      </c>
    </row>
    <row r="834" spans="158:161" ht="74.25" customHeight="1" x14ac:dyDescent="0.2">
      <c r="FB834" s="8" t="s">
        <v>1983</v>
      </c>
      <c r="FC834" s="8" t="s">
        <v>1984</v>
      </c>
      <c r="FD834" s="8">
        <v>30</v>
      </c>
      <c r="FE834" s="8">
        <v>3</v>
      </c>
    </row>
    <row r="835" spans="158:161" ht="74.25" customHeight="1" x14ac:dyDescent="0.2">
      <c r="FB835" s="8" t="s">
        <v>1985</v>
      </c>
      <c r="FC835" s="8" t="s">
        <v>1986</v>
      </c>
      <c r="FD835" s="8">
        <v>500</v>
      </c>
      <c r="FE835" s="8">
        <v>50</v>
      </c>
    </row>
    <row r="836" spans="158:161" ht="74.25" customHeight="1" x14ac:dyDescent="0.2">
      <c r="FB836" s="8" t="s">
        <v>1987</v>
      </c>
      <c r="FC836" s="8" t="s">
        <v>1988</v>
      </c>
      <c r="FD836" s="8">
        <v>25</v>
      </c>
      <c r="FE836" s="8">
        <v>2.5</v>
      </c>
    </row>
    <row r="837" spans="158:161" ht="74.25" customHeight="1" x14ac:dyDescent="0.2">
      <c r="FB837" s="8" t="s">
        <v>1989</v>
      </c>
      <c r="FC837" s="8" t="s">
        <v>1990</v>
      </c>
      <c r="FD837" s="8">
        <v>60</v>
      </c>
      <c r="FE837" s="8">
        <v>6</v>
      </c>
    </row>
    <row r="838" spans="158:161" ht="74.25" customHeight="1" x14ac:dyDescent="0.2">
      <c r="FB838" s="8" t="s">
        <v>1991</v>
      </c>
      <c r="FC838" s="8" t="s">
        <v>1992</v>
      </c>
      <c r="FD838" s="8">
        <v>290</v>
      </c>
      <c r="FE838" s="8">
        <v>3.3</v>
      </c>
    </row>
    <row r="839" spans="158:161" ht="74.25" customHeight="1" x14ac:dyDescent="0.2">
      <c r="FB839" s="8" t="s">
        <v>1993</v>
      </c>
      <c r="FC839" s="8" t="s">
        <v>1994</v>
      </c>
      <c r="FD839" s="8">
        <v>570</v>
      </c>
      <c r="FE839" s="8">
        <v>57</v>
      </c>
    </row>
    <row r="840" spans="158:161" ht="74.25" customHeight="1" x14ac:dyDescent="0.2">
      <c r="FB840" s="8" t="s">
        <v>1995</v>
      </c>
      <c r="FC840" s="8" t="s">
        <v>1996</v>
      </c>
      <c r="FD840" s="8">
        <v>500</v>
      </c>
      <c r="FE840" s="8">
        <v>50</v>
      </c>
    </row>
    <row r="841" spans="158:161" ht="74.25" customHeight="1" x14ac:dyDescent="0.2">
      <c r="FB841" s="8" t="s">
        <v>1997</v>
      </c>
      <c r="FC841" s="8" t="s">
        <v>1998</v>
      </c>
      <c r="FD841" s="8">
        <v>0.7</v>
      </c>
      <c r="FE841" s="8">
        <v>0.1</v>
      </c>
    </row>
    <row r="842" spans="158:161" ht="74.25" customHeight="1" x14ac:dyDescent="0.2">
      <c r="FB842" s="8" t="s">
        <v>1999</v>
      </c>
      <c r="FC842" s="8" t="s">
        <v>2000</v>
      </c>
      <c r="FD842" s="8">
        <v>1700</v>
      </c>
      <c r="FE842" s="8">
        <v>170</v>
      </c>
    </row>
    <row r="843" spans="158:161" ht="74.25" customHeight="1" x14ac:dyDescent="0.2">
      <c r="FB843" s="8" t="s">
        <v>2001</v>
      </c>
      <c r="FC843" s="8" t="s">
        <v>2002</v>
      </c>
      <c r="FD843" s="8">
        <v>2000</v>
      </c>
      <c r="FE843" s="8">
        <v>200</v>
      </c>
    </row>
    <row r="844" spans="158:161" ht="74.25" customHeight="1" x14ac:dyDescent="0.2">
      <c r="FB844" s="8" t="s">
        <v>2003</v>
      </c>
      <c r="FC844" s="8" t="s">
        <v>2004</v>
      </c>
      <c r="FD844" s="8">
        <v>1700</v>
      </c>
      <c r="FE844" s="8">
        <v>170</v>
      </c>
    </row>
    <row r="845" spans="158:161" ht="74.25" customHeight="1" x14ac:dyDescent="0.2">
      <c r="FB845" s="8" t="s">
        <v>2005</v>
      </c>
      <c r="FC845" s="8" t="s">
        <v>2006</v>
      </c>
      <c r="FD845" s="8">
        <v>1500</v>
      </c>
      <c r="FE845" s="8">
        <v>150</v>
      </c>
    </row>
    <row r="846" spans="158:161" ht="74.25" customHeight="1" x14ac:dyDescent="0.2">
      <c r="FB846" s="8" t="s">
        <v>2007</v>
      </c>
      <c r="FC846" s="8" t="s">
        <v>2008</v>
      </c>
      <c r="FD846" s="8">
        <v>190</v>
      </c>
      <c r="FE846" s="8">
        <v>19</v>
      </c>
    </row>
    <row r="847" spans="158:161" ht="74.25" customHeight="1" x14ac:dyDescent="0.2">
      <c r="FB847" s="8" t="s">
        <v>2009</v>
      </c>
      <c r="FC847" s="8" t="s">
        <v>2010</v>
      </c>
      <c r="FD847" s="8">
        <v>1000</v>
      </c>
      <c r="FE847" s="8">
        <v>100</v>
      </c>
    </row>
    <row r="848" spans="158:161" ht="74.25" customHeight="1" x14ac:dyDescent="0.2">
      <c r="FB848" s="8" t="s">
        <v>2011</v>
      </c>
      <c r="FC848" s="8" t="s">
        <v>2012</v>
      </c>
      <c r="FD848" s="8">
        <v>1250</v>
      </c>
      <c r="FE848" s="8">
        <v>125</v>
      </c>
    </row>
    <row r="849" spans="158:161" ht="74.25" customHeight="1" x14ac:dyDescent="0.2">
      <c r="FB849" s="8" t="s">
        <v>2013</v>
      </c>
      <c r="FC849" s="8" t="s">
        <v>2014</v>
      </c>
      <c r="FD849" s="8">
        <v>600</v>
      </c>
      <c r="FE849" s="8">
        <v>60</v>
      </c>
    </row>
    <row r="850" spans="158:161" ht="74.25" customHeight="1" x14ac:dyDescent="0.2">
      <c r="FB850" s="8" t="s">
        <v>2015</v>
      </c>
      <c r="FC850" s="8" t="s">
        <v>2016</v>
      </c>
      <c r="FD850" s="8">
        <v>87</v>
      </c>
      <c r="FE850" s="8">
        <v>8.6999999999999993</v>
      </c>
    </row>
    <row r="851" spans="158:161" ht="74.25" customHeight="1" x14ac:dyDescent="0.2">
      <c r="FB851" s="8" t="s">
        <v>2017</v>
      </c>
      <c r="FC851" s="8" t="s">
        <v>2018</v>
      </c>
      <c r="FD851" s="8">
        <v>3200</v>
      </c>
      <c r="FE851" s="8">
        <v>320</v>
      </c>
    </row>
    <row r="852" spans="158:161" ht="74.25" customHeight="1" x14ac:dyDescent="0.2">
      <c r="FB852" s="8" t="s">
        <v>2019</v>
      </c>
      <c r="FC852" s="8" t="s">
        <v>2020</v>
      </c>
      <c r="FD852" s="8">
        <v>610</v>
      </c>
      <c r="FE852" s="8">
        <v>61</v>
      </c>
    </row>
    <row r="853" spans="158:161" ht="74.25" customHeight="1" x14ac:dyDescent="0.2">
      <c r="FB853" s="8" t="s">
        <v>2021</v>
      </c>
      <c r="FC853" s="8" t="s">
        <v>2022</v>
      </c>
      <c r="FD853" s="8">
        <v>140</v>
      </c>
      <c r="FE853" s="8">
        <v>14</v>
      </c>
    </row>
    <row r="854" spans="158:161" ht="74.25" customHeight="1" x14ac:dyDescent="0.2">
      <c r="FB854" s="8" t="s">
        <v>2023</v>
      </c>
      <c r="FC854" s="8" t="s">
        <v>2024</v>
      </c>
      <c r="FD854" s="8">
        <v>200</v>
      </c>
      <c r="FE854" s="8">
        <v>20</v>
      </c>
    </row>
    <row r="855" spans="158:161" ht="74.25" customHeight="1" x14ac:dyDescent="0.2">
      <c r="FB855" s="8" t="s">
        <v>2025</v>
      </c>
      <c r="FC855" s="8" t="s">
        <v>2026</v>
      </c>
      <c r="FD855" s="8">
        <v>200</v>
      </c>
      <c r="FE855" s="8">
        <v>20</v>
      </c>
    </row>
    <row r="856" spans="158:161" ht="74.25" customHeight="1" x14ac:dyDescent="0.2">
      <c r="FB856" s="8" t="s">
        <v>2027</v>
      </c>
      <c r="FC856" s="8" t="s">
        <v>2028</v>
      </c>
      <c r="FD856" s="8">
        <v>140</v>
      </c>
      <c r="FE856" s="8">
        <v>14</v>
      </c>
    </row>
    <row r="857" spans="158:161" ht="74.25" customHeight="1" x14ac:dyDescent="0.2">
      <c r="FB857" s="8" t="s">
        <v>2029</v>
      </c>
      <c r="FC857" s="8" t="s">
        <v>2030</v>
      </c>
      <c r="FD857" s="8">
        <v>1000</v>
      </c>
      <c r="FE857" s="8">
        <v>100</v>
      </c>
    </row>
    <row r="858" spans="158:161" ht="74.25" customHeight="1" x14ac:dyDescent="0.2">
      <c r="FB858" s="8" t="s">
        <v>2031</v>
      </c>
      <c r="FC858" s="8" t="s">
        <v>2032</v>
      </c>
      <c r="FD858" s="8">
        <v>180</v>
      </c>
      <c r="FE858" s="8">
        <v>92</v>
      </c>
    </row>
    <row r="859" spans="158:161" ht="74.25" customHeight="1" x14ac:dyDescent="0.2">
      <c r="FB859" s="8" t="s">
        <v>2033</v>
      </c>
      <c r="FC859" s="8" t="s">
        <v>2034</v>
      </c>
      <c r="FD859" s="8">
        <v>350</v>
      </c>
      <c r="FE859" s="8">
        <v>35</v>
      </c>
    </row>
    <row r="860" spans="158:161" ht="74.25" customHeight="1" x14ac:dyDescent="0.2">
      <c r="FB860" s="8" t="s">
        <v>2035</v>
      </c>
      <c r="FC860" s="8" t="s">
        <v>2036</v>
      </c>
      <c r="FD860" s="8">
        <v>30</v>
      </c>
      <c r="FE860" s="8">
        <v>3</v>
      </c>
    </row>
    <row r="861" spans="158:161" ht="74.25" customHeight="1" x14ac:dyDescent="0.2">
      <c r="FB861" s="8" t="s">
        <v>2037</v>
      </c>
      <c r="FC861" s="8" t="s">
        <v>2038</v>
      </c>
      <c r="FD861" s="8">
        <v>90</v>
      </c>
      <c r="FE861" s="8">
        <v>9</v>
      </c>
    </row>
    <row r="862" spans="158:161" ht="74.25" customHeight="1" x14ac:dyDescent="0.2">
      <c r="FB862" s="8" t="s">
        <v>2039</v>
      </c>
      <c r="FC862" s="8" t="s">
        <v>2040</v>
      </c>
      <c r="FD862" s="8">
        <v>3000</v>
      </c>
      <c r="FE862" s="8">
        <v>300</v>
      </c>
    </row>
    <row r="863" spans="158:161" ht="74.25" customHeight="1" x14ac:dyDescent="0.2">
      <c r="FB863" s="8" t="s">
        <v>2041</v>
      </c>
      <c r="FC863" s="8" t="s">
        <v>2042</v>
      </c>
      <c r="FD863" s="8">
        <v>220</v>
      </c>
      <c r="FE863" s="8">
        <v>22</v>
      </c>
    </row>
    <row r="864" spans="158:161" ht="74.25" customHeight="1" x14ac:dyDescent="0.2">
      <c r="FB864" s="8" t="s">
        <v>2043</v>
      </c>
      <c r="FC864" s="8" t="s">
        <v>2044</v>
      </c>
      <c r="FD864" s="8">
        <v>30</v>
      </c>
      <c r="FE864" s="8">
        <v>3</v>
      </c>
    </row>
    <row r="865" spans="158:161" ht="74.25" customHeight="1" x14ac:dyDescent="0.2">
      <c r="FB865" s="8" t="s">
        <v>2045</v>
      </c>
      <c r="FC865" s="8" t="s">
        <v>2046</v>
      </c>
      <c r="FD865" s="8">
        <v>175</v>
      </c>
      <c r="FE865" s="8">
        <v>18</v>
      </c>
    </row>
    <row r="866" spans="158:161" ht="74.25" customHeight="1" x14ac:dyDescent="0.2">
      <c r="FB866" s="8" t="s">
        <v>2047</v>
      </c>
      <c r="FC866" s="8" t="s">
        <v>2048</v>
      </c>
      <c r="FD866" s="8">
        <v>720</v>
      </c>
      <c r="FE866" s="8">
        <v>72</v>
      </c>
    </row>
    <row r="867" spans="158:161" ht="74.25" customHeight="1" x14ac:dyDescent="0.2">
      <c r="FB867" s="8" t="s">
        <v>2049</v>
      </c>
      <c r="FC867" s="8" t="s">
        <v>2050</v>
      </c>
      <c r="FD867" s="8">
        <v>30</v>
      </c>
      <c r="FE867" s="8">
        <v>3</v>
      </c>
    </row>
    <row r="868" spans="158:161" ht="74.25" customHeight="1" x14ac:dyDescent="0.2">
      <c r="FB868" s="8" t="s">
        <v>2051</v>
      </c>
      <c r="FC868" s="8" t="s">
        <v>2052</v>
      </c>
      <c r="FD868" s="8">
        <v>290</v>
      </c>
      <c r="FE868" s="8">
        <v>3.3</v>
      </c>
    </row>
    <row r="869" spans="158:161" ht="74.25" customHeight="1" x14ac:dyDescent="0.2">
      <c r="FB869" s="8" t="s">
        <v>2053</v>
      </c>
      <c r="FC869" s="8" t="s">
        <v>2054</v>
      </c>
      <c r="FD869" s="8">
        <v>1.8</v>
      </c>
      <c r="FE869" s="8">
        <v>0.18</v>
      </c>
    </row>
    <row r="870" spans="158:161" ht="74.25" customHeight="1" x14ac:dyDescent="0.2">
      <c r="FB870" s="8" t="s">
        <v>2055</v>
      </c>
      <c r="FC870" s="8" t="s">
        <v>2056</v>
      </c>
      <c r="FD870" s="8">
        <v>140</v>
      </c>
      <c r="FE870" s="8">
        <v>14</v>
      </c>
    </row>
    <row r="871" spans="158:161" ht="74.25" customHeight="1" x14ac:dyDescent="0.2">
      <c r="FB871" s="8" t="s">
        <v>2057</v>
      </c>
      <c r="FC871" s="8" t="s">
        <v>2058</v>
      </c>
      <c r="FD871" s="8">
        <v>6.4</v>
      </c>
      <c r="FE871" s="8">
        <v>0.64</v>
      </c>
    </row>
    <row r="872" spans="158:161" ht="74.25" customHeight="1" x14ac:dyDescent="0.2">
      <c r="FB872" s="8" t="s">
        <v>2059</v>
      </c>
      <c r="FC872" s="8" t="s">
        <v>2060</v>
      </c>
      <c r="FD872" s="8">
        <v>100</v>
      </c>
      <c r="FE872" s="8">
        <v>10</v>
      </c>
    </row>
    <row r="873" spans="158:161" ht="74.25" customHeight="1" x14ac:dyDescent="0.2">
      <c r="FB873" s="8" t="s">
        <v>2061</v>
      </c>
      <c r="FC873" s="8" t="s">
        <v>2062</v>
      </c>
      <c r="FD873" s="8">
        <v>190</v>
      </c>
      <c r="FE873" s="8">
        <v>19</v>
      </c>
    </row>
    <row r="874" spans="158:161" ht="74.25" customHeight="1" x14ac:dyDescent="0.2">
      <c r="FB874" s="8" t="s">
        <v>2063</v>
      </c>
      <c r="FC874" s="8" t="s">
        <v>2064</v>
      </c>
      <c r="FD874" s="8">
        <v>280</v>
      </c>
      <c r="FE874" s="8">
        <v>28</v>
      </c>
    </row>
    <row r="875" spans="158:161" ht="74.25" customHeight="1" x14ac:dyDescent="0.2">
      <c r="FB875" s="8" t="s">
        <v>2065</v>
      </c>
      <c r="FC875" s="8" t="s">
        <v>2066</v>
      </c>
      <c r="FD875" s="8">
        <v>500</v>
      </c>
      <c r="FE875" s="8">
        <v>50</v>
      </c>
    </row>
    <row r="876" spans="158:161" ht="74.25" customHeight="1" x14ac:dyDescent="0.2">
      <c r="FB876" s="8" t="s">
        <v>2067</v>
      </c>
      <c r="FC876" s="8" t="s">
        <v>2068</v>
      </c>
      <c r="FD876" s="8">
        <v>160</v>
      </c>
      <c r="FE876" s="8">
        <v>16</v>
      </c>
    </row>
    <row r="877" spans="158:161" ht="74.25" customHeight="1" x14ac:dyDescent="0.2">
      <c r="FB877" s="8" t="s">
        <v>2069</v>
      </c>
      <c r="FC877" s="8" t="s">
        <v>2070</v>
      </c>
      <c r="FD877" s="8">
        <v>250</v>
      </c>
      <c r="FE877" s="8">
        <v>25</v>
      </c>
    </row>
    <row r="878" spans="158:161" ht="74.25" customHeight="1" x14ac:dyDescent="0.2">
      <c r="FB878" s="8" t="s">
        <v>2071</v>
      </c>
      <c r="FC878" s="8" t="s">
        <v>2072</v>
      </c>
      <c r="FD878" s="8">
        <v>290</v>
      </c>
      <c r="FE878" s="8">
        <v>3.3</v>
      </c>
    </row>
    <row r="879" spans="158:161" ht="74.25" customHeight="1" x14ac:dyDescent="0.2">
      <c r="FB879" s="8" t="s">
        <v>2073</v>
      </c>
      <c r="FC879" s="8" t="s">
        <v>2074</v>
      </c>
      <c r="FD879" s="8">
        <v>13</v>
      </c>
      <c r="FE879" s="8">
        <v>1.3</v>
      </c>
    </row>
    <row r="880" spans="158:161" ht="74.25" customHeight="1" x14ac:dyDescent="0.2">
      <c r="FB880" s="8" t="s">
        <v>2075</v>
      </c>
      <c r="FC880" s="8" t="s">
        <v>2076</v>
      </c>
      <c r="FD880" s="8">
        <v>2700</v>
      </c>
      <c r="FE880" s="8">
        <v>270</v>
      </c>
    </row>
    <row r="881" spans="158:161" ht="74.25" customHeight="1" x14ac:dyDescent="0.2">
      <c r="FB881" s="8" t="s">
        <v>2077</v>
      </c>
      <c r="FC881" s="8" t="s">
        <v>2078</v>
      </c>
      <c r="FD881" s="8">
        <v>470</v>
      </c>
      <c r="FE881" s="8">
        <v>47</v>
      </c>
    </row>
    <row r="882" spans="158:161" ht="74.25" customHeight="1" x14ac:dyDescent="0.2">
      <c r="FB882" s="8" t="s">
        <v>2079</v>
      </c>
      <c r="FC882" s="8" t="s">
        <v>2080</v>
      </c>
      <c r="FD882" s="8">
        <v>600</v>
      </c>
      <c r="FE882" s="8">
        <v>90</v>
      </c>
    </row>
    <row r="883" spans="158:161" ht="74.25" customHeight="1" x14ac:dyDescent="0.2">
      <c r="FB883" s="8" t="s">
        <v>2081</v>
      </c>
      <c r="FC883" s="8" t="s">
        <v>2082</v>
      </c>
      <c r="FD883" s="8">
        <v>1800</v>
      </c>
      <c r="FE883" s="8">
        <v>180</v>
      </c>
    </row>
    <row r="884" spans="158:161" ht="74.25" customHeight="1" x14ac:dyDescent="0.2">
      <c r="FB884" s="8" t="s">
        <v>2083</v>
      </c>
      <c r="FC884" s="8" t="s">
        <v>2084</v>
      </c>
      <c r="FD884" s="8">
        <v>3600</v>
      </c>
      <c r="FE884" s="8">
        <v>360</v>
      </c>
    </row>
    <row r="885" spans="158:161" ht="74.25" customHeight="1" x14ac:dyDescent="0.2">
      <c r="FB885" s="8" t="s">
        <v>2085</v>
      </c>
      <c r="FC885" s="8" t="s">
        <v>2086</v>
      </c>
      <c r="FD885" s="8">
        <v>290</v>
      </c>
      <c r="FE885" s="8">
        <v>480</v>
      </c>
    </row>
    <row r="886" spans="158:161" ht="74.25" customHeight="1" x14ac:dyDescent="0.2">
      <c r="FB886" s="8" t="s">
        <v>2087</v>
      </c>
      <c r="FC886" s="8" t="s">
        <v>2088</v>
      </c>
      <c r="FD886" s="8">
        <v>1500</v>
      </c>
      <c r="FE886" s="8">
        <v>150</v>
      </c>
    </row>
    <row r="887" spans="158:161" ht="74.25" customHeight="1" x14ac:dyDescent="0.2">
      <c r="FB887" s="8" t="s">
        <v>2089</v>
      </c>
      <c r="FC887" s="8" t="s">
        <v>2090</v>
      </c>
      <c r="FD887" s="8">
        <v>650</v>
      </c>
      <c r="FE887" s="8">
        <v>65</v>
      </c>
    </row>
    <row r="888" spans="158:161" ht="74.25" customHeight="1" x14ac:dyDescent="0.2">
      <c r="FB888" s="8" t="s">
        <v>2091</v>
      </c>
      <c r="FC888" s="8" t="s">
        <v>2092</v>
      </c>
      <c r="FD888" s="8">
        <v>5700</v>
      </c>
      <c r="FE888" s="8">
        <v>570</v>
      </c>
    </row>
    <row r="889" spans="158:161" ht="74.25" customHeight="1" x14ac:dyDescent="0.2">
      <c r="FB889" s="8" t="s">
        <v>2093</v>
      </c>
      <c r="FC889" s="8" t="s">
        <v>2094</v>
      </c>
      <c r="FD889" s="8">
        <v>100</v>
      </c>
      <c r="FE889" s="8">
        <v>100</v>
      </c>
    </row>
    <row r="890" spans="158:161" ht="74.25" customHeight="1" x14ac:dyDescent="0.2">
      <c r="FB890" s="8" t="s">
        <v>2095</v>
      </c>
      <c r="FC890" s="8" t="s">
        <v>2096</v>
      </c>
      <c r="FD890" s="8">
        <v>1700</v>
      </c>
      <c r="FE890" s="8">
        <v>170</v>
      </c>
    </row>
    <row r="891" spans="158:161" ht="74.25" customHeight="1" x14ac:dyDescent="0.2">
      <c r="FB891" s="8" t="s">
        <v>2097</v>
      </c>
      <c r="FC891" s="8" t="s">
        <v>2098</v>
      </c>
      <c r="FD891" s="8">
        <v>3.6</v>
      </c>
      <c r="FE891" s="8">
        <v>1.8</v>
      </c>
    </row>
    <row r="892" spans="158:161" ht="74.25" customHeight="1" x14ac:dyDescent="0.2">
      <c r="FB892" s="8" t="s">
        <v>2099</v>
      </c>
      <c r="FC892" s="8" t="s">
        <v>2100</v>
      </c>
      <c r="FD892" s="8">
        <v>1400</v>
      </c>
      <c r="FE892" s="8">
        <v>140</v>
      </c>
    </row>
    <row r="893" spans="158:161" ht="74.25" customHeight="1" x14ac:dyDescent="0.2">
      <c r="FB893" s="8" t="s">
        <v>2101</v>
      </c>
      <c r="FC893" s="8" t="s">
        <v>2102</v>
      </c>
      <c r="FD893" s="8">
        <v>1500</v>
      </c>
      <c r="FE893" s="8">
        <v>150</v>
      </c>
    </row>
    <row r="894" spans="158:161" ht="74.25" customHeight="1" x14ac:dyDescent="0.2">
      <c r="FB894" s="8" t="s">
        <v>2103</v>
      </c>
      <c r="FC894" s="8" t="s">
        <v>2104</v>
      </c>
      <c r="FD894" s="8">
        <v>400</v>
      </c>
      <c r="FE894" s="8">
        <v>40</v>
      </c>
    </row>
    <row r="895" spans="158:161" ht="74.25" customHeight="1" x14ac:dyDescent="0.2">
      <c r="FB895" s="8" t="s">
        <v>2105</v>
      </c>
      <c r="FC895" s="8" t="s">
        <v>2106</v>
      </c>
      <c r="FD895" s="8">
        <v>3.6</v>
      </c>
      <c r="FE895" s="8">
        <v>1.8</v>
      </c>
    </row>
    <row r="896" spans="158:161" ht="74.25" customHeight="1" x14ac:dyDescent="0.2">
      <c r="FB896" s="8" t="s">
        <v>2107</v>
      </c>
      <c r="FC896" s="8" t="s">
        <v>2108</v>
      </c>
      <c r="FD896" s="8">
        <v>10000</v>
      </c>
      <c r="FE896" s="8">
        <v>480</v>
      </c>
    </row>
    <row r="897" spans="158:161" ht="74.25" customHeight="1" x14ac:dyDescent="0.2">
      <c r="FB897" s="8" t="s">
        <v>2109</v>
      </c>
      <c r="FC897" s="8" t="s">
        <v>2110</v>
      </c>
      <c r="FD897" s="8">
        <v>800</v>
      </c>
      <c r="FE897" s="8">
        <v>80</v>
      </c>
    </row>
    <row r="898" spans="158:161" ht="74.25" customHeight="1" x14ac:dyDescent="0.2">
      <c r="FB898" s="8" t="s">
        <v>2111</v>
      </c>
      <c r="FC898" s="8" t="s">
        <v>2112</v>
      </c>
      <c r="FD898" s="8">
        <v>3400</v>
      </c>
      <c r="FE898" s="8">
        <v>340</v>
      </c>
    </row>
    <row r="899" spans="158:161" ht="74.25" customHeight="1" x14ac:dyDescent="0.2">
      <c r="FB899" s="8" t="s">
        <v>2113</v>
      </c>
      <c r="FC899" s="8" t="s">
        <v>2114</v>
      </c>
      <c r="FD899" s="8">
        <v>1000</v>
      </c>
      <c r="FE899" s="8">
        <v>100</v>
      </c>
    </row>
    <row r="900" spans="158:161" ht="74.25" customHeight="1" x14ac:dyDescent="0.2">
      <c r="FB900" s="8" t="s">
        <v>2115</v>
      </c>
      <c r="FC900" s="8" t="s">
        <v>2116</v>
      </c>
      <c r="FD900" s="8">
        <v>660</v>
      </c>
      <c r="FE900" s="8">
        <v>66</v>
      </c>
    </row>
    <row r="901" spans="158:161" ht="74.25" customHeight="1" x14ac:dyDescent="0.2">
      <c r="FB901" s="8" t="s">
        <v>2117</v>
      </c>
      <c r="FC901" s="8" t="s">
        <v>2118</v>
      </c>
      <c r="FD901" s="8">
        <v>0.33</v>
      </c>
      <c r="FE901" s="8">
        <v>1.8</v>
      </c>
    </row>
    <row r="902" spans="158:161" ht="74.25" customHeight="1" x14ac:dyDescent="0.2">
      <c r="FB902" s="8" t="s">
        <v>2119</v>
      </c>
      <c r="FC902" s="8" t="s">
        <v>2120</v>
      </c>
      <c r="FD902" s="8">
        <v>400</v>
      </c>
      <c r="FE902" s="8">
        <v>40</v>
      </c>
    </row>
    <row r="903" spans="158:161" ht="74.25" customHeight="1" x14ac:dyDescent="0.2">
      <c r="FB903" s="8" t="s">
        <v>2121</v>
      </c>
      <c r="FC903" s="8" t="s">
        <v>2122</v>
      </c>
      <c r="FD903" s="8">
        <v>39</v>
      </c>
      <c r="FE903" s="8">
        <v>3.9</v>
      </c>
    </row>
    <row r="904" spans="158:161" ht="74.25" customHeight="1" x14ac:dyDescent="0.2">
      <c r="FB904" s="8" t="s">
        <v>2123</v>
      </c>
      <c r="FC904" s="8" t="s">
        <v>2124</v>
      </c>
      <c r="FD904" s="8">
        <v>5700</v>
      </c>
      <c r="FE904" s="8">
        <v>570</v>
      </c>
    </row>
    <row r="905" spans="158:161" ht="74.25" customHeight="1" x14ac:dyDescent="0.2">
      <c r="FB905" s="8" t="s">
        <v>2125</v>
      </c>
      <c r="FC905" s="8" t="s">
        <v>2126</v>
      </c>
      <c r="FD905" s="8">
        <v>500</v>
      </c>
      <c r="FE905" s="8">
        <v>50</v>
      </c>
    </row>
    <row r="906" spans="158:161" ht="74.25" customHeight="1" x14ac:dyDescent="0.2">
      <c r="FB906" s="8" t="s">
        <v>2127</v>
      </c>
      <c r="FC906" s="8" t="s">
        <v>2128</v>
      </c>
      <c r="FD906" s="8">
        <v>500</v>
      </c>
      <c r="FE906" s="8">
        <v>50</v>
      </c>
    </row>
    <row r="907" spans="158:161" ht="74.25" customHeight="1" x14ac:dyDescent="0.2">
      <c r="FB907" s="8" t="s">
        <v>2129</v>
      </c>
      <c r="FC907" s="8" t="s">
        <v>2130</v>
      </c>
      <c r="FD907" s="8">
        <v>800</v>
      </c>
      <c r="FE907" s="8">
        <v>80</v>
      </c>
    </row>
    <row r="908" spans="158:161" ht="74.25" customHeight="1" x14ac:dyDescent="0.2">
      <c r="FB908" s="8" t="s">
        <v>2131</v>
      </c>
      <c r="FC908" s="8" t="s">
        <v>2132</v>
      </c>
      <c r="FD908" s="8">
        <v>170</v>
      </c>
      <c r="FE908" s="8">
        <v>17</v>
      </c>
    </row>
    <row r="909" spans="158:161" ht="74.25" customHeight="1" x14ac:dyDescent="0.2">
      <c r="FB909" s="8" t="s">
        <v>2133</v>
      </c>
      <c r="FC909" s="8" t="s">
        <v>2134</v>
      </c>
      <c r="FD909" s="8">
        <v>125</v>
      </c>
      <c r="FE909" s="8">
        <v>12.5</v>
      </c>
    </row>
    <row r="910" spans="158:161" ht="74.25" customHeight="1" x14ac:dyDescent="0.2">
      <c r="FB910" s="8" t="s">
        <v>2135</v>
      </c>
      <c r="FC910" s="8" t="s">
        <v>2136</v>
      </c>
      <c r="FD910" s="8">
        <v>100</v>
      </c>
      <c r="FE910" s="8">
        <v>10</v>
      </c>
    </row>
    <row r="911" spans="158:161" ht="74.25" customHeight="1" x14ac:dyDescent="0.2">
      <c r="FB911" s="8" t="s">
        <v>2137</v>
      </c>
      <c r="FC911" s="8" t="s">
        <v>2138</v>
      </c>
      <c r="FD911" s="8">
        <v>1250</v>
      </c>
      <c r="FE911" s="8">
        <v>125</v>
      </c>
    </row>
    <row r="912" spans="158:161" ht="74.25" customHeight="1" x14ac:dyDescent="0.2">
      <c r="FB912" s="8" t="s">
        <v>2139</v>
      </c>
      <c r="FC912" s="8" t="s">
        <v>2140</v>
      </c>
      <c r="FD912" s="8">
        <v>170</v>
      </c>
      <c r="FE912" s="8">
        <v>17</v>
      </c>
    </row>
    <row r="913" spans="158:161" ht="74.25" customHeight="1" x14ac:dyDescent="0.2">
      <c r="FB913" s="8" t="s">
        <v>2141</v>
      </c>
      <c r="FC913" s="8" t="s">
        <v>2142</v>
      </c>
      <c r="FD913" s="8">
        <v>18</v>
      </c>
      <c r="FE913" s="8">
        <v>1.8</v>
      </c>
    </row>
    <row r="914" spans="158:161" ht="74.25" customHeight="1" x14ac:dyDescent="0.2">
      <c r="FB914" s="8" t="s">
        <v>2143</v>
      </c>
      <c r="FC914" s="8" t="s">
        <v>2143</v>
      </c>
      <c r="FD914" s="8">
        <v>70</v>
      </c>
      <c r="FE914" s="8">
        <v>7</v>
      </c>
    </row>
    <row r="915" spans="158:161" ht="74.25" customHeight="1" x14ac:dyDescent="0.2">
      <c r="FB915" s="8" t="s">
        <v>2144</v>
      </c>
      <c r="FC915" s="8" t="s">
        <v>2145</v>
      </c>
      <c r="FD915" s="8">
        <v>30</v>
      </c>
      <c r="FE915" s="8">
        <v>3</v>
      </c>
    </row>
    <row r="916" spans="158:161" ht="74.25" customHeight="1" x14ac:dyDescent="0.2">
      <c r="FB916" s="8" t="s">
        <v>2146</v>
      </c>
      <c r="FC916" s="8" t="s">
        <v>2147</v>
      </c>
      <c r="FD916" s="8">
        <v>10</v>
      </c>
      <c r="FE916" s="8">
        <v>1</v>
      </c>
    </row>
    <row r="917" spans="158:161" ht="74.25" customHeight="1" x14ac:dyDescent="0.2">
      <c r="FB917" s="8" t="s">
        <v>2148</v>
      </c>
      <c r="FC917" s="8" t="s">
        <v>2149</v>
      </c>
      <c r="FD917" s="8">
        <v>10</v>
      </c>
      <c r="FE917" s="8">
        <v>1</v>
      </c>
    </row>
    <row r="918" spans="158:161" ht="74.25" customHeight="1" x14ac:dyDescent="0.2">
      <c r="FB918" s="8" t="s">
        <v>2150</v>
      </c>
      <c r="FC918" s="8" t="s">
        <v>2151</v>
      </c>
      <c r="FD918" s="8">
        <v>24</v>
      </c>
      <c r="FE918" s="8">
        <v>2.4</v>
      </c>
    </row>
    <row r="919" spans="158:161" ht="74.25" customHeight="1" x14ac:dyDescent="0.2">
      <c r="FB919" s="8" t="s">
        <v>2152</v>
      </c>
      <c r="FC919" s="8" t="s">
        <v>2153</v>
      </c>
      <c r="FD919" s="8">
        <v>3</v>
      </c>
      <c r="FE919" s="8">
        <v>0.3</v>
      </c>
    </row>
    <row r="920" spans="158:161" ht="74.25" customHeight="1" x14ac:dyDescent="0.2">
      <c r="FB920" s="8" t="s">
        <v>2154</v>
      </c>
      <c r="FC920" s="8" t="s">
        <v>2155</v>
      </c>
      <c r="FD920" s="8">
        <v>1250</v>
      </c>
      <c r="FE920" s="8">
        <v>125</v>
      </c>
    </row>
    <row r="921" spans="158:161" ht="74.25" customHeight="1" x14ac:dyDescent="0.2">
      <c r="FB921" s="8" t="s">
        <v>2156</v>
      </c>
      <c r="FC921" s="8" t="s">
        <v>2157</v>
      </c>
      <c r="FD921" s="8">
        <v>1800</v>
      </c>
      <c r="FE921" s="8">
        <v>180</v>
      </c>
    </row>
    <row r="922" spans="158:161" ht="74.25" customHeight="1" x14ac:dyDescent="0.2">
      <c r="FB922" s="8" t="s">
        <v>2158</v>
      </c>
      <c r="FC922" s="8" t="s">
        <v>2159</v>
      </c>
      <c r="FD922" s="8">
        <v>900</v>
      </c>
      <c r="FE922" s="8">
        <v>90</v>
      </c>
    </row>
    <row r="923" spans="158:161" ht="74.25" customHeight="1" x14ac:dyDescent="0.2">
      <c r="FB923" s="8" t="s">
        <v>2160</v>
      </c>
      <c r="FC923" s="8" t="s">
        <v>2161</v>
      </c>
      <c r="FD923" s="8">
        <v>1600</v>
      </c>
      <c r="FE923" s="8">
        <v>160</v>
      </c>
    </row>
    <row r="924" spans="158:161" ht="74.25" customHeight="1" x14ac:dyDescent="0.2">
      <c r="FB924" s="8" t="s">
        <v>2162</v>
      </c>
      <c r="FC924" s="8" t="s">
        <v>2163</v>
      </c>
      <c r="FD924" s="8">
        <v>3500</v>
      </c>
      <c r="FE924" s="8">
        <v>350</v>
      </c>
    </row>
    <row r="925" spans="158:161" ht="74.25" customHeight="1" x14ac:dyDescent="0.2">
      <c r="FB925" s="8" t="s">
        <v>2164</v>
      </c>
      <c r="FC925" s="8" t="s">
        <v>2165</v>
      </c>
      <c r="FD925" s="8">
        <v>140</v>
      </c>
      <c r="FE925" s="8">
        <v>14</v>
      </c>
    </row>
    <row r="926" spans="158:161" ht="74.25" customHeight="1" x14ac:dyDescent="0.2">
      <c r="FB926" s="8" t="s">
        <v>2166</v>
      </c>
      <c r="FC926" s="8" t="s">
        <v>2167</v>
      </c>
      <c r="FD926" s="8">
        <v>190</v>
      </c>
      <c r="FE926" s="8">
        <v>19</v>
      </c>
    </row>
    <row r="927" spans="158:161" ht="74.25" customHeight="1" x14ac:dyDescent="0.2">
      <c r="FB927" s="8" t="s">
        <v>2168</v>
      </c>
      <c r="FC927" s="8" t="s">
        <v>2169</v>
      </c>
      <c r="FD927" s="8">
        <v>5600</v>
      </c>
      <c r="FE927" s="8">
        <v>540</v>
      </c>
    </row>
    <row r="928" spans="158:161" ht="74.25" customHeight="1" x14ac:dyDescent="0.2">
      <c r="FB928" s="8" t="s">
        <v>2170</v>
      </c>
      <c r="FC928" s="8" t="s">
        <v>2171</v>
      </c>
      <c r="FD928" s="8">
        <v>3500</v>
      </c>
      <c r="FE928" s="8">
        <v>350</v>
      </c>
    </row>
    <row r="929" spans="158:161" ht="74.25" customHeight="1" x14ac:dyDescent="0.2">
      <c r="FB929" s="8" t="s">
        <v>2172</v>
      </c>
      <c r="FC929" s="8" t="s">
        <v>9838</v>
      </c>
      <c r="FD929" s="8">
        <v>1500</v>
      </c>
      <c r="FE929" s="8">
        <v>150</v>
      </c>
    </row>
    <row r="930" spans="158:161" ht="74.25" customHeight="1" x14ac:dyDescent="0.2">
      <c r="FB930" s="8" t="s">
        <v>2173</v>
      </c>
      <c r="FC930" s="8" t="s">
        <v>2174</v>
      </c>
      <c r="FD930" s="8">
        <v>10000</v>
      </c>
      <c r="FE930" s="8">
        <v>2700</v>
      </c>
    </row>
    <row r="931" spans="158:161" ht="74.25" customHeight="1" x14ac:dyDescent="0.2">
      <c r="FB931" s="8" t="s">
        <v>2175</v>
      </c>
      <c r="FC931" s="8" t="s">
        <v>2176</v>
      </c>
      <c r="FD931" s="8">
        <v>480</v>
      </c>
      <c r="FE931" s="8">
        <v>48</v>
      </c>
    </row>
    <row r="932" spans="158:161" ht="74.25" customHeight="1" x14ac:dyDescent="0.2">
      <c r="FB932" s="8" t="s">
        <v>2177</v>
      </c>
      <c r="FC932" s="8" t="s">
        <v>2178</v>
      </c>
      <c r="FD932" s="8">
        <v>80</v>
      </c>
      <c r="FE932" s="8">
        <v>8</v>
      </c>
    </row>
    <row r="933" spans="158:161" ht="74.25" customHeight="1" x14ac:dyDescent="0.2">
      <c r="FB933" s="8" t="s">
        <v>2179</v>
      </c>
      <c r="FC933" s="8" t="s">
        <v>2180</v>
      </c>
      <c r="FD933" s="8">
        <v>200</v>
      </c>
      <c r="FE933" s="8">
        <v>20</v>
      </c>
    </row>
    <row r="934" spans="158:161" ht="74.25" customHeight="1" x14ac:dyDescent="0.2">
      <c r="FB934" s="8" t="s">
        <v>2181</v>
      </c>
      <c r="FC934" s="8" t="s">
        <v>2182</v>
      </c>
      <c r="FD934" s="8">
        <v>1700</v>
      </c>
      <c r="FE934" s="8">
        <v>330</v>
      </c>
    </row>
    <row r="935" spans="158:161" ht="74.25" customHeight="1" x14ac:dyDescent="0.2">
      <c r="FB935" s="8" t="s">
        <v>2183</v>
      </c>
      <c r="FC935" s="8" t="s">
        <v>2184</v>
      </c>
      <c r="FD935" s="8">
        <v>1500</v>
      </c>
      <c r="FE935" s="8">
        <v>150</v>
      </c>
    </row>
    <row r="936" spans="158:161" ht="74.25" customHeight="1" x14ac:dyDescent="0.2">
      <c r="FB936" s="8" t="s">
        <v>2185</v>
      </c>
      <c r="FC936" s="8" t="s">
        <v>2186</v>
      </c>
      <c r="FD936" s="8">
        <v>4800</v>
      </c>
      <c r="FE936" s="8">
        <v>450</v>
      </c>
    </row>
    <row r="937" spans="158:161" ht="74.25" customHeight="1" x14ac:dyDescent="0.2">
      <c r="FB937" s="8" t="s">
        <v>2187</v>
      </c>
      <c r="FC937" s="8" t="s">
        <v>2188</v>
      </c>
      <c r="FD937" s="8">
        <v>560</v>
      </c>
      <c r="FE937" s="8">
        <v>100</v>
      </c>
    </row>
    <row r="938" spans="158:161" ht="74.25" customHeight="1" x14ac:dyDescent="0.2">
      <c r="FB938" s="8" t="s">
        <v>2189</v>
      </c>
      <c r="FC938" s="8" t="s">
        <v>2190</v>
      </c>
      <c r="FD938" s="8">
        <v>5600</v>
      </c>
      <c r="FE938" s="8">
        <v>200</v>
      </c>
    </row>
    <row r="939" spans="158:161" ht="74.25" customHeight="1" x14ac:dyDescent="0.2">
      <c r="FB939" s="8" t="s">
        <v>2191</v>
      </c>
      <c r="FC939" s="8" t="s">
        <v>2192</v>
      </c>
      <c r="FD939" s="8">
        <v>53</v>
      </c>
      <c r="FE939" s="8">
        <v>7.6</v>
      </c>
    </row>
    <row r="940" spans="158:161" ht="74.25" customHeight="1" x14ac:dyDescent="0.2">
      <c r="FB940" s="8" t="s">
        <v>2193</v>
      </c>
      <c r="FC940" s="8" t="s">
        <v>2194</v>
      </c>
      <c r="FD940" s="8">
        <v>260</v>
      </c>
      <c r="FE940" s="8">
        <v>26</v>
      </c>
    </row>
    <row r="941" spans="158:161" ht="74.25" customHeight="1" x14ac:dyDescent="0.2">
      <c r="FB941" s="8" t="s">
        <v>2195</v>
      </c>
      <c r="FC941" s="8" t="s">
        <v>2196</v>
      </c>
      <c r="FD941" s="8">
        <v>1500</v>
      </c>
      <c r="FE941" s="8">
        <v>150</v>
      </c>
    </row>
    <row r="942" spans="158:161" ht="74.25" customHeight="1" x14ac:dyDescent="0.2">
      <c r="FB942" s="8" t="s">
        <v>2197</v>
      </c>
      <c r="FC942" s="8" t="s">
        <v>2198</v>
      </c>
      <c r="FD942" s="8">
        <v>125</v>
      </c>
      <c r="FE942" s="8">
        <v>12.5</v>
      </c>
    </row>
    <row r="943" spans="158:161" ht="74.25" customHeight="1" x14ac:dyDescent="0.2">
      <c r="FB943" s="8" t="s">
        <v>2199</v>
      </c>
      <c r="FC943" s="8" t="s">
        <v>2200</v>
      </c>
      <c r="FD943" s="8">
        <v>570</v>
      </c>
      <c r="FE943" s="8">
        <v>57</v>
      </c>
    </row>
    <row r="944" spans="158:161" ht="74.25" customHeight="1" x14ac:dyDescent="0.2">
      <c r="FB944" s="8" t="s">
        <v>2201</v>
      </c>
      <c r="FC944" s="8" t="s">
        <v>2202</v>
      </c>
      <c r="FD944" s="8">
        <v>3500</v>
      </c>
      <c r="FE944" s="8">
        <v>350</v>
      </c>
    </row>
    <row r="945" spans="158:161" ht="74.25" customHeight="1" x14ac:dyDescent="0.2">
      <c r="FB945" s="8" t="s">
        <v>2203</v>
      </c>
      <c r="FC945" s="8" t="s">
        <v>2204</v>
      </c>
      <c r="FD945" s="8">
        <v>1800</v>
      </c>
      <c r="FE945" s="8">
        <v>180</v>
      </c>
    </row>
    <row r="946" spans="158:161" ht="74.25" customHeight="1" x14ac:dyDescent="0.2">
      <c r="FB946" s="8" t="s">
        <v>2205</v>
      </c>
      <c r="FC946" s="8" t="s">
        <v>2206</v>
      </c>
      <c r="FD946" s="8">
        <v>0.05</v>
      </c>
      <c r="FE946" s="8">
        <v>5.0000000000000001E-3</v>
      </c>
    </row>
    <row r="947" spans="158:161" ht="74.25" customHeight="1" x14ac:dyDescent="0.2">
      <c r="FB947" s="8" t="s">
        <v>2207</v>
      </c>
      <c r="FC947" s="8" t="s">
        <v>2208</v>
      </c>
      <c r="FD947" s="8">
        <v>140</v>
      </c>
      <c r="FE947" s="8">
        <v>14</v>
      </c>
    </row>
    <row r="948" spans="158:161" ht="74.25" customHeight="1" x14ac:dyDescent="0.2">
      <c r="FB948" s="8" t="s">
        <v>2209</v>
      </c>
      <c r="FC948" s="8" t="s">
        <v>2210</v>
      </c>
      <c r="FD948" s="8">
        <v>30</v>
      </c>
      <c r="FE948" s="8">
        <v>3</v>
      </c>
    </row>
    <row r="949" spans="158:161" ht="74.25" customHeight="1" x14ac:dyDescent="0.2">
      <c r="FB949" s="8" t="s">
        <v>2211</v>
      </c>
      <c r="FC949" s="8" t="s">
        <v>2212</v>
      </c>
      <c r="FD949" s="8">
        <v>50</v>
      </c>
      <c r="FE949" s="8">
        <v>5</v>
      </c>
    </row>
    <row r="950" spans="158:161" ht="74.25" customHeight="1" x14ac:dyDescent="0.2">
      <c r="FB950" s="8" t="s">
        <v>2213</v>
      </c>
      <c r="FC950" s="8" t="s">
        <v>2214</v>
      </c>
      <c r="FD950" s="8">
        <v>1000</v>
      </c>
      <c r="FE950" s="8">
        <v>100</v>
      </c>
    </row>
    <row r="951" spans="158:161" ht="74.25" customHeight="1" x14ac:dyDescent="0.2">
      <c r="FB951" s="8" t="s">
        <v>2215</v>
      </c>
      <c r="FC951" s="8" t="s">
        <v>2216</v>
      </c>
      <c r="FD951" s="8">
        <v>170</v>
      </c>
      <c r="FE951" s="8">
        <v>17</v>
      </c>
    </row>
    <row r="952" spans="158:161" ht="74.25" customHeight="1" x14ac:dyDescent="0.2">
      <c r="FB952" s="8" t="s">
        <v>2217</v>
      </c>
      <c r="FC952" s="8" t="s">
        <v>2218</v>
      </c>
      <c r="FD952" s="8">
        <v>90</v>
      </c>
      <c r="FE952" s="8">
        <v>9</v>
      </c>
    </row>
    <row r="953" spans="158:161" ht="74.25" customHeight="1" x14ac:dyDescent="0.2">
      <c r="FB953" s="8" t="s">
        <v>2219</v>
      </c>
      <c r="FC953" s="8" t="s">
        <v>2220</v>
      </c>
      <c r="FD953" s="8">
        <v>90</v>
      </c>
      <c r="FE953" s="8">
        <v>9</v>
      </c>
    </row>
    <row r="954" spans="158:161" ht="74.25" customHeight="1" x14ac:dyDescent="0.2">
      <c r="FB954" s="8" t="s">
        <v>2221</v>
      </c>
      <c r="FC954" s="8" t="s">
        <v>2222</v>
      </c>
      <c r="FD954" s="8">
        <v>5100</v>
      </c>
      <c r="FE954" s="8">
        <v>510</v>
      </c>
    </row>
    <row r="955" spans="158:161" ht="74.25" customHeight="1" x14ac:dyDescent="0.2">
      <c r="FB955" s="8" t="s">
        <v>2223</v>
      </c>
      <c r="FC955" s="8" t="s">
        <v>2224</v>
      </c>
      <c r="FD955" s="8">
        <v>140</v>
      </c>
      <c r="FE955" s="8">
        <v>270</v>
      </c>
    </row>
    <row r="956" spans="158:161" ht="74.25" customHeight="1" x14ac:dyDescent="0.2">
      <c r="FB956" s="8" t="s">
        <v>2225</v>
      </c>
      <c r="FC956" s="8" t="s">
        <v>2226</v>
      </c>
      <c r="FD956" s="8">
        <v>1500</v>
      </c>
      <c r="FE956" s="8">
        <v>150</v>
      </c>
    </row>
    <row r="957" spans="158:161" ht="74.25" customHeight="1" x14ac:dyDescent="0.2">
      <c r="FB957" s="8" t="s">
        <v>2227</v>
      </c>
      <c r="FC957" s="8" t="s">
        <v>2228</v>
      </c>
      <c r="FD957" s="8">
        <v>170</v>
      </c>
      <c r="FE957" s="8">
        <v>17</v>
      </c>
    </row>
    <row r="958" spans="158:161" ht="74.25" customHeight="1" x14ac:dyDescent="0.2">
      <c r="FB958" s="8" t="s">
        <v>2229</v>
      </c>
      <c r="FC958" s="8" t="s">
        <v>2230</v>
      </c>
      <c r="FD958" s="8">
        <v>5300</v>
      </c>
      <c r="FE958" s="8">
        <v>530</v>
      </c>
    </row>
    <row r="959" spans="158:161" ht="74.25" customHeight="1" x14ac:dyDescent="0.2">
      <c r="FB959" s="8" t="s">
        <v>2231</v>
      </c>
      <c r="FC959" s="8" t="s">
        <v>2232</v>
      </c>
      <c r="FD959" s="8">
        <v>10000</v>
      </c>
      <c r="FE959" s="8">
        <v>480</v>
      </c>
    </row>
    <row r="960" spans="158:161" ht="74.25" customHeight="1" x14ac:dyDescent="0.2">
      <c r="FB960" s="8" t="s">
        <v>2233</v>
      </c>
      <c r="FC960" s="8" t="s">
        <v>2234</v>
      </c>
      <c r="FD960" s="8">
        <v>700</v>
      </c>
      <c r="FE960" s="8">
        <v>70</v>
      </c>
    </row>
    <row r="961" spans="158:161" ht="74.25" customHeight="1" x14ac:dyDescent="0.2">
      <c r="FB961" s="8" t="s">
        <v>2235</v>
      </c>
      <c r="FC961" s="8" t="s">
        <v>2236</v>
      </c>
      <c r="FD961" s="8">
        <v>50</v>
      </c>
      <c r="FE961" s="8">
        <v>5</v>
      </c>
    </row>
    <row r="962" spans="158:161" ht="74.25" customHeight="1" x14ac:dyDescent="0.2">
      <c r="FB962" s="8" t="s">
        <v>2237</v>
      </c>
      <c r="FC962" s="8" t="s">
        <v>2238</v>
      </c>
      <c r="FD962" s="8">
        <v>1000</v>
      </c>
      <c r="FE962" s="8">
        <v>100</v>
      </c>
    </row>
    <row r="963" spans="158:161" ht="74.25" customHeight="1" x14ac:dyDescent="0.2">
      <c r="FB963" s="8" t="s">
        <v>2239</v>
      </c>
      <c r="FC963" s="8" t="s">
        <v>2240</v>
      </c>
      <c r="FD963" s="8">
        <v>170</v>
      </c>
      <c r="FE963" s="8">
        <v>17</v>
      </c>
    </row>
    <row r="964" spans="158:161" ht="74.25" customHeight="1" x14ac:dyDescent="0.2">
      <c r="FB964" s="8" t="s">
        <v>2241</v>
      </c>
      <c r="FC964" s="8" t="s">
        <v>2242</v>
      </c>
      <c r="FD964" s="8">
        <v>10</v>
      </c>
      <c r="FE964" s="8">
        <v>1</v>
      </c>
    </row>
    <row r="965" spans="158:161" ht="74.25" customHeight="1" x14ac:dyDescent="0.2">
      <c r="FB965" s="8" t="s">
        <v>2243</v>
      </c>
      <c r="FC965" s="8" t="s">
        <v>2244</v>
      </c>
      <c r="FD965" s="8">
        <v>500</v>
      </c>
      <c r="FE965" s="8">
        <v>50</v>
      </c>
    </row>
    <row r="966" spans="158:161" ht="74.25" customHeight="1" x14ac:dyDescent="0.2">
      <c r="FB966" s="8" t="s">
        <v>2245</v>
      </c>
      <c r="FC966" s="8" t="s">
        <v>2246</v>
      </c>
      <c r="FD966" s="8">
        <v>2450</v>
      </c>
      <c r="FE966" s="8">
        <v>245</v>
      </c>
    </row>
    <row r="967" spans="158:161" ht="74.25" customHeight="1" x14ac:dyDescent="0.2">
      <c r="FB967" s="8" t="s">
        <v>2247</v>
      </c>
      <c r="FC967" s="8" t="s">
        <v>2248</v>
      </c>
      <c r="FD967" s="8">
        <v>440</v>
      </c>
      <c r="FE967" s="8">
        <v>44</v>
      </c>
    </row>
    <row r="968" spans="158:161" ht="74.25" customHeight="1" x14ac:dyDescent="0.2">
      <c r="FB968" s="8" t="s">
        <v>2249</v>
      </c>
      <c r="FC968" s="8" t="s">
        <v>2250</v>
      </c>
      <c r="FD968" s="8">
        <v>500</v>
      </c>
      <c r="FE968" s="8">
        <v>50</v>
      </c>
    </row>
    <row r="969" spans="158:161" ht="74.25" customHeight="1" x14ac:dyDescent="0.2">
      <c r="FB969" s="8" t="s">
        <v>2251</v>
      </c>
      <c r="FC969" s="8" t="s">
        <v>2252</v>
      </c>
      <c r="FD969" s="8">
        <v>6</v>
      </c>
      <c r="FE969" s="8">
        <v>0.6</v>
      </c>
    </row>
    <row r="970" spans="158:161" ht="74.25" customHeight="1" x14ac:dyDescent="0.2">
      <c r="FB970" s="8" t="s">
        <v>2253</v>
      </c>
      <c r="FC970" s="8" t="s">
        <v>2254</v>
      </c>
      <c r="FD970" s="8">
        <v>1</v>
      </c>
      <c r="FE970" s="8">
        <v>0.1</v>
      </c>
    </row>
    <row r="971" spans="158:161" ht="74.25" customHeight="1" x14ac:dyDescent="0.2">
      <c r="FB971" s="8" t="s">
        <v>2255</v>
      </c>
      <c r="FC971" s="8" t="s">
        <v>2256</v>
      </c>
      <c r="FD971" s="8">
        <v>50</v>
      </c>
      <c r="FE971" s="8">
        <v>5</v>
      </c>
    </row>
    <row r="972" spans="158:161" ht="74.25" customHeight="1" x14ac:dyDescent="0.2">
      <c r="FB972" s="8" t="s">
        <v>2257</v>
      </c>
      <c r="FC972" s="8" t="s">
        <v>2258</v>
      </c>
      <c r="FD972" s="8">
        <v>730</v>
      </c>
      <c r="FE972" s="8">
        <v>73</v>
      </c>
    </row>
    <row r="973" spans="158:161" ht="74.25" customHeight="1" x14ac:dyDescent="0.2">
      <c r="FB973" s="8" t="s">
        <v>2259</v>
      </c>
      <c r="FC973" s="8" t="s">
        <v>2260</v>
      </c>
      <c r="FD973" s="8">
        <v>1000</v>
      </c>
      <c r="FE973" s="8">
        <v>100</v>
      </c>
    </row>
    <row r="974" spans="158:161" ht="74.25" customHeight="1" x14ac:dyDescent="0.2">
      <c r="FB974" s="8" t="s">
        <v>2261</v>
      </c>
      <c r="FC974" s="8" t="s">
        <v>2262</v>
      </c>
      <c r="FD974" s="8">
        <v>45</v>
      </c>
      <c r="FE974" s="8">
        <v>4.5</v>
      </c>
    </row>
    <row r="975" spans="158:161" ht="74.25" customHeight="1" x14ac:dyDescent="0.2">
      <c r="FB975" s="8" t="s">
        <v>2263</v>
      </c>
      <c r="FC975" s="8" t="s">
        <v>2264</v>
      </c>
      <c r="FD975" s="8">
        <v>340</v>
      </c>
      <c r="FE975" s="8">
        <v>34</v>
      </c>
    </row>
    <row r="976" spans="158:161" ht="74.25" customHeight="1" x14ac:dyDescent="0.2">
      <c r="FB976" s="8" t="s">
        <v>2265</v>
      </c>
      <c r="FC976" s="8" t="s">
        <v>2266</v>
      </c>
      <c r="FD976" s="8">
        <v>60</v>
      </c>
      <c r="FE976" s="8">
        <v>6</v>
      </c>
    </row>
    <row r="977" spans="158:161" ht="74.25" customHeight="1" x14ac:dyDescent="0.2">
      <c r="FB977" s="8" t="s">
        <v>2267</v>
      </c>
      <c r="FC977" s="8" t="s">
        <v>2268</v>
      </c>
      <c r="FD977" s="8">
        <v>220</v>
      </c>
      <c r="FE977" s="8">
        <v>22</v>
      </c>
    </row>
    <row r="978" spans="158:161" ht="74.25" customHeight="1" x14ac:dyDescent="0.2">
      <c r="FB978" s="8" t="s">
        <v>2269</v>
      </c>
      <c r="FC978" s="8" t="s">
        <v>2270</v>
      </c>
      <c r="FD978" s="8">
        <v>100</v>
      </c>
      <c r="FE978" s="8">
        <v>10</v>
      </c>
    </row>
    <row r="979" spans="158:161" ht="74.25" customHeight="1" x14ac:dyDescent="0.2">
      <c r="FB979" s="8" t="s">
        <v>2271</v>
      </c>
      <c r="FC979" s="8" t="s">
        <v>2272</v>
      </c>
      <c r="FD979" s="8">
        <v>1000</v>
      </c>
      <c r="FE979" s="8">
        <v>100</v>
      </c>
    </row>
    <row r="980" spans="158:161" ht="74.25" customHeight="1" x14ac:dyDescent="0.2">
      <c r="FB980" s="8" t="s">
        <v>2273</v>
      </c>
      <c r="FC980" s="8" t="s">
        <v>2274</v>
      </c>
      <c r="FD980" s="8">
        <v>70</v>
      </c>
      <c r="FE980" s="8">
        <v>7</v>
      </c>
    </row>
    <row r="981" spans="158:161" ht="74.25" customHeight="1" x14ac:dyDescent="0.2">
      <c r="FB981" s="8" t="s">
        <v>2275</v>
      </c>
      <c r="FC981" s="8" t="s">
        <v>2276</v>
      </c>
      <c r="FD981" s="8">
        <v>420</v>
      </c>
      <c r="FE981" s="8">
        <v>42</v>
      </c>
    </row>
    <row r="982" spans="158:161" ht="74.25" customHeight="1" x14ac:dyDescent="0.2">
      <c r="FB982" s="8" t="s">
        <v>2277</v>
      </c>
      <c r="FC982" s="8" t="s">
        <v>2278</v>
      </c>
      <c r="FD982" s="8">
        <v>3500</v>
      </c>
      <c r="FE982" s="8">
        <v>350</v>
      </c>
    </row>
    <row r="983" spans="158:161" ht="74.25" customHeight="1" x14ac:dyDescent="0.2">
      <c r="FB983" s="8" t="s">
        <v>2279</v>
      </c>
      <c r="FC983" s="8" t="s">
        <v>2280</v>
      </c>
      <c r="FD983" s="8">
        <v>22</v>
      </c>
      <c r="FE983" s="8">
        <v>14</v>
      </c>
    </row>
    <row r="984" spans="158:161" ht="74.25" customHeight="1" x14ac:dyDescent="0.2">
      <c r="FB984" s="8" t="s">
        <v>2281</v>
      </c>
      <c r="FC984" s="8" t="s">
        <v>2282</v>
      </c>
      <c r="FD984" s="8">
        <v>18</v>
      </c>
      <c r="FE984" s="8">
        <v>1.8</v>
      </c>
    </row>
    <row r="985" spans="158:161" ht="74.25" customHeight="1" x14ac:dyDescent="0.2">
      <c r="FB985" s="8" t="s">
        <v>2283</v>
      </c>
      <c r="FC985" s="8" t="s">
        <v>2284</v>
      </c>
      <c r="FD985" s="8">
        <v>1000</v>
      </c>
      <c r="FE985" s="8">
        <v>100</v>
      </c>
    </row>
    <row r="986" spans="158:161" ht="74.25" customHeight="1" x14ac:dyDescent="0.2">
      <c r="FB986" s="8" t="s">
        <v>2285</v>
      </c>
      <c r="FC986" s="8" t="s">
        <v>2286</v>
      </c>
      <c r="FD986" s="8">
        <v>200</v>
      </c>
      <c r="FE986" s="8">
        <v>20</v>
      </c>
    </row>
    <row r="987" spans="158:161" ht="74.25" customHeight="1" x14ac:dyDescent="0.2">
      <c r="FB987" s="8" t="s">
        <v>2287</v>
      </c>
      <c r="FC987" s="8" t="s">
        <v>2288</v>
      </c>
      <c r="FD987" s="8">
        <v>600</v>
      </c>
      <c r="FE987" s="8">
        <v>60</v>
      </c>
    </row>
    <row r="988" spans="158:161" ht="74.25" customHeight="1" x14ac:dyDescent="0.2">
      <c r="FB988" s="8" t="s">
        <v>2289</v>
      </c>
      <c r="FC988" s="8" t="s">
        <v>2290</v>
      </c>
      <c r="FD988" s="8">
        <v>600</v>
      </c>
      <c r="FE988" s="8">
        <v>60</v>
      </c>
    </row>
    <row r="989" spans="158:161" ht="74.25" customHeight="1" x14ac:dyDescent="0.2">
      <c r="FB989" s="8" t="s">
        <v>2291</v>
      </c>
      <c r="FC989" s="8" t="s">
        <v>2292</v>
      </c>
      <c r="FD989" s="8">
        <v>2200</v>
      </c>
      <c r="FE989" s="8">
        <v>220</v>
      </c>
    </row>
    <row r="990" spans="158:161" ht="74.25" customHeight="1" x14ac:dyDescent="0.2">
      <c r="FB990" s="8" t="s">
        <v>2293</v>
      </c>
      <c r="FC990" s="8" t="s">
        <v>2294</v>
      </c>
      <c r="FD990" s="8">
        <v>1000</v>
      </c>
      <c r="FE990" s="8">
        <v>100</v>
      </c>
    </row>
    <row r="991" spans="158:161" ht="74.25" customHeight="1" x14ac:dyDescent="0.2">
      <c r="FB991" s="8" t="s">
        <v>2295</v>
      </c>
      <c r="FC991" s="8" t="s">
        <v>2296</v>
      </c>
      <c r="FD991" s="8">
        <v>2200</v>
      </c>
      <c r="FE991" s="8">
        <v>220</v>
      </c>
    </row>
    <row r="992" spans="158:161" ht="74.25" customHeight="1" x14ac:dyDescent="0.2">
      <c r="FB992" s="8" t="s">
        <v>2297</v>
      </c>
      <c r="FC992" s="8" t="s">
        <v>2298</v>
      </c>
      <c r="FD992" s="8">
        <v>1000</v>
      </c>
      <c r="FE992" s="8">
        <v>100</v>
      </c>
    </row>
    <row r="993" spans="158:161" ht="74.25" customHeight="1" x14ac:dyDescent="0.2">
      <c r="FB993" s="8" t="s">
        <v>2299</v>
      </c>
      <c r="FC993" s="8" t="s">
        <v>2300</v>
      </c>
      <c r="FD993" s="8">
        <v>270</v>
      </c>
      <c r="FE993" s="8">
        <v>5.4</v>
      </c>
    </row>
    <row r="994" spans="158:161" ht="74.25" customHeight="1" x14ac:dyDescent="0.2">
      <c r="FB994" s="8" t="s">
        <v>2301</v>
      </c>
      <c r="FC994" s="8" t="s">
        <v>2302</v>
      </c>
      <c r="FD994" s="8">
        <v>20</v>
      </c>
      <c r="FE994" s="8">
        <v>2</v>
      </c>
    </row>
    <row r="995" spans="158:161" ht="74.25" customHeight="1" x14ac:dyDescent="0.2">
      <c r="FB995" s="8" t="s">
        <v>2303</v>
      </c>
      <c r="FC995" s="8" t="s">
        <v>2304</v>
      </c>
      <c r="FD995" s="8">
        <v>1000</v>
      </c>
      <c r="FE995" s="8">
        <v>100</v>
      </c>
    </row>
    <row r="996" spans="158:161" ht="74.25" customHeight="1" x14ac:dyDescent="0.2">
      <c r="FB996" s="8" t="s">
        <v>2305</v>
      </c>
      <c r="FC996" s="8" t="s">
        <v>2306</v>
      </c>
      <c r="FD996" s="8">
        <v>10000</v>
      </c>
      <c r="FE996" s="8">
        <v>1000</v>
      </c>
    </row>
    <row r="997" spans="158:161" ht="74.25" customHeight="1" x14ac:dyDescent="0.2">
      <c r="FB997" s="8" t="s">
        <v>2307</v>
      </c>
      <c r="FC997" s="8" t="s">
        <v>2308</v>
      </c>
      <c r="FD997" s="8">
        <v>10000</v>
      </c>
      <c r="FE997" s="8">
        <v>1000</v>
      </c>
    </row>
    <row r="998" spans="158:161" ht="74.25" customHeight="1" x14ac:dyDescent="0.2">
      <c r="FB998" s="8" t="s">
        <v>2309</v>
      </c>
      <c r="FC998" s="8" t="s">
        <v>2310</v>
      </c>
      <c r="FD998" s="8">
        <v>1700</v>
      </c>
      <c r="FE998" s="8">
        <v>330</v>
      </c>
    </row>
    <row r="999" spans="158:161" ht="74.25" customHeight="1" x14ac:dyDescent="0.2">
      <c r="FB999" s="8" t="s">
        <v>2311</v>
      </c>
      <c r="FC999" s="8" t="s">
        <v>2312</v>
      </c>
      <c r="FD999" s="8">
        <v>1700</v>
      </c>
      <c r="FE999" s="8">
        <v>330</v>
      </c>
    </row>
    <row r="1000" spans="158:161" ht="74.25" customHeight="1" x14ac:dyDescent="0.2">
      <c r="FB1000" s="8" t="s">
        <v>2313</v>
      </c>
      <c r="FC1000" s="8" t="s">
        <v>2314</v>
      </c>
      <c r="FD1000" s="8">
        <v>4800</v>
      </c>
      <c r="FE1000" s="8">
        <v>450</v>
      </c>
    </row>
    <row r="1001" spans="158:161" ht="74.25" customHeight="1" x14ac:dyDescent="0.2">
      <c r="FB1001" s="8" t="s">
        <v>2315</v>
      </c>
      <c r="FC1001" s="8" t="s">
        <v>2316</v>
      </c>
      <c r="FD1001" s="8">
        <v>1000</v>
      </c>
      <c r="FE1001" s="8">
        <v>100</v>
      </c>
    </row>
    <row r="1002" spans="158:161" ht="74.25" customHeight="1" x14ac:dyDescent="0.2">
      <c r="FB1002" s="8" t="s">
        <v>2317</v>
      </c>
      <c r="FC1002" s="8" t="s">
        <v>2318</v>
      </c>
      <c r="FD1002" s="8">
        <v>840</v>
      </c>
      <c r="FE1002" s="8">
        <v>84</v>
      </c>
    </row>
    <row r="1003" spans="158:161" ht="74.25" customHeight="1" x14ac:dyDescent="0.2">
      <c r="FB1003" s="8" t="s">
        <v>2319</v>
      </c>
      <c r="FC1003" s="8" t="s">
        <v>2320</v>
      </c>
      <c r="FD1003" s="8">
        <v>1700</v>
      </c>
      <c r="FE1003" s="8">
        <v>330</v>
      </c>
    </row>
    <row r="1004" spans="158:161" ht="74.25" customHeight="1" x14ac:dyDescent="0.2">
      <c r="FB1004" s="8" t="s">
        <v>2321</v>
      </c>
      <c r="FC1004" s="8" t="s">
        <v>2322</v>
      </c>
      <c r="FD1004" s="8">
        <v>720</v>
      </c>
      <c r="FE1004" s="8">
        <v>72</v>
      </c>
    </row>
    <row r="1005" spans="158:161" ht="74.25" customHeight="1" x14ac:dyDescent="0.2">
      <c r="FB1005" s="8" t="s">
        <v>2323</v>
      </c>
      <c r="FC1005" s="8" t="s">
        <v>2324</v>
      </c>
      <c r="FD1005" s="8">
        <v>100</v>
      </c>
      <c r="FE1005" s="8">
        <v>10</v>
      </c>
    </row>
    <row r="1006" spans="158:161" ht="74.25" customHeight="1" x14ac:dyDescent="0.2">
      <c r="FB1006" s="8" t="s">
        <v>2325</v>
      </c>
      <c r="FC1006" s="8" t="s">
        <v>2326</v>
      </c>
      <c r="FD1006" s="8">
        <v>270</v>
      </c>
      <c r="FE1006" s="8">
        <v>5.4</v>
      </c>
    </row>
    <row r="1007" spans="158:161" ht="74.25" customHeight="1" x14ac:dyDescent="0.2">
      <c r="FB1007" s="8" t="s">
        <v>2327</v>
      </c>
      <c r="FC1007" s="8" t="s">
        <v>2328</v>
      </c>
      <c r="FD1007" s="8">
        <v>10000</v>
      </c>
      <c r="FE1007" s="8">
        <v>1000</v>
      </c>
    </row>
    <row r="1008" spans="158:161" ht="74.25" customHeight="1" x14ac:dyDescent="0.2">
      <c r="FB1008" s="8" t="s">
        <v>2329</v>
      </c>
      <c r="FC1008" s="8" t="s">
        <v>2330</v>
      </c>
      <c r="FD1008" s="8">
        <v>1</v>
      </c>
      <c r="FE1008" s="8">
        <v>0.1</v>
      </c>
    </row>
    <row r="1009" spans="158:161" ht="74.25" customHeight="1" x14ac:dyDescent="0.2">
      <c r="FB1009" s="8" t="s">
        <v>2331</v>
      </c>
      <c r="FC1009" s="8" t="s">
        <v>2332</v>
      </c>
      <c r="FD1009" s="8">
        <v>45</v>
      </c>
      <c r="FE1009" s="8">
        <v>4.5</v>
      </c>
    </row>
    <row r="1010" spans="158:161" ht="74.25" customHeight="1" x14ac:dyDescent="0.2">
      <c r="FB1010" s="8" t="s">
        <v>2333</v>
      </c>
      <c r="FC1010" s="8" t="s">
        <v>2334</v>
      </c>
      <c r="FD1010" s="8">
        <v>1700</v>
      </c>
      <c r="FE1010" s="8">
        <v>330</v>
      </c>
    </row>
    <row r="1011" spans="158:161" ht="74.25" customHeight="1" x14ac:dyDescent="0.2">
      <c r="FB1011" s="8" t="s">
        <v>2335</v>
      </c>
      <c r="FC1011" s="8" t="s">
        <v>2336</v>
      </c>
      <c r="FD1011" s="8">
        <v>1700</v>
      </c>
      <c r="FE1011" s="8">
        <v>330</v>
      </c>
    </row>
    <row r="1012" spans="158:161" ht="74.25" customHeight="1" x14ac:dyDescent="0.2">
      <c r="FB1012" s="8" t="s">
        <v>2337</v>
      </c>
      <c r="FC1012" s="8" t="s">
        <v>2338</v>
      </c>
      <c r="FD1012" s="8">
        <v>4800</v>
      </c>
      <c r="FE1012" s="8">
        <v>450</v>
      </c>
    </row>
    <row r="1013" spans="158:161" ht="74.25" customHeight="1" x14ac:dyDescent="0.2">
      <c r="FB1013" s="8" t="s">
        <v>2339</v>
      </c>
      <c r="FC1013" s="8" t="s">
        <v>2340</v>
      </c>
      <c r="FD1013" s="8">
        <v>0.2</v>
      </c>
      <c r="FE1013" s="8">
        <v>0.02</v>
      </c>
    </row>
    <row r="1014" spans="158:161" ht="74.25" customHeight="1" x14ac:dyDescent="0.2">
      <c r="FB1014" s="8" t="s">
        <v>2341</v>
      </c>
      <c r="FC1014" s="8" t="s">
        <v>2342</v>
      </c>
      <c r="FD1014" s="8">
        <v>1700</v>
      </c>
      <c r="FE1014" s="8">
        <v>170</v>
      </c>
    </row>
    <row r="1015" spans="158:161" ht="74.25" customHeight="1" x14ac:dyDescent="0.2">
      <c r="FB1015" s="8" t="s">
        <v>2343</v>
      </c>
      <c r="FC1015" s="8" t="s">
        <v>2344</v>
      </c>
      <c r="FD1015" s="8">
        <v>40</v>
      </c>
      <c r="FE1015" s="8">
        <v>4</v>
      </c>
    </row>
    <row r="1016" spans="158:161" ht="74.25" customHeight="1" x14ac:dyDescent="0.2">
      <c r="FB1016" s="8" t="s">
        <v>2345</v>
      </c>
      <c r="FC1016" s="8" t="s">
        <v>2346</v>
      </c>
      <c r="FD1016" s="8">
        <v>0.2</v>
      </c>
      <c r="FE1016" s="8">
        <v>0.02</v>
      </c>
    </row>
    <row r="1017" spans="158:161" ht="74.25" customHeight="1" x14ac:dyDescent="0.2">
      <c r="FB1017" s="8" t="s">
        <v>2347</v>
      </c>
      <c r="FC1017" s="8" t="s">
        <v>2348</v>
      </c>
      <c r="FD1017" s="8">
        <v>4800</v>
      </c>
      <c r="FE1017" s="8">
        <v>450</v>
      </c>
    </row>
    <row r="1018" spans="158:161" ht="74.25" customHeight="1" x14ac:dyDescent="0.2">
      <c r="FB1018" s="8" t="s">
        <v>2349</v>
      </c>
      <c r="FC1018" s="8" t="s">
        <v>2350</v>
      </c>
      <c r="FD1018" s="8">
        <v>5600</v>
      </c>
      <c r="FE1018" s="8">
        <v>540</v>
      </c>
    </row>
    <row r="1019" spans="158:161" ht="74.25" customHeight="1" x14ac:dyDescent="0.2">
      <c r="FB1019" s="8" t="s">
        <v>2351</v>
      </c>
      <c r="FC1019" s="8" t="s">
        <v>2352</v>
      </c>
      <c r="FD1019" s="8">
        <v>1700</v>
      </c>
      <c r="FE1019" s="8">
        <v>330</v>
      </c>
    </row>
    <row r="1020" spans="158:161" ht="74.25" customHeight="1" x14ac:dyDescent="0.2">
      <c r="FB1020" s="8" t="s">
        <v>2353</v>
      </c>
      <c r="FC1020" s="8" t="s">
        <v>2354</v>
      </c>
      <c r="FD1020" s="8">
        <v>10000</v>
      </c>
      <c r="FE1020" s="8">
        <v>2700</v>
      </c>
    </row>
    <row r="1021" spans="158:161" ht="74.25" customHeight="1" x14ac:dyDescent="0.2">
      <c r="FB1021" s="8" t="s">
        <v>2355</v>
      </c>
      <c r="FC1021" s="8" t="s">
        <v>2356</v>
      </c>
      <c r="FD1021" s="8">
        <v>160</v>
      </c>
      <c r="FE1021" s="8">
        <v>16</v>
      </c>
    </row>
    <row r="1022" spans="158:161" ht="74.25" customHeight="1" x14ac:dyDescent="0.2">
      <c r="FB1022" s="8" t="s">
        <v>2357</v>
      </c>
      <c r="FC1022" s="8" t="s">
        <v>2358</v>
      </c>
      <c r="FD1022" s="8">
        <v>140</v>
      </c>
      <c r="FE1022" s="8">
        <v>14</v>
      </c>
    </row>
    <row r="1023" spans="158:161" ht="74.25" customHeight="1" x14ac:dyDescent="0.2">
      <c r="FB1023" s="8" t="s">
        <v>2359</v>
      </c>
      <c r="FC1023" s="8" t="s">
        <v>2360</v>
      </c>
      <c r="FD1023" s="8">
        <v>1700</v>
      </c>
      <c r="FE1023" s="8">
        <v>330</v>
      </c>
    </row>
    <row r="1024" spans="158:161" ht="74.25" customHeight="1" x14ac:dyDescent="0.2">
      <c r="FB1024" s="8" t="s">
        <v>2361</v>
      </c>
      <c r="FC1024" s="8" t="s">
        <v>2362</v>
      </c>
      <c r="FD1024" s="8">
        <v>970</v>
      </c>
      <c r="FE1024" s="8">
        <v>97</v>
      </c>
    </row>
    <row r="1025" spans="158:161" ht="74.25" customHeight="1" x14ac:dyDescent="0.2">
      <c r="FB1025" s="8" t="s">
        <v>2363</v>
      </c>
      <c r="FC1025" s="8" t="s">
        <v>2364</v>
      </c>
      <c r="FD1025" s="8">
        <v>7</v>
      </c>
      <c r="FE1025" s="8">
        <v>0.7</v>
      </c>
    </row>
    <row r="1026" spans="158:161" ht="74.25" customHeight="1" x14ac:dyDescent="0.2">
      <c r="FB1026" s="8" t="s">
        <v>2365</v>
      </c>
      <c r="FC1026" s="8" t="s">
        <v>2366</v>
      </c>
      <c r="FD1026" s="8">
        <v>1700</v>
      </c>
      <c r="FE1026" s="8">
        <v>330</v>
      </c>
    </row>
    <row r="1027" spans="158:161" ht="74.25" customHeight="1" x14ac:dyDescent="0.2">
      <c r="FB1027" s="8" t="s">
        <v>2367</v>
      </c>
      <c r="FC1027" s="8" t="s">
        <v>2368</v>
      </c>
      <c r="FD1027" s="8">
        <v>8750</v>
      </c>
      <c r="FE1027" s="8">
        <v>875</v>
      </c>
    </row>
    <row r="1028" spans="158:161" ht="74.25" customHeight="1" x14ac:dyDescent="0.2">
      <c r="FB1028" s="8" t="s">
        <v>2369</v>
      </c>
      <c r="FC1028" s="8" t="s">
        <v>2370</v>
      </c>
      <c r="FD1028" s="8">
        <v>90</v>
      </c>
      <c r="FE1028" s="8">
        <v>9</v>
      </c>
    </row>
    <row r="1029" spans="158:161" ht="74.25" customHeight="1" x14ac:dyDescent="0.2">
      <c r="FB1029" s="8" t="s">
        <v>2371</v>
      </c>
      <c r="FC1029" s="8" t="s">
        <v>2372</v>
      </c>
      <c r="FD1029" s="8">
        <v>140</v>
      </c>
      <c r="FE1029" s="8">
        <v>14</v>
      </c>
    </row>
    <row r="1030" spans="158:161" ht="74.25" customHeight="1" x14ac:dyDescent="0.2">
      <c r="FB1030" s="8" t="s">
        <v>2373</v>
      </c>
      <c r="FC1030" s="8" t="s">
        <v>2374</v>
      </c>
      <c r="FD1030" s="8">
        <v>46</v>
      </c>
      <c r="FE1030" s="8">
        <v>4.5999999999999996</v>
      </c>
    </row>
    <row r="1031" spans="158:161" ht="74.25" customHeight="1" x14ac:dyDescent="0.2">
      <c r="FB1031" s="8" t="s">
        <v>2375</v>
      </c>
      <c r="FC1031" s="8" t="s">
        <v>2376</v>
      </c>
      <c r="FD1031" s="8">
        <v>90</v>
      </c>
      <c r="FE1031" s="8">
        <v>9</v>
      </c>
    </row>
    <row r="1032" spans="158:161" ht="74.25" customHeight="1" x14ac:dyDescent="0.2">
      <c r="FB1032" s="8" t="s">
        <v>2377</v>
      </c>
      <c r="FC1032" s="8" t="s">
        <v>2378</v>
      </c>
      <c r="FD1032" s="8">
        <v>5</v>
      </c>
      <c r="FE1032" s="8">
        <v>0.5</v>
      </c>
    </row>
    <row r="1033" spans="158:161" ht="74.25" customHeight="1" x14ac:dyDescent="0.2">
      <c r="FB1033" s="8" t="s">
        <v>2379</v>
      </c>
      <c r="FC1033" s="8" t="s">
        <v>2380</v>
      </c>
      <c r="FD1033" s="8">
        <v>1700</v>
      </c>
      <c r="FE1033" s="8">
        <v>330</v>
      </c>
    </row>
    <row r="1034" spans="158:161" ht="74.25" customHeight="1" x14ac:dyDescent="0.2">
      <c r="FB1034" s="8" t="s">
        <v>2381</v>
      </c>
      <c r="FC1034" s="8" t="s">
        <v>2382</v>
      </c>
      <c r="FD1034" s="8">
        <v>1200</v>
      </c>
      <c r="FE1034" s="8">
        <v>120</v>
      </c>
    </row>
    <row r="1035" spans="158:161" ht="74.25" customHeight="1" x14ac:dyDescent="0.2">
      <c r="FB1035" s="8" t="s">
        <v>2383</v>
      </c>
      <c r="FC1035" s="8" t="s">
        <v>2384</v>
      </c>
      <c r="FD1035" s="8">
        <v>4800</v>
      </c>
      <c r="FE1035" s="8">
        <v>450</v>
      </c>
    </row>
    <row r="1036" spans="158:161" ht="74.25" customHeight="1" x14ac:dyDescent="0.2">
      <c r="FB1036" s="8" t="s">
        <v>2385</v>
      </c>
      <c r="FC1036" s="8" t="s">
        <v>2386</v>
      </c>
      <c r="FD1036" s="8">
        <v>5600</v>
      </c>
      <c r="FE1036" s="8">
        <v>540</v>
      </c>
    </row>
    <row r="1037" spans="158:161" ht="74.25" customHeight="1" x14ac:dyDescent="0.2">
      <c r="FB1037" s="8" t="s">
        <v>2387</v>
      </c>
      <c r="FC1037" s="8" t="s">
        <v>2388</v>
      </c>
      <c r="FD1037" s="8">
        <v>1700</v>
      </c>
      <c r="FE1037" s="8">
        <v>330</v>
      </c>
    </row>
    <row r="1038" spans="158:161" ht="74.25" customHeight="1" x14ac:dyDescent="0.2">
      <c r="FB1038" s="8" t="s">
        <v>2389</v>
      </c>
      <c r="FC1038" s="8" t="s">
        <v>2390</v>
      </c>
      <c r="FD1038" s="8">
        <v>290</v>
      </c>
      <c r="FE1038" s="8">
        <v>3.3</v>
      </c>
    </row>
    <row r="1039" spans="158:161" ht="74.25" customHeight="1" x14ac:dyDescent="0.2">
      <c r="FB1039" s="8" t="s">
        <v>2391</v>
      </c>
      <c r="FC1039" s="8" t="s">
        <v>2392</v>
      </c>
      <c r="FD1039" s="8">
        <v>1500</v>
      </c>
      <c r="FE1039" s="8">
        <v>150</v>
      </c>
    </row>
    <row r="1040" spans="158:161" ht="74.25" customHeight="1" x14ac:dyDescent="0.2">
      <c r="FB1040" s="8" t="s">
        <v>2393</v>
      </c>
      <c r="FC1040" s="8" t="s">
        <v>2394</v>
      </c>
      <c r="FD1040" s="8">
        <v>2000</v>
      </c>
      <c r="FE1040" s="8">
        <v>200</v>
      </c>
    </row>
    <row r="1041" spans="158:161" ht="74.25" customHeight="1" x14ac:dyDescent="0.2">
      <c r="FB1041" s="8" t="s">
        <v>2395</v>
      </c>
      <c r="FC1041" s="8" t="s">
        <v>2396</v>
      </c>
      <c r="FD1041" s="8">
        <v>100</v>
      </c>
      <c r="FE1041" s="8">
        <v>10</v>
      </c>
    </row>
    <row r="1042" spans="158:161" ht="74.25" customHeight="1" x14ac:dyDescent="0.2">
      <c r="FB1042" s="8" t="s">
        <v>2397</v>
      </c>
      <c r="FC1042" s="8" t="s">
        <v>2398</v>
      </c>
      <c r="FD1042" s="8">
        <v>46</v>
      </c>
      <c r="FE1042" s="8">
        <v>4.5999999999999996</v>
      </c>
    </row>
    <row r="1043" spans="158:161" ht="74.25" customHeight="1" x14ac:dyDescent="0.2">
      <c r="FB1043" s="8" t="s">
        <v>2399</v>
      </c>
      <c r="FC1043" s="8" t="s">
        <v>2400</v>
      </c>
      <c r="FD1043" s="8">
        <v>46</v>
      </c>
      <c r="FE1043" s="8">
        <v>4.5999999999999996</v>
      </c>
    </row>
    <row r="1044" spans="158:161" ht="74.25" customHeight="1" x14ac:dyDescent="0.2">
      <c r="FB1044" s="8" t="s">
        <v>2401</v>
      </c>
      <c r="FC1044" s="8" t="s">
        <v>2402</v>
      </c>
      <c r="FD1044" s="8">
        <v>100</v>
      </c>
      <c r="FE1044" s="8">
        <v>10</v>
      </c>
    </row>
    <row r="1045" spans="158:161" ht="74.25" customHeight="1" x14ac:dyDescent="0.2">
      <c r="FB1045" s="8" t="s">
        <v>2403</v>
      </c>
      <c r="FC1045" s="8" t="s">
        <v>2404</v>
      </c>
      <c r="FD1045" s="8">
        <v>5700</v>
      </c>
      <c r="FE1045" s="8">
        <v>570</v>
      </c>
    </row>
    <row r="1046" spans="158:161" ht="74.25" customHeight="1" x14ac:dyDescent="0.2">
      <c r="FB1046" s="8" t="s">
        <v>2405</v>
      </c>
      <c r="FC1046" s="8" t="s">
        <v>9839</v>
      </c>
      <c r="FD1046" s="8">
        <v>720</v>
      </c>
      <c r="FE1046" s="8">
        <v>72</v>
      </c>
    </row>
    <row r="1047" spans="158:161" ht="74.25" customHeight="1" x14ac:dyDescent="0.2">
      <c r="FB1047" s="8" t="s">
        <v>2406</v>
      </c>
      <c r="FC1047" s="8" t="s">
        <v>2407</v>
      </c>
      <c r="FD1047" s="8">
        <v>4800</v>
      </c>
      <c r="FE1047" s="8">
        <v>450</v>
      </c>
    </row>
    <row r="1048" spans="158:161" ht="74.25" customHeight="1" x14ac:dyDescent="0.2">
      <c r="FB1048" s="8" t="s">
        <v>2408</v>
      </c>
      <c r="FC1048" s="8" t="s">
        <v>2409</v>
      </c>
      <c r="FD1048" s="8">
        <v>1700</v>
      </c>
      <c r="FE1048" s="8">
        <v>330</v>
      </c>
    </row>
    <row r="1049" spans="158:161" ht="74.25" customHeight="1" x14ac:dyDescent="0.2">
      <c r="FB1049" s="8" t="s">
        <v>2410</v>
      </c>
      <c r="FC1049" s="8" t="s">
        <v>2411</v>
      </c>
      <c r="FD1049" s="8">
        <v>40</v>
      </c>
      <c r="FE1049" s="8">
        <v>4</v>
      </c>
    </row>
    <row r="1050" spans="158:161" ht="74.25" customHeight="1" x14ac:dyDescent="0.2">
      <c r="FB1050" s="8" t="s">
        <v>2412</v>
      </c>
      <c r="FC1050" s="8" t="s">
        <v>2413</v>
      </c>
      <c r="FD1050" s="8">
        <v>3500</v>
      </c>
      <c r="FE1050" s="8">
        <v>350</v>
      </c>
    </row>
    <row r="1051" spans="158:161" ht="74.25" customHeight="1" x14ac:dyDescent="0.2">
      <c r="FB1051" s="8" t="s">
        <v>2414</v>
      </c>
      <c r="FC1051" s="8" t="s">
        <v>2415</v>
      </c>
      <c r="FD1051" s="8">
        <v>350</v>
      </c>
      <c r="FE1051" s="8">
        <v>35</v>
      </c>
    </row>
    <row r="1052" spans="158:161" ht="74.25" customHeight="1" x14ac:dyDescent="0.2">
      <c r="FB1052" s="8" t="s">
        <v>2416</v>
      </c>
      <c r="FC1052" s="8" t="s">
        <v>2417</v>
      </c>
      <c r="FD1052" s="8">
        <v>90</v>
      </c>
      <c r="FE1052" s="8">
        <v>9</v>
      </c>
    </row>
    <row r="1053" spans="158:161" ht="74.25" customHeight="1" x14ac:dyDescent="0.2">
      <c r="FB1053" s="8" t="s">
        <v>2418</v>
      </c>
      <c r="FC1053" s="8" t="s">
        <v>2419</v>
      </c>
      <c r="FD1053" s="8">
        <v>290</v>
      </c>
      <c r="FE1053" s="8">
        <v>3.3</v>
      </c>
    </row>
    <row r="1054" spans="158:161" ht="74.25" customHeight="1" x14ac:dyDescent="0.2">
      <c r="FB1054" s="8" t="s">
        <v>2420</v>
      </c>
      <c r="FC1054" s="8" t="s">
        <v>2421</v>
      </c>
      <c r="FD1054" s="8">
        <v>100</v>
      </c>
      <c r="FE1054" s="8">
        <v>10</v>
      </c>
    </row>
    <row r="1055" spans="158:161" ht="74.25" customHeight="1" x14ac:dyDescent="0.2">
      <c r="FB1055" s="8" t="s">
        <v>2422</v>
      </c>
      <c r="FC1055" s="8" t="s">
        <v>2423</v>
      </c>
      <c r="FD1055" s="8">
        <v>1700</v>
      </c>
      <c r="FE1055" s="8">
        <v>330</v>
      </c>
    </row>
    <row r="1056" spans="158:161" ht="74.25" customHeight="1" x14ac:dyDescent="0.2">
      <c r="FB1056" s="8" t="s">
        <v>2424</v>
      </c>
      <c r="FC1056" s="8" t="s">
        <v>2425</v>
      </c>
      <c r="FD1056" s="8">
        <v>1500</v>
      </c>
      <c r="FE1056" s="8">
        <v>150</v>
      </c>
    </row>
    <row r="1057" spans="158:161" ht="74.25" customHeight="1" x14ac:dyDescent="0.2">
      <c r="FB1057" s="8" t="s">
        <v>2426</v>
      </c>
      <c r="FC1057" s="8" t="s">
        <v>2427</v>
      </c>
      <c r="FD1057" s="8">
        <v>1120</v>
      </c>
      <c r="FE1057" s="8">
        <v>112</v>
      </c>
    </row>
    <row r="1058" spans="158:161" ht="74.25" customHeight="1" x14ac:dyDescent="0.2">
      <c r="FB1058" s="8" t="s">
        <v>2428</v>
      </c>
      <c r="FC1058" s="8" t="s">
        <v>2429</v>
      </c>
      <c r="FD1058" s="8">
        <v>1000</v>
      </c>
      <c r="FE1058" s="8">
        <v>100</v>
      </c>
    </row>
    <row r="1059" spans="158:161" ht="74.25" customHeight="1" x14ac:dyDescent="0.2">
      <c r="FB1059" s="8" t="s">
        <v>2430</v>
      </c>
      <c r="FC1059" s="8" t="s">
        <v>2431</v>
      </c>
      <c r="FD1059" s="8">
        <v>375</v>
      </c>
      <c r="FE1059" s="8">
        <v>38</v>
      </c>
    </row>
    <row r="1060" spans="158:161" ht="74.25" customHeight="1" x14ac:dyDescent="0.2">
      <c r="FB1060" s="8" t="s">
        <v>2432</v>
      </c>
      <c r="FC1060" s="8" t="s">
        <v>2433</v>
      </c>
      <c r="FD1060" s="8">
        <v>2700</v>
      </c>
      <c r="FE1060" s="8">
        <v>270</v>
      </c>
    </row>
    <row r="1061" spans="158:161" ht="74.25" customHeight="1" x14ac:dyDescent="0.2">
      <c r="FB1061" s="8" t="s">
        <v>2434</v>
      </c>
      <c r="FC1061" s="8" t="s">
        <v>2435</v>
      </c>
      <c r="FD1061" s="8">
        <v>310</v>
      </c>
      <c r="FE1061" s="8">
        <v>31</v>
      </c>
    </row>
    <row r="1062" spans="158:161" ht="74.25" customHeight="1" x14ac:dyDescent="0.2">
      <c r="FB1062" s="8" t="s">
        <v>2436</v>
      </c>
      <c r="FC1062" s="8" t="s">
        <v>2437</v>
      </c>
      <c r="FD1062" s="8">
        <v>1000</v>
      </c>
      <c r="FE1062" s="8">
        <v>100</v>
      </c>
    </row>
    <row r="1063" spans="158:161" ht="74.25" customHeight="1" x14ac:dyDescent="0.2">
      <c r="FB1063" s="8" t="s">
        <v>2438</v>
      </c>
      <c r="FC1063" s="8" t="s">
        <v>2439</v>
      </c>
      <c r="FD1063" s="8">
        <v>460</v>
      </c>
      <c r="FE1063" s="8">
        <v>46</v>
      </c>
    </row>
    <row r="1064" spans="158:161" ht="74.25" customHeight="1" x14ac:dyDescent="0.2">
      <c r="FB1064" s="8" t="s">
        <v>2440</v>
      </c>
      <c r="FC1064" s="8" t="s">
        <v>2441</v>
      </c>
      <c r="FD1064" s="8">
        <v>800</v>
      </c>
      <c r="FE1064" s="8">
        <v>80</v>
      </c>
    </row>
    <row r="1065" spans="158:161" ht="74.25" customHeight="1" x14ac:dyDescent="0.2">
      <c r="FB1065" s="8" t="s">
        <v>2442</v>
      </c>
      <c r="FC1065" s="8" t="s">
        <v>2443</v>
      </c>
      <c r="FD1065" s="8">
        <v>2200</v>
      </c>
      <c r="FE1065" s="8">
        <v>220</v>
      </c>
    </row>
    <row r="1066" spans="158:161" ht="74.25" customHeight="1" x14ac:dyDescent="0.2">
      <c r="FB1066" s="8" t="s">
        <v>2444</v>
      </c>
      <c r="FC1066" s="8" t="s">
        <v>2445</v>
      </c>
      <c r="FD1066" s="8">
        <v>10</v>
      </c>
      <c r="FE1066" s="8">
        <v>1</v>
      </c>
    </row>
    <row r="1067" spans="158:161" ht="74.25" customHeight="1" x14ac:dyDescent="0.2">
      <c r="FB1067" s="8" t="s">
        <v>2446</v>
      </c>
      <c r="FC1067" s="8" t="s">
        <v>2447</v>
      </c>
      <c r="FD1067" s="8">
        <v>1000</v>
      </c>
      <c r="FE1067" s="8">
        <v>100</v>
      </c>
    </row>
    <row r="1068" spans="158:161" ht="74.25" customHeight="1" x14ac:dyDescent="0.2">
      <c r="FB1068" s="8" t="s">
        <v>2448</v>
      </c>
      <c r="FC1068" s="8" t="s">
        <v>2449</v>
      </c>
      <c r="FD1068" s="8">
        <v>2000</v>
      </c>
      <c r="FE1068" s="8">
        <v>200</v>
      </c>
    </row>
    <row r="1069" spans="158:161" ht="74.25" customHeight="1" x14ac:dyDescent="0.2">
      <c r="FB1069" s="8" t="s">
        <v>2450</v>
      </c>
      <c r="FC1069" s="8" t="s">
        <v>2451</v>
      </c>
      <c r="FD1069" s="8">
        <v>340</v>
      </c>
      <c r="FE1069" s="8">
        <v>34</v>
      </c>
    </row>
    <row r="1070" spans="158:161" ht="74.25" customHeight="1" x14ac:dyDescent="0.2">
      <c r="FB1070" s="8" t="s">
        <v>2452</v>
      </c>
      <c r="FC1070" s="8" t="s">
        <v>2453</v>
      </c>
      <c r="FD1070" s="8">
        <v>0.05</v>
      </c>
      <c r="FE1070" s="8">
        <v>5.0000000000000001E-3</v>
      </c>
    </row>
    <row r="1071" spans="158:161" ht="74.25" customHeight="1" x14ac:dyDescent="0.2">
      <c r="FB1071" s="8" t="s">
        <v>2454</v>
      </c>
      <c r="FC1071" s="8" t="s">
        <v>2455</v>
      </c>
      <c r="FD1071" s="8">
        <v>80</v>
      </c>
      <c r="FE1071" s="8">
        <v>8</v>
      </c>
    </row>
    <row r="1072" spans="158:161" ht="74.25" customHeight="1" x14ac:dyDescent="0.2">
      <c r="FB1072" s="8" t="s">
        <v>2456</v>
      </c>
      <c r="FC1072" s="8" t="s">
        <v>2457</v>
      </c>
      <c r="FD1072" s="8">
        <v>100</v>
      </c>
      <c r="FE1072" s="8">
        <v>10</v>
      </c>
    </row>
    <row r="1073" spans="158:161" ht="74.25" customHeight="1" x14ac:dyDescent="0.2">
      <c r="FB1073" s="8" t="s">
        <v>2458</v>
      </c>
      <c r="FC1073" s="8" t="s">
        <v>2459</v>
      </c>
      <c r="FD1073" s="8">
        <v>200</v>
      </c>
      <c r="FE1073" s="8">
        <v>20</v>
      </c>
    </row>
    <row r="1074" spans="158:161" ht="74.25" customHeight="1" x14ac:dyDescent="0.2">
      <c r="FB1074" s="8" t="s">
        <v>2460</v>
      </c>
      <c r="FC1074" s="8" t="s">
        <v>2461</v>
      </c>
      <c r="FD1074" s="8">
        <v>100</v>
      </c>
      <c r="FE1074" s="8">
        <v>10</v>
      </c>
    </row>
    <row r="1075" spans="158:161" ht="74.25" customHeight="1" x14ac:dyDescent="0.2">
      <c r="FB1075" s="8" t="s">
        <v>2462</v>
      </c>
      <c r="FC1075" s="8" t="s">
        <v>2463</v>
      </c>
      <c r="FD1075" s="8">
        <v>450</v>
      </c>
      <c r="FE1075" s="8">
        <v>45</v>
      </c>
    </row>
    <row r="1076" spans="158:161" ht="74.25" customHeight="1" x14ac:dyDescent="0.2">
      <c r="FB1076" s="8" t="s">
        <v>2464</v>
      </c>
      <c r="FC1076" s="8" t="s">
        <v>2465</v>
      </c>
      <c r="FD1076" s="8">
        <v>2200</v>
      </c>
      <c r="FE1076" s="8">
        <v>220</v>
      </c>
    </row>
    <row r="1077" spans="158:161" ht="74.25" customHeight="1" x14ac:dyDescent="0.2">
      <c r="FB1077" s="8" t="s">
        <v>2466</v>
      </c>
      <c r="FC1077" s="8" t="s">
        <v>2467</v>
      </c>
      <c r="FD1077" s="8">
        <v>15</v>
      </c>
      <c r="FE1077" s="8">
        <v>1.5</v>
      </c>
    </row>
    <row r="1078" spans="158:161" ht="74.25" customHeight="1" x14ac:dyDescent="0.2">
      <c r="FB1078" s="8" t="s">
        <v>2468</v>
      </c>
      <c r="FC1078" s="8" t="s">
        <v>2469</v>
      </c>
      <c r="FD1078" s="8">
        <v>350</v>
      </c>
      <c r="FE1078" s="8">
        <v>35</v>
      </c>
    </row>
    <row r="1079" spans="158:161" ht="74.25" customHeight="1" x14ac:dyDescent="0.2">
      <c r="FB1079" s="8" t="s">
        <v>2470</v>
      </c>
      <c r="FC1079" s="8" t="s">
        <v>2470</v>
      </c>
      <c r="FD1079" s="8">
        <v>350</v>
      </c>
      <c r="FE1079" s="8">
        <v>35</v>
      </c>
    </row>
    <row r="1080" spans="158:161" ht="74.25" customHeight="1" x14ac:dyDescent="0.2">
      <c r="FB1080" s="8" t="s">
        <v>2471</v>
      </c>
      <c r="FC1080" s="8" t="s">
        <v>2472</v>
      </c>
      <c r="FD1080" s="8">
        <v>50</v>
      </c>
      <c r="FE1080" s="8">
        <v>5</v>
      </c>
    </row>
    <row r="1081" spans="158:161" ht="74.25" customHeight="1" x14ac:dyDescent="0.2">
      <c r="FB1081" s="8" t="s">
        <v>2473</v>
      </c>
      <c r="FC1081" s="8" t="s">
        <v>2474</v>
      </c>
      <c r="FD1081" s="8">
        <v>1500</v>
      </c>
      <c r="FE1081" s="8">
        <v>150</v>
      </c>
    </row>
    <row r="1082" spans="158:161" ht="74.25" customHeight="1" x14ac:dyDescent="0.2">
      <c r="FB1082" s="8" t="s">
        <v>2475</v>
      </c>
      <c r="FC1082" s="8" t="s">
        <v>2476</v>
      </c>
      <c r="FD1082" s="8">
        <v>340</v>
      </c>
      <c r="FE1082" s="8">
        <v>34</v>
      </c>
    </row>
    <row r="1083" spans="158:161" ht="74.25" customHeight="1" x14ac:dyDescent="0.2">
      <c r="FB1083" s="8" t="s">
        <v>2477</v>
      </c>
      <c r="FC1083" s="8" t="s">
        <v>2478</v>
      </c>
      <c r="FD1083" s="8">
        <v>10000</v>
      </c>
      <c r="FE1083" s="8">
        <v>1000</v>
      </c>
    </row>
    <row r="1084" spans="158:161" ht="74.25" customHeight="1" x14ac:dyDescent="0.2">
      <c r="FB1084" s="8" t="s">
        <v>2479</v>
      </c>
      <c r="FC1084" s="8" t="s">
        <v>2480</v>
      </c>
      <c r="FD1084" s="8">
        <v>50</v>
      </c>
      <c r="FE1084" s="8">
        <v>5</v>
      </c>
    </row>
    <row r="1085" spans="158:161" ht="74.25" customHeight="1" x14ac:dyDescent="0.2">
      <c r="FB1085" s="8" t="s">
        <v>2481</v>
      </c>
      <c r="FC1085" s="8" t="s">
        <v>2482</v>
      </c>
      <c r="FD1085" s="8">
        <v>200</v>
      </c>
      <c r="FE1085" s="8">
        <v>20</v>
      </c>
    </row>
    <row r="1086" spans="158:161" ht="74.25" customHeight="1" x14ac:dyDescent="0.2">
      <c r="FB1086" s="8" t="s">
        <v>2483</v>
      </c>
      <c r="FC1086" s="8" t="s">
        <v>2484</v>
      </c>
      <c r="FD1086" s="8">
        <v>10000</v>
      </c>
      <c r="FE1086" s="8">
        <v>1000</v>
      </c>
    </row>
    <row r="1087" spans="158:161" ht="74.25" customHeight="1" x14ac:dyDescent="0.2">
      <c r="FB1087" s="8" t="s">
        <v>2485</v>
      </c>
      <c r="FC1087" s="8" t="s">
        <v>2486</v>
      </c>
      <c r="FD1087" s="8">
        <v>2700</v>
      </c>
      <c r="FE1087" s="8">
        <v>270</v>
      </c>
    </row>
    <row r="1088" spans="158:161" ht="74.25" customHeight="1" x14ac:dyDescent="0.2">
      <c r="FB1088" s="8" t="s">
        <v>2487</v>
      </c>
      <c r="FC1088" s="8" t="s">
        <v>2488</v>
      </c>
      <c r="FD1088" s="8">
        <v>180</v>
      </c>
      <c r="FE1088" s="8">
        <v>18</v>
      </c>
    </row>
    <row r="1089" spans="158:161" ht="74.25" customHeight="1" x14ac:dyDescent="0.2">
      <c r="FB1089" s="8" t="s">
        <v>2489</v>
      </c>
      <c r="FC1089" s="8" t="s">
        <v>2490</v>
      </c>
      <c r="FD1089" s="8">
        <v>1000</v>
      </c>
      <c r="FE1089" s="8">
        <v>100</v>
      </c>
    </row>
    <row r="1090" spans="158:161" ht="74.25" customHeight="1" x14ac:dyDescent="0.2">
      <c r="FB1090" s="8" t="s">
        <v>2491</v>
      </c>
      <c r="FC1090" s="8" t="s">
        <v>2492</v>
      </c>
      <c r="FD1090" s="8">
        <v>1000</v>
      </c>
      <c r="FE1090" s="8">
        <v>100</v>
      </c>
    </row>
    <row r="1091" spans="158:161" ht="74.25" customHeight="1" x14ac:dyDescent="0.2">
      <c r="FB1091" s="8" t="s">
        <v>2493</v>
      </c>
      <c r="FC1091" s="8" t="s">
        <v>2494</v>
      </c>
      <c r="FD1091" s="8">
        <v>2700</v>
      </c>
      <c r="FE1091" s="8">
        <v>12</v>
      </c>
    </row>
    <row r="1092" spans="158:161" ht="74.25" customHeight="1" x14ac:dyDescent="0.2">
      <c r="FB1092" s="8" t="s">
        <v>2495</v>
      </c>
      <c r="FC1092" s="8" t="s">
        <v>2496</v>
      </c>
      <c r="FD1092" s="8">
        <v>50</v>
      </c>
      <c r="FE1092" s="8">
        <v>5</v>
      </c>
    </row>
    <row r="1093" spans="158:161" ht="74.25" customHeight="1" x14ac:dyDescent="0.2">
      <c r="FB1093" s="8" t="s">
        <v>2497</v>
      </c>
      <c r="FC1093" s="8" t="s">
        <v>2498</v>
      </c>
      <c r="FD1093" s="8">
        <v>440</v>
      </c>
      <c r="FE1093" s="8">
        <v>44</v>
      </c>
    </row>
    <row r="1094" spans="158:161" ht="74.25" customHeight="1" x14ac:dyDescent="0.2">
      <c r="FB1094" s="8" t="s">
        <v>2499</v>
      </c>
      <c r="FC1094" s="8" t="s">
        <v>2500</v>
      </c>
      <c r="FD1094" s="8">
        <v>100</v>
      </c>
      <c r="FE1094" s="8">
        <v>10</v>
      </c>
    </row>
    <row r="1095" spans="158:161" ht="74.25" customHeight="1" x14ac:dyDescent="0.2">
      <c r="FB1095" s="8" t="s">
        <v>2501</v>
      </c>
      <c r="FC1095" s="8" t="s">
        <v>2502</v>
      </c>
      <c r="FD1095" s="8">
        <v>130</v>
      </c>
      <c r="FE1095" s="8">
        <v>13</v>
      </c>
    </row>
    <row r="1096" spans="158:161" ht="74.25" customHeight="1" x14ac:dyDescent="0.2">
      <c r="FB1096" s="8" t="s">
        <v>2503</v>
      </c>
      <c r="FC1096" s="8" t="s">
        <v>2504</v>
      </c>
      <c r="FD1096" s="8">
        <v>250</v>
      </c>
      <c r="FE1096" s="8">
        <v>25</v>
      </c>
    </row>
    <row r="1097" spans="158:161" ht="74.25" customHeight="1" x14ac:dyDescent="0.2">
      <c r="FB1097" s="8" t="s">
        <v>2505</v>
      </c>
      <c r="FC1097" s="8" t="s">
        <v>2506</v>
      </c>
      <c r="FD1097" s="8">
        <v>270</v>
      </c>
      <c r="FE1097" s="8">
        <v>5.4</v>
      </c>
    </row>
    <row r="1098" spans="158:161" ht="74.25" customHeight="1" x14ac:dyDescent="0.2">
      <c r="FB1098" s="8" t="s">
        <v>2507</v>
      </c>
      <c r="FC1098" s="8" t="s">
        <v>2508</v>
      </c>
      <c r="FD1098" s="8">
        <v>5700</v>
      </c>
      <c r="FE1098" s="8">
        <v>570</v>
      </c>
    </row>
    <row r="1099" spans="158:161" ht="74.25" customHeight="1" x14ac:dyDescent="0.2">
      <c r="FB1099" s="8" t="s">
        <v>2509</v>
      </c>
      <c r="FC1099" s="8" t="s">
        <v>2510</v>
      </c>
      <c r="FD1099" s="8">
        <v>600</v>
      </c>
      <c r="FE1099" s="8">
        <v>60</v>
      </c>
    </row>
    <row r="1100" spans="158:161" ht="74.25" customHeight="1" x14ac:dyDescent="0.2">
      <c r="FB1100" s="8" t="s">
        <v>2511</v>
      </c>
      <c r="FC1100" s="8" t="s">
        <v>2512</v>
      </c>
      <c r="FD1100" s="8">
        <v>1500</v>
      </c>
      <c r="FE1100" s="8">
        <v>150</v>
      </c>
    </row>
    <row r="1101" spans="158:161" ht="74.25" customHeight="1" x14ac:dyDescent="0.2">
      <c r="FB1101" s="8" t="s">
        <v>2513</v>
      </c>
      <c r="FC1101" s="8" t="s">
        <v>2514</v>
      </c>
      <c r="FD1101" s="8">
        <v>93</v>
      </c>
      <c r="FE1101" s="8">
        <v>9.3000000000000007</v>
      </c>
    </row>
    <row r="1102" spans="158:161" ht="74.25" customHeight="1" x14ac:dyDescent="0.2">
      <c r="FB1102" s="8" t="s">
        <v>2515</v>
      </c>
      <c r="FC1102" s="8" t="s">
        <v>2516</v>
      </c>
      <c r="FD1102" s="8">
        <v>1700</v>
      </c>
      <c r="FE1102" s="8">
        <v>330</v>
      </c>
    </row>
    <row r="1103" spans="158:161" ht="74.25" customHeight="1" x14ac:dyDescent="0.2">
      <c r="FB1103" s="8" t="s">
        <v>2517</v>
      </c>
      <c r="FC1103" s="8" t="s">
        <v>2518</v>
      </c>
      <c r="FD1103" s="8">
        <v>1700</v>
      </c>
      <c r="FE1103" s="8">
        <v>330</v>
      </c>
    </row>
    <row r="1104" spans="158:161" ht="74.25" customHeight="1" x14ac:dyDescent="0.2">
      <c r="FB1104" s="8" t="s">
        <v>2519</v>
      </c>
      <c r="FC1104" s="8" t="s">
        <v>2520</v>
      </c>
      <c r="FD1104" s="8">
        <v>970</v>
      </c>
      <c r="FE1104" s="8">
        <v>97</v>
      </c>
    </row>
    <row r="1105" spans="158:161" ht="74.25" customHeight="1" x14ac:dyDescent="0.2">
      <c r="FB1105" s="8" t="s">
        <v>2521</v>
      </c>
      <c r="FC1105" s="8" t="s">
        <v>2522</v>
      </c>
      <c r="FD1105" s="8">
        <v>1700</v>
      </c>
      <c r="FE1105" s="8">
        <v>330</v>
      </c>
    </row>
    <row r="1106" spans="158:161" ht="74.25" customHeight="1" x14ac:dyDescent="0.2">
      <c r="FB1106" s="8" t="s">
        <v>2523</v>
      </c>
      <c r="FC1106" s="8" t="s">
        <v>2524</v>
      </c>
      <c r="FD1106" s="8">
        <v>4800</v>
      </c>
      <c r="FE1106" s="8">
        <v>450</v>
      </c>
    </row>
    <row r="1107" spans="158:161" ht="74.25" customHeight="1" x14ac:dyDescent="0.2">
      <c r="FB1107" s="8" t="s">
        <v>2525</v>
      </c>
      <c r="FC1107" s="8" t="s">
        <v>2526</v>
      </c>
      <c r="FD1107" s="8">
        <v>1700</v>
      </c>
      <c r="FE1107" s="8">
        <v>330</v>
      </c>
    </row>
    <row r="1108" spans="158:161" ht="74.25" customHeight="1" x14ac:dyDescent="0.2">
      <c r="FB1108" s="8" t="s">
        <v>2527</v>
      </c>
      <c r="FC1108" s="8" t="s">
        <v>2528</v>
      </c>
      <c r="FD1108" s="8">
        <v>1700</v>
      </c>
      <c r="FE1108" s="8">
        <v>330</v>
      </c>
    </row>
    <row r="1109" spans="158:161" ht="74.25" customHeight="1" x14ac:dyDescent="0.2">
      <c r="FB1109" s="8" t="s">
        <v>2529</v>
      </c>
      <c r="FC1109" s="8" t="s">
        <v>2530</v>
      </c>
      <c r="FD1109" s="8">
        <v>4800</v>
      </c>
      <c r="FE1109" s="8">
        <v>450</v>
      </c>
    </row>
    <row r="1110" spans="158:161" ht="74.25" customHeight="1" x14ac:dyDescent="0.2">
      <c r="FB1110" s="8" t="s">
        <v>2531</v>
      </c>
      <c r="FC1110" s="8" t="s">
        <v>2532</v>
      </c>
      <c r="FD1110" s="8">
        <v>1700</v>
      </c>
      <c r="FE1110" s="8">
        <v>330</v>
      </c>
    </row>
    <row r="1111" spans="158:161" ht="74.25" customHeight="1" x14ac:dyDescent="0.2">
      <c r="FB1111" s="8" t="s">
        <v>2533</v>
      </c>
      <c r="FC1111" s="8" t="s">
        <v>2534</v>
      </c>
      <c r="FD1111" s="8">
        <v>4800</v>
      </c>
      <c r="FE1111" s="8">
        <v>450</v>
      </c>
    </row>
    <row r="1112" spans="158:161" ht="74.25" customHeight="1" x14ac:dyDescent="0.2">
      <c r="FB1112" s="8" t="s">
        <v>2535</v>
      </c>
      <c r="FC1112" s="8" t="s">
        <v>2536</v>
      </c>
      <c r="FD1112" s="8">
        <v>1700</v>
      </c>
      <c r="FE1112" s="8">
        <v>330</v>
      </c>
    </row>
    <row r="1113" spans="158:161" ht="74.25" customHeight="1" x14ac:dyDescent="0.2">
      <c r="FB1113" s="8" t="s">
        <v>2537</v>
      </c>
      <c r="FC1113" s="8" t="s">
        <v>2538</v>
      </c>
      <c r="FD1113" s="8">
        <v>970</v>
      </c>
      <c r="FE1113" s="8">
        <v>97</v>
      </c>
    </row>
    <row r="1114" spans="158:161" ht="74.25" customHeight="1" x14ac:dyDescent="0.2">
      <c r="FB1114" s="8" t="s">
        <v>2539</v>
      </c>
      <c r="FC1114" s="8" t="s">
        <v>2540</v>
      </c>
      <c r="FD1114" s="8">
        <v>1700</v>
      </c>
      <c r="FE1114" s="8">
        <v>330</v>
      </c>
    </row>
    <row r="1115" spans="158:161" ht="74.25" customHeight="1" x14ac:dyDescent="0.2">
      <c r="FB1115" s="8" t="s">
        <v>2541</v>
      </c>
      <c r="FC1115" s="8" t="s">
        <v>2542</v>
      </c>
      <c r="FD1115" s="8">
        <v>4800</v>
      </c>
      <c r="FE1115" s="8">
        <v>450</v>
      </c>
    </row>
    <row r="1116" spans="158:161" ht="74.25" customHeight="1" x14ac:dyDescent="0.2">
      <c r="FB1116" s="8" t="s">
        <v>2543</v>
      </c>
      <c r="FC1116" s="8" t="s">
        <v>2544</v>
      </c>
      <c r="FD1116" s="8">
        <v>5600</v>
      </c>
      <c r="FE1116" s="8">
        <v>540</v>
      </c>
    </row>
    <row r="1117" spans="158:161" ht="74.25" customHeight="1" x14ac:dyDescent="0.2">
      <c r="FB1117" s="8" t="s">
        <v>2545</v>
      </c>
      <c r="FC1117" s="8" t="s">
        <v>2546</v>
      </c>
      <c r="FD1117" s="8">
        <v>1700</v>
      </c>
      <c r="FE1117" s="8">
        <v>330</v>
      </c>
    </row>
    <row r="1118" spans="158:161" ht="74.25" customHeight="1" x14ac:dyDescent="0.2">
      <c r="FB1118" s="8" t="s">
        <v>2547</v>
      </c>
      <c r="FC1118" s="8" t="s">
        <v>2548</v>
      </c>
      <c r="FD1118" s="8">
        <v>1700</v>
      </c>
      <c r="FE1118" s="8">
        <v>330</v>
      </c>
    </row>
    <row r="1119" spans="158:161" ht="74.25" customHeight="1" x14ac:dyDescent="0.2">
      <c r="FB1119" s="8" t="s">
        <v>2549</v>
      </c>
      <c r="FC1119" s="8" t="s">
        <v>2550</v>
      </c>
      <c r="FD1119" s="8">
        <v>4800</v>
      </c>
      <c r="FE1119" s="8">
        <v>450</v>
      </c>
    </row>
    <row r="1120" spans="158:161" ht="74.25" customHeight="1" x14ac:dyDescent="0.2">
      <c r="FB1120" s="8" t="s">
        <v>2551</v>
      </c>
      <c r="FC1120" s="8" t="s">
        <v>2552</v>
      </c>
      <c r="FD1120" s="8">
        <v>5600</v>
      </c>
      <c r="FE1120" s="8">
        <v>540</v>
      </c>
    </row>
    <row r="1121" spans="158:161" ht="74.25" customHeight="1" x14ac:dyDescent="0.2">
      <c r="FB1121" s="8" t="s">
        <v>2553</v>
      </c>
      <c r="FC1121" s="8" t="s">
        <v>2554</v>
      </c>
      <c r="FD1121" s="8">
        <v>1700</v>
      </c>
      <c r="FE1121" s="8">
        <v>330</v>
      </c>
    </row>
    <row r="1122" spans="158:161" ht="74.25" customHeight="1" x14ac:dyDescent="0.2">
      <c r="FB1122" s="8" t="s">
        <v>2555</v>
      </c>
      <c r="FC1122" s="8" t="s">
        <v>2556</v>
      </c>
      <c r="FD1122" s="8">
        <v>4800</v>
      </c>
      <c r="FE1122" s="8">
        <v>450</v>
      </c>
    </row>
    <row r="1123" spans="158:161" ht="74.25" customHeight="1" x14ac:dyDescent="0.2">
      <c r="FB1123" s="8" t="s">
        <v>2557</v>
      </c>
      <c r="FC1123" s="8" t="s">
        <v>2558</v>
      </c>
      <c r="FD1123" s="8">
        <v>1700</v>
      </c>
      <c r="FE1123" s="8">
        <v>330</v>
      </c>
    </row>
    <row r="1124" spans="158:161" ht="74.25" customHeight="1" x14ac:dyDescent="0.2">
      <c r="FB1124" s="8" t="s">
        <v>2559</v>
      </c>
      <c r="FC1124" s="8" t="s">
        <v>2560</v>
      </c>
      <c r="FD1124" s="8">
        <v>4800</v>
      </c>
      <c r="FE1124" s="8">
        <v>450</v>
      </c>
    </row>
    <row r="1125" spans="158:161" ht="74.25" customHeight="1" x14ac:dyDescent="0.2">
      <c r="FB1125" s="8" t="s">
        <v>2561</v>
      </c>
      <c r="FC1125" s="8" t="s">
        <v>2562</v>
      </c>
      <c r="FD1125" s="8">
        <v>5600</v>
      </c>
      <c r="FE1125" s="8">
        <v>540</v>
      </c>
    </row>
    <row r="1126" spans="158:161" ht="74.25" customHeight="1" x14ac:dyDescent="0.2">
      <c r="FB1126" s="8" t="s">
        <v>2563</v>
      </c>
      <c r="FC1126" s="8" t="s">
        <v>2564</v>
      </c>
      <c r="FD1126" s="8">
        <v>1700</v>
      </c>
      <c r="FE1126" s="8">
        <v>97</v>
      </c>
    </row>
    <row r="1127" spans="158:161" ht="74.25" customHeight="1" x14ac:dyDescent="0.2">
      <c r="FB1127" s="8" t="s">
        <v>2565</v>
      </c>
      <c r="FC1127" s="8" t="s">
        <v>2566</v>
      </c>
      <c r="FD1127" s="8">
        <v>3500</v>
      </c>
      <c r="FE1127" s="8">
        <v>350</v>
      </c>
    </row>
    <row r="1128" spans="158:161" ht="74.25" customHeight="1" x14ac:dyDescent="0.2">
      <c r="FB1128" s="8" t="s">
        <v>2567</v>
      </c>
      <c r="FC1128" s="8" t="s">
        <v>2568</v>
      </c>
      <c r="FD1128" s="8">
        <v>1700</v>
      </c>
      <c r="FE1128" s="8">
        <v>330</v>
      </c>
    </row>
    <row r="1129" spans="158:161" ht="74.25" customHeight="1" x14ac:dyDescent="0.2">
      <c r="FB1129" s="8" t="s">
        <v>2569</v>
      </c>
      <c r="FC1129" s="8" t="s">
        <v>2570</v>
      </c>
      <c r="FD1129" s="8">
        <v>10000</v>
      </c>
      <c r="FE1129" s="8">
        <v>2700</v>
      </c>
    </row>
    <row r="1130" spans="158:161" ht="74.25" customHeight="1" x14ac:dyDescent="0.2">
      <c r="FB1130" s="8" t="s">
        <v>2571</v>
      </c>
      <c r="FC1130" s="8" t="s">
        <v>2572</v>
      </c>
      <c r="FD1130" s="8">
        <v>20</v>
      </c>
      <c r="FE1130" s="8">
        <v>2</v>
      </c>
    </row>
    <row r="1131" spans="158:161" ht="74.25" customHeight="1" x14ac:dyDescent="0.2">
      <c r="FB1131" s="8" t="s">
        <v>2573</v>
      </c>
      <c r="FC1131" s="8" t="s">
        <v>2574</v>
      </c>
      <c r="FD1131" s="8">
        <v>125</v>
      </c>
      <c r="FE1131" s="8">
        <v>12.5</v>
      </c>
    </row>
    <row r="1132" spans="158:161" ht="74.25" customHeight="1" x14ac:dyDescent="0.2">
      <c r="FB1132" s="8" t="s">
        <v>2575</v>
      </c>
      <c r="FC1132" s="8" t="s">
        <v>2576</v>
      </c>
      <c r="FD1132" s="8">
        <v>1000</v>
      </c>
      <c r="FE1132" s="8">
        <v>100</v>
      </c>
    </row>
    <row r="1133" spans="158:161" ht="74.25" customHeight="1" x14ac:dyDescent="0.2">
      <c r="FB1133" s="8" t="s">
        <v>2577</v>
      </c>
      <c r="FC1133" s="8" t="s">
        <v>2578</v>
      </c>
      <c r="FD1133" s="8">
        <v>650</v>
      </c>
      <c r="FE1133" s="8">
        <v>65</v>
      </c>
    </row>
    <row r="1134" spans="158:161" ht="74.25" customHeight="1" x14ac:dyDescent="0.2">
      <c r="FB1134" s="8" t="s">
        <v>2579</v>
      </c>
      <c r="FC1134" s="8" t="s">
        <v>2580</v>
      </c>
      <c r="FD1134" s="8">
        <v>470</v>
      </c>
      <c r="FE1134" s="8">
        <v>47</v>
      </c>
    </row>
    <row r="1135" spans="158:161" ht="74.25" customHeight="1" x14ac:dyDescent="0.2">
      <c r="FB1135" s="8" t="s">
        <v>2581</v>
      </c>
      <c r="FC1135" s="8" t="s">
        <v>2582</v>
      </c>
      <c r="FD1135" s="8">
        <v>3000</v>
      </c>
      <c r="FE1135" s="8">
        <v>300</v>
      </c>
    </row>
    <row r="1136" spans="158:161" ht="74.25" customHeight="1" x14ac:dyDescent="0.2">
      <c r="FB1136" s="8" t="s">
        <v>2583</v>
      </c>
      <c r="FC1136" s="8" t="s">
        <v>2584</v>
      </c>
      <c r="FD1136" s="8">
        <v>190</v>
      </c>
      <c r="FE1136" s="8">
        <v>19</v>
      </c>
    </row>
    <row r="1137" spans="158:161" ht="74.25" customHeight="1" x14ac:dyDescent="0.2">
      <c r="FB1137" s="8" t="s">
        <v>2585</v>
      </c>
      <c r="FC1137" s="8" t="s">
        <v>2586</v>
      </c>
      <c r="FD1137" s="8">
        <v>2000</v>
      </c>
      <c r="FE1137" s="8">
        <v>200</v>
      </c>
    </row>
    <row r="1138" spans="158:161" ht="74.25" customHeight="1" x14ac:dyDescent="0.2">
      <c r="FB1138" s="8" t="s">
        <v>2587</v>
      </c>
      <c r="FC1138" s="8" t="s">
        <v>2588</v>
      </c>
      <c r="FD1138" s="8">
        <v>125</v>
      </c>
      <c r="FE1138" s="8">
        <v>12.5</v>
      </c>
    </row>
    <row r="1139" spans="158:161" ht="74.25" customHeight="1" x14ac:dyDescent="0.2">
      <c r="FB1139" s="8" t="s">
        <v>2589</v>
      </c>
      <c r="FC1139" s="8" t="s">
        <v>2590</v>
      </c>
      <c r="FD1139" s="8">
        <v>100</v>
      </c>
      <c r="FE1139" s="8">
        <v>10</v>
      </c>
    </row>
    <row r="1140" spans="158:161" ht="74.25" customHeight="1" x14ac:dyDescent="0.2">
      <c r="FB1140" s="8" t="s">
        <v>2591</v>
      </c>
      <c r="FC1140" s="8" t="s">
        <v>2592</v>
      </c>
      <c r="FD1140" s="8">
        <v>1000</v>
      </c>
      <c r="FE1140" s="8">
        <v>100</v>
      </c>
    </row>
    <row r="1141" spans="158:161" ht="74.25" customHeight="1" x14ac:dyDescent="0.2">
      <c r="FB1141" s="8" t="s">
        <v>2593</v>
      </c>
      <c r="FC1141" s="8" t="s">
        <v>2594</v>
      </c>
      <c r="FD1141" s="8">
        <v>100</v>
      </c>
      <c r="FE1141" s="8">
        <v>10</v>
      </c>
    </row>
    <row r="1142" spans="158:161" ht="74.25" customHeight="1" x14ac:dyDescent="0.2">
      <c r="FB1142" s="8" t="s">
        <v>2595</v>
      </c>
      <c r="FC1142" s="8" t="s">
        <v>2596</v>
      </c>
      <c r="FD1142" s="8">
        <v>100</v>
      </c>
      <c r="FE1142" s="8">
        <v>10</v>
      </c>
    </row>
    <row r="1143" spans="158:161" ht="74.25" customHeight="1" x14ac:dyDescent="0.2">
      <c r="FB1143" s="8" t="s">
        <v>2597</v>
      </c>
      <c r="FC1143" s="8" t="s">
        <v>2598</v>
      </c>
      <c r="FD1143" s="8">
        <v>500</v>
      </c>
      <c r="FE1143" s="8">
        <v>50</v>
      </c>
    </row>
    <row r="1144" spans="158:161" ht="74.25" customHeight="1" x14ac:dyDescent="0.2">
      <c r="FB1144" s="8" t="s">
        <v>2599</v>
      </c>
      <c r="FC1144" s="8" t="s">
        <v>2600</v>
      </c>
      <c r="FD1144" s="8">
        <v>1.2</v>
      </c>
      <c r="FE1144" s="8">
        <v>0.12</v>
      </c>
    </row>
    <row r="1145" spans="158:161" ht="74.25" customHeight="1" x14ac:dyDescent="0.2">
      <c r="FB1145" s="8" t="s">
        <v>2601</v>
      </c>
      <c r="FC1145" s="8" t="s">
        <v>2602</v>
      </c>
      <c r="FD1145" s="8">
        <v>30</v>
      </c>
      <c r="FE1145" s="8">
        <v>3</v>
      </c>
    </row>
    <row r="1146" spans="158:161" ht="74.25" customHeight="1" x14ac:dyDescent="0.2">
      <c r="FB1146" s="8" t="s">
        <v>2603</v>
      </c>
      <c r="FC1146" s="8" t="s">
        <v>2604</v>
      </c>
      <c r="FD1146" s="8">
        <v>1700</v>
      </c>
      <c r="FE1146" s="8">
        <v>330</v>
      </c>
    </row>
    <row r="1147" spans="158:161" ht="74.25" customHeight="1" x14ac:dyDescent="0.2">
      <c r="FB1147" s="8" t="s">
        <v>2605</v>
      </c>
      <c r="FC1147" s="8" t="s">
        <v>2606</v>
      </c>
      <c r="FD1147" s="8">
        <v>1700</v>
      </c>
      <c r="FE1147" s="8">
        <v>330</v>
      </c>
    </row>
    <row r="1148" spans="158:161" ht="74.25" customHeight="1" x14ac:dyDescent="0.2">
      <c r="FB1148" s="8" t="s">
        <v>2607</v>
      </c>
      <c r="FC1148" s="8" t="s">
        <v>2608</v>
      </c>
      <c r="FD1148" s="8">
        <v>0.75</v>
      </c>
      <c r="FE1148" s="8">
        <v>4</v>
      </c>
    </row>
    <row r="1149" spans="158:161" ht="74.25" customHeight="1" x14ac:dyDescent="0.2">
      <c r="FB1149" s="8" t="s">
        <v>2609</v>
      </c>
      <c r="FC1149" s="8" t="s">
        <v>2610</v>
      </c>
      <c r="FD1149" s="8">
        <v>60</v>
      </c>
      <c r="FE1149" s="8">
        <v>6</v>
      </c>
    </row>
    <row r="1150" spans="158:161" ht="74.25" customHeight="1" x14ac:dyDescent="0.2">
      <c r="FB1150" s="8" t="s">
        <v>2611</v>
      </c>
      <c r="FC1150" s="8" t="s">
        <v>2612</v>
      </c>
      <c r="FD1150" s="8">
        <v>1300</v>
      </c>
      <c r="FE1150" s="8">
        <v>130</v>
      </c>
    </row>
    <row r="1151" spans="158:161" ht="74.25" customHeight="1" x14ac:dyDescent="0.2">
      <c r="FB1151" s="8" t="s">
        <v>2613</v>
      </c>
      <c r="FC1151" s="8" t="s">
        <v>2614</v>
      </c>
      <c r="FD1151" s="8">
        <v>93</v>
      </c>
      <c r="FE1151" s="8">
        <v>9.3000000000000007</v>
      </c>
    </row>
    <row r="1152" spans="158:161" ht="74.25" customHeight="1" x14ac:dyDescent="0.2">
      <c r="FB1152" s="8" t="s">
        <v>2615</v>
      </c>
      <c r="FC1152" s="8" t="s">
        <v>2616</v>
      </c>
      <c r="FD1152" s="8">
        <v>1300</v>
      </c>
      <c r="FE1152" s="8">
        <v>130</v>
      </c>
    </row>
    <row r="1153" spans="158:161" ht="74.25" customHeight="1" x14ac:dyDescent="0.2">
      <c r="FB1153" s="8" t="s">
        <v>2617</v>
      </c>
      <c r="FC1153" s="8" t="s">
        <v>2618</v>
      </c>
      <c r="FD1153" s="8">
        <v>1200</v>
      </c>
      <c r="FE1153" s="8">
        <v>120</v>
      </c>
    </row>
    <row r="1154" spans="158:161" ht="74.25" customHeight="1" x14ac:dyDescent="0.2">
      <c r="FB1154" s="8" t="s">
        <v>2619</v>
      </c>
      <c r="FC1154" s="8" t="s">
        <v>2620</v>
      </c>
      <c r="FD1154" s="8">
        <v>2000</v>
      </c>
      <c r="FE1154" s="8">
        <v>200</v>
      </c>
    </row>
    <row r="1155" spans="158:161" ht="74.25" customHeight="1" x14ac:dyDescent="0.2">
      <c r="FB1155" s="8" t="s">
        <v>2621</v>
      </c>
      <c r="FC1155" s="8" t="s">
        <v>2622</v>
      </c>
      <c r="FD1155" s="8">
        <v>360</v>
      </c>
      <c r="FE1155" s="8">
        <v>36</v>
      </c>
    </row>
    <row r="1156" spans="158:161" ht="74.25" customHeight="1" x14ac:dyDescent="0.2">
      <c r="FB1156" s="8" t="s">
        <v>2623</v>
      </c>
      <c r="FC1156" s="8" t="s">
        <v>2624</v>
      </c>
      <c r="FD1156" s="8">
        <v>13</v>
      </c>
      <c r="FE1156" s="8">
        <v>1.3</v>
      </c>
    </row>
    <row r="1157" spans="158:161" ht="74.25" customHeight="1" x14ac:dyDescent="0.2">
      <c r="FB1157" s="8" t="s">
        <v>2625</v>
      </c>
      <c r="FC1157" s="8" t="s">
        <v>2626</v>
      </c>
      <c r="FD1157" s="8">
        <v>1100</v>
      </c>
      <c r="FE1157" s="8">
        <v>9.9</v>
      </c>
    </row>
    <row r="1158" spans="158:161" ht="74.25" customHeight="1" x14ac:dyDescent="0.2">
      <c r="FB1158" s="8" t="s">
        <v>2627</v>
      </c>
      <c r="FC1158" s="8" t="s">
        <v>2628</v>
      </c>
      <c r="FD1158" s="8">
        <v>970</v>
      </c>
      <c r="FE1158" s="8">
        <v>97</v>
      </c>
    </row>
    <row r="1159" spans="158:161" ht="74.25" customHeight="1" x14ac:dyDescent="0.2">
      <c r="FB1159" s="8" t="s">
        <v>2629</v>
      </c>
      <c r="FC1159" s="8" t="s">
        <v>2630</v>
      </c>
      <c r="FD1159" s="8">
        <v>1800</v>
      </c>
      <c r="FE1159" s="8">
        <v>180</v>
      </c>
    </row>
    <row r="1160" spans="158:161" ht="74.25" customHeight="1" x14ac:dyDescent="0.2">
      <c r="FB1160" s="8" t="s">
        <v>2631</v>
      </c>
      <c r="FC1160" s="8" t="s">
        <v>2632</v>
      </c>
      <c r="FD1160" s="8">
        <v>1800</v>
      </c>
      <c r="FE1160" s="8">
        <v>180</v>
      </c>
    </row>
    <row r="1161" spans="158:161" ht="74.25" customHeight="1" x14ac:dyDescent="0.2">
      <c r="FB1161" s="8" t="s">
        <v>2633</v>
      </c>
      <c r="FC1161" s="8" t="s">
        <v>2634</v>
      </c>
      <c r="FD1161" s="8">
        <v>1200</v>
      </c>
      <c r="FE1161" s="8">
        <v>120</v>
      </c>
    </row>
    <row r="1162" spans="158:161" ht="74.25" customHeight="1" x14ac:dyDescent="0.2">
      <c r="FB1162" s="8" t="s">
        <v>2635</v>
      </c>
      <c r="FC1162" s="8" t="s">
        <v>2636</v>
      </c>
      <c r="FD1162" s="8">
        <v>290</v>
      </c>
      <c r="FE1162" s="8">
        <v>2200</v>
      </c>
    </row>
    <row r="1163" spans="158:161" ht="74.25" customHeight="1" x14ac:dyDescent="0.2">
      <c r="FB1163" s="8" t="s">
        <v>2637</v>
      </c>
      <c r="FC1163" s="8" t="s">
        <v>2638</v>
      </c>
      <c r="FD1163" s="8">
        <v>3700</v>
      </c>
      <c r="FE1163" s="8">
        <v>370</v>
      </c>
    </row>
    <row r="1164" spans="158:161" ht="74.25" customHeight="1" x14ac:dyDescent="0.2">
      <c r="FB1164" s="8" t="s">
        <v>2639</v>
      </c>
      <c r="FC1164" s="8" t="s">
        <v>2640</v>
      </c>
      <c r="FD1164" s="8">
        <v>2000</v>
      </c>
      <c r="FE1164" s="8">
        <v>200</v>
      </c>
    </row>
    <row r="1165" spans="158:161" ht="74.25" customHeight="1" x14ac:dyDescent="0.2">
      <c r="FB1165" s="8" t="s">
        <v>2641</v>
      </c>
      <c r="FC1165" s="8" t="s">
        <v>2642</v>
      </c>
      <c r="FD1165" s="8">
        <v>830</v>
      </c>
      <c r="FE1165" s="8">
        <v>83</v>
      </c>
    </row>
    <row r="1166" spans="158:161" ht="74.25" customHeight="1" x14ac:dyDescent="0.2">
      <c r="FB1166" s="8" t="s">
        <v>2643</v>
      </c>
      <c r="FC1166" s="8" t="s">
        <v>2644</v>
      </c>
      <c r="FD1166" s="8">
        <v>7200</v>
      </c>
      <c r="FE1166" s="8">
        <v>720</v>
      </c>
    </row>
    <row r="1167" spans="158:161" ht="74.25" customHeight="1" x14ac:dyDescent="0.2">
      <c r="FB1167" s="8" t="s">
        <v>2645</v>
      </c>
      <c r="FC1167" s="8" t="s">
        <v>2646</v>
      </c>
      <c r="FD1167" s="8">
        <v>190</v>
      </c>
      <c r="FE1167" s="8">
        <v>19</v>
      </c>
    </row>
    <row r="1168" spans="158:161" ht="74.25" customHeight="1" x14ac:dyDescent="0.2">
      <c r="FB1168" s="8" t="s">
        <v>2647</v>
      </c>
      <c r="FC1168" s="8" t="s">
        <v>2648</v>
      </c>
      <c r="FD1168" s="8">
        <v>3500</v>
      </c>
      <c r="FE1168" s="8">
        <v>350</v>
      </c>
    </row>
    <row r="1169" spans="158:161" ht="74.25" customHeight="1" x14ac:dyDescent="0.2">
      <c r="FB1169" s="8" t="s">
        <v>2649</v>
      </c>
      <c r="FC1169" s="8" t="s">
        <v>2650</v>
      </c>
      <c r="FD1169" s="8">
        <v>180</v>
      </c>
      <c r="FE1169" s="8">
        <v>18</v>
      </c>
    </row>
    <row r="1170" spans="158:161" ht="74.25" customHeight="1" x14ac:dyDescent="0.2">
      <c r="FB1170" s="8" t="s">
        <v>2651</v>
      </c>
      <c r="FC1170" s="8" t="s">
        <v>2652</v>
      </c>
      <c r="FD1170" s="8">
        <v>0.02</v>
      </c>
      <c r="FE1170" s="8">
        <v>2E-3</v>
      </c>
    </row>
    <row r="1171" spans="158:161" ht="74.25" customHeight="1" x14ac:dyDescent="0.2">
      <c r="FB1171" s="8" t="s">
        <v>2653</v>
      </c>
      <c r="FC1171" s="8" t="s">
        <v>2654</v>
      </c>
      <c r="FD1171" s="8">
        <v>3700</v>
      </c>
      <c r="FE1171" s="8">
        <v>370</v>
      </c>
    </row>
    <row r="1172" spans="158:161" ht="74.25" customHeight="1" x14ac:dyDescent="0.2">
      <c r="FB1172" s="8" t="s">
        <v>2655</v>
      </c>
      <c r="FC1172" s="8" t="s">
        <v>2656</v>
      </c>
      <c r="FD1172" s="8">
        <v>5600</v>
      </c>
      <c r="FE1172" s="8">
        <v>540</v>
      </c>
    </row>
    <row r="1173" spans="158:161" ht="74.25" customHeight="1" x14ac:dyDescent="0.2">
      <c r="FB1173" s="8" t="s">
        <v>2657</v>
      </c>
      <c r="FC1173" s="8" t="s">
        <v>2658</v>
      </c>
      <c r="FD1173" s="8">
        <v>10000</v>
      </c>
      <c r="FE1173" s="8">
        <v>2700</v>
      </c>
    </row>
    <row r="1174" spans="158:161" ht="74.25" customHeight="1" x14ac:dyDescent="0.2">
      <c r="FB1174" s="8" t="s">
        <v>2659</v>
      </c>
      <c r="FC1174" s="8" t="s">
        <v>2660</v>
      </c>
      <c r="FD1174" s="8">
        <v>10</v>
      </c>
      <c r="FE1174" s="8">
        <v>1</v>
      </c>
    </row>
    <row r="1175" spans="158:161" ht="74.25" customHeight="1" x14ac:dyDescent="0.2">
      <c r="FB1175" s="8" t="s">
        <v>2661</v>
      </c>
      <c r="FC1175" s="8" t="s">
        <v>2662</v>
      </c>
      <c r="FD1175" s="8">
        <v>1700</v>
      </c>
      <c r="FE1175" s="8">
        <v>330</v>
      </c>
    </row>
    <row r="1176" spans="158:161" ht="74.25" customHeight="1" x14ac:dyDescent="0.2">
      <c r="FB1176" s="8" t="s">
        <v>2663</v>
      </c>
      <c r="FC1176" s="8" t="s">
        <v>2664</v>
      </c>
      <c r="FD1176" s="8">
        <v>4800</v>
      </c>
      <c r="FE1176" s="8">
        <v>450</v>
      </c>
    </row>
    <row r="1177" spans="158:161" ht="74.25" customHeight="1" x14ac:dyDescent="0.2">
      <c r="FB1177" s="8" t="s">
        <v>2665</v>
      </c>
      <c r="FC1177" s="8" t="s">
        <v>2666</v>
      </c>
      <c r="FD1177" s="8">
        <v>5600</v>
      </c>
      <c r="FE1177" s="8">
        <v>200</v>
      </c>
    </row>
    <row r="1178" spans="158:161" ht="74.25" customHeight="1" x14ac:dyDescent="0.2">
      <c r="FB1178" s="8" t="s">
        <v>2667</v>
      </c>
      <c r="FC1178" s="8" t="s">
        <v>2668</v>
      </c>
      <c r="FD1178" s="8">
        <v>40</v>
      </c>
      <c r="FE1178" s="8">
        <v>4</v>
      </c>
    </row>
    <row r="1179" spans="158:161" ht="74.25" customHeight="1" x14ac:dyDescent="0.2">
      <c r="FB1179" s="8" t="s">
        <v>2669</v>
      </c>
      <c r="FC1179" s="8" t="s">
        <v>2670</v>
      </c>
      <c r="FD1179" s="8">
        <v>76</v>
      </c>
      <c r="FE1179" s="8">
        <v>7.6</v>
      </c>
    </row>
    <row r="1180" spans="158:161" ht="74.25" customHeight="1" x14ac:dyDescent="0.2">
      <c r="FB1180" s="8" t="s">
        <v>2671</v>
      </c>
      <c r="FC1180" s="8" t="s">
        <v>2672</v>
      </c>
      <c r="FD1180" s="8">
        <v>260</v>
      </c>
      <c r="FE1180" s="8">
        <v>26</v>
      </c>
    </row>
    <row r="1181" spans="158:161" ht="74.25" customHeight="1" x14ac:dyDescent="0.2">
      <c r="FB1181" s="8" t="s">
        <v>2673</v>
      </c>
      <c r="FC1181" s="8" t="s">
        <v>2674</v>
      </c>
      <c r="FD1181" s="8">
        <v>20</v>
      </c>
      <c r="FE1181" s="8">
        <v>2</v>
      </c>
    </row>
    <row r="1182" spans="158:161" ht="74.25" customHeight="1" x14ac:dyDescent="0.2">
      <c r="FB1182" s="8" t="s">
        <v>2675</v>
      </c>
      <c r="FC1182" s="8" t="s">
        <v>2676</v>
      </c>
      <c r="FD1182" s="8">
        <v>3500</v>
      </c>
      <c r="FE1182" s="8">
        <v>350</v>
      </c>
    </row>
    <row r="1183" spans="158:161" ht="74.25" customHeight="1" x14ac:dyDescent="0.2">
      <c r="FB1183" s="8" t="s">
        <v>2677</v>
      </c>
      <c r="FC1183" s="8" t="s">
        <v>2678</v>
      </c>
      <c r="FD1183" s="8">
        <v>570</v>
      </c>
      <c r="FE1183" s="8">
        <v>57</v>
      </c>
    </row>
    <row r="1184" spans="158:161" ht="74.25" customHeight="1" x14ac:dyDescent="0.2">
      <c r="FB1184" s="8" t="s">
        <v>2679</v>
      </c>
      <c r="FC1184" s="8" t="s">
        <v>2680</v>
      </c>
      <c r="FD1184" s="8">
        <v>240</v>
      </c>
      <c r="FE1184" s="8">
        <v>24</v>
      </c>
    </row>
    <row r="1185" spans="158:161" ht="74.25" customHeight="1" x14ac:dyDescent="0.2">
      <c r="FB1185" s="8" t="s">
        <v>2681</v>
      </c>
      <c r="FC1185" s="8" t="s">
        <v>2682</v>
      </c>
      <c r="FD1185" s="8">
        <v>1000</v>
      </c>
      <c r="FE1185" s="8">
        <v>100</v>
      </c>
    </row>
    <row r="1186" spans="158:161" ht="74.25" customHeight="1" x14ac:dyDescent="0.2">
      <c r="FB1186" s="8" t="s">
        <v>2683</v>
      </c>
      <c r="FC1186" s="8" t="s">
        <v>2684</v>
      </c>
      <c r="FD1186" s="8">
        <v>30</v>
      </c>
      <c r="FE1186" s="8">
        <v>3</v>
      </c>
    </row>
    <row r="1187" spans="158:161" ht="74.25" customHeight="1" x14ac:dyDescent="0.2">
      <c r="FB1187" s="8" t="s">
        <v>2685</v>
      </c>
      <c r="FC1187" s="8" t="s">
        <v>2686</v>
      </c>
      <c r="FD1187" s="8">
        <v>1000</v>
      </c>
      <c r="FE1187" s="8">
        <v>100</v>
      </c>
    </row>
    <row r="1188" spans="158:161" ht="74.25" customHeight="1" x14ac:dyDescent="0.2">
      <c r="FB1188" s="8" t="s">
        <v>2687</v>
      </c>
      <c r="FC1188" s="8" t="s">
        <v>2688</v>
      </c>
      <c r="FD1188" s="8">
        <v>2700</v>
      </c>
      <c r="FE1188" s="8">
        <v>270</v>
      </c>
    </row>
    <row r="1189" spans="158:161" ht="74.25" customHeight="1" x14ac:dyDescent="0.2">
      <c r="FB1189" s="8" t="s">
        <v>2689</v>
      </c>
      <c r="FC1189" s="8" t="s">
        <v>2690</v>
      </c>
      <c r="FD1189" s="8">
        <v>2750</v>
      </c>
      <c r="FE1189" s="8">
        <v>275</v>
      </c>
    </row>
    <row r="1190" spans="158:161" ht="74.25" customHeight="1" x14ac:dyDescent="0.2">
      <c r="FB1190" s="8" t="s">
        <v>2691</v>
      </c>
      <c r="FC1190" s="8" t="s">
        <v>2692</v>
      </c>
      <c r="FD1190" s="8">
        <v>7000</v>
      </c>
      <c r="FE1190" s="8">
        <v>700</v>
      </c>
    </row>
    <row r="1191" spans="158:161" ht="74.25" customHeight="1" x14ac:dyDescent="0.2">
      <c r="FB1191" s="8" t="s">
        <v>2693</v>
      </c>
      <c r="FC1191" s="8" t="s">
        <v>2694</v>
      </c>
      <c r="FD1191" s="8">
        <v>120</v>
      </c>
      <c r="FE1191" s="8">
        <v>12</v>
      </c>
    </row>
    <row r="1192" spans="158:161" ht="74.25" customHeight="1" x14ac:dyDescent="0.2">
      <c r="FB1192" s="8" t="s">
        <v>2695</v>
      </c>
      <c r="FC1192" s="8" t="s">
        <v>2696</v>
      </c>
      <c r="FD1192" s="8">
        <v>90</v>
      </c>
      <c r="FE1192" s="8">
        <v>9</v>
      </c>
    </row>
    <row r="1193" spans="158:161" ht="74.25" customHeight="1" x14ac:dyDescent="0.2">
      <c r="FB1193" s="8" t="s">
        <v>2697</v>
      </c>
      <c r="FC1193" s="8" t="s">
        <v>2698</v>
      </c>
      <c r="FD1193" s="8">
        <v>420</v>
      </c>
      <c r="FE1193" s="8">
        <v>42</v>
      </c>
    </row>
    <row r="1194" spans="158:161" ht="74.25" customHeight="1" x14ac:dyDescent="0.2">
      <c r="FB1194" s="8" t="s">
        <v>2699</v>
      </c>
      <c r="FC1194" s="8" t="s">
        <v>2700</v>
      </c>
      <c r="FD1194" s="8">
        <v>100</v>
      </c>
      <c r="FE1194" s="8">
        <v>10</v>
      </c>
    </row>
    <row r="1195" spans="158:161" ht="74.25" customHeight="1" x14ac:dyDescent="0.2">
      <c r="FB1195" s="8" t="s">
        <v>2701</v>
      </c>
      <c r="FC1195" s="8" t="s">
        <v>2702</v>
      </c>
      <c r="FD1195" s="8">
        <v>80</v>
      </c>
      <c r="FE1195" s="8">
        <v>8</v>
      </c>
    </row>
    <row r="1196" spans="158:161" ht="74.25" customHeight="1" x14ac:dyDescent="0.2">
      <c r="FB1196" s="8" t="s">
        <v>2703</v>
      </c>
      <c r="FC1196" s="8" t="s">
        <v>2704</v>
      </c>
      <c r="FD1196" s="8">
        <v>80</v>
      </c>
      <c r="FE1196" s="8">
        <v>8</v>
      </c>
    </row>
    <row r="1197" spans="158:161" ht="74.25" customHeight="1" x14ac:dyDescent="0.2">
      <c r="FB1197" s="8" t="s">
        <v>2705</v>
      </c>
      <c r="FC1197" s="8" t="s">
        <v>2706</v>
      </c>
      <c r="FD1197" s="8">
        <v>38</v>
      </c>
      <c r="FE1197" s="8">
        <v>3.8</v>
      </c>
    </row>
    <row r="1198" spans="158:161" ht="74.25" customHeight="1" x14ac:dyDescent="0.2">
      <c r="FB1198" s="8" t="s">
        <v>2707</v>
      </c>
      <c r="FC1198" s="8" t="s">
        <v>2708</v>
      </c>
      <c r="FD1198" s="8">
        <v>240</v>
      </c>
      <c r="FE1198" s="8">
        <v>24</v>
      </c>
    </row>
    <row r="1199" spans="158:161" ht="74.25" customHeight="1" x14ac:dyDescent="0.2">
      <c r="FB1199" s="8" t="s">
        <v>2709</v>
      </c>
      <c r="FC1199" s="8" t="s">
        <v>2710</v>
      </c>
      <c r="FD1199" s="8">
        <v>200</v>
      </c>
      <c r="FE1199" s="8">
        <v>20</v>
      </c>
    </row>
    <row r="1200" spans="158:161" ht="74.25" customHeight="1" x14ac:dyDescent="0.2">
      <c r="FB1200" s="8" t="s">
        <v>2711</v>
      </c>
      <c r="FC1200" s="8" t="s">
        <v>2712</v>
      </c>
      <c r="FD1200" s="8">
        <v>240</v>
      </c>
      <c r="FE1200" s="8">
        <v>24</v>
      </c>
    </row>
    <row r="1201" spans="158:161" ht="74.25" customHeight="1" x14ac:dyDescent="0.2">
      <c r="FB1201" s="8" t="s">
        <v>2713</v>
      </c>
      <c r="FC1201" s="8" t="s">
        <v>2714</v>
      </c>
      <c r="FD1201" s="8">
        <v>140</v>
      </c>
      <c r="FE1201" s="8">
        <v>14</v>
      </c>
    </row>
    <row r="1202" spans="158:161" ht="74.25" customHeight="1" x14ac:dyDescent="0.2">
      <c r="FB1202" s="8" t="s">
        <v>2715</v>
      </c>
      <c r="FC1202" s="8" t="s">
        <v>2716</v>
      </c>
      <c r="FD1202" s="8">
        <v>250</v>
      </c>
      <c r="FE1202" s="8">
        <v>25</v>
      </c>
    </row>
    <row r="1203" spans="158:161" ht="74.25" customHeight="1" x14ac:dyDescent="0.2">
      <c r="FB1203" s="8" t="s">
        <v>2717</v>
      </c>
      <c r="FC1203" s="8" t="s">
        <v>2718</v>
      </c>
      <c r="FD1203" s="8">
        <v>200</v>
      </c>
      <c r="FE1203" s="8">
        <v>20</v>
      </c>
    </row>
    <row r="1204" spans="158:161" ht="74.25" customHeight="1" x14ac:dyDescent="0.2">
      <c r="FB1204" s="8" t="s">
        <v>2719</v>
      </c>
      <c r="FC1204" s="8" t="s">
        <v>2720</v>
      </c>
      <c r="FD1204" s="8">
        <v>20</v>
      </c>
      <c r="FE1204" s="8">
        <v>2</v>
      </c>
    </row>
    <row r="1205" spans="158:161" ht="74.25" customHeight="1" x14ac:dyDescent="0.2">
      <c r="FB1205" s="8" t="s">
        <v>2721</v>
      </c>
      <c r="FC1205" s="8" t="s">
        <v>2722</v>
      </c>
      <c r="FD1205" s="8">
        <v>13</v>
      </c>
      <c r="FE1205" s="8">
        <v>1.3</v>
      </c>
    </row>
    <row r="1206" spans="158:161" ht="74.25" customHeight="1" x14ac:dyDescent="0.2">
      <c r="FB1206" s="8" t="s">
        <v>2723</v>
      </c>
      <c r="FC1206" s="8" t="s">
        <v>2724</v>
      </c>
      <c r="FD1206" s="8">
        <v>2500</v>
      </c>
      <c r="FE1206" s="8">
        <v>250</v>
      </c>
    </row>
    <row r="1207" spans="158:161" ht="74.25" customHeight="1" x14ac:dyDescent="0.2">
      <c r="FB1207" s="8" t="s">
        <v>2725</v>
      </c>
      <c r="FC1207" s="8" t="s">
        <v>2726</v>
      </c>
      <c r="FD1207" s="8">
        <v>520</v>
      </c>
      <c r="FE1207" s="8">
        <v>52</v>
      </c>
    </row>
    <row r="1208" spans="158:161" ht="74.25" customHeight="1" x14ac:dyDescent="0.2">
      <c r="FB1208" s="8" t="s">
        <v>2727</v>
      </c>
      <c r="FC1208" s="8" t="s">
        <v>2728</v>
      </c>
      <c r="FD1208" s="8">
        <v>500</v>
      </c>
      <c r="FE1208" s="8">
        <v>50</v>
      </c>
    </row>
    <row r="1209" spans="158:161" ht="74.25" customHeight="1" x14ac:dyDescent="0.2">
      <c r="FB1209" s="8" t="s">
        <v>2729</v>
      </c>
      <c r="FC1209" s="8" t="s">
        <v>2730</v>
      </c>
      <c r="FD1209" s="8">
        <v>4800</v>
      </c>
      <c r="FE1209" s="8">
        <v>450</v>
      </c>
    </row>
    <row r="1210" spans="158:161" ht="74.25" customHeight="1" x14ac:dyDescent="0.2">
      <c r="FB1210" s="8" t="s">
        <v>2731</v>
      </c>
      <c r="FC1210" s="8" t="s">
        <v>2732</v>
      </c>
      <c r="FD1210" s="8">
        <v>1700</v>
      </c>
      <c r="FE1210" s="8">
        <v>330</v>
      </c>
    </row>
    <row r="1211" spans="158:161" ht="74.25" customHeight="1" x14ac:dyDescent="0.2">
      <c r="FB1211" s="8" t="s">
        <v>2733</v>
      </c>
      <c r="FC1211" s="8" t="s">
        <v>2734</v>
      </c>
      <c r="FD1211" s="8">
        <v>970</v>
      </c>
      <c r="FE1211" s="8">
        <v>97</v>
      </c>
    </row>
    <row r="1212" spans="158:161" ht="74.25" customHeight="1" x14ac:dyDescent="0.2">
      <c r="FB1212" s="8" t="s">
        <v>2735</v>
      </c>
      <c r="FC1212" s="8" t="s">
        <v>2736</v>
      </c>
      <c r="FD1212" s="8">
        <v>100</v>
      </c>
      <c r="FE1212" s="8">
        <v>10</v>
      </c>
    </row>
    <row r="1213" spans="158:161" ht="74.25" customHeight="1" x14ac:dyDescent="0.2">
      <c r="FB1213" s="8" t="s">
        <v>2737</v>
      </c>
      <c r="FC1213" s="8" t="s">
        <v>2738</v>
      </c>
      <c r="FD1213" s="8">
        <v>50</v>
      </c>
      <c r="FE1213" s="8">
        <v>5</v>
      </c>
    </row>
    <row r="1214" spans="158:161" ht="74.25" customHeight="1" x14ac:dyDescent="0.2">
      <c r="FB1214" s="8" t="s">
        <v>2739</v>
      </c>
      <c r="FC1214" s="8" t="s">
        <v>2740</v>
      </c>
      <c r="FD1214" s="8">
        <v>3.3</v>
      </c>
      <c r="FE1214" s="8">
        <v>6.3E-2</v>
      </c>
    </row>
    <row r="1215" spans="158:161" ht="74.25" customHeight="1" x14ac:dyDescent="0.2">
      <c r="FB1215" s="8" t="s">
        <v>2741</v>
      </c>
      <c r="FC1215" s="8" t="s">
        <v>2742</v>
      </c>
      <c r="FD1215" s="8">
        <v>190</v>
      </c>
      <c r="FE1215" s="8">
        <v>19</v>
      </c>
    </row>
    <row r="1216" spans="158:161" ht="74.25" customHeight="1" x14ac:dyDescent="0.2">
      <c r="FB1216" s="8" t="s">
        <v>2743</v>
      </c>
      <c r="FC1216" s="8" t="s">
        <v>2744</v>
      </c>
      <c r="FD1216" s="8">
        <v>100</v>
      </c>
      <c r="FE1216" s="8">
        <v>10</v>
      </c>
    </row>
    <row r="1217" spans="158:161" ht="74.25" customHeight="1" x14ac:dyDescent="0.2">
      <c r="FB1217" s="8" t="s">
        <v>2745</v>
      </c>
      <c r="FC1217" s="8" t="s">
        <v>2746</v>
      </c>
      <c r="FD1217" s="8">
        <v>100</v>
      </c>
      <c r="FE1217" s="8">
        <v>10</v>
      </c>
    </row>
    <row r="1218" spans="158:161" ht="74.25" customHeight="1" x14ac:dyDescent="0.2">
      <c r="FB1218" s="8" t="s">
        <v>2747</v>
      </c>
      <c r="FC1218" s="8" t="s">
        <v>2748</v>
      </c>
      <c r="FD1218" s="8">
        <v>8</v>
      </c>
      <c r="FE1218" s="8">
        <v>0.8</v>
      </c>
    </row>
    <row r="1219" spans="158:161" ht="74.25" customHeight="1" x14ac:dyDescent="0.2">
      <c r="FB1219" s="8" t="s">
        <v>2749</v>
      </c>
      <c r="FC1219" s="8" t="s">
        <v>2750</v>
      </c>
      <c r="FD1219" s="8">
        <v>360</v>
      </c>
      <c r="FE1219" s="8">
        <v>36</v>
      </c>
    </row>
    <row r="1220" spans="158:161" ht="74.25" customHeight="1" x14ac:dyDescent="0.2">
      <c r="FB1220" s="8" t="s">
        <v>2751</v>
      </c>
      <c r="FC1220" s="8" t="s">
        <v>2752</v>
      </c>
      <c r="FD1220" s="8">
        <v>360</v>
      </c>
      <c r="FE1220" s="8">
        <v>36</v>
      </c>
    </row>
    <row r="1221" spans="158:161" ht="74.25" customHeight="1" x14ac:dyDescent="0.2">
      <c r="FB1221" s="8" t="s">
        <v>2753</v>
      </c>
      <c r="FC1221" s="8" t="s">
        <v>2754</v>
      </c>
      <c r="FD1221" s="8">
        <v>0.6</v>
      </c>
      <c r="FE1221" s="8">
        <v>0.06</v>
      </c>
    </row>
    <row r="1222" spans="158:161" ht="74.25" customHeight="1" x14ac:dyDescent="0.2">
      <c r="FB1222" s="8" t="s">
        <v>2755</v>
      </c>
      <c r="FC1222" s="8" t="s">
        <v>2756</v>
      </c>
      <c r="FD1222" s="8">
        <v>100</v>
      </c>
      <c r="FE1222" s="8">
        <v>10</v>
      </c>
    </row>
    <row r="1223" spans="158:161" ht="74.25" customHeight="1" x14ac:dyDescent="0.2">
      <c r="FB1223" s="8" t="s">
        <v>2757</v>
      </c>
      <c r="FC1223" s="8" t="s">
        <v>2758</v>
      </c>
      <c r="FD1223" s="8">
        <v>100</v>
      </c>
      <c r="FE1223" s="8">
        <v>10</v>
      </c>
    </row>
    <row r="1224" spans="158:161" ht="74.25" customHeight="1" x14ac:dyDescent="0.2">
      <c r="FB1224" s="8" t="s">
        <v>2759</v>
      </c>
      <c r="FC1224" s="8" t="s">
        <v>2760</v>
      </c>
      <c r="FD1224" s="8">
        <v>1700</v>
      </c>
      <c r="FE1224" s="8">
        <v>330</v>
      </c>
    </row>
    <row r="1225" spans="158:161" ht="74.25" customHeight="1" x14ac:dyDescent="0.2">
      <c r="FB1225" s="8" t="s">
        <v>2761</v>
      </c>
      <c r="FC1225" s="8" t="s">
        <v>2762</v>
      </c>
      <c r="FD1225" s="8">
        <v>1450</v>
      </c>
      <c r="FE1225" s="8">
        <v>145</v>
      </c>
    </row>
    <row r="1226" spans="158:161" ht="74.25" customHeight="1" x14ac:dyDescent="0.2">
      <c r="FB1226" s="8" t="s">
        <v>2763</v>
      </c>
      <c r="FC1226" s="8" t="s">
        <v>2764</v>
      </c>
      <c r="FD1226" s="8">
        <v>2</v>
      </c>
      <c r="FE1226" s="8">
        <v>0.2</v>
      </c>
    </row>
    <row r="1227" spans="158:161" ht="74.25" customHeight="1" x14ac:dyDescent="0.2">
      <c r="FB1227" s="8" t="s">
        <v>2765</v>
      </c>
      <c r="FC1227" s="8" t="s">
        <v>2766</v>
      </c>
      <c r="FD1227" s="8">
        <v>440</v>
      </c>
      <c r="FE1227" s="8">
        <v>44</v>
      </c>
    </row>
    <row r="1228" spans="158:161" ht="74.25" customHeight="1" x14ac:dyDescent="0.2">
      <c r="FB1228" s="8" t="s">
        <v>2767</v>
      </c>
      <c r="FC1228" s="8" t="s">
        <v>2768</v>
      </c>
      <c r="FD1228" s="8">
        <v>1</v>
      </c>
      <c r="FE1228" s="8">
        <v>0.1</v>
      </c>
    </row>
    <row r="1229" spans="158:161" ht="74.25" customHeight="1" x14ac:dyDescent="0.2">
      <c r="FB1229" s="8" t="s">
        <v>2769</v>
      </c>
      <c r="FC1229" s="8" t="s">
        <v>2770</v>
      </c>
      <c r="FD1229" s="8">
        <v>1000</v>
      </c>
      <c r="FE1229" s="8">
        <v>100</v>
      </c>
    </row>
    <row r="1230" spans="158:161" ht="74.25" customHeight="1" x14ac:dyDescent="0.2">
      <c r="FB1230" s="8" t="s">
        <v>2771</v>
      </c>
      <c r="FC1230" s="8" t="s">
        <v>2772</v>
      </c>
      <c r="FD1230" s="8">
        <v>1</v>
      </c>
      <c r="FE1230" s="8">
        <v>0.1</v>
      </c>
    </row>
    <row r="1231" spans="158:161" ht="74.25" customHeight="1" x14ac:dyDescent="0.2">
      <c r="FB1231" s="8" t="s">
        <v>2773</v>
      </c>
      <c r="FC1231" s="8" t="s">
        <v>2774</v>
      </c>
      <c r="FD1231" s="8">
        <v>10</v>
      </c>
      <c r="FE1231" s="8">
        <v>1</v>
      </c>
    </row>
    <row r="1232" spans="158:161" ht="74.25" customHeight="1" x14ac:dyDescent="0.2">
      <c r="FB1232" s="8" t="s">
        <v>2775</v>
      </c>
      <c r="FC1232" s="8" t="s">
        <v>2776</v>
      </c>
      <c r="FD1232" s="8">
        <v>2.5</v>
      </c>
      <c r="FE1232" s="8">
        <v>0.25</v>
      </c>
    </row>
    <row r="1233" spans="158:161" ht="74.25" customHeight="1" x14ac:dyDescent="0.2">
      <c r="FB1233" s="8" t="s">
        <v>2777</v>
      </c>
      <c r="FC1233" s="8" t="s">
        <v>2778</v>
      </c>
      <c r="FD1233" s="8">
        <v>550</v>
      </c>
      <c r="FE1233" s="8">
        <v>55</v>
      </c>
    </row>
    <row r="1234" spans="158:161" ht="74.25" customHeight="1" x14ac:dyDescent="0.2">
      <c r="FB1234" s="8" t="s">
        <v>2779</v>
      </c>
      <c r="FC1234" s="8" t="s">
        <v>2780</v>
      </c>
      <c r="FD1234" s="8">
        <v>5</v>
      </c>
      <c r="FE1234" s="8">
        <v>0.5</v>
      </c>
    </row>
    <row r="1235" spans="158:161" ht="74.25" customHeight="1" x14ac:dyDescent="0.2">
      <c r="FB1235" s="8" t="s">
        <v>2781</v>
      </c>
      <c r="FC1235" s="8" t="s">
        <v>2782</v>
      </c>
      <c r="FD1235" s="8">
        <v>1500</v>
      </c>
      <c r="FE1235" s="8">
        <v>150</v>
      </c>
    </row>
    <row r="1236" spans="158:161" ht="74.25" customHeight="1" x14ac:dyDescent="0.2">
      <c r="FB1236" s="8" t="s">
        <v>2783</v>
      </c>
      <c r="FC1236" s="8" t="s">
        <v>2784</v>
      </c>
      <c r="FD1236" s="8">
        <v>30</v>
      </c>
      <c r="FE1236" s="8">
        <v>3</v>
      </c>
    </row>
    <row r="1237" spans="158:161" ht="74.25" customHeight="1" x14ac:dyDescent="0.2">
      <c r="FB1237" s="8" t="s">
        <v>2785</v>
      </c>
      <c r="FC1237" s="8" t="s">
        <v>2786</v>
      </c>
      <c r="FD1237" s="8">
        <v>110</v>
      </c>
      <c r="FE1237" s="8">
        <v>11</v>
      </c>
    </row>
    <row r="1238" spans="158:161" ht="74.25" customHeight="1" x14ac:dyDescent="0.2">
      <c r="FB1238" s="8" t="s">
        <v>2787</v>
      </c>
      <c r="FC1238" s="8" t="s">
        <v>2788</v>
      </c>
      <c r="FD1238" s="8">
        <v>240</v>
      </c>
      <c r="FE1238" s="8">
        <v>24</v>
      </c>
    </row>
    <row r="1239" spans="158:161" ht="74.25" customHeight="1" x14ac:dyDescent="0.2">
      <c r="FB1239" s="8" t="s">
        <v>2789</v>
      </c>
      <c r="FC1239" s="8" t="s">
        <v>2790</v>
      </c>
      <c r="FD1239" s="8">
        <v>40</v>
      </c>
      <c r="FE1239" s="8">
        <v>4</v>
      </c>
    </row>
    <row r="1240" spans="158:161" ht="74.25" customHeight="1" x14ac:dyDescent="0.2">
      <c r="FB1240" s="8" t="s">
        <v>2791</v>
      </c>
      <c r="FC1240" s="8" t="s">
        <v>2792</v>
      </c>
      <c r="FD1240" s="8">
        <v>19</v>
      </c>
      <c r="FE1240" s="8" t="s">
        <v>9511</v>
      </c>
    </row>
    <row r="1241" spans="158:161" ht="74.25" customHeight="1" x14ac:dyDescent="0.2">
      <c r="FB1241" s="8" t="s">
        <v>2793</v>
      </c>
      <c r="FC1241" s="8" t="s">
        <v>2794</v>
      </c>
      <c r="FD1241" s="8">
        <v>140</v>
      </c>
      <c r="FE1241" s="8">
        <v>14</v>
      </c>
    </row>
    <row r="1242" spans="158:161" ht="74.25" customHeight="1" x14ac:dyDescent="0.2">
      <c r="FB1242" s="8" t="s">
        <v>2795</v>
      </c>
      <c r="FC1242" s="8" t="s">
        <v>2796</v>
      </c>
      <c r="FD1242" s="8">
        <v>180</v>
      </c>
      <c r="FE1242" s="8">
        <v>18</v>
      </c>
    </row>
    <row r="1243" spans="158:161" ht="74.25" customHeight="1" x14ac:dyDescent="0.2">
      <c r="FB1243" s="8" t="s">
        <v>2797</v>
      </c>
      <c r="FC1243" s="8" t="s">
        <v>2798</v>
      </c>
      <c r="FD1243" s="8">
        <v>5</v>
      </c>
      <c r="FE1243" s="8">
        <v>0.5</v>
      </c>
    </row>
    <row r="1244" spans="158:161" ht="74.25" customHeight="1" x14ac:dyDescent="0.2">
      <c r="FB1244" s="8" t="s">
        <v>2799</v>
      </c>
      <c r="FC1244" s="8" t="s">
        <v>2800</v>
      </c>
      <c r="FD1244" s="8">
        <v>55</v>
      </c>
      <c r="FE1244" s="8">
        <v>5.5</v>
      </c>
    </row>
    <row r="1245" spans="158:161" ht="74.25" customHeight="1" x14ac:dyDescent="0.2">
      <c r="FB1245" s="8" t="s">
        <v>2801</v>
      </c>
      <c r="FC1245" s="8" t="s">
        <v>2802</v>
      </c>
      <c r="FD1245" s="8">
        <v>5</v>
      </c>
      <c r="FE1245" s="8">
        <v>0.5</v>
      </c>
    </row>
    <row r="1246" spans="158:161" ht="74.25" customHeight="1" x14ac:dyDescent="0.2">
      <c r="FB1246" s="8" t="s">
        <v>2803</v>
      </c>
      <c r="FC1246" s="8" t="s">
        <v>2804</v>
      </c>
      <c r="FD1246" s="8">
        <v>0.3</v>
      </c>
      <c r="FE1246" s="8">
        <v>0.03</v>
      </c>
    </row>
    <row r="1247" spans="158:161" ht="74.25" customHeight="1" x14ac:dyDescent="0.2">
      <c r="FB1247" s="8" t="s">
        <v>2805</v>
      </c>
      <c r="FC1247" s="8" t="s">
        <v>2806</v>
      </c>
      <c r="FD1247" s="8">
        <v>1200</v>
      </c>
      <c r="FE1247" s="8">
        <v>120</v>
      </c>
    </row>
    <row r="1248" spans="158:161" ht="74.25" customHeight="1" x14ac:dyDescent="0.2">
      <c r="FB1248" s="8" t="s">
        <v>2807</v>
      </c>
      <c r="FC1248" s="8" t="s">
        <v>2808</v>
      </c>
      <c r="FD1248" s="8">
        <v>530</v>
      </c>
      <c r="FE1248" s="8">
        <v>53</v>
      </c>
    </row>
    <row r="1249" spans="158:161" ht="74.25" customHeight="1" x14ac:dyDescent="0.2">
      <c r="FB1249" s="8" t="s">
        <v>2809</v>
      </c>
      <c r="FC1249" s="8" t="s">
        <v>2810</v>
      </c>
      <c r="FD1249" s="8">
        <v>2450</v>
      </c>
      <c r="FE1249" s="8">
        <v>245</v>
      </c>
    </row>
    <row r="1250" spans="158:161" ht="74.25" customHeight="1" x14ac:dyDescent="0.2">
      <c r="FB1250" s="8" t="s">
        <v>2811</v>
      </c>
      <c r="FC1250" s="8" t="s">
        <v>2812</v>
      </c>
      <c r="FD1250" s="8">
        <v>125</v>
      </c>
      <c r="FE1250" s="8">
        <v>12.5</v>
      </c>
    </row>
    <row r="1251" spans="158:161" ht="74.25" customHeight="1" x14ac:dyDescent="0.2">
      <c r="FB1251" s="8" t="s">
        <v>2813</v>
      </c>
      <c r="FC1251" s="8" t="s">
        <v>2814</v>
      </c>
      <c r="FD1251" s="8">
        <v>600</v>
      </c>
      <c r="FE1251" s="8">
        <v>60</v>
      </c>
    </row>
    <row r="1252" spans="158:161" ht="74.25" customHeight="1" x14ac:dyDescent="0.2">
      <c r="FB1252" s="8" t="s">
        <v>2815</v>
      </c>
      <c r="FC1252" s="8" t="s">
        <v>2816</v>
      </c>
      <c r="FD1252" s="8">
        <v>1700</v>
      </c>
      <c r="FE1252" s="8">
        <v>330</v>
      </c>
    </row>
    <row r="1253" spans="158:161" ht="74.25" customHeight="1" x14ac:dyDescent="0.2">
      <c r="FB1253" s="8" t="s">
        <v>2817</v>
      </c>
      <c r="FC1253" s="8" t="s">
        <v>2818</v>
      </c>
      <c r="FD1253" s="8">
        <v>1700</v>
      </c>
      <c r="FE1253" s="8">
        <v>330</v>
      </c>
    </row>
    <row r="1254" spans="158:161" ht="74.25" customHeight="1" x14ac:dyDescent="0.2">
      <c r="FB1254" s="8" t="s">
        <v>2819</v>
      </c>
      <c r="FC1254" s="8" t="s">
        <v>2820</v>
      </c>
      <c r="FD1254" s="8">
        <v>1700</v>
      </c>
      <c r="FE1254" s="8">
        <v>330</v>
      </c>
    </row>
    <row r="1255" spans="158:161" ht="74.25" customHeight="1" x14ac:dyDescent="0.2">
      <c r="FB1255" s="8" t="s">
        <v>2821</v>
      </c>
      <c r="FC1255" s="8" t="s">
        <v>2822</v>
      </c>
      <c r="FD1255" s="8">
        <v>1700</v>
      </c>
      <c r="FE1255" s="8">
        <v>330</v>
      </c>
    </row>
    <row r="1256" spans="158:161" ht="74.25" customHeight="1" x14ac:dyDescent="0.2">
      <c r="FB1256" s="8" t="s">
        <v>2823</v>
      </c>
      <c r="FC1256" s="8" t="s">
        <v>2824</v>
      </c>
      <c r="FD1256" s="8">
        <v>4800</v>
      </c>
      <c r="FE1256" s="8">
        <v>450</v>
      </c>
    </row>
    <row r="1257" spans="158:161" ht="74.25" customHeight="1" x14ac:dyDescent="0.2">
      <c r="FB1257" s="8" t="s">
        <v>2825</v>
      </c>
      <c r="FC1257" s="8" t="s">
        <v>2826</v>
      </c>
      <c r="FD1257" s="8">
        <v>1700</v>
      </c>
      <c r="FE1257" s="8">
        <v>330</v>
      </c>
    </row>
    <row r="1258" spans="158:161" ht="74.25" customHeight="1" x14ac:dyDescent="0.2">
      <c r="FB1258" s="8" t="s">
        <v>2827</v>
      </c>
      <c r="FC1258" s="8" t="s">
        <v>2828</v>
      </c>
      <c r="FD1258" s="8">
        <v>1700</v>
      </c>
      <c r="FE1258" s="8">
        <v>330</v>
      </c>
    </row>
    <row r="1259" spans="158:161" ht="74.25" customHeight="1" x14ac:dyDescent="0.2">
      <c r="FB1259" s="8" t="s">
        <v>2829</v>
      </c>
      <c r="FC1259" s="8" t="s">
        <v>2830</v>
      </c>
      <c r="FD1259" s="8">
        <v>1700</v>
      </c>
      <c r="FE1259" s="8">
        <v>330</v>
      </c>
    </row>
    <row r="1260" spans="158:161" ht="74.25" customHeight="1" x14ac:dyDescent="0.2">
      <c r="FB1260" s="8" t="s">
        <v>2831</v>
      </c>
      <c r="FC1260" s="8" t="s">
        <v>2832</v>
      </c>
      <c r="FD1260" s="8">
        <v>4800</v>
      </c>
      <c r="FE1260" s="8">
        <v>450</v>
      </c>
    </row>
    <row r="1261" spans="158:161" ht="74.25" customHeight="1" x14ac:dyDescent="0.2">
      <c r="FB1261" s="8" t="s">
        <v>2833</v>
      </c>
      <c r="FC1261" s="8" t="s">
        <v>2834</v>
      </c>
      <c r="FD1261" s="8">
        <v>240</v>
      </c>
      <c r="FE1261" s="8">
        <v>24</v>
      </c>
    </row>
    <row r="1262" spans="158:161" ht="74.25" customHeight="1" x14ac:dyDescent="0.2">
      <c r="FB1262" s="8" t="s">
        <v>2835</v>
      </c>
      <c r="FC1262" s="8" t="s">
        <v>2836</v>
      </c>
      <c r="FD1262" s="8">
        <v>1700</v>
      </c>
      <c r="FE1262" s="8">
        <v>330</v>
      </c>
    </row>
    <row r="1263" spans="158:161" ht="74.25" customHeight="1" x14ac:dyDescent="0.2">
      <c r="FB1263" s="8" t="s">
        <v>2837</v>
      </c>
      <c r="FC1263" s="8" t="s">
        <v>2838</v>
      </c>
      <c r="FD1263" s="8">
        <v>650</v>
      </c>
      <c r="FE1263" s="8">
        <v>65</v>
      </c>
    </row>
    <row r="1264" spans="158:161" ht="74.25" customHeight="1" x14ac:dyDescent="0.2">
      <c r="FB1264" s="8" t="s">
        <v>2839</v>
      </c>
      <c r="FC1264" s="8" t="s">
        <v>2840</v>
      </c>
      <c r="FD1264" s="8">
        <v>190</v>
      </c>
      <c r="FE1264" s="8">
        <v>19</v>
      </c>
    </row>
    <row r="1265" spans="158:161" ht="74.25" customHeight="1" x14ac:dyDescent="0.2">
      <c r="FB1265" s="8" t="s">
        <v>2841</v>
      </c>
      <c r="FC1265" s="8" t="s">
        <v>2842</v>
      </c>
      <c r="FD1265" s="8">
        <v>100</v>
      </c>
      <c r="FE1265" s="8">
        <v>10</v>
      </c>
    </row>
    <row r="1266" spans="158:161" ht="74.25" customHeight="1" x14ac:dyDescent="0.2">
      <c r="FB1266" s="8" t="s">
        <v>2843</v>
      </c>
      <c r="FC1266" s="8" t="s">
        <v>2844</v>
      </c>
      <c r="FD1266" s="8">
        <v>370</v>
      </c>
      <c r="FE1266" s="8">
        <v>37</v>
      </c>
    </row>
    <row r="1267" spans="158:161" ht="74.25" customHeight="1" x14ac:dyDescent="0.2">
      <c r="FB1267" s="8" t="s">
        <v>2845</v>
      </c>
      <c r="FC1267" s="8" t="s">
        <v>2846</v>
      </c>
      <c r="FD1267" s="8">
        <v>1000</v>
      </c>
      <c r="FE1267" s="8">
        <v>100</v>
      </c>
    </row>
    <row r="1268" spans="158:161" ht="74.25" customHeight="1" x14ac:dyDescent="0.2">
      <c r="FB1268" s="8" t="s">
        <v>2847</v>
      </c>
      <c r="FC1268" s="8" t="s">
        <v>2848</v>
      </c>
      <c r="FD1268" s="8">
        <v>960</v>
      </c>
      <c r="FE1268" s="8">
        <v>96</v>
      </c>
    </row>
    <row r="1269" spans="158:161" ht="74.25" customHeight="1" x14ac:dyDescent="0.2">
      <c r="FB1269" s="8" t="s">
        <v>2849</v>
      </c>
      <c r="FC1269" s="8" t="s">
        <v>2850</v>
      </c>
      <c r="FD1269" s="8">
        <v>960</v>
      </c>
      <c r="FE1269" s="8">
        <v>96</v>
      </c>
    </row>
    <row r="1270" spans="158:161" ht="74.25" customHeight="1" x14ac:dyDescent="0.2">
      <c r="FB1270" s="8" t="s">
        <v>2851</v>
      </c>
      <c r="FC1270" s="8" t="s">
        <v>2852</v>
      </c>
      <c r="FD1270" s="8">
        <v>960</v>
      </c>
      <c r="FE1270" s="8">
        <v>96</v>
      </c>
    </row>
    <row r="1271" spans="158:161" ht="74.25" customHeight="1" x14ac:dyDescent="0.2">
      <c r="FB1271" s="8" t="s">
        <v>2853</v>
      </c>
      <c r="FC1271" s="8" t="s">
        <v>2854</v>
      </c>
      <c r="FD1271" s="8">
        <v>2500</v>
      </c>
      <c r="FE1271" s="8">
        <v>250</v>
      </c>
    </row>
    <row r="1272" spans="158:161" ht="74.25" customHeight="1" x14ac:dyDescent="0.2">
      <c r="FB1272" s="8" t="s">
        <v>2855</v>
      </c>
      <c r="FC1272" s="8" t="s">
        <v>2856</v>
      </c>
      <c r="FD1272" s="8">
        <v>550</v>
      </c>
      <c r="FE1272" s="8">
        <v>55</v>
      </c>
    </row>
    <row r="1273" spans="158:161" ht="74.25" customHeight="1" x14ac:dyDescent="0.2">
      <c r="FB1273" s="8" t="s">
        <v>2857</v>
      </c>
      <c r="FC1273" s="8" t="s">
        <v>2858</v>
      </c>
      <c r="FD1273" s="8">
        <v>300</v>
      </c>
      <c r="FE1273" s="8">
        <v>30</v>
      </c>
    </row>
    <row r="1274" spans="158:161" ht="74.25" customHeight="1" x14ac:dyDescent="0.2">
      <c r="FB1274" s="8" t="s">
        <v>2859</v>
      </c>
      <c r="FC1274" s="8" t="s">
        <v>2860</v>
      </c>
      <c r="FD1274" s="8">
        <v>350</v>
      </c>
      <c r="FE1274" s="8">
        <v>35</v>
      </c>
    </row>
    <row r="1275" spans="158:161" ht="74.25" customHeight="1" x14ac:dyDescent="0.2">
      <c r="FB1275" s="8" t="s">
        <v>2861</v>
      </c>
      <c r="FC1275" s="8" t="s">
        <v>2862</v>
      </c>
      <c r="FD1275" s="8">
        <v>6500</v>
      </c>
      <c r="FE1275" s="8">
        <v>140</v>
      </c>
    </row>
    <row r="1276" spans="158:161" ht="74.25" customHeight="1" x14ac:dyDescent="0.2">
      <c r="FB1276" s="8" t="s">
        <v>2863</v>
      </c>
      <c r="FC1276" s="8" t="s">
        <v>2864</v>
      </c>
      <c r="FD1276" s="8">
        <v>490</v>
      </c>
      <c r="FE1276" s="8">
        <v>49</v>
      </c>
    </row>
    <row r="1277" spans="158:161" ht="74.25" customHeight="1" x14ac:dyDescent="0.2">
      <c r="FB1277" s="8" t="s">
        <v>2865</v>
      </c>
      <c r="FC1277" s="8" t="s">
        <v>2866</v>
      </c>
      <c r="FD1277" s="8">
        <v>350</v>
      </c>
      <c r="FE1277" s="8">
        <v>35</v>
      </c>
    </row>
    <row r="1278" spans="158:161" ht="74.25" customHeight="1" x14ac:dyDescent="0.2">
      <c r="FB1278" s="8" t="s">
        <v>2867</v>
      </c>
      <c r="FC1278" s="8" t="s">
        <v>2868</v>
      </c>
      <c r="FD1278" s="8">
        <v>1700</v>
      </c>
      <c r="FE1278" s="8">
        <v>330</v>
      </c>
    </row>
    <row r="1279" spans="158:161" ht="74.25" customHeight="1" x14ac:dyDescent="0.2">
      <c r="FB1279" s="8" t="s">
        <v>2869</v>
      </c>
      <c r="FC1279" s="8" t="s">
        <v>2870</v>
      </c>
      <c r="FD1279" s="8">
        <v>930</v>
      </c>
      <c r="FE1279" s="8">
        <v>93</v>
      </c>
    </row>
    <row r="1280" spans="158:161" ht="74.25" customHeight="1" x14ac:dyDescent="0.2">
      <c r="FB1280" s="8" t="s">
        <v>2871</v>
      </c>
      <c r="FC1280" s="8" t="s">
        <v>2872</v>
      </c>
      <c r="FD1280" s="8">
        <v>350</v>
      </c>
      <c r="FE1280" s="8">
        <v>35</v>
      </c>
    </row>
    <row r="1281" spans="158:161" ht="74.25" customHeight="1" x14ac:dyDescent="0.2">
      <c r="FB1281" s="8" t="s">
        <v>2873</v>
      </c>
      <c r="FC1281" s="8" t="s">
        <v>2874</v>
      </c>
      <c r="FD1281" s="8">
        <v>13</v>
      </c>
      <c r="FE1281" s="8">
        <v>1.3</v>
      </c>
    </row>
    <row r="1282" spans="158:161" ht="74.25" customHeight="1" x14ac:dyDescent="0.2">
      <c r="FB1282" s="8" t="s">
        <v>2875</v>
      </c>
      <c r="FC1282" s="8" t="s">
        <v>2876</v>
      </c>
      <c r="FD1282" s="8">
        <v>1800</v>
      </c>
      <c r="FE1282" s="8">
        <v>180</v>
      </c>
    </row>
    <row r="1283" spans="158:161" ht="74.25" customHeight="1" x14ac:dyDescent="0.2">
      <c r="FB1283" s="8" t="s">
        <v>2877</v>
      </c>
      <c r="FC1283" s="8" t="s">
        <v>2878</v>
      </c>
      <c r="FD1283" s="8">
        <v>250</v>
      </c>
      <c r="FE1283" s="8">
        <v>25</v>
      </c>
    </row>
    <row r="1284" spans="158:161" ht="74.25" customHeight="1" x14ac:dyDescent="0.2">
      <c r="FB1284" s="8" t="s">
        <v>2879</v>
      </c>
      <c r="FC1284" s="8" t="s">
        <v>2880</v>
      </c>
      <c r="FD1284" s="8">
        <v>5700</v>
      </c>
      <c r="FE1284" s="8">
        <v>570</v>
      </c>
    </row>
    <row r="1285" spans="158:161" ht="74.25" customHeight="1" x14ac:dyDescent="0.2">
      <c r="FB1285" s="8" t="s">
        <v>2881</v>
      </c>
      <c r="FC1285" s="8" t="s">
        <v>2882</v>
      </c>
      <c r="FD1285" s="8">
        <v>940</v>
      </c>
      <c r="FE1285" s="8">
        <v>94</v>
      </c>
    </row>
    <row r="1286" spans="158:161" ht="74.25" customHeight="1" x14ac:dyDescent="0.2">
      <c r="FB1286" s="8" t="s">
        <v>2883</v>
      </c>
      <c r="FC1286" s="8" t="s">
        <v>2884</v>
      </c>
      <c r="FD1286" s="8">
        <v>1700</v>
      </c>
      <c r="FE1286" s="8">
        <v>170</v>
      </c>
    </row>
    <row r="1287" spans="158:161" ht="74.25" customHeight="1" x14ac:dyDescent="0.2">
      <c r="FB1287" s="8" t="s">
        <v>2885</v>
      </c>
      <c r="FC1287" s="8" t="s">
        <v>2886</v>
      </c>
      <c r="FD1287" s="8">
        <v>1000</v>
      </c>
      <c r="FE1287" s="8">
        <v>100</v>
      </c>
    </row>
    <row r="1288" spans="158:161" ht="74.25" customHeight="1" x14ac:dyDescent="0.2">
      <c r="FB1288" s="8" t="s">
        <v>2887</v>
      </c>
      <c r="FC1288" s="8" t="s">
        <v>2888</v>
      </c>
      <c r="FD1288" s="8">
        <v>3000</v>
      </c>
      <c r="FE1288" s="8">
        <v>300</v>
      </c>
    </row>
    <row r="1289" spans="158:161" ht="74.25" customHeight="1" x14ac:dyDescent="0.2">
      <c r="FB1289" s="8" t="s">
        <v>2889</v>
      </c>
      <c r="FC1289" s="8" t="s">
        <v>2890</v>
      </c>
      <c r="FD1289" s="8">
        <v>1700</v>
      </c>
      <c r="FE1289" s="8">
        <v>170</v>
      </c>
    </row>
    <row r="1290" spans="158:161" ht="74.25" customHeight="1" x14ac:dyDescent="0.2">
      <c r="FB1290" s="8" t="s">
        <v>2891</v>
      </c>
      <c r="FC1290" s="8" t="s">
        <v>2892</v>
      </c>
      <c r="FD1290" s="8">
        <v>110</v>
      </c>
      <c r="FE1290" s="8">
        <v>14</v>
      </c>
    </row>
    <row r="1291" spans="158:161" ht="74.25" customHeight="1" x14ac:dyDescent="0.2">
      <c r="FB1291" s="8" t="s">
        <v>2893</v>
      </c>
      <c r="FC1291" s="8" t="s">
        <v>2894</v>
      </c>
      <c r="FD1291" s="8">
        <v>3700</v>
      </c>
      <c r="FE1291" s="8">
        <v>370</v>
      </c>
    </row>
    <row r="1292" spans="158:161" ht="74.25" customHeight="1" x14ac:dyDescent="0.2">
      <c r="FB1292" s="8" t="s">
        <v>2895</v>
      </c>
      <c r="FC1292" s="8" t="s">
        <v>2896</v>
      </c>
      <c r="FD1292" s="8">
        <v>5600</v>
      </c>
      <c r="FE1292" s="8">
        <v>540</v>
      </c>
    </row>
    <row r="1293" spans="158:161" ht="74.25" customHeight="1" x14ac:dyDescent="0.2">
      <c r="FB1293" s="8" t="s">
        <v>2897</v>
      </c>
      <c r="FC1293" s="8" t="s">
        <v>2898</v>
      </c>
      <c r="FD1293" s="8">
        <v>50</v>
      </c>
      <c r="FE1293" s="8">
        <v>5</v>
      </c>
    </row>
    <row r="1294" spans="158:161" ht="74.25" customHeight="1" x14ac:dyDescent="0.2">
      <c r="FB1294" s="8" t="s">
        <v>2899</v>
      </c>
      <c r="FC1294" s="8" t="s">
        <v>2900</v>
      </c>
      <c r="FD1294" s="8">
        <v>350</v>
      </c>
      <c r="FE1294" s="8">
        <v>35</v>
      </c>
    </row>
    <row r="1295" spans="158:161" ht="74.25" customHeight="1" x14ac:dyDescent="0.2">
      <c r="FB1295" s="8" t="s">
        <v>2901</v>
      </c>
      <c r="FC1295" s="8" t="s">
        <v>2902</v>
      </c>
      <c r="FD1295" s="8">
        <v>1700</v>
      </c>
      <c r="FE1295" s="8">
        <v>330</v>
      </c>
    </row>
    <row r="1296" spans="158:161" ht="74.25" customHeight="1" x14ac:dyDescent="0.2">
      <c r="FB1296" s="8" t="s">
        <v>2903</v>
      </c>
      <c r="FC1296" s="8" t="s">
        <v>2904</v>
      </c>
      <c r="FD1296" s="8">
        <v>4800</v>
      </c>
      <c r="FE1296" s="8">
        <v>450</v>
      </c>
    </row>
    <row r="1297" spans="158:161" ht="74.25" customHeight="1" x14ac:dyDescent="0.2">
      <c r="FB1297" s="8" t="s">
        <v>2905</v>
      </c>
      <c r="FC1297" s="8" t="s">
        <v>2906</v>
      </c>
      <c r="FD1297" s="8">
        <v>76</v>
      </c>
      <c r="FE1297" s="8">
        <v>7.6</v>
      </c>
    </row>
    <row r="1298" spans="158:161" ht="74.25" customHeight="1" x14ac:dyDescent="0.2">
      <c r="FB1298" s="8" t="s">
        <v>2907</v>
      </c>
      <c r="FC1298" s="8" t="s">
        <v>2908</v>
      </c>
      <c r="FD1298" s="8">
        <v>260</v>
      </c>
      <c r="FE1298" s="8">
        <v>26</v>
      </c>
    </row>
    <row r="1299" spans="158:161" ht="74.25" customHeight="1" x14ac:dyDescent="0.2">
      <c r="FB1299" s="8" t="s">
        <v>2909</v>
      </c>
      <c r="FC1299" s="8" t="s">
        <v>2910</v>
      </c>
      <c r="FD1299" s="8">
        <v>240</v>
      </c>
      <c r="FE1299" s="8">
        <v>24</v>
      </c>
    </row>
    <row r="1300" spans="158:161" ht="74.25" customHeight="1" x14ac:dyDescent="0.2">
      <c r="FB1300" s="8" t="s">
        <v>2911</v>
      </c>
      <c r="FC1300" s="8" t="s">
        <v>2912</v>
      </c>
      <c r="FD1300" s="8">
        <v>90</v>
      </c>
      <c r="FE1300" s="8">
        <v>9</v>
      </c>
    </row>
    <row r="1301" spans="158:161" ht="74.25" customHeight="1" x14ac:dyDescent="0.2">
      <c r="FB1301" s="8" t="s">
        <v>2913</v>
      </c>
      <c r="FC1301" s="8" t="s">
        <v>2914</v>
      </c>
      <c r="FD1301" s="8">
        <v>30</v>
      </c>
      <c r="FE1301" s="8">
        <v>3</v>
      </c>
    </row>
    <row r="1302" spans="158:161" ht="74.25" customHeight="1" x14ac:dyDescent="0.2">
      <c r="FB1302" s="8" t="s">
        <v>2915</v>
      </c>
      <c r="FC1302" s="8" t="s">
        <v>2916</v>
      </c>
      <c r="FD1302" s="8">
        <v>5</v>
      </c>
      <c r="FE1302" s="8">
        <v>0.5</v>
      </c>
    </row>
    <row r="1303" spans="158:161" ht="74.25" customHeight="1" x14ac:dyDescent="0.2">
      <c r="FB1303" s="8" t="s">
        <v>2917</v>
      </c>
      <c r="FC1303" s="8" t="s">
        <v>2918</v>
      </c>
      <c r="FD1303" s="8">
        <v>400</v>
      </c>
      <c r="FE1303" s="8">
        <v>40</v>
      </c>
    </row>
    <row r="1304" spans="158:161" ht="74.25" customHeight="1" x14ac:dyDescent="0.2">
      <c r="FB1304" s="8" t="s">
        <v>2919</v>
      </c>
      <c r="FC1304" s="8" t="s">
        <v>2920</v>
      </c>
      <c r="FD1304" s="8">
        <v>90</v>
      </c>
      <c r="FE1304" s="8">
        <v>9</v>
      </c>
    </row>
    <row r="1305" spans="158:161" ht="74.25" customHeight="1" x14ac:dyDescent="0.2">
      <c r="FB1305" s="8" t="s">
        <v>2921</v>
      </c>
      <c r="FC1305" s="8" t="s">
        <v>2922</v>
      </c>
      <c r="FD1305" s="8">
        <v>700</v>
      </c>
      <c r="FE1305" s="8">
        <v>70</v>
      </c>
    </row>
    <row r="1306" spans="158:161" ht="74.25" customHeight="1" x14ac:dyDescent="0.2">
      <c r="FB1306" s="8" t="s">
        <v>2923</v>
      </c>
      <c r="FC1306" s="8" t="s">
        <v>2924</v>
      </c>
      <c r="FD1306" s="8">
        <v>500</v>
      </c>
      <c r="FE1306" s="8">
        <v>50</v>
      </c>
    </row>
    <row r="1307" spans="158:161" ht="74.25" customHeight="1" x14ac:dyDescent="0.2">
      <c r="FB1307" s="8" t="s">
        <v>2925</v>
      </c>
      <c r="FC1307" s="8" t="s">
        <v>2926</v>
      </c>
      <c r="FD1307" s="8">
        <v>450</v>
      </c>
      <c r="FE1307" s="8">
        <v>45</v>
      </c>
    </row>
    <row r="1308" spans="158:161" ht="74.25" customHeight="1" x14ac:dyDescent="0.2">
      <c r="FB1308" s="8" t="s">
        <v>2927</v>
      </c>
      <c r="FC1308" s="8" t="s">
        <v>2928</v>
      </c>
      <c r="FD1308" s="8">
        <v>1700</v>
      </c>
      <c r="FE1308" s="8">
        <v>330</v>
      </c>
    </row>
    <row r="1309" spans="158:161" ht="74.25" customHeight="1" x14ac:dyDescent="0.2">
      <c r="FB1309" s="8" t="s">
        <v>2929</v>
      </c>
      <c r="FC1309" s="8" t="s">
        <v>9840</v>
      </c>
      <c r="FD1309" s="8">
        <v>290</v>
      </c>
      <c r="FE1309" s="8">
        <v>3.3</v>
      </c>
    </row>
    <row r="1310" spans="158:161" ht="74.25" customHeight="1" x14ac:dyDescent="0.2">
      <c r="FB1310" s="8" t="s">
        <v>2930</v>
      </c>
      <c r="FC1310" s="8" t="s">
        <v>9841</v>
      </c>
      <c r="FD1310" s="8">
        <v>2340</v>
      </c>
      <c r="FE1310" s="8">
        <v>234</v>
      </c>
    </row>
    <row r="1311" spans="158:161" ht="74.25" customHeight="1" x14ac:dyDescent="0.2">
      <c r="FB1311" s="8" t="s">
        <v>2931</v>
      </c>
      <c r="FC1311" s="8" t="s">
        <v>2932</v>
      </c>
      <c r="FD1311" s="8">
        <v>60</v>
      </c>
      <c r="FE1311" s="8">
        <v>6</v>
      </c>
    </row>
    <row r="1312" spans="158:161" ht="74.25" customHeight="1" x14ac:dyDescent="0.2">
      <c r="FB1312" s="8" t="s">
        <v>2933</v>
      </c>
      <c r="FC1312" s="8" t="s">
        <v>2934</v>
      </c>
      <c r="FD1312" s="8">
        <v>30</v>
      </c>
      <c r="FE1312" s="8">
        <v>3</v>
      </c>
    </row>
    <row r="1313" spans="158:161" ht="74.25" customHeight="1" x14ac:dyDescent="0.2">
      <c r="FB1313" s="8" t="s">
        <v>2935</v>
      </c>
      <c r="FC1313" s="8" t="s">
        <v>2936</v>
      </c>
      <c r="FD1313" s="8">
        <v>6</v>
      </c>
      <c r="FE1313" s="8">
        <v>0.6</v>
      </c>
    </row>
    <row r="1314" spans="158:161" ht="74.25" customHeight="1" x14ac:dyDescent="0.2">
      <c r="FB1314" s="8" t="s">
        <v>2937</v>
      </c>
      <c r="FC1314" s="8" t="s">
        <v>2938</v>
      </c>
      <c r="FD1314" s="8">
        <v>510</v>
      </c>
      <c r="FE1314" s="8">
        <v>97</v>
      </c>
    </row>
    <row r="1315" spans="158:161" ht="74.25" customHeight="1" x14ac:dyDescent="0.2">
      <c r="FB1315" s="8" t="s">
        <v>2939</v>
      </c>
      <c r="FC1315" s="8" t="s">
        <v>2940</v>
      </c>
      <c r="FD1315" s="8">
        <v>30</v>
      </c>
      <c r="FE1315" s="8">
        <v>3</v>
      </c>
    </row>
    <row r="1316" spans="158:161" ht="74.25" customHeight="1" x14ac:dyDescent="0.2">
      <c r="FB1316" s="8" t="s">
        <v>2941</v>
      </c>
      <c r="FC1316" s="8" t="s">
        <v>2942</v>
      </c>
      <c r="FD1316" s="8">
        <v>1000</v>
      </c>
      <c r="FE1316" s="8">
        <v>100</v>
      </c>
    </row>
    <row r="1317" spans="158:161" ht="74.25" customHeight="1" x14ac:dyDescent="0.2">
      <c r="FB1317" s="8" t="s">
        <v>2943</v>
      </c>
      <c r="FC1317" s="8" t="s">
        <v>2944</v>
      </c>
      <c r="FD1317" s="8">
        <v>160</v>
      </c>
      <c r="FE1317" s="8">
        <v>16</v>
      </c>
    </row>
    <row r="1318" spans="158:161" ht="74.25" customHeight="1" x14ac:dyDescent="0.2">
      <c r="FB1318" s="8" t="s">
        <v>2945</v>
      </c>
      <c r="FC1318" s="8" t="s">
        <v>2946</v>
      </c>
      <c r="FD1318" s="8">
        <v>3400</v>
      </c>
      <c r="FE1318" s="8">
        <v>340</v>
      </c>
    </row>
    <row r="1319" spans="158:161" ht="74.25" customHeight="1" x14ac:dyDescent="0.2">
      <c r="FB1319" s="8" t="s">
        <v>2947</v>
      </c>
      <c r="FC1319" s="8" t="s">
        <v>2947</v>
      </c>
      <c r="FD1319" s="8">
        <v>720</v>
      </c>
      <c r="FE1319" s="8">
        <v>72</v>
      </c>
    </row>
    <row r="1320" spans="158:161" ht="74.25" customHeight="1" x14ac:dyDescent="0.2">
      <c r="FB1320" s="8" t="s">
        <v>2948</v>
      </c>
      <c r="FC1320" s="8" t="s">
        <v>2948</v>
      </c>
      <c r="FD1320" s="8">
        <v>720</v>
      </c>
      <c r="FE1320" s="8">
        <v>72</v>
      </c>
    </row>
    <row r="1321" spans="158:161" ht="74.25" customHeight="1" x14ac:dyDescent="0.2">
      <c r="FB1321" s="8" t="s">
        <v>2949</v>
      </c>
      <c r="FC1321" s="8" t="s">
        <v>2950</v>
      </c>
      <c r="FD1321" s="8">
        <v>3500</v>
      </c>
      <c r="FE1321" s="8">
        <v>350</v>
      </c>
    </row>
    <row r="1322" spans="158:161" ht="74.25" customHeight="1" x14ac:dyDescent="0.2">
      <c r="FB1322" s="8" t="s">
        <v>2951</v>
      </c>
      <c r="FC1322" s="8" t="s">
        <v>2952</v>
      </c>
      <c r="FD1322" s="8">
        <v>270</v>
      </c>
      <c r="FE1322" s="8">
        <v>27</v>
      </c>
    </row>
    <row r="1323" spans="158:161" ht="74.25" customHeight="1" x14ac:dyDescent="0.2">
      <c r="FB1323" s="8" t="s">
        <v>2953</v>
      </c>
      <c r="FC1323" s="8" t="s">
        <v>2954</v>
      </c>
      <c r="FD1323" s="8">
        <v>380</v>
      </c>
      <c r="FE1323" s="8">
        <v>38</v>
      </c>
    </row>
    <row r="1324" spans="158:161" ht="74.25" customHeight="1" x14ac:dyDescent="0.2">
      <c r="FB1324" s="8" t="s">
        <v>2955</v>
      </c>
      <c r="FC1324" s="8" t="s">
        <v>2956</v>
      </c>
      <c r="FD1324" s="8">
        <v>120</v>
      </c>
      <c r="FE1324" s="8">
        <v>12</v>
      </c>
    </row>
    <row r="1325" spans="158:161" ht="74.25" customHeight="1" x14ac:dyDescent="0.2">
      <c r="FB1325" s="8" t="s">
        <v>2957</v>
      </c>
      <c r="FC1325" s="8" t="s">
        <v>2958</v>
      </c>
      <c r="FD1325" s="8">
        <v>1500</v>
      </c>
      <c r="FE1325" s="8">
        <v>150</v>
      </c>
    </row>
    <row r="1326" spans="158:161" ht="74.25" customHeight="1" x14ac:dyDescent="0.2">
      <c r="FB1326" s="8" t="s">
        <v>2959</v>
      </c>
      <c r="FC1326" s="8" t="s">
        <v>2960</v>
      </c>
      <c r="FD1326" s="8">
        <v>27</v>
      </c>
      <c r="FE1326" s="8">
        <v>2.7</v>
      </c>
    </row>
    <row r="1327" spans="158:161" ht="74.25" customHeight="1" x14ac:dyDescent="0.2">
      <c r="FB1327" s="8" t="s">
        <v>2961</v>
      </c>
      <c r="FC1327" s="8" t="s">
        <v>2962</v>
      </c>
      <c r="FD1327" s="8">
        <v>100</v>
      </c>
      <c r="FE1327" s="8">
        <v>10</v>
      </c>
    </row>
    <row r="1328" spans="158:161" ht="74.25" customHeight="1" x14ac:dyDescent="0.2">
      <c r="FB1328" s="8" t="s">
        <v>2963</v>
      </c>
      <c r="FC1328" s="8" t="s">
        <v>2964</v>
      </c>
      <c r="FD1328" s="8">
        <v>1000</v>
      </c>
      <c r="FE1328" s="8">
        <v>100</v>
      </c>
    </row>
    <row r="1329" spans="158:161" ht="74.25" customHeight="1" x14ac:dyDescent="0.2">
      <c r="FB1329" s="8" t="s">
        <v>2965</v>
      </c>
      <c r="FC1329" s="8" t="s">
        <v>2966</v>
      </c>
      <c r="FD1329" s="8">
        <v>1700</v>
      </c>
      <c r="FE1329" s="8">
        <v>330</v>
      </c>
    </row>
    <row r="1330" spans="158:161" ht="74.25" customHeight="1" x14ac:dyDescent="0.2">
      <c r="FB1330" s="8" t="s">
        <v>2967</v>
      </c>
      <c r="FC1330" s="8" t="s">
        <v>2968</v>
      </c>
      <c r="FD1330" s="8">
        <v>1500</v>
      </c>
      <c r="FE1330" s="8">
        <v>150</v>
      </c>
    </row>
    <row r="1331" spans="158:161" ht="74.25" customHeight="1" x14ac:dyDescent="0.2">
      <c r="FB1331" s="8" t="s">
        <v>2969</v>
      </c>
      <c r="FC1331" s="8" t="s">
        <v>2970</v>
      </c>
      <c r="FD1331" s="8">
        <v>1000</v>
      </c>
      <c r="FE1331" s="8">
        <v>100</v>
      </c>
    </row>
    <row r="1332" spans="158:161" ht="74.25" customHeight="1" x14ac:dyDescent="0.2">
      <c r="FB1332" s="8" t="s">
        <v>2971</v>
      </c>
      <c r="FC1332" s="8" t="s">
        <v>2972</v>
      </c>
      <c r="FD1332" s="8">
        <v>98</v>
      </c>
      <c r="FE1332" s="8">
        <v>25</v>
      </c>
    </row>
    <row r="1333" spans="158:161" ht="74.25" customHeight="1" x14ac:dyDescent="0.2">
      <c r="FB1333" s="8" t="s">
        <v>2973</v>
      </c>
      <c r="FC1333" s="8" t="s">
        <v>2974</v>
      </c>
      <c r="FD1333" s="8">
        <v>2200</v>
      </c>
      <c r="FE1333" s="8">
        <v>220</v>
      </c>
    </row>
    <row r="1334" spans="158:161" ht="74.25" customHeight="1" x14ac:dyDescent="0.2">
      <c r="FB1334" s="8" t="s">
        <v>2975</v>
      </c>
      <c r="FC1334" s="8" t="s">
        <v>2976</v>
      </c>
      <c r="FD1334" s="8">
        <v>200</v>
      </c>
      <c r="FE1334" s="8">
        <v>48</v>
      </c>
    </row>
    <row r="1335" spans="158:161" ht="74.25" customHeight="1" x14ac:dyDescent="0.2">
      <c r="FB1335" s="8" t="s">
        <v>2977</v>
      </c>
      <c r="FC1335" s="8" t="s">
        <v>2978</v>
      </c>
      <c r="FD1335" s="8">
        <v>200</v>
      </c>
      <c r="FE1335" s="8">
        <v>48</v>
      </c>
    </row>
    <row r="1336" spans="158:161" ht="74.25" customHeight="1" x14ac:dyDescent="0.2">
      <c r="FB1336" s="8" t="s">
        <v>2979</v>
      </c>
      <c r="FC1336" s="8" t="s">
        <v>2980</v>
      </c>
      <c r="FD1336" s="8">
        <v>1800</v>
      </c>
      <c r="FE1336" s="8">
        <v>180</v>
      </c>
    </row>
    <row r="1337" spans="158:161" ht="74.25" customHeight="1" x14ac:dyDescent="0.2">
      <c r="FB1337" s="8" t="s">
        <v>2981</v>
      </c>
      <c r="FC1337" s="8" t="s">
        <v>2982</v>
      </c>
      <c r="FD1337" s="8">
        <v>120</v>
      </c>
      <c r="FE1337" s="8">
        <v>12</v>
      </c>
    </row>
    <row r="1338" spans="158:161" ht="74.25" customHeight="1" x14ac:dyDescent="0.2">
      <c r="FB1338" s="8" t="s">
        <v>2983</v>
      </c>
      <c r="FC1338" s="8" t="s">
        <v>2984</v>
      </c>
      <c r="FD1338" s="8">
        <v>5700</v>
      </c>
      <c r="FE1338" s="8">
        <v>570</v>
      </c>
    </row>
    <row r="1339" spans="158:161" ht="74.25" customHeight="1" x14ac:dyDescent="0.2">
      <c r="FB1339" s="8" t="s">
        <v>2985</v>
      </c>
      <c r="FC1339" s="8" t="s">
        <v>2986</v>
      </c>
      <c r="FD1339" s="8">
        <v>0.05</v>
      </c>
      <c r="FE1339" s="8">
        <v>5.0000000000000001E-3</v>
      </c>
    </row>
    <row r="1340" spans="158:161" ht="74.25" customHeight="1" x14ac:dyDescent="0.2">
      <c r="FB1340" s="8" t="s">
        <v>2987</v>
      </c>
      <c r="FC1340" s="8" t="s">
        <v>2988</v>
      </c>
      <c r="FD1340" s="8">
        <v>520</v>
      </c>
      <c r="FE1340" s="8">
        <v>52</v>
      </c>
    </row>
    <row r="1341" spans="158:161" ht="74.25" customHeight="1" x14ac:dyDescent="0.2">
      <c r="FB1341" s="8" t="s">
        <v>2989</v>
      </c>
      <c r="FC1341" s="8" t="s">
        <v>2990</v>
      </c>
      <c r="FD1341" s="8">
        <v>190</v>
      </c>
      <c r="FE1341" s="8">
        <v>19</v>
      </c>
    </row>
    <row r="1342" spans="158:161" ht="74.25" customHeight="1" x14ac:dyDescent="0.2">
      <c r="FB1342" s="8" t="s">
        <v>2991</v>
      </c>
      <c r="FC1342" s="8" t="s">
        <v>2992</v>
      </c>
      <c r="FD1342" s="8">
        <v>190</v>
      </c>
      <c r="FE1342" s="8">
        <v>19</v>
      </c>
    </row>
    <row r="1343" spans="158:161" ht="74.25" customHeight="1" x14ac:dyDescent="0.2">
      <c r="FB1343" s="8" t="s">
        <v>2993</v>
      </c>
      <c r="FC1343" s="8" t="s">
        <v>2994</v>
      </c>
      <c r="FD1343" s="8">
        <v>960</v>
      </c>
      <c r="FE1343" s="8">
        <v>96</v>
      </c>
    </row>
    <row r="1344" spans="158:161" ht="74.25" customHeight="1" x14ac:dyDescent="0.2">
      <c r="FB1344" s="8" t="s">
        <v>2995</v>
      </c>
      <c r="FC1344" s="8" t="s">
        <v>2996</v>
      </c>
      <c r="FD1344" s="8">
        <v>190</v>
      </c>
      <c r="FE1344" s="8">
        <v>19</v>
      </c>
    </row>
    <row r="1345" spans="158:161" ht="74.25" customHeight="1" x14ac:dyDescent="0.2">
      <c r="FB1345" s="8" t="s">
        <v>2997</v>
      </c>
      <c r="FC1345" s="8" t="s">
        <v>2998</v>
      </c>
      <c r="FD1345" s="8">
        <v>5</v>
      </c>
      <c r="FE1345" s="8">
        <v>0.5</v>
      </c>
    </row>
    <row r="1346" spans="158:161" ht="74.25" customHeight="1" x14ac:dyDescent="0.2">
      <c r="FB1346" s="8" t="s">
        <v>2999</v>
      </c>
      <c r="FC1346" s="8" t="s">
        <v>3000</v>
      </c>
      <c r="FD1346" s="8">
        <v>1700</v>
      </c>
      <c r="FE1346" s="8">
        <v>330</v>
      </c>
    </row>
    <row r="1347" spans="158:161" ht="74.25" customHeight="1" x14ac:dyDescent="0.2">
      <c r="FB1347" s="8" t="s">
        <v>3001</v>
      </c>
      <c r="FC1347" s="8" t="s">
        <v>3002</v>
      </c>
      <c r="FD1347" s="8">
        <v>260</v>
      </c>
      <c r="FE1347" s="8">
        <v>26</v>
      </c>
    </row>
    <row r="1348" spans="158:161" ht="74.25" customHeight="1" x14ac:dyDescent="0.2">
      <c r="FB1348" s="8" t="s">
        <v>3003</v>
      </c>
      <c r="FC1348" s="8" t="s">
        <v>3004</v>
      </c>
      <c r="FD1348" s="8">
        <v>30</v>
      </c>
      <c r="FE1348" s="8">
        <v>3</v>
      </c>
    </row>
    <row r="1349" spans="158:161" ht="74.25" customHeight="1" x14ac:dyDescent="0.2">
      <c r="FB1349" s="8" t="s">
        <v>3005</v>
      </c>
      <c r="FC1349" s="8" t="s">
        <v>3006</v>
      </c>
      <c r="FD1349" s="8">
        <v>1450</v>
      </c>
      <c r="FE1349" s="8">
        <v>145</v>
      </c>
    </row>
    <row r="1350" spans="158:161" ht="74.25" customHeight="1" x14ac:dyDescent="0.2">
      <c r="FB1350" s="8" t="s">
        <v>3007</v>
      </c>
      <c r="FC1350" s="8" t="s">
        <v>3008</v>
      </c>
      <c r="FD1350" s="8">
        <v>720</v>
      </c>
      <c r="FE1350" s="8">
        <v>72</v>
      </c>
    </row>
    <row r="1351" spans="158:161" ht="74.25" customHeight="1" x14ac:dyDescent="0.2">
      <c r="FB1351" s="8" t="s">
        <v>3009</v>
      </c>
      <c r="FC1351" s="8" t="s">
        <v>3010</v>
      </c>
      <c r="FD1351" s="8">
        <v>430</v>
      </c>
      <c r="FE1351" s="8">
        <v>43</v>
      </c>
    </row>
    <row r="1352" spans="158:161" ht="74.25" customHeight="1" x14ac:dyDescent="0.2">
      <c r="FB1352" s="8" t="s">
        <v>3011</v>
      </c>
      <c r="FC1352" s="8" t="s">
        <v>3012</v>
      </c>
      <c r="FD1352" s="8">
        <v>1500</v>
      </c>
      <c r="FE1352" s="8">
        <v>150</v>
      </c>
    </row>
    <row r="1353" spans="158:161" ht="74.25" customHeight="1" x14ac:dyDescent="0.2">
      <c r="FB1353" s="8" t="s">
        <v>3013</v>
      </c>
      <c r="FC1353" s="8" t="s">
        <v>3014</v>
      </c>
      <c r="FD1353" s="8">
        <v>270</v>
      </c>
      <c r="FE1353" s="8">
        <v>27</v>
      </c>
    </row>
    <row r="1354" spans="158:161" ht="74.25" customHeight="1" x14ac:dyDescent="0.2">
      <c r="FB1354" s="8" t="s">
        <v>3015</v>
      </c>
      <c r="FC1354" s="8" t="s">
        <v>3016</v>
      </c>
      <c r="FD1354" s="8">
        <v>8200</v>
      </c>
      <c r="FE1354" s="8">
        <v>820</v>
      </c>
    </row>
    <row r="1355" spans="158:161" ht="74.25" customHeight="1" x14ac:dyDescent="0.2">
      <c r="FB1355" s="8" t="s">
        <v>3017</v>
      </c>
      <c r="FC1355" s="8" t="s">
        <v>3018</v>
      </c>
      <c r="FD1355" s="8">
        <v>100</v>
      </c>
      <c r="FE1355" s="8">
        <v>10</v>
      </c>
    </row>
    <row r="1356" spans="158:161" ht="74.25" customHeight="1" x14ac:dyDescent="0.2">
      <c r="FB1356" s="8" t="s">
        <v>3019</v>
      </c>
      <c r="FC1356" s="8" t="s">
        <v>3020</v>
      </c>
      <c r="FD1356" s="8">
        <v>1500</v>
      </c>
      <c r="FE1356" s="8">
        <v>150</v>
      </c>
    </row>
    <row r="1357" spans="158:161" ht="74.25" customHeight="1" x14ac:dyDescent="0.2">
      <c r="FB1357" s="8" t="s">
        <v>3021</v>
      </c>
      <c r="FC1357" s="8" t="s">
        <v>3022</v>
      </c>
      <c r="FD1357" s="8">
        <v>200</v>
      </c>
      <c r="FE1357" s="8">
        <v>80</v>
      </c>
    </row>
    <row r="1358" spans="158:161" ht="74.25" customHeight="1" x14ac:dyDescent="0.2">
      <c r="FB1358" s="8" t="s">
        <v>3023</v>
      </c>
      <c r="FC1358" s="8" t="s">
        <v>3024</v>
      </c>
      <c r="FD1358" s="8">
        <v>0.05</v>
      </c>
      <c r="FE1358" s="8">
        <v>5.0000000000000001E-3</v>
      </c>
    </row>
    <row r="1359" spans="158:161" ht="74.25" customHeight="1" x14ac:dyDescent="0.2">
      <c r="FB1359" s="8" t="s">
        <v>3025</v>
      </c>
      <c r="FC1359" s="8" t="s">
        <v>3026</v>
      </c>
      <c r="FD1359" s="8">
        <v>190</v>
      </c>
      <c r="FE1359" s="8">
        <v>19</v>
      </c>
    </row>
    <row r="1360" spans="158:161" ht="74.25" customHeight="1" x14ac:dyDescent="0.2">
      <c r="FB1360" s="8" t="s">
        <v>3027</v>
      </c>
      <c r="FC1360" s="8" t="s">
        <v>3028</v>
      </c>
      <c r="FD1360" s="8">
        <v>260</v>
      </c>
      <c r="FE1360" s="8">
        <v>26</v>
      </c>
    </row>
    <row r="1361" spans="158:161" ht="74.25" customHeight="1" x14ac:dyDescent="0.2">
      <c r="FB1361" s="8" t="s">
        <v>3029</v>
      </c>
      <c r="FC1361" s="8" t="s">
        <v>3030</v>
      </c>
      <c r="FD1361" s="8">
        <v>1000</v>
      </c>
      <c r="FE1361" s="8">
        <v>100</v>
      </c>
    </row>
    <row r="1362" spans="158:161" ht="74.25" customHeight="1" x14ac:dyDescent="0.2">
      <c r="FB1362" s="8" t="s">
        <v>3031</v>
      </c>
      <c r="FC1362" s="8" t="s">
        <v>3032</v>
      </c>
      <c r="FD1362" s="8">
        <v>1000</v>
      </c>
      <c r="FE1362" s="8">
        <v>100</v>
      </c>
    </row>
    <row r="1363" spans="158:161" ht="74.25" customHeight="1" x14ac:dyDescent="0.2">
      <c r="FB1363" s="8" t="s">
        <v>3033</v>
      </c>
      <c r="FC1363" s="8" t="s">
        <v>3034</v>
      </c>
      <c r="FD1363" s="8">
        <v>410</v>
      </c>
      <c r="FE1363" s="8">
        <v>41</v>
      </c>
    </row>
    <row r="1364" spans="158:161" ht="74.25" customHeight="1" x14ac:dyDescent="0.2">
      <c r="FB1364" s="8" t="s">
        <v>3035</v>
      </c>
      <c r="FC1364" s="8" t="s">
        <v>3036</v>
      </c>
      <c r="FD1364" s="8">
        <v>1500</v>
      </c>
      <c r="FE1364" s="8">
        <v>150</v>
      </c>
    </row>
    <row r="1365" spans="158:161" ht="74.25" customHeight="1" x14ac:dyDescent="0.2">
      <c r="FB1365" s="8" t="s">
        <v>3037</v>
      </c>
      <c r="FC1365" s="8" t="s">
        <v>3038</v>
      </c>
      <c r="FD1365" s="8">
        <v>100</v>
      </c>
      <c r="FE1365" s="8">
        <v>10</v>
      </c>
    </row>
    <row r="1366" spans="158:161" ht="74.25" customHeight="1" x14ac:dyDescent="0.2">
      <c r="FB1366" s="8" t="s">
        <v>3039</v>
      </c>
      <c r="FC1366" s="8" t="s">
        <v>3040</v>
      </c>
      <c r="FD1366" s="8">
        <v>5700</v>
      </c>
      <c r="FE1366" s="8">
        <v>570</v>
      </c>
    </row>
    <row r="1367" spans="158:161" ht="74.25" customHeight="1" x14ac:dyDescent="0.2">
      <c r="FB1367" s="8" t="s">
        <v>3041</v>
      </c>
      <c r="FC1367" s="8" t="s">
        <v>3042</v>
      </c>
      <c r="FD1367" s="8">
        <v>260</v>
      </c>
      <c r="FE1367" s="8">
        <v>26</v>
      </c>
    </row>
    <row r="1368" spans="158:161" ht="74.25" customHeight="1" x14ac:dyDescent="0.2">
      <c r="FB1368" s="8" t="s">
        <v>3043</v>
      </c>
      <c r="FC1368" s="8" t="s">
        <v>3044</v>
      </c>
      <c r="FD1368" s="8">
        <v>500</v>
      </c>
      <c r="FE1368" s="8">
        <v>50</v>
      </c>
    </row>
    <row r="1369" spans="158:161" ht="74.25" customHeight="1" x14ac:dyDescent="0.2">
      <c r="FB1369" s="8" t="s">
        <v>3045</v>
      </c>
      <c r="FC1369" s="8" t="s">
        <v>3046</v>
      </c>
      <c r="FD1369" s="8">
        <v>20</v>
      </c>
      <c r="FE1369" s="8">
        <v>2</v>
      </c>
    </row>
    <row r="1370" spans="158:161" ht="74.25" customHeight="1" x14ac:dyDescent="0.2">
      <c r="FB1370" s="8" t="s">
        <v>3047</v>
      </c>
      <c r="FC1370" s="8" t="s">
        <v>3048</v>
      </c>
      <c r="FD1370" s="8">
        <v>260</v>
      </c>
      <c r="FE1370" s="8">
        <v>26</v>
      </c>
    </row>
    <row r="1371" spans="158:161" ht="74.25" customHeight="1" x14ac:dyDescent="0.2">
      <c r="FB1371" s="8" t="s">
        <v>3049</v>
      </c>
      <c r="FC1371" s="8" t="s">
        <v>3050</v>
      </c>
      <c r="FD1371" s="8">
        <v>1000</v>
      </c>
      <c r="FE1371" s="8">
        <v>100</v>
      </c>
    </row>
    <row r="1372" spans="158:161" ht="74.25" customHeight="1" x14ac:dyDescent="0.2">
      <c r="FB1372" s="8" t="s">
        <v>3051</v>
      </c>
      <c r="FC1372" s="8" t="s">
        <v>3052</v>
      </c>
      <c r="FD1372" s="8">
        <v>100</v>
      </c>
      <c r="FE1372" s="8">
        <v>10</v>
      </c>
    </row>
    <row r="1373" spans="158:161" ht="74.25" customHeight="1" x14ac:dyDescent="0.2">
      <c r="FB1373" s="8" t="s">
        <v>3053</v>
      </c>
      <c r="FC1373" s="8" t="s">
        <v>3054</v>
      </c>
      <c r="FD1373" s="8">
        <v>100</v>
      </c>
      <c r="FE1373" s="8">
        <v>10</v>
      </c>
    </row>
    <row r="1374" spans="158:161" ht="74.25" customHeight="1" x14ac:dyDescent="0.2">
      <c r="FB1374" s="8" t="s">
        <v>3055</v>
      </c>
      <c r="FC1374" s="8" t="s">
        <v>3056</v>
      </c>
      <c r="FD1374" s="8">
        <v>1000</v>
      </c>
      <c r="FE1374" s="8">
        <v>100</v>
      </c>
    </row>
    <row r="1375" spans="158:161" ht="74.25" customHeight="1" x14ac:dyDescent="0.2">
      <c r="FB1375" s="8" t="s">
        <v>3057</v>
      </c>
      <c r="FC1375" s="8" t="s">
        <v>3058</v>
      </c>
      <c r="FD1375" s="8">
        <v>1000</v>
      </c>
      <c r="FE1375" s="8">
        <v>100</v>
      </c>
    </row>
    <row r="1376" spans="158:161" ht="74.25" customHeight="1" x14ac:dyDescent="0.2">
      <c r="FB1376" s="8" t="s">
        <v>3059</v>
      </c>
      <c r="FC1376" s="8" t="s">
        <v>3060</v>
      </c>
      <c r="FD1376" s="8">
        <v>1000</v>
      </c>
      <c r="FE1376" s="8">
        <v>100</v>
      </c>
    </row>
    <row r="1377" spans="158:161" ht="74.25" customHeight="1" x14ac:dyDescent="0.2">
      <c r="FB1377" s="8" t="s">
        <v>3061</v>
      </c>
      <c r="FC1377" s="8" t="s">
        <v>3062</v>
      </c>
      <c r="FD1377" s="8">
        <v>1000</v>
      </c>
      <c r="FE1377" s="8">
        <v>100</v>
      </c>
    </row>
    <row r="1378" spans="158:161" ht="74.25" customHeight="1" x14ac:dyDescent="0.2">
      <c r="FB1378" s="8" t="s">
        <v>3063</v>
      </c>
      <c r="FC1378" s="8" t="s">
        <v>3064</v>
      </c>
      <c r="FD1378" s="8">
        <v>600</v>
      </c>
      <c r="FE1378" s="8">
        <v>60</v>
      </c>
    </row>
    <row r="1379" spans="158:161" ht="74.25" customHeight="1" x14ac:dyDescent="0.2">
      <c r="FB1379" s="8" t="s">
        <v>3065</v>
      </c>
      <c r="FC1379" s="8" t="s">
        <v>3066</v>
      </c>
      <c r="FD1379" s="8">
        <v>1000</v>
      </c>
      <c r="FE1379" s="8">
        <v>100</v>
      </c>
    </row>
    <row r="1380" spans="158:161" ht="74.25" customHeight="1" x14ac:dyDescent="0.2">
      <c r="FB1380" s="8" t="s">
        <v>3067</v>
      </c>
      <c r="FC1380" s="8" t="s">
        <v>3068</v>
      </c>
      <c r="FD1380" s="8">
        <v>1000</v>
      </c>
      <c r="FE1380" s="8">
        <v>100</v>
      </c>
    </row>
    <row r="1381" spans="158:161" ht="74.25" customHeight="1" x14ac:dyDescent="0.2">
      <c r="FB1381" s="8" t="s">
        <v>3069</v>
      </c>
      <c r="FC1381" s="8" t="s">
        <v>3070</v>
      </c>
      <c r="FD1381" s="8">
        <v>1000</v>
      </c>
      <c r="FE1381" s="8">
        <v>100</v>
      </c>
    </row>
    <row r="1382" spans="158:161" ht="74.25" customHeight="1" x14ac:dyDescent="0.2">
      <c r="FB1382" s="8" t="s">
        <v>3071</v>
      </c>
      <c r="FC1382" s="8" t="s">
        <v>3072</v>
      </c>
      <c r="FD1382" s="8">
        <v>1000</v>
      </c>
      <c r="FE1382" s="8">
        <v>100</v>
      </c>
    </row>
    <row r="1383" spans="158:161" ht="74.25" customHeight="1" x14ac:dyDescent="0.2">
      <c r="FB1383" s="8" t="s">
        <v>3073</v>
      </c>
      <c r="FC1383" s="8" t="s">
        <v>3074</v>
      </c>
      <c r="FD1383" s="8">
        <v>100</v>
      </c>
      <c r="FE1383" s="8">
        <v>10</v>
      </c>
    </row>
    <row r="1384" spans="158:161" ht="74.25" customHeight="1" x14ac:dyDescent="0.2">
      <c r="FB1384" s="8" t="s">
        <v>3075</v>
      </c>
      <c r="FC1384" s="8" t="s">
        <v>3076</v>
      </c>
      <c r="FD1384" s="8">
        <v>100</v>
      </c>
      <c r="FE1384" s="8">
        <v>10</v>
      </c>
    </row>
    <row r="1385" spans="158:161" ht="74.25" customHeight="1" x14ac:dyDescent="0.2">
      <c r="FB1385" s="8" t="s">
        <v>3077</v>
      </c>
      <c r="FC1385" s="8" t="s">
        <v>3078</v>
      </c>
      <c r="FD1385" s="8">
        <v>1670</v>
      </c>
      <c r="FE1385" s="8">
        <v>167</v>
      </c>
    </row>
    <row r="1386" spans="158:161" ht="74.25" customHeight="1" x14ac:dyDescent="0.2">
      <c r="FB1386" s="8" t="s">
        <v>3079</v>
      </c>
      <c r="FC1386" s="8" t="s">
        <v>3080</v>
      </c>
      <c r="FD1386" s="8">
        <v>120</v>
      </c>
      <c r="FE1386" s="8">
        <v>45</v>
      </c>
    </row>
    <row r="1387" spans="158:161" ht="74.25" customHeight="1" x14ac:dyDescent="0.2">
      <c r="FB1387" s="8" t="s">
        <v>3081</v>
      </c>
      <c r="FC1387" s="8" t="s">
        <v>3082</v>
      </c>
      <c r="FD1387" s="8">
        <v>740</v>
      </c>
      <c r="FE1387" s="8">
        <v>74</v>
      </c>
    </row>
    <row r="1388" spans="158:161" ht="74.25" customHeight="1" x14ac:dyDescent="0.2">
      <c r="FB1388" s="8" t="s">
        <v>3083</v>
      </c>
      <c r="FC1388" s="8" t="s">
        <v>3084</v>
      </c>
      <c r="FD1388" s="8">
        <v>320</v>
      </c>
      <c r="FE1388" s="8">
        <v>32</v>
      </c>
    </row>
    <row r="1389" spans="158:161" ht="74.25" customHeight="1" x14ac:dyDescent="0.2">
      <c r="FB1389" s="8" t="s">
        <v>3085</v>
      </c>
      <c r="FC1389" s="8" t="s">
        <v>3086</v>
      </c>
      <c r="FD1389" s="8">
        <v>50</v>
      </c>
      <c r="FE1389" s="8">
        <v>5</v>
      </c>
    </row>
    <row r="1390" spans="158:161" ht="74.25" customHeight="1" x14ac:dyDescent="0.2">
      <c r="FB1390" s="8" t="s">
        <v>3087</v>
      </c>
      <c r="FC1390" s="8" t="s">
        <v>3088</v>
      </c>
      <c r="FD1390" s="8">
        <v>100</v>
      </c>
      <c r="FE1390" s="8">
        <v>10</v>
      </c>
    </row>
    <row r="1391" spans="158:161" ht="74.25" customHeight="1" x14ac:dyDescent="0.2">
      <c r="FB1391" s="8" t="s">
        <v>3089</v>
      </c>
      <c r="FC1391" s="8" t="s">
        <v>3090</v>
      </c>
      <c r="FD1391" s="8">
        <v>250</v>
      </c>
      <c r="FE1391" s="8">
        <v>25</v>
      </c>
    </row>
    <row r="1392" spans="158:161" ht="74.25" customHeight="1" x14ac:dyDescent="0.2">
      <c r="FB1392" s="8" t="s">
        <v>3091</v>
      </c>
      <c r="FC1392" s="8" t="s">
        <v>3092</v>
      </c>
      <c r="FD1392" s="8">
        <v>250</v>
      </c>
      <c r="FE1392" s="8">
        <v>25</v>
      </c>
    </row>
    <row r="1393" spans="158:161" ht="74.25" customHeight="1" x14ac:dyDescent="0.2">
      <c r="FB1393" s="8" t="s">
        <v>3093</v>
      </c>
      <c r="FC1393" s="8" t="s">
        <v>3094</v>
      </c>
      <c r="FD1393" s="8">
        <v>2750</v>
      </c>
      <c r="FE1393" s="8">
        <v>275</v>
      </c>
    </row>
    <row r="1394" spans="158:161" ht="74.25" customHeight="1" x14ac:dyDescent="0.2">
      <c r="FB1394" s="8" t="s">
        <v>3095</v>
      </c>
      <c r="FC1394" s="8" t="s">
        <v>3096</v>
      </c>
      <c r="FD1394" s="8">
        <v>2750</v>
      </c>
      <c r="FE1394" s="8">
        <v>275</v>
      </c>
    </row>
    <row r="1395" spans="158:161" ht="74.25" customHeight="1" x14ac:dyDescent="0.2">
      <c r="FB1395" s="8" t="s">
        <v>3097</v>
      </c>
      <c r="FC1395" s="8" t="s">
        <v>3098</v>
      </c>
      <c r="FD1395" s="8">
        <v>2750</v>
      </c>
      <c r="FE1395" s="8">
        <v>275</v>
      </c>
    </row>
    <row r="1396" spans="158:161" ht="74.25" customHeight="1" x14ac:dyDescent="0.2">
      <c r="FB1396" s="8" t="s">
        <v>3099</v>
      </c>
      <c r="FC1396" s="8" t="s">
        <v>3100</v>
      </c>
      <c r="FD1396" s="8">
        <v>1000</v>
      </c>
      <c r="FE1396" s="8">
        <v>100</v>
      </c>
    </row>
    <row r="1397" spans="158:161" ht="74.25" customHeight="1" x14ac:dyDescent="0.2">
      <c r="FB1397" s="8" t="s">
        <v>3101</v>
      </c>
      <c r="FC1397" s="8" t="s">
        <v>3102</v>
      </c>
      <c r="FD1397" s="8">
        <v>120</v>
      </c>
      <c r="FE1397" s="8">
        <v>12</v>
      </c>
    </row>
    <row r="1398" spans="158:161" ht="74.25" customHeight="1" x14ac:dyDescent="0.2">
      <c r="FB1398" s="8" t="s">
        <v>3103</v>
      </c>
      <c r="FC1398" s="8" t="s">
        <v>3104</v>
      </c>
      <c r="FD1398" s="8">
        <v>3000</v>
      </c>
      <c r="FE1398" s="8">
        <v>300</v>
      </c>
    </row>
    <row r="1399" spans="158:161" ht="74.25" customHeight="1" x14ac:dyDescent="0.2">
      <c r="FB1399" s="8" t="s">
        <v>3105</v>
      </c>
      <c r="FC1399" s="8" t="s">
        <v>3106</v>
      </c>
      <c r="FD1399" s="8">
        <v>450</v>
      </c>
      <c r="FE1399" s="8">
        <v>45</v>
      </c>
    </row>
    <row r="1400" spans="158:161" ht="74.25" customHeight="1" x14ac:dyDescent="0.2">
      <c r="FB1400" s="8" t="s">
        <v>3107</v>
      </c>
      <c r="FC1400" s="8" t="s">
        <v>3108</v>
      </c>
      <c r="FD1400" s="8">
        <v>220</v>
      </c>
      <c r="FE1400" s="8">
        <v>22</v>
      </c>
    </row>
    <row r="1401" spans="158:161" ht="74.25" customHeight="1" x14ac:dyDescent="0.2">
      <c r="FB1401" s="8" t="s">
        <v>3109</v>
      </c>
      <c r="FC1401" s="8" t="s">
        <v>3110</v>
      </c>
      <c r="FD1401" s="8">
        <v>220</v>
      </c>
      <c r="FE1401" s="8">
        <v>22</v>
      </c>
    </row>
    <row r="1402" spans="158:161" ht="74.25" customHeight="1" x14ac:dyDescent="0.2">
      <c r="FB1402" s="8" t="s">
        <v>3111</v>
      </c>
      <c r="FC1402" s="8" t="s">
        <v>3112</v>
      </c>
      <c r="FD1402" s="8">
        <v>7800</v>
      </c>
      <c r="FE1402" s="8">
        <v>4800</v>
      </c>
    </row>
    <row r="1403" spans="158:161" ht="74.25" customHeight="1" x14ac:dyDescent="0.2">
      <c r="FB1403" s="8" t="s">
        <v>3113</v>
      </c>
      <c r="FC1403" s="8" t="s">
        <v>3114</v>
      </c>
      <c r="FD1403" s="8">
        <v>40</v>
      </c>
      <c r="FE1403" s="8">
        <v>4</v>
      </c>
    </row>
    <row r="1404" spans="158:161" ht="74.25" customHeight="1" x14ac:dyDescent="0.2">
      <c r="FB1404" s="8" t="s">
        <v>3115</v>
      </c>
      <c r="FC1404" s="8" t="s">
        <v>3116</v>
      </c>
      <c r="FD1404" s="8">
        <v>2950</v>
      </c>
      <c r="FE1404" s="8">
        <v>295</v>
      </c>
    </row>
    <row r="1405" spans="158:161" ht="74.25" customHeight="1" x14ac:dyDescent="0.2">
      <c r="FB1405" s="8" t="s">
        <v>3117</v>
      </c>
      <c r="FC1405" s="8" t="s">
        <v>3118</v>
      </c>
      <c r="FD1405" s="8">
        <v>340</v>
      </c>
      <c r="FE1405" s="8">
        <v>34</v>
      </c>
    </row>
    <row r="1406" spans="158:161" ht="74.25" customHeight="1" x14ac:dyDescent="0.2">
      <c r="FB1406" s="8" t="s">
        <v>3119</v>
      </c>
      <c r="FC1406" s="8" t="s">
        <v>3120</v>
      </c>
      <c r="FD1406" s="8">
        <v>490</v>
      </c>
      <c r="FE1406" s="8">
        <v>49</v>
      </c>
    </row>
    <row r="1407" spans="158:161" ht="74.25" customHeight="1" x14ac:dyDescent="0.2">
      <c r="FB1407" s="8" t="s">
        <v>3121</v>
      </c>
      <c r="FC1407" s="8" t="s">
        <v>3122</v>
      </c>
      <c r="FD1407" s="8">
        <v>250</v>
      </c>
      <c r="FE1407" s="8">
        <v>25</v>
      </c>
    </row>
    <row r="1408" spans="158:161" ht="74.25" customHeight="1" x14ac:dyDescent="0.2">
      <c r="FB1408" s="8" t="s">
        <v>3123</v>
      </c>
      <c r="FC1408" s="8" t="s">
        <v>3124</v>
      </c>
      <c r="FD1408" s="8">
        <v>2.2999999999999998</v>
      </c>
      <c r="FE1408" s="8">
        <v>0.23</v>
      </c>
    </row>
    <row r="1409" spans="158:161" ht="74.25" customHeight="1" x14ac:dyDescent="0.2">
      <c r="FB1409" s="8" t="s">
        <v>3125</v>
      </c>
      <c r="FC1409" s="8" t="s">
        <v>9450</v>
      </c>
      <c r="FD1409" s="8">
        <v>17</v>
      </c>
      <c r="FE1409" s="8">
        <v>8.1</v>
      </c>
    </row>
    <row r="1410" spans="158:161" ht="74.25" customHeight="1" x14ac:dyDescent="0.2">
      <c r="FB1410" s="8" t="s">
        <v>3126</v>
      </c>
      <c r="FC1410" s="8" t="s">
        <v>9451</v>
      </c>
      <c r="FD1410" s="8">
        <v>2.8</v>
      </c>
      <c r="FE1410" s="8">
        <v>0.56999999999999995</v>
      </c>
    </row>
    <row r="1411" spans="158:161" ht="74.25" customHeight="1" x14ac:dyDescent="0.2">
      <c r="FB1411" s="8" t="s">
        <v>3127</v>
      </c>
      <c r="FC1411" s="8" t="s">
        <v>3128</v>
      </c>
      <c r="FD1411" s="8" t="s">
        <v>9511</v>
      </c>
      <c r="FE1411" s="8">
        <v>0.71</v>
      </c>
    </row>
    <row r="1412" spans="158:161" ht="74.25" customHeight="1" x14ac:dyDescent="0.2">
      <c r="FB1412" s="8" t="s">
        <v>3129</v>
      </c>
      <c r="FC1412" s="8" t="s">
        <v>3130</v>
      </c>
      <c r="FD1412" s="8">
        <v>100</v>
      </c>
      <c r="FE1412" s="8">
        <v>10</v>
      </c>
    </row>
    <row r="1413" spans="158:161" ht="74.25" customHeight="1" x14ac:dyDescent="0.2">
      <c r="FB1413" s="8" t="s">
        <v>3131</v>
      </c>
      <c r="FC1413" s="8" t="s">
        <v>3132</v>
      </c>
      <c r="FD1413" s="8">
        <v>500</v>
      </c>
      <c r="FE1413" s="8">
        <v>50</v>
      </c>
    </row>
    <row r="1414" spans="158:161" ht="74.25" customHeight="1" x14ac:dyDescent="0.2">
      <c r="FB1414" s="8" t="s">
        <v>3133</v>
      </c>
      <c r="FC1414" s="8" t="s">
        <v>3134</v>
      </c>
      <c r="FD1414" s="8">
        <v>26600</v>
      </c>
      <c r="FE1414" s="8">
        <v>2660</v>
      </c>
    </row>
    <row r="1415" spans="158:161" ht="74.25" customHeight="1" x14ac:dyDescent="0.2">
      <c r="FB1415" s="8" t="s">
        <v>3135</v>
      </c>
      <c r="FC1415" s="8" t="s">
        <v>3136</v>
      </c>
      <c r="FD1415" s="8">
        <v>50</v>
      </c>
      <c r="FE1415" s="8">
        <v>5</v>
      </c>
    </row>
    <row r="1416" spans="158:161" ht="74.25" customHeight="1" x14ac:dyDescent="0.2">
      <c r="FB1416" s="8" t="s">
        <v>3137</v>
      </c>
      <c r="FC1416" s="8" t="s">
        <v>3138</v>
      </c>
      <c r="FD1416" s="8">
        <v>1000</v>
      </c>
      <c r="FE1416" s="8">
        <v>100</v>
      </c>
    </row>
    <row r="1417" spans="158:161" ht="74.25" customHeight="1" x14ac:dyDescent="0.2">
      <c r="FB1417" s="8" t="s">
        <v>3139</v>
      </c>
      <c r="FC1417" s="8" t="s">
        <v>3140</v>
      </c>
      <c r="FD1417" s="8">
        <v>1000</v>
      </c>
      <c r="FE1417" s="8">
        <v>100</v>
      </c>
    </row>
    <row r="1418" spans="158:161" ht="74.25" customHeight="1" x14ac:dyDescent="0.2">
      <c r="FB1418" s="8" t="s">
        <v>3141</v>
      </c>
      <c r="FC1418" s="8" t="s">
        <v>3142</v>
      </c>
      <c r="FD1418" s="8">
        <v>3.2</v>
      </c>
      <c r="FE1418" s="8">
        <v>0.82</v>
      </c>
    </row>
    <row r="1419" spans="158:161" ht="74.25" customHeight="1" x14ac:dyDescent="0.2">
      <c r="FB1419" s="8" t="s">
        <v>3143</v>
      </c>
      <c r="FC1419" s="8" t="s">
        <v>3144</v>
      </c>
      <c r="FD1419" s="8">
        <v>0.3</v>
      </c>
      <c r="FE1419" s="8">
        <v>0.03</v>
      </c>
    </row>
    <row r="1420" spans="158:161" ht="74.25" customHeight="1" x14ac:dyDescent="0.2">
      <c r="FB1420" s="8" t="s">
        <v>3145</v>
      </c>
      <c r="FC1420" s="8" t="s">
        <v>3146</v>
      </c>
      <c r="FD1420" s="8">
        <v>60</v>
      </c>
      <c r="FE1420" s="8">
        <v>6</v>
      </c>
    </row>
    <row r="1421" spans="158:161" ht="74.25" customHeight="1" x14ac:dyDescent="0.2">
      <c r="FB1421" s="8" t="s">
        <v>3147</v>
      </c>
      <c r="FC1421" s="8" t="s">
        <v>3148</v>
      </c>
      <c r="FD1421" s="8">
        <v>330</v>
      </c>
      <c r="FE1421" s="8">
        <v>2.1</v>
      </c>
    </row>
    <row r="1422" spans="158:161" ht="74.25" customHeight="1" x14ac:dyDescent="0.2">
      <c r="FB1422" s="8" t="s">
        <v>3149</v>
      </c>
      <c r="FC1422" s="8" t="s">
        <v>3149</v>
      </c>
      <c r="FD1422" s="8">
        <v>160</v>
      </c>
      <c r="FE1422" s="8">
        <v>16</v>
      </c>
    </row>
    <row r="1423" spans="158:161" ht="74.25" customHeight="1" x14ac:dyDescent="0.2">
      <c r="FB1423" s="8" t="s">
        <v>3150</v>
      </c>
      <c r="FC1423" s="8" t="s">
        <v>3151</v>
      </c>
      <c r="FD1423" s="8">
        <v>2900</v>
      </c>
      <c r="FE1423" s="8">
        <v>290</v>
      </c>
    </row>
    <row r="1424" spans="158:161" ht="74.25" customHeight="1" x14ac:dyDescent="0.2">
      <c r="FB1424" s="8" t="s">
        <v>3152</v>
      </c>
      <c r="FC1424" s="8" t="s">
        <v>3153</v>
      </c>
      <c r="FD1424" s="8">
        <v>50</v>
      </c>
      <c r="FE1424" s="8">
        <v>5</v>
      </c>
    </row>
    <row r="1425" spans="158:161" ht="74.25" customHeight="1" x14ac:dyDescent="0.2">
      <c r="FB1425" s="8" t="s">
        <v>3154</v>
      </c>
      <c r="FC1425" s="8" t="s">
        <v>3155</v>
      </c>
      <c r="FD1425" s="8">
        <v>100</v>
      </c>
      <c r="FE1425" s="8">
        <v>10</v>
      </c>
    </row>
    <row r="1426" spans="158:161" ht="74.25" customHeight="1" x14ac:dyDescent="0.2">
      <c r="FB1426" s="8" t="s">
        <v>3156</v>
      </c>
      <c r="FC1426" s="8" t="s">
        <v>3157</v>
      </c>
      <c r="FD1426" s="8">
        <v>90</v>
      </c>
      <c r="FE1426" s="8">
        <v>9</v>
      </c>
    </row>
    <row r="1427" spans="158:161" ht="74.25" customHeight="1" x14ac:dyDescent="0.2">
      <c r="FB1427" s="8" t="s">
        <v>3158</v>
      </c>
      <c r="FC1427" s="8" t="s">
        <v>3159</v>
      </c>
      <c r="FD1427" s="8">
        <v>0.8</v>
      </c>
      <c r="FE1427" s="8">
        <v>0.08</v>
      </c>
    </row>
    <row r="1428" spans="158:161" ht="74.25" customHeight="1" x14ac:dyDescent="0.2">
      <c r="FB1428" s="8" t="s">
        <v>3160</v>
      </c>
      <c r="FC1428" s="8" t="s">
        <v>3161</v>
      </c>
      <c r="FD1428" s="8">
        <v>10</v>
      </c>
      <c r="FE1428" s="8">
        <v>1</v>
      </c>
    </row>
    <row r="1429" spans="158:161" ht="74.25" customHeight="1" x14ac:dyDescent="0.2">
      <c r="FB1429" s="8" t="s">
        <v>9887</v>
      </c>
      <c r="FC1429" s="8" t="s">
        <v>9887</v>
      </c>
      <c r="FD1429" s="8">
        <v>600</v>
      </c>
      <c r="FE1429" s="8">
        <v>60</v>
      </c>
    </row>
    <row r="1430" spans="158:161" ht="74.25" customHeight="1" x14ac:dyDescent="0.2">
      <c r="FB1430" s="8" t="s">
        <v>3162</v>
      </c>
      <c r="FC1430" s="8" t="s">
        <v>3162</v>
      </c>
      <c r="FD1430" s="8">
        <v>600</v>
      </c>
      <c r="FE1430" s="8">
        <v>60</v>
      </c>
    </row>
    <row r="1431" spans="158:161" ht="74.25" customHeight="1" x14ac:dyDescent="0.2">
      <c r="FB1431" s="8" t="s">
        <v>3163</v>
      </c>
      <c r="FC1431" s="8" t="s">
        <v>3163</v>
      </c>
      <c r="FD1431" s="8">
        <v>600</v>
      </c>
      <c r="FE1431" s="8">
        <v>60</v>
      </c>
    </row>
    <row r="1432" spans="158:161" ht="74.25" customHeight="1" x14ac:dyDescent="0.2">
      <c r="FB1432" s="8" t="s">
        <v>3164</v>
      </c>
      <c r="FC1432" s="8" t="s">
        <v>3164</v>
      </c>
      <c r="FD1432" s="8">
        <v>2000</v>
      </c>
      <c r="FE1432" s="8">
        <v>200</v>
      </c>
    </row>
    <row r="1433" spans="158:161" ht="74.25" customHeight="1" x14ac:dyDescent="0.2">
      <c r="FB1433" s="8" t="s">
        <v>3165</v>
      </c>
      <c r="FC1433" s="8" t="s">
        <v>3166</v>
      </c>
      <c r="FD1433" s="8">
        <v>1500</v>
      </c>
      <c r="FE1433" s="8">
        <v>150</v>
      </c>
    </row>
    <row r="1434" spans="158:161" ht="74.25" customHeight="1" x14ac:dyDescent="0.2">
      <c r="FB1434" s="8" t="s">
        <v>3167</v>
      </c>
      <c r="FC1434" s="8" t="s">
        <v>3168</v>
      </c>
      <c r="FD1434" s="8">
        <v>1500</v>
      </c>
      <c r="FE1434" s="8">
        <v>150</v>
      </c>
    </row>
    <row r="1435" spans="158:161" ht="74.25" customHeight="1" x14ac:dyDescent="0.2">
      <c r="FB1435" s="8" t="s">
        <v>3169</v>
      </c>
      <c r="FC1435" s="8" t="s">
        <v>3170</v>
      </c>
      <c r="FD1435" s="8">
        <v>600</v>
      </c>
      <c r="FE1435" s="8">
        <v>60</v>
      </c>
    </row>
    <row r="1436" spans="158:161" ht="74.25" customHeight="1" x14ac:dyDescent="0.2">
      <c r="FB1436" s="8" t="s">
        <v>3171</v>
      </c>
      <c r="FC1436" s="8" t="s">
        <v>3172</v>
      </c>
      <c r="FD1436" s="8">
        <v>600</v>
      </c>
      <c r="FE1436" s="8">
        <v>60</v>
      </c>
    </row>
    <row r="1437" spans="158:161" ht="74.25" customHeight="1" x14ac:dyDescent="0.2">
      <c r="FB1437" s="8" t="s">
        <v>3173</v>
      </c>
      <c r="FC1437" s="8" t="s">
        <v>3174</v>
      </c>
      <c r="FD1437" s="8">
        <v>2000</v>
      </c>
      <c r="FE1437" s="8">
        <v>200</v>
      </c>
    </row>
    <row r="1438" spans="158:161" ht="74.25" customHeight="1" x14ac:dyDescent="0.2">
      <c r="FB1438" s="8" t="s">
        <v>3175</v>
      </c>
      <c r="FC1438" s="8" t="s">
        <v>3176</v>
      </c>
      <c r="FD1438" s="8">
        <v>600</v>
      </c>
      <c r="FE1438" s="8">
        <v>60</v>
      </c>
    </row>
    <row r="1439" spans="158:161" ht="74.25" customHeight="1" x14ac:dyDescent="0.2">
      <c r="FB1439" s="8" t="s">
        <v>3177</v>
      </c>
      <c r="FC1439" s="8" t="s">
        <v>3178</v>
      </c>
      <c r="FD1439" s="8">
        <v>600</v>
      </c>
      <c r="FE1439" s="8">
        <v>60</v>
      </c>
    </row>
    <row r="1440" spans="158:161" ht="74.25" customHeight="1" x14ac:dyDescent="0.2">
      <c r="FB1440" s="8" t="s">
        <v>3179</v>
      </c>
      <c r="FC1440" s="8" t="s">
        <v>3180</v>
      </c>
      <c r="FD1440" s="8">
        <v>600</v>
      </c>
      <c r="FE1440" s="8">
        <v>60</v>
      </c>
    </row>
    <row r="1441" spans="158:161" ht="74.25" customHeight="1" x14ac:dyDescent="0.2">
      <c r="FB1441" s="8" t="s">
        <v>3181</v>
      </c>
      <c r="FC1441" s="8" t="s">
        <v>3182</v>
      </c>
      <c r="FD1441" s="8">
        <v>600</v>
      </c>
      <c r="FE1441" s="8">
        <v>60</v>
      </c>
    </row>
    <row r="1442" spans="158:161" ht="74.25" customHeight="1" x14ac:dyDescent="0.2">
      <c r="FB1442" s="8" t="s">
        <v>3183</v>
      </c>
      <c r="FC1442" s="8" t="s">
        <v>3184</v>
      </c>
      <c r="FD1442" s="8">
        <v>600</v>
      </c>
      <c r="FE1442" s="8">
        <v>60</v>
      </c>
    </row>
    <row r="1443" spans="158:161" ht="74.25" customHeight="1" x14ac:dyDescent="0.2">
      <c r="FB1443" s="8" t="s">
        <v>3185</v>
      </c>
      <c r="FC1443" s="8" t="s">
        <v>3186</v>
      </c>
      <c r="FD1443" s="8">
        <v>2000</v>
      </c>
      <c r="FE1443" s="8">
        <v>200</v>
      </c>
    </row>
    <row r="1444" spans="158:161" ht="74.25" customHeight="1" x14ac:dyDescent="0.2">
      <c r="FB1444" s="8" t="s">
        <v>3187</v>
      </c>
      <c r="FC1444" s="8" t="s">
        <v>3188</v>
      </c>
      <c r="FD1444" s="8">
        <v>600</v>
      </c>
      <c r="FE1444" s="8">
        <v>60</v>
      </c>
    </row>
    <row r="1445" spans="158:161" ht="74.25" customHeight="1" x14ac:dyDescent="0.2">
      <c r="FB1445" s="8" t="s">
        <v>3189</v>
      </c>
      <c r="FC1445" s="8" t="s">
        <v>3190</v>
      </c>
      <c r="FD1445" s="8">
        <v>600</v>
      </c>
      <c r="FE1445" s="8">
        <v>60</v>
      </c>
    </row>
    <row r="1446" spans="158:161" ht="74.25" customHeight="1" x14ac:dyDescent="0.2">
      <c r="FB1446" s="8" t="s">
        <v>3191</v>
      </c>
      <c r="FC1446" s="8" t="s">
        <v>3192</v>
      </c>
      <c r="FD1446" s="8">
        <v>600</v>
      </c>
      <c r="FE1446" s="8">
        <v>60</v>
      </c>
    </row>
    <row r="1447" spans="158:161" ht="74.25" customHeight="1" x14ac:dyDescent="0.2">
      <c r="FB1447" s="8" t="s">
        <v>3193</v>
      </c>
      <c r="FC1447" s="8" t="s">
        <v>3194</v>
      </c>
      <c r="FD1447" s="8">
        <v>600</v>
      </c>
      <c r="FE1447" s="8">
        <v>60</v>
      </c>
    </row>
    <row r="1448" spans="158:161" ht="74.25" customHeight="1" x14ac:dyDescent="0.2">
      <c r="FB1448" s="8" t="s">
        <v>3195</v>
      </c>
      <c r="FC1448" s="8" t="s">
        <v>3196</v>
      </c>
      <c r="FD1448" s="8">
        <v>2000</v>
      </c>
      <c r="FE1448" s="8">
        <v>200</v>
      </c>
    </row>
    <row r="1449" spans="158:161" ht="74.25" customHeight="1" x14ac:dyDescent="0.2">
      <c r="FB1449" s="8" t="s">
        <v>3197</v>
      </c>
      <c r="FC1449" s="8" t="s">
        <v>3198</v>
      </c>
      <c r="FD1449" s="8">
        <v>600</v>
      </c>
      <c r="FE1449" s="8">
        <v>60</v>
      </c>
    </row>
    <row r="1450" spans="158:161" ht="74.25" customHeight="1" x14ac:dyDescent="0.2">
      <c r="FB1450" s="8" t="s">
        <v>3199</v>
      </c>
      <c r="FC1450" s="8" t="s">
        <v>3200</v>
      </c>
      <c r="FD1450" s="8">
        <v>600</v>
      </c>
      <c r="FE1450" s="8">
        <v>60</v>
      </c>
    </row>
    <row r="1451" spans="158:161" ht="74.25" customHeight="1" x14ac:dyDescent="0.2">
      <c r="FB1451" s="8" t="s">
        <v>3201</v>
      </c>
      <c r="FC1451" s="8" t="s">
        <v>3202</v>
      </c>
      <c r="FD1451" s="8">
        <v>600</v>
      </c>
      <c r="FE1451" s="8">
        <v>60</v>
      </c>
    </row>
    <row r="1452" spans="158:161" ht="74.25" customHeight="1" x14ac:dyDescent="0.2">
      <c r="FB1452" s="8" t="s">
        <v>3203</v>
      </c>
      <c r="FC1452" s="8" t="s">
        <v>3204</v>
      </c>
      <c r="FD1452" s="8">
        <v>600</v>
      </c>
      <c r="FE1452" s="8">
        <v>60</v>
      </c>
    </row>
    <row r="1453" spans="158:161" ht="74.25" customHeight="1" x14ac:dyDescent="0.2">
      <c r="FB1453" s="8" t="s">
        <v>3205</v>
      </c>
      <c r="FC1453" s="8" t="s">
        <v>3206</v>
      </c>
      <c r="FD1453" s="8">
        <v>2000</v>
      </c>
      <c r="FE1453" s="8">
        <v>200</v>
      </c>
    </row>
    <row r="1454" spans="158:161" ht="74.25" customHeight="1" x14ac:dyDescent="0.2">
      <c r="FB1454" s="8" t="s">
        <v>3207</v>
      </c>
      <c r="FC1454" s="8" t="s">
        <v>3208</v>
      </c>
      <c r="FD1454" s="8">
        <v>600</v>
      </c>
      <c r="FE1454" s="8">
        <v>60</v>
      </c>
    </row>
    <row r="1455" spans="158:161" ht="74.25" customHeight="1" x14ac:dyDescent="0.2">
      <c r="FB1455" s="8" t="s">
        <v>3209</v>
      </c>
      <c r="FC1455" s="8" t="s">
        <v>3210</v>
      </c>
      <c r="FD1455" s="8">
        <v>2000</v>
      </c>
      <c r="FE1455" s="8">
        <v>200</v>
      </c>
    </row>
    <row r="1456" spans="158:161" ht="74.25" customHeight="1" x14ac:dyDescent="0.2">
      <c r="FB1456" s="8" t="s">
        <v>3211</v>
      </c>
      <c r="FC1456" s="8" t="s">
        <v>3212</v>
      </c>
      <c r="FD1456" s="8">
        <v>600</v>
      </c>
      <c r="FE1456" s="8">
        <v>60</v>
      </c>
    </row>
    <row r="1457" spans="158:161" ht="74.25" customHeight="1" x14ac:dyDescent="0.2">
      <c r="FB1457" s="8" t="s">
        <v>3213</v>
      </c>
      <c r="FC1457" s="8" t="s">
        <v>3214</v>
      </c>
      <c r="FD1457" s="8">
        <v>600</v>
      </c>
      <c r="FE1457" s="8">
        <v>60</v>
      </c>
    </row>
    <row r="1458" spans="158:161" ht="74.25" customHeight="1" x14ac:dyDescent="0.2">
      <c r="FB1458" s="8" t="s">
        <v>3215</v>
      </c>
      <c r="FC1458" s="8" t="s">
        <v>3216</v>
      </c>
      <c r="FD1458" s="8">
        <v>2000</v>
      </c>
      <c r="FE1458" s="8">
        <v>200</v>
      </c>
    </row>
    <row r="1459" spans="158:161" ht="74.25" customHeight="1" x14ac:dyDescent="0.2">
      <c r="FB1459" s="8" t="s">
        <v>3217</v>
      </c>
      <c r="FC1459" s="8" t="s">
        <v>3218</v>
      </c>
      <c r="FD1459" s="8">
        <v>600</v>
      </c>
      <c r="FE1459" s="8">
        <v>60</v>
      </c>
    </row>
    <row r="1460" spans="158:161" ht="74.25" customHeight="1" x14ac:dyDescent="0.2">
      <c r="FB1460" s="8" t="s">
        <v>3219</v>
      </c>
      <c r="FC1460" s="8" t="s">
        <v>3220</v>
      </c>
      <c r="FD1460" s="8">
        <v>410</v>
      </c>
      <c r="FE1460" s="8">
        <v>41</v>
      </c>
    </row>
    <row r="1461" spans="158:161" ht="74.25" customHeight="1" x14ac:dyDescent="0.2">
      <c r="FB1461" s="8" t="s">
        <v>3221</v>
      </c>
      <c r="FC1461" s="8" t="s">
        <v>3222</v>
      </c>
      <c r="FD1461" s="8">
        <v>600</v>
      </c>
      <c r="FE1461" s="8">
        <v>60</v>
      </c>
    </row>
    <row r="1462" spans="158:161" ht="74.25" customHeight="1" x14ac:dyDescent="0.2">
      <c r="FB1462" s="8" t="s">
        <v>3223</v>
      </c>
      <c r="FC1462" s="8" t="s">
        <v>3224</v>
      </c>
      <c r="FD1462" s="8">
        <v>600</v>
      </c>
      <c r="FE1462" s="8">
        <v>60</v>
      </c>
    </row>
    <row r="1463" spans="158:161" ht="74.25" customHeight="1" x14ac:dyDescent="0.2">
      <c r="FB1463" s="8" t="s">
        <v>3225</v>
      </c>
      <c r="FC1463" s="8" t="s">
        <v>3226</v>
      </c>
      <c r="FD1463" s="8">
        <v>600</v>
      </c>
      <c r="FE1463" s="8">
        <v>60</v>
      </c>
    </row>
    <row r="1464" spans="158:161" ht="74.25" customHeight="1" x14ac:dyDescent="0.2">
      <c r="FB1464" s="8" t="s">
        <v>3227</v>
      </c>
      <c r="FC1464" s="8" t="s">
        <v>3228</v>
      </c>
      <c r="FD1464" s="8">
        <v>2000</v>
      </c>
      <c r="FE1464" s="8">
        <v>200</v>
      </c>
    </row>
    <row r="1465" spans="158:161" ht="74.25" customHeight="1" x14ac:dyDescent="0.2">
      <c r="FB1465" s="8" t="s">
        <v>3229</v>
      </c>
      <c r="FC1465" s="8" t="s">
        <v>3230</v>
      </c>
      <c r="FD1465" s="8">
        <v>600</v>
      </c>
      <c r="FE1465" s="8">
        <v>60</v>
      </c>
    </row>
    <row r="1466" spans="158:161" ht="74.25" customHeight="1" x14ac:dyDescent="0.2">
      <c r="FB1466" s="8" t="s">
        <v>3231</v>
      </c>
      <c r="FC1466" s="8" t="s">
        <v>3232</v>
      </c>
      <c r="FD1466" s="8">
        <v>600</v>
      </c>
      <c r="FE1466" s="8">
        <v>60</v>
      </c>
    </row>
    <row r="1467" spans="158:161" ht="74.25" customHeight="1" x14ac:dyDescent="0.2">
      <c r="FB1467" s="8" t="s">
        <v>3233</v>
      </c>
      <c r="FC1467" s="8" t="s">
        <v>3234</v>
      </c>
      <c r="FD1467" s="8">
        <v>600</v>
      </c>
      <c r="FE1467" s="8">
        <v>60</v>
      </c>
    </row>
    <row r="1468" spans="158:161" ht="74.25" customHeight="1" x14ac:dyDescent="0.2">
      <c r="FB1468" s="8" t="s">
        <v>3235</v>
      </c>
      <c r="FC1468" s="8" t="s">
        <v>3236</v>
      </c>
      <c r="FD1468" s="8">
        <v>2000</v>
      </c>
      <c r="FE1468" s="8">
        <v>200</v>
      </c>
    </row>
    <row r="1469" spans="158:161" ht="74.25" customHeight="1" x14ac:dyDescent="0.2">
      <c r="FB1469" s="8" t="s">
        <v>3237</v>
      </c>
      <c r="FC1469" s="8" t="s">
        <v>3238</v>
      </c>
      <c r="FD1469" s="8">
        <v>600</v>
      </c>
      <c r="FE1469" s="8">
        <v>60</v>
      </c>
    </row>
    <row r="1470" spans="158:161" ht="74.25" customHeight="1" x14ac:dyDescent="0.2">
      <c r="FB1470" s="8" t="s">
        <v>3239</v>
      </c>
      <c r="FC1470" s="8" t="s">
        <v>3239</v>
      </c>
      <c r="FD1470" s="8">
        <v>1800</v>
      </c>
      <c r="FE1470" s="8">
        <v>180</v>
      </c>
    </row>
    <row r="1471" spans="158:161" ht="74.25" customHeight="1" x14ac:dyDescent="0.2">
      <c r="FB1471" s="8" t="s">
        <v>3240</v>
      </c>
      <c r="FC1471" s="8" t="s">
        <v>3241</v>
      </c>
      <c r="FD1471" s="8">
        <v>1800</v>
      </c>
      <c r="FE1471" s="8">
        <v>180</v>
      </c>
    </row>
    <row r="1472" spans="158:161" ht="74.25" customHeight="1" x14ac:dyDescent="0.2">
      <c r="FB1472" s="8" t="s">
        <v>3242</v>
      </c>
      <c r="FC1472" s="8" t="s">
        <v>3242</v>
      </c>
      <c r="FD1472" s="8">
        <v>100</v>
      </c>
      <c r="FE1472" s="8">
        <v>10</v>
      </c>
    </row>
    <row r="1473" spans="158:161" ht="74.25" customHeight="1" x14ac:dyDescent="0.2">
      <c r="FB1473" s="8" t="s">
        <v>3243</v>
      </c>
      <c r="FC1473" s="8" t="s">
        <v>3243</v>
      </c>
      <c r="FD1473" s="8">
        <v>500</v>
      </c>
      <c r="FE1473" s="8">
        <v>50</v>
      </c>
    </row>
    <row r="1474" spans="158:161" ht="74.25" customHeight="1" x14ac:dyDescent="0.2">
      <c r="FB1474" s="8" t="s">
        <v>3244</v>
      </c>
      <c r="FC1474" s="8" t="s">
        <v>3244</v>
      </c>
      <c r="FD1474" s="8">
        <v>50</v>
      </c>
      <c r="FE1474" s="8">
        <v>5</v>
      </c>
    </row>
    <row r="1475" spans="158:161" ht="74.25" customHeight="1" x14ac:dyDescent="0.2">
      <c r="FB1475" s="8" t="s">
        <v>3245</v>
      </c>
      <c r="FC1475" s="8" t="s">
        <v>3246</v>
      </c>
      <c r="FD1475" s="8">
        <v>2450</v>
      </c>
      <c r="FE1475" s="8">
        <v>245</v>
      </c>
    </row>
    <row r="1476" spans="158:161" ht="74.25" customHeight="1" x14ac:dyDescent="0.2">
      <c r="FB1476" s="8" t="s">
        <v>3247</v>
      </c>
      <c r="FC1476" s="8" t="s">
        <v>3248</v>
      </c>
      <c r="FD1476" s="8">
        <v>2450</v>
      </c>
      <c r="FE1476" s="8">
        <v>245</v>
      </c>
    </row>
    <row r="1477" spans="158:161" ht="74.25" customHeight="1" x14ac:dyDescent="0.2">
      <c r="FB1477" s="8" t="s">
        <v>3249</v>
      </c>
      <c r="FC1477" s="8" t="s">
        <v>3250</v>
      </c>
      <c r="FD1477" s="8">
        <v>2450</v>
      </c>
      <c r="FE1477" s="8">
        <v>245</v>
      </c>
    </row>
    <row r="1478" spans="158:161" ht="74.25" customHeight="1" x14ac:dyDescent="0.2">
      <c r="FB1478" s="8" t="s">
        <v>3251</v>
      </c>
      <c r="FC1478" s="8" t="s">
        <v>3252</v>
      </c>
      <c r="FD1478" s="8">
        <v>3500</v>
      </c>
      <c r="FE1478" s="8">
        <v>350</v>
      </c>
    </row>
    <row r="1479" spans="158:161" ht="74.25" customHeight="1" x14ac:dyDescent="0.2">
      <c r="FB1479" s="8" t="s">
        <v>3253</v>
      </c>
      <c r="FC1479" s="8" t="s">
        <v>3254</v>
      </c>
      <c r="FD1479" s="8">
        <v>3500</v>
      </c>
      <c r="FE1479" s="8">
        <v>350</v>
      </c>
    </row>
    <row r="1480" spans="158:161" ht="74.25" customHeight="1" x14ac:dyDescent="0.2">
      <c r="FB1480" s="8" t="s">
        <v>3255</v>
      </c>
      <c r="FC1480" s="8" t="s">
        <v>3256</v>
      </c>
      <c r="FD1480" s="8">
        <v>3500</v>
      </c>
      <c r="FE1480" s="8">
        <v>350</v>
      </c>
    </row>
    <row r="1481" spans="158:161" ht="74.25" customHeight="1" x14ac:dyDescent="0.2">
      <c r="FB1481" s="8" t="s">
        <v>3257</v>
      </c>
      <c r="FC1481" s="8" t="s">
        <v>3258</v>
      </c>
      <c r="FD1481" s="8">
        <v>100</v>
      </c>
      <c r="FE1481" s="8">
        <v>10</v>
      </c>
    </row>
    <row r="1482" spans="158:161" ht="74.25" customHeight="1" x14ac:dyDescent="0.2">
      <c r="FB1482" s="8" t="s">
        <v>3259</v>
      </c>
      <c r="FC1482" s="8" t="s">
        <v>3259</v>
      </c>
      <c r="FD1482" s="8">
        <v>3500</v>
      </c>
      <c r="FE1482" s="8">
        <v>350</v>
      </c>
    </row>
    <row r="1483" spans="158:161" ht="74.25" customHeight="1" x14ac:dyDescent="0.2">
      <c r="FB1483" s="8" t="s">
        <v>3260</v>
      </c>
      <c r="FC1483" s="8" t="s">
        <v>3260</v>
      </c>
      <c r="FD1483" s="8">
        <v>100</v>
      </c>
      <c r="FE1483" s="8">
        <v>10</v>
      </c>
    </row>
    <row r="1484" spans="158:161" ht="74.25" customHeight="1" x14ac:dyDescent="0.2">
      <c r="FB1484" s="8" t="s">
        <v>3261</v>
      </c>
      <c r="FC1484" s="8" t="s">
        <v>3261</v>
      </c>
      <c r="FD1484" s="8">
        <v>50</v>
      </c>
      <c r="FE1484" s="8">
        <v>5</v>
      </c>
    </row>
    <row r="1485" spans="158:161" ht="74.25" customHeight="1" x14ac:dyDescent="0.2">
      <c r="FB1485" s="8" t="s">
        <v>3262</v>
      </c>
      <c r="FC1485" s="8" t="s">
        <v>3262</v>
      </c>
      <c r="FD1485" s="8">
        <v>50</v>
      </c>
      <c r="FE1485" s="8">
        <v>5</v>
      </c>
    </row>
    <row r="1486" spans="158:161" ht="74.25" customHeight="1" x14ac:dyDescent="0.2">
      <c r="FB1486" s="8" t="s">
        <v>3263</v>
      </c>
      <c r="FC1486" s="8" t="s">
        <v>3264</v>
      </c>
      <c r="FD1486" s="8">
        <v>5700</v>
      </c>
      <c r="FE1486" s="8">
        <v>570</v>
      </c>
    </row>
    <row r="1487" spans="158:161" ht="74.25" customHeight="1" x14ac:dyDescent="0.2">
      <c r="FB1487" s="8" t="s">
        <v>3265</v>
      </c>
      <c r="FC1487" s="8" t="s">
        <v>3266</v>
      </c>
      <c r="FD1487" s="8">
        <v>5700</v>
      </c>
      <c r="FE1487" s="8">
        <v>570</v>
      </c>
    </row>
    <row r="1488" spans="158:161" ht="74.25" customHeight="1" x14ac:dyDescent="0.2">
      <c r="FB1488" s="8" t="s">
        <v>3267</v>
      </c>
      <c r="FC1488" s="8" t="s">
        <v>3268</v>
      </c>
      <c r="FD1488" s="8">
        <v>5700</v>
      </c>
      <c r="FE1488" s="8">
        <v>570</v>
      </c>
    </row>
    <row r="1489" spans="158:161" ht="74.25" customHeight="1" x14ac:dyDescent="0.2">
      <c r="FB1489" s="8" t="s">
        <v>3269</v>
      </c>
      <c r="FC1489" s="8" t="s">
        <v>9842</v>
      </c>
      <c r="FD1489" s="8">
        <v>5700</v>
      </c>
      <c r="FE1489" s="8">
        <v>570</v>
      </c>
    </row>
    <row r="1490" spans="158:161" ht="74.25" customHeight="1" x14ac:dyDescent="0.2">
      <c r="FB1490" s="8" t="s">
        <v>3270</v>
      </c>
      <c r="FC1490" s="8" t="s">
        <v>9843</v>
      </c>
      <c r="FD1490" s="8">
        <v>5700</v>
      </c>
      <c r="FE1490" s="8">
        <v>570</v>
      </c>
    </row>
    <row r="1491" spans="158:161" ht="74.25" customHeight="1" x14ac:dyDescent="0.2">
      <c r="FB1491" s="8" t="s">
        <v>3271</v>
      </c>
      <c r="FC1491" s="8" t="s">
        <v>3272</v>
      </c>
      <c r="FD1491" s="8">
        <v>5000</v>
      </c>
      <c r="FE1491" s="8">
        <v>500</v>
      </c>
    </row>
    <row r="1492" spans="158:161" ht="74.25" customHeight="1" x14ac:dyDescent="0.2">
      <c r="FB1492" s="8" t="s">
        <v>3273</v>
      </c>
      <c r="FC1492" s="8" t="s">
        <v>3274</v>
      </c>
      <c r="FD1492" s="8">
        <v>3400</v>
      </c>
      <c r="FE1492" s="8">
        <v>340</v>
      </c>
    </row>
    <row r="1493" spans="158:161" ht="74.25" customHeight="1" x14ac:dyDescent="0.2">
      <c r="FB1493" s="8" t="s">
        <v>3275</v>
      </c>
      <c r="FC1493" s="8" t="s">
        <v>3276</v>
      </c>
      <c r="FD1493" s="8">
        <v>3400</v>
      </c>
      <c r="FE1493" s="8">
        <v>340</v>
      </c>
    </row>
    <row r="1494" spans="158:161" ht="74.25" customHeight="1" x14ac:dyDescent="0.2">
      <c r="FB1494" s="8" t="s">
        <v>3277</v>
      </c>
      <c r="FC1494" s="8" t="s">
        <v>3278</v>
      </c>
      <c r="FD1494" s="8">
        <v>5700</v>
      </c>
      <c r="FE1494" s="8">
        <v>570</v>
      </c>
    </row>
    <row r="1495" spans="158:161" ht="74.25" customHeight="1" x14ac:dyDescent="0.2">
      <c r="FB1495" s="8" t="s">
        <v>3279</v>
      </c>
      <c r="FC1495" s="8" t="s">
        <v>3279</v>
      </c>
      <c r="FD1495" s="8">
        <v>5700</v>
      </c>
      <c r="FE1495" s="8">
        <v>570</v>
      </c>
    </row>
    <row r="1496" spans="158:161" ht="74.25" customHeight="1" x14ac:dyDescent="0.2">
      <c r="FB1496" s="8" t="s">
        <v>9888</v>
      </c>
      <c r="FC1496" s="8" t="s">
        <v>9888</v>
      </c>
      <c r="FD1496" s="8">
        <v>1000</v>
      </c>
      <c r="FE1496" s="8">
        <v>100</v>
      </c>
    </row>
    <row r="1497" spans="158:161" ht="74.25" customHeight="1" x14ac:dyDescent="0.2">
      <c r="FB1497" s="8" t="s">
        <v>3280</v>
      </c>
      <c r="FC1497" s="8" t="s">
        <v>3281</v>
      </c>
      <c r="FD1497" s="8">
        <v>240</v>
      </c>
      <c r="FE1497" s="8">
        <v>24</v>
      </c>
    </row>
    <row r="1498" spans="158:161" ht="74.25" customHeight="1" x14ac:dyDescent="0.2">
      <c r="FB1498" s="8" t="s">
        <v>3282</v>
      </c>
      <c r="FC1498" s="8" t="s">
        <v>3282</v>
      </c>
      <c r="FD1498" s="8">
        <v>600</v>
      </c>
      <c r="FE1498" s="8">
        <v>60</v>
      </c>
    </row>
    <row r="1499" spans="158:161" ht="74.25" customHeight="1" x14ac:dyDescent="0.2">
      <c r="FB1499" s="8" t="s">
        <v>3283</v>
      </c>
      <c r="FC1499" s="8" t="s">
        <v>3284</v>
      </c>
      <c r="FD1499" s="8">
        <v>50</v>
      </c>
      <c r="FE1499" s="8">
        <v>5</v>
      </c>
    </row>
    <row r="1500" spans="158:161" ht="74.25" customHeight="1" x14ac:dyDescent="0.2">
      <c r="FB1500" s="8" t="s">
        <v>3285</v>
      </c>
      <c r="FC1500" s="8" t="s">
        <v>3285</v>
      </c>
      <c r="FD1500" s="8">
        <v>1000</v>
      </c>
      <c r="FE1500" s="8">
        <v>100</v>
      </c>
    </row>
    <row r="1501" spans="158:161" ht="74.25" customHeight="1" x14ac:dyDescent="0.2">
      <c r="FB1501" s="8" t="s">
        <v>3286</v>
      </c>
      <c r="FC1501" s="8" t="s">
        <v>3287</v>
      </c>
      <c r="FD1501" s="8">
        <v>600</v>
      </c>
      <c r="FE1501" s="8">
        <v>60</v>
      </c>
    </row>
    <row r="1502" spans="158:161" ht="74.25" customHeight="1" x14ac:dyDescent="0.2">
      <c r="FB1502" s="8" t="s">
        <v>3288</v>
      </c>
      <c r="FC1502" s="8" t="s">
        <v>3289</v>
      </c>
      <c r="FD1502" s="8">
        <v>600</v>
      </c>
      <c r="FE1502" s="8">
        <v>60</v>
      </c>
    </row>
    <row r="1503" spans="158:161" ht="74.25" customHeight="1" x14ac:dyDescent="0.2">
      <c r="FB1503" s="8" t="s">
        <v>3290</v>
      </c>
      <c r="FC1503" s="8" t="s">
        <v>3291</v>
      </c>
      <c r="FD1503" s="8">
        <v>600</v>
      </c>
      <c r="FE1503" s="8">
        <v>60</v>
      </c>
    </row>
    <row r="1504" spans="158:161" ht="74.25" customHeight="1" x14ac:dyDescent="0.2">
      <c r="FB1504" s="8" t="s">
        <v>3292</v>
      </c>
      <c r="FC1504" s="8" t="s">
        <v>3293</v>
      </c>
      <c r="FD1504" s="8">
        <v>600</v>
      </c>
      <c r="FE1504" s="8">
        <v>60</v>
      </c>
    </row>
    <row r="1505" spans="158:161" ht="74.25" customHeight="1" x14ac:dyDescent="0.2">
      <c r="FB1505" s="8" t="s">
        <v>9889</v>
      </c>
      <c r="FC1505" s="8" t="s">
        <v>9889</v>
      </c>
      <c r="FD1505" s="8">
        <v>600</v>
      </c>
      <c r="FE1505" s="8">
        <v>60</v>
      </c>
    </row>
    <row r="1506" spans="158:161" ht="74.25" customHeight="1" x14ac:dyDescent="0.2">
      <c r="FB1506" s="8" t="s">
        <v>9890</v>
      </c>
      <c r="FC1506" s="8" t="s">
        <v>9890</v>
      </c>
      <c r="FD1506" s="8">
        <v>600</v>
      </c>
      <c r="FE1506" s="8">
        <v>60</v>
      </c>
    </row>
    <row r="1507" spans="158:161" ht="74.25" customHeight="1" x14ac:dyDescent="0.2">
      <c r="FB1507" s="8" t="s">
        <v>9891</v>
      </c>
      <c r="FC1507" s="8" t="s">
        <v>9891</v>
      </c>
      <c r="FD1507" s="8">
        <v>600</v>
      </c>
      <c r="FE1507" s="8">
        <v>60</v>
      </c>
    </row>
    <row r="1508" spans="158:161" ht="74.25" customHeight="1" x14ac:dyDescent="0.2">
      <c r="FB1508" s="8" t="s">
        <v>9892</v>
      </c>
      <c r="FC1508" s="8" t="s">
        <v>9892</v>
      </c>
      <c r="FD1508" s="8">
        <v>1000</v>
      </c>
      <c r="FE1508" s="8">
        <v>100</v>
      </c>
    </row>
    <row r="1509" spans="158:161" ht="74.25" customHeight="1" x14ac:dyDescent="0.2">
      <c r="FB1509" s="8" t="s">
        <v>3294</v>
      </c>
      <c r="FC1509" s="8" t="s">
        <v>3294</v>
      </c>
      <c r="FD1509" s="8">
        <v>1250</v>
      </c>
      <c r="FE1509" s="8">
        <v>125</v>
      </c>
    </row>
    <row r="1510" spans="158:161" ht="74.25" customHeight="1" x14ac:dyDescent="0.2">
      <c r="FB1510" s="8" t="s">
        <v>3295</v>
      </c>
      <c r="FC1510" s="8" t="s">
        <v>3295</v>
      </c>
      <c r="FD1510" s="8">
        <v>2450</v>
      </c>
      <c r="FE1510" s="8">
        <v>245</v>
      </c>
    </row>
    <row r="1511" spans="158:161" ht="74.25" customHeight="1" x14ac:dyDescent="0.2">
      <c r="FB1511" s="8" t="s">
        <v>3296</v>
      </c>
      <c r="FC1511" s="8" t="s">
        <v>3297</v>
      </c>
      <c r="FD1511" s="8">
        <v>100</v>
      </c>
      <c r="FE1511" s="8">
        <v>10</v>
      </c>
    </row>
    <row r="1512" spans="158:161" ht="74.25" customHeight="1" x14ac:dyDescent="0.2">
      <c r="FB1512" s="8" t="s">
        <v>3298</v>
      </c>
      <c r="FC1512" s="8" t="s">
        <v>3298</v>
      </c>
      <c r="FD1512" s="8">
        <v>180</v>
      </c>
      <c r="FE1512" s="8">
        <v>18</v>
      </c>
    </row>
    <row r="1513" spans="158:161" ht="74.25" customHeight="1" x14ac:dyDescent="0.2">
      <c r="FB1513" s="8" t="s">
        <v>3299</v>
      </c>
      <c r="FC1513" s="8" t="s">
        <v>3299</v>
      </c>
      <c r="FD1513" s="8">
        <v>200</v>
      </c>
      <c r="FE1513" s="8">
        <v>20</v>
      </c>
    </row>
    <row r="1514" spans="158:161" ht="74.25" customHeight="1" x14ac:dyDescent="0.2">
      <c r="FB1514" s="8" t="s">
        <v>3300</v>
      </c>
      <c r="FC1514" s="8" t="s">
        <v>3300</v>
      </c>
      <c r="FD1514" s="8">
        <v>600</v>
      </c>
      <c r="FE1514" s="8">
        <v>60</v>
      </c>
    </row>
    <row r="1515" spans="158:161" ht="74.25" customHeight="1" x14ac:dyDescent="0.2">
      <c r="FB1515" s="8" t="s">
        <v>3301</v>
      </c>
      <c r="FC1515" s="8" t="s">
        <v>3302</v>
      </c>
      <c r="FD1515" s="8">
        <v>400</v>
      </c>
      <c r="FE1515" s="8">
        <v>40</v>
      </c>
    </row>
    <row r="1516" spans="158:161" ht="74.25" customHeight="1" x14ac:dyDescent="0.2">
      <c r="FB1516" s="8" t="s">
        <v>3303</v>
      </c>
      <c r="FC1516" s="8" t="s">
        <v>3304</v>
      </c>
      <c r="FD1516" s="8">
        <v>400</v>
      </c>
      <c r="FE1516" s="8">
        <v>40</v>
      </c>
    </row>
    <row r="1517" spans="158:161" ht="74.25" customHeight="1" x14ac:dyDescent="0.2">
      <c r="FB1517" s="8" t="s">
        <v>3305</v>
      </c>
      <c r="FC1517" s="8" t="s">
        <v>3305</v>
      </c>
      <c r="FD1517" s="8">
        <v>2000</v>
      </c>
      <c r="FE1517" s="8">
        <v>200</v>
      </c>
    </row>
    <row r="1518" spans="158:161" ht="74.25" customHeight="1" x14ac:dyDescent="0.2">
      <c r="FB1518" s="8" t="s">
        <v>3306</v>
      </c>
      <c r="FC1518" s="8" t="s">
        <v>3307</v>
      </c>
      <c r="FD1518" s="8">
        <v>1750</v>
      </c>
      <c r="FE1518" s="8">
        <v>175</v>
      </c>
    </row>
    <row r="1519" spans="158:161" ht="74.25" customHeight="1" x14ac:dyDescent="0.2">
      <c r="FB1519" s="8" t="s">
        <v>3308</v>
      </c>
      <c r="FC1519" s="8" t="s">
        <v>3308</v>
      </c>
      <c r="FD1519" s="8">
        <v>1250</v>
      </c>
      <c r="FE1519" s="8">
        <v>125</v>
      </c>
    </row>
    <row r="1520" spans="158:161" ht="74.25" customHeight="1" x14ac:dyDescent="0.2">
      <c r="FB1520" s="8" t="s">
        <v>3309</v>
      </c>
      <c r="FC1520" s="8" t="s">
        <v>3309</v>
      </c>
      <c r="FD1520" s="8">
        <v>150</v>
      </c>
      <c r="FE1520" s="8">
        <v>15</v>
      </c>
    </row>
    <row r="1521" spans="158:161" ht="74.25" customHeight="1" x14ac:dyDescent="0.2">
      <c r="FB1521" s="8" t="s">
        <v>3310</v>
      </c>
      <c r="FC1521" s="8" t="s">
        <v>3311</v>
      </c>
      <c r="FD1521" s="8">
        <v>600</v>
      </c>
      <c r="FE1521" s="8">
        <v>60</v>
      </c>
    </row>
    <row r="1522" spans="158:161" ht="74.25" customHeight="1" x14ac:dyDescent="0.2">
      <c r="FB1522" s="8" t="s">
        <v>3312</v>
      </c>
      <c r="FC1522" s="8" t="s">
        <v>3313</v>
      </c>
      <c r="FD1522" s="8">
        <v>280</v>
      </c>
      <c r="FE1522" s="8">
        <v>28</v>
      </c>
    </row>
    <row r="1523" spans="158:161" ht="74.25" customHeight="1" x14ac:dyDescent="0.2">
      <c r="FB1523" s="8" t="s">
        <v>3314</v>
      </c>
      <c r="FC1523" s="8" t="s">
        <v>3315</v>
      </c>
      <c r="FD1523" s="8">
        <v>50</v>
      </c>
      <c r="FE1523" s="8">
        <v>5</v>
      </c>
    </row>
    <row r="1524" spans="158:161" ht="74.25" customHeight="1" x14ac:dyDescent="0.2">
      <c r="FB1524" s="8" t="s">
        <v>3316</v>
      </c>
      <c r="FC1524" s="8" t="s">
        <v>3317</v>
      </c>
      <c r="FD1524" s="8">
        <v>5</v>
      </c>
      <c r="FE1524" s="8">
        <v>0.5</v>
      </c>
    </row>
    <row r="1525" spans="158:161" ht="74.25" customHeight="1" x14ac:dyDescent="0.2">
      <c r="FB1525" s="8" t="s">
        <v>3318</v>
      </c>
      <c r="FC1525" s="8" t="s">
        <v>3319</v>
      </c>
      <c r="FD1525" s="8">
        <v>30</v>
      </c>
      <c r="FE1525" s="8">
        <v>3</v>
      </c>
    </row>
    <row r="1526" spans="158:161" ht="74.25" customHeight="1" x14ac:dyDescent="0.2">
      <c r="FB1526" s="8" t="s">
        <v>3320</v>
      </c>
      <c r="FC1526" s="8" t="s">
        <v>3321</v>
      </c>
      <c r="FD1526" s="8">
        <v>1.3</v>
      </c>
      <c r="FE1526" s="8">
        <v>5</v>
      </c>
    </row>
    <row r="1527" spans="158:161" ht="74.25" customHeight="1" x14ac:dyDescent="0.2">
      <c r="FB1527" s="8" t="s">
        <v>3322</v>
      </c>
      <c r="FC1527" s="8" t="s">
        <v>3323</v>
      </c>
      <c r="FD1527" s="8">
        <v>93</v>
      </c>
      <c r="FE1527" s="8">
        <v>9.3000000000000007</v>
      </c>
    </row>
    <row r="1528" spans="158:161" ht="74.25" customHeight="1" x14ac:dyDescent="0.2">
      <c r="FB1528" s="8" t="s">
        <v>3324</v>
      </c>
      <c r="FC1528" s="8" t="s">
        <v>3325</v>
      </c>
      <c r="FD1528" s="8">
        <v>50</v>
      </c>
      <c r="FE1528" s="8">
        <v>5</v>
      </c>
    </row>
    <row r="1529" spans="158:161" ht="74.25" customHeight="1" x14ac:dyDescent="0.2">
      <c r="FB1529" s="8" t="s">
        <v>3326</v>
      </c>
      <c r="FC1529" s="8" t="s">
        <v>3327</v>
      </c>
      <c r="FD1529" s="8">
        <v>50</v>
      </c>
      <c r="FE1529" s="8">
        <v>5</v>
      </c>
    </row>
    <row r="1530" spans="158:161" ht="74.25" customHeight="1" x14ac:dyDescent="0.2">
      <c r="FB1530" s="8" t="s">
        <v>3328</v>
      </c>
      <c r="FC1530" s="8" t="s">
        <v>3329</v>
      </c>
      <c r="FD1530" s="8">
        <v>0.7</v>
      </c>
      <c r="FE1530" s="8">
        <v>0.1</v>
      </c>
    </row>
    <row r="1531" spans="158:161" ht="74.25" customHeight="1" x14ac:dyDescent="0.2">
      <c r="FB1531" s="8" t="s">
        <v>3330</v>
      </c>
      <c r="FC1531" s="8" t="s">
        <v>3331</v>
      </c>
      <c r="FD1531" s="8">
        <v>110</v>
      </c>
      <c r="FE1531" s="8">
        <v>11</v>
      </c>
    </row>
    <row r="1532" spans="158:161" ht="74.25" customHeight="1" x14ac:dyDescent="0.2">
      <c r="FB1532" s="8" t="s">
        <v>3332</v>
      </c>
      <c r="FC1532" s="8" t="s">
        <v>3333</v>
      </c>
      <c r="FD1532" s="8">
        <v>30</v>
      </c>
      <c r="FE1532" s="8">
        <v>3</v>
      </c>
    </row>
    <row r="1533" spans="158:161" ht="74.25" customHeight="1" x14ac:dyDescent="0.2">
      <c r="FB1533" s="8" t="s">
        <v>3334</v>
      </c>
      <c r="FC1533" s="8" t="s">
        <v>3335</v>
      </c>
      <c r="FD1533" s="8">
        <v>6</v>
      </c>
      <c r="FE1533" s="8">
        <v>0.6</v>
      </c>
    </row>
    <row r="1534" spans="158:161" ht="74.25" customHeight="1" x14ac:dyDescent="0.2">
      <c r="FB1534" s="8" t="s">
        <v>3336</v>
      </c>
      <c r="FC1534" s="8" t="s">
        <v>3337</v>
      </c>
      <c r="FD1534" s="8">
        <v>12</v>
      </c>
      <c r="FE1534" s="8">
        <v>1.2</v>
      </c>
    </row>
    <row r="1535" spans="158:161" ht="74.25" customHeight="1" x14ac:dyDescent="0.2">
      <c r="FB1535" s="8" t="s">
        <v>3338</v>
      </c>
      <c r="FC1535" s="8" t="s">
        <v>3339</v>
      </c>
      <c r="FD1535" s="8">
        <v>600</v>
      </c>
      <c r="FE1535" s="8">
        <v>60</v>
      </c>
    </row>
    <row r="1536" spans="158:161" ht="74.25" customHeight="1" x14ac:dyDescent="0.2">
      <c r="FB1536" s="8" t="s">
        <v>3340</v>
      </c>
      <c r="FC1536" s="8" t="s">
        <v>3341</v>
      </c>
      <c r="FD1536" s="8">
        <v>600</v>
      </c>
      <c r="FE1536" s="8">
        <v>60</v>
      </c>
    </row>
    <row r="1537" spans="158:161" ht="74.25" customHeight="1" x14ac:dyDescent="0.2">
      <c r="FB1537" s="8" t="s">
        <v>3342</v>
      </c>
      <c r="FC1537" s="8" t="s">
        <v>3343</v>
      </c>
      <c r="FD1537" s="8">
        <v>600</v>
      </c>
      <c r="FE1537" s="8">
        <v>60</v>
      </c>
    </row>
    <row r="1538" spans="158:161" ht="74.25" customHeight="1" x14ac:dyDescent="0.2">
      <c r="FB1538" s="8" t="s">
        <v>3344</v>
      </c>
      <c r="FC1538" s="8" t="s">
        <v>3345</v>
      </c>
      <c r="FD1538" s="8">
        <v>1000</v>
      </c>
      <c r="FE1538" s="8">
        <v>100</v>
      </c>
    </row>
    <row r="1539" spans="158:161" ht="74.25" customHeight="1" x14ac:dyDescent="0.2">
      <c r="FB1539" s="8" t="s">
        <v>3346</v>
      </c>
      <c r="FC1539" s="8" t="s">
        <v>3347</v>
      </c>
      <c r="FD1539" s="8">
        <v>1000</v>
      </c>
      <c r="FE1539" s="8">
        <v>100</v>
      </c>
    </row>
    <row r="1540" spans="158:161" ht="74.25" customHeight="1" x14ac:dyDescent="0.2">
      <c r="FB1540" s="8" t="s">
        <v>3348</v>
      </c>
      <c r="FC1540" s="8" t="s">
        <v>3349</v>
      </c>
      <c r="FD1540" s="8">
        <v>1000</v>
      </c>
      <c r="FE1540" s="8">
        <v>100</v>
      </c>
    </row>
    <row r="1541" spans="158:161" ht="74.25" customHeight="1" x14ac:dyDescent="0.2">
      <c r="FB1541" s="8" t="s">
        <v>3350</v>
      </c>
      <c r="FC1541" s="8" t="s">
        <v>3351</v>
      </c>
      <c r="FD1541" s="8">
        <v>1000</v>
      </c>
      <c r="FE1541" s="8">
        <v>100</v>
      </c>
    </row>
    <row r="1542" spans="158:161" ht="74.25" customHeight="1" x14ac:dyDescent="0.2">
      <c r="FB1542" s="8" t="s">
        <v>3352</v>
      </c>
      <c r="FC1542" s="8" t="s">
        <v>3353</v>
      </c>
      <c r="FD1542" s="8">
        <v>180</v>
      </c>
      <c r="FE1542" s="8">
        <v>18</v>
      </c>
    </row>
    <row r="1543" spans="158:161" ht="74.25" customHeight="1" x14ac:dyDescent="0.2">
      <c r="FB1543" s="8" t="s">
        <v>3354</v>
      </c>
      <c r="FC1543" s="8" t="s">
        <v>3355</v>
      </c>
      <c r="FD1543" s="8">
        <v>180</v>
      </c>
      <c r="FE1543" s="8">
        <v>18</v>
      </c>
    </row>
    <row r="1544" spans="158:161" ht="74.25" customHeight="1" x14ac:dyDescent="0.2">
      <c r="FB1544" s="8" t="s">
        <v>3356</v>
      </c>
      <c r="FC1544" s="8" t="s">
        <v>3357</v>
      </c>
      <c r="FD1544" s="8">
        <v>180</v>
      </c>
      <c r="FE1544" s="8">
        <v>18</v>
      </c>
    </row>
    <row r="1545" spans="158:161" ht="74.25" customHeight="1" x14ac:dyDescent="0.2">
      <c r="FB1545" s="8" t="s">
        <v>3358</v>
      </c>
      <c r="FC1545" s="8" t="s">
        <v>3359</v>
      </c>
      <c r="FD1545" s="8">
        <v>1000</v>
      </c>
      <c r="FE1545" s="8">
        <v>100</v>
      </c>
    </row>
    <row r="1546" spans="158:161" ht="74.25" customHeight="1" x14ac:dyDescent="0.2">
      <c r="FB1546" s="8" t="s">
        <v>3360</v>
      </c>
      <c r="FC1546" s="8" t="s">
        <v>3361</v>
      </c>
      <c r="FD1546" s="8">
        <v>100</v>
      </c>
      <c r="FE1546" s="8">
        <v>10</v>
      </c>
    </row>
    <row r="1547" spans="158:161" ht="74.25" customHeight="1" x14ac:dyDescent="0.2">
      <c r="FB1547" s="8" t="s">
        <v>3362</v>
      </c>
      <c r="FC1547" s="8" t="s">
        <v>3363</v>
      </c>
      <c r="FD1547" s="8">
        <v>1000</v>
      </c>
      <c r="FE1547" s="8">
        <v>100</v>
      </c>
    </row>
    <row r="1548" spans="158:161" ht="74.25" customHeight="1" x14ac:dyDescent="0.2">
      <c r="FB1548" s="8" t="s">
        <v>3364</v>
      </c>
      <c r="FC1548" s="8" t="s">
        <v>3365</v>
      </c>
      <c r="FD1548" s="8">
        <v>120</v>
      </c>
      <c r="FE1548" s="8">
        <v>12</v>
      </c>
    </row>
    <row r="1549" spans="158:161" ht="74.25" customHeight="1" x14ac:dyDescent="0.2">
      <c r="FB1549" s="8" t="s">
        <v>3366</v>
      </c>
      <c r="FC1549" s="8" t="s">
        <v>3367</v>
      </c>
      <c r="FD1549" s="8">
        <v>1000</v>
      </c>
      <c r="FE1549" s="8">
        <v>100</v>
      </c>
    </row>
    <row r="1550" spans="158:161" ht="74.25" customHeight="1" x14ac:dyDescent="0.2">
      <c r="FB1550" s="8" t="s">
        <v>3368</v>
      </c>
      <c r="FC1550" s="8" t="s">
        <v>3369</v>
      </c>
      <c r="FD1550" s="8">
        <v>240</v>
      </c>
      <c r="FE1550" s="8">
        <v>24</v>
      </c>
    </row>
    <row r="1551" spans="158:161" ht="74.25" customHeight="1" x14ac:dyDescent="0.2">
      <c r="FB1551" s="8" t="s">
        <v>3370</v>
      </c>
      <c r="FC1551" s="8" t="s">
        <v>3371</v>
      </c>
      <c r="FD1551" s="8">
        <v>100</v>
      </c>
      <c r="FE1551" s="8">
        <v>10</v>
      </c>
    </row>
    <row r="1552" spans="158:161" ht="74.25" customHeight="1" x14ac:dyDescent="0.2">
      <c r="FB1552" s="8" t="s">
        <v>3372</v>
      </c>
      <c r="FC1552" s="8" t="s">
        <v>3373</v>
      </c>
      <c r="FD1552" s="8">
        <v>600</v>
      </c>
      <c r="FE1552" s="8">
        <v>60</v>
      </c>
    </row>
    <row r="1553" spans="158:161" ht="74.25" customHeight="1" x14ac:dyDescent="0.2">
      <c r="FB1553" s="8" t="s">
        <v>3374</v>
      </c>
      <c r="FC1553" s="8" t="s">
        <v>3375</v>
      </c>
      <c r="FD1553" s="8">
        <v>100</v>
      </c>
      <c r="FE1553" s="8">
        <v>10</v>
      </c>
    </row>
    <row r="1554" spans="158:161" ht="74.25" customHeight="1" x14ac:dyDescent="0.2">
      <c r="FB1554" s="8" t="s">
        <v>3376</v>
      </c>
      <c r="FC1554" s="8" t="s">
        <v>3377</v>
      </c>
      <c r="FD1554" s="8">
        <v>1000</v>
      </c>
      <c r="FE1554" s="8">
        <v>100</v>
      </c>
    </row>
    <row r="1555" spans="158:161" ht="74.25" customHeight="1" x14ac:dyDescent="0.2">
      <c r="FB1555" s="8" t="s">
        <v>3378</v>
      </c>
      <c r="FC1555" s="8" t="s">
        <v>3379</v>
      </c>
      <c r="FD1555" s="8">
        <v>1000</v>
      </c>
      <c r="FE1555" s="8">
        <v>100</v>
      </c>
    </row>
    <row r="1556" spans="158:161" ht="74.25" customHeight="1" x14ac:dyDescent="0.2">
      <c r="FB1556" s="8" t="s">
        <v>3380</v>
      </c>
      <c r="FC1556" s="8" t="s">
        <v>3381</v>
      </c>
      <c r="FD1556" s="8">
        <v>1000</v>
      </c>
      <c r="FE1556" s="8">
        <v>100</v>
      </c>
    </row>
    <row r="1557" spans="158:161" ht="74.25" customHeight="1" x14ac:dyDescent="0.2">
      <c r="FB1557" s="8" t="s">
        <v>3382</v>
      </c>
      <c r="FC1557" s="8" t="s">
        <v>3383</v>
      </c>
      <c r="FD1557" s="8">
        <v>600</v>
      </c>
      <c r="FE1557" s="8">
        <v>60</v>
      </c>
    </row>
    <row r="1558" spans="158:161" ht="74.25" customHeight="1" x14ac:dyDescent="0.2">
      <c r="FB1558" s="8" t="s">
        <v>3384</v>
      </c>
      <c r="FC1558" s="8" t="s">
        <v>3385</v>
      </c>
      <c r="FD1558" s="8">
        <v>1000</v>
      </c>
      <c r="FE1558" s="8">
        <v>100</v>
      </c>
    </row>
    <row r="1559" spans="158:161" ht="74.25" customHeight="1" x14ac:dyDescent="0.2">
      <c r="FB1559" s="8" t="s">
        <v>3386</v>
      </c>
      <c r="FC1559" s="8" t="s">
        <v>3387</v>
      </c>
      <c r="FD1559" s="8">
        <v>1000</v>
      </c>
      <c r="FE1559" s="8">
        <v>100</v>
      </c>
    </row>
    <row r="1560" spans="158:161" ht="74.25" customHeight="1" x14ac:dyDescent="0.2">
      <c r="FB1560" s="8" t="s">
        <v>3388</v>
      </c>
      <c r="FC1560" s="8" t="s">
        <v>3389</v>
      </c>
      <c r="FD1560" s="8">
        <v>200</v>
      </c>
      <c r="FE1560" s="8">
        <v>20</v>
      </c>
    </row>
    <row r="1561" spans="158:161" ht="74.25" customHeight="1" x14ac:dyDescent="0.2">
      <c r="FB1561" s="8" t="s">
        <v>3390</v>
      </c>
      <c r="FC1561" s="8" t="s">
        <v>3391</v>
      </c>
      <c r="FD1561" s="8">
        <v>250</v>
      </c>
      <c r="FE1561" s="8">
        <v>48</v>
      </c>
    </row>
    <row r="1562" spans="158:161" ht="74.25" customHeight="1" x14ac:dyDescent="0.2">
      <c r="FB1562" s="8" t="s">
        <v>3392</v>
      </c>
      <c r="FC1562" s="8" t="s">
        <v>3393</v>
      </c>
      <c r="FD1562" s="8">
        <v>250</v>
      </c>
      <c r="FE1562" s="8">
        <v>48</v>
      </c>
    </row>
    <row r="1563" spans="158:161" ht="74.25" customHeight="1" x14ac:dyDescent="0.2">
      <c r="FB1563" s="8" t="s">
        <v>3394</v>
      </c>
      <c r="FC1563" s="8" t="s">
        <v>3395</v>
      </c>
      <c r="FD1563" s="8">
        <v>1120</v>
      </c>
      <c r="FE1563" s="8">
        <v>112</v>
      </c>
    </row>
    <row r="1564" spans="158:161" ht="74.25" customHeight="1" x14ac:dyDescent="0.2">
      <c r="FB1564" s="8" t="s">
        <v>3396</v>
      </c>
      <c r="FC1564" s="8" t="s">
        <v>3397</v>
      </c>
      <c r="FD1564" s="8">
        <v>1120</v>
      </c>
      <c r="FE1564" s="8">
        <v>112</v>
      </c>
    </row>
    <row r="1565" spans="158:161" ht="74.25" customHeight="1" x14ac:dyDescent="0.2">
      <c r="FB1565" s="8" t="s">
        <v>3398</v>
      </c>
      <c r="FC1565" s="8" t="s">
        <v>3399</v>
      </c>
      <c r="FD1565" s="8">
        <v>1000</v>
      </c>
      <c r="FE1565" s="8">
        <v>100</v>
      </c>
    </row>
    <row r="1566" spans="158:161" ht="74.25" customHeight="1" x14ac:dyDescent="0.2">
      <c r="FB1566" s="8" t="s">
        <v>3400</v>
      </c>
      <c r="FC1566" s="8" t="s">
        <v>3401</v>
      </c>
      <c r="FD1566" s="8">
        <v>1000</v>
      </c>
      <c r="FE1566" s="8">
        <v>100</v>
      </c>
    </row>
    <row r="1567" spans="158:161" ht="74.25" customHeight="1" x14ac:dyDescent="0.2">
      <c r="FB1567" s="8" t="s">
        <v>3402</v>
      </c>
      <c r="FC1567" s="8" t="s">
        <v>3403</v>
      </c>
      <c r="FD1567" s="8">
        <v>1000</v>
      </c>
      <c r="FE1567" s="8">
        <v>100</v>
      </c>
    </row>
    <row r="1568" spans="158:161" ht="74.25" customHeight="1" x14ac:dyDescent="0.2">
      <c r="FB1568" s="8" t="s">
        <v>3404</v>
      </c>
      <c r="FC1568" s="8" t="s">
        <v>3405</v>
      </c>
      <c r="FD1568" s="8">
        <v>1000</v>
      </c>
      <c r="FE1568" s="8">
        <v>100</v>
      </c>
    </row>
    <row r="1569" spans="158:161" ht="74.25" customHeight="1" x14ac:dyDescent="0.2">
      <c r="FB1569" s="8" t="s">
        <v>3406</v>
      </c>
      <c r="FC1569" s="8" t="s">
        <v>3407</v>
      </c>
      <c r="FD1569" s="8">
        <v>1000</v>
      </c>
      <c r="FE1569" s="8">
        <v>100</v>
      </c>
    </row>
    <row r="1570" spans="158:161" ht="74.25" customHeight="1" x14ac:dyDescent="0.2">
      <c r="FB1570" s="8" t="s">
        <v>3408</v>
      </c>
      <c r="FC1570" s="8" t="s">
        <v>3408</v>
      </c>
      <c r="FD1570" s="8">
        <v>100</v>
      </c>
      <c r="FE1570" s="8">
        <v>10</v>
      </c>
    </row>
    <row r="1571" spans="158:161" ht="74.25" customHeight="1" x14ac:dyDescent="0.2">
      <c r="FB1571" s="8" t="s">
        <v>3409</v>
      </c>
      <c r="FC1571" s="8" t="s">
        <v>3410</v>
      </c>
      <c r="FD1571" s="8">
        <v>600</v>
      </c>
      <c r="FE1571" s="8">
        <v>60</v>
      </c>
    </row>
    <row r="1572" spans="158:161" ht="74.25" customHeight="1" x14ac:dyDescent="0.2">
      <c r="FB1572" s="8" t="s">
        <v>3411</v>
      </c>
      <c r="FC1572" s="8" t="s">
        <v>3412</v>
      </c>
      <c r="FD1572" s="8">
        <v>1000</v>
      </c>
      <c r="FE1572" s="8">
        <v>100</v>
      </c>
    </row>
    <row r="1573" spans="158:161" ht="74.25" customHeight="1" x14ac:dyDescent="0.2">
      <c r="FB1573" s="8" t="s">
        <v>3413</v>
      </c>
      <c r="FC1573" s="8" t="s">
        <v>3414</v>
      </c>
      <c r="FD1573" s="8">
        <v>1000</v>
      </c>
      <c r="FE1573" s="8">
        <v>100</v>
      </c>
    </row>
    <row r="1574" spans="158:161" ht="74.25" customHeight="1" x14ac:dyDescent="0.2">
      <c r="FB1574" s="8" t="s">
        <v>3415</v>
      </c>
      <c r="FC1574" s="8" t="s">
        <v>3416</v>
      </c>
      <c r="FD1574" s="8">
        <v>100</v>
      </c>
      <c r="FE1574" s="8">
        <v>10</v>
      </c>
    </row>
    <row r="1575" spans="158:161" ht="74.25" customHeight="1" x14ac:dyDescent="0.2">
      <c r="FB1575" s="8" t="s">
        <v>3417</v>
      </c>
      <c r="FC1575" s="8" t="s">
        <v>3418</v>
      </c>
      <c r="FD1575" s="8">
        <v>1000</v>
      </c>
      <c r="FE1575" s="8">
        <v>100</v>
      </c>
    </row>
    <row r="1576" spans="158:161" ht="74.25" customHeight="1" x14ac:dyDescent="0.2">
      <c r="FB1576" s="8" t="s">
        <v>3419</v>
      </c>
      <c r="FC1576" s="8" t="s">
        <v>3420</v>
      </c>
      <c r="FD1576" s="8">
        <v>1000</v>
      </c>
      <c r="FE1576" s="8">
        <v>100</v>
      </c>
    </row>
    <row r="1577" spans="158:161" ht="74.25" customHeight="1" x14ac:dyDescent="0.2">
      <c r="FB1577" s="8" t="s">
        <v>3421</v>
      </c>
      <c r="FC1577" s="8" t="s">
        <v>3422</v>
      </c>
      <c r="FD1577" s="8">
        <v>1000</v>
      </c>
      <c r="FE1577" s="8">
        <v>100</v>
      </c>
    </row>
    <row r="1578" spans="158:161" ht="74.25" customHeight="1" x14ac:dyDescent="0.2">
      <c r="FB1578" s="8" t="s">
        <v>9893</v>
      </c>
      <c r="FC1578" s="8" t="s">
        <v>9893</v>
      </c>
      <c r="FD1578" s="8">
        <v>1000</v>
      </c>
      <c r="FE1578" s="8">
        <v>100</v>
      </c>
    </row>
    <row r="1579" spans="158:161" ht="74.25" customHeight="1" x14ac:dyDescent="0.2">
      <c r="FB1579" s="8" t="s">
        <v>9894</v>
      </c>
      <c r="FC1579" s="8" t="s">
        <v>9894</v>
      </c>
      <c r="FD1579" s="8">
        <v>1000</v>
      </c>
      <c r="FE1579" s="8">
        <v>100</v>
      </c>
    </row>
    <row r="1580" spans="158:161" ht="74.25" customHeight="1" x14ac:dyDescent="0.2">
      <c r="FB1580" s="8" t="s">
        <v>9895</v>
      </c>
      <c r="FC1580" s="8" t="s">
        <v>9895</v>
      </c>
      <c r="FD1580" s="8">
        <v>1000</v>
      </c>
      <c r="FE1580" s="8">
        <v>100</v>
      </c>
    </row>
    <row r="1581" spans="158:161" ht="74.25" customHeight="1" x14ac:dyDescent="0.2">
      <c r="FB1581" s="8" t="s">
        <v>3423</v>
      </c>
      <c r="FC1581" s="8" t="s">
        <v>3423</v>
      </c>
      <c r="FD1581" s="8">
        <v>100</v>
      </c>
      <c r="FE1581" s="8">
        <v>10</v>
      </c>
    </row>
    <row r="1582" spans="158:161" ht="74.25" customHeight="1" x14ac:dyDescent="0.2">
      <c r="FB1582" s="8" t="s">
        <v>3424</v>
      </c>
      <c r="FC1582" s="8" t="s">
        <v>3424</v>
      </c>
      <c r="FD1582" s="8">
        <v>400</v>
      </c>
      <c r="FE1582" s="8">
        <v>40</v>
      </c>
    </row>
    <row r="1583" spans="158:161" ht="74.25" customHeight="1" x14ac:dyDescent="0.2">
      <c r="FB1583" s="8" t="s">
        <v>3425</v>
      </c>
      <c r="FC1583" s="8" t="s">
        <v>3426</v>
      </c>
      <c r="FD1583" s="8">
        <v>400</v>
      </c>
      <c r="FE1583" s="8">
        <v>40</v>
      </c>
    </row>
    <row r="1584" spans="158:161" ht="74.25" customHeight="1" x14ac:dyDescent="0.2">
      <c r="FB1584" s="8" t="s">
        <v>3427</v>
      </c>
      <c r="FC1584" s="8" t="s">
        <v>3428</v>
      </c>
      <c r="FD1584" s="8">
        <v>100</v>
      </c>
      <c r="FE1584" s="8">
        <v>10</v>
      </c>
    </row>
    <row r="1585" spans="158:161" ht="74.25" customHeight="1" x14ac:dyDescent="0.2">
      <c r="FB1585" s="8" t="s">
        <v>3429</v>
      </c>
      <c r="FC1585" s="8" t="s">
        <v>3430</v>
      </c>
      <c r="FD1585" s="8">
        <v>600</v>
      </c>
      <c r="FE1585" s="8">
        <v>60</v>
      </c>
    </row>
    <row r="1586" spans="158:161" ht="74.25" customHeight="1" x14ac:dyDescent="0.2">
      <c r="FB1586" s="8" t="s">
        <v>3431</v>
      </c>
      <c r="FC1586" s="8" t="s">
        <v>3432</v>
      </c>
      <c r="FD1586" s="8">
        <v>100</v>
      </c>
      <c r="FE1586" s="8">
        <v>10</v>
      </c>
    </row>
    <row r="1587" spans="158:161" ht="74.25" customHeight="1" x14ac:dyDescent="0.2">
      <c r="FB1587" s="8" t="s">
        <v>3433</v>
      </c>
      <c r="FC1587" s="8" t="s">
        <v>3434</v>
      </c>
      <c r="FD1587" s="8">
        <v>100</v>
      </c>
      <c r="FE1587" s="8">
        <v>10</v>
      </c>
    </row>
    <row r="1588" spans="158:161" ht="74.25" customHeight="1" x14ac:dyDescent="0.2">
      <c r="FB1588" s="8" t="s">
        <v>3435</v>
      </c>
      <c r="FC1588" s="8" t="s">
        <v>3436</v>
      </c>
      <c r="FD1588" s="8">
        <v>100</v>
      </c>
      <c r="FE1588" s="8">
        <v>10</v>
      </c>
    </row>
    <row r="1589" spans="158:161" ht="74.25" customHeight="1" x14ac:dyDescent="0.2">
      <c r="FB1589" s="8" t="s">
        <v>3437</v>
      </c>
      <c r="FC1589" s="8" t="s">
        <v>3438</v>
      </c>
      <c r="FD1589" s="8">
        <v>100</v>
      </c>
      <c r="FE1589" s="8">
        <v>10</v>
      </c>
    </row>
    <row r="1590" spans="158:161" ht="74.25" customHeight="1" x14ac:dyDescent="0.2">
      <c r="FB1590" s="8" t="s">
        <v>3439</v>
      </c>
      <c r="FC1590" s="8" t="s">
        <v>3440</v>
      </c>
      <c r="FD1590" s="8">
        <v>100</v>
      </c>
      <c r="FE1590" s="8">
        <v>10</v>
      </c>
    </row>
    <row r="1591" spans="158:161" ht="74.25" customHeight="1" x14ac:dyDescent="0.2">
      <c r="FB1591" s="8" t="s">
        <v>3441</v>
      </c>
      <c r="FC1591" s="8" t="s">
        <v>3442</v>
      </c>
      <c r="FD1591" s="8">
        <v>100</v>
      </c>
      <c r="FE1591" s="8">
        <v>10</v>
      </c>
    </row>
    <row r="1592" spans="158:161" ht="74.25" customHeight="1" x14ac:dyDescent="0.2">
      <c r="FB1592" s="8" t="s">
        <v>3443</v>
      </c>
      <c r="FC1592" s="8" t="s">
        <v>3444</v>
      </c>
      <c r="FD1592" s="8">
        <v>100</v>
      </c>
      <c r="FE1592" s="8">
        <v>10</v>
      </c>
    </row>
    <row r="1593" spans="158:161" ht="74.25" customHeight="1" x14ac:dyDescent="0.2">
      <c r="FB1593" s="8" t="s">
        <v>3445</v>
      </c>
      <c r="FC1593" s="8" t="s">
        <v>3446</v>
      </c>
      <c r="FD1593" s="8">
        <v>100</v>
      </c>
      <c r="FE1593" s="8">
        <v>10</v>
      </c>
    </row>
    <row r="1594" spans="158:161" ht="74.25" customHeight="1" x14ac:dyDescent="0.2">
      <c r="FB1594" s="8" t="s">
        <v>3447</v>
      </c>
      <c r="FC1594" s="8" t="s">
        <v>3448</v>
      </c>
      <c r="FD1594" s="8">
        <v>100</v>
      </c>
      <c r="FE1594" s="8">
        <v>10</v>
      </c>
    </row>
    <row r="1595" spans="158:161" ht="74.25" customHeight="1" x14ac:dyDescent="0.2">
      <c r="FB1595" s="8" t="s">
        <v>3449</v>
      </c>
      <c r="FC1595" s="8" t="s">
        <v>3449</v>
      </c>
      <c r="FD1595" s="8">
        <v>100</v>
      </c>
      <c r="FE1595" s="8">
        <v>10</v>
      </c>
    </row>
    <row r="1596" spans="158:161" ht="74.25" customHeight="1" x14ac:dyDescent="0.2">
      <c r="FB1596" s="8" t="s">
        <v>3450</v>
      </c>
      <c r="FC1596" s="8" t="s">
        <v>3450</v>
      </c>
      <c r="FD1596" s="8">
        <v>100</v>
      </c>
      <c r="FE1596" s="8">
        <v>10</v>
      </c>
    </row>
    <row r="1597" spans="158:161" ht="74.25" customHeight="1" x14ac:dyDescent="0.2">
      <c r="FB1597" s="8" t="s">
        <v>3451</v>
      </c>
      <c r="FC1597" s="8" t="s">
        <v>3452</v>
      </c>
      <c r="FD1597" s="8">
        <v>400</v>
      </c>
      <c r="FE1597" s="8">
        <v>40</v>
      </c>
    </row>
    <row r="1598" spans="158:161" ht="74.25" customHeight="1" x14ac:dyDescent="0.2">
      <c r="FB1598" s="8" t="s">
        <v>3453</v>
      </c>
      <c r="FC1598" s="8" t="s">
        <v>3454</v>
      </c>
      <c r="FD1598" s="8">
        <v>400</v>
      </c>
      <c r="FE1598" s="8">
        <v>40</v>
      </c>
    </row>
    <row r="1599" spans="158:161" ht="74.25" customHeight="1" x14ac:dyDescent="0.2">
      <c r="FB1599" s="8" t="s">
        <v>3455</v>
      </c>
      <c r="FC1599" s="8" t="s">
        <v>3456</v>
      </c>
      <c r="FD1599" s="8">
        <v>400</v>
      </c>
      <c r="FE1599" s="8">
        <v>40</v>
      </c>
    </row>
    <row r="1600" spans="158:161" ht="74.25" customHeight="1" x14ac:dyDescent="0.2">
      <c r="FB1600" s="8" t="s">
        <v>3457</v>
      </c>
      <c r="FC1600" s="8" t="s">
        <v>3458</v>
      </c>
      <c r="FD1600" s="8">
        <v>400</v>
      </c>
      <c r="FE1600" s="8">
        <v>40</v>
      </c>
    </row>
    <row r="1601" spans="158:161" ht="74.25" customHeight="1" x14ac:dyDescent="0.2">
      <c r="FB1601" s="8" t="s">
        <v>3459</v>
      </c>
      <c r="FC1601" s="8" t="s">
        <v>3460</v>
      </c>
      <c r="FD1601" s="8">
        <v>400</v>
      </c>
      <c r="FE1601" s="8">
        <v>40</v>
      </c>
    </row>
    <row r="1602" spans="158:161" ht="74.25" customHeight="1" x14ac:dyDescent="0.2">
      <c r="FB1602" s="8" t="s">
        <v>3461</v>
      </c>
      <c r="FC1602" s="8" t="s">
        <v>3462</v>
      </c>
      <c r="FD1602" s="8">
        <v>100</v>
      </c>
      <c r="FE1602" s="8">
        <v>10</v>
      </c>
    </row>
    <row r="1603" spans="158:161" ht="74.25" customHeight="1" x14ac:dyDescent="0.2">
      <c r="FB1603" s="8" t="s">
        <v>3463</v>
      </c>
      <c r="FC1603" s="8" t="s">
        <v>3464</v>
      </c>
      <c r="FD1603" s="8">
        <v>140</v>
      </c>
      <c r="FE1603" s="8">
        <v>14</v>
      </c>
    </row>
    <row r="1604" spans="158:161" ht="74.25" customHeight="1" x14ac:dyDescent="0.2">
      <c r="FB1604" s="8" t="s">
        <v>3465</v>
      </c>
      <c r="FC1604" s="8" t="s">
        <v>3466</v>
      </c>
      <c r="FD1604" s="8">
        <v>640</v>
      </c>
      <c r="FE1604" s="8">
        <v>64</v>
      </c>
    </row>
    <row r="1605" spans="158:161" ht="74.25" customHeight="1" x14ac:dyDescent="0.2">
      <c r="FB1605" s="8" t="s">
        <v>3467</v>
      </c>
      <c r="FC1605" s="8" t="s">
        <v>3468</v>
      </c>
      <c r="FD1605" s="8">
        <v>100</v>
      </c>
      <c r="FE1605" s="8">
        <v>10</v>
      </c>
    </row>
    <row r="1606" spans="158:161" ht="74.25" customHeight="1" x14ac:dyDescent="0.2">
      <c r="FB1606" s="8" t="s">
        <v>3469</v>
      </c>
      <c r="FC1606" s="8" t="s">
        <v>3470</v>
      </c>
      <c r="FD1606" s="8">
        <v>180</v>
      </c>
      <c r="FE1606" s="8">
        <v>92</v>
      </c>
    </row>
    <row r="1607" spans="158:161" ht="74.25" customHeight="1" x14ac:dyDescent="0.2">
      <c r="FB1607" s="8" t="s">
        <v>3471</v>
      </c>
      <c r="FC1607" s="8" t="s">
        <v>3472</v>
      </c>
      <c r="FD1607" s="8">
        <v>1000</v>
      </c>
      <c r="FE1607" s="8">
        <v>100</v>
      </c>
    </row>
    <row r="1608" spans="158:161" ht="74.25" customHeight="1" x14ac:dyDescent="0.2">
      <c r="FB1608" s="8" t="s">
        <v>3473</v>
      </c>
      <c r="FC1608" s="8" t="s">
        <v>3474</v>
      </c>
      <c r="FD1608" s="8">
        <v>1000</v>
      </c>
      <c r="FE1608" s="8">
        <v>100</v>
      </c>
    </row>
    <row r="1609" spans="158:161" ht="74.25" customHeight="1" x14ac:dyDescent="0.2">
      <c r="FB1609" s="8" t="s">
        <v>3475</v>
      </c>
      <c r="FC1609" s="8" t="s">
        <v>3476</v>
      </c>
      <c r="FD1609" s="8">
        <v>1000</v>
      </c>
      <c r="FE1609" s="8">
        <v>100</v>
      </c>
    </row>
    <row r="1610" spans="158:161" ht="74.25" customHeight="1" x14ac:dyDescent="0.2">
      <c r="FB1610" s="8" t="s">
        <v>3477</v>
      </c>
      <c r="FC1610" s="8" t="s">
        <v>3478</v>
      </c>
      <c r="FD1610" s="8">
        <v>220</v>
      </c>
      <c r="FE1610" s="8">
        <v>22</v>
      </c>
    </row>
    <row r="1611" spans="158:161" ht="74.25" customHeight="1" x14ac:dyDescent="0.2">
      <c r="FB1611" s="8" t="s">
        <v>3479</v>
      </c>
      <c r="FC1611" s="8" t="s">
        <v>9452</v>
      </c>
      <c r="FD1611" s="8">
        <v>17</v>
      </c>
      <c r="FE1611" s="8">
        <v>8.1</v>
      </c>
    </row>
    <row r="1612" spans="158:161" ht="74.25" customHeight="1" x14ac:dyDescent="0.2">
      <c r="FB1612" s="8" t="s">
        <v>3480</v>
      </c>
      <c r="FC1612" s="8" t="s">
        <v>9453</v>
      </c>
      <c r="FD1612" s="8">
        <v>2.8</v>
      </c>
      <c r="FE1612" s="8">
        <v>0.56999999999999995</v>
      </c>
    </row>
    <row r="1613" spans="158:161" ht="74.25" customHeight="1" x14ac:dyDescent="0.2">
      <c r="FB1613" s="8" t="s">
        <v>3481</v>
      </c>
      <c r="FC1613" s="8" t="s">
        <v>3482</v>
      </c>
      <c r="FD1613" s="8" t="s">
        <v>9511</v>
      </c>
      <c r="FE1613" s="8">
        <v>0.71</v>
      </c>
    </row>
    <row r="1614" spans="158:161" ht="74.25" customHeight="1" x14ac:dyDescent="0.2">
      <c r="FB1614" s="8" t="s">
        <v>3483</v>
      </c>
      <c r="FC1614" s="8" t="s">
        <v>3484</v>
      </c>
      <c r="FD1614" s="8">
        <v>600</v>
      </c>
      <c r="FE1614" s="8">
        <v>60</v>
      </c>
    </row>
    <row r="1615" spans="158:161" ht="74.25" customHeight="1" x14ac:dyDescent="0.2">
      <c r="FB1615" s="8" t="s">
        <v>3485</v>
      </c>
      <c r="FC1615" s="8" t="s">
        <v>9454</v>
      </c>
      <c r="FD1615" s="8">
        <v>17</v>
      </c>
      <c r="FE1615" s="8">
        <v>8.1</v>
      </c>
    </row>
    <row r="1616" spans="158:161" ht="74.25" customHeight="1" x14ac:dyDescent="0.2">
      <c r="FB1616" s="8" t="s">
        <v>3486</v>
      </c>
      <c r="FC1616" s="8" t="s">
        <v>9844</v>
      </c>
      <c r="FD1616" s="8">
        <v>2.8</v>
      </c>
      <c r="FE1616" s="8">
        <v>0.56999999999999995</v>
      </c>
    </row>
    <row r="1617" spans="158:161" ht="74.25" customHeight="1" x14ac:dyDescent="0.2">
      <c r="FB1617" s="8" t="s">
        <v>3487</v>
      </c>
      <c r="FC1617" s="8" t="s">
        <v>3488</v>
      </c>
      <c r="FD1617" s="8" t="s">
        <v>9511</v>
      </c>
      <c r="FE1617" s="8">
        <v>0.71</v>
      </c>
    </row>
    <row r="1618" spans="158:161" ht="74.25" customHeight="1" x14ac:dyDescent="0.2">
      <c r="FB1618" s="8" t="s">
        <v>3489</v>
      </c>
      <c r="FC1618" s="8" t="s">
        <v>9455</v>
      </c>
      <c r="FD1618" s="8">
        <v>17</v>
      </c>
      <c r="FE1618" s="8">
        <v>8.1</v>
      </c>
    </row>
    <row r="1619" spans="158:161" ht="74.25" customHeight="1" x14ac:dyDescent="0.2">
      <c r="FB1619" s="8" t="s">
        <v>3490</v>
      </c>
      <c r="FC1619" s="8" t="s">
        <v>9456</v>
      </c>
      <c r="FD1619" s="8">
        <v>2.8</v>
      </c>
      <c r="FE1619" s="8">
        <v>0.56999999999999995</v>
      </c>
    </row>
    <row r="1620" spans="158:161" ht="74.25" customHeight="1" x14ac:dyDescent="0.2">
      <c r="FB1620" s="8" t="s">
        <v>3491</v>
      </c>
      <c r="FC1620" s="8" t="s">
        <v>3492</v>
      </c>
      <c r="FD1620" s="8" t="s">
        <v>9511</v>
      </c>
      <c r="FE1620" s="8">
        <v>0.71</v>
      </c>
    </row>
    <row r="1621" spans="158:161" ht="74.25" customHeight="1" x14ac:dyDescent="0.2">
      <c r="FB1621" s="8" t="s">
        <v>3493</v>
      </c>
      <c r="FC1621" s="8" t="s">
        <v>3494</v>
      </c>
      <c r="FD1621" s="8">
        <v>1000</v>
      </c>
      <c r="FE1621" s="8">
        <v>100</v>
      </c>
    </row>
    <row r="1622" spans="158:161" ht="74.25" customHeight="1" x14ac:dyDescent="0.2">
      <c r="FB1622" s="8" t="s">
        <v>3495</v>
      </c>
      <c r="FC1622" s="8" t="s">
        <v>3496</v>
      </c>
      <c r="FD1622" s="8">
        <v>180</v>
      </c>
      <c r="FE1622" s="8">
        <v>92</v>
      </c>
    </row>
    <row r="1623" spans="158:161" ht="74.25" customHeight="1" x14ac:dyDescent="0.2">
      <c r="FB1623" s="8" t="s">
        <v>3497</v>
      </c>
      <c r="FC1623" s="8" t="s">
        <v>3498</v>
      </c>
      <c r="FD1623" s="8">
        <v>1000</v>
      </c>
      <c r="FE1623" s="8">
        <v>100</v>
      </c>
    </row>
    <row r="1624" spans="158:161" ht="74.25" customHeight="1" x14ac:dyDescent="0.2">
      <c r="FB1624" s="8" t="s">
        <v>3499</v>
      </c>
      <c r="FC1624" s="8" t="s">
        <v>3500</v>
      </c>
      <c r="FD1624" s="8">
        <v>600</v>
      </c>
      <c r="FE1624" s="8">
        <v>60</v>
      </c>
    </row>
    <row r="1625" spans="158:161" ht="74.25" customHeight="1" x14ac:dyDescent="0.2">
      <c r="FB1625" s="8" t="s">
        <v>3501</v>
      </c>
      <c r="FC1625" s="8" t="s">
        <v>3502</v>
      </c>
      <c r="FD1625" s="8">
        <v>400</v>
      </c>
      <c r="FE1625" s="8">
        <v>40</v>
      </c>
    </row>
    <row r="1626" spans="158:161" ht="74.25" customHeight="1" x14ac:dyDescent="0.2">
      <c r="FB1626" s="8" t="s">
        <v>3503</v>
      </c>
      <c r="FC1626" s="8" t="s">
        <v>3504</v>
      </c>
      <c r="FD1626" s="8">
        <v>1000</v>
      </c>
      <c r="FE1626" s="8">
        <v>100</v>
      </c>
    </row>
    <row r="1627" spans="158:161" ht="74.25" customHeight="1" x14ac:dyDescent="0.2">
      <c r="FB1627" s="8" t="s">
        <v>3505</v>
      </c>
      <c r="FC1627" s="8" t="s">
        <v>3506</v>
      </c>
      <c r="FD1627" s="8">
        <v>530</v>
      </c>
      <c r="FE1627" s="8">
        <v>53</v>
      </c>
    </row>
    <row r="1628" spans="158:161" ht="74.25" customHeight="1" x14ac:dyDescent="0.2">
      <c r="FB1628" s="8" t="s">
        <v>3507</v>
      </c>
      <c r="FC1628" s="8" t="s">
        <v>3508</v>
      </c>
      <c r="FD1628" s="8">
        <v>100</v>
      </c>
      <c r="FE1628" s="8">
        <v>10</v>
      </c>
    </row>
    <row r="1629" spans="158:161" ht="74.25" customHeight="1" x14ac:dyDescent="0.2">
      <c r="FB1629" s="8" t="s">
        <v>3509</v>
      </c>
      <c r="FC1629" s="8" t="s">
        <v>3510</v>
      </c>
      <c r="FD1629" s="8">
        <v>250</v>
      </c>
      <c r="FE1629" s="8">
        <v>25</v>
      </c>
    </row>
    <row r="1630" spans="158:161" ht="74.25" customHeight="1" x14ac:dyDescent="0.2">
      <c r="FB1630" s="8" t="s">
        <v>3511</v>
      </c>
      <c r="FC1630" s="8" t="s">
        <v>3512</v>
      </c>
      <c r="FD1630" s="8">
        <v>400</v>
      </c>
      <c r="FE1630" s="8">
        <v>40</v>
      </c>
    </row>
    <row r="1631" spans="158:161" ht="74.25" customHeight="1" x14ac:dyDescent="0.2">
      <c r="FB1631" s="8" t="s">
        <v>3513</v>
      </c>
      <c r="FC1631" s="8" t="s">
        <v>3514</v>
      </c>
      <c r="FD1631" s="8">
        <v>80</v>
      </c>
      <c r="FE1631" s="8">
        <v>8</v>
      </c>
    </row>
    <row r="1632" spans="158:161" ht="74.25" customHeight="1" x14ac:dyDescent="0.2">
      <c r="FB1632" s="8" t="s">
        <v>3515</v>
      </c>
      <c r="FC1632" s="8" t="s">
        <v>3516</v>
      </c>
      <c r="FD1632" s="8">
        <v>600</v>
      </c>
      <c r="FE1632" s="8">
        <v>60</v>
      </c>
    </row>
    <row r="1633" spans="158:161" ht="74.25" customHeight="1" x14ac:dyDescent="0.2">
      <c r="FB1633" s="8" t="s">
        <v>3517</v>
      </c>
      <c r="FC1633" s="8" t="s">
        <v>3518</v>
      </c>
      <c r="FD1633" s="8">
        <v>1</v>
      </c>
      <c r="FE1633" s="8">
        <v>0.1</v>
      </c>
    </row>
    <row r="1634" spans="158:161" ht="74.25" customHeight="1" x14ac:dyDescent="0.2">
      <c r="FB1634" s="8" t="s">
        <v>3519</v>
      </c>
      <c r="FC1634" s="8" t="s">
        <v>3520</v>
      </c>
      <c r="FD1634" s="8">
        <v>6</v>
      </c>
      <c r="FE1634" s="8">
        <v>0.6</v>
      </c>
    </row>
    <row r="1635" spans="158:161" ht="74.25" customHeight="1" x14ac:dyDescent="0.2">
      <c r="FB1635" s="8" t="s">
        <v>3521</v>
      </c>
      <c r="FC1635" s="8" t="s">
        <v>3521</v>
      </c>
      <c r="FD1635" s="8">
        <v>20</v>
      </c>
      <c r="FE1635" s="8">
        <v>2</v>
      </c>
    </row>
    <row r="1636" spans="158:161" ht="74.25" customHeight="1" x14ac:dyDescent="0.2">
      <c r="FB1636" s="8" t="s">
        <v>3522</v>
      </c>
      <c r="FC1636" s="8" t="s">
        <v>3523</v>
      </c>
      <c r="FD1636" s="8">
        <v>100</v>
      </c>
      <c r="FE1636" s="8">
        <v>10</v>
      </c>
    </row>
    <row r="1637" spans="158:161" ht="74.25" customHeight="1" x14ac:dyDescent="0.2">
      <c r="FB1637" s="8" t="s">
        <v>9896</v>
      </c>
      <c r="FC1637" s="8" t="s">
        <v>9896</v>
      </c>
      <c r="FD1637" s="8">
        <v>600</v>
      </c>
      <c r="FE1637" s="8">
        <v>60</v>
      </c>
    </row>
    <row r="1638" spans="158:161" ht="74.25" customHeight="1" x14ac:dyDescent="0.2">
      <c r="FB1638" s="8" t="s">
        <v>9897</v>
      </c>
      <c r="FC1638" s="8" t="s">
        <v>9897</v>
      </c>
      <c r="FD1638" s="8">
        <v>1000</v>
      </c>
      <c r="FE1638" s="8">
        <v>100</v>
      </c>
    </row>
    <row r="1639" spans="158:161" ht="74.25" customHeight="1" x14ac:dyDescent="0.2">
      <c r="FB1639" s="8" t="s">
        <v>9898</v>
      </c>
      <c r="FC1639" s="8" t="s">
        <v>9898</v>
      </c>
      <c r="FD1639" s="8">
        <v>1000</v>
      </c>
      <c r="FE1639" s="8">
        <v>100</v>
      </c>
    </row>
    <row r="1640" spans="158:161" ht="74.25" customHeight="1" x14ac:dyDescent="0.2">
      <c r="FB1640" s="8" t="s">
        <v>3524</v>
      </c>
      <c r="FC1640" s="8" t="s">
        <v>3525</v>
      </c>
      <c r="FD1640" s="8">
        <v>2450</v>
      </c>
      <c r="FE1640" s="8">
        <v>245</v>
      </c>
    </row>
    <row r="1641" spans="158:161" ht="74.25" customHeight="1" x14ac:dyDescent="0.2">
      <c r="FB1641" s="8" t="s">
        <v>3526</v>
      </c>
      <c r="FC1641" s="8" t="s">
        <v>3527</v>
      </c>
      <c r="FD1641" s="8">
        <v>2200</v>
      </c>
      <c r="FE1641" s="8">
        <v>180</v>
      </c>
    </row>
    <row r="1642" spans="158:161" ht="74.25" customHeight="1" x14ac:dyDescent="0.2">
      <c r="FB1642" s="8" t="s">
        <v>3528</v>
      </c>
      <c r="FC1642" s="8" t="s">
        <v>3529</v>
      </c>
      <c r="FD1642" s="8">
        <v>1250</v>
      </c>
      <c r="FE1642" s="8">
        <v>125</v>
      </c>
    </row>
    <row r="1643" spans="158:161" ht="74.25" customHeight="1" x14ac:dyDescent="0.2">
      <c r="FB1643" s="8" t="s">
        <v>3530</v>
      </c>
      <c r="FC1643" s="8" t="s">
        <v>3531</v>
      </c>
      <c r="FD1643" s="8">
        <v>2560</v>
      </c>
      <c r="FE1643" s="8">
        <v>256</v>
      </c>
    </row>
    <row r="1644" spans="158:161" ht="74.25" customHeight="1" x14ac:dyDescent="0.2">
      <c r="FB1644" s="8" t="s">
        <v>3532</v>
      </c>
      <c r="FC1644" s="8" t="s">
        <v>3533</v>
      </c>
      <c r="FD1644" s="8">
        <v>1250</v>
      </c>
      <c r="FE1644" s="8">
        <v>125</v>
      </c>
    </row>
    <row r="1645" spans="158:161" ht="74.25" customHeight="1" x14ac:dyDescent="0.2">
      <c r="FB1645" s="8" t="s">
        <v>3534</v>
      </c>
      <c r="FC1645" s="8" t="s">
        <v>3535</v>
      </c>
      <c r="FD1645" s="8">
        <v>2</v>
      </c>
      <c r="FE1645" s="8">
        <v>0.2</v>
      </c>
    </row>
    <row r="1646" spans="158:161" ht="74.25" customHeight="1" x14ac:dyDescent="0.2">
      <c r="FB1646" s="8" t="s">
        <v>3536</v>
      </c>
      <c r="FC1646" s="8" t="s">
        <v>3536</v>
      </c>
      <c r="FD1646" s="8">
        <v>150</v>
      </c>
      <c r="FE1646" s="8">
        <v>15</v>
      </c>
    </row>
    <row r="1647" spans="158:161" ht="74.25" customHeight="1" x14ac:dyDescent="0.2">
      <c r="FB1647" s="8" t="s">
        <v>3537</v>
      </c>
      <c r="FC1647" s="8" t="s">
        <v>3538</v>
      </c>
      <c r="FD1647" s="8">
        <v>0.03</v>
      </c>
      <c r="FE1647" s="8">
        <v>3.0000000000000001E-3</v>
      </c>
    </row>
    <row r="1648" spans="158:161" ht="74.25" customHeight="1" x14ac:dyDescent="0.2">
      <c r="FB1648" s="8" t="s">
        <v>3539</v>
      </c>
      <c r="FC1648" s="8" t="s">
        <v>3540</v>
      </c>
      <c r="FD1648" s="8">
        <v>350</v>
      </c>
      <c r="FE1648" s="8">
        <v>35</v>
      </c>
    </row>
    <row r="1649" spans="158:161" ht="74.25" customHeight="1" x14ac:dyDescent="0.2">
      <c r="FB1649" s="8" t="s">
        <v>3541</v>
      </c>
      <c r="FC1649" s="8" t="s">
        <v>3542</v>
      </c>
      <c r="FD1649" s="8">
        <v>3500</v>
      </c>
      <c r="FE1649" s="8">
        <v>350</v>
      </c>
    </row>
    <row r="1650" spans="158:161" ht="74.25" customHeight="1" x14ac:dyDescent="0.2">
      <c r="FB1650" s="8" t="s">
        <v>3543</v>
      </c>
      <c r="FC1650" s="8" t="s">
        <v>3544</v>
      </c>
      <c r="FD1650" s="8">
        <v>10</v>
      </c>
      <c r="FE1650" s="8">
        <v>1</v>
      </c>
    </row>
    <row r="1651" spans="158:161" ht="74.25" customHeight="1" x14ac:dyDescent="0.2">
      <c r="FB1651" s="8" t="s">
        <v>3545</v>
      </c>
      <c r="FC1651" s="8" t="s">
        <v>3545</v>
      </c>
      <c r="FD1651" s="8">
        <v>3500</v>
      </c>
      <c r="FE1651" s="8">
        <v>350</v>
      </c>
    </row>
    <row r="1652" spans="158:161" ht="74.25" customHeight="1" x14ac:dyDescent="0.2">
      <c r="FB1652" s="8" t="s">
        <v>3546</v>
      </c>
      <c r="FC1652" s="8" t="s">
        <v>3547</v>
      </c>
      <c r="FD1652" s="8">
        <v>1000</v>
      </c>
      <c r="FE1652" s="8">
        <v>100</v>
      </c>
    </row>
    <row r="1653" spans="158:161" ht="74.25" customHeight="1" x14ac:dyDescent="0.2">
      <c r="FB1653" s="8" t="s">
        <v>3548</v>
      </c>
      <c r="FC1653" s="8" t="s">
        <v>3549</v>
      </c>
      <c r="FD1653" s="8">
        <v>9</v>
      </c>
      <c r="FE1653" s="8">
        <v>0.9</v>
      </c>
    </row>
    <row r="1654" spans="158:161" ht="74.25" customHeight="1" x14ac:dyDescent="0.2">
      <c r="FB1654" s="8" t="s">
        <v>3550</v>
      </c>
      <c r="FC1654" s="8" t="s">
        <v>3551</v>
      </c>
      <c r="FD1654" s="8">
        <v>2</v>
      </c>
      <c r="FE1654" s="8">
        <v>0.2</v>
      </c>
    </row>
    <row r="1655" spans="158:161" ht="74.25" customHeight="1" x14ac:dyDescent="0.2">
      <c r="FB1655" s="8" t="s">
        <v>3552</v>
      </c>
      <c r="FC1655" s="8" t="s">
        <v>3553</v>
      </c>
      <c r="FD1655" s="8">
        <v>90</v>
      </c>
      <c r="FE1655" s="8">
        <v>9</v>
      </c>
    </row>
    <row r="1656" spans="158:161" ht="74.25" customHeight="1" x14ac:dyDescent="0.2">
      <c r="FB1656" s="8" t="s">
        <v>3554</v>
      </c>
      <c r="FC1656" s="8" t="s">
        <v>3555</v>
      </c>
      <c r="FD1656" s="8">
        <v>240</v>
      </c>
      <c r="FE1656" s="8">
        <v>24</v>
      </c>
    </row>
    <row r="1657" spans="158:161" ht="74.25" customHeight="1" x14ac:dyDescent="0.2">
      <c r="FB1657" s="8" t="s">
        <v>3556</v>
      </c>
      <c r="FC1657" s="8" t="s">
        <v>3557</v>
      </c>
      <c r="FD1657" s="8">
        <v>90</v>
      </c>
      <c r="FE1657" s="8">
        <v>9</v>
      </c>
    </row>
    <row r="1658" spans="158:161" ht="74.25" customHeight="1" x14ac:dyDescent="0.2">
      <c r="FB1658" s="8" t="s">
        <v>3558</v>
      </c>
      <c r="FC1658" s="8" t="s">
        <v>3559</v>
      </c>
      <c r="FD1658" s="8">
        <v>170</v>
      </c>
      <c r="FE1658" s="8">
        <v>4.5</v>
      </c>
    </row>
    <row r="1659" spans="158:161" ht="74.25" customHeight="1" x14ac:dyDescent="0.2">
      <c r="FB1659" s="8" t="s">
        <v>3560</v>
      </c>
      <c r="FC1659" s="8" t="s">
        <v>3561</v>
      </c>
      <c r="FD1659" s="8">
        <v>1000</v>
      </c>
      <c r="FE1659" s="8">
        <v>100</v>
      </c>
    </row>
    <row r="1660" spans="158:161" ht="74.25" customHeight="1" x14ac:dyDescent="0.2">
      <c r="FB1660" s="8" t="s">
        <v>3562</v>
      </c>
      <c r="FC1660" s="8" t="s">
        <v>3563</v>
      </c>
      <c r="FD1660" s="8">
        <v>3500</v>
      </c>
      <c r="FE1660" s="8">
        <v>350</v>
      </c>
    </row>
    <row r="1661" spans="158:161" ht="74.25" customHeight="1" x14ac:dyDescent="0.2">
      <c r="FB1661" s="8" t="s">
        <v>3564</v>
      </c>
      <c r="FC1661" s="8" t="s">
        <v>3565</v>
      </c>
      <c r="FD1661" s="8">
        <v>2450</v>
      </c>
      <c r="FE1661" s="8">
        <v>245</v>
      </c>
    </row>
    <row r="1662" spans="158:161" ht="74.25" customHeight="1" x14ac:dyDescent="0.2">
      <c r="FB1662" s="8" t="s">
        <v>3566</v>
      </c>
      <c r="FC1662" s="8" t="s">
        <v>3567</v>
      </c>
      <c r="FD1662" s="8">
        <v>2450</v>
      </c>
      <c r="FE1662" s="8">
        <v>245</v>
      </c>
    </row>
    <row r="1663" spans="158:161" ht="74.25" customHeight="1" x14ac:dyDescent="0.2">
      <c r="FB1663" s="8" t="s">
        <v>3566</v>
      </c>
      <c r="FC1663" s="8" t="s">
        <v>3568</v>
      </c>
      <c r="FD1663" s="8">
        <v>2450</v>
      </c>
      <c r="FE1663" s="8">
        <v>245</v>
      </c>
    </row>
    <row r="1664" spans="158:161" ht="74.25" customHeight="1" x14ac:dyDescent="0.2">
      <c r="FB1664" s="8" t="s">
        <v>3569</v>
      </c>
      <c r="FC1664" s="8" t="s">
        <v>3570</v>
      </c>
      <c r="FD1664" s="8">
        <v>2450</v>
      </c>
      <c r="FE1664" s="8">
        <v>245</v>
      </c>
    </row>
    <row r="1665" spans="158:161" ht="74.25" customHeight="1" x14ac:dyDescent="0.2">
      <c r="FB1665" s="8" t="s">
        <v>3571</v>
      </c>
      <c r="FC1665" s="8" t="s">
        <v>3572</v>
      </c>
      <c r="FD1665" s="8">
        <v>1250</v>
      </c>
      <c r="FE1665" s="8">
        <v>125</v>
      </c>
    </row>
    <row r="1666" spans="158:161" ht="74.25" customHeight="1" x14ac:dyDescent="0.2">
      <c r="FB1666" s="8" t="s">
        <v>3573</v>
      </c>
      <c r="FC1666" s="8" t="s">
        <v>3574</v>
      </c>
      <c r="FD1666" s="8">
        <v>2450</v>
      </c>
      <c r="FE1666" s="8">
        <v>245</v>
      </c>
    </row>
    <row r="1667" spans="158:161" ht="74.25" customHeight="1" x14ac:dyDescent="0.2">
      <c r="FB1667" s="8" t="s">
        <v>3575</v>
      </c>
      <c r="FC1667" s="8" t="s">
        <v>3576</v>
      </c>
      <c r="FD1667" s="8">
        <v>2450</v>
      </c>
      <c r="FE1667" s="8">
        <v>245</v>
      </c>
    </row>
    <row r="1668" spans="158:161" ht="74.25" customHeight="1" x14ac:dyDescent="0.2">
      <c r="FB1668" s="8" t="s">
        <v>3577</v>
      </c>
      <c r="FC1668" s="8" t="s">
        <v>3578</v>
      </c>
      <c r="FD1668" s="8">
        <v>2450</v>
      </c>
      <c r="FE1668" s="8">
        <v>245</v>
      </c>
    </row>
    <row r="1669" spans="158:161" ht="74.25" customHeight="1" x14ac:dyDescent="0.2">
      <c r="FB1669" s="8" t="s">
        <v>3579</v>
      </c>
      <c r="FC1669" s="8" t="s">
        <v>3580</v>
      </c>
      <c r="FD1669" s="8">
        <v>2450</v>
      </c>
      <c r="FE1669" s="8">
        <v>245</v>
      </c>
    </row>
    <row r="1670" spans="158:161" ht="74.25" customHeight="1" x14ac:dyDescent="0.2">
      <c r="FB1670" s="8" t="s">
        <v>3581</v>
      </c>
      <c r="FC1670" s="8" t="s">
        <v>3582</v>
      </c>
      <c r="FD1670" s="8">
        <v>1000</v>
      </c>
      <c r="FE1670" s="8">
        <v>100</v>
      </c>
    </row>
    <row r="1671" spans="158:161" ht="74.25" customHeight="1" x14ac:dyDescent="0.2">
      <c r="FB1671" s="8" t="s">
        <v>3583</v>
      </c>
      <c r="FC1671" s="8" t="s">
        <v>3584</v>
      </c>
      <c r="FD1671" s="8">
        <v>230</v>
      </c>
      <c r="FE1671" s="8">
        <v>23</v>
      </c>
    </row>
    <row r="1672" spans="158:161" ht="74.25" customHeight="1" x14ac:dyDescent="0.2">
      <c r="FB1672" s="8" t="s">
        <v>3585</v>
      </c>
      <c r="FC1672" s="8" t="s">
        <v>3586</v>
      </c>
      <c r="FD1672" s="8">
        <v>600</v>
      </c>
      <c r="FE1672" s="8">
        <v>60</v>
      </c>
    </row>
    <row r="1673" spans="158:161" ht="74.25" customHeight="1" x14ac:dyDescent="0.2">
      <c r="FB1673" s="8" t="s">
        <v>3587</v>
      </c>
      <c r="FC1673" s="8" t="s">
        <v>3588</v>
      </c>
      <c r="FD1673" s="8">
        <v>600</v>
      </c>
      <c r="FE1673" s="8">
        <v>60</v>
      </c>
    </row>
    <row r="1674" spans="158:161" ht="74.25" customHeight="1" x14ac:dyDescent="0.2">
      <c r="FB1674" s="8" t="s">
        <v>3589</v>
      </c>
      <c r="FC1674" s="8" t="s">
        <v>3590</v>
      </c>
      <c r="FD1674" s="8">
        <v>600</v>
      </c>
      <c r="FE1674" s="8">
        <v>60</v>
      </c>
    </row>
    <row r="1675" spans="158:161" ht="74.25" customHeight="1" x14ac:dyDescent="0.2">
      <c r="FB1675" s="8" t="s">
        <v>3591</v>
      </c>
      <c r="FC1675" s="8" t="s">
        <v>3592</v>
      </c>
      <c r="FD1675" s="8">
        <v>900</v>
      </c>
      <c r="FE1675" s="8">
        <v>90</v>
      </c>
    </row>
    <row r="1676" spans="158:161" ht="74.25" customHeight="1" x14ac:dyDescent="0.2">
      <c r="FB1676" s="8" t="s">
        <v>3593</v>
      </c>
      <c r="FC1676" s="8" t="s">
        <v>3594</v>
      </c>
      <c r="FD1676" s="8">
        <v>600</v>
      </c>
      <c r="FE1676" s="8">
        <v>60</v>
      </c>
    </row>
    <row r="1677" spans="158:161" ht="74.25" customHeight="1" x14ac:dyDescent="0.2">
      <c r="FB1677" s="8" t="s">
        <v>3595</v>
      </c>
      <c r="FC1677" s="8" t="s">
        <v>3596</v>
      </c>
      <c r="FD1677" s="8">
        <v>600</v>
      </c>
      <c r="FE1677" s="8">
        <v>60</v>
      </c>
    </row>
    <row r="1678" spans="158:161" ht="74.25" customHeight="1" x14ac:dyDescent="0.2">
      <c r="FB1678" s="8" t="s">
        <v>3597</v>
      </c>
      <c r="FC1678" s="8" t="s">
        <v>3598</v>
      </c>
      <c r="FD1678" s="8">
        <v>600</v>
      </c>
      <c r="FE1678" s="8">
        <v>60</v>
      </c>
    </row>
    <row r="1679" spans="158:161" ht="74.25" customHeight="1" x14ac:dyDescent="0.2">
      <c r="FB1679" s="8" t="s">
        <v>3599</v>
      </c>
      <c r="FC1679" s="8" t="s">
        <v>3600</v>
      </c>
      <c r="FD1679" s="8">
        <v>600</v>
      </c>
      <c r="FE1679" s="8">
        <v>60</v>
      </c>
    </row>
    <row r="1680" spans="158:161" ht="74.25" customHeight="1" x14ac:dyDescent="0.2">
      <c r="FB1680" s="8" t="s">
        <v>3601</v>
      </c>
      <c r="FC1680" s="8" t="s">
        <v>3602</v>
      </c>
      <c r="FD1680" s="8">
        <v>600</v>
      </c>
      <c r="FE1680" s="8">
        <v>60</v>
      </c>
    </row>
    <row r="1681" spans="158:161" ht="74.25" customHeight="1" x14ac:dyDescent="0.2">
      <c r="FB1681" s="8" t="s">
        <v>3603</v>
      </c>
      <c r="FC1681" s="8" t="s">
        <v>3604</v>
      </c>
      <c r="FD1681" s="8">
        <v>600</v>
      </c>
      <c r="FE1681" s="8">
        <v>60</v>
      </c>
    </row>
    <row r="1682" spans="158:161" ht="74.25" customHeight="1" x14ac:dyDescent="0.2">
      <c r="FB1682" s="8" t="s">
        <v>3605</v>
      </c>
      <c r="FC1682" s="8" t="s">
        <v>3606</v>
      </c>
      <c r="FD1682" s="8">
        <v>0.2</v>
      </c>
      <c r="FE1682" s="8">
        <v>0.02</v>
      </c>
    </row>
    <row r="1683" spans="158:161" ht="74.25" customHeight="1" x14ac:dyDescent="0.2">
      <c r="FB1683" s="8" t="s">
        <v>3607</v>
      </c>
      <c r="FC1683" s="8" t="s">
        <v>3608</v>
      </c>
      <c r="FD1683" s="8">
        <v>500</v>
      </c>
      <c r="FE1683" s="8">
        <v>50</v>
      </c>
    </row>
    <row r="1684" spans="158:161" ht="74.25" customHeight="1" x14ac:dyDescent="0.2">
      <c r="FB1684" s="8" t="s">
        <v>3609</v>
      </c>
      <c r="FC1684" s="8" t="s">
        <v>3610</v>
      </c>
      <c r="FD1684" s="8">
        <v>1000</v>
      </c>
      <c r="FE1684" s="8">
        <v>100</v>
      </c>
    </row>
    <row r="1685" spans="158:161" ht="74.25" customHeight="1" x14ac:dyDescent="0.2">
      <c r="FB1685" s="8" t="s">
        <v>3611</v>
      </c>
      <c r="FC1685" s="8" t="s">
        <v>3612</v>
      </c>
      <c r="FD1685" s="8">
        <v>3440</v>
      </c>
      <c r="FE1685" s="8">
        <v>344</v>
      </c>
    </row>
    <row r="1686" spans="158:161" ht="74.25" customHeight="1" x14ac:dyDescent="0.2">
      <c r="FB1686" s="8" t="s">
        <v>3613</v>
      </c>
      <c r="FC1686" s="8" t="s">
        <v>3614</v>
      </c>
      <c r="FD1686" s="8">
        <v>100</v>
      </c>
      <c r="FE1686" s="8">
        <v>10</v>
      </c>
    </row>
    <row r="1687" spans="158:161" ht="74.25" customHeight="1" x14ac:dyDescent="0.2">
      <c r="FB1687" s="8" t="s">
        <v>3615</v>
      </c>
      <c r="FC1687" s="8" t="s">
        <v>3616</v>
      </c>
      <c r="FD1687" s="8">
        <v>500</v>
      </c>
      <c r="FE1687" s="8">
        <v>50</v>
      </c>
    </row>
    <row r="1688" spans="158:161" ht="74.25" customHeight="1" x14ac:dyDescent="0.2">
      <c r="FB1688" s="8" t="s">
        <v>3617</v>
      </c>
      <c r="FC1688" s="8" t="s">
        <v>3618</v>
      </c>
      <c r="FD1688" s="8">
        <v>50</v>
      </c>
      <c r="FE1688" s="8">
        <v>5</v>
      </c>
    </row>
    <row r="1689" spans="158:161" ht="74.25" customHeight="1" x14ac:dyDescent="0.2">
      <c r="FB1689" s="8" t="s">
        <v>3619</v>
      </c>
      <c r="FC1689" s="8" t="s">
        <v>3620</v>
      </c>
      <c r="FD1689" s="8">
        <v>120</v>
      </c>
      <c r="FE1689" s="8">
        <v>12</v>
      </c>
    </row>
    <row r="1690" spans="158:161" ht="74.25" customHeight="1" x14ac:dyDescent="0.2">
      <c r="FB1690" s="8" t="s">
        <v>3621</v>
      </c>
      <c r="FC1690" s="8" t="s">
        <v>3622</v>
      </c>
      <c r="FD1690" s="8">
        <v>8</v>
      </c>
      <c r="FE1690" s="8">
        <v>0.8</v>
      </c>
    </row>
    <row r="1691" spans="158:161" ht="74.25" customHeight="1" x14ac:dyDescent="0.2">
      <c r="FB1691" s="8" t="s">
        <v>3623</v>
      </c>
      <c r="FC1691" s="8" t="s">
        <v>3624</v>
      </c>
      <c r="FD1691" s="8">
        <v>125</v>
      </c>
      <c r="FE1691" s="8">
        <v>12.5</v>
      </c>
    </row>
    <row r="1692" spans="158:161" ht="74.25" customHeight="1" x14ac:dyDescent="0.2">
      <c r="FB1692" s="8" t="s">
        <v>3625</v>
      </c>
      <c r="FC1692" s="8" t="s">
        <v>3626</v>
      </c>
      <c r="FD1692" s="8">
        <v>28</v>
      </c>
      <c r="FE1692" s="8">
        <v>2.8</v>
      </c>
    </row>
    <row r="1693" spans="158:161" ht="74.25" customHeight="1" x14ac:dyDescent="0.2">
      <c r="FB1693" s="8" t="s">
        <v>3627</v>
      </c>
      <c r="FC1693" s="8" t="s">
        <v>3628</v>
      </c>
      <c r="FD1693" s="8">
        <v>610</v>
      </c>
      <c r="FE1693" s="8">
        <v>61</v>
      </c>
    </row>
    <row r="1694" spans="158:161" ht="74.25" customHeight="1" x14ac:dyDescent="0.2">
      <c r="FB1694" s="8" t="s">
        <v>3629</v>
      </c>
      <c r="FC1694" s="8" t="s">
        <v>3630</v>
      </c>
      <c r="FD1694" s="8">
        <v>440</v>
      </c>
      <c r="FE1694" s="8">
        <v>44</v>
      </c>
    </row>
    <row r="1695" spans="158:161" ht="74.25" customHeight="1" x14ac:dyDescent="0.2">
      <c r="FB1695" s="8" t="s">
        <v>3631</v>
      </c>
      <c r="FC1695" s="8" t="s">
        <v>3632</v>
      </c>
      <c r="FD1695" s="8">
        <v>610</v>
      </c>
      <c r="FE1695" s="8">
        <v>61</v>
      </c>
    </row>
    <row r="1696" spans="158:161" ht="74.25" customHeight="1" x14ac:dyDescent="0.2">
      <c r="FB1696" s="8" t="s">
        <v>3633</v>
      </c>
      <c r="FC1696" s="8" t="s">
        <v>3634</v>
      </c>
      <c r="FD1696" s="8">
        <v>50</v>
      </c>
      <c r="FE1696" s="8">
        <v>5</v>
      </c>
    </row>
    <row r="1697" spans="158:161" ht="74.25" customHeight="1" x14ac:dyDescent="0.2">
      <c r="FB1697" s="8" t="s">
        <v>3635</v>
      </c>
      <c r="FC1697" s="8" t="s">
        <v>3636</v>
      </c>
      <c r="FD1697" s="8">
        <v>50</v>
      </c>
      <c r="FE1697" s="8">
        <v>5</v>
      </c>
    </row>
    <row r="1698" spans="158:161" ht="74.25" customHeight="1" x14ac:dyDescent="0.2">
      <c r="FB1698" s="8" t="s">
        <v>3637</v>
      </c>
      <c r="FC1698" s="8" t="s">
        <v>3638</v>
      </c>
      <c r="FD1698" s="8">
        <v>18</v>
      </c>
      <c r="FE1698" s="8">
        <v>14</v>
      </c>
    </row>
    <row r="1699" spans="158:161" ht="74.25" customHeight="1" x14ac:dyDescent="0.2">
      <c r="FB1699" s="8" t="s">
        <v>3639</v>
      </c>
      <c r="FC1699" s="8" t="s">
        <v>3640</v>
      </c>
      <c r="FD1699" s="8">
        <v>600</v>
      </c>
      <c r="FE1699" s="8">
        <v>60</v>
      </c>
    </row>
    <row r="1700" spans="158:161" ht="74.25" customHeight="1" x14ac:dyDescent="0.2">
      <c r="FB1700" s="8" t="s">
        <v>3641</v>
      </c>
      <c r="FC1700" s="8" t="s">
        <v>3642</v>
      </c>
      <c r="FD1700" s="8">
        <v>500</v>
      </c>
      <c r="FE1700" s="8">
        <v>50</v>
      </c>
    </row>
    <row r="1701" spans="158:161" ht="74.25" customHeight="1" x14ac:dyDescent="0.2">
      <c r="FB1701" s="8" t="s">
        <v>3643</v>
      </c>
      <c r="FC1701" s="8" t="s">
        <v>3644</v>
      </c>
      <c r="FD1701" s="8">
        <v>650</v>
      </c>
      <c r="FE1701" s="8">
        <v>65</v>
      </c>
    </row>
    <row r="1702" spans="158:161" ht="74.25" customHeight="1" x14ac:dyDescent="0.2">
      <c r="FB1702" s="8" t="s">
        <v>3645</v>
      </c>
      <c r="FC1702" s="8" t="s">
        <v>3646</v>
      </c>
      <c r="FD1702" s="8">
        <v>18</v>
      </c>
      <c r="FE1702" s="8">
        <v>14</v>
      </c>
    </row>
    <row r="1703" spans="158:161" ht="74.25" customHeight="1" x14ac:dyDescent="0.2">
      <c r="FB1703" s="8" t="s">
        <v>3647</v>
      </c>
      <c r="FC1703" s="8" t="s">
        <v>3648</v>
      </c>
      <c r="FD1703" s="8">
        <v>180</v>
      </c>
      <c r="FE1703" s="8">
        <v>92</v>
      </c>
    </row>
    <row r="1704" spans="158:161" ht="74.25" customHeight="1" x14ac:dyDescent="0.2">
      <c r="FB1704" s="8" t="s">
        <v>3649</v>
      </c>
      <c r="FC1704" s="8" t="s">
        <v>3650</v>
      </c>
      <c r="FD1704" s="8">
        <v>125</v>
      </c>
      <c r="FE1704" s="8">
        <v>12.5</v>
      </c>
    </row>
    <row r="1705" spans="158:161" ht="74.25" customHeight="1" x14ac:dyDescent="0.2">
      <c r="FB1705" s="8" t="s">
        <v>3651</v>
      </c>
      <c r="FC1705" s="8" t="s">
        <v>3652</v>
      </c>
      <c r="FD1705" s="8">
        <v>720</v>
      </c>
      <c r="FE1705" s="8">
        <v>72</v>
      </c>
    </row>
    <row r="1706" spans="158:161" ht="74.25" customHeight="1" x14ac:dyDescent="0.2">
      <c r="FB1706" s="8" t="s">
        <v>3653</v>
      </c>
      <c r="FC1706" s="8" t="s">
        <v>3654</v>
      </c>
      <c r="FD1706" s="8">
        <v>600</v>
      </c>
      <c r="FE1706" s="8">
        <v>60</v>
      </c>
    </row>
    <row r="1707" spans="158:161" ht="74.25" customHeight="1" x14ac:dyDescent="0.2">
      <c r="FB1707" s="8" t="s">
        <v>3655</v>
      </c>
      <c r="FC1707" s="8" t="s">
        <v>3656</v>
      </c>
      <c r="FD1707" s="8">
        <v>10</v>
      </c>
      <c r="FE1707" s="8">
        <v>1</v>
      </c>
    </row>
    <row r="1708" spans="158:161" ht="74.25" customHeight="1" x14ac:dyDescent="0.2">
      <c r="FB1708" s="8" t="s">
        <v>3657</v>
      </c>
      <c r="FC1708" s="8" t="s">
        <v>3658</v>
      </c>
      <c r="FD1708" s="8">
        <v>1100</v>
      </c>
      <c r="FE1708" s="8">
        <v>110</v>
      </c>
    </row>
    <row r="1709" spans="158:161" ht="74.25" customHeight="1" x14ac:dyDescent="0.2">
      <c r="FB1709" s="8" t="s">
        <v>3659</v>
      </c>
      <c r="FC1709" s="8" t="s">
        <v>3660</v>
      </c>
      <c r="FD1709" s="8">
        <v>2000</v>
      </c>
      <c r="FE1709" s="8">
        <v>200</v>
      </c>
    </row>
    <row r="1710" spans="158:161" ht="74.25" customHeight="1" x14ac:dyDescent="0.2">
      <c r="FB1710" s="8" t="s">
        <v>3661</v>
      </c>
      <c r="FC1710" s="8" t="s">
        <v>3662</v>
      </c>
      <c r="FD1710" s="8">
        <v>480</v>
      </c>
      <c r="FE1710" s="8">
        <v>48</v>
      </c>
    </row>
    <row r="1711" spans="158:161" ht="74.25" customHeight="1" x14ac:dyDescent="0.2">
      <c r="FB1711" s="8" t="s">
        <v>3663</v>
      </c>
      <c r="FC1711" s="8" t="s">
        <v>3664</v>
      </c>
      <c r="FD1711" s="8">
        <v>2000</v>
      </c>
      <c r="FE1711" s="8">
        <v>200</v>
      </c>
    </row>
    <row r="1712" spans="158:161" ht="74.25" customHeight="1" x14ac:dyDescent="0.2">
      <c r="FB1712" s="8" t="s">
        <v>3665</v>
      </c>
      <c r="FC1712" s="8" t="s">
        <v>3666</v>
      </c>
      <c r="FD1712" s="8">
        <v>1120</v>
      </c>
      <c r="FE1712" s="8">
        <v>112</v>
      </c>
    </row>
    <row r="1713" spans="158:161" ht="74.25" customHeight="1" x14ac:dyDescent="0.2">
      <c r="FB1713" s="8" t="s">
        <v>3667</v>
      </c>
      <c r="FC1713" s="8" t="s">
        <v>3668</v>
      </c>
      <c r="FD1713" s="8">
        <v>15</v>
      </c>
      <c r="FE1713" s="8">
        <v>1.5</v>
      </c>
    </row>
    <row r="1714" spans="158:161" ht="74.25" customHeight="1" x14ac:dyDescent="0.2">
      <c r="FB1714" s="8" t="s">
        <v>3669</v>
      </c>
      <c r="FC1714" s="8" t="s">
        <v>3670</v>
      </c>
      <c r="FD1714" s="8">
        <v>1120</v>
      </c>
      <c r="FE1714" s="8">
        <v>112</v>
      </c>
    </row>
    <row r="1715" spans="158:161" ht="74.25" customHeight="1" x14ac:dyDescent="0.2">
      <c r="FB1715" s="8" t="s">
        <v>3671</v>
      </c>
      <c r="FC1715" s="8" t="s">
        <v>3672</v>
      </c>
      <c r="FD1715" s="8">
        <v>1000</v>
      </c>
      <c r="FE1715" s="8">
        <v>100</v>
      </c>
    </row>
    <row r="1716" spans="158:161" ht="74.25" customHeight="1" x14ac:dyDescent="0.2">
      <c r="FB1716" s="8" t="s">
        <v>3673</v>
      </c>
      <c r="FC1716" s="8" t="s">
        <v>3674</v>
      </c>
      <c r="FD1716" s="8">
        <v>2000</v>
      </c>
      <c r="FE1716" s="8">
        <v>200</v>
      </c>
    </row>
    <row r="1717" spans="158:161" ht="74.25" customHeight="1" x14ac:dyDescent="0.2">
      <c r="FB1717" s="8" t="s">
        <v>3675</v>
      </c>
      <c r="FC1717" s="8" t="s">
        <v>3676</v>
      </c>
      <c r="FD1717" s="8">
        <v>13</v>
      </c>
      <c r="FE1717" s="8">
        <v>1.3</v>
      </c>
    </row>
    <row r="1718" spans="158:161" ht="74.25" customHeight="1" x14ac:dyDescent="0.2">
      <c r="FB1718" s="8" t="s">
        <v>3677</v>
      </c>
      <c r="FC1718" s="8" t="s">
        <v>3678</v>
      </c>
      <c r="FD1718" s="8">
        <v>100</v>
      </c>
      <c r="FE1718" s="8">
        <v>10</v>
      </c>
    </row>
    <row r="1719" spans="158:161" ht="74.25" customHeight="1" x14ac:dyDescent="0.2">
      <c r="FB1719" s="8" t="s">
        <v>3679</v>
      </c>
      <c r="FC1719" s="8" t="s">
        <v>3680</v>
      </c>
      <c r="FD1719" s="8">
        <v>420</v>
      </c>
      <c r="FE1719" s="8">
        <v>42</v>
      </c>
    </row>
    <row r="1720" spans="158:161" ht="74.25" customHeight="1" x14ac:dyDescent="0.2">
      <c r="FB1720" s="8" t="s">
        <v>3681</v>
      </c>
      <c r="FC1720" s="8" t="s">
        <v>3682</v>
      </c>
      <c r="FD1720" s="8">
        <v>100</v>
      </c>
      <c r="FE1720" s="8">
        <v>10</v>
      </c>
    </row>
    <row r="1721" spans="158:161" ht="74.25" customHeight="1" x14ac:dyDescent="0.2">
      <c r="FB1721" s="8" t="s">
        <v>3683</v>
      </c>
      <c r="FC1721" s="8" t="s">
        <v>3684</v>
      </c>
      <c r="FD1721" s="8">
        <v>290</v>
      </c>
      <c r="FE1721" s="8">
        <v>3.3</v>
      </c>
    </row>
    <row r="1722" spans="158:161" ht="74.25" customHeight="1" x14ac:dyDescent="0.2">
      <c r="FB1722" s="8" t="s">
        <v>3685</v>
      </c>
      <c r="FC1722" s="8" t="s">
        <v>3686</v>
      </c>
      <c r="FD1722" s="8">
        <v>100</v>
      </c>
      <c r="FE1722" s="8">
        <v>10</v>
      </c>
    </row>
    <row r="1723" spans="158:161" ht="74.25" customHeight="1" x14ac:dyDescent="0.2">
      <c r="FB1723" s="8" t="s">
        <v>3687</v>
      </c>
      <c r="FC1723" s="8" t="s">
        <v>3688</v>
      </c>
      <c r="FD1723" s="8">
        <v>100</v>
      </c>
      <c r="FE1723" s="8">
        <v>10</v>
      </c>
    </row>
    <row r="1724" spans="158:161" ht="74.25" customHeight="1" x14ac:dyDescent="0.2">
      <c r="FB1724" s="8" t="s">
        <v>3689</v>
      </c>
      <c r="FC1724" s="8" t="s">
        <v>3690</v>
      </c>
      <c r="FD1724" s="8">
        <v>110</v>
      </c>
      <c r="FE1724" s="8">
        <v>11</v>
      </c>
    </row>
    <row r="1725" spans="158:161" ht="74.25" customHeight="1" x14ac:dyDescent="0.2">
      <c r="FB1725" s="8" t="s">
        <v>3691</v>
      </c>
      <c r="FC1725" s="8" t="s">
        <v>3692</v>
      </c>
      <c r="FD1725" s="8">
        <v>380</v>
      </c>
      <c r="FE1725" s="8">
        <v>38</v>
      </c>
    </row>
    <row r="1726" spans="158:161" ht="74.25" customHeight="1" x14ac:dyDescent="0.2">
      <c r="FB1726" s="8" t="s">
        <v>3693</v>
      </c>
      <c r="FC1726" s="8" t="s">
        <v>3694</v>
      </c>
      <c r="FD1726" s="8">
        <v>210</v>
      </c>
      <c r="FE1726" s="8">
        <v>21</v>
      </c>
    </row>
    <row r="1727" spans="158:161" ht="74.25" customHeight="1" x14ac:dyDescent="0.2">
      <c r="FB1727" s="8" t="s">
        <v>3695</v>
      </c>
      <c r="FC1727" s="8" t="s">
        <v>3696</v>
      </c>
      <c r="FD1727" s="8">
        <v>370</v>
      </c>
      <c r="FE1727" s="8">
        <v>37</v>
      </c>
    </row>
    <row r="1728" spans="158:161" ht="74.25" customHeight="1" x14ac:dyDescent="0.2">
      <c r="FB1728" s="8" t="s">
        <v>3697</v>
      </c>
      <c r="FC1728" s="8" t="s">
        <v>3698</v>
      </c>
      <c r="FD1728" s="8">
        <v>100</v>
      </c>
      <c r="FE1728" s="8">
        <v>10</v>
      </c>
    </row>
    <row r="1729" spans="158:161" ht="74.25" customHeight="1" x14ac:dyDescent="0.2">
      <c r="FB1729" s="8" t="s">
        <v>3699</v>
      </c>
      <c r="FC1729" s="8" t="s">
        <v>3700</v>
      </c>
      <c r="FD1729" s="8">
        <v>100</v>
      </c>
      <c r="FE1729" s="8">
        <v>10</v>
      </c>
    </row>
    <row r="1730" spans="158:161" ht="74.25" customHeight="1" x14ac:dyDescent="0.2">
      <c r="FB1730" s="8" t="s">
        <v>3701</v>
      </c>
      <c r="FC1730" s="8" t="s">
        <v>3702</v>
      </c>
      <c r="FD1730" s="8">
        <v>50</v>
      </c>
      <c r="FE1730" s="8">
        <v>5</v>
      </c>
    </row>
    <row r="1731" spans="158:161" ht="74.25" customHeight="1" x14ac:dyDescent="0.2">
      <c r="FB1731" s="8" t="s">
        <v>3703</v>
      </c>
      <c r="FC1731" s="8" t="s">
        <v>3704</v>
      </c>
      <c r="FD1731" s="8">
        <v>100</v>
      </c>
      <c r="FE1731" s="8">
        <v>10</v>
      </c>
    </row>
    <row r="1732" spans="158:161" ht="74.25" customHeight="1" x14ac:dyDescent="0.2">
      <c r="FB1732" s="8" t="s">
        <v>3705</v>
      </c>
      <c r="FC1732" s="8" t="s">
        <v>3706</v>
      </c>
      <c r="FD1732" s="8">
        <v>0.05</v>
      </c>
      <c r="FE1732" s="8">
        <v>5.0000000000000001E-3</v>
      </c>
    </row>
    <row r="1733" spans="158:161" ht="74.25" customHeight="1" x14ac:dyDescent="0.2">
      <c r="FB1733" s="8" t="s">
        <v>3707</v>
      </c>
      <c r="FC1733" s="8" t="s">
        <v>9845</v>
      </c>
      <c r="FD1733" s="8">
        <v>100</v>
      </c>
      <c r="FE1733" s="8">
        <v>10</v>
      </c>
    </row>
    <row r="1734" spans="158:161" ht="74.25" customHeight="1" x14ac:dyDescent="0.2">
      <c r="FB1734" s="8" t="s">
        <v>3708</v>
      </c>
      <c r="FC1734" s="8" t="s">
        <v>3709</v>
      </c>
      <c r="FD1734" s="8">
        <v>30</v>
      </c>
      <c r="FE1734" s="8">
        <v>3</v>
      </c>
    </row>
    <row r="1735" spans="158:161" ht="74.25" customHeight="1" x14ac:dyDescent="0.2">
      <c r="FB1735" s="8" t="s">
        <v>3710</v>
      </c>
      <c r="FC1735" s="8" t="s">
        <v>3711</v>
      </c>
      <c r="FD1735" s="8">
        <v>10000</v>
      </c>
      <c r="FE1735" s="8">
        <v>1000</v>
      </c>
    </row>
    <row r="1736" spans="158:161" ht="74.25" customHeight="1" x14ac:dyDescent="0.2">
      <c r="FB1736" s="8" t="s">
        <v>3712</v>
      </c>
      <c r="FC1736" s="8" t="s">
        <v>3713</v>
      </c>
      <c r="FD1736" s="8">
        <v>400</v>
      </c>
      <c r="FE1736" s="8">
        <v>40</v>
      </c>
    </row>
    <row r="1737" spans="158:161" ht="74.25" customHeight="1" x14ac:dyDescent="0.2">
      <c r="FB1737" s="8" t="s">
        <v>3714</v>
      </c>
      <c r="FC1737" s="8" t="s">
        <v>3715</v>
      </c>
      <c r="FD1737" s="8">
        <v>100</v>
      </c>
      <c r="FE1737" s="8">
        <v>10</v>
      </c>
    </row>
    <row r="1738" spans="158:161" ht="74.25" customHeight="1" x14ac:dyDescent="0.2">
      <c r="FB1738" s="8" t="s">
        <v>3716</v>
      </c>
      <c r="FC1738" s="8" t="s">
        <v>3717</v>
      </c>
      <c r="FD1738" s="8">
        <v>100</v>
      </c>
      <c r="FE1738" s="8">
        <v>10</v>
      </c>
    </row>
    <row r="1739" spans="158:161" ht="74.25" customHeight="1" x14ac:dyDescent="0.2">
      <c r="FB1739" s="8" t="s">
        <v>3718</v>
      </c>
      <c r="FC1739" s="8" t="s">
        <v>3719</v>
      </c>
      <c r="FD1739" s="8">
        <v>210</v>
      </c>
      <c r="FE1739" s="8">
        <v>21</v>
      </c>
    </row>
    <row r="1740" spans="158:161" ht="74.25" customHeight="1" x14ac:dyDescent="0.2">
      <c r="FB1740" s="8" t="s">
        <v>3720</v>
      </c>
      <c r="FC1740" s="8" t="s">
        <v>3721</v>
      </c>
      <c r="FD1740" s="8">
        <v>1000</v>
      </c>
      <c r="FE1740" s="8">
        <v>100</v>
      </c>
    </row>
    <row r="1741" spans="158:161" ht="74.25" customHeight="1" x14ac:dyDescent="0.2">
      <c r="FB1741" s="8" t="s">
        <v>3722</v>
      </c>
      <c r="FC1741" s="8" t="s">
        <v>3723</v>
      </c>
      <c r="FD1741" s="8">
        <v>800</v>
      </c>
      <c r="FE1741" s="8">
        <v>80</v>
      </c>
    </row>
    <row r="1742" spans="158:161" ht="74.25" customHeight="1" x14ac:dyDescent="0.2">
      <c r="FB1742" s="8" t="s">
        <v>3724</v>
      </c>
      <c r="FC1742" s="8" t="s">
        <v>3725</v>
      </c>
      <c r="FD1742" s="8">
        <v>90</v>
      </c>
      <c r="FE1742" s="8">
        <v>9</v>
      </c>
    </row>
    <row r="1743" spans="158:161" ht="74.25" customHeight="1" x14ac:dyDescent="0.2">
      <c r="FB1743" s="8" t="s">
        <v>9899</v>
      </c>
      <c r="FC1743" s="8" t="s">
        <v>9899</v>
      </c>
      <c r="FD1743" s="8">
        <v>1000</v>
      </c>
      <c r="FE1743" s="8">
        <v>100</v>
      </c>
    </row>
    <row r="1744" spans="158:161" ht="74.25" customHeight="1" x14ac:dyDescent="0.2">
      <c r="FB1744" s="8" t="s">
        <v>3726</v>
      </c>
      <c r="FC1744" s="8" t="s">
        <v>3726</v>
      </c>
      <c r="FD1744" s="8">
        <v>1250</v>
      </c>
      <c r="FE1744" s="8">
        <v>125</v>
      </c>
    </row>
    <row r="1745" spans="158:161" ht="74.25" customHeight="1" x14ac:dyDescent="0.2">
      <c r="FB1745" s="8" t="s">
        <v>3727</v>
      </c>
      <c r="FC1745" s="8" t="s">
        <v>3728</v>
      </c>
      <c r="FD1745" s="8">
        <v>100</v>
      </c>
      <c r="FE1745" s="8">
        <v>10</v>
      </c>
    </row>
    <row r="1746" spans="158:161" ht="74.25" customHeight="1" x14ac:dyDescent="0.2">
      <c r="FB1746" s="8" t="s">
        <v>3729</v>
      </c>
      <c r="FC1746" s="8" t="s">
        <v>3730</v>
      </c>
      <c r="FD1746" s="8">
        <v>5</v>
      </c>
      <c r="FE1746" s="8">
        <v>0.5</v>
      </c>
    </row>
    <row r="1747" spans="158:161" ht="74.25" customHeight="1" x14ac:dyDescent="0.2">
      <c r="FB1747" s="8" t="s">
        <v>3731</v>
      </c>
      <c r="FC1747" s="8" t="s">
        <v>9457</v>
      </c>
      <c r="FD1747" s="8">
        <v>17</v>
      </c>
      <c r="FE1747" s="8">
        <v>8.1</v>
      </c>
    </row>
    <row r="1748" spans="158:161" ht="74.25" customHeight="1" x14ac:dyDescent="0.2">
      <c r="FB1748" s="8" t="s">
        <v>3732</v>
      </c>
      <c r="FC1748" s="8" t="s">
        <v>9458</v>
      </c>
      <c r="FD1748" s="8">
        <v>2.8</v>
      </c>
      <c r="FE1748" s="8">
        <v>0.56999999999999995</v>
      </c>
    </row>
    <row r="1749" spans="158:161" ht="74.25" customHeight="1" x14ac:dyDescent="0.2">
      <c r="FB1749" s="8" t="s">
        <v>3733</v>
      </c>
      <c r="FC1749" s="8" t="s">
        <v>3734</v>
      </c>
      <c r="FD1749" s="8" t="s">
        <v>9511</v>
      </c>
      <c r="FE1749" s="8">
        <v>0.71</v>
      </c>
    </row>
    <row r="1750" spans="158:161" ht="74.25" customHeight="1" x14ac:dyDescent="0.2">
      <c r="FB1750" s="8" t="s">
        <v>3735</v>
      </c>
      <c r="FC1750" s="8" t="s">
        <v>3736</v>
      </c>
      <c r="FD1750" s="8">
        <v>100</v>
      </c>
      <c r="FE1750" s="8">
        <v>10</v>
      </c>
    </row>
    <row r="1751" spans="158:161" ht="74.25" customHeight="1" x14ac:dyDescent="0.2">
      <c r="FB1751" s="8" t="s">
        <v>3737</v>
      </c>
      <c r="FC1751" s="8" t="s">
        <v>3738</v>
      </c>
      <c r="FD1751" s="8">
        <v>7</v>
      </c>
      <c r="FE1751" s="8">
        <v>0.7</v>
      </c>
    </row>
    <row r="1752" spans="158:161" ht="74.25" customHeight="1" x14ac:dyDescent="0.2">
      <c r="FB1752" s="8" t="s">
        <v>3739</v>
      </c>
      <c r="FC1752" s="8" t="s">
        <v>3740</v>
      </c>
      <c r="FD1752" s="8">
        <v>7</v>
      </c>
      <c r="FE1752" s="8">
        <v>0.7</v>
      </c>
    </row>
    <row r="1753" spans="158:161" ht="74.25" customHeight="1" x14ac:dyDescent="0.2">
      <c r="FB1753" s="8" t="s">
        <v>3741</v>
      </c>
      <c r="FC1753" s="8" t="s">
        <v>3742</v>
      </c>
      <c r="FD1753" s="8">
        <v>250</v>
      </c>
      <c r="FE1753" s="8">
        <v>25</v>
      </c>
    </row>
    <row r="1754" spans="158:161" ht="74.25" customHeight="1" x14ac:dyDescent="0.2">
      <c r="FB1754" s="8" t="s">
        <v>3743</v>
      </c>
      <c r="FC1754" s="8" t="s">
        <v>3744</v>
      </c>
      <c r="FD1754" s="8">
        <v>80</v>
      </c>
      <c r="FE1754" s="8">
        <v>8</v>
      </c>
    </row>
    <row r="1755" spans="158:161" ht="74.25" customHeight="1" x14ac:dyDescent="0.2">
      <c r="FB1755" s="8" t="s">
        <v>3745</v>
      </c>
      <c r="FC1755" s="8" t="s">
        <v>3746</v>
      </c>
      <c r="FD1755" s="8">
        <v>30</v>
      </c>
      <c r="FE1755" s="8">
        <v>3</v>
      </c>
    </row>
    <row r="1756" spans="158:161" ht="74.25" customHeight="1" x14ac:dyDescent="0.2">
      <c r="FB1756" s="8" t="s">
        <v>3747</v>
      </c>
      <c r="FC1756" s="8" t="s">
        <v>3748</v>
      </c>
      <c r="FD1756" s="8">
        <v>10600</v>
      </c>
      <c r="FE1756" s="8">
        <v>1060</v>
      </c>
    </row>
    <row r="1757" spans="158:161" ht="74.25" customHeight="1" x14ac:dyDescent="0.2">
      <c r="FB1757" s="8" t="s">
        <v>3749</v>
      </c>
      <c r="FC1757" s="8" t="s">
        <v>3750</v>
      </c>
      <c r="FD1757" s="8">
        <v>220</v>
      </c>
      <c r="FE1757" s="8">
        <v>22</v>
      </c>
    </row>
    <row r="1758" spans="158:161" ht="74.25" customHeight="1" x14ac:dyDescent="0.2">
      <c r="FB1758" s="8" t="s">
        <v>3751</v>
      </c>
      <c r="FC1758" s="8" t="s">
        <v>3752</v>
      </c>
      <c r="FD1758" s="8">
        <v>700</v>
      </c>
      <c r="FE1758" s="8">
        <v>70</v>
      </c>
    </row>
    <row r="1759" spans="158:161" ht="74.25" customHeight="1" x14ac:dyDescent="0.2">
      <c r="FB1759" s="8" t="s">
        <v>3753</v>
      </c>
      <c r="FC1759" s="8" t="s">
        <v>3754</v>
      </c>
      <c r="FD1759" s="8">
        <v>220</v>
      </c>
      <c r="FE1759" s="8">
        <v>22</v>
      </c>
    </row>
    <row r="1760" spans="158:161" ht="74.25" customHeight="1" x14ac:dyDescent="0.2">
      <c r="FB1760" s="8" t="s">
        <v>3755</v>
      </c>
      <c r="FC1760" s="8" t="s">
        <v>3756</v>
      </c>
      <c r="FD1760" s="8">
        <v>50</v>
      </c>
      <c r="FE1760" s="8">
        <v>5</v>
      </c>
    </row>
    <row r="1761" spans="158:161" ht="74.25" customHeight="1" x14ac:dyDescent="0.2">
      <c r="FB1761" s="8" t="s">
        <v>3757</v>
      </c>
      <c r="FC1761" s="8" t="s">
        <v>3758</v>
      </c>
      <c r="FD1761" s="8">
        <v>250</v>
      </c>
      <c r="FE1761" s="8">
        <v>25</v>
      </c>
    </row>
    <row r="1762" spans="158:161" ht="74.25" customHeight="1" x14ac:dyDescent="0.2">
      <c r="FB1762" s="8" t="s">
        <v>3759</v>
      </c>
      <c r="FC1762" s="8" t="s">
        <v>3760</v>
      </c>
      <c r="FD1762" s="8">
        <v>120</v>
      </c>
      <c r="FE1762" s="8">
        <v>12</v>
      </c>
    </row>
    <row r="1763" spans="158:161" ht="74.25" customHeight="1" x14ac:dyDescent="0.2">
      <c r="FB1763" s="8" t="s">
        <v>3761</v>
      </c>
      <c r="FC1763" s="8" t="s">
        <v>3762</v>
      </c>
      <c r="FD1763" s="8">
        <v>61000</v>
      </c>
      <c r="FE1763" s="8">
        <v>6100</v>
      </c>
    </row>
    <row r="1764" spans="158:161" ht="74.25" customHeight="1" x14ac:dyDescent="0.2">
      <c r="FB1764" s="8" t="s">
        <v>3763</v>
      </c>
      <c r="FC1764" s="8" t="s">
        <v>3764</v>
      </c>
      <c r="FD1764" s="8">
        <v>640</v>
      </c>
      <c r="FE1764" s="8">
        <v>64</v>
      </c>
    </row>
    <row r="1765" spans="158:161" ht="74.25" customHeight="1" x14ac:dyDescent="0.2">
      <c r="FB1765" s="8" t="s">
        <v>3765</v>
      </c>
      <c r="FC1765" s="8" t="s">
        <v>3766</v>
      </c>
      <c r="FD1765" s="8">
        <v>3300</v>
      </c>
      <c r="FE1765" s="8">
        <v>30</v>
      </c>
    </row>
    <row r="1766" spans="158:161" ht="74.25" customHeight="1" x14ac:dyDescent="0.2">
      <c r="FB1766" s="8" t="s">
        <v>3767</v>
      </c>
      <c r="FC1766" s="8" t="s">
        <v>3768</v>
      </c>
      <c r="FD1766" s="8">
        <v>2900</v>
      </c>
      <c r="FE1766" s="8">
        <v>3700</v>
      </c>
    </row>
    <row r="1767" spans="158:161" ht="74.25" customHeight="1" x14ac:dyDescent="0.2">
      <c r="FB1767" s="8" t="s">
        <v>3769</v>
      </c>
      <c r="FC1767" s="8" t="s">
        <v>3770</v>
      </c>
      <c r="FD1767" s="8">
        <v>1000</v>
      </c>
      <c r="FE1767" s="8">
        <v>100</v>
      </c>
    </row>
    <row r="1768" spans="158:161" ht="74.25" customHeight="1" x14ac:dyDescent="0.2">
      <c r="FB1768" s="8" t="s">
        <v>3771</v>
      </c>
      <c r="FC1768" s="8" t="s">
        <v>3772</v>
      </c>
      <c r="FD1768" s="8">
        <v>300</v>
      </c>
      <c r="FE1768" s="8">
        <v>30</v>
      </c>
    </row>
    <row r="1769" spans="158:161" ht="74.25" customHeight="1" x14ac:dyDescent="0.2">
      <c r="FB1769" s="8" t="s">
        <v>3773</v>
      </c>
      <c r="FC1769" s="8" t="s">
        <v>3774</v>
      </c>
      <c r="FD1769" s="8">
        <v>100</v>
      </c>
      <c r="FE1769" s="8">
        <v>10</v>
      </c>
    </row>
    <row r="1770" spans="158:161" ht="74.25" customHeight="1" x14ac:dyDescent="0.2">
      <c r="FB1770" s="8" t="s">
        <v>3775</v>
      </c>
      <c r="FC1770" s="8" t="s">
        <v>3776</v>
      </c>
      <c r="FD1770" s="8">
        <v>110</v>
      </c>
      <c r="FE1770" s="8">
        <v>11</v>
      </c>
    </row>
    <row r="1771" spans="158:161" ht="74.25" customHeight="1" x14ac:dyDescent="0.2">
      <c r="FB1771" s="8" t="s">
        <v>3777</v>
      </c>
      <c r="FC1771" s="8" t="s">
        <v>3778</v>
      </c>
      <c r="FD1771" s="8">
        <v>2740</v>
      </c>
      <c r="FE1771" s="8">
        <v>274</v>
      </c>
    </row>
    <row r="1772" spans="158:161" ht="74.25" customHeight="1" x14ac:dyDescent="0.2">
      <c r="FB1772" s="8" t="s">
        <v>3779</v>
      </c>
      <c r="FC1772" s="8" t="s">
        <v>3780</v>
      </c>
      <c r="FD1772" s="8">
        <v>400</v>
      </c>
      <c r="FE1772" s="8">
        <v>40</v>
      </c>
    </row>
    <row r="1773" spans="158:161" ht="74.25" customHeight="1" x14ac:dyDescent="0.2">
      <c r="FB1773" s="8" t="s">
        <v>3781</v>
      </c>
      <c r="FC1773" s="8" t="s">
        <v>3782</v>
      </c>
      <c r="FD1773" s="8">
        <v>690</v>
      </c>
      <c r="FE1773" s="8">
        <v>300</v>
      </c>
    </row>
    <row r="1774" spans="158:161" ht="74.25" customHeight="1" x14ac:dyDescent="0.2">
      <c r="FB1774" s="8" t="s">
        <v>3783</v>
      </c>
      <c r="FC1774" s="8" t="s">
        <v>3784</v>
      </c>
      <c r="FD1774" s="8">
        <v>3000</v>
      </c>
      <c r="FE1774" s="8">
        <v>300</v>
      </c>
    </row>
    <row r="1775" spans="158:161" ht="74.25" customHeight="1" x14ac:dyDescent="0.2">
      <c r="FB1775" s="8" t="s">
        <v>3785</v>
      </c>
      <c r="FC1775" s="8" t="s">
        <v>3786</v>
      </c>
      <c r="FD1775" s="8">
        <v>600</v>
      </c>
      <c r="FE1775" s="8">
        <v>60</v>
      </c>
    </row>
    <row r="1776" spans="158:161" ht="74.25" customHeight="1" x14ac:dyDescent="0.2">
      <c r="FB1776" s="8" t="s">
        <v>3787</v>
      </c>
      <c r="FC1776" s="8" t="s">
        <v>3788</v>
      </c>
      <c r="FD1776" s="8">
        <v>500</v>
      </c>
      <c r="FE1776" s="8">
        <v>50</v>
      </c>
    </row>
    <row r="1777" spans="158:161" ht="74.25" customHeight="1" x14ac:dyDescent="0.2">
      <c r="FB1777" s="8" t="s">
        <v>3789</v>
      </c>
      <c r="FC1777" s="8" t="s">
        <v>3790</v>
      </c>
      <c r="FD1777" s="8">
        <v>2900</v>
      </c>
      <c r="FE1777" s="8">
        <v>3700</v>
      </c>
    </row>
    <row r="1778" spans="158:161" ht="74.25" customHeight="1" x14ac:dyDescent="0.2">
      <c r="FB1778" s="8" t="s">
        <v>3791</v>
      </c>
      <c r="FC1778" s="8" t="s">
        <v>3792</v>
      </c>
      <c r="FD1778" s="8">
        <v>3000</v>
      </c>
      <c r="FE1778" s="8">
        <v>300</v>
      </c>
    </row>
    <row r="1779" spans="158:161" ht="74.25" customHeight="1" x14ac:dyDescent="0.2">
      <c r="FB1779" s="8" t="s">
        <v>3793</v>
      </c>
      <c r="FC1779" s="8" t="s">
        <v>3794</v>
      </c>
      <c r="FD1779" s="8">
        <v>160</v>
      </c>
      <c r="FE1779" s="8">
        <v>16</v>
      </c>
    </row>
    <row r="1780" spans="158:161" ht="74.25" customHeight="1" x14ac:dyDescent="0.2">
      <c r="FB1780" s="8" t="s">
        <v>3795</v>
      </c>
      <c r="FC1780" s="8" t="s">
        <v>3796</v>
      </c>
      <c r="FD1780" s="8">
        <v>270</v>
      </c>
      <c r="FE1780" s="8">
        <v>27</v>
      </c>
    </row>
    <row r="1781" spans="158:161" ht="74.25" customHeight="1" x14ac:dyDescent="0.2">
      <c r="FB1781" s="8" t="s">
        <v>3797</v>
      </c>
      <c r="FC1781" s="8" t="s">
        <v>3798</v>
      </c>
      <c r="FD1781" s="8">
        <v>3000</v>
      </c>
      <c r="FE1781" s="8">
        <v>300</v>
      </c>
    </row>
    <row r="1782" spans="158:161" ht="74.25" customHeight="1" x14ac:dyDescent="0.2">
      <c r="FB1782" s="8" t="s">
        <v>3799</v>
      </c>
      <c r="FC1782" s="8" t="s">
        <v>3800</v>
      </c>
      <c r="FD1782" s="8">
        <v>0.7</v>
      </c>
      <c r="FE1782" s="8">
        <v>0.1</v>
      </c>
    </row>
    <row r="1783" spans="158:161" ht="74.25" customHeight="1" x14ac:dyDescent="0.2">
      <c r="FB1783" s="8" t="s">
        <v>3801</v>
      </c>
      <c r="FC1783" s="8" t="s">
        <v>3802</v>
      </c>
      <c r="FD1783" s="8">
        <v>300</v>
      </c>
      <c r="FE1783" s="8">
        <v>30</v>
      </c>
    </row>
    <row r="1784" spans="158:161" ht="74.25" customHeight="1" x14ac:dyDescent="0.2">
      <c r="FB1784" s="8" t="s">
        <v>3803</v>
      </c>
      <c r="FC1784" s="8" t="s">
        <v>3804</v>
      </c>
      <c r="FD1784" s="8">
        <v>7000</v>
      </c>
      <c r="FE1784" s="8">
        <v>700</v>
      </c>
    </row>
    <row r="1785" spans="158:161" ht="74.25" customHeight="1" x14ac:dyDescent="0.2">
      <c r="FB1785" s="8" t="s">
        <v>3805</v>
      </c>
      <c r="FC1785" s="8" t="s">
        <v>3806</v>
      </c>
      <c r="FD1785" s="8">
        <v>50</v>
      </c>
      <c r="FE1785" s="8">
        <v>5</v>
      </c>
    </row>
    <row r="1786" spans="158:161" ht="74.25" customHeight="1" x14ac:dyDescent="0.2">
      <c r="FB1786" s="8" t="s">
        <v>3807</v>
      </c>
      <c r="FC1786" s="8" t="s">
        <v>3808</v>
      </c>
      <c r="FD1786" s="8">
        <v>9300</v>
      </c>
      <c r="FE1786" s="8">
        <v>930</v>
      </c>
    </row>
    <row r="1787" spans="158:161" ht="74.25" customHeight="1" x14ac:dyDescent="0.2">
      <c r="FB1787" s="8" t="s">
        <v>3809</v>
      </c>
      <c r="FC1787" s="8" t="s">
        <v>3810</v>
      </c>
      <c r="FD1787" s="8">
        <v>1900</v>
      </c>
      <c r="FE1787" s="8">
        <v>190</v>
      </c>
    </row>
    <row r="1788" spans="158:161" ht="74.25" customHeight="1" x14ac:dyDescent="0.2">
      <c r="FB1788" s="8" t="s">
        <v>3811</v>
      </c>
      <c r="FC1788" s="8" t="s">
        <v>3812</v>
      </c>
      <c r="FD1788" s="8">
        <v>60</v>
      </c>
      <c r="FE1788" s="8">
        <v>6</v>
      </c>
    </row>
    <row r="1789" spans="158:161" ht="74.25" customHeight="1" x14ac:dyDescent="0.2">
      <c r="FB1789" s="8" t="s">
        <v>3813</v>
      </c>
      <c r="FC1789" s="8" t="s">
        <v>3814</v>
      </c>
      <c r="FD1789" s="8">
        <v>3500</v>
      </c>
      <c r="FE1789" s="8">
        <v>350</v>
      </c>
    </row>
    <row r="1790" spans="158:161" ht="74.25" customHeight="1" x14ac:dyDescent="0.2">
      <c r="FB1790" s="8" t="s">
        <v>3815</v>
      </c>
      <c r="FC1790" s="8" t="s">
        <v>3816</v>
      </c>
      <c r="FD1790" s="8">
        <v>3500</v>
      </c>
      <c r="FE1790" s="8">
        <v>350</v>
      </c>
    </row>
    <row r="1791" spans="158:161" ht="74.25" customHeight="1" x14ac:dyDescent="0.2">
      <c r="FB1791" s="8" t="s">
        <v>3817</v>
      </c>
      <c r="FC1791" s="8" t="s">
        <v>3818</v>
      </c>
      <c r="FD1791" s="8">
        <v>40</v>
      </c>
      <c r="FE1791" s="8">
        <v>4</v>
      </c>
    </row>
    <row r="1792" spans="158:161" ht="74.25" customHeight="1" x14ac:dyDescent="0.2">
      <c r="FB1792" s="8" t="s">
        <v>3819</v>
      </c>
      <c r="FC1792" s="8" t="s">
        <v>3820</v>
      </c>
      <c r="FD1792" s="8">
        <v>27</v>
      </c>
      <c r="FE1792" s="8">
        <v>30</v>
      </c>
    </row>
    <row r="1793" spans="158:161" ht="74.25" customHeight="1" x14ac:dyDescent="0.2">
      <c r="FB1793" s="8" t="s">
        <v>3821</v>
      </c>
      <c r="FC1793" s="8" t="s">
        <v>3822</v>
      </c>
      <c r="FD1793" s="8">
        <v>1670</v>
      </c>
      <c r="FE1793" s="8">
        <v>167</v>
      </c>
    </row>
    <row r="1794" spans="158:161" ht="74.25" customHeight="1" x14ac:dyDescent="0.2">
      <c r="FB1794" s="8" t="s">
        <v>3823</v>
      </c>
      <c r="FC1794" s="8" t="s">
        <v>3824</v>
      </c>
      <c r="FD1794" s="8">
        <v>740</v>
      </c>
      <c r="FE1794" s="8">
        <v>74</v>
      </c>
    </row>
    <row r="1795" spans="158:161" ht="74.25" customHeight="1" x14ac:dyDescent="0.2">
      <c r="FB1795" s="8" t="s">
        <v>3825</v>
      </c>
      <c r="FC1795" s="8" t="s">
        <v>3826</v>
      </c>
      <c r="FD1795" s="8">
        <v>26</v>
      </c>
      <c r="FE1795" s="8">
        <v>90</v>
      </c>
    </row>
    <row r="1796" spans="158:161" ht="74.25" customHeight="1" x14ac:dyDescent="0.2">
      <c r="FB1796" s="8" t="s">
        <v>3827</v>
      </c>
      <c r="FC1796" s="8" t="s">
        <v>3828</v>
      </c>
      <c r="FD1796" s="8">
        <v>250</v>
      </c>
      <c r="FE1796" s="8">
        <v>25</v>
      </c>
    </row>
    <row r="1797" spans="158:161" ht="74.25" customHeight="1" x14ac:dyDescent="0.2">
      <c r="FB1797" s="8" t="s">
        <v>3829</v>
      </c>
      <c r="FC1797" s="8" t="s">
        <v>3830</v>
      </c>
      <c r="FD1797" s="8">
        <v>600</v>
      </c>
      <c r="FE1797" s="8">
        <v>60</v>
      </c>
    </row>
    <row r="1798" spans="158:161" ht="74.25" customHeight="1" x14ac:dyDescent="0.2">
      <c r="FB1798" s="8" t="s">
        <v>3831</v>
      </c>
      <c r="FC1798" s="8" t="s">
        <v>3832</v>
      </c>
      <c r="FD1798" s="8">
        <v>100</v>
      </c>
      <c r="FE1798" s="8">
        <v>10</v>
      </c>
    </row>
    <row r="1799" spans="158:161" ht="74.25" customHeight="1" x14ac:dyDescent="0.2">
      <c r="FB1799" s="8" t="s">
        <v>3833</v>
      </c>
      <c r="FC1799" s="8" t="s">
        <v>3834</v>
      </c>
      <c r="FD1799" s="8">
        <v>600</v>
      </c>
      <c r="FE1799" s="8">
        <v>60</v>
      </c>
    </row>
    <row r="1800" spans="158:161" ht="74.25" customHeight="1" x14ac:dyDescent="0.2">
      <c r="FB1800" s="8" t="s">
        <v>3835</v>
      </c>
      <c r="FC1800" s="8" t="s">
        <v>3836</v>
      </c>
      <c r="FD1800" s="8">
        <v>600</v>
      </c>
      <c r="FE1800" s="8">
        <v>60</v>
      </c>
    </row>
    <row r="1801" spans="158:161" ht="74.25" customHeight="1" x14ac:dyDescent="0.2">
      <c r="FB1801" s="8" t="s">
        <v>3837</v>
      </c>
      <c r="FC1801" s="8" t="s">
        <v>3838</v>
      </c>
      <c r="FD1801" s="8">
        <v>99</v>
      </c>
      <c r="FE1801" s="8">
        <v>9.9</v>
      </c>
    </row>
    <row r="1802" spans="158:161" ht="74.25" customHeight="1" x14ac:dyDescent="0.2">
      <c r="FB1802" s="8" t="s">
        <v>3839</v>
      </c>
      <c r="FC1802" s="8" t="s">
        <v>3840</v>
      </c>
      <c r="FD1802" s="8">
        <v>100</v>
      </c>
      <c r="FE1802" s="8">
        <v>10</v>
      </c>
    </row>
    <row r="1803" spans="158:161" ht="74.25" customHeight="1" x14ac:dyDescent="0.2">
      <c r="FB1803" s="8" t="s">
        <v>3841</v>
      </c>
      <c r="FC1803" s="8" t="s">
        <v>3842</v>
      </c>
      <c r="FD1803" s="8">
        <v>2450</v>
      </c>
      <c r="FE1803" s="8">
        <v>245</v>
      </c>
    </row>
    <row r="1804" spans="158:161" ht="74.25" customHeight="1" x14ac:dyDescent="0.2">
      <c r="FB1804" s="8" t="s">
        <v>3843</v>
      </c>
      <c r="FC1804" s="8" t="s">
        <v>3844</v>
      </c>
      <c r="FD1804" s="8">
        <v>1000</v>
      </c>
      <c r="FE1804" s="8">
        <v>100</v>
      </c>
    </row>
    <row r="1805" spans="158:161" ht="74.25" customHeight="1" x14ac:dyDescent="0.2">
      <c r="FB1805" s="8" t="s">
        <v>3845</v>
      </c>
      <c r="FC1805" s="8" t="s">
        <v>3846</v>
      </c>
      <c r="FD1805" s="8">
        <v>1000</v>
      </c>
      <c r="FE1805" s="8">
        <v>100</v>
      </c>
    </row>
    <row r="1806" spans="158:161" ht="74.25" customHeight="1" x14ac:dyDescent="0.2">
      <c r="FB1806" s="8" t="s">
        <v>3847</v>
      </c>
      <c r="FC1806" s="8" t="s">
        <v>3848</v>
      </c>
      <c r="FD1806" s="8">
        <v>600</v>
      </c>
      <c r="FE1806" s="8">
        <v>60</v>
      </c>
    </row>
    <row r="1807" spans="158:161" ht="74.25" customHeight="1" x14ac:dyDescent="0.2">
      <c r="FB1807" s="8" t="s">
        <v>3849</v>
      </c>
      <c r="FC1807" s="8" t="s">
        <v>3850</v>
      </c>
      <c r="FD1807" s="8">
        <v>1000</v>
      </c>
      <c r="FE1807" s="8">
        <v>100</v>
      </c>
    </row>
    <row r="1808" spans="158:161" ht="74.25" customHeight="1" x14ac:dyDescent="0.2">
      <c r="FB1808" s="8" t="s">
        <v>3851</v>
      </c>
      <c r="FC1808" s="8" t="s">
        <v>3852</v>
      </c>
      <c r="FD1808" s="8">
        <v>140</v>
      </c>
      <c r="FE1808" s="8">
        <v>14</v>
      </c>
    </row>
    <row r="1809" spans="158:161" ht="74.25" customHeight="1" x14ac:dyDescent="0.2">
      <c r="FB1809" s="8" t="s">
        <v>3853</v>
      </c>
      <c r="FC1809" s="8" t="s">
        <v>3854</v>
      </c>
      <c r="FD1809" s="8">
        <v>66000</v>
      </c>
      <c r="FE1809" s="8">
        <v>7100</v>
      </c>
    </row>
    <row r="1810" spans="158:161" ht="74.25" customHeight="1" x14ac:dyDescent="0.2">
      <c r="FB1810" s="8" t="s">
        <v>3855</v>
      </c>
      <c r="FC1810" s="8" t="s">
        <v>3856</v>
      </c>
      <c r="FD1810" s="8">
        <v>3500</v>
      </c>
      <c r="FE1810" s="8">
        <v>350</v>
      </c>
    </row>
    <row r="1811" spans="158:161" ht="74.25" customHeight="1" x14ac:dyDescent="0.2">
      <c r="FB1811" s="8" t="s">
        <v>3857</v>
      </c>
      <c r="FC1811" s="8" t="s">
        <v>3858</v>
      </c>
      <c r="FD1811" s="8">
        <v>10000</v>
      </c>
      <c r="FE1811" s="8">
        <v>480</v>
      </c>
    </row>
    <row r="1812" spans="158:161" ht="74.25" customHeight="1" x14ac:dyDescent="0.2">
      <c r="FB1812" s="8" t="s">
        <v>3859</v>
      </c>
      <c r="FC1812" s="8" t="s">
        <v>3860</v>
      </c>
      <c r="FD1812" s="8">
        <v>3500</v>
      </c>
      <c r="FE1812" s="8">
        <v>350</v>
      </c>
    </row>
    <row r="1813" spans="158:161" ht="74.25" customHeight="1" x14ac:dyDescent="0.2">
      <c r="FB1813" s="8" t="s">
        <v>3861</v>
      </c>
      <c r="FC1813" s="8" t="s">
        <v>3862</v>
      </c>
      <c r="FD1813" s="8">
        <v>3500</v>
      </c>
      <c r="FE1813" s="8">
        <v>350</v>
      </c>
    </row>
    <row r="1814" spans="158:161" ht="74.25" customHeight="1" x14ac:dyDescent="0.2">
      <c r="FB1814" s="8" t="s">
        <v>3863</v>
      </c>
      <c r="FC1814" s="8" t="s">
        <v>3864</v>
      </c>
      <c r="FD1814" s="8">
        <v>1000</v>
      </c>
      <c r="FE1814" s="8">
        <v>100</v>
      </c>
    </row>
    <row r="1815" spans="158:161" ht="74.25" customHeight="1" x14ac:dyDescent="0.2">
      <c r="FB1815" s="8" t="s">
        <v>3865</v>
      </c>
      <c r="FC1815" s="8" t="s">
        <v>3865</v>
      </c>
      <c r="FD1815" s="8">
        <v>1000</v>
      </c>
      <c r="FE1815" s="8">
        <v>100</v>
      </c>
    </row>
    <row r="1816" spans="158:161" ht="74.25" customHeight="1" x14ac:dyDescent="0.2">
      <c r="FB1816" s="8" t="s">
        <v>3866</v>
      </c>
      <c r="FC1816" s="8" t="s">
        <v>9459</v>
      </c>
      <c r="FD1816" s="8">
        <v>17</v>
      </c>
      <c r="FE1816" s="8">
        <v>8.1</v>
      </c>
    </row>
    <row r="1817" spans="158:161" ht="74.25" customHeight="1" x14ac:dyDescent="0.2">
      <c r="FB1817" s="8" t="s">
        <v>3867</v>
      </c>
      <c r="FC1817" s="8" t="s">
        <v>9460</v>
      </c>
      <c r="FD1817" s="8">
        <v>2.8</v>
      </c>
      <c r="FE1817" s="8">
        <v>0.56999999999999995</v>
      </c>
    </row>
    <row r="1818" spans="158:161" ht="74.25" customHeight="1" x14ac:dyDescent="0.2">
      <c r="FB1818" s="8" t="s">
        <v>3868</v>
      </c>
      <c r="FC1818" s="8" t="s">
        <v>3869</v>
      </c>
      <c r="FD1818" s="8" t="s">
        <v>9511</v>
      </c>
      <c r="FE1818" s="8">
        <v>0.71</v>
      </c>
    </row>
    <row r="1819" spans="158:161" ht="74.25" customHeight="1" x14ac:dyDescent="0.2">
      <c r="FB1819" s="8" t="s">
        <v>3870</v>
      </c>
      <c r="FC1819" s="8" t="s">
        <v>3871</v>
      </c>
      <c r="FD1819" s="8">
        <v>1000</v>
      </c>
      <c r="FE1819" s="8">
        <v>100</v>
      </c>
    </row>
    <row r="1820" spans="158:161" ht="74.25" customHeight="1" x14ac:dyDescent="0.2">
      <c r="FB1820" s="8" t="s">
        <v>3872</v>
      </c>
      <c r="FC1820" s="8" t="s">
        <v>3873</v>
      </c>
      <c r="FD1820" s="8">
        <v>20</v>
      </c>
      <c r="FE1820" s="8">
        <v>2</v>
      </c>
    </row>
    <row r="1821" spans="158:161" ht="74.25" customHeight="1" x14ac:dyDescent="0.2">
      <c r="FB1821" s="8" t="s">
        <v>3874</v>
      </c>
      <c r="FC1821" s="8" t="s">
        <v>3875</v>
      </c>
      <c r="FD1821" s="8">
        <v>1000</v>
      </c>
      <c r="FE1821" s="8">
        <v>100</v>
      </c>
    </row>
    <row r="1822" spans="158:161" ht="74.25" customHeight="1" x14ac:dyDescent="0.2">
      <c r="FB1822" s="8" t="s">
        <v>3876</v>
      </c>
      <c r="FC1822" s="8" t="s">
        <v>3877</v>
      </c>
      <c r="FD1822" s="8">
        <v>1000</v>
      </c>
      <c r="FE1822" s="8">
        <v>100</v>
      </c>
    </row>
    <row r="1823" spans="158:161" ht="74.25" customHeight="1" x14ac:dyDescent="0.2">
      <c r="FB1823" s="8" t="s">
        <v>3878</v>
      </c>
      <c r="FC1823" s="8" t="s">
        <v>3879</v>
      </c>
      <c r="FD1823" s="8">
        <v>10</v>
      </c>
      <c r="FE1823" s="8">
        <v>1</v>
      </c>
    </row>
    <row r="1824" spans="158:161" ht="74.25" customHeight="1" x14ac:dyDescent="0.2">
      <c r="FB1824" s="8" t="s">
        <v>3880</v>
      </c>
      <c r="FC1824" s="8" t="s">
        <v>3881</v>
      </c>
      <c r="FD1824" s="8">
        <v>2200</v>
      </c>
      <c r="FE1824" s="8">
        <v>220</v>
      </c>
    </row>
    <row r="1825" spans="158:161" ht="74.25" customHeight="1" x14ac:dyDescent="0.2">
      <c r="FB1825" s="8" t="s">
        <v>3882</v>
      </c>
      <c r="FC1825" s="8" t="s">
        <v>3883</v>
      </c>
      <c r="FD1825" s="8">
        <v>220</v>
      </c>
      <c r="FE1825" s="8">
        <v>22</v>
      </c>
    </row>
    <row r="1826" spans="158:161" ht="74.25" customHeight="1" x14ac:dyDescent="0.2">
      <c r="FB1826" s="8" t="s">
        <v>3884</v>
      </c>
      <c r="FC1826" s="8" t="s">
        <v>3885</v>
      </c>
      <c r="FD1826" s="8">
        <v>600</v>
      </c>
      <c r="FE1826" s="8">
        <v>60</v>
      </c>
    </row>
    <row r="1827" spans="158:161" ht="74.25" customHeight="1" x14ac:dyDescent="0.2">
      <c r="FB1827" s="8" t="s">
        <v>3886</v>
      </c>
      <c r="FC1827" s="8" t="s">
        <v>3887</v>
      </c>
      <c r="FD1827" s="8">
        <v>1</v>
      </c>
      <c r="FE1827" s="8">
        <v>0.1</v>
      </c>
    </row>
    <row r="1828" spans="158:161" ht="74.25" customHeight="1" x14ac:dyDescent="0.2">
      <c r="FB1828" s="8" t="s">
        <v>3888</v>
      </c>
      <c r="FC1828" s="8" t="s">
        <v>3889</v>
      </c>
      <c r="FD1828" s="8">
        <v>100</v>
      </c>
      <c r="FE1828" s="8">
        <v>10</v>
      </c>
    </row>
    <row r="1829" spans="158:161" ht="74.25" customHeight="1" x14ac:dyDescent="0.2">
      <c r="FB1829" s="8" t="s">
        <v>3890</v>
      </c>
      <c r="FC1829" s="8" t="s">
        <v>3891</v>
      </c>
      <c r="FD1829" s="8">
        <v>1</v>
      </c>
      <c r="FE1829" s="8">
        <v>0.1</v>
      </c>
    </row>
    <row r="1830" spans="158:161" ht="74.25" customHeight="1" x14ac:dyDescent="0.2">
      <c r="FB1830" s="8" t="s">
        <v>3892</v>
      </c>
      <c r="FC1830" s="8" t="s">
        <v>3893</v>
      </c>
      <c r="FD1830" s="8">
        <v>45</v>
      </c>
      <c r="FE1830" s="8">
        <v>4.5</v>
      </c>
    </row>
    <row r="1831" spans="158:161" ht="74.25" customHeight="1" x14ac:dyDescent="0.2">
      <c r="FB1831" s="8" t="s">
        <v>3894</v>
      </c>
      <c r="FC1831" s="8" t="s">
        <v>3895</v>
      </c>
      <c r="FD1831" s="8">
        <v>1000</v>
      </c>
      <c r="FE1831" s="8">
        <v>100</v>
      </c>
    </row>
    <row r="1832" spans="158:161" ht="74.25" customHeight="1" x14ac:dyDescent="0.2">
      <c r="FB1832" s="8" t="s">
        <v>3896</v>
      </c>
      <c r="FC1832" s="8" t="s">
        <v>3897</v>
      </c>
      <c r="FD1832" s="8">
        <v>7500</v>
      </c>
      <c r="FE1832" s="8">
        <v>32</v>
      </c>
    </row>
    <row r="1833" spans="158:161" ht="74.25" customHeight="1" x14ac:dyDescent="0.2">
      <c r="FB1833" s="8" t="s">
        <v>3898</v>
      </c>
      <c r="FC1833" s="8" t="s">
        <v>3899</v>
      </c>
      <c r="FD1833" s="8" t="s">
        <v>8682</v>
      </c>
      <c r="FE1833" s="8" t="s">
        <v>8682</v>
      </c>
    </row>
    <row r="1834" spans="158:161" ht="74.25" customHeight="1" x14ac:dyDescent="0.2">
      <c r="FB1834" s="8" t="s">
        <v>3900</v>
      </c>
      <c r="FC1834" s="8" t="s">
        <v>3901</v>
      </c>
      <c r="FD1834" s="8">
        <v>14</v>
      </c>
      <c r="FE1834" s="8">
        <v>1.4</v>
      </c>
    </row>
    <row r="1835" spans="158:161" ht="74.25" customHeight="1" x14ac:dyDescent="0.2">
      <c r="FB1835" s="8" t="s">
        <v>3902</v>
      </c>
      <c r="FC1835" s="8" t="s">
        <v>3903</v>
      </c>
      <c r="FD1835" s="8">
        <v>130</v>
      </c>
      <c r="FE1835" s="8">
        <v>13</v>
      </c>
    </row>
    <row r="1836" spans="158:161" ht="74.25" customHeight="1" x14ac:dyDescent="0.2">
      <c r="FB1836" s="8" t="s">
        <v>3904</v>
      </c>
      <c r="FC1836" s="8" t="s">
        <v>3905</v>
      </c>
      <c r="FD1836" s="8">
        <v>18000</v>
      </c>
      <c r="FE1836" s="8">
        <v>1800</v>
      </c>
    </row>
    <row r="1837" spans="158:161" ht="74.25" customHeight="1" x14ac:dyDescent="0.2">
      <c r="FB1837" s="8" t="s">
        <v>9900</v>
      </c>
      <c r="FC1837" s="8" t="s">
        <v>9900</v>
      </c>
      <c r="FD1837" s="8">
        <v>500</v>
      </c>
      <c r="FE1837" s="8">
        <v>50</v>
      </c>
    </row>
    <row r="1838" spans="158:161" ht="74.25" customHeight="1" x14ac:dyDescent="0.2">
      <c r="FB1838" s="8" t="s">
        <v>3906</v>
      </c>
      <c r="FC1838" s="8" t="s">
        <v>9846</v>
      </c>
      <c r="FD1838" s="8">
        <v>17</v>
      </c>
      <c r="FE1838" s="8">
        <v>8.1</v>
      </c>
    </row>
    <row r="1839" spans="158:161" ht="74.25" customHeight="1" x14ac:dyDescent="0.2">
      <c r="FB1839" s="8" t="s">
        <v>3907</v>
      </c>
      <c r="FC1839" s="8" t="s">
        <v>9461</v>
      </c>
      <c r="FD1839" s="8">
        <v>2.8</v>
      </c>
      <c r="FE1839" s="8">
        <v>0.56999999999999995</v>
      </c>
    </row>
    <row r="1840" spans="158:161" ht="74.25" customHeight="1" x14ac:dyDescent="0.2">
      <c r="FB1840" s="8" t="s">
        <v>3908</v>
      </c>
      <c r="FC1840" s="8" t="s">
        <v>3909</v>
      </c>
      <c r="FD1840" s="8" t="s">
        <v>9511</v>
      </c>
      <c r="FE1840" s="8">
        <v>0.71</v>
      </c>
    </row>
    <row r="1841" spans="158:161" ht="74.25" customHeight="1" x14ac:dyDescent="0.2">
      <c r="FB1841" s="8" t="s">
        <v>3910</v>
      </c>
      <c r="FC1841" s="8" t="s">
        <v>3911</v>
      </c>
      <c r="FD1841" s="8">
        <v>130</v>
      </c>
      <c r="FE1841" s="8">
        <v>2.6</v>
      </c>
    </row>
    <row r="1842" spans="158:161" ht="74.25" customHeight="1" x14ac:dyDescent="0.2">
      <c r="FB1842" s="8" t="s">
        <v>3912</v>
      </c>
      <c r="FC1842" s="8" t="s">
        <v>3913</v>
      </c>
      <c r="FD1842" s="8">
        <v>50</v>
      </c>
      <c r="FE1842" s="8">
        <v>5</v>
      </c>
    </row>
    <row r="1843" spans="158:161" ht="74.25" customHeight="1" x14ac:dyDescent="0.2">
      <c r="FB1843" s="8" t="s">
        <v>9901</v>
      </c>
      <c r="FC1843" s="8" t="s">
        <v>9901</v>
      </c>
      <c r="FD1843" s="8">
        <v>500</v>
      </c>
      <c r="FE1843" s="8">
        <v>50</v>
      </c>
    </row>
    <row r="1844" spans="158:161" ht="74.25" customHeight="1" x14ac:dyDescent="0.2">
      <c r="FB1844" s="8" t="s">
        <v>3914</v>
      </c>
      <c r="FC1844" s="8" t="s">
        <v>3915</v>
      </c>
      <c r="FD1844" s="8">
        <v>1000</v>
      </c>
      <c r="FE1844" s="8">
        <v>100</v>
      </c>
    </row>
    <row r="1845" spans="158:161" ht="74.25" customHeight="1" x14ac:dyDescent="0.2">
      <c r="FB1845" s="8" t="s">
        <v>3916</v>
      </c>
      <c r="FC1845" s="8" t="s">
        <v>3917</v>
      </c>
      <c r="FD1845" s="8">
        <v>1000</v>
      </c>
      <c r="FE1845" s="8">
        <v>100</v>
      </c>
    </row>
    <row r="1846" spans="158:161" ht="74.25" customHeight="1" x14ac:dyDescent="0.2">
      <c r="FB1846" s="8" t="s">
        <v>3918</v>
      </c>
      <c r="FC1846" s="8" t="s">
        <v>3919</v>
      </c>
      <c r="FD1846" s="8">
        <v>1000</v>
      </c>
      <c r="FE1846" s="8">
        <v>100</v>
      </c>
    </row>
    <row r="1847" spans="158:161" ht="74.25" customHeight="1" x14ac:dyDescent="0.2">
      <c r="FB1847" s="8" t="s">
        <v>9902</v>
      </c>
      <c r="FC1847" s="8" t="s">
        <v>9902</v>
      </c>
      <c r="FD1847" s="8">
        <v>1000</v>
      </c>
      <c r="FE1847" s="8">
        <v>100</v>
      </c>
    </row>
    <row r="1848" spans="158:161" ht="74.25" customHeight="1" x14ac:dyDescent="0.2">
      <c r="FB1848" s="8" t="s">
        <v>3920</v>
      </c>
      <c r="FC1848" s="8" t="s">
        <v>3921</v>
      </c>
      <c r="FD1848" s="8">
        <v>1000</v>
      </c>
      <c r="FE1848" s="8">
        <v>100</v>
      </c>
    </row>
    <row r="1849" spans="158:161" ht="74.25" customHeight="1" x14ac:dyDescent="0.2">
      <c r="FB1849" s="8" t="s">
        <v>3922</v>
      </c>
      <c r="FC1849" s="8" t="s">
        <v>3923</v>
      </c>
      <c r="FD1849" s="8">
        <v>1000</v>
      </c>
      <c r="FE1849" s="8">
        <v>100</v>
      </c>
    </row>
    <row r="1850" spans="158:161" ht="74.25" customHeight="1" x14ac:dyDescent="0.2">
      <c r="FB1850" s="8" t="s">
        <v>3924</v>
      </c>
      <c r="FC1850" s="8" t="s">
        <v>3925</v>
      </c>
      <c r="FD1850" s="8">
        <v>1000</v>
      </c>
      <c r="FE1850" s="8">
        <v>100</v>
      </c>
    </row>
    <row r="1851" spans="158:161" ht="74.25" customHeight="1" x14ac:dyDescent="0.2">
      <c r="FB1851" s="8" t="s">
        <v>3926</v>
      </c>
      <c r="FC1851" s="8" t="s">
        <v>3927</v>
      </c>
      <c r="FD1851" s="8">
        <v>1000</v>
      </c>
      <c r="FE1851" s="8">
        <v>100</v>
      </c>
    </row>
    <row r="1852" spans="158:161" ht="74.25" customHeight="1" x14ac:dyDescent="0.2">
      <c r="FB1852" s="8" t="s">
        <v>3928</v>
      </c>
      <c r="FC1852" s="8" t="s">
        <v>3929</v>
      </c>
      <c r="FD1852" s="8">
        <v>1000</v>
      </c>
      <c r="FE1852" s="8">
        <v>100</v>
      </c>
    </row>
    <row r="1853" spans="158:161" ht="74.25" customHeight="1" x14ac:dyDescent="0.2">
      <c r="FB1853" s="8" t="s">
        <v>3930</v>
      </c>
      <c r="FC1853" s="8" t="s">
        <v>3931</v>
      </c>
      <c r="FD1853" s="8">
        <v>1000</v>
      </c>
      <c r="FE1853" s="8">
        <v>100</v>
      </c>
    </row>
    <row r="1854" spans="158:161" ht="74.25" customHeight="1" x14ac:dyDescent="0.2">
      <c r="FB1854" s="8" t="s">
        <v>3932</v>
      </c>
      <c r="FC1854" s="8" t="s">
        <v>9847</v>
      </c>
      <c r="FD1854" s="8">
        <v>1500</v>
      </c>
      <c r="FE1854" s="8">
        <v>150</v>
      </c>
    </row>
    <row r="1855" spans="158:161" ht="74.25" customHeight="1" x14ac:dyDescent="0.2">
      <c r="FB1855" s="8" t="s">
        <v>3933</v>
      </c>
      <c r="FC1855" s="8" t="s">
        <v>3934</v>
      </c>
      <c r="FD1855" s="8">
        <v>600</v>
      </c>
      <c r="FE1855" s="8">
        <v>60</v>
      </c>
    </row>
    <row r="1856" spans="158:161" ht="74.25" customHeight="1" x14ac:dyDescent="0.2">
      <c r="FB1856" s="8" t="s">
        <v>3935</v>
      </c>
      <c r="FC1856" s="8" t="s">
        <v>3936</v>
      </c>
      <c r="FD1856" s="8">
        <v>1000</v>
      </c>
      <c r="FE1856" s="8">
        <v>100</v>
      </c>
    </row>
    <row r="1857" spans="158:161" ht="74.25" customHeight="1" x14ac:dyDescent="0.2">
      <c r="FB1857" s="8" t="s">
        <v>3937</v>
      </c>
      <c r="FC1857" s="8" t="s">
        <v>3938</v>
      </c>
      <c r="FD1857" s="8">
        <v>120</v>
      </c>
      <c r="FE1857" s="8">
        <v>12</v>
      </c>
    </row>
    <row r="1858" spans="158:161" ht="74.25" customHeight="1" x14ac:dyDescent="0.2">
      <c r="FB1858" s="8" t="s">
        <v>3939</v>
      </c>
      <c r="FC1858" s="8" t="s">
        <v>3940</v>
      </c>
      <c r="FD1858" s="8">
        <v>5</v>
      </c>
      <c r="FE1858" s="8">
        <v>0.5</v>
      </c>
    </row>
    <row r="1859" spans="158:161" ht="74.25" customHeight="1" x14ac:dyDescent="0.2">
      <c r="FB1859" s="8" t="s">
        <v>3941</v>
      </c>
      <c r="FC1859" s="8" t="s">
        <v>3942</v>
      </c>
      <c r="FD1859" s="8">
        <v>66</v>
      </c>
      <c r="FE1859" s="8">
        <v>6.6</v>
      </c>
    </row>
    <row r="1860" spans="158:161" ht="74.25" customHeight="1" x14ac:dyDescent="0.2">
      <c r="FB1860" s="8" t="s">
        <v>3943</v>
      </c>
      <c r="FC1860" s="8" t="s">
        <v>3944</v>
      </c>
      <c r="FD1860" s="8">
        <v>43</v>
      </c>
      <c r="FE1860" s="8">
        <v>2.6</v>
      </c>
    </row>
    <row r="1861" spans="158:161" ht="74.25" customHeight="1" x14ac:dyDescent="0.2">
      <c r="FB1861" s="8" t="s">
        <v>3945</v>
      </c>
      <c r="FC1861" s="8" t="s">
        <v>3946</v>
      </c>
      <c r="FD1861" s="8">
        <v>5</v>
      </c>
      <c r="FE1861" s="8">
        <v>0.5</v>
      </c>
    </row>
    <row r="1862" spans="158:161" ht="74.25" customHeight="1" x14ac:dyDescent="0.2">
      <c r="FB1862" s="8" t="s">
        <v>3947</v>
      </c>
      <c r="FC1862" s="8" t="s">
        <v>3948</v>
      </c>
      <c r="FD1862" s="8">
        <v>100</v>
      </c>
      <c r="FE1862" s="8">
        <v>10</v>
      </c>
    </row>
    <row r="1863" spans="158:161" ht="74.25" customHeight="1" x14ac:dyDescent="0.2">
      <c r="FB1863" s="8" t="s">
        <v>3949</v>
      </c>
      <c r="FC1863" s="8" t="s">
        <v>3950</v>
      </c>
      <c r="FD1863" s="8">
        <v>43</v>
      </c>
      <c r="FE1863" s="8">
        <v>2.6</v>
      </c>
    </row>
    <row r="1864" spans="158:161" ht="74.25" customHeight="1" x14ac:dyDescent="0.2">
      <c r="FB1864" s="8" t="s">
        <v>3951</v>
      </c>
      <c r="FC1864" s="8" t="s">
        <v>3952</v>
      </c>
      <c r="FD1864" s="8">
        <v>3</v>
      </c>
      <c r="FE1864" s="8">
        <v>0.3</v>
      </c>
    </row>
    <row r="1865" spans="158:161" ht="74.25" customHeight="1" x14ac:dyDescent="0.2">
      <c r="FB1865" s="8" t="s">
        <v>3953</v>
      </c>
      <c r="FC1865" s="8" t="s">
        <v>3954</v>
      </c>
      <c r="FD1865" s="8">
        <v>4</v>
      </c>
      <c r="FE1865" s="8">
        <v>0.4</v>
      </c>
    </row>
    <row r="1866" spans="158:161" ht="74.25" customHeight="1" x14ac:dyDescent="0.2">
      <c r="FB1866" s="8" t="s">
        <v>3955</v>
      </c>
      <c r="FC1866" s="8" t="s">
        <v>3956</v>
      </c>
      <c r="FD1866" s="8">
        <v>3</v>
      </c>
      <c r="FE1866" s="8">
        <v>0.3</v>
      </c>
    </row>
    <row r="1867" spans="158:161" ht="74.25" customHeight="1" x14ac:dyDescent="0.2">
      <c r="FB1867" s="8" t="s">
        <v>3957</v>
      </c>
      <c r="FC1867" s="8" t="s">
        <v>3958</v>
      </c>
      <c r="FD1867" s="8">
        <v>30</v>
      </c>
      <c r="FE1867" s="8">
        <v>3</v>
      </c>
    </row>
    <row r="1868" spans="158:161" ht="74.25" customHeight="1" x14ac:dyDescent="0.2">
      <c r="FB1868" s="8" t="s">
        <v>3959</v>
      </c>
      <c r="FC1868" s="8" t="s">
        <v>3960</v>
      </c>
      <c r="FD1868" s="8">
        <v>30</v>
      </c>
      <c r="FE1868" s="8">
        <v>3</v>
      </c>
    </row>
    <row r="1869" spans="158:161" ht="74.25" customHeight="1" x14ac:dyDescent="0.2">
      <c r="FB1869" s="8" t="s">
        <v>3961</v>
      </c>
      <c r="FC1869" s="8" t="s">
        <v>3962</v>
      </c>
      <c r="FD1869" s="8">
        <v>20</v>
      </c>
      <c r="FE1869" s="8">
        <v>2</v>
      </c>
    </row>
    <row r="1870" spans="158:161" ht="74.25" customHeight="1" x14ac:dyDescent="0.2">
      <c r="FB1870" s="8" t="s">
        <v>3963</v>
      </c>
      <c r="FC1870" s="8" t="s">
        <v>3964</v>
      </c>
      <c r="FD1870" s="8">
        <v>45</v>
      </c>
      <c r="FE1870" s="8">
        <v>4.5</v>
      </c>
    </row>
    <row r="1871" spans="158:161" ht="74.25" customHeight="1" x14ac:dyDescent="0.2">
      <c r="FB1871" s="8" t="s">
        <v>3965</v>
      </c>
      <c r="FC1871" s="8" t="s">
        <v>3966</v>
      </c>
      <c r="FD1871" s="8">
        <v>40</v>
      </c>
      <c r="FE1871" s="8">
        <v>4</v>
      </c>
    </row>
    <row r="1872" spans="158:161" ht="74.25" customHeight="1" x14ac:dyDescent="0.2">
      <c r="FB1872" s="8" t="s">
        <v>3967</v>
      </c>
      <c r="FC1872" s="8" t="s">
        <v>3968</v>
      </c>
      <c r="FD1872" s="8">
        <v>2.2999999999999998</v>
      </c>
      <c r="FE1872" s="8">
        <v>0.23</v>
      </c>
    </row>
    <row r="1873" spans="158:161" ht="74.25" customHeight="1" x14ac:dyDescent="0.2">
      <c r="FB1873" s="8" t="s">
        <v>3969</v>
      </c>
      <c r="FC1873" s="8" t="s">
        <v>3970</v>
      </c>
      <c r="FD1873" s="8">
        <v>4</v>
      </c>
      <c r="FE1873" s="8">
        <v>0.4</v>
      </c>
    </row>
    <row r="1874" spans="158:161" ht="74.25" customHeight="1" x14ac:dyDescent="0.2">
      <c r="FB1874" s="8" t="s">
        <v>3971</v>
      </c>
      <c r="FC1874" s="8" t="s">
        <v>3972</v>
      </c>
      <c r="FD1874" s="8">
        <v>5</v>
      </c>
      <c r="FE1874" s="8">
        <v>0.5</v>
      </c>
    </row>
    <row r="1875" spans="158:161" ht="74.25" customHeight="1" x14ac:dyDescent="0.2">
      <c r="FB1875" s="8" t="s">
        <v>3973</v>
      </c>
      <c r="FC1875" s="8" t="s">
        <v>3974</v>
      </c>
      <c r="FD1875" s="8">
        <v>460</v>
      </c>
      <c r="FE1875" s="8">
        <v>46</v>
      </c>
    </row>
    <row r="1876" spans="158:161" ht="74.25" customHeight="1" x14ac:dyDescent="0.2">
      <c r="FB1876" s="8" t="s">
        <v>3975</v>
      </c>
      <c r="FC1876" s="8" t="s">
        <v>3976</v>
      </c>
      <c r="FD1876" s="8">
        <v>2700</v>
      </c>
      <c r="FE1876" s="8">
        <v>270</v>
      </c>
    </row>
    <row r="1877" spans="158:161" ht="74.25" customHeight="1" x14ac:dyDescent="0.2">
      <c r="FB1877" s="8" t="s">
        <v>3977</v>
      </c>
      <c r="FC1877" s="8" t="s">
        <v>3978</v>
      </c>
      <c r="FD1877" s="8">
        <v>18000</v>
      </c>
      <c r="FE1877" s="8">
        <v>1800</v>
      </c>
    </row>
    <row r="1878" spans="158:161" ht="74.25" customHeight="1" x14ac:dyDescent="0.2">
      <c r="FB1878" s="8" t="s">
        <v>3979</v>
      </c>
      <c r="FC1878" s="8" t="s">
        <v>3980</v>
      </c>
      <c r="FD1878" s="8">
        <v>0.1</v>
      </c>
      <c r="FE1878" s="8">
        <v>0.01</v>
      </c>
    </row>
    <row r="1879" spans="158:161" ht="74.25" customHeight="1" x14ac:dyDescent="0.2">
      <c r="FB1879" s="8" t="s">
        <v>3981</v>
      </c>
      <c r="FC1879" s="8" t="s">
        <v>3982</v>
      </c>
      <c r="FD1879" s="8">
        <v>0.1</v>
      </c>
      <c r="FE1879" s="8">
        <v>0.01</v>
      </c>
    </row>
    <row r="1880" spans="158:161" ht="74.25" customHeight="1" x14ac:dyDescent="0.2">
      <c r="FB1880" s="8" t="s">
        <v>3983</v>
      </c>
      <c r="FC1880" s="8" t="s">
        <v>3984</v>
      </c>
      <c r="FD1880" s="8">
        <v>2700</v>
      </c>
      <c r="FE1880" s="8">
        <v>270</v>
      </c>
    </row>
    <row r="1881" spans="158:161" ht="74.25" customHeight="1" x14ac:dyDescent="0.2">
      <c r="FB1881" s="8" t="s">
        <v>3985</v>
      </c>
      <c r="FC1881" s="8" t="s">
        <v>3986</v>
      </c>
      <c r="FD1881" s="8">
        <v>10000</v>
      </c>
      <c r="FE1881" s="8">
        <v>1000</v>
      </c>
    </row>
    <row r="1882" spans="158:161" ht="74.25" customHeight="1" x14ac:dyDescent="0.2">
      <c r="FB1882" s="8" t="s">
        <v>3987</v>
      </c>
      <c r="FC1882" s="8" t="s">
        <v>3988</v>
      </c>
      <c r="FD1882" s="8">
        <v>100</v>
      </c>
      <c r="FE1882" s="8">
        <v>10</v>
      </c>
    </row>
    <row r="1883" spans="158:161" ht="74.25" customHeight="1" x14ac:dyDescent="0.2">
      <c r="FB1883" s="8" t="s">
        <v>3989</v>
      </c>
      <c r="FC1883" s="8" t="s">
        <v>3990</v>
      </c>
      <c r="FD1883" s="8">
        <v>1030</v>
      </c>
      <c r="FE1883" s="8">
        <v>103</v>
      </c>
    </row>
    <row r="1884" spans="158:161" ht="74.25" customHeight="1" x14ac:dyDescent="0.2">
      <c r="FB1884" s="8" t="s">
        <v>3991</v>
      </c>
      <c r="FC1884" s="8" t="s">
        <v>3992</v>
      </c>
      <c r="FD1884" s="8">
        <v>1000</v>
      </c>
      <c r="FE1884" s="8">
        <v>100</v>
      </c>
    </row>
    <row r="1885" spans="158:161" ht="74.25" customHeight="1" x14ac:dyDescent="0.2">
      <c r="FB1885" s="8" t="s">
        <v>3993</v>
      </c>
      <c r="FC1885" s="8" t="s">
        <v>3994</v>
      </c>
      <c r="FD1885" s="8">
        <v>0.5</v>
      </c>
      <c r="FE1885" s="8">
        <v>0.05</v>
      </c>
    </row>
    <row r="1886" spans="158:161" ht="74.25" customHeight="1" x14ac:dyDescent="0.2">
      <c r="FB1886" s="8" t="s">
        <v>3995</v>
      </c>
      <c r="FC1886" s="8" t="s">
        <v>3996</v>
      </c>
      <c r="FD1886" s="8">
        <v>100</v>
      </c>
      <c r="FE1886" s="8">
        <v>10</v>
      </c>
    </row>
    <row r="1887" spans="158:161" ht="74.25" customHeight="1" x14ac:dyDescent="0.2">
      <c r="FB1887" s="8" t="s">
        <v>3997</v>
      </c>
      <c r="FC1887" s="8" t="s">
        <v>3998</v>
      </c>
      <c r="FD1887" s="8">
        <v>4400</v>
      </c>
      <c r="FE1887" s="8">
        <v>440</v>
      </c>
    </row>
    <row r="1888" spans="158:161" ht="74.25" customHeight="1" x14ac:dyDescent="0.2">
      <c r="FB1888" s="8" t="s">
        <v>3999</v>
      </c>
      <c r="FC1888" s="8" t="s">
        <v>4000</v>
      </c>
      <c r="FD1888" s="8">
        <v>63000</v>
      </c>
      <c r="FE1888" s="8">
        <v>6300</v>
      </c>
    </row>
    <row r="1889" spans="158:161" ht="74.25" customHeight="1" x14ac:dyDescent="0.2">
      <c r="FB1889" s="8" t="s">
        <v>4001</v>
      </c>
      <c r="FC1889" s="8" t="s">
        <v>4002</v>
      </c>
      <c r="FD1889" s="8">
        <v>1</v>
      </c>
      <c r="FE1889" s="8">
        <v>0.1</v>
      </c>
    </row>
    <row r="1890" spans="158:161" ht="74.25" customHeight="1" x14ac:dyDescent="0.2">
      <c r="FB1890" s="8" t="s">
        <v>4003</v>
      </c>
      <c r="FC1890" s="8" t="s">
        <v>4004</v>
      </c>
      <c r="FD1890" s="8">
        <v>0.02</v>
      </c>
      <c r="FE1890" s="8">
        <v>2E-3</v>
      </c>
    </row>
    <row r="1891" spans="158:161" ht="74.25" customHeight="1" x14ac:dyDescent="0.2">
      <c r="FB1891" s="8" t="s">
        <v>4005</v>
      </c>
      <c r="FC1891" s="8" t="s">
        <v>4006</v>
      </c>
      <c r="FD1891" s="8">
        <v>40</v>
      </c>
      <c r="FE1891" s="8">
        <v>4</v>
      </c>
    </row>
    <row r="1892" spans="158:161" ht="74.25" customHeight="1" x14ac:dyDescent="0.2">
      <c r="FB1892" s="8" t="s">
        <v>4007</v>
      </c>
      <c r="FC1892" s="8" t="s">
        <v>4008</v>
      </c>
      <c r="FD1892" s="8">
        <v>14</v>
      </c>
      <c r="FE1892" s="8">
        <v>1.4</v>
      </c>
    </row>
    <row r="1893" spans="158:161" ht="74.25" customHeight="1" x14ac:dyDescent="0.2">
      <c r="FB1893" s="8" t="s">
        <v>4009</v>
      </c>
      <c r="FC1893" s="8" t="s">
        <v>4010</v>
      </c>
      <c r="FD1893" s="8">
        <v>25</v>
      </c>
      <c r="FE1893" s="8">
        <v>2.5</v>
      </c>
    </row>
    <row r="1894" spans="158:161" ht="74.25" customHeight="1" x14ac:dyDescent="0.2">
      <c r="FB1894" s="8" t="s">
        <v>4011</v>
      </c>
      <c r="FC1894" s="8" t="s">
        <v>4012</v>
      </c>
      <c r="FD1894" s="8">
        <v>230</v>
      </c>
      <c r="FE1894" s="8">
        <v>260</v>
      </c>
    </row>
    <row r="1895" spans="158:161" ht="74.25" customHeight="1" x14ac:dyDescent="0.2">
      <c r="FB1895" s="8" t="s">
        <v>4013</v>
      </c>
      <c r="FC1895" s="8" t="s">
        <v>4014</v>
      </c>
      <c r="FD1895" s="8">
        <v>240</v>
      </c>
      <c r="FE1895" s="8">
        <v>24</v>
      </c>
    </row>
    <row r="1896" spans="158:161" ht="74.25" customHeight="1" x14ac:dyDescent="0.2">
      <c r="FB1896" s="8" t="s">
        <v>4015</v>
      </c>
      <c r="FC1896" s="8" t="s">
        <v>4016</v>
      </c>
      <c r="FD1896" s="8">
        <v>43000</v>
      </c>
      <c r="FE1896" s="8">
        <v>4300</v>
      </c>
    </row>
    <row r="1897" spans="158:161" ht="74.25" customHeight="1" x14ac:dyDescent="0.2">
      <c r="FB1897" s="8" t="s">
        <v>4017</v>
      </c>
      <c r="FC1897" s="8" t="s">
        <v>4018</v>
      </c>
      <c r="FD1897" s="8">
        <v>100</v>
      </c>
      <c r="FE1897" s="8">
        <v>10</v>
      </c>
    </row>
    <row r="1898" spans="158:161" ht="74.25" customHeight="1" x14ac:dyDescent="0.2">
      <c r="FB1898" s="8" t="s">
        <v>4019</v>
      </c>
      <c r="FC1898" s="8" t="s">
        <v>4020</v>
      </c>
      <c r="FD1898" s="8">
        <v>125</v>
      </c>
      <c r="FE1898" s="8">
        <v>12.5</v>
      </c>
    </row>
    <row r="1899" spans="158:161" ht="74.25" customHeight="1" x14ac:dyDescent="0.2">
      <c r="FB1899" s="8" t="s">
        <v>4021</v>
      </c>
      <c r="FC1899" s="8" t="s">
        <v>4022</v>
      </c>
      <c r="FD1899" s="8">
        <v>100</v>
      </c>
      <c r="FE1899" s="8">
        <v>10</v>
      </c>
    </row>
    <row r="1900" spans="158:161" ht="74.25" customHeight="1" x14ac:dyDescent="0.2">
      <c r="FB1900" s="8" t="s">
        <v>4023</v>
      </c>
      <c r="FC1900" s="8" t="s">
        <v>4024</v>
      </c>
      <c r="FD1900" s="8">
        <v>1</v>
      </c>
      <c r="FE1900" s="8">
        <v>0.1</v>
      </c>
    </row>
    <row r="1901" spans="158:161" ht="74.25" customHeight="1" x14ac:dyDescent="0.2">
      <c r="FB1901" s="8" t="s">
        <v>4025</v>
      </c>
      <c r="FC1901" s="8" t="s">
        <v>4026</v>
      </c>
      <c r="FD1901" s="8">
        <v>0.03</v>
      </c>
      <c r="FE1901" s="8">
        <v>3.0000000000000001E-3</v>
      </c>
    </row>
    <row r="1902" spans="158:161" ht="74.25" customHeight="1" x14ac:dyDescent="0.2">
      <c r="FB1902" s="8" t="s">
        <v>4027</v>
      </c>
      <c r="FC1902" s="8" t="s">
        <v>4028</v>
      </c>
      <c r="FD1902" s="8">
        <v>100</v>
      </c>
      <c r="FE1902" s="8">
        <v>10</v>
      </c>
    </row>
    <row r="1903" spans="158:161" ht="74.25" customHeight="1" x14ac:dyDescent="0.2">
      <c r="FB1903" s="8" t="s">
        <v>4029</v>
      </c>
      <c r="FC1903" s="8" t="s">
        <v>4030</v>
      </c>
      <c r="FD1903" s="8">
        <v>3500</v>
      </c>
      <c r="FE1903" s="8">
        <v>350</v>
      </c>
    </row>
    <row r="1904" spans="158:161" ht="74.25" customHeight="1" x14ac:dyDescent="0.2">
      <c r="FB1904" s="8" t="s">
        <v>4031</v>
      </c>
      <c r="FC1904" s="8" t="s">
        <v>4032</v>
      </c>
      <c r="FD1904" s="8">
        <v>7900</v>
      </c>
      <c r="FE1904" s="8">
        <v>790</v>
      </c>
    </row>
    <row r="1905" spans="158:161" ht="74.25" customHeight="1" x14ac:dyDescent="0.2">
      <c r="FB1905" s="8" t="s">
        <v>4033</v>
      </c>
      <c r="FC1905" s="8" t="s">
        <v>4034</v>
      </c>
      <c r="FD1905" s="8">
        <v>3400</v>
      </c>
      <c r="FE1905" s="8">
        <v>340</v>
      </c>
    </row>
    <row r="1906" spans="158:161" ht="74.25" customHeight="1" x14ac:dyDescent="0.2">
      <c r="FB1906" s="8" t="s">
        <v>4035</v>
      </c>
      <c r="FC1906" s="8" t="s">
        <v>4036</v>
      </c>
      <c r="FD1906" s="8">
        <v>45</v>
      </c>
      <c r="FE1906" s="8">
        <v>4.5</v>
      </c>
    </row>
    <row r="1907" spans="158:161" ht="74.25" customHeight="1" x14ac:dyDescent="0.2">
      <c r="FB1907" s="8" t="s">
        <v>4037</v>
      </c>
      <c r="FC1907" s="8" t="s">
        <v>4038</v>
      </c>
      <c r="FD1907" s="8">
        <v>16100</v>
      </c>
      <c r="FE1907" s="8">
        <v>1610</v>
      </c>
    </row>
    <row r="1908" spans="158:161" ht="74.25" customHeight="1" x14ac:dyDescent="0.2">
      <c r="FB1908" s="8" t="s">
        <v>4039</v>
      </c>
      <c r="FC1908" s="8" t="s">
        <v>4040</v>
      </c>
      <c r="FD1908" s="8">
        <v>3500</v>
      </c>
      <c r="FE1908" s="8">
        <v>350</v>
      </c>
    </row>
    <row r="1909" spans="158:161" ht="74.25" customHeight="1" x14ac:dyDescent="0.2">
      <c r="FB1909" s="8" t="s">
        <v>4041</v>
      </c>
      <c r="FC1909" s="8" t="s">
        <v>4042</v>
      </c>
      <c r="FD1909" s="8">
        <v>16100</v>
      </c>
      <c r="FE1909" s="8">
        <v>1610</v>
      </c>
    </row>
    <row r="1910" spans="158:161" ht="74.25" customHeight="1" x14ac:dyDescent="0.2">
      <c r="FB1910" s="8" t="s">
        <v>4043</v>
      </c>
      <c r="FC1910" s="8" t="s">
        <v>4044</v>
      </c>
      <c r="FD1910" s="8">
        <v>10000</v>
      </c>
      <c r="FE1910" s="8">
        <v>480</v>
      </c>
    </row>
    <row r="1911" spans="158:161" ht="74.25" customHeight="1" x14ac:dyDescent="0.2">
      <c r="FB1911" s="8" t="s">
        <v>4045</v>
      </c>
      <c r="FC1911" s="8" t="s">
        <v>4046</v>
      </c>
      <c r="FD1911" s="8">
        <v>5700</v>
      </c>
      <c r="FE1911" s="8">
        <v>570</v>
      </c>
    </row>
    <row r="1912" spans="158:161" ht="74.25" customHeight="1" x14ac:dyDescent="0.2">
      <c r="FB1912" s="8" t="s">
        <v>4047</v>
      </c>
      <c r="FC1912" s="8" t="s">
        <v>4048</v>
      </c>
      <c r="FD1912" s="8">
        <v>1700</v>
      </c>
      <c r="FE1912" s="8">
        <v>170</v>
      </c>
    </row>
    <row r="1913" spans="158:161" ht="74.25" customHeight="1" x14ac:dyDescent="0.2">
      <c r="FB1913" s="8" t="s">
        <v>4049</v>
      </c>
      <c r="FC1913" s="8" t="s">
        <v>4050</v>
      </c>
      <c r="FD1913" s="8">
        <v>10000</v>
      </c>
      <c r="FE1913" s="8">
        <v>480</v>
      </c>
    </row>
    <row r="1914" spans="158:161" ht="74.25" customHeight="1" x14ac:dyDescent="0.2">
      <c r="FB1914" s="8" t="s">
        <v>4051</v>
      </c>
      <c r="FC1914" s="8" t="s">
        <v>4052</v>
      </c>
      <c r="FD1914" s="8">
        <v>700</v>
      </c>
      <c r="FE1914" s="8">
        <v>70</v>
      </c>
    </row>
    <row r="1915" spans="158:161" ht="74.25" customHeight="1" x14ac:dyDescent="0.2">
      <c r="FB1915" s="8" t="s">
        <v>4053</v>
      </c>
      <c r="FC1915" s="8" t="s">
        <v>9848</v>
      </c>
      <c r="FD1915" s="8">
        <v>360</v>
      </c>
      <c r="FE1915" s="8">
        <v>36</v>
      </c>
    </row>
    <row r="1916" spans="158:161" ht="74.25" customHeight="1" x14ac:dyDescent="0.2">
      <c r="FB1916" s="8" t="s">
        <v>4054</v>
      </c>
      <c r="FC1916" s="8" t="s">
        <v>4055</v>
      </c>
      <c r="FD1916" s="8">
        <v>5700</v>
      </c>
      <c r="FE1916" s="8">
        <v>570</v>
      </c>
    </row>
    <row r="1917" spans="158:161" ht="74.25" customHeight="1" x14ac:dyDescent="0.2">
      <c r="FB1917" s="8" t="s">
        <v>4056</v>
      </c>
      <c r="FC1917" s="8" t="s">
        <v>4057</v>
      </c>
      <c r="FD1917" s="8">
        <v>1700</v>
      </c>
      <c r="FE1917" s="8">
        <v>170</v>
      </c>
    </row>
    <row r="1918" spans="158:161" ht="74.25" customHeight="1" x14ac:dyDescent="0.2">
      <c r="FB1918" s="8" t="s">
        <v>4058</v>
      </c>
      <c r="FC1918" s="8" t="s">
        <v>4059</v>
      </c>
      <c r="FD1918" s="8">
        <v>100</v>
      </c>
      <c r="FE1918" s="8">
        <v>10</v>
      </c>
    </row>
    <row r="1919" spans="158:161" ht="74.25" customHeight="1" x14ac:dyDescent="0.2">
      <c r="FB1919" s="8" t="s">
        <v>4060</v>
      </c>
      <c r="FC1919" s="8" t="s">
        <v>4061</v>
      </c>
      <c r="FD1919" s="8">
        <v>1700</v>
      </c>
      <c r="FE1919" s="8">
        <v>170</v>
      </c>
    </row>
    <row r="1920" spans="158:161" ht="74.25" customHeight="1" x14ac:dyDescent="0.2">
      <c r="FB1920" s="8" t="s">
        <v>4062</v>
      </c>
      <c r="FC1920" s="8" t="s">
        <v>4063</v>
      </c>
      <c r="FD1920" s="8">
        <v>5700</v>
      </c>
      <c r="FE1920" s="8">
        <v>570</v>
      </c>
    </row>
    <row r="1921" spans="158:161" ht="74.25" customHeight="1" x14ac:dyDescent="0.2">
      <c r="FB1921" s="8" t="s">
        <v>4064</v>
      </c>
      <c r="FC1921" s="8" t="s">
        <v>4065</v>
      </c>
      <c r="FD1921" s="8">
        <v>1700</v>
      </c>
      <c r="FE1921" s="8">
        <v>170</v>
      </c>
    </row>
    <row r="1922" spans="158:161" ht="74.25" customHeight="1" x14ac:dyDescent="0.2">
      <c r="FB1922" s="8" t="s">
        <v>4066</v>
      </c>
      <c r="FC1922" s="8" t="s">
        <v>4067</v>
      </c>
      <c r="FD1922" s="8">
        <v>5700</v>
      </c>
      <c r="FE1922" s="8">
        <v>570</v>
      </c>
    </row>
    <row r="1923" spans="158:161" ht="74.25" customHeight="1" x14ac:dyDescent="0.2">
      <c r="FB1923" s="8" t="s">
        <v>4068</v>
      </c>
      <c r="FC1923" s="8" t="s">
        <v>4069</v>
      </c>
      <c r="FD1923" s="8">
        <v>100</v>
      </c>
      <c r="FE1923" s="8">
        <v>10</v>
      </c>
    </row>
    <row r="1924" spans="158:161" ht="74.25" customHeight="1" x14ac:dyDescent="0.2">
      <c r="FB1924" s="8" t="s">
        <v>4070</v>
      </c>
      <c r="FC1924" s="8" t="s">
        <v>4071</v>
      </c>
      <c r="FD1924" s="8">
        <v>8.6</v>
      </c>
      <c r="FE1924" s="8">
        <v>2.5</v>
      </c>
    </row>
    <row r="1925" spans="158:161" ht="74.25" customHeight="1" x14ac:dyDescent="0.2">
      <c r="FB1925" s="8" t="s">
        <v>4072</v>
      </c>
      <c r="FC1925" s="8" t="s">
        <v>4073</v>
      </c>
      <c r="FD1925" s="8">
        <v>350</v>
      </c>
      <c r="FE1925" s="8">
        <v>35</v>
      </c>
    </row>
    <row r="1926" spans="158:161" ht="74.25" customHeight="1" x14ac:dyDescent="0.2">
      <c r="FB1926" s="8" t="s">
        <v>4074</v>
      </c>
      <c r="FC1926" s="8" t="s">
        <v>4075</v>
      </c>
      <c r="FD1926" s="8">
        <v>2000</v>
      </c>
      <c r="FE1926" s="8">
        <v>200</v>
      </c>
    </row>
    <row r="1927" spans="158:161" ht="74.25" customHeight="1" x14ac:dyDescent="0.2">
      <c r="FB1927" s="8" t="s">
        <v>4076</v>
      </c>
      <c r="FC1927" s="8" t="s">
        <v>4077</v>
      </c>
      <c r="FD1927" s="8">
        <v>60</v>
      </c>
      <c r="FE1927" s="8">
        <v>6</v>
      </c>
    </row>
    <row r="1928" spans="158:161" ht="74.25" customHeight="1" x14ac:dyDescent="0.2">
      <c r="FB1928" s="8" t="s">
        <v>4078</v>
      </c>
      <c r="FC1928" s="8" t="s">
        <v>4079</v>
      </c>
      <c r="FD1928" s="8">
        <v>60</v>
      </c>
      <c r="FE1928" s="8">
        <v>6</v>
      </c>
    </row>
    <row r="1929" spans="158:161" ht="74.25" customHeight="1" x14ac:dyDescent="0.2">
      <c r="FB1929" s="8" t="s">
        <v>4080</v>
      </c>
      <c r="FC1929" s="8" t="s">
        <v>4081</v>
      </c>
      <c r="FD1929" s="8">
        <v>500</v>
      </c>
      <c r="FE1929" s="8">
        <v>50</v>
      </c>
    </row>
    <row r="1930" spans="158:161" ht="74.25" customHeight="1" x14ac:dyDescent="0.2">
      <c r="FB1930" s="8" t="s">
        <v>4082</v>
      </c>
      <c r="FC1930" s="8" t="s">
        <v>4083</v>
      </c>
      <c r="FD1930" s="8">
        <v>1100</v>
      </c>
      <c r="FE1930" s="8">
        <v>110</v>
      </c>
    </row>
    <row r="1931" spans="158:161" ht="74.25" customHeight="1" x14ac:dyDescent="0.2">
      <c r="FB1931" s="8" t="s">
        <v>4084</v>
      </c>
      <c r="FC1931" s="8" t="s">
        <v>4085</v>
      </c>
      <c r="FD1931" s="8">
        <v>1000</v>
      </c>
      <c r="FE1931" s="8">
        <v>100</v>
      </c>
    </row>
    <row r="1932" spans="158:161" ht="74.25" customHeight="1" x14ac:dyDescent="0.2">
      <c r="FB1932" s="8" t="s">
        <v>4086</v>
      </c>
      <c r="FC1932" s="8" t="s">
        <v>4087</v>
      </c>
      <c r="FD1932" s="8">
        <v>1100</v>
      </c>
      <c r="FE1932" s="8">
        <v>110</v>
      </c>
    </row>
    <row r="1933" spans="158:161" ht="74.25" customHeight="1" x14ac:dyDescent="0.2">
      <c r="FB1933" s="8" t="s">
        <v>4088</v>
      </c>
      <c r="FC1933" s="8" t="s">
        <v>4089</v>
      </c>
      <c r="FD1933" s="8">
        <v>1000</v>
      </c>
      <c r="FE1933" s="8">
        <v>100</v>
      </c>
    </row>
    <row r="1934" spans="158:161" ht="74.25" customHeight="1" x14ac:dyDescent="0.2">
      <c r="FB1934" s="8" t="s">
        <v>4090</v>
      </c>
      <c r="FC1934" s="8" t="s">
        <v>4091</v>
      </c>
      <c r="FD1934" s="8">
        <v>3500</v>
      </c>
      <c r="FE1934" s="8">
        <v>350</v>
      </c>
    </row>
    <row r="1935" spans="158:161" ht="74.25" customHeight="1" x14ac:dyDescent="0.2">
      <c r="FB1935" s="8" t="s">
        <v>4092</v>
      </c>
      <c r="FC1935" s="8" t="s">
        <v>4093</v>
      </c>
      <c r="FD1935" s="8">
        <v>3500</v>
      </c>
      <c r="FE1935" s="8">
        <v>350</v>
      </c>
    </row>
    <row r="1936" spans="158:161" ht="74.25" customHeight="1" x14ac:dyDescent="0.2">
      <c r="FB1936" s="8" t="s">
        <v>4094</v>
      </c>
      <c r="FC1936" s="8" t="s">
        <v>4095</v>
      </c>
      <c r="FD1936" s="8">
        <v>240</v>
      </c>
      <c r="FE1936" s="8">
        <v>6.3</v>
      </c>
    </row>
    <row r="1937" spans="158:161" ht="74.25" customHeight="1" x14ac:dyDescent="0.2">
      <c r="FB1937" s="8" t="s">
        <v>4096</v>
      </c>
      <c r="FC1937" s="8" t="s">
        <v>4097</v>
      </c>
      <c r="FD1937" s="8">
        <v>1</v>
      </c>
      <c r="FE1937" s="8">
        <v>0.1</v>
      </c>
    </row>
    <row r="1938" spans="158:161" ht="74.25" customHeight="1" x14ac:dyDescent="0.2">
      <c r="FB1938" s="8" t="s">
        <v>4098</v>
      </c>
      <c r="FC1938" s="8" t="s">
        <v>4099</v>
      </c>
      <c r="FD1938" s="8">
        <v>100</v>
      </c>
      <c r="FE1938" s="8">
        <v>10</v>
      </c>
    </row>
    <row r="1939" spans="158:161" ht="74.25" customHeight="1" x14ac:dyDescent="0.2">
      <c r="FB1939" s="8" t="s">
        <v>4100</v>
      </c>
      <c r="FC1939" s="8" t="s">
        <v>4101</v>
      </c>
      <c r="FD1939" s="8">
        <v>600</v>
      </c>
      <c r="FE1939" s="8">
        <v>60</v>
      </c>
    </row>
    <row r="1940" spans="158:161" ht="74.25" customHeight="1" x14ac:dyDescent="0.2">
      <c r="FB1940" s="8" t="s">
        <v>4102</v>
      </c>
      <c r="FC1940" s="8" t="s">
        <v>4103</v>
      </c>
      <c r="FD1940" s="8">
        <v>100</v>
      </c>
      <c r="FE1940" s="8">
        <v>10</v>
      </c>
    </row>
    <row r="1941" spans="158:161" ht="74.25" customHeight="1" x14ac:dyDescent="0.2">
      <c r="FB1941" s="8" t="s">
        <v>4104</v>
      </c>
      <c r="FC1941" s="8" t="s">
        <v>4105</v>
      </c>
      <c r="FD1941" s="8">
        <v>100</v>
      </c>
      <c r="FE1941" s="8">
        <v>10</v>
      </c>
    </row>
    <row r="1942" spans="158:161" ht="74.25" customHeight="1" x14ac:dyDescent="0.2">
      <c r="FB1942" s="8" t="s">
        <v>4106</v>
      </c>
      <c r="FC1942" s="8" t="s">
        <v>4107</v>
      </c>
      <c r="FD1942" s="8">
        <v>100</v>
      </c>
      <c r="FE1942" s="8">
        <v>10</v>
      </c>
    </row>
    <row r="1943" spans="158:161" ht="74.25" customHeight="1" x14ac:dyDescent="0.2">
      <c r="FB1943" s="8" t="s">
        <v>4108</v>
      </c>
      <c r="FC1943" s="8" t="s">
        <v>4109</v>
      </c>
      <c r="FD1943" s="8">
        <v>100</v>
      </c>
      <c r="FE1943" s="8">
        <v>10</v>
      </c>
    </row>
    <row r="1944" spans="158:161" ht="74.25" customHeight="1" x14ac:dyDescent="0.2">
      <c r="FB1944" s="8" t="s">
        <v>4110</v>
      </c>
      <c r="FC1944" s="8" t="s">
        <v>4111</v>
      </c>
      <c r="FD1944" s="8">
        <v>600</v>
      </c>
      <c r="FE1944" s="8">
        <v>60</v>
      </c>
    </row>
    <row r="1945" spans="158:161" ht="74.25" customHeight="1" x14ac:dyDescent="0.2">
      <c r="FB1945" s="8" t="s">
        <v>4112</v>
      </c>
      <c r="FC1945" s="8" t="s">
        <v>4112</v>
      </c>
      <c r="FD1945" s="8">
        <v>100</v>
      </c>
      <c r="FE1945" s="8">
        <v>10</v>
      </c>
    </row>
    <row r="1946" spans="158:161" ht="74.25" customHeight="1" x14ac:dyDescent="0.2">
      <c r="FB1946" s="8" t="s">
        <v>4113</v>
      </c>
      <c r="FC1946" s="8" t="s">
        <v>4113</v>
      </c>
      <c r="FD1946" s="8">
        <v>100</v>
      </c>
      <c r="FE1946" s="8">
        <v>10</v>
      </c>
    </row>
    <row r="1947" spans="158:161" ht="74.25" customHeight="1" x14ac:dyDescent="0.2">
      <c r="FB1947" s="8" t="s">
        <v>4114</v>
      </c>
      <c r="FC1947" s="8" t="s">
        <v>4115</v>
      </c>
      <c r="FD1947" s="8">
        <v>1000</v>
      </c>
      <c r="FE1947" s="8">
        <v>100</v>
      </c>
    </row>
    <row r="1948" spans="158:161" ht="74.25" customHeight="1" x14ac:dyDescent="0.2">
      <c r="FB1948" s="8" t="s">
        <v>4116</v>
      </c>
      <c r="FC1948" s="8" t="s">
        <v>4117</v>
      </c>
      <c r="FD1948" s="8">
        <v>100</v>
      </c>
      <c r="FE1948" s="8">
        <v>10</v>
      </c>
    </row>
    <row r="1949" spans="158:161" ht="74.25" customHeight="1" x14ac:dyDescent="0.2">
      <c r="FB1949" s="8" t="s">
        <v>4118</v>
      </c>
      <c r="FC1949" s="8" t="s">
        <v>4119</v>
      </c>
      <c r="FD1949" s="8">
        <v>580</v>
      </c>
      <c r="FE1949" s="8">
        <v>58</v>
      </c>
    </row>
    <row r="1950" spans="158:161" ht="74.25" customHeight="1" x14ac:dyDescent="0.2">
      <c r="FB1950" s="8" t="s">
        <v>4120</v>
      </c>
      <c r="FC1950" s="8" t="s">
        <v>9849</v>
      </c>
      <c r="FD1950" s="8">
        <v>100</v>
      </c>
      <c r="FE1950" s="8">
        <v>10</v>
      </c>
    </row>
    <row r="1951" spans="158:161" ht="74.25" customHeight="1" x14ac:dyDescent="0.2">
      <c r="FB1951" s="8" t="s">
        <v>4121</v>
      </c>
      <c r="FC1951" s="8" t="s">
        <v>4122</v>
      </c>
      <c r="FD1951" s="8">
        <v>100</v>
      </c>
      <c r="FE1951" s="8">
        <v>10</v>
      </c>
    </row>
    <row r="1952" spans="158:161" ht="74.25" customHeight="1" x14ac:dyDescent="0.2">
      <c r="FB1952" s="8" t="s">
        <v>4123</v>
      </c>
      <c r="FC1952" s="8" t="s">
        <v>4124</v>
      </c>
      <c r="FD1952" s="8">
        <v>1000</v>
      </c>
      <c r="FE1952" s="8">
        <v>100</v>
      </c>
    </row>
    <row r="1953" spans="158:161" ht="74.25" customHeight="1" x14ac:dyDescent="0.2">
      <c r="FB1953" s="8" t="s">
        <v>4125</v>
      </c>
      <c r="FC1953" s="8" t="s">
        <v>4126</v>
      </c>
      <c r="FD1953" s="8">
        <v>100</v>
      </c>
      <c r="FE1953" s="8">
        <v>10</v>
      </c>
    </row>
    <row r="1954" spans="158:161" ht="74.25" customHeight="1" x14ac:dyDescent="0.2">
      <c r="FB1954" s="8" t="s">
        <v>4127</v>
      </c>
      <c r="FC1954" s="8" t="s">
        <v>4128</v>
      </c>
      <c r="FD1954" s="8">
        <v>1000</v>
      </c>
      <c r="FE1954" s="8">
        <v>100</v>
      </c>
    </row>
    <row r="1955" spans="158:161" ht="74.25" customHeight="1" x14ac:dyDescent="0.2">
      <c r="FB1955" s="8" t="s">
        <v>4129</v>
      </c>
      <c r="FC1955" s="8" t="s">
        <v>4130</v>
      </c>
      <c r="FD1955" s="8">
        <v>1000</v>
      </c>
      <c r="FE1955" s="8">
        <v>100</v>
      </c>
    </row>
    <row r="1956" spans="158:161" ht="74.25" customHeight="1" x14ac:dyDescent="0.2">
      <c r="FB1956" s="8" t="s">
        <v>4131</v>
      </c>
      <c r="FC1956" s="8" t="s">
        <v>9850</v>
      </c>
      <c r="FD1956" s="8">
        <v>100</v>
      </c>
      <c r="FE1956" s="8">
        <v>10</v>
      </c>
    </row>
    <row r="1957" spans="158:161" ht="74.25" customHeight="1" x14ac:dyDescent="0.2">
      <c r="FB1957" s="8" t="s">
        <v>4132</v>
      </c>
      <c r="FC1957" s="8" t="s">
        <v>4133</v>
      </c>
      <c r="FD1957" s="8">
        <v>600</v>
      </c>
      <c r="FE1957" s="8">
        <v>60</v>
      </c>
    </row>
    <row r="1958" spans="158:161" ht="74.25" customHeight="1" x14ac:dyDescent="0.2">
      <c r="FB1958" s="8" t="s">
        <v>4134</v>
      </c>
      <c r="FC1958" s="8" t="s">
        <v>4135</v>
      </c>
      <c r="FD1958" s="8">
        <v>600</v>
      </c>
      <c r="FE1958" s="8">
        <v>60</v>
      </c>
    </row>
    <row r="1959" spans="158:161" ht="74.25" customHeight="1" x14ac:dyDescent="0.2">
      <c r="FB1959" s="8" t="s">
        <v>4136</v>
      </c>
      <c r="FC1959" s="8" t="s">
        <v>4136</v>
      </c>
      <c r="FD1959" s="8">
        <v>200</v>
      </c>
      <c r="FE1959" s="8">
        <v>20</v>
      </c>
    </row>
    <row r="1960" spans="158:161" ht="74.25" customHeight="1" x14ac:dyDescent="0.2">
      <c r="FB1960" s="8" t="s">
        <v>4137</v>
      </c>
      <c r="FC1960" s="8" t="s">
        <v>4138</v>
      </c>
      <c r="FD1960" s="8">
        <v>1000</v>
      </c>
      <c r="FE1960" s="8">
        <v>100</v>
      </c>
    </row>
    <row r="1961" spans="158:161" ht="74.25" customHeight="1" x14ac:dyDescent="0.2">
      <c r="FB1961" s="8" t="s">
        <v>4139</v>
      </c>
      <c r="FC1961" s="8" t="s">
        <v>4140</v>
      </c>
      <c r="FD1961" s="8">
        <v>1000</v>
      </c>
      <c r="FE1961" s="8">
        <v>100</v>
      </c>
    </row>
    <row r="1962" spans="158:161" ht="74.25" customHeight="1" x14ac:dyDescent="0.2">
      <c r="FB1962" s="8" t="s">
        <v>4141</v>
      </c>
      <c r="FC1962" s="8" t="s">
        <v>4142</v>
      </c>
      <c r="FD1962" s="8">
        <v>1000</v>
      </c>
      <c r="FE1962" s="8">
        <v>100</v>
      </c>
    </row>
    <row r="1963" spans="158:161" ht="74.25" customHeight="1" x14ac:dyDescent="0.2">
      <c r="FB1963" s="8" t="s">
        <v>4143</v>
      </c>
      <c r="FC1963" s="8" t="s">
        <v>4143</v>
      </c>
      <c r="FD1963" s="8">
        <v>100</v>
      </c>
      <c r="FE1963" s="8">
        <v>10</v>
      </c>
    </row>
    <row r="1964" spans="158:161" ht="74.25" customHeight="1" x14ac:dyDescent="0.2">
      <c r="FB1964" s="8" t="s">
        <v>4144</v>
      </c>
      <c r="FC1964" s="8" t="s">
        <v>4145</v>
      </c>
      <c r="FD1964" s="8">
        <v>1000</v>
      </c>
      <c r="FE1964" s="8">
        <v>100</v>
      </c>
    </row>
    <row r="1965" spans="158:161" ht="74.25" customHeight="1" x14ac:dyDescent="0.2">
      <c r="FB1965" s="8" t="s">
        <v>4146</v>
      </c>
      <c r="FC1965" s="8" t="s">
        <v>4147</v>
      </c>
      <c r="FD1965" s="8">
        <v>0.5</v>
      </c>
      <c r="FE1965" s="8">
        <v>0.05</v>
      </c>
    </row>
    <row r="1966" spans="158:161" ht="74.25" customHeight="1" x14ac:dyDescent="0.2">
      <c r="FB1966" s="8" t="s">
        <v>4148</v>
      </c>
      <c r="FC1966" s="8" t="s">
        <v>4149</v>
      </c>
      <c r="FD1966" s="8">
        <v>1</v>
      </c>
      <c r="FE1966" s="8">
        <v>0.1</v>
      </c>
    </row>
    <row r="1967" spans="158:161" ht="74.25" customHeight="1" x14ac:dyDescent="0.2">
      <c r="FB1967" s="8" t="s">
        <v>4150</v>
      </c>
      <c r="FC1967" s="8" t="s">
        <v>4151</v>
      </c>
      <c r="FD1967" s="8">
        <v>4.4000000000000004</v>
      </c>
      <c r="FE1967" s="8">
        <v>10</v>
      </c>
    </row>
    <row r="1968" spans="158:161" ht="74.25" customHeight="1" x14ac:dyDescent="0.2">
      <c r="FB1968" s="8" t="s">
        <v>4152</v>
      </c>
      <c r="FC1968" s="8" t="s">
        <v>4153</v>
      </c>
      <c r="FD1968" s="8">
        <v>100</v>
      </c>
      <c r="FE1968" s="8">
        <v>10</v>
      </c>
    </row>
    <row r="1969" spans="158:161" ht="74.25" customHeight="1" x14ac:dyDescent="0.2">
      <c r="FB1969" s="8" t="s">
        <v>4154</v>
      </c>
      <c r="FC1969" s="8" t="s">
        <v>4155</v>
      </c>
      <c r="FD1969" s="8">
        <v>50</v>
      </c>
      <c r="FE1969" s="8">
        <v>5</v>
      </c>
    </row>
    <row r="1970" spans="158:161" ht="74.25" customHeight="1" x14ac:dyDescent="0.2">
      <c r="FB1970" s="8" t="s">
        <v>4156</v>
      </c>
      <c r="FC1970" s="8" t="s">
        <v>4157</v>
      </c>
      <c r="FD1970" s="8">
        <v>1000</v>
      </c>
      <c r="FE1970" s="8">
        <v>100</v>
      </c>
    </row>
    <row r="1971" spans="158:161" ht="74.25" customHeight="1" x14ac:dyDescent="0.2">
      <c r="FB1971" s="8" t="s">
        <v>4158</v>
      </c>
      <c r="FC1971" s="8" t="s">
        <v>4159</v>
      </c>
      <c r="FD1971" s="8">
        <v>8.6</v>
      </c>
      <c r="FE1971" s="8">
        <v>2.5</v>
      </c>
    </row>
    <row r="1972" spans="158:161" ht="74.25" customHeight="1" x14ac:dyDescent="0.2">
      <c r="FB1972" s="8" t="s">
        <v>4160</v>
      </c>
      <c r="FC1972" s="8" t="s">
        <v>4161</v>
      </c>
      <c r="FD1972" s="8">
        <v>180</v>
      </c>
      <c r="FE1972" s="8">
        <v>18</v>
      </c>
    </row>
    <row r="1973" spans="158:161" ht="74.25" customHeight="1" x14ac:dyDescent="0.2">
      <c r="FB1973" s="8" t="s">
        <v>4162</v>
      </c>
      <c r="FC1973" s="8" t="s">
        <v>4163</v>
      </c>
      <c r="FD1973" s="8">
        <v>25</v>
      </c>
      <c r="FE1973" s="8">
        <v>2.5</v>
      </c>
    </row>
    <row r="1974" spans="158:161" ht="74.25" customHeight="1" x14ac:dyDescent="0.2">
      <c r="FB1974" s="8" t="s">
        <v>4164</v>
      </c>
      <c r="FC1974" s="8" t="s">
        <v>4164</v>
      </c>
      <c r="FD1974" s="8">
        <v>1000</v>
      </c>
      <c r="FE1974" s="8">
        <v>100</v>
      </c>
    </row>
    <row r="1975" spans="158:161" ht="74.25" customHeight="1" x14ac:dyDescent="0.2">
      <c r="FB1975" s="8" t="s">
        <v>4165</v>
      </c>
      <c r="FC1975" s="8" t="s">
        <v>4165</v>
      </c>
      <c r="FD1975" s="8">
        <v>3500</v>
      </c>
      <c r="FE1975" s="8">
        <v>350</v>
      </c>
    </row>
    <row r="1976" spans="158:161" ht="74.25" customHeight="1" x14ac:dyDescent="0.2">
      <c r="FB1976" s="8" t="s">
        <v>4166</v>
      </c>
      <c r="FC1976" s="8" t="s">
        <v>4167</v>
      </c>
      <c r="FD1976" s="8">
        <v>650</v>
      </c>
      <c r="FE1976" s="8">
        <v>250</v>
      </c>
    </row>
    <row r="1977" spans="158:161" ht="74.25" customHeight="1" x14ac:dyDescent="0.2">
      <c r="FB1977" s="8" t="s">
        <v>4168</v>
      </c>
      <c r="FC1977" s="8" t="s">
        <v>4169</v>
      </c>
      <c r="FD1977" s="8">
        <v>60</v>
      </c>
      <c r="FE1977" s="8">
        <v>6</v>
      </c>
    </row>
    <row r="1978" spans="158:161" ht="74.25" customHeight="1" x14ac:dyDescent="0.2">
      <c r="FB1978" s="8" t="s">
        <v>4170</v>
      </c>
      <c r="FC1978" s="8" t="s">
        <v>4171</v>
      </c>
      <c r="FD1978" s="8">
        <v>90</v>
      </c>
      <c r="FE1978" s="8">
        <v>9</v>
      </c>
    </row>
    <row r="1979" spans="158:161" ht="74.25" customHeight="1" x14ac:dyDescent="0.2">
      <c r="FB1979" s="8" t="s">
        <v>4172</v>
      </c>
      <c r="FC1979" s="8" t="s">
        <v>4173</v>
      </c>
      <c r="FD1979" s="8">
        <v>100</v>
      </c>
      <c r="FE1979" s="8">
        <v>10</v>
      </c>
    </row>
    <row r="1980" spans="158:161" ht="74.25" customHeight="1" x14ac:dyDescent="0.2">
      <c r="FB1980" s="8" t="s">
        <v>4174</v>
      </c>
      <c r="FC1980" s="8" t="s">
        <v>4174</v>
      </c>
      <c r="FD1980" s="8">
        <v>1000</v>
      </c>
      <c r="FE1980" s="8">
        <v>100</v>
      </c>
    </row>
    <row r="1981" spans="158:161" ht="74.25" customHeight="1" x14ac:dyDescent="0.2">
      <c r="FB1981" s="8" t="s">
        <v>4175</v>
      </c>
      <c r="FC1981" s="8" t="s">
        <v>4175</v>
      </c>
      <c r="FD1981" s="8">
        <v>1000</v>
      </c>
      <c r="FE1981" s="8">
        <v>100</v>
      </c>
    </row>
    <row r="1982" spans="158:161" ht="74.25" customHeight="1" x14ac:dyDescent="0.2">
      <c r="FB1982" s="8" t="s">
        <v>4176</v>
      </c>
      <c r="FC1982" s="8" t="s">
        <v>4177</v>
      </c>
      <c r="FD1982" s="8">
        <v>110</v>
      </c>
      <c r="FE1982" s="8">
        <v>11</v>
      </c>
    </row>
    <row r="1983" spans="158:161" ht="74.25" customHeight="1" x14ac:dyDescent="0.2">
      <c r="FB1983" s="8" t="s">
        <v>4178</v>
      </c>
      <c r="FC1983" s="8" t="s">
        <v>4179</v>
      </c>
      <c r="FD1983" s="8">
        <v>2.5</v>
      </c>
      <c r="FE1983" s="8">
        <v>0.25</v>
      </c>
    </row>
    <row r="1984" spans="158:161" ht="74.25" customHeight="1" x14ac:dyDescent="0.2">
      <c r="FB1984" s="8" t="s">
        <v>4180</v>
      </c>
      <c r="FC1984" s="8" t="s">
        <v>4181</v>
      </c>
      <c r="FD1984" s="8">
        <v>6</v>
      </c>
      <c r="FE1984" s="8">
        <v>0.6</v>
      </c>
    </row>
    <row r="1985" spans="158:161" ht="74.25" customHeight="1" x14ac:dyDescent="0.2">
      <c r="FB1985" s="8" t="s">
        <v>4182</v>
      </c>
      <c r="FC1985" s="8" t="s">
        <v>4183</v>
      </c>
      <c r="FD1985" s="8">
        <v>40</v>
      </c>
      <c r="FE1985" s="8">
        <v>4</v>
      </c>
    </row>
    <row r="1986" spans="158:161" ht="74.25" customHeight="1" x14ac:dyDescent="0.2">
      <c r="FB1986" s="8" t="s">
        <v>4184</v>
      </c>
      <c r="FC1986" s="8" t="s">
        <v>4185</v>
      </c>
      <c r="FD1986" s="8">
        <v>250</v>
      </c>
      <c r="FE1986" s="8">
        <v>25</v>
      </c>
    </row>
    <row r="1987" spans="158:161" ht="74.25" customHeight="1" x14ac:dyDescent="0.2">
      <c r="FB1987" s="8" t="s">
        <v>4186</v>
      </c>
      <c r="FC1987" s="8" t="s">
        <v>4186</v>
      </c>
      <c r="FD1987" s="8">
        <v>80</v>
      </c>
      <c r="FE1987" s="8">
        <v>8</v>
      </c>
    </row>
    <row r="1988" spans="158:161" ht="74.25" customHeight="1" x14ac:dyDescent="0.2">
      <c r="FB1988" s="8" t="s">
        <v>4187</v>
      </c>
      <c r="FC1988" s="8" t="s">
        <v>4188</v>
      </c>
      <c r="FD1988" s="8">
        <v>17000</v>
      </c>
      <c r="FE1988" s="8">
        <v>1700</v>
      </c>
    </row>
    <row r="1989" spans="158:161" ht="74.25" customHeight="1" x14ac:dyDescent="0.2">
      <c r="FB1989" s="8" t="s">
        <v>4189</v>
      </c>
      <c r="FC1989" s="8" t="s">
        <v>4190</v>
      </c>
      <c r="FD1989" s="8">
        <v>3500</v>
      </c>
      <c r="FE1989" s="8">
        <v>350</v>
      </c>
    </row>
    <row r="1990" spans="158:161" ht="74.25" customHeight="1" x14ac:dyDescent="0.2">
      <c r="FB1990" s="8" t="s">
        <v>4191</v>
      </c>
      <c r="FC1990" s="8" t="s">
        <v>4192</v>
      </c>
      <c r="FD1990" s="8">
        <v>3500</v>
      </c>
      <c r="FE1990" s="8">
        <v>350</v>
      </c>
    </row>
    <row r="1991" spans="158:161" ht="74.25" customHeight="1" x14ac:dyDescent="0.2">
      <c r="FB1991" s="8" t="s">
        <v>4193</v>
      </c>
      <c r="FC1991" s="8" t="s">
        <v>4194</v>
      </c>
      <c r="FD1991" s="8">
        <v>1600</v>
      </c>
      <c r="FE1991" s="8">
        <v>160</v>
      </c>
    </row>
    <row r="1992" spans="158:161" ht="74.25" customHeight="1" x14ac:dyDescent="0.2">
      <c r="FB1992" s="8" t="s">
        <v>4195</v>
      </c>
      <c r="FC1992" s="8" t="s">
        <v>4196</v>
      </c>
      <c r="FD1992" s="8">
        <v>490</v>
      </c>
      <c r="FE1992" s="8">
        <v>49</v>
      </c>
    </row>
    <row r="1993" spans="158:161" ht="74.25" customHeight="1" x14ac:dyDescent="0.2">
      <c r="FB1993" s="8" t="s">
        <v>4197</v>
      </c>
      <c r="FC1993" s="8" t="s">
        <v>4198</v>
      </c>
      <c r="FD1993" s="8">
        <v>10000</v>
      </c>
      <c r="FE1993" s="8">
        <v>2700</v>
      </c>
    </row>
    <row r="1994" spans="158:161" ht="74.25" customHeight="1" x14ac:dyDescent="0.2">
      <c r="FB1994" s="8" t="s">
        <v>4199</v>
      </c>
      <c r="FC1994" s="8" t="s">
        <v>4200</v>
      </c>
      <c r="FD1994" s="8">
        <v>3400</v>
      </c>
      <c r="FE1994" s="8">
        <v>340</v>
      </c>
    </row>
    <row r="1995" spans="158:161" ht="74.25" customHeight="1" x14ac:dyDescent="0.2">
      <c r="FB1995" s="8" t="s">
        <v>4201</v>
      </c>
      <c r="FC1995" s="8" t="s">
        <v>4202</v>
      </c>
      <c r="FD1995" s="8">
        <v>3400</v>
      </c>
      <c r="FE1995" s="8">
        <v>340</v>
      </c>
    </row>
    <row r="1996" spans="158:161" ht="74.25" customHeight="1" x14ac:dyDescent="0.2">
      <c r="FB1996" s="8" t="s">
        <v>4203</v>
      </c>
      <c r="FC1996" s="8" t="s">
        <v>4204</v>
      </c>
      <c r="FD1996" s="8">
        <v>470</v>
      </c>
      <c r="FE1996" s="8">
        <v>47</v>
      </c>
    </row>
    <row r="1997" spans="158:161" ht="74.25" customHeight="1" x14ac:dyDescent="0.2">
      <c r="FB1997" s="8" t="s">
        <v>4205</v>
      </c>
      <c r="FC1997" s="8" t="s">
        <v>4205</v>
      </c>
      <c r="FD1997" s="8">
        <v>250</v>
      </c>
      <c r="FE1997" s="8">
        <v>25</v>
      </c>
    </row>
    <row r="1998" spans="158:161" ht="74.25" customHeight="1" x14ac:dyDescent="0.2">
      <c r="FB1998" s="8" t="s">
        <v>4206</v>
      </c>
      <c r="FC1998" s="8" t="s">
        <v>4207</v>
      </c>
      <c r="FD1998" s="8">
        <v>630</v>
      </c>
      <c r="FE1998" s="8" t="s">
        <v>9511</v>
      </c>
    </row>
    <row r="1999" spans="158:161" ht="74.25" customHeight="1" x14ac:dyDescent="0.2">
      <c r="FB1999" s="8" t="s">
        <v>4208</v>
      </c>
      <c r="FC1999" s="8" t="s">
        <v>4209</v>
      </c>
      <c r="FD1999" s="8">
        <v>800</v>
      </c>
      <c r="FE1999" s="8">
        <v>80</v>
      </c>
    </row>
    <row r="2000" spans="158:161" ht="74.25" customHeight="1" x14ac:dyDescent="0.2">
      <c r="FB2000" s="8" t="s">
        <v>4210</v>
      </c>
      <c r="FC2000" s="8" t="s">
        <v>4211</v>
      </c>
      <c r="FD2000" s="8">
        <v>260</v>
      </c>
      <c r="FE2000" s="8">
        <v>26</v>
      </c>
    </row>
    <row r="2001" spans="158:161" ht="74.25" customHeight="1" x14ac:dyDescent="0.2">
      <c r="FB2001" s="8" t="s">
        <v>4212</v>
      </c>
      <c r="FC2001" s="8" t="s">
        <v>4213</v>
      </c>
      <c r="FD2001" s="8">
        <v>10000</v>
      </c>
      <c r="FE2001" s="8">
        <v>1000</v>
      </c>
    </row>
    <row r="2002" spans="158:161" ht="74.25" customHeight="1" x14ac:dyDescent="0.2">
      <c r="FB2002" s="8" t="s">
        <v>4214</v>
      </c>
      <c r="FC2002" s="8" t="s">
        <v>4215</v>
      </c>
      <c r="FD2002" s="8">
        <v>680</v>
      </c>
      <c r="FE2002" s="8">
        <v>68</v>
      </c>
    </row>
    <row r="2003" spans="158:161" ht="74.25" customHeight="1" x14ac:dyDescent="0.2">
      <c r="FB2003" s="8" t="s">
        <v>4216</v>
      </c>
      <c r="FC2003" s="8" t="s">
        <v>4217</v>
      </c>
      <c r="FD2003" s="8">
        <v>2200</v>
      </c>
      <c r="FE2003" s="8">
        <v>220</v>
      </c>
    </row>
    <row r="2004" spans="158:161" ht="74.25" customHeight="1" x14ac:dyDescent="0.2">
      <c r="FB2004" s="8" t="s">
        <v>4218</v>
      </c>
      <c r="FC2004" s="8" t="s">
        <v>4219</v>
      </c>
      <c r="FD2004" s="8">
        <v>1250</v>
      </c>
      <c r="FE2004" s="8">
        <v>125</v>
      </c>
    </row>
    <row r="2005" spans="158:161" ht="74.25" customHeight="1" x14ac:dyDescent="0.2">
      <c r="FB2005" s="8" t="s">
        <v>4220</v>
      </c>
      <c r="FC2005" s="8" t="s">
        <v>4221</v>
      </c>
      <c r="FD2005" s="8">
        <v>1500</v>
      </c>
      <c r="FE2005" s="8">
        <v>150</v>
      </c>
    </row>
    <row r="2006" spans="158:161" ht="74.25" customHeight="1" x14ac:dyDescent="0.2">
      <c r="FB2006" s="8" t="s">
        <v>4222</v>
      </c>
      <c r="FC2006" s="8" t="s">
        <v>4223</v>
      </c>
      <c r="FD2006" s="8">
        <v>3000</v>
      </c>
      <c r="FE2006" s="8">
        <v>300</v>
      </c>
    </row>
    <row r="2007" spans="158:161" ht="74.25" customHeight="1" x14ac:dyDescent="0.2">
      <c r="FB2007" s="8" t="s">
        <v>4224</v>
      </c>
      <c r="FC2007" s="8" t="s">
        <v>4225</v>
      </c>
      <c r="FD2007" s="8">
        <v>1500</v>
      </c>
      <c r="FE2007" s="8">
        <v>150</v>
      </c>
    </row>
    <row r="2008" spans="158:161" ht="74.25" customHeight="1" x14ac:dyDescent="0.2">
      <c r="FB2008" s="8" t="s">
        <v>4226</v>
      </c>
      <c r="FC2008" s="8" t="s">
        <v>4227</v>
      </c>
      <c r="FD2008" s="8">
        <v>100</v>
      </c>
      <c r="FE2008" s="8">
        <v>10</v>
      </c>
    </row>
    <row r="2009" spans="158:161" ht="74.25" customHeight="1" x14ac:dyDescent="0.2">
      <c r="FB2009" s="8" t="s">
        <v>4228</v>
      </c>
      <c r="FC2009" s="8" t="s">
        <v>4229</v>
      </c>
      <c r="FD2009" s="8">
        <v>0.7</v>
      </c>
      <c r="FE2009" s="8">
        <v>0.1</v>
      </c>
    </row>
    <row r="2010" spans="158:161" ht="74.25" customHeight="1" x14ac:dyDescent="0.2">
      <c r="FB2010" s="8" t="s">
        <v>4230</v>
      </c>
      <c r="FC2010" s="8" t="s">
        <v>4231</v>
      </c>
      <c r="FD2010" s="8">
        <v>1500</v>
      </c>
      <c r="FE2010" s="8">
        <v>150</v>
      </c>
    </row>
    <row r="2011" spans="158:161" ht="74.25" customHeight="1" x14ac:dyDescent="0.2">
      <c r="FB2011" s="8" t="s">
        <v>4232</v>
      </c>
      <c r="FC2011" s="8" t="s">
        <v>4233</v>
      </c>
      <c r="FD2011" s="8">
        <v>80</v>
      </c>
      <c r="FE2011" s="8">
        <v>8</v>
      </c>
    </row>
    <row r="2012" spans="158:161" ht="74.25" customHeight="1" x14ac:dyDescent="0.2">
      <c r="FB2012" s="8" t="s">
        <v>4234</v>
      </c>
      <c r="FC2012" s="8" t="s">
        <v>4235</v>
      </c>
      <c r="FD2012" s="8">
        <v>80</v>
      </c>
      <c r="FE2012" s="8">
        <v>8</v>
      </c>
    </row>
    <row r="2013" spans="158:161" ht="74.25" customHeight="1" x14ac:dyDescent="0.2">
      <c r="FB2013" s="8" t="s">
        <v>4236</v>
      </c>
      <c r="FC2013" s="8" t="s">
        <v>4237</v>
      </c>
      <c r="FD2013" s="8">
        <v>80</v>
      </c>
      <c r="FE2013" s="8">
        <v>8</v>
      </c>
    </row>
    <row r="2014" spans="158:161" ht="74.25" customHeight="1" x14ac:dyDescent="0.2">
      <c r="FB2014" s="8" t="s">
        <v>4238</v>
      </c>
      <c r="FC2014" s="8" t="s">
        <v>4239</v>
      </c>
      <c r="FD2014" s="8">
        <v>100</v>
      </c>
      <c r="FE2014" s="8">
        <v>10</v>
      </c>
    </row>
    <row r="2015" spans="158:161" ht="74.25" customHeight="1" x14ac:dyDescent="0.2">
      <c r="FB2015" s="8" t="s">
        <v>4240</v>
      </c>
      <c r="FC2015" s="8" t="s">
        <v>4241</v>
      </c>
      <c r="FD2015" s="8">
        <v>24</v>
      </c>
      <c r="FE2015" s="8">
        <v>2.4</v>
      </c>
    </row>
    <row r="2016" spans="158:161" ht="74.25" customHeight="1" x14ac:dyDescent="0.2">
      <c r="FB2016" s="8" t="s">
        <v>4242</v>
      </c>
      <c r="FC2016" s="8" t="s">
        <v>4243</v>
      </c>
      <c r="FD2016" s="8">
        <v>100</v>
      </c>
      <c r="FE2016" s="8">
        <v>10</v>
      </c>
    </row>
    <row r="2017" spans="158:161" ht="74.25" customHeight="1" x14ac:dyDescent="0.2">
      <c r="FB2017" s="8" t="s">
        <v>4244</v>
      </c>
      <c r="FC2017" s="8" t="s">
        <v>4245</v>
      </c>
      <c r="FD2017" s="8">
        <v>5</v>
      </c>
      <c r="FE2017" s="8">
        <v>0.5</v>
      </c>
    </row>
    <row r="2018" spans="158:161" ht="74.25" customHeight="1" x14ac:dyDescent="0.2">
      <c r="FB2018" s="8" t="s">
        <v>4246</v>
      </c>
      <c r="FC2018" s="8" t="s">
        <v>4247</v>
      </c>
      <c r="FD2018" s="8">
        <v>2000</v>
      </c>
      <c r="FE2018" s="8">
        <v>200</v>
      </c>
    </row>
    <row r="2019" spans="158:161" ht="74.25" customHeight="1" x14ac:dyDescent="0.2">
      <c r="FB2019" s="8" t="s">
        <v>4248</v>
      </c>
      <c r="FC2019" s="8" t="s">
        <v>4249</v>
      </c>
      <c r="FD2019" s="8">
        <v>3500</v>
      </c>
      <c r="FE2019" s="8">
        <v>350</v>
      </c>
    </row>
    <row r="2020" spans="158:161" ht="74.25" customHeight="1" x14ac:dyDescent="0.2">
      <c r="FB2020" s="8" t="s">
        <v>4250</v>
      </c>
      <c r="FC2020" s="8" t="s">
        <v>4251</v>
      </c>
      <c r="FD2020" s="8">
        <v>490</v>
      </c>
      <c r="FE2020" s="8">
        <v>49</v>
      </c>
    </row>
    <row r="2021" spans="158:161" ht="74.25" customHeight="1" x14ac:dyDescent="0.2">
      <c r="FB2021" s="8" t="s">
        <v>4252</v>
      </c>
      <c r="FC2021" s="8" t="s">
        <v>4253</v>
      </c>
      <c r="FD2021" s="8">
        <v>8</v>
      </c>
      <c r="FE2021" s="8">
        <v>0.8</v>
      </c>
    </row>
    <row r="2022" spans="158:161" ht="74.25" customHeight="1" x14ac:dyDescent="0.2">
      <c r="FB2022" s="8" t="s">
        <v>4254</v>
      </c>
      <c r="FC2022" s="8" t="s">
        <v>4255</v>
      </c>
      <c r="FD2022" s="8">
        <v>2000</v>
      </c>
      <c r="FE2022" s="8">
        <v>200</v>
      </c>
    </row>
    <row r="2023" spans="158:161" ht="74.25" customHeight="1" x14ac:dyDescent="0.2">
      <c r="FB2023" s="8" t="s">
        <v>4256</v>
      </c>
      <c r="FC2023" s="8" t="s">
        <v>4257</v>
      </c>
      <c r="FD2023" s="8">
        <v>100</v>
      </c>
      <c r="FE2023" s="8">
        <v>10</v>
      </c>
    </row>
    <row r="2024" spans="158:161" ht="74.25" customHeight="1" x14ac:dyDescent="0.2">
      <c r="FB2024" s="8" t="s">
        <v>4258</v>
      </c>
      <c r="FC2024" s="8" t="s">
        <v>4259</v>
      </c>
      <c r="FD2024" s="8">
        <v>17000</v>
      </c>
      <c r="FE2024" s="8">
        <v>1700</v>
      </c>
    </row>
    <row r="2025" spans="158:161" ht="74.25" customHeight="1" x14ac:dyDescent="0.2">
      <c r="FB2025" s="8" t="s">
        <v>4260</v>
      </c>
      <c r="FC2025" s="8" t="s">
        <v>4261</v>
      </c>
      <c r="FD2025" s="8">
        <v>1700</v>
      </c>
      <c r="FE2025" s="8">
        <v>170</v>
      </c>
    </row>
    <row r="2026" spans="158:161" ht="74.25" customHeight="1" x14ac:dyDescent="0.2">
      <c r="FB2026" s="8" t="s">
        <v>4262</v>
      </c>
      <c r="FC2026" s="8" t="s">
        <v>4263</v>
      </c>
      <c r="FD2026" s="8">
        <v>3700</v>
      </c>
      <c r="FE2026" s="8">
        <v>370</v>
      </c>
    </row>
    <row r="2027" spans="158:161" ht="74.25" customHeight="1" x14ac:dyDescent="0.2">
      <c r="FB2027" s="8" t="s">
        <v>4264</v>
      </c>
      <c r="FC2027" s="8" t="s">
        <v>4265</v>
      </c>
      <c r="FD2027" s="8">
        <v>7200</v>
      </c>
      <c r="FE2027" s="8">
        <v>720</v>
      </c>
    </row>
    <row r="2028" spans="158:161" ht="74.25" customHeight="1" x14ac:dyDescent="0.2">
      <c r="FB2028" s="8" t="s">
        <v>4266</v>
      </c>
      <c r="FC2028" s="8" t="s">
        <v>4267</v>
      </c>
      <c r="FD2028" s="8">
        <v>17000</v>
      </c>
      <c r="FE2028" s="8">
        <v>1700</v>
      </c>
    </row>
    <row r="2029" spans="158:161" ht="74.25" customHeight="1" x14ac:dyDescent="0.2">
      <c r="FB2029" s="8" t="s">
        <v>4268</v>
      </c>
      <c r="FC2029" s="8" t="s">
        <v>4269</v>
      </c>
      <c r="FD2029" s="8">
        <v>100</v>
      </c>
      <c r="FE2029" s="8">
        <v>10</v>
      </c>
    </row>
    <row r="2030" spans="158:161" ht="74.25" customHeight="1" x14ac:dyDescent="0.2">
      <c r="FB2030" s="8" t="s">
        <v>4270</v>
      </c>
      <c r="FC2030" s="8" t="s">
        <v>4271</v>
      </c>
      <c r="FD2030" s="8">
        <v>500</v>
      </c>
      <c r="FE2030" s="8">
        <v>50</v>
      </c>
    </row>
    <row r="2031" spans="158:161" ht="74.25" customHeight="1" x14ac:dyDescent="0.2">
      <c r="FB2031" s="8" t="s">
        <v>4272</v>
      </c>
      <c r="FC2031" s="8" t="s">
        <v>4273</v>
      </c>
      <c r="FD2031" s="8">
        <v>1000</v>
      </c>
      <c r="FE2031" s="8">
        <v>100</v>
      </c>
    </row>
    <row r="2032" spans="158:161" ht="74.25" customHeight="1" x14ac:dyDescent="0.2">
      <c r="FB2032" s="8" t="s">
        <v>4274</v>
      </c>
      <c r="FC2032" s="8" t="s">
        <v>4275</v>
      </c>
      <c r="FD2032" s="8">
        <v>30</v>
      </c>
      <c r="FE2032" s="8">
        <v>3</v>
      </c>
    </row>
    <row r="2033" spans="158:161" ht="74.25" customHeight="1" x14ac:dyDescent="0.2">
      <c r="FB2033" s="8" t="s">
        <v>4276</v>
      </c>
      <c r="FC2033" s="8" t="s">
        <v>4277</v>
      </c>
      <c r="FD2033" s="8">
        <v>1.4</v>
      </c>
      <c r="FE2033" s="8">
        <v>0.14000000000000001</v>
      </c>
    </row>
    <row r="2034" spans="158:161" ht="74.25" customHeight="1" x14ac:dyDescent="0.2">
      <c r="FB2034" s="8" t="s">
        <v>4278</v>
      </c>
      <c r="FC2034" s="8" t="s">
        <v>4279</v>
      </c>
      <c r="FD2034" s="8">
        <v>2.5</v>
      </c>
      <c r="FE2034" s="8">
        <v>0.25</v>
      </c>
    </row>
    <row r="2035" spans="158:161" ht="74.25" customHeight="1" x14ac:dyDescent="0.2">
      <c r="FB2035" s="8" t="s">
        <v>4280</v>
      </c>
      <c r="FC2035" s="8" t="s">
        <v>4281</v>
      </c>
      <c r="FD2035" s="8">
        <v>10000</v>
      </c>
      <c r="FE2035" s="8">
        <v>1000</v>
      </c>
    </row>
    <row r="2036" spans="158:161" ht="74.25" customHeight="1" x14ac:dyDescent="0.2">
      <c r="FB2036" s="8" t="s">
        <v>4282</v>
      </c>
      <c r="FC2036" s="8" t="s">
        <v>4283</v>
      </c>
      <c r="FD2036" s="8">
        <v>3500</v>
      </c>
      <c r="FE2036" s="8">
        <v>350</v>
      </c>
    </row>
    <row r="2037" spans="158:161" ht="74.25" customHeight="1" x14ac:dyDescent="0.2">
      <c r="FB2037" s="8" t="s">
        <v>4284</v>
      </c>
      <c r="FC2037" s="8" t="s">
        <v>4285</v>
      </c>
      <c r="FD2037" s="8">
        <v>1000</v>
      </c>
      <c r="FE2037" s="8">
        <v>100</v>
      </c>
    </row>
    <row r="2038" spans="158:161" ht="74.25" customHeight="1" x14ac:dyDescent="0.2">
      <c r="FB2038" s="8" t="s">
        <v>4286</v>
      </c>
      <c r="FC2038" s="8" t="s">
        <v>4287</v>
      </c>
      <c r="FD2038" s="8">
        <v>1000</v>
      </c>
      <c r="FE2038" s="8">
        <v>100</v>
      </c>
    </row>
    <row r="2039" spans="158:161" ht="74.25" customHeight="1" x14ac:dyDescent="0.2">
      <c r="FB2039" s="8" t="s">
        <v>4288</v>
      </c>
      <c r="FC2039" s="8" t="s">
        <v>4289</v>
      </c>
      <c r="FD2039" s="8">
        <v>1800</v>
      </c>
      <c r="FE2039" s="8">
        <v>180</v>
      </c>
    </row>
    <row r="2040" spans="158:161" ht="74.25" customHeight="1" x14ac:dyDescent="0.2">
      <c r="FB2040" s="8" t="s">
        <v>4290</v>
      </c>
      <c r="FC2040" s="8" t="s">
        <v>4291</v>
      </c>
      <c r="FD2040" s="8">
        <v>14</v>
      </c>
      <c r="FE2040" s="8">
        <v>90</v>
      </c>
    </row>
    <row r="2041" spans="158:161" ht="74.25" customHeight="1" x14ac:dyDescent="0.2">
      <c r="FB2041" s="8" t="s">
        <v>4292</v>
      </c>
      <c r="FC2041" s="8" t="s">
        <v>4293</v>
      </c>
      <c r="FD2041" s="8">
        <v>1500</v>
      </c>
      <c r="FE2041" s="8">
        <v>150</v>
      </c>
    </row>
    <row r="2042" spans="158:161" ht="74.25" customHeight="1" x14ac:dyDescent="0.2">
      <c r="FB2042" s="8" t="s">
        <v>4294</v>
      </c>
      <c r="FC2042" s="8" t="s">
        <v>4295</v>
      </c>
      <c r="FD2042" s="8">
        <v>5700</v>
      </c>
      <c r="FE2042" s="8">
        <v>570</v>
      </c>
    </row>
    <row r="2043" spans="158:161" ht="74.25" customHeight="1" x14ac:dyDescent="0.2">
      <c r="FB2043" s="8" t="s">
        <v>4296</v>
      </c>
      <c r="FC2043" s="8" t="s">
        <v>4297</v>
      </c>
      <c r="FD2043" s="8">
        <v>2750</v>
      </c>
      <c r="FE2043" s="8">
        <v>275</v>
      </c>
    </row>
    <row r="2044" spans="158:161" ht="74.25" customHeight="1" x14ac:dyDescent="0.2">
      <c r="FB2044" s="8" t="s">
        <v>4298</v>
      </c>
      <c r="FC2044" s="8" t="s">
        <v>4299</v>
      </c>
      <c r="FD2044" s="8">
        <v>450</v>
      </c>
      <c r="FE2044" s="8">
        <v>150</v>
      </c>
    </row>
    <row r="2045" spans="158:161" ht="74.25" customHeight="1" x14ac:dyDescent="0.2">
      <c r="FB2045" s="8" t="s">
        <v>4300</v>
      </c>
      <c r="FC2045" s="8" t="s">
        <v>4301</v>
      </c>
      <c r="FD2045" s="8">
        <v>600</v>
      </c>
      <c r="FE2045" s="8">
        <v>60</v>
      </c>
    </row>
    <row r="2046" spans="158:161" ht="74.25" customHeight="1" x14ac:dyDescent="0.2">
      <c r="FB2046" s="8" t="s">
        <v>4302</v>
      </c>
      <c r="FC2046" s="8" t="s">
        <v>4303</v>
      </c>
      <c r="FD2046" s="8">
        <v>1250</v>
      </c>
      <c r="FE2046" s="8">
        <v>125</v>
      </c>
    </row>
    <row r="2047" spans="158:161" ht="74.25" customHeight="1" x14ac:dyDescent="0.2">
      <c r="FB2047" s="8" t="s">
        <v>4304</v>
      </c>
      <c r="FC2047" s="8" t="s">
        <v>4305</v>
      </c>
      <c r="FD2047" s="8">
        <v>40</v>
      </c>
      <c r="FE2047" s="8">
        <v>4</v>
      </c>
    </row>
    <row r="2048" spans="158:161" ht="74.25" customHeight="1" x14ac:dyDescent="0.2">
      <c r="FB2048" s="8" t="s">
        <v>4306</v>
      </c>
      <c r="FC2048" s="8" t="s">
        <v>4307</v>
      </c>
      <c r="FD2048" s="8">
        <v>100</v>
      </c>
      <c r="FE2048" s="8">
        <v>10</v>
      </c>
    </row>
    <row r="2049" spans="158:161" ht="74.25" customHeight="1" x14ac:dyDescent="0.2">
      <c r="FB2049" s="8" t="s">
        <v>4308</v>
      </c>
      <c r="FC2049" s="8" t="s">
        <v>4308</v>
      </c>
      <c r="FD2049" s="8">
        <v>30</v>
      </c>
      <c r="FE2049" s="8">
        <v>3</v>
      </c>
    </row>
    <row r="2050" spans="158:161" ht="74.25" customHeight="1" x14ac:dyDescent="0.2">
      <c r="FB2050" s="8" t="s">
        <v>4309</v>
      </c>
      <c r="FC2050" s="8" t="s">
        <v>4310</v>
      </c>
      <c r="FD2050" s="8">
        <v>1000</v>
      </c>
      <c r="FE2050" s="8">
        <v>100</v>
      </c>
    </row>
    <row r="2051" spans="158:161" ht="74.25" customHeight="1" x14ac:dyDescent="0.2">
      <c r="FB2051" s="8" t="s">
        <v>4311</v>
      </c>
      <c r="FC2051" s="8" t="s">
        <v>4312</v>
      </c>
      <c r="FD2051" s="8">
        <v>50</v>
      </c>
      <c r="FE2051" s="8">
        <v>5</v>
      </c>
    </row>
    <row r="2052" spans="158:161" ht="74.25" customHeight="1" x14ac:dyDescent="0.2">
      <c r="FB2052" s="8" t="s">
        <v>4313</v>
      </c>
      <c r="FC2052" s="8" t="s">
        <v>4314</v>
      </c>
      <c r="FD2052" s="8">
        <v>5</v>
      </c>
      <c r="FE2052" s="8">
        <v>0.5</v>
      </c>
    </row>
    <row r="2053" spans="158:161" ht="74.25" customHeight="1" x14ac:dyDescent="0.2">
      <c r="FB2053" s="8" t="s">
        <v>4315</v>
      </c>
      <c r="FC2053" s="8" t="s">
        <v>4316</v>
      </c>
      <c r="FD2053" s="8">
        <v>1</v>
      </c>
      <c r="FE2053" s="8">
        <v>0.1</v>
      </c>
    </row>
    <row r="2054" spans="158:161" ht="74.25" customHeight="1" x14ac:dyDescent="0.2">
      <c r="FB2054" s="8" t="s">
        <v>4317</v>
      </c>
      <c r="FC2054" s="8" t="s">
        <v>4318</v>
      </c>
      <c r="FD2054" s="8">
        <v>5</v>
      </c>
      <c r="FE2054" s="8">
        <v>0.5</v>
      </c>
    </row>
    <row r="2055" spans="158:161" ht="74.25" customHeight="1" x14ac:dyDescent="0.2">
      <c r="FB2055" s="8" t="s">
        <v>4319</v>
      </c>
      <c r="FC2055" s="8" t="s">
        <v>4320</v>
      </c>
      <c r="FD2055" s="8">
        <v>100</v>
      </c>
      <c r="FE2055" s="8">
        <v>10</v>
      </c>
    </row>
    <row r="2056" spans="158:161" ht="74.25" customHeight="1" x14ac:dyDescent="0.2">
      <c r="FB2056" s="8" t="s">
        <v>4321</v>
      </c>
      <c r="FC2056" s="8" t="s">
        <v>4322</v>
      </c>
      <c r="FD2056" s="8">
        <v>4300</v>
      </c>
      <c r="FE2056" s="8">
        <v>430</v>
      </c>
    </row>
    <row r="2057" spans="158:161" ht="74.25" customHeight="1" x14ac:dyDescent="0.2">
      <c r="FB2057" s="8" t="s">
        <v>4323</v>
      </c>
      <c r="FC2057" s="8" t="s">
        <v>4324</v>
      </c>
      <c r="FD2057" s="8">
        <v>50</v>
      </c>
      <c r="FE2057" s="8">
        <v>5</v>
      </c>
    </row>
    <row r="2058" spans="158:161" ht="74.25" customHeight="1" x14ac:dyDescent="0.2">
      <c r="FB2058" s="8" t="s">
        <v>4325</v>
      </c>
      <c r="FC2058" s="8" t="s">
        <v>4326</v>
      </c>
      <c r="FD2058" s="8">
        <v>500</v>
      </c>
      <c r="FE2058" s="8">
        <v>50</v>
      </c>
    </row>
    <row r="2059" spans="158:161" ht="74.25" customHeight="1" x14ac:dyDescent="0.2">
      <c r="FB2059" s="8" t="s">
        <v>4327</v>
      </c>
      <c r="FC2059" s="8" t="s">
        <v>4328</v>
      </c>
      <c r="FD2059" s="8">
        <v>1000</v>
      </c>
      <c r="FE2059" s="8">
        <v>100</v>
      </c>
    </row>
    <row r="2060" spans="158:161" ht="74.25" customHeight="1" x14ac:dyDescent="0.2">
      <c r="FB2060" s="8" t="s">
        <v>4329</v>
      </c>
      <c r="FC2060" s="8" t="s">
        <v>4330</v>
      </c>
      <c r="FD2060" s="8">
        <v>1000</v>
      </c>
      <c r="FE2060" s="8">
        <v>100</v>
      </c>
    </row>
    <row r="2061" spans="158:161" ht="74.25" customHeight="1" x14ac:dyDescent="0.2">
      <c r="FB2061" s="8" t="s">
        <v>4331</v>
      </c>
      <c r="FC2061" s="8" t="s">
        <v>4332</v>
      </c>
      <c r="FD2061" s="8">
        <v>60</v>
      </c>
      <c r="FE2061" s="8">
        <v>6</v>
      </c>
    </row>
    <row r="2062" spans="158:161" ht="74.25" customHeight="1" x14ac:dyDescent="0.2">
      <c r="FB2062" s="8" t="s">
        <v>4333</v>
      </c>
      <c r="FC2062" s="8" t="s">
        <v>4334</v>
      </c>
      <c r="FD2062" s="8">
        <v>1000</v>
      </c>
      <c r="FE2062" s="8">
        <v>100</v>
      </c>
    </row>
    <row r="2063" spans="158:161" ht="74.25" customHeight="1" x14ac:dyDescent="0.2">
      <c r="FB2063" s="8" t="s">
        <v>4335</v>
      </c>
      <c r="FC2063" s="8" t="s">
        <v>4335</v>
      </c>
      <c r="FD2063" s="8">
        <v>270</v>
      </c>
      <c r="FE2063" s="8">
        <v>5.4</v>
      </c>
    </row>
    <row r="2064" spans="158:161" ht="74.25" customHeight="1" x14ac:dyDescent="0.2">
      <c r="FB2064" s="8" t="s">
        <v>4336</v>
      </c>
      <c r="FC2064" s="8" t="s">
        <v>4337</v>
      </c>
      <c r="FD2064" s="8">
        <v>1250</v>
      </c>
      <c r="FE2064" s="8">
        <v>125</v>
      </c>
    </row>
    <row r="2065" spans="158:161" ht="74.25" customHeight="1" x14ac:dyDescent="0.2">
      <c r="FB2065" s="8" t="s">
        <v>4338</v>
      </c>
      <c r="FC2065" s="8" t="s">
        <v>4339</v>
      </c>
      <c r="FD2065" s="8">
        <v>500</v>
      </c>
      <c r="FE2065" s="8">
        <v>50</v>
      </c>
    </row>
    <row r="2066" spans="158:161" ht="74.25" customHeight="1" x14ac:dyDescent="0.2">
      <c r="FB2066" s="8" t="s">
        <v>4340</v>
      </c>
      <c r="FC2066" s="8" t="s">
        <v>4341</v>
      </c>
      <c r="FD2066" s="8">
        <v>50</v>
      </c>
      <c r="FE2066" s="8">
        <v>5</v>
      </c>
    </row>
    <row r="2067" spans="158:161" ht="74.25" customHeight="1" x14ac:dyDescent="0.2">
      <c r="FB2067" s="8" t="s">
        <v>4342</v>
      </c>
      <c r="FC2067" s="8" t="s">
        <v>4343</v>
      </c>
      <c r="FD2067" s="8">
        <v>50</v>
      </c>
      <c r="FE2067" s="8">
        <v>5</v>
      </c>
    </row>
    <row r="2068" spans="158:161" ht="74.25" customHeight="1" x14ac:dyDescent="0.2">
      <c r="FB2068" s="8" t="s">
        <v>4344</v>
      </c>
      <c r="FC2068" s="8" t="s">
        <v>4344</v>
      </c>
      <c r="FD2068" s="8">
        <v>100</v>
      </c>
      <c r="FE2068" s="8">
        <v>10</v>
      </c>
    </row>
    <row r="2069" spans="158:161" ht="74.25" customHeight="1" x14ac:dyDescent="0.2">
      <c r="FB2069" s="8" t="s">
        <v>4345</v>
      </c>
      <c r="FC2069" s="8" t="s">
        <v>4346</v>
      </c>
      <c r="FD2069" s="8">
        <v>50</v>
      </c>
      <c r="FE2069" s="8">
        <v>5</v>
      </c>
    </row>
    <row r="2070" spans="158:161" ht="74.25" customHeight="1" x14ac:dyDescent="0.2">
      <c r="FB2070" s="8" t="s">
        <v>4347</v>
      </c>
      <c r="FC2070" s="8" t="s">
        <v>4348</v>
      </c>
      <c r="FD2070" s="8">
        <v>1</v>
      </c>
      <c r="FE2070" s="8">
        <v>14</v>
      </c>
    </row>
    <row r="2071" spans="158:161" ht="74.25" customHeight="1" x14ac:dyDescent="0.2">
      <c r="FB2071" s="8" t="s">
        <v>4349</v>
      </c>
      <c r="FC2071" s="8" t="s">
        <v>4350</v>
      </c>
      <c r="FD2071" s="8">
        <v>1.3</v>
      </c>
      <c r="FE2071" s="8">
        <v>14</v>
      </c>
    </row>
    <row r="2072" spans="158:161" ht="74.25" customHeight="1" x14ac:dyDescent="0.2">
      <c r="FB2072" s="8" t="s">
        <v>4351</v>
      </c>
      <c r="FC2072" s="8" t="s">
        <v>4352</v>
      </c>
      <c r="FD2072" s="8">
        <v>40</v>
      </c>
      <c r="FE2072" s="8">
        <v>4</v>
      </c>
    </row>
    <row r="2073" spans="158:161" ht="74.25" customHeight="1" x14ac:dyDescent="0.2">
      <c r="FB2073" s="8" t="s">
        <v>4353</v>
      </c>
      <c r="FC2073" s="8" t="s">
        <v>4353</v>
      </c>
      <c r="FD2073" s="8">
        <v>40</v>
      </c>
      <c r="FE2073" s="8">
        <v>4</v>
      </c>
    </row>
    <row r="2074" spans="158:161" ht="74.25" customHeight="1" x14ac:dyDescent="0.2">
      <c r="FB2074" s="8" t="s">
        <v>4354</v>
      </c>
      <c r="FC2074" s="8" t="s">
        <v>4355</v>
      </c>
      <c r="FD2074" s="8">
        <v>3.4</v>
      </c>
      <c r="FE2074" s="8">
        <v>0.34</v>
      </c>
    </row>
    <row r="2075" spans="158:161" ht="74.25" customHeight="1" x14ac:dyDescent="0.2">
      <c r="FB2075" s="8" t="s">
        <v>4356</v>
      </c>
      <c r="FC2075" s="8" t="s">
        <v>4356</v>
      </c>
      <c r="FD2075" s="8">
        <v>100</v>
      </c>
      <c r="FE2075" s="8">
        <v>10</v>
      </c>
    </row>
    <row r="2076" spans="158:161" ht="74.25" customHeight="1" x14ac:dyDescent="0.2">
      <c r="FB2076" s="8" t="s">
        <v>4357</v>
      </c>
      <c r="FC2076" s="8" t="s">
        <v>4357</v>
      </c>
      <c r="FD2076" s="8" t="s">
        <v>9511</v>
      </c>
      <c r="FE2076" s="8">
        <v>2.9999999999999997E-8</v>
      </c>
    </row>
    <row r="2077" spans="158:161" ht="74.25" customHeight="1" x14ac:dyDescent="0.2">
      <c r="FB2077" s="8" t="s">
        <v>4358</v>
      </c>
      <c r="FC2077" s="8" t="s">
        <v>4359</v>
      </c>
      <c r="FD2077" s="8">
        <v>1000</v>
      </c>
      <c r="FE2077" s="8">
        <v>100</v>
      </c>
    </row>
    <row r="2078" spans="158:161" ht="74.25" customHeight="1" x14ac:dyDescent="0.2">
      <c r="FB2078" s="8" t="s">
        <v>4360</v>
      </c>
      <c r="FC2078" s="8" t="s">
        <v>4361</v>
      </c>
      <c r="FD2078" s="8">
        <v>125</v>
      </c>
      <c r="FE2078" s="8">
        <v>12.5</v>
      </c>
    </row>
    <row r="2079" spans="158:161" ht="74.25" customHeight="1" x14ac:dyDescent="0.2">
      <c r="FB2079" s="8" t="s">
        <v>4362</v>
      </c>
      <c r="FC2079" s="8" t="s">
        <v>4363</v>
      </c>
      <c r="FD2079" s="8">
        <v>1.1000000000000001</v>
      </c>
      <c r="FE2079" s="8">
        <v>0.11</v>
      </c>
    </row>
    <row r="2080" spans="158:161" ht="74.25" customHeight="1" x14ac:dyDescent="0.2">
      <c r="FB2080" s="8" t="s">
        <v>4364</v>
      </c>
      <c r="FC2080" s="8" t="s">
        <v>4365</v>
      </c>
      <c r="FD2080" s="8">
        <v>33</v>
      </c>
      <c r="FE2080" s="8">
        <v>3.3</v>
      </c>
    </row>
    <row r="2081" spans="158:161" ht="74.25" customHeight="1" x14ac:dyDescent="0.2">
      <c r="FB2081" s="8" t="s">
        <v>4366</v>
      </c>
      <c r="FC2081" s="8" t="s">
        <v>4367</v>
      </c>
      <c r="FD2081" s="8">
        <v>20</v>
      </c>
      <c r="FE2081" s="8">
        <v>2</v>
      </c>
    </row>
    <row r="2082" spans="158:161" ht="74.25" customHeight="1" x14ac:dyDescent="0.2">
      <c r="FB2082" s="8" t="s">
        <v>4368</v>
      </c>
      <c r="FC2082" s="8" t="s">
        <v>4369</v>
      </c>
      <c r="FD2082" s="8">
        <v>1320</v>
      </c>
      <c r="FE2082" s="8">
        <v>132</v>
      </c>
    </row>
    <row r="2083" spans="158:161" ht="74.25" customHeight="1" x14ac:dyDescent="0.2">
      <c r="FB2083" s="8" t="s">
        <v>4370</v>
      </c>
      <c r="FC2083" s="8" t="s">
        <v>4371</v>
      </c>
      <c r="FD2083" s="8">
        <v>150</v>
      </c>
      <c r="FE2083" s="8">
        <v>15</v>
      </c>
    </row>
    <row r="2084" spans="158:161" ht="74.25" customHeight="1" x14ac:dyDescent="0.2">
      <c r="FB2084" s="8" t="s">
        <v>4372</v>
      </c>
      <c r="FC2084" s="8" t="s">
        <v>4373</v>
      </c>
      <c r="FD2084" s="8">
        <v>4300</v>
      </c>
      <c r="FE2084" s="8">
        <v>430</v>
      </c>
    </row>
    <row r="2085" spans="158:161" ht="74.25" customHeight="1" x14ac:dyDescent="0.2">
      <c r="FB2085" s="8" t="s">
        <v>4374</v>
      </c>
      <c r="FC2085" s="8" t="s">
        <v>4375</v>
      </c>
      <c r="FD2085" s="8">
        <v>21000</v>
      </c>
      <c r="FE2085" s="8">
        <v>2100</v>
      </c>
    </row>
    <row r="2086" spans="158:161" ht="74.25" customHeight="1" x14ac:dyDescent="0.2">
      <c r="FB2086" s="8" t="s">
        <v>4376</v>
      </c>
      <c r="FC2086" s="8" t="s">
        <v>4377</v>
      </c>
      <c r="FD2086" s="8">
        <v>1000</v>
      </c>
      <c r="FE2086" s="8">
        <v>100</v>
      </c>
    </row>
    <row r="2087" spans="158:161" ht="74.25" customHeight="1" x14ac:dyDescent="0.2">
      <c r="FB2087" s="8" t="s">
        <v>4378</v>
      </c>
      <c r="FC2087" s="8" t="s">
        <v>4379</v>
      </c>
      <c r="FD2087" s="8">
        <v>40</v>
      </c>
      <c r="FE2087" s="8">
        <v>4</v>
      </c>
    </row>
    <row r="2088" spans="158:161" ht="74.25" customHeight="1" x14ac:dyDescent="0.2">
      <c r="FB2088" s="8" t="s">
        <v>4380</v>
      </c>
      <c r="FC2088" s="8" t="s">
        <v>4381</v>
      </c>
      <c r="FD2088" s="8">
        <v>50</v>
      </c>
      <c r="FE2088" s="8">
        <v>5</v>
      </c>
    </row>
    <row r="2089" spans="158:161" ht="74.25" customHeight="1" x14ac:dyDescent="0.2">
      <c r="FB2089" s="8" t="s">
        <v>4382</v>
      </c>
      <c r="FC2089" s="8" t="s">
        <v>4383</v>
      </c>
      <c r="FD2089" s="8">
        <v>61</v>
      </c>
      <c r="FE2089" s="8">
        <v>6.1</v>
      </c>
    </row>
    <row r="2090" spans="158:161" ht="74.25" customHeight="1" x14ac:dyDescent="0.2">
      <c r="FB2090" s="8" t="s">
        <v>4384</v>
      </c>
      <c r="FC2090" s="8" t="s">
        <v>4385</v>
      </c>
      <c r="FD2090" s="8">
        <v>6</v>
      </c>
      <c r="FE2090" s="8">
        <v>0.6</v>
      </c>
    </row>
    <row r="2091" spans="158:161" ht="74.25" customHeight="1" x14ac:dyDescent="0.2">
      <c r="FB2091" s="8" t="s">
        <v>4386</v>
      </c>
      <c r="FC2091" s="8" t="s">
        <v>4387</v>
      </c>
      <c r="FD2091" s="8">
        <v>4300</v>
      </c>
      <c r="FE2091" s="8">
        <v>430</v>
      </c>
    </row>
    <row r="2092" spans="158:161" ht="74.25" customHeight="1" x14ac:dyDescent="0.2">
      <c r="FB2092" s="8" t="s">
        <v>4388</v>
      </c>
      <c r="FC2092" s="8" t="s">
        <v>4389</v>
      </c>
      <c r="FD2092" s="8">
        <v>110</v>
      </c>
      <c r="FE2092" s="8">
        <v>14</v>
      </c>
    </row>
    <row r="2093" spans="158:161" ht="74.25" customHeight="1" x14ac:dyDescent="0.2">
      <c r="FB2093" s="8" t="s">
        <v>4390</v>
      </c>
      <c r="FC2093" s="8" t="s">
        <v>4391</v>
      </c>
      <c r="FD2093" s="8">
        <v>50</v>
      </c>
      <c r="FE2093" s="8">
        <v>5</v>
      </c>
    </row>
    <row r="2094" spans="158:161" ht="74.25" customHeight="1" x14ac:dyDescent="0.2">
      <c r="FB2094" s="8" t="s">
        <v>4392</v>
      </c>
      <c r="FC2094" s="8" t="s">
        <v>4393</v>
      </c>
      <c r="FD2094" s="8">
        <v>270</v>
      </c>
      <c r="FE2094" s="8">
        <v>5.4</v>
      </c>
    </row>
    <row r="2095" spans="158:161" ht="74.25" customHeight="1" x14ac:dyDescent="0.2">
      <c r="FB2095" s="8" t="s">
        <v>4394</v>
      </c>
      <c r="FC2095" s="8" t="s">
        <v>4395</v>
      </c>
      <c r="FD2095" s="8">
        <v>600</v>
      </c>
      <c r="FE2095" s="8">
        <v>60</v>
      </c>
    </row>
    <row r="2096" spans="158:161" ht="74.25" customHeight="1" x14ac:dyDescent="0.2">
      <c r="FB2096" s="8" t="s">
        <v>4396</v>
      </c>
      <c r="FC2096" s="8" t="s">
        <v>4397</v>
      </c>
      <c r="FD2096" s="8">
        <v>32</v>
      </c>
      <c r="FE2096" s="8">
        <v>3.2</v>
      </c>
    </row>
    <row r="2097" spans="158:161" ht="74.25" customHeight="1" x14ac:dyDescent="0.2">
      <c r="FB2097" s="8" t="s">
        <v>4398</v>
      </c>
      <c r="FC2097" s="8" t="s">
        <v>4399</v>
      </c>
      <c r="FD2097" s="8">
        <v>26</v>
      </c>
      <c r="FE2097" s="8">
        <v>2.6</v>
      </c>
    </row>
    <row r="2098" spans="158:161" ht="74.25" customHeight="1" x14ac:dyDescent="0.2">
      <c r="FB2098" s="8" t="s">
        <v>4400</v>
      </c>
      <c r="FC2098" s="8" t="s">
        <v>4401</v>
      </c>
      <c r="FD2098" s="8">
        <v>70</v>
      </c>
      <c r="FE2098" s="8">
        <v>7</v>
      </c>
    </row>
    <row r="2099" spans="158:161" ht="74.25" customHeight="1" x14ac:dyDescent="0.2">
      <c r="FB2099" s="8" t="s">
        <v>4402</v>
      </c>
      <c r="FC2099" s="8" t="s">
        <v>4403</v>
      </c>
      <c r="FD2099" s="8">
        <v>33</v>
      </c>
      <c r="FE2099" s="8">
        <v>3.3</v>
      </c>
    </row>
    <row r="2100" spans="158:161" ht="74.25" customHeight="1" x14ac:dyDescent="0.2">
      <c r="FB2100" s="8" t="s">
        <v>4404</v>
      </c>
      <c r="FC2100" s="8" t="s">
        <v>4405</v>
      </c>
      <c r="FD2100" s="8">
        <v>100</v>
      </c>
      <c r="FE2100" s="8">
        <v>10</v>
      </c>
    </row>
    <row r="2101" spans="158:161" ht="74.25" customHeight="1" x14ac:dyDescent="0.2">
      <c r="FB2101" s="8" t="s">
        <v>4406</v>
      </c>
      <c r="FC2101" s="8" t="s">
        <v>4407</v>
      </c>
      <c r="FD2101" s="8">
        <v>4</v>
      </c>
      <c r="FE2101" s="8">
        <v>0.4</v>
      </c>
    </row>
    <row r="2102" spans="158:161" ht="74.25" customHeight="1" x14ac:dyDescent="0.2">
      <c r="FB2102" s="8" t="s">
        <v>4408</v>
      </c>
      <c r="FC2102" s="8" t="s">
        <v>4409</v>
      </c>
      <c r="FD2102" s="8">
        <v>900</v>
      </c>
      <c r="FE2102" s="8">
        <v>160</v>
      </c>
    </row>
    <row r="2103" spans="158:161" ht="74.25" customHeight="1" x14ac:dyDescent="0.2">
      <c r="FB2103" s="8" t="s">
        <v>4410</v>
      </c>
      <c r="FC2103" s="8" t="s">
        <v>4411</v>
      </c>
      <c r="FD2103" s="8">
        <v>50000</v>
      </c>
      <c r="FE2103" s="8">
        <v>5000</v>
      </c>
    </row>
    <row r="2104" spans="158:161" ht="74.25" customHeight="1" x14ac:dyDescent="0.2">
      <c r="FB2104" s="8" t="s">
        <v>4412</v>
      </c>
      <c r="FC2104" s="8" t="s">
        <v>4413</v>
      </c>
      <c r="FD2104" s="8">
        <v>106</v>
      </c>
      <c r="FE2104" s="8">
        <v>11</v>
      </c>
    </row>
    <row r="2105" spans="158:161" ht="74.25" customHeight="1" x14ac:dyDescent="0.2">
      <c r="FB2105" s="8" t="s">
        <v>4414</v>
      </c>
      <c r="FC2105" s="8" t="s">
        <v>4415</v>
      </c>
      <c r="FD2105" s="8">
        <v>290</v>
      </c>
      <c r="FE2105" s="8">
        <v>29</v>
      </c>
    </row>
    <row r="2106" spans="158:161" ht="74.25" customHeight="1" x14ac:dyDescent="0.2">
      <c r="FB2106" s="8" t="s">
        <v>4416</v>
      </c>
      <c r="FC2106" s="8" t="s">
        <v>4417</v>
      </c>
      <c r="FD2106" s="8">
        <v>42000</v>
      </c>
      <c r="FE2106" s="8">
        <v>4200</v>
      </c>
    </row>
    <row r="2107" spans="158:161" ht="74.25" customHeight="1" x14ac:dyDescent="0.2">
      <c r="FB2107" s="8" t="s">
        <v>4418</v>
      </c>
      <c r="FC2107" s="8" t="s">
        <v>4419</v>
      </c>
      <c r="FD2107" s="8">
        <v>0.7</v>
      </c>
      <c r="FE2107" s="8">
        <v>0.1</v>
      </c>
    </row>
    <row r="2108" spans="158:161" ht="74.25" customHeight="1" x14ac:dyDescent="0.2">
      <c r="FB2108" s="8" t="s">
        <v>4420</v>
      </c>
      <c r="FC2108" s="8" t="s">
        <v>4421</v>
      </c>
      <c r="FD2108" s="8">
        <v>460</v>
      </c>
      <c r="FE2108" s="8">
        <v>46</v>
      </c>
    </row>
    <row r="2109" spans="158:161" ht="74.25" customHeight="1" x14ac:dyDescent="0.2">
      <c r="FB2109" s="8" t="s">
        <v>4422</v>
      </c>
      <c r="FC2109" s="8" t="s">
        <v>4423</v>
      </c>
      <c r="FD2109" s="8">
        <v>3</v>
      </c>
      <c r="FE2109" s="8">
        <v>0.3</v>
      </c>
    </row>
    <row r="2110" spans="158:161" ht="74.25" customHeight="1" x14ac:dyDescent="0.2">
      <c r="FB2110" s="8" t="s">
        <v>4424</v>
      </c>
      <c r="FC2110" s="8" t="s">
        <v>4425</v>
      </c>
      <c r="FD2110" s="8">
        <v>1</v>
      </c>
      <c r="FE2110" s="8">
        <v>0.1</v>
      </c>
    </row>
    <row r="2111" spans="158:161" ht="74.25" customHeight="1" x14ac:dyDescent="0.2">
      <c r="FB2111" s="8" t="s">
        <v>4426</v>
      </c>
      <c r="FC2111" s="8" t="s">
        <v>4427</v>
      </c>
      <c r="FD2111" s="8">
        <v>100</v>
      </c>
      <c r="FE2111" s="8">
        <v>10</v>
      </c>
    </row>
    <row r="2112" spans="158:161" ht="74.25" customHeight="1" x14ac:dyDescent="0.2">
      <c r="FB2112" s="8" t="s">
        <v>4428</v>
      </c>
      <c r="FC2112" s="8" t="s">
        <v>4429</v>
      </c>
      <c r="FD2112" s="8">
        <v>100</v>
      </c>
      <c r="FE2112" s="8">
        <v>10</v>
      </c>
    </row>
    <row r="2113" spans="158:161" ht="74.25" customHeight="1" x14ac:dyDescent="0.2">
      <c r="FB2113" s="8" t="s">
        <v>4430</v>
      </c>
      <c r="FC2113" s="8" t="s">
        <v>4431</v>
      </c>
      <c r="FD2113" s="8">
        <v>0.5</v>
      </c>
      <c r="FE2113" s="8">
        <v>0.05</v>
      </c>
    </row>
    <row r="2114" spans="158:161" ht="74.25" customHeight="1" x14ac:dyDescent="0.2">
      <c r="FB2114" s="8" t="s">
        <v>4432</v>
      </c>
      <c r="FC2114" s="8" t="s">
        <v>4433</v>
      </c>
      <c r="FD2114" s="8">
        <v>100</v>
      </c>
      <c r="FE2114" s="8">
        <v>10</v>
      </c>
    </row>
    <row r="2115" spans="158:161" ht="74.25" customHeight="1" x14ac:dyDescent="0.2">
      <c r="FB2115" s="8" t="s">
        <v>4434</v>
      </c>
      <c r="FC2115" s="8" t="s">
        <v>4435</v>
      </c>
      <c r="FD2115" s="8">
        <v>100</v>
      </c>
      <c r="FE2115" s="8">
        <v>10</v>
      </c>
    </row>
    <row r="2116" spans="158:161" ht="74.25" customHeight="1" x14ac:dyDescent="0.2">
      <c r="FB2116" s="8" t="s">
        <v>4436</v>
      </c>
      <c r="FC2116" s="8" t="s">
        <v>4437</v>
      </c>
      <c r="FD2116" s="8">
        <v>50</v>
      </c>
      <c r="FE2116" s="8">
        <v>5</v>
      </c>
    </row>
    <row r="2117" spans="158:161" ht="74.25" customHeight="1" x14ac:dyDescent="0.2">
      <c r="FB2117" s="8" t="s">
        <v>4438</v>
      </c>
      <c r="FC2117" s="8" t="s">
        <v>4439</v>
      </c>
      <c r="FD2117" s="8">
        <v>83</v>
      </c>
      <c r="FE2117" s="8">
        <v>8.3000000000000007</v>
      </c>
    </row>
    <row r="2118" spans="158:161" ht="74.25" customHeight="1" x14ac:dyDescent="0.2">
      <c r="FB2118" s="8" t="s">
        <v>4440</v>
      </c>
      <c r="FC2118" s="8" t="s">
        <v>4441</v>
      </c>
      <c r="FD2118" s="8">
        <v>60</v>
      </c>
      <c r="FE2118" s="8">
        <v>27</v>
      </c>
    </row>
    <row r="2119" spans="158:161" ht="74.25" customHeight="1" x14ac:dyDescent="0.2">
      <c r="FB2119" s="8" t="s">
        <v>4442</v>
      </c>
      <c r="FC2119" s="8" t="s">
        <v>4443</v>
      </c>
      <c r="FD2119" s="8">
        <v>100</v>
      </c>
      <c r="FE2119" s="8">
        <v>10</v>
      </c>
    </row>
    <row r="2120" spans="158:161" ht="74.25" customHeight="1" x14ac:dyDescent="0.2">
      <c r="FB2120" s="8" t="s">
        <v>4444</v>
      </c>
      <c r="FC2120" s="8" t="s">
        <v>4445</v>
      </c>
      <c r="FD2120" s="8">
        <v>100</v>
      </c>
      <c r="FE2120" s="8">
        <v>10</v>
      </c>
    </row>
    <row r="2121" spans="158:161" ht="74.25" customHeight="1" x14ac:dyDescent="0.2">
      <c r="FB2121" s="8" t="s">
        <v>4446</v>
      </c>
      <c r="FC2121" s="8" t="s">
        <v>4447</v>
      </c>
      <c r="FD2121" s="8">
        <v>100</v>
      </c>
      <c r="FE2121" s="8">
        <v>10</v>
      </c>
    </row>
    <row r="2122" spans="158:161" ht="74.25" customHeight="1" x14ac:dyDescent="0.2">
      <c r="FB2122" s="8" t="s">
        <v>4448</v>
      </c>
      <c r="FC2122" s="8" t="s">
        <v>4449</v>
      </c>
      <c r="FD2122" s="8">
        <v>1</v>
      </c>
      <c r="FE2122" s="8">
        <v>0.1</v>
      </c>
    </row>
    <row r="2123" spans="158:161" ht="74.25" customHeight="1" x14ac:dyDescent="0.2">
      <c r="FB2123" s="8" t="s">
        <v>4450</v>
      </c>
      <c r="FC2123" s="8" t="s">
        <v>4451</v>
      </c>
      <c r="FD2123" s="8">
        <v>8</v>
      </c>
      <c r="FE2123" s="8">
        <v>0.8</v>
      </c>
    </row>
    <row r="2124" spans="158:161" ht="74.25" customHeight="1" x14ac:dyDescent="0.2">
      <c r="FB2124" s="8" t="s">
        <v>4452</v>
      </c>
      <c r="FC2124" s="8" t="s">
        <v>4453</v>
      </c>
      <c r="FD2124" s="8">
        <v>1000</v>
      </c>
      <c r="FE2124" s="8">
        <v>100</v>
      </c>
    </row>
    <row r="2125" spans="158:161" ht="74.25" customHeight="1" x14ac:dyDescent="0.2">
      <c r="FB2125" s="8" t="s">
        <v>4454</v>
      </c>
      <c r="FC2125" s="8" t="s">
        <v>4455</v>
      </c>
      <c r="FD2125" s="8">
        <v>1000</v>
      </c>
      <c r="FE2125" s="8">
        <v>100</v>
      </c>
    </row>
    <row r="2126" spans="158:161" ht="74.25" customHeight="1" x14ac:dyDescent="0.2">
      <c r="FB2126" s="8" t="s">
        <v>4456</v>
      </c>
      <c r="FC2126" s="8" t="s">
        <v>4457</v>
      </c>
      <c r="FD2126" s="8">
        <v>1000</v>
      </c>
      <c r="FE2126" s="8">
        <v>100</v>
      </c>
    </row>
    <row r="2127" spans="158:161" ht="74.25" customHeight="1" x14ac:dyDescent="0.2">
      <c r="FB2127" s="8" t="s">
        <v>4458</v>
      </c>
      <c r="FC2127" s="8" t="s">
        <v>4459</v>
      </c>
      <c r="FD2127" s="8">
        <v>100</v>
      </c>
      <c r="FE2127" s="8">
        <v>10</v>
      </c>
    </row>
    <row r="2128" spans="158:161" ht="74.25" customHeight="1" x14ac:dyDescent="0.2">
      <c r="FB2128" s="8" t="s">
        <v>4460</v>
      </c>
      <c r="FC2128" s="8" t="s">
        <v>4461</v>
      </c>
      <c r="FD2128" s="8">
        <v>500</v>
      </c>
      <c r="FE2128" s="8">
        <v>50</v>
      </c>
    </row>
    <row r="2129" spans="158:161" ht="74.25" customHeight="1" x14ac:dyDescent="0.2">
      <c r="FB2129" s="8" t="s">
        <v>4462</v>
      </c>
      <c r="FC2129" s="8" t="s">
        <v>4463</v>
      </c>
      <c r="FD2129" s="8">
        <v>23</v>
      </c>
      <c r="FE2129" s="8">
        <v>14</v>
      </c>
    </row>
    <row r="2130" spans="158:161" ht="74.25" customHeight="1" x14ac:dyDescent="0.2">
      <c r="FB2130" s="8" t="s">
        <v>4464</v>
      </c>
      <c r="FC2130" s="8" t="s">
        <v>4465</v>
      </c>
      <c r="FD2130" s="8">
        <v>12000</v>
      </c>
      <c r="FE2130" s="8">
        <v>1200</v>
      </c>
    </row>
    <row r="2131" spans="158:161" ht="74.25" customHeight="1" x14ac:dyDescent="0.2">
      <c r="FB2131" s="8" t="s">
        <v>4466</v>
      </c>
      <c r="FC2131" s="8" t="s">
        <v>4467</v>
      </c>
      <c r="FD2131" s="8">
        <v>400</v>
      </c>
      <c r="FE2131" s="8">
        <v>40</v>
      </c>
    </row>
    <row r="2132" spans="158:161" ht="74.25" customHeight="1" x14ac:dyDescent="0.2">
      <c r="FB2132" s="8" t="s">
        <v>4468</v>
      </c>
      <c r="FC2132" s="8" t="s">
        <v>4469</v>
      </c>
      <c r="FD2132" s="8">
        <v>1000</v>
      </c>
      <c r="FE2132" s="8">
        <v>100</v>
      </c>
    </row>
    <row r="2133" spans="158:161" ht="74.25" customHeight="1" x14ac:dyDescent="0.2">
      <c r="FB2133" s="8" t="s">
        <v>4470</v>
      </c>
      <c r="FC2133" s="8" t="s">
        <v>4471</v>
      </c>
      <c r="FD2133" s="8">
        <v>100</v>
      </c>
      <c r="FE2133" s="8">
        <v>10</v>
      </c>
    </row>
    <row r="2134" spans="158:161" ht="74.25" customHeight="1" x14ac:dyDescent="0.2">
      <c r="FB2134" s="8" t="s">
        <v>4472</v>
      </c>
      <c r="FC2134" s="8" t="s">
        <v>4473</v>
      </c>
      <c r="FD2134" s="8">
        <v>550</v>
      </c>
      <c r="FE2134" s="8">
        <v>55</v>
      </c>
    </row>
    <row r="2135" spans="158:161" ht="74.25" customHeight="1" x14ac:dyDescent="0.2">
      <c r="FB2135" s="8" t="s">
        <v>4474</v>
      </c>
      <c r="FC2135" s="8" t="s">
        <v>4475</v>
      </c>
      <c r="FD2135" s="8">
        <v>100</v>
      </c>
      <c r="FE2135" s="8">
        <v>10</v>
      </c>
    </row>
    <row r="2136" spans="158:161" ht="74.25" customHeight="1" x14ac:dyDescent="0.2">
      <c r="FB2136" s="8" t="s">
        <v>4476</v>
      </c>
      <c r="FC2136" s="8" t="s">
        <v>4477</v>
      </c>
      <c r="FD2136" s="8">
        <v>70</v>
      </c>
      <c r="FE2136" s="8">
        <v>7</v>
      </c>
    </row>
    <row r="2137" spans="158:161" ht="74.25" customHeight="1" x14ac:dyDescent="0.2">
      <c r="FB2137" s="8" t="s">
        <v>4478</v>
      </c>
      <c r="FC2137" s="8" t="s">
        <v>4479</v>
      </c>
      <c r="FD2137" s="8">
        <v>50</v>
      </c>
      <c r="FE2137" s="8">
        <v>5</v>
      </c>
    </row>
    <row r="2138" spans="158:161" ht="74.25" customHeight="1" x14ac:dyDescent="0.2">
      <c r="FB2138" s="8" t="s">
        <v>4480</v>
      </c>
      <c r="FC2138" s="8" t="s">
        <v>4481</v>
      </c>
      <c r="FD2138" s="8">
        <v>100</v>
      </c>
      <c r="FE2138" s="8">
        <v>10</v>
      </c>
    </row>
    <row r="2139" spans="158:161" ht="74.25" customHeight="1" x14ac:dyDescent="0.2">
      <c r="FB2139" s="8" t="s">
        <v>4482</v>
      </c>
      <c r="FC2139" s="8" t="s">
        <v>4483</v>
      </c>
      <c r="FD2139" s="8">
        <v>5</v>
      </c>
      <c r="FE2139" s="8">
        <v>0.5</v>
      </c>
    </row>
    <row r="2140" spans="158:161" ht="74.25" customHeight="1" x14ac:dyDescent="0.2">
      <c r="FB2140" s="8" t="s">
        <v>4484</v>
      </c>
      <c r="FC2140" s="8" t="s">
        <v>4485</v>
      </c>
      <c r="FD2140" s="8">
        <v>22</v>
      </c>
      <c r="FE2140" s="8">
        <v>14</v>
      </c>
    </row>
    <row r="2141" spans="158:161" ht="74.25" customHeight="1" x14ac:dyDescent="0.2">
      <c r="FB2141" s="8" t="s">
        <v>4486</v>
      </c>
      <c r="FC2141" s="8" t="s">
        <v>4487</v>
      </c>
      <c r="FD2141" s="8">
        <v>150</v>
      </c>
      <c r="FE2141" s="8">
        <v>15</v>
      </c>
    </row>
    <row r="2142" spans="158:161" ht="74.25" customHeight="1" x14ac:dyDescent="0.2">
      <c r="FB2142" s="8" t="s">
        <v>4488</v>
      </c>
      <c r="FC2142" s="8" t="s">
        <v>4489</v>
      </c>
      <c r="FD2142" s="8">
        <v>99</v>
      </c>
      <c r="FE2142" s="8">
        <v>9.9</v>
      </c>
    </row>
    <row r="2143" spans="158:161" ht="74.25" customHeight="1" x14ac:dyDescent="0.2">
      <c r="FB2143" s="8" t="s">
        <v>4490</v>
      </c>
      <c r="FC2143" s="8" t="s">
        <v>4491</v>
      </c>
      <c r="FD2143" s="8">
        <v>2200</v>
      </c>
      <c r="FE2143" s="8">
        <v>220</v>
      </c>
    </row>
    <row r="2144" spans="158:161" ht="74.25" customHeight="1" x14ac:dyDescent="0.2">
      <c r="FB2144" s="8" t="s">
        <v>4492</v>
      </c>
      <c r="FC2144" s="8" t="s">
        <v>9851</v>
      </c>
      <c r="FD2144" s="8">
        <v>100</v>
      </c>
      <c r="FE2144" s="8">
        <v>10</v>
      </c>
    </row>
    <row r="2145" spans="158:161" ht="74.25" customHeight="1" x14ac:dyDescent="0.2">
      <c r="FB2145" s="8" t="s">
        <v>4493</v>
      </c>
      <c r="FC2145" s="8" t="s">
        <v>4494</v>
      </c>
      <c r="FD2145" s="8">
        <v>2500</v>
      </c>
      <c r="FE2145" s="8">
        <v>250</v>
      </c>
    </row>
    <row r="2146" spans="158:161" ht="74.25" customHeight="1" x14ac:dyDescent="0.2">
      <c r="FB2146" s="8" t="s">
        <v>4495</v>
      </c>
      <c r="FC2146" s="8" t="s">
        <v>4496</v>
      </c>
      <c r="FD2146" s="8">
        <v>400</v>
      </c>
      <c r="FE2146" s="8">
        <v>40</v>
      </c>
    </row>
    <row r="2147" spans="158:161" ht="74.25" customHeight="1" x14ac:dyDescent="0.2">
      <c r="FB2147" s="8" t="s">
        <v>4497</v>
      </c>
      <c r="FC2147" s="8" t="s">
        <v>4498</v>
      </c>
      <c r="FD2147" s="8">
        <v>1000</v>
      </c>
      <c r="FE2147" s="8">
        <v>100</v>
      </c>
    </row>
    <row r="2148" spans="158:161" ht="74.25" customHeight="1" x14ac:dyDescent="0.2">
      <c r="FB2148" s="8" t="s">
        <v>4499</v>
      </c>
      <c r="FC2148" s="8" t="s">
        <v>4500</v>
      </c>
      <c r="FD2148" s="8">
        <v>10</v>
      </c>
      <c r="FE2148" s="8">
        <v>1</v>
      </c>
    </row>
    <row r="2149" spans="158:161" ht="74.25" customHeight="1" x14ac:dyDescent="0.2">
      <c r="FB2149" s="8" t="s">
        <v>4501</v>
      </c>
      <c r="FC2149" s="8" t="s">
        <v>4502</v>
      </c>
      <c r="FD2149" s="8">
        <v>280</v>
      </c>
      <c r="FE2149" s="8">
        <v>28</v>
      </c>
    </row>
    <row r="2150" spans="158:161" ht="74.25" customHeight="1" x14ac:dyDescent="0.2">
      <c r="FB2150" s="8" t="s">
        <v>4503</v>
      </c>
      <c r="FC2150" s="8" t="s">
        <v>4504</v>
      </c>
      <c r="FD2150" s="8">
        <v>1000</v>
      </c>
      <c r="FE2150" s="8">
        <v>100</v>
      </c>
    </row>
    <row r="2151" spans="158:161" ht="74.25" customHeight="1" x14ac:dyDescent="0.2">
      <c r="FB2151" s="8" t="s">
        <v>4505</v>
      </c>
      <c r="FC2151" s="8" t="s">
        <v>4506</v>
      </c>
      <c r="FD2151" s="8">
        <v>550</v>
      </c>
      <c r="FE2151" s="8">
        <v>55</v>
      </c>
    </row>
    <row r="2152" spans="158:161" ht="74.25" customHeight="1" x14ac:dyDescent="0.2">
      <c r="FB2152" s="8" t="s">
        <v>4507</v>
      </c>
      <c r="FC2152" s="8" t="s">
        <v>4508</v>
      </c>
      <c r="FD2152" s="8">
        <v>500</v>
      </c>
      <c r="FE2152" s="8">
        <v>50</v>
      </c>
    </row>
    <row r="2153" spans="158:161" ht="74.25" customHeight="1" x14ac:dyDescent="0.2">
      <c r="FB2153" s="8" t="s">
        <v>4509</v>
      </c>
      <c r="FC2153" s="8" t="s">
        <v>4510</v>
      </c>
      <c r="FD2153" s="8">
        <v>500</v>
      </c>
      <c r="FE2153" s="8">
        <v>50</v>
      </c>
    </row>
    <row r="2154" spans="158:161" ht="74.25" customHeight="1" x14ac:dyDescent="0.2">
      <c r="FB2154" s="8" t="s">
        <v>4511</v>
      </c>
      <c r="FC2154" s="8" t="s">
        <v>4512</v>
      </c>
      <c r="FD2154" s="8">
        <v>720</v>
      </c>
      <c r="FE2154" s="8">
        <v>72</v>
      </c>
    </row>
    <row r="2155" spans="158:161" ht="74.25" customHeight="1" x14ac:dyDescent="0.2">
      <c r="FB2155" s="8" t="s">
        <v>4513</v>
      </c>
      <c r="FC2155" s="8" t="s">
        <v>4514</v>
      </c>
      <c r="FD2155" s="8">
        <v>2900</v>
      </c>
      <c r="FE2155" s="8">
        <v>3700</v>
      </c>
    </row>
    <row r="2156" spans="158:161" ht="74.25" customHeight="1" x14ac:dyDescent="0.2">
      <c r="FB2156" s="8" t="s">
        <v>4515</v>
      </c>
      <c r="FC2156" s="8" t="s">
        <v>4516</v>
      </c>
      <c r="FD2156" s="8">
        <v>260</v>
      </c>
      <c r="FE2156" s="8">
        <v>26</v>
      </c>
    </row>
    <row r="2157" spans="158:161" ht="74.25" customHeight="1" x14ac:dyDescent="0.2">
      <c r="FB2157" s="8" t="s">
        <v>4517</v>
      </c>
      <c r="FC2157" s="8" t="s">
        <v>4518</v>
      </c>
      <c r="FD2157" s="8">
        <v>670</v>
      </c>
      <c r="FE2157" s="8">
        <v>67</v>
      </c>
    </row>
    <row r="2158" spans="158:161" ht="74.25" customHeight="1" x14ac:dyDescent="0.2">
      <c r="FB2158" s="8" t="s">
        <v>4519</v>
      </c>
      <c r="FC2158" s="8" t="s">
        <v>4520</v>
      </c>
      <c r="FD2158" s="8">
        <v>850</v>
      </c>
      <c r="FE2158" s="8">
        <v>85</v>
      </c>
    </row>
    <row r="2159" spans="158:161" ht="74.25" customHeight="1" x14ac:dyDescent="0.2">
      <c r="FB2159" s="8" t="s">
        <v>4521</v>
      </c>
      <c r="FC2159" s="8" t="s">
        <v>4522</v>
      </c>
      <c r="FD2159" s="8">
        <v>1130</v>
      </c>
      <c r="FE2159" s="8">
        <v>113</v>
      </c>
    </row>
    <row r="2160" spans="158:161" ht="74.25" customHeight="1" x14ac:dyDescent="0.2">
      <c r="FB2160" s="8" t="s">
        <v>4523</v>
      </c>
      <c r="FC2160" s="8" t="s">
        <v>4524</v>
      </c>
      <c r="FD2160" s="8">
        <v>1000</v>
      </c>
      <c r="FE2160" s="8">
        <v>100</v>
      </c>
    </row>
    <row r="2161" spans="158:161" ht="74.25" customHeight="1" x14ac:dyDescent="0.2">
      <c r="FB2161" s="8" t="s">
        <v>4525</v>
      </c>
      <c r="FC2161" s="8" t="s">
        <v>4526</v>
      </c>
      <c r="FD2161" s="8">
        <v>1330</v>
      </c>
      <c r="FE2161" s="8">
        <v>133</v>
      </c>
    </row>
    <row r="2162" spans="158:161" ht="74.25" customHeight="1" x14ac:dyDescent="0.2">
      <c r="FB2162" s="8" t="s">
        <v>4527</v>
      </c>
      <c r="FC2162" s="8" t="s">
        <v>4528</v>
      </c>
      <c r="FD2162" s="8">
        <v>270</v>
      </c>
      <c r="FE2162" s="8">
        <v>27</v>
      </c>
    </row>
    <row r="2163" spans="158:161" ht="74.25" customHeight="1" x14ac:dyDescent="0.2">
      <c r="FB2163" s="8" t="s">
        <v>4529</v>
      </c>
      <c r="FC2163" s="8" t="s">
        <v>4530</v>
      </c>
      <c r="FD2163" s="8">
        <v>300</v>
      </c>
      <c r="FE2163" s="8">
        <v>30</v>
      </c>
    </row>
    <row r="2164" spans="158:161" ht="74.25" customHeight="1" x14ac:dyDescent="0.2">
      <c r="FB2164" s="8" t="s">
        <v>4531</v>
      </c>
      <c r="FC2164" s="8" t="s">
        <v>4532</v>
      </c>
      <c r="FD2164" s="8">
        <v>500</v>
      </c>
      <c r="FE2164" s="8">
        <v>50</v>
      </c>
    </row>
    <row r="2165" spans="158:161" ht="74.25" customHeight="1" x14ac:dyDescent="0.2">
      <c r="FB2165" s="8" t="s">
        <v>4533</v>
      </c>
      <c r="FC2165" s="8" t="s">
        <v>4534</v>
      </c>
      <c r="FD2165" s="8">
        <v>290</v>
      </c>
      <c r="FE2165" s="8">
        <v>29</v>
      </c>
    </row>
    <row r="2166" spans="158:161" ht="74.25" customHeight="1" x14ac:dyDescent="0.2">
      <c r="FB2166" s="8" t="s">
        <v>4535</v>
      </c>
      <c r="FC2166" s="8" t="s">
        <v>4536</v>
      </c>
      <c r="FD2166" s="8">
        <v>1000</v>
      </c>
      <c r="FE2166" s="8">
        <v>100</v>
      </c>
    </row>
    <row r="2167" spans="158:161" ht="74.25" customHeight="1" x14ac:dyDescent="0.2">
      <c r="FB2167" s="8" t="s">
        <v>4537</v>
      </c>
      <c r="FC2167" s="8" t="s">
        <v>4538</v>
      </c>
      <c r="FD2167" s="8">
        <v>90</v>
      </c>
      <c r="FE2167" s="8">
        <v>9</v>
      </c>
    </row>
    <row r="2168" spans="158:161" ht="74.25" customHeight="1" x14ac:dyDescent="0.2">
      <c r="FB2168" s="8" t="s">
        <v>4539</v>
      </c>
      <c r="FC2168" s="8" t="s">
        <v>4540</v>
      </c>
      <c r="FD2168" s="8">
        <v>42</v>
      </c>
      <c r="FE2168" s="8">
        <v>4.2</v>
      </c>
    </row>
    <row r="2169" spans="158:161" ht="74.25" customHeight="1" x14ac:dyDescent="0.2">
      <c r="FB2169" s="8" t="s">
        <v>4541</v>
      </c>
      <c r="FC2169" s="8" t="s">
        <v>4542</v>
      </c>
      <c r="FD2169" s="8">
        <v>42</v>
      </c>
      <c r="FE2169" s="8">
        <v>4.2</v>
      </c>
    </row>
    <row r="2170" spans="158:161" ht="74.25" customHeight="1" x14ac:dyDescent="0.2">
      <c r="FB2170" s="8" t="s">
        <v>4543</v>
      </c>
      <c r="FC2170" s="8" t="s">
        <v>4544</v>
      </c>
      <c r="FD2170" s="8">
        <v>20</v>
      </c>
      <c r="FE2170" s="8">
        <v>2</v>
      </c>
    </row>
    <row r="2171" spans="158:161" ht="74.25" customHeight="1" x14ac:dyDescent="0.2">
      <c r="FB2171" s="8" t="s">
        <v>4545</v>
      </c>
      <c r="FC2171" s="8" t="s">
        <v>4546</v>
      </c>
      <c r="FD2171" s="8">
        <v>8600</v>
      </c>
      <c r="FE2171" s="8">
        <v>860</v>
      </c>
    </row>
    <row r="2172" spans="158:161" ht="74.25" customHeight="1" x14ac:dyDescent="0.2">
      <c r="FB2172" s="8" t="s">
        <v>4547</v>
      </c>
      <c r="FC2172" s="8" t="s">
        <v>4548</v>
      </c>
      <c r="FD2172" s="8">
        <v>30000</v>
      </c>
      <c r="FE2172" s="8">
        <v>3000</v>
      </c>
    </row>
    <row r="2173" spans="158:161" ht="74.25" customHeight="1" x14ac:dyDescent="0.2">
      <c r="FB2173" s="8" t="s">
        <v>4549</v>
      </c>
      <c r="FC2173" s="8" t="s">
        <v>9852</v>
      </c>
      <c r="FD2173" s="8">
        <v>450</v>
      </c>
      <c r="FE2173" s="8">
        <v>45</v>
      </c>
    </row>
    <row r="2174" spans="158:161" ht="74.25" customHeight="1" x14ac:dyDescent="0.2">
      <c r="FB2174" s="8" t="s">
        <v>4550</v>
      </c>
      <c r="FC2174" s="8" t="s">
        <v>4551</v>
      </c>
      <c r="FD2174" s="8">
        <v>5</v>
      </c>
      <c r="FE2174" s="8">
        <v>0.5</v>
      </c>
    </row>
    <row r="2175" spans="158:161" ht="74.25" customHeight="1" x14ac:dyDescent="0.2">
      <c r="FB2175" s="8" t="s">
        <v>4552</v>
      </c>
      <c r="FC2175" s="8" t="s">
        <v>4553</v>
      </c>
      <c r="FD2175" s="8">
        <v>1000</v>
      </c>
      <c r="FE2175" s="8">
        <v>100</v>
      </c>
    </row>
    <row r="2176" spans="158:161" ht="74.25" customHeight="1" x14ac:dyDescent="0.2">
      <c r="FB2176" s="8" t="s">
        <v>4554</v>
      </c>
      <c r="FC2176" s="8" t="s">
        <v>4555</v>
      </c>
      <c r="FD2176" s="8">
        <v>4.2</v>
      </c>
      <c r="FE2176" s="8">
        <v>0.42</v>
      </c>
    </row>
    <row r="2177" spans="158:161" ht="74.25" customHeight="1" x14ac:dyDescent="0.2">
      <c r="FB2177" s="8" t="s">
        <v>4556</v>
      </c>
      <c r="FC2177" s="8" t="s">
        <v>4557</v>
      </c>
      <c r="FD2177" s="8">
        <v>580</v>
      </c>
      <c r="FE2177" s="8">
        <v>58</v>
      </c>
    </row>
    <row r="2178" spans="158:161" ht="74.25" customHeight="1" x14ac:dyDescent="0.2">
      <c r="FB2178" s="8" t="s">
        <v>4558</v>
      </c>
      <c r="FC2178" s="8" t="s">
        <v>4559</v>
      </c>
      <c r="FD2178" s="8">
        <v>720</v>
      </c>
      <c r="FE2178" s="8">
        <v>72</v>
      </c>
    </row>
    <row r="2179" spans="158:161" ht="74.25" customHeight="1" x14ac:dyDescent="0.2">
      <c r="FB2179" s="8" t="s">
        <v>4560</v>
      </c>
      <c r="FC2179" s="8" t="s">
        <v>4561</v>
      </c>
      <c r="FD2179" s="8">
        <v>720</v>
      </c>
      <c r="FE2179" s="8">
        <v>72</v>
      </c>
    </row>
    <row r="2180" spans="158:161" ht="74.25" customHeight="1" x14ac:dyDescent="0.2">
      <c r="FB2180" s="8" t="s">
        <v>4562</v>
      </c>
      <c r="FC2180" s="8" t="s">
        <v>4563</v>
      </c>
      <c r="FD2180" s="8">
        <v>50</v>
      </c>
      <c r="FE2180" s="8">
        <v>5</v>
      </c>
    </row>
    <row r="2181" spans="158:161" ht="74.25" customHeight="1" x14ac:dyDescent="0.2">
      <c r="FB2181" s="8" t="s">
        <v>4564</v>
      </c>
      <c r="FC2181" s="8" t="s">
        <v>4565</v>
      </c>
      <c r="FD2181" s="8">
        <v>350</v>
      </c>
      <c r="FE2181" s="8">
        <v>35</v>
      </c>
    </row>
    <row r="2182" spans="158:161" ht="74.25" customHeight="1" x14ac:dyDescent="0.2">
      <c r="FB2182" s="8" t="s">
        <v>4566</v>
      </c>
      <c r="FC2182" s="8" t="s">
        <v>4567</v>
      </c>
      <c r="FD2182" s="8">
        <v>120</v>
      </c>
      <c r="FE2182" s="8">
        <v>12</v>
      </c>
    </row>
    <row r="2183" spans="158:161" ht="74.25" customHeight="1" x14ac:dyDescent="0.2">
      <c r="FB2183" s="8" t="s">
        <v>4568</v>
      </c>
      <c r="FC2183" s="8" t="s">
        <v>9853</v>
      </c>
      <c r="FD2183" s="8">
        <v>4300</v>
      </c>
      <c r="FE2183" s="8">
        <v>430</v>
      </c>
    </row>
    <row r="2184" spans="158:161" ht="74.25" customHeight="1" x14ac:dyDescent="0.2">
      <c r="FB2184" s="8" t="s">
        <v>4569</v>
      </c>
      <c r="FC2184" s="8" t="s">
        <v>4570</v>
      </c>
      <c r="FD2184" s="8">
        <v>100</v>
      </c>
      <c r="FE2184" s="8">
        <v>10</v>
      </c>
    </row>
    <row r="2185" spans="158:161" ht="74.25" customHeight="1" x14ac:dyDescent="0.2">
      <c r="FB2185" s="8" t="s">
        <v>4571</v>
      </c>
      <c r="FC2185" s="8" t="s">
        <v>4572</v>
      </c>
      <c r="FD2185" s="8">
        <v>50</v>
      </c>
      <c r="FE2185" s="8">
        <v>5</v>
      </c>
    </row>
    <row r="2186" spans="158:161" ht="74.25" customHeight="1" x14ac:dyDescent="0.2">
      <c r="FB2186" s="8" t="s">
        <v>4573</v>
      </c>
      <c r="FC2186" s="8" t="s">
        <v>4574</v>
      </c>
      <c r="FD2186" s="8">
        <v>100</v>
      </c>
      <c r="FE2186" s="8">
        <v>10</v>
      </c>
    </row>
    <row r="2187" spans="158:161" ht="74.25" customHeight="1" x14ac:dyDescent="0.2">
      <c r="FB2187" s="8" t="s">
        <v>4575</v>
      </c>
      <c r="FC2187" s="8" t="s">
        <v>4576</v>
      </c>
      <c r="FD2187" s="8">
        <v>120</v>
      </c>
      <c r="FE2187" s="8">
        <v>12</v>
      </c>
    </row>
    <row r="2188" spans="158:161" ht="74.25" customHeight="1" x14ac:dyDescent="0.2">
      <c r="FB2188" s="8" t="s">
        <v>4577</v>
      </c>
      <c r="FC2188" s="8" t="s">
        <v>4578</v>
      </c>
      <c r="FD2188" s="8">
        <v>3400</v>
      </c>
      <c r="FE2188" s="8">
        <v>340</v>
      </c>
    </row>
    <row r="2189" spans="158:161" ht="74.25" customHeight="1" x14ac:dyDescent="0.2">
      <c r="FB2189" s="8" t="s">
        <v>4579</v>
      </c>
      <c r="FC2189" s="8" t="s">
        <v>9854</v>
      </c>
      <c r="FD2189" s="8">
        <v>4300</v>
      </c>
      <c r="FE2189" s="8">
        <v>430</v>
      </c>
    </row>
    <row r="2190" spans="158:161" ht="74.25" customHeight="1" x14ac:dyDescent="0.2">
      <c r="FB2190" s="8" t="s">
        <v>4580</v>
      </c>
      <c r="FC2190" s="8" t="s">
        <v>9855</v>
      </c>
      <c r="FD2190" s="8">
        <v>40</v>
      </c>
      <c r="FE2190" s="8">
        <v>4</v>
      </c>
    </row>
    <row r="2191" spans="158:161" ht="74.25" customHeight="1" x14ac:dyDescent="0.2">
      <c r="FB2191" s="8" t="s">
        <v>4581</v>
      </c>
      <c r="FC2191" s="8" t="s">
        <v>4582</v>
      </c>
      <c r="FD2191" s="8">
        <v>50</v>
      </c>
      <c r="FE2191" s="8">
        <v>5</v>
      </c>
    </row>
    <row r="2192" spans="158:161" ht="74.25" customHeight="1" x14ac:dyDescent="0.2">
      <c r="FB2192" s="8" t="s">
        <v>4583</v>
      </c>
      <c r="FC2192" s="8" t="s">
        <v>4584</v>
      </c>
      <c r="FD2192" s="8">
        <v>4300</v>
      </c>
      <c r="FE2192" s="8">
        <v>430</v>
      </c>
    </row>
    <row r="2193" spans="158:161" ht="74.25" customHeight="1" x14ac:dyDescent="0.2">
      <c r="FB2193" s="8" t="s">
        <v>4585</v>
      </c>
      <c r="FC2193" s="8" t="s">
        <v>4586</v>
      </c>
      <c r="FD2193" s="8">
        <v>50</v>
      </c>
      <c r="FE2193" s="8">
        <v>5</v>
      </c>
    </row>
    <row r="2194" spans="158:161" ht="74.25" customHeight="1" x14ac:dyDescent="0.2">
      <c r="FB2194" s="8" t="s">
        <v>4587</v>
      </c>
      <c r="FC2194" s="8" t="s">
        <v>9856</v>
      </c>
      <c r="FD2194" s="8">
        <v>4300</v>
      </c>
      <c r="FE2194" s="8">
        <v>430</v>
      </c>
    </row>
    <row r="2195" spans="158:161" ht="74.25" customHeight="1" x14ac:dyDescent="0.2">
      <c r="FB2195" s="8" t="s">
        <v>4588</v>
      </c>
      <c r="FC2195" s="8" t="s">
        <v>4589</v>
      </c>
      <c r="FD2195" s="8">
        <v>460</v>
      </c>
      <c r="FE2195" s="8">
        <v>46</v>
      </c>
    </row>
    <row r="2196" spans="158:161" ht="74.25" customHeight="1" x14ac:dyDescent="0.2">
      <c r="FB2196" s="8" t="s">
        <v>4590</v>
      </c>
      <c r="FC2196" s="8" t="s">
        <v>4591</v>
      </c>
      <c r="FD2196" s="8">
        <v>140</v>
      </c>
      <c r="FE2196" s="8">
        <v>14</v>
      </c>
    </row>
    <row r="2197" spans="158:161" ht="74.25" customHeight="1" x14ac:dyDescent="0.2">
      <c r="FB2197" s="8" t="s">
        <v>4592</v>
      </c>
      <c r="FC2197" s="8" t="s">
        <v>4593</v>
      </c>
      <c r="FD2197" s="8">
        <v>8500</v>
      </c>
      <c r="FE2197" s="8">
        <v>850</v>
      </c>
    </row>
    <row r="2198" spans="158:161" ht="74.25" customHeight="1" x14ac:dyDescent="0.2">
      <c r="FB2198" s="8" t="s">
        <v>4594</v>
      </c>
      <c r="FC2198" s="8" t="s">
        <v>4595</v>
      </c>
      <c r="FD2198" s="8">
        <v>2300</v>
      </c>
      <c r="FE2198" s="8">
        <v>230</v>
      </c>
    </row>
    <row r="2199" spans="158:161" ht="74.25" customHeight="1" x14ac:dyDescent="0.2">
      <c r="FB2199" s="8" t="s">
        <v>4596</v>
      </c>
      <c r="FC2199" s="8" t="s">
        <v>4597</v>
      </c>
      <c r="FD2199" s="8">
        <v>800</v>
      </c>
      <c r="FE2199" s="8">
        <v>80</v>
      </c>
    </row>
    <row r="2200" spans="158:161" ht="74.25" customHeight="1" x14ac:dyDescent="0.2">
      <c r="FB2200" s="8" t="s">
        <v>4598</v>
      </c>
      <c r="FC2200" s="8" t="s">
        <v>4599</v>
      </c>
      <c r="FD2200" s="8">
        <v>100</v>
      </c>
      <c r="FE2200" s="8">
        <v>10</v>
      </c>
    </row>
    <row r="2201" spans="158:161" ht="74.25" customHeight="1" x14ac:dyDescent="0.2">
      <c r="FB2201" s="8" t="s">
        <v>4600</v>
      </c>
      <c r="FC2201" s="8" t="s">
        <v>4601</v>
      </c>
      <c r="FD2201" s="8">
        <v>13</v>
      </c>
      <c r="FE2201" s="8">
        <v>1.3</v>
      </c>
    </row>
    <row r="2202" spans="158:161" ht="74.25" customHeight="1" x14ac:dyDescent="0.2">
      <c r="FB2202" s="8" t="s">
        <v>4602</v>
      </c>
      <c r="FC2202" s="8" t="s">
        <v>4603</v>
      </c>
      <c r="FD2202" s="8">
        <v>260</v>
      </c>
      <c r="FE2202" s="8">
        <v>5.4</v>
      </c>
    </row>
    <row r="2203" spans="158:161" ht="74.25" customHeight="1" x14ac:dyDescent="0.2">
      <c r="FB2203" s="8" t="s">
        <v>4604</v>
      </c>
      <c r="FC2203" s="8" t="s">
        <v>4604</v>
      </c>
      <c r="FD2203" s="8">
        <v>2450</v>
      </c>
      <c r="FE2203" s="8">
        <v>245</v>
      </c>
    </row>
    <row r="2204" spans="158:161" ht="74.25" customHeight="1" x14ac:dyDescent="0.2">
      <c r="FB2204" s="8" t="s">
        <v>4605</v>
      </c>
      <c r="FC2204" s="8" t="s">
        <v>4606</v>
      </c>
      <c r="FD2204" s="8">
        <v>2450</v>
      </c>
      <c r="FE2204" s="8">
        <v>245</v>
      </c>
    </row>
    <row r="2205" spans="158:161" ht="74.25" customHeight="1" x14ac:dyDescent="0.2">
      <c r="FB2205" s="8" t="s">
        <v>4607</v>
      </c>
      <c r="FC2205" s="8" t="s">
        <v>4608</v>
      </c>
      <c r="FD2205" s="8">
        <v>1200</v>
      </c>
      <c r="FE2205" s="8">
        <v>120</v>
      </c>
    </row>
    <row r="2206" spans="158:161" ht="74.25" customHeight="1" x14ac:dyDescent="0.2">
      <c r="FB2206" s="8" t="s">
        <v>4609</v>
      </c>
      <c r="FC2206" s="8" t="s">
        <v>9857</v>
      </c>
      <c r="FD2206" s="8">
        <v>700</v>
      </c>
      <c r="FE2206" s="8">
        <v>70</v>
      </c>
    </row>
    <row r="2207" spans="158:161" ht="74.25" customHeight="1" x14ac:dyDescent="0.2">
      <c r="FB2207" s="8" t="s">
        <v>4610</v>
      </c>
      <c r="FC2207" s="8" t="s">
        <v>4611</v>
      </c>
      <c r="FD2207" s="8">
        <v>100</v>
      </c>
      <c r="FE2207" s="8">
        <v>10</v>
      </c>
    </row>
    <row r="2208" spans="158:161" ht="74.25" customHeight="1" x14ac:dyDescent="0.2">
      <c r="FB2208" s="8" t="s">
        <v>4612</v>
      </c>
      <c r="FC2208" s="8" t="s">
        <v>4613</v>
      </c>
      <c r="FD2208" s="8">
        <v>1000</v>
      </c>
      <c r="FE2208" s="8">
        <v>100</v>
      </c>
    </row>
    <row r="2209" spans="158:161" ht="74.25" customHeight="1" x14ac:dyDescent="0.2">
      <c r="FB2209" s="8" t="s">
        <v>4614</v>
      </c>
      <c r="FC2209" s="8" t="s">
        <v>4615</v>
      </c>
      <c r="FD2209" s="8">
        <v>1000</v>
      </c>
      <c r="FE2209" s="8">
        <v>100</v>
      </c>
    </row>
    <row r="2210" spans="158:161" ht="74.25" customHeight="1" x14ac:dyDescent="0.2">
      <c r="FB2210" s="8" t="s">
        <v>4616</v>
      </c>
      <c r="FC2210" s="8" t="s">
        <v>4617</v>
      </c>
      <c r="FD2210" s="8">
        <v>31000</v>
      </c>
      <c r="FE2210" s="8">
        <v>3100</v>
      </c>
    </row>
    <row r="2211" spans="158:161" ht="74.25" customHeight="1" x14ac:dyDescent="0.2">
      <c r="FB2211" s="8" t="s">
        <v>4618</v>
      </c>
      <c r="FC2211" s="8" t="s">
        <v>4619</v>
      </c>
      <c r="FD2211" s="8">
        <v>360</v>
      </c>
      <c r="FE2211" s="8">
        <v>36</v>
      </c>
    </row>
    <row r="2212" spans="158:161" ht="74.25" customHeight="1" x14ac:dyDescent="0.2">
      <c r="FB2212" s="8" t="s">
        <v>4620</v>
      </c>
      <c r="FC2212" s="8" t="s">
        <v>4621</v>
      </c>
      <c r="FD2212" s="8">
        <v>160</v>
      </c>
      <c r="FE2212" s="8">
        <v>16</v>
      </c>
    </row>
    <row r="2213" spans="158:161" ht="74.25" customHeight="1" x14ac:dyDescent="0.2">
      <c r="FB2213" s="8" t="s">
        <v>4622</v>
      </c>
      <c r="FC2213" s="8" t="s">
        <v>9858</v>
      </c>
      <c r="FD2213" s="8">
        <v>4300</v>
      </c>
      <c r="FE2213" s="8">
        <v>430</v>
      </c>
    </row>
    <row r="2214" spans="158:161" ht="74.25" customHeight="1" x14ac:dyDescent="0.2">
      <c r="FB2214" s="8" t="s">
        <v>4623</v>
      </c>
      <c r="FC2214" s="8" t="s">
        <v>4624</v>
      </c>
      <c r="FD2214" s="8">
        <v>14</v>
      </c>
      <c r="FE2214" s="8">
        <v>1.4</v>
      </c>
    </row>
    <row r="2215" spans="158:161" ht="74.25" customHeight="1" x14ac:dyDescent="0.2">
      <c r="FB2215" s="8" t="s">
        <v>4625</v>
      </c>
      <c r="FC2215" s="8" t="s">
        <v>4626</v>
      </c>
      <c r="FD2215" s="8">
        <v>500</v>
      </c>
      <c r="FE2215" s="8">
        <v>50</v>
      </c>
    </row>
    <row r="2216" spans="158:161" ht="74.25" customHeight="1" x14ac:dyDescent="0.2">
      <c r="FB2216" s="8" t="s">
        <v>4627</v>
      </c>
      <c r="FC2216" s="8" t="s">
        <v>4628</v>
      </c>
      <c r="FD2216" s="8">
        <v>100</v>
      </c>
      <c r="FE2216" s="8">
        <v>10</v>
      </c>
    </row>
    <row r="2217" spans="158:161" ht="74.25" customHeight="1" x14ac:dyDescent="0.2">
      <c r="FB2217" s="8" t="s">
        <v>4629</v>
      </c>
      <c r="FC2217" s="8" t="s">
        <v>4630</v>
      </c>
      <c r="FD2217" s="8">
        <v>20</v>
      </c>
      <c r="FE2217" s="8">
        <v>2</v>
      </c>
    </row>
    <row r="2218" spans="158:161" ht="74.25" customHeight="1" x14ac:dyDescent="0.2">
      <c r="FB2218" s="8" t="s">
        <v>4631</v>
      </c>
      <c r="FC2218" s="8" t="s">
        <v>4632</v>
      </c>
      <c r="FD2218" s="8">
        <v>19000</v>
      </c>
      <c r="FE2218" s="8">
        <v>1900</v>
      </c>
    </row>
    <row r="2219" spans="158:161" ht="74.25" customHeight="1" x14ac:dyDescent="0.2">
      <c r="FB2219" s="8" t="s">
        <v>4633</v>
      </c>
      <c r="FC2219" s="8" t="s">
        <v>4634</v>
      </c>
      <c r="FD2219" s="8">
        <v>100</v>
      </c>
      <c r="FE2219" s="8">
        <v>10</v>
      </c>
    </row>
    <row r="2220" spans="158:161" ht="74.25" customHeight="1" x14ac:dyDescent="0.2">
      <c r="FB2220" s="8" t="s">
        <v>4635</v>
      </c>
      <c r="FC2220" s="8" t="s">
        <v>4636</v>
      </c>
      <c r="FD2220" s="8">
        <v>100</v>
      </c>
      <c r="FE2220" s="8">
        <v>10</v>
      </c>
    </row>
    <row r="2221" spans="158:161" ht="74.25" customHeight="1" x14ac:dyDescent="0.2">
      <c r="FB2221" s="8" t="s">
        <v>4637</v>
      </c>
      <c r="FC2221" s="8" t="s">
        <v>4638</v>
      </c>
      <c r="FD2221" s="8">
        <v>1000</v>
      </c>
      <c r="FE2221" s="8">
        <v>100</v>
      </c>
    </row>
    <row r="2222" spans="158:161" ht="74.25" customHeight="1" x14ac:dyDescent="0.2">
      <c r="FB2222" s="8" t="s">
        <v>4639</v>
      </c>
      <c r="FC2222" s="8" t="s">
        <v>4640</v>
      </c>
      <c r="FD2222" s="8">
        <v>100</v>
      </c>
      <c r="FE2222" s="8">
        <v>10</v>
      </c>
    </row>
    <row r="2223" spans="158:161" ht="74.25" customHeight="1" x14ac:dyDescent="0.2">
      <c r="FB2223" s="8" t="s">
        <v>4641</v>
      </c>
      <c r="FC2223" s="8" t="s">
        <v>4641</v>
      </c>
      <c r="FD2223" s="8">
        <v>3500</v>
      </c>
      <c r="FE2223" s="8">
        <v>350</v>
      </c>
    </row>
    <row r="2224" spans="158:161" ht="74.25" customHeight="1" x14ac:dyDescent="0.2">
      <c r="FB2224" s="8" t="s">
        <v>4642</v>
      </c>
      <c r="FC2224" s="8" t="s">
        <v>4643</v>
      </c>
      <c r="FD2224" s="8">
        <v>50</v>
      </c>
      <c r="FE2224" s="8">
        <v>5</v>
      </c>
    </row>
    <row r="2225" spans="158:161" ht="74.25" customHeight="1" x14ac:dyDescent="0.2">
      <c r="FB2225" s="8" t="s">
        <v>4644</v>
      </c>
      <c r="FC2225" s="8" t="s">
        <v>4645</v>
      </c>
      <c r="FD2225" s="8">
        <v>750</v>
      </c>
      <c r="FE2225" s="8">
        <v>75</v>
      </c>
    </row>
    <row r="2226" spans="158:161" ht="74.25" customHeight="1" x14ac:dyDescent="0.2">
      <c r="FB2226" s="8" t="s">
        <v>4646</v>
      </c>
      <c r="FC2226" s="8" t="s">
        <v>4647</v>
      </c>
      <c r="FD2226" s="8">
        <v>100</v>
      </c>
      <c r="FE2226" s="8">
        <v>10</v>
      </c>
    </row>
    <row r="2227" spans="158:161" ht="74.25" customHeight="1" x14ac:dyDescent="0.2">
      <c r="FB2227" s="8" t="s">
        <v>4648</v>
      </c>
      <c r="FC2227" s="8" t="s">
        <v>4649</v>
      </c>
      <c r="FD2227" s="8">
        <v>100</v>
      </c>
      <c r="FE2227" s="8">
        <v>10</v>
      </c>
    </row>
    <row r="2228" spans="158:161" ht="74.25" customHeight="1" x14ac:dyDescent="0.2">
      <c r="FB2228" s="8" t="s">
        <v>4650</v>
      </c>
      <c r="FC2228" s="8" t="s">
        <v>4651</v>
      </c>
      <c r="FD2228" s="8">
        <v>5</v>
      </c>
      <c r="FE2228" s="8">
        <v>0.5</v>
      </c>
    </row>
    <row r="2229" spans="158:161" ht="74.25" customHeight="1" x14ac:dyDescent="0.2">
      <c r="FB2229" s="8" t="s">
        <v>4652</v>
      </c>
      <c r="FC2229" s="8" t="s">
        <v>4653</v>
      </c>
      <c r="FD2229" s="8">
        <v>7.6</v>
      </c>
      <c r="FE2229" s="8">
        <v>25</v>
      </c>
    </row>
    <row r="2230" spans="158:161" ht="74.25" customHeight="1" x14ac:dyDescent="0.2">
      <c r="FB2230" s="8" t="s">
        <v>4654</v>
      </c>
      <c r="FC2230" s="8" t="s">
        <v>4655</v>
      </c>
      <c r="FD2230" s="8">
        <v>1000</v>
      </c>
      <c r="FE2230" s="8">
        <v>100</v>
      </c>
    </row>
    <row r="2231" spans="158:161" ht="74.25" customHeight="1" x14ac:dyDescent="0.2">
      <c r="FB2231" s="8" t="s">
        <v>4656</v>
      </c>
      <c r="FC2231" s="8" t="s">
        <v>4657</v>
      </c>
      <c r="FD2231" s="8">
        <v>1600</v>
      </c>
      <c r="FE2231" s="8">
        <v>160</v>
      </c>
    </row>
    <row r="2232" spans="158:161" ht="74.25" customHeight="1" x14ac:dyDescent="0.2">
      <c r="FB2232" s="8" t="s">
        <v>4658</v>
      </c>
      <c r="FC2232" s="8" t="s">
        <v>4659</v>
      </c>
      <c r="FD2232" s="8">
        <v>50</v>
      </c>
      <c r="FE2232" s="8">
        <v>5</v>
      </c>
    </row>
    <row r="2233" spans="158:161" ht="74.25" customHeight="1" x14ac:dyDescent="0.2">
      <c r="FB2233" s="8" t="s">
        <v>4660</v>
      </c>
      <c r="FC2233" s="8" t="s">
        <v>4661</v>
      </c>
      <c r="FD2233" s="8">
        <v>20</v>
      </c>
      <c r="FE2233" s="8">
        <v>2</v>
      </c>
    </row>
    <row r="2234" spans="158:161" ht="74.25" customHeight="1" x14ac:dyDescent="0.2">
      <c r="FB2234" s="8" t="s">
        <v>4662</v>
      </c>
      <c r="FC2234" s="8" t="s">
        <v>4663</v>
      </c>
      <c r="FD2234" s="8">
        <v>1000</v>
      </c>
      <c r="FE2234" s="8">
        <v>100</v>
      </c>
    </row>
    <row r="2235" spans="158:161" ht="74.25" customHeight="1" x14ac:dyDescent="0.2">
      <c r="FB2235" s="8" t="s">
        <v>4664</v>
      </c>
      <c r="FC2235" s="8" t="s">
        <v>4665</v>
      </c>
      <c r="FD2235" s="8">
        <v>360</v>
      </c>
      <c r="FE2235" s="8">
        <v>36</v>
      </c>
    </row>
    <row r="2236" spans="158:161" ht="74.25" customHeight="1" x14ac:dyDescent="0.2">
      <c r="FB2236" s="8" t="s">
        <v>4666</v>
      </c>
      <c r="FC2236" s="8" t="s">
        <v>4667</v>
      </c>
      <c r="FD2236" s="8">
        <v>10</v>
      </c>
      <c r="FE2236" s="8">
        <v>1</v>
      </c>
    </row>
    <row r="2237" spans="158:161" ht="74.25" customHeight="1" x14ac:dyDescent="0.2">
      <c r="FB2237" s="8" t="s">
        <v>4668</v>
      </c>
      <c r="FC2237" s="8" t="s">
        <v>4669</v>
      </c>
      <c r="FD2237" s="8">
        <v>100</v>
      </c>
      <c r="FE2237" s="8">
        <v>10</v>
      </c>
    </row>
    <row r="2238" spans="158:161" ht="74.25" customHeight="1" x14ac:dyDescent="0.2">
      <c r="FB2238" s="8" t="s">
        <v>4670</v>
      </c>
      <c r="FC2238" s="8" t="s">
        <v>4671</v>
      </c>
      <c r="FD2238" s="8">
        <v>90</v>
      </c>
      <c r="FE2238" s="8">
        <v>9</v>
      </c>
    </row>
    <row r="2239" spans="158:161" ht="74.25" customHeight="1" x14ac:dyDescent="0.2">
      <c r="FB2239" s="8" t="s">
        <v>4672</v>
      </c>
      <c r="FC2239" s="8" t="s">
        <v>4673</v>
      </c>
      <c r="FD2239" s="8">
        <v>17</v>
      </c>
      <c r="FE2239" s="8">
        <v>1.7</v>
      </c>
    </row>
    <row r="2240" spans="158:161" ht="74.25" customHeight="1" x14ac:dyDescent="0.2">
      <c r="FB2240" s="8" t="s">
        <v>4674</v>
      </c>
      <c r="FC2240" s="8" t="s">
        <v>4675</v>
      </c>
      <c r="FD2240" s="8">
        <v>130</v>
      </c>
      <c r="FE2240" s="8">
        <v>13</v>
      </c>
    </row>
    <row r="2241" spans="158:161" ht="74.25" customHeight="1" x14ac:dyDescent="0.2">
      <c r="FB2241" s="8" t="s">
        <v>4676</v>
      </c>
      <c r="FC2241" s="8" t="s">
        <v>4677</v>
      </c>
      <c r="FD2241" s="8">
        <v>200</v>
      </c>
      <c r="FE2241" s="8">
        <v>20</v>
      </c>
    </row>
    <row r="2242" spans="158:161" ht="74.25" customHeight="1" x14ac:dyDescent="0.2">
      <c r="FB2242" s="8" t="s">
        <v>4678</v>
      </c>
      <c r="FC2242" s="8" t="s">
        <v>4679</v>
      </c>
      <c r="FD2242" s="8">
        <v>600</v>
      </c>
      <c r="FE2242" s="8">
        <v>60</v>
      </c>
    </row>
    <row r="2243" spans="158:161" ht="74.25" customHeight="1" x14ac:dyDescent="0.2">
      <c r="FB2243" s="8" t="s">
        <v>4680</v>
      </c>
      <c r="FC2243" s="8" t="s">
        <v>4681</v>
      </c>
      <c r="FD2243" s="8">
        <v>0.2</v>
      </c>
      <c r="FE2243" s="8">
        <v>0.02</v>
      </c>
    </row>
    <row r="2244" spans="158:161" ht="74.25" customHeight="1" x14ac:dyDescent="0.2">
      <c r="FB2244" s="8" t="s">
        <v>4682</v>
      </c>
      <c r="FC2244" s="8" t="s">
        <v>4682</v>
      </c>
      <c r="FD2244" s="8">
        <v>3500</v>
      </c>
      <c r="FE2244" s="8">
        <v>350</v>
      </c>
    </row>
    <row r="2245" spans="158:161" ht="74.25" customHeight="1" x14ac:dyDescent="0.2">
      <c r="FB2245" s="8" t="s">
        <v>4683</v>
      </c>
      <c r="FC2245" s="8" t="s">
        <v>4684</v>
      </c>
      <c r="FD2245" s="8">
        <v>180</v>
      </c>
      <c r="FE2245" s="8">
        <v>92</v>
      </c>
    </row>
    <row r="2246" spans="158:161" ht="74.25" customHeight="1" x14ac:dyDescent="0.2">
      <c r="FB2246" s="8" t="s">
        <v>4685</v>
      </c>
      <c r="FC2246" s="8" t="s">
        <v>4686</v>
      </c>
      <c r="FD2246" s="8">
        <v>20</v>
      </c>
      <c r="FE2246" s="8">
        <v>2</v>
      </c>
    </row>
    <row r="2247" spans="158:161" ht="74.25" customHeight="1" x14ac:dyDescent="0.2">
      <c r="FB2247" s="8" t="s">
        <v>4687</v>
      </c>
      <c r="FC2247" s="8" t="s">
        <v>4688</v>
      </c>
      <c r="FD2247" s="8">
        <v>2450</v>
      </c>
      <c r="FE2247" s="8">
        <v>245</v>
      </c>
    </row>
    <row r="2248" spans="158:161" ht="74.25" customHeight="1" x14ac:dyDescent="0.2">
      <c r="FB2248" s="8" t="s">
        <v>4689</v>
      </c>
      <c r="FC2248" s="8" t="s">
        <v>4690</v>
      </c>
      <c r="FD2248" s="8">
        <v>300</v>
      </c>
      <c r="FE2248" s="8">
        <v>30</v>
      </c>
    </row>
    <row r="2249" spans="158:161" ht="74.25" customHeight="1" x14ac:dyDescent="0.2">
      <c r="FB2249" s="8" t="s">
        <v>4691</v>
      </c>
      <c r="FC2249" s="8" t="s">
        <v>4692</v>
      </c>
      <c r="FD2249" s="8">
        <v>260</v>
      </c>
      <c r="FE2249" s="8">
        <v>5.4</v>
      </c>
    </row>
    <row r="2250" spans="158:161" ht="74.25" customHeight="1" x14ac:dyDescent="0.2">
      <c r="FB2250" s="8" t="s">
        <v>4693</v>
      </c>
      <c r="FC2250" s="8" t="s">
        <v>4694</v>
      </c>
      <c r="FD2250" s="8">
        <v>200</v>
      </c>
      <c r="FE2250" s="8">
        <v>20</v>
      </c>
    </row>
    <row r="2251" spans="158:161" ht="74.25" customHeight="1" x14ac:dyDescent="0.2">
      <c r="FB2251" s="8" t="s">
        <v>4695</v>
      </c>
      <c r="FC2251" s="8" t="s">
        <v>4696</v>
      </c>
      <c r="FD2251" s="8">
        <v>100</v>
      </c>
      <c r="FE2251" s="8">
        <v>10</v>
      </c>
    </row>
    <row r="2252" spans="158:161" ht="74.25" customHeight="1" x14ac:dyDescent="0.2">
      <c r="FB2252" s="8" t="s">
        <v>4697</v>
      </c>
      <c r="FC2252" s="8" t="s">
        <v>4698</v>
      </c>
      <c r="FD2252" s="8">
        <v>600</v>
      </c>
      <c r="FE2252" s="8">
        <v>60</v>
      </c>
    </row>
    <row r="2253" spans="158:161" ht="74.25" customHeight="1" x14ac:dyDescent="0.2">
      <c r="FB2253" s="8" t="s">
        <v>4699</v>
      </c>
      <c r="FC2253" s="8" t="s">
        <v>4700</v>
      </c>
      <c r="FD2253" s="8">
        <v>60</v>
      </c>
      <c r="FE2253" s="8">
        <v>6</v>
      </c>
    </row>
    <row r="2254" spans="158:161" ht="74.25" customHeight="1" x14ac:dyDescent="0.2">
      <c r="FB2254" s="8" t="s">
        <v>4701</v>
      </c>
      <c r="FC2254" s="8" t="s">
        <v>4702</v>
      </c>
      <c r="FD2254" s="8">
        <v>610</v>
      </c>
      <c r="FE2254" s="8">
        <v>61</v>
      </c>
    </row>
    <row r="2255" spans="158:161" ht="74.25" customHeight="1" x14ac:dyDescent="0.2">
      <c r="FB2255" s="8" t="s">
        <v>4703</v>
      </c>
      <c r="FC2255" s="8" t="s">
        <v>4704</v>
      </c>
      <c r="FD2255" s="8">
        <v>200</v>
      </c>
      <c r="FE2255" s="8">
        <v>20</v>
      </c>
    </row>
    <row r="2256" spans="158:161" ht="74.25" customHeight="1" x14ac:dyDescent="0.2">
      <c r="FB2256" s="8" t="s">
        <v>4705</v>
      </c>
      <c r="FC2256" s="8" t="s">
        <v>4706</v>
      </c>
      <c r="FD2256" s="8">
        <v>100</v>
      </c>
      <c r="FE2256" s="8">
        <v>10</v>
      </c>
    </row>
    <row r="2257" spans="158:161" ht="74.25" customHeight="1" x14ac:dyDescent="0.2">
      <c r="FB2257" s="8" t="s">
        <v>4707</v>
      </c>
      <c r="FC2257" s="8" t="s">
        <v>4708</v>
      </c>
      <c r="FD2257" s="8">
        <v>1000</v>
      </c>
      <c r="FE2257" s="8">
        <v>100</v>
      </c>
    </row>
    <row r="2258" spans="158:161" ht="74.25" customHeight="1" x14ac:dyDescent="0.2">
      <c r="FB2258" s="8" t="s">
        <v>4709</v>
      </c>
      <c r="FC2258" s="8" t="s">
        <v>4710</v>
      </c>
      <c r="FD2258" s="8">
        <v>400</v>
      </c>
      <c r="FE2258" s="8">
        <v>40</v>
      </c>
    </row>
    <row r="2259" spans="158:161" ht="74.25" customHeight="1" x14ac:dyDescent="0.2">
      <c r="FB2259" s="8" t="s">
        <v>4711</v>
      </c>
      <c r="FC2259" s="8" t="s">
        <v>4712</v>
      </c>
      <c r="FD2259" s="8">
        <v>34</v>
      </c>
      <c r="FE2259" s="8">
        <v>3.4</v>
      </c>
    </row>
    <row r="2260" spans="158:161" ht="74.25" customHeight="1" x14ac:dyDescent="0.2">
      <c r="FB2260" s="8" t="s">
        <v>4713</v>
      </c>
      <c r="FC2260" s="8" t="s">
        <v>4713</v>
      </c>
      <c r="FD2260" s="8">
        <v>10</v>
      </c>
      <c r="FE2260" s="8">
        <v>1</v>
      </c>
    </row>
    <row r="2261" spans="158:161" ht="74.25" customHeight="1" x14ac:dyDescent="0.2">
      <c r="FB2261" s="8" t="s">
        <v>4714</v>
      </c>
      <c r="FC2261" s="8" t="s">
        <v>4715</v>
      </c>
      <c r="FD2261" s="8">
        <v>60</v>
      </c>
      <c r="FE2261" s="8">
        <v>6</v>
      </c>
    </row>
    <row r="2262" spans="158:161" ht="74.25" customHeight="1" x14ac:dyDescent="0.2">
      <c r="FB2262" s="8" t="s">
        <v>4716</v>
      </c>
      <c r="FC2262" s="8" t="s">
        <v>4717</v>
      </c>
      <c r="FD2262" s="8">
        <v>2</v>
      </c>
      <c r="FE2262" s="8">
        <v>0.2</v>
      </c>
    </row>
    <row r="2263" spans="158:161" ht="74.25" customHeight="1" x14ac:dyDescent="0.2">
      <c r="FB2263" s="8" t="s">
        <v>4718</v>
      </c>
      <c r="FC2263" s="8" t="s">
        <v>4719</v>
      </c>
      <c r="FD2263" s="8">
        <v>50</v>
      </c>
      <c r="FE2263" s="8">
        <v>5</v>
      </c>
    </row>
    <row r="2264" spans="158:161" ht="74.25" customHeight="1" x14ac:dyDescent="0.2">
      <c r="FB2264" s="8" t="s">
        <v>4720</v>
      </c>
      <c r="FC2264" s="8" t="s">
        <v>4721</v>
      </c>
      <c r="FD2264" s="8">
        <v>600</v>
      </c>
      <c r="FE2264" s="8">
        <v>60</v>
      </c>
    </row>
    <row r="2265" spans="158:161" ht="74.25" customHeight="1" x14ac:dyDescent="0.2">
      <c r="FB2265" s="8" t="s">
        <v>4722</v>
      </c>
      <c r="FC2265" s="8" t="s">
        <v>9859</v>
      </c>
      <c r="FD2265" s="8">
        <v>700</v>
      </c>
      <c r="FE2265" s="8">
        <v>70</v>
      </c>
    </row>
    <row r="2266" spans="158:161" ht="74.25" customHeight="1" x14ac:dyDescent="0.2">
      <c r="FB2266" s="8" t="s">
        <v>4723</v>
      </c>
      <c r="FC2266" s="8" t="s">
        <v>4724</v>
      </c>
      <c r="FD2266" s="8">
        <v>8</v>
      </c>
      <c r="FE2266" s="8">
        <v>0.8</v>
      </c>
    </row>
    <row r="2267" spans="158:161" ht="74.25" customHeight="1" x14ac:dyDescent="0.2">
      <c r="FB2267" s="8" t="s">
        <v>4725</v>
      </c>
      <c r="FC2267" s="8" t="s">
        <v>4726</v>
      </c>
      <c r="FD2267" s="8">
        <v>50</v>
      </c>
      <c r="FE2267" s="8">
        <v>5</v>
      </c>
    </row>
    <row r="2268" spans="158:161" ht="74.25" customHeight="1" x14ac:dyDescent="0.2">
      <c r="FB2268" s="8" t="s">
        <v>4727</v>
      </c>
      <c r="FC2268" s="8" t="s">
        <v>4728</v>
      </c>
      <c r="FD2268" s="8">
        <v>100</v>
      </c>
      <c r="FE2268" s="8">
        <v>10</v>
      </c>
    </row>
    <row r="2269" spans="158:161" ht="74.25" customHeight="1" x14ac:dyDescent="0.2">
      <c r="FB2269" s="8" t="s">
        <v>4729</v>
      </c>
      <c r="FC2269" s="8" t="s">
        <v>4730</v>
      </c>
      <c r="FD2269" s="8">
        <v>140</v>
      </c>
      <c r="FE2269" s="8">
        <v>14</v>
      </c>
    </row>
    <row r="2270" spans="158:161" ht="74.25" customHeight="1" x14ac:dyDescent="0.2">
      <c r="FB2270" s="8" t="s">
        <v>4731</v>
      </c>
      <c r="FC2270" s="8" t="s">
        <v>4732</v>
      </c>
      <c r="FD2270" s="8">
        <v>50</v>
      </c>
      <c r="FE2270" s="8">
        <v>5</v>
      </c>
    </row>
    <row r="2271" spans="158:161" ht="74.25" customHeight="1" x14ac:dyDescent="0.2">
      <c r="FB2271" s="8" t="s">
        <v>4733</v>
      </c>
      <c r="FC2271" s="8" t="s">
        <v>4734</v>
      </c>
      <c r="FD2271" s="8">
        <v>160</v>
      </c>
      <c r="FE2271" s="8">
        <v>16</v>
      </c>
    </row>
    <row r="2272" spans="158:161" ht="74.25" customHeight="1" x14ac:dyDescent="0.2">
      <c r="FB2272" s="8" t="s">
        <v>4735</v>
      </c>
      <c r="FC2272" s="8" t="s">
        <v>4736</v>
      </c>
      <c r="FD2272" s="8">
        <v>100</v>
      </c>
      <c r="FE2272" s="8">
        <v>10</v>
      </c>
    </row>
    <row r="2273" spans="158:161" ht="74.25" customHeight="1" x14ac:dyDescent="0.2">
      <c r="FB2273" s="8" t="s">
        <v>4737</v>
      </c>
      <c r="FC2273" s="8" t="s">
        <v>4738</v>
      </c>
      <c r="FD2273" s="8">
        <v>1</v>
      </c>
      <c r="FE2273" s="8">
        <v>0.1</v>
      </c>
    </row>
    <row r="2274" spans="158:161" ht="74.25" customHeight="1" x14ac:dyDescent="0.2">
      <c r="FB2274" s="8" t="s">
        <v>4739</v>
      </c>
      <c r="FC2274" s="8" t="s">
        <v>4740</v>
      </c>
      <c r="FD2274" s="8">
        <v>10</v>
      </c>
      <c r="FE2274" s="8">
        <v>1</v>
      </c>
    </row>
    <row r="2275" spans="158:161" ht="74.25" customHeight="1" x14ac:dyDescent="0.2">
      <c r="FB2275" s="8" t="s">
        <v>4741</v>
      </c>
      <c r="FC2275" s="8" t="s">
        <v>4742</v>
      </c>
      <c r="FD2275" s="8">
        <v>1100</v>
      </c>
      <c r="FE2275" s="8">
        <v>110</v>
      </c>
    </row>
    <row r="2276" spans="158:161" ht="74.25" customHeight="1" x14ac:dyDescent="0.2">
      <c r="FB2276" s="8" t="s">
        <v>4743</v>
      </c>
      <c r="FC2276" s="8" t="s">
        <v>4744</v>
      </c>
      <c r="FD2276" s="8">
        <v>50</v>
      </c>
      <c r="FE2276" s="8">
        <v>5</v>
      </c>
    </row>
    <row r="2277" spans="158:161" ht="74.25" customHeight="1" x14ac:dyDescent="0.2">
      <c r="FB2277" s="8" t="s">
        <v>4745</v>
      </c>
      <c r="FC2277" s="8" t="s">
        <v>4746</v>
      </c>
      <c r="FD2277" s="8">
        <v>20</v>
      </c>
      <c r="FE2277" s="8">
        <v>2</v>
      </c>
    </row>
    <row r="2278" spans="158:161" ht="74.25" customHeight="1" x14ac:dyDescent="0.2">
      <c r="FB2278" s="8" t="s">
        <v>4747</v>
      </c>
      <c r="FC2278" s="8" t="s">
        <v>4748</v>
      </c>
      <c r="FD2278" s="8">
        <v>70</v>
      </c>
      <c r="FE2278" s="8">
        <v>7</v>
      </c>
    </row>
    <row r="2279" spans="158:161" ht="74.25" customHeight="1" x14ac:dyDescent="0.2">
      <c r="FB2279" s="8" t="s">
        <v>9903</v>
      </c>
      <c r="FC2279" s="8" t="s">
        <v>9860</v>
      </c>
      <c r="FD2279" s="8">
        <v>1000</v>
      </c>
      <c r="FE2279" s="8">
        <v>100</v>
      </c>
    </row>
    <row r="2280" spans="158:161" ht="74.25" customHeight="1" x14ac:dyDescent="0.2">
      <c r="FB2280" s="8" t="s">
        <v>4749</v>
      </c>
      <c r="FC2280" s="8" t="s">
        <v>9861</v>
      </c>
      <c r="FD2280" s="8">
        <v>610</v>
      </c>
      <c r="FE2280" s="8">
        <v>61</v>
      </c>
    </row>
    <row r="2281" spans="158:161" ht="74.25" customHeight="1" x14ac:dyDescent="0.2">
      <c r="FB2281" s="8" t="s">
        <v>4750</v>
      </c>
      <c r="FC2281" s="8" t="s">
        <v>4751</v>
      </c>
      <c r="FD2281" s="8">
        <v>1000</v>
      </c>
      <c r="FE2281" s="8">
        <v>100</v>
      </c>
    </row>
    <row r="2282" spans="158:161" ht="74.25" customHeight="1" x14ac:dyDescent="0.2">
      <c r="FB2282" s="8" t="s">
        <v>9904</v>
      </c>
      <c r="FC2282" s="8" t="s">
        <v>9862</v>
      </c>
      <c r="FD2282" s="8">
        <v>125</v>
      </c>
      <c r="FE2282" s="8">
        <v>12.5</v>
      </c>
    </row>
    <row r="2283" spans="158:161" ht="74.25" customHeight="1" x14ac:dyDescent="0.2">
      <c r="FB2283" s="8" t="s">
        <v>4752</v>
      </c>
      <c r="FC2283" s="8" t="s">
        <v>4753</v>
      </c>
      <c r="FD2283" s="8">
        <v>2.2999999999999998</v>
      </c>
      <c r="FE2283" s="8">
        <v>0.23</v>
      </c>
    </row>
    <row r="2284" spans="158:161" ht="74.25" customHeight="1" x14ac:dyDescent="0.2">
      <c r="FB2284" s="8" t="s">
        <v>4754</v>
      </c>
      <c r="FC2284" s="8" t="s">
        <v>4755</v>
      </c>
      <c r="FD2284" s="8">
        <v>140</v>
      </c>
      <c r="FE2284" s="8">
        <v>14</v>
      </c>
    </row>
    <row r="2285" spans="158:161" ht="74.25" customHeight="1" x14ac:dyDescent="0.2">
      <c r="FB2285" s="8" t="s">
        <v>4756</v>
      </c>
      <c r="FC2285" s="8" t="s">
        <v>4757</v>
      </c>
      <c r="FD2285" s="8">
        <v>2500</v>
      </c>
      <c r="FE2285" s="8">
        <v>250</v>
      </c>
    </row>
    <row r="2286" spans="158:161" ht="74.25" customHeight="1" x14ac:dyDescent="0.2">
      <c r="FB2286" s="8" t="s">
        <v>4758</v>
      </c>
      <c r="FC2286" s="8" t="s">
        <v>4759</v>
      </c>
      <c r="FD2286" s="8">
        <v>2300</v>
      </c>
      <c r="FE2286" s="8">
        <v>230</v>
      </c>
    </row>
    <row r="2287" spans="158:161" ht="74.25" customHeight="1" x14ac:dyDescent="0.2">
      <c r="FB2287" s="8" t="s">
        <v>4760</v>
      </c>
      <c r="FC2287" s="8" t="s">
        <v>4761</v>
      </c>
      <c r="FD2287" s="8">
        <v>110</v>
      </c>
      <c r="FE2287" s="8">
        <v>14</v>
      </c>
    </row>
    <row r="2288" spans="158:161" ht="74.25" customHeight="1" x14ac:dyDescent="0.2">
      <c r="FB2288" s="8" t="s">
        <v>4762</v>
      </c>
      <c r="FC2288" s="8" t="s">
        <v>4763</v>
      </c>
      <c r="FD2288" s="8">
        <v>200</v>
      </c>
      <c r="FE2288" s="8">
        <v>20</v>
      </c>
    </row>
    <row r="2289" spans="158:161" ht="74.25" customHeight="1" x14ac:dyDescent="0.2">
      <c r="FB2289" s="8" t="s">
        <v>4764</v>
      </c>
      <c r="FC2289" s="8" t="s">
        <v>4765</v>
      </c>
      <c r="FD2289" s="8">
        <v>1250</v>
      </c>
      <c r="FE2289" s="8">
        <v>125</v>
      </c>
    </row>
    <row r="2290" spans="158:161" ht="74.25" customHeight="1" x14ac:dyDescent="0.2">
      <c r="FB2290" s="8" t="s">
        <v>4766</v>
      </c>
      <c r="FC2290" s="8" t="s">
        <v>4767</v>
      </c>
      <c r="FD2290" s="8">
        <v>1200</v>
      </c>
      <c r="FE2290" s="8">
        <v>120</v>
      </c>
    </row>
    <row r="2291" spans="158:161" ht="74.25" customHeight="1" x14ac:dyDescent="0.2">
      <c r="FB2291" s="8" t="s">
        <v>4768</v>
      </c>
      <c r="FC2291" s="8" t="s">
        <v>4769</v>
      </c>
      <c r="FD2291" s="8">
        <v>330</v>
      </c>
      <c r="FE2291" s="8">
        <v>33</v>
      </c>
    </row>
    <row r="2292" spans="158:161" ht="74.25" customHeight="1" x14ac:dyDescent="0.2">
      <c r="FB2292" s="8" t="s">
        <v>4770</v>
      </c>
      <c r="FC2292" s="8" t="s">
        <v>4771</v>
      </c>
      <c r="FD2292" s="8">
        <v>220</v>
      </c>
      <c r="FE2292" s="8">
        <v>22</v>
      </c>
    </row>
    <row r="2293" spans="158:161" ht="74.25" customHeight="1" x14ac:dyDescent="0.2">
      <c r="FB2293" s="8" t="s">
        <v>4772</v>
      </c>
      <c r="FC2293" s="8" t="s">
        <v>4773</v>
      </c>
      <c r="FD2293" s="8">
        <v>1000</v>
      </c>
      <c r="FE2293" s="8">
        <v>100</v>
      </c>
    </row>
    <row r="2294" spans="158:161" ht="74.25" customHeight="1" x14ac:dyDescent="0.2">
      <c r="FB2294" s="8" t="s">
        <v>4774</v>
      </c>
      <c r="FC2294" s="8" t="s">
        <v>4775</v>
      </c>
      <c r="FD2294" s="8">
        <v>1000</v>
      </c>
      <c r="FE2294" s="8">
        <v>100</v>
      </c>
    </row>
    <row r="2295" spans="158:161" ht="74.25" customHeight="1" x14ac:dyDescent="0.2">
      <c r="FB2295" s="8" t="s">
        <v>9905</v>
      </c>
      <c r="FC2295" s="8" t="s">
        <v>9863</v>
      </c>
      <c r="FD2295" s="8">
        <v>220</v>
      </c>
      <c r="FE2295" s="8">
        <v>22</v>
      </c>
    </row>
    <row r="2296" spans="158:161" ht="74.25" customHeight="1" x14ac:dyDescent="0.2">
      <c r="FB2296" s="8" t="s">
        <v>4776</v>
      </c>
      <c r="FC2296" s="8" t="s">
        <v>4777</v>
      </c>
      <c r="FD2296" s="8">
        <v>2200</v>
      </c>
      <c r="FE2296" s="8">
        <v>220</v>
      </c>
    </row>
    <row r="2297" spans="158:161" ht="74.25" customHeight="1" x14ac:dyDescent="0.2">
      <c r="FB2297" s="8" t="s">
        <v>4778</v>
      </c>
      <c r="FC2297" s="8" t="s">
        <v>4779</v>
      </c>
      <c r="FD2297" s="8">
        <v>3100</v>
      </c>
      <c r="FE2297" s="8">
        <v>310</v>
      </c>
    </row>
    <row r="2298" spans="158:161" ht="74.25" customHeight="1" x14ac:dyDescent="0.2">
      <c r="FB2298" s="8" t="s">
        <v>4780</v>
      </c>
      <c r="FC2298" s="8" t="s">
        <v>4781</v>
      </c>
      <c r="FD2298" s="8">
        <v>3100</v>
      </c>
      <c r="FE2298" s="8">
        <v>310</v>
      </c>
    </row>
    <row r="2299" spans="158:161" ht="74.25" customHeight="1" x14ac:dyDescent="0.2">
      <c r="FB2299" s="8" t="s">
        <v>4782</v>
      </c>
      <c r="FC2299" s="8" t="s">
        <v>4783</v>
      </c>
      <c r="FD2299" s="8">
        <v>1000</v>
      </c>
      <c r="FE2299" s="8">
        <v>100</v>
      </c>
    </row>
    <row r="2300" spans="158:161" ht="74.25" customHeight="1" x14ac:dyDescent="0.2">
      <c r="FB2300" s="8" t="s">
        <v>4784</v>
      </c>
      <c r="FC2300" s="8" t="s">
        <v>4785</v>
      </c>
      <c r="FD2300" s="8">
        <v>1000</v>
      </c>
      <c r="FE2300" s="8">
        <v>100</v>
      </c>
    </row>
    <row r="2301" spans="158:161" ht="74.25" customHeight="1" x14ac:dyDescent="0.2">
      <c r="FB2301" s="8" t="s">
        <v>4786</v>
      </c>
      <c r="FC2301" s="8" t="s">
        <v>4787</v>
      </c>
      <c r="FD2301" s="8">
        <v>1860</v>
      </c>
      <c r="FE2301" s="8">
        <v>186</v>
      </c>
    </row>
    <row r="2302" spans="158:161" ht="74.25" customHeight="1" x14ac:dyDescent="0.2">
      <c r="FB2302" s="8" t="s">
        <v>4788</v>
      </c>
      <c r="FC2302" s="8" t="s">
        <v>4789</v>
      </c>
      <c r="FD2302" s="8">
        <v>30</v>
      </c>
      <c r="FE2302" s="8">
        <v>3</v>
      </c>
    </row>
    <row r="2303" spans="158:161" ht="74.25" customHeight="1" x14ac:dyDescent="0.2">
      <c r="FB2303" s="8" t="s">
        <v>4790</v>
      </c>
      <c r="FC2303" s="8" t="s">
        <v>4791</v>
      </c>
      <c r="FD2303" s="8">
        <v>1</v>
      </c>
      <c r="FE2303" s="8">
        <v>0.1</v>
      </c>
    </row>
    <row r="2304" spans="158:161" ht="74.25" customHeight="1" x14ac:dyDescent="0.2">
      <c r="FB2304" s="8" t="s">
        <v>4792</v>
      </c>
      <c r="FC2304" s="8" t="s">
        <v>4793</v>
      </c>
      <c r="FD2304" s="8">
        <v>1</v>
      </c>
      <c r="FE2304" s="8">
        <v>0.1</v>
      </c>
    </row>
    <row r="2305" spans="158:161" ht="74.25" customHeight="1" x14ac:dyDescent="0.2">
      <c r="FB2305" s="8" t="s">
        <v>4794</v>
      </c>
      <c r="FC2305" s="8" t="s">
        <v>4795</v>
      </c>
      <c r="FD2305" s="8">
        <v>1</v>
      </c>
      <c r="FE2305" s="8">
        <v>0.1</v>
      </c>
    </row>
    <row r="2306" spans="158:161" ht="74.25" customHeight="1" x14ac:dyDescent="0.2">
      <c r="FB2306" s="8" t="s">
        <v>4796</v>
      </c>
      <c r="FC2306" s="8" t="s">
        <v>4797</v>
      </c>
      <c r="FD2306" s="8">
        <v>90</v>
      </c>
      <c r="FE2306" s="8">
        <v>9</v>
      </c>
    </row>
    <row r="2307" spans="158:161" ht="74.25" customHeight="1" x14ac:dyDescent="0.2">
      <c r="FB2307" s="8" t="s">
        <v>4798</v>
      </c>
      <c r="FC2307" s="8" t="s">
        <v>4799</v>
      </c>
      <c r="FD2307" s="8">
        <v>70</v>
      </c>
      <c r="FE2307" s="8">
        <v>7</v>
      </c>
    </row>
    <row r="2308" spans="158:161" ht="74.25" customHeight="1" x14ac:dyDescent="0.2">
      <c r="FB2308" s="8" t="s">
        <v>4800</v>
      </c>
      <c r="FC2308" s="8" t="s">
        <v>4801</v>
      </c>
      <c r="FD2308" s="8">
        <v>1000</v>
      </c>
      <c r="FE2308" s="8">
        <v>100</v>
      </c>
    </row>
    <row r="2309" spans="158:161" ht="74.25" customHeight="1" x14ac:dyDescent="0.2">
      <c r="FB2309" s="8" t="s">
        <v>4802</v>
      </c>
      <c r="FC2309" s="8" t="s">
        <v>4803</v>
      </c>
      <c r="FD2309" s="8">
        <v>1000</v>
      </c>
      <c r="FE2309" s="8">
        <v>100</v>
      </c>
    </row>
    <row r="2310" spans="158:161" ht="74.25" customHeight="1" x14ac:dyDescent="0.2">
      <c r="FB2310" s="8" t="s">
        <v>4804</v>
      </c>
      <c r="FC2310" s="8" t="s">
        <v>4805</v>
      </c>
      <c r="FD2310" s="8">
        <v>50</v>
      </c>
      <c r="FE2310" s="8">
        <v>5</v>
      </c>
    </row>
    <row r="2311" spans="158:161" ht="74.25" customHeight="1" x14ac:dyDescent="0.2">
      <c r="FB2311" s="8" t="s">
        <v>4806</v>
      </c>
      <c r="FC2311" s="8" t="s">
        <v>4807</v>
      </c>
      <c r="FD2311" s="8">
        <v>100</v>
      </c>
      <c r="FE2311" s="8">
        <v>10</v>
      </c>
    </row>
    <row r="2312" spans="158:161" ht="74.25" customHeight="1" x14ac:dyDescent="0.2">
      <c r="FB2312" s="8" t="s">
        <v>4808</v>
      </c>
      <c r="FC2312" s="8" t="s">
        <v>4809</v>
      </c>
      <c r="FD2312" s="8">
        <v>600</v>
      </c>
      <c r="FE2312" s="8">
        <v>60</v>
      </c>
    </row>
    <row r="2313" spans="158:161" ht="74.25" customHeight="1" x14ac:dyDescent="0.2">
      <c r="FB2313" s="8" t="s">
        <v>4810</v>
      </c>
      <c r="FC2313" s="8" t="s">
        <v>4810</v>
      </c>
      <c r="FD2313" s="8">
        <v>1000</v>
      </c>
      <c r="FE2313" s="8">
        <v>100</v>
      </c>
    </row>
    <row r="2314" spans="158:161" ht="74.25" customHeight="1" x14ac:dyDescent="0.2">
      <c r="FB2314" s="8" t="s">
        <v>4811</v>
      </c>
      <c r="FC2314" s="8" t="s">
        <v>4812</v>
      </c>
      <c r="FD2314" s="8">
        <v>3500</v>
      </c>
      <c r="FE2314" s="8">
        <v>350</v>
      </c>
    </row>
    <row r="2315" spans="158:161" ht="74.25" customHeight="1" x14ac:dyDescent="0.2">
      <c r="FB2315" s="8" t="s">
        <v>4813</v>
      </c>
      <c r="FC2315" s="8" t="s">
        <v>4814</v>
      </c>
      <c r="FD2315" s="8">
        <v>1000</v>
      </c>
      <c r="FE2315" s="8">
        <v>100</v>
      </c>
    </row>
    <row r="2316" spans="158:161" ht="74.25" customHeight="1" x14ac:dyDescent="0.2">
      <c r="FB2316" s="8" t="s">
        <v>4815</v>
      </c>
      <c r="FC2316" s="8" t="s">
        <v>4816</v>
      </c>
      <c r="FD2316" s="8">
        <v>1000</v>
      </c>
      <c r="FE2316" s="8">
        <v>100</v>
      </c>
    </row>
    <row r="2317" spans="158:161" ht="74.25" customHeight="1" x14ac:dyDescent="0.2">
      <c r="FB2317" s="8" t="s">
        <v>4817</v>
      </c>
      <c r="FC2317" s="8" t="s">
        <v>4818</v>
      </c>
      <c r="FD2317" s="8">
        <v>1000</v>
      </c>
      <c r="FE2317" s="8">
        <v>100</v>
      </c>
    </row>
    <row r="2318" spans="158:161" ht="74.25" customHeight="1" x14ac:dyDescent="0.2">
      <c r="FB2318" s="8" t="s">
        <v>4819</v>
      </c>
      <c r="FC2318" s="8" t="s">
        <v>4820</v>
      </c>
      <c r="FD2318" s="8">
        <v>260</v>
      </c>
      <c r="FE2318" s="8">
        <v>26</v>
      </c>
    </row>
    <row r="2319" spans="158:161" ht="74.25" customHeight="1" x14ac:dyDescent="0.2">
      <c r="FB2319" s="8" t="s">
        <v>4821</v>
      </c>
      <c r="FC2319" s="8" t="s">
        <v>4822</v>
      </c>
      <c r="FD2319" s="8">
        <v>1250</v>
      </c>
      <c r="FE2319" s="8">
        <v>125</v>
      </c>
    </row>
    <row r="2320" spans="158:161" ht="74.25" customHeight="1" x14ac:dyDescent="0.2">
      <c r="FB2320" s="8" t="s">
        <v>4823</v>
      </c>
      <c r="FC2320" s="8" t="s">
        <v>4824</v>
      </c>
      <c r="FD2320" s="8">
        <v>3500</v>
      </c>
      <c r="FE2320" s="8">
        <v>350</v>
      </c>
    </row>
    <row r="2321" spans="158:161" ht="74.25" customHeight="1" x14ac:dyDescent="0.2">
      <c r="FB2321" s="8" t="s">
        <v>4825</v>
      </c>
      <c r="FC2321" s="8" t="s">
        <v>4826</v>
      </c>
      <c r="FD2321" s="8">
        <v>3500</v>
      </c>
      <c r="FE2321" s="8">
        <v>350</v>
      </c>
    </row>
    <row r="2322" spans="158:161" ht="74.25" customHeight="1" x14ac:dyDescent="0.2">
      <c r="FB2322" s="8" t="s">
        <v>4827</v>
      </c>
      <c r="FC2322" s="8" t="s">
        <v>4828</v>
      </c>
      <c r="FD2322" s="8">
        <v>3500</v>
      </c>
      <c r="FE2322" s="8">
        <v>350</v>
      </c>
    </row>
    <row r="2323" spans="158:161" ht="74.25" customHeight="1" x14ac:dyDescent="0.2">
      <c r="FB2323" s="8" t="s">
        <v>4829</v>
      </c>
      <c r="FC2323" s="8" t="s">
        <v>4830</v>
      </c>
      <c r="FD2323" s="8">
        <v>1000</v>
      </c>
      <c r="FE2323" s="8">
        <v>100</v>
      </c>
    </row>
    <row r="2324" spans="158:161" ht="74.25" customHeight="1" x14ac:dyDescent="0.2">
      <c r="FB2324" s="8" t="s">
        <v>4831</v>
      </c>
      <c r="FC2324" s="8" t="s">
        <v>4832</v>
      </c>
      <c r="FD2324" s="8">
        <v>3500</v>
      </c>
      <c r="FE2324" s="8">
        <v>350</v>
      </c>
    </row>
    <row r="2325" spans="158:161" ht="74.25" customHeight="1" x14ac:dyDescent="0.2">
      <c r="FB2325" s="8" t="s">
        <v>4833</v>
      </c>
      <c r="FC2325" s="8" t="s">
        <v>4834</v>
      </c>
      <c r="FD2325" s="8">
        <v>3500</v>
      </c>
      <c r="FE2325" s="8">
        <v>350</v>
      </c>
    </row>
    <row r="2326" spans="158:161" ht="74.25" customHeight="1" x14ac:dyDescent="0.2">
      <c r="FB2326" s="8" t="s">
        <v>4835</v>
      </c>
      <c r="FC2326" s="8" t="s">
        <v>4836</v>
      </c>
      <c r="FD2326" s="8">
        <v>3500</v>
      </c>
      <c r="FE2326" s="8">
        <v>350</v>
      </c>
    </row>
    <row r="2327" spans="158:161" ht="74.25" customHeight="1" x14ac:dyDescent="0.2">
      <c r="FB2327" s="8" t="s">
        <v>4837</v>
      </c>
      <c r="FC2327" s="8" t="s">
        <v>4838</v>
      </c>
      <c r="FD2327" s="8">
        <v>1000</v>
      </c>
      <c r="FE2327" s="8">
        <v>100</v>
      </c>
    </row>
    <row r="2328" spans="158:161" ht="74.25" customHeight="1" x14ac:dyDescent="0.2">
      <c r="FB2328" s="8" t="s">
        <v>4839</v>
      </c>
      <c r="FC2328" s="8" t="s">
        <v>4840</v>
      </c>
      <c r="FD2328" s="8">
        <v>1250</v>
      </c>
      <c r="FE2328" s="8">
        <v>125</v>
      </c>
    </row>
    <row r="2329" spans="158:161" ht="74.25" customHeight="1" x14ac:dyDescent="0.2">
      <c r="FB2329" s="8" t="s">
        <v>4841</v>
      </c>
      <c r="FC2329" s="8" t="s">
        <v>4842</v>
      </c>
      <c r="FD2329" s="8">
        <v>3500</v>
      </c>
      <c r="FE2329" s="8">
        <v>350</v>
      </c>
    </row>
    <row r="2330" spans="158:161" ht="74.25" customHeight="1" x14ac:dyDescent="0.2">
      <c r="FB2330" s="8" t="s">
        <v>4843</v>
      </c>
      <c r="FC2330" s="8" t="s">
        <v>4844</v>
      </c>
      <c r="FD2330" s="8">
        <v>1250</v>
      </c>
      <c r="FE2330" s="8">
        <v>125</v>
      </c>
    </row>
    <row r="2331" spans="158:161" ht="74.25" customHeight="1" x14ac:dyDescent="0.2">
      <c r="FB2331" s="8" t="s">
        <v>4845</v>
      </c>
      <c r="FC2331" s="8" t="s">
        <v>4846</v>
      </c>
      <c r="FD2331" s="8">
        <v>2450</v>
      </c>
      <c r="FE2331" s="8">
        <v>245</v>
      </c>
    </row>
    <row r="2332" spans="158:161" ht="74.25" customHeight="1" x14ac:dyDescent="0.2">
      <c r="FB2332" s="8" t="s">
        <v>4847</v>
      </c>
      <c r="FC2332" s="8" t="s">
        <v>4848</v>
      </c>
      <c r="FD2332" s="8">
        <v>3500</v>
      </c>
      <c r="FE2332" s="8">
        <v>350</v>
      </c>
    </row>
    <row r="2333" spans="158:161" ht="74.25" customHeight="1" x14ac:dyDescent="0.2">
      <c r="FB2333" s="8" t="s">
        <v>4849</v>
      </c>
      <c r="FC2333" s="8" t="s">
        <v>4849</v>
      </c>
      <c r="FD2333" s="8">
        <v>20</v>
      </c>
      <c r="FE2333" s="8">
        <v>2</v>
      </c>
    </row>
    <row r="2334" spans="158:161" ht="74.25" customHeight="1" x14ac:dyDescent="0.2">
      <c r="FB2334" s="8" t="s">
        <v>9906</v>
      </c>
      <c r="FC2334" s="8" t="s">
        <v>9906</v>
      </c>
      <c r="FD2334" s="8">
        <v>600</v>
      </c>
      <c r="FE2334" s="8">
        <v>60</v>
      </c>
    </row>
    <row r="2335" spans="158:161" ht="74.25" customHeight="1" x14ac:dyDescent="0.2">
      <c r="FB2335" s="8" t="s">
        <v>4850</v>
      </c>
      <c r="FC2335" s="8" t="s">
        <v>4851</v>
      </c>
      <c r="FD2335" s="8">
        <v>0.5</v>
      </c>
      <c r="FE2335" s="8">
        <v>0.05</v>
      </c>
    </row>
    <row r="2336" spans="158:161" ht="74.25" customHeight="1" x14ac:dyDescent="0.2">
      <c r="FB2336" s="8" t="s">
        <v>4852</v>
      </c>
      <c r="FC2336" s="8" t="s">
        <v>4853</v>
      </c>
      <c r="FD2336" s="8">
        <v>100</v>
      </c>
      <c r="FE2336" s="8">
        <v>10</v>
      </c>
    </row>
    <row r="2337" spans="158:161" ht="74.25" customHeight="1" x14ac:dyDescent="0.2">
      <c r="FB2337" s="8" t="s">
        <v>4854</v>
      </c>
      <c r="FC2337" s="8" t="s">
        <v>4855</v>
      </c>
      <c r="FD2337" s="8">
        <v>700</v>
      </c>
      <c r="FE2337" s="8">
        <v>70</v>
      </c>
    </row>
    <row r="2338" spans="158:161" ht="74.25" customHeight="1" x14ac:dyDescent="0.2">
      <c r="FB2338" s="8" t="s">
        <v>4856</v>
      </c>
      <c r="FC2338" s="8" t="s">
        <v>4857</v>
      </c>
      <c r="FD2338" s="8">
        <v>21000</v>
      </c>
      <c r="FE2338" s="8">
        <v>2100</v>
      </c>
    </row>
    <row r="2339" spans="158:161" ht="74.25" customHeight="1" x14ac:dyDescent="0.2">
      <c r="FB2339" s="8" t="s">
        <v>4858</v>
      </c>
      <c r="FC2339" s="8" t="s">
        <v>4859</v>
      </c>
      <c r="FD2339" s="8">
        <v>10</v>
      </c>
      <c r="FE2339" s="8">
        <v>1</v>
      </c>
    </row>
    <row r="2340" spans="158:161" ht="74.25" customHeight="1" x14ac:dyDescent="0.2">
      <c r="FB2340" s="8" t="s">
        <v>4860</v>
      </c>
      <c r="FC2340" s="8" t="s">
        <v>4861</v>
      </c>
      <c r="FD2340" s="8">
        <v>140</v>
      </c>
      <c r="FE2340" s="8">
        <v>14</v>
      </c>
    </row>
    <row r="2341" spans="158:161" ht="74.25" customHeight="1" x14ac:dyDescent="0.2">
      <c r="FB2341" s="8" t="s">
        <v>4862</v>
      </c>
      <c r="FC2341" s="8" t="s">
        <v>4862</v>
      </c>
      <c r="FD2341" s="8">
        <v>70</v>
      </c>
      <c r="FE2341" s="8">
        <v>7</v>
      </c>
    </row>
    <row r="2342" spans="158:161" ht="74.25" customHeight="1" x14ac:dyDescent="0.2">
      <c r="FB2342" s="8" t="s">
        <v>4863</v>
      </c>
      <c r="FC2342" s="8" t="s">
        <v>4864</v>
      </c>
      <c r="FD2342" s="8">
        <v>50</v>
      </c>
      <c r="FE2342" s="8">
        <v>5</v>
      </c>
    </row>
    <row r="2343" spans="158:161" ht="74.25" customHeight="1" x14ac:dyDescent="0.2">
      <c r="FB2343" s="8" t="s">
        <v>4865</v>
      </c>
      <c r="FC2343" s="8" t="s">
        <v>4866</v>
      </c>
      <c r="FD2343" s="8">
        <v>50</v>
      </c>
      <c r="FE2343" s="8">
        <v>5</v>
      </c>
    </row>
    <row r="2344" spans="158:161" ht="74.25" customHeight="1" x14ac:dyDescent="0.2">
      <c r="FB2344" s="8" t="s">
        <v>4867</v>
      </c>
      <c r="FC2344" s="8" t="s">
        <v>4868</v>
      </c>
      <c r="FD2344" s="8">
        <v>530</v>
      </c>
      <c r="FE2344" s="8">
        <v>53</v>
      </c>
    </row>
    <row r="2345" spans="158:161" ht="74.25" customHeight="1" x14ac:dyDescent="0.2">
      <c r="FB2345" s="8" t="s">
        <v>4869</v>
      </c>
      <c r="FC2345" s="8" t="s">
        <v>4870</v>
      </c>
      <c r="FD2345" s="8">
        <v>1100</v>
      </c>
      <c r="FE2345" s="8">
        <v>110</v>
      </c>
    </row>
    <row r="2346" spans="158:161" ht="74.25" customHeight="1" x14ac:dyDescent="0.2">
      <c r="FB2346" s="8" t="s">
        <v>4871</v>
      </c>
      <c r="FC2346" s="8" t="s">
        <v>4872</v>
      </c>
      <c r="FD2346" s="8">
        <v>1000</v>
      </c>
      <c r="FE2346" s="8">
        <v>100</v>
      </c>
    </row>
    <row r="2347" spans="158:161" ht="74.25" customHeight="1" x14ac:dyDescent="0.2">
      <c r="FB2347" s="8" t="s">
        <v>4873</v>
      </c>
      <c r="FC2347" s="8" t="s">
        <v>4874</v>
      </c>
      <c r="FD2347" s="8">
        <v>1000</v>
      </c>
      <c r="FE2347" s="8">
        <v>100</v>
      </c>
    </row>
    <row r="2348" spans="158:161" ht="74.25" customHeight="1" x14ac:dyDescent="0.2">
      <c r="FB2348" s="8" t="s">
        <v>4875</v>
      </c>
      <c r="FC2348" s="8" t="s">
        <v>4876</v>
      </c>
      <c r="FD2348" s="8">
        <v>2000</v>
      </c>
      <c r="FE2348" s="8">
        <v>200</v>
      </c>
    </row>
    <row r="2349" spans="158:161" ht="74.25" customHeight="1" x14ac:dyDescent="0.2">
      <c r="FB2349" s="8" t="s">
        <v>4877</v>
      </c>
      <c r="FC2349" s="8" t="s">
        <v>4878</v>
      </c>
      <c r="FD2349" s="8">
        <v>3500</v>
      </c>
      <c r="FE2349" s="8">
        <v>350</v>
      </c>
    </row>
    <row r="2350" spans="158:161" ht="74.25" customHeight="1" x14ac:dyDescent="0.2">
      <c r="FB2350" s="8" t="s">
        <v>4879</v>
      </c>
      <c r="FC2350" s="8" t="s">
        <v>4880</v>
      </c>
      <c r="FD2350" s="8">
        <v>360</v>
      </c>
      <c r="FE2350" s="8">
        <v>36</v>
      </c>
    </row>
    <row r="2351" spans="158:161" ht="74.25" customHeight="1" x14ac:dyDescent="0.2">
      <c r="FB2351" s="8" t="s">
        <v>4881</v>
      </c>
      <c r="FC2351" s="8" t="s">
        <v>4882</v>
      </c>
      <c r="FD2351" s="8">
        <v>8</v>
      </c>
      <c r="FE2351" s="8">
        <v>0.8</v>
      </c>
    </row>
    <row r="2352" spans="158:161" ht="74.25" customHeight="1" x14ac:dyDescent="0.2">
      <c r="FB2352" s="8" t="s">
        <v>4883</v>
      </c>
      <c r="FC2352" s="8" t="s">
        <v>4884</v>
      </c>
      <c r="FD2352" s="8">
        <v>5700</v>
      </c>
      <c r="FE2352" s="8">
        <v>570</v>
      </c>
    </row>
    <row r="2353" spans="158:161" ht="74.25" customHeight="1" x14ac:dyDescent="0.2">
      <c r="FB2353" s="8" t="s">
        <v>4885</v>
      </c>
      <c r="FC2353" s="8" t="s">
        <v>4886</v>
      </c>
      <c r="FD2353" s="8">
        <v>600</v>
      </c>
      <c r="FE2353" s="8">
        <v>60</v>
      </c>
    </row>
    <row r="2354" spans="158:161" ht="74.25" customHeight="1" x14ac:dyDescent="0.2">
      <c r="FB2354" s="8" t="s">
        <v>4887</v>
      </c>
      <c r="FC2354" s="8" t="s">
        <v>4888</v>
      </c>
      <c r="FD2354" s="8">
        <v>40</v>
      </c>
      <c r="FE2354" s="8">
        <v>4</v>
      </c>
    </row>
    <row r="2355" spans="158:161" ht="74.25" customHeight="1" x14ac:dyDescent="0.2">
      <c r="FB2355" s="8" t="s">
        <v>4889</v>
      </c>
      <c r="FC2355" s="8" t="s">
        <v>4890</v>
      </c>
      <c r="FD2355" s="8">
        <v>40</v>
      </c>
      <c r="FE2355" s="8">
        <v>4</v>
      </c>
    </row>
    <row r="2356" spans="158:161" ht="74.25" customHeight="1" x14ac:dyDescent="0.2">
      <c r="FB2356" s="8" t="s">
        <v>4891</v>
      </c>
      <c r="FC2356" s="8" t="s">
        <v>4892</v>
      </c>
      <c r="FD2356" s="8">
        <v>8000</v>
      </c>
      <c r="FE2356" s="8">
        <v>800</v>
      </c>
    </row>
    <row r="2357" spans="158:161" ht="74.25" customHeight="1" x14ac:dyDescent="0.2">
      <c r="FB2357" s="8" t="s">
        <v>4893</v>
      </c>
      <c r="FC2357" s="8" t="s">
        <v>4894</v>
      </c>
      <c r="FD2357" s="8">
        <v>2750</v>
      </c>
      <c r="FE2357" s="8">
        <v>275</v>
      </c>
    </row>
    <row r="2358" spans="158:161" ht="74.25" customHeight="1" x14ac:dyDescent="0.2">
      <c r="FB2358" s="8" t="s">
        <v>4895</v>
      </c>
      <c r="FC2358" s="8" t="s">
        <v>4896</v>
      </c>
      <c r="FD2358" s="8">
        <v>1000</v>
      </c>
      <c r="FE2358" s="8">
        <v>100</v>
      </c>
    </row>
    <row r="2359" spans="158:161" ht="74.25" customHeight="1" x14ac:dyDescent="0.2">
      <c r="FB2359" s="8" t="s">
        <v>4897</v>
      </c>
      <c r="FC2359" s="8" t="s">
        <v>4898</v>
      </c>
      <c r="FD2359" s="8">
        <v>1800</v>
      </c>
      <c r="FE2359" s="8">
        <v>180</v>
      </c>
    </row>
    <row r="2360" spans="158:161" ht="74.25" customHeight="1" x14ac:dyDescent="0.2">
      <c r="FB2360" s="8" t="s">
        <v>4899</v>
      </c>
      <c r="FC2360" s="8" t="s">
        <v>4900</v>
      </c>
      <c r="FD2360" s="8">
        <v>110</v>
      </c>
      <c r="FE2360" s="8">
        <v>14</v>
      </c>
    </row>
    <row r="2361" spans="158:161" ht="74.25" customHeight="1" x14ac:dyDescent="0.2">
      <c r="FB2361" s="8" t="s">
        <v>4901</v>
      </c>
      <c r="FC2361" s="8" t="s">
        <v>4902</v>
      </c>
      <c r="FD2361" s="8">
        <v>140</v>
      </c>
      <c r="FE2361" s="8">
        <v>14</v>
      </c>
    </row>
    <row r="2362" spans="158:161" ht="74.25" customHeight="1" x14ac:dyDescent="0.2">
      <c r="FB2362" s="8" t="s">
        <v>4903</v>
      </c>
      <c r="FC2362" s="8" t="s">
        <v>4904</v>
      </c>
      <c r="FD2362" s="8">
        <v>600</v>
      </c>
      <c r="FE2362" s="8">
        <v>60</v>
      </c>
    </row>
    <row r="2363" spans="158:161" ht="74.25" customHeight="1" x14ac:dyDescent="0.2">
      <c r="FB2363" s="8" t="s">
        <v>4905</v>
      </c>
      <c r="FC2363" s="8" t="s">
        <v>4906</v>
      </c>
      <c r="FD2363" s="8">
        <v>100</v>
      </c>
      <c r="FE2363" s="8">
        <v>10</v>
      </c>
    </row>
    <row r="2364" spans="158:161" ht="74.25" customHeight="1" x14ac:dyDescent="0.2">
      <c r="FB2364" s="8" t="s">
        <v>4907</v>
      </c>
      <c r="FC2364" s="8" t="s">
        <v>4908</v>
      </c>
      <c r="FD2364" s="8">
        <v>600</v>
      </c>
      <c r="FE2364" s="8">
        <v>60</v>
      </c>
    </row>
    <row r="2365" spans="158:161" ht="74.25" customHeight="1" x14ac:dyDescent="0.2">
      <c r="FB2365" s="8" t="s">
        <v>4909</v>
      </c>
      <c r="FC2365" s="8" t="s">
        <v>4910</v>
      </c>
      <c r="FD2365" s="8">
        <v>600</v>
      </c>
      <c r="FE2365" s="8">
        <v>60</v>
      </c>
    </row>
    <row r="2366" spans="158:161" ht="74.25" customHeight="1" x14ac:dyDescent="0.2">
      <c r="FB2366" s="8" t="s">
        <v>4911</v>
      </c>
      <c r="FC2366" s="8" t="s">
        <v>4912</v>
      </c>
      <c r="FD2366" s="8">
        <v>600</v>
      </c>
      <c r="FE2366" s="8">
        <v>60</v>
      </c>
    </row>
    <row r="2367" spans="158:161" ht="74.25" customHeight="1" x14ac:dyDescent="0.2">
      <c r="FB2367" s="8" t="s">
        <v>4913</v>
      </c>
      <c r="FC2367" s="8" t="s">
        <v>4914</v>
      </c>
      <c r="FD2367" s="8">
        <v>600</v>
      </c>
      <c r="FE2367" s="8">
        <v>60</v>
      </c>
    </row>
    <row r="2368" spans="158:161" ht="74.25" customHeight="1" x14ac:dyDescent="0.2">
      <c r="FB2368" s="8" t="s">
        <v>4915</v>
      </c>
      <c r="FC2368" s="8" t="s">
        <v>4916</v>
      </c>
      <c r="FD2368" s="8">
        <v>600</v>
      </c>
      <c r="FE2368" s="8">
        <v>60</v>
      </c>
    </row>
    <row r="2369" spans="158:161" ht="74.25" customHeight="1" x14ac:dyDescent="0.2">
      <c r="FB2369" s="8" t="s">
        <v>4917</v>
      </c>
      <c r="FC2369" s="8" t="s">
        <v>4918</v>
      </c>
      <c r="FD2369" s="8">
        <v>600</v>
      </c>
      <c r="FE2369" s="8">
        <v>60</v>
      </c>
    </row>
    <row r="2370" spans="158:161" ht="74.25" customHeight="1" x14ac:dyDescent="0.2">
      <c r="FB2370" s="8" t="s">
        <v>4919</v>
      </c>
      <c r="FC2370" s="8" t="s">
        <v>4920</v>
      </c>
      <c r="FD2370" s="8">
        <v>2450</v>
      </c>
      <c r="FE2370" s="8">
        <v>245</v>
      </c>
    </row>
    <row r="2371" spans="158:161" ht="74.25" customHeight="1" x14ac:dyDescent="0.2">
      <c r="FB2371" s="8" t="s">
        <v>4921</v>
      </c>
      <c r="FC2371" s="8" t="s">
        <v>4922</v>
      </c>
      <c r="FD2371" s="8">
        <v>600</v>
      </c>
      <c r="FE2371" s="8">
        <v>60</v>
      </c>
    </row>
    <row r="2372" spans="158:161" ht="74.25" customHeight="1" x14ac:dyDescent="0.2">
      <c r="FB2372" s="8" t="s">
        <v>4923</v>
      </c>
      <c r="FC2372" s="8" t="s">
        <v>9864</v>
      </c>
      <c r="FD2372" s="8">
        <v>600</v>
      </c>
      <c r="FE2372" s="8">
        <v>60</v>
      </c>
    </row>
    <row r="2373" spans="158:161" ht="74.25" customHeight="1" x14ac:dyDescent="0.2">
      <c r="FB2373" s="8" t="s">
        <v>4924</v>
      </c>
      <c r="FC2373" s="8" t="s">
        <v>4925</v>
      </c>
      <c r="FD2373" s="8">
        <v>600</v>
      </c>
      <c r="FE2373" s="8">
        <v>60</v>
      </c>
    </row>
    <row r="2374" spans="158:161" ht="74.25" customHeight="1" x14ac:dyDescent="0.2">
      <c r="FB2374" s="8" t="s">
        <v>4926</v>
      </c>
      <c r="FC2374" s="8" t="s">
        <v>4927</v>
      </c>
      <c r="FD2374" s="8">
        <v>600</v>
      </c>
      <c r="FE2374" s="8">
        <v>60</v>
      </c>
    </row>
    <row r="2375" spans="158:161" ht="74.25" customHeight="1" x14ac:dyDescent="0.2">
      <c r="FB2375" s="8" t="s">
        <v>4928</v>
      </c>
      <c r="FC2375" s="8" t="s">
        <v>4928</v>
      </c>
      <c r="FD2375" s="8">
        <v>1000</v>
      </c>
      <c r="FE2375" s="8">
        <v>100</v>
      </c>
    </row>
    <row r="2376" spans="158:161" ht="74.25" customHeight="1" x14ac:dyDescent="0.2">
      <c r="FB2376" s="8" t="s">
        <v>4929</v>
      </c>
      <c r="FC2376" s="8" t="s">
        <v>4930</v>
      </c>
      <c r="FD2376" s="8">
        <v>50</v>
      </c>
      <c r="FE2376" s="8">
        <v>5</v>
      </c>
    </row>
    <row r="2377" spans="158:161" ht="74.25" customHeight="1" x14ac:dyDescent="0.2">
      <c r="FB2377" s="8" t="s">
        <v>4931</v>
      </c>
      <c r="FC2377" s="8" t="s">
        <v>4932</v>
      </c>
      <c r="FD2377" s="8">
        <v>600</v>
      </c>
      <c r="FE2377" s="8">
        <v>60</v>
      </c>
    </row>
    <row r="2378" spans="158:161" ht="74.25" customHeight="1" x14ac:dyDescent="0.2">
      <c r="FB2378" s="8" t="s">
        <v>9907</v>
      </c>
      <c r="FC2378" s="8" t="s">
        <v>9907</v>
      </c>
      <c r="FD2378" s="8">
        <v>600</v>
      </c>
      <c r="FE2378" s="8">
        <v>60</v>
      </c>
    </row>
    <row r="2379" spans="158:161" ht="74.25" customHeight="1" x14ac:dyDescent="0.2">
      <c r="FB2379" s="8" t="s">
        <v>4933</v>
      </c>
      <c r="FC2379" s="8" t="s">
        <v>4934</v>
      </c>
      <c r="FD2379" s="8">
        <v>1</v>
      </c>
      <c r="FE2379" s="8">
        <v>0.1</v>
      </c>
    </row>
    <row r="2380" spans="158:161" ht="74.25" customHeight="1" x14ac:dyDescent="0.2">
      <c r="FB2380" s="8" t="s">
        <v>4935</v>
      </c>
      <c r="FC2380" s="8" t="s">
        <v>4936</v>
      </c>
      <c r="FD2380" s="8">
        <v>1500</v>
      </c>
      <c r="FE2380" s="8">
        <v>150</v>
      </c>
    </row>
    <row r="2381" spans="158:161" ht="74.25" customHeight="1" x14ac:dyDescent="0.2">
      <c r="FB2381" s="8" t="s">
        <v>4937</v>
      </c>
      <c r="FC2381" s="8" t="s">
        <v>4938</v>
      </c>
      <c r="FD2381" s="8">
        <v>20</v>
      </c>
      <c r="FE2381" s="8">
        <v>2</v>
      </c>
    </row>
    <row r="2382" spans="158:161" ht="74.25" customHeight="1" x14ac:dyDescent="0.2">
      <c r="FB2382" s="8" t="s">
        <v>4939</v>
      </c>
      <c r="FC2382" s="8" t="s">
        <v>4940</v>
      </c>
      <c r="FD2382" s="8">
        <v>1000</v>
      </c>
      <c r="FE2382" s="8">
        <v>100</v>
      </c>
    </row>
    <row r="2383" spans="158:161" ht="74.25" customHeight="1" x14ac:dyDescent="0.2">
      <c r="FB2383" s="8" t="s">
        <v>4941</v>
      </c>
      <c r="FC2383" s="8" t="s">
        <v>4942</v>
      </c>
      <c r="FD2383" s="8">
        <v>0.4</v>
      </c>
      <c r="FE2383" s="8">
        <v>0.04</v>
      </c>
    </row>
    <row r="2384" spans="158:161" ht="74.25" customHeight="1" x14ac:dyDescent="0.2">
      <c r="FB2384" s="8" t="s">
        <v>4943</v>
      </c>
      <c r="FC2384" s="8" t="s">
        <v>4944</v>
      </c>
      <c r="FD2384" s="8">
        <v>1000</v>
      </c>
      <c r="FE2384" s="8">
        <v>100</v>
      </c>
    </row>
    <row r="2385" spans="158:161" ht="74.25" customHeight="1" x14ac:dyDescent="0.2">
      <c r="FB2385" s="8" t="s">
        <v>4945</v>
      </c>
      <c r="FC2385" s="8" t="s">
        <v>4946</v>
      </c>
      <c r="FD2385" s="8" t="s">
        <v>8683</v>
      </c>
      <c r="FE2385" s="8" t="s">
        <v>8683</v>
      </c>
    </row>
    <row r="2386" spans="158:161" ht="74.25" customHeight="1" x14ac:dyDescent="0.2">
      <c r="FB2386" s="8" t="s">
        <v>4947</v>
      </c>
      <c r="FC2386" s="8" t="s">
        <v>4948</v>
      </c>
      <c r="FD2386" s="8">
        <v>18800</v>
      </c>
      <c r="FE2386" s="8">
        <v>1880</v>
      </c>
    </row>
    <row r="2387" spans="158:161" ht="74.25" customHeight="1" x14ac:dyDescent="0.2">
      <c r="FB2387" s="8" t="s">
        <v>4949</v>
      </c>
      <c r="FC2387" s="8" t="s">
        <v>4950</v>
      </c>
      <c r="FD2387" s="8">
        <v>97</v>
      </c>
      <c r="FE2387" s="8">
        <v>7</v>
      </c>
    </row>
    <row r="2388" spans="158:161" ht="74.25" customHeight="1" x14ac:dyDescent="0.2">
      <c r="FB2388" s="8" t="s">
        <v>4951</v>
      </c>
      <c r="FC2388" s="8" t="s">
        <v>4951</v>
      </c>
      <c r="FD2388" s="8">
        <v>97</v>
      </c>
      <c r="FE2388" s="8">
        <v>7</v>
      </c>
    </row>
    <row r="2389" spans="158:161" ht="74.25" customHeight="1" x14ac:dyDescent="0.2">
      <c r="FB2389" s="8" t="s">
        <v>4952</v>
      </c>
      <c r="FC2389" s="8" t="s">
        <v>4953</v>
      </c>
      <c r="FD2389" s="8">
        <v>500</v>
      </c>
      <c r="FE2389" s="8">
        <v>50</v>
      </c>
    </row>
    <row r="2390" spans="158:161" ht="74.25" customHeight="1" x14ac:dyDescent="0.2">
      <c r="FB2390" s="8" t="s">
        <v>4954</v>
      </c>
      <c r="FC2390" s="8" t="s">
        <v>4955</v>
      </c>
      <c r="FD2390" s="8">
        <v>0.5</v>
      </c>
      <c r="FE2390" s="8">
        <v>0.05</v>
      </c>
    </row>
    <row r="2391" spans="158:161" ht="74.25" customHeight="1" x14ac:dyDescent="0.2">
      <c r="FB2391" s="8" t="s">
        <v>4956</v>
      </c>
      <c r="FC2391" s="8" t="s">
        <v>4957</v>
      </c>
      <c r="FD2391" s="8">
        <v>20</v>
      </c>
      <c r="FE2391" s="8">
        <v>2</v>
      </c>
    </row>
    <row r="2392" spans="158:161" ht="74.25" customHeight="1" x14ac:dyDescent="0.2">
      <c r="FB2392" s="8" t="s">
        <v>4958</v>
      </c>
      <c r="FC2392" s="8" t="s">
        <v>4959</v>
      </c>
      <c r="FD2392" s="8">
        <v>130</v>
      </c>
      <c r="FE2392" s="8">
        <v>13</v>
      </c>
    </row>
    <row r="2393" spans="158:161" ht="74.25" customHeight="1" x14ac:dyDescent="0.2">
      <c r="FB2393" s="8" t="s">
        <v>4960</v>
      </c>
      <c r="FC2393" s="8" t="s">
        <v>4961</v>
      </c>
      <c r="FD2393" s="8">
        <v>290</v>
      </c>
      <c r="FE2393" s="8">
        <v>3.3</v>
      </c>
    </row>
    <row r="2394" spans="158:161" ht="74.25" customHeight="1" x14ac:dyDescent="0.2">
      <c r="FB2394" s="8" t="s">
        <v>4962</v>
      </c>
      <c r="FC2394" s="8" t="s">
        <v>4963</v>
      </c>
      <c r="FD2394" s="8">
        <v>10</v>
      </c>
      <c r="FE2394" s="8">
        <v>1</v>
      </c>
    </row>
    <row r="2395" spans="158:161" ht="74.25" customHeight="1" x14ac:dyDescent="0.2">
      <c r="FB2395" s="8" t="s">
        <v>4964</v>
      </c>
      <c r="FC2395" s="8" t="s">
        <v>4965</v>
      </c>
      <c r="FD2395" s="8">
        <v>1000</v>
      </c>
      <c r="FE2395" s="8">
        <v>100</v>
      </c>
    </row>
    <row r="2396" spans="158:161" ht="74.25" customHeight="1" x14ac:dyDescent="0.2">
      <c r="FB2396" s="8" t="s">
        <v>4966</v>
      </c>
      <c r="FC2396" s="8" t="s">
        <v>4967</v>
      </c>
      <c r="FD2396" s="8">
        <v>600</v>
      </c>
      <c r="FE2396" s="8">
        <v>60</v>
      </c>
    </row>
    <row r="2397" spans="158:161" ht="74.25" customHeight="1" x14ac:dyDescent="0.2">
      <c r="FB2397" s="8" t="s">
        <v>4968</v>
      </c>
      <c r="FC2397" s="8" t="s">
        <v>4969</v>
      </c>
      <c r="FD2397" s="8">
        <v>600</v>
      </c>
      <c r="FE2397" s="8">
        <v>60</v>
      </c>
    </row>
    <row r="2398" spans="158:161" ht="74.25" customHeight="1" x14ac:dyDescent="0.2">
      <c r="FB2398" s="8" t="s">
        <v>4970</v>
      </c>
      <c r="FC2398" s="8" t="s">
        <v>4971</v>
      </c>
      <c r="FD2398" s="8">
        <v>600</v>
      </c>
      <c r="FE2398" s="8">
        <v>60</v>
      </c>
    </row>
    <row r="2399" spans="158:161" ht="74.25" customHeight="1" x14ac:dyDescent="0.2">
      <c r="FB2399" s="8" t="s">
        <v>4972</v>
      </c>
      <c r="FC2399" s="8" t="s">
        <v>4973</v>
      </c>
      <c r="FD2399" s="8">
        <v>1000</v>
      </c>
      <c r="FE2399" s="8">
        <v>100</v>
      </c>
    </row>
    <row r="2400" spans="158:161" ht="74.25" customHeight="1" x14ac:dyDescent="0.2">
      <c r="FB2400" s="8" t="s">
        <v>4974</v>
      </c>
      <c r="FC2400" s="8" t="s">
        <v>4975</v>
      </c>
      <c r="FD2400" s="8">
        <v>2700</v>
      </c>
      <c r="FE2400" s="8">
        <v>270</v>
      </c>
    </row>
    <row r="2401" spans="158:161" ht="74.25" customHeight="1" x14ac:dyDescent="0.2">
      <c r="FB2401" s="8" t="s">
        <v>4976</v>
      </c>
      <c r="FC2401" s="8" t="s">
        <v>4977</v>
      </c>
      <c r="FD2401" s="8">
        <v>280</v>
      </c>
      <c r="FE2401" s="8">
        <v>28</v>
      </c>
    </row>
    <row r="2402" spans="158:161" ht="74.25" customHeight="1" x14ac:dyDescent="0.2">
      <c r="FB2402" s="8" t="s">
        <v>4978</v>
      </c>
      <c r="FC2402" s="8" t="s">
        <v>4979</v>
      </c>
      <c r="FD2402" s="8">
        <v>500</v>
      </c>
      <c r="FE2402" s="8">
        <v>50</v>
      </c>
    </row>
    <row r="2403" spans="158:161" ht="74.25" customHeight="1" x14ac:dyDescent="0.2">
      <c r="FB2403" s="8" t="s">
        <v>4980</v>
      </c>
      <c r="FC2403" s="8" t="s">
        <v>4981</v>
      </c>
      <c r="FD2403" s="8">
        <v>500</v>
      </c>
      <c r="FE2403" s="8">
        <v>50</v>
      </c>
    </row>
    <row r="2404" spans="158:161" ht="74.25" customHeight="1" x14ac:dyDescent="0.2">
      <c r="FB2404" s="8" t="s">
        <v>4982</v>
      </c>
      <c r="FC2404" s="8" t="s">
        <v>4983</v>
      </c>
      <c r="FD2404" s="8">
        <v>60</v>
      </c>
      <c r="FE2404" s="8">
        <v>500</v>
      </c>
    </row>
    <row r="2405" spans="158:161" ht="74.25" customHeight="1" x14ac:dyDescent="0.2">
      <c r="FB2405" s="8" t="s">
        <v>4984</v>
      </c>
      <c r="FC2405" s="8" t="s">
        <v>4985</v>
      </c>
      <c r="FD2405" s="8">
        <v>100</v>
      </c>
      <c r="FE2405" s="8">
        <v>10</v>
      </c>
    </row>
    <row r="2406" spans="158:161" ht="74.25" customHeight="1" x14ac:dyDescent="0.2">
      <c r="FB2406" s="8" t="s">
        <v>4986</v>
      </c>
      <c r="FC2406" s="8" t="s">
        <v>4987</v>
      </c>
      <c r="FD2406" s="8">
        <v>100</v>
      </c>
      <c r="FE2406" s="8">
        <v>10</v>
      </c>
    </row>
    <row r="2407" spans="158:161" ht="74.25" customHeight="1" x14ac:dyDescent="0.2">
      <c r="FB2407" s="8" t="s">
        <v>4988</v>
      </c>
      <c r="FC2407" s="8" t="s">
        <v>4989</v>
      </c>
      <c r="FD2407" s="8">
        <v>500</v>
      </c>
      <c r="FE2407" s="8">
        <v>50</v>
      </c>
    </row>
    <row r="2408" spans="158:161" ht="74.25" customHeight="1" x14ac:dyDescent="0.2">
      <c r="FB2408" s="8" t="s">
        <v>4990</v>
      </c>
      <c r="FC2408" s="8" t="s">
        <v>4991</v>
      </c>
      <c r="FD2408" s="8">
        <v>500</v>
      </c>
      <c r="FE2408" s="8">
        <v>50</v>
      </c>
    </row>
    <row r="2409" spans="158:161" ht="74.25" customHeight="1" x14ac:dyDescent="0.2">
      <c r="FB2409" s="8" t="s">
        <v>4992</v>
      </c>
      <c r="FC2409" s="8" t="s">
        <v>4993</v>
      </c>
      <c r="FD2409" s="8">
        <v>3100</v>
      </c>
      <c r="FE2409" s="8">
        <v>1440</v>
      </c>
    </row>
    <row r="2410" spans="158:161" ht="74.25" customHeight="1" x14ac:dyDescent="0.2">
      <c r="FB2410" s="8" t="s">
        <v>4994</v>
      </c>
      <c r="FC2410" s="8" t="s">
        <v>4995</v>
      </c>
      <c r="FD2410" s="8">
        <v>125</v>
      </c>
      <c r="FE2410" s="8">
        <v>12.5</v>
      </c>
    </row>
    <row r="2411" spans="158:161" ht="74.25" customHeight="1" x14ac:dyDescent="0.2">
      <c r="FB2411" s="8" t="s">
        <v>4996</v>
      </c>
      <c r="FC2411" s="8" t="s">
        <v>4997</v>
      </c>
      <c r="FD2411" s="8">
        <v>16400</v>
      </c>
      <c r="FE2411" s="8">
        <v>1640</v>
      </c>
    </row>
    <row r="2412" spans="158:161" ht="74.25" customHeight="1" x14ac:dyDescent="0.2">
      <c r="FB2412" s="8" t="s">
        <v>4998</v>
      </c>
      <c r="FC2412" s="8" t="s">
        <v>4999</v>
      </c>
      <c r="FD2412" s="8">
        <v>4.9000000000000004</v>
      </c>
      <c r="FE2412" s="8">
        <v>16</v>
      </c>
    </row>
    <row r="2413" spans="158:161" ht="74.25" customHeight="1" x14ac:dyDescent="0.2">
      <c r="FB2413" s="8" t="s">
        <v>5000</v>
      </c>
      <c r="FC2413" s="8" t="s">
        <v>5001</v>
      </c>
      <c r="FD2413" s="8">
        <v>20</v>
      </c>
      <c r="FE2413" s="8">
        <v>2</v>
      </c>
    </row>
    <row r="2414" spans="158:161" ht="74.25" customHeight="1" x14ac:dyDescent="0.2">
      <c r="FB2414" s="8" t="s">
        <v>5002</v>
      </c>
      <c r="FC2414" s="8" t="s">
        <v>5003</v>
      </c>
      <c r="FD2414" s="8">
        <v>250</v>
      </c>
      <c r="FE2414" s="8">
        <v>25</v>
      </c>
    </row>
    <row r="2415" spans="158:161" ht="74.25" customHeight="1" x14ac:dyDescent="0.2">
      <c r="FB2415" s="8" t="s">
        <v>5004</v>
      </c>
      <c r="FC2415" s="8" t="s">
        <v>5005</v>
      </c>
      <c r="FD2415" s="8">
        <v>3800</v>
      </c>
      <c r="FE2415" s="8">
        <v>380</v>
      </c>
    </row>
    <row r="2416" spans="158:161" ht="74.25" customHeight="1" x14ac:dyDescent="0.2">
      <c r="FB2416" s="8" t="s">
        <v>5006</v>
      </c>
      <c r="FC2416" s="8" t="s">
        <v>5007</v>
      </c>
      <c r="FD2416" s="8">
        <v>75</v>
      </c>
      <c r="FE2416" s="8">
        <v>7.5</v>
      </c>
    </row>
    <row r="2417" spans="158:161" ht="74.25" customHeight="1" x14ac:dyDescent="0.2">
      <c r="FB2417" s="8" t="s">
        <v>5008</v>
      </c>
      <c r="FC2417" s="8" t="s">
        <v>5009</v>
      </c>
      <c r="FD2417" s="8">
        <v>45</v>
      </c>
      <c r="FE2417" s="8">
        <v>4.5</v>
      </c>
    </row>
    <row r="2418" spans="158:161" ht="74.25" customHeight="1" x14ac:dyDescent="0.2">
      <c r="FB2418" s="8" t="s">
        <v>5010</v>
      </c>
      <c r="FC2418" s="8" t="s">
        <v>5011</v>
      </c>
      <c r="FD2418" s="8">
        <v>70</v>
      </c>
      <c r="FE2418" s="8">
        <v>7</v>
      </c>
    </row>
    <row r="2419" spans="158:161" ht="74.25" customHeight="1" x14ac:dyDescent="0.2">
      <c r="FB2419" s="8" t="s">
        <v>5012</v>
      </c>
      <c r="FC2419" s="8" t="s">
        <v>5013</v>
      </c>
      <c r="FD2419" s="8">
        <v>3000</v>
      </c>
      <c r="FE2419" s="8">
        <v>300</v>
      </c>
    </row>
    <row r="2420" spans="158:161" ht="74.25" customHeight="1" x14ac:dyDescent="0.2">
      <c r="FB2420" s="8" t="s">
        <v>5014</v>
      </c>
      <c r="FC2420" s="8" t="s">
        <v>5015</v>
      </c>
      <c r="FD2420" s="8">
        <v>500</v>
      </c>
      <c r="FE2420" s="8">
        <v>50</v>
      </c>
    </row>
    <row r="2421" spans="158:161" ht="74.25" customHeight="1" x14ac:dyDescent="0.2">
      <c r="FB2421" s="8" t="s">
        <v>5016</v>
      </c>
      <c r="FC2421" s="8" t="s">
        <v>5017</v>
      </c>
      <c r="FD2421" s="8">
        <v>200</v>
      </c>
      <c r="FE2421" s="8">
        <v>20</v>
      </c>
    </row>
    <row r="2422" spans="158:161" ht="74.25" customHeight="1" x14ac:dyDescent="0.2">
      <c r="FB2422" s="8" t="s">
        <v>5018</v>
      </c>
      <c r="FC2422" s="8" t="s">
        <v>5019</v>
      </c>
      <c r="FD2422" s="8">
        <v>840</v>
      </c>
      <c r="FE2422" s="8">
        <v>84</v>
      </c>
    </row>
    <row r="2423" spans="158:161" ht="74.25" customHeight="1" x14ac:dyDescent="0.2">
      <c r="FB2423" s="8" t="s">
        <v>5020</v>
      </c>
      <c r="FC2423" s="8" t="s">
        <v>5021</v>
      </c>
      <c r="FD2423" s="8">
        <v>0.7</v>
      </c>
      <c r="FE2423" s="8">
        <v>0.1</v>
      </c>
    </row>
    <row r="2424" spans="158:161" ht="74.25" customHeight="1" x14ac:dyDescent="0.2">
      <c r="FB2424" s="8" t="s">
        <v>5022</v>
      </c>
      <c r="FC2424" s="8" t="s">
        <v>5023</v>
      </c>
      <c r="FD2424" s="8">
        <v>2500</v>
      </c>
      <c r="FE2424" s="8">
        <v>250</v>
      </c>
    </row>
    <row r="2425" spans="158:161" ht="74.25" customHeight="1" x14ac:dyDescent="0.2">
      <c r="FB2425" s="8" t="s">
        <v>5024</v>
      </c>
      <c r="FC2425" s="8" t="s">
        <v>5025</v>
      </c>
      <c r="FD2425" s="8">
        <v>2000</v>
      </c>
      <c r="FE2425" s="8">
        <v>200</v>
      </c>
    </row>
    <row r="2426" spans="158:161" ht="74.25" customHeight="1" x14ac:dyDescent="0.2">
      <c r="FB2426" s="8" t="s">
        <v>5026</v>
      </c>
      <c r="FC2426" s="8" t="s">
        <v>5027</v>
      </c>
      <c r="FD2426" s="8">
        <v>840</v>
      </c>
      <c r="FE2426" s="8">
        <v>84</v>
      </c>
    </row>
    <row r="2427" spans="158:161" ht="74.25" customHeight="1" x14ac:dyDescent="0.2">
      <c r="FB2427" s="8" t="s">
        <v>5028</v>
      </c>
      <c r="FC2427" s="8" t="s">
        <v>5029</v>
      </c>
      <c r="FD2427" s="8">
        <v>1930</v>
      </c>
      <c r="FE2427" s="8">
        <v>193</v>
      </c>
    </row>
    <row r="2428" spans="158:161" ht="74.25" customHeight="1" x14ac:dyDescent="0.2">
      <c r="FB2428" s="8" t="s">
        <v>5030</v>
      </c>
      <c r="FC2428" s="8" t="s">
        <v>5031</v>
      </c>
      <c r="FD2428" s="8">
        <v>1</v>
      </c>
      <c r="FE2428" s="8">
        <v>1.3</v>
      </c>
    </row>
    <row r="2429" spans="158:161" ht="74.25" customHeight="1" x14ac:dyDescent="0.2">
      <c r="FB2429" s="8" t="s">
        <v>5032</v>
      </c>
      <c r="FC2429" s="8" t="s">
        <v>5033</v>
      </c>
      <c r="FD2429" s="8">
        <v>50</v>
      </c>
      <c r="FE2429" s="8">
        <v>5</v>
      </c>
    </row>
    <row r="2430" spans="158:161" ht="74.25" customHeight="1" x14ac:dyDescent="0.2">
      <c r="FB2430" s="8" t="s">
        <v>5034</v>
      </c>
      <c r="FC2430" s="8" t="s">
        <v>5035</v>
      </c>
      <c r="FD2430" s="8">
        <v>62</v>
      </c>
      <c r="FE2430" s="8">
        <v>14</v>
      </c>
    </row>
    <row r="2431" spans="158:161" ht="74.25" customHeight="1" x14ac:dyDescent="0.2">
      <c r="FB2431" s="8" t="s">
        <v>5036</v>
      </c>
      <c r="FC2431" s="8" t="s">
        <v>5037</v>
      </c>
      <c r="FD2431" s="8">
        <v>1000</v>
      </c>
      <c r="FE2431" s="8">
        <v>100</v>
      </c>
    </row>
    <row r="2432" spans="158:161" ht="74.25" customHeight="1" x14ac:dyDescent="0.2">
      <c r="FB2432" s="8" t="s">
        <v>5038</v>
      </c>
      <c r="FC2432" s="8" t="s">
        <v>5039</v>
      </c>
      <c r="FD2432" s="8">
        <v>40</v>
      </c>
      <c r="FE2432" s="8">
        <v>4</v>
      </c>
    </row>
    <row r="2433" spans="158:161" ht="74.25" customHeight="1" x14ac:dyDescent="0.2">
      <c r="FB2433" s="8" t="s">
        <v>5040</v>
      </c>
      <c r="FC2433" s="8" t="s">
        <v>5041</v>
      </c>
      <c r="FD2433" s="8">
        <v>110</v>
      </c>
      <c r="FE2433" s="8">
        <v>14</v>
      </c>
    </row>
    <row r="2434" spans="158:161" ht="74.25" customHeight="1" x14ac:dyDescent="0.2">
      <c r="FB2434" s="8" t="s">
        <v>5042</v>
      </c>
      <c r="FC2434" s="8" t="s">
        <v>5043</v>
      </c>
      <c r="FD2434" s="8">
        <v>200</v>
      </c>
      <c r="FE2434" s="8">
        <v>20</v>
      </c>
    </row>
    <row r="2435" spans="158:161" ht="74.25" customHeight="1" x14ac:dyDescent="0.2">
      <c r="FB2435" s="8" t="s">
        <v>5044</v>
      </c>
      <c r="FC2435" s="8" t="s">
        <v>5045</v>
      </c>
      <c r="FD2435" s="8">
        <v>200</v>
      </c>
      <c r="FE2435" s="8">
        <v>20</v>
      </c>
    </row>
    <row r="2436" spans="158:161" ht="74.25" customHeight="1" x14ac:dyDescent="0.2">
      <c r="FB2436" s="8" t="s">
        <v>5046</v>
      </c>
      <c r="FC2436" s="8" t="s">
        <v>5047</v>
      </c>
      <c r="FD2436" s="8">
        <v>500</v>
      </c>
      <c r="FE2436" s="8">
        <v>50</v>
      </c>
    </row>
    <row r="2437" spans="158:161" ht="74.25" customHeight="1" x14ac:dyDescent="0.2">
      <c r="FB2437" s="8" t="s">
        <v>5048</v>
      </c>
      <c r="FC2437" s="8" t="s">
        <v>5049</v>
      </c>
      <c r="FD2437" s="8">
        <v>850</v>
      </c>
      <c r="FE2437" s="8">
        <v>85</v>
      </c>
    </row>
    <row r="2438" spans="158:161" ht="74.25" customHeight="1" x14ac:dyDescent="0.2">
      <c r="FB2438" s="8" t="s">
        <v>5050</v>
      </c>
      <c r="FC2438" s="8" t="s">
        <v>5051</v>
      </c>
      <c r="FD2438" s="8">
        <v>130</v>
      </c>
      <c r="FE2438" s="8">
        <v>13</v>
      </c>
    </row>
    <row r="2439" spans="158:161" ht="74.25" customHeight="1" x14ac:dyDescent="0.2">
      <c r="FB2439" s="8" t="s">
        <v>5052</v>
      </c>
      <c r="FC2439" s="8" t="s">
        <v>5053</v>
      </c>
      <c r="FD2439" s="8">
        <v>850</v>
      </c>
      <c r="FE2439" s="8">
        <v>85</v>
      </c>
    </row>
    <row r="2440" spans="158:161" ht="74.25" customHeight="1" x14ac:dyDescent="0.2">
      <c r="FB2440" s="8" t="s">
        <v>5054</v>
      </c>
      <c r="FC2440" s="8" t="s">
        <v>5055</v>
      </c>
      <c r="FD2440" s="8">
        <v>210</v>
      </c>
      <c r="FE2440" s="8">
        <v>21</v>
      </c>
    </row>
    <row r="2441" spans="158:161" ht="74.25" customHeight="1" x14ac:dyDescent="0.2">
      <c r="FB2441" s="8" t="s">
        <v>5056</v>
      </c>
      <c r="FC2441" s="8" t="s">
        <v>5057</v>
      </c>
      <c r="FD2441" s="8">
        <v>75</v>
      </c>
      <c r="FE2441" s="8">
        <v>7.5</v>
      </c>
    </row>
    <row r="2442" spans="158:161" ht="74.25" customHeight="1" x14ac:dyDescent="0.2">
      <c r="FB2442" s="8" t="s">
        <v>5058</v>
      </c>
      <c r="FC2442" s="8" t="s">
        <v>5059</v>
      </c>
      <c r="FD2442" s="8">
        <v>70</v>
      </c>
      <c r="FE2442" s="8">
        <v>7</v>
      </c>
    </row>
    <row r="2443" spans="158:161" ht="74.25" customHeight="1" x14ac:dyDescent="0.2">
      <c r="FB2443" s="8" t="s">
        <v>5060</v>
      </c>
      <c r="FC2443" s="8" t="s">
        <v>5061</v>
      </c>
      <c r="FD2443" s="8">
        <v>2000</v>
      </c>
      <c r="FE2443" s="8">
        <v>200</v>
      </c>
    </row>
    <row r="2444" spans="158:161" ht="74.25" customHeight="1" x14ac:dyDescent="0.2">
      <c r="FB2444" s="8" t="s">
        <v>5062</v>
      </c>
      <c r="FC2444" s="8" t="s">
        <v>5063</v>
      </c>
      <c r="FD2444" s="8">
        <v>270</v>
      </c>
      <c r="FE2444" s="8">
        <v>27</v>
      </c>
    </row>
    <row r="2445" spans="158:161" ht="74.25" customHeight="1" x14ac:dyDescent="0.2">
      <c r="FB2445" s="8" t="s">
        <v>5064</v>
      </c>
      <c r="FC2445" s="8" t="s">
        <v>5065</v>
      </c>
      <c r="FD2445" s="8">
        <v>90</v>
      </c>
      <c r="FE2445" s="8">
        <v>9</v>
      </c>
    </row>
    <row r="2446" spans="158:161" ht="74.25" customHeight="1" x14ac:dyDescent="0.2">
      <c r="FB2446" s="8" t="s">
        <v>5066</v>
      </c>
      <c r="FC2446" s="8" t="s">
        <v>5067</v>
      </c>
      <c r="FD2446" s="8">
        <v>26000</v>
      </c>
      <c r="FE2446" s="8">
        <v>570</v>
      </c>
    </row>
    <row r="2447" spans="158:161" ht="74.25" customHeight="1" x14ac:dyDescent="0.2">
      <c r="FB2447" s="8" t="s">
        <v>5068</v>
      </c>
      <c r="FC2447" s="8" t="s">
        <v>5069</v>
      </c>
      <c r="FD2447" s="8">
        <v>100</v>
      </c>
      <c r="FE2447" s="8">
        <v>10</v>
      </c>
    </row>
    <row r="2448" spans="158:161" ht="74.25" customHeight="1" x14ac:dyDescent="0.2">
      <c r="FB2448" s="8" t="s">
        <v>5070</v>
      </c>
      <c r="FC2448" s="8" t="s">
        <v>5071</v>
      </c>
      <c r="FD2448" s="8">
        <v>10</v>
      </c>
      <c r="FE2448" s="8">
        <v>1</v>
      </c>
    </row>
    <row r="2449" spans="158:161" ht="74.25" customHeight="1" x14ac:dyDescent="0.2">
      <c r="FB2449" s="8" t="s">
        <v>5072</v>
      </c>
      <c r="FC2449" s="8" t="s">
        <v>5073</v>
      </c>
      <c r="FD2449" s="8">
        <v>18700</v>
      </c>
      <c r="FE2449" s="8">
        <v>1870</v>
      </c>
    </row>
    <row r="2450" spans="158:161" ht="74.25" customHeight="1" x14ac:dyDescent="0.2">
      <c r="FB2450" s="8" t="s">
        <v>5074</v>
      </c>
      <c r="FC2450" s="8" t="s">
        <v>5075</v>
      </c>
      <c r="FD2450" s="8">
        <v>25</v>
      </c>
      <c r="FE2450" s="8">
        <v>2.5</v>
      </c>
    </row>
    <row r="2451" spans="158:161" ht="74.25" customHeight="1" x14ac:dyDescent="0.2">
      <c r="FB2451" s="8" t="s">
        <v>5076</v>
      </c>
      <c r="FC2451" s="8" t="s">
        <v>5077</v>
      </c>
      <c r="FD2451" s="8">
        <v>16300</v>
      </c>
      <c r="FE2451" s="8">
        <v>1630</v>
      </c>
    </row>
    <row r="2452" spans="158:161" ht="74.25" customHeight="1" x14ac:dyDescent="0.2">
      <c r="FB2452" s="8" t="s">
        <v>5078</v>
      </c>
      <c r="FC2452" s="8" t="s">
        <v>5079</v>
      </c>
      <c r="FD2452" s="8">
        <v>200</v>
      </c>
      <c r="FE2452" s="8">
        <v>20</v>
      </c>
    </row>
    <row r="2453" spans="158:161" ht="74.25" customHeight="1" x14ac:dyDescent="0.2">
      <c r="FB2453" s="8" t="s">
        <v>5080</v>
      </c>
      <c r="FC2453" s="8" t="s">
        <v>5081</v>
      </c>
      <c r="FD2453" s="8">
        <v>1400</v>
      </c>
      <c r="FE2453" s="8">
        <v>34</v>
      </c>
    </row>
    <row r="2454" spans="158:161" ht="74.25" customHeight="1" x14ac:dyDescent="0.2">
      <c r="FB2454" s="8" t="s">
        <v>5082</v>
      </c>
      <c r="FC2454" s="8" t="s">
        <v>5083</v>
      </c>
      <c r="FD2454" s="8">
        <v>200</v>
      </c>
      <c r="FE2454" s="8">
        <v>20</v>
      </c>
    </row>
    <row r="2455" spans="158:161" ht="74.25" customHeight="1" x14ac:dyDescent="0.2">
      <c r="FB2455" s="8" t="s">
        <v>5084</v>
      </c>
      <c r="FC2455" s="8" t="s">
        <v>5085</v>
      </c>
      <c r="FD2455" s="8">
        <v>50</v>
      </c>
      <c r="FE2455" s="8">
        <v>5</v>
      </c>
    </row>
    <row r="2456" spans="158:161" ht="74.25" customHeight="1" x14ac:dyDescent="0.2">
      <c r="FB2456" s="8" t="s">
        <v>5086</v>
      </c>
      <c r="FC2456" s="8" t="s">
        <v>5087</v>
      </c>
      <c r="FD2456" s="8">
        <v>50</v>
      </c>
      <c r="FE2456" s="8">
        <v>5</v>
      </c>
    </row>
    <row r="2457" spans="158:161" ht="74.25" customHeight="1" x14ac:dyDescent="0.2">
      <c r="FB2457" s="8" t="s">
        <v>5088</v>
      </c>
      <c r="FC2457" s="8" t="s">
        <v>5089</v>
      </c>
      <c r="FD2457" s="8">
        <v>150</v>
      </c>
      <c r="FE2457" s="8">
        <v>0.22</v>
      </c>
    </row>
    <row r="2458" spans="158:161" ht="74.25" customHeight="1" x14ac:dyDescent="0.2">
      <c r="FB2458" s="8" t="s">
        <v>5090</v>
      </c>
      <c r="FC2458" s="8" t="s">
        <v>5091</v>
      </c>
      <c r="FD2458" s="8">
        <v>650</v>
      </c>
      <c r="FE2458" s="8">
        <v>2.9</v>
      </c>
    </row>
    <row r="2459" spans="158:161" ht="74.25" customHeight="1" x14ac:dyDescent="0.2">
      <c r="FB2459" s="8" t="s">
        <v>5092</v>
      </c>
      <c r="FC2459" s="8" t="s">
        <v>5093</v>
      </c>
      <c r="FD2459" s="8">
        <v>700</v>
      </c>
      <c r="FE2459" s="8">
        <v>70</v>
      </c>
    </row>
    <row r="2460" spans="158:161" ht="74.25" customHeight="1" x14ac:dyDescent="0.2">
      <c r="FB2460" s="8" t="s">
        <v>5094</v>
      </c>
      <c r="FC2460" s="8" t="s">
        <v>5095</v>
      </c>
      <c r="FD2460" s="8">
        <v>450</v>
      </c>
      <c r="FE2460" s="8">
        <v>4.5</v>
      </c>
    </row>
    <row r="2461" spans="158:161" ht="74.25" customHeight="1" x14ac:dyDescent="0.2">
      <c r="FB2461" s="8" t="s">
        <v>5096</v>
      </c>
      <c r="FC2461" s="8" t="s">
        <v>5097</v>
      </c>
      <c r="FD2461" s="8">
        <v>250</v>
      </c>
      <c r="FE2461" s="8">
        <v>77</v>
      </c>
    </row>
    <row r="2462" spans="158:161" ht="74.25" customHeight="1" x14ac:dyDescent="0.2">
      <c r="FB2462" s="8" t="s">
        <v>5098</v>
      </c>
      <c r="FC2462" s="8" t="s">
        <v>5099</v>
      </c>
      <c r="FD2462" s="8">
        <v>1000</v>
      </c>
      <c r="FE2462" s="8">
        <v>100</v>
      </c>
    </row>
    <row r="2463" spans="158:161" ht="74.25" customHeight="1" x14ac:dyDescent="0.2">
      <c r="FB2463" s="8" t="s">
        <v>5100</v>
      </c>
      <c r="FC2463" s="8" t="s">
        <v>5101</v>
      </c>
      <c r="FD2463" s="8">
        <v>190</v>
      </c>
      <c r="FE2463" s="8">
        <v>19</v>
      </c>
    </row>
    <row r="2464" spans="158:161" ht="74.25" customHeight="1" x14ac:dyDescent="0.2">
      <c r="FB2464" s="8" t="s">
        <v>5102</v>
      </c>
      <c r="FC2464" s="8" t="s">
        <v>5103</v>
      </c>
      <c r="FD2464" s="8">
        <v>1900</v>
      </c>
      <c r="FE2464" s="8">
        <v>190</v>
      </c>
    </row>
    <row r="2465" spans="158:161" ht="74.25" customHeight="1" x14ac:dyDescent="0.2">
      <c r="FB2465" s="8" t="s">
        <v>5104</v>
      </c>
      <c r="FC2465" s="8" t="s">
        <v>5105</v>
      </c>
      <c r="FD2465" s="8">
        <v>500</v>
      </c>
      <c r="FE2465" s="8">
        <v>50</v>
      </c>
    </row>
    <row r="2466" spans="158:161" ht="74.25" customHeight="1" x14ac:dyDescent="0.2">
      <c r="FB2466" s="8" t="s">
        <v>5106</v>
      </c>
      <c r="FC2466" s="8" t="s">
        <v>5107</v>
      </c>
      <c r="FD2466" s="8">
        <v>850</v>
      </c>
      <c r="FE2466" s="8">
        <v>85</v>
      </c>
    </row>
    <row r="2467" spans="158:161" ht="74.25" customHeight="1" x14ac:dyDescent="0.2">
      <c r="FB2467" s="8" t="s">
        <v>5108</v>
      </c>
      <c r="FC2467" s="8" t="s">
        <v>5109</v>
      </c>
      <c r="FD2467" s="8">
        <v>90</v>
      </c>
      <c r="FE2467" s="8">
        <v>9</v>
      </c>
    </row>
    <row r="2468" spans="158:161" ht="74.25" customHeight="1" x14ac:dyDescent="0.2">
      <c r="FB2468" s="8" t="s">
        <v>5110</v>
      </c>
      <c r="FC2468" s="8" t="s">
        <v>5111</v>
      </c>
      <c r="FD2468" s="8">
        <v>2900</v>
      </c>
      <c r="FE2468" s="8">
        <v>3700</v>
      </c>
    </row>
    <row r="2469" spans="158:161" ht="74.25" customHeight="1" x14ac:dyDescent="0.2">
      <c r="FB2469" s="8" t="s">
        <v>5112</v>
      </c>
      <c r="FC2469" s="8" t="s">
        <v>5113</v>
      </c>
      <c r="FD2469" s="8">
        <v>350</v>
      </c>
      <c r="FE2469" s="8">
        <v>35</v>
      </c>
    </row>
    <row r="2470" spans="158:161" ht="74.25" customHeight="1" x14ac:dyDescent="0.2">
      <c r="FB2470" s="8" t="s">
        <v>5114</v>
      </c>
      <c r="FC2470" s="8" t="s">
        <v>5115</v>
      </c>
      <c r="FD2470" s="8">
        <v>1</v>
      </c>
      <c r="FE2470" s="8">
        <v>0.1</v>
      </c>
    </row>
    <row r="2471" spans="158:161" ht="74.25" customHeight="1" x14ac:dyDescent="0.2">
      <c r="FB2471" s="8" t="s">
        <v>5116</v>
      </c>
      <c r="FC2471" s="8" t="s">
        <v>5117</v>
      </c>
      <c r="FD2471" s="8">
        <v>420</v>
      </c>
      <c r="FE2471" s="8">
        <v>42</v>
      </c>
    </row>
    <row r="2472" spans="158:161" ht="74.25" customHeight="1" x14ac:dyDescent="0.2">
      <c r="FB2472" s="8" t="s">
        <v>5118</v>
      </c>
      <c r="FC2472" s="8" t="s">
        <v>5119</v>
      </c>
      <c r="FD2472" s="8">
        <v>110</v>
      </c>
      <c r="FE2472" s="8">
        <v>11</v>
      </c>
    </row>
    <row r="2473" spans="158:161" ht="74.25" customHeight="1" x14ac:dyDescent="0.2">
      <c r="FB2473" s="8" t="s">
        <v>5120</v>
      </c>
      <c r="FC2473" s="8" t="s">
        <v>5121</v>
      </c>
      <c r="FD2473" s="8">
        <v>450</v>
      </c>
      <c r="FE2473" s="8">
        <v>45</v>
      </c>
    </row>
    <row r="2474" spans="158:161" ht="74.25" customHeight="1" x14ac:dyDescent="0.2">
      <c r="FB2474" s="8" t="s">
        <v>5122</v>
      </c>
      <c r="FC2474" s="8" t="s">
        <v>5123</v>
      </c>
      <c r="FD2474" s="8">
        <v>2900</v>
      </c>
      <c r="FE2474" s="8">
        <v>3700</v>
      </c>
    </row>
    <row r="2475" spans="158:161" ht="74.25" customHeight="1" x14ac:dyDescent="0.2">
      <c r="FB2475" s="8" t="s">
        <v>5124</v>
      </c>
      <c r="FC2475" s="8" t="s">
        <v>5125</v>
      </c>
      <c r="FD2475" s="8">
        <v>2900</v>
      </c>
      <c r="FE2475" s="8">
        <v>3700</v>
      </c>
    </row>
    <row r="2476" spans="158:161" ht="74.25" customHeight="1" x14ac:dyDescent="0.2">
      <c r="FB2476" s="8" t="s">
        <v>5126</v>
      </c>
      <c r="FC2476" s="8" t="s">
        <v>5127</v>
      </c>
      <c r="FD2476" s="8">
        <v>860</v>
      </c>
      <c r="FE2476" s="8">
        <v>86</v>
      </c>
    </row>
    <row r="2477" spans="158:161" ht="74.25" customHeight="1" x14ac:dyDescent="0.2">
      <c r="FB2477" s="8" t="s">
        <v>5128</v>
      </c>
      <c r="FC2477" s="8" t="s">
        <v>5129</v>
      </c>
      <c r="FD2477" s="8">
        <v>1200</v>
      </c>
      <c r="FE2477" s="8">
        <v>120</v>
      </c>
    </row>
    <row r="2478" spans="158:161" ht="74.25" customHeight="1" x14ac:dyDescent="0.2">
      <c r="FB2478" s="8" t="s">
        <v>5130</v>
      </c>
      <c r="FC2478" s="8" t="s">
        <v>5131</v>
      </c>
      <c r="FD2478" s="8">
        <v>360</v>
      </c>
      <c r="FE2478" s="8">
        <v>36</v>
      </c>
    </row>
    <row r="2479" spans="158:161" ht="74.25" customHeight="1" x14ac:dyDescent="0.2">
      <c r="FB2479" s="8" t="s">
        <v>5132</v>
      </c>
      <c r="FC2479" s="8" t="s">
        <v>5133</v>
      </c>
      <c r="FD2479" s="8">
        <v>20</v>
      </c>
      <c r="FE2479" s="8">
        <v>4.3</v>
      </c>
    </row>
    <row r="2480" spans="158:161" ht="74.25" customHeight="1" x14ac:dyDescent="0.2">
      <c r="FB2480" s="8" t="s">
        <v>5134</v>
      </c>
      <c r="FC2480" s="8" t="s">
        <v>5135</v>
      </c>
      <c r="FD2480" s="8">
        <v>140</v>
      </c>
      <c r="FE2480" s="8">
        <v>14</v>
      </c>
    </row>
    <row r="2481" spans="158:161" ht="74.25" customHeight="1" x14ac:dyDescent="0.2">
      <c r="FB2481" s="8" t="s">
        <v>5136</v>
      </c>
      <c r="FC2481" s="8" t="s">
        <v>5137</v>
      </c>
      <c r="FD2481" s="8">
        <v>250</v>
      </c>
      <c r="FE2481" s="8">
        <v>25</v>
      </c>
    </row>
    <row r="2482" spans="158:161" ht="74.25" customHeight="1" x14ac:dyDescent="0.2">
      <c r="FB2482" s="8" t="s">
        <v>5138</v>
      </c>
      <c r="FC2482" s="8" t="s">
        <v>5139</v>
      </c>
      <c r="FD2482" s="8">
        <v>400</v>
      </c>
      <c r="FE2482" s="8">
        <v>40</v>
      </c>
    </row>
    <row r="2483" spans="158:161" ht="74.25" customHeight="1" x14ac:dyDescent="0.2">
      <c r="FB2483" s="8" t="s">
        <v>5140</v>
      </c>
      <c r="FC2483" s="8" t="s">
        <v>5141</v>
      </c>
      <c r="FD2483" s="8">
        <v>1000</v>
      </c>
      <c r="FE2483" s="8">
        <v>100</v>
      </c>
    </row>
    <row r="2484" spans="158:161" ht="74.25" customHeight="1" x14ac:dyDescent="0.2">
      <c r="FB2484" s="8" t="s">
        <v>5142</v>
      </c>
      <c r="FC2484" s="8" t="s">
        <v>5143</v>
      </c>
      <c r="FD2484" s="8">
        <v>2</v>
      </c>
      <c r="FE2484" s="8">
        <v>0.2</v>
      </c>
    </row>
    <row r="2485" spans="158:161" ht="74.25" customHeight="1" x14ac:dyDescent="0.2">
      <c r="FB2485" s="8" t="s">
        <v>5144</v>
      </c>
      <c r="FC2485" s="8" t="s">
        <v>5145</v>
      </c>
      <c r="FD2485" s="8">
        <v>1400</v>
      </c>
      <c r="FE2485" s="8">
        <v>140</v>
      </c>
    </row>
    <row r="2486" spans="158:161" ht="74.25" customHeight="1" x14ac:dyDescent="0.2">
      <c r="FB2486" s="8" t="s">
        <v>5146</v>
      </c>
      <c r="FC2486" s="8" t="s">
        <v>5147</v>
      </c>
      <c r="FD2486" s="8">
        <v>50</v>
      </c>
      <c r="FE2486" s="8">
        <v>5</v>
      </c>
    </row>
    <row r="2487" spans="158:161" ht="74.25" customHeight="1" x14ac:dyDescent="0.2">
      <c r="FB2487" s="8" t="s">
        <v>5148</v>
      </c>
      <c r="FC2487" s="8" t="s">
        <v>5149</v>
      </c>
      <c r="FD2487" s="8">
        <v>100</v>
      </c>
      <c r="FE2487" s="8">
        <v>10</v>
      </c>
    </row>
    <row r="2488" spans="158:161" ht="74.25" customHeight="1" x14ac:dyDescent="0.2">
      <c r="FB2488" s="8" t="s">
        <v>5150</v>
      </c>
      <c r="FC2488" s="8" t="s">
        <v>5151</v>
      </c>
      <c r="FD2488" s="8">
        <v>2340</v>
      </c>
      <c r="FE2488" s="8">
        <v>234</v>
      </c>
    </row>
    <row r="2489" spans="158:161" ht="74.25" customHeight="1" x14ac:dyDescent="0.2">
      <c r="FB2489" s="8" t="s">
        <v>5152</v>
      </c>
      <c r="FC2489" s="8" t="s">
        <v>5153</v>
      </c>
      <c r="FD2489" s="8">
        <v>290</v>
      </c>
      <c r="FE2489" s="8">
        <v>3.3</v>
      </c>
    </row>
    <row r="2490" spans="158:161" ht="74.25" customHeight="1" x14ac:dyDescent="0.2">
      <c r="FB2490" s="8" t="s">
        <v>5154</v>
      </c>
      <c r="FC2490" s="8" t="s">
        <v>5155</v>
      </c>
      <c r="FD2490" s="8">
        <v>1250</v>
      </c>
      <c r="FE2490" s="8">
        <v>125</v>
      </c>
    </row>
    <row r="2491" spans="158:161" ht="74.25" customHeight="1" x14ac:dyDescent="0.2">
      <c r="FB2491" s="8" t="s">
        <v>5156</v>
      </c>
      <c r="FC2491" s="8" t="s">
        <v>5157</v>
      </c>
      <c r="FD2491" s="8">
        <v>1000</v>
      </c>
      <c r="FE2491" s="8">
        <v>100</v>
      </c>
    </row>
    <row r="2492" spans="158:161" ht="74.25" customHeight="1" x14ac:dyDescent="0.2">
      <c r="FB2492" s="8" t="s">
        <v>5158</v>
      </c>
      <c r="FC2492" s="8" t="s">
        <v>5159</v>
      </c>
      <c r="FD2492" s="8">
        <v>26</v>
      </c>
      <c r="FE2492" s="8">
        <v>50</v>
      </c>
    </row>
    <row r="2493" spans="158:161" ht="74.25" customHeight="1" x14ac:dyDescent="0.2">
      <c r="FB2493" s="8" t="s">
        <v>5160</v>
      </c>
      <c r="FC2493" s="8" t="s">
        <v>5161</v>
      </c>
      <c r="FD2493" s="8">
        <v>1000</v>
      </c>
      <c r="FE2493" s="8">
        <v>100</v>
      </c>
    </row>
    <row r="2494" spans="158:161" ht="74.25" customHeight="1" x14ac:dyDescent="0.2">
      <c r="FB2494" s="8" t="s">
        <v>5162</v>
      </c>
      <c r="FC2494" s="8" t="s">
        <v>5163</v>
      </c>
      <c r="FD2494" s="8">
        <v>1000</v>
      </c>
      <c r="FE2494" s="8">
        <v>100</v>
      </c>
    </row>
    <row r="2495" spans="158:161" ht="74.25" customHeight="1" x14ac:dyDescent="0.2">
      <c r="FB2495" s="8" t="s">
        <v>5164</v>
      </c>
      <c r="FC2495" s="8" t="s">
        <v>5165</v>
      </c>
      <c r="FD2495" s="8">
        <v>1000</v>
      </c>
      <c r="FE2495" s="8">
        <v>100</v>
      </c>
    </row>
    <row r="2496" spans="158:161" ht="74.25" customHeight="1" x14ac:dyDescent="0.2">
      <c r="FB2496" s="8" t="s">
        <v>5166</v>
      </c>
      <c r="FC2496" s="8" t="s">
        <v>5167</v>
      </c>
      <c r="FD2496" s="8">
        <v>560</v>
      </c>
      <c r="FE2496" s="8">
        <v>56</v>
      </c>
    </row>
    <row r="2497" spans="158:161" ht="74.25" customHeight="1" x14ac:dyDescent="0.2">
      <c r="FB2497" s="8" t="s">
        <v>5168</v>
      </c>
      <c r="FC2497" s="8" t="s">
        <v>5169</v>
      </c>
      <c r="FD2497" s="8">
        <v>2560</v>
      </c>
      <c r="FE2497" s="8">
        <v>256</v>
      </c>
    </row>
    <row r="2498" spans="158:161" ht="74.25" customHeight="1" x14ac:dyDescent="0.2">
      <c r="FB2498" s="8" t="s">
        <v>5170</v>
      </c>
      <c r="FC2498" s="8" t="s">
        <v>5171</v>
      </c>
      <c r="FD2498" s="8">
        <v>1000</v>
      </c>
      <c r="FE2498" s="8">
        <v>100</v>
      </c>
    </row>
    <row r="2499" spans="158:161" ht="74.25" customHeight="1" x14ac:dyDescent="0.2">
      <c r="FB2499" s="8" t="s">
        <v>5172</v>
      </c>
      <c r="FC2499" s="8" t="s">
        <v>5172</v>
      </c>
      <c r="FD2499" s="8">
        <v>1000</v>
      </c>
      <c r="FE2499" s="8">
        <v>100</v>
      </c>
    </row>
    <row r="2500" spans="158:161" ht="74.25" customHeight="1" x14ac:dyDescent="0.2">
      <c r="FB2500" s="8" t="s">
        <v>9908</v>
      </c>
      <c r="FC2500" s="8" t="s">
        <v>9908</v>
      </c>
      <c r="FD2500" s="8">
        <v>1000</v>
      </c>
      <c r="FE2500" s="8">
        <v>100</v>
      </c>
    </row>
    <row r="2501" spans="158:161" ht="74.25" customHeight="1" x14ac:dyDescent="0.2">
      <c r="FB2501" s="8" t="s">
        <v>5173</v>
      </c>
      <c r="FC2501" s="8" t="s">
        <v>5174</v>
      </c>
      <c r="FD2501" s="8">
        <v>100</v>
      </c>
      <c r="FE2501" s="8">
        <v>10</v>
      </c>
    </row>
    <row r="2502" spans="158:161" ht="74.25" customHeight="1" x14ac:dyDescent="0.2">
      <c r="FB2502" s="8" t="s">
        <v>5175</v>
      </c>
      <c r="FC2502" s="8" t="s">
        <v>5176</v>
      </c>
      <c r="FD2502" s="8">
        <v>1000</v>
      </c>
      <c r="FE2502" s="8">
        <v>100</v>
      </c>
    </row>
    <row r="2503" spans="158:161" ht="74.25" customHeight="1" x14ac:dyDescent="0.2">
      <c r="FB2503" s="8" t="s">
        <v>5177</v>
      </c>
      <c r="FC2503" s="8" t="s">
        <v>5178</v>
      </c>
      <c r="FD2503" s="8">
        <v>1000</v>
      </c>
      <c r="FE2503" s="8">
        <v>100</v>
      </c>
    </row>
    <row r="2504" spans="158:161" ht="74.25" customHeight="1" x14ac:dyDescent="0.2">
      <c r="FB2504" s="8" t="s">
        <v>5179</v>
      </c>
      <c r="FC2504" s="8" t="s">
        <v>5180</v>
      </c>
      <c r="FD2504" s="8">
        <v>1000</v>
      </c>
      <c r="FE2504" s="8">
        <v>100</v>
      </c>
    </row>
    <row r="2505" spans="158:161" ht="74.25" customHeight="1" x14ac:dyDescent="0.2">
      <c r="FB2505" s="8" t="s">
        <v>5181</v>
      </c>
      <c r="FC2505" s="8" t="s">
        <v>5182</v>
      </c>
      <c r="FD2505" s="8">
        <v>1000</v>
      </c>
      <c r="FE2505" s="8">
        <v>100</v>
      </c>
    </row>
    <row r="2506" spans="158:161" ht="74.25" customHeight="1" x14ac:dyDescent="0.2">
      <c r="FB2506" s="8" t="s">
        <v>5183</v>
      </c>
      <c r="FC2506" s="8" t="s">
        <v>5184</v>
      </c>
      <c r="FD2506" s="8">
        <v>1000</v>
      </c>
      <c r="FE2506" s="8">
        <v>100</v>
      </c>
    </row>
    <row r="2507" spans="158:161" ht="74.25" customHeight="1" x14ac:dyDescent="0.2">
      <c r="FB2507" s="8" t="s">
        <v>5185</v>
      </c>
      <c r="FC2507" s="8" t="s">
        <v>5186</v>
      </c>
      <c r="FD2507" s="8">
        <v>1000</v>
      </c>
      <c r="FE2507" s="8">
        <v>100</v>
      </c>
    </row>
    <row r="2508" spans="158:161" ht="74.25" customHeight="1" x14ac:dyDescent="0.2">
      <c r="FB2508" s="8" t="s">
        <v>5187</v>
      </c>
      <c r="FC2508" s="8" t="s">
        <v>5188</v>
      </c>
      <c r="FD2508" s="8">
        <v>1000</v>
      </c>
      <c r="FE2508" s="8">
        <v>100</v>
      </c>
    </row>
    <row r="2509" spans="158:161" ht="74.25" customHeight="1" x14ac:dyDescent="0.2">
      <c r="FB2509" s="8" t="s">
        <v>5189</v>
      </c>
      <c r="FC2509" s="8" t="s">
        <v>5190</v>
      </c>
      <c r="FD2509" s="8">
        <v>1000</v>
      </c>
      <c r="FE2509" s="8">
        <v>100</v>
      </c>
    </row>
    <row r="2510" spans="158:161" ht="74.25" customHeight="1" x14ac:dyDescent="0.2">
      <c r="FB2510" s="8" t="s">
        <v>5191</v>
      </c>
      <c r="FC2510" s="8" t="s">
        <v>5192</v>
      </c>
      <c r="FD2510" s="8">
        <v>1000</v>
      </c>
      <c r="FE2510" s="8">
        <v>100</v>
      </c>
    </row>
    <row r="2511" spans="158:161" ht="74.25" customHeight="1" x14ac:dyDescent="0.2">
      <c r="FB2511" s="8" t="s">
        <v>5193</v>
      </c>
      <c r="FC2511" s="8" t="s">
        <v>5194</v>
      </c>
      <c r="FD2511" s="8">
        <v>1000</v>
      </c>
      <c r="FE2511" s="8">
        <v>100</v>
      </c>
    </row>
    <row r="2512" spans="158:161" ht="74.25" customHeight="1" x14ac:dyDescent="0.2">
      <c r="FB2512" s="8" t="s">
        <v>5195</v>
      </c>
      <c r="FC2512" s="8" t="s">
        <v>5196</v>
      </c>
      <c r="FD2512" s="8">
        <v>1000</v>
      </c>
      <c r="FE2512" s="8">
        <v>100</v>
      </c>
    </row>
    <row r="2513" spans="158:161" ht="74.25" customHeight="1" x14ac:dyDescent="0.2">
      <c r="FB2513" s="8" t="s">
        <v>5197</v>
      </c>
      <c r="FC2513" s="8" t="s">
        <v>5198</v>
      </c>
      <c r="FD2513" s="8">
        <v>1000</v>
      </c>
      <c r="FE2513" s="8">
        <v>100</v>
      </c>
    </row>
    <row r="2514" spans="158:161" ht="74.25" customHeight="1" x14ac:dyDescent="0.2">
      <c r="FB2514" s="8" t="s">
        <v>5199</v>
      </c>
      <c r="FC2514" s="8" t="s">
        <v>5200</v>
      </c>
      <c r="FD2514" s="8">
        <v>1000</v>
      </c>
      <c r="FE2514" s="8">
        <v>100</v>
      </c>
    </row>
    <row r="2515" spans="158:161" ht="74.25" customHeight="1" x14ac:dyDescent="0.2">
      <c r="FB2515" s="8" t="s">
        <v>5201</v>
      </c>
      <c r="FC2515" s="8" t="s">
        <v>5202</v>
      </c>
      <c r="FD2515" s="8">
        <v>1000</v>
      </c>
      <c r="FE2515" s="8">
        <v>100</v>
      </c>
    </row>
    <row r="2516" spans="158:161" ht="74.25" customHeight="1" x14ac:dyDescent="0.2">
      <c r="FB2516" s="8" t="s">
        <v>5203</v>
      </c>
      <c r="FC2516" s="8" t="s">
        <v>5204</v>
      </c>
      <c r="FD2516" s="8">
        <v>1000</v>
      </c>
      <c r="FE2516" s="8">
        <v>100</v>
      </c>
    </row>
    <row r="2517" spans="158:161" ht="74.25" customHeight="1" x14ac:dyDescent="0.2">
      <c r="FB2517" s="8" t="s">
        <v>5205</v>
      </c>
      <c r="FC2517" s="8" t="s">
        <v>5206</v>
      </c>
      <c r="FD2517" s="8">
        <v>1000</v>
      </c>
      <c r="FE2517" s="8">
        <v>100</v>
      </c>
    </row>
    <row r="2518" spans="158:161" ht="74.25" customHeight="1" x14ac:dyDescent="0.2">
      <c r="FB2518" s="8" t="s">
        <v>5207</v>
      </c>
      <c r="FC2518" s="8" t="s">
        <v>5208</v>
      </c>
      <c r="FD2518" s="8">
        <v>1000</v>
      </c>
      <c r="FE2518" s="8">
        <v>100</v>
      </c>
    </row>
    <row r="2519" spans="158:161" ht="74.25" customHeight="1" x14ac:dyDescent="0.2">
      <c r="FB2519" s="8" t="s">
        <v>5209</v>
      </c>
      <c r="FC2519" s="8" t="s">
        <v>5210</v>
      </c>
      <c r="FD2519" s="8">
        <v>1000</v>
      </c>
      <c r="FE2519" s="8">
        <v>100</v>
      </c>
    </row>
    <row r="2520" spans="158:161" ht="74.25" customHeight="1" x14ac:dyDescent="0.2">
      <c r="FB2520" s="8" t="s">
        <v>5211</v>
      </c>
      <c r="FC2520" s="8" t="s">
        <v>5212</v>
      </c>
      <c r="FD2520" s="8">
        <v>1000</v>
      </c>
      <c r="FE2520" s="8">
        <v>100</v>
      </c>
    </row>
    <row r="2521" spans="158:161" ht="74.25" customHeight="1" x14ac:dyDescent="0.2">
      <c r="FB2521" s="8" t="s">
        <v>5213</v>
      </c>
      <c r="FC2521" s="8" t="s">
        <v>5214</v>
      </c>
      <c r="FD2521" s="8">
        <v>1000</v>
      </c>
      <c r="FE2521" s="8">
        <v>100</v>
      </c>
    </row>
    <row r="2522" spans="158:161" ht="74.25" customHeight="1" x14ac:dyDescent="0.2">
      <c r="FB2522" s="8" t="s">
        <v>5215</v>
      </c>
      <c r="FC2522" s="8" t="s">
        <v>5216</v>
      </c>
      <c r="FD2522" s="8">
        <v>1000</v>
      </c>
      <c r="FE2522" s="8">
        <v>100</v>
      </c>
    </row>
    <row r="2523" spans="158:161" ht="74.25" customHeight="1" x14ac:dyDescent="0.2">
      <c r="FB2523" s="8" t="s">
        <v>5217</v>
      </c>
      <c r="FC2523" s="8" t="s">
        <v>5218</v>
      </c>
      <c r="FD2523" s="8">
        <v>1000</v>
      </c>
      <c r="FE2523" s="8">
        <v>100</v>
      </c>
    </row>
    <row r="2524" spans="158:161" ht="74.25" customHeight="1" x14ac:dyDescent="0.2">
      <c r="FB2524" s="8" t="s">
        <v>5219</v>
      </c>
      <c r="FC2524" s="8" t="s">
        <v>5220</v>
      </c>
      <c r="FD2524" s="8">
        <v>1000</v>
      </c>
      <c r="FE2524" s="8">
        <v>100</v>
      </c>
    </row>
    <row r="2525" spans="158:161" ht="74.25" customHeight="1" x14ac:dyDescent="0.2">
      <c r="FB2525" s="8" t="s">
        <v>5221</v>
      </c>
      <c r="FC2525" s="8" t="s">
        <v>5222</v>
      </c>
      <c r="FD2525" s="8">
        <v>1000</v>
      </c>
      <c r="FE2525" s="8">
        <v>100</v>
      </c>
    </row>
    <row r="2526" spans="158:161" ht="74.25" customHeight="1" x14ac:dyDescent="0.2">
      <c r="FB2526" s="8" t="s">
        <v>5223</v>
      </c>
      <c r="FC2526" s="8" t="s">
        <v>5224</v>
      </c>
      <c r="FD2526" s="8">
        <v>1000</v>
      </c>
      <c r="FE2526" s="8">
        <v>100</v>
      </c>
    </row>
    <row r="2527" spans="158:161" ht="74.25" customHeight="1" x14ac:dyDescent="0.2">
      <c r="FB2527" s="8" t="s">
        <v>5225</v>
      </c>
      <c r="FC2527" s="8" t="s">
        <v>5226</v>
      </c>
      <c r="FD2527" s="8">
        <v>1000</v>
      </c>
      <c r="FE2527" s="8">
        <v>100</v>
      </c>
    </row>
    <row r="2528" spans="158:161" ht="74.25" customHeight="1" x14ac:dyDescent="0.2">
      <c r="FB2528" s="8" t="s">
        <v>5227</v>
      </c>
      <c r="FC2528" s="8" t="s">
        <v>5228</v>
      </c>
      <c r="FD2528" s="8">
        <v>1000</v>
      </c>
      <c r="FE2528" s="8">
        <v>100</v>
      </c>
    </row>
    <row r="2529" spans="158:161" ht="74.25" customHeight="1" x14ac:dyDescent="0.2">
      <c r="FB2529" s="8" t="s">
        <v>5229</v>
      </c>
      <c r="FC2529" s="8" t="s">
        <v>5230</v>
      </c>
      <c r="FD2529" s="8">
        <v>1000</v>
      </c>
      <c r="FE2529" s="8">
        <v>100</v>
      </c>
    </row>
    <row r="2530" spans="158:161" ht="74.25" customHeight="1" x14ac:dyDescent="0.2">
      <c r="FB2530" s="8" t="s">
        <v>5231</v>
      </c>
      <c r="FC2530" s="8" t="s">
        <v>5232</v>
      </c>
      <c r="FD2530" s="8">
        <v>1000</v>
      </c>
      <c r="FE2530" s="8">
        <v>100</v>
      </c>
    </row>
    <row r="2531" spans="158:161" ht="74.25" customHeight="1" x14ac:dyDescent="0.2">
      <c r="FB2531" s="8" t="s">
        <v>5233</v>
      </c>
      <c r="FC2531" s="8" t="s">
        <v>5234</v>
      </c>
      <c r="FD2531" s="8">
        <v>1000</v>
      </c>
      <c r="FE2531" s="8">
        <v>100</v>
      </c>
    </row>
    <row r="2532" spans="158:161" ht="74.25" customHeight="1" x14ac:dyDescent="0.2">
      <c r="FB2532" s="8" t="s">
        <v>5235</v>
      </c>
      <c r="FC2532" s="8" t="s">
        <v>5236</v>
      </c>
      <c r="FD2532" s="8">
        <v>1000</v>
      </c>
      <c r="FE2532" s="8">
        <v>100</v>
      </c>
    </row>
    <row r="2533" spans="158:161" ht="74.25" customHeight="1" x14ac:dyDescent="0.2">
      <c r="FB2533" s="8" t="s">
        <v>5237</v>
      </c>
      <c r="FC2533" s="8" t="s">
        <v>5238</v>
      </c>
      <c r="FD2533" s="8">
        <v>1000</v>
      </c>
      <c r="FE2533" s="8">
        <v>100</v>
      </c>
    </row>
    <row r="2534" spans="158:161" ht="74.25" customHeight="1" x14ac:dyDescent="0.2">
      <c r="FB2534" s="8" t="s">
        <v>5239</v>
      </c>
      <c r="FC2534" s="8" t="s">
        <v>5240</v>
      </c>
      <c r="FD2534" s="8">
        <v>1000</v>
      </c>
      <c r="FE2534" s="8">
        <v>100</v>
      </c>
    </row>
    <row r="2535" spans="158:161" ht="74.25" customHeight="1" x14ac:dyDescent="0.2">
      <c r="FB2535" s="8" t="s">
        <v>5241</v>
      </c>
      <c r="FC2535" s="8" t="s">
        <v>5242</v>
      </c>
      <c r="FD2535" s="8">
        <v>1000</v>
      </c>
      <c r="FE2535" s="8">
        <v>100</v>
      </c>
    </row>
    <row r="2536" spans="158:161" ht="74.25" customHeight="1" x14ac:dyDescent="0.2">
      <c r="FB2536" s="8" t="s">
        <v>5243</v>
      </c>
      <c r="FC2536" s="8" t="s">
        <v>5244</v>
      </c>
      <c r="FD2536" s="8">
        <v>1000</v>
      </c>
      <c r="FE2536" s="8">
        <v>100</v>
      </c>
    </row>
    <row r="2537" spans="158:161" ht="74.25" customHeight="1" x14ac:dyDescent="0.2">
      <c r="FB2537" s="8" t="s">
        <v>5245</v>
      </c>
      <c r="FC2537" s="8" t="s">
        <v>5246</v>
      </c>
      <c r="FD2537" s="8">
        <v>1000</v>
      </c>
      <c r="FE2537" s="8">
        <v>100</v>
      </c>
    </row>
    <row r="2538" spans="158:161" ht="74.25" customHeight="1" x14ac:dyDescent="0.2">
      <c r="FB2538" s="8" t="s">
        <v>5247</v>
      </c>
      <c r="FC2538" s="8" t="s">
        <v>5248</v>
      </c>
      <c r="FD2538" s="8">
        <v>1000</v>
      </c>
      <c r="FE2538" s="8">
        <v>100</v>
      </c>
    </row>
    <row r="2539" spans="158:161" ht="74.25" customHeight="1" x14ac:dyDescent="0.2">
      <c r="FB2539" s="8" t="s">
        <v>5249</v>
      </c>
      <c r="FC2539" s="8" t="s">
        <v>5250</v>
      </c>
      <c r="FD2539" s="8">
        <v>1000</v>
      </c>
      <c r="FE2539" s="8">
        <v>100</v>
      </c>
    </row>
    <row r="2540" spans="158:161" ht="74.25" customHeight="1" x14ac:dyDescent="0.2">
      <c r="FB2540" s="8" t="s">
        <v>5251</v>
      </c>
      <c r="FC2540" s="8" t="s">
        <v>5252</v>
      </c>
      <c r="FD2540" s="8">
        <v>1000</v>
      </c>
      <c r="FE2540" s="8">
        <v>100</v>
      </c>
    </row>
    <row r="2541" spans="158:161" ht="74.25" customHeight="1" x14ac:dyDescent="0.2">
      <c r="FB2541" s="8" t="s">
        <v>5253</v>
      </c>
      <c r="FC2541" s="8" t="s">
        <v>5254</v>
      </c>
      <c r="FD2541" s="8">
        <v>1000</v>
      </c>
      <c r="FE2541" s="8">
        <v>100</v>
      </c>
    </row>
    <row r="2542" spans="158:161" ht="74.25" customHeight="1" x14ac:dyDescent="0.2">
      <c r="FB2542" s="8" t="s">
        <v>5255</v>
      </c>
      <c r="FC2542" s="8" t="s">
        <v>5256</v>
      </c>
      <c r="FD2542" s="8">
        <v>1000</v>
      </c>
      <c r="FE2542" s="8">
        <v>100</v>
      </c>
    </row>
    <row r="2543" spans="158:161" ht="74.25" customHeight="1" x14ac:dyDescent="0.2">
      <c r="FB2543" s="8" t="s">
        <v>5257</v>
      </c>
      <c r="FC2543" s="8" t="s">
        <v>5258</v>
      </c>
      <c r="FD2543" s="8">
        <v>1000</v>
      </c>
      <c r="FE2543" s="8">
        <v>100</v>
      </c>
    </row>
    <row r="2544" spans="158:161" ht="74.25" customHeight="1" x14ac:dyDescent="0.2">
      <c r="FB2544" s="8" t="s">
        <v>5259</v>
      </c>
      <c r="FC2544" s="8" t="s">
        <v>5260</v>
      </c>
      <c r="FD2544" s="8">
        <v>1000</v>
      </c>
      <c r="FE2544" s="8">
        <v>100</v>
      </c>
    </row>
    <row r="2545" spans="158:161" ht="74.25" customHeight="1" x14ac:dyDescent="0.2">
      <c r="FB2545" s="8" t="s">
        <v>5261</v>
      </c>
      <c r="FC2545" s="8" t="s">
        <v>5262</v>
      </c>
      <c r="FD2545" s="8">
        <v>1000</v>
      </c>
      <c r="FE2545" s="8">
        <v>100</v>
      </c>
    </row>
    <row r="2546" spans="158:161" ht="74.25" customHeight="1" x14ac:dyDescent="0.2">
      <c r="FB2546" s="8" t="s">
        <v>5263</v>
      </c>
      <c r="FC2546" s="8" t="s">
        <v>5264</v>
      </c>
      <c r="FD2546" s="8">
        <v>1000</v>
      </c>
      <c r="FE2546" s="8">
        <v>100</v>
      </c>
    </row>
    <row r="2547" spans="158:161" ht="74.25" customHeight="1" x14ac:dyDescent="0.2">
      <c r="FB2547" s="8" t="s">
        <v>5265</v>
      </c>
      <c r="FC2547" s="8" t="s">
        <v>5266</v>
      </c>
      <c r="FD2547" s="8">
        <v>1000</v>
      </c>
      <c r="FE2547" s="8">
        <v>100</v>
      </c>
    </row>
    <row r="2548" spans="158:161" ht="74.25" customHeight="1" x14ac:dyDescent="0.2">
      <c r="FB2548" s="8" t="s">
        <v>5267</v>
      </c>
      <c r="FC2548" s="8" t="s">
        <v>5268</v>
      </c>
      <c r="FD2548" s="8">
        <v>1000</v>
      </c>
      <c r="FE2548" s="8">
        <v>100</v>
      </c>
    </row>
    <row r="2549" spans="158:161" ht="74.25" customHeight="1" x14ac:dyDescent="0.2">
      <c r="FB2549" s="8" t="s">
        <v>5269</v>
      </c>
      <c r="FC2549" s="8" t="s">
        <v>5270</v>
      </c>
      <c r="FD2549" s="8">
        <v>1000</v>
      </c>
      <c r="FE2549" s="8">
        <v>100</v>
      </c>
    </row>
    <row r="2550" spans="158:161" ht="74.25" customHeight="1" x14ac:dyDescent="0.2">
      <c r="FB2550" s="8" t="s">
        <v>5271</v>
      </c>
      <c r="FC2550" s="8" t="s">
        <v>5272</v>
      </c>
      <c r="FD2550" s="8">
        <v>1000</v>
      </c>
      <c r="FE2550" s="8">
        <v>100</v>
      </c>
    </row>
    <row r="2551" spans="158:161" ht="74.25" customHeight="1" x14ac:dyDescent="0.2">
      <c r="FB2551" s="8" t="s">
        <v>5273</v>
      </c>
      <c r="FC2551" s="8" t="s">
        <v>5274</v>
      </c>
      <c r="FD2551" s="8">
        <v>1000</v>
      </c>
      <c r="FE2551" s="8">
        <v>100</v>
      </c>
    </row>
    <row r="2552" spans="158:161" ht="74.25" customHeight="1" x14ac:dyDescent="0.2">
      <c r="FB2552" s="8" t="s">
        <v>5275</v>
      </c>
      <c r="FC2552" s="8" t="s">
        <v>5276</v>
      </c>
      <c r="FD2552" s="8">
        <v>1000</v>
      </c>
      <c r="FE2552" s="8">
        <v>100</v>
      </c>
    </row>
    <row r="2553" spans="158:161" ht="74.25" customHeight="1" x14ac:dyDescent="0.2">
      <c r="FB2553" s="8" t="s">
        <v>5277</v>
      </c>
      <c r="FC2553" s="8" t="s">
        <v>5278</v>
      </c>
      <c r="FD2553" s="8">
        <v>1000</v>
      </c>
      <c r="FE2553" s="8">
        <v>100</v>
      </c>
    </row>
    <row r="2554" spans="158:161" ht="74.25" customHeight="1" x14ac:dyDescent="0.2">
      <c r="FB2554" s="8" t="s">
        <v>5279</v>
      </c>
      <c r="FC2554" s="8" t="s">
        <v>5280</v>
      </c>
      <c r="FD2554" s="8">
        <v>1000</v>
      </c>
      <c r="FE2554" s="8">
        <v>100</v>
      </c>
    </row>
    <row r="2555" spans="158:161" ht="74.25" customHeight="1" x14ac:dyDescent="0.2">
      <c r="FB2555" s="8" t="s">
        <v>5281</v>
      </c>
      <c r="FC2555" s="8" t="s">
        <v>5282</v>
      </c>
      <c r="FD2555" s="8">
        <v>1000</v>
      </c>
      <c r="FE2555" s="8">
        <v>100</v>
      </c>
    </row>
    <row r="2556" spans="158:161" ht="74.25" customHeight="1" x14ac:dyDescent="0.2">
      <c r="FB2556" s="8" t="s">
        <v>5283</v>
      </c>
      <c r="FC2556" s="8" t="s">
        <v>5284</v>
      </c>
      <c r="FD2556" s="8">
        <v>1000</v>
      </c>
      <c r="FE2556" s="8">
        <v>100</v>
      </c>
    </row>
    <row r="2557" spans="158:161" ht="74.25" customHeight="1" x14ac:dyDescent="0.2">
      <c r="FB2557" s="8" t="s">
        <v>5285</v>
      </c>
      <c r="FC2557" s="8" t="s">
        <v>5286</v>
      </c>
      <c r="FD2557" s="8">
        <v>1000</v>
      </c>
      <c r="FE2557" s="8">
        <v>100</v>
      </c>
    </row>
    <row r="2558" spans="158:161" ht="74.25" customHeight="1" x14ac:dyDescent="0.2">
      <c r="FB2558" s="8" t="s">
        <v>5287</v>
      </c>
      <c r="FC2558" s="8" t="s">
        <v>5288</v>
      </c>
      <c r="FD2558" s="8">
        <v>1000</v>
      </c>
      <c r="FE2558" s="8">
        <v>100</v>
      </c>
    </row>
    <row r="2559" spans="158:161" ht="74.25" customHeight="1" x14ac:dyDescent="0.2">
      <c r="FB2559" s="8" t="s">
        <v>5289</v>
      </c>
      <c r="FC2559" s="8" t="s">
        <v>5290</v>
      </c>
      <c r="FD2559" s="8">
        <v>400</v>
      </c>
      <c r="FE2559" s="8">
        <v>40</v>
      </c>
    </row>
    <row r="2560" spans="158:161" ht="74.25" customHeight="1" x14ac:dyDescent="0.2">
      <c r="FB2560" s="8" t="s">
        <v>5291</v>
      </c>
      <c r="FC2560" s="8" t="s">
        <v>5292</v>
      </c>
      <c r="FD2560" s="8">
        <v>1000</v>
      </c>
      <c r="FE2560" s="8">
        <v>100</v>
      </c>
    </row>
    <row r="2561" spans="158:161" ht="74.25" customHeight="1" x14ac:dyDescent="0.2">
      <c r="FB2561" s="8" t="s">
        <v>5293</v>
      </c>
      <c r="FC2561" s="8" t="s">
        <v>5294</v>
      </c>
      <c r="FD2561" s="8">
        <v>1000</v>
      </c>
      <c r="FE2561" s="8">
        <v>100</v>
      </c>
    </row>
    <row r="2562" spans="158:161" ht="74.25" customHeight="1" x14ac:dyDescent="0.2">
      <c r="FB2562" s="8" t="s">
        <v>5295</v>
      </c>
      <c r="FC2562" s="8" t="s">
        <v>5296</v>
      </c>
      <c r="FD2562" s="8">
        <v>1000</v>
      </c>
      <c r="FE2562" s="8">
        <v>100</v>
      </c>
    </row>
    <row r="2563" spans="158:161" ht="74.25" customHeight="1" x14ac:dyDescent="0.2">
      <c r="FB2563" s="8" t="s">
        <v>5297</v>
      </c>
      <c r="FC2563" s="8" t="s">
        <v>5298</v>
      </c>
      <c r="FD2563" s="8">
        <v>1000</v>
      </c>
      <c r="FE2563" s="8">
        <v>100</v>
      </c>
    </row>
    <row r="2564" spans="158:161" ht="74.25" customHeight="1" x14ac:dyDescent="0.2">
      <c r="FB2564" s="8" t="s">
        <v>5299</v>
      </c>
      <c r="FC2564" s="8" t="s">
        <v>5300</v>
      </c>
      <c r="FD2564" s="8">
        <v>1000</v>
      </c>
      <c r="FE2564" s="8">
        <v>100</v>
      </c>
    </row>
    <row r="2565" spans="158:161" ht="74.25" customHeight="1" x14ac:dyDescent="0.2">
      <c r="FB2565" s="8" t="s">
        <v>5301</v>
      </c>
      <c r="FC2565" s="8" t="s">
        <v>5302</v>
      </c>
      <c r="FD2565" s="8">
        <v>1000</v>
      </c>
      <c r="FE2565" s="8">
        <v>100</v>
      </c>
    </row>
    <row r="2566" spans="158:161" ht="74.25" customHeight="1" x14ac:dyDescent="0.2">
      <c r="FB2566" s="8" t="s">
        <v>5303</v>
      </c>
      <c r="FC2566" s="8" t="s">
        <v>5304</v>
      </c>
      <c r="FD2566" s="8">
        <v>1000</v>
      </c>
      <c r="FE2566" s="8">
        <v>100</v>
      </c>
    </row>
    <row r="2567" spans="158:161" ht="74.25" customHeight="1" x14ac:dyDescent="0.2">
      <c r="FB2567" s="8" t="s">
        <v>5305</v>
      </c>
      <c r="FC2567" s="8" t="s">
        <v>5306</v>
      </c>
      <c r="FD2567" s="8">
        <v>1000</v>
      </c>
      <c r="FE2567" s="8">
        <v>100</v>
      </c>
    </row>
    <row r="2568" spans="158:161" ht="74.25" customHeight="1" x14ac:dyDescent="0.2">
      <c r="FB2568" s="8" t="s">
        <v>5307</v>
      </c>
      <c r="FC2568" s="8" t="s">
        <v>5308</v>
      </c>
      <c r="FD2568" s="8">
        <v>1000</v>
      </c>
      <c r="FE2568" s="8">
        <v>100</v>
      </c>
    </row>
    <row r="2569" spans="158:161" ht="74.25" customHeight="1" x14ac:dyDescent="0.2">
      <c r="FB2569" s="8" t="s">
        <v>5309</v>
      </c>
      <c r="FC2569" s="8" t="s">
        <v>5310</v>
      </c>
      <c r="FD2569" s="8">
        <v>1000</v>
      </c>
      <c r="FE2569" s="8">
        <v>100</v>
      </c>
    </row>
    <row r="2570" spans="158:161" ht="74.25" customHeight="1" x14ac:dyDescent="0.2">
      <c r="FB2570" s="8" t="s">
        <v>5311</v>
      </c>
      <c r="FC2570" s="8" t="s">
        <v>5312</v>
      </c>
      <c r="FD2570" s="8">
        <v>1000</v>
      </c>
      <c r="FE2570" s="8">
        <v>100</v>
      </c>
    </row>
    <row r="2571" spans="158:161" ht="74.25" customHeight="1" x14ac:dyDescent="0.2">
      <c r="FB2571" s="8" t="s">
        <v>5313</v>
      </c>
      <c r="FC2571" s="8" t="s">
        <v>5314</v>
      </c>
      <c r="FD2571" s="8">
        <v>1000</v>
      </c>
      <c r="FE2571" s="8">
        <v>100</v>
      </c>
    </row>
    <row r="2572" spans="158:161" ht="74.25" customHeight="1" x14ac:dyDescent="0.2">
      <c r="FB2572" s="8" t="s">
        <v>5315</v>
      </c>
      <c r="FC2572" s="8" t="s">
        <v>5316</v>
      </c>
      <c r="FD2572" s="8">
        <v>1000</v>
      </c>
      <c r="FE2572" s="8">
        <v>100</v>
      </c>
    </row>
    <row r="2573" spans="158:161" ht="74.25" customHeight="1" x14ac:dyDescent="0.2">
      <c r="FB2573" s="8" t="s">
        <v>5317</v>
      </c>
      <c r="FC2573" s="8" t="s">
        <v>5318</v>
      </c>
      <c r="FD2573" s="8">
        <v>400</v>
      </c>
      <c r="FE2573" s="8">
        <v>40</v>
      </c>
    </row>
    <row r="2574" spans="158:161" ht="74.25" customHeight="1" x14ac:dyDescent="0.2">
      <c r="FB2574" s="8" t="s">
        <v>5319</v>
      </c>
      <c r="FC2574" s="8" t="s">
        <v>5320</v>
      </c>
      <c r="FD2574" s="8">
        <v>1000</v>
      </c>
      <c r="FE2574" s="8">
        <v>100</v>
      </c>
    </row>
    <row r="2575" spans="158:161" ht="74.25" customHeight="1" x14ac:dyDescent="0.2">
      <c r="FB2575" s="8" t="s">
        <v>5321</v>
      </c>
      <c r="FC2575" s="8" t="s">
        <v>5322</v>
      </c>
      <c r="FD2575" s="8">
        <v>1000</v>
      </c>
      <c r="FE2575" s="8">
        <v>100</v>
      </c>
    </row>
    <row r="2576" spans="158:161" ht="74.25" customHeight="1" x14ac:dyDescent="0.2">
      <c r="FB2576" s="8" t="s">
        <v>5323</v>
      </c>
      <c r="FC2576" s="8" t="s">
        <v>5324</v>
      </c>
      <c r="FD2576" s="8">
        <v>1000</v>
      </c>
      <c r="FE2576" s="8">
        <v>100</v>
      </c>
    </row>
    <row r="2577" spans="158:161" ht="74.25" customHeight="1" x14ac:dyDescent="0.2">
      <c r="FB2577" s="8" t="s">
        <v>5325</v>
      </c>
      <c r="FC2577" s="8" t="s">
        <v>5326</v>
      </c>
      <c r="FD2577" s="8">
        <v>1000</v>
      </c>
      <c r="FE2577" s="8">
        <v>100</v>
      </c>
    </row>
    <row r="2578" spans="158:161" ht="74.25" customHeight="1" x14ac:dyDescent="0.2">
      <c r="FB2578" s="8" t="s">
        <v>5327</v>
      </c>
      <c r="FC2578" s="8" t="s">
        <v>5328</v>
      </c>
      <c r="FD2578" s="8">
        <v>1000</v>
      </c>
      <c r="FE2578" s="8">
        <v>100</v>
      </c>
    </row>
    <row r="2579" spans="158:161" ht="74.25" customHeight="1" x14ac:dyDescent="0.2">
      <c r="FB2579" s="8" t="s">
        <v>5329</v>
      </c>
      <c r="FC2579" s="8" t="s">
        <v>5330</v>
      </c>
      <c r="FD2579" s="8">
        <v>1000</v>
      </c>
      <c r="FE2579" s="8">
        <v>100</v>
      </c>
    </row>
    <row r="2580" spans="158:161" ht="74.25" customHeight="1" x14ac:dyDescent="0.2">
      <c r="FB2580" s="8" t="s">
        <v>5331</v>
      </c>
      <c r="FC2580" s="8" t="s">
        <v>5332</v>
      </c>
      <c r="FD2580" s="8">
        <v>1000</v>
      </c>
      <c r="FE2580" s="8">
        <v>100</v>
      </c>
    </row>
    <row r="2581" spans="158:161" ht="74.25" customHeight="1" x14ac:dyDescent="0.2">
      <c r="FB2581" s="8" t="s">
        <v>5333</v>
      </c>
      <c r="FC2581" s="8" t="s">
        <v>5334</v>
      </c>
      <c r="FD2581" s="8">
        <v>1000</v>
      </c>
      <c r="FE2581" s="8">
        <v>100</v>
      </c>
    </row>
    <row r="2582" spans="158:161" ht="74.25" customHeight="1" x14ac:dyDescent="0.2">
      <c r="FB2582" s="8" t="s">
        <v>5335</v>
      </c>
      <c r="FC2582" s="8" t="s">
        <v>5336</v>
      </c>
      <c r="FD2582" s="8">
        <v>1000</v>
      </c>
      <c r="FE2582" s="8">
        <v>100</v>
      </c>
    </row>
    <row r="2583" spans="158:161" ht="74.25" customHeight="1" x14ac:dyDescent="0.2">
      <c r="FB2583" s="8" t="s">
        <v>5337</v>
      </c>
      <c r="FC2583" s="8" t="s">
        <v>5338</v>
      </c>
      <c r="FD2583" s="8">
        <v>1000</v>
      </c>
      <c r="FE2583" s="8">
        <v>100</v>
      </c>
    </row>
    <row r="2584" spans="158:161" ht="74.25" customHeight="1" x14ac:dyDescent="0.2">
      <c r="FB2584" s="8" t="s">
        <v>5339</v>
      </c>
      <c r="FC2584" s="8" t="s">
        <v>5340</v>
      </c>
      <c r="FD2584" s="8">
        <v>1000</v>
      </c>
      <c r="FE2584" s="8">
        <v>100</v>
      </c>
    </row>
    <row r="2585" spans="158:161" ht="74.25" customHeight="1" x14ac:dyDescent="0.2">
      <c r="FB2585" s="8" t="s">
        <v>5341</v>
      </c>
      <c r="FC2585" s="8" t="s">
        <v>5342</v>
      </c>
      <c r="FD2585" s="8">
        <v>400</v>
      </c>
      <c r="FE2585" s="8">
        <v>40</v>
      </c>
    </row>
    <row r="2586" spans="158:161" ht="74.25" customHeight="1" x14ac:dyDescent="0.2">
      <c r="FB2586" s="8" t="s">
        <v>5343</v>
      </c>
      <c r="FC2586" s="8" t="s">
        <v>5344</v>
      </c>
      <c r="FD2586" s="8">
        <v>1000</v>
      </c>
      <c r="FE2586" s="8">
        <v>100</v>
      </c>
    </row>
    <row r="2587" spans="158:161" ht="74.25" customHeight="1" x14ac:dyDescent="0.2">
      <c r="FB2587" s="8" t="s">
        <v>5345</v>
      </c>
      <c r="FC2587" s="8" t="s">
        <v>5346</v>
      </c>
      <c r="FD2587" s="8">
        <v>1000</v>
      </c>
      <c r="FE2587" s="8">
        <v>100</v>
      </c>
    </row>
    <row r="2588" spans="158:161" ht="74.25" customHeight="1" x14ac:dyDescent="0.2">
      <c r="FB2588" s="8" t="s">
        <v>5347</v>
      </c>
      <c r="FC2588" s="8" t="s">
        <v>5348</v>
      </c>
      <c r="FD2588" s="8">
        <v>1000</v>
      </c>
      <c r="FE2588" s="8">
        <v>100</v>
      </c>
    </row>
    <row r="2589" spans="158:161" ht="74.25" customHeight="1" x14ac:dyDescent="0.2">
      <c r="FB2589" s="8" t="s">
        <v>5349</v>
      </c>
      <c r="FC2589" s="8" t="s">
        <v>5350</v>
      </c>
      <c r="FD2589" s="8">
        <v>1000</v>
      </c>
      <c r="FE2589" s="8">
        <v>100</v>
      </c>
    </row>
    <row r="2590" spans="158:161" ht="74.25" customHeight="1" x14ac:dyDescent="0.2">
      <c r="FB2590" s="8" t="s">
        <v>5351</v>
      </c>
      <c r="FC2590" s="8" t="s">
        <v>5352</v>
      </c>
      <c r="FD2590" s="8">
        <v>1000</v>
      </c>
      <c r="FE2590" s="8">
        <v>100</v>
      </c>
    </row>
    <row r="2591" spans="158:161" ht="74.25" customHeight="1" x14ac:dyDescent="0.2">
      <c r="FB2591" s="8" t="s">
        <v>5353</v>
      </c>
      <c r="FC2591" s="8" t="s">
        <v>5354</v>
      </c>
      <c r="FD2591" s="8">
        <v>1000</v>
      </c>
      <c r="FE2591" s="8">
        <v>100</v>
      </c>
    </row>
    <row r="2592" spans="158:161" ht="74.25" customHeight="1" x14ac:dyDescent="0.2">
      <c r="FB2592" s="8" t="s">
        <v>5355</v>
      </c>
      <c r="FC2592" s="8" t="s">
        <v>5356</v>
      </c>
      <c r="FD2592" s="8">
        <v>1000</v>
      </c>
      <c r="FE2592" s="8">
        <v>100</v>
      </c>
    </row>
    <row r="2593" spans="158:161" ht="74.25" customHeight="1" x14ac:dyDescent="0.2">
      <c r="FB2593" s="8" t="s">
        <v>5357</v>
      </c>
      <c r="FC2593" s="8" t="s">
        <v>5358</v>
      </c>
      <c r="FD2593" s="8">
        <v>1000</v>
      </c>
      <c r="FE2593" s="8">
        <v>100</v>
      </c>
    </row>
    <row r="2594" spans="158:161" ht="74.25" customHeight="1" x14ac:dyDescent="0.2">
      <c r="FB2594" s="8" t="s">
        <v>5359</v>
      </c>
      <c r="FC2594" s="8" t="s">
        <v>5360</v>
      </c>
      <c r="FD2594" s="8">
        <v>1000</v>
      </c>
      <c r="FE2594" s="8">
        <v>100</v>
      </c>
    </row>
    <row r="2595" spans="158:161" ht="74.25" customHeight="1" x14ac:dyDescent="0.2">
      <c r="FB2595" s="8" t="s">
        <v>5361</v>
      </c>
      <c r="FC2595" s="8" t="s">
        <v>5362</v>
      </c>
      <c r="FD2595" s="8">
        <v>1000</v>
      </c>
      <c r="FE2595" s="8">
        <v>100</v>
      </c>
    </row>
    <row r="2596" spans="158:161" ht="74.25" customHeight="1" x14ac:dyDescent="0.2">
      <c r="FB2596" s="8" t="s">
        <v>5363</v>
      </c>
      <c r="FC2596" s="8" t="s">
        <v>5363</v>
      </c>
      <c r="FD2596" s="8">
        <v>600</v>
      </c>
      <c r="FE2596" s="8">
        <v>60</v>
      </c>
    </row>
    <row r="2597" spans="158:161" ht="74.25" customHeight="1" x14ac:dyDescent="0.2">
      <c r="FB2597" s="8" t="s">
        <v>9909</v>
      </c>
      <c r="FC2597" s="8" t="s">
        <v>9909</v>
      </c>
      <c r="FD2597" s="8">
        <v>1000</v>
      </c>
      <c r="FE2597" s="8">
        <v>100</v>
      </c>
    </row>
    <row r="2598" spans="158:161" ht="74.25" customHeight="1" x14ac:dyDescent="0.2">
      <c r="FB2598" s="8" t="s">
        <v>9910</v>
      </c>
      <c r="FC2598" s="8" t="s">
        <v>9910</v>
      </c>
      <c r="FD2598" s="8">
        <v>1000</v>
      </c>
      <c r="FE2598" s="8">
        <v>100</v>
      </c>
    </row>
    <row r="2599" spans="158:161" ht="74.25" customHeight="1" x14ac:dyDescent="0.2">
      <c r="FB2599" s="8" t="s">
        <v>5364</v>
      </c>
      <c r="FC2599" s="8" t="s">
        <v>5364</v>
      </c>
      <c r="FD2599" s="8">
        <v>100</v>
      </c>
      <c r="FE2599" s="8">
        <v>10</v>
      </c>
    </row>
    <row r="2600" spans="158:161" ht="74.25" customHeight="1" x14ac:dyDescent="0.2">
      <c r="FB2600" s="8" t="s">
        <v>9911</v>
      </c>
      <c r="FC2600" s="8" t="s">
        <v>9911</v>
      </c>
      <c r="FD2600" s="8">
        <v>1000</v>
      </c>
      <c r="FE2600" s="8">
        <v>100</v>
      </c>
    </row>
    <row r="2601" spans="158:161" ht="74.25" customHeight="1" x14ac:dyDescent="0.2">
      <c r="FB2601" s="8" t="s">
        <v>5365</v>
      </c>
      <c r="FC2601" s="8" t="s">
        <v>5366</v>
      </c>
      <c r="FD2601" s="8">
        <v>0.5</v>
      </c>
      <c r="FE2601" s="8">
        <v>0.05</v>
      </c>
    </row>
    <row r="2602" spans="158:161" ht="74.25" customHeight="1" x14ac:dyDescent="0.2">
      <c r="FB2602" s="8" t="s">
        <v>5367</v>
      </c>
      <c r="FC2602" s="8" t="s">
        <v>5368</v>
      </c>
      <c r="FD2602" s="8">
        <v>50</v>
      </c>
      <c r="FE2602" s="8">
        <v>5</v>
      </c>
    </row>
    <row r="2603" spans="158:161" ht="74.25" customHeight="1" x14ac:dyDescent="0.2">
      <c r="FB2603" s="8" t="s">
        <v>5369</v>
      </c>
      <c r="FC2603" s="8" t="s">
        <v>5370</v>
      </c>
      <c r="FD2603" s="8">
        <v>1</v>
      </c>
      <c r="FE2603" s="8">
        <v>0.1</v>
      </c>
    </row>
    <row r="2604" spans="158:161" ht="74.25" customHeight="1" x14ac:dyDescent="0.2">
      <c r="FB2604" s="8" t="s">
        <v>5371</v>
      </c>
      <c r="FC2604" s="8" t="s">
        <v>5372</v>
      </c>
      <c r="FD2604" s="8">
        <v>2</v>
      </c>
      <c r="FE2604" s="8">
        <v>0.2</v>
      </c>
    </row>
    <row r="2605" spans="158:161" ht="74.25" customHeight="1" x14ac:dyDescent="0.2">
      <c r="FB2605" s="8" t="s">
        <v>5373</v>
      </c>
      <c r="FC2605" s="8" t="s">
        <v>5374</v>
      </c>
      <c r="FD2605" s="8">
        <v>240</v>
      </c>
      <c r="FE2605" s="8">
        <v>24</v>
      </c>
    </row>
    <row r="2606" spans="158:161" ht="74.25" customHeight="1" x14ac:dyDescent="0.2">
      <c r="FB2606" s="8" t="s">
        <v>5375</v>
      </c>
      <c r="FC2606" s="8" t="s">
        <v>5376</v>
      </c>
      <c r="FD2606" s="8">
        <v>30</v>
      </c>
      <c r="FE2606" s="8">
        <v>3</v>
      </c>
    </row>
    <row r="2607" spans="158:161" ht="74.25" customHeight="1" x14ac:dyDescent="0.2">
      <c r="FB2607" s="8" t="s">
        <v>5377</v>
      </c>
      <c r="FC2607" s="8" t="s">
        <v>5378</v>
      </c>
      <c r="FD2607" s="8">
        <v>50</v>
      </c>
      <c r="FE2607" s="8">
        <v>5</v>
      </c>
    </row>
    <row r="2608" spans="158:161" ht="74.25" customHeight="1" x14ac:dyDescent="0.2">
      <c r="FB2608" s="8" t="s">
        <v>5379</v>
      </c>
      <c r="FC2608" s="8" t="s">
        <v>5380</v>
      </c>
      <c r="FD2608" s="8">
        <v>2</v>
      </c>
      <c r="FE2608" s="8">
        <v>0.2</v>
      </c>
    </row>
    <row r="2609" spans="158:161" ht="74.25" customHeight="1" x14ac:dyDescent="0.2">
      <c r="FB2609" s="8" t="s">
        <v>5381</v>
      </c>
      <c r="FC2609" s="8" t="s">
        <v>5382</v>
      </c>
      <c r="FD2609" s="8">
        <v>390</v>
      </c>
      <c r="FE2609" s="8">
        <v>39</v>
      </c>
    </row>
    <row r="2610" spans="158:161" ht="74.25" customHeight="1" x14ac:dyDescent="0.2">
      <c r="FB2610" s="8" t="s">
        <v>5383</v>
      </c>
      <c r="FC2610" s="8" t="s">
        <v>9462</v>
      </c>
      <c r="FD2610" s="8">
        <v>17</v>
      </c>
      <c r="FE2610" s="8">
        <v>8.1</v>
      </c>
    </row>
    <row r="2611" spans="158:161" ht="74.25" customHeight="1" x14ac:dyDescent="0.2">
      <c r="FB2611" s="8" t="s">
        <v>5384</v>
      </c>
      <c r="FC2611" s="8" t="s">
        <v>9463</v>
      </c>
      <c r="FD2611" s="8">
        <v>2.8</v>
      </c>
      <c r="FE2611" s="8">
        <v>0.56999999999999995</v>
      </c>
    </row>
    <row r="2612" spans="158:161" ht="74.25" customHeight="1" x14ac:dyDescent="0.2">
      <c r="FB2612" s="8" t="s">
        <v>5385</v>
      </c>
      <c r="FC2612" s="8" t="s">
        <v>5386</v>
      </c>
      <c r="FD2612" s="8" t="s">
        <v>9511</v>
      </c>
      <c r="FE2612" s="8">
        <v>0.71</v>
      </c>
    </row>
    <row r="2613" spans="158:161" ht="74.25" customHeight="1" x14ac:dyDescent="0.2">
      <c r="FB2613" s="8" t="s">
        <v>5387</v>
      </c>
      <c r="FC2613" s="8" t="s">
        <v>5388</v>
      </c>
      <c r="FD2613" s="8">
        <v>10000</v>
      </c>
      <c r="FE2613" s="8">
        <v>1000</v>
      </c>
    </row>
    <row r="2614" spans="158:161" ht="74.25" customHeight="1" x14ac:dyDescent="0.2">
      <c r="FB2614" s="8" t="s">
        <v>5389</v>
      </c>
      <c r="FC2614" s="8" t="s">
        <v>5390</v>
      </c>
      <c r="FD2614" s="8">
        <v>30000</v>
      </c>
      <c r="FE2614" s="8">
        <v>3000</v>
      </c>
    </row>
    <row r="2615" spans="158:161" ht="74.25" customHeight="1" x14ac:dyDescent="0.2">
      <c r="FB2615" s="8" t="s">
        <v>5391</v>
      </c>
      <c r="FC2615" s="8" t="s">
        <v>9464</v>
      </c>
      <c r="FD2615" s="8">
        <v>17</v>
      </c>
      <c r="FE2615" s="8">
        <v>8.1</v>
      </c>
    </row>
    <row r="2616" spans="158:161" ht="74.25" customHeight="1" x14ac:dyDescent="0.2">
      <c r="FB2616" s="8" t="s">
        <v>5392</v>
      </c>
      <c r="FC2616" s="8" t="s">
        <v>9465</v>
      </c>
      <c r="FD2616" s="8">
        <v>2.8</v>
      </c>
      <c r="FE2616" s="8">
        <v>0.56999999999999995</v>
      </c>
    </row>
    <row r="2617" spans="158:161" ht="74.25" customHeight="1" x14ac:dyDescent="0.2">
      <c r="FB2617" s="8" t="s">
        <v>5393</v>
      </c>
      <c r="FC2617" s="8" t="s">
        <v>5394</v>
      </c>
      <c r="FD2617" s="8" t="s">
        <v>9511</v>
      </c>
      <c r="FE2617" s="8">
        <v>0.71</v>
      </c>
    </row>
    <row r="2618" spans="158:161" ht="74.25" customHeight="1" x14ac:dyDescent="0.2">
      <c r="FB2618" s="8" t="s">
        <v>5395</v>
      </c>
      <c r="FC2618" s="8" t="s">
        <v>9466</v>
      </c>
      <c r="FD2618" s="8">
        <v>17</v>
      </c>
      <c r="FE2618" s="8">
        <v>8.1</v>
      </c>
    </row>
    <row r="2619" spans="158:161" ht="74.25" customHeight="1" x14ac:dyDescent="0.2">
      <c r="FB2619" s="8" t="s">
        <v>5396</v>
      </c>
      <c r="FC2619" s="8" t="s">
        <v>9467</v>
      </c>
      <c r="FD2619" s="8">
        <v>2.8</v>
      </c>
      <c r="FE2619" s="8">
        <v>0.56999999999999995</v>
      </c>
    </row>
    <row r="2620" spans="158:161" ht="74.25" customHeight="1" x14ac:dyDescent="0.2">
      <c r="FB2620" s="8" t="s">
        <v>5397</v>
      </c>
      <c r="FC2620" s="8" t="s">
        <v>5398</v>
      </c>
      <c r="FD2620" s="8" t="s">
        <v>9511</v>
      </c>
      <c r="FE2620" s="8">
        <v>0.71</v>
      </c>
    </row>
    <row r="2621" spans="158:161" ht="74.25" customHeight="1" x14ac:dyDescent="0.2">
      <c r="FB2621" s="8" t="s">
        <v>5399</v>
      </c>
      <c r="FC2621" s="8" t="s">
        <v>9468</v>
      </c>
      <c r="FD2621" s="8">
        <v>17</v>
      </c>
      <c r="FE2621" s="8">
        <v>8.1</v>
      </c>
    </row>
    <row r="2622" spans="158:161" ht="74.25" customHeight="1" x14ac:dyDescent="0.2">
      <c r="FB2622" s="8" t="s">
        <v>5400</v>
      </c>
      <c r="FC2622" s="8" t="s">
        <v>9469</v>
      </c>
      <c r="FD2622" s="8">
        <v>2.8</v>
      </c>
      <c r="FE2622" s="8">
        <v>0.56999999999999995</v>
      </c>
    </row>
    <row r="2623" spans="158:161" ht="74.25" customHeight="1" x14ac:dyDescent="0.2">
      <c r="FB2623" s="8" t="s">
        <v>5401</v>
      </c>
      <c r="FC2623" s="8" t="s">
        <v>5402</v>
      </c>
      <c r="FD2623" s="8" t="s">
        <v>9511</v>
      </c>
      <c r="FE2623" s="8">
        <v>0.71</v>
      </c>
    </row>
    <row r="2624" spans="158:161" ht="74.25" customHeight="1" x14ac:dyDescent="0.2">
      <c r="FB2624" s="8" t="s">
        <v>5403</v>
      </c>
      <c r="FC2624" s="8" t="s">
        <v>9470</v>
      </c>
      <c r="FD2624" s="8">
        <v>17</v>
      </c>
      <c r="FE2624" s="8">
        <v>8.1</v>
      </c>
    </row>
    <row r="2625" spans="158:161" ht="74.25" customHeight="1" x14ac:dyDescent="0.2">
      <c r="FB2625" s="8" t="s">
        <v>5404</v>
      </c>
      <c r="FC2625" s="8" t="s">
        <v>9471</v>
      </c>
      <c r="FD2625" s="8">
        <v>2.8</v>
      </c>
      <c r="FE2625" s="8">
        <v>0.56999999999999995</v>
      </c>
    </row>
    <row r="2626" spans="158:161" ht="74.25" customHeight="1" x14ac:dyDescent="0.2">
      <c r="FB2626" s="8" t="s">
        <v>5405</v>
      </c>
      <c r="FC2626" s="8" t="s">
        <v>5406</v>
      </c>
      <c r="FD2626" s="8" t="s">
        <v>9511</v>
      </c>
      <c r="FE2626" s="8">
        <v>0.71</v>
      </c>
    </row>
    <row r="2627" spans="158:161" ht="74.25" customHeight="1" x14ac:dyDescent="0.2">
      <c r="FB2627" s="8" t="s">
        <v>5407</v>
      </c>
      <c r="FC2627" s="8" t="s">
        <v>5408</v>
      </c>
      <c r="FD2627" s="8">
        <v>100</v>
      </c>
      <c r="FE2627" s="8">
        <v>10</v>
      </c>
    </row>
    <row r="2628" spans="158:161" ht="74.25" customHeight="1" x14ac:dyDescent="0.2">
      <c r="FB2628" s="8" t="s">
        <v>5409</v>
      </c>
      <c r="FC2628" s="8" t="s">
        <v>5410</v>
      </c>
      <c r="FD2628" s="8">
        <v>15</v>
      </c>
      <c r="FE2628" s="8">
        <v>3.3</v>
      </c>
    </row>
    <row r="2629" spans="158:161" ht="74.25" customHeight="1" x14ac:dyDescent="0.2">
      <c r="FB2629" s="8" t="s">
        <v>5411</v>
      </c>
      <c r="FC2629" s="8" t="s">
        <v>5412</v>
      </c>
      <c r="FD2629" s="8">
        <v>2300</v>
      </c>
      <c r="FE2629" s="8">
        <v>230</v>
      </c>
    </row>
    <row r="2630" spans="158:161" ht="74.25" customHeight="1" x14ac:dyDescent="0.2">
      <c r="FB2630" s="8" t="s">
        <v>5413</v>
      </c>
      <c r="FC2630" s="8" t="s">
        <v>5413</v>
      </c>
      <c r="FD2630" s="8">
        <v>30</v>
      </c>
      <c r="FE2630" s="8">
        <v>6.6</v>
      </c>
    </row>
    <row r="2631" spans="158:161" ht="74.25" customHeight="1" x14ac:dyDescent="0.2">
      <c r="FB2631" s="8" t="s">
        <v>5414</v>
      </c>
      <c r="FC2631" s="8" t="s">
        <v>5415</v>
      </c>
      <c r="FD2631" s="8">
        <v>180</v>
      </c>
      <c r="FE2631" s="8">
        <v>18</v>
      </c>
    </row>
    <row r="2632" spans="158:161" ht="74.25" customHeight="1" x14ac:dyDescent="0.2">
      <c r="FB2632" s="8" t="s">
        <v>5416</v>
      </c>
      <c r="FC2632" s="8" t="s">
        <v>5417</v>
      </c>
      <c r="FD2632" s="8">
        <v>90</v>
      </c>
      <c r="FE2632" s="8">
        <v>9</v>
      </c>
    </row>
    <row r="2633" spans="158:161" ht="74.25" customHeight="1" x14ac:dyDescent="0.2">
      <c r="FB2633" s="8" t="s">
        <v>5418</v>
      </c>
      <c r="FC2633" s="8" t="s">
        <v>5419</v>
      </c>
      <c r="FD2633" s="8">
        <v>2450</v>
      </c>
      <c r="FE2633" s="8">
        <v>245</v>
      </c>
    </row>
    <row r="2634" spans="158:161" ht="74.25" customHeight="1" x14ac:dyDescent="0.2">
      <c r="FB2634" s="8" t="s">
        <v>5420</v>
      </c>
      <c r="FC2634" s="8" t="s">
        <v>5420</v>
      </c>
      <c r="FD2634" s="8">
        <v>1000</v>
      </c>
      <c r="FE2634" s="8">
        <v>100</v>
      </c>
    </row>
    <row r="2635" spans="158:161" ht="74.25" customHeight="1" x14ac:dyDescent="0.2">
      <c r="FB2635" s="8" t="s">
        <v>5421</v>
      </c>
      <c r="FC2635" s="8" t="s">
        <v>5421</v>
      </c>
      <c r="FD2635" s="8">
        <v>38000</v>
      </c>
      <c r="FE2635" s="8">
        <v>3800</v>
      </c>
    </row>
    <row r="2636" spans="158:161" ht="74.25" customHeight="1" x14ac:dyDescent="0.2">
      <c r="FB2636" s="8" t="s">
        <v>5422</v>
      </c>
      <c r="FC2636" s="8" t="s">
        <v>5422</v>
      </c>
      <c r="FD2636" s="8">
        <v>10000</v>
      </c>
      <c r="FE2636" s="8">
        <v>1000</v>
      </c>
    </row>
    <row r="2637" spans="158:161" ht="74.25" customHeight="1" x14ac:dyDescent="0.2">
      <c r="FB2637" s="8" t="s">
        <v>5423</v>
      </c>
      <c r="FC2637" s="8" t="s">
        <v>5423</v>
      </c>
      <c r="FD2637" s="8">
        <v>1000</v>
      </c>
      <c r="FE2637" s="8">
        <v>100</v>
      </c>
    </row>
    <row r="2638" spans="158:161" ht="74.25" customHeight="1" x14ac:dyDescent="0.2">
      <c r="FB2638" s="8" t="s">
        <v>5424</v>
      </c>
      <c r="FC2638" s="8" t="s">
        <v>5425</v>
      </c>
      <c r="FD2638" s="8">
        <v>1000</v>
      </c>
      <c r="FE2638" s="8">
        <v>100</v>
      </c>
    </row>
    <row r="2639" spans="158:161" ht="74.25" customHeight="1" x14ac:dyDescent="0.2">
      <c r="FB2639" s="8" t="s">
        <v>5426</v>
      </c>
      <c r="FC2639" s="8" t="s">
        <v>5427</v>
      </c>
      <c r="FD2639" s="8">
        <v>1000</v>
      </c>
      <c r="FE2639" s="8">
        <v>100</v>
      </c>
    </row>
    <row r="2640" spans="158:161" ht="74.25" customHeight="1" x14ac:dyDescent="0.2">
      <c r="FB2640" s="8" t="s">
        <v>5428</v>
      </c>
      <c r="FC2640" s="8" t="s">
        <v>5429</v>
      </c>
      <c r="FD2640" s="8">
        <v>1000</v>
      </c>
      <c r="FE2640" s="8">
        <v>100</v>
      </c>
    </row>
    <row r="2641" spans="158:161" ht="74.25" customHeight="1" x14ac:dyDescent="0.2">
      <c r="FB2641" s="8" t="s">
        <v>5430</v>
      </c>
      <c r="FC2641" s="8" t="s">
        <v>5430</v>
      </c>
      <c r="FD2641" s="8">
        <v>1000</v>
      </c>
      <c r="FE2641" s="8">
        <v>100</v>
      </c>
    </row>
    <row r="2642" spans="158:161" ht="74.25" customHeight="1" x14ac:dyDescent="0.2">
      <c r="FB2642" s="8" t="s">
        <v>5431</v>
      </c>
      <c r="FC2642" s="8" t="s">
        <v>5431</v>
      </c>
      <c r="FD2642" s="8">
        <v>2100</v>
      </c>
      <c r="FE2642" s="8">
        <v>56</v>
      </c>
    </row>
    <row r="2643" spans="158:161" ht="74.25" customHeight="1" x14ac:dyDescent="0.2">
      <c r="FB2643" s="8" t="s">
        <v>5432</v>
      </c>
      <c r="FC2643" s="8" t="s">
        <v>5433</v>
      </c>
      <c r="FD2643" s="8">
        <v>60</v>
      </c>
      <c r="FE2643" s="8">
        <v>6</v>
      </c>
    </row>
    <row r="2644" spans="158:161" ht="74.25" customHeight="1" x14ac:dyDescent="0.2">
      <c r="FB2644" s="8" t="s">
        <v>5434</v>
      </c>
      <c r="FC2644" s="8" t="s">
        <v>5435</v>
      </c>
      <c r="FD2644" s="8">
        <v>280</v>
      </c>
      <c r="FE2644" s="8">
        <v>28</v>
      </c>
    </row>
    <row r="2645" spans="158:161" ht="74.25" customHeight="1" x14ac:dyDescent="0.2">
      <c r="FB2645" s="8" t="s">
        <v>5436</v>
      </c>
      <c r="FC2645" s="8" t="s">
        <v>5437</v>
      </c>
      <c r="FD2645" s="8">
        <v>80</v>
      </c>
      <c r="FE2645" s="8">
        <v>8</v>
      </c>
    </row>
    <row r="2646" spans="158:161" ht="74.25" customHeight="1" x14ac:dyDescent="0.2">
      <c r="FB2646" s="8" t="s">
        <v>5438</v>
      </c>
      <c r="FC2646" s="8" t="s">
        <v>5439</v>
      </c>
      <c r="FD2646" s="8">
        <v>400</v>
      </c>
      <c r="FE2646" s="8">
        <v>40</v>
      </c>
    </row>
    <row r="2647" spans="158:161" ht="74.25" customHeight="1" x14ac:dyDescent="0.2">
      <c r="FB2647" s="8" t="s">
        <v>5440</v>
      </c>
      <c r="FC2647" s="8" t="s">
        <v>5441</v>
      </c>
      <c r="FD2647" s="8">
        <v>50</v>
      </c>
      <c r="FE2647" s="8">
        <v>5</v>
      </c>
    </row>
    <row r="2648" spans="158:161" ht="74.25" customHeight="1" x14ac:dyDescent="0.2">
      <c r="FB2648" s="8" t="s">
        <v>5442</v>
      </c>
      <c r="FC2648" s="8" t="s">
        <v>5443</v>
      </c>
      <c r="FD2648" s="8">
        <v>410</v>
      </c>
      <c r="FE2648" s="8">
        <v>41</v>
      </c>
    </row>
    <row r="2649" spans="158:161" ht="74.25" customHeight="1" x14ac:dyDescent="0.2">
      <c r="FB2649" s="8" t="s">
        <v>5444</v>
      </c>
      <c r="FC2649" s="8" t="s">
        <v>5445</v>
      </c>
      <c r="FD2649" s="8">
        <v>1000</v>
      </c>
      <c r="FE2649" s="8">
        <v>100</v>
      </c>
    </row>
    <row r="2650" spans="158:161" ht="74.25" customHeight="1" x14ac:dyDescent="0.2">
      <c r="FB2650" s="8" t="s">
        <v>5446</v>
      </c>
      <c r="FC2650" s="8" t="s">
        <v>5447</v>
      </c>
      <c r="FD2650" s="8">
        <v>1000</v>
      </c>
      <c r="FE2650" s="8">
        <v>100</v>
      </c>
    </row>
    <row r="2651" spans="158:161" ht="74.25" customHeight="1" x14ac:dyDescent="0.2">
      <c r="FB2651" s="8" t="s">
        <v>5448</v>
      </c>
      <c r="FC2651" s="8" t="s">
        <v>5449</v>
      </c>
      <c r="FD2651" s="8">
        <v>180</v>
      </c>
      <c r="FE2651" s="8">
        <v>18</v>
      </c>
    </row>
    <row r="2652" spans="158:161" ht="74.25" customHeight="1" x14ac:dyDescent="0.2">
      <c r="FB2652" s="8" t="s">
        <v>5450</v>
      </c>
      <c r="FC2652" s="8" t="s">
        <v>5451</v>
      </c>
      <c r="FD2652" s="8">
        <v>720</v>
      </c>
      <c r="FE2652" s="8">
        <v>72</v>
      </c>
    </row>
    <row r="2653" spans="158:161" ht="74.25" customHeight="1" x14ac:dyDescent="0.2">
      <c r="FB2653" s="8" t="s">
        <v>5452</v>
      </c>
      <c r="FC2653" s="8" t="s">
        <v>5453</v>
      </c>
      <c r="FD2653" s="8">
        <v>720</v>
      </c>
      <c r="FE2653" s="8">
        <v>72</v>
      </c>
    </row>
    <row r="2654" spans="158:161" ht="74.25" customHeight="1" x14ac:dyDescent="0.2">
      <c r="FB2654" s="8" t="s">
        <v>5454</v>
      </c>
      <c r="FC2654" s="8" t="s">
        <v>5455</v>
      </c>
      <c r="FD2654" s="8">
        <v>200</v>
      </c>
      <c r="FE2654" s="8">
        <v>48</v>
      </c>
    </row>
    <row r="2655" spans="158:161" ht="74.25" customHeight="1" x14ac:dyDescent="0.2">
      <c r="FB2655" s="8" t="s">
        <v>5456</v>
      </c>
      <c r="FC2655" s="8" t="s">
        <v>5457</v>
      </c>
      <c r="FD2655" s="8">
        <v>720</v>
      </c>
      <c r="FE2655" s="8">
        <v>72</v>
      </c>
    </row>
    <row r="2656" spans="158:161" ht="74.25" customHeight="1" x14ac:dyDescent="0.2">
      <c r="FB2656" s="8" t="s">
        <v>5458</v>
      </c>
      <c r="FC2656" s="8" t="s">
        <v>5459</v>
      </c>
      <c r="FD2656" s="8">
        <v>1120</v>
      </c>
      <c r="FE2656" s="8">
        <v>112</v>
      </c>
    </row>
    <row r="2657" spans="158:161" ht="74.25" customHeight="1" x14ac:dyDescent="0.2">
      <c r="FB2657" s="8" t="s">
        <v>5460</v>
      </c>
      <c r="FC2657" s="8" t="s">
        <v>5461</v>
      </c>
      <c r="FD2657" s="8">
        <v>720</v>
      </c>
      <c r="FE2657" s="8">
        <v>72</v>
      </c>
    </row>
    <row r="2658" spans="158:161" ht="74.25" customHeight="1" x14ac:dyDescent="0.2">
      <c r="FB2658" s="8" t="s">
        <v>5462</v>
      </c>
      <c r="FC2658" s="8" t="s">
        <v>5463</v>
      </c>
      <c r="FD2658" s="8">
        <v>1000</v>
      </c>
      <c r="FE2658" s="8">
        <v>100</v>
      </c>
    </row>
    <row r="2659" spans="158:161" ht="74.25" customHeight="1" x14ac:dyDescent="0.2">
      <c r="FB2659" s="8" t="s">
        <v>290</v>
      </c>
      <c r="FC2659" s="8" t="s">
        <v>5464</v>
      </c>
      <c r="FD2659" s="8">
        <v>3500</v>
      </c>
      <c r="FE2659" s="8">
        <v>350</v>
      </c>
    </row>
    <row r="2660" spans="158:161" ht="74.25" customHeight="1" x14ac:dyDescent="0.2">
      <c r="FB2660" s="8" t="s">
        <v>5465</v>
      </c>
      <c r="FC2660" s="8" t="s">
        <v>5466</v>
      </c>
      <c r="FD2660" s="8">
        <v>3500</v>
      </c>
      <c r="FE2660" s="8">
        <v>350</v>
      </c>
    </row>
    <row r="2661" spans="158:161" ht="74.25" customHeight="1" x14ac:dyDescent="0.2">
      <c r="FB2661" s="8" t="s">
        <v>9912</v>
      </c>
      <c r="FC2661" s="8" t="s">
        <v>9912</v>
      </c>
      <c r="FD2661" s="8">
        <v>1000</v>
      </c>
      <c r="FE2661" s="8">
        <v>100</v>
      </c>
    </row>
    <row r="2662" spans="158:161" ht="74.25" customHeight="1" x14ac:dyDescent="0.2">
      <c r="FB2662" s="8" t="s">
        <v>5467</v>
      </c>
      <c r="FC2662" s="8" t="s">
        <v>5468</v>
      </c>
      <c r="FD2662" s="8">
        <v>240</v>
      </c>
      <c r="FE2662" s="8">
        <v>6.4</v>
      </c>
    </row>
    <row r="2663" spans="158:161" ht="74.25" customHeight="1" x14ac:dyDescent="0.2">
      <c r="FB2663" s="8" t="s">
        <v>5469</v>
      </c>
      <c r="FC2663" s="8" t="s">
        <v>5470</v>
      </c>
      <c r="FD2663" s="8">
        <v>2000</v>
      </c>
      <c r="FE2663" s="8">
        <v>200</v>
      </c>
    </row>
    <row r="2664" spans="158:161" ht="74.25" customHeight="1" x14ac:dyDescent="0.2">
      <c r="FB2664" s="8" t="s">
        <v>5471</v>
      </c>
      <c r="FC2664" s="8" t="s">
        <v>5472</v>
      </c>
      <c r="FD2664" s="8">
        <v>6</v>
      </c>
      <c r="FE2664" s="8">
        <v>0.6</v>
      </c>
    </row>
    <row r="2665" spans="158:161" ht="74.25" customHeight="1" x14ac:dyDescent="0.2">
      <c r="FB2665" s="8" t="s">
        <v>5473</v>
      </c>
      <c r="FC2665" s="8" t="s">
        <v>5474</v>
      </c>
      <c r="FD2665" s="8">
        <v>6</v>
      </c>
      <c r="FE2665" s="8">
        <v>0.6</v>
      </c>
    </row>
    <row r="2666" spans="158:161" ht="74.25" customHeight="1" x14ac:dyDescent="0.2">
      <c r="FB2666" s="8" t="s">
        <v>5475</v>
      </c>
      <c r="FC2666" s="8" t="s">
        <v>5476</v>
      </c>
      <c r="FD2666" s="8">
        <v>6</v>
      </c>
      <c r="FE2666" s="8">
        <v>0.6</v>
      </c>
    </row>
    <row r="2667" spans="158:161" ht="74.25" customHeight="1" x14ac:dyDescent="0.2">
      <c r="FB2667" s="8" t="s">
        <v>5477</v>
      </c>
      <c r="FC2667" s="8" t="s">
        <v>5478</v>
      </c>
      <c r="FD2667" s="8">
        <v>32</v>
      </c>
      <c r="FE2667" s="8">
        <v>3.2</v>
      </c>
    </row>
    <row r="2668" spans="158:161" ht="74.25" customHeight="1" x14ac:dyDescent="0.2">
      <c r="FB2668" s="8" t="s">
        <v>5479</v>
      </c>
      <c r="FC2668" s="8" t="s">
        <v>5480</v>
      </c>
      <c r="FD2668" s="8">
        <v>2</v>
      </c>
      <c r="FE2668" s="8">
        <v>0.2</v>
      </c>
    </row>
    <row r="2669" spans="158:161" ht="74.25" customHeight="1" x14ac:dyDescent="0.2">
      <c r="FB2669" s="8" t="s">
        <v>5481</v>
      </c>
      <c r="FC2669" s="8" t="s">
        <v>5482</v>
      </c>
      <c r="FD2669" s="8">
        <v>100</v>
      </c>
      <c r="FE2669" s="8">
        <v>10</v>
      </c>
    </row>
    <row r="2670" spans="158:161" ht="74.25" customHeight="1" x14ac:dyDescent="0.2">
      <c r="FB2670" s="8" t="s">
        <v>5483</v>
      </c>
      <c r="FC2670" s="8" t="s">
        <v>5484</v>
      </c>
      <c r="FD2670" s="8">
        <v>100</v>
      </c>
      <c r="FE2670" s="8">
        <v>10</v>
      </c>
    </row>
    <row r="2671" spans="158:161" ht="74.25" customHeight="1" x14ac:dyDescent="0.2">
      <c r="FB2671" s="8" t="s">
        <v>5485</v>
      </c>
      <c r="FC2671" s="8" t="s">
        <v>5486</v>
      </c>
      <c r="FD2671" s="8">
        <v>1000</v>
      </c>
      <c r="FE2671" s="8">
        <v>100</v>
      </c>
    </row>
    <row r="2672" spans="158:161" ht="74.25" customHeight="1" x14ac:dyDescent="0.2">
      <c r="FB2672" s="8" t="s">
        <v>5487</v>
      </c>
      <c r="FC2672" s="8" t="s">
        <v>5488</v>
      </c>
      <c r="FD2672" s="8">
        <v>1000</v>
      </c>
      <c r="FE2672" s="8">
        <v>100</v>
      </c>
    </row>
    <row r="2673" spans="158:161" ht="74.25" customHeight="1" x14ac:dyDescent="0.2">
      <c r="FB2673" s="8" t="s">
        <v>5489</v>
      </c>
      <c r="FC2673" s="8" t="s">
        <v>5490</v>
      </c>
      <c r="FD2673" s="8">
        <v>1000</v>
      </c>
      <c r="FE2673" s="8">
        <v>100</v>
      </c>
    </row>
    <row r="2674" spans="158:161" ht="74.25" customHeight="1" x14ac:dyDescent="0.2">
      <c r="FB2674" s="8" t="s">
        <v>5491</v>
      </c>
      <c r="FC2674" s="8" t="s">
        <v>5492</v>
      </c>
      <c r="FD2674" s="8">
        <v>10</v>
      </c>
      <c r="FE2674" s="8">
        <v>1</v>
      </c>
    </row>
    <row r="2675" spans="158:161" ht="74.25" customHeight="1" x14ac:dyDescent="0.2">
      <c r="FB2675" s="8" t="s">
        <v>5493</v>
      </c>
      <c r="FC2675" s="8" t="s">
        <v>5494</v>
      </c>
      <c r="FD2675" s="8">
        <v>100</v>
      </c>
      <c r="FE2675" s="8">
        <v>10</v>
      </c>
    </row>
    <row r="2676" spans="158:161" ht="74.25" customHeight="1" x14ac:dyDescent="0.2">
      <c r="FB2676" s="8" t="s">
        <v>5495</v>
      </c>
      <c r="FC2676" s="8" t="s">
        <v>5496</v>
      </c>
      <c r="FD2676" s="8">
        <v>220</v>
      </c>
      <c r="FE2676" s="8">
        <v>22</v>
      </c>
    </row>
    <row r="2677" spans="158:161" ht="74.25" customHeight="1" x14ac:dyDescent="0.2">
      <c r="FB2677" s="8" t="s">
        <v>5497</v>
      </c>
      <c r="FC2677" s="8" t="s">
        <v>5498</v>
      </c>
      <c r="FD2677" s="8">
        <v>61</v>
      </c>
      <c r="FE2677" s="8">
        <v>6.1</v>
      </c>
    </row>
    <row r="2678" spans="158:161" ht="74.25" customHeight="1" x14ac:dyDescent="0.2">
      <c r="FB2678" s="8" t="s">
        <v>5499</v>
      </c>
      <c r="FC2678" s="8" t="s">
        <v>5500</v>
      </c>
      <c r="FD2678" s="8">
        <v>1000</v>
      </c>
      <c r="FE2678" s="8">
        <v>100</v>
      </c>
    </row>
    <row r="2679" spans="158:161" ht="74.25" customHeight="1" x14ac:dyDescent="0.2">
      <c r="FB2679" s="8" t="s">
        <v>5501</v>
      </c>
      <c r="FC2679" s="8" t="s">
        <v>5502</v>
      </c>
      <c r="FD2679" s="8">
        <v>1000</v>
      </c>
      <c r="FE2679" s="8">
        <v>100</v>
      </c>
    </row>
    <row r="2680" spans="158:161" ht="74.25" customHeight="1" x14ac:dyDescent="0.2">
      <c r="FB2680" s="8" t="s">
        <v>5503</v>
      </c>
      <c r="FC2680" s="8" t="s">
        <v>5504</v>
      </c>
      <c r="FD2680" s="8">
        <v>1860</v>
      </c>
      <c r="FE2680" s="8">
        <v>186</v>
      </c>
    </row>
    <row r="2681" spans="158:161" ht="74.25" customHeight="1" x14ac:dyDescent="0.2">
      <c r="FB2681" s="8" t="s">
        <v>5505</v>
      </c>
      <c r="FC2681" s="8" t="s">
        <v>5505</v>
      </c>
      <c r="FD2681" s="8">
        <v>1000</v>
      </c>
      <c r="FE2681" s="8">
        <v>100</v>
      </c>
    </row>
    <row r="2682" spans="158:161" ht="74.25" customHeight="1" x14ac:dyDescent="0.2">
      <c r="FB2682" s="8" t="s">
        <v>5506</v>
      </c>
      <c r="FC2682" s="8" t="s">
        <v>5507</v>
      </c>
      <c r="FD2682" s="8">
        <v>50</v>
      </c>
      <c r="FE2682" s="8">
        <v>5</v>
      </c>
    </row>
    <row r="2683" spans="158:161" ht="74.25" customHeight="1" x14ac:dyDescent="0.2">
      <c r="FB2683" s="8" t="s">
        <v>5508</v>
      </c>
      <c r="FC2683" s="8" t="s">
        <v>5509</v>
      </c>
      <c r="FD2683" s="8">
        <v>250</v>
      </c>
      <c r="FE2683" s="8">
        <v>25</v>
      </c>
    </row>
    <row r="2684" spans="158:161" ht="74.25" customHeight="1" x14ac:dyDescent="0.2">
      <c r="FB2684" s="8" t="s">
        <v>5510</v>
      </c>
      <c r="FC2684" s="8" t="s">
        <v>5511</v>
      </c>
      <c r="FD2684" s="8">
        <v>50</v>
      </c>
      <c r="FE2684" s="8">
        <v>5</v>
      </c>
    </row>
    <row r="2685" spans="158:161" ht="74.25" customHeight="1" x14ac:dyDescent="0.2">
      <c r="FB2685" s="8" t="s">
        <v>5512</v>
      </c>
      <c r="FC2685" s="8" t="s">
        <v>5513</v>
      </c>
      <c r="FD2685" s="8">
        <v>1</v>
      </c>
      <c r="FE2685" s="8">
        <v>0.1</v>
      </c>
    </row>
    <row r="2686" spans="158:161" ht="74.25" customHeight="1" x14ac:dyDescent="0.2">
      <c r="FB2686" s="8" t="s">
        <v>5514</v>
      </c>
      <c r="FC2686" s="8" t="s">
        <v>5515</v>
      </c>
      <c r="FD2686" s="8">
        <v>75</v>
      </c>
      <c r="FE2686" s="8">
        <v>7.5</v>
      </c>
    </row>
    <row r="2687" spans="158:161" ht="74.25" customHeight="1" x14ac:dyDescent="0.2">
      <c r="FB2687" s="8" t="s">
        <v>5516</v>
      </c>
      <c r="FC2687" s="8" t="s">
        <v>5517</v>
      </c>
      <c r="FD2687" s="8">
        <v>175</v>
      </c>
      <c r="FE2687" s="8">
        <v>17.5</v>
      </c>
    </row>
    <row r="2688" spans="158:161" ht="74.25" customHeight="1" x14ac:dyDescent="0.2">
      <c r="FB2688" s="8" t="s">
        <v>5518</v>
      </c>
      <c r="FC2688" s="8" t="s">
        <v>5519</v>
      </c>
      <c r="FD2688" s="8">
        <v>1100</v>
      </c>
      <c r="FE2688" s="8">
        <v>110</v>
      </c>
    </row>
    <row r="2689" spans="158:161" ht="74.25" customHeight="1" x14ac:dyDescent="0.2">
      <c r="FB2689" s="8" t="s">
        <v>5520</v>
      </c>
      <c r="FC2689" s="8" t="s">
        <v>5521</v>
      </c>
      <c r="FD2689" s="8">
        <v>50</v>
      </c>
      <c r="FE2689" s="8">
        <v>5</v>
      </c>
    </row>
    <row r="2690" spans="158:161" ht="74.25" customHeight="1" x14ac:dyDescent="0.2">
      <c r="FB2690" s="8" t="s">
        <v>5522</v>
      </c>
      <c r="FC2690" s="8" t="s">
        <v>5523</v>
      </c>
      <c r="FD2690" s="8">
        <v>29</v>
      </c>
      <c r="FE2690" s="8">
        <v>3</v>
      </c>
    </row>
    <row r="2691" spans="158:161" ht="74.25" customHeight="1" x14ac:dyDescent="0.2">
      <c r="FB2691" s="8" t="s">
        <v>5524</v>
      </c>
      <c r="FC2691" s="8" t="s">
        <v>5525</v>
      </c>
      <c r="FD2691" s="8">
        <v>160</v>
      </c>
      <c r="FE2691" s="8">
        <v>16</v>
      </c>
    </row>
    <row r="2692" spans="158:161" ht="74.25" customHeight="1" x14ac:dyDescent="0.2">
      <c r="FB2692" s="8" t="s">
        <v>5526</v>
      </c>
      <c r="FC2692" s="8" t="s">
        <v>9472</v>
      </c>
      <c r="FD2692" s="8">
        <v>17</v>
      </c>
      <c r="FE2692" s="8">
        <v>8.1</v>
      </c>
    </row>
    <row r="2693" spans="158:161" ht="74.25" customHeight="1" x14ac:dyDescent="0.2">
      <c r="FB2693" s="8" t="s">
        <v>5527</v>
      </c>
      <c r="FC2693" s="8" t="s">
        <v>9473</v>
      </c>
      <c r="FD2693" s="8">
        <v>2.8</v>
      </c>
      <c r="FE2693" s="8">
        <v>0.56999999999999995</v>
      </c>
    </row>
    <row r="2694" spans="158:161" ht="74.25" customHeight="1" x14ac:dyDescent="0.2">
      <c r="FB2694" s="8" t="s">
        <v>5528</v>
      </c>
      <c r="FC2694" s="8" t="s">
        <v>5529</v>
      </c>
      <c r="FD2694" s="8" t="s">
        <v>9511</v>
      </c>
      <c r="FE2694" s="8">
        <v>0.71</v>
      </c>
    </row>
    <row r="2695" spans="158:161" ht="74.25" customHeight="1" x14ac:dyDescent="0.2">
      <c r="FB2695" s="8" t="s">
        <v>5530</v>
      </c>
      <c r="FC2695" s="8" t="s">
        <v>5531</v>
      </c>
      <c r="FD2695" s="8">
        <v>2560</v>
      </c>
      <c r="FE2695" s="8">
        <v>256</v>
      </c>
    </row>
    <row r="2696" spans="158:161" ht="74.25" customHeight="1" x14ac:dyDescent="0.2">
      <c r="FB2696" s="8" t="s">
        <v>5532</v>
      </c>
      <c r="FC2696" s="8" t="s">
        <v>5533</v>
      </c>
      <c r="FD2696" s="8">
        <v>1000</v>
      </c>
      <c r="FE2696" s="8">
        <v>100</v>
      </c>
    </row>
    <row r="2697" spans="158:161" ht="74.25" customHeight="1" x14ac:dyDescent="0.2">
      <c r="FB2697" s="8" t="s">
        <v>5534</v>
      </c>
      <c r="FC2697" s="8" t="s">
        <v>5535</v>
      </c>
      <c r="FD2697" s="8">
        <v>2450</v>
      </c>
      <c r="FE2697" s="8">
        <v>245</v>
      </c>
    </row>
    <row r="2698" spans="158:161" ht="74.25" customHeight="1" x14ac:dyDescent="0.2">
      <c r="FB2698" s="8" t="s">
        <v>5536</v>
      </c>
      <c r="FC2698" s="8" t="s">
        <v>5537</v>
      </c>
      <c r="FD2698" s="8">
        <v>1000</v>
      </c>
      <c r="FE2698" s="8">
        <v>100</v>
      </c>
    </row>
    <row r="2699" spans="158:161" ht="74.25" customHeight="1" x14ac:dyDescent="0.2">
      <c r="FB2699" s="8" t="s">
        <v>5538</v>
      </c>
      <c r="FC2699" s="8" t="s">
        <v>5539</v>
      </c>
      <c r="FD2699" s="8">
        <v>1000</v>
      </c>
      <c r="FE2699" s="8">
        <v>100</v>
      </c>
    </row>
    <row r="2700" spans="158:161" ht="74.25" customHeight="1" x14ac:dyDescent="0.2">
      <c r="FB2700" s="8" t="s">
        <v>5540</v>
      </c>
      <c r="FC2700" s="8" t="s">
        <v>5540</v>
      </c>
      <c r="FD2700" s="8">
        <v>1250</v>
      </c>
      <c r="FE2700" s="8">
        <v>125</v>
      </c>
    </row>
    <row r="2701" spans="158:161" ht="74.25" customHeight="1" x14ac:dyDescent="0.2">
      <c r="FB2701" s="8" t="s">
        <v>5541</v>
      </c>
      <c r="FC2701" s="8" t="s">
        <v>5542</v>
      </c>
      <c r="FD2701" s="8">
        <v>3500</v>
      </c>
      <c r="FE2701" s="8">
        <v>350</v>
      </c>
    </row>
    <row r="2702" spans="158:161" ht="74.25" customHeight="1" x14ac:dyDescent="0.2">
      <c r="FB2702" s="8" t="s">
        <v>5543</v>
      </c>
      <c r="FC2702" s="8" t="s">
        <v>5544</v>
      </c>
      <c r="FD2702" s="8">
        <v>0.5</v>
      </c>
      <c r="FE2702" s="8">
        <v>0.05</v>
      </c>
    </row>
    <row r="2703" spans="158:161" ht="74.25" customHeight="1" x14ac:dyDescent="0.2">
      <c r="FB2703" s="8" t="s">
        <v>5545</v>
      </c>
      <c r="FC2703" s="8" t="s">
        <v>5546</v>
      </c>
      <c r="FD2703" s="8">
        <v>3500</v>
      </c>
      <c r="FE2703" s="8">
        <v>350</v>
      </c>
    </row>
    <row r="2704" spans="158:161" ht="74.25" customHeight="1" x14ac:dyDescent="0.2">
      <c r="FB2704" s="8" t="s">
        <v>5547</v>
      </c>
      <c r="FC2704" s="8" t="s">
        <v>5548</v>
      </c>
      <c r="FD2704" s="8">
        <v>140</v>
      </c>
      <c r="FE2704" s="8">
        <v>40</v>
      </c>
    </row>
    <row r="2705" spans="158:161" ht="74.25" customHeight="1" x14ac:dyDescent="0.2">
      <c r="FB2705" s="8" t="s">
        <v>5549</v>
      </c>
      <c r="FC2705" s="8" t="s">
        <v>5550</v>
      </c>
      <c r="FD2705" s="8">
        <v>10000</v>
      </c>
      <c r="FE2705" s="8">
        <v>2700</v>
      </c>
    </row>
    <row r="2706" spans="158:161" ht="74.25" customHeight="1" x14ac:dyDescent="0.2">
      <c r="FB2706" s="8" t="s">
        <v>5551</v>
      </c>
      <c r="FC2706" s="8" t="s">
        <v>5552</v>
      </c>
      <c r="FD2706" s="8">
        <v>240</v>
      </c>
      <c r="FE2706" s="8">
        <v>53</v>
      </c>
    </row>
    <row r="2707" spans="158:161" ht="74.25" customHeight="1" x14ac:dyDescent="0.2">
      <c r="FB2707" s="8" t="s">
        <v>5553</v>
      </c>
      <c r="FC2707" s="8" t="s">
        <v>5554</v>
      </c>
      <c r="FD2707" s="8">
        <v>3000</v>
      </c>
      <c r="FE2707" s="8">
        <v>300</v>
      </c>
    </row>
    <row r="2708" spans="158:161" ht="74.25" customHeight="1" x14ac:dyDescent="0.2">
      <c r="FB2708" s="8" t="s">
        <v>5555</v>
      </c>
      <c r="FC2708" s="8" t="s">
        <v>5556</v>
      </c>
      <c r="FD2708" s="8">
        <v>2700</v>
      </c>
      <c r="FE2708" s="8">
        <v>270</v>
      </c>
    </row>
    <row r="2709" spans="158:161" ht="74.25" customHeight="1" x14ac:dyDescent="0.2">
      <c r="FB2709" s="8" t="s">
        <v>5557</v>
      </c>
      <c r="FC2709" s="8" t="s">
        <v>5558</v>
      </c>
      <c r="FD2709" s="8">
        <v>3000</v>
      </c>
      <c r="FE2709" s="8">
        <v>300</v>
      </c>
    </row>
    <row r="2710" spans="158:161" ht="74.25" customHeight="1" x14ac:dyDescent="0.2">
      <c r="FB2710" s="8" t="s">
        <v>5559</v>
      </c>
      <c r="FC2710" s="8" t="s">
        <v>5560</v>
      </c>
      <c r="FD2710" s="8">
        <v>2.7</v>
      </c>
      <c r="FE2710" s="8">
        <v>2.7</v>
      </c>
    </row>
    <row r="2711" spans="158:161" ht="74.25" customHeight="1" x14ac:dyDescent="0.2">
      <c r="FB2711" s="8" t="s">
        <v>5561</v>
      </c>
      <c r="FC2711" s="8" t="s">
        <v>5562</v>
      </c>
      <c r="FD2711" s="8">
        <v>0.25</v>
      </c>
      <c r="FE2711" s="8">
        <v>2.5000000000000001E-2</v>
      </c>
    </row>
    <row r="2712" spans="158:161" ht="74.25" customHeight="1" x14ac:dyDescent="0.2">
      <c r="FB2712" s="8" t="s">
        <v>5563</v>
      </c>
      <c r="FC2712" s="8" t="s">
        <v>5564</v>
      </c>
      <c r="FD2712" s="8">
        <v>2</v>
      </c>
      <c r="FE2712" s="8">
        <v>0.2</v>
      </c>
    </row>
    <row r="2713" spans="158:161" ht="74.25" customHeight="1" x14ac:dyDescent="0.2">
      <c r="FB2713" s="8" t="s">
        <v>5565</v>
      </c>
      <c r="FC2713" s="8" t="s">
        <v>5566</v>
      </c>
      <c r="FD2713" s="8">
        <v>1</v>
      </c>
      <c r="FE2713" s="8">
        <v>0.1</v>
      </c>
    </row>
    <row r="2714" spans="158:161" ht="74.25" customHeight="1" x14ac:dyDescent="0.2">
      <c r="FB2714" s="8" t="s">
        <v>5567</v>
      </c>
      <c r="FC2714" s="8" t="s">
        <v>5568</v>
      </c>
      <c r="FD2714" s="8">
        <v>2</v>
      </c>
      <c r="FE2714" s="8">
        <v>0.2</v>
      </c>
    </row>
    <row r="2715" spans="158:161" ht="74.25" customHeight="1" x14ac:dyDescent="0.2">
      <c r="FB2715" s="8" t="s">
        <v>5569</v>
      </c>
      <c r="FC2715" s="8" t="s">
        <v>5570</v>
      </c>
      <c r="FD2715" s="8">
        <v>60</v>
      </c>
      <c r="FE2715" s="8">
        <v>6</v>
      </c>
    </row>
    <row r="2716" spans="158:161" ht="74.25" customHeight="1" x14ac:dyDescent="0.2">
      <c r="FB2716" s="8" t="s">
        <v>5571</v>
      </c>
      <c r="FC2716" s="8" t="s">
        <v>5572</v>
      </c>
      <c r="FD2716" s="8">
        <v>3500</v>
      </c>
      <c r="FE2716" s="8">
        <v>350</v>
      </c>
    </row>
    <row r="2717" spans="158:161" ht="74.25" customHeight="1" x14ac:dyDescent="0.2">
      <c r="FB2717" s="8" t="s">
        <v>5573</v>
      </c>
      <c r="FC2717" s="8" t="s">
        <v>5574</v>
      </c>
      <c r="FD2717" s="8">
        <v>240</v>
      </c>
      <c r="FE2717" s="8">
        <v>24</v>
      </c>
    </row>
    <row r="2718" spans="158:161" ht="74.25" customHeight="1" x14ac:dyDescent="0.2">
      <c r="FB2718" s="8" t="s">
        <v>5575</v>
      </c>
      <c r="FC2718" s="8" t="s">
        <v>5576</v>
      </c>
      <c r="FD2718" s="8">
        <v>100</v>
      </c>
      <c r="FE2718" s="8">
        <v>10</v>
      </c>
    </row>
    <row r="2719" spans="158:161" ht="74.25" customHeight="1" x14ac:dyDescent="0.2">
      <c r="FB2719" s="8" t="s">
        <v>5577</v>
      </c>
      <c r="FC2719" s="8" t="s">
        <v>5578</v>
      </c>
      <c r="FD2719" s="8">
        <v>7</v>
      </c>
      <c r="FE2719" s="8">
        <v>0.7</v>
      </c>
    </row>
    <row r="2720" spans="158:161" ht="74.25" customHeight="1" x14ac:dyDescent="0.2">
      <c r="FB2720" s="8" t="s">
        <v>5579</v>
      </c>
      <c r="FC2720" s="8" t="s">
        <v>5580</v>
      </c>
      <c r="FD2720" s="8">
        <v>1000</v>
      </c>
      <c r="FE2720" s="8">
        <v>100</v>
      </c>
    </row>
    <row r="2721" spans="158:161" ht="74.25" customHeight="1" x14ac:dyDescent="0.2">
      <c r="FB2721" s="8" t="s">
        <v>5581</v>
      </c>
      <c r="FC2721" s="8" t="s">
        <v>5582</v>
      </c>
      <c r="FD2721" s="8">
        <v>10000</v>
      </c>
      <c r="FE2721" s="8">
        <v>1000</v>
      </c>
    </row>
    <row r="2722" spans="158:161" ht="74.25" customHeight="1" x14ac:dyDescent="0.2">
      <c r="FB2722" s="8" t="s">
        <v>5583</v>
      </c>
      <c r="FC2722" s="8" t="s">
        <v>5584</v>
      </c>
      <c r="FD2722" s="8">
        <v>800</v>
      </c>
      <c r="FE2722" s="8">
        <v>80</v>
      </c>
    </row>
    <row r="2723" spans="158:161" ht="74.25" customHeight="1" x14ac:dyDescent="0.2">
      <c r="FB2723" s="8" t="s">
        <v>5585</v>
      </c>
      <c r="FC2723" s="8" t="s">
        <v>5586</v>
      </c>
      <c r="FD2723" s="8">
        <v>700</v>
      </c>
      <c r="FE2723" s="8">
        <v>70</v>
      </c>
    </row>
    <row r="2724" spans="158:161" ht="74.25" customHeight="1" x14ac:dyDescent="0.2">
      <c r="FB2724" s="8" t="s">
        <v>5587</v>
      </c>
      <c r="FC2724" s="8" t="s">
        <v>5588</v>
      </c>
      <c r="FD2724" s="8">
        <v>6</v>
      </c>
      <c r="FE2724" s="8">
        <v>0.6</v>
      </c>
    </row>
    <row r="2725" spans="158:161" ht="74.25" customHeight="1" x14ac:dyDescent="0.2">
      <c r="FB2725" s="8" t="s">
        <v>5589</v>
      </c>
      <c r="FC2725" s="8" t="s">
        <v>5590</v>
      </c>
      <c r="FD2725" s="8">
        <v>230</v>
      </c>
      <c r="FE2725" s="8">
        <v>23</v>
      </c>
    </row>
    <row r="2726" spans="158:161" ht="74.25" customHeight="1" x14ac:dyDescent="0.2">
      <c r="FB2726" s="8" t="s">
        <v>5591</v>
      </c>
      <c r="FC2726" s="8" t="s">
        <v>5592</v>
      </c>
      <c r="FD2726" s="8">
        <v>0.05</v>
      </c>
      <c r="FE2726" s="8">
        <v>5.0000000000000001E-3</v>
      </c>
    </row>
    <row r="2727" spans="158:161" ht="74.25" customHeight="1" x14ac:dyDescent="0.2">
      <c r="FB2727" s="8" t="s">
        <v>5593</v>
      </c>
      <c r="FC2727" s="8" t="s">
        <v>5594</v>
      </c>
      <c r="FD2727" s="8">
        <v>200</v>
      </c>
      <c r="FE2727" s="8">
        <v>20</v>
      </c>
    </row>
    <row r="2728" spans="158:161" ht="74.25" customHeight="1" x14ac:dyDescent="0.2">
      <c r="FB2728" s="8" t="s">
        <v>5595</v>
      </c>
      <c r="FC2728" s="8" t="s">
        <v>5596</v>
      </c>
      <c r="FD2728" s="8">
        <v>1000</v>
      </c>
      <c r="FE2728" s="8">
        <v>100</v>
      </c>
    </row>
    <row r="2729" spans="158:161" ht="74.25" customHeight="1" x14ac:dyDescent="0.2">
      <c r="FB2729" s="8" t="s">
        <v>5597</v>
      </c>
      <c r="FC2729" s="8" t="s">
        <v>5598</v>
      </c>
      <c r="FD2729" s="8">
        <v>1000</v>
      </c>
      <c r="FE2729" s="8">
        <v>100</v>
      </c>
    </row>
    <row r="2730" spans="158:161" ht="74.25" customHeight="1" x14ac:dyDescent="0.2">
      <c r="FB2730" s="8" t="s">
        <v>5599</v>
      </c>
      <c r="FC2730" s="8" t="s">
        <v>5600</v>
      </c>
      <c r="FD2730" s="8">
        <v>3.3</v>
      </c>
      <c r="FE2730" s="8">
        <v>6.3E-2</v>
      </c>
    </row>
    <row r="2731" spans="158:161" ht="74.25" customHeight="1" x14ac:dyDescent="0.2">
      <c r="FB2731" s="8" t="s">
        <v>5601</v>
      </c>
      <c r="FC2731" s="8" t="s">
        <v>5602</v>
      </c>
      <c r="FD2731" s="8">
        <v>750</v>
      </c>
      <c r="FE2731" s="8">
        <v>75</v>
      </c>
    </row>
    <row r="2732" spans="158:161" ht="74.25" customHeight="1" x14ac:dyDescent="0.2">
      <c r="FB2732" s="8" t="s">
        <v>5603</v>
      </c>
      <c r="FC2732" s="8" t="s">
        <v>5604</v>
      </c>
      <c r="FD2732" s="8">
        <v>170</v>
      </c>
      <c r="FE2732" s="8">
        <v>17</v>
      </c>
    </row>
    <row r="2733" spans="158:161" ht="74.25" customHeight="1" x14ac:dyDescent="0.2">
      <c r="FB2733" s="8" t="s">
        <v>5605</v>
      </c>
      <c r="FC2733" s="8" t="s">
        <v>5606</v>
      </c>
      <c r="FD2733" s="8">
        <v>100</v>
      </c>
      <c r="FE2733" s="8">
        <v>10</v>
      </c>
    </row>
    <row r="2734" spans="158:161" ht="74.25" customHeight="1" x14ac:dyDescent="0.2">
      <c r="FB2734" s="8" t="s">
        <v>5607</v>
      </c>
      <c r="FC2734" s="8" t="s">
        <v>5608</v>
      </c>
      <c r="FD2734" s="8">
        <v>330</v>
      </c>
      <c r="FE2734" s="8">
        <v>818</v>
      </c>
    </row>
    <row r="2735" spans="158:161" ht="74.25" customHeight="1" x14ac:dyDescent="0.2">
      <c r="FB2735" s="8" t="s">
        <v>5609</v>
      </c>
      <c r="FC2735" s="8" t="s">
        <v>5610</v>
      </c>
      <c r="FD2735" s="8">
        <v>5600</v>
      </c>
      <c r="FE2735" s="8">
        <v>200</v>
      </c>
    </row>
    <row r="2736" spans="158:161" ht="74.25" customHeight="1" x14ac:dyDescent="0.2">
      <c r="FB2736" s="8" t="s">
        <v>5611</v>
      </c>
      <c r="FC2736" s="8" t="s">
        <v>9865</v>
      </c>
      <c r="FD2736" s="8">
        <v>4300</v>
      </c>
      <c r="FE2736" s="8">
        <v>430</v>
      </c>
    </row>
    <row r="2737" spans="158:161" ht="74.25" customHeight="1" x14ac:dyDescent="0.2">
      <c r="FB2737" s="8" t="s">
        <v>5612</v>
      </c>
      <c r="FC2737" s="8" t="s">
        <v>9866</v>
      </c>
      <c r="FD2737" s="8">
        <v>4300</v>
      </c>
      <c r="FE2737" s="8">
        <v>430</v>
      </c>
    </row>
    <row r="2738" spans="158:161" ht="74.25" customHeight="1" x14ac:dyDescent="0.2">
      <c r="FB2738" s="8" t="s">
        <v>5613</v>
      </c>
      <c r="FC2738" s="8" t="s">
        <v>5614</v>
      </c>
      <c r="FD2738" s="8">
        <v>100</v>
      </c>
      <c r="FE2738" s="8">
        <v>10</v>
      </c>
    </row>
    <row r="2739" spans="158:161" ht="74.25" customHeight="1" x14ac:dyDescent="0.2">
      <c r="FB2739" s="8" t="s">
        <v>5615</v>
      </c>
      <c r="FC2739" s="8" t="s">
        <v>5616</v>
      </c>
      <c r="FD2739" s="8">
        <v>200</v>
      </c>
      <c r="FE2739" s="8">
        <v>48</v>
      </c>
    </row>
    <row r="2740" spans="158:161" ht="74.25" customHeight="1" x14ac:dyDescent="0.2">
      <c r="FB2740" s="8" t="s">
        <v>5617</v>
      </c>
      <c r="FC2740" s="8" t="s">
        <v>5618</v>
      </c>
      <c r="FD2740" s="8">
        <v>2000</v>
      </c>
      <c r="FE2740" s="8">
        <v>200</v>
      </c>
    </row>
    <row r="2741" spans="158:161" ht="74.25" customHeight="1" x14ac:dyDescent="0.2">
      <c r="FB2741" s="8" t="s">
        <v>5619</v>
      </c>
      <c r="FC2741" s="8" t="s">
        <v>5620</v>
      </c>
      <c r="FD2741" s="8">
        <v>1000</v>
      </c>
      <c r="FE2741" s="8">
        <v>100</v>
      </c>
    </row>
    <row r="2742" spans="158:161" ht="74.25" customHeight="1" x14ac:dyDescent="0.2">
      <c r="FB2742" s="8" t="s">
        <v>5621</v>
      </c>
      <c r="FC2742" s="8" t="s">
        <v>5622</v>
      </c>
      <c r="FD2742" s="8">
        <v>1700</v>
      </c>
      <c r="FE2742" s="8">
        <v>170</v>
      </c>
    </row>
    <row r="2743" spans="158:161" ht="74.25" customHeight="1" x14ac:dyDescent="0.2">
      <c r="FB2743" s="8" t="s">
        <v>5623</v>
      </c>
      <c r="FC2743" s="8" t="s">
        <v>5624</v>
      </c>
      <c r="FD2743" s="8">
        <v>1700</v>
      </c>
      <c r="FE2743" s="8">
        <v>170</v>
      </c>
    </row>
    <row r="2744" spans="158:161" ht="74.25" customHeight="1" x14ac:dyDescent="0.2">
      <c r="FB2744" s="8" t="s">
        <v>5625</v>
      </c>
      <c r="FC2744" s="8" t="s">
        <v>5626</v>
      </c>
      <c r="FD2744" s="8">
        <v>110</v>
      </c>
      <c r="FE2744" s="8">
        <v>11</v>
      </c>
    </row>
    <row r="2745" spans="158:161" ht="74.25" customHeight="1" x14ac:dyDescent="0.2">
      <c r="FB2745" s="8" t="s">
        <v>5627</v>
      </c>
      <c r="FC2745" s="8" t="s">
        <v>5628</v>
      </c>
      <c r="FD2745" s="8">
        <v>140</v>
      </c>
      <c r="FE2745" s="8">
        <v>14</v>
      </c>
    </row>
    <row r="2746" spans="158:161" ht="74.25" customHeight="1" x14ac:dyDescent="0.2">
      <c r="FB2746" s="8" t="s">
        <v>5629</v>
      </c>
      <c r="FC2746" s="8" t="s">
        <v>5630</v>
      </c>
      <c r="FD2746" s="8">
        <v>100</v>
      </c>
      <c r="FE2746" s="8">
        <v>10</v>
      </c>
    </row>
    <row r="2747" spans="158:161" ht="74.25" customHeight="1" x14ac:dyDescent="0.2">
      <c r="FB2747" s="8" t="s">
        <v>5631</v>
      </c>
      <c r="FC2747" s="8" t="s">
        <v>5632</v>
      </c>
      <c r="FD2747" s="8">
        <v>3000</v>
      </c>
      <c r="FE2747" s="8">
        <v>300</v>
      </c>
    </row>
    <row r="2748" spans="158:161" ht="74.25" customHeight="1" x14ac:dyDescent="0.2">
      <c r="FB2748" s="8" t="s">
        <v>5633</v>
      </c>
      <c r="FC2748" s="8" t="s">
        <v>5634</v>
      </c>
      <c r="FD2748" s="8">
        <v>2.7</v>
      </c>
      <c r="FE2748" s="8">
        <v>3</v>
      </c>
    </row>
    <row r="2749" spans="158:161" ht="74.25" customHeight="1" x14ac:dyDescent="0.2">
      <c r="FB2749" s="8" t="s">
        <v>5635</v>
      </c>
      <c r="FC2749" s="8" t="s">
        <v>5636</v>
      </c>
      <c r="FD2749" s="8">
        <v>110</v>
      </c>
      <c r="FE2749" s="8">
        <v>14</v>
      </c>
    </row>
    <row r="2750" spans="158:161" ht="74.25" customHeight="1" x14ac:dyDescent="0.2">
      <c r="FB2750" s="8" t="s">
        <v>5637</v>
      </c>
      <c r="FC2750" s="8" t="s">
        <v>5638</v>
      </c>
      <c r="FD2750" s="8">
        <v>100</v>
      </c>
      <c r="FE2750" s="8">
        <v>10</v>
      </c>
    </row>
    <row r="2751" spans="158:161" ht="74.25" customHeight="1" x14ac:dyDescent="0.2">
      <c r="FB2751" s="8" t="s">
        <v>5639</v>
      </c>
      <c r="FC2751" s="8" t="s">
        <v>5640</v>
      </c>
      <c r="FD2751" s="8">
        <v>1250</v>
      </c>
      <c r="FE2751" s="8">
        <v>125</v>
      </c>
    </row>
    <row r="2752" spans="158:161" ht="74.25" customHeight="1" x14ac:dyDescent="0.2">
      <c r="FB2752" s="8" t="s">
        <v>5641</v>
      </c>
      <c r="FC2752" s="8" t="s">
        <v>5642</v>
      </c>
      <c r="FD2752" s="8">
        <v>3500</v>
      </c>
      <c r="FE2752" s="8">
        <v>350</v>
      </c>
    </row>
    <row r="2753" spans="158:161" ht="74.25" customHeight="1" x14ac:dyDescent="0.2">
      <c r="FB2753" s="8" t="s">
        <v>5643</v>
      </c>
      <c r="FC2753" s="8" t="s">
        <v>5644</v>
      </c>
      <c r="FD2753" s="8">
        <v>1200</v>
      </c>
      <c r="FE2753" s="8">
        <v>120</v>
      </c>
    </row>
    <row r="2754" spans="158:161" ht="74.25" customHeight="1" x14ac:dyDescent="0.2">
      <c r="FB2754" s="8" t="s">
        <v>5645</v>
      </c>
      <c r="FC2754" s="8" t="s">
        <v>5646</v>
      </c>
      <c r="FD2754" s="8">
        <v>1000</v>
      </c>
      <c r="FE2754" s="8">
        <v>100</v>
      </c>
    </row>
    <row r="2755" spans="158:161" ht="74.25" customHeight="1" x14ac:dyDescent="0.2">
      <c r="FB2755" s="8" t="s">
        <v>5647</v>
      </c>
      <c r="FC2755" s="8" t="s">
        <v>5647</v>
      </c>
      <c r="FD2755" s="8">
        <v>1250</v>
      </c>
      <c r="FE2755" s="8">
        <v>125</v>
      </c>
    </row>
    <row r="2756" spans="158:161" ht="74.25" customHeight="1" x14ac:dyDescent="0.2">
      <c r="FB2756" s="8" t="s">
        <v>5648</v>
      </c>
      <c r="FC2756" s="8" t="s">
        <v>5649</v>
      </c>
      <c r="FD2756" s="8">
        <v>540</v>
      </c>
      <c r="FE2756" s="8">
        <v>54</v>
      </c>
    </row>
    <row r="2757" spans="158:161" ht="74.25" customHeight="1" x14ac:dyDescent="0.2">
      <c r="FB2757" s="8" t="s">
        <v>5650</v>
      </c>
      <c r="FC2757" s="8" t="s">
        <v>5651</v>
      </c>
      <c r="FD2757" s="8">
        <v>50</v>
      </c>
      <c r="FE2757" s="8">
        <v>5</v>
      </c>
    </row>
    <row r="2758" spans="158:161" ht="74.25" customHeight="1" x14ac:dyDescent="0.2">
      <c r="FB2758" s="8" t="s">
        <v>5652</v>
      </c>
      <c r="FC2758" s="8" t="s">
        <v>5652</v>
      </c>
      <c r="FD2758" s="8">
        <v>1000</v>
      </c>
      <c r="FE2758" s="8">
        <v>100</v>
      </c>
    </row>
    <row r="2759" spans="158:161" ht="74.25" customHeight="1" x14ac:dyDescent="0.2">
      <c r="FB2759" s="8" t="s">
        <v>5653</v>
      </c>
      <c r="FC2759" s="8" t="s">
        <v>5654</v>
      </c>
      <c r="FD2759" s="8">
        <v>0.13</v>
      </c>
      <c r="FE2759" s="8">
        <v>1.2999999999999999E-2</v>
      </c>
    </row>
    <row r="2760" spans="158:161" ht="74.25" customHeight="1" x14ac:dyDescent="0.2">
      <c r="FB2760" s="8" t="s">
        <v>5655</v>
      </c>
      <c r="FC2760" s="8" t="s">
        <v>5656</v>
      </c>
      <c r="FD2760" s="8">
        <v>45</v>
      </c>
      <c r="FE2760" s="8">
        <v>4.5</v>
      </c>
    </row>
    <row r="2761" spans="158:161" ht="74.25" customHeight="1" x14ac:dyDescent="0.2">
      <c r="FB2761" s="8" t="s">
        <v>5657</v>
      </c>
      <c r="FC2761" s="8" t="s">
        <v>5658</v>
      </c>
      <c r="FD2761" s="8">
        <v>0.3</v>
      </c>
      <c r="FE2761" s="8">
        <v>0.03</v>
      </c>
    </row>
    <row r="2762" spans="158:161" ht="74.25" customHeight="1" x14ac:dyDescent="0.2">
      <c r="FB2762" s="8" t="s">
        <v>5659</v>
      </c>
      <c r="FC2762" s="8" t="s">
        <v>5660</v>
      </c>
      <c r="FD2762" s="8">
        <v>0.13</v>
      </c>
      <c r="FE2762" s="8">
        <v>1.2999999999999999E-2</v>
      </c>
    </row>
    <row r="2763" spans="158:161" ht="74.25" customHeight="1" x14ac:dyDescent="0.2">
      <c r="FB2763" s="8" t="s">
        <v>5661</v>
      </c>
      <c r="FC2763" s="8" t="s">
        <v>5662</v>
      </c>
      <c r="FD2763" s="8">
        <v>45</v>
      </c>
      <c r="FE2763" s="8">
        <v>4.5</v>
      </c>
    </row>
    <row r="2764" spans="158:161" ht="74.25" customHeight="1" x14ac:dyDescent="0.2">
      <c r="FB2764" s="8" t="s">
        <v>5663</v>
      </c>
      <c r="FC2764" s="8" t="s">
        <v>5664</v>
      </c>
      <c r="FD2764" s="8">
        <v>1.8</v>
      </c>
      <c r="FE2764" s="8">
        <v>0.18</v>
      </c>
    </row>
    <row r="2765" spans="158:161" ht="74.25" customHeight="1" x14ac:dyDescent="0.2">
      <c r="FB2765" s="8" t="s">
        <v>5665</v>
      </c>
      <c r="FC2765" s="8" t="s">
        <v>5666</v>
      </c>
      <c r="FD2765" s="8">
        <v>1250</v>
      </c>
      <c r="FE2765" s="8">
        <v>125</v>
      </c>
    </row>
    <row r="2766" spans="158:161" ht="74.25" customHeight="1" x14ac:dyDescent="0.2">
      <c r="FB2766" s="8" t="s">
        <v>5667</v>
      </c>
      <c r="FC2766" s="8" t="s">
        <v>5668</v>
      </c>
      <c r="FD2766" s="8">
        <v>1800</v>
      </c>
      <c r="FE2766" s="8">
        <v>180</v>
      </c>
    </row>
    <row r="2767" spans="158:161" ht="74.25" customHeight="1" x14ac:dyDescent="0.2">
      <c r="FB2767" s="8" t="s">
        <v>5669</v>
      </c>
      <c r="FC2767" s="8" t="s">
        <v>5670</v>
      </c>
      <c r="FD2767" s="8">
        <v>3500</v>
      </c>
      <c r="FE2767" s="8">
        <v>350</v>
      </c>
    </row>
    <row r="2768" spans="158:161" ht="74.25" customHeight="1" x14ac:dyDescent="0.2">
      <c r="FB2768" s="8" t="s">
        <v>5671</v>
      </c>
      <c r="FC2768" s="8" t="s">
        <v>5672</v>
      </c>
      <c r="FD2768" s="8">
        <v>1000</v>
      </c>
      <c r="FE2768" s="8">
        <v>100</v>
      </c>
    </row>
    <row r="2769" spans="158:161" ht="74.25" customHeight="1" x14ac:dyDescent="0.2">
      <c r="FB2769" s="8" t="s">
        <v>5673</v>
      </c>
      <c r="FC2769" s="8" t="s">
        <v>5674</v>
      </c>
      <c r="FD2769" s="8">
        <v>2560</v>
      </c>
      <c r="FE2769" s="8">
        <v>256</v>
      </c>
    </row>
    <row r="2770" spans="158:161" ht="74.25" customHeight="1" x14ac:dyDescent="0.2">
      <c r="FB2770" s="8" t="s">
        <v>5675</v>
      </c>
      <c r="FC2770" s="8" t="s">
        <v>5676</v>
      </c>
      <c r="FD2770" s="8">
        <v>100</v>
      </c>
      <c r="FE2770" s="8">
        <v>10</v>
      </c>
    </row>
    <row r="2771" spans="158:161" ht="74.25" customHeight="1" x14ac:dyDescent="0.2">
      <c r="FB2771" s="8" t="s">
        <v>5677</v>
      </c>
      <c r="FC2771" s="8" t="s">
        <v>5678</v>
      </c>
      <c r="FD2771" s="8">
        <v>190</v>
      </c>
      <c r="FE2771" s="8">
        <v>7.9</v>
      </c>
    </row>
    <row r="2772" spans="158:161" ht="74.25" customHeight="1" x14ac:dyDescent="0.2">
      <c r="FB2772" s="8" t="s">
        <v>5679</v>
      </c>
      <c r="FC2772" s="8" t="s">
        <v>5680</v>
      </c>
      <c r="FD2772" s="8">
        <v>20</v>
      </c>
      <c r="FE2772" s="8">
        <v>2</v>
      </c>
    </row>
    <row r="2773" spans="158:161" ht="74.25" customHeight="1" x14ac:dyDescent="0.2">
      <c r="FB2773" s="8" t="s">
        <v>5681</v>
      </c>
      <c r="FC2773" s="8" t="s">
        <v>9474</v>
      </c>
      <c r="FD2773" s="8">
        <v>18</v>
      </c>
      <c r="FE2773" s="8">
        <v>8.6999999999999993</v>
      </c>
    </row>
    <row r="2774" spans="158:161" ht="74.25" customHeight="1" x14ac:dyDescent="0.2">
      <c r="FB2774" s="8" t="s">
        <v>5682</v>
      </c>
      <c r="FC2774" s="8" t="s">
        <v>9475</v>
      </c>
      <c r="FD2774" s="8">
        <v>3</v>
      </c>
      <c r="FE2774" s="8">
        <v>0.6</v>
      </c>
    </row>
    <row r="2775" spans="158:161" ht="74.25" customHeight="1" x14ac:dyDescent="0.2">
      <c r="FB2775" s="8" t="s">
        <v>5683</v>
      </c>
      <c r="FC2775" s="8" t="s">
        <v>5684</v>
      </c>
      <c r="FD2775" s="8" t="s">
        <v>9511</v>
      </c>
      <c r="FE2775" s="8">
        <v>0.75</v>
      </c>
    </row>
    <row r="2776" spans="158:161" ht="74.25" customHeight="1" x14ac:dyDescent="0.2">
      <c r="FB2776" s="8" t="s">
        <v>5685</v>
      </c>
      <c r="FC2776" s="8" t="s">
        <v>5686</v>
      </c>
      <c r="FD2776" s="8">
        <v>10</v>
      </c>
      <c r="FE2776" s="8">
        <v>1</v>
      </c>
    </row>
    <row r="2777" spans="158:161" ht="74.25" customHeight="1" x14ac:dyDescent="0.2">
      <c r="FB2777" s="8" t="s">
        <v>5687</v>
      </c>
      <c r="FC2777" s="8" t="s">
        <v>5688</v>
      </c>
      <c r="FD2777" s="8">
        <v>14</v>
      </c>
      <c r="FE2777" s="8">
        <v>1.4</v>
      </c>
    </row>
    <row r="2778" spans="158:161" ht="74.25" customHeight="1" x14ac:dyDescent="0.2">
      <c r="FB2778" s="8" t="s">
        <v>5689</v>
      </c>
      <c r="FC2778" s="8" t="s">
        <v>5690</v>
      </c>
      <c r="FD2778" s="8">
        <v>1.6</v>
      </c>
      <c r="FE2778" s="8">
        <v>0.16</v>
      </c>
    </row>
    <row r="2779" spans="158:161" ht="74.25" customHeight="1" x14ac:dyDescent="0.2">
      <c r="FB2779" s="8" t="s">
        <v>5691</v>
      </c>
      <c r="FC2779" s="8" t="s">
        <v>5692</v>
      </c>
      <c r="FD2779" s="8" t="s">
        <v>8684</v>
      </c>
      <c r="FE2779" s="8" t="s">
        <v>8684</v>
      </c>
    </row>
    <row r="2780" spans="158:161" ht="74.25" customHeight="1" x14ac:dyDescent="0.2">
      <c r="FB2780" s="8" t="s">
        <v>5693</v>
      </c>
      <c r="FC2780" s="8" t="s">
        <v>5694</v>
      </c>
      <c r="FD2780" s="8">
        <v>50</v>
      </c>
      <c r="FE2780" s="8">
        <v>5</v>
      </c>
    </row>
    <row r="2781" spans="158:161" ht="74.25" customHeight="1" x14ac:dyDescent="0.2">
      <c r="FB2781" s="8" t="s">
        <v>5695</v>
      </c>
      <c r="FC2781" s="8" t="s">
        <v>5696</v>
      </c>
      <c r="FD2781" s="8">
        <v>1000</v>
      </c>
      <c r="FE2781" s="8">
        <v>100</v>
      </c>
    </row>
    <row r="2782" spans="158:161" ht="74.25" customHeight="1" x14ac:dyDescent="0.2">
      <c r="FB2782" s="8" t="s">
        <v>5697</v>
      </c>
      <c r="FC2782" s="8" t="s">
        <v>5698</v>
      </c>
      <c r="FD2782" s="8">
        <v>50</v>
      </c>
      <c r="FE2782" s="8">
        <v>5</v>
      </c>
    </row>
    <row r="2783" spans="158:161" ht="74.25" customHeight="1" x14ac:dyDescent="0.2">
      <c r="FB2783" s="8" t="s">
        <v>5699</v>
      </c>
      <c r="FC2783" s="8" t="s">
        <v>5700</v>
      </c>
      <c r="FD2783" s="8">
        <v>3500</v>
      </c>
      <c r="FE2783" s="8">
        <v>350</v>
      </c>
    </row>
    <row r="2784" spans="158:161" ht="74.25" customHeight="1" x14ac:dyDescent="0.2">
      <c r="FB2784" s="8" t="s">
        <v>5701</v>
      </c>
      <c r="FC2784" s="8" t="s">
        <v>5702</v>
      </c>
      <c r="FD2784" s="8">
        <v>850</v>
      </c>
      <c r="FE2784" s="8">
        <v>85</v>
      </c>
    </row>
    <row r="2785" spans="158:161" ht="74.25" customHeight="1" x14ac:dyDescent="0.2">
      <c r="FB2785" s="8" t="s">
        <v>5703</v>
      </c>
      <c r="FC2785" s="8" t="s">
        <v>5704</v>
      </c>
      <c r="FD2785" s="8">
        <v>3500</v>
      </c>
      <c r="FE2785" s="8">
        <v>350</v>
      </c>
    </row>
    <row r="2786" spans="158:161" ht="74.25" customHeight="1" x14ac:dyDescent="0.2">
      <c r="FB2786" s="8" t="s">
        <v>5705</v>
      </c>
      <c r="FC2786" s="8" t="s">
        <v>5706</v>
      </c>
      <c r="FD2786" s="8">
        <v>1000</v>
      </c>
      <c r="FE2786" s="8">
        <v>100</v>
      </c>
    </row>
    <row r="2787" spans="158:161" ht="74.25" customHeight="1" x14ac:dyDescent="0.2">
      <c r="FB2787" s="8" t="s">
        <v>5707</v>
      </c>
      <c r="FC2787" s="8" t="s">
        <v>5708</v>
      </c>
      <c r="FD2787" s="8">
        <v>1000</v>
      </c>
      <c r="FE2787" s="8">
        <v>100</v>
      </c>
    </row>
    <row r="2788" spans="158:161" ht="74.25" customHeight="1" x14ac:dyDescent="0.2">
      <c r="FB2788" s="8" t="s">
        <v>5709</v>
      </c>
      <c r="FC2788" s="8" t="s">
        <v>5710</v>
      </c>
      <c r="FD2788" s="8">
        <v>1000</v>
      </c>
      <c r="FE2788" s="8">
        <v>100</v>
      </c>
    </row>
    <row r="2789" spans="158:161" ht="74.25" customHeight="1" x14ac:dyDescent="0.2">
      <c r="FB2789" s="8" t="s">
        <v>5711</v>
      </c>
      <c r="FC2789" s="8" t="s">
        <v>5712</v>
      </c>
      <c r="FD2789" s="8">
        <v>3500</v>
      </c>
      <c r="FE2789" s="8">
        <v>350</v>
      </c>
    </row>
    <row r="2790" spans="158:161" ht="74.25" customHeight="1" x14ac:dyDescent="0.2">
      <c r="FB2790" s="8" t="s">
        <v>5713</v>
      </c>
      <c r="FC2790" s="8" t="s">
        <v>5714</v>
      </c>
      <c r="FD2790" s="8">
        <v>3500</v>
      </c>
      <c r="FE2790" s="8">
        <v>350</v>
      </c>
    </row>
    <row r="2791" spans="158:161" ht="74.25" customHeight="1" x14ac:dyDescent="0.2">
      <c r="FB2791" s="8" t="s">
        <v>5715</v>
      </c>
      <c r="FC2791" s="8" t="s">
        <v>5716</v>
      </c>
      <c r="FD2791" s="8">
        <v>1000</v>
      </c>
      <c r="FE2791" s="8">
        <v>100</v>
      </c>
    </row>
    <row r="2792" spans="158:161" ht="74.25" customHeight="1" x14ac:dyDescent="0.2">
      <c r="FB2792" s="8" t="s">
        <v>5717</v>
      </c>
      <c r="FC2792" s="8" t="s">
        <v>5718</v>
      </c>
      <c r="FD2792" s="8">
        <v>18000</v>
      </c>
      <c r="FE2792" s="8">
        <v>1800</v>
      </c>
    </row>
    <row r="2793" spans="158:161" ht="74.25" customHeight="1" x14ac:dyDescent="0.2">
      <c r="FB2793" s="8" t="s">
        <v>5719</v>
      </c>
      <c r="FC2793" s="8" t="s">
        <v>5720</v>
      </c>
      <c r="FD2793" s="8">
        <v>100</v>
      </c>
      <c r="FE2793" s="8">
        <v>10</v>
      </c>
    </row>
    <row r="2794" spans="158:161" ht="74.25" customHeight="1" x14ac:dyDescent="0.2">
      <c r="FB2794" s="8" t="s">
        <v>5721</v>
      </c>
      <c r="FC2794" s="8" t="s">
        <v>5722</v>
      </c>
      <c r="FD2794" s="8">
        <v>600</v>
      </c>
      <c r="FE2794" s="8">
        <v>60</v>
      </c>
    </row>
    <row r="2795" spans="158:161" ht="74.25" customHeight="1" x14ac:dyDescent="0.2">
      <c r="FB2795" s="8" t="s">
        <v>5723</v>
      </c>
      <c r="FC2795" s="8" t="s">
        <v>5724</v>
      </c>
      <c r="FD2795" s="8">
        <v>550</v>
      </c>
      <c r="FE2795" s="8">
        <v>55</v>
      </c>
    </row>
    <row r="2796" spans="158:161" ht="74.25" customHeight="1" x14ac:dyDescent="0.2">
      <c r="FB2796" s="8" t="s">
        <v>5725</v>
      </c>
      <c r="FC2796" s="8" t="s">
        <v>5726</v>
      </c>
      <c r="FD2796" s="8">
        <v>200</v>
      </c>
      <c r="FE2796" s="8">
        <v>48</v>
      </c>
    </row>
    <row r="2797" spans="158:161" ht="74.25" customHeight="1" x14ac:dyDescent="0.2">
      <c r="FB2797" s="8" t="s">
        <v>5727</v>
      </c>
      <c r="FC2797" s="8" t="s">
        <v>5728</v>
      </c>
      <c r="FD2797" s="8">
        <v>50</v>
      </c>
      <c r="FE2797" s="8">
        <v>5</v>
      </c>
    </row>
    <row r="2798" spans="158:161" ht="74.25" customHeight="1" x14ac:dyDescent="0.2">
      <c r="FB2798" s="8" t="s">
        <v>5729</v>
      </c>
      <c r="FC2798" s="8" t="s">
        <v>5730</v>
      </c>
      <c r="FD2798" s="8">
        <v>20</v>
      </c>
      <c r="FE2798" s="8">
        <v>2</v>
      </c>
    </row>
    <row r="2799" spans="158:161" ht="74.25" customHeight="1" x14ac:dyDescent="0.2">
      <c r="FB2799" s="8" t="s">
        <v>5731</v>
      </c>
      <c r="FC2799" s="8" t="s">
        <v>5732</v>
      </c>
      <c r="FD2799" s="8">
        <v>20</v>
      </c>
      <c r="FE2799" s="8">
        <v>2</v>
      </c>
    </row>
    <row r="2800" spans="158:161" ht="74.25" customHeight="1" x14ac:dyDescent="0.2">
      <c r="FB2800" s="8" t="s">
        <v>5733</v>
      </c>
      <c r="FC2800" s="8" t="s">
        <v>5734</v>
      </c>
      <c r="FD2800" s="8">
        <v>1800</v>
      </c>
      <c r="FE2800" s="8">
        <v>180</v>
      </c>
    </row>
    <row r="2801" spans="158:161" ht="74.25" customHeight="1" x14ac:dyDescent="0.2">
      <c r="FB2801" s="8" t="s">
        <v>5735</v>
      </c>
      <c r="FC2801" s="8" t="s">
        <v>5736</v>
      </c>
      <c r="FD2801" s="8">
        <v>2500</v>
      </c>
      <c r="FE2801" s="8">
        <v>250</v>
      </c>
    </row>
    <row r="2802" spans="158:161" ht="74.25" customHeight="1" x14ac:dyDescent="0.2">
      <c r="FB2802" s="8" t="s">
        <v>5737</v>
      </c>
      <c r="FC2802" s="8" t="s">
        <v>5738</v>
      </c>
      <c r="FD2802" s="8">
        <v>200</v>
      </c>
      <c r="FE2802" s="8">
        <v>48</v>
      </c>
    </row>
    <row r="2803" spans="158:161" ht="74.25" customHeight="1" x14ac:dyDescent="0.2">
      <c r="FB2803" s="8" t="s">
        <v>5739</v>
      </c>
      <c r="FC2803" s="8" t="s">
        <v>5740</v>
      </c>
      <c r="FD2803" s="8">
        <v>30</v>
      </c>
      <c r="FE2803" s="8">
        <v>3</v>
      </c>
    </row>
    <row r="2804" spans="158:161" ht="74.25" customHeight="1" x14ac:dyDescent="0.2">
      <c r="FB2804" s="8" t="s">
        <v>5741</v>
      </c>
      <c r="FC2804" s="8" t="s">
        <v>5742</v>
      </c>
      <c r="FD2804" s="8">
        <v>90</v>
      </c>
      <c r="FE2804" s="8">
        <v>9</v>
      </c>
    </row>
    <row r="2805" spans="158:161" ht="74.25" customHeight="1" x14ac:dyDescent="0.2">
      <c r="FB2805" s="8" t="s">
        <v>5743</v>
      </c>
      <c r="FC2805" s="8" t="s">
        <v>5743</v>
      </c>
      <c r="FD2805" s="8">
        <v>90</v>
      </c>
      <c r="FE2805" s="8">
        <v>9</v>
      </c>
    </row>
    <row r="2806" spans="158:161" ht="74.25" customHeight="1" x14ac:dyDescent="0.2">
      <c r="FB2806" s="8" t="s">
        <v>5744</v>
      </c>
      <c r="FC2806" s="8" t="s">
        <v>5745</v>
      </c>
      <c r="FD2806" s="8">
        <v>10</v>
      </c>
      <c r="FE2806" s="8">
        <v>1</v>
      </c>
    </row>
    <row r="2807" spans="158:161" ht="74.25" customHeight="1" x14ac:dyDescent="0.2">
      <c r="FB2807" s="8" t="s">
        <v>5746</v>
      </c>
      <c r="FC2807" s="8" t="s">
        <v>5747</v>
      </c>
      <c r="FD2807" s="8">
        <v>190</v>
      </c>
      <c r="FE2807" s="8">
        <v>7.9</v>
      </c>
    </row>
    <row r="2808" spans="158:161" ht="74.25" customHeight="1" x14ac:dyDescent="0.2">
      <c r="FB2808" s="8" t="s">
        <v>5748</v>
      </c>
      <c r="FC2808" s="8" t="s">
        <v>5749</v>
      </c>
      <c r="FD2808" s="8">
        <v>10</v>
      </c>
      <c r="FE2808" s="8">
        <v>1</v>
      </c>
    </row>
    <row r="2809" spans="158:161" ht="74.25" customHeight="1" x14ac:dyDescent="0.2">
      <c r="FB2809" s="8" t="s">
        <v>5750</v>
      </c>
      <c r="FC2809" s="8" t="s">
        <v>5751</v>
      </c>
      <c r="FD2809" s="8">
        <v>90</v>
      </c>
      <c r="FE2809" s="8">
        <v>9</v>
      </c>
    </row>
    <row r="2810" spans="158:161" ht="74.25" customHeight="1" x14ac:dyDescent="0.2">
      <c r="FB2810" s="8" t="s">
        <v>5752</v>
      </c>
      <c r="FC2810" s="8" t="s">
        <v>5753</v>
      </c>
      <c r="FD2810" s="8">
        <v>480</v>
      </c>
      <c r="FE2810" s="8">
        <v>48</v>
      </c>
    </row>
    <row r="2811" spans="158:161" ht="74.25" customHeight="1" x14ac:dyDescent="0.2">
      <c r="FB2811" s="8" t="s">
        <v>5754</v>
      </c>
      <c r="FC2811" s="8" t="s">
        <v>5755</v>
      </c>
      <c r="FD2811" s="8">
        <v>240</v>
      </c>
      <c r="FE2811" s="8">
        <v>24</v>
      </c>
    </row>
    <row r="2812" spans="158:161" ht="74.25" customHeight="1" x14ac:dyDescent="0.2">
      <c r="FB2812" s="8" t="s">
        <v>5756</v>
      </c>
      <c r="FC2812" s="8" t="s">
        <v>5757</v>
      </c>
      <c r="FD2812" s="8">
        <v>10</v>
      </c>
      <c r="FE2812" s="8">
        <v>1</v>
      </c>
    </row>
    <row r="2813" spans="158:161" ht="74.25" customHeight="1" x14ac:dyDescent="0.2">
      <c r="FB2813" s="8" t="s">
        <v>5758</v>
      </c>
      <c r="FC2813" s="8" t="s">
        <v>5759</v>
      </c>
      <c r="FD2813" s="8">
        <v>1000</v>
      </c>
      <c r="FE2813" s="8">
        <v>100</v>
      </c>
    </row>
    <row r="2814" spans="158:161" ht="74.25" customHeight="1" x14ac:dyDescent="0.2">
      <c r="FB2814" s="8" t="s">
        <v>5760</v>
      </c>
      <c r="FC2814" s="8" t="s">
        <v>5761</v>
      </c>
      <c r="FD2814" s="8">
        <v>6.2</v>
      </c>
      <c r="FE2814" s="8">
        <v>10</v>
      </c>
    </row>
    <row r="2815" spans="158:161" ht="74.25" customHeight="1" x14ac:dyDescent="0.2">
      <c r="FB2815" s="8" t="s">
        <v>9913</v>
      </c>
      <c r="FC2815" s="8" t="s">
        <v>9913</v>
      </c>
      <c r="FD2815" s="8">
        <v>600</v>
      </c>
      <c r="FE2815" s="8">
        <v>60</v>
      </c>
    </row>
    <row r="2816" spans="158:161" ht="74.25" customHeight="1" x14ac:dyDescent="0.2">
      <c r="FB2816" s="8" t="s">
        <v>5762</v>
      </c>
      <c r="FC2816" s="8" t="s">
        <v>5763</v>
      </c>
      <c r="FD2816" s="8">
        <v>8</v>
      </c>
      <c r="FE2816" s="8">
        <v>0.8</v>
      </c>
    </row>
    <row r="2817" spans="158:161" ht="74.25" customHeight="1" x14ac:dyDescent="0.2">
      <c r="FB2817" s="8" t="s">
        <v>5764</v>
      </c>
      <c r="FC2817" s="8" t="s">
        <v>5765</v>
      </c>
      <c r="FD2817" s="8">
        <v>2700</v>
      </c>
      <c r="FE2817" s="8">
        <v>270</v>
      </c>
    </row>
    <row r="2818" spans="158:161" ht="74.25" customHeight="1" x14ac:dyDescent="0.2">
      <c r="FB2818" s="8" t="s">
        <v>5766</v>
      </c>
      <c r="FC2818" s="8" t="s">
        <v>5767</v>
      </c>
      <c r="FD2818" s="8">
        <v>2700</v>
      </c>
      <c r="FE2818" s="8">
        <v>270</v>
      </c>
    </row>
    <row r="2819" spans="158:161" ht="74.25" customHeight="1" x14ac:dyDescent="0.2">
      <c r="FB2819" s="8" t="s">
        <v>5768</v>
      </c>
      <c r="FC2819" s="8" t="s">
        <v>5769</v>
      </c>
      <c r="FD2819" s="8">
        <v>3500</v>
      </c>
      <c r="FE2819" s="8">
        <v>350</v>
      </c>
    </row>
    <row r="2820" spans="158:161" ht="74.25" customHeight="1" x14ac:dyDescent="0.2">
      <c r="FB2820" s="8" t="s">
        <v>5770</v>
      </c>
      <c r="FC2820" s="8" t="s">
        <v>5771</v>
      </c>
      <c r="FD2820" s="8">
        <v>3500</v>
      </c>
      <c r="FE2820" s="8">
        <v>350</v>
      </c>
    </row>
    <row r="2821" spans="158:161" ht="74.25" customHeight="1" x14ac:dyDescent="0.2">
      <c r="FB2821" s="8" t="s">
        <v>5772</v>
      </c>
      <c r="FC2821" s="8" t="s">
        <v>5773</v>
      </c>
      <c r="FD2821" s="8">
        <v>3500</v>
      </c>
      <c r="FE2821" s="8">
        <v>350</v>
      </c>
    </row>
    <row r="2822" spans="158:161" ht="74.25" customHeight="1" x14ac:dyDescent="0.2">
      <c r="FB2822" s="8" t="s">
        <v>5774</v>
      </c>
      <c r="FC2822" s="8" t="s">
        <v>5775</v>
      </c>
      <c r="FD2822" s="8">
        <v>3500</v>
      </c>
      <c r="FE2822" s="8">
        <v>350</v>
      </c>
    </row>
    <row r="2823" spans="158:161" ht="74.25" customHeight="1" x14ac:dyDescent="0.2">
      <c r="FB2823" s="8" t="s">
        <v>5776</v>
      </c>
      <c r="FC2823" s="8" t="s">
        <v>5777</v>
      </c>
      <c r="FD2823" s="8">
        <v>3500</v>
      </c>
      <c r="FE2823" s="8">
        <v>350</v>
      </c>
    </row>
    <row r="2824" spans="158:161" ht="74.25" customHeight="1" x14ac:dyDescent="0.2">
      <c r="FB2824" s="8" t="s">
        <v>5778</v>
      </c>
      <c r="FC2824" s="8" t="s">
        <v>5779</v>
      </c>
      <c r="FD2824" s="8">
        <v>3500</v>
      </c>
      <c r="FE2824" s="8">
        <v>350</v>
      </c>
    </row>
    <row r="2825" spans="158:161" ht="74.25" customHeight="1" x14ac:dyDescent="0.2">
      <c r="FB2825" s="8" t="s">
        <v>5780</v>
      </c>
      <c r="FC2825" s="8" t="s">
        <v>5781</v>
      </c>
      <c r="FD2825" s="8">
        <v>2700</v>
      </c>
      <c r="FE2825" s="8">
        <v>270</v>
      </c>
    </row>
    <row r="2826" spans="158:161" ht="74.25" customHeight="1" x14ac:dyDescent="0.2">
      <c r="FB2826" s="8" t="s">
        <v>5782</v>
      </c>
      <c r="FC2826" s="8" t="s">
        <v>5783</v>
      </c>
      <c r="FD2826" s="8">
        <v>150</v>
      </c>
      <c r="FE2826" s="8">
        <v>73</v>
      </c>
    </row>
    <row r="2827" spans="158:161" ht="74.25" customHeight="1" x14ac:dyDescent="0.2">
      <c r="FB2827" s="8" t="s">
        <v>5784</v>
      </c>
      <c r="FC2827" s="8" t="s">
        <v>5785</v>
      </c>
      <c r="FD2827" s="8">
        <v>1000</v>
      </c>
      <c r="FE2827" s="8">
        <v>100</v>
      </c>
    </row>
    <row r="2828" spans="158:161" ht="74.25" customHeight="1" x14ac:dyDescent="0.2">
      <c r="FB2828" s="8" t="s">
        <v>5786</v>
      </c>
      <c r="FC2828" s="8" t="s">
        <v>5787</v>
      </c>
      <c r="FD2828" s="8">
        <v>400</v>
      </c>
      <c r="FE2828" s="8">
        <v>40</v>
      </c>
    </row>
    <row r="2829" spans="158:161" ht="74.25" customHeight="1" x14ac:dyDescent="0.2">
      <c r="FB2829" s="8" t="s">
        <v>5788</v>
      </c>
      <c r="FC2829" s="8" t="s">
        <v>5789</v>
      </c>
      <c r="FD2829" s="8">
        <v>1000</v>
      </c>
      <c r="FE2829" s="8">
        <v>100</v>
      </c>
    </row>
    <row r="2830" spans="158:161" ht="74.25" customHeight="1" x14ac:dyDescent="0.2">
      <c r="FB2830" s="8" t="s">
        <v>5790</v>
      </c>
      <c r="FC2830" s="8" t="s">
        <v>5791</v>
      </c>
      <c r="FD2830" s="8">
        <v>450</v>
      </c>
      <c r="FE2830" s="8">
        <v>45</v>
      </c>
    </row>
    <row r="2831" spans="158:161" ht="74.25" customHeight="1" x14ac:dyDescent="0.2">
      <c r="FB2831" s="8" t="s">
        <v>5792</v>
      </c>
      <c r="FC2831" s="8" t="s">
        <v>5793</v>
      </c>
      <c r="FD2831" s="8">
        <v>1000</v>
      </c>
      <c r="FE2831" s="8">
        <v>100</v>
      </c>
    </row>
    <row r="2832" spans="158:161" ht="74.25" customHeight="1" x14ac:dyDescent="0.2">
      <c r="FB2832" s="8" t="s">
        <v>5794</v>
      </c>
      <c r="FC2832" s="8" t="s">
        <v>5795</v>
      </c>
      <c r="FD2832" s="8">
        <v>23000</v>
      </c>
      <c r="FE2832" s="8">
        <v>7100</v>
      </c>
    </row>
    <row r="2833" spans="158:161" ht="74.25" customHeight="1" x14ac:dyDescent="0.2">
      <c r="FB2833" s="8" t="s">
        <v>5796</v>
      </c>
      <c r="FC2833" s="8" t="s">
        <v>5797</v>
      </c>
      <c r="FD2833" s="8">
        <v>180000</v>
      </c>
      <c r="FE2833" s="8">
        <v>32000</v>
      </c>
    </row>
    <row r="2834" spans="158:161" ht="74.25" customHeight="1" x14ac:dyDescent="0.2">
      <c r="FB2834" s="8" t="s">
        <v>5798</v>
      </c>
      <c r="FC2834" s="8" t="s">
        <v>5799</v>
      </c>
      <c r="FD2834" s="8">
        <v>2700</v>
      </c>
      <c r="FE2834" s="8">
        <v>270</v>
      </c>
    </row>
    <row r="2835" spans="158:161" ht="74.25" customHeight="1" x14ac:dyDescent="0.2">
      <c r="FB2835" s="8" t="s">
        <v>5800</v>
      </c>
      <c r="FC2835" s="8" t="s">
        <v>5801</v>
      </c>
      <c r="FD2835" s="8">
        <v>490</v>
      </c>
      <c r="FE2835" s="8">
        <v>49</v>
      </c>
    </row>
    <row r="2836" spans="158:161" ht="74.25" customHeight="1" x14ac:dyDescent="0.2">
      <c r="FB2836" s="8" t="s">
        <v>5802</v>
      </c>
      <c r="FC2836" s="8" t="s">
        <v>5803</v>
      </c>
      <c r="FD2836" s="8">
        <v>10</v>
      </c>
      <c r="FE2836" s="8">
        <v>55</v>
      </c>
    </row>
    <row r="2837" spans="158:161" ht="74.25" customHeight="1" x14ac:dyDescent="0.2">
      <c r="FB2837" s="8" t="s">
        <v>5804</v>
      </c>
      <c r="FC2837" s="8" t="s">
        <v>5805</v>
      </c>
      <c r="FD2837" s="8">
        <v>1500</v>
      </c>
      <c r="FE2837" s="8">
        <v>150</v>
      </c>
    </row>
    <row r="2838" spans="158:161" ht="74.25" customHeight="1" x14ac:dyDescent="0.2">
      <c r="FB2838" s="8" t="s">
        <v>5806</v>
      </c>
      <c r="FC2838" s="8" t="s">
        <v>5807</v>
      </c>
      <c r="FD2838" s="8">
        <v>1250</v>
      </c>
      <c r="FE2838" s="8">
        <v>125</v>
      </c>
    </row>
    <row r="2839" spans="158:161" ht="74.25" customHeight="1" x14ac:dyDescent="0.2">
      <c r="FB2839" s="8" t="s">
        <v>5808</v>
      </c>
      <c r="FC2839" s="8" t="s">
        <v>5809</v>
      </c>
      <c r="FD2839" s="8">
        <v>3000</v>
      </c>
      <c r="FE2839" s="8">
        <v>300</v>
      </c>
    </row>
    <row r="2840" spans="158:161" ht="74.25" customHeight="1" x14ac:dyDescent="0.2">
      <c r="FB2840" s="8" t="s">
        <v>5810</v>
      </c>
      <c r="FC2840" s="8" t="s">
        <v>5811</v>
      </c>
      <c r="FD2840" s="8">
        <v>500</v>
      </c>
      <c r="FE2840" s="8">
        <v>50</v>
      </c>
    </row>
    <row r="2841" spans="158:161" ht="74.25" customHeight="1" x14ac:dyDescent="0.2">
      <c r="FB2841" s="8" t="s">
        <v>5812</v>
      </c>
      <c r="FC2841" s="8" t="s">
        <v>5813</v>
      </c>
      <c r="FD2841" s="8">
        <v>18</v>
      </c>
      <c r="FE2841" s="8">
        <v>1.8</v>
      </c>
    </row>
    <row r="2842" spans="158:161" ht="74.25" customHeight="1" x14ac:dyDescent="0.2">
      <c r="FB2842" s="8" t="s">
        <v>5814</v>
      </c>
      <c r="FC2842" s="8" t="s">
        <v>5815</v>
      </c>
      <c r="FD2842" s="8">
        <v>370</v>
      </c>
      <c r="FE2842" s="8">
        <v>37</v>
      </c>
    </row>
    <row r="2843" spans="158:161" ht="74.25" customHeight="1" x14ac:dyDescent="0.2">
      <c r="FB2843" s="8" t="s">
        <v>5816</v>
      </c>
      <c r="FC2843" s="8" t="s">
        <v>5817</v>
      </c>
      <c r="FD2843" s="8">
        <v>3000</v>
      </c>
      <c r="FE2843" s="8">
        <v>300</v>
      </c>
    </row>
    <row r="2844" spans="158:161" ht="74.25" customHeight="1" x14ac:dyDescent="0.2">
      <c r="FB2844" s="8" t="s">
        <v>5818</v>
      </c>
      <c r="FC2844" s="8" t="s">
        <v>5819</v>
      </c>
      <c r="FD2844" s="8">
        <v>3750</v>
      </c>
      <c r="FE2844" s="8">
        <v>375</v>
      </c>
    </row>
    <row r="2845" spans="158:161" ht="74.25" customHeight="1" x14ac:dyDescent="0.2">
      <c r="FB2845" s="8" t="s">
        <v>5820</v>
      </c>
      <c r="FC2845" s="8" t="s">
        <v>5821</v>
      </c>
      <c r="FD2845" s="8">
        <v>840</v>
      </c>
      <c r="FE2845" s="8">
        <v>84</v>
      </c>
    </row>
    <row r="2846" spans="158:161" ht="74.25" customHeight="1" x14ac:dyDescent="0.2">
      <c r="FB2846" s="8" t="s">
        <v>5822</v>
      </c>
      <c r="FC2846" s="8" t="s">
        <v>5823</v>
      </c>
      <c r="FD2846" s="8">
        <v>1900</v>
      </c>
      <c r="FE2846" s="8">
        <v>190</v>
      </c>
    </row>
    <row r="2847" spans="158:161" ht="74.25" customHeight="1" x14ac:dyDescent="0.2">
      <c r="FB2847" s="8" t="s">
        <v>5824</v>
      </c>
      <c r="FC2847" s="8" t="s">
        <v>5825</v>
      </c>
      <c r="FD2847" s="8">
        <v>80</v>
      </c>
      <c r="FE2847" s="8">
        <v>8</v>
      </c>
    </row>
    <row r="2848" spans="158:161" ht="74.25" customHeight="1" x14ac:dyDescent="0.2">
      <c r="FB2848" s="8" t="s">
        <v>5826</v>
      </c>
      <c r="FC2848" s="8" t="s">
        <v>5827</v>
      </c>
      <c r="FD2848" s="8">
        <v>230</v>
      </c>
      <c r="FE2848" s="8">
        <v>23</v>
      </c>
    </row>
    <row r="2849" spans="158:161" ht="74.25" customHeight="1" x14ac:dyDescent="0.2">
      <c r="FB2849" s="8" t="s">
        <v>5828</v>
      </c>
      <c r="FC2849" s="8" t="s">
        <v>5829</v>
      </c>
      <c r="FD2849" s="8">
        <v>4800</v>
      </c>
      <c r="FE2849" s="8">
        <v>480</v>
      </c>
    </row>
    <row r="2850" spans="158:161" ht="74.25" customHeight="1" x14ac:dyDescent="0.2">
      <c r="FB2850" s="8" t="s">
        <v>5830</v>
      </c>
      <c r="FC2850" s="8" t="s">
        <v>5831</v>
      </c>
      <c r="FD2850" s="8">
        <v>150</v>
      </c>
      <c r="FE2850" s="8">
        <v>15</v>
      </c>
    </row>
    <row r="2851" spans="158:161" ht="74.25" customHeight="1" x14ac:dyDescent="0.2">
      <c r="FB2851" s="8" t="s">
        <v>5832</v>
      </c>
      <c r="FC2851" s="8" t="s">
        <v>5833</v>
      </c>
      <c r="FD2851" s="8">
        <v>60</v>
      </c>
      <c r="FE2851" s="8">
        <v>6</v>
      </c>
    </row>
    <row r="2852" spans="158:161" ht="74.25" customHeight="1" x14ac:dyDescent="0.2">
      <c r="FB2852" s="8" t="s">
        <v>5834</v>
      </c>
      <c r="FC2852" s="8" t="s">
        <v>5835</v>
      </c>
      <c r="FD2852" s="8">
        <v>410</v>
      </c>
      <c r="FE2852" s="8">
        <v>290</v>
      </c>
    </row>
    <row r="2853" spans="158:161" ht="74.25" customHeight="1" x14ac:dyDescent="0.2">
      <c r="FB2853" s="8" t="s">
        <v>5836</v>
      </c>
      <c r="FC2853" s="8" t="s">
        <v>5837</v>
      </c>
      <c r="FD2853" s="8">
        <v>230</v>
      </c>
      <c r="FE2853" s="8">
        <v>90</v>
      </c>
    </row>
    <row r="2854" spans="158:161" ht="74.25" customHeight="1" x14ac:dyDescent="0.2">
      <c r="FB2854" s="8" t="s">
        <v>5838</v>
      </c>
      <c r="FC2854" s="8" t="s">
        <v>5839</v>
      </c>
      <c r="FD2854" s="8">
        <v>900</v>
      </c>
      <c r="FE2854" s="8">
        <v>90</v>
      </c>
    </row>
    <row r="2855" spans="158:161" ht="74.25" customHeight="1" x14ac:dyDescent="0.2">
      <c r="FB2855" s="8" t="s">
        <v>5840</v>
      </c>
      <c r="FC2855" s="8" t="s">
        <v>5841</v>
      </c>
      <c r="FD2855" s="8">
        <v>2.2999999999999998</v>
      </c>
      <c r="FE2855" s="8">
        <v>0.23</v>
      </c>
    </row>
    <row r="2856" spans="158:161" ht="74.25" customHeight="1" x14ac:dyDescent="0.2">
      <c r="FB2856" s="8" t="s">
        <v>5842</v>
      </c>
      <c r="FC2856" s="8" t="s">
        <v>5843</v>
      </c>
      <c r="FD2856" s="8">
        <v>220</v>
      </c>
      <c r="FE2856" s="8">
        <v>22</v>
      </c>
    </row>
    <row r="2857" spans="158:161" ht="74.25" customHeight="1" x14ac:dyDescent="0.2">
      <c r="FB2857" s="8" t="s">
        <v>5844</v>
      </c>
      <c r="FC2857" s="8" t="s">
        <v>5845</v>
      </c>
      <c r="FD2857" s="8">
        <v>0.7</v>
      </c>
      <c r="FE2857" s="8">
        <v>0.1</v>
      </c>
    </row>
    <row r="2858" spans="158:161" ht="74.25" customHeight="1" x14ac:dyDescent="0.2">
      <c r="FB2858" s="8" t="s">
        <v>5846</v>
      </c>
      <c r="FC2858" s="8" t="s">
        <v>5847</v>
      </c>
      <c r="FD2858" s="8">
        <v>100</v>
      </c>
      <c r="FE2858" s="8">
        <v>10</v>
      </c>
    </row>
    <row r="2859" spans="158:161" ht="74.25" customHeight="1" x14ac:dyDescent="0.2">
      <c r="FB2859" s="8" t="s">
        <v>5848</v>
      </c>
      <c r="FC2859" s="8" t="s">
        <v>5849</v>
      </c>
      <c r="FD2859" s="8">
        <v>3500</v>
      </c>
      <c r="FE2859" s="8">
        <v>350</v>
      </c>
    </row>
    <row r="2860" spans="158:161" ht="74.25" customHeight="1" x14ac:dyDescent="0.2">
      <c r="FB2860" s="8" t="s">
        <v>5850</v>
      </c>
      <c r="FC2860" s="8" t="s">
        <v>5851</v>
      </c>
      <c r="FD2860" s="8">
        <v>550</v>
      </c>
      <c r="FE2860" s="8">
        <v>55</v>
      </c>
    </row>
    <row r="2861" spans="158:161" ht="74.25" customHeight="1" x14ac:dyDescent="0.2">
      <c r="FB2861" s="8" t="s">
        <v>5852</v>
      </c>
      <c r="FC2861" s="8" t="s">
        <v>5853</v>
      </c>
      <c r="FD2861" s="8">
        <v>1500</v>
      </c>
      <c r="FE2861" s="8">
        <v>150</v>
      </c>
    </row>
    <row r="2862" spans="158:161" ht="74.25" customHeight="1" x14ac:dyDescent="0.2">
      <c r="FB2862" s="8" t="s">
        <v>5854</v>
      </c>
      <c r="FC2862" s="8" t="s">
        <v>5855</v>
      </c>
      <c r="FD2862" s="8">
        <v>500</v>
      </c>
      <c r="FE2862" s="8">
        <v>50</v>
      </c>
    </row>
    <row r="2863" spans="158:161" ht="74.25" customHeight="1" x14ac:dyDescent="0.2">
      <c r="FB2863" s="8" t="s">
        <v>5856</v>
      </c>
      <c r="FC2863" s="8" t="s">
        <v>5857</v>
      </c>
      <c r="FD2863" s="8">
        <v>8000</v>
      </c>
      <c r="FE2863" s="8">
        <v>800</v>
      </c>
    </row>
    <row r="2864" spans="158:161" ht="74.25" customHeight="1" x14ac:dyDescent="0.2">
      <c r="FB2864" s="8" t="s">
        <v>5858</v>
      </c>
      <c r="FC2864" s="8" t="s">
        <v>5859</v>
      </c>
      <c r="FD2864" s="8">
        <v>3500</v>
      </c>
      <c r="FE2864" s="8">
        <v>350</v>
      </c>
    </row>
    <row r="2865" spans="158:161" ht="74.25" customHeight="1" x14ac:dyDescent="0.2">
      <c r="FB2865" s="8" t="s">
        <v>5860</v>
      </c>
      <c r="FC2865" s="8" t="s">
        <v>5861</v>
      </c>
      <c r="FD2865" s="8">
        <v>3.2</v>
      </c>
      <c r="FE2865" s="8">
        <v>0.32</v>
      </c>
    </row>
    <row r="2866" spans="158:161" ht="74.25" customHeight="1" x14ac:dyDescent="0.2">
      <c r="FB2866" s="8" t="s">
        <v>5862</v>
      </c>
      <c r="FC2866" s="8" t="s">
        <v>5863</v>
      </c>
      <c r="FD2866" s="8">
        <v>5000</v>
      </c>
      <c r="FE2866" s="8">
        <v>500</v>
      </c>
    </row>
    <row r="2867" spans="158:161" ht="74.25" customHeight="1" x14ac:dyDescent="0.2">
      <c r="FB2867" s="8" t="s">
        <v>5864</v>
      </c>
      <c r="FC2867" s="8" t="s">
        <v>5865</v>
      </c>
      <c r="FD2867" s="8">
        <v>2700</v>
      </c>
      <c r="FE2867" s="8">
        <v>270</v>
      </c>
    </row>
    <row r="2868" spans="158:161" ht="74.25" customHeight="1" x14ac:dyDescent="0.2">
      <c r="FB2868" s="8" t="s">
        <v>5866</v>
      </c>
      <c r="FC2868" s="8" t="s">
        <v>5867</v>
      </c>
      <c r="FD2868" s="8">
        <v>1500</v>
      </c>
      <c r="FE2868" s="8">
        <v>150</v>
      </c>
    </row>
    <row r="2869" spans="158:161" ht="74.25" customHeight="1" x14ac:dyDescent="0.2">
      <c r="FB2869" s="8" t="s">
        <v>5868</v>
      </c>
      <c r="FC2869" s="8" t="s">
        <v>5869</v>
      </c>
      <c r="FD2869" s="8">
        <v>5700</v>
      </c>
      <c r="FE2869" s="8">
        <v>570</v>
      </c>
    </row>
    <row r="2870" spans="158:161" ht="74.25" customHeight="1" x14ac:dyDescent="0.2">
      <c r="FB2870" s="8" t="s">
        <v>5870</v>
      </c>
      <c r="FC2870" s="8" t="s">
        <v>5871</v>
      </c>
      <c r="FD2870" s="8">
        <v>640</v>
      </c>
      <c r="FE2870" s="8">
        <v>64</v>
      </c>
    </row>
    <row r="2871" spans="158:161" ht="74.25" customHeight="1" x14ac:dyDescent="0.2">
      <c r="FB2871" s="8" t="s">
        <v>5872</v>
      </c>
      <c r="FC2871" s="8" t="s">
        <v>5873</v>
      </c>
      <c r="FD2871" s="8">
        <v>190</v>
      </c>
      <c r="FE2871" s="8">
        <v>7.9</v>
      </c>
    </row>
    <row r="2872" spans="158:161" ht="74.25" customHeight="1" x14ac:dyDescent="0.2">
      <c r="FB2872" s="8" t="s">
        <v>5874</v>
      </c>
      <c r="FC2872" s="8" t="s">
        <v>5875</v>
      </c>
      <c r="FD2872" s="8">
        <v>2700</v>
      </c>
      <c r="FE2872" s="8">
        <v>270</v>
      </c>
    </row>
    <row r="2873" spans="158:161" ht="74.25" customHeight="1" x14ac:dyDescent="0.2">
      <c r="FB2873" s="8" t="s">
        <v>5876</v>
      </c>
      <c r="FC2873" s="8" t="s">
        <v>5877</v>
      </c>
      <c r="FD2873" s="8">
        <v>1500</v>
      </c>
      <c r="FE2873" s="8">
        <v>150</v>
      </c>
    </row>
    <row r="2874" spans="158:161" ht="74.25" customHeight="1" x14ac:dyDescent="0.2">
      <c r="FB2874" s="8" t="s">
        <v>5878</v>
      </c>
      <c r="FC2874" s="8" t="s">
        <v>5879</v>
      </c>
      <c r="FD2874" s="8">
        <v>100</v>
      </c>
      <c r="FE2874" s="8">
        <v>10</v>
      </c>
    </row>
    <row r="2875" spans="158:161" ht="74.25" customHeight="1" x14ac:dyDescent="0.2">
      <c r="FB2875" s="8" t="s">
        <v>5880</v>
      </c>
      <c r="FC2875" s="8" t="s">
        <v>5881</v>
      </c>
      <c r="FD2875" s="8">
        <v>580</v>
      </c>
      <c r="FE2875" s="8">
        <v>58</v>
      </c>
    </row>
    <row r="2876" spans="158:161" ht="74.25" customHeight="1" x14ac:dyDescent="0.2">
      <c r="FB2876" s="8" t="s">
        <v>5882</v>
      </c>
      <c r="FC2876" s="8" t="s">
        <v>5883</v>
      </c>
      <c r="FD2876" s="8">
        <v>5600</v>
      </c>
      <c r="FE2876" s="8">
        <v>540</v>
      </c>
    </row>
    <row r="2877" spans="158:161" ht="74.25" customHeight="1" x14ac:dyDescent="0.2">
      <c r="FB2877" s="8" t="s">
        <v>5884</v>
      </c>
      <c r="FC2877" s="8" t="s">
        <v>5885</v>
      </c>
      <c r="FD2877" s="8">
        <v>375</v>
      </c>
      <c r="FE2877" s="8">
        <v>38</v>
      </c>
    </row>
    <row r="2878" spans="158:161" ht="74.25" customHeight="1" x14ac:dyDescent="0.2">
      <c r="FB2878" s="8" t="s">
        <v>5886</v>
      </c>
      <c r="FC2878" s="8" t="s">
        <v>5887</v>
      </c>
      <c r="FD2878" s="8">
        <v>2700</v>
      </c>
      <c r="FE2878" s="8">
        <v>270</v>
      </c>
    </row>
    <row r="2879" spans="158:161" ht="74.25" customHeight="1" x14ac:dyDescent="0.2">
      <c r="FB2879" s="8" t="s">
        <v>5888</v>
      </c>
      <c r="FC2879" s="8" t="s">
        <v>5889</v>
      </c>
      <c r="FD2879" s="8">
        <v>30</v>
      </c>
      <c r="FE2879" s="8">
        <v>3</v>
      </c>
    </row>
    <row r="2880" spans="158:161" ht="74.25" customHeight="1" x14ac:dyDescent="0.2">
      <c r="FB2880" s="8" t="s">
        <v>5890</v>
      </c>
      <c r="FC2880" s="8" t="s">
        <v>5891</v>
      </c>
      <c r="FD2880" s="8">
        <v>360</v>
      </c>
      <c r="FE2880" s="8">
        <v>13</v>
      </c>
    </row>
    <row r="2881" spans="158:161" ht="74.25" customHeight="1" x14ac:dyDescent="0.2">
      <c r="FB2881" s="8" t="s">
        <v>5892</v>
      </c>
      <c r="FC2881" s="8" t="s">
        <v>5893</v>
      </c>
      <c r="FD2881" s="8">
        <v>59000</v>
      </c>
      <c r="FE2881" s="8">
        <v>7100</v>
      </c>
    </row>
    <row r="2882" spans="158:161" ht="74.25" customHeight="1" x14ac:dyDescent="0.2">
      <c r="FB2882" s="8" t="s">
        <v>5894</v>
      </c>
      <c r="FC2882" s="8" t="s">
        <v>5895</v>
      </c>
      <c r="FD2882" s="8">
        <v>840</v>
      </c>
      <c r="FE2882" s="8">
        <v>84</v>
      </c>
    </row>
    <row r="2883" spans="158:161" ht="74.25" customHeight="1" x14ac:dyDescent="0.2">
      <c r="FB2883" s="8" t="s">
        <v>5896</v>
      </c>
      <c r="FC2883" s="8" t="s">
        <v>5897</v>
      </c>
      <c r="FD2883" s="8">
        <v>100</v>
      </c>
      <c r="FE2883" s="8">
        <v>10</v>
      </c>
    </row>
    <row r="2884" spans="158:161" ht="74.25" customHeight="1" x14ac:dyDescent="0.2">
      <c r="FB2884" s="8" t="s">
        <v>5898</v>
      </c>
      <c r="FC2884" s="8" t="s">
        <v>5899</v>
      </c>
      <c r="FD2884" s="8">
        <v>230</v>
      </c>
      <c r="FE2884" s="8">
        <v>23</v>
      </c>
    </row>
    <row r="2885" spans="158:161" ht="74.25" customHeight="1" x14ac:dyDescent="0.2">
      <c r="FB2885" s="8" t="s">
        <v>5900</v>
      </c>
      <c r="FC2885" s="8" t="s">
        <v>5901</v>
      </c>
      <c r="FD2885" s="8">
        <v>3.3</v>
      </c>
      <c r="FE2885" s="8">
        <v>6.3E-2</v>
      </c>
    </row>
    <row r="2886" spans="158:161" ht="74.25" customHeight="1" x14ac:dyDescent="0.2">
      <c r="FB2886" s="8" t="s">
        <v>5902</v>
      </c>
      <c r="FC2886" s="8" t="s">
        <v>5903</v>
      </c>
      <c r="FD2886" s="8">
        <v>50</v>
      </c>
      <c r="FE2886" s="8">
        <v>5</v>
      </c>
    </row>
    <row r="2887" spans="158:161" ht="74.25" customHeight="1" x14ac:dyDescent="0.2">
      <c r="FB2887" s="8" t="s">
        <v>5904</v>
      </c>
      <c r="FC2887" s="8" t="s">
        <v>5905</v>
      </c>
      <c r="FD2887" s="8">
        <v>130</v>
      </c>
      <c r="FE2887" s="8">
        <v>120</v>
      </c>
    </row>
    <row r="2888" spans="158:161" ht="74.25" customHeight="1" x14ac:dyDescent="0.2">
      <c r="FB2888" s="8" t="s">
        <v>5906</v>
      </c>
      <c r="FC2888" s="8" t="s">
        <v>5907</v>
      </c>
      <c r="FD2888" s="8">
        <v>4920</v>
      </c>
      <c r="FE2888" s="8">
        <v>492</v>
      </c>
    </row>
    <row r="2889" spans="158:161" ht="74.25" customHeight="1" x14ac:dyDescent="0.2">
      <c r="FB2889" s="8" t="s">
        <v>5908</v>
      </c>
      <c r="FC2889" s="8" t="s">
        <v>5909</v>
      </c>
      <c r="FD2889" s="8">
        <v>200</v>
      </c>
      <c r="FE2889" s="8">
        <v>20</v>
      </c>
    </row>
    <row r="2890" spans="158:161" ht="74.25" customHeight="1" x14ac:dyDescent="0.2">
      <c r="FB2890" s="8" t="s">
        <v>5910</v>
      </c>
      <c r="FC2890" s="8" t="s">
        <v>5911</v>
      </c>
      <c r="FD2890" s="8">
        <v>460</v>
      </c>
      <c r="FE2890" s="8">
        <v>46</v>
      </c>
    </row>
    <row r="2891" spans="158:161" ht="74.25" customHeight="1" x14ac:dyDescent="0.2">
      <c r="FB2891" s="8" t="s">
        <v>5912</v>
      </c>
      <c r="FC2891" s="8" t="s">
        <v>5913</v>
      </c>
      <c r="FD2891" s="8">
        <v>460</v>
      </c>
      <c r="FE2891" s="8">
        <v>46</v>
      </c>
    </row>
    <row r="2892" spans="158:161" ht="74.25" customHeight="1" x14ac:dyDescent="0.2">
      <c r="FB2892" s="8" t="s">
        <v>5914</v>
      </c>
      <c r="FC2892" s="8" t="s">
        <v>5915</v>
      </c>
      <c r="FD2892" s="8">
        <v>4200</v>
      </c>
      <c r="FE2892" s="8">
        <v>420</v>
      </c>
    </row>
    <row r="2893" spans="158:161" ht="74.25" customHeight="1" x14ac:dyDescent="0.2">
      <c r="FB2893" s="8" t="s">
        <v>5916</v>
      </c>
      <c r="FC2893" s="8" t="s">
        <v>5917</v>
      </c>
      <c r="FD2893" s="8">
        <v>3000</v>
      </c>
      <c r="FE2893" s="8">
        <v>300</v>
      </c>
    </row>
    <row r="2894" spans="158:161" ht="74.25" customHeight="1" x14ac:dyDescent="0.2">
      <c r="FB2894" s="8" t="s">
        <v>5918</v>
      </c>
      <c r="FC2894" s="8" t="s">
        <v>5919</v>
      </c>
      <c r="FD2894" s="8">
        <v>50</v>
      </c>
      <c r="FE2894" s="8">
        <v>5</v>
      </c>
    </row>
    <row r="2895" spans="158:161" ht="74.25" customHeight="1" x14ac:dyDescent="0.2">
      <c r="FB2895" s="8" t="s">
        <v>5920</v>
      </c>
      <c r="FC2895" s="8" t="s">
        <v>5921</v>
      </c>
      <c r="FD2895" s="8">
        <v>3000</v>
      </c>
      <c r="FE2895" s="8">
        <v>300</v>
      </c>
    </row>
    <row r="2896" spans="158:161" ht="74.25" customHeight="1" x14ac:dyDescent="0.2">
      <c r="FB2896" s="8" t="s">
        <v>5922</v>
      </c>
      <c r="FC2896" s="8" t="s">
        <v>5923</v>
      </c>
      <c r="FD2896" s="8">
        <v>2400</v>
      </c>
      <c r="FE2896" s="8">
        <v>240</v>
      </c>
    </row>
    <row r="2897" spans="158:161" ht="74.25" customHeight="1" x14ac:dyDescent="0.2">
      <c r="FB2897" s="8" t="s">
        <v>5924</v>
      </c>
      <c r="FC2897" s="8" t="s">
        <v>5925</v>
      </c>
      <c r="FD2897" s="8">
        <v>100</v>
      </c>
      <c r="FE2897" s="8">
        <v>10</v>
      </c>
    </row>
    <row r="2898" spans="158:161" ht="74.25" customHeight="1" x14ac:dyDescent="0.2">
      <c r="FB2898" s="8" t="s">
        <v>5926</v>
      </c>
      <c r="FC2898" s="8" t="s">
        <v>5927</v>
      </c>
      <c r="FD2898" s="8">
        <v>3000</v>
      </c>
      <c r="FE2898" s="8">
        <v>300</v>
      </c>
    </row>
    <row r="2899" spans="158:161" ht="74.25" customHeight="1" x14ac:dyDescent="0.2">
      <c r="FB2899" s="8" t="s">
        <v>5928</v>
      </c>
      <c r="FC2899" s="8" t="s">
        <v>5929</v>
      </c>
      <c r="FD2899" s="8">
        <v>1.4</v>
      </c>
      <c r="FE2899" s="8">
        <v>1.8</v>
      </c>
    </row>
    <row r="2900" spans="158:161" ht="74.25" customHeight="1" x14ac:dyDescent="0.2">
      <c r="FB2900" s="8" t="s">
        <v>5930</v>
      </c>
      <c r="FC2900" s="8" t="s">
        <v>5931</v>
      </c>
      <c r="FD2900" s="8">
        <v>125</v>
      </c>
      <c r="FE2900" s="8">
        <v>13</v>
      </c>
    </row>
    <row r="2901" spans="158:161" ht="74.25" customHeight="1" x14ac:dyDescent="0.2">
      <c r="FB2901" s="8" t="s">
        <v>5932</v>
      </c>
      <c r="FC2901" s="8" t="s">
        <v>5933</v>
      </c>
      <c r="FD2901" s="8">
        <v>100</v>
      </c>
      <c r="FE2901" s="8">
        <v>10</v>
      </c>
    </row>
    <row r="2902" spans="158:161" ht="74.25" customHeight="1" x14ac:dyDescent="0.2">
      <c r="FB2902" s="8" t="s">
        <v>5934</v>
      </c>
      <c r="FC2902" s="8" t="s">
        <v>5935</v>
      </c>
      <c r="FD2902" s="8">
        <v>1000</v>
      </c>
      <c r="FE2902" s="8">
        <v>100</v>
      </c>
    </row>
    <row r="2903" spans="158:161" ht="74.25" customHeight="1" x14ac:dyDescent="0.2">
      <c r="FB2903" s="8" t="s">
        <v>5936</v>
      </c>
      <c r="FC2903" s="8" t="s">
        <v>5937</v>
      </c>
      <c r="FD2903" s="8">
        <v>1000</v>
      </c>
      <c r="FE2903" s="8">
        <v>100</v>
      </c>
    </row>
    <row r="2904" spans="158:161" ht="74.25" customHeight="1" x14ac:dyDescent="0.2">
      <c r="FB2904" s="8" t="s">
        <v>5938</v>
      </c>
      <c r="FC2904" s="8" t="s">
        <v>5939</v>
      </c>
      <c r="FD2904" s="8">
        <v>500</v>
      </c>
      <c r="FE2904" s="8">
        <v>50</v>
      </c>
    </row>
    <row r="2905" spans="158:161" ht="74.25" customHeight="1" x14ac:dyDescent="0.2">
      <c r="FB2905" s="8" t="s">
        <v>5940</v>
      </c>
      <c r="FC2905" s="8" t="s">
        <v>5941</v>
      </c>
      <c r="FD2905" s="8">
        <v>18</v>
      </c>
      <c r="FE2905" s="8">
        <v>14</v>
      </c>
    </row>
    <row r="2906" spans="158:161" ht="74.25" customHeight="1" x14ac:dyDescent="0.2">
      <c r="FB2906" s="8" t="s">
        <v>5942</v>
      </c>
      <c r="FC2906" s="8" t="s">
        <v>5943</v>
      </c>
      <c r="FD2906" s="8">
        <v>300</v>
      </c>
      <c r="FE2906" s="8">
        <v>30</v>
      </c>
    </row>
    <row r="2907" spans="158:161" ht="74.25" customHeight="1" x14ac:dyDescent="0.2">
      <c r="FB2907" s="8" t="s">
        <v>5944</v>
      </c>
      <c r="FC2907" s="8" t="s">
        <v>5945</v>
      </c>
      <c r="FD2907" s="8">
        <v>100</v>
      </c>
      <c r="FE2907" s="8">
        <v>10</v>
      </c>
    </row>
    <row r="2908" spans="158:161" ht="74.25" customHeight="1" x14ac:dyDescent="0.2">
      <c r="FB2908" s="8" t="s">
        <v>5946</v>
      </c>
      <c r="FC2908" s="8" t="s">
        <v>5947</v>
      </c>
      <c r="FD2908" s="8">
        <v>120</v>
      </c>
      <c r="FE2908" s="8">
        <v>12</v>
      </c>
    </row>
    <row r="2909" spans="158:161" ht="74.25" customHeight="1" x14ac:dyDescent="0.2">
      <c r="FB2909" s="8" t="s">
        <v>5948</v>
      </c>
      <c r="FC2909" s="8" t="s">
        <v>5949</v>
      </c>
      <c r="FD2909" s="8">
        <v>110</v>
      </c>
      <c r="FE2909" s="8">
        <v>11</v>
      </c>
    </row>
    <row r="2910" spans="158:161" ht="74.25" customHeight="1" x14ac:dyDescent="0.2">
      <c r="FB2910" s="8" t="s">
        <v>5950</v>
      </c>
      <c r="FC2910" s="8" t="s">
        <v>5951</v>
      </c>
      <c r="FD2910" s="8">
        <v>290</v>
      </c>
      <c r="FE2910" s="8">
        <v>3.3</v>
      </c>
    </row>
    <row r="2911" spans="158:161" ht="74.25" customHeight="1" x14ac:dyDescent="0.2">
      <c r="FB2911" s="8" t="s">
        <v>5952</v>
      </c>
      <c r="FC2911" s="8" t="s">
        <v>5953</v>
      </c>
      <c r="FD2911" s="8">
        <v>100</v>
      </c>
      <c r="FE2911" s="8">
        <v>10</v>
      </c>
    </row>
    <row r="2912" spans="158:161" ht="74.25" customHeight="1" x14ac:dyDescent="0.2">
      <c r="FB2912" s="8" t="s">
        <v>5954</v>
      </c>
      <c r="FC2912" s="8" t="s">
        <v>5955</v>
      </c>
      <c r="FD2912" s="8">
        <v>240</v>
      </c>
      <c r="FE2912" s="8">
        <v>24</v>
      </c>
    </row>
    <row r="2913" spans="158:161" ht="74.25" customHeight="1" x14ac:dyDescent="0.2">
      <c r="FB2913" s="8" t="s">
        <v>5956</v>
      </c>
      <c r="FC2913" s="8" t="s">
        <v>5957</v>
      </c>
      <c r="FD2913" s="8">
        <v>2500</v>
      </c>
      <c r="FE2913" s="8">
        <v>250</v>
      </c>
    </row>
    <row r="2914" spans="158:161" ht="74.25" customHeight="1" x14ac:dyDescent="0.2">
      <c r="FB2914" s="8" t="s">
        <v>5958</v>
      </c>
      <c r="FC2914" s="8" t="s">
        <v>5959</v>
      </c>
      <c r="FD2914" s="8">
        <v>260</v>
      </c>
      <c r="FE2914" s="8">
        <v>26</v>
      </c>
    </row>
    <row r="2915" spans="158:161" ht="74.25" customHeight="1" x14ac:dyDescent="0.2">
      <c r="FB2915" s="8" t="s">
        <v>5960</v>
      </c>
      <c r="FC2915" s="8" t="s">
        <v>5961</v>
      </c>
      <c r="FD2915" s="8">
        <v>350</v>
      </c>
      <c r="FE2915" s="8">
        <v>35</v>
      </c>
    </row>
    <row r="2916" spans="158:161" ht="74.25" customHeight="1" x14ac:dyDescent="0.2">
      <c r="FB2916" s="8" t="s">
        <v>5962</v>
      </c>
      <c r="FC2916" s="8" t="s">
        <v>5963</v>
      </c>
      <c r="FD2916" s="8">
        <v>580</v>
      </c>
      <c r="FE2916" s="8">
        <v>58</v>
      </c>
    </row>
    <row r="2917" spans="158:161" ht="74.25" customHeight="1" x14ac:dyDescent="0.2">
      <c r="FB2917" s="8" t="s">
        <v>5964</v>
      </c>
      <c r="FC2917" s="8" t="s">
        <v>5964</v>
      </c>
      <c r="FD2917" s="8">
        <v>0.7</v>
      </c>
      <c r="FE2917" s="8">
        <v>0.1</v>
      </c>
    </row>
    <row r="2918" spans="158:161" ht="74.25" customHeight="1" x14ac:dyDescent="0.2">
      <c r="FB2918" s="8" t="s">
        <v>5965</v>
      </c>
      <c r="FC2918" s="8" t="s">
        <v>5966</v>
      </c>
      <c r="FD2918" s="8">
        <v>1500</v>
      </c>
      <c r="FE2918" s="8">
        <v>150</v>
      </c>
    </row>
    <row r="2919" spans="158:161" ht="74.25" customHeight="1" x14ac:dyDescent="0.2">
      <c r="FB2919" s="8" t="s">
        <v>5967</v>
      </c>
      <c r="FC2919" s="8" t="s">
        <v>5968</v>
      </c>
      <c r="FD2919" s="8">
        <v>1500</v>
      </c>
      <c r="FE2919" s="8">
        <v>150</v>
      </c>
    </row>
    <row r="2920" spans="158:161" ht="74.25" customHeight="1" x14ac:dyDescent="0.2">
      <c r="FB2920" s="8" t="s">
        <v>5969</v>
      </c>
      <c r="FC2920" s="8" t="s">
        <v>5970</v>
      </c>
      <c r="FD2920" s="8">
        <v>98</v>
      </c>
      <c r="FE2920" s="8">
        <v>180</v>
      </c>
    </row>
    <row r="2921" spans="158:161" ht="74.25" customHeight="1" x14ac:dyDescent="0.2">
      <c r="FB2921" s="8" t="s">
        <v>5971</v>
      </c>
      <c r="FC2921" s="8" t="s">
        <v>5972</v>
      </c>
      <c r="FD2921" s="8">
        <v>14</v>
      </c>
      <c r="FE2921" s="8">
        <v>42</v>
      </c>
    </row>
    <row r="2922" spans="158:161" ht="74.25" customHeight="1" x14ac:dyDescent="0.2">
      <c r="FB2922" s="8" t="s">
        <v>5973</v>
      </c>
      <c r="FC2922" s="8" t="s">
        <v>5973</v>
      </c>
      <c r="FD2922" s="8">
        <v>1000</v>
      </c>
      <c r="FE2922" s="8">
        <v>100</v>
      </c>
    </row>
    <row r="2923" spans="158:161" ht="74.25" customHeight="1" x14ac:dyDescent="0.2">
      <c r="FB2923" s="8" t="s">
        <v>5974</v>
      </c>
      <c r="FC2923" s="8" t="s">
        <v>5975</v>
      </c>
      <c r="FD2923" s="8">
        <v>1000</v>
      </c>
      <c r="FE2923" s="8">
        <v>100</v>
      </c>
    </row>
    <row r="2924" spans="158:161" ht="74.25" customHeight="1" x14ac:dyDescent="0.2">
      <c r="FB2924" s="8" t="s">
        <v>5976</v>
      </c>
      <c r="FC2924" s="8" t="s">
        <v>5977</v>
      </c>
      <c r="FD2924" s="8">
        <v>10</v>
      </c>
      <c r="FE2924" s="8">
        <v>1</v>
      </c>
    </row>
    <row r="2925" spans="158:161" ht="74.25" customHeight="1" x14ac:dyDescent="0.2">
      <c r="FB2925" s="8" t="s">
        <v>5978</v>
      </c>
      <c r="FC2925" s="8" t="s">
        <v>5978</v>
      </c>
      <c r="FD2925" s="8">
        <v>500</v>
      </c>
      <c r="FE2925" s="8">
        <v>50</v>
      </c>
    </row>
    <row r="2926" spans="158:161" ht="74.25" customHeight="1" x14ac:dyDescent="0.2">
      <c r="FB2926" s="8" t="s">
        <v>5979</v>
      </c>
      <c r="FC2926" s="8" t="s">
        <v>5980</v>
      </c>
      <c r="FD2926" s="8">
        <v>1000</v>
      </c>
      <c r="FE2926" s="8">
        <v>100</v>
      </c>
    </row>
    <row r="2927" spans="158:161" ht="74.25" customHeight="1" x14ac:dyDescent="0.2">
      <c r="FB2927" s="8" t="s">
        <v>5981</v>
      </c>
      <c r="FC2927" s="8" t="s">
        <v>5982</v>
      </c>
      <c r="FD2927" s="8">
        <v>1000</v>
      </c>
      <c r="FE2927" s="8">
        <v>100</v>
      </c>
    </row>
    <row r="2928" spans="158:161" ht="74.25" customHeight="1" x14ac:dyDescent="0.2">
      <c r="FB2928" s="8" t="s">
        <v>5983</v>
      </c>
      <c r="FC2928" s="8" t="s">
        <v>5984</v>
      </c>
      <c r="FD2928" s="8">
        <v>1500</v>
      </c>
      <c r="FE2928" s="8">
        <v>150</v>
      </c>
    </row>
    <row r="2929" spans="158:161" ht="74.25" customHeight="1" x14ac:dyDescent="0.2">
      <c r="FB2929" s="8" t="s">
        <v>5985</v>
      </c>
      <c r="FC2929" s="8" t="s">
        <v>5986</v>
      </c>
      <c r="FD2929" s="8">
        <v>1500</v>
      </c>
      <c r="FE2929" s="8">
        <v>150</v>
      </c>
    </row>
    <row r="2930" spans="158:161" ht="74.25" customHeight="1" x14ac:dyDescent="0.2">
      <c r="FB2930" s="8" t="s">
        <v>5987</v>
      </c>
      <c r="FC2930" s="8" t="s">
        <v>5988</v>
      </c>
      <c r="FD2930" s="8">
        <v>300</v>
      </c>
      <c r="FE2930" s="8">
        <v>30</v>
      </c>
    </row>
    <row r="2931" spans="158:161" ht="74.25" customHeight="1" x14ac:dyDescent="0.2">
      <c r="FB2931" s="8" t="s">
        <v>5989</v>
      </c>
      <c r="FC2931" s="8" t="s">
        <v>5990</v>
      </c>
      <c r="FD2931" s="8">
        <v>1000</v>
      </c>
      <c r="FE2931" s="8">
        <v>100</v>
      </c>
    </row>
    <row r="2932" spans="158:161" ht="74.25" customHeight="1" x14ac:dyDescent="0.2">
      <c r="FB2932" s="8" t="s">
        <v>5991</v>
      </c>
      <c r="FC2932" s="8" t="s">
        <v>5992</v>
      </c>
      <c r="FD2932" s="8">
        <v>1000</v>
      </c>
      <c r="FE2932" s="8">
        <v>100</v>
      </c>
    </row>
    <row r="2933" spans="158:161" ht="74.25" customHeight="1" x14ac:dyDescent="0.2">
      <c r="FB2933" s="8" t="s">
        <v>5993</v>
      </c>
      <c r="FC2933" s="8" t="s">
        <v>5994</v>
      </c>
      <c r="FD2933" s="8">
        <v>1000</v>
      </c>
      <c r="FE2933" s="8">
        <v>100</v>
      </c>
    </row>
    <row r="2934" spans="158:161" ht="74.25" customHeight="1" x14ac:dyDescent="0.2">
      <c r="FB2934" s="8" t="s">
        <v>5995</v>
      </c>
      <c r="FC2934" s="8" t="s">
        <v>5996</v>
      </c>
      <c r="FD2934" s="8">
        <v>1000</v>
      </c>
      <c r="FE2934" s="8">
        <v>100</v>
      </c>
    </row>
    <row r="2935" spans="158:161" ht="74.25" customHeight="1" x14ac:dyDescent="0.2">
      <c r="FB2935" s="8" t="s">
        <v>5997</v>
      </c>
      <c r="FC2935" s="8" t="s">
        <v>5998</v>
      </c>
      <c r="FD2935" s="8">
        <v>30</v>
      </c>
      <c r="FE2935" s="8">
        <v>3</v>
      </c>
    </row>
    <row r="2936" spans="158:161" ht="74.25" customHeight="1" x14ac:dyDescent="0.2">
      <c r="FB2936" s="8" t="s">
        <v>5999</v>
      </c>
      <c r="FC2936" s="8" t="s">
        <v>6000</v>
      </c>
      <c r="FD2936" s="8">
        <v>800</v>
      </c>
      <c r="FE2936" s="8">
        <v>80</v>
      </c>
    </row>
    <row r="2937" spans="158:161" ht="74.25" customHeight="1" x14ac:dyDescent="0.2">
      <c r="FB2937" s="8" t="s">
        <v>6001</v>
      </c>
      <c r="FC2937" s="8" t="s">
        <v>6002</v>
      </c>
      <c r="FD2937" s="8">
        <v>100</v>
      </c>
      <c r="FE2937" s="8">
        <v>10</v>
      </c>
    </row>
    <row r="2938" spans="158:161" ht="74.25" customHeight="1" x14ac:dyDescent="0.2">
      <c r="FB2938" s="8" t="s">
        <v>6003</v>
      </c>
      <c r="FC2938" s="8" t="s">
        <v>6004</v>
      </c>
      <c r="FD2938" s="8">
        <v>580</v>
      </c>
      <c r="FE2938" s="8">
        <v>58</v>
      </c>
    </row>
    <row r="2939" spans="158:161" ht="74.25" customHeight="1" x14ac:dyDescent="0.2">
      <c r="FB2939" s="8" t="s">
        <v>6005</v>
      </c>
      <c r="FC2939" s="8" t="s">
        <v>6006</v>
      </c>
      <c r="FD2939" s="8">
        <v>600</v>
      </c>
      <c r="FE2939" s="8">
        <v>60</v>
      </c>
    </row>
    <row r="2940" spans="158:161" ht="74.25" customHeight="1" x14ac:dyDescent="0.2">
      <c r="FB2940" s="8" t="s">
        <v>6007</v>
      </c>
      <c r="FC2940" s="8" t="s">
        <v>6008</v>
      </c>
      <c r="FD2940" s="8">
        <v>1500</v>
      </c>
      <c r="FE2940" s="8">
        <v>150</v>
      </c>
    </row>
    <row r="2941" spans="158:161" ht="74.25" customHeight="1" x14ac:dyDescent="0.2">
      <c r="FB2941" s="8" t="s">
        <v>6009</v>
      </c>
      <c r="FC2941" s="8" t="s">
        <v>6010</v>
      </c>
      <c r="FD2941" s="8">
        <v>220</v>
      </c>
      <c r="FE2941" s="8">
        <v>22</v>
      </c>
    </row>
    <row r="2942" spans="158:161" ht="74.25" customHeight="1" x14ac:dyDescent="0.2">
      <c r="FB2942" s="8" t="s">
        <v>6011</v>
      </c>
      <c r="FC2942" s="8" t="s">
        <v>6012</v>
      </c>
      <c r="FD2942" s="8">
        <v>600</v>
      </c>
      <c r="FE2942" s="8">
        <v>60</v>
      </c>
    </row>
    <row r="2943" spans="158:161" ht="74.25" customHeight="1" x14ac:dyDescent="0.2">
      <c r="FB2943" s="8" t="s">
        <v>6013</v>
      </c>
      <c r="FC2943" s="8" t="s">
        <v>6014</v>
      </c>
      <c r="FD2943" s="8" t="s">
        <v>9511</v>
      </c>
      <c r="FE2943" s="8" t="s">
        <v>8682</v>
      </c>
    </row>
    <row r="2944" spans="158:161" ht="74.25" customHeight="1" x14ac:dyDescent="0.2">
      <c r="FB2944" s="8" t="s">
        <v>6015</v>
      </c>
      <c r="FC2944" s="8" t="s">
        <v>6016</v>
      </c>
      <c r="FD2944" s="8" t="s">
        <v>9511</v>
      </c>
      <c r="FE2944" s="8" t="s">
        <v>8682</v>
      </c>
    </row>
    <row r="2945" spans="158:161" ht="74.25" customHeight="1" x14ac:dyDescent="0.2">
      <c r="FB2945" s="8" t="s">
        <v>6017</v>
      </c>
      <c r="FC2945" s="8" t="s">
        <v>6018</v>
      </c>
      <c r="FD2945" s="8" t="s">
        <v>9511</v>
      </c>
      <c r="FE2945" s="8" t="s">
        <v>8682</v>
      </c>
    </row>
    <row r="2946" spans="158:161" ht="74.25" customHeight="1" x14ac:dyDescent="0.2">
      <c r="FB2946" s="8" t="s">
        <v>6019</v>
      </c>
      <c r="FC2946" s="8" t="s">
        <v>6020</v>
      </c>
      <c r="FD2946" s="8" t="s">
        <v>9511</v>
      </c>
      <c r="FE2946" s="8" t="s">
        <v>8682</v>
      </c>
    </row>
    <row r="2947" spans="158:161" ht="74.25" customHeight="1" x14ac:dyDescent="0.2">
      <c r="FB2947" s="8" t="s">
        <v>6021</v>
      </c>
      <c r="FC2947" s="8" t="s">
        <v>6022</v>
      </c>
      <c r="FD2947" s="8" t="s">
        <v>9511</v>
      </c>
      <c r="FE2947" s="8" t="s">
        <v>8682</v>
      </c>
    </row>
    <row r="2948" spans="158:161" ht="74.25" customHeight="1" x14ac:dyDescent="0.2">
      <c r="FB2948" s="8" t="s">
        <v>6023</v>
      </c>
      <c r="FC2948" s="8" t="s">
        <v>6024</v>
      </c>
      <c r="FD2948" s="8" t="s">
        <v>9511</v>
      </c>
      <c r="FE2948" s="8" t="s">
        <v>8682</v>
      </c>
    </row>
    <row r="2949" spans="158:161" ht="74.25" customHeight="1" x14ac:dyDescent="0.2">
      <c r="FB2949" s="8" t="s">
        <v>6025</v>
      </c>
      <c r="FC2949" s="8" t="s">
        <v>6026</v>
      </c>
      <c r="FD2949" s="8" t="s">
        <v>9511</v>
      </c>
      <c r="FE2949" s="8" t="s">
        <v>8682</v>
      </c>
    </row>
    <row r="2950" spans="158:161" ht="74.25" customHeight="1" x14ac:dyDescent="0.2">
      <c r="FB2950" s="8" t="s">
        <v>6027</v>
      </c>
      <c r="FC2950" s="8" t="s">
        <v>6028</v>
      </c>
      <c r="FD2950" s="8">
        <v>1000</v>
      </c>
      <c r="FE2950" s="8">
        <v>100</v>
      </c>
    </row>
    <row r="2951" spans="158:161" ht="74.25" customHeight="1" x14ac:dyDescent="0.2">
      <c r="FB2951" s="8" t="s">
        <v>6029</v>
      </c>
      <c r="FC2951" s="8" t="s">
        <v>6030</v>
      </c>
      <c r="FD2951" s="8">
        <v>1000</v>
      </c>
      <c r="FE2951" s="8">
        <v>100</v>
      </c>
    </row>
    <row r="2952" spans="158:161" ht="74.25" customHeight="1" x14ac:dyDescent="0.2">
      <c r="FB2952" s="8" t="s">
        <v>6031</v>
      </c>
      <c r="FC2952" s="8" t="s">
        <v>6032</v>
      </c>
      <c r="FD2952" s="8">
        <v>1000</v>
      </c>
      <c r="FE2952" s="8">
        <v>100</v>
      </c>
    </row>
    <row r="2953" spans="158:161" ht="74.25" customHeight="1" x14ac:dyDescent="0.2">
      <c r="FB2953" s="8" t="s">
        <v>6033</v>
      </c>
      <c r="FC2953" s="8" t="s">
        <v>6034</v>
      </c>
      <c r="FD2953" s="8">
        <v>1100</v>
      </c>
      <c r="FE2953" s="8">
        <v>110</v>
      </c>
    </row>
    <row r="2954" spans="158:161" ht="74.25" customHeight="1" x14ac:dyDescent="0.2">
      <c r="FB2954" s="8" t="s">
        <v>6035</v>
      </c>
      <c r="FC2954" s="8" t="s">
        <v>6036</v>
      </c>
      <c r="FD2954" s="8">
        <v>1000</v>
      </c>
      <c r="FE2954" s="8">
        <v>100</v>
      </c>
    </row>
    <row r="2955" spans="158:161" ht="74.25" customHeight="1" x14ac:dyDescent="0.2">
      <c r="FB2955" s="8" t="s">
        <v>6037</v>
      </c>
      <c r="FC2955" s="8" t="s">
        <v>6038</v>
      </c>
      <c r="FD2955" s="8">
        <v>340</v>
      </c>
      <c r="FE2955" s="8">
        <v>34</v>
      </c>
    </row>
    <row r="2956" spans="158:161" ht="74.25" customHeight="1" x14ac:dyDescent="0.2">
      <c r="FB2956" s="8" t="s">
        <v>6039</v>
      </c>
      <c r="FC2956" s="8" t="s">
        <v>6040</v>
      </c>
      <c r="FD2956" s="8">
        <v>50</v>
      </c>
      <c r="FE2956" s="8">
        <v>5</v>
      </c>
    </row>
    <row r="2957" spans="158:161" ht="74.25" customHeight="1" x14ac:dyDescent="0.2">
      <c r="FB2957" s="8" t="s">
        <v>6041</v>
      </c>
      <c r="FC2957" s="8" t="s">
        <v>6042</v>
      </c>
      <c r="FD2957" s="8">
        <v>3500</v>
      </c>
      <c r="FE2957" s="8">
        <v>350</v>
      </c>
    </row>
    <row r="2958" spans="158:161" ht="74.25" customHeight="1" x14ac:dyDescent="0.2">
      <c r="FB2958" s="8" t="s">
        <v>6043</v>
      </c>
      <c r="FC2958" s="8" t="s">
        <v>6044</v>
      </c>
      <c r="FD2958" s="8">
        <v>1250</v>
      </c>
      <c r="FE2958" s="8">
        <v>125</v>
      </c>
    </row>
    <row r="2959" spans="158:161" ht="74.25" customHeight="1" x14ac:dyDescent="0.2">
      <c r="FB2959" s="8" t="s">
        <v>6045</v>
      </c>
      <c r="FC2959" s="8" t="s">
        <v>6046</v>
      </c>
      <c r="FD2959" s="8">
        <v>3500</v>
      </c>
      <c r="FE2959" s="8">
        <v>350</v>
      </c>
    </row>
    <row r="2960" spans="158:161" ht="74.25" customHeight="1" x14ac:dyDescent="0.2">
      <c r="FB2960" s="8" t="s">
        <v>6047</v>
      </c>
      <c r="FC2960" s="8" t="s">
        <v>6047</v>
      </c>
      <c r="FD2960" s="8">
        <v>1250</v>
      </c>
      <c r="FE2960" s="8">
        <v>125</v>
      </c>
    </row>
    <row r="2961" spans="158:161" ht="74.25" customHeight="1" x14ac:dyDescent="0.2">
      <c r="FB2961" s="8" t="s">
        <v>6048</v>
      </c>
      <c r="FC2961" s="8" t="s">
        <v>6049</v>
      </c>
      <c r="FD2961" s="8">
        <v>3500</v>
      </c>
      <c r="FE2961" s="8">
        <v>350</v>
      </c>
    </row>
    <row r="2962" spans="158:161" ht="74.25" customHeight="1" x14ac:dyDescent="0.2">
      <c r="FB2962" s="8" t="s">
        <v>6050</v>
      </c>
      <c r="FC2962" s="8" t="s">
        <v>6051</v>
      </c>
      <c r="FD2962" s="8">
        <v>500</v>
      </c>
      <c r="FE2962" s="8">
        <v>50</v>
      </c>
    </row>
    <row r="2963" spans="158:161" ht="74.25" customHeight="1" x14ac:dyDescent="0.2">
      <c r="FB2963" s="8" t="s">
        <v>6052</v>
      </c>
      <c r="FC2963" s="8" t="s">
        <v>6053</v>
      </c>
      <c r="FD2963" s="8">
        <v>1100</v>
      </c>
      <c r="FE2963" s="8">
        <v>110</v>
      </c>
    </row>
    <row r="2964" spans="158:161" ht="74.25" customHeight="1" x14ac:dyDescent="0.2">
      <c r="FB2964" s="8" t="s">
        <v>6054</v>
      </c>
      <c r="FC2964" s="8" t="s">
        <v>6055</v>
      </c>
      <c r="FD2964" s="8">
        <v>1100</v>
      </c>
      <c r="FE2964" s="8">
        <v>110</v>
      </c>
    </row>
    <row r="2965" spans="158:161" ht="74.25" customHeight="1" x14ac:dyDescent="0.2">
      <c r="FB2965" s="8" t="s">
        <v>6056</v>
      </c>
      <c r="FC2965" s="8" t="s">
        <v>6057</v>
      </c>
      <c r="FD2965" s="8">
        <v>5</v>
      </c>
      <c r="FE2965" s="8">
        <v>0.5</v>
      </c>
    </row>
    <row r="2966" spans="158:161" ht="74.25" customHeight="1" x14ac:dyDescent="0.2">
      <c r="FB2966" s="8" t="s">
        <v>6058</v>
      </c>
      <c r="FC2966" s="8" t="s">
        <v>6059</v>
      </c>
      <c r="FD2966" s="8">
        <v>600</v>
      </c>
      <c r="FE2966" s="8">
        <v>60</v>
      </c>
    </row>
    <row r="2967" spans="158:161" ht="74.25" customHeight="1" x14ac:dyDescent="0.2">
      <c r="FB2967" s="8" t="s">
        <v>6060</v>
      </c>
      <c r="FC2967" s="8" t="s">
        <v>6060</v>
      </c>
      <c r="FD2967" s="8">
        <v>600</v>
      </c>
      <c r="FE2967" s="8">
        <v>60</v>
      </c>
    </row>
    <row r="2968" spans="158:161" ht="74.25" customHeight="1" x14ac:dyDescent="0.2">
      <c r="FB2968" s="8" t="s">
        <v>6061</v>
      </c>
      <c r="FC2968" s="8" t="s">
        <v>6061</v>
      </c>
      <c r="FD2968" s="8">
        <v>600</v>
      </c>
      <c r="FE2968" s="8">
        <v>60</v>
      </c>
    </row>
    <row r="2969" spans="158:161" ht="74.25" customHeight="1" x14ac:dyDescent="0.2">
      <c r="FB2969" s="8" t="s">
        <v>6062</v>
      </c>
      <c r="FC2969" s="8" t="s">
        <v>6063</v>
      </c>
      <c r="FD2969" s="8">
        <v>1000</v>
      </c>
      <c r="FE2969" s="8">
        <v>100</v>
      </c>
    </row>
    <row r="2970" spans="158:161" ht="74.25" customHeight="1" x14ac:dyDescent="0.2">
      <c r="FB2970" s="8" t="s">
        <v>6064</v>
      </c>
      <c r="FC2970" s="8" t="s">
        <v>6065</v>
      </c>
      <c r="FD2970" s="8">
        <v>1000</v>
      </c>
      <c r="FE2970" s="8">
        <v>100</v>
      </c>
    </row>
    <row r="2971" spans="158:161" ht="74.25" customHeight="1" x14ac:dyDescent="0.2">
      <c r="FB2971" s="8" t="s">
        <v>6066</v>
      </c>
      <c r="FC2971" s="8" t="s">
        <v>6067</v>
      </c>
      <c r="FD2971" s="8">
        <v>1000</v>
      </c>
      <c r="FE2971" s="8">
        <v>100</v>
      </c>
    </row>
    <row r="2972" spans="158:161" ht="74.25" customHeight="1" x14ac:dyDescent="0.2">
      <c r="FB2972" s="8" t="s">
        <v>6068</v>
      </c>
      <c r="FC2972" s="8" t="s">
        <v>6069</v>
      </c>
      <c r="FD2972" s="8">
        <v>1000</v>
      </c>
      <c r="FE2972" s="8">
        <v>100</v>
      </c>
    </row>
    <row r="2973" spans="158:161" ht="74.25" customHeight="1" x14ac:dyDescent="0.2">
      <c r="FB2973" s="8" t="s">
        <v>6070</v>
      </c>
      <c r="FC2973" s="8" t="s">
        <v>6071</v>
      </c>
      <c r="FD2973" s="8">
        <v>1000</v>
      </c>
      <c r="FE2973" s="8">
        <v>100</v>
      </c>
    </row>
    <row r="2974" spans="158:161" ht="74.25" customHeight="1" x14ac:dyDescent="0.2">
      <c r="FB2974" s="8" t="s">
        <v>6072</v>
      </c>
      <c r="FC2974" s="8" t="s">
        <v>6073</v>
      </c>
      <c r="FD2974" s="8">
        <v>1100</v>
      </c>
      <c r="FE2974" s="8">
        <v>110</v>
      </c>
    </row>
    <row r="2975" spans="158:161" ht="74.25" customHeight="1" x14ac:dyDescent="0.2">
      <c r="FB2975" s="8" t="s">
        <v>6074</v>
      </c>
      <c r="FC2975" s="8" t="s">
        <v>6075</v>
      </c>
      <c r="FD2975" s="8">
        <v>1000</v>
      </c>
      <c r="FE2975" s="8">
        <v>100</v>
      </c>
    </row>
    <row r="2976" spans="158:161" ht="74.25" customHeight="1" x14ac:dyDescent="0.2">
      <c r="FB2976" s="8" t="s">
        <v>6076</v>
      </c>
      <c r="FC2976" s="8" t="s">
        <v>6077</v>
      </c>
      <c r="FD2976" s="8">
        <v>1000</v>
      </c>
      <c r="FE2976" s="8">
        <v>100</v>
      </c>
    </row>
    <row r="2977" spans="158:161" ht="74.25" customHeight="1" x14ac:dyDescent="0.2">
      <c r="FB2977" s="8" t="s">
        <v>6078</v>
      </c>
      <c r="FC2977" s="8" t="s">
        <v>6079</v>
      </c>
      <c r="FD2977" s="8">
        <v>280</v>
      </c>
      <c r="FE2977" s="8">
        <v>28</v>
      </c>
    </row>
    <row r="2978" spans="158:161" ht="74.25" customHeight="1" x14ac:dyDescent="0.2">
      <c r="FB2978" s="8" t="s">
        <v>6080</v>
      </c>
      <c r="FC2978" s="8" t="s">
        <v>6080</v>
      </c>
      <c r="FD2978" s="8">
        <v>90</v>
      </c>
      <c r="FE2978" s="8">
        <v>9</v>
      </c>
    </row>
    <row r="2979" spans="158:161" ht="74.25" customHeight="1" x14ac:dyDescent="0.2">
      <c r="FB2979" s="8" t="s">
        <v>6081</v>
      </c>
      <c r="FC2979" s="8" t="s">
        <v>6082</v>
      </c>
      <c r="FD2979" s="8">
        <v>2200</v>
      </c>
      <c r="FE2979" s="8">
        <v>180</v>
      </c>
    </row>
    <row r="2980" spans="158:161" ht="74.25" customHeight="1" x14ac:dyDescent="0.2">
      <c r="FB2980" s="8" t="s">
        <v>6083</v>
      </c>
      <c r="FC2980" s="8" t="s">
        <v>9476</v>
      </c>
      <c r="FD2980" s="8">
        <v>17</v>
      </c>
      <c r="FE2980" s="8">
        <v>8.1</v>
      </c>
    </row>
    <row r="2981" spans="158:161" ht="74.25" customHeight="1" x14ac:dyDescent="0.2">
      <c r="FB2981" s="8" t="s">
        <v>6084</v>
      </c>
      <c r="FC2981" s="8" t="s">
        <v>9477</v>
      </c>
      <c r="FD2981" s="8">
        <v>2.8</v>
      </c>
      <c r="FE2981" s="8">
        <v>0.56999999999999995</v>
      </c>
    </row>
    <row r="2982" spans="158:161" ht="74.25" customHeight="1" x14ac:dyDescent="0.2">
      <c r="FB2982" s="8" t="s">
        <v>6085</v>
      </c>
      <c r="FC2982" s="8" t="s">
        <v>6086</v>
      </c>
      <c r="FD2982" s="8" t="s">
        <v>9511</v>
      </c>
      <c r="FE2982" s="8">
        <v>0.71</v>
      </c>
    </row>
    <row r="2983" spans="158:161" ht="74.25" customHeight="1" x14ac:dyDescent="0.2">
      <c r="FB2983" s="8" t="s">
        <v>6087</v>
      </c>
      <c r="FC2983" s="8" t="s">
        <v>6088</v>
      </c>
      <c r="FD2983" s="8">
        <v>10</v>
      </c>
      <c r="FE2983" s="8">
        <v>1</v>
      </c>
    </row>
    <row r="2984" spans="158:161" ht="74.25" customHeight="1" x14ac:dyDescent="0.2">
      <c r="FB2984" s="8" t="s">
        <v>6089</v>
      </c>
      <c r="FC2984" s="8" t="s">
        <v>6090</v>
      </c>
      <c r="FD2984" s="8">
        <v>60</v>
      </c>
      <c r="FE2984" s="8">
        <v>6</v>
      </c>
    </row>
    <row r="2985" spans="158:161" ht="74.25" customHeight="1" x14ac:dyDescent="0.2">
      <c r="FB2985" s="8" t="s">
        <v>6091</v>
      </c>
      <c r="FC2985" s="8" t="s">
        <v>6092</v>
      </c>
      <c r="FD2985" s="8">
        <v>10</v>
      </c>
      <c r="FE2985" s="8">
        <v>1</v>
      </c>
    </row>
    <row r="2986" spans="158:161" ht="74.25" customHeight="1" x14ac:dyDescent="0.2">
      <c r="FB2986" s="8" t="s">
        <v>6093</v>
      </c>
      <c r="FC2986" s="8" t="s">
        <v>6094</v>
      </c>
      <c r="FD2986" s="8">
        <v>25</v>
      </c>
      <c r="FE2986" s="8">
        <v>2.5</v>
      </c>
    </row>
    <row r="2987" spans="158:161" ht="74.25" customHeight="1" x14ac:dyDescent="0.2">
      <c r="FB2987" s="8" t="s">
        <v>6095</v>
      </c>
      <c r="FC2987" s="8" t="s">
        <v>6096</v>
      </c>
      <c r="FD2987" s="8">
        <v>20</v>
      </c>
      <c r="FE2987" s="8">
        <v>2</v>
      </c>
    </row>
    <row r="2988" spans="158:161" ht="74.25" customHeight="1" x14ac:dyDescent="0.2">
      <c r="FB2988" s="8" t="s">
        <v>6097</v>
      </c>
      <c r="FC2988" s="8" t="s">
        <v>6098</v>
      </c>
      <c r="FD2988" s="8">
        <v>80</v>
      </c>
      <c r="FE2988" s="8">
        <v>8</v>
      </c>
    </row>
    <row r="2989" spans="158:161" ht="74.25" customHeight="1" x14ac:dyDescent="0.2">
      <c r="FB2989" s="8" t="s">
        <v>6099</v>
      </c>
      <c r="FC2989" s="8" t="s">
        <v>6100</v>
      </c>
      <c r="FD2989" s="8">
        <v>46</v>
      </c>
      <c r="FE2989" s="8">
        <v>4.5999999999999996</v>
      </c>
    </row>
    <row r="2990" spans="158:161" ht="74.25" customHeight="1" x14ac:dyDescent="0.2">
      <c r="FB2990" s="8" t="s">
        <v>6101</v>
      </c>
      <c r="FC2990" s="8" t="s">
        <v>6102</v>
      </c>
      <c r="FD2990" s="8">
        <v>19</v>
      </c>
      <c r="FE2990" s="8">
        <v>30</v>
      </c>
    </row>
    <row r="2991" spans="158:161" ht="74.25" customHeight="1" x14ac:dyDescent="0.2">
      <c r="FB2991" s="8" t="s">
        <v>6103</v>
      </c>
      <c r="FC2991" s="8" t="s">
        <v>6104</v>
      </c>
      <c r="FD2991" s="8">
        <v>4.4000000000000004</v>
      </c>
      <c r="FE2991" s="8">
        <v>10</v>
      </c>
    </row>
    <row r="2992" spans="158:161" ht="74.25" customHeight="1" x14ac:dyDescent="0.2">
      <c r="FB2992" s="8" t="s">
        <v>6105</v>
      </c>
      <c r="FC2992" s="8" t="s">
        <v>6106</v>
      </c>
      <c r="FD2992" s="8">
        <v>1000</v>
      </c>
      <c r="FE2992" s="8">
        <v>100</v>
      </c>
    </row>
    <row r="2993" spans="158:161" ht="74.25" customHeight="1" x14ac:dyDescent="0.2">
      <c r="FB2993" s="8" t="s">
        <v>6107</v>
      </c>
      <c r="FC2993" s="8" t="s">
        <v>6108</v>
      </c>
      <c r="FD2993" s="8">
        <v>2500</v>
      </c>
      <c r="FE2993" s="8">
        <v>250</v>
      </c>
    </row>
    <row r="2994" spans="158:161" ht="74.25" customHeight="1" x14ac:dyDescent="0.2">
      <c r="FB2994" s="8" t="s">
        <v>6109</v>
      </c>
      <c r="FC2994" s="8" t="s">
        <v>6110</v>
      </c>
      <c r="FD2994" s="8">
        <v>3500</v>
      </c>
      <c r="FE2994" s="8">
        <v>350</v>
      </c>
    </row>
    <row r="2995" spans="158:161" ht="74.25" customHeight="1" x14ac:dyDescent="0.2">
      <c r="FB2995" s="8" t="s">
        <v>6111</v>
      </c>
      <c r="FC2995" s="8" t="s">
        <v>6111</v>
      </c>
      <c r="FD2995" s="8">
        <v>1250</v>
      </c>
      <c r="FE2995" s="8">
        <v>125</v>
      </c>
    </row>
    <row r="2996" spans="158:161" ht="74.25" customHeight="1" x14ac:dyDescent="0.2">
      <c r="FB2996" s="8" t="s">
        <v>6112</v>
      </c>
      <c r="FC2996" s="8" t="s">
        <v>6113</v>
      </c>
      <c r="FD2996" s="8">
        <v>100</v>
      </c>
      <c r="FE2996" s="8">
        <v>10</v>
      </c>
    </row>
    <row r="2997" spans="158:161" ht="74.25" customHeight="1" x14ac:dyDescent="0.2">
      <c r="FB2997" s="8" t="s">
        <v>6114</v>
      </c>
      <c r="FC2997" s="8" t="s">
        <v>6115</v>
      </c>
      <c r="FD2997" s="8">
        <v>2340</v>
      </c>
      <c r="FE2997" s="8">
        <v>234</v>
      </c>
    </row>
    <row r="2998" spans="158:161" ht="74.25" customHeight="1" x14ac:dyDescent="0.2">
      <c r="FB2998" s="8" t="s">
        <v>6116</v>
      </c>
      <c r="FC2998" s="8" t="s">
        <v>6116</v>
      </c>
      <c r="FD2998" s="8">
        <v>18</v>
      </c>
      <c r="FE2998" s="8">
        <v>1.8</v>
      </c>
    </row>
    <row r="2999" spans="158:161" ht="74.25" customHeight="1" x14ac:dyDescent="0.2">
      <c r="FB2999" s="8" t="s">
        <v>6117</v>
      </c>
      <c r="FC2999" s="8" t="s">
        <v>6117</v>
      </c>
      <c r="FD2999" s="8">
        <v>430</v>
      </c>
      <c r="FE2999" s="8">
        <v>43</v>
      </c>
    </row>
    <row r="3000" spans="158:161" ht="74.25" customHeight="1" x14ac:dyDescent="0.2">
      <c r="FB3000" s="8" t="s">
        <v>6118</v>
      </c>
      <c r="FC3000" s="8" t="s">
        <v>6119</v>
      </c>
      <c r="FD3000" s="8">
        <v>400</v>
      </c>
      <c r="FE3000" s="8">
        <v>40</v>
      </c>
    </row>
    <row r="3001" spans="158:161" ht="74.25" customHeight="1" x14ac:dyDescent="0.2">
      <c r="FB3001" s="8" t="s">
        <v>6120</v>
      </c>
      <c r="FC3001" s="8" t="s">
        <v>6121</v>
      </c>
      <c r="FD3001" s="8">
        <v>2750</v>
      </c>
      <c r="FE3001" s="8">
        <v>275</v>
      </c>
    </row>
    <row r="3002" spans="158:161" ht="74.25" customHeight="1" x14ac:dyDescent="0.2">
      <c r="FB3002" s="8" t="s">
        <v>6122</v>
      </c>
      <c r="FC3002" s="8" t="s">
        <v>6123</v>
      </c>
      <c r="FD3002" s="8">
        <v>16</v>
      </c>
      <c r="FE3002" s="8">
        <v>2.4</v>
      </c>
    </row>
    <row r="3003" spans="158:161" ht="74.25" customHeight="1" x14ac:dyDescent="0.2">
      <c r="FB3003" s="8" t="s">
        <v>6124</v>
      </c>
      <c r="FC3003" s="8" t="s">
        <v>6125</v>
      </c>
      <c r="FD3003" s="8">
        <v>10</v>
      </c>
      <c r="FE3003" s="8">
        <v>1</v>
      </c>
    </row>
    <row r="3004" spans="158:161" ht="74.25" customHeight="1" x14ac:dyDescent="0.2">
      <c r="FB3004" s="8" t="s">
        <v>6126</v>
      </c>
      <c r="FC3004" s="8" t="s">
        <v>6127</v>
      </c>
      <c r="FD3004" s="8">
        <v>180</v>
      </c>
      <c r="FE3004" s="8">
        <v>18</v>
      </c>
    </row>
    <row r="3005" spans="158:161" ht="74.25" customHeight="1" x14ac:dyDescent="0.2">
      <c r="FB3005" s="8" t="s">
        <v>6128</v>
      </c>
      <c r="FC3005" s="8" t="s">
        <v>6129</v>
      </c>
      <c r="FD3005" s="8">
        <v>27</v>
      </c>
      <c r="FE3005" s="8">
        <v>2.7</v>
      </c>
    </row>
    <row r="3006" spans="158:161" ht="74.25" customHeight="1" x14ac:dyDescent="0.2">
      <c r="FB3006" s="8" t="s">
        <v>6130</v>
      </c>
      <c r="FC3006" s="8" t="s">
        <v>6131</v>
      </c>
      <c r="FD3006" s="8">
        <v>20</v>
      </c>
      <c r="FE3006" s="8">
        <v>2</v>
      </c>
    </row>
    <row r="3007" spans="158:161" ht="74.25" customHeight="1" x14ac:dyDescent="0.2">
      <c r="FB3007" s="8" t="s">
        <v>6132</v>
      </c>
      <c r="FC3007" s="8" t="s">
        <v>6133</v>
      </c>
      <c r="FD3007" s="8">
        <v>2500</v>
      </c>
      <c r="FE3007" s="8">
        <v>250</v>
      </c>
    </row>
    <row r="3008" spans="158:161" ht="74.25" customHeight="1" x14ac:dyDescent="0.2">
      <c r="FB3008" s="8" t="s">
        <v>6134</v>
      </c>
      <c r="FC3008" s="8" t="s">
        <v>6135</v>
      </c>
      <c r="FD3008" s="8">
        <v>100</v>
      </c>
      <c r="FE3008" s="8">
        <v>10</v>
      </c>
    </row>
    <row r="3009" spans="158:161" ht="74.25" customHeight="1" x14ac:dyDescent="0.2">
      <c r="FB3009" s="8" t="s">
        <v>6136</v>
      </c>
      <c r="FC3009" s="8" t="s">
        <v>6137</v>
      </c>
      <c r="FD3009" s="8">
        <v>3900</v>
      </c>
      <c r="FE3009" s="8">
        <v>2100</v>
      </c>
    </row>
    <row r="3010" spans="158:161" ht="74.25" customHeight="1" x14ac:dyDescent="0.2">
      <c r="FB3010" s="8" t="s">
        <v>6138</v>
      </c>
      <c r="FC3010" s="8" t="s">
        <v>6139</v>
      </c>
      <c r="FD3010" s="8">
        <v>40</v>
      </c>
      <c r="FE3010" s="8">
        <v>4</v>
      </c>
    </row>
    <row r="3011" spans="158:161" ht="74.25" customHeight="1" x14ac:dyDescent="0.2">
      <c r="FB3011" s="8" t="s">
        <v>6140</v>
      </c>
      <c r="FC3011" s="8" t="s">
        <v>6141</v>
      </c>
      <c r="FD3011" s="8">
        <v>25</v>
      </c>
      <c r="FE3011" s="8">
        <v>2.5</v>
      </c>
    </row>
    <row r="3012" spans="158:161" ht="74.25" customHeight="1" x14ac:dyDescent="0.2">
      <c r="FB3012" s="8" t="s">
        <v>6142</v>
      </c>
      <c r="FC3012" s="8" t="s">
        <v>6143</v>
      </c>
      <c r="FD3012" s="8">
        <v>1000</v>
      </c>
      <c r="FE3012" s="8">
        <v>100</v>
      </c>
    </row>
    <row r="3013" spans="158:161" ht="74.25" customHeight="1" x14ac:dyDescent="0.2">
      <c r="FB3013" s="8" t="s">
        <v>6144</v>
      </c>
      <c r="FC3013" s="8" t="s">
        <v>6145</v>
      </c>
      <c r="FD3013" s="8">
        <v>37</v>
      </c>
      <c r="FE3013" s="8">
        <v>3.7</v>
      </c>
    </row>
    <row r="3014" spans="158:161" ht="74.25" customHeight="1" x14ac:dyDescent="0.2">
      <c r="FB3014" s="8" t="s">
        <v>6146</v>
      </c>
      <c r="FC3014" s="8" t="s">
        <v>6147</v>
      </c>
      <c r="FD3014" s="8">
        <v>410</v>
      </c>
      <c r="FE3014" s="8">
        <v>41</v>
      </c>
    </row>
    <row r="3015" spans="158:161" ht="74.25" customHeight="1" x14ac:dyDescent="0.2">
      <c r="FB3015" s="8" t="s">
        <v>6148</v>
      </c>
      <c r="FC3015" s="8" t="s">
        <v>6149</v>
      </c>
      <c r="FD3015" s="8">
        <v>140</v>
      </c>
      <c r="FE3015" s="8">
        <v>14</v>
      </c>
    </row>
    <row r="3016" spans="158:161" ht="74.25" customHeight="1" x14ac:dyDescent="0.2">
      <c r="FB3016" s="8" t="s">
        <v>6150</v>
      </c>
      <c r="FC3016" s="8" t="s">
        <v>6151</v>
      </c>
      <c r="FD3016" s="8">
        <v>360</v>
      </c>
      <c r="FE3016" s="8">
        <v>36</v>
      </c>
    </row>
    <row r="3017" spans="158:161" ht="74.25" customHeight="1" x14ac:dyDescent="0.2">
      <c r="FB3017" s="8" t="s">
        <v>6152</v>
      </c>
      <c r="FC3017" s="8" t="s">
        <v>6153</v>
      </c>
      <c r="FD3017" s="8">
        <v>1000</v>
      </c>
      <c r="FE3017" s="8">
        <v>100</v>
      </c>
    </row>
    <row r="3018" spans="158:161" ht="74.25" customHeight="1" x14ac:dyDescent="0.2">
      <c r="FB3018" s="8" t="s">
        <v>6154</v>
      </c>
      <c r="FC3018" s="8" t="s">
        <v>6155</v>
      </c>
      <c r="FD3018" s="8">
        <v>180</v>
      </c>
      <c r="FE3018" s="8">
        <v>18</v>
      </c>
    </row>
    <row r="3019" spans="158:161" ht="74.25" customHeight="1" x14ac:dyDescent="0.2">
      <c r="FB3019" s="8" t="s">
        <v>6156</v>
      </c>
      <c r="FC3019" s="8" t="s">
        <v>6157</v>
      </c>
      <c r="FD3019" s="8">
        <v>90</v>
      </c>
      <c r="FE3019" s="8">
        <v>9</v>
      </c>
    </row>
    <row r="3020" spans="158:161" ht="74.25" customHeight="1" x14ac:dyDescent="0.2">
      <c r="FB3020" s="8" t="s">
        <v>6158</v>
      </c>
      <c r="FC3020" s="8" t="s">
        <v>6159</v>
      </c>
      <c r="FD3020" s="8">
        <v>500</v>
      </c>
      <c r="FE3020" s="8">
        <v>50</v>
      </c>
    </row>
    <row r="3021" spans="158:161" ht="74.25" customHeight="1" x14ac:dyDescent="0.2">
      <c r="FB3021" s="8" t="s">
        <v>6160</v>
      </c>
      <c r="FC3021" s="8" t="s">
        <v>6161</v>
      </c>
      <c r="FD3021" s="8">
        <v>250</v>
      </c>
      <c r="FE3021" s="8">
        <v>25</v>
      </c>
    </row>
    <row r="3022" spans="158:161" ht="74.25" customHeight="1" x14ac:dyDescent="0.2">
      <c r="FB3022" s="8" t="s">
        <v>6162</v>
      </c>
      <c r="FC3022" s="8" t="s">
        <v>6163</v>
      </c>
      <c r="FD3022" s="8">
        <v>1000</v>
      </c>
      <c r="FE3022" s="8">
        <v>100</v>
      </c>
    </row>
    <row r="3023" spans="158:161" ht="74.25" customHeight="1" x14ac:dyDescent="0.2">
      <c r="FB3023" s="8" t="s">
        <v>6164</v>
      </c>
      <c r="FC3023" s="8" t="s">
        <v>6165</v>
      </c>
      <c r="FD3023" s="8">
        <v>6000</v>
      </c>
      <c r="FE3023" s="8">
        <v>600</v>
      </c>
    </row>
    <row r="3024" spans="158:161" ht="74.25" customHeight="1" x14ac:dyDescent="0.2">
      <c r="FB3024" s="8" t="s">
        <v>6166</v>
      </c>
      <c r="FC3024" s="8" t="s">
        <v>6167</v>
      </c>
      <c r="FD3024" s="8">
        <v>3000</v>
      </c>
      <c r="FE3024" s="8">
        <v>300</v>
      </c>
    </row>
    <row r="3025" spans="158:161" ht="74.25" customHeight="1" x14ac:dyDescent="0.2">
      <c r="FB3025" s="8" t="s">
        <v>6168</v>
      </c>
      <c r="FC3025" s="8" t="s">
        <v>6169</v>
      </c>
      <c r="FD3025" s="8">
        <v>16400</v>
      </c>
      <c r="FE3025" s="8">
        <v>1640</v>
      </c>
    </row>
    <row r="3026" spans="158:161" ht="74.25" customHeight="1" x14ac:dyDescent="0.2">
      <c r="FB3026" s="8" t="s">
        <v>6170</v>
      </c>
      <c r="FC3026" s="8" t="s">
        <v>6171</v>
      </c>
      <c r="FD3026" s="8">
        <v>60</v>
      </c>
      <c r="FE3026" s="8">
        <v>7</v>
      </c>
    </row>
    <row r="3027" spans="158:161" ht="74.25" customHeight="1" x14ac:dyDescent="0.2">
      <c r="FB3027" s="8" t="s">
        <v>6172</v>
      </c>
      <c r="FC3027" s="8" t="s">
        <v>6173</v>
      </c>
      <c r="FD3027" s="8">
        <v>20</v>
      </c>
      <c r="FE3027" s="8">
        <v>2</v>
      </c>
    </row>
    <row r="3028" spans="158:161" ht="74.25" customHeight="1" x14ac:dyDescent="0.2">
      <c r="FB3028" s="8" t="s">
        <v>6174</v>
      </c>
      <c r="FC3028" s="8" t="s">
        <v>6175</v>
      </c>
      <c r="FD3028" s="8">
        <v>610</v>
      </c>
      <c r="FE3028" s="8">
        <v>61</v>
      </c>
    </row>
    <row r="3029" spans="158:161" ht="74.25" customHeight="1" x14ac:dyDescent="0.2">
      <c r="FB3029" s="8" t="s">
        <v>6176</v>
      </c>
      <c r="FC3029" s="8" t="s">
        <v>6177</v>
      </c>
      <c r="FD3029" s="8">
        <v>40</v>
      </c>
      <c r="FE3029" s="8">
        <v>4</v>
      </c>
    </row>
    <row r="3030" spans="158:161" ht="74.25" customHeight="1" x14ac:dyDescent="0.2">
      <c r="FB3030" s="8" t="s">
        <v>6178</v>
      </c>
      <c r="FC3030" s="8" t="s">
        <v>6179</v>
      </c>
      <c r="FD3030" s="8">
        <v>12800</v>
      </c>
      <c r="FE3030" s="8">
        <v>1280</v>
      </c>
    </row>
    <row r="3031" spans="158:161" ht="74.25" customHeight="1" x14ac:dyDescent="0.2">
      <c r="FB3031" s="8" t="s">
        <v>6180</v>
      </c>
      <c r="FC3031" s="8" t="s">
        <v>6181</v>
      </c>
      <c r="FD3031" s="8">
        <v>1000</v>
      </c>
      <c r="FE3031" s="8">
        <v>100</v>
      </c>
    </row>
    <row r="3032" spans="158:161" ht="74.25" customHeight="1" x14ac:dyDescent="0.2">
      <c r="FB3032" s="8" t="s">
        <v>6182</v>
      </c>
      <c r="FC3032" s="8" t="s">
        <v>6183</v>
      </c>
      <c r="FD3032" s="8">
        <v>750</v>
      </c>
      <c r="FE3032" s="8">
        <v>75</v>
      </c>
    </row>
    <row r="3033" spans="158:161" ht="74.25" customHeight="1" x14ac:dyDescent="0.2">
      <c r="FB3033" s="8" t="s">
        <v>6184</v>
      </c>
      <c r="FC3033" s="8" t="s">
        <v>6185</v>
      </c>
      <c r="FD3033" s="8">
        <v>25</v>
      </c>
      <c r="FE3033" s="8">
        <v>2.5</v>
      </c>
    </row>
    <row r="3034" spans="158:161" ht="74.25" customHeight="1" x14ac:dyDescent="0.2">
      <c r="FB3034" s="8" t="s">
        <v>6186</v>
      </c>
      <c r="FC3034" s="8" t="s">
        <v>6187</v>
      </c>
      <c r="FD3034" s="8">
        <v>2</v>
      </c>
      <c r="FE3034" s="8">
        <v>0.2</v>
      </c>
    </row>
    <row r="3035" spans="158:161" ht="74.25" customHeight="1" x14ac:dyDescent="0.2">
      <c r="FB3035" s="8" t="s">
        <v>6188</v>
      </c>
      <c r="FC3035" s="8" t="s">
        <v>6189</v>
      </c>
      <c r="FD3035" s="8">
        <v>1000</v>
      </c>
      <c r="FE3035" s="8">
        <v>100</v>
      </c>
    </row>
    <row r="3036" spans="158:161" ht="74.25" customHeight="1" x14ac:dyDescent="0.2">
      <c r="FB3036" s="8" t="s">
        <v>6190</v>
      </c>
      <c r="FC3036" s="8" t="s">
        <v>6191</v>
      </c>
      <c r="FD3036" s="8">
        <v>70</v>
      </c>
      <c r="FE3036" s="8">
        <v>7</v>
      </c>
    </row>
    <row r="3037" spans="158:161" ht="74.25" customHeight="1" x14ac:dyDescent="0.2">
      <c r="FB3037" s="8" t="s">
        <v>6192</v>
      </c>
      <c r="FC3037" s="8" t="s">
        <v>6193</v>
      </c>
      <c r="FD3037" s="8">
        <v>3700</v>
      </c>
      <c r="FE3037" s="8">
        <v>370</v>
      </c>
    </row>
    <row r="3038" spans="158:161" ht="74.25" customHeight="1" x14ac:dyDescent="0.2">
      <c r="FB3038" s="8" t="s">
        <v>6194</v>
      </c>
      <c r="FC3038" s="8" t="s">
        <v>6195</v>
      </c>
      <c r="FD3038" s="8">
        <v>580</v>
      </c>
      <c r="FE3038" s="8">
        <v>58</v>
      </c>
    </row>
    <row r="3039" spans="158:161" ht="74.25" customHeight="1" x14ac:dyDescent="0.2">
      <c r="FB3039" s="8" t="s">
        <v>6196</v>
      </c>
      <c r="FC3039" s="8" t="s">
        <v>6197</v>
      </c>
      <c r="FD3039" s="8">
        <v>8</v>
      </c>
      <c r="FE3039" s="8">
        <v>0.8</v>
      </c>
    </row>
    <row r="3040" spans="158:161" ht="74.25" customHeight="1" x14ac:dyDescent="0.2">
      <c r="FB3040" s="8" t="s">
        <v>6198</v>
      </c>
      <c r="FC3040" s="8" t="s">
        <v>6199</v>
      </c>
      <c r="FD3040" s="8">
        <v>100</v>
      </c>
      <c r="FE3040" s="8">
        <v>10</v>
      </c>
    </row>
    <row r="3041" spans="158:161" ht="74.25" customHeight="1" x14ac:dyDescent="0.2">
      <c r="FB3041" s="8" t="s">
        <v>6200</v>
      </c>
      <c r="FC3041" s="8" t="s">
        <v>6200</v>
      </c>
      <c r="FD3041" s="8">
        <v>1250</v>
      </c>
      <c r="FE3041" s="8">
        <v>125</v>
      </c>
    </row>
    <row r="3042" spans="158:161" ht="74.25" customHeight="1" x14ac:dyDescent="0.2">
      <c r="FB3042" s="8" t="s">
        <v>6201</v>
      </c>
      <c r="FC3042" s="8" t="s">
        <v>6202</v>
      </c>
      <c r="FD3042" s="8">
        <v>18000</v>
      </c>
      <c r="FE3042" s="8">
        <v>2600</v>
      </c>
    </row>
    <row r="3043" spans="158:161" ht="74.25" customHeight="1" x14ac:dyDescent="0.2">
      <c r="FB3043" s="8" t="s">
        <v>6203</v>
      </c>
      <c r="FC3043" s="8" t="s">
        <v>6204</v>
      </c>
      <c r="FD3043" s="8">
        <v>360</v>
      </c>
      <c r="FE3043" s="8">
        <v>36</v>
      </c>
    </row>
    <row r="3044" spans="158:161" ht="74.25" customHeight="1" x14ac:dyDescent="0.2">
      <c r="FB3044" s="8" t="s">
        <v>6205</v>
      </c>
      <c r="FC3044" s="8" t="s">
        <v>6206</v>
      </c>
      <c r="FD3044" s="8">
        <v>15</v>
      </c>
      <c r="FE3044" s="8">
        <v>1.5</v>
      </c>
    </row>
    <row r="3045" spans="158:161" ht="74.25" customHeight="1" x14ac:dyDescent="0.2">
      <c r="FB3045" s="8" t="s">
        <v>6207</v>
      </c>
      <c r="FC3045" s="8" t="s">
        <v>6208</v>
      </c>
      <c r="FD3045" s="8">
        <v>100</v>
      </c>
      <c r="FE3045" s="8">
        <v>10</v>
      </c>
    </row>
    <row r="3046" spans="158:161" ht="74.25" customHeight="1" x14ac:dyDescent="0.2">
      <c r="FB3046" s="8" t="s">
        <v>6209</v>
      </c>
      <c r="FC3046" s="8" t="s">
        <v>6210</v>
      </c>
      <c r="FD3046" s="8">
        <v>110</v>
      </c>
      <c r="FE3046" s="8">
        <v>11</v>
      </c>
    </row>
    <row r="3047" spans="158:161" ht="74.25" customHeight="1" x14ac:dyDescent="0.2">
      <c r="FB3047" s="8" t="s">
        <v>6211</v>
      </c>
      <c r="FC3047" s="8" t="s">
        <v>6212</v>
      </c>
      <c r="FD3047" s="8">
        <v>1200</v>
      </c>
      <c r="FE3047" s="8">
        <v>120</v>
      </c>
    </row>
    <row r="3048" spans="158:161" ht="74.25" customHeight="1" x14ac:dyDescent="0.2">
      <c r="FB3048" s="8" t="s">
        <v>6213</v>
      </c>
      <c r="FC3048" s="8" t="s">
        <v>6214</v>
      </c>
      <c r="FD3048" s="8">
        <v>80</v>
      </c>
      <c r="FE3048" s="8">
        <v>8</v>
      </c>
    </row>
    <row r="3049" spans="158:161" ht="74.25" customHeight="1" x14ac:dyDescent="0.2">
      <c r="FB3049" s="8" t="s">
        <v>6215</v>
      </c>
      <c r="FC3049" s="8" t="s">
        <v>6216</v>
      </c>
      <c r="FD3049" s="8">
        <v>250</v>
      </c>
      <c r="FE3049" s="8">
        <v>25</v>
      </c>
    </row>
    <row r="3050" spans="158:161" ht="74.25" customHeight="1" x14ac:dyDescent="0.2">
      <c r="FB3050" s="8" t="s">
        <v>6217</v>
      </c>
      <c r="FC3050" s="8" t="s">
        <v>6218</v>
      </c>
      <c r="FD3050" s="8">
        <v>0.05</v>
      </c>
      <c r="FE3050" s="8">
        <v>5.0000000000000001E-3</v>
      </c>
    </row>
    <row r="3051" spans="158:161" ht="74.25" customHeight="1" x14ac:dyDescent="0.2">
      <c r="FB3051" s="8" t="s">
        <v>6219</v>
      </c>
      <c r="FC3051" s="8" t="s">
        <v>6220</v>
      </c>
      <c r="FD3051" s="8">
        <v>0.2</v>
      </c>
      <c r="FE3051" s="8">
        <v>0.02</v>
      </c>
    </row>
    <row r="3052" spans="158:161" ht="74.25" customHeight="1" x14ac:dyDescent="0.2">
      <c r="FB3052" s="8" t="s">
        <v>6221</v>
      </c>
      <c r="FC3052" s="8" t="s">
        <v>6222</v>
      </c>
      <c r="FD3052" s="8">
        <v>120</v>
      </c>
      <c r="FE3052" s="8">
        <v>12</v>
      </c>
    </row>
    <row r="3053" spans="158:161" ht="74.25" customHeight="1" x14ac:dyDescent="0.2">
      <c r="FB3053" s="8" t="s">
        <v>6223</v>
      </c>
      <c r="FC3053" s="8" t="s">
        <v>6224</v>
      </c>
      <c r="FD3053" s="8">
        <v>470</v>
      </c>
      <c r="FE3053" s="8">
        <v>47</v>
      </c>
    </row>
    <row r="3054" spans="158:161" ht="74.25" customHeight="1" x14ac:dyDescent="0.2">
      <c r="FB3054" s="8" t="s">
        <v>6225</v>
      </c>
      <c r="FC3054" s="8" t="s">
        <v>6226</v>
      </c>
      <c r="FD3054" s="8">
        <v>820</v>
      </c>
      <c r="FE3054" s="8">
        <v>82</v>
      </c>
    </row>
    <row r="3055" spans="158:161" ht="74.25" customHeight="1" x14ac:dyDescent="0.2">
      <c r="FB3055" s="8" t="s">
        <v>6227</v>
      </c>
      <c r="FC3055" s="8" t="s">
        <v>6228</v>
      </c>
      <c r="FD3055" s="8">
        <v>3000</v>
      </c>
      <c r="FE3055" s="8">
        <v>300</v>
      </c>
    </row>
    <row r="3056" spans="158:161" ht="74.25" customHeight="1" x14ac:dyDescent="0.2">
      <c r="FB3056" s="8" t="s">
        <v>6229</v>
      </c>
      <c r="FC3056" s="8" t="s">
        <v>6230</v>
      </c>
      <c r="FD3056" s="8">
        <v>0.7</v>
      </c>
      <c r="FE3056" s="8">
        <v>0.1</v>
      </c>
    </row>
    <row r="3057" spans="158:161" ht="74.25" customHeight="1" x14ac:dyDescent="0.2">
      <c r="FB3057" s="8" t="s">
        <v>6231</v>
      </c>
      <c r="FC3057" s="8" t="s">
        <v>6232</v>
      </c>
      <c r="FD3057" s="8">
        <v>2500</v>
      </c>
      <c r="FE3057" s="8">
        <v>250</v>
      </c>
    </row>
    <row r="3058" spans="158:161" ht="74.25" customHeight="1" x14ac:dyDescent="0.2">
      <c r="FB3058" s="8" t="s">
        <v>6233</v>
      </c>
      <c r="FC3058" s="8" t="s">
        <v>6234</v>
      </c>
      <c r="FD3058" s="8">
        <v>7050</v>
      </c>
      <c r="FE3058" s="8">
        <v>705</v>
      </c>
    </row>
    <row r="3059" spans="158:161" ht="74.25" customHeight="1" x14ac:dyDescent="0.2">
      <c r="FB3059" s="8" t="s">
        <v>6235</v>
      </c>
      <c r="FC3059" s="8" t="s">
        <v>6236</v>
      </c>
      <c r="FD3059" s="8">
        <v>0.7</v>
      </c>
      <c r="FE3059" s="8">
        <v>0.1</v>
      </c>
    </row>
    <row r="3060" spans="158:161" ht="74.25" customHeight="1" x14ac:dyDescent="0.2">
      <c r="FB3060" s="8" t="s">
        <v>6237</v>
      </c>
      <c r="FC3060" s="8" t="s">
        <v>6238</v>
      </c>
      <c r="FD3060" s="8">
        <v>840</v>
      </c>
      <c r="FE3060" s="8">
        <v>84</v>
      </c>
    </row>
    <row r="3061" spans="158:161" ht="74.25" customHeight="1" x14ac:dyDescent="0.2">
      <c r="FB3061" s="8" t="s">
        <v>6239</v>
      </c>
      <c r="FC3061" s="8" t="s">
        <v>6240</v>
      </c>
      <c r="FD3061" s="8">
        <v>1000</v>
      </c>
      <c r="FE3061" s="8">
        <v>100</v>
      </c>
    </row>
    <row r="3062" spans="158:161" ht="74.25" customHeight="1" x14ac:dyDescent="0.2">
      <c r="FB3062" s="8" t="s">
        <v>6241</v>
      </c>
      <c r="FC3062" s="8" t="s">
        <v>6242</v>
      </c>
      <c r="FD3062" s="8">
        <v>1.9</v>
      </c>
      <c r="FE3062" s="8">
        <v>1</v>
      </c>
    </row>
    <row r="3063" spans="158:161" ht="74.25" customHeight="1" x14ac:dyDescent="0.2">
      <c r="FB3063" s="8" t="s">
        <v>6243</v>
      </c>
      <c r="FC3063" s="8" t="s">
        <v>6244</v>
      </c>
      <c r="FD3063" s="8">
        <v>25</v>
      </c>
      <c r="FE3063" s="8">
        <v>2.5</v>
      </c>
    </row>
    <row r="3064" spans="158:161" ht="74.25" customHeight="1" x14ac:dyDescent="0.2">
      <c r="FB3064" s="8" t="s">
        <v>6245</v>
      </c>
      <c r="FC3064" s="8" t="s">
        <v>6246</v>
      </c>
      <c r="FD3064" s="8">
        <v>860</v>
      </c>
      <c r="FE3064" s="8">
        <v>210</v>
      </c>
    </row>
    <row r="3065" spans="158:161" ht="74.25" customHeight="1" x14ac:dyDescent="0.2">
      <c r="FB3065" s="8" t="s">
        <v>6247</v>
      </c>
      <c r="FC3065" s="8" t="s">
        <v>6248</v>
      </c>
      <c r="FD3065" s="8">
        <v>25</v>
      </c>
      <c r="FE3065" s="8">
        <v>2.5</v>
      </c>
    </row>
    <row r="3066" spans="158:161" ht="74.25" customHeight="1" x14ac:dyDescent="0.2">
      <c r="FB3066" s="8" t="s">
        <v>6249</v>
      </c>
      <c r="FC3066" s="8" t="s">
        <v>6250</v>
      </c>
      <c r="FD3066" s="8">
        <v>270</v>
      </c>
      <c r="FE3066" s="8">
        <v>27</v>
      </c>
    </row>
    <row r="3067" spans="158:161" ht="74.25" customHeight="1" x14ac:dyDescent="0.2">
      <c r="FB3067" s="8" t="s">
        <v>6251</v>
      </c>
      <c r="FC3067" s="8" t="s">
        <v>6252</v>
      </c>
      <c r="FD3067" s="8">
        <v>4500</v>
      </c>
      <c r="FE3067" s="8">
        <v>840</v>
      </c>
    </row>
    <row r="3068" spans="158:161" ht="74.25" customHeight="1" x14ac:dyDescent="0.2">
      <c r="FB3068" s="8" t="s">
        <v>6253</v>
      </c>
      <c r="FC3068" s="8" t="s">
        <v>6254</v>
      </c>
      <c r="FD3068" s="8">
        <v>10000</v>
      </c>
      <c r="FE3068" s="8">
        <v>1000</v>
      </c>
    </row>
    <row r="3069" spans="158:161" ht="74.25" customHeight="1" x14ac:dyDescent="0.2">
      <c r="FB3069" s="8" t="s">
        <v>6255</v>
      </c>
      <c r="FC3069" s="8" t="s">
        <v>6256</v>
      </c>
      <c r="FD3069" s="8">
        <v>1000</v>
      </c>
      <c r="FE3069" s="8">
        <v>100</v>
      </c>
    </row>
    <row r="3070" spans="158:161" ht="74.25" customHeight="1" x14ac:dyDescent="0.2">
      <c r="FB3070" s="8" t="s">
        <v>6257</v>
      </c>
      <c r="FC3070" s="8" t="s">
        <v>6258</v>
      </c>
      <c r="FD3070" s="8">
        <v>1000</v>
      </c>
      <c r="FE3070" s="8">
        <v>100</v>
      </c>
    </row>
    <row r="3071" spans="158:161" ht="74.25" customHeight="1" x14ac:dyDescent="0.2">
      <c r="FB3071" s="8" t="s">
        <v>6259</v>
      </c>
      <c r="FC3071" s="8" t="s">
        <v>6260</v>
      </c>
      <c r="FD3071" s="8">
        <v>17</v>
      </c>
      <c r="FE3071" s="8">
        <v>1.7</v>
      </c>
    </row>
    <row r="3072" spans="158:161" ht="74.25" customHeight="1" x14ac:dyDescent="0.2">
      <c r="FB3072" s="8" t="s">
        <v>6261</v>
      </c>
      <c r="FC3072" s="8" t="s">
        <v>6262</v>
      </c>
      <c r="FD3072" s="8">
        <v>1000</v>
      </c>
      <c r="FE3072" s="8">
        <v>100</v>
      </c>
    </row>
    <row r="3073" spans="158:161" ht="74.25" customHeight="1" x14ac:dyDescent="0.2">
      <c r="FB3073" s="8" t="s">
        <v>6263</v>
      </c>
      <c r="FC3073" s="8" t="s">
        <v>6264</v>
      </c>
      <c r="FD3073" s="8">
        <v>2</v>
      </c>
      <c r="FE3073" s="8">
        <v>0.2</v>
      </c>
    </row>
    <row r="3074" spans="158:161" ht="74.25" customHeight="1" x14ac:dyDescent="0.2">
      <c r="FB3074" s="8" t="s">
        <v>6265</v>
      </c>
      <c r="FC3074" s="8" t="s">
        <v>6266</v>
      </c>
      <c r="FD3074" s="8">
        <v>1000</v>
      </c>
      <c r="FE3074" s="8">
        <v>100</v>
      </c>
    </row>
    <row r="3075" spans="158:161" ht="74.25" customHeight="1" x14ac:dyDescent="0.2">
      <c r="FB3075" s="8" t="s">
        <v>6267</v>
      </c>
      <c r="FC3075" s="8" t="s">
        <v>6268</v>
      </c>
      <c r="FD3075" s="8">
        <v>500</v>
      </c>
      <c r="FE3075" s="8">
        <v>50</v>
      </c>
    </row>
    <row r="3076" spans="158:161" ht="74.25" customHeight="1" x14ac:dyDescent="0.2">
      <c r="FB3076" s="8" t="s">
        <v>6269</v>
      </c>
      <c r="FC3076" s="8" t="s">
        <v>6270</v>
      </c>
      <c r="FD3076" s="8">
        <v>500</v>
      </c>
      <c r="FE3076" s="8">
        <v>50</v>
      </c>
    </row>
    <row r="3077" spans="158:161" ht="74.25" customHeight="1" x14ac:dyDescent="0.2">
      <c r="FB3077" s="8" t="s">
        <v>6271</v>
      </c>
      <c r="FC3077" s="8" t="s">
        <v>6272</v>
      </c>
      <c r="FD3077" s="8">
        <v>370</v>
      </c>
      <c r="FE3077" s="8">
        <v>37</v>
      </c>
    </row>
    <row r="3078" spans="158:161" ht="74.25" customHeight="1" x14ac:dyDescent="0.2">
      <c r="FB3078" s="8" t="s">
        <v>6273</v>
      </c>
      <c r="FC3078" s="8" t="s">
        <v>6274</v>
      </c>
      <c r="FD3078" s="8">
        <v>2500</v>
      </c>
      <c r="FE3078" s="8">
        <v>250</v>
      </c>
    </row>
    <row r="3079" spans="158:161" ht="74.25" customHeight="1" x14ac:dyDescent="0.2">
      <c r="FB3079" s="8" t="s">
        <v>6275</v>
      </c>
      <c r="FC3079" s="8" t="s">
        <v>6276</v>
      </c>
      <c r="FD3079" s="8">
        <v>400</v>
      </c>
      <c r="FE3079" s="8">
        <v>40</v>
      </c>
    </row>
    <row r="3080" spans="158:161" ht="74.25" customHeight="1" x14ac:dyDescent="0.2">
      <c r="FB3080" s="8" t="s">
        <v>6277</v>
      </c>
      <c r="FC3080" s="8" t="s">
        <v>6278</v>
      </c>
      <c r="FD3080" s="8">
        <v>500</v>
      </c>
      <c r="FE3080" s="8">
        <v>50</v>
      </c>
    </row>
    <row r="3081" spans="158:161" ht="74.25" customHeight="1" x14ac:dyDescent="0.2">
      <c r="FB3081" s="8" t="s">
        <v>6279</v>
      </c>
      <c r="FC3081" s="8" t="s">
        <v>6280</v>
      </c>
      <c r="FD3081" s="8">
        <v>1000</v>
      </c>
      <c r="FE3081" s="8">
        <v>100</v>
      </c>
    </row>
    <row r="3082" spans="158:161" ht="74.25" customHeight="1" x14ac:dyDescent="0.2">
      <c r="FB3082" s="8" t="s">
        <v>6281</v>
      </c>
      <c r="FC3082" s="8" t="s">
        <v>6282</v>
      </c>
      <c r="FD3082" s="8">
        <v>630</v>
      </c>
      <c r="FE3082" s="8">
        <v>180</v>
      </c>
    </row>
    <row r="3083" spans="158:161" ht="74.25" customHeight="1" x14ac:dyDescent="0.2">
      <c r="FB3083" s="8" t="s">
        <v>6283</v>
      </c>
      <c r="FC3083" s="8" t="s">
        <v>6284</v>
      </c>
      <c r="FD3083" s="8">
        <v>500</v>
      </c>
      <c r="FE3083" s="8">
        <v>50</v>
      </c>
    </row>
    <row r="3084" spans="158:161" ht="74.25" customHeight="1" x14ac:dyDescent="0.2">
      <c r="FB3084" s="8" t="s">
        <v>6285</v>
      </c>
      <c r="FC3084" s="8" t="s">
        <v>6286</v>
      </c>
      <c r="FD3084" s="8">
        <v>150</v>
      </c>
      <c r="FE3084" s="8">
        <v>15</v>
      </c>
    </row>
    <row r="3085" spans="158:161" ht="74.25" customHeight="1" x14ac:dyDescent="0.2">
      <c r="FB3085" s="8" t="s">
        <v>6287</v>
      </c>
      <c r="FC3085" s="8" t="s">
        <v>6288</v>
      </c>
      <c r="FD3085" s="8">
        <v>4800</v>
      </c>
      <c r="FE3085" s="8">
        <v>480</v>
      </c>
    </row>
    <row r="3086" spans="158:161" ht="74.25" customHeight="1" x14ac:dyDescent="0.2">
      <c r="FB3086" s="8" t="s">
        <v>6289</v>
      </c>
      <c r="FC3086" s="8" t="s">
        <v>6290</v>
      </c>
      <c r="FD3086" s="8">
        <v>6</v>
      </c>
      <c r="FE3086" s="8">
        <v>0.6</v>
      </c>
    </row>
    <row r="3087" spans="158:161" ht="74.25" customHeight="1" x14ac:dyDescent="0.2">
      <c r="FB3087" s="8" t="s">
        <v>6291</v>
      </c>
      <c r="FC3087" s="8" t="s">
        <v>6292</v>
      </c>
      <c r="FD3087" s="8">
        <v>300</v>
      </c>
      <c r="FE3087" s="8">
        <v>30</v>
      </c>
    </row>
    <row r="3088" spans="158:161" ht="74.25" customHeight="1" x14ac:dyDescent="0.2">
      <c r="FB3088" s="8" t="s">
        <v>6293</v>
      </c>
      <c r="FC3088" s="8" t="s">
        <v>6294</v>
      </c>
      <c r="FD3088" s="8">
        <v>140</v>
      </c>
      <c r="FE3088" s="8">
        <v>14</v>
      </c>
    </row>
    <row r="3089" spans="158:161" ht="74.25" customHeight="1" x14ac:dyDescent="0.2">
      <c r="FB3089" s="8" t="s">
        <v>6295</v>
      </c>
      <c r="FC3089" s="8" t="s">
        <v>6296</v>
      </c>
      <c r="FD3089" s="8">
        <v>140</v>
      </c>
      <c r="FE3089" s="8">
        <v>14</v>
      </c>
    </row>
    <row r="3090" spans="158:161" ht="74.25" customHeight="1" x14ac:dyDescent="0.2">
      <c r="FB3090" s="8" t="s">
        <v>6297</v>
      </c>
      <c r="FC3090" s="8" t="s">
        <v>6298</v>
      </c>
      <c r="FD3090" s="8">
        <v>300</v>
      </c>
      <c r="FE3090" s="8">
        <v>30</v>
      </c>
    </row>
    <row r="3091" spans="158:161" ht="74.25" customHeight="1" x14ac:dyDescent="0.2">
      <c r="FB3091" s="8" t="s">
        <v>6299</v>
      </c>
      <c r="FC3091" s="8" t="s">
        <v>6300</v>
      </c>
      <c r="FD3091" s="8">
        <v>450</v>
      </c>
      <c r="FE3091" s="8">
        <v>45</v>
      </c>
    </row>
    <row r="3092" spans="158:161" ht="74.25" customHeight="1" x14ac:dyDescent="0.2">
      <c r="FB3092" s="8" t="s">
        <v>6301</v>
      </c>
      <c r="FC3092" s="8" t="s">
        <v>6302</v>
      </c>
      <c r="FD3092" s="8">
        <v>44</v>
      </c>
      <c r="FE3092" s="8">
        <v>6.4</v>
      </c>
    </row>
    <row r="3093" spans="158:161" ht="74.25" customHeight="1" x14ac:dyDescent="0.2">
      <c r="FB3093" s="8" t="s">
        <v>6303</v>
      </c>
      <c r="FC3093" s="8" t="s">
        <v>6304</v>
      </c>
      <c r="FD3093" s="8">
        <v>13</v>
      </c>
      <c r="FE3093" s="8">
        <v>1.3</v>
      </c>
    </row>
    <row r="3094" spans="158:161" ht="74.25" customHeight="1" x14ac:dyDescent="0.2">
      <c r="FB3094" s="8" t="s">
        <v>6305</v>
      </c>
      <c r="FC3094" s="8" t="s">
        <v>6306</v>
      </c>
      <c r="FD3094" s="8">
        <v>700</v>
      </c>
      <c r="FE3094" s="8">
        <v>70</v>
      </c>
    </row>
    <row r="3095" spans="158:161" ht="74.25" customHeight="1" x14ac:dyDescent="0.2">
      <c r="FB3095" s="8" t="s">
        <v>6307</v>
      </c>
      <c r="FC3095" s="8" t="s">
        <v>6308</v>
      </c>
      <c r="FD3095" s="8">
        <v>290</v>
      </c>
      <c r="FE3095" s="8">
        <v>480</v>
      </c>
    </row>
    <row r="3096" spans="158:161" ht="74.25" customHeight="1" x14ac:dyDescent="0.2">
      <c r="FB3096" s="8" t="s">
        <v>6309</v>
      </c>
      <c r="FC3096" s="8" t="s">
        <v>6310</v>
      </c>
      <c r="FD3096" s="8">
        <v>16100</v>
      </c>
      <c r="FE3096" s="8">
        <v>1610</v>
      </c>
    </row>
    <row r="3097" spans="158:161" ht="74.25" customHeight="1" x14ac:dyDescent="0.2">
      <c r="FB3097" s="8" t="s">
        <v>6311</v>
      </c>
      <c r="FC3097" s="8" t="s">
        <v>6312</v>
      </c>
      <c r="FD3097" s="8">
        <v>2340</v>
      </c>
      <c r="FE3097" s="8">
        <v>234</v>
      </c>
    </row>
    <row r="3098" spans="158:161" ht="74.25" customHeight="1" x14ac:dyDescent="0.2">
      <c r="FB3098" s="8" t="s">
        <v>6313</v>
      </c>
      <c r="FC3098" s="8" t="s">
        <v>6314</v>
      </c>
      <c r="FD3098" s="8">
        <v>2000</v>
      </c>
      <c r="FE3098" s="8">
        <v>200</v>
      </c>
    </row>
    <row r="3099" spans="158:161" ht="74.25" customHeight="1" x14ac:dyDescent="0.2">
      <c r="FB3099" s="8" t="s">
        <v>6315</v>
      </c>
      <c r="FC3099" s="8" t="s">
        <v>6316</v>
      </c>
      <c r="FD3099" s="8">
        <v>2600</v>
      </c>
      <c r="FE3099" s="8">
        <v>260</v>
      </c>
    </row>
    <row r="3100" spans="158:161" ht="74.25" customHeight="1" x14ac:dyDescent="0.2">
      <c r="FB3100" s="8" t="s">
        <v>6317</v>
      </c>
      <c r="FC3100" s="8" t="s">
        <v>6318</v>
      </c>
      <c r="FD3100" s="8">
        <v>17000</v>
      </c>
      <c r="FE3100" s="8">
        <v>1700</v>
      </c>
    </row>
    <row r="3101" spans="158:161" ht="74.25" customHeight="1" x14ac:dyDescent="0.2">
      <c r="FB3101" s="8" t="s">
        <v>6319</v>
      </c>
      <c r="FC3101" s="8" t="s">
        <v>6320</v>
      </c>
      <c r="FD3101" s="8">
        <v>270</v>
      </c>
      <c r="FE3101" s="8">
        <v>5.4</v>
      </c>
    </row>
    <row r="3102" spans="158:161" ht="74.25" customHeight="1" x14ac:dyDescent="0.2">
      <c r="FB3102" s="8" t="s">
        <v>6321</v>
      </c>
      <c r="FC3102" s="8" t="s">
        <v>6322</v>
      </c>
      <c r="FD3102" s="8">
        <v>1000</v>
      </c>
      <c r="FE3102" s="8">
        <v>100</v>
      </c>
    </row>
    <row r="3103" spans="158:161" ht="74.25" customHeight="1" x14ac:dyDescent="0.2">
      <c r="FB3103" s="8" t="s">
        <v>6323</v>
      </c>
      <c r="FC3103" s="8" t="s">
        <v>6324</v>
      </c>
      <c r="FD3103" s="8">
        <v>99</v>
      </c>
      <c r="FE3103" s="8">
        <v>9.9</v>
      </c>
    </row>
    <row r="3104" spans="158:161" ht="74.25" customHeight="1" x14ac:dyDescent="0.2">
      <c r="FB3104" s="8" t="s">
        <v>6325</v>
      </c>
      <c r="FC3104" s="8" t="s">
        <v>6326</v>
      </c>
      <c r="FD3104" s="8">
        <v>1</v>
      </c>
      <c r="FE3104" s="8">
        <v>0.1</v>
      </c>
    </row>
    <row r="3105" spans="158:161" ht="74.25" customHeight="1" x14ac:dyDescent="0.2">
      <c r="FB3105" s="8" t="s">
        <v>6327</v>
      </c>
      <c r="FC3105" s="8" t="s">
        <v>6328</v>
      </c>
      <c r="FD3105" s="8">
        <v>3.3</v>
      </c>
      <c r="FE3105" s="8">
        <v>6.3E-2</v>
      </c>
    </row>
    <row r="3106" spans="158:161" ht="74.25" customHeight="1" x14ac:dyDescent="0.2">
      <c r="FB3106" s="8" t="s">
        <v>6329</v>
      </c>
      <c r="FC3106" s="8" t="s">
        <v>6330</v>
      </c>
      <c r="FD3106" s="8">
        <v>0.7</v>
      </c>
      <c r="FE3106" s="8">
        <v>0.1</v>
      </c>
    </row>
    <row r="3107" spans="158:161" ht="74.25" customHeight="1" x14ac:dyDescent="0.2">
      <c r="FB3107" s="8" t="s">
        <v>6331</v>
      </c>
      <c r="FC3107" s="8" t="s">
        <v>6332</v>
      </c>
      <c r="FD3107" s="8">
        <v>3600</v>
      </c>
      <c r="FE3107" s="8">
        <v>350</v>
      </c>
    </row>
    <row r="3108" spans="158:161" ht="74.25" customHeight="1" x14ac:dyDescent="0.2">
      <c r="FB3108" s="8" t="s">
        <v>6333</v>
      </c>
      <c r="FC3108" s="8" t="s">
        <v>6334</v>
      </c>
      <c r="FD3108" s="8">
        <v>3.3</v>
      </c>
      <c r="FE3108" s="8">
        <v>6.3E-2</v>
      </c>
    </row>
    <row r="3109" spans="158:161" ht="74.25" customHeight="1" x14ac:dyDescent="0.2">
      <c r="FB3109" s="8" t="s">
        <v>6335</v>
      </c>
      <c r="FC3109" s="8" t="s">
        <v>6336</v>
      </c>
      <c r="FD3109" s="8">
        <v>140</v>
      </c>
      <c r="FE3109" s="8">
        <v>14</v>
      </c>
    </row>
    <row r="3110" spans="158:161" ht="74.25" customHeight="1" x14ac:dyDescent="0.2">
      <c r="FB3110" s="8" t="s">
        <v>6337</v>
      </c>
      <c r="FC3110" s="8" t="s">
        <v>6338</v>
      </c>
      <c r="FD3110" s="8">
        <v>2</v>
      </c>
      <c r="FE3110" s="8">
        <v>0.2</v>
      </c>
    </row>
    <row r="3111" spans="158:161" ht="74.25" customHeight="1" x14ac:dyDescent="0.2">
      <c r="FB3111" s="8" t="s">
        <v>6339</v>
      </c>
      <c r="FC3111" s="8" t="s">
        <v>6340</v>
      </c>
      <c r="FD3111" s="8">
        <v>160</v>
      </c>
      <c r="FE3111" s="8">
        <v>16</v>
      </c>
    </row>
    <row r="3112" spans="158:161" ht="74.25" customHeight="1" x14ac:dyDescent="0.2">
      <c r="FB3112" s="8" t="s">
        <v>6341</v>
      </c>
      <c r="FC3112" s="8" t="s">
        <v>6342</v>
      </c>
      <c r="FD3112" s="8">
        <v>1000</v>
      </c>
      <c r="FE3112" s="8">
        <v>100</v>
      </c>
    </row>
    <row r="3113" spans="158:161" ht="74.25" customHeight="1" x14ac:dyDescent="0.2">
      <c r="FB3113" s="8" t="s">
        <v>6343</v>
      </c>
      <c r="FC3113" s="8" t="s">
        <v>6344</v>
      </c>
      <c r="FD3113" s="8">
        <v>1000</v>
      </c>
      <c r="FE3113" s="8">
        <v>100</v>
      </c>
    </row>
    <row r="3114" spans="158:161" ht="74.25" customHeight="1" x14ac:dyDescent="0.2">
      <c r="FB3114" s="8" t="s">
        <v>6345</v>
      </c>
      <c r="FC3114" s="8" t="s">
        <v>6346</v>
      </c>
      <c r="FD3114" s="8">
        <v>1000</v>
      </c>
      <c r="FE3114" s="8">
        <v>100</v>
      </c>
    </row>
    <row r="3115" spans="158:161" ht="74.25" customHeight="1" x14ac:dyDescent="0.2">
      <c r="FB3115" s="8" t="s">
        <v>6347</v>
      </c>
      <c r="FC3115" s="8" t="s">
        <v>6348</v>
      </c>
      <c r="FD3115" s="8">
        <v>1000</v>
      </c>
      <c r="FE3115" s="8">
        <v>100</v>
      </c>
    </row>
    <row r="3116" spans="158:161" ht="74.25" customHeight="1" x14ac:dyDescent="0.2">
      <c r="FB3116" s="8" t="s">
        <v>6349</v>
      </c>
      <c r="FC3116" s="8" t="s">
        <v>6350</v>
      </c>
      <c r="FD3116" s="8">
        <v>1000</v>
      </c>
      <c r="FE3116" s="8">
        <v>100</v>
      </c>
    </row>
    <row r="3117" spans="158:161" ht="74.25" customHeight="1" x14ac:dyDescent="0.2">
      <c r="FB3117" s="8" t="s">
        <v>6351</v>
      </c>
      <c r="FC3117" s="8" t="s">
        <v>6352</v>
      </c>
      <c r="FD3117" s="8">
        <v>1000</v>
      </c>
      <c r="FE3117" s="8">
        <v>100</v>
      </c>
    </row>
    <row r="3118" spans="158:161" ht="74.25" customHeight="1" x14ac:dyDescent="0.2">
      <c r="FB3118" s="8" t="s">
        <v>6353</v>
      </c>
      <c r="FC3118" s="8" t="s">
        <v>6354</v>
      </c>
      <c r="FD3118" s="8">
        <v>600</v>
      </c>
      <c r="FE3118" s="8">
        <v>60</v>
      </c>
    </row>
    <row r="3119" spans="158:161" ht="74.25" customHeight="1" x14ac:dyDescent="0.2">
      <c r="FB3119" s="8" t="s">
        <v>6355</v>
      </c>
      <c r="FC3119" s="8" t="s">
        <v>6356</v>
      </c>
      <c r="FD3119" s="8">
        <v>1000</v>
      </c>
      <c r="FE3119" s="8">
        <v>100</v>
      </c>
    </row>
    <row r="3120" spans="158:161" ht="74.25" customHeight="1" x14ac:dyDescent="0.2">
      <c r="FB3120" s="8" t="s">
        <v>6357</v>
      </c>
      <c r="FC3120" s="8" t="s">
        <v>6358</v>
      </c>
      <c r="FD3120" s="8">
        <v>1000</v>
      </c>
      <c r="FE3120" s="8">
        <v>100</v>
      </c>
    </row>
    <row r="3121" spans="158:161" ht="74.25" customHeight="1" x14ac:dyDescent="0.2">
      <c r="FB3121" s="8" t="s">
        <v>6359</v>
      </c>
      <c r="FC3121" s="8" t="s">
        <v>6360</v>
      </c>
      <c r="FD3121" s="8">
        <v>1000</v>
      </c>
      <c r="FE3121" s="8">
        <v>100</v>
      </c>
    </row>
    <row r="3122" spans="158:161" ht="74.25" customHeight="1" x14ac:dyDescent="0.2">
      <c r="FB3122" s="8" t="s">
        <v>6361</v>
      </c>
      <c r="FC3122" s="8" t="s">
        <v>6362</v>
      </c>
      <c r="FD3122" s="8">
        <v>290</v>
      </c>
      <c r="FE3122" s="8">
        <v>3.3</v>
      </c>
    </row>
    <row r="3123" spans="158:161" ht="74.25" customHeight="1" x14ac:dyDescent="0.2">
      <c r="FB3123" s="8" t="s">
        <v>6363</v>
      </c>
      <c r="FC3123" s="8" t="s">
        <v>6364</v>
      </c>
      <c r="FD3123" s="8">
        <v>290</v>
      </c>
      <c r="FE3123" s="8">
        <v>3.3</v>
      </c>
    </row>
    <row r="3124" spans="158:161" ht="74.25" customHeight="1" x14ac:dyDescent="0.2">
      <c r="FB3124" s="8" t="s">
        <v>6365</v>
      </c>
      <c r="FC3124" s="8" t="s">
        <v>6366</v>
      </c>
      <c r="FD3124" s="8">
        <v>260</v>
      </c>
      <c r="FE3124" s="8">
        <v>26</v>
      </c>
    </row>
    <row r="3125" spans="158:161" ht="74.25" customHeight="1" x14ac:dyDescent="0.2">
      <c r="FB3125" s="8" t="s">
        <v>6367</v>
      </c>
      <c r="FC3125" s="8" t="s">
        <v>6368</v>
      </c>
      <c r="FD3125" s="8">
        <v>100</v>
      </c>
      <c r="FE3125" s="8">
        <v>10</v>
      </c>
    </row>
    <row r="3126" spans="158:161" ht="74.25" customHeight="1" x14ac:dyDescent="0.2">
      <c r="FB3126" s="8" t="s">
        <v>6369</v>
      </c>
      <c r="FC3126" s="8" t="s">
        <v>6370</v>
      </c>
      <c r="FD3126" s="8">
        <v>500</v>
      </c>
      <c r="FE3126" s="8">
        <v>50</v>
      </c>
    </row>
    <row r="3127" spans="158:161" ht="74.25" customHeight="1" x14ac:dyDescent="0.2">
      <c r="FB3127" s="8" t="s">
        <v>6371</v>
      </c>
      <c r="FC3127" s="8" t="s">
        <v>6372</v>
      </c>
      <c r="FD3127" s="8">
        <v>1250</v>
      </c>
      <c r="FE3127" s="8">
        <v>125</v>
      </c>
    </row>
    <row r="3128" spans="158:161" ht="74.25" customHeight="1" x14ac:dyDescent="0.2">
      <c r="FB3128" s="8" t="s">
        <v>6373</v>
      </c>
      <c r="FC3128" s="8" t="s">
        <v>6374</v>
      </c>
      <c r="FD3128" s="8">
        <v>1000</v>
      </c>
      <c r="FE3128" s="8">
        <v>100</v>
      </c>
    </row>
    <row r="3129" spans="158:161" ht="74.25" customHeight="1" x14ac:dyDescent="0.2">
      <c r="FB3129" s="8" t="s">
        <v>6375</v>
      </c>
      <c r="FC3129" s="8" t="s">
        <v>6376</v>
      </c>
      <c r="FD3129" s="8">
        <v>1000</v>
      </c>
      <c r="FE3129" s="8">
        <v>100</v>
      </c>
    </row>
    <row r="3130" spans="158:161" ht="74.25" customHeight="1" x14ac:dyDescent="0.2">
      <c r="FB3130" s="8" t="s">
        <v>6377</v>
      </c>
      <c r="FC3130" s="8" t="s">
        <v>6378</v>
      </c>
      <c r="FD3130" s="8">
        <v>60</v>
      </c>
      <c r="FE3130" s="8">
        <v>6</v>
      </c>
    </row>
    <row r="3131" spans="158:161" ht="74.25" customHeight="1" x14ac:dyDescent="0.2">
      <c r="FB3131" s="8" t="s">
        <v>6379</v>
      </c>
      <c r="FC3131" s="8" t="s">
        <v>6380</v>
      </c>
      <c r="FD3131" s="8">
        <v>1000</v>
      </c>
      <c r="FE3131" s="8">
        <v>100</v>
      </c>
    </row>
    <row r="3132" spans="158:161" ht="74.25" customHeight="1" x14ac:dyDescent="0.2">
      <c r="FB3132" s="8" t="s">
        <v>6381</v>
      </c>
      <c r="FC3132" s="8" t="s">
        <v>6382</v>
      </c>
      <c r="FD3132" s="8">
        <v>6700</v>
      </c>
      <c r="FE3132" s="8">
        <v>110</v>
      </c>
    </row>
    <row r="3133" spans="158:161" ht="74.25" customHeight="1" x14ac:dyDescent="0.2">
      <c r="FB3133" s="8" t="s">
        <v>6383</v>
      </c>
      <c r="FC3133" s="8" t="s">
        <v>6384</v>
      </c>
      <c r="FD3133" s="8">
        <v>340</v>
      </c>
      <c r="FE3133" s="8">
        <v>34</v>
      </c>
    </row>
    <row r="3134" spans="158:161" ht="74.25" customHeight="1" x14ac:dyDescent="0.2">
      <c r="FB3134" s="8" t="s">
        <v>6385</v>
      </c>
      <c r="FC3134" s="8" t="s">
        <v>6386</v>
      </c>
      <c r="FD3134" s="8">
        <v>50</v>
      </c>
      <c r="FE3134" s="8">
        <v>5</v>
      </c>
    </row>
    <row r="3135" spans="158:161" ht="74.25" customHeight="1" x14ac:dyDescent="0.2">
      <c r="FB3135" s="8" t="s">
        <v>6387</v>
      </c>
      <c r="FC3135" s="8" t="s">
        <v>6388</v>
      </c>
      <c r="FD3135" s="8">
        <v>110</v>
      </c>
      <c r="FE3135" s="8">
        <v>11</v>
      </c>
    </row>
    <row r="3136" spans="158:161" ht="74.25" customHeight="1" x14ac:dyDescent="0.2">
      <c r="FB3136" s="8" t="s">
        <v>6389</v>
      </c>
      <c r="FC3136" s="8" t="s">
        <v>6390</v>
      </c>
      <c r="FD3136" s="8">
        <v>1</v>
      </c>
      <c r="FE3136" s="8">
        <v>0.1</v>
      </c>
    </row>
    <row r="3137" spans="158:161" ht="74.25" customHeight="1" x14ac:dyDescent="0.2">
      <c r="FB3137" s="8" t="s">
        <v>6391</v>
      </c>
      <c r="FC3137" s="8" t="s">
        <v>6392</v>
      </c>
      <c r="FD3137" s="8">
        <v>13</v>
      </c>
      <c r="FE3137" s="8">
        <v>1.3</v>
      </c>
    </row>
    <row r="3138" spans="158:161" ht="74.25" customHeight="1" x14ac:dyDescent="0.2">
      <c r="FB3138" s="8" t="s">
        <v>6393</v>
      </c>
      <c r="FC3138" s="8" t="s">
        <v>6394</v>
      </c>
      <c r="FD3138" s="8">
        <v>3500</v>
      </c>
      <c r="FE3138" s="8">
        <v>350</v>
      </c>
    </row>
    <row r="3139" spans="158:161" ht="74.25" customHeight="1" x14ac:dyDescent="0.2">
      <c r="FB3139" s="8" t="s">
        <v>6395</v>
      </c>
      <c r="FC3139" s="8" t="s">
        <v>6396</v>
      </c>
      <c r="FD3139" s="8">
        <v>0.1</v>
      </c>
      <c r="FE3139" s="8">
        <v>0.01</v>
      </c>
    </row>
    <row r="3140" spans="158:161" ht="74.25" customHeight="1" x14ac:dyDescent="0.2">
      <c r="FB3140" s="8" t="s">
        <v>6397</v>
      </c>
      <c r="FC3140" s="8" t="s">
        <v>6398</v>
      </c>
      <c r="FD3140" s="8">
        <v>250</v>
      </c>
      <c r="FE3140" s="8">
        <v>48</v>
      </c>
    </row>
    <row r="3141" spans="158:161" ht="74.25" customHeight="1" x14ac:dyDescent="0.2">
      <c r="FB3141" s="8" t="s">
        <v>6399</v>
      </c>
      <c r="FC3141" s="8" t="s">
        <v>6400</v>
      </c>
      <c r="FD3141" s="8">
        <v>6.4</v>
      </c>
      <c r="FE3141" s="8">
        <v>0.64</v>
      </c>
    </row>
    <row r="3142" spans="158:161" ht="74.25" customHeight="1" x14ac:dyDescent="0.2">
      <c r="FB3142" s="8" t="s">
        <v>6401</v>
      </c>
      <c r="FC3142" s="8" t="s">
        <v>6402</v>
      </c>
      <c r="FD3142" s="8">
        <v>40</v>
      </c>
      <c r="FE3142" s="8">
        <v>4</v>
      </c>
    </row>
    <row r="3143" spans="158:161" ht="74.25" customHeight="1" x14ac:dyDescent="0.2">
      <c r="FB3143" s="8" t="s">
        <v>6403</v>
      </c>
      <c r="FC3143" s="8" t="s">
        <v>6404</v>
      </c>
      <c r="FD3143" s="8">
        <v>110</v>
      </c>
      <c r="FE3143" s="8">
        <v>11</v>
      </c>
    </row>
    <row r="3144" spans="158:161" ht="74.25" customHeight="1" x14ac:dyDescent="0.2">
      <c r="FB3144" s="8" t="s">
        <v>6405</v>
      </c>
      <c r="FC3144" s="8" t="s">
        <v>6406</v>
      </c>
      <c r="FD3144" s="8">
        <v>610</v>
      </c>
      <c r="FE3144" s="8">
        <v>61</v>
      </c>
    </row>
    <row r="3145" spans="158:161" ht="74.25" customHeight="1" x14ac:dyDescent="0.2">
      <c r="FB3145" s="8" t="s">
        <v>6407</v>
      </c>
      <c r="FC3145" s="8" t="s">
        <v>6407</v>
      </c>
      <c r="FD3145" s="8">
        <v>100</v>
      </c>
      <c r="FE3145" s="8">
        <v>10</v>
      </c>
    </row>
    <row r="3146" spans="158:161" ht="74.25" customHeight="1" x14ac:dyDescent="0.2">
      <c r="FB3146" s="8" t="s">
        <v>6408</v>
      </c>
      <c r="FC3146" s="8" t="s">
        <v>6409</v>
      </c>
      <c r="FD3146" s="8">
        <v>3.3</v>
      </c>
      <c r="FE3146" s="8">
        <v>6.3E-2</v>
      </c>
    </row>
    <row r="3147" spans="158:161" ht="74.25" customHeight="1" x14ac:dyDescent="0.2">
      <c r="FB3147" s="8" t="s">
        <v>6410</v>
      </c>
      <c r="FC3147" s="8" t="s">
        <v>6411</v>
      </c>
      <c r="FD3147" s="8">
        <v>100</v>
      </c>
      <c r="FE3147" s="8">
        <v>10</v>
      </c>
    </row>
    <row r="3148" spans="158:161" ht="74.25" customHeight="1" x14ac:dyDescent="0.2">
      <c r="FB3148" s="8" t="s">
        <v>6412</v>
      </c>
      <c r="FC3148" s="8" t="s">
        <v>6412</v>
      </c>
      <c r="FD3148" s="8">
        <v>100</v>
      </c>
      <c r="FE3148" s="8">
        <v>10</v>
      </c>
    </row>
    <row r="3149" spans="158:161" ht="74.25" customHeight="1" x14ac:dyDescent="0.2">
      <c r="FB3149" s="8" t="s">
        <v>6413</v>
      </c>
      <c r="FC3149" s="8" t="s">
        <v>6414</v>
      </c>
      <c r="FD3149" s="8">
        <v>1000</v>
      </c>
      <c r="FE3149" s="8">
        <v>100</v>
      </c>
    </row>
    <row r="3150" spans="158:161" ht="74.25" customHeight="1" x14ac:dyDescent="0.2">
      <c r="FB3150" s="8" t="s">
        <v>6415</v>
      </c>
      <c r="FC3150" s="8" t="s">
        <v>6416</v>
      </c>
      <c r="FD3150" s="8">
        <v>20</v>
      </c>
      <c r="FE3150" s="8">
        <v>2</v>
      </c>
    </row>
    <row r="3151" spans="158:161" ht="74.25" customHeight="1" x14ac:dyDescent="0.2">
      <c r="FB3151" s="8" t="s">
        <v>6417</v>
      </c>
      <c r="FC3151" s="8" t="s">
        <v>6418</v>
      </c>
      <c r="FD3151" s="8">
        <v>2</v>
      </c>
      <c r="FE3151" s="8">
        <v>0.2</v>
      </c>
    </row>
    <row r="3152" spans="158:161" ht="74.25" customHeight="1" x14ac:dyDescent="0.2">
      <c r="FB3152" s="8" t="s">
        <v>6419</v>
      </c>
      <c r="FC3152" s="8" t="s">
        <v>6420</v>
      </c>
      <c r="FD3152" s="8">
        <v>600</v>
      </c>
      <c r="FE3152" s="8">
        <v>60</v>
      </c>
    </row>
    <row r="3153" spans="158:161" ht="74.25" customHeight="1" x14ac:dyDescent="0.2">
      <c r="FB3153" s="8" t="s">
        <v>6421</v>
      </c>
      <c r="FC3153" s="8" t="s">
        <v>6422</v>
      </c>
      <c r="FD3153" s="8">
        <v>1000</v>
      </c>
      <c r="FE3153" s="8">
        <v>100</v>
      </c>
    </row>
    <row r="3154" spans="158:161" ht="74.25" customHeight="1" x14ac:dyDescent="0.2">
      <c r="FB3154" s="8" t="s">
        <v>6423</v>
      </c>
      <c r="FC3154" s="8" t="s">
        <v>6424</v>
      </c>
      <c r="FD3154" s="8">
        <v>50</v>
      </c>
      <c r="FE3154" s="8">
        <v>5</v>
      </c>
    </row>
    <row r="3155" spans="158:161" ht="74.25" customHeight="1" x14ac:dyDescent="0.2">
      <c r="FB3155" s="8" t="s">
        <v>6425</v>
      </c>
      <c r="FC3155" s="8" t="s">
        <v>6426</v>
      </c>
      <c r="FD3155" s="8">
        <v>40</v>
      </c>
      <c r="FE3155" s="8">
        <v>4</v>
      </c>
    </row>
    <row r="3156" spans="158:161" ht="74.25" customHeight="1" x14ac:dyDescent="0.2">
      <c r="FB3156" s="8" t="s">
        <v>6427</v>
      </c>
      <c r="FC3156" s="8" t="s">
        <v>6428</v>
      </c>
      <c r="FD3156" s="8">
        <v>3</v>
      </c>
      <c r="FE3156" s="8">
        <v>0.3</v>
      </c>
    </row>
    <row r="3157" spans="158:161" ht="74.25" customHeight="1" x14ac:dyDescent="0.2">
      <c r="FB3157" s="8" t="s">
        <v>6429</v>
      </c>
      <c r="FC3157" s="8" t="s">
        <v>6430</v>
      </c>
      <c r="FD3157" s="8">
        <v>97</v>
      </c>
      <c r="FE3157" s="8">
        <v>7</v>
      </c>
    </row>
    <row r="3158" spans="158:161" ht="74.25" customHeight="1" x14ac:dyDescent="0.2">
      <c r="FB3158" s="8" t="s">
        <v>6431</v>
      </c>
      <c r="FC3158" s="8" t="s">
        <v>6432</v>
      </c>
      <c r="FD3158" s="8">
        <v>97</v>
      </c>
      <c r="FE3158" s="8">
        <v>7</v>
      </c>
    </row>
    <row r="3159" spans="158:161" ht="74.25" customHeight="1" x14ac:dyDescent="0.2">
      <c r="FB3159" s="8" t="s">
        <v>6433</v>
      </c>
      <c r="FC3159" s="8" t="s">
        <v>6434</v>
      </c>
      <c r="FD3159" s="8">
        <v>10</v>
      </c>
      <c r="FE3159" s="8">
        <v>1</v>
      </c>
    </row>
    <row r="3160" spans="158:161" ht="74.25" customHeight="1" x14ac:dyDescent="0.2">
      <c r="FB3160" s="8" t="s">
        <v>6435</v>
      </c>
      <c r="FC3160" s="8" t="s">
        <v>6436</v>
      </c>
      <c r="FD3160" s="8">
        <v>36</v>
      </c>
      <c r="FE3160" s="8">
        <v>40</v>
      </c>
    </row>
    <row r="3161" spans="158:161" ht="74.25" customHeight="1" x14ac:dyDescent="0.2">
      <c r="FB3161" s="8" t="s">
        <v>6437</v>
      </c>
      <c r="FC3161" s="8" t="s">
        <v>6437</v>
      </c>
      <c r="FD3161" s="8">
        <v>1000</v>
      </c>
      <c r="FE3161" s="8">
        <v>100</v>
      </c>
    </row>
    <row r="3162" spans="158:161" ht="74.25" customHeight="1" x14ac:dyDescent="0.2">
      <c r="FB3162" s="8" t="s">
        <v>6438</v>
      </c>
      <c r="FC3162" s="8" t="s">
        <v>6438</v>
      </c>
      <c r="FD3162" s="8">
        <v>1000</v>
      </c>
      <c r="FE3162" s="8">
        <v>100</v>
      </c>
    </row>
    <row r="3163" spans="158:161" ht="74.25" customHeight="1" x14ac:dyDescent="0.2">
      <c r="FB3163" s="8" t="s">
        <v>6439</v>
      </c>
      <c r="FC3163" s="8" t="s">
        <v>6440</v>
      </c>
      <c r="FD3163" s="8">
        <v>50</v>
      </c>
      <c r="FE3163" s="8">
        <v>5</v>
      </c>
    </row>
    <row r="3164" spans="158:161" ht="74.25" customHeight="1" x14ac:dyDescent="0.2">
      <c r="FB3164" s="8" t="s">
        <v>6441</v>
      </c>
      <c r="FC3164" s="8" t="s">
        <v>6442</v>
      </c>
      <c r="FD3164" s="8">
        <v>0.2</v>
      </c>
      <c r="FE3164" s="8">
        <v>0.02</v>
      </c>
    </row>
    <row r="3165" spans="158:161" ht="74.25" customHeight="1" x14ac:dyDescent="0.2">
      <c r="FB3165" s="8" t="s">
        <v>6443</v>
      </c>
      <c r="FC3165" s="8" t="s">
        <v>6444</v>
      </c>
      <c r="FD3165" s="8">
        <v>90</v>
      </c>
      <c r="FE3165" s="8">
        <v>9</v>
      </c>
    </row>
    <row r="3166" spans="158:161" ht="74.25" customHeight="1" x14ac:dyDescent="0.2">
      <c r="FB3166" s="8" t="s">
        <v>6445</v>
      </c>
      <c r="FC3166" s="8" t="s">
        <v>6446</v>
      </c>
      <c r="FD3166" s="8">
        <v>90</v>
      </c>
      <c r="FE3166" s="8">
        <v>9</v>
      </c>
    </row>
    <row r="3167" spans="158:161" ht="74.25" customHeight="1" x14ac:dyDescent="0.2">
      <c r="FB3167" s="8" t="s">
        <v>6447</v>
      </c>
      <c r="FC3167" s="8" t="s">
        <v>6448</v>
      </c>
      <c r="FD3167" s="8">
        <v>500</v>
      </c>
      <c r="FE3167" s="8">
        <v>50</v>
      </c>
    </row>
    <row r="3168" spans="158:161" ht="74.25" customHeight="1" x14ac:dyDescent="0.2">
      <c r="FB3168" s="8" t="s">
        <v>6449</v>
      </c>
      <c r="FC3168" s="8" t="s">
        <v>6450</v>
      </c>
      <c r="FD3168" s="8">
        <v>2200</v>
      </c>
      <c r="FE3168" s="8">
        <v>180</v>
      </c>
    </row>
    <row r="3169" spans="158:161" ht="74.25" customHeight="1" x14ac:dyDescent="0.2">
      <c r="FB3169" s="8" t="s">
        <v>6451</v>
      </c>
      <c r="FC3169" s="8" t="s">
        <v>6452</v>
      </c>
      <c r="FD3169" s="8">
        <v>1</v>
      </c>
      <c r="FE3169" s="8">
        <v>0.1</v>
      </c>
    </row>
    <row r="3170" spans="158:161" ht="74.25" customHeight="1" x14ac:dyDescent="0.2">
      <c r="FB3170" s="8" t="s">
        <v>6453</v>
      </c>
      <c r="FC3170" s="8" t="s">
        <v>6454</v>
      </c>
      <c r="FD3170" s="8">
        <v>2000</v>
      </c>
      <c r="FE3170" s="8">
        <v>200</v>
      </c>
    </row>
    <row r="3171" spans="158:161" ht="74.25" customHeight="1" x14ac:dyDescent="0.2">
      <c r="FB3171" s="8" t="s">
        <v>6455</v>
      </c>
      <c r="FC3171" s="8" t="s">
        <v>6456</v>
      </c>
      <c r="FD3171" s="8">
        <v>1000</v>
      </c>
      <c r="FE3171" s="8">
        <v>100</v>
      </c>
    </row>
    <row r="3172" spans="158:161" ht="74.25" customHeight="1" x14ac:dyDescent="0.2">
      <c r="FB3172" s="8" t="s">
        <v>6457</v>
      </c>
      <c r="FC3172" s="8" t="s">
        <v>6458</v>
      </c>
      <c r="FD3172" s="8">
        <v>12</v>
      </c>
      <c r="FE3172" s="8">
        <v>1.2</v>
      </c>
    </row>
    <row r="3173" spans="158:161" ht="74.25" customHeight="1" x14ac:dyDescent="0.2">
      <c r="FB3173" s="8" t="s">
        <v>6459</v>
      </c>
      <c r="FC3173" s="8" t="s">
        <v>6460</v>
      </c>
      <c r="FD3173" s="8">
        <v>42</v>
      </c>
      <c r="FE3173" s="8">
        <v>4.2</v>
      </c>
    </row>
    <row r="3174" spans="158:161" ht="74.25" customHeight="1" x14ac:dyDescent="0.2">
      <c r="FB3174" s="8" t="s">
        <v>6461</v>
      </c>
      <c r="FC3174" s="8" t="s">
        <v>6462</v>
      </c>
      <c r="FD3174" s="8">
        <v>610</v>
      </c>
      <c r="FE3174" s="8">
        <v>61</v>
      </c>
    </row>
    <row r="3175" spans="158:161" ht="74.25" customHeight="1" x14ac:dyDescent="0.2">
      <c r="FB3175" s="8" t="s">
        <v>6463</v>
      </c>
      <c r="FC3175" s="8" t="s">
        <v>6464</v>
      </c>
      <c r="FD3175" s="8">
        <v>100</v>
      </c>
      <c r="FE3175" s="8">
        <v>10</v>
      </c>
    </row>
    <row r="3176" spans="158:161" ht="74.25" customHeight="1" x14ac:dyDescent="0.2">
      <c r="FB3176" s="8" t="s">
        <v>6465</v>
      </c>
      <c r="FC3176" s="8" t="s">
        <v>6466</v>
      </c>
      <c r="FD3176" s="8">
        <v>1000</v>
      </c>
      <c r="FE3176" s="8">
        <v>100</v>
      </c>
    </row>
    <row r="3177" spans="158:161" ht="74.25" customHeight="1" x14ac:dyDescent="0.2">
      <c r="FB3177" s="8" t="s">
        <v>6467</v>
      </c>
      <c r="FC3177" s="8" t="s">
        <v>6468</v>
      </c>
      <c r="FD3177" s="8">
        <v>100</v>
      </c>
      <c r="FE3177" s="8">
        <v>10</v>
      </c>
    </row>
    <row r="3178" spans="158:161" ht="74.25" customHeight="1" x14ac:dyDescent="0.2">
      <c r="FB3178" s="8" t="s">
        <v>6469</v>
      </c>
      <c r="FC3178" s="8" t="s">
        <v>6470</v>
      </c>
      <c r="FD3178" s="8">
        <v>97</v>
      </c>
      <c r="FE3178" s="8">
        <v>7</v>
      </c>
    </row>
    <row r="3179" spans="158:161" ht="74.25" customHeight="1" x14ac:dyDescent="0.2">
      <c r="FB3179" s="8" t="s">
        <v>6471</v>
      </c>
      <c r="FC3179" s="8" t="s">
        <v>6472</v>
      </c>
      <c r="FD3179" s="8">
        <v>450</v>
      </c>
      <c r="FE3179" s="8">
        <v>45</v>
      </c>
    </row>
    <row r="3180" spans="158:161" ht="74.25" customHeight="1" x14ac:dyDescent="0.2">
      <c r="FB3180" s="8" t="s">
        <v>6473</v>
      </c>
      <c r="FC3180" s="8" t="s">
        <v>6474</v>
      </c>
      <c r="FD3180" s="8">
        <v>1000</v>
      </c>
      <c r="FE3180" s="8">
        <v>100</v>
      </c>
    </row>
    <row r="3181" spans="158:161" ht="74.25" customHeight="1" x14ac:dyDescent="0.2">
      <c r="FB3181" s="8" t="s">
        <v>6475</v>
      </c>
      <c r="FC3181" s="8" t="s">
        <v>6476</v>
      </c>
      <c r="FD3181" s="8">
        <v>50</v>
      </c>
      <c r="FE3181" s="8">
        <v>5</v>
      </c>
    </row>
    <row r="3182" spans="158:161" ht="74.25" customHeight="1" x14ac:dyDescent="0.2">
      <c r="FB3182" s="8" t="s">
        <v>6477</v>
      </c>
      <c r="FC3182" s="8" t="s">
        <v>6478</v>
      </c>
      <c r="FD3182" s="8">
        <v>240</v>
      </c>
      <c r="FE3182" s="8">
        <v>24</v>
      </c>
    </row>
    <row r="3183" spans="158:161" ht="74.25" customHeight="1" x14ac:dyDescent="0.2">
      <c r="FB3183" s="8" t="s">
        <v>6479</v>
      </c>
      <c r="FC3183" s="8" t="s">
        <v>6480</v>
      </c>
      <c r="FD3183" s="8">
        <v>100</v>
      </c>
      <c r="FE3183" s="8">
        <v>10</v>
      </c>
    </row>
    <row r="3184" spans="158:161" ht="74.25" customHeight="1" x14ac:dyDescent="0.2">
      <c r="FB3184" s="8" t="s">
        <v>6481</v>
      </c>
      <c r="FC3184" s="8" t="s">
        <v>6482</v>
      </c>
      <c r="FD3184" s="8">
        <v>100</v>
      </c>
      <c r="FE3184" s="8">
        <v>10</v>
      </c>
    </row>
    <row r="3185" spans="158:161" ht="74.25" customHeight="1" x14ac:dyDescent="0.2">
      <c r="FB3185" s="8" t="s">
        <v>6483</v>
      </c>
      <c r="FC3185" s="8" t="s">
        <v>6484</v>
      </c>
      <c r="FD3185" s="8">
        <v>100</v>
      </c>
      <c r="FE3185" s="8">
        <v>10</v>
      </c>
    </row>
    <row r="3186" spans="158:161" ht="74.25" customHeight="1" x14ac:dyDescent="0.2">
      <c r="FB3186" s="8" t="s">
        <v>6485</v>
      </c>
      <c r="FC3186" s="8" t="s">
        <v>6486</v>
      </c>
      <c r="FD3186" s="8">
        <v>50</v>
      </c>
      <c r="FE3186" s="8">
        <v>5</v>
      </c>
    </row>
    <row r="3187" spans="158:161" ht="74.25" customHeight="1" x14ac:dyDescent="0.2">
      <c r="FB3187" s="8" t="s">
        <v>6487</v>
      </c>
      <c r="FC3187" s="8" t="s">
        <v>6488</v>
      </c>
      <c r="FD3187" s="8">
        <v>350</v>
      </c>
      <c r="FE3187" s="8">
        <v>35</v>
      </c>
    </row>
    <row r="3188" spans="158:161" ht="74.25" customHeight="1" x14ac:dyDescent="0.2">
      <c r="FB3188" s="8" t="s">
        <v>6489</v>
      </c>
      <c r="FC3188" s="8" t="s">
        <v>6490</v>
      </c>
      <c r="FD3188" s="8">
        <v>10</v>
      </c>
      <c r="FE3188" s="8">
        <v>1</v>
      </c>
    </row>
    <row r="3189" spans="158:161" ht="74.25" customHeight="1" x14ac:dyDescent="0.2">
      <c r="FB3189" s="8" t="s">
        <v>6491</v>
      </c>
      <c r="FC3189" s="8" t="s">
        <v>6492</v>
      </c>
      <c r="FD3189" s="8">
        <v>14</v>
      </c>
      <c r="FE3189" s="8">
        <v>1.4</v>
      </c>
    </row>
    <row r="3190" spans="158:161" ht="74.25" customHeight="1" x14ac:dyDescent="0.2">
      <c r="FB3190" s="8" t="s">
        <v>6493</v>
      </c>
      <c r="FC3190" s="8" t="s">
        <v>6494</v>
      </c>
      <c r="FD3190" s="8">
        <v>20</v>
      </c>
      <c r="FE3190" s="8">
        <v>2</v>
      </c>
    </row>
    <row r="3191" spans="158:161" ht="74.25" customHeight="1" x14ac:dyDescent="0.2">
      <c r="FB3191" s="8" t="s">
        <v>6495</v>
      </c>
      <c r="FC3191" s="8" t="s">
        <v>6496</v>
      </c>
      <c r="FD3191" s="8">
        <v>640</v>
      </c>
      <c r="FE3191" s="8">
        <v>64</v>
      </c>
    </row>
    <row r="3192" spans="158:161" ht="74.25" customHeight="1" x14ac:dyDescent="0.2">
      <c r="FB3192" s="8" t="s">
        <v>6497</v>
      </c>
      <c r="FC3192" s="8" t="s">
        <v>6498</v>
      </c>
      <c r="FD3192" s="8">
        <v>180</v>
      </c>
      <c r="FE3192" s="8">
        <v>18</v>
      </c>
    </row>
    <row r="3193" spans="158:161" ht="74.25" customHeight="1" x14ac:dyDescent="0.2">
      <c r="FB3193" s="8" t="s">
        <v>6499</v>
      </c>
      <c r="FC3193" s="8" t="s">
        <v>6500</v>
      </c>
      <c r="FD3193" s="8">
        <v>100</v>
      </c>
      <c r="FE3193" s="8">
        <v>10</v>
      </c>
    </row>
    <row r="3194" spans="158:161" ht="74.25" customHeight="1" x14ac:dyDescent="0.2">
      <c r="FB3194" s="8" t="s">
        <v>6501</v>
      </c>
      <c r="FC3194" s="8" t="s">
        <v>6502</v>
      </c>
      <c r="FD3194" s="8">
        <v>100</v>
      </c>
      <c r="FE3194" s="8">
        <v>10</v>
      </c>
    </row>
    <row r="3195" spans="158:161" ht="74.25" customHeight="1" x14ac:dyDescent="0.2">
      <c r="FB3195" s="8" t="s">
        <v>6503</v>
      </c>
      <c r="FC3195" s="8" t="s">
        <v>6504</v>
      </c>
      <c r="FD3195" s="8">
        <v>250</v>
      </c>
      <c r="FE3195" s="8">
        <v>25</v>
      </c>
    </row>
    <row r="3196" spans="158:161" ht="74.25" customHeight="1" x14ac:dyDescent="0.2">
      <c r="FB3196" s="8" t="s">
        <v>6505</v>
      </c>
      <c r="FC3196" s="8" t="s">
        <v>6506</v>
      </c>
      <c r="FD3196" s="8">
        <v>15</v>
      </c>
      <c r="FE3196" s="8">
        <v>1.5</v>
      </c>
    </row>
    <row r="3197" spans="158:161" ht="74.25" customHeight="1" x14ac:dyDescent="0.2">
      <c r="FB3197" s="8" t="s">
        <v>6507</v>
      </c>
      <c r="FC3197" s="8" t="s">
        <v>6508</v>
      </c>
      <c r="FD3197" s="8">
        <v>180</v>
      </c>
      <c r="FE3197" s="8">
        <v>92</v>
      </c>
    </row>
    <row r="3198" spans="158:161" ht="74.25" customHeight="1" x14ac:dyDescent="0.2">
      <c r="FB3198" s="8" t="s">
        <v>6509</v>
      </c>
      <c r="FC3198" s="8" t="s">
        <v>6510</v>
      </c>
      <c r="FD3198" s="8">
        <v>350</v>
      </c>
      <c r="FE3198" s="8">
        <v>35</v>
      </c>
    </row>
    <row r="3199" spans="158:161" ht="74.25" customHeight="1" x14ac:dyDescent="0.2">
      <c r="FB3199" s="8" t="s">
        <v>6511</v>
      </c>
      <c r="FC3199" s="8" t="s">
        <v>6512</v>
      </c>
      <c r="FD3199" s="8">
        <v>60</v>
      </c>
      <c r="FE3199" s="8">
        <v>6</v>
      </c>
    </row>
    <row r="3200" spans="158:161" ht="74.25" customHeight="1" x14ac:dyDescent="0.2">
      <c r="FB3200" s="8" t="s">
        <v>6513</v>
      </c>
      <c r="FC3200" s="8" t="s">
        <v>6514</v>
      </c>
      <c r="FD3200" s="8">
        <v>1000</v>
      </c>
      <c r="FE3200" s="8">
        <v>100</v>
      </c>
    </row>
    <row r="3201" spans="158:161" ht="74.25" customHeight="1" x14ac:dyDescent="0.2">
      <c r="FB3201" s="8" t="s">
        <v>6515</v>
      </c>
      <c r="FC3201" s="8" t="s">
        <v>6516</v>
      </c>
      <c r="FD3201" s="8">
        <v>270</v>
      </c>
      <c r="FE3201" s="8">
        <v>27</v>
      </c>
    </row>
    <row r="3202" spans="158:161" ht="74.25" customHeight="1" x14ac:dyDescent="0.2">
      <c r="FB3202" s="8" t="s">
        <v>6517</v>
      </c>
      <c r="FC3202" s="8" t="s">
        <v>6518</v>
      </c>
      <c r="FD3202" s="8">
        <v>100</v>
      </c>
      <c r="FE3202" s="8">
        <v>10</v>
      </c>
    </row>
    <row r="3203" spans="158:161" ht="74.25" customHeight="1" x14ac:dyDescent="0.2">
      <c r="FB3203" s="8" t="s">
        <v>6519</v>
      </c>
      <c r="FC3203" s="8" t="s">
        <v>6520</v>
      </c>
      <c r="FD3203" s="8">
        <v>100</v>
      </c>
      <c r="FE3203" s="8">
        <v>10</v>
      </c>
    </row>
    <row r="3204" spans="158:161" ht="74.25" customHeight="1" x14ac:dyDescent="0.2">
      <c r="FB3204" s="8" t="s">
        <v>6521</v>
      </c>
      <c r="FC3204" s="8" t="s">
        <v>6522</v>
      </c>
      <c r="FD3204" s="8">
        <v>280</v>
      </c>
      <c r="FE3204" s="8">
        <v>28</v>
      </c>
    </row>
    <row r="3205" spans="158:161" ht="74.25" customHeight="1" x14ac:dyDescent="0.2">
      <c r="FB3205" s="8" t="s">
        <v>6523</v>
      </c>
      <c r="FC3205" s="8" t="s">
        <v>6524</v>
      </c>
      <c r="FD3205" s="8">
        <v>42</v>
      </c>
      <c r="FE3205" s="8">
        <v>4.2</v>
      </c>
    </row>
    <row r="3206" spans="158:161" ht="74.25" customHeight="1" x14ac:dyDescent="0.2">
      <c r="FB3206" s="8" t="s">
        <v>6525</v>
      </c>
      <c r="FC3206" s="8" t="s">
        <v>6526</v>
      </c>
      <c r="FD3206" s="8">
        <v>270</v>
      </c>
      <c r="FE3206" s="8">
        <v>5.4</v>
      </c>
    </row>
    <row r="3207" spans="158:161" ht="74.25" customHeight="1" x14ac:dyDescent="0.2">
      <c r="FB3207" s="8" t="s">
        <v>6527</v>
      </c>
      <c r="FC3207" s="8" t="s">
        <v>6528</v>
      </c>
      <c r="FD3207" s="8">
        <v>1000</v>
      </c>
      <c r="FE3207" s="8">
        <v>100</v>
      </c>
    </row>
    <row r="3208" spans="158:161" ht="74.25" customHeight="1" x14ac:dyDescent="0.2">
      <c r="FB3208" s="8" t="s">
        <v>6529</v>
      </c>
      <c r="FC3208" s="8" t="s">
        <v>6530</v>
      </c>
      <c r="FD3208" s="8">
        <v>350</v>
      </c>
      <c r="FE3208" s="8">
        <v>35</v>
      </c>
    </row>
    <row r="3209" spans="158:161" ht="74.25" customHeight="1" x14ac:dyDescent="0.2">
      <c r="FB3209" s="8" t="s">
        <v>6531</v>
      </c>
      <c r="FC3209" s="8" t="s">
        <v>6532</v>
      </c>
      <c r="FD3209" s="8">
        <v>100</v>
      </c>
      <c r="FE3209" s="8">
        <v>10</v>
      </c>
    </row>
    <row r="3210" spans="158:161" ht="74.25" customHeight="1" x14ac:dyDescent="0.2">
      <c r="FB3210" s="8" t="s">
        <v>6533</v>
      </c>
      <c r="FC3210" s="8" t="s">
        <v>6534</v>
      </c>
      <c r="FD3210" s="8">
        <v>90</v>
      </c>
      <c r="FE3210" s="8">
        <v>9</v>
      </c>
    </row>
    <row r="3211" spans="158:161" ht="74.25" customHeight="1" x14ac:dyDescent="0.2">
      <c r="FB3211" s="8" t="s">
        <v>6535</v>
      </c>
      <c r="FC3211" s="8" t="s">
        <v>6536</v>
      </c>
      <c r="FD3211" s="8">
        <v>620</v>
      </c>
      <c r="FE3211" s="8">
        <v>62</v>
      </c>
    </row>
    <row r="3212" spans="158:161" ht="74.25" customHeight="1" x14ac:dyDescent="0.2">
      <c r="FB3212" s="8" t="s">
        <v>6537</v>
      </c>
      <c r="FC3212" s="8" t="s">
        <v>6538</v>
      </c>
      <c r="FD3212" s="8">
        <v>100</v>
      </c>
      <c r="FE3212" s="8">
        <v>10</v>
      </c>
    </row>
    <row r="3213" spans="158:161" ht="74.25" customHeight="1" x14ac:dyDescent="0.2">
      <c r="FB3213" s="8" t="s">
        <v>6539</v>
      </c>
      <c r="FC3213" s="8" t="s">
        <v>6540</v>
      </c>
      <c r="FD3213" s="8">
        <v>400</v>
      </c>
      <c r="FE3213" s="8">
        <v>40</v>
      </c>
    </row>
    <row r="3214" spans="158:161" ht="74.25" customHeight="1" x14ac:dyDescent="0.2">
      <c r="FB3214" s="8" t="s">
        <v>6541</v>
      </c>
      <c r="FC3214" s="8" t="s">
        <v>6542</v>
      </c>
      <c r="FD3214" s="8">
        <v>500</v>
      </c>
      <c r="FE3214" s="8">
        <v>50</v>
      </c>
    </row>
    <row r="3215" spans="158:161" ht="74.25" customHeight="1" x14ac:dyDescent="0.2">
      <c r="FB3215" s="8" t="s">
        <v>6543</v>
      </c>
      <c r="FC3215" s="8" t="s">
        <v>6544</v>
      </c>
      <c r="FD3215" s="8">
        <v>500</v>
      </c>
      <c r="FE3215" s="8">
        <v>50</v>
      </c>
    </row>
    <row r="3216" spans="158:161" ht="74.25" customHeight="1" x14ac:dyDescent="0.2">
      <c r="FB3216" s="8" t="s">
        <v>6545</v>
      </c>
      <c r="FC3216" s="8" t="s">
        <v>6546</v>
      </c>
      <c r="FD3216" s="8">
        <v>500</v>
      </c>
      <c r="FE3216" s="8">
        <v>50</v>
      </c>
    </row>
    <row r="3217" spans="158:161" ht="74.25" customHeight="1" x14ac:dyDescent="0.2">
      <c r="FB3217" s="8" t="s">
        <v>6547</v>
      </c>
      <c r="FC3217" s="8" t="s">
        <v>6548</v>
      </c>
      <c r="FD3217" s="8">
        <v>250</v>
      </c>
      <c r="FE3217" s="8">
        <v>25</v>
      </c>
    </row>
    <row r="3218" spans="158:161" ht="74.25" customHeight="1" x14ac:dyDescent="0.2">
      <c r="FB3218" s="8" t="s">
        <v>6549</v>
      </c>
      <c r="FC3218" s="8" t="s">
        <v>6550</v>
      </c>
      <c r="FD3218" s="8">
        <v>125</v>
      </c>
      <c r="FE3218" s="8">
        <v>12.5</v>
      </c>
    </row>
    <row r="3219" spans="158:161" ht="74.25" customHeight="1" x14ac:dyDescent="0.2">
      <c r="FB3219" s="8" t="s">
        <v>6551</v>
      </c>
      <c r="FC3219" s="8" t="s">
        <v>6552</v>
      </c>
      <c r="FD3219" s="8">
        <v>60</v>
      </c>
      <c r="FE3219" s="8">
        <v>6</v>
      </c>
    </row>
    <row r="3220" spans="158:161" ht="74.25" customHeight="1" x14ac:dyDescent="0.2">
      <c r="FB3220" s="8" t="s">
        <v>6553</v>
      </c>
      <c r="FC3220" s="8" t="s">
        <v>6554</v>
      </c>
      <c r="FD3220" s="8">
        <v>100</v>
      </c>
      <c r="FE3220" s="8">
        <v>10</v>
      </c>
    </row>
    <row r="3221" spans="158:161" ht="74.25" customHeight="1" x14ac:dyDescent="0.2">
      <c r="FB3221" s="8" t="s">
        <v>6555</v>
      </c>
      <c r="FC3221" s="8" t="s">
        <v>6556</v>
      </c>
      <c r="FD3221" s="8">
        <v>100</v>
      </c>
      <c r="FE3221" s="8">
        <v>10</v>
      </c>
    </row>
    <row r="3222" spans="158:161" ht="74.25" customHeight="1" x14ac:dyDescent="0.2">
      <c r="FB3222" s="8" t="s">
        <v>6557</v>
      </c>
      <c r="FC3222" s="8" t="s">
        <v>6558</v>
      </c>
      <c r="FD3222" s="8">
        <v>280</v>
      </c>
      <c r="FE3222" s="8">
        <v>28</v>
      </c>
    </row>
    <row r="3223" spans="158:161" ht="74.25" customHeight="1" x14ac:dyDescent="0.2">
      <c r="FB3223" s="8" t="s">
        <v>6559</v>
      </c>
      <c r="FC3223" s="8" t="s">
        <v>6560</v>
      </c>
      <c r="FD3223" s="8">
        <v>64</v>
      </c>
      <c r="FE3223" s="8">
        <v>25</v>
      </c>
    </row>
    <row r="3224" spans="158:161" ht="74.25" customHeight="1" x14ac:dyDescent="0.2">
      <c r="FB3224" s="8" t="s">
        <v>6561</v>
      </c>
      <c r="FC3224" s="8" t="s">
        <v>6562</v>
      </c>
      <c r="FD3224" s="8">
        <v>110</v>
      </c>
      <c r="FE3224" s="8">
        <v>11</v>
      </c>
    </row>
    <row r="3225" spans="158:161" ht="74.25" customHeight="1" x14ac:dyDescent="0.2">
      <c r="FB3225" s="8" t="s">
        <v>6563</v>
      </c>
      <c r="FC3225" s="8" t="s">
        <v>6564</v>
      </c>
      <c r="FD3225" s="8">
        <v>100</v>
      </c>
      <c r="FE3225" s="8">
        <v>10</v>
      </c>
    </row>
    <row r="3226" spans="158:161" ht="74.25" customHeight="1" x14ac:dyDescent="0.2">
      <c r="FB3226" s="8" t="s">
        <v>6565</v>
      </c>
      <c r="FC3226" s="8" t="s">
        <v>6566</v>
      </c>
      <c r="FD3226" s="8">
        <v>290</v>
      </c>
      <c r="FE3226" s="8">
        <v>29</v>
      </c>
    </row>
    <row r="3227" spans="158:161" ht="74.25" customHeight="1" x14ac:dyDescent="0.2">
      <c r="FB3227" s="8" t="s">
        <v>6567</v>
      </c>
      <c r="FC3227" s="8" t="s">
        <v>6568</v>
      </c>
      <c r="FD3227" s="8">
        <v>10</v>
      </c>
      <c r="FE3227" s="8">
        <v>1</v>
      </c>
    </row>
    <row r="3228" spans="158:161" ht="74.25" customHeight="1" x14ac:dyDescent="0.2">
      <c r="FB3228" s="8" t="s">
        <v>6569</v>
      </c>
      <c r="FC3228" s="8" t="s">
        <v>6570</v>
      </c>
      <c r="FD3228" s="8">
        <v>200</v>
      </c>
      <c r="FE3228" s="8">
        <v>20</v>
      </c>
    </row>
    <row r="3229" spans="158:161" ht="74.25" customHeight="1" x14ac:dyDescent="0.2">
      <c r="FB3229" s="8" t="s">
        <v>6571</v>
      </c>
      <c r="FC3229" s="8" t="s">
        <v>6572</v>
      </c>
      <c r="FD3229" s="8">
        <v>290</v>
      </c>
      <c r="FE3229" s="8">
        <v>29</v>
      </c>
    </row>
    <row r="3230" spans="158:161" ht="74.25" customHeight="1" x14ac:dyDescent="0.2">
      <c r="FB3230" s="8" t="s">
        <v>6573</v>
      </c>
      <c r="FC3230" s="8" t="s">
        <v>6574</v>
      </c>
      <c r="FD3230" s="8">
        <v>100</v>
      </c>
      <c r="FE3230" s="8">
        <v>10</v>
      </c>
    </row>
    <row r="3231" spans="158:161" ht="74.25" customHeight="1" x14ac:dyDescent="0.2">
      <c r="FB3231" s="8" t="s">
        <v>6575</v>
      </c>
      <c r="FC3231" s="8" t="s">
        <v>6576</v>
      </c>
      <c r="FD3231" s="8">
        <v>90</v>
      </c>
      <c r="FE3231" s="8">
        <v>9</v>
      </c>
    </row>
    <row r="3232" spans="158:161" ht="74.25" customHeight="1" x14ac:dyDescent="0.2">
      <c r="FB3232" s="8" t="s">
        <v>6577</v>
      </c>
      <c r="FC3232" s="8" t="s">
        <v>6578</v>
      </c>
      <c r="FD3232" s="8">
        <v>100</v>
      </c>
      <c r="FE3232" s="8">
        <v>10</v>
      </c>
    </row>
    <row r="3233" spans="158:161" ht="74.25" customHeight="1" x14ac:dyDescent="0.2">
      <c r="FB3233" s="8" t="s">
        <v>6579</v>
      </c>
      <c r="FC3233" s="8" t="s">
        <v>6580</v>
      </c>
      <c r="FD3233" s="8">
        <v>60</v>
      </c>
      <c r="FE3233" s="8">
        <v>6</v>
      </c>
    </row>
    <row r="3234" spans="158:161" ht="74.25" customHeight="1" x14ac:dyDescent="0.2">
      <c r="FB3234" s="8" t="s">
        <v>6581</v>
      </c>
      <c r="FC3234" s="8" t="s">
        <v>6582</v>
      </c>
      <c r="FD3234" s="8">
        <v>500</v>
      </c>
      <c r="FE3234" s="8">
        <v>50</v>
      </c>
    </row>
    <row r="3235" spans="158:161" ht="74.25" customHeight="1" x14ac:dyDescent="0.2">
      <c r="FB3235" s="8" t="s">
        <v>6583</v>
      </c>
      <c r="FC3235" s="8" t="s">
        <v>6584</v>
      </c>
      <c r="FD3235" s="8">
        <v>1000</v>
      </c>
      <c r="FE3235" s="8">
        <v>100</v>
      </c>
    </row>
    <row r="3236" spans="158:161" ht="74.25" customHeight="1" x14ac:dyDescent="0.2">
      <c r="FB3236" s="8" t="s">
        <v>6585</v>
      </c>
      <c r="FC3236" s="8" t="s">
        <v>6586</v>
      </c>
      <c r="FD3236" s="8">
        <v>1000</v>
      </c>
      <c r="FE3236" s="8">
        <v>100</v>
      </c>
    </row>
    <row r="3237" spans="158:161" ht="74.25" customHeight="1" x14ac:dyDescent="0.2">
      <c r="FB3237" s="8" t="s">
        <v>6587</v>
      </c>
      <c r="FC3237" s="8" t="s">
        <v>6588</v>
      </c>
      <c r="FD3237" s="8">
        <v>50</v>
      </c>
      <c r="FE3237" s="8">
        <v>5</v>
      </c>
    </row>
    <row r="3238" spans="158:161" ht="74.25" customHeight="1" x14ac:dyDescent="0.2">
      <c r="FB3238" s="8" t="s">
        <v>6589</v>
      </c>
      <c r="FC3238" s="8" t="s">
        <v>6590</v>
      </c>
      <c r="FD3238" s="8">
        <v>100</v>
      </c>
      <c r="FE3238" s="8">
        <v>10</v>
      </c>
    </row>
    <row r="3239" spans="158:161" ht="74.25" customHeight="1" x14ac:dyDescent="0.2">
      <c r="FB3239" s="8" t="s">
        <v>6591</v>
      </c>
      <c r="FC3239" s="8" t="s">
        <v>6592</v>
      </c>
      <c r="FD3239" s="8">
        <v>100</v>
      </c>
      <c r="FE3239" s="8">
        <v>10</v>
      </c>
    </row>
    <row r="3240" spans="158:161" ht="74.25" customHeight="1" x14ac:dyDescent="0.2">
      <c r="FB3240" s="8" t="s">
        <v>6593</v>
      </c>
      <c r="FC3240" s="8" t="s">
        <v>6594</v>
      </c>
      <c r="FD3240" s="8">
        <v>100</v>
      </c>
      <c r="FE3240" s="8">
        <v>10</v>
      </c>
    </row>
    <row r="3241" spans="158:161" ht="74.25" customHeight="1" x14ac:dyDescent="0.2">
      <c r="FB3241" s="8" t="s">
        <v>6595</v>
      </c>
      <c r="FC3241" s="8" t="s">
        <v>6596</v>
      </c>
      <c r="FD3241" s="8">
        <v>30</v>
      </c>
      <c r="FE3241" s="8">
        <v>3</v>
      </c>
    </row>
    <row r="3242" spans="158:161" ht="74.25" customHeight="1" x14ac:dyDescent="0.2">
      <c r="FB3242" s="8" t="s">
        <v>6597</v>
      </c>
      <c r="FC3242" s="8" t="s">
        <v>6598</v>
      </c>
      <c r="FD3242" s="8">
        <v>1000</v>
      </c>
      <c r="FE3242" s="8">
        <v>100</v>
      </c>
    </row>
    <row r="3243" spans="158:161" ht="74.25" customHeight="1" x14ac:dyDescent="0.2">
      <c r="FB3243" s="8" t="s">
        <v>6599</v>
      </c>
      <c r="FC3243" s="8" t="s">
        <v>6600</v>
      </c>
      <c r="FD3243" s="8">
        <v>1000</v>
      </c>
      <c r="FE3243" s="8">
        <v>100</v>
      </c>
    </row>
    <row r="3244" spans="158:161" ht="74.25" customHeight="1" x14ac:dyDescent="0.2">
      <c r="FB3244" s="8" t="s">
        <v>6601</v>
      </c>
      <c r="FC3244" s="8" t="s">
        <v>6602</v>
      </c>
      <c r="FD3244" s="8">
        <v>450</v>
      </c>
      <c r="FE3244" s="8">
        <v>45</v>
      </c>
    </row>
    <row r="3245" spans="158:161" ht="74.25" customHeight="1" x14ac:dyDescent="0.2">
      <c r="FB3245" s="8" t="s">
        <v>6603</v>
      </c>
      <c r="FC3245" s="8" t="s">
        <v>6604</v>
      </c>
      <c r="FD3245" s="8">
        <v>30</v>
      </c>
      <c r="FE3245" s="8">
        <v>3</v>
      </c>
    </row>
    <row r="3246" spans="158:161" ht="74.25" customHeight="1" x14ac:dyDescent="0.2">
      <c r="FB3246" s="8" t="s">
        <v>6605</v>
      </c>
      <c r="FC3246" s="8" t="s">
        <v>6606</v>
      </c>
      <c r="FD3246" s="8">
        <v>610</v>
      </c>
      <c r="FE3246" s="8">
        <v>61</v>
      </c>
    </row>
    <row r="3247" spans="158:161" ht="74.25" customHeight="1" x14ac:dyDescent="0.2">
      <c r="FB3247" s="8" t="s">
        <v>6607</v>
      </c>
      <c r="FC3247" s="8" t="s">
        <v>6608</v>
      </c>
      <c r="FD3247" s="8">
        <v>2700</v>
      </c>
      <c r="FE3247" s="8">
        <v>270</v>
      </c>
    </row>
    <row r="3248" spans="158:161" ht="74.25" customHeight="1" x14ac:dyDescent="0.2">
      <c r="FB3248" s="8" t="s">
        <v>6609</v>
      </c>
      <c r="FC3248" s="8" t="s">
        <v>6610</v>
      </c>
      <c r="FD3248" s="8">
        <v>150</v>
      </c>
      <c r="FE3248" s="8">
        <v>15</v>
      </c>
    </row>
    <row r="3249" spans="158:161" ht="74.25" customHeight="1" x14ac:dyDescent="0.2">
      <c r="FB3249" s="8" t="s">
        <v>6611</v>
      </c>
      <c r="FC3249" s="8" t="s">
        <v>6612</v>
      </c>
      <c r="FD3249" s="8">
        <v>230</v>
      </c>
      <c r="FE3249" s="8">
        <v>23</v>
      </c>
    </row>
    <row r="3250" spans="158:161" ht="74.25" customHeight="1" x14ac:dyDescent="0.2">
      <c r="FB3250" s="8" t="s">
        <v>6613</v>
      </c>
      <c r="FC3250" s="8" t="s">
        <v>6614</v>
      </c>
      <c r="FD3250" s="8">
        <v>1000</v>
      </c>
      <c r="FE3250" s="8">
        <v>100</v>
      </c>
    </row>
    <row r="3251" spans="158:161" ht="74.25" customHeight="1" x14ac:dyDescent="0.2">
      <c r="FB3251" s="8" t="s">
        <v>6615</v>
      </c>
      <c r="FC3251" s="8" t="s">
        <v>6616</v>
      </c>
      <c r="FD3251" s="8">
        <v>3500</v>
      </c>
      <c r="FE3251" s="8">
        <v>350</v>
      </c>
    </row>
    <row r="3252" spans="158:161" ht="74.25" customHeight="1" x14ac:dyDescent="0.2">
      <c r="FB3252" s="8" t="s">
        <v>6617</v>
      </c>
      <c r="FC3252" s="8" t="s">
        <v>6618</v>
      </c>
      <c r="FD3252" s="8">
        <v>3500</v>
      </c>
      <c r="FE3252" s="8">
        <v>350</v>
      </c>
    </row>
    <row r="3253" spans="158:161" ht="74.25" customHeight="1" x14ac:dyDescent="0.2">
      <c r="FB3253" s="8" t="s">
        <v>6619</v>
      </c>
      <c r="FC3253" s="8" t="s">
        <v>6620</v>
      </c>
      <c r="FD3253" s="8">
        <v>3500</v>
      </c>
      <c r="FE3253" s="8">
        <v>350</v>
      </c>
    </row>
    <row r="3254" spans="158:161" ht="74.25" customHeight="1" x14ac:dyDescent="0.2">
      <c r="FB3254" s="8" t="s">
        <v>6621</v>
      </c>
      <c r="FC3254" s="8" t="s">
        <v>6622</v>
      </c>
      <c r="FD3254" s="8">
        <v>3500</v>
      </c>
      <c r="FE3254" s="8">
        <v>350</v>
      </c>
    </row>
    <row r="3255" spans="158:161" ht="74.25" customHeight="1" x14ac:dyDescent="0.2">
      <c r="FB3255" s="8" t="s">
        <v>6623</v>
      </c>
      <c r="FC3255" s="8" t="s">
        <v>6624</v>
      </c>
      <c r="FD3255" s="8">
        <v>1250</v>
      </c>
      <c r="FE3255" s="8">
        <v>125</v>
      </c>
    </row>
    <row r="3256" spans="158:161" ht="74.25" customHeight="1" x14ac:dyDescent="0.2">
      <c r="FB3256" s="8" t="s">
        <v>6625</v>
      </c>
      <c r="FC3256" s="8" t="s">
        <v>6626</v>
      </c>
      <c r="FD3256" s="8">
        <v>4000</v>
      </c>
      <c r="FE3256" s="8">
        <v>400</v>
      </c>
    </row>
    <row r="3257" spans="158:161" ht="74.25" customHeight="1" x14ac:dyDescent="0.2">
      <c r="FB3257" s="8" t="s">
        <v>6627</v>
      </c>
      <c r="FC3257" s="8" t="s">
        <v>6628</v>
      </c>
      <c r="FD3257" s="8">
        <v>3500</v>
      </c>
      <c r="FE3257" s="8">
        <v>350</v>
      </c>
    </row>
    <row r="3258" spans="158:161" ht="74.25" customHeight="1" x14ac:dyDescent="0.2">
      <c r="FB3258" s="8" t="s">
        <v>6629</v>
      </c>
      <c r="FC3258" s="8" t="s">
        <v>6630</v>
      </c>
      <c r="FD3258" s="8">
        <v>3000</v>
      </c>
      <c r="FE3258" s="8">
        <v>300</v>
      </c>
    </row>
    <row r="3259" spans="158:161" ht="74.25" customHeight="1" x14ac:dyDescent="0.2">
      <c r="FB3259" s="8" t="s">
        <v>6631</v>
      </c>
      <c r="FC3259" s="8" t="s">
        <v>6632</v>
      </c>
      <c r="FD3259" s="8">
        <v>3000</v>
      </c>
      <c r="FE3259" s="8">
        <v>300</v>
      </c>
    </row>
    <row r="3260" spans="158:161" ht="74.25" customHeight="1" x14ac:dyDescent="0.2">
      <c r="FB3260" s="8" t="s">
        <v>6633</v>
      </c>
      <c r="FC3260" s="8" t="s">
        <v>6634</v>
      </c>
      <c r="FD3260" s="8">
        <v>3500</v>
      </c>
      <c r="FE3260" s="8">
        <v>350</v>
      </c>
    </row>
    <row r="3261" spans="158:161" ht="74.25" customHeight="1" x14ac:dyDescent="0.2">
      <c r="FB3261" s="8" t="s">
        <v>6635</v>
      </c>
      <c r="FC3261" s="8" t="s">
        <v>6636</v>
      </c>
      <c r="FD3261" s="8">
        <v>1250</v>
      </c>
      <c r="FE3261" s="8">
        <v>125</v>
      </c>
    </row>
    <row r="3262" spans="158:161" ht="74.25" customHeight="1" x14ac:dyDescent="0.2">
      <c r="FB3262" s="8" t="s">
        <v>6637</v>
      </c>
      <c r="FC3262" s="8" t="s">
        <v>6638</v>
      </c>
      <c r="FD3262" s="8">
        <v>1800</v>
      </c>
      <c r="FE3262" s="8">
        <v>180</v>
      </c>
    </row>
    <row r="3263" spans="158:161" ht="74.25" customHeight="1" x14ac:dyDescent="0.2">
      <c r="FB3263" s="8" t="s">
        <v>6639</v>
      </c>
      <c r="FC3263" s="8" t="s">
        <v>6640</v>
      </c>
      <c r="FD3263" s="8">
        <v>440</v>
      </c>
      <c r="FE3263" s="8">
        <v>50</v>
      </c>
    </row>
    <row r="3264" spans="158:161" ht="74.25" customHeight="1" x14ac:dyDescent="0.2">
      <c r="FB3264" s="8" t="s">
        <v>6641</v>
      </c>
      <c r="FC3264" s="8" t="s">
        <v>6642</v>
      </c>
      <c r="FD3264" s="8">
        <v>0.7</v>
      </c>
      <c r="FE3264" s="8">
        <v>0.1</v>
      </c>
    </row>
    <row r="3265" spans="158:161" ht="74.25" customHeight="1" x14ac:dyDescent="0.2">
      <c r="FB3265" s="8" t="s">
        <v>6643</v>
      </c>
      <c r="FC3265" s="8" t="s">
        <v>6644</v>
      </c>
      <c r="FD3265" s="8">
        <v>40</v>
      </c>
      <c r="FE3265" s="8">
        <v>4</v>
      </c>
    </row>
    <row r="3266" spans="158:161" ht="74.25" customHeight="1" x14ac:dyDescent="0.2">
      <c r="FB3266" s="8" t="s">
        <v>6645</v>
      </c>
      <c r="FC3266" s="8" t="s">
        <v>6646</v>
      </c>
      <c r="FD3266" s="8">
        <v>1000</v>
      </c>
      <c r="FE3266" s="8">
        <v>100</v>
      </c>
    </row>
    <row r="3267" spans="158:161" ht="74.25" customHeight="1" x14ac:dyDescent="0.2">
      <c r="FB3267" s="8" t="s">
        <v>6647</v>
      </c>
      <c r="FC3267" s="8" t="s">
        <v>9867</v>
      </c>
      <c r="FD3267" s="8">
        <v>1000</v>
      </c>
      <c r="FE3267" s="8">
        <v>100</v>
      </c>
    </row>
    <row r="3268" spans="158:161" ht="74.25" customHeight="1" x14ac:dyDescent="0.2">
      <c r="FB3268" s="8" t="s">
        <v>6648</v>
      </c>
      <c r="FC3268" s="8" t="s">
        <v>6649</v>
      </c>
      <c r="FD3268" s="8">
        <v>1000</v>
      </c>
      <c r="FE3268" s="8">
        <v>100</v>
      </c>
    </row>
    <row r="3269" spans="158:161" ht="74.25" customHeight="1" x14ac:dyDescent="0.2">
      <c r="FB3269" s="8" t="s">
        <v>6650</v>
      </c>
      <c r="FC3269" s="8" t="s">
        <v>6651</v>
      </c>
      <c r="FD3269" s="8">
        <v>1000</v>
      </c>
      <c r="FE3269" s="8">
        <v>100</v>
      </c>
    </row>
    <row r="3270" spans="158:161" ht="74.25" customHeight="1" x14ac:dyDescent="0.2">
      <c r="FB3270" s="8" t="s">
        <v>6652</v>
      </c>
      <c r="FC3270" s="8" t="s">
        <v>6653</v>
      </c>
      <c r="FD3270" s="8">
        <v>4200</v>
      </c>
      <c r="FE3270" s="8">
        <v>420</v>
      </c>
    </row>
    <row r="3271" spans="158:161" ht="74.25" customHeight="1" x14ac:dyDescent="0.2">
      <c r="FB3271" s="8" t="s">
        <v>6654</v>
      </c>
      <c r="FC3271" s="8" t="s">
        <v>6655</v>
      </c>
      <c r="FD3271" s="8">
        <v>3500</v>
      </c>
      <c r="FE3271" s="8">
        <v>350</v>
      </c>
    </row>
    <row r="3272" spans="158:161" ht="74.25" customHeight="1" x14ac:dyDescent="0.2">
      <c r="FB3272" s="8" t="s">
        <v>6656</v>
      </c>
      <c r="FC3272" s="8" t="s">
        <v>6657</v>
      </c>
      <c r="FD3272" s="8">
        <v>3500</v>
      </c>
      <c r="FE3272" s="8">
        <v>350</v>
      </c>
    </row>
    <row r="3273" spans="158:161" ht="74.25" customHeight="1" x14ac:dyDescent="0.2">
      <c r="FB3273" s="8" t="s">
        <v>6658</v>
      </c>
      <c r="FC3273" s="8" t="s">
        <v>6659</v>
      </c>
      <c r="FD3273" s="8">
        <v>18000</v>
      </c>
      <c r="FE3273" s="8">
        <v>1800</v>
      </c>
    </row>
    <row r="3274" spans="158:161" ht="74.25" customHeight="1" x14ac:dyDescent="0.2">
      <c r="FB3274" s="8" t="s">
        <v>6660</v>
      </c>
      <c r="FC3274" s="8" t="s">
        <v>6661</v>
      </c>
      <c r="FD3274" s="8">
        <v>3500</v>
      </c>
      <c r="FE3274" s="8">
        <v>350</v>
      </c>
    </row>
    <row r="3275" spans="158:161" ht="74.25" customHeight="1" x14ac:dyDescent="0.2">
      <c r="FB3275" s="8" t="s">
        <v>6662</v>
      </c>
      <c r="FC3275" s="8" t="s">
        <v>6663</v>
      </c>
      <c r="FD3275" s="8">
        <v>66000</v>
      </c>
      <c r="FE3275" s="8">
        <v>7100</v>
      </c>
    </row>
    <row r="3276" spans="158:161" ht="74.25" customHeight="1" x14ac:dyDescent="0.2">
      <c r="FB3276" s="8" t="s">
        <v>6664</v>
      </c>
      <c r="FC3276" s="8" t="s">
        <v>6665</v>
      </c>
      <c r="FD3276" s="8">
        <v>11000</v>
      </c>
      <c r="FE3276" s="8">
        <v>1400</v>
      </c>
    </row>
    <row r="3277" spans="158:161" ht="74.25" customHeight="1" x14ac:dyDescent="0.2">
      <c r="FB3277" s="8" t="s">
        <v>6666</v>
      </c>
      <c r="FC3277" s="8" t="s">
        <v>6667</v>
      </c>
      <c r="FD3277" s="8">
        <v>250</v>
      </c>
      <c r="FE3277" s="8">
        <v>25</v>
      </c>
    </row>
    <row r="3278" spans="158:161" ht="74.25" customHeight="1" x14ac:dyDescent="0.2">
      <c r="FB3278" s="8" t="s">
        <v>6668</v>
      </c>
      <c r="FC3278" s="8" t="s">
        <v>6669</v>
      </c>
      <c r="FD3278" s="8">
        <v>2700</v>
      </c>
      <c r="FE3278" s="8">
        <v>270</v>
      </c>
    </row>
    <row r="3279" spans="158:161" ht="74.25" customHeight="1" x14ac:dyDescent="0.2">
      <c r="FB3279" s="8" t="s">
        <v>6670</v>
      </c>
      <c r="FC3279" s="8" t="s">
        <v>6671</v>
      </c>
      <c r="FD3279" s="8">
        <v>5</v>
      </c>
      <c r="FE3279" s="8">
        <v>0.5</v>
      </c>
    </row>
    <row r="3280" spans="158:161" ht="74.25" customHeight="1" x14ac:dyDescent="0.2">
      <c r="FB3280" s="8" t="s">
        <v>6672</v>
      </c>
      <c r="FC3280" s="8" t="s">
        <v>6673</v>
      </c>
      <c r="FD3280" s="8">
        <v>1750</v>
      </c>
      <c r="FE3280" s="8">
        <v>175</v>
      </c>
    </row>
    <row r="3281" spans="158:161" ht="74.25" customHeight="1" x14ac:dyDescent="0.2">
      <c r="FB3281" s="8" t="s">
        <v>6674</v>
      </c>
      <c r="FC3281" s="8" t="s">
        <v>6675</v>
      </c>
      <c r="FD3281" s="8">
        <v>230</v>
      </c>
      <c r="FE3281" s="8">
        <v>23</v>
      </c>
    </row>
    <row r="3282" spans="158:161" ht="74.25" customHeight="1" x14ac:dyDescent="0.2">
      <c r="FB3282" s="8" t="s">
        <v>6676</v>
      </c>
      <c r="FC3282" s="8" t="s">
        <v>6677</v>
      </c>
      <c r="FD3282" s="8">
        <v>10</v>
      </c>
      <c r="FE3282" s="8">
        <v>1</v>
      </c>
    </row>
    <row r="3283" spans="158:161" ht="74.25" customHeight="1" x14ac:dyDescent="0.2">
      <c r="FB3283" s="8" t="s">
        <v>6678</v>
      </c>
      <c r="FC3283" s="8" t="s">
        <v>6679</v>
      </c>
      <c r="FD3283" s="8">
        <v>100</v>
      </c>
      <c r="FE3283" s="8">
        <v>10</v>
      </c>
    </row>
    <row r="3284" spans="158:161" ht="74.25" customHeight="1" x14ac:dyDescent="0.2">
      <c r="FB3284" s="8" t="s">
        <v>6680</v>
      </c>
      <c r="FC3284" s="8" t="s">
        <v>6681</v>
      </c>
      <c r="FD3284" s="8">
        <v>60</v>
      </c>
      <c r="FE3284" s="8">
        <v>6</v>
      </c>
    </row>
    <row r="3285" spans="158:161" ht="74.25" customHeight="1" x14ac:dyDescent="0.2">
      <c r="FB3285" s="8" t="s">
        <v>6682</v>
      </c>
      <c r="FC3285" s="8" t="s">
        <v>6683</v>
      </c>
      <c r="FD3285" s="8">
        <v>100</v>
      </c>
      <c r="FE3285" s="8">
        <v>10</v>
      </c>
    </row>
    <row r="3286" spans="158:161" ht="74.25" customHeight="1" x14ac:dyDescent="0.2">
      <c r="FB3286" s="8" t="s">
        <v>6684</v>
      </c>
      <c r="FC3286" s="8" t="s">
        <v>6685</v>
      </c>
      <c r="FD3286" s="8">
        <v>210</v>
      </c>
      <c r="FE3286" s="8">
        <v>21</v>
      </c>
    </row>
    <row r="3287" spans="158:161" ht="74.25" customHeight="1" x14ac:dyDescent="0.2">
      <c r="FB3287" s="8" t="s">
        <v>6686</v>
      </c>
      <c r="FC3287" s="8" t="s">
        <v>6687</v>
      </c>
      <c r="FD3287" s="8">
        <v>500</v>
      </c>
      <c r="FE3287" s="8">
        <v>50</v>
      </c>
    </row>
    <row r="3288" spans="158:161" ht="74.25" customHeight="1" x14ac:dyDescent="0.2">
      <c r="FB3288" s="8" t="s">
        <v>6688</v>
      </c>
      <c r="FC3288" s="8" t="s">
        <v>6689</v>
      </c>
      <c r="FD3288" s="8">
        <v>220</v>
      </c>
      <c r="FE3288" s="8">
        <v>22</v>
      </c>
    </row>
    <row r="3289" spans="158:161" ht="74.25" customHeight="1" x14ac:dyDescent="0.2">
      <c r="FB3289" s="8" t="s">
        <v>6690</v>
      </c>
      <c r="FC3289" s="8" t="s">
        <v>6691</v>
      </c>
      <c r="FD3289" s="8">
        <v>100</v>
      </c>
      <c r="FE3289" s="8">
        <v>10</v>
      </c>
    </row>
    <row r="3290" spans="158:161" ht="74.25" customHeight="1" x14ac:dyDescent="0.2">
      <c r="FB3290" s="8" t="s">
        <v>6692</v>
      </c>
      <c r="FC3290" s="8" t="s">
        <v>6693</v>
      </c>
      <c r="FD3290" s="8">
        <v>100</v>
      </c>
      <c r="FE3290" s="8">
        <v>10</v>
      </c>
    </row>
    <row r="3291" spans="158:161" ht="74.25" customHeight="1" x14ac:dyDescent="0.2">
      <c r="FB3291" s="8" t="s">
        <v>6694</v>
      </c>
      <c r="FC3291" s="8" t="s">
        <v>6695</v>
      </c>
      <c r="FD3291" s="8">
        <v>100</v>
      </c>
      <c r="FE3291" s="8">
        <v>10</v>
      </c>
    </row>
    <row r="3292" spans="158:161" ht="74.25" customHeight="1" x14ac:dyDescent="0.2">
      <c r="FB3292" s="8" t="s">
        <v>6696</v>
      </c>
      <c r="FC3292" s="8" t="s">
        <v>6697</v>
      </c>
      <c r="FD3292" s="8">
        <v>1700</v>
      </c>
      <c r="FE3292" s="8">
        <v>330</v>
      </c>
    </row>
    <row r="3293" spans="158:161" ht="74.25" customHeight="1" x14ac:dyDescent="0.2">
      <c r="FB3293" s="8" t="s">
        <v>6698</v>
      </c>
      <c r="FC3293" s="8" t="s">
        <v>6699</v>
      </c>
      <c r="FD3293" s="8">
        <v>100</v>
      </c>
      <c r="FE3293" s="8">
        <v>10</v>
      </c>
    </row>
    <row r="3294" spans="158:161" ht="74.25" customHeight="1" x14ac:dyDescent="0.2">
      <c r="FB3294" s="8" t="s">
        <v>6700</v>
      </c>
      <c r="FC3294" s="8" t="s">
        <v>6701</v>
      </c>
      <c r="FD3294" s="8">
        <v>2450</v>
      </c>
      <c r="FE3294" s="8">
        <v>245</v>
      </c>
    </row>
    <row r="3295" spans="158:161" ht="74.25" customHeight="1" x14ac:dyDescent="0.2">
      <c r="FB3295" s="8" t="s">
        <v>6702</v>
      </c>
      <c r="FC3295" s="8" t="s">
        <v>6703</v>
      </c>
      <c r="FD3295" s="8">
        <v>100</v>
      </c>
      <c r="FE3295" s="8">
        <v>10</v>
      </c>
    </row>
    <row r="3296" spans="158:161" ht="74.25" customHeight="1" x14ac:dyDescent="0.2">
      <c r="FB3296" s="8" t="s">
        <v>6704</v>
      </c>
      <c r="FC3296" s="8" t="s">
        <v>6705</v>
      </c>
      <c r="FD3296" s="8">
        <v>25</v>
      </c>
      <c r="FE3296" s="8">
        <v>2.5</v>
      </c>
    </row>
    <row r="3297" spans="158:161" ht="74.25" customHeight="1" x14ac:dyDescent="0.2">
      <c r="FB3297" s="8" t="s">
        <v>6706</v>
      </c>
      <c r="FC3297" s="8" t="s">
        <v>6707</v>
      </c>
      <c r="FD3297" s="8">
        <v>600</v>
      </c>
      <c r="FE3297" s="8">
        <v>60</v>
      </c>
    </row>
    <row r="3298" spans="158:161" ht="74.25" customHeight="1" x14ac:dyDescent="0.2">
      <c r="FB3298" s="8" t="s">
        <v>6708</v>
      </c>
      <c r="FC3298" s="8" t="s">
        <v>6709</v>
      </c>
      <c r="FD3298" s="8">
        <v>100</v>
      </c>
      <c r="FE3298" s="8">
        <v>10</v>
      </c>
    </row>
    <row r="3299" spans="158:161" ht="74.25" customHeight="1" x14ac:dyDescent="0.2">
      <c r="FB3299" s="8" t="s">
        <v>6710</v>
      </c>
      <c r="FC3299" s="8" t="s">
        <v>6711</v>
      </c>
      <c r="FD3299" s="8">
        <v>1000</v>
      </c>
      <c r="FE3299" s="8">
        <v>100</v>
      </c>
    </row>
    <row r="3300" spans="158:161" ht="74.25" customHeight="1" x14ac:dyDescent="0.2">
      <c r="FB3300" s="8" t="s">
        <v>6712</v>
      </c>
      <c r="FC3300" s="8" t="s">
        <v>6713</v>
      </c>
      <c r="FD3300" s="8">
        <v>200</v>
      </c>
      <c r="FE3300" s="8">
        <v>20</v>
      </c>
    </row>
    <row r="3301" spans="158:161" ht="74.25" customHeight="1" x14ac:dyDescent="0.2">
      <c r="FB3301" s="8" t="s">
        <v>6714</v>
      </c>
      <c r="FC3301" s="8" t="s">
        <v>6715</v>
      </c>
      <c r="FD3301" s="8">
        <v>180</v>
      </c>
      <c r="FE3301" s="8">
        <v>18</v>
      </c>
    </row>
    <row r="3302" spans="158:161" ht="74.25" customHeight="1" x14ac:dyDescent="0.2">
      <c r="FB3302" s="8" t="s">
        <v>6716</v>
      </c>
      <c r="FC3302" s="8" t="s">
        <v>6717</v>
      </c>
      <c r="FD3302" s="8">
        <v>530</v>
      </c>
      <c r="FE3302" s="8">
        <v>53</v>
      </c>
    </row>
    <row r="3303" spans="158:161" ht="74.25" customHeight="1" x14ac:dyDescent="0.2">
      <c r="FB3303" s="8" t="s">
        <v>6718</v>
      </c>
      <c r="FC3303" s="8" t="s">
        <v>6719</v>
      </c>
      <c r="FD3303" s="8">
        <v>190</v>
      </c>
      <c r="FE3303" s="8">
        <v>7.9</v>
      </c>
    </row>
    <row r="3304" spans="158:161" ht="74.25" customHeight="1" x14ac:dyDescent="0.2">
      <c r="FB3304" s="8" t="s">
        <v>6720</v>
      </c>
      <c r="FC3304" s="8" t="s">
        <v>6721</v>
      </c>
      <c r="FD3304" s="8">
        <v>59000</v>
      </c>
      <c r="FE3304" s="8">
        <v>7100</v>
      </c>
    </row>
    <row r="3305" spans="158:161" ht="74.25" customHeight="1" x14ac:dyDescent="0.2">
      <c r="FB3305" s="8" t="s">
        <v>6722</v>
      </c>
      <c r="FC3305" s="8" t="s">
        <v>6723</v>
      </c>
      <c r="FD3305" s="8">
        <v>2500</v>
      </c>
      <c r="FE3305" s="8">
        <v>250</v>
      </c>
    </row>
    <row r="3306" spans="158:161" ht="74.25" customHeight="1" x14ac:dyDescent="0.2">
      <c r="FB3306" s="8" t="s">
        <v>6724</v>
      </c>
      <c r="FC3306" s="8" t="s">
        <v>6725</v>
      </c>
      <c r="FD3306" s="8">
        <v>10</v>
      </c>
      <c r="FE3306" s="8">
        <v>1</v>
      </c>
    </row>
    <row r="3307" spans="158:161" ht="74.25" customHeight="1" x14ac:dyDescent="0.2">
      <c r="FB3307" s="8" t="s">
        <v>6726</v>
      </c>
      <c r="FC3307" s="8" t="s">
        <v>6727</v>
      </c>
      <c r="FD3307" s="8">
        <v>1000</v>
      </c>
      <c r="FE3307" s="8">
        <v>100</v>
      </c>
    </row>
    <row r="3308" spans="158:161" ht="74.25" customHeight="1" x14ac:dyDescent="0.2">
      <c r="FB3308" s="8" t="s">
        <v>6728</v>
      </c>
      <c r="FC3308" s="8" t="s">
        <v>6729</v>
      </c>
      <c r="FD3308" s="8">
        <v>500</v>
      </c>
      <c r="FE3308" s="8">
        <v>50</v>
      </c>
    </row>
    <row r="3309" spans="158:161" ht="74.25" customHeight="1" x14ac:dyDescent="0.2">
      <c r="FB3309" s="8" t="s">
        <v>6730</v>
      </c>
      <c r="FC3309" s="8" t="s">
        <v>6731</v>
      </c>
      <c r="FD3309" s="8">
        <v>340</v>
      </c>
      <c r="FE3309" s="8">
        <v>34</v>
      </c>
    </row>
    <row r="3310" spans="158:161" ht="74.25" customHeight="1" x14ac:dyDescent="0.2">
      <c r="FB3310" s="8" t="s">
        <v>6732</v>
      </c>
      <c r="FC3310" s="8" t="s">
        <v>6733</v>
      </c>
      <c r="FD3310" s="8">
        <v>14</v>
      </c>
      <c r="FE3310" s="8">
        <v>1.4</v>
      </c>
    </row>
    <row r="3311" spans="158:161" ht="74.25" customHeight="1" x14ac:dyDescent="0.2">
      <c r="FB3311" s="8" t="s">
        <v>6734</v>
      </c>
      <c r="FC3311" s="8" t="s">
        <v>6735</v>
      </c>
      <c r="FD3311" s="8">
        <v>210</v>
      </c>
      <c r="FE3311" s="8">
        <v>21</v>
      </c>
    </row>
    <row r="3312" spans="158:161" ht="74.25" customHeight="1" x14ac:dyDescent="0.2">
      <c r="FB3312" s="8" t="s">
        <v>6736</v>
      </c>
      <c r="FC3312" s="8" t="s">
        <v>6737</v>
      </c>
      <c r="FD3312" s="8">
        <v>90</v>
      </c>
      <c r="FE3312" s="8">
        <v>9</v>
      </c>
    </row>
    <row r="3313" spans="158:161" ht="74.25" customHeight="1" x14ac:dyDescent="0.2">
      <c r="FB3313" s="8" t="s">
        <v>6738</v>
      </c>
      <c r="FC3313" s="8" t="s">
        <v>6739</v>
      </c>
      <c r="FD3313" s="8">
        <v>210</v>
      </c>
      <c r="FE3313" s="8">
        <v>21</v>
      </c>
    </row>
    <row r="3314" spans="158:161" ht="74.25" customHeight="1" x14ac:dyDescent="0.2">
      <c r="FB3314" s="8" t="s">
        <v>6740</v>
      </c>
      <c r="FC3314" s="8" t="s">
        <v>6741</v>
      </c>
      <c r="FD3314" s="8">
        <v>210</v>
      </c>
      <c r="FE3314" s="8">
        <v>21</v>
      </c>
    </row>
    <row r="3315" spans="158:161" ht="74.25" customHeight="1" x14ac:dyDescent="0.2">
      <c r="FB3315" s="8" t="s">
        <v>6742</v>
      </c>
      <c r="FC3315" s="8" t="s">
        <v>6743</v>
      </c>
      <c r="FD3315" s="8">
        <v>240</v>
      </c>
      <c r="FE3315" s="8">
        <v>24</v>
      </c>
    </row>
    <row r="3316" spans="158:161" ht="74.25" customHeight="1" x14ac:dyDescent="0.2">
      <c r="FB3316" s="8" t="s">
        <v>6744</v>
      </c>
      <c r="FC3316" s="8" t="s">
        <v>6745</v>
      </c>
      <c r="FD3316" s="8">
        <v>10000</v>
      </c>
      <c r="FE3316" s="8">
        <v>2700</v>
      </c>
    </row>
    <row r="3317" spans="158:161" ht="74.25" customHeight="1" x14ac:dyDescent="0.2">
      <c r="FB3317" s="8" t="s">
        <v>6746</v>
      </c>
      <c r="FC3317" s="8" t="s">
        <v>6747</v>
      </c>
      <c r="FD3317" s="8">
        <v>2450</v>
      </c>
      <c r="FE3317" s="8">
        <v>245</v>
      </c>
    </row>
    <row r="3318" spans="158:161" ht="74.25" customHeight="1" x14ac:dyDescent="0.2">
      <c r="FB3318" s="8" t="s">
        <v>6748</v>
      </c>
      <c r="FC3318" s="8" t="s">
        <v>6749</v>
      </c>
      <c r="FD3318" s="8">
        <v>5600</v>
      </c>
      <c r="FE3318" s="8">
        <v>200</v>
      </c>
    </row>
    <row r="3319" spans="158:161" ht="74.25" customHeight="1" x14ac:dyDescent="0.2">
      <c r="FB3319" s="8" t="s">
        <v>6750</v>
      </c>
      <c r="FC3319" s="8" t="s">
        <v>6751</v>
      </c>
      <c r="FD3319" s="8">
        <v>3000</v>
      </c>
      <c r="FE3319" s="8">
        <v>300</v>
      </c>
    </row>
    <row r="3320" spans="158:161" ht="74.25" customHeight="1" x14ac:dyDescent="0.2">
      <c r="FB3320" s="8" t="s">
        <v>6752</v>
      </c>
      <c r="FC3320" s="8" t="s">
        <v>6753</v>
      </c>
      <c r="FD3320" s="8">
        <v>5</v>
      </c>
      <c r="FE3320" s="8">
        <v>0.5</v>
      </c>
    </row>
    <row r="3321" spans="158:161" ht="74.25" customHeight="1" x14ac:dyDescent="0.2">
      <c r="FB3321" s="8" t="s">
        <v>6754</v>
      </c>
      <c r="FC3321" s="8" t="s">
        <v>6755</v>
      </c>
      <c r="FD3321" s="8">
        <v>560</v>
      </c>
      <c r="FE3321" s="8">
        <v>56</v>
      </c>
    </row>
    <row r="3322" spans="158:161" ht="74.25" customHeight="1" x14ac:dyDescent="0.2">
      <c r="FB3322" s="8" t="s">
        <v>6756</v>
      </c>
      <c r="FC3322" s="8" t="s">
        <v>6757</v>
      </c>
      <c r="FD3322" s="8">
        <v>100</v>
      </c>
      <c r="FE3322" s="8">
        <v>10</v>
      </c>
    </row>
    <row r="3323" spans="158:161" ht="74.25" customHeight="1" x14ac:dyDescent="0.2">
      <c r="FB3323" s="8" t="s">
        <v>6758</v>
      </c>
      <c r="FC3323" s="8" t="s">
        <v>6759</v>
      </c>
      <c r="FD3323" s="8">
        <v>50</v>
      </c>
      <c r="FE3323" s="8">
        <v>5</v>
      </c>
    </row>
    <row r="3324" spans="158:161" ht="74.25" customHeight="1" x14ac:dyDescent="0.2">
      <c r="FB3324" s="8" t="s">
        <v>6760</v>
      </c>
      <c r="FC3324" s="8" t="s">
        <v>6761</v>
      </c>
      <c r="FD3324" s="8">
        <v>300</v>
      </c>
      <c r="FE3324" s="8">
        <v>30</v>
      </c>
    </row>
    <row r="3325" spans="158:161" ht="74.25" customHeight="1" x14ac:dyDescent="0.2">
      <c r="FB3325" s="8" t="s">
        <v>6762</v>
      </c>
      <c r="FC3325" s="8" t="s">
        <v>6763</v>
      </c>
      <c r="FD3325" s="8">
        <v>50</v>
      </c>
      <c r="FE3325" s="8">
        <v>5</v>
      </c>
    </row>
    <row r="3326" spans="158:161" ht="74.25" customHeight="1" x14ac:dyDescent="0.2">
      <c r="FB3326" s="8" t="s">
        <v>6764</v>
      </c>
      <c r="FC3326" s="8" t="s">
        <v>6765</v>
      </c>
      <c r="FD3326" s="8">
        <v>3100</v>
      </c>
      <c r="FE3326" s="8">
        <v>310</v>
      </c>
    </row>
    <row r="3327" spans="158:161" ht="74.25" customHeight="1" x14ac:dyDescent="0.2">
      <c r="FB3327" s="8" t="s">
        <v>6766</v>
      </c>
      <c r="FC3327" s="8" t="s">
        <v>6767</v>
      </c>
      <c r="FD3327" s="8">
        <v>3100</v>
      </c>
      <c r="FE3327" s="8">
        <v>310</v>
      </c>
    </row>
    <row r="3328" spans="158:161" ht="74.25" customHeight="1" x14ac:dyDescent="0.2">
      <c r="FB3328" s="8" t="s">
        <v>6768</v>
      </c>
      <c r="FC3328" s="8" t="s">
        <v>6769</v>
      </c>
      <c r="FD3328" s="8" t="s">
        <v>8682</v>
      </c>
      <c r="FE3328" s="8" t="s">
        <v>8682</v>
      </c>
    </row>
    <row r="3329" spans="158:161" ht="74.25" customHeight="1" x14ac:dyDescent="0.2">
      <c r="FB3329" s="8" t="s">
        <v>6770</v>
      </c>
      <c r="FC3329" s="8" t="s">
        <v>6771</v>
      </c>
      <c r="FD3329" s="8">
        <v>290</v>
      </c>
      <c r="FE3329" s="8">
        <v>29</v>
      </c>
    </row>
    <row r="3330" spans="158:161" ht="74.25" customHeight="1" x14ac:dyDescent="0.2">
      <c r="FB3330" s="8" t="s">
        <v>6772</v>
      </c>
      <c r="FC3330" s="8" t="s">
        <v>6773</v>
      </c>
      <c r="FD3330" s="8">
        <v>1</v>
      </c>
      <c r="FE3330" s="8">
        <v>0.1</v>
      </c>
    </row>
    <row r="3331" spans="158:161" ht="74.25" customHeight="1" x14ac:dyDescent="0.2">
      <c r="FB3331" s="8" t="s">
        <v>6774</v>
      </c>
      <c r="FC3331" s="8" t="s">
        <v>6775</v>
      </c>
      <c r="FD3331" s="8">
        <v>500</v>
      </c>
      <c r="FE3331" s="8">
        <v>50</v>
      </c>
    </row>
    <row r="3332" spans="158:161" ht="74.25" customHeight="1" x14ac:dyDescent="0.2">
      <c r="FB3332" s="8" t="s">
        <v>6776</v>
      </c>
      <c r="FC3332" s="8" t="s">
        <v>6777</v>
      </c>
      <c r="FD3332" s="8">
        <v>1</v>
      </c>
      <c r="FE3332" s="8">
        <v>0.1</v>
      </c>
    </row>
    <row r="3333" spans="158:161" ht="74.25" customHeight="1" x14ac:dyDescent="0.2">
      <c r="FB3333" s="8" t="s">
        <v>6778</v>
      </c>
      <c r="FC3333" s="8" t="s">
        <v>6779</v>
      </c>
      <c r="FD3333" s="8">
        <v>30</v>
      </c>
      <c r="FE3333" s="8">
        <v>3</v>
      </c>
    </row>
    <row r="3334" spans="158:161" ht="74.25" customHeight="1" x14ac:dyDescent="0.2">
      <c r="FB3334" s="8" t="s">
        <v>6780</v>
      </c>
      <c r="FC3334" s="8" t="s">
        <v>6781</v>
      </c>
      <c r="FD3334" s="8">
        <v>8</v>
      </c>
      <c r="FE3334" s="8">
        <v>0.8</v>
      </c>
    </row>
    <row r="3335" spans="158:161" ht="74.25" customHeight="1" x14ac:dyDescent="0.2">
      <c r="FB3335" s="8" t="s">
        <v>6782</v>
      </c>
      <c r="FC3335" s="8" t="s">
        <v>6783</v>
      </c>
      <c r="FD3335" s="8">
        <v>4500</v>
      </c>
      <c r="FE3335" s="8">
        <v>450</v>
      </c>
    </row>
    <row r="3336" spans="158:161" ht="74.25" customHeight="1" x14ac:dyDescent="0.2">
      <c r="FB3336" s="8" t="s">
        <v>6784</v>
      </c>
      <c r="FC3336" s="8" t="s">
        <v>6785</v>
      </c>
      <c r="FD3336" s="8">
        <v>110</v>
      </c>
      <c r="FE3336" s="8">
        <v>11</v>
      </c>
    </row>
    <row r="3337" spans="158:161" ht="74.25" customHeight="1" x14ac:dyDescent="0.2">
      <c r="FB3337" s="8" t="s">
        <v>6786</v>
      </c>
      <c r="FC3337" s="8" t="s">
        <v>6787</v>
      </c>
      <c r="FD3337" s="8">
        <v>70</v>
      </c>
      <c r="FE3337" s="8">
        <v>7</v>
      </c>
    </row>
    <row r="3338" spans="158:161" ht="74.25" customHeight="1" x14ac:dyDescent="0.2">
      <c r="FB3338" s="8" t="s">
        <v>6788</v>
      </c>
      <c r="FC3338" s="8" t="s">
        <v>6789</v>
      </c>
      <c r="FD3338" s="8">
        <v>420</v>
      </c>
      <c r="FE3338" s="8">
        <v>42</v>
      </c>
    </row>
    <row r="3339" spans="158:161" ht="74.25" customHeight="1" x14ac:dyDescent="0.2">
      <c r="FB3339" s="8" t="s">
        <v>6790</v>
      </c>
      <c r="FC3339" s="8" t="s">
        <v>6791</v>
      </c>
      <c r="FD3339" s="8">
        <v>360</v>
      </c>
      <c r="FE3339" s="8">
        <v>36</v>
      </c>
    </row>
    <row r="3340" spans="158:161" ht="74.25" customHeight="1" x14ac:dyDescent="0.2">
      <c r="FB3340" s="8" t="s">
        <v>6792</v>
      </c>
      <c r="FC3340" s="8" t="s">
        <v>6793</v>
      </c>
      <c r="FD3340" s="8">
        <v>80</v>
      </c>
      <c r="FE3340" s="8">
        <v>8</v>
      </c>
    </row>
    <row r="3341" spans="158:161" ht="74.25" customHeight="1" x14ac:dyDescent="0.2">
      <c r="FB3341" s="8" t="s">
        <v>6794</v>
      </c>
      <c r="FC3341" s="8" t="s">
        <v>6795</v>
      </c>
      <c r="FD3341" s="8">
        <v>96</v>
      </c>
      <c r="FE3341" s="8">
        <v>9.6</v>
      </c>
    </row>
    <row r="3342" spans="158:161" ht="74.25" customHeight="1" x14ac:dyDescent="0.2">
      <c r="FB3342" s="8" t="s">
        <v>6796</v>
      </c>
      <c r="FC3342" s="8" t="s">
        <v>6797</v>
      </c>
      <c r="FD3342" s="8">
        <v>15</v>
      </c>
      <c r="FE3342" s="8">
        <v>1.5</v>
      </c>
    </row>
    <row r="3343" spans="158:161" ht="74.25" customHeight="1" x14ac:dyDescent="0.2">
      <c r="FB3343" s="8" t="s">
        <v>6798</v>
      </c>
      <c r="FC3343" s="8" t="s">
        <v>6799</v>
      </c>
      <c r="FD3343" s="8">
        <v>100</v>
      </c>
      <c r="FE3343" s="8">
        <v>10</v>
      </c>
    </row>
    <row r="3344" spans="158:161" ht="74.25" customHeight="1" x14ac:dyDescent="0.2">
      <c r="FB3344" s="8" t="s">
        <v>6800</v>
      </c>
      <c r="FC3344" s="8" t="s">
        <v>6801</v>
      </c>
      <c r="FD3344" s="8">
        <v>1</v>
      </c>
      <c r="FE3344" s="8">
        <v>0.1</v>
      </c>
    </row>
    <row r="3345" spans="158:161" ht="74.25" customHeight="1" x14ac:dyDescent="0.2">
      <c r="FB3345" s="8" t="s">
        <v>6802</v>
      </c>
      <c r="FC3345" s="8" t="s">
        <v>6803</v>
      </c>
      <c r="FD3345" s="8">
        <v>1</v>
      </c>
      <c r="FE3345" s="8">
        <v>0.1</v>
      </c>
    </row>
    <row r="3346" spans="158:161" ht="74.25" customHeight="1" x14ac:dyDescent="0.2">
      <c r="FB3346" s="8" t="s">
        <v>6804</v>
      </c>
      <c r="FC3346" s="8" t="s">
        <v>6805</v>
      </c>
      <c r="FD3346" s="8">
        <v>1</v>
      </c>
      <c r="FE3346" s="8">
        <v>0.1</v>
      </c>
    </row>
    <row r="3347" spans="158:161" ht="74.25" customHeight="1" x14ac:dyDescent="0.2">
      <c r="FB3347" s="8" t="s">
        <v>6806</v>
      </c>
      <c r="FC3347" s="8" t="s">
        <v>6807</v>
      </c>
      <c r="FD3347" s="8">
        <v>1</v>
      </c>
      <c r="FE3347" s="8">
        <v>0.1</v>
      </c>
    </row>
    <row r="3348" spans="158:161" ht="74.25" customHeight="1" x14ac:dyDescent="0.2">
      <c r="FB3348" s="8" t="s">
        <v>6808</v>
      </c>
      <c r="FC3348" s="8" t="s">
        <v>6809</v>
      </c>
      <c r="FD3348" s="8">
        <v>1</v>
      </c>
      <c r="FE3348" s="8">
        <v>0.1</v>
      </c>
    </row>
    <row r="3349" spans="158:161" ht="74.25" customHeight="1" x14ac:dyDescent="0.2">
      <c r="FB3349" s="8" t="s">
        <v>6810</v>
      </c>
      <c r="FC3349" s="8" t="s">
        <v>6811</v>
      </c>
      <c r="FD3349" s="8">
        <v>1</v>
      </c>
      <c r="FE3349" s="8">
        <v>0.1</v>
      </c>
    </row>
    <row r="3350" spans="158:161" ht="74.25" customHeight="1" x14ac:dyDescent="0.2">
      <c r="FB3350" s="8" t="s">
        <v>6812</v>
      </c>
      <c r="FC3350" s="8" t="s">
        <v>6813</v>
      </c>
      <c r="FD3350" s="8">
        <v>140</v>
      </c>
      <c r="FE3350" s="8">
        <v>14</v>
      </c>
    </row>
    <row r="3351" spans="158:161" ht="74.25" customHeight="1" x14ac:dyDescent="0.2">
      <c r="FB3351" s="8" t="s">
        <v>6814</v>
      </c>
      <c r="FC3351" s="8" t="s">
        <v>6815</v>
      </c>
      <c r="FD3351" s="8">
        <v>1</v>
      </c>
      <c r="FE3351" s="8">
        <v>0.1</v>
      </c>
    </row>
    <row r="3352" spans="158:161" ht="74.25" customHeight="1" x14ac:dyDescent="0.2">
      <c r="FB3352" s="8" t="s">
        <v>6816</v>
      </c>
      <c r="FC3352" s="8" t="s">
        <v>6817</v>
      </c>
      <c r="FD3352" s="8">
        <v>1</v>
      </c>
      <c r="FE3352" s="8">
        <v>0.1</v>
      </c>
    </row>
    <row r="3353" spans="158:161" ht="74.25" customHeight="1" x14ac:dyDescent="0.2">
      <c r="FB3353" s="8" t="s">
        <v>6818</v>
      </c>
      <c r="FC3353" s="8" t="s">
        <v>6819</v>
      </c>
      <c r="FD3353" s="8">
        <v>4800</v>
      </c>
      <c r="FE3353" s="8">
        <v>450</v>
      </c>
    </row>
    <row r="3354" spans="158:161" ht="74.25" customHeight="1" x14ac:dyDescent="0.2">
      <c r="FB3354" s="8" t="s">
        <v>6820</v>
      </c>
      <c r="FC3354" s="8" t="s">
        <v>6821</v>
      </c>
      <c r="FD3354" s="8">
        <v>5700</v>
      </c>
      <c r="FE3354" s="8">
        <v>570</v>
      </c>
    </row>
    <row r="3355" spans="158:161" ht="74.25" customHeight="1" x14ac:dyDescent="0.2">
      <c r="FB3355" s="8" t="s">
        <v>6822</v>
      </c>
      <c r="FC3355" s="8" t="s">
        <v>6823</v>
      </c>
      <c r="FD3355" s="8">
        <v>2450</v>
      </c>
      <c r="FE3355" s="8">
        <v>245</v>
      </c>
    </row>
    <row r="3356" spans="158:161" ht="74.25" customHeight="1" x14ac:dyDescent="0.2">
      <c r="FB3356" s="8" t="s">
        <v>6824</v>
      </c>
      <c r="FC3356" s="8" t="s">
        <v>6825</v>
      </c>
      <c r="FD3356" s="8">
        <v>5600</v>
      </c>
      <c r="FE3356" s="8">
        <v>540</v>
      </c>
    </row>
    <row r="3357" spans="158:161" ht="74.25" customHeight="1" x14ac:dyDescent="0.2">
      <c r="FB3357" s="8" t="s">
        <v>6826</v>
      </c>
      <c r="FC3357" s="8" t="s">
        <v>6827</v>
      </c>
      <c r="FD3357" s="8">
        <v>2450</v>
      </c>
      <c r="FE3357" s="8">
        <v>245</v>
      </c>
    </row>
    <row r="3358" spans="158:161" ht="74.25" customHeight="1" x14ac:dyDescent="0.2">
      <c r="FB3358" s="8" t="s">
        <v>6828</v>
      </c>
      <c r="FC3358" s="8" t="s">
        <v>6829</v>
      </c>
      <c r="FD3358" s="8">
        <v>420</v>
      </c>
      <c r="FE3358" s="8">
        <v>42</v>
      </c>
    </row>
    <row r="3359" spans="158:161" ht="74.25" customHeight="1" x14ac:dyDescent="0.2">
      <c r="FB3359" s="8" t="s">
        <v>6830</v>
      </c>
      <c r="FC3359" s="8" t="s">
        <v>6831</v>
      </c>
      <c r="FD3359" s="8">
        <v>810</v>
      </c>
      <c r="FE3359" s="8">
        <v>81</v>
      </c>
    </row>
    <row r="3360" spans="158:161" ht="74.25" customHeight="1" x14ac:dyDescent="0.2">
      <c r="FB3360" s="8" t="s">
        <v>6832</v>
      </c>
      <c r="FC3360" s="8" t="s">
        <v>6833</v>
      </c>
      <c r="FD3360" s="8">
        <v>1500</v>
      </c>
      <c r="FE3360" s="8">
        <v>150</v>
      </c>
    </row>
    <row r="3361" spans="158:161" ht="74.25" customHeight="1" x14ac:dyDescent="0.2">
      <c r="FB3361" s="8" t="s">
        <v>6834</v>
      </c>
      <c r="FC3361" s="8" t="s">
        <v>6835</v>
      </c>
      <c r="FD3361" s="8">
        <v>120</v>
      </c>
      <c r="FE3361" s="8">
        <v>64</v>
      </c>
    </row>
    <row r="3362" spans="158:161" ht="74.25" customHeight="1" x14ac:dyDescent="0.2">
      <c r="FB3362" s="8" t="s">
        <v>6836</v>
      </c>
      <c r="FC3362" s="8" t="s">
        <v>6837</v>
      </c>
      <c r="FD3362" s="8">
        <v>1500</v>
      </c>
      <c r="FE3362" s="8">
        <v>150</v>
      </c>
    </row>
    <row r="3363" spans="158:161" ht="74.25" customHeight="1" x14ac:dyDescent="0.2">
      <c r="FB3363" s="8" t="s">
        <v>6838</v>
      </c>
      <c r="FC3363" s="8" t="s">
        <v>6839</v>
      </c>
      <c r="FD3363" s="8">
        <v>190</v>
      </c>
      <c r="FE3363" s="8">
        <v>7.9</v>
      </c>
    </row>
    <row r="3364" spans="158:161" ht="74.25" customHeight="1" x14ac:dyDescent="0.2">
      <c r="FB3364" s="8" t="s">
        <v>6840</v>
      </c>
      <c r="FC3364" s="8" t="s">
        <v>6841</v>
      </c>
      <c r="FD3364" s="8">
        <v>500</v>
      </c>
      <c r="FE3364" s="8">
        <v>50</v>
      </c>
    </row>
    <row r="3365" spans="158:161" ht="74.25" customHeight="1" x14ac:dyDescent="0.2">
      <c r="FB3365" s="8" t="s">
        <v>6842</v>
      </c>
      <c r="FC3365" s="8" t="s">
        <v>9868</v>
      </c>
      <c r="FD3365" s="8">
        <v>100</v>
      </c>
      <c r="FE3365" s="8">
        <v>10</v>
      </c>
    </row>
    <row r="3366" spans="158:161" ht="74.25" customHeight="1" x14ac:dyDescent="0.2">
      <c r="FB3366" s="8" t="s">
        <v>6843</v>
      </c>
      <c r="FC3366" s="8" t="s">
        <v>6844</v>
      </c>
      <c r="FD3366" s="8">
        <v>170</v>
      </c>
      <c r="FE3366" s="8">
        <v>17</v>
      </c>
    </row>
    <row r="3367" spans="158:161" ht="74.25" customHeight="1" x14ac:dyDescent="0.2">
      <c r="FB3367" s="8" t="s">
        <v>6845</v>
      </c>
      <c r="FC3367" s="8" t="s">
        <v>6846</v>
      </c>
      <c r="FD3367" s="8">
        <v>600</v>
      </c>
      <c r="FE3367" s="8">
        <v>60</v>
      </c>
    </row>
    <row r="3368" spans="158:161" ht="74.25" customHeight="1" x14ac:dyDescent="0.2">
      <c r="FB3368" s="8" t="s">
        <v>6847</v>
      </c>
      <c r="FC3368" s="8" t="s">
        <v>6848</v>
      </c>
      <c r="FD3368" s="8">
        <v>59000</v>
      </c>
      <c r="FE3368" s="8">
        <v>7100</v>
      </c>
    </row>
    <row r="3369" spans="158:161" ht="74.25" customHeight="1" x14ac:dyDescent="0.2">
      <c r="FB3369" s="8" t="s">
        <v>6849</v>
      </c>
      <c r="FC3369" s="8" t="s">
        <v>6850</v>
      </c>
      <c r="FD3369" s="8">
        <v>8350</v>
      </c>
      <c r="FE3369" s="8">
        <v>835</v>
      </c>
    </row>
    <row r="3370" spans="158:161" ht="74.25" customHeight="1" x14ac:dyDescent="0.2">
      <c r="FB3370" s="8" t="s">
        <v>6851</v>
      </c>
      <c r="FC3370" s="8" t="s">
        <v>6852</v>
      </c>
      <c r="FD3370" s="8">
        <v>3000</v>
      </c>
      <c r="FE3370" s="8">
        <v>300</v>
      </c>
    </row>
    <row r="3371" spans="158:161" ht="74.25" customHeight="1" x14ac:dyDescent="0.2">
      <c r="FB3371" s="8" t="s">
        <v>6853</v>
      </c>
      <c r="FC3371" s="8" t="s">
        <v>6854</v>
      </c>
      <c r="FD3371" s="8">
        <v>500</v>
      </c>
      <c r="FE3371" s="8">
        <v>50</v>
      </c>
    </row>
    <row r="3372" spans="158:161" ht="74.25" customHeight="1" x14ac:dyDescent="0.2">
      <c r="FB3372" s="8" t="s">
        <v>6855</v>
      </c>
      <c r="FC3372" s="8" t="s">
        <v>6856</v>
      </c>
      <c r="FD3372" s="8">
        <v>2700</v>
      </c>
      <c r="FE3372" s="8">
        <v>270</v>
      </c>
    </row>
    <row r="3373" spans="158:161" ht="74.25" customHeight="1" x14ac:dyDescent="0.2">
      <c r="FB3373" s="8" t="s">
        <v>6857</v>
      </c>
      <c r="FC3373" s="8" t="s">
        <v>6858</v>
      </c>
      <c r="FD3373" s="8">
        <v>18</v>
      </c>
      <c r="FE3373" s="8">
        <v>1.8</v>
      </c>
    </row>
    <row r="3374" spans="158:161" ht="74.25" customHeight="1" x14ac:dyDescent="0.2">
      <c r="FB3374" s="8" t="s">
        <v>6859</v>
      </c>
      <c r="FC3374" s="8" t="s">
        <v>6860</v>
      </c>
      <c r="FD3374" s="8">
        <v>3.7</v>
      </c>
      <c r="FE3374" s="8">
        <v>1.6</v>
      </c>
    </row>
    <row r="3375" spans="158:161" ht="74.25" customHeight="1" x14ac:dyDescent="0.2">
      <c r="FB3375" s="8" t="s">
        <v>6861</v>
      </c>
      <c r="FC3375" s="8" t="s">
        <v>6862</v>
      </c>
      <c r="FD3375" s="8">
        <v>840</v>
      </c>
      <c r="FE3375" s="8">
        <v>84</v>
      </c>
    </row>
    <row r="3376" spans="158:161" ht="74.25" customHeight="1" x14ac:dyDescent="0.2">
      <c r="FB3376" s="8" t="s">
        <v>6863</v>
      </c>
      <c r="FC3376" s="8" t="s">
        <v>6864</v>
      </c>
      <c r="FD3376" s="8">
        <v>2500</v>
      </c>
      <c r="FE3376" s="8">
        <v>250</v>
      </c>
    </row>
    <row r="3377" spans="158:161" ht="74.25" customHeight="1" x14ac:dyDescent="0.2">
      <c r="FB3377" s="8" t="s">
        <v>6865</v>
      </c>
      <c r="FC3377" s="8" t="s">
        <v>6866</v>
      </c>
      <c r="FD3377" s="8">
        <v>14</v>
      </c>
      <c r="FE3377" s="8">
        <v>1.4</v>
      </c>
    </row>
    <row r="3378" spans="158:161" ht="74.25" customHeight="1" x14ac:dyDescent="0.2">
      <c r="FB3378" s="8" t="s">
        <v>6867</v>
      </c>
      <c r="FC3378" s="8" t="s">
        <v>9869</v>
      </c>
      <c r="FD3378" s="8">
        <v>60</v>
      </c>
      <c r="FE3378" s="8">
        <v>6</v>
      </c>
    </row>
    <row r="3379" spans="158:161" ht="74.25" customHeight="1" x14ac:dyDescent="0.2">
      <c r="FB3379" s="8" t="s">
        <v>6868</v>
      </c>
      <c r="FC3379" s="8" t="s">
        <v>6869</v>
      </c>
      <c r="FD3379" s="8">
        <v>400</v>
      </c>
      <c r="FE3379" s="8">
        <v>40</v>
      </c>
    </row>
    <row r="3380" spans="158:161" ht="74.25" customHeight="1" x14ac:dyDescent="0.2">
      <c r="FB3380" s="8" t="s">
        <v>6870</v>
      </c>
      <c r="FC3380" s="8" t="s">
        <v>6871</v>
      </c>
      <c r="FD3380" s="8">
        <v>400</v>
      </c>
      <c r="FE3380" s="8">
        <v>40</v>
      </c>
    </row>
    <row r="3381" spans="158:161" ht="74.25" customHeight="1" x14ac:dyDescent="0.2">
      <c r="FB3381" s="8" t="s">
        <v>6872</v>
      </c>
      <c r="FC3381" s="8" t="s">
        <v>6873</v>
      </c>
      <c r="FD3381" s="8">
        <v>400</v>
      </c>
      <c r="FE3381" s="8">
        <v>40</v>
      </c>
    </row>
    <row r="3382" spans="158:161" ht="74.25" customHeight="1" x14ac:dyDescent="0.2">
      <c r="FB3382" s="8" t="s">
        <v>6874</v>
      </c>
      <c r="FC3382" s="8" t="s">
        <v>6875</v>
      </c>
      <c r="FD3382" s="8">
        <v>400</v>
      </c>
      <c r="FE3382" s="8">
        <v>40</v>
      </c>
    </row>
    <row r="3383" spans="158:161" ht="74.25" customHeight="1" x14ac:dyDescent="0.2">
      <c r="FB3383" s="8" t="s">
        <v>6876</v>
      </c>
      <c r="FC3383" s="8" t="s">
        <v>6877</v>
      </c>
      <c r="FD3383" s="8">
        <v>400</v>
      </c>
      <c r="FE3383" s="8">
        <v>40</v>
      </c>
    </row>
    <row r="3384" spans="158:161" ht="74.25" customHeight="1" x14ac:dyDescent="0.2">
      <c r="FB3384" s="8" t="s">
        <v>6878</v>
      </c>
      <c r="FC3384" s="8" t="s">
        <v>6879</v>
      </c>
      <c r="FD3384" s="8">
        <v>400</v>
      </c>
      <c r="FE3384" s="8">
        <v>40</v>
      </c>
    </row>
    <row r="3385" spans="158:161" ht="74.25" customHeight="1" x14ac:dyDescent="0.2">
      <c r="FB3385" s="8" t="s">
        <v>6880</v>
      </c>
      <c r="FC3385" s="8" t="s">
        <v>6881</v>
      </c>
      <c r="FD3385" s="8">
        <v>400</v>
      </c>
      <c r="FE3385" s="8">
        <v>40</v>
      </c>
    </row>
    <row r="3386" spans="158:161" ht="74.25" customHeight="1" x14ac:dyDescent="0.2">
      <c r="FB3386" s="8" t="s">
        <v>6882</v>
      </c>
      <c r="FC3386" s="8" t="s">
        <v>6883</v>
      </c>
      <c r="FD3386" s="8">
        <v>400</v>
      </c>
      <c r="FE3386" s="8">
        <v>40</v>
      </c>
    </row>
    <row r="3387" spans="158:161" ht="74.25" customHeight="1" x14ac:dyDescent="0.2">
      <c r="FB3387" s="8" t="s">
        <v>6884</v>
      </c>
      <c r="FC3387" s="8" t="s">
        <v>6885</v>
      </c>
      <c r="FD3387" s="8">
        <v>400</v>
      </c>
      <c r="FE3387" s="8">
        <v>40</v>
      </c>
    </row>
    <row r="3388" spans="158:161" ht="74.25" customHeight="1" x14ac:dyDescent="0.2">
      <c r="FB3388" s="8" t="s">
        <v>6886</v>
      </c>
      <c r="FC3388" s="8" t="s">
        <v>6887</v>
      </c>
      <c r="FD3388" s="8">
        <v>400</v>
      </c>
      <c r="FE3388" s="8">
        <v>40</v>
      </c>
    </row>
    <row r="3389" spans="158:161" ht="74.25" customHeight="1" x14ac:dyDescent="0.2">
      <c r="FB3389" s="8" t="s">
        <v>6888</v>
      </c>
      <c r="FC3389" s="8" t="s">
        <v>6889</v>
      </c>
      <c r="FD3389" s="8">
        <v>400</v>
      </c>
      <c r="FE3389" s="8">
        <v>40</v>
      </c>
    </row>
    <row r="3390" spans="158:161" ht="74.25" customHeight="1" x14ac:dyDescent="0.2">
      <c r="FB3390" s="8" t="s">
        <v>6890</v>
      </c>
      <c r="FC3390" s="8" t="s">
        <v>6891</v>
      </c>
      <c r="FD3390" s="8">
        <v>20</v>
      </c>
      <c r="FE3390" s="8">
        <v>2</v>
      </c>
    </row>
    <row r="3391" spans="158:161" ht="74.25" customHeight="1" x14ac:dyDescent="0.2">
      <c r="FB3391" s="8" t="s">
        <v>6892</v>
      </c>
      <c r="FC3391" s="8" t="s">
        <v>6893</v>
      </c>
      <c r="FD3391" s="8">
        <v>3500</v>
      </c>
      <c r="FE3391" s="8">
        <v>350</v>
      </c>
    </row>
    <row r="3392" spans="158:161" ht="74.25" customHeight="1" x14ac:dyDescent="0.2">
      <c r="FB3392" s="8" t="s">
        <v>6894</v>
      </c>
      <c r="FC3392" s="8" t="s">
        <v>6895</v>
      </c>
      <c r="FD3392" s="8">
        <v>6.9</v>
      </c>
      <c r="FE3392" s="8">
        <v>0.41</v>
      </c>
    </row>
    <row r="3393" spans="158:161" ht="74.25" customHeight="1" x14ac:dyDescent="0.2">
      <c r="FB3393" s="8" t="s">
        <v>6896</v>
      </c>
      <c r="FC3393" s="8" t="s">
        <v>6897</v>
      </c>
      <c r="FD3393" s="8">
        <v>180</v>
      </c>
      <c r="FE3393" s="8">
        <v>18</v>
      </c>
    </row>
    <row r="3394" spans="158:161" ht="74.25" customHeight="1" x14ac:dyDescent="0.2">
      <c r="FB3394" s="8" t="s">
        <v>6898</v>
      </c>
      <c r="FC3394" s="8" t="s">
        <v>6899</v>
      </c>
      <c r="FD3394" s="8">
        <v>140</v>
      </c>
      <c r="FE3394" s="8">
        <v>14</v>
      </c>
    </row>
    <row r="3395" spans="158:161" ht="74.25" customHeight="1" x14ac:dyDescent="0.2">
      <c r="FB3395" s="8" t="s">
        <v>6900</v>
      </c>
      <c r="FC3395" s="8" t="s">
        <v>6901</v>
      </c>
      <c r="FD3395" s="8">
        <v>140</v>
      </c>
      <c r="FE3395" s="8">
        <v>14</v>
      </c>
    </row>
    <row r="3396" spans="158:161" ht="74.25" customHeight="1" x14ac:dyDescent="0.2">
      <c r="FB3396" s="8" t="s">
        <v>6902</v>
      </c>
      <c r="FC3396" s="8" t="s">
        <v>6903</v>
      </c>
      <c r="FD3396" s="8">
        <v>30</v>
      </c>
      <c r="FE3396" s="8">
        <v>3</v>
      </c>
    </row>
    <row r="3397" spans="158:161" ht="74.25" customHeight="1" x14ac:dyDescent="0.2">
      <c r="FB3397" s="8" t="s">
        <v>6904</v>
      </c>
      <c r="FC3397" s="8" t="s">
        <v>6905</v>
      </c>
      <c r="FD3397" s="8">
        <v>5</v>
      </c>
      <c r="FE3397" s="8">
        <v>0.5</v>
      </c>
    </row>
    <row r="3398" spans="158:161" ht="74.25" customHeight="1" x14ac:dyDescent="0.2">
      <c r="FB3398" s="8" t="s">
        <v>6906</v>
      </c>
      <c r="FC3398" s="8" t="s">
        <v>6907</v>
      </c>
      <c r="FD3398" s="8">
        <v>46</v>
      </c>
      <c r="FE3398" s="8">
        <v>4.5999999999999996</v>
      </c>
    </row>
    <row r="3399" spans="158:161" ht="74.25" customHeight="1" x14ac:dyDescent="0.2">
      <c r="FB3399" s="8" t="s">
        <v>6908</v>
      </c>
      <c r="FC3399" s="8" t="s">
        <v>6909</v>
      </c>
      <c r="FD3399" s="8">
        <v>4</v>
      </c>
      <c r="FE3399" s="8">
        <v>0.4</v>
      </c>
    </row>
    <row r="3400" spans="158:161" ht="74.25" customHeight="1" x14ac:dyDescent="0.2">
      <c r="FB3400" s="8" t="s">
        <v>6910</v>
      </c>
      <c r="FC3400" s="8" t="s">
        <v>6911</v>
      </c>
      <c r="FD3400" s="8">
        <v>19</v>
      </c>
      <c r="FE3400" s="8">
        <v>30</v>
      </c>
    </row>
    <row r="3401" spans="158:161" ht="74.25" customHeight="1" x14ac:dyDescent="0.2">
      <c r="FB3401" s="8" t="s">
        <v>6912</v>
      </c>
      <c r="FC3401" s="8" t="s">
        <v>6913</v>
      </c>
      <c r="FD3401" s="8">
        <v>2850</v>
      </c>
      <c r="FE3401" s="8">
        <v>285</v>
      </c>
    </row>
    <row r="3402" spans="158:161" ht="74.25" customHeight="1" x14ac:dyDescent="0.2">
      <c r="FB3402" s="8" t="s">
        <v>6914</v>
      </c>
      <c r="FC3402" s="8" t="s">
        <v>6915</v>
      </c>
      <c r="FD3402" s="8">
        <v>4.4000000000000004</v>
      </c>
      <c r="FE3402" s="8">
        <v>10</v>
      </c>
    </row>
    <row r="3403" spans="158:161" ht="74.25" customHeight="1" x14ac:dyDescent="0.2">
      <c r="FB3403" s="8" t="s">
        <v>6916</v>
      </c>
      <c r="FC3403" s="8" t="s">
        <v>6917</v>
      </c>
      <c r="FD3403" s="8">
        <v>1</v>
      </c>
      <c r="FE3403" s="8">
        <v>0.1</v>
      </c>
    </row>
    <row r="3404" spans="158:161" ht="74.25" customHeight="1" x14ac:dyDescent="0.2">
      <c r="FB3404" s="8" t="s">
        <v>6918</v>
      </c>
      <c r="FC3404" s="8" t="s">
        <v>6919</v>
      </c>
      <c r="FD3404" s="8">
        <v>1000</v>
      </c>
      <c r="FE3404" s="8">
        <v>100</v>
      </c>
    </row>
    <row r="3405" spans="158:161" ht="74.25" customHeight="1" x14ac:dyDescent="0.2">
      <c r="FB3405" s="8" t="s">
        <v>6920</v>
      </c>
      <c r="FC3405" s="8" t="s">
        <v>6921</v>
      </c>
      <c r="FD3405" s="8">
        <v>3500</v>
      </c>
      <c r="FE3405" s="8">
        <v>350</v>
      </c>
    </row>
    <row r="3406" spans="158:161" ht="74.25" customHeight="1" x14ac:dyDescent="0.2">
      <c r="FB3406" s="8" t="s">
        <v>6922</v>
      </c>
      <c r="FC3406" s="8" t="s">
        <v>6923</v>
      </c>
      <c r="FD3406" s="8">
        <v>100</v>
      </c>
      <c r="FE3406" s="8">
        <v>10</v>
      </c>
    </row>
    <row r="3407" spans="158:161" ht="74.25" customHeight="1" x14ac:dyDescent="0.2">
      <c r="FB3407" s="8" t="s">
        <v>6924</v>
      </c>
      <c r="FC3407" s="8" t="s">
        <v>6925</v>
      </c>
      <c r="FD3407" s="8">
        <v>240</v>
      </c>
      <c r="FE3407" s="8">
        <v>24</v>
      </c>
    </row>
    <row r="3408" spans="158:161" ht="74.25" customHeight="1" x14ac:dyDescent="0.2">
      <c r="FB3408" s="8" t="s">
        <v>6926</v>
      </c>
      <c r="FC3408" s="8" t="s">
        <v>6927</v>
      </c>
      <c r="FD3408" s="8">
        <v>1000</v>
      </c>
      <c r="FE3408" s="8">
        <v>100</v>
      </c>
    </row>
    <row r="3409" spans="158:161" ht="74.25" customHeight="1" x14ac:dyDescent="0.2">
      <c r="FB3409" s="8" t="s">
        <v>6928</v>
      </c>
      <c r="FC3409" s="8" t="s">
        <v>6929</v>
      </c>
      <c r="FD3409" s="8">
        <v>10000</v>
      </c>
      <c r="FE3409" s="8">
        <v>1000</v>
      </c>
    </row>
    <row r="3410" spans="158:161" ht="74.25" customHeight="1" x14ac:dyDescent="0.2">
      <c r="FB3410" s="8" t="s">
        <v>6930</v>
      </c>
      <c r="FC3410" s="8" t="s">
        <v>6931</v>
      </c>
      <c r="FD3410" s="8">
        <v>10000</v>
      </c>
      <c r="FE3410" s="8">
        <v>1000</v>
      </c>
    </row>
    <row r="3411" spans="158:161" ht="74.25" customHeight="1" x14ac:dyDescent="0.2">
      <c r="FB3411" s="8" t="s">
        <v>6932</v>
      </c>
      <c r="FC3411" s="8" t="s">
        <v>6933</v>
      </c>
      <c r="FD3411" s="8">
        <v>1.3</v>
      </c>
      <c r="FE3411" s="8">
        <v>0.13</v>
      </c>
    </row>
    <row r="3412" spans="158:161" ht="74.25" customHeight="1" x14ac:dyDescent="0.2">
      <c r="FB3412" s="8" t="s">
        <v>6934</v>
      </c>
      <c r="FC3412" s="8" t="s">
        <v>6935</v>
      </c>
      <c r="FD3412" s="8">
        <v>1000</v>
      </c>
      <c r="FE3412" s="8">
        <v>100</v>
      </c>
    </row>
    <row r="3413" spans="158:161" ht="74.25" customHeight="1" x14ac:dyDescent="0.2">
      <c r="FB3413" s="8" t="s">
        <v>6936</v>
      </c>
      <c r="FC3413" s="8" t="s">
        <v>6937</v>
      </c>
      <c r="FD3413" s="8">
        <v>1000</v>
      </c>
      <c r="FE3413" s="8">
        <v>100</v>
      </c>
    </row>
    <row r="3414" spans="158:161" ht="74.25" customHeight="1" x14ac:dyDescent="0.2">
      <c r="FB3414" s="8" t="s">
        <v>6938</v>
      </c>
      <c r="FC3414" s="8" t="s">
        <v>6939</v>
      </c>
      <c r="FD3414" s="8">
        <v>1500</v>
      </c>
      <c r="FE3414" s="8">
        <v>150</v>
      </c>
    </row>
    <row r="3415" spans="158:161" ht="74.25" customHeight="1" x14ac:dyDescent="0.2">
      <c r="FB3415" s="8" t="s">
        <v>6940</v>
      </c>
      <c r="FC3415" s="8" t="s">
        <v>6941</v>
      </c>
      <c r="FD3415" s="8">
        <v>1000</v>
      </c>
      <c r="FE3415" s="8">
        <v>100</v>
      </c>
    </row>
    <row r="3416" spans="158:161" ht="74.25" customHeight="1" x14ac:dyDescent="0.2">
      <c r="FB3416" s="8" t="s">
        <v>6942</v>
      </c>
      <c r="FC3416" s="8" t="s">
        <v>6943</v>
      </c>
      <c r="FD3416" s="8">
        <v>600</v>
      </c>
      <c r="FE3416" s="8">
        <v>90</v>
      </c>
    </row>
    <row r="3417" spans="158:161" ht="74.25" customHeight="1" x14ac:dyDescent="0.2">
      <c r="FB3417" s="8" t="s">
        <v>6944</v>
      </c>
      <c r="FC3417" s="8" t="s">
        <v>6945</v>
      </c>
      <c r="FD3417" s="8">
        <v>190</v>
      </c>
      <c r="FE3417" s="8">
        <v>7.9</v>
      </c>
    </row>
    <row r="3418" spans="158:161" ht="74.25" customHeight="1" x14ac:dyDescent="0.2">
      <c r="FB3418" s="8" t="s">
        <v>6946</v>
      </c>
      <c r="FC3418" s="8" t="s">
        <v>6946</v>
      </c>
      <c r="FD3418" s="8">
        <v>340</v>
      </c>
      <c r="FE3418" s="8">
        <v>34</v>
      </c>
    </row>
    <row r="3419" spans="158:161" ht="74.25" customHeight="1" x14ac:dyDescent="0.2">
      <c r="FB3419" s="8" t="s">
        <v>6947</v>
      </c>
      <c r="FC3419" s="8" t="s">
        <v>6948</v>
      </c>
      <c r="FD3419" s="8">
        <v>3400</v>
      </c>
      <c r="FE3419" s="8">
        <v>340</v>
      </c>
    </row>
    <row r="3420" spans="158:161" ht="74.25" customHeight="1" x14ac:dyDescent="0.2">
      <c r="FB3420" s="8" t="s">
        <v>6949</v>
      </c>
      <c r="FC3420" s="8" t="s">
        <v>6950</v>
      </c>
      <c r="FD3420" s="8">
        <v>3000</v>
      </c>
      <c r="FE3420" s="8">
        <v>300</v>
      </c>
    </row>
    <row r="3421" spans="158:161" ht="74.25" customHeight="1" x14ac:dyDescent="0.2">
      <c r="FB3421" s="8" t="s">
        <v>6951</v>
      </c>
      <c r="FC3421" s="8" t="s">
        <v>6952</v>
      </c>
      <c r="FD3421" s="8">
        <v>30</v>
      </c>
      <c r="FE3421" s="8">
        <v>3</v>
      </c>
    </row>
    <row r="3422" spans="158:161" ht="74.25" customHeight="1" x14ac:dyDescent="0.2">
      <c r="FB3422" s="8" t="s">
        <v>6953</v>
      </c>
      <c r="FC3422" s="8" t="s">
        <v>6954</v>
      </c>
      <c r="FD3422" s="8">
        <v>110</v>
      </c>
      <c r="FE3422" s="8">
        <v>14</v>
      </c>
    </row>
    <row r="3423" spans="158:161" ht="74.25" customHeight="1" x14ac:dyDescent="0.2">
      <c r="FB3423" s="8" t="s">
        <v>6955</v>
      </c>
      <c r="FC3423" s="8" t="s">
        <v>6956</v>
      </c>
      <c r="FD3423" s="8">
        <v>600</v>
      </c>
      <c r="FE3423" s="8">
        <v>60</v>
      </c>
    </row>
    <row r="3424" spans="158:161" ht="74.25" customHeight="1" x14ac:dyDescent="0.2">
      <c r="FB3424" s="8" t="s">
        <v>6957</v>
      </c>
      <c r="FC3424" s="8" t="s">
        <v>6958</v>
      </c>
      <c r="FD3424" s="8">
        <v>60</v>
      </c>
      <c r="FE3424" s="8">
        <v>6</v>
      </c>
    </row>
    <row r="3425" spans="158:161" ht="74.25" customHeight="1" x14ac:dyDescent="0.2">
      <c r="FB3425" s="8" t="s">
        <v>6959</v>
      </c>
      <c r="FC3425" s="8" t="s">
        <v>6960</v>
      </c>
      <c r="FD3425" s="8">
        <v>290</v>
      </c>
      <c r="FE3425" s="8">
        <v>3.3</v>
      </c>
    </row>
    <row r="3426" spans="158:161" ht="74.25" customHeight="1" x14ac:dyDescent="0.2">
      <c r="FB3426" s="8" t="s">
        <v>6961</v>
      </c>
      <c r="FC3426" s="8" t="s">
        <v>6962</v>
      </c>
      <c r="FD3426" s="8">
        <v>2500</v>
      </c>
      <c r="FE3426" s="8">
        <v>250</v>
      </c>
    </row>
    <row r="3427" spans="158:161" ht="74.25" customHeight="1" x14ac:dyDescent="0.2">
      <c r="FB3427" s="8" t="s">
        <v>6963</v>
      </c>
      <c r="FC3427" s="8" t="s">
        <v>6964</v>
      </c>
      <c r="FD3427" s="8">
        <v>1</v>
      </c>
      <c r="FE3427" s="8">
        <v>0.1</v>
      </c>
    </row>
    <row r="3428" spans="158:161" ht="74.25" customHeight="1" x14ac:dyDescent="0.2">
      <c r="FB3428" s="8" t="s">
        <v>6965</v>
      </c>
      <c r="FC3428" s="8" t="s">
        <v>6966</v>
      </c>
      <c r="FD3428" s="8">
        <v>1250</v>
      </c>
      <c r="FE3428" s="8">
        <v>125</v>
      </c>
    </row>
    <row r="3429" spans="158:161" ht="74.25" customHeight="1" x14ac:dyDescent="0.2">
      <c r="FB3429" s="8" t="s">
        <v>6967</v>
      </c>
      <c r="FC3429" s="8" t="s">
        <v>6968</v>
      </c>
      <c r="FD3429" s="8">
        <v>1000</v>
      </c>
      <c r="FE3429" s="8">
        <v>100</v>
      </c>
    </row>
    <row r="3430" spans="158:161" ht="74.25" customHeight="1" x14ac:dyDescent="0.2">
      <c r="FB3430" s="8" t="s">
        <v>6969</v>
      </c>
      <c r="FC3430" s="8" t="s">
        <v>6970</v>
      </c>
      <c r="FD3430" s="8">
        <v>1120</v>
      </c>
      <c r="FE3430" s="8">
        <v>112</v>
      </c>
    </row>
    <row r="3431" spans="158:161" ht="74.25" customHeight="1" x14ac:dyDescent="0.2">
      <c r="FB3431" s="8" t="s">
        <v>6971</v>
      </c>
      <c r="FC3431" s="8" t="s">
        <v>6972</v>
      </c>
      <c r="FD3431" s="8">
        <v>1000</v>
      </c>
      <c r="FE3431" s="8">
        <v>100</v>
      </c>
    </row>
    <row r="3432" spans="158:161" ht="74.25" customHeight="1" x14ac:dyDescent="0.2">
      <c r="FB3432" s="8" t="s">
        <v>6973</v>
      </c>
      <c r="FC3432" s="8" t="s">
        <v>6974</v>
      </c>
      <c r="FD3432" s="8">
        <v>50</v>
      </c>
      <c r="FE3432" s="8">
        <v>5</v>
      </c>
    </row>
    <row r="3433" spans="158:161" ht="74.25" customHeight="1" x14ac:dyDescent="0.2">
      <c r="FB3433" s="8" t="s">
        <v>6975</v>
      </c>
      <c r="FC3433" s="8" t="s">
        <v>6975</v>
      </c>
      <c r="FD3433" s="8">
        <v>30</v>
      </c>
      <c r="FE3433" s="8">
        <v>3</v>
      </c>
    </row>
    <row r="3434" spans="158:161" ht="74.25" customHeight="1" x14ac:dyDescent="0.2">
      <c r="FB3434" s="8" t="s">
        <v>6976</v>
      </c>
      <c r="FC3434" s="8" t="s">
        <v>6977</v>
      </c>
      <c r="FD3434" s="8">
        <v>100</v>
      </c>
      <c r="FE3434" s="8">
        <v>10</v>
      </c>
    </row>
    <row r="3435" spans="158:161" ht="74.25" customHeight="1" x14ac:dyDescent="0.2">
      <c r="FB3435" s="8" t="s">
        <v>6978</v>
      </c>
      <c r="FC3435" s="8" t="s">
        <v>6979</v>
      </c>
      <c r="FD3435" s="8">
        <v>100</v>
      </c>
      <c r="FE3435" s="8">
        <v>10</v>
      </c>
    </row>
    <row r="3436" spans="158:161" ht="74.25" customHeight="1" x14ac:dyDescent="0.2">
      <c r="FB3436" s="8" t="s">
        <v>6980</v>
      </c>
      <c r="FC3436" s="8" t="s">
        <v>6981</v>
      </c>
      <c r="FD3436" s="8">
        <v>100</v>
      </c>
      <c r="FE3436" s="8">
        <v>10</v>
      </c>
    </row>
    <row r="3437" spans="158:161" ht="74.25" customHeight="1" x14ac:dyDescent="0.2">
      <c r="FB3437" s="8" t="s">
        <v>6982</v>
      </c>
      <c r="FC3437" s="8" t="s">
        <v>6983</v>
      </c>
      <c r="FD3437" s="8">
        <v>1000</v>
      </c>
      <c r="FE3437" s="8">
        <v>100</v>
      </c>
    </row>
    <row r="3438" spans="158:161" ht="74.25" customHeight="1" x14ac:dyDescent="0.2">
      <c r="FB3438" s="8" t="s">
        <v>6984</v>
      </c>
      <c r="FC3438" s="8" t="s">
        <v>9870</v>
      </c>
      <c r="FD3438" s="8">
        <v>1500</v>
      </c>
      <c r="FE3438" s="8">
        <v>150</v>
      </c>
    </row>
    <row r="3439" spans="158:161" ht="74.25" customHeight="1" x14ac:dyDescent="0.2">
      <c r="FB3439" s="8" t="s">
        <v>6985</v>
      </c>
      <c r="FC3439" s="8" t="s">
        <v>6986</v>
      </c>
      <c r="FD3439" s="8">
        <v>100</v>
      </c>
      <c r="FE3439" s="8">
        <v>10</v>
      </c>
    </row>
    <row r="3440" spans="158:161" ht="74.25" customHeight="1" x14ac:dyDescent="0.2">
      <c r="FB3440" s="8" t="s">
        <v>6987</v>
      </c>
      <c r="FC3440" s="8" t="s">
        <v>6987</v>
      </c>
      <c r="FD3440" s="8">
        <v>50</v>
      </c>
      <c r="FE3440" s="8">
        <v>5</v>
      </c>
    </row>
    <row r="3441" spans="158:161" ht="74.25" customHeight="1" x14ac:dyDescent="0.2">
      <c r="FB3441" s="8" t="s">
        <v>6988</v>
      </c>
      <c r="FC3441" s="8" t="s">
        <v>6989</v>
      </c>
      <c r="FD3441" s="8">
        <v>2300</v>
      </c>
      <c r="FE3441" s="8">
        <v>230</v>
      </c>
    </row>
    <row r="3442" spans="158:161" ht="74.25" customHeight="1" x14ac:dyDescent="0.2">
      <c r="FB3442" s="8" t="s">
        <v>6990</v>
      </c>
      <c r="FC3442" s="8" t="s">
        <v>6991</v>
      </c>
      <c r="FD3442" s="8">
        <v>250</v>
      </c>
      <c r="FE3442" s="8">
        <v>48</v>
      </c>
    </row>
    <row r="3443" spans="158:161" ht="74.25" customHeight="1" x14ac:dyDescent="0.2">
      <c r="FB3443" s="8" t="s">
        <v>6992</v>
      </c>
      <c r="FC3443" s="8" t="s">
        <v>6993</v>
      </c>
      <c r="FD3443" s="8">
        <v>6.4</v>
      </c>
      <c r="FE3443" s="8">
        <v>0.64</v>
      </c>
    </row>
    <row r="3444" spans="158:161" ht="74.25" customHeight="1" x14ac:dyDescent="0.2">
      <c r="FB3444" s="8" t="s">
        <v>6994</v>
      </c>
      <c r="FC3444" s="8" t="s">
        <v>6995</v>
      </c>
      <c r="FD3444" s="8">
        <v>40</v>
      </c>
      <c r="FE3444" s="8">
        <v>4</v>
      </c>
    </row>
    <row r="3445" spans="158:161" ht="74.25" customHeight="1" x14ac:dyDescent="0.2">
      <c r="FB3445" s="8" t="s">
        <v>6996</v>
      </c>
      <c r="FC3445" s="8" t="s">
        <v>6997</v>
      </c>
      <c r="FD3445" s="8">
        <v>110</v>
      </c>
      <c r="FE3445" s="8">
        <v>11</v>
      </c>
    </row>
    <row r="3446" spans="158:161" ht="74.25" customHeight="1" x14ac:dyDescent="0.2">
      <c r="FB3446" s="8" t="s">
        <v>6998</v>
      </c>
      <c r="FC3446" s="8" t="s">
        <v>6999</v>
      </c>
      <c r="FD3446" s="8">
        <v>1</v>
      </c>
      <c r="FE3446" s="8">
        <v>0.1</v>
      </c>
    </row>
    <row r="3447" spans="158:161" ht="74.25" customHeight="1" x14ac:dyDescent="0.2">
      <c r="FB3447" s="8" t="s">
        <v>7000</v>
      </c>
      <c r="FC3447" s="8" t="s">
        <v>7001</v>
      </c>
      <c r="FD3447" s="8">
        <v>500</v>
      </c>
      <c r="FE3447" s="8">
        <v>50</v>
      </c>
    </row>
    <row r="3448" spans="158:161" ht="74.25" customHeight="1" x14ac:dyDescent="0.2">
      <c r="FB3448" s="8" t="s">
        <v>7002</v>
      </c>
      <c r="FC3448" s="8" t="s">
        <v>7003</v>
      </c>
      <c r="FD3448" s="8">
        <v>1000</v>
      </c>
      <c r="FE3448" s="8">
        <v>100</v>
      </c>
    </row>
    <row r="3449" spans="158:161" ht="74.25" customHeight="1" x14ac:dyDescent="0.2">
      <c r="FB3449" s="8" t="s">
        <v>7004</v>
      </c>
      <c r="FC3449" s="8" t="s">
        <v>7004</v>
      </c>
      <c r="FD3449" s="8">
        <v>100</v>
      </c>
      <c r="FE3449" s="8">
        <v>10</v>
      </c>
    </row>
    <row r="3450" spans="158:161" ht="74.25" customHeight="1" x14ac:dyDescent="0.2">
      <c r="FB3450" s="8" t="s">
        <v>7005</v>
      </c>
      <c r="FC3450" s="8" t="s">
        <v>7005</v>
      </c>
      <c r="FD3450" s="8">
        <v>1000</v>
      </c>
      <c r="FE3450" s="8">
        <v>100</v>
      </c>
    </row>
    <row r="3451" spans="158:161" ht="74.25" customHeight="1" x14ac:dyDescent="0.2">
      <c r="FB3451" s="8" t="s">
        <v>7006</v>
      </c>
      <c r="FC3451" s="8" t="s">
        <v>7006</v>
      </c>
      <c r="FD3451" s="8">
        <v>1000</v>
      </c>
      <c r="FE3451" s="8">
        <v>100</v>
      </c>
    </row>
    <row r="3452" spans="158:161" ht="74.25" customHeight="1" x14ac:dyDescent="0.2">
      <c r="FB3452" s="8" t="s">
        <v>9914</v>
      </c>
      <c r="FC3452" s="8" t="s">
        <v>9914</v>
      </c>
      <c r="FD3452" s="8">
        <v>1000</v>
      </c>
      <c r="FE3452" s="8">
        <v>100</v>
      </c>
    </row>
    <row r="3453" spans="158:161" ht="74.25" customHeight="1" x14ac:dyDescent="0.2">
      <c r="FB3453" s="8" t="s">
        <v>7007</v>
      </c>
      <c r="FC3453" s="8" t="s">
        <v>7007</v>
      </c>
      <c r="FD3453" s="8">
        <v>50</v>
      </c>
      <c r="FE3453" s="8">
        <v>5</v>
      </c>
    </row>
    <row r="3454" spans="158:161" ht="74.25" customHeight="1" x14ac:dyDescent="0.2">
      <c r="FB3454" s="8" t="s">
        <v>7008</v>
      </c>
      <c r="FC3454" s="8" t="s">
        <v>7009</v>
      </c>
      <c r="FD3454" s="8">
        <v>50</v>
      </c>
      <c r="FE3454" s="8">
        <v>5</v>
      </c>
    </row>
    <row r="3455" spans="158:161" ht="74.25" customHeight="1" x14ac:dyDescent="0.2">
      <c r="FB3455" s="8" t="s">
        <v>7010</v>
      </c>
      <c r="FC3455" s="8" t="s">
        <v>7011</v>
      </c>
      <c r="FD3455" s="8">
        <v>2750</v>
      </c>
      <c r="FE3455" s="8">
        <v>275</v>
      </c>
    </row>
    <row r="3456" spans="158:161" ht="74.25" customHeight="1" x14ac:dyDescent="0.2">
      <c r="FB3456" s="8" t="s">
        <v>7012</v>
      </c>
      <c r="FC3456" s="8" t="s">
        <v>7013</v>
      </c>
      <c r="FD3456" s="8">
        <v>310</v>
      </c>
      <c r="FE3456" s="8">
        <v>31</v>
      </c>
    </row>
    <row r="3457" spans="158:161" ht="74.25" customHeight="1" x14ac:dyDescent="0.2">
      <c r="FB3457" s="8" t="s">
        <v>7014</v>
      </c>
      <c r="FC3457" s="8" t="s">
        <v>7015</v>
      </c>
      <c r="FD3457" s="8">
        <v>89</v>
      </c>
      <c r="FE3457" s="8">
        <v>8.9</v>
      </c>
    </row>
    <row r="3458" spans="158:161" ht="74.25" customHeight="1" x14ac:dyDescent="0.2">
      <c r="FB3458" s="8" t="s">
        <v>7016</v>
      </c>
      <c r="FC3458" s="8" t="s">
        <v>7017</v>
      </c>
      <c r="FD3458" s="8">
        <v>89</v>
      </c>
      <c r="FE3458" s="8">
        <v>8.9</v>
      </c>
    </row>
    <row r="3459" spans="158:161" ht="74.25" customHeight="1" x14ac:dyDescent="0.2">
      <c r="FB3459" s="8" t="s">
        <v>7018</v>
      </c>
      <c r="FC3459" s="8" t="s">
        <v>7019</v>
      </c>
      <c r="FD3459" s="8">
        <v>90</v>
      </c>
      <c r="FE3459" s="8">
        <v>9</v>
      </c>
    </row>
    <row r="3460" spans="158:161" ht="74.25" customHeight="1" x14ac:dyDescent="0.2">
      <c r="FB3460" s="8" t="s">
        <v>7020</v>
      </c>
      <c r="FC3460" s="8" t="s">
        <v>7021</v>
      </c>
      <c r="FD3460" s="8">
        <v>150</v>
      </c>
      <c r="FE3460" s="8">
        <v>15</v>
      </c>
    </row>
    <row r="3461" spans="158:161" ht="74.25" customHeight="1" x14ac:dyDescent="0.2">
      <c r="FB3461" s="8" t="s">
        <v>7022</v>
      </c>
      <c r="FC3461" s="8" t="s">
        <v>7023</v>
      </c>
      <c r="FD3461" s="8">
        <v>90</v>
      </c>
      <c r="FE3461" s="8">
        <v>9</v>
      </c>
    </row>
    <row r="3462" spans="158:161" ht="74.25" customHeight="1" x14ac:dyDescent="0.2">
      <c r="FB3462" s="8" t="s">
        <v>7024</v>
      </c>
      <c r="FC3462" s="8" t="s">
        <v>7024</v>
      </c>
      <c r="FD3462" s="8">
        <v>90</v>
      </c>
      <c r="FE3462" s="8">
        <v>9</v>
      </c>
    </row>
    <row r="3463" spans="158:161" ht="74.25" customHeight="1" x14ac:dyDescent="0.2">
      <c r="FB3463" s="8" t="s">
        <v>7025</v>
      </c>
      <c r="FC3463" s="8" t="s">
        <v>7026</v>
      </c>
      <c r="FD3463" s="8">
        <v>500</v>
      </c>
      <c r="FE3463" s="8">
        <v>50</v>
      </c>
    </row>
    <row r="3464" spans="158:161" ht="74.25" customHeight="1" x14ac:dyDescent="0.2">
      <c r="FB3464" s="8" t="s">
        <v>7027</v>
      </c>
      <c r="FC3464" s="8" t="s">
        <v>7028</v>
      </c>
      <c r="FD3464" s="8">
        <v>190</v>
      </c>
      <c r="FE3464" s="8">
        <v>7.9</v>
      </c>
    </row>
    <row r="3465" spans="158:161" ht="74.25" customHeight="1" x14ac:dyDescent="0.2">
      <c r="FB3465" s="8" t="s">
        <v>7029</v>
      </c>
      <c r="FC3465" s="8" t="s">
        <v>7030</v>
      </c>
      <c r="FD3465" s="8">
        <v>70</v>
      </c>
      <c r="FE3465" s="8">
        <v>7</v>
      </c>
    </row>
    <row r="3466" spans="158:161" ht="74.25" customHeight="1" x14ac:dyDescent="0.2">
      <c r="FB3466" s="8" t="s">
        <v>7031</v>
      </c>
      <c r="FC3466" s="8" t="s">
        <v>7032</v>
      </c>
      <c r="FD3466" s="8">
        <v>10</v>
      </c>
      <c r="FE3466" s="8">
        <v>1</v>
      </c>
    </row>
    <row r="3467" spans="158:161" ht="74.25" customHeight="1" x14ac:dyDescent="0.2">
      <c r="FB3467" s="8" t="s">
        <v>7033</v>
      </c>
      <c r="FC3467" s="8" t="s">
        <v>7034</v>
      </c>
      <c r="FD3467" s="8">
        <v>10</v>
      </c>
      <c r="FE3467" s="8">
        <v>1</v>
      </c>
    </row>
    <row r="3468" spans="158:161" ht="74.25" customHeight="1" x14ac:dyDescent="0.2">
      <c r="FB3468" s="8" t="s">
        <v>7035</v>
      </c>
      <c r="FC3468" s="8" t="s">
        <v>7036</v>
      </c>
      <c r="FD3468" s="8">
        <v>800</v>
      </c>
      <c r="FE3468" s="8">
        <v>80</v>
      </c>
    </row>
    <row r="3469" spans="158:161" ht="74.25" customHeight="1" x14ac:dyDescent="0.2">
      <c r="FB3469" s="8" t="s">
        <v>7037</v>
      </c>
      <c r="FC3469" s="8" t="s">
        <v>7038</v>
      </c>
      <c r="FD3469" s="8">
        <v>100</v>
      </c>
      <c r="FE3469" s="8">
        <v>10</v>
      </c>
    </row>
    <row r="3470" spans="158:161" ht="74.25" customHeight="1" x14ac:dyDescent="0.2">
      <c r="FB3470" s="8" t="s">
        <v>9915</v>
      </c>
      <c r="FC3470" s="8" t="s">
        <v>9915</v>
      </c>
      <c r="FD3470" s="8">
        <v>1000</v>
      </c>
      <c r="FE3470" s="8">
        <v>100</v>
      </c>
    </row>
    <row r="3471" spans="158:161" ht="74.25" customHeight="1" x14ac:dyDescent="0.2">
      <c r="FB3471" s="8" t="s">
        <v>7039</v>
      </c>
      <c r="FC3471" s="8" t="s">
        <v>7040</v>
      </c>
      <c r="FD3471" s="8">
        <v>1000</v>
      </c>
      <c r="FE3471" s="8">
        <v>100</v>
      </c>
    </row>
    <row r="3472" spans="158:161" ht="74.25" customHeight="1" x14ac:dyDescent="0.2">
      <c r="FB3472" s="8" t="s">
        <v>7041</v>
      </c>
      <c r="FC3472" s="8" t="s">
        <v>7042</v>
      </c>
      <c r="FD3472" s="8">
        <v>2750</v>
      </c>
      <c r="FE3472" s="8">
        <v>275</v>
      </c>
    </row>
    <row r="3473" spans="158:161" ht="74.25" customHeight="1" x14ac:dyDescent="0.2">
      <c r="FB3473" s="8" t="s">
        <v>7043</v>
      </c>
      <c r="FC3473" s="8" t="s">
        <v>7044</v>
      </c>
      <c r="FD3473" s="8">
        <v>2750</v>
      </c>
      <c r="FE3473" s="8">
        <v>275</v>
      </c>
    </row>
    <row r="3474" spans="158:161" ht="74.25" customHeight="1" x14ac:dyDescent="0.2">
      <c r="FB3474" s="8" t="s">
        <v>7045</v>
      </c>
      <c r="FC3474" s="8" t="s">
        <v>7045</v>
      </c>
      <c r="FD3474" s="8">
        <v>2750</v>
      </c>
      <c r="FE3474" s="8">
        <v>275</v>
      </c>
    </row>
    <row r="3475" spans="158:161" ht="74.25" customHeight="1" x14ac:dyDescent="0.2">
      <c r="FB3475" s="8" t="s">
        <v>7046</v>
      </c>
      <c r="FC3475" s="8" t="s">
        <v>7047</v>
      </c>
      <c r="FD3475" s="8">
        <v>2750</v>
      </c>
      <c r="FE3475" s="8">
        <v>275</v>
      </c>
    </row>
    <row r="3476" spans="158:161" ht="74.25" customHeight="1" x14ac:dyDescent="0.2">
      <c r="FB3476" s="8" t="s">
        <v>9916</v>
      </c>
      <c r="FC3476" s="8" t="s">
        <v>9916</v>
      </c>
      <c r="FD3476" s="8">
        <v>600</v>
      </c>
      <c r="FE3476" s="8">
        <v>60</v>
      </c>
    </row>
    <row r="3477" spans="158:161" ht="74.25" customHeight="1" x14ac:dyDescent="0.2">
      <c r="FB3477" s="8" t="s">
        <v>7048</v>
      </c>
      <c r="FC3477" s="8" t="s">
        <v>7049</v>
      </c>
      <c r="FD3477" s="8">
        <v>600</v>
      </c>
      <c r="FE3477" s="8">
        <v>60</v>
      </c>
    </row>
    <row r="3478" spans="158:161" ht="74.25" customHeight="1" x14ac:dyDescent="0.2">
      <c r="FB3478" s="8" t="s">
        <v>7050</v>
      </c>
      <c r="FC3478" s="8" t="s">
        <v>7051</v>
      </c>
      <c r="FD3478" s="8">
        <v>1.1000000000000001</v>
      </c>
      <c r="FE3478" s="8">
        <v>0.11</v>
      </c>
    </row>
    <row r="3479" spans="158:161" ht="74.25" customHeight="1" x14ac:dyDescent="0.2">
      <c r="FB3479" s="8" t="s">
        <v>7052</v>
      </c>
      <c r="FC3479" s="8" t="s">
        <v>7053</v>
      </c>
      <c r="FD3479" s="8">
        <v>2200</v>
      </c>
      <c r="FE3479" s="8">
        <v>180</v>
      </c>
    </row>
    <row r="3480" spans="158:161" ht="74.25" customHeight="1" x14ac:dyDescent="0.2">
      <c r="FB3480" s="8" t="s">
        <v>7054</v>
      </c>
      <c r="FC3480" s="8" t="s">
        <v>7055</v>
      </c>
      <c r="FD3480" s="8">
        <v>600</v>
      </c>
      <c r="FE3480" s="8">
        <v>60</v>
      </c>
    </row>
    <row r="3481" spans="158:161" ht="74.25" customHeight="1" x14ac:dyDescent="0.2">
      <c r="FB3481" s="8" t="s">
        <v>7056</v>
      </c>
      <c r="FC3481" s="8" t="s">
        <v>7057</v>
      </c>
      <c r="FD3481" s="8">
        <v>1000</v>
      </c>
      <c r="FE3481" s="8">
        <v>100</v>
      </c>
    </row>
    <row r="3482" spans="158:161" ht="74.25" customHeight="1" x14ac:dyDescent="0.2">
      <c r="FB3482" s="8" t="s">
        <v>7058</v>
      </c>
      <c r="FC3482" s="8" t="s">
        <v>7059</v>
      </c>
      <c r="FD3482" s="8">
        <v>1000</v>
      </c>
      <c r="FE3482" s="8">
        <v>100</v>
      </c>
    </row>
    <row r="3483" spans="158:161" ht="74.25" customHeight="1" x14ac:dyDescent="0.2">
      <c r="FB3483" s="8" t="s">
        <v>7060</v>
      </c>
      <c r="FC3483" s="8" t="s">
        <v>7061</v>
      </c>
      <c r="FD3483" s="8">
        <v>100</v>
      </c>
      <c r="FE3483" s="8">
        <v>10</v>
      </c>
    </row>
    <row r="3484" spans="158:161" ht="74.25" customHeight="1" x14ac:dyDescent="0.2">
      <c r="FB3484" s="8" t="s">
        <v>7062</v>
      </c>
      <c r="FC3484" s="8" t="s">
        <v>7063</v>
      </c>
      <c r="FD3484" s="8">
        <v>5</v>
      </c>
      <c r="FE3484" s="8">
        <v>0.5</v>
      </c>
    </row>
    <row r="3485" spans="158:161" ht="74.25" customHeight="1" x14ac:dyDescent="0.2">
      <c r="FB3485" s="8" t="s">
        <v>7064</v>
      </c>
      <c r="FC3485" s="8" t="s">
        <v>7065</v>
      </c>
      <c r="FD3485" s="8">
        <v>2750</v>
      </c>
      <c r="FE3485" s="8">
        <v>275</v>
      </c>
    </row>
    <row r="3486" spans="158:161" ht="74.25" customHeight="1" x14ac:dyDescent="0.2">
      <c r="FB3486" s="8" t="s">
        <v>7066</v>
      </c>
      <c r="FC3486" s="8" t="s">
        <v>7067</v>
      </c>
      <c r="FD3486" s="8">
        <v>170</v>
      </c>
      <c r="FE3486" s="8">
        <v>17</v>
      </c>
    </row>
    <row r="3487" spans="158:161" ht="74.25" customHeight="1" x14ac:dyDescent="0.2">
      <c r="FB3487" s="8" t="s">
        <v>7068</v>
      </c>
      <c r="FC3487" s="8" t="s">
        <v>7068</v>
      </c>
      <c r="FD3487" s="8">
        <v>3500</v>
      </c>
      <c r="FE3487" s="8">
        <v>350</v>
      </c>
    </row>
    <row r="3488" spans="158:161" ht="74.25" customHeight="1" x14ac:dyDescent="0.2">
      <c r="FB3488" s="8" t="s">
        <v>7069</v>
      </c>
      <c r="FC3488" s="8" t="s">
        <v>7070</v>
      </c>
      <c r="FD3488" s="8">
        <v>1000</v>
      </c>
      <c r="FE3488" s="8">
        <v>100</v>
      </c>
    </row>
    <row r="3489" spans="158:161" ht="74.25" customHeight="1" x14ac:dyDescent="0.2">
      <c r="FB3489" s="8" t="s">
        <v>7071</v>
      </c>
      <c r="FC3489" s="8" t="s">
        <v>7072</v>
      </c>
      <c r="FD3489" s="8">
        <v>1000</v>
      </c>
      <c r="FE3489" s="8">
        <v>100</v>
      </c>
    </row>
    <row r="3490" spans="158:161" ht="74.25" customHeight="1" x14ac:dyDescent="0.2">
      <c r="FB3490" s="8" t="s">
        <v>7073</v>
      </c>
      <c r="FC3490" s="8" t="s">
        <v>7074</v>
      </c>
      <c r="FD3490" s="8">
        <v>1000</v>
      </c>
      <c r="FE3490" s="8">
        <v>100</v>
      </c>
    </row>
    <row r="3491" spans="158:161" ht="74.25" customHeight="1" x14ac:dyDescent="0.2">
      <c r="FB3491" s="8" t="s">
        <v>7075</v>
      </c>
      <c r="FC3491" s="8" t="s">
        <v>7076</v>
      </c>
      <c r="FD3491" s="8">
        <v>1000</v>
      </c>
      <c r="FE3491" s="8">
        <v>100</v>
      </c>
    </row>
    <row r="3492" spans="158:161" ht="74.25" customHeight="1" x14ac:dyDescent="0.2">
      <c r="FB3492" s="8" t="s">
        <v>7077</v>
      </c>
      <c r="FC3492" s="8" t="s">
        <v>7078</v>
      </c>
      <c r="FD3492" s="8">
        <v>1000</v>
      </c>
      <c r="FE3492" s="8">
        <v>100</v>
      </c>
    </row>
    <row r="3493" spans="158:161" ht="74.25" customHeight="1" x14ac:dyDescent="0.2">
      <c r="FB3493" s="8" t="s">
        <v>7079</v>
      </c>
      <c r="FC3493" s="8" t="s">
        <v>7080</v>
      </c>
      <c r="FD3493" s="8">
        <v>1000</v>
      </c>
      <c r="FE3493" s="8">
        <v>100</v>
      </c>
    </row>
    <row r="3494" spans="158:161" ht="74.25" customHeight="1" x14ac:dyDescent="0.2">
      <c r="FB3494" s="8" t="s">
        <v>7081</v>
      </c>
      <c r="FC3494" s="8" t="s">
        <v>7082</v>
      </c>
      <c r="FD3494" s="8">
        <v>3500</v>
      </c>
      <c r="FE3494" s="8">
        <v>350</v>
      </c>
    </row>
    <row r="3495" spans="158:161" ht="74.25" customHeight="1" x14ac:dyDescent="0.2">
      <c r="FB3495" s="8" t="s">
        <v>7083</v>
      </c>
      <c r="FC3495" s="8" t="s">
        <v>7084</v>
      </c>
      <c r="FD3495" s="8">
        <v>60</v>
      </c>
      <c r="FE3495" s="8">
        <v>6</v>
      </c>
    </row>
    <row r="3496" spans="158:161" ht="74.25" customHeight="1" x14ac:dyDescent="0.2">
      <c r="FB3496" s="8" t="s">
        <v>7085</v>
      </c>
      <c r="FC3496" s="8" t="s">
        <v>7086</v>
      </c>
      <c r="FD3496" s="8">
        <v>440</v>
      </c>
      <c r="FE3496" s="8">
        <v>44</v>
      </c>
    </row>
    <row r="3497" spans="158:161" ht="74.25" customHeight="1" x14ac:dyDescent="0.2">
      <c r="FB3497" s="8" t="s">
        <v>7087</v>
      </c>
      <c r="FC3497" s="8" t="s">
        <v>7088</v>
      </c>
      <c r="FD3497" s="8">
        <v>1</v>
      </c>
      <c r="FE3497" s="8">
        <v>0.1</v>
      </c>
    </row>
    <row r="3498" spans="158:161" ht="74.25" customHeight="1" x14ac:dyDescent="0.2">
      <c r="FB3498" s="8" t="s">
        <v>7089</v>
      </c>
      <c r="FC3498" s="8" t="s">
        <v>7090</v>
      </c>
      <c r="FD3498" s="8">
        <v>1</v>
      </c>
      <c r="FE3498" s="8">
        <v>0.1</v>
      </c>
    </row>
    <row r="3499" spans="158:161" ht="74.25" customHeight="1" x14ac:dyDescent="0.2">
      <c r="FB3499" s="8" t="s">
        <v>7091</v>
      </c>
      <c r="FC3499" s="8" t="s">
        <v>7092</v>
      </c>
      <c r="FD3499" s="8">
        <v>0.5</v>
      </c>
      <c r="FE3499" s="8">
        <v>0.05</v>
      </c>
    </row>
    <row r="3500" spans="158:161" ht="74.25" customHeight="1" x14ac:dyDescent="0.2">
      <c r="FB3500" s="8" t="s">
        <v>7093</v>
      </c>
      <c r="FC3500" s="8" t="s">
        <v>7094</v>
      </c>
      <c r="FD3500" s="8">
        <v>46</v>
      </c>
      <c r="FE3500" s="8">
        <v>4.5999999999999996</v>
      </c>
    </row>
    <row r="3501" spans="158:161" ht="74.25" customHeight="1" x14ac:dyDescent="0.2">
      <c r="FB3501" s="8" t="s">
        <v>7095</v>
      </c>
      <c r="FC3501" s="8" t="s">
        <v>7096</v>
      </c>
      <c r="FD3501" s="8">
        <v>90</v>
      </c>
      <c r="FE3501" s="8">
        <v>9</v>
      </c>
    </row>
    <row r="3502" spans="158:161" ht="74.25" customHeight="1" x14ac:dyDescent="0.2">
      <c r="FB3502" s="8" t="s">
        <v>7097</v>
      </c>
      <c r="FC3502" s="8" t="s">
        <v>7098</v>
      </c>
      <c r="FD3502" s="8">
        <v>300</v>
      </c>
      <c r="FE3502" s="8">
        <v>30</v>
      </c>
    </row>
    <row r="3503" spans="158:161" ht="74.25" customHeight="1" x14ac:dyDescent="0.2">
      <c r="FB3503" s="8" t="s">
        <v>7099</v>
      </c>
      <c r="FC3503" s="8" t="s">
        <v>7100</v>
      </c>
      <c r="FD3503" s="8">
        <v>4.4000000000000004</v>
      </c>
      <c r="FE3503" s="8">
        <v>10</v>
      </c>
    </row>
    <row r="3504" spans="158:161" ht="74.25" customHeight="1" x14ac:dyDescent="0.2">
      <c r="FB3504" s="8" t="s">
        <v>7101</v>
      </c>
      <c r="FC3504" s="8" t="s">
        <v>7102</v>
      </c>
      <c r="FD3504" s="8">
        <v>2500</v>
      </c>
      <c r="FE3504" s="8">
        <v>250</v>
      </c>
    </row>
    <row r="3505" spans="158:161" ht="74.25" customHeight="1" x14ac:dyDescent="0.2">
      <c r="FB3505" s="8" t="s">
        <v>7103</v>
      </c>
      <c r="FC3505" s="8" t="s">
        <v>7104</v>
      </c>
      <c r="FD3505" s="8">
        <v>1250</v>
      </c>
      <c r="FE3505" s="8">
        <v>125</v>
      </c>
    </row>
    <row r="3506" spans="158:161" ht="74.25" customHeight="1" x14ac:dyDescent="0.2">
      <c r="FB3506" s="8" t="s">
        <v>7105</v>
      </c>
      <c r="FC3506" s="8" t="s">
        <v>7106</v>
      </c>
      <c r="FD3506" s="8">
        <v>1000</v>
      </c>
      <c r="FE3506" s="8">
        <v>100</v>
      </c>
    </row>
    <row r="3507" spans="158:161" ht="74.25" customHeight="1" x14ac:dyDescent="0.2">
      <c r="FB3507" s="8" t="s">
        <v>7107</v>
      </c>
      <c r="FC3507" s="8" t="s">
        <v>7108</v>
      </c>
      <c r="FD3507" s="8">
        <v>0.13</v>
      </c>
      <c r="FE3507" s="8">
        <v>1.2999999999999999E-2</v>
      </c>
    </row>
    <row r="3508" spans="158:161" ht="74.25" customHeight="1" x14ac:dyDescent="0.2">
      <c r="FB3508" s="8" t="s">
        <v>7109</v>
      </c>
      <c r="FC3508" s="8" t="s">
        <v>7110</v>
      </c>
      <c r="FD3508" s="8">
        <v>1000</v>
      </c>
      <c r="FE3508" s="8">
        <v>100</v>
      </c>
    </row>
    <row r="3509" spans="158:161" ht="74.25" customHeight="1" x14ac:dyDescent="0.2">
      <c r="FB3509" s="8" t="s">
        <v>7111</v>
      </c>
      <c r="FC3509" s="8" t="s">
        <v>7112</v>
      </c>
      <c r="FD3509" s="8">
        <v>400</v>
      </c>
      <c r="FE3509" s="8">
        <v>40</v>
      </c>
    </row>
    <row r="3510" spans="158:161" ht="74.25" customHeight="1" x14ac:dyDescent="0.2">
      <c r="FB3510" s="8" t="s">
        <v>7113</v>
      </c>
      <c r="FC3510" s="8" t="s">
        <v>7114</v>
      </c>
      <c r="FD3510" s="8">
        <v>5</v>
      </c>
      <c r="FE3510" s="8">
        <v>0.5</v>
      </c>
    </row>
    <row r="3511" spans="158:161" ht="74.25" customHeight="1" x14ac:dyDescent="0.2">
      <c r="FB3511" s="8" t="s">
        <v>7115</v>
      </c>
      <c r="FC3511" s="8" t="s">
        <v>7116</v>
      </c>
      <c r="FD3511" s="8">
        <v>80</v>
      </c>
      <c r="FE3511" s="8">
        <v>8</v>
      </c>
    </row>
    <row r="3512" spans="158:161" ht="74.25" customHeight="1" x14ac:dyDescent="0.2">
      <c r="FB3512" s="8" t="s">
        <v>7117</v>
      </c>
      <c r="FC3512" s="8" t="s">
        <v>7117</v>
      </c>
      <c r="FD3512" s="8">
        <v>1800</v>
      </c>
      <c r="FE3512" s="8">
        <v>180</v>
      </c>
    </row>
    <row r="3513" spans="158:161" ht="74.25" customHeight="1" x14ac:dyDescent="0.2">
      <c r="FB3513" s="8" t="s">
        <v>7118</v>
      </c>
      <c r="FC3513" s="8" t="s">
        <v>7119</v>
      </c>
      <c r="FD3513" s="8">
        <v>50</v>
      </c>
      <c r="FE3513" s="8">
        <v>5</v>
      </c>
    </row>
    <row r="3514" spans="158:161" ht="74.25" customHeight="1" x14ac:dyDescent="0.2">
      <c r="FB3514" s="8" t="s">
        <v>7120</v>
      </c>
      <c r="FC3514" s="8" t="s">
        <v>7121</v>
      </c>
      <c r="FD3514" s="8">
        <v>100</v>
      </c>
      <c r="FE3514" s="8">
        <v>10</v>
      </c>
    </row>
    <row r="3515" spans="158:161" ht="74.25" customHeight="1" x14ac:dyDescent="0.2">
      <c r="FB3515" s="8" t="s">
        <v>7122</v>
      </c>
      <c r="FC3515" s="8" t="s">
        <v>7123</v>
      </c>
      <c r="FD3515" s="8">
        <v>1000</v>
      </c>
      <c r="FE3515" s="8">
        <v>100</v>
      </c>
    </row>
    <row r="3516" spans="158:161" ht="74.25" customHeight="1" x14ac:dyDescent="0.2">
      <c r="FB3516" s="8" t="s">
        <v>7124</v>
      </c>
      <c r="FC3516" s="8" t="s">
        <v>7125</v>
      </c>
      <c r="FD3516" s="8">
        <v>10</v>
      </c>
      <c r="FE3516" s="8">
        <v>1</v>
      </c>
    </row>
    <row r="3517" spans="158:161" ht="74.25" customHeight="1" x14ac:dyDescent="0.2">
      <c r="FB3517" s="8" t="s">
        <v>7126</v>
      </c>
      <c r="FC3517" s="8" t="s">
        <v>7127</v>
      </c>
      <c r="FD3517" s="8">
        <v>10</v>
      </c>
      <c r="FE3517" s="8">
        <v>1</v>
      </c>
    </row>
    <row r="3518" spans="158:161" ht="74.25" customHeight="1" x14ac:dyDescent="0.2">
      <c r="FB3518" s="8" t="s">
        <v>7128</v>
      </c>
      <c r="FC3518" s="8" t="s">
        <v>7129</v>
      </c>
      <c r="FD3518" s="8">
        <v>25</v>
      </c>
      <c r="FE3518" s="8">
        <v>2.5</v>
      </c>
    </row>
    <row r="3519" spans="158:161" ht="74.25" customHeight="1" x14ac:dyDescent="0.2">
      <c r="FB3519" s="8" t="s">
        <v>7130</v>
      </c>
      <c r="FC3519" s="8" t="s">
        <v>7131</v>
      </c>
      <c r="FD3519" s="8">
        <v>2450</v>
      </c>
      <c r="FE3519" s="8">
        <v>245</v>
      </c>
    </row>
    <row r="3520" spans="158:161" ht="74.25" customHeight="1" x14ac:dyDescent="0.2">
      <c r="FB3520" s="8" t="s">
        <v>7132</v>
      </c>
      <c r="FC3520" s="8" t="s">
        <v>7133</v>
      </c>
      <c r="FD3520" s="8">
        <v>1000</v>
      </c>
      <c r="FE3520" s="8">
        <v>100</v>
      </c>
    </row>
    <row r="3521" spans="158:161" ht="74.25" customHeight="1" x14ac:dyDescent="0.2">
      <c r="FB3521" s="8" t="s">
        <v>7134</v>
      </c>
      <c r="FC3521" s="8" t="s">
        <v>7135</v>
      </c>
      <c r="FD3521" s="8">
        <v>1000</v>
      </c>
      <c r="FE3521" s="8">
        <v>100</v>
      </c>
    </row>
    <row r="3522" spans="158:161" ht="74.25" customHeight="1" x14ac:dyDescent="0.2">
      <c r="FB3522" s="8" t="s">
        <v>7136</v>
      </c>
      <c r="FC3522" s="8" t="s">
        <v>7137</v>
      </c>
      <c r="FD3522" s="8">
        <v>10000</v>
      </c>
      <c r="FE3522" s="8">
        <v>1000</v>
      </c>
    </row>
    <row r="3523" spans="158:161" ht="74.25" customHeight="1" x14ac:dyDescent="0.2">
      <c r="FB3523" s="8" t="s">
        <v>7138</v>
      </c>
      <c r="FC3523" s="8" t="s">
        <v>7139</v>
      </c>
      <c r="FD3523" s="8">
        <v>630</v>
      </c>
      <c r="FE3523" s="8">
        <v>63</v>
      </c>
    </row>
    <row r="3524" spans="158:161" ht="74.25" customHeight="1" x14ac:dyDescent="0.2">
      <c r="FB3524" s="8" t="s">
        <v>7140</v>
      </c>
      <c r="FC3524" s="8" t="s">
        <v>7141</v>
      </c>
      <c r="FD3524" s="8">
        <v>4400</v>
      </c>
      <c r="FE3524" s="8">
        <v>440</v>
      </c>
    </row>
    <row r="3525" spans="158:161" ht="74.25" customHeight="1" x14ac:dyDescent="0.2">
      <c r="FB3525" s="8" t="s">
        <v>7142</v>
      </c>
      <c r="FC3525" s="8" t="s">
        <v>7143</v>
      </c>
      <c r="FD3525" s="8">
        <v>1250</v>
      </c>
      <c r="FE3525" s="8">
        <v>125</v>
      </c>
    </row>
    <row r="3526" spans="158:161" ht="74.25" customHeight="1" x14ac:dyDescent="0.2">
      <c r="FB3526" s="8" t="s">
        <v>7144</v>
      </c>
      <c r="FC3526" s="8" t="s">
        <v>7145</v>
      </c>
      <c r="FD3526" s="8">
        <v>200</v>
      </c>
      <c r="FE3526" s="8">
        <v>20</v>
      </c>
    </row>
    <row r="3527" spans="158:161" ht="74.25" customHeight="1" x14ac:dyDescent="0.2">
      <c r="FB3527" s="8" t="s">
        <v>7146</v>
      </c>
      <c r="FC3527" s="8" t="s">
        <v>7147</v>
      </c>
      <c r="FD3527" s="8">
        <v>59000</v>
      </c>
      <c r="FE3527" s="8">
        <v>7100</v>
      </c>
    </row>
    <row r="3528" spans="158:161" ht="74.25" customHeight="1" x14ac:dyDescent="0.2">
      <c r="FB3528" s="8" t="s">
        <v>7148</v>
      </c>
      <c r="FC3528" s="8" t="s">
        <v>7149</v>
      </c>
      <c r="FD3528" s="8">
        <v>50</v>
      </c>
      <c r="FE3528" s="8">
        <v>5</v>
      </c>
    </row>
    <row r="3529" spans="158:161" ht="74.25" customHeight="1" x14ac:dyDescent="0.2">
      <c r="FB3529" s="8" t="s">
        <v>7150</v>
      </c>
      <c r="FC3529" s="8" t="s">
        <v>7151</v>
      </c>
      <c r="FD3529" s="8">
        <v>730</v>
      </c>
      <c r="FE3529" s="8">
        <v>73</v>
      </c>
    </row>
    <row r="3530" spans="158:161" ht="74.25" customHeight="1" x14ac:dyDescent="0.2">
      <c r="FB3530" s="8" t="s">
        <v>7152</v>
      </c>
      <c r="FC3530" s="8" t="s">
        <v>7153</v>
      </c>
      <c r="FD3530" s="8">
        <v>2450</v>
      </c>
      <c r="FE3530" s="8">
        <v>245</v>
      </c>
    </row>
    <row r="3531" spans="158:161" ht="74.25" customHeight="1" x14ac:dyDescent="0.2">
      <c r="FB3531" s="8" t="s">
        <v>7154</v>
      </c>
      <c r="FC3531" s="8" t="s">
        <v>7155</v>
      </c>
      <c r="FD3531" s="8">
        <v>100</v>
      </c>
      <c r="FE3531" s="8">
        <v>10</v>
      </c>
    </row>
    <row r="3532" spans="158:161" ht="74.25" customHeight="1" x14ac:dyDescent="0.2">
      <c r="FB3532" s="8" t="s">
        <v>7156</v>
      </c>
      <c r="FC3532" s="8" t="s">
        <v>7157</v>
      </c>
      <c r="FD3532" s="8">
        <v>1000</v>
      </c>
      <c r="FE3532" s="8">
        <v>100</v>
      </c>
    </row>
    <row r="3533" spans="158:161" ht="74.25" customHeight="1" x14ac:dyDescent="0.2">
      <c r="FB3533" s="8" t="s">
        <v>7158</v>
      </c>
      <c r="FC3533" s="8" t="s">
        <v>7159</v>
      </c>
      <c r="FD3533" s="8">
        <v>3000</v>
      </c>
      <c r="FE3533" s="8">
        <v>300</v>
      </c>
    </row>
    <row r="3534" spans="158:161" ht="74.25" customHeight="1" x14ac:dyDescent="0.2">
      <c r="FB3534" s="8" t="s">
        <v>7160</v>
      </c>
      <c r="FC3534" s="8" t="s">
        <v>7161</v>
      </c>
      <c r="FD3534" s="8">
        <v>17</v>
      </c>
      <c r="FE3534" s="8">
        <v>1.7</v>
      </c>
    </row>
    <row r="3535" spans="158:161" ht="74.25" customHeight="1" x14ac:dyDescent="0.2">
      <c r="FB3535" s="8" t="s">
        <v>7162</v>
      </c>
      <c r="FC3535" s="8" t="s">
        <v>7163</v>
      </c>
      <c r="FD3535" s="8">
        <v>190</v>
      </c>
      <c r="FE3535" s="8">
        <v>7.9</v>
      </c>
    </row>
    <row r="3536" spans="158:161" ht="74.25" customHeight="1" x14ac:dyDescent="0.2">
      <c r="FB3536" s="8" t="s">
        <v>7164</v>
      </c>
      <c r="FC3536" s="8" t="s">
        <v>7165</v>
      </c>
      <c r="FD3536" s="8">
        <v>8</v>
      </c>
      <c r="FE3536" s="8">
        <v>0.8</v>
      </c>
    </row>
    <row r="3537" spans="158:161" ht="74.25" customHeight="1" x14ac:dyDescent="0.2">
      <c r="FB3537" s="8" t="s">
        <v>7166</v>
      </c>
      <c r="FC3537" s="8" t="s">
        <v>9478</v>
      </c>
      <c r="FD3537" s="8">
        <v>17</v>
      </c>
      <c r="FE3537" s="8">
        <v>8.1</v>
      </c>
    </row>
    <row r="3538" spans="158:161" ht="74.25" customHeight="1" x14ac:dyDescent="0.2">
      <c r="FB3538" s="8" t="s">
        <v>7167</v>
      </c>
      <c r="FC3538" s="8" t="s">
        <v>9479</v>
      </c>
      <c r="FD3538" s="8">
        <v>2.8</v>
      </c>
      <c r="FE3538" s="8">
        <v>0.56999999999999995</v>
      </c>
    </row>
    <row r="3539" spans="158:161" ht="74.25" customHeight="1" x14ac:dyDescent="0.2">
      <c r="FB3539" s="8" t="s">
        <v>7168</v>
      </c>
      <c r="FC3539" s="8" t="s">
        <v>7169</v>
      </c>
      <c r="FD3539" s="8" t="s">
        <v>9511</v>
      </c>
      <c r="FE3539" s="8">
        <v>0.71</v>
      </c>
    </row>
    <row r="3540" spans="158:161" ht="74.25" customHeight="1" x14ac:dyDescent="0.2">
      <c r="FB3540" s="8" t="s">
        <v>7170</v>
      </c>
      <c r="FC3540" s="8" t="s">
        <v>7170</v>
      </c>
      <c r="FD3540" s="8">
        <v>200</v>
      </c>
      <c r="FE3540" s="8">
        <v>20</v>
      </c>
    </row>
    <row r="3541" spans="158:161" ht="74.25" customHeight="1" x14ac:dyDescent="0.2">
      <c r="FB3541" s="8" t="s">
        <v>7171</v>
      </c>
      <c r="FC3541" s="8" t="s">
        <v>7172</v>
      </c>
      <c r="FD3541" s="8">
        <v>200</v>
      </c>
      <c r="FE3541" s="8">
        <v>20</v>
      </c>
    </row>
    <row r="3542" spans="158:161" ht="74.25" customHeight="1" x14ac:dyDescent="0.2">
      <c r="FB3542" s="8" t="s">
        <v>7173</v>
      </c>
      <c r="FC3542" s="8" t="s">
        <v>9871</v>
      </c>
      <c r="FD3542" s="8">
        <v>10000</v>
      </c>
      <c r="FE3542" s="8">
        <v>1000</v>
      </c>
    </row>
    <row r="3543" spans="158:161" ht="74.25" customHeight="1" x14ac:dyDescent="0.2">
      <c r="FB3543" s="8" t="s">
        <v>7174</v>
      </c>
      <c r="FC3543" s="8" t="s">
        <v>7175</v>
      </c>
      <c r="FD3543" s="8">
        <v>10230</v>
      </c>
      <c r="FE3543" s="8">
        <v>1023</v>
      </c>
    </row>
    <row r="3544" spans="158:161" ht="74.25" customHeight="1" x14ac:dyDescent="0.2">
      <c r="FB3544" s="8" t="s">
        <v>7176</v>
      </c>
      <c r="FC3544" s="8" t="s">
        <v>7177</v>
      </c>
      <c r="FD3544" s="8">
        <v>0.8</v>
      </c>
      <c r="FE3544" s="8">
        <v>0.08</v>
      </c>
    </row>
    <row r="3545" spans="158:161" ht="74.25" customHeight="1" x14ac:dyDescent="0.2">
      <c r="FB3545" s="8" t="s">
        <v>7178</v>
      </c>
      <c r="FC3545" s="8" t="s">
        <v>7179</v>
      </c>
      <c r="FD3545" s="8">
        <v>0.1</v>
      </c>
      <c r="FE3545" s="8">
        <v>0.01</v>
      </c>
    </row>
    <row r="3546" spans="158:161" ht="74.25" customHeight="1" x14ac:dyDescent="0.2">
      <c r="FB3546" s="8" t="s">
        <v>7180</v>
      </c>
      <c r="FC3546" s="8" t="s">
        <v>7181</v>
      </c>
      <c r="FD3546" s="8">
        <v>0.05</v>
      </c>
      <c r="FE3546" s="8">
        <v>5.0000000000000001E-3</v>
      </c>
    </row>
    <row r="3547" spans="158:161" ht="74.25" customHeight="1" x14ac:dyDescent="0.2">
      <c r="FB3547" s="8" t="s">
        <v>7182</v>
      </c>
      <c r="FC3547" s="8" t="s">
        <v>7183</v>
      </c>
      <c r="FD3547" s="8">
        <v>200</v>
      </c>
      <c r="FE3547" s="8">
        <v>20</v>
      </c>
    </row>
    <row r="3548" spans="158:161" ht="74.25" customHeight="1" x14ac:dyDescent="0.2">
      <c r="FB3548" s="8" t="s">
        <v>7184</v>
      </c>
      <c r="FC3548" s="8" t="s">
        <v>7185</v>
      </c>
      <c r="FD3548" s="8">
        <v>10</v>
      </c>
      <c r="FE3548" s="8">
        <v>1</v>
      </c>
    </row>
    <row r="3549" spans="158:161" ht="74.25" customHeight="1" x14ac:dyDescent="0.2">
      <c r="FB3549" s="8" t="s">
        <v>7186</v>
      </c>
      <c r="FC3549" s="8" t="s">
        <v>7187</v>
      </c>
      <c r="FD3549" s="8">
        <v>10</v>
      </c>
      <c r="FE3549" s="8">
        <v>1</v>
      </c>
    </row>
    <row r="3550" spans="158:161" ht="74.25" customHeight="1" x14ac:dyDescent="0.2">
      <c r="FB3550" s="8" t="s">
        <v>7188</v>
      </c>
      <c r="FC3550" s="8" t="s">
        <v>7189</v>
      </c>
      <c r="FD3550" s="8">
        <v>50</v>
      </c>
      <c r="FE3550" s="8">
        <v>5</v>
      </c>
    </row>
    <row r="3551" spans="158:161" ht="74.25" customHeight="1" x14ac:dyDescent="0.2">
      <c r="FB3551" s="8" t="s">
        <v>7190</v>
      </c>
      <c r="FC3551" s="8" t="s">
        <v>7191</v>
      </c>
      <c r="FD3551" s="8">
        <v>290</v>
      </c>
      <c r="FE3551" s="8">
        <v>3.3</v>
      </c>
    </row>
    <row r="3552" spans="158:161" ht="74.25" customHeight="1" x14ac:dyDescent="0.2">
      <c r="FB3552" s="8" t="s">
        <v>7192</v>
      </c>
      <c r="FC3552" s="8" t="s">
        <v>7193</v>
      </c>
      <c r="FD3552" s="8">
        <v>1250</v>
      </c>
      <c r="FE3552" s="8">
        <v>125</v>
      </c>
    </row>
    <row r="3553" spans="158:161" ht="74.25" customHeight="1" x14ac:dyDescent="0.2">
      <c r="FB3553" s="8" t="s">
        <v>7194</v>
      </c>
      <c r="FC3553" s="8" t="s">
        <v>7195</v>
      </c>
      <c r="FD3553" s="8">
        <v>3500</v>
      </c>
      <c r="FE3553" s="8">
        <v>350</v>
      </c>
    </row>
    <row r="3554" spans="158:161" ht="74.25" customHeight="1" x14ac:dyDescent="0.2">
      <c r="FB3554" s="8" t="s">
        <v>7196</v>
      </c>
      <c r="FC3554" s="8" t="s">
        <v>7197</v>
      </c>
      <c r="FD3554" s="8">
        <v>2450</v>
      </c>
      <c r="FE3554" s="8">
        <v>245</v>
      </c>
    </row>
    <row r="3555" spans="158:161" ht="74.25" customHeight="1" x14ac:dyDescent="0.2">
      <c r="FB3555" s="8" t="s">
        <v>7198</v>
      </c>
      <c r="FC3555" s="8" t="s">
        <v>7199</v>
      </c>
      <c r="FD3555" s="8">
        <v>3500</v>
      </c>
      <c r="FE3555" s="8">
        <v>350</v>
      </c>
    </row>
    <row r="3556" spans="158:161" ht="74.25" customHeight="1" x14ac:dyDescent="0.2">
      <c r="FB3556" s="8" t="s">
        <v>7200</v>
      </c>
      <c r="FC3556" s="8" t="s">
        <v>7201</v>
      </c>
      <c r="FD3556" s="8">
        <v>3500</v>
      </c>
      <c r="FE3556" s="8">
        <v>350</v>
      </c>
    </row>
    <row r="3557" spans="158:161" ht="74.25" customHeight="1" x14ac:dyDescent="0.2">
      <c r="FB3557" s="8" t="s">
        <v>7202</v>
      </c>
      <c r="FC3557" s="8" t="s">
        <v>7203</v>
      </c>
      <c r="FD3557" s="8">
        <v>3500</v>
      </c>
      <c r="FE3557" s="8">
        <v>350</v>
      </c>
    </row>
    <row r="3558" spans="158:161" ht="74.25" customHeight="1" x14ac:dyDescent="0.2">
      <c r="FB3558" s="8" t="s">
        <v>7204</v>
      </c>
      <c r="FC3558" s="8" t="s">
        <v>7205</v>
      </c>
      <c r="FD3558" s="8">
        <v>1000</v>
      </c>
      <c r="FE3558" s="8">
        <v>100</v>
      </c>
    </row>
    <row r="3559" spans="158:161" ht="74.25" customHeight="1" x14ac:dyDescent="0.2">
      <c r="FB3559" s="8" t="s">
        <v>7206</v>
      </c>
      <c r="FC3559" s="8" t="s">
        <v>7207</v>
      </c>
      <c r="FD3559" s="8">
        <v>1000</v>
      </c>
      <c r="FE3559" s="8">
        <v>100</v>
      </c>
    </row>
    <row r="3560" spans="158:161" ht="74.25" customHeight="1" x14ac:dyDescent="0.2">
      <c r="FB3560" s="8" t="s">
        <v>7208</v>
      </c>
      <c r="FC3560" s="8" t="s">
        <v>7209</v>
      </c>
      <c r="FD3560" s="8">
        <v>1250</v>
      </c>
      <c r="FE3560" s="8">
        <v>125</v>
      </c>
    </row>
    <row r="3561" spans="158:161" ht="74.25" customHeight="1" x14ac:dyDescent="0.2">
      <c r="FB3561" s="8" t="s">
        <v>7210</v>
      </c>
      <c r="FC3561" s="8" t="s">
        <v>7211</v>
      </c>
      <c r="FD3561" s="8">
        <v>2450</v>
      </c>
      <c r="FE3561" s="8">
        <v>245</v>
      </c>
    </row>
    <row r="3562" spans="158:161" ht="74.25" customHeight="1" x14ac:dyDescent="0.2">
      <c r="FB3562" s="8" t="s">
        <v>7212</v>
      </c>
      <c r="FC3562" s="8" t="s">
        <v>7213</v>
      </c>
      <c r="FD3562" s="8">
        <v>3500</v>
      </c>
      <c r="FE3562" s="8">
        <v>350</v>
      </c>
    </row>
    <row r="3563" spans="158:161" ht="74.25" customHeight="1" x14ac:dyDescent="0.2">
      <c r="FB3563" s="8" t="s">
        <v>7214</v>
      </c>
      <c r="FC3563" s="8" t="s">
        <v>7215</v>
      </c>
      <c r="FD3563" s="8">
        <v>1000</v>
      </c>
      <c r="FE3563" s="8">
        <v>100</v>
      </c>
    </row>
    <row r="3564" spans="158:161" ht="74.25" customHeight="1" x14ac:dyDescent="0.2">
      <c r="FB3564" s="8" t="s">
        <v>7216</v>
      </c>
      <c r="FC3564" s="8" t="s">
        <v>7217</v>
      </c>
      <c r="FD3564" s="8">
        <v>1250</v>
      </c>
      <c r="FE3564" s="8">
        <v>125</v>
      </c>
    </row>
    <row r="3565" spans="158:161" ht="74.25" customHeight="1" x14ac:dyDescent="0.2">
      <c r="FB3565" s="8" t="s">
        <v>7218</v>
      </c>
      <c r="FC3565" s="8" t="s">
        <v>7219</v>
      </c>
      <c r="FD3565" s="8">
        <v>1000</v>
      </c>
      <c r="FE3565" s="8">
        <v>100</v>
      </c>
    </row>
    <row r="3566" spans="158:161" ht="74.25" customHeight="1" x14ac:dyDescent="0.2">
      <c r="FB3566" s="8" t="s">
        <v>7220</v>
      </c>
      <c r="FC3566" s="8" t="s">
        <v>7221</v>
      </c>
      <c r="FD3566" s="8">
        <v>1000</v>
      </c>
      <c r="FE3566" s="8">
        <v>100</v>
      </c>
    </row>
    <row r="3567" spans="158:161" ht="74.25" customHeight="1" x14ac:dyDescent="0.2">
      <c r="FB3567" s="8" t="s">
        <v>7222</v>
      </c>
      <c r="FC3567" s="8" t="s">
        <v>7223</v>
      </c>
      <c r="FD3567" s="8">
        <v>8</v>
      </c>
      <c r="FE3567" s="8">
        <v>0.8</v>
      </c>
    </row>
    <row r="3568" spans="158:161" ht="74.25" customHeight="1" x14ac:dyDescent="0.2">
      <c r="FB3568" s="8" t="s">
        <v>7224</v>
      </c>
      <c r="FC3568" s="8" t="s">
        <v>7225</v>
      </c>
      <c r="FD3568" s="8">
        <v>1000</v>
      </c>
      <c r="FE3568" s="8">
        <v>100</v>
      </c>
    </row>
    <row r="3569" spans="158:161" ht="74.25" customHeight="1" x14ac:dyDescent="0.2">
      <c r="FB3569" s="8" t="s">
        <v>7226</v>
      </c>
      <c r="FC3569" s="8" t="s">
        <v>7227</v>
      </c>
      <c r="FD3569" s="8">
        <v>1000</v>
      </c>
      <c r="FE3569" s="8">
        <v>100</v>
      </c>
    </row>
    <row r="3570" spans="158:161" ht="74.25" customHeight="1" x14ac:dyDescent="0.2">
      <c r="FB3570" s="8" t="s">
        <v>7228</v>
      </c>
      <c r="FC3570" s="8" t="s">
        <v>7229</v>
      </c>
      <c r="FD3570" s="8">
        <v>1000</v>
      </c>
      <c r="FE3570" s="8">
        <v>100</v>
      </c>
    </row>
    <row r="3571" spans="158:161" ht="74.25" customHeight="1" x14ac:dyDescent="0.2">
      <c r="FB3571" s="8" t="s">
        <v>7230</v>
      </c>
      <c r="FC3571" s="8" t="s">
        <v>7231</v>
      </c>
      <c r="FD3571" s="8">
        <v>1000</v>
      </c>
      <c r="FE3571" s="8">
        <v>100</v>
      </c>
    </row>
    <row r="3572" spans="158:161" ht="74.25" customHeight="1" x14ac:dyDescent="0.2">
      <c r="FB3572" s="8" t="s">
        <v>7232</v>
      </c>
      <c r="FC3572" s="8" t="s">
        <v>7233</v>
      </c>
      <c r="FD3572" s="8">
        <v>450</v>
      </c>
      <c r="FE3572" s="8">
        <v>45</v>
      </c>
    </row>
    <row r="3573" spans="158:161" ht="74.25" customHeight="1" x14ac:dyDescent="0.2">
      <c r="FB3573" s="8" t="s">
        <v>7234</v>
      </c>
      <c r="FC3573" s="8" t="s">
        <v>7235</v>
      </c>
      <c r="FD3573" s="8">
        <v>150</v>
      </c>
      <c r="FE3573" s="8">
        <v>3.3</v>
      </c>
    </row>
    <row r="3574" spans="158:161" ht="74.25" customHeight="1" x14ac:dyDescent="0.2">
      <c r="FB3574" s="8" t="s">
        <v>7236</v>
      </c>
      <c r="FC3574" s="8" t="s">
        <v>7236</v>
      </c>
      <c r="FD3574" s="8">
        <v>200</v>
      </c>
      <c r="FE3574" s="8">
        <v>20</v>
      </c>
    </row>
    <row r="3575" spans="158:161" ht="74.25" customHeight="1" x14ac:dyDescent="0.2">
      <c r="FB3575" s="8" t="s">
        <v>7237</v>
      </c>
      <c r="FC3575" s="8" t="s">
        <v>7238</v>
      </c>
      <c r="FD3575" s="8">
        <v>500</v>
      </c>
      <c r="FE3575" s="8">
        <v>50</v>
      </c>
    </row>
    <row r="3576" spans="158:161" ht="74.25" customHeight="1" x14ac:dyDescent="0.2">
      <c r="FB3576" s="8" t="s">
        <v>7239</v>
      </c>
      <c r="FC3576" s="8" t="s">
        <v>7240</v>
      </c>
      <c r="FD3576" s="8">
        <v>10</v>
      </c>
      <c r="FE3576" s="8">
        <v>1</v>
      </c>
    </row>
    <row r="3577" spans="158:161" ht="74.25" customHeight="1" x14ac:dyDescent="0.2">
      <c r="FB3577" s="8" t="s">
        <v>7241</v>
      </c>
      <c r="FC3577" s="8" t="s">
        <v>7242</v>
      </c>
      <c r="FD3577" s="8">
        <v>7</v>
      </c>
      <c r="FE3577" s="8">
        <v>0.7</v>
      </c>
    </row>
    <row r="3578" spans="158:161" ht="74.25" customHeight="1" x14ac:dyDescent="0.2">
      <c r="FB3578" s="8" t="s">
        <v>7243</v>
      </c>
      <c r="FC3578" s="8" t="s">
        <v>7244</v>
      </c>
      <c r="FD3578" s="8">
        <v>500</v>
      </c>
      <c r="FE3578" s="8">
        <v>50</v>
      </c>
    </row>
    <row r="3579" spans="158:161" ht="74.25" customHeight="1" x14ac:dyDescent="0.2">
      <c r="FB3579" s="8" t="s">
        <v>7245</v>
      </c>
      <c r="FC3579" s="8" t="s">
        <v>7246</v>
      </c>
      <c r="FD3579" s="8">
        <v>6</v>
      </c>
      <c r="FE3579" s="8">
        <v>0.6</v>
      </c>
    </row>
    <row r="3580" spans="158:161" ht="74.25" customHeight="1" x14ac:dyDescent="0.2">
      <c r="FB3580" s="8" t="s">
        <v>7247</v>
      </c>
      <c r="FC3580" s="8" t="s">
        <v>7248</v>
      </c>
      <c r="FD3580" s="8">
        <v>50</v>
      </c>
      <c r="FE3580" s="8">
        <v>5</v>
      </c>
    </row>
    <row r="3581" spans="158:161" ht="74.25" customHeight="1" x14ac:dyDescent="0.2">
      <c r="FB3581" s="8" t="s">
        <v>7249</v>
      </c>
      <c r="FC3581" s="8" t="s">
        <v>7250</v>
      </c>
      <c r="FD3581" s="8">
        <v>4.4000000000000004</v>
      </c>
      <c r="FE3581" s="8">
        <v>0.44</v>
      </c>
    </row>
    <row r="3582" spans="158:161" ht="74.25" customHeight="1" x14ac:dyDescent="0.2">
      <c r="FB3582" s="8" t="s">
        <v>7251</v>
      </c>
      <c r="FC3582" s="8" t="s">
        <v>7252</v>
      </c>
      <c r="FD3582" s="8">
        <v>0.7</v>
      </c>
      <c r="FE3582" s="8">
        <v>0.1</v>
      </c>
    </row>
    <row r="3583" spans="158:161" ht="74.25" customHeight="1" x14ac:dyDescent="0.2">
      <c r="FB3583" s="8" t="s">
        <v>7253</v>
      </c>
      <c r="FC3583" s="8" t="s">
        <v>7254</v>
      </c>
      <c r="FD3583" s="8">
        <v>0.7</v>
      </c>
      <c r="FE3583" s="8">
        <v>0.1</v>
      </c>
    </row>
    <row r="3584" spans="158:161" ht="74.25" customHeight="1" x14ac:dyDescent="0.2">
      <c r="FB3584" s="8" t="s">
        <v>7255</v>
      </c>
      <c r="FC3584" s="8" t="s">
        <v>7256</v>
      </c>
      <c r="FD3584" s="8">
        <v>4.2</v>
      </c>
      <c r="FE3584" s="8">
        <v>0.5</v>
      </c>
    </row>
    <row r="3585" spans="158:161" ht="74.25" customHeight="1" x14ac:dyDescent="0.2">
      <c r="FB3585" s="8" t="s">
        <v>7257</v>
      </c>
      <c r="FC3585" s="8" t="s">
        <v>7258</v>
      </c>
      <c r="FD3585" s="8">
        <v>410</v>
      </c>
      <c r="FE3585" s="8">
        <v>41</v>
      </c>
    </row>
    <row r="3586" spans="158:161" ht="74.25" customHeight="1" x14ac:dyDescent="0.2">
      <c r="FB3586" s="8" t="s">
        <v>7259</v>
      </c>
      <c r="FC3586" s="8" t="s">
        <v>7260</v>
      </c>
      <c r="FD3586" s="8">
        <v>30</v>
      </c>
      <c r="FE3586" s="8">
        <v>3</v>
      </c>
    </row>
    <row r="3587" spans="158:161" ht="74.25" customHeight="1" x14ac:dyDescent="0.2">
      <c r="FB3587" s="8" t="s">
        <v>7261</v>
      </c>
      <c r="FC3587" s="8" t="s">
        <v>7262</v>
      </c>
      <c r="FD3587" s="8">
        <v>500</v>
      </c>
      <c r="FE3587" s="8">
        <v>50</v>
      </c>
    </row>
    <row r="3588" spans="158:161" ht="74.25" customHeight="1" x14ac:dyDescent="0.2">
      <c r="FB3588" s="8" t="s">
        <v>7263</v>
      </c>
      <c r="FC3588" s="8" t="s">
        <v>7264</v>
      </c>
      <c r="FD3588" s="8">
        <v>500</v>
      </c>
      <c r="FE3588" s="8">
        <v>50</v>
      </c>
    </row>
    <row r="3589" spans="158:161" ht="74.25" customHeight="1" x14ac:dyDescent="0.2">
      <c r="FB3589" s="8" t="s">
        <v>7265</v>
      </c>
      <c r="FC3589" s="8" t="s">
        <v>7266</v>
      </c>
      <c r="FD3589" s="8">
        <v>500</v>
      </c>
      <c r="FE3589" s="8">
        <v>50</v>
      </c>
    </row>
    <row r="3590" spans="158:161" ht="74.25" customHeight="1" x14ac:dyDescent="0.2">
      <c r="FB3590" s="8" t="s">
        <v>7267</v>
      </c>
      <c r="FC3590" s="8" t="s">
        <v>7268</v>
      </c>
      <c r="FD3590" s="8">
        <v>2.2999999999999998</v>
      </c>
      <c r="FE3590" s="8">
        <v>0.23</v>
      </c>
    </row>
    <row r="3591" spans="158:161" ht="74.25" customHeight="1" x14ac:dyDescent="0.2">
      <c r="FB3591" s="8" t="s">
        <v>7269</v>
      </c>
      <c r="FC3591" s="8" t="s">
        <v>7270</v>
      </c>
      <c r="FD3591" s="8">
        <v>100</v>
      </c>
      <c r="FE3591" s="8">
        <v>10</v>
      </c>
    </row>
    <row r="3592" spans="158:161" ht="74.25" customHeight="1" x14ac:dyDescent="0.2">
      <c r="FB3592" s="8" t="s">
        <v>7271</v>
      </c>
      <c r="FC3592" s="8" t="s">
        <v>7272</v>
      </c>
      <c r="FD3592" s="8">
        <v>1100</v>
      </c>
      <c r="FE3592" s="8">
        <v>110</v>
      </c>
    </row>
    <row r="3593" spans="158:161" ht="74.25" customHeight="1" x14ac:dyDescent="0.2">
      <c r="FB3593" s="8" t="s">
        <v>7273</v>
      </c>
      <c r="FC3593" s="8" t="s">
        <v>7274</v>
      </c>
      <c r="FD3593" s="8">
        <v>1000</v>
      </c>
      <c r="FE3593" s="8">
        <v>100</v>
      </c>
    </row>
    <row r="3594" spans="158:161" ht="74.25" customHeight="1" x14ac:dyDescent="0.2">
      <c r="FB3594" s="8" t="s">
        <v>7275</v>
      </c>
      <c r="FC3594" s="8" t="s">
        <v>7276</v>
      </c>
      <c r="FD3594" s="8">
        <v>1000</v>
      </c>
      <c r="FE3594" s="8">
        <v>100</v>
      </c>
    </row>
    <row r="3595" spans="158:161" ht="74.25" customHeight="1" x14ac:dyDescent="0.2">
      <c r="FB3595" s="8" t="s">
        <v>7277</v>
      </c>
      <c r="FC3595" s="8" t="s">
        <v>7278</v>
      </c>
      <c r="FD3595" s="8">
        <v>4</v>
      </c>
      <c r="FE3595" s="8">
        <v>0.4</v>
      </c>
    </row>
    <row r="3596" spans="158:161" ht="74.25" customHeight="1" x14ac:dyDescent="0.2">
      <c r="FB3596" s="8" t="s">
        <v>7279</v>
      </c>
      <c r="FC3596" s="8" t="s">
        <v>7279</v>
      </c>
      <c r="FD3596" s="8">
        <v>100</v>
      </c>
      <c r="FE3596" s="8">
        <v>10</v>
      </c>
    </row>
    <row r="3597" spans="158:161" ht="74.25" customHeight="1" x14ac:dyDescent="0.2">
      <c r="FB3597" s="8" t="s">
        <v>7280</v>
      </c>
      <c r="FC3597" s="8" t="s">
        <v>7281</v>
      </c>
      <c r="FD3597" s="8">
        <v>600</v>
      </c>
      <c r="FE3597" s="8">
        <v>60</v>
      </c>
    </row>
    <row r="3598" spans="158:161" ht="74.25" customHeight="1" x14ac:dyDescent="0.2">
      <c r="FB3598" s="8" t="s">
        <v>7282</v>
      </c>
      <c r="FC3598" s="8" t="s">
        <v>7283</v>
      </c>
      <c r="FD3598" s="8">
        <v>4.2</v>
      </c>
      <c r="FE3598" s="8">
        <v>0.42</v>
      </c>
    </row>
    <row r="3599" spans="158:161" ht="74.25" customHeight="1" x14ac:dyDescent="0.2">
      <c r="FB3599" s="8" t="s">
        <v>7284</v>
      </c>
      <c r="FC3599" s="8" t="s">
        <v>7285</v>
      </c>
      <c r="FD3599" s="8">
        <v>10</v>
      </c>
      <c r="FE3599" s="8">
        <v>1</v>
      </c>
    </row>
    <row r="3600" spans="158:161" ht="74.25" customHeight="1" x14ac:dyDescent="0.2">
      <c r="FB3600" s="8" t="s">
        <v>7286</v>
      </c>
      <c r="FC3600" s="8" t="s">
        <v>7287</v>
      </c>
      <c r="FD3600" s="8">
        <v>10</v>
      </c>
      <c r="FE3600" s="8">
        <v>1</v>
      </c>
    </row>
    <row r="3601" spans="158:161" ht="74.25" customHeight="1" x14ac:dyDescent="0.2">
      <c r="FB3601" s="8" t="s">
        <v>7288</v>
      </c>
      <c r="FC3601" s="8" t="s">
        <v>7289</v>
      </c>
      <c r="FD3601" s="8">
        <v>100</v>
      </c>
      <c r="FE3601" s="8">
        <v>10</v>
      </c>
    </row>
    <row r="3602" spans="158:161" ht="74.25" customHeight="1" x14ac:dyDescent="0.2">
      <c r="FB3602" s="8" t="s">
        <v>7290</v>
      </c>
      <c r="FC3602" s="8" t="s">
        <v>7291</v>
      </c>
      <c r="FD3602" s="8">
        <v>100</v>
      </c>
      <c r="FE3602" s="8">
        <v>10</v>
      </c>
    </row>
    <row r="3603" spans="158:161" ht="74.25" customHeight="1" x14ac:dyDescent="0.2">
      <c r="FB3603" s="8" t="s">
        <v>7292</v>
      </c>
      <c r="FC3603" s="8" t="s">
        <v>7293</v>
      </c>
      <c r="FD3603" s="8">
        <v>70</v>
      </c>
      <c r="FE3603" s="8">
        <v>7</v>
      </c>
    </row>
    <row r="3604" spans="158:161" ht="74.25" customHeight="1" x14ac:dyDescent="0.2">
      <c r="FB3604" s="8" t="s">
        <v>7294</v>
      </c>
      <c r="FC3604" s="8" t="s">
        <v>7295</v>
      </c>
      <c r="FD3604" s="8">
        <v>1500</v>
      </c>
      <c r="FE3604" s="8">
        <v>150</v>
      </c>
    </row>
    <row r="3605" spans="158:161" ht="74.25" customHeight="1" x14ac:dyDescent="0.2">
      <c r="FB3605" s="8" t="s">
        <v>7296</v>
      </c>
      <c r="FC3605" s="8" t="s">
        <v>7297</v>
      </c>
      <c r="FD3605" s="8">
        <v>10</v>
      </c>
      <c r="FE3605" s="8">
        <v>1</v>
      </c>
    </row>
    <row r="3606" spans="158:161" ht="74.25" customHeight="1" x14ac:dyDescent="0.2">
      <c r="FB3606" s="8" t="s">
        <v>7298</v>
      </c>
      <c r="FC3606" s="8" t="s">
        <v>7299</v>
      </c>
      <c r="FD3606" s="8">
        <v>50</v>
      </c>
      <c r="FE3606" s="8">
        <v>5</v>
      </c>
    </row>
    <row r="3607" spans="158:161" ht="74.25" customHeight="1" x14ac:dyDescent="0.2">
      <c r="FB3607" s="8" t="s">
        <v>7300</v>
      </c>
      <c r="FC3607" s="8" t="s">
        <v>7301</v>
      </c>
      <c r="FD3607" s="8">
        <v>6</v>
      </c>
      <c r="FE3607" s="8">
        <v>0.6</v>
      </c>
    </row>
    <row r="3608" spans="158:161" ht="74.25" customHeight="1" x14ac:dyDescent="0.2">
      <c r="FB3608" s="8" t="s">
        <v>7302</v>
      </c>
      <c r="FC3608" s="8" t="s">
        <v>9480</v>
      </c>
      <c r="FD3608" s="8">
        <v>17</v>
      </c>
      <c r="FE3608" s="8">
        <v>8.1</v>
      </c>
    </row>
    <row r="3609" spans="158:161" ht="74.25" customHeight="1" x14ac:dyDescent="0.2">
      <c r="FB3609" s="8" t="s">
        <v>7303</v>
      </c>
      <c r="FC3609" s="8" t="s">
        <v>9481</v>
      </c>
      <c r="FD3609" s="8">
        <v>2.8</v>
      </c>
      <c r="FE3609" s="8">
        <v>0.56999999999999995</v>
      </c>
    </row>
    <row r="3610" spans="158:161" ht="74.25" customHeight="1" x14ac:dyDescent="0.2">
      <c r="FB3610" s="8" t="s">
        <v>7304</v>
      </c>
      <c r="FC3610" s="8" t="s">
        <v>7305</v>
      </c>
      <c r="FD3610" s="8" t="s">
        <v>9511</v>
      </c>
      <c r="FE3610" s="8">
        <v>0.71</v>
      </c>
    </row>
    <row r="3611" spans="158:161" ht="74.25" customHeight="1" x14ac:dyDescent="0.2">
      <c r="FB3611" s="8" t="s">
        <v>7306</v>
      </c>
      <c r="FC3611" s="8" t="s">
        <v>7307</v>
      </c>
      <c r="FD3611" s="8">
        <v>11</v>
      </c>
      <c r="FE3611" s="8">
        <v>1.1000000000000001</v>
      </c>
    </row>
    <row r="3612" spans="158:161" ht="74.25" customHeight="1" x14ac:dyDescent="0.2">
      <c r="FB3612" s="8" t="s">
        <v>7308</v>
      </c>
      <c r="FC3612" s="8" t="s">
        <v>7308</v>
      </c>
      <c r="FD3612" s="8">
        <v>50</v>
      </c>
      <c r="FE3612" s="8">
        <v>5</v>
      </c>
    </row>
    <row r="3613" spans="158:161" ht="74.25" customHeight="1" x14ac:dyDescent="0.2">
      <c r="FB3613" s="8" t="s">
        <v>7309</v>
      </c>
      <c r="FC3613" s="8" t="s">
        <v>7310</v>
      </c>
      <c r="FD3613" s="8">
        <v>50</v>
      </c>
      <c r="FE3613" s="8">
        <v>5</v>
      </c>
    </row>
    <row r="3614" spans="158:161" ht="74.25" customHeight="1" x14ac:dyDescent="0.2">
      <c r="FB3614" s="8" t="s">
        <v>7311</v>
      </c>
      <c r="FC3614" s="8" t="s">
        <v>7312</v>
      </c>
      <c r="FD3614" s="8">
        <v>50</v>
      </c>
      <c r="FE3614" s="8">
        <v>5</v>
      </c>
    </row>
    <row r="3615" spans="158:161" ht="74.25" customHeight="1" x14ac:dyDescent="0.2">
      <c r="FB3615" s="8" t="s">
        <v>7313</v>
      </c>
      <c r="FC3615" s="8" t="s">
        <v>7314</v>
      </c>
      <c r="FD3615" s="8">
        <v>50</v>
      </c>
      <c r="FE3615" s="8">
        <v>5</v>
      </c>
    </row>
    <row r="3616" spans="158:161" ht="74.25" customHeight="1" x14ac:dyDescent="0.2">
      <c r="FB3616" s="8" t="s">
        <v>7315</v>
      </c>
      <c r="FC3616" s="8" t="s">
        <v>7316</v>
      </c>
      <c r="FD3616" s="8">
        <v>60</v>
      </c>
      <c r="FE3616" s="8">
        <v>6</v>
      </c>
    </row>
    <row r="3617" spans="158:161" ht="74.25" customHeight="1" x14ac:dyDescent="0.2">
      <c r="FB3617" s="8" t="s">
        <v>7317</v>
      </c>
      <c r="FC3617" s="8" t="s">
        <v>7318</v>
      </c>
      <c r="FD3617" s="8">
        <v>28</v>
      </c>
      <c r="FE3617" s="8">
        <v>2.8</v>
      </c>
    </row>
    <row r="3618" spans="158:161" ht="74.25" customHeight="1" x14ac:dyDescent="0.2">
      <c r="FB3618" s="8" t="s">
        <v>7319</v>
      </c>
      <c r="FC3618" s="8" t="s">
        <v>7320</v>
      </c>
      <c r="FD3618" s="8">
        <v>500</v>
      </c>
      <c r="FE3618" s="8">
        <v>50</v>
      </c>
    </row>
    <row r="3619" spans="158:161" ht="74.25" customHeight="1" x14ac:dyDescent="0.2">
      <c r="FB3619" s="8" t="s">
        <v>7321</v>
      </c>
      <c r="FC3619" s="8" t="s">
        <v>7322</v>
      </c>
      <c r="FD3619" s="8">
        <v>1</v>
      </c>
      <c r="FE3619" s="8">
        <v>0.1</v>
      </c>
    </row>
    <row r="3620" spans="158:161" ht="74.25" customHeight="1" x14ac:dyDescent="0.2">
      <c r="FB3620" s="8" t="s">
        <v>7323</v>
      </c>
      <c r="FC3620" s="8" t="s">
        <v>7324</v>
      </c>
      <c r="FD3620" s="8">
        <v>360</v>
      </c>
      <c r="FE3620" s="8">
        <v>36</v>
      </c>
    </row>
    <row r="3621" spans="158:161" ht="74.25" customHeight="1" x14ac:dyDescent="0.2">
      <c r="FB3621" s="8" t="s">
        <v>7325</v>
      </c>
      <c r="FC3621" s="8" t="s">
        <v>7326</v>
      </c>
      <c r="FD3621" s="8">
        <v>1120</v>
      </c>
      <c r="FE3621" s="8">
        <v>112</v>
      </c>
    </row>
    <row r="3622" spans="158:161" ht="74.25" customHeight="1" x14ac:dyDescent="0.2">
      <c r="FB3622" s="8" t="s">
        <v>7327</v>
      </c>
      <c r="FC3622" s="8" t="s">
        <v>7328</v>
      </c>
      <c r="FD3622" s="8">
        <v>1120</v>
      </c>
      <c r="FE3622" s="8">
        <v>112</v>
      </c>
    </row>
    <row r="3623" spans="158:161" ht="74.25" customHeight="1" x14ac:dyDescent="0.2">
      <c r="FB3623" s="8" t="s">
        <v>7329</v>
      </c>
      <c r="FC3623" s="8" t="s">
        <v>7330</v>
      </c>
      <c r="FD3623" s="8">
        <v>1</v>
      </c>
      <c r="FE3623" s="8">
        <v>0.1</v>
      </c>
    </row>
    <row r="3624" spans="158:161" ht="74.25" customHeight="1" x14ac:dyDescent="0.2">
      <c r="FB3624" s="8" t="s">
        <v>7331</v>
      </c>
      <c r="FC3624" s="8" t="s">
        <v>7332</v>
      </c>
      <c r="FD3624" s="8">
        <v>1</v>
      </c>
      <c r="FE3624" s="8">
        <v>0.1</v>
      </c>
    </row>
    <row r="3625" spans="158:161" ht="74.25" customHeight="1" x14ac:dyDescent="0.2">
      <c r="FB3625" s="8" t="s">
        <v>7333</v>
      </c>
      <c r="FC3625" s="8" t="s">
        <v>7334</v>
      </c>
      <c r="FD3625" s="8">
        <v>40</v>
      </c>
      <c r="FE3625" s="8">
        <v>4</v>
      </c>
    </row>
    <row r="3626" spans="158:161" ht="74.25" customHeight="1" x14ac:dyDescent="0.2">
      <c r="FB3626" s="8" t="s">
        <v>7335</v>
      </c>
      <c r="FC3626" s="8" t="s">
        <v>7336</v>
      </c>
      <c r="FD3626" s="8">
        <v>500</v>
      </c>
      <c r="FE3626" s="8">
        <v>50</v>
      </c>
    </row>
    <row r="3627" spans="158:161" ht="74.25" customHeight="1" x14ac:dyDescent="0.2">
      <c r="FB3627" s="8" t="s">
        <v>7337</v>
      </c>
      <c r="FC3627" s="8" t="s">
        <v>7338</v>
      </c>
      <c r="FD3627" s="8">
        <v>500</v>
      </c>
      <c r="FE3627" s="8">
        <v>50</v>
      </c>
    </row>
    <row r="3628" spans="158:161" ht="74.25" customHeight="1" x14ac:dyDescent="0.2">
      <c r="FB3628" s="8" t="s">
        <v>7339</v>
      </c>
      <c r="FC3628" s="8" t="s">
        <v>7340</v>
      </c>
      <c r="FD3628" s="8">
        <v>500</v>
      </c>
      <c r="FE3628" s="8">
        <v>50</v>
      </c>
    </row>
    <row r="3629" spans="158:161" ht="74.25" customHeight="1" x14ac:dyDescent="0.2">
      <c r="FB3629" s="8" t="s">
        <v>7341</v>
      </c>
      <c r="FC3629" s="8" t="s">
        <v>7342</v>
      </c>
      <c r="FD3629" s="8">
        <v>500</v>
      </c>
      <c r="FE3629" s="8">
        <v>50</v>
      </c>
    </row>
    <row r="3630" spans="158:161" ht="74.25" customHeight="1" x14ac:dyDescent="0.2">
      <c r="FB3630" s="8" t="s">
        <v>7343</v>
      </c>
      <c r="FC3630" s="8" t="s">
        <v>7344</v>
      </c>
      <c r="FD3630" s="8">
        <v>40</v>
      </c>
      <c r="FE3630" s="8">
        <v>4</v>
      </c>
    </row>
    <row r="3631" spans="158:161" ht="74.25" customHeight="1" x14ac:dyDescent="0.2">
      <c r="FB3631" s="8" t="s">
        <v>7345</v>
      </c>
      <c r="FC3631" s="8" t="s">
        <v>7346</v>
      </c>
      <c r="FD3631" s="8">
        <v>1000</v>
      </c>
      <c r="FE3631" s="8">
        <v>100</v>
      </c>
    </row>
    <row r="3632" spans="158:161" ht="74.25" customHeight="1" x14ac:dyDescent="0.2">
      <c r="FB3632" s="8" t="s">
        <v>7347</v>
      </c>
      <c r="FC3632" s="8" t="s">
        <v>7348</v>
      </c>
      <c r="FD3632" s="8">
        <v>1100</v>
      </c>
      <c r="FE3632" s="8">
        <v>110</v>
      </c>
    </row>
    <row r="3633" spans="158:161" ht="74.25" customHeight="1" x14ac:dyDescent="0.2">
      <c r="FB3633" s="8" t="s">
        <v>7349</v>
      </c>
      <c r="FC3633" s="8" t="s">
        <v>7350</v>
      </c>
      <c r="FD3633" s="8">
        <v>1100</v>
      </c>
      <c r="FE3633" s="8">
        <v>110</v>
      </c>
    </row>
    <row r="3634" spans="158:161" ht="74.25" customHeight="1" x14ac:dyDescent="0.2">
      <c r="FB3634" s="8" t="s">
        <v>7351</v>
      </c>
      <c r="FC3634" s="8" t="s">
        <v>7352</v>
      </c>
      <c r="FD3634" s="8">
        <v>20</v>
      </c>
      <c r="FE3634" s="8">
        <v>2</v>
      </c>
    </row>
    <row r="3635" spans="158:161" ht="74.25" customHeight="1" x14ac:dyDescent="0.2">
      <c r="FB3635" s="8" t="s">
        <v>7353</v>
      </c>
      <c r="FC3635" s="8" t="s">
        <v>7354</v>
      </c>
      <c r="FD3635" s="8">
        <v>600</v>
      </c>
      <c r="FE3635" s="8">
        <v>60</v>
      </c>
    </row>
    <row r="3636" spans="158:161" ht="74.25" customHeight="1" x14ac:dyDescent="0.2">
      <c r="FB3636" s="8" t="s">
        <v>7355</v>
      </c>
      <c r="FC3636" s="8" t="s">
        <v>7356</v>
      </c>
      <c r="FD3636" s="8">
        <v>250</v>
      </c>
      <c r="FE3636" s="8">
        <v>48</v>
      </c>
    </row>
    <row r="3637" spans="158:161" ht="74.25" customHeight="1" x14ac:dyDescent="0.2">
      <c r="FB3637" s="8" t="s">
        <v>7357</v>
      </c>
      <c r="FC3637" s="8" t="s">
        <v>7358</v>
      </c>
      <c r="FD3637" s="8">
        <v>30</v>
      </c>
      <c r="FE3637" s="8">
        <v>3</v>
      </c>
    </row>
    <row r="3638" spans="158:161" ht="74.25" customHeight="1" x14ac:dyDescent="0.2">
      <c r="FB3638" s="8" t="s">
        <v>7359</v>
      </c>
      <c r="FC3638" s="8" t="s">
        <v>7360</v>
      </c>
      <c r="FD3638" s="8">
        <v>10</v>
      </c>
      <c r="FE3638" s="8">
        <v>1</v>
      </c>
    </row>
    <row r="3639" spans="158:161" ht="74.25" customHeight="1" x14ac:dyDescent="0.2">
      <c r="FB3639" s="8" t="s">
        <v>7361</v>
      </c>
      <c r="FC3639" s="8" t="s">
        <v>7362</v>
      </c>
      <c r="FD3639" s="8">
        <v>110</v>
      </c>
      <c r="FE3639" s="8">
        <v>11</v>
      </c>
    </row>
    <row r="3640" spans="158:161" ht="74.25" customHeight="1" x14ac:dyDescent="0.2">
      <c r="FB3640" s="8" t="s">
        <v>7363</v>
      </c>
      <c r="FC3640" s="8" t="s">
        <v>7364</v>
      </c>
      <c r="FD3640" s="8">
        <v>5000</v>
      </c>
      <c r="FE3640" s="8">
        <v>500</v>
      </c>
    </row>
    <row r="3641" spans="158:161" ht="74.25" customHeight="1" x14ac:dyDescent="0.2">
      <c r="FB3641" s="8" t="s">
        <v>7365</v>
      </c>
      <c r="FC3641" s="8" t="s">
        <v>7366</v>
      </c>
      <c r="FD3641" s="8">
        <v>500</v>
      </c>
      <c r="FE3641" s="8">
        <v>50</v>
      </c>
    </row>
    <row r="3642" spans="158:161" ht="74.25" customHeight="1" x14ac:dyDescent="0.2">
      <c r="FB3642" s="8" t="s">
        <v>7367</v>
      </c>
      <c r="FC3642" s="8" t="s">
        <v>7368</v>
      </c>
      <c r="FD3642" s="8">
        <v>1000</v>
      </c>
      <c r="FE3642" s="8">
        <v>100</v>
      </c>
    </row>
    <row r="3643" spans="158:161" ht="74.25" customHeight="1" x14ac:dyDescent="0.2">
      <c r="FB3643" s="8" t="s">
        <v>7369</v>
      </c>
      <c r="FC3643" s="8" t="s">
        <v>7370</v>
      </c>
      <c r="FD3643" s="8">
        <v>500</v>
      </c>
      <c r="FE3643" s="8">
        <v>50</v>
      </c>
    </row>
    <row r="3644" spans="158:161" ht="74.25" customHeight="1" x14ac:dyDescent="0.2">
      <c r="FB3644" s="8" t="s">
        <v>7371</v>
      </c>
      <c r="FC3644" s="8" t="s">
        <v>7372</v>
      </c>
      <c r="FD3644" s="8">
        <v>1000</v>
      </c>
      <c r="FE3644" s="8">
        <v>100</v>
      </c>
    </row>
    <row r="3645" spans="158:161" ht="74.25" customHeight="1" x14ac:dyDescent="0.2">
      <c r="FB3645" s="8" t="s">
        <v>7373</v>
      </c>
      <c r="FC3645" s="8" t="s">
        <v>7374</v>
      </c>
      <c r="FD3645" s="8">
        <v>1000</v>
      </c>
      <c r="FE3645" s="8">
        <v>100</v>
      </c>
    </row>
    <row r="3646" spans="158:161" ht="74.25" customHeight="1" x14ac:dyDescent="0.2">
      <c r="FB3646" s="8" t="s">
        <v>7375</v>
      </c>
      <c r="FC3646" s="8" t="s">
        <v>7376</v>
      </c>
      <c r="FD3646" s="8">
        <v>1000</v>
      </c>
      <c r="FE3646" s="8">
        <v>100</v>
      </c>
    </row>
    <row r="3647" spans="158:161" ht="74.25" customHeight="1" x14ac:dyDescent="0.2">
      <c r="FB3647" s="8" t="s">
        <v>7377</v>
      </c>
      <c r="FC3647" s="8" t="s">
        <v>7378</v>
      </c>
      <c r="FD3647" s="8">
        <v>1000</v>
      </c>
      <c r="FE3647" s="8">
        <v>100</v>
      </c>
    </row>
    <row r="3648" spans="158:161" ht="74.25" customHeight="1" x14ac:dyDescent="0.2">
      <c r="FB3648" s="8" t="s">
        <v>7379</v>
      </c>
      <c r="FC3648" s="8" t="s">
        <v>7380</v>
      </c>
      <c r="FD3648" s="8">
        <v>600</v>
      </c>
      <c r="FE3648" s="8">
        <v>60</v>
      </c>
    </row>
    <row r="3649" spans="158:161" ht="74.25" customHeight="1" x14ac:dyDescent="0.2">
      <c r="FB3649" s="8" t="s">
        <v>7381</v>
      </c>
      <c r="FC3649" s="8" t="s">
        <v>7382</v>
      </c>
      <c r="FD3649" s="8">
        <v>1000</v>
      </c>
      <c r="FE3649" s="8">
        <v>100</v>
      </c>
    </row>
    <row r="3650" spans="158:161" ht="74.25" customHeight="1" x14ac:dyDescent="0.2">
      <c r="FB3650" s="8" t="s">
        <v>7383</v>
      </c>
      <c r="FC3650" s="8" t="s">
        <v>7384</v>
      </c>
      <c r="FD3650" s="8">
        <v>500</v>
      </c>
      <c r="FE3650" s="8">
        <v>50</v>
      </c>
    </row>
    <row r="3651" spans="158:161" ht="74.25" customHeight="1" x14ac:dyDescent="0.2">
      <c r="FB3651" s="8" t="s">
        <v>7385</v>
      </c>
      <c r="FC3651" s="8" t="s">
        <v>7386</v>
      </c>
      <c r="FD3651" s="8">
        <v>370</v>
      </c>
      <c r="FE3651" s="8">
        <v>37</v>
      </c>
    </row>
    <row r="3652" spans="158:161" ht="74.25" customHeight="1" x14ac:dyDescent="0.2">
      <c r="FB3652" s="8" t="s">
        <v>7387</v>
      </c>
      <c r="FC3652" s="8" t="s">
        <v>7388</v>
      </c>
      <c r="FD3652" s="8">
        <v>1000</v>
      </c>
      <c r="FE3652" s="8">
        <v>100</v>
      </c>
    </row>
    <row r="3653" spans="158:161" ht="74.25" customHeight="1" x14ac:dyDescent="0.2">
      <c r="FB3653" s="8" t="s">
        <v>7389</v>
      </c>
      <c r="FC3653" s="8" t="s">
        <v>7390</v>
      </c>
      <c r="FD3653" s="8">
        <v>1000</v>
      </c>
      <c r="FE3653" s="8">
        <v>100</v>
      </c>
    </row>
    <row r="3654" spans="158:161" ht="74.25" customHeight="1" x14ac:dyDescent="0.2">
      <c r="FB3654" s="8" t="s">
        <v>7391</v>
      </c>
      <c r="FC3654" s="8" t="s">
        <v>9872</v>
      </c>
      <c r="FD3654" s="8">
        <v>4300</v>
      </c>
      <c r="FE3654" s="8">
        <v>430</v>
      </c>
    </row>
    <row r="3655" spans="158:161" ht="74.25" customHeight="1" x14ac:dyDescent="0.2">
      <c r="FB3655" s="8" t="s">
        <v>7392</v>
      </c>
      <c r="FC3655" s="8" t="s">
        <v>7393</v>
      </c>
      <c r="FD3655" s="8">
        <v>180</v>
      </c>
      <c r="FE3655" s="8">
        <v>18</v>
      </c>
    </row>
    <row r="3656" spans="158:161" ht="74.25" customHeight="1" x14ac:dyDescent="0.2">
      <c r="FB3656" s="8" t="s">
        <v>7394</v>
      </c>
      <c r="FC3656" s="8" t="s">
        <v>7395</v>
      </c>
      <c r="FD3656" s="8">
        <v>1000</v>
      </c>
      <c r="FE3656" s="8">
        <v>100</v>
      </c>
    </row>
    <row r="3657" spans="158:161" ht="74.25" customHeight="1" x14ac:dyDescent="0.2">
      <c r="FB3657" s="8" t="s">
        <v>7396</v>
      </c>
      <c r="FC3657" s="8" t="s">
        <v>7397</v>
      </c>
      <c r="FD3657" s="8">
        <v>1000</v>
      </c>
      <c r="FE3657" s="8">
        <v>100</v>
      </c>
    </row>
    <row r="3658" spans="158:161" ht="74.25" customHeight="1" x14ac:dyDescent="0.2">
      <c r="FB3658" s="8" t="s">
        <v>7398</v>
      </c>
      <c r="FC3658" s="8" t="s">
        <v>7399</v>
      </c>
      <c r="FD3658" s="8">
        <v>1000</v>
      </c>
      <c r="FE3658" s="8">
        <v>100</v>
      </c>
    </row>
    <row r="3659" spans="158:161" ht="74.25" customHeight="1" x14ac:dyDescent="0.2">
      <c r="FB3659" s="8" t="s">
        <v>7400</v>
      </c>
      <c r="FC3659" s="8" t="s">
        <v>7401</v>
      </c>
      <c r="FD3659" s="8">
        <v>180</v>
      </c>
      <c r="FE3659" s="8">
        <v>18</v>
      </c>
    </row>
    <row r="3660" spans="158:161" ht="74.25" customHeight="1" x14ac:dyDescent="0.2">
      <c r="FB3660" s="8" t="s">
        <v>9917</v>
      </c>
      <c r="FC3660" s="8" t="s">
        <v>9917</v>
      </c>
      <c r="FD3660" s="8">
        <v>1000</v>
      </c>
      <c r="FE3660" s="8">
        <v>100</v>
      </c>
    </row>
    <row r="3661" spans="158:161" ht="74.25" customHeight="1" x14ac:dyDescent="0.2">
      <c r="FB3661" s="8" t="s">
        <v>7402</v>
      </c>
      <c r="FC3661" s="8" t="s">
        <v>7402</v>
      </c>
      <c r="FD3661" s="8">
        <v>1000</v>
      </c>
      <c r="FE3661" s="8">
        <v>100</v>
      </c>
    </row>
    <row r="3662" spans="158:161" ht="74.25" customHeight="1" x14ac:dyDescent="0.2">
      <c r="FB3662" s="8" t="s">
        <v>7403</v>
      </c>
      <c r="FC3662" s="8" t="s">
        <v>7404</v>
      </c>
      <c r="FD3662" s="8">
        <v>1000</v>
      </c>
      <c r="FE3662" s="8">
        <v>100</v>
      </c>
    </row>
    <row r="3663" spans="158:161" ht="74.25" customHeight="1" x14ac:dyDescent="0.2">
      <c r="FB3663" s="8" t="s">
        <v>7405</v>
      </c>
      <c r="FC3663" s="8" t="s">
        <v>7406</v>
      </c>
      <c r="FD3663" s="8">
        <v>500</v>
      </c>
      <c r="FE3663" s="8">
        <v>50</v>
      </c>
    </row>
    <row r="3664" spans="158:161" ht="74.25" customHeight="1" x14ac:dyDescent="0.2">
      <c r="FB3664" s="8" t="s">
        <v>7407</v>
      </c>
      <c r="FC3664" s="8" t="s">
        <v>7407</v>
      </c>
      <c r="FD3664" s="8">
        <v>100</v>
      </c>
      <c r="FE3664" s="8">
        <v>10</v>
      </c>
    </row>
    <row r="3665" spans="158:161" ht="74.25" customHeight="1" x14ac:dyDescent="0.2">
      <c r="FB3665" s="8" t="s">
        <v>7408</v>
      </c>
      <c r="FC3665" s="8" t="s">
        <v>7408</v>
      </c>
      <c r="FD3665" s="8">
        <v>50</v>
      </c>
      <c r="FE3665" s="8">
        <v>5</v>
      </c>
    </row>
    <row r="3666" spans="158:161" ht="74.25" customHeight="1" x14ac:dyDescent="0.2">
      <c r="FB3666" s="8" t="s">
        <v>7409</v>
      </c>
      <c r="FC3666" s="8" t="s">
        <v>7409</v>
      </c>
      <c r="FD3666" s="8">
        <v>100</v>
      </c>
      <c r="FE3666" s="8">
        <v>10</v>
      </c>
    </row>
    <row r="3667" spans="158:161" ht="74.25" customHeight="1" x14ac:dyDescent="0.2">
      <c r="FB3667" s="8" t="s">
        <v>7410</v>
      </c>
      <c r="FC3667" s="8" t="s">
        <v>7411</v>
      </c>
      <c r="FD3667" s="8">
        <v>5000</v>
      </c>
      <c r="FE3667" s="8">
        <v>500</v>
      </c>
    </row>
    <row r="3668" spans="158:161" ht="74.25" customHeight="1" x14ac:dyDescent="0.2">
      <c r="FB3668" s="8" t="s">
        <v>7412</v>
      </c>
      <c r="FC3668" s="8" t="s">
        <v>7413</v>
      </c>
      <c r="FD3668" s="8">
        <v>600</v>
      </c>
      <c r="FE3668" s="8">
        <v>60</v>
      </c>
    </row>
    <row r="3669" spans="158:161" ht="74.25" customHeight="1" x14ac:dyDescent="0.2">
      <c r="FB3669" s="8" t="s">
        <v>7414</v>
      </c>
      <c r="FC3669" s="8" t="s">
        <v>7415</v>
      </c>
      <c r="FD3669" s="8">
        <v>0.1</v>
      </c>
      <c r="FE3669" s="8">
        <v>0.01</v>
      </c>
    </row>
    <row r="3670" spans="158:161" ht="74.25" customHeight="1" x14ac:dyDescent="0.2">
      <c r="FB3670" s="8" t="s">
        <v>7416</v>
      </c>
      <c r="FC3670" s="8" t="s">
        <v>7416</v>
      </c>
      <c r="FD3670" s="8" t="s">
        <v>9511</v>
      </c>
      <c r="FE3670" s="8">
        <v>2.9999999999999997E-8</v>
      </c>
    </row>
    <row r="3671" spans="158:161" ht="74.25" customHeight="1" x14ac:dyDescent="0.2">
      <c r="FB3671" s="8" t="s">
        <v>7417</v>
      </c>
      <c r="FC3671" s="8" t="s">
        <v>7418</v>
      </c>
      <c r="FD3671" s="8">
        <v>1000</v>
      </c>
      <c r="FE3671" s="8">
        <v>100</v>
      </c>
    </row>
    <row r="3672" spans="158:161" ht="74.25" customHeight="1" x14ac:dyDescent="0.2">
      <c r="FB3672" s="8" t="s">
        <v>7419</v>
      </c>
      <c r="FC3672" s="8" t="s">
        <v>7420</v>
      </c>
      <c r="FD3672" s="8">
        <v>1000</v>
      </c>
      <c r="FE3672" s="8">
        <v>100</v>
      </c>
    </row>
    <row r="3673" spans="158:161" ht="74.25" customHeight="1" x14ac:dyDescent="0.2">
      <c r="FB3673" s="8" t="s">
        <v>9918</v>
      </c>
      <c r="FC3673" s="8" t="s">
        <v>9918</v>
      </c>
      <c r="FD3673" s="8">
        <v>1000</v>
      </c>
      <c r="FE3673" s="8">
        <v>100</v>
      </c>
    </row>
    <row r="3674" spans="158:161" ht="74.25" customHeight="1" x14ac:dyDescent="0.2">
      <c r="FB3674" s="8" t="s">
        <v>7421</v>
      </c>
      <c r="FC3674" s="8" t="s">
        <v>7422</v>
      </c>
      <c r="FD3674" s="8">
        <v>600</v>
      </c>
      <c r="FE3674" s="8">
        <v>60</v>
      </c>
    </row>
    <row r="3675" spans="158:161" ht="74.25" customHeight="1" x14ac:dyDescent="0.2">
      <c r="FB3675" s="8" t="s">
        <v>7423</v>
      </c>
      <c r="FC3675" s="8" t="s">
        <v>7424</v>
      </c>
      <c r="FD3675" s="8">
        <v>600</v>
      </c>
      <c r="FE3675" s="8">
        <v>60</v>
      </c>
    </row>
    <row r="3676" spans="158:161" ht="74.25" customHeight="1" x14ac:dyDescent="0.2">
      <c r="FB3676" s="8" t="s">
        <v>7425</v>
      </c>
      <c r="FC3676" s="8" t="s">
        <v>7425</v>
      </c>
      <c r="FD3676" s="8">
        <v>1000</v>
      </c>
      <c r="FE3676" s="8">
        <v>100</v>
      </c>
    </row>
    <row r="3677" spans="158:161" ht="74.25" customHeight="1" x14ac:dyDescent="0.2">
      <c r="FB3677" s="8" t="s">
        <v>7426</v>
      </c>
      <c r="FC3677" s="8" t="s">
        <v>7427</v>
      </c>
      <c r="FD3677" s="8">
        <v>1000</v>
      </c>
      <c r="FE3677" s="8">
        <v>100</v>
      </c>
    </row>
    <row r="3678" spans="158:161" ht="74.25" customHeight="1" x14ac:dyDescent="0.2">
      <c r="FB3678" s="8" t="s">
        <v>7428</v>
      </c>
      <c r="FC3678" s="8" t="s">
        <v>7429</v>
      </c>
      <c r="FD3678" s="8">
        <v>600</v>
      </c>
      <c r="FE3678" s="8">
        <v>60</v>
      </c>
    </row>
    <row r="3679" spans="158:161" ht="74.25" customHeight="1" x14ac:dyDescent="0.2">
      <c r="FB3679" s="8" t="s">
        <v>7430</v>
      </c>
      <c r="FC3679" s="8" t="s">
        <v>7431</v>
      </c>
      <c r="FD3679" s="8">
        <v>600</v>
      </c>
      <c r="FE3679" s="8">
        <v>60</v>
      </c>
    </row>
    <row r="3680" spans="158:161" ht="74.25" customHeight="1" x14ac:dyDescent="0.2">
      <c r="FB3680" s="8" t="s">
        <v>7432</v>
      </c>
      <c r="FC3680" s="8" t="s">
        <v>7433</v>
      </c>
      <c r="FD3680" s="8">
        <v>1000</v>
      </c>
      <c r="FE3680" s="8">
        <v>100</v>
      </c>
    </row>
    <row r="3681" spans="158:161" ht="74.25" customHeight="1" x14ac:dyDescent="0.2">
      <c r="FB3681" s="8" t="s">
        <v>7434</v>
      </c>
      <c r="FC3681" s="8" t="s">
        <v>7435</v>
      </c>
      <c r="FD3681" s="8">
        <v>1000</v>
      </c>
      <c r="FE3681" s="8">
        <v>100</v>
      </c>
    </row>
    <row r="3682" spans="158:161" ht="74.25" customHeight="1" x14ac:dyDescent="0.2">
      <c r="FB3682" s="8" t="s">
        <v>7436</v>
      </c>
      <c r="FC3682" s="8" t="s">
        <v>7437</v>
      </c>
      <c r="FD3682" s="8">
        <v>200</v>
      </c>
      <c r="FE3682" s="8">
        <v>20</v>
      </c>
    </row>
    <row r="3683" spans="158:161" ht="74.25" customHeight="1" x14ac:dyDescent="0.2">
      <c r="FB3683" s="8" t="s">
        <v>7438</v>
      </c>
      <c r="FC3683" s="8" t="s">
        <v>7439</v>
      </c>
      <c r="FD3683" s="8">
        <v>1000</v>
      </c>
      <c r="FE3683" s="8">
        <v>100</v>
      </c>
    </row>
    <row r="3684" spans="158:161" ht="74.25" customHeight="1" x14ac:dyDescent="0.2">
      <c r="FB3684" s="8" t="s">
        <v>7440</v>
      </c>
      <c r="FC3684" s="8" t="s">
        <v>7441</v>
      </c>
      <c r="FD3684" s="8">
        <v>270</v>
      </c>
      <c r="FE3684" s="8">
        <v>27</v>
      </c>
    </row>
    <row r="3685" spans="158:161" ht="74.25" customHeight="1" x14ac:dyDescent="0.2">
      <c r="FB3685" s="8" t="s">
        <v>7442</v>
      </c>
      <c r="FC3685" s="8" t="s">
        <v>7443</v>
      </c>
      <c r="FD3685" s="8">
        <v>50</v>
      </c>
      <c r="FE3685" s="8">
        <v>5</v>
      </c>
    </row>
    <row r="3686" spans="158:161" ht="74.25" customHeight="1" x14ac:dyDescent="0.2">
      <c r="FB3686" s="8" t="s">
        <v>7444</v>
      </c>
      <c r="FC3686" s="8" t="s">
        <v>7445</v>
      </c>
      <c r="FD3686" s="8">
        <v>125</v>
      </c>
      <c r="FE3686" s="8">
        <v>12.5</v>
      </c>
    </row>
    <row r="3687" spans="158:161" ht="74.25" customHeight="1" x14ac:dyDescent="0.2">
      <c r="FB3687" s="8" t="s">
        <v>7446</v>
      </c>
      <c r="FC3687" s="8" t="s">
        <v>7447</v>
      </c>
      <c r="FD3687" s="8">
        <v>100</v>
      </c>
      <c r="FE3687" s="8">
        <v>10</v>
      </c>
    </row>
    <row r="3688" spans="158:161" ht="74.25" customHeight="1" x14ac:dyDescent="0.2">
      <c r="FB3688" s="8" t="s">
        <v>7448</v>
      </c>
      <c r="FC3688" s="8" t="s">
        <v>7449</v>
      </c>
      <c r="FD3688" s="8">
        <v>1000</v>
      </c>
      <c r="FE3688" s="8">
        <v>100</v>
      </c>
    </row>
    <row r="3689" spans="158:161" ht="74.25" customHeight="1" x14ac:dyDescent="0.2">
      <c r="FB3689" s="8" t="s">
        <v>7450</v>
      </c>
      <c r="FC3689" s="8" t="s">
        <v>7451</v>
      </c>
      <c r="FD3689" s="8">
        <v>100</v>
      </c>
      <c r="FE3689" s="8">
        <v>10</v>
      </c>
    </row>
    <row r="3690" spans="158:161" ht="74.25" customHeight="1" x14ac:dyDescent="0.2">
      <c r="FB3690" s="8" t="s">
        <v>7452</v>
      </c>
      <c r="FC3690" s="8" t="s">
        <v>7453</v>
      </c>
      <c r="FD3690" s="8">
        <v>100</v>
      </c>
      <c r="FE3690" s="8">
        <v>10</v>
      </c>
    </row>
    <row r="3691" spans="158:161" ht="74.25" customHeight="1" x14ac:dyDescent="0.2">
      <c r="FB3691" s="8" t="s">
        <v>7454</v>
      </c>
      <c r="FC3691" s="8" t="s">
        <v>7455</v>
      </c>
      <c r="FD3691" s="8">
        <v>180</v>
      </c>
      <c r="FE3691" s="8">
        <v>18</v>
      </c>
    </row>
    <row r="3692" spans="158:161" ht="74.25" customHeight="1" x14ac:dyDescent="0.2">
      <c r="FB3692" s="8" t="s">
        <v>7456</v>
      </c>
      <c r="FC3692" s="8" t="s">
        <v>7457</v>
      </c>
      <c r="FD3692" s="8">
        <v>700</v>
      </c>
      <c r="FE3692" s="8">
        <v>70</v>
      </c>
    </row>
    <row r="3693" spans="158:161" ht="74.25" customHeight="1" x14ac:dyDescent="0.2">
      <c r="FB3693" s="8" t="s">
        <v>7458</v>
      </c>
      <c r="FC3693" s="8" t="s">
        <v>7458</v>
      </c>
      <c r="FD3693" s="8">
        <v>100</v>
      </c>
      <c r="FE3693" s="8">
        <v>10</v>
      </c>
    </row>
    <row r="3694" spans="158:161" ht="74.25" customHeight="1" x14ac:dyDescent="0.2">
      <c r="FB3694" s="8" t="s">
        <v>7459</v>
      </c>
      <c r="FC3694" s="8" t="s">
        <v>7460</v>
      </c>
      <c r="FD3694" s="8">
        <v>1000</v>
      </c>
      <c r="FE3694" s="8">
        <v>100</v>
      </c>
    </row>
    <row r="3695" spans="158:161" ht="74.25" customHeight="1" x14ac:dyDescent="0.2">
      <c r="FB3695" s="8" t="s">
        <v>7461</v>
      </c>
      <c r="FC3695" s="8" t="s">
        <v>7461</v>
      </c>
      <c r="FD3695" s="8">
        <v>1000</v>
      </c>
      <c r="FE3695" s="8">
        <v>100</v>
      </c>
    </row>
    <row r="3696" spans="158:161" ht="74.25" customHeight="1" x14ac:dyDescent="0.2">
      <c r="FB3696" s="8" t="s">
        <v>7462</v>
      </c>
      <c r="FC3696" s="8" t="s">
        <v>7463</v>
      </c>
      <c r="FD3696" s="8">
        <v>100</v>
      </c>
      <c r="FE3696" s="8">
        <v>10</v>
      </c>
    </row>
    <row r="3697" spans="158:161" ht="74.25" customHeight="1" x14ac:dyDescent="0.2">
      <c r="FB3697" s="8" t="s">
        <v>7464</v>
      </c>
      <c r="FC3697" s="8" t="s">
        <v>7465</v>
      </c>
      <c r="FD3697" s="8">
        <v>100</v>
      </c>
      <c r="FE3697" s="8">
        <v>10</v>
      </c>
    </row>
    <row r="3698" spans="158:161" ht="74.25" customHeight="1" x14ac:dyDescent="0.2">
      <c r="FB3698" s="8" t="s">
        <v>7466</v>
      </c>
      <c r="FC3698" s="8" t="s">
        <v>7467</v>
      </c>
      <c r="FD3698" s="8">
        <v>23000</v>
      </c>
      <c r="FE3698" s="8">
        <v>7100</v>
      </c>
    </row>
    <row r="3699" spans="158:161" ht="74.25" customHeight="1" x14ac:dyDescent="0.2">
      <c r="FB3699" s="8" t="s">
        <v>7468</v>
      </c>
      <c r="FC3699" s="8" t="s">
        <v>7469</v>
      </c>
      <c r="FD3699" s="8">
        <v>50</v>
      </c>
      <c r="FE3699" s="8">
        <v>5</v>
      </c>
    </row>
    <row r="3700" spans="158:161" ht="74.25" customHeight="1" x14ac:dyDescent="0.2">
      <c r="FB3700" s="8" t="s">
        <v>7470</v>
      </c>
      <c r="FC3700" s="8" t="s">
        <v>7471</v>
      </c>
      <c r="FD3700" s="8">
        <v>100</v>
      </c>
      <c r="FE3700" s="8">
        <v>10</v>
      </c>
    </row>
    <row r="3701" spans="158:161" ht="74.25" customHeight="1" x14ac:dyDescent="0.2">
      <c r="FB3701" s="8" t="s">
        <v>7472</v>
      </c>
      <c r="FC3701" s="8" t="s">
        <v>7473</v>
      </c>
      <c r="FD3701" s="8">
        <v>1000</v>
      </c>
      <c r="FE3701" s="8">
        <v>100</v>
      </c>
    </row>
    <row r="3702" spans="158:161" ht="74.25" customHeight="1" x14ac:dyDescent="0.2">
      <c r="FB3702" s="8" t="s">
        <v>7474</v>
      </c>
      <c r="FC3702" s="8" t="s">
        <v>7475</v>
      </c>
      <c r="FD3702" s="8">
        <v>1000</v>
      </c>
      <c r="FE3702" s="8">
        <v>100</v>
      </c>
    </row>
    <row r="3703" spans="158:161" ht="74.25" customHeight="1" x14ac:dyDescent="0.2">
      <c r="FB3703" s="8" t="s">
        <v>7476</v>
      </c>
      <c r="FC3703" s="8" t="s">
        <v>7476</v>
      </c>
      <c r="FD3703" s="8">
        <v>100</v>
      </c>
      <c r="FE3703" s="8">
        <v>10</v>
      </c>
    </row>
    <row r="3704" spans="158:161" ht="74.25" customHeight="1" x14ac:dyDescent="0.2">
      <c r="FB3704" s="8" t="s">
        <v>7477</v>
      </c>
      <c r="FC3704" s="8" t="s">
        <v>7477</v>
      </c>
      <c r="FD3704" s="8">
        <v>100</v>
      </c>
      <c r="FE3704" s="8">
        <v>10</v>
      </c>
    </row>
    <row r="3705" spans="158:161" ht="74.25" customHeight="1" x14ac:dyDescent="0.2">
      <c r="FB3705" s="8" t="s">
        <v>7478</v>
      </c>
      <c r="FC3705" s="8" t="s">
        <v>7479</v>
      </c>
      <c r="FD3705" s="8">
        <v>1000</v>
      </c>
      <c r="FE3705" s="8">
        <v>100</v>
      </c>
    </row>
    <row r="3706" spans="158:161" ht="74.25" customHeight="1" x14ac:dyDescent="0.2">
      <c r="FB3706" s="8" t="s">
        <v>7480</v>
      </c>
      <c r="FC3706" s="8" t="s">
        <v>7481</v>
      </c>
      <c r="FD3706" s="8">
        <v>600</v>
      </c>
      <c r="FE3706" s="8">
        <v>60</v>
      </c>
    </row>
    <row r="3707" spans="158:161" ht="74.25" customHeight="1" x14ac:dyDescent="0.2">
      <c r="FB3707" s="8" t="s">
        <v>7482</v>
      </c>
      <c r="FC3707" s="8" t="s">
        <v>7483</v>
      </c>
      <c r="FD3707" s="8">
        <v>1000</v>
      </c>
      <c r="FE3707" s="8">
        <v>100</v>
      </c>
    </row>
    <row r="3708" spans="158:161" ht="74.25" customHeight="1" x14ac:dyDescent="0.2">
      <c r="FB3708" s="8" t="s">
        <v>7484</v>
      </c>
      <c r="FC3708" s="8" t="s">
        <v>7485</v>
      </c>
      <c r="FD3708" s="8">
        <v>180</v>
      </c>
      <c r="FE3708" s="8">
        <v>18</v>
      </c>
    </row>
    <row r="3709" spans="158:161" ht="74.25" customHeight="1" x14ac:dyDescent="0.2">
      <c r="FB3709" s="8" t="s">
        <v>7486</v>
      </c>
      <c r="FC3709" s="8" t="s">
        <v>7487</v>
      </c>
      <c r="FD3709" s="8">
        <v>10</v>
      </c>
      <c r="FE3709" s="8">
        <v>1</v>
      </c>
    </row>
    <row r="3710" spans="158:161" ht="74.25" customHeight="1" x14ac:dyDescent="0.2">
      <c r="FB3710" s="8" t="s">
        <v>7488</v>
      </c>
      <c r="FC3710" s="8" t="s">
        <v>7489</v>
      </c>
      <c r="FD3710" s="8">
        <v>600</v>
      </c>
      <c r="FE3710" s="8">
        <v>60</v>
      </c>
    </row>
    <row r="3711" spans="158:161" ht="74.25" customHeight="1" x14ac:dyDescent="0.2">
      <c r="FB3711" s="8" t="s">
        <v>7490</v>
      </c>
      <c r="FC3711" s="8" t="s">
        <v>7491</v>
      </c>
      <c r="FD3711" s="8">
        <v>10</v>
      </c>
      <c r="FE3711" s="8">
        <v>1</v>
      </c>
    </row>
    <row r="3712" spans="158:161" ht="74.25" customHeight="1" x14ac:dyDescent="0.2">
      <c r="FB3712" s="8" t="s">
        <v>7492</v>
      </c>
      <c r="FC3712" s="8" t="s">
        <v>7493</v>
      </c>
      <c r="FD3712" s="8">
        <v>10</v>
      </c>
      <c r="FE3712" s="8">
        <v>1</v>
      </c>
    </row>
    <row r="3713" spans="158:161" ht="74.25" customHeight="1" x14ac:dyDescent="0.2">
      <c r="FB3713" s="8" t="s">
        <v>7494</v>
      </c>
      <c r="FC3713" s="8" t="s">
        <v>7495</v>
      </c>
      <c r="FD3713" s="8">
        <v>1000</v>
      </c>
      <c r="FE3713" s="8">
        <v>100</v>
      </c>
    </row>
    <row r="3714" spans="158:161" ht="74.25" customHeight="1" x14ac:dyDescent="0.2">
      <c r="FB3714" s="8" t="s">
        <v>7496</v>
      </c>
      <c r="FC3714" s="8" t="s">
        <v>7497</v>
      </c>
      <c r="FD3714" s="8">
        <v>1000</v>
      </c>
      <c r="FE3714" s="8">
        <v>100</v>
      </c>
    </row>
    <row r="3715" spans="158:161" ht="74.25" customHeight="1" x14ac:dyDescent="0.2">
      <c r="FB3715" s="8" t="s">
        <v>7498</v>
      </c>
      <c r="FC3715" s="8" t="s">
        <v>7499</v>
      </c>
      <c r="FD3715" s="8">
        <v>1000</v>
      </c>
      <c r="FE3715" s="8">
        <v>100</v>
      </c>
    </row>
    <row r="3716" spans="158:161" ht="74.25" customHeight="1" x14ac:dyDescent="0.2">
      <c r="FB3716" s="8" t="s">
        <v>7500</v>
      </c>
      <c r="FC3716" s="8" t="s">
        <v>7500</v>
      </c>
      <c r="FD3716" s="8">
        <v>100</v>
      </c>
      <c r="FE3716" s="8">
        <v>10</v>
      </c>
    </row>
    <row r="3717" spans="158:161" ht="74.25" customHeight="1" x14ac:dyDescent="0.2">
      <c r="FB3717" s="8" t="s">
        <v>7501</v>
      </c>
      <c r="FC3717" s="8" t="s">
        <v>7502</v>
      </c>
      <c r="FD3717" s="8">
        <v>1000</v>
      </c>
      <c r="FE3717" s="8">
        <v>100</v>
      </c>
    </row>
    <row r="3718" spans="158:161" ht="74.25" customHeight="1" x14ac:dyDescent="0.2">
      <c r="FB3718" s="8" t="s">
        <v>7503</v>
      </c>
      <c r="FC3718" s="8" t="s">
        <v>7504</v>
      </c>
      <c r="FD3718" s="8">
        <v>1000</v>
      </c>
      <c r="FE3718" s="8">
        <v>100</v>
      </c>
    </row>
    <row r="3719" spans="158:161" ht="74.25" customHeight="1" x14ac:dyDescent="0.2">
      <c r="FB3719" s="8" t="s">
        <v>7505</v>
      </c>
      <c r="FC3719" s="8" t="s">
        <v>7506</v>
      </c>
      <c r="FD3719" s="8">
        <v>1000</v>
      </c>
      <c r="FE3719" s="8">
        <v>100</v>
      </c>
    </row>
    <row r="3720" spans="158:161" ht="74.25" customHeight="1" x14ac:dyDescent="0.2">
      <c r="FB3720" s="8" t="s">
        <v>7507</v>
      </c>
      <c r="FC3720" s="8" t="s">
        <v>7508</v>
      </c>
      <c r="FD3720" s="8">
        <v>1000</v>
      </c>
      <c r="FE3720" s="8">
        <v>100</v>
      </c>
    </row>
    <row r="3721" spans="158:161" ht="74.25" customHeight="1" x14ac:dyDescent="0.2">
      <c r="FB3721" s="8" t="s">
        <v>7509</v>
      </c>
      <c r="FC3721" s="8" t="s">
        <v>7510</v>
      </c>
      <c r="FD3721" s="8">
        <v>1000</v>
      </c>
      <c r="FE3721" s="8">
        <v>100</v>
      </c>
    </row>
    <row r="3722" spans="158:161" ht="74.25" customHeight="1" x14ac:dyDescent="0.2">
      <c r="FB3722" s="8" t="s">
        <v>7511</v>
      </c>
      <c r="FC3722" s="8" t="s">
        <v>7512</v>
      </c>
      <c r="FD3722" s="8">
        <v>100</v>
      </c>
      <c r="FE3722" s="8">
        <v>10</v>
      </c>
    </row>
    <row r="3723" spans="158:161" ht="74.25" customHeight="1" x14ac:dyDescent="0.2">
      <c r="FB3723" s="8" t="s">
        <v>7513</v>
      </c>
      <c r="FC3723" s="8" t="s">
        <v>9482</v>
      </c>
      <c r="FD3723" s="8">
        <v>17</v>
      </c>
      <c r="FE3723" s="8">
        <v>8.1</v>
      </c>
    </row>
    <row r="3724" spans="158:161" ht="74.25" customHeight="1" x14ac:dyDescent="0.2">
      <c r="FB3724" s="8" t="s">
        <v>7514</v>
      </c>
      <c r="FC3724" s="8" t="s">
        <v>9483</v>
      </c>
      <c r="FD3724" s="8">
        <v>2.8</v>
      </c>
      <c r="FE3724" s="8">
        <v>0.56999999999999995</v>
      </c>
    </row>
    <row r="3725" spans="158:161" ht="74.25" customHeight="1" x14ac:dyDescent="0.2">
      <c r="FB3725" s="8" t="s">
        <v>7515</v>
      </c>
      <c r="FC3725" s="8" t="s">
        <v>7516</v>
      </c>
      <c r="FD3725" s="8" t="s">
        <v>9511</v>
      </c>
      <c r="FE3725" s="8">
        <v>0.71</v>
      </c>
    </row>
    <row r="3726" spans="158:161" ht="74.25" customHeight="1" x14ac:dyDescent="0.2">
      <c r="FB3726" s="8" t="s">
        <v>7517</v>
      </c>
      <c r="FC3726" s="8" t="s">
        <v>9484</v>
      </c>
      <c r="FD3726" s="8">
        <v>17</v>
      </c>
      <c r="FE3726" s="8">
        <v>8.1</v>
      </c>
    </row>
    <row r="3727" spans="158:161" ht="74.25" customHeight="1" x14ac:dyDescent="0.2">
      <c r="FB3727" s="8" t="s">
        <v>7518</v>
      </c>
      <c r="FC3727" s="8" t="s">
        <v>9485</v>
      </c>
      <c r="FD3727" s="8">
        <v>2.8</v>
      </c>
      <c r="FE3727" s="8">
        <v>0.56999999999999995</v>
      </c>
    </row>
    <row r="3728" spans="158:161" ht="74.25" customHeight="1" x14ac:dyDescent="0.2">
      <c r="FB3728" s="8" t="s">
        <v>7519</v>
      </c>
      <c r="FC3728" s="8" t="s">
        <v>7520</v>
      </c>
      <c r="FD3728" s="8" t="s">
        <v>9511</v>
      </c>
      <c r="FE3728" s="8">
        <v>0.71</v>
      </c>
    </row>
    <row r="3729" spans="158:161" ht="74.25" customHeight="1" x14ac:dyDescent="0.2">
      <c r="FB3729" s="8" t="s">
        <v>7521</v>
      </c>
      <c r="FC3729" s="8" t="s">
        <v>7522</v>
      </c>
      <c r="FD3729" s="8">
        <v>100</v>
      </c>
      <c r="FE3729" s="8">
        <v>10</v>
      </c>
    </row>
    <row r="3730" spans="158:161" ht="74.25" customHeight="1" x14ac:dyDescent="0.2">
      <c r="FB3730" s="8" t="s">
        <v>7523</v>
      </c>
      <c r="FC3730" s="8" t="s">
        <v>7524</v>
      </c>
      <c r="FD3730" s="8">
        <v>150</v>
      </c>
      <c r="FE3730" s="8">
        <v>15</v>
      </c>
    </row>
    <row r="3731" spans="158:161" ht="74.25" customHeight="1" x14ac:dyDescent="0.2">
      <c r="FB3731" s="8" t="s">
        <v>7525</v>
      </c>
      <c r="FC3731" s="8" t="s">
        <v>7526</v>
      </c>
      <c r="FD3731" s="8">
        <v>1</v>
      </c>
      <c r="FE3731" s="8">
        <v>0.1</v>
      </c>
    </row>
    <row r="3732" spans="158:161" ht="74.25" customHeight="1" x14ac:dyDescent="0.2">
      <c r="FB3732" s="8" t="s">
        <v>7527</v>
      </c>
      <c r="FC3732" s="8" t="s">
        <v>7528</v>
      </c>
      <c r="FD3732" s="8">
        <v>50</v>
      </c>
      <c r="FE3732" s="8">
        <v>5</v>
      </c>
    </row>
    <row r="3733" spans="158:161" ht="74.25" customHeight="1" x14ac:dyDescent="0.2">
      <c r="FB3733" s="8" t="s">
        <v>7529</v>
      </c>
      <c r="FC3733" s="8" t="s">
        <v>7530</v>
      </c>
      <c r="FD3733" s="8" t="s">
        <v>8683</v>
      </c>
      <c r="FE3733" s="8" t="s">
        <v>8683</v>
      </c>
    </row>
    <row r="3734" spans="158:161" ht="74.25" customHeight="1" x14ac:dyDescent="0.2">
      <c r="FB3734" s="8" t="s">
        <v>7531</v>
      </c>
      <c r="FC3734" s="8" t="s">
        <v>7532</v>
      </c>
      <c r="FD3734" s="8">
        <v>600</v>
      </c>
      <c r="FE3734" s="8">
        <v>60</v>
      </c>
    </row>
    <row r="3735" spans="158:161" ht="74.25" customHeight="1" x14ac:dyDescent="0.2">
      <c r="FB3735" s="8" t="s">
        <v>7533</v>
      </c>
      <c r="FC3735" s="8" t="s">
        <v>7534</v>
      </c>
      <c r="FD3735" s="8">
        <v>15</v>
      </c>
      <c r="FE3735" s="8">
        <v>1.5</v>
      </c>
    </row>
    <row r="3736" spans="158:161" ht="74.25" customHeight="1" x14ac:dyDescent="0.2">
      <c r="FB3736" s="8" t="s">
        <v>7535</v>
      </c>
      <c r="FC3736" s="8" t="s">
        <v>7536</v>
      </c>
      <c r="FD3736" s="8">
        <v>20</v>
      </c>
      <c r="FE3736" s="8">
        <v>2</v>
      </c>
    </row>
    <row r="3737" spans="158:161" ht="74.25" customHeight="1" x14ac:dyDescent="0.2">
      <c r="FB3737" s="8" t="s">
        <v>7537</v>
      </c>
      <c r="FC3737" s="8" t="s">
        <v>7538</v>
      </c>
      <c r="FD3737" s="8">
        <v>220</v>
      </c>
      <c r="FE3737" s="8">
        <v>22</v>
      </c>
    </row>
    <row r="3738" spans="158:161" ht="74.25" customHeight="1" x14ac:dyDescent="0.2">
      <c r="FB3738" s="8" t="s">
        <v>7539</v>
      </c>
      <c r="FC3738" s="8" t="s">
        <v>7540</v>
      </c>
      <c r="FD3738" s="8">
        <v>70</v>
      </c>
      <c r="FE3738" s="8">
        <v>7</v>
      </c>
    </row>
    <row r="3739" spans="158:161" ht="74.25" customHeight="1" x14ac:dyDescent="0.2">
      <c r="FB3739" s="8" t="s">
        <v>7541</v>
      </c>
      <c r="FC3739" s="8" t="s">
        <v>7542</v>
      </c>
      <c r="FD3739" s="8">
        <v>92</v>
      </c>
      <c r="FE3739" s="8">
        <v>40</v>
      </c>
    </row>
    <row r="3740" spans="158:161" ht="74.25" customHeight="1" x14ac:dyDescent="0.2">
      <c r="FB3740" s="8" t="s">
        <v>7543</v>
      </c>
      <c r="FC3740" s="8" t="s">
        <v>7544</v>
      </c>
      <c r="FD3740" s="8">
        <v>1000</v>
      </c>
      <c r="FE3740" s="8">
        <v>100</v>
      </c>
    </row>
    <row r="3741" spans="158:161" ht="74.25" customHeight="1" x14ac:dyDescent="0.2">
      <c r="FB3741" s="8" t="s">
        <v>7545</v>
      </c>
      <c r="FC3741" s="8" t="s">
        <v>7546</v>
      </c>
      <c r="FD3741" s="8">
        <v>1000</v>
      </c>
      <c r="FE3741" s="8">
        <v>100</v>
      </c>
    </row>
    <row r="3742" spans="158:161" ht="74.25" customHeight="1" x14ac:dyDescent="0.2">
      <c r="FB3742" s="8" t="s">
        <v>7547</v>
      </c>
      <c r="FC3742" s="8" t="s">
        <v>7548</v>
      </c>
      <c r="FD3742" s="8">
        <v>85</v>
      </c>
      <c r="FE3742" s="8">
        <v>30</v>
      </c>
    </row>
    <row r="3743" spans="158:161" ht="74.25" customHeight="1" x14ac:dyDescent="0.2">
      <c r="FB3743" s="8" t="s">
        <v>7549</v>
      </c>
      <c r="FC3743" s="8" t="s">
        <v>7550</v>
      </c>
      <c r="FD3743" s="8">
        <v>250</v>
      </c>
      <c r="FE3743" s="8">
        <v>25</v>
      </c>
    </row>
    <row r="3744" spans="158:161" ht="74.25" customHeight="1" x14ac:dyDescent="0.2">
      <c r="FB3744" s="8" t="s">
        <v>7551</v>
      </c>
      <c r="FC3744" s="8" t="s">
        <v>7552</v>
      </c>
      <c r="FD3744" s="8">
        <v>140</v>
      </c>
      <c r="FE3744" s="8">
        <v>14</v>
      </c>
    </row>
    <row r="3745" spans="158:161" ht="74.25" customHeight="1" x14ac:dyDescent="0.2">
      <c r="FB3745" s="8" t="s">
        <v>7553</v>
      </c>
      <c r="FC3745" s="8" t="s">
        <v>7554</v>
      </c>
      <c r="FD3745" s="8">
        <v>190</v>
      </c>
      <c r="FE3745" s="8">
        <v>19</v>
      </c>
    </row>
    <row r="3746" spans="158:161" ht="74.25" customHeight="1" x14ac:dyDescent="0.2">
      <c r="FB3746" s="8" t="s">
        <v>7555</v>
      </c>
      <c r="FC3746" s="8" t="s">
        <v>7556</v>
      </c>
      <c r="FD3746" s="8">
        <v>5</v>
      </c>
      <c r="FE3746" s="8">
        <v>0.5</v>
      </c>
    </row>
    <row r="3747" spans="158:161" ht="74.25" customHeight="1" x14ac:dyDescent="0.2">
      <c r="FB3747" s="8" t="s">
        <v>7557</v>
      </c>
      <c r="FC3747" s="8" t="s">
        <v>7557</v>
      </c>
      <c r="FD3747" s="8">
        <v>1500</v>
      </c>
      <c r="FE3747" s="8">
        <v>150</v>
      </c>
    </row>
    <row r="3748" spans="158:161" ht="74.25" customHeight="1" x14ac:dyDescent="0.2">
      <c r="FB3748" s="8" t="s">
        <v>7558</v>
      </c>
      <c r="FC3748" s="8" t="s">
        <v>7559</v>
      </c>
      <c r="FD3748" s="8">
        <v>600</v>
      </c>
      <c r="FE3748" s="8">
        <v>60</v>
      </c>
    </row>
    <row r="3749" spans="158:161" ht="74.25" customHeight="1" x14ac:dyDescent="0.2">
      <c r="FB3749" s="8" t="s">
        <v>7560</v>
      </c>
      <c r="FC3749" s="8" t="s">
        <v>7561</v>
      </c>
      <c r="FD3749" s="8">
        <v>10</v>
      </c>
      <c r="FE3749" s="8">
        <v>1</v>
      </c>
    </row>
    <row r="3750" spans="158:161" ht="74.25" customHeight="1" x14ac:dyDescent="0.2">
      <c r="FB3750" s="8" t="s">
        <v>7562</v>
      </c>
      <c r="FC3750" s="8" t="s">
        <v>7562</v>
      </c>
      <c r="FD3750" s="8">
        <v>400</v>
      </c>
      <c r="FE3750" s="8">
        <v>40</v>
      </c>
    </row>
    <row r="3751" spans="158:161" ht="74.25" customHeight="1" x14ac:dyDescent="0.2">
      <c r="FB3751" s="8" t="s">
        <v>7563</v>
      </c>
      <c r="FC3751" s="8" t="s">
        <v>7564</v>
      </c>
      <c r="FD3751" s="8">
        <v>60</v>
      </c>
      <c r="FE3751" s="8">
        <v>20</v>
      </c>
    </row>
    <row r="3752" spans="158:161" ht="74.25" customHeight="1" x14ac:dyDescent="0.2">
      <c r="FB3752" s="8" t="s">
        <v>7565</v>
      </c>
      <c r="FC3752" s="8" t="s">
        <v>7566</v>
      </c>
      <c r="FD3752" s="8">
        <v>50</v>
      </c>
      <c r="FE3752" s="8">
        <v>5</v>
      </c>
    </row>
    <row r="3753" spans="158:161" ht="74.25" customHeight="1" x14ac:dyDescent="0.2">
      <c r="FB3753" s="8" t="s">
        <v>7567</v>
      </c>
      <c r="FC3753" s="8" t="s">
        <v>7568</v>
      </c>
      <c r="FD3753" s="8">
        <v>3000</v>
      </c>
      <c r="FE3753" s="8">
        <v>300</v>
      </c>
    </row>
    <row r="3754" spans="158:161" ht="74.25" customHeight="1" x14ac:dyDescent="0.2">
      <c r="FB3754" s="8" t="s">
        <v>7569</v>
      </c>
      <c r="FC3754" s="8" t="s">
        <v>7570</v>
      </c>
      <c r="FD3754" s="8">
        <v>1100</v>
      </c>
      <c r="FE3754" s="8">
        <v>110</v>
      </c>
    </row>
    <row r="3755" spans="158:161" ht="74.25" customHeight="1" x14ac:dyDescent="0.2">
      <c r="FB3755" s="8" t="s">
        <v>7571</v>
      </c>
      <c r="FC3755" s="8" t="s">
        <v>7572</v>
      </c>
      <c r="FD3755" s="8">
        <v>4750</v>
      </c>
      <c r="FE3755" s="8">
        <v>475</v>
      </c>
    </row>
    <row r="3756" spans="158:161" ht="74.25" customHeight="1" x14ac:dyDescent="0.2">
      <c r="FB3756" s="8" t="s">
        <v>7573</v>
      </c>
      <c r="FC3756" s="8" t="s">
        <v>7573</v>
      </c>
      <c r="FD3756" s="8">
        <v>10</v>
      </c>
      <c r="FE3756" s="8">
        <v>1</v>
      </c>
    </row>
    <row r="3757" spans="158:161" ht="74.25" customHeight="1" x14ac:dyDescent="0.2">
      <c r="FB3757" s="8" t="s">
        <v>7574</v>
      </c>
      <c r="FC3757" s="8" t="s">
        <v>7575</v>
      </c>
      <c r="FD3757" s="8">
        <v>120</v>
      </c>
      <c r="FE3757" s="8">
        <v>12</v>
      </c>
    </row>
    <row r="3758" spans="158:161" ht="74.25" customHeight="1" x14ac:dyDescent="0.2">
      <c r="FB3758" s="8" t="s">
        <v>7576</v>
      </c>
      <c r="FC3758" s="8" t="s">
        <v>7577</v>
      </c>
      <c r="FD3758" s="8">
        <v>3500</v>
      </c>
      <c r="FE3758" s="8">
        <v>350</v>
      </c>
    </row>
    <row r="3759" spans="158:161" ht="74.25" customHeight="1" x14ac:dyDescent="0.2">
      <c r="FB3759" s="8" t="s">
        <v>7578</v>
      </c>
      <c r="FC3759" s="8" t="s">
        <v>7579</v>
      </c>
      <c r="FD3759" s="8">
        <v>3500</v>
      </c>
      <c r="FE3759" s="8">
        <v>350</v>
      </c>
    </row>
    <row r="3760" spans="158:161" ht="74.25" customHeight="1" x14ac:dyDescent="0.2">
      <c r="FB3760" s="8" t="s">
        <v>7580</v>
      </c>
      <c r="FC3760" s="8" t="s">
        <v>7581</v>
      </c>
      <c r="FD3760" s="8" t="s">
        <v>8683</v>
      </c>
      <c r="FE3760" s="8" t="s">
        <v>8683</v>
      </c>
    </row>
    <row r="3761" spans="158:161" ht="74.25" customHeight="1" x14ac:dyDescent="0.2">
      <c r="FB3761" s="8" t="s">
        <v>7582</v>
      </c>
      <c r="FC3761" s="8" t="s">
        <v>7583</v>
      </c>
      <c r="FD3761" s="8">
        <v>500</v>
      </c>
      <c r="FE3761" s="8">
        <v>50</v>
      </c>
    </row>
    <row r="3762" spans="158:161" ht="74.25" customHeight="1" x14ac:dyDescent="0.2">
      <c r="FB3762" s="8" t="s">
        <v>7584</v>
      </c>
      <c r="FC3762" s="8" t="s">
        <v>7585</v>
      </c>
      <c r="FD3762" s="8">
        <v>42</v>
      </c>
      <c r="FE3762" s="8">
        <v>17</v>
      </c>
    </row>
    <row r="3763" spans="158:161" ht="74.25" customHeight="1" x14ac:dyDescent="0.2">
      <c r="FB3763" s="8" t="s">
        <v>7586</v>
      </c>
      <c r="FC3763" s="8" t="s">
        <v>7586</v>
      </c>
      <c r="FD3763" s="8">
        <v>460</v>
      </c>
      <c r="FE3763" s="8">
        <v>46</v>
      </c>
    </row>
    <row r="3764" spans="158:161" ht="74.25" customHeight="1" x14ac:dyDescent="0.2">
      <c r="FB3764" s="8" t="s">
        <v>7587</v>
      </c>
      <c r="FC3764" s="8" t="s">
        <v>7588</v>
      </c>
      <c r="FD3764" s="8">
        <v>1800</v>
      </c>
      <c r="FE3764" s="8">
        <v>18</v>
      </c>
    </row>
    <row r="3765" spans="158:161" ht="74.25" customHeight="1" x14ac:dyDescent="0.2">
      <c r="FB3765" s="8" t="s">
        <v>7589</v>
      </c>
      <c r="FC3765" s="8" t="s">
        <v>7590</v>
      </c>
      <c r="FD3765" s="8">
        <v>330</v>
      </c>
      <c r="FE3765" s="8">
        <v>33</v>
      </c>
    </row>
    <row r="3766" spans="158:161" ht="74.25" customHeight="1" x14ac:dyDescent="0.2">
      <c r="FB3766" s="8" t="s">
        <v>7591</v>
      </c>
      <c r="FC3766" s="8" t="s">
        <v>7592</v>
      </c>
      <c r="FD3766" s="8">
        <v>1000</v>
      </c>
      <c r="FE3766" s="8">
        <v>100</v>
      </c>
    </row>
    <row r="3767" spans="158:161" ht="74.25" customHeight="1" x14ac:dyDescent="0.2">
      <c r="FB3767" s="8" t="s">
        <v>7593</v>
      </c>
      <c r="FC3767" s="8" t="s">
        <v>7594</v>
      </c>
      <c r="FD3767" s="8">
        <v>220</v>
      </c>
      <c r="FE3767" s="8">
        <v>22</v>
      </c>
    </row>
    <row r="3768" spans="158:161" ht="74.25" customHeight="1" x14ac:dyDescent="0.2">
      <c r="FB3768" s="8" t="s">
        <v>7595</v>
      </c>
      <c r="FC3768" s="8" t="s">
        <v>7596</v>
      </c>
      <c r="FD3768" s="8">
        <v>3</v>
      </c>
      <c r="FE3768" s="8">
        <v>0.3</v>
      </c>
    </row>
    <row r="3769" spans="158:161" ht="74.25" customHeight="1" x14ac:dyDescent="0.2">
      <c r="FB3769" s="8" t="s">
        <v>7597</v>
      </c>
      <c r="FC3769" s="8" t="s">
        <v>7598</v>
      </c>
      <c r="FD3769" s="8">
        <v>2500</v>
      </c>
      <c r="FE3769" s="8">
        <v>250</v>
      </c>
    </row>
    <row r="3770" spans="158:161" ht="74.25" customHeight="1" x14ac:dyDescent="0.2">
      <c r="FB3770" s="8" t="s">
        <v>7599</v>
      </c>
      <c r="FC3770" s="8" t="s">
        <v>7600</v>
      </c>
      <c r="FD3770" s="8">
        <v>2600</v>
      </c>
      <c r="FE3770" s="8">
        <v>260</v>
      </c>
    </row>
    <row r="3771" spans="158:161" ht="74.25" customHeight="1" x14ac:dyDescent="0.2">
      <c r="FB3771" s="8" t="s">
        <v>7601</v>
      </c>
      <c r="FC3771" s="8" t="s">
        <v>7602</v>
      </c>
      <c r="FD3771" s="8">
        <v>2200</v>
      </c>
      <c r="FE3771" s="8">
        <v>220</v>
      </c>
    </row>
    <row r="3772" spans="158:161" ht="74.25" customHeight="1" x14ac:dyDescent="0.2">
      <c r="FB3772" s="8" t="s">
        <v>7603</v>
      </c>
      <c r="FC3772" s="8" t="s">
        <v>7604</v>
      </c>
      <c r="FD3772" s="8">
        <v>730</v>
      </c>
      <c r="FE3772" s="8">
        <v>73</v>
      </c>
    </row>
    <row r="3773" spans="158:161" ht="74.25" customHeight="1" x14ac:dyDescent="0.2">
      <c r="FB3773" s="8" t="s">
        <v>7605</v>
      </c>
      <c r="FC3773" s="8" t="s">
        <v>7606</v>
      </c>
      <c r="FD3773" s="8">
        <v>1000</v>
      </c>
      <c r="FE3773" s="8">
        <v>100</v>
      </c>
    </row>
    <row r="3774" spans="158:161" ht="74.25" customHeight="1" x14ac:dyDescent="0.2">
      <c r="FB3774" s="8" t="s">
        <v>7607</v>
      </c>
      <c r="FC3774" s="8" t="s">
        <v>7608</v>
      </c>
      <c r="FD3774" s="8">
        <v>730</v>
      </c>
      <c r="FE3774" s="8">
        <v>73</v>
      </c>
    </row>
    <row r="3775" spans="158:161" ht="74.25" customHeight="1" x14ac:dyDescent="0.2">
      <c r="FB3775" s="8" t="s">
        <v>7609</v>
      </c>
      <c r="FC3775" s="8" t="s">
        <v>7610</v>
      </c>
      <c r="FD3775" s="8">
        <v>1860</v>
      </c>
      <c r="FE3775" s="8">
        <v>186</v>
      </c>
    </row>
    <row r="3776" spans="158:161" ht="74.25" customHeight="1" x14ac:dyDescent="0.2">
      <c r="FB3776" s="8" t="s">
        <v>7611</v>
      </c>
      <c r="FC3776" s="8" t="s">
        <v>7612</v>
      </c>
      <c r="FD3776" s="8">
        <v>70</v>
      </c>
      <c r="FE3776" s="8">
        <v>7</v>
      </c>
    </row>
    <row r="3777" spans="158:161" ht="74.25" customHeight="1" x14ac:dyDescent="0.2">
      <c r="FB3777" s="8" t="s">
        <v>7613</v>
      </c>
      <c r="FC3777" s="8" t="s">
        <v>7613</v>
      </c>
      <c r="FD3777" s="8">
        <v>250</v>
      </c>
      <c r="FE3777" s="8">
        <v>25</v>
      </c>
    </row>
    <row r="3778" spans="158:161" ht="74.25" customHeight="1" x14ac:dyDescent="0.2">
      <c r="FB3778" s="8" t="s">
        <v>7614</v>
      </c>
      <c r="FC3778" s="8" t="s">
        <v>7615</v>
      </c>
      <c r="FD3778" s="8">
        <v>1000</v>
      </c>
      <c r="FE3778" s="8">
        <v>100</v>
      </c>
    </row>
    <row r="3779" spans="158:161" ht="74.25" customHeight="1" x14ac:dyDescent="0.2">
      <c r="FB3779" s="8" t="s">
        <v>7616</v>
      </c>
      <c r="FC3779" s="8" t="s">
        <v>7617</v>
      </c>
      <c r="FD3779" s="8">
        <v>1000</v>
      </c>
      <c r="FE3779" s="8">
        <v>100</v>
      </c>
    </row>
    <row r="3780" spans="158:161" ht="74.25" customHeight="1" x14ac:dyDescent="0.2">
      <c r="FB3780" s="8" t="s">
        <v>7618</v>
      </c>
      <c r="FC3780" s="8" t="s">
        <v>7619</v>
      </c>
      <c r="FD3780" s="8">
        <v>16400</v>
      </c>
      <c r="FE3780" s="8">
        <v>1640</v>
      </c>
    </row>
    <row r="3781" spans="158:161" ht="74.25" customHeight="1" x14ac:dyDescent="0.2">
      <c r="FB3781" s="8" t="s">
        <v>7620</v>
      </c>
      <c r="FC3781" s="8" t="s">
        <v>7621</v>
      </c>
      <c r="FD3781" s="8">
        <v>400</v>
      </c>
      <c r="FE3781" s="8">
        <v>40</v>
      </c>
    </row>
    <row r="3782" spans="158:161" ht="74.25" customHeight="1" x14ac:dyDescent="0.2">
      <c r="FB3782" s="8" t="s">
        <v>7622</v>
      </c>
      <c r="FC3782" s="8" t="s">
        <v>7623</v>
      </c>
      <c r="FD3782" s="8">
        <v>240</v>
      </c>
      <c r="FE3782" s="8">
        <v>24</v>
      </c>
    </row>
    <row r="3783" spans="158:161" ht="74.25" customHeight="1" x14ac:dyDescent="0.2">
      <c r="FB3783" s="8" t="s">
        <v>7624</v>
      </c>
      <c r="FC3783" s="8" t="s">
        <v>7625</v>
      </c>
      <c r="FD3783" s="8">
        <v>130</v>
      </c>
      <c r="FE3783" s="8">
        <v>13</v>
      </c>
    </row>
    <row r="3784" spans="158:161" ht="74.25" customHeight="1" x14ac:dyDescent="0.2">
      <c r="FB3784" s="8" t="s">
        <v>7626</v>
      </c>
      <c r="FC3784" s="8" t="s">
        <v>7627</v>
      </c>
      <c r="FD3784" s="8">
        <v>700</v>
      </c>
      <c r="FE3784" s="8">
        <v>70</v>
      </c>
    </row>
    <row r="3785" spans="158:161" ht="74.25" customHeight="1" x14ac:dyDescent="0.2">
      <c r="FB3785" s="8" t="s">
        <v>7628</v>
      </c>
      <c r="FC3785" s="8" t="s">
        <v>7629</v>
      </c>
      <c r="FD3785" s="8">
        <v>38</v>
      </c>
      <c r="FE3785" s="8">
        <v>3.8</v>
      </c>
    </row>
    <row r="3786" spans="158:161" ht="74.25" customHeight="1" x14ac:dyDescent="0.2">
      <c r="FB3786" s="8" t="s">
        <v>7630</v>
      </c>
      <c r="FC3786" s="8" t="s">
        <v>7631</v>
      </c>
      <c r="FD3786" s="8">
        <v>1000</v>
      </c>
      <c r="FE3786" s="8">
        <v>100</v>
      </c>
    </row>
    <row r="3787" spans="158:161" ht="74.25" customHeight="1" x14ac:dyDescent="0.2">
      <c r="FB3787" s="8" t="s">
        <v>7632</v>
      </c>
      <c r="FC3787" s="8" t="s">
        <v>7633</v>
      </c>
      <c r="FD3787" s="8">
        <v>90</v>
      </c>
      <c r="FE3787" s="8">
        <v>9</v>
      </c>
    </row>
    <row r="3788" spans="158:161" ht="74.25" customHeight="1" x14ac:dyDescent="0.2">
      <c r="FB3788" s="8" t="s">
        <v>7634</v>
      </c>
      <c r="FC3788" s="8" t="s">
        <v>7635</v>
      </c>
      <c r="FD3788" s="8">
        <v>24</v>
      </c>
      <c r="FE3788" s="8">
        <v>2.4</v>
      </c>
    </row>
    <row r="3789" spans="158:161" ht="74.25" customHeight="1" x14ac:dyDescent="0.2">
      <c r="FB3789" s="8" t="s">
        <v>7636</v>
      </c>
      <c r="FC3789" s="8" t="s">
        <v>7637</v>
      </c>
      <c r="FD3789" s="8">
        <v>24</v>
      </c>
      <c r="FE3789" s="8">
        <v>2.4</v>
      </c>
    </row>
    <row r="3790" spans="158:161" ht="74.25" customHeight="1" x14ac:dyDescent="0.2">
      <c r="FB3790" s="8" t="s">
        <v>7638</v>
      </c>
      <c r="FC3790" s="8" t="s">
        <v>7639</v>
      </c>
      <c r="FD3790" s="8">
        <v>0.7</v>
      </c>
      <c r="FE3790" s="8">
        <v>0.1</v>
      </c>
    </row>
    <row r="3791" spans="158:161" ht="74.25" customHeight="1" x14ac:dyDescent="0.2">
      <c r="FB3791" s="8" t="s">
        <v>7640</v>
      </c>
      <c r="FC3791" s="8" t="s">
        <v>7641</v>
      </c>
      <c r="FD3791" s="8">
        <v>90</v>
      </c>
      <c r="FE3791" s="8">
        <v>9</v>
      </c>
    </row>
    <row r="3792" spans="158:161" ht="74.25" customHeight="1" x14ac:dyDescent="0.2">
      <c r="FB3792" s="8" t="s">
        <v>7642</v>
      </c>
      <c r="FC3792" s="8" t="s">
        <v>9873</v>
      </c>
      <c r="FD3792" s="8">
        <v>500</v>
      </c>
      <c r="FE3792" s="8">
        <v>50</v>
      </c>
    </row>
    <row r="3793" spans="158:161" ht="74.25" customHeight="1" x14ac:dyDescent="0.2">
      <c r="FB3793" s="8" t="s">
        <v>7643</v>
      </c>
      <c r="FC3793" s="8" t="s">
        <v>7644</v>
      </c>
      <c r="FD3793" s="8">
        <v>2200</v>
      </c>
      <c r="FE3793" s="8">
        <v>180</v>
      </c>
    </row>
    <row r="3794" spans="158:161" ht="74.25" customHeight="1" x14ac:dyDescent="0.2">
      <c r="FB3794" s="8" t="s">
        <v>7645</v>
      </c>
      <c r="FC3794" s="8" t="s">
        <v>7646</v>
      </c>
      <c r="FD3794" s="8">
        <v>50</v>
      </c>
      <c r="FE3794" s="8">
        <v>5</v>
      </c>
    </row>
    <row r="3795" spans="158:161" ht="74.25" customHeight="1" x14ac:dyDescent="0.2">
      <c r="FB3795" s="8" t="s">
        <v>7647</v>
      </c>
      <c r="FC3795" s="8" t="s">
        <v>7648</v>
      </c>
      <c r="FD3795" s="8">
        <v>30</v>
      </c>
      <c r="FE3795" s="8">
        <v>3</v>
      </c>
    </row>
    <row r="3796" spans="158:161" ht="74.25" customHeight="1" x14ac:dyDescent="0.2">
      <c r="FB3796" s="8" t="s">
        <v>7649</v>
      </c>
      <c r="FC3796" s="8" t="s">
        <v>7650</v>
      </c>
      <c r="FD3796" s="8">
        <v>30</v>
      </c>
      <c r="FE3796" s="8">
        <v>3</v>
      </c>
    </row>
    <row r="3797" spans="158:161" ht="74.25" customHeight="1" x14ac:dyDescent="0.2">
      <c r="FB3797" s="8" t="s">
        <v>7651</v>
      </c>
      <c r="FC3797" s="8" t="s">
        <v>7652</v>
      </c>
      <c r="FD3797" s="8">
        <v>30</v>
      </c>
      <c r="FE3797" s="8">
        <v>3</v>
      </c>
    </row>
    <row r="3798" spans="158:161" ht="74.25" customHeight="1" x14ac:dyDescent="0.2">
      <c r="FB3798" s="8" t="s">
        <v>7653</v>
      </c>
      <c r="FC3798" s="8" t="s">
        <v>7654</v>
      </c>
      <c r="FD3798" s="8">
        <v>30</v>
      </c>
      <c r="FE3798" s="8">
        <v>3</v>
      </c>
    </row>
    <row r="3799" spans="158:161" ht="74.25" customHeight="1" x14ac:dyDescent="0.2">
      <c r="FB3799" s="8" t="s">
        <v>7655</v>
      </c>
      <c r="FC3799" s="8" t="s">
        <v>7656</v>
      </c>
      <c r="FD3799" s="8">
        <v>30</v>
      </c>
      <c r="FE3799" s="8">
        <v>3</v>
      </c>
    </row>
    <row r="3800" spans="158:161" ht="74.25" customHeight="1" x14ac:dyDescent="0.2">
      <c r="FB3800" s="8" t="s">
        <v>7657</v>
      </c>
      <c r="FC3800" s="8" t="s">
        <v>7657</v>
      </c>
      <c r="FD3800" s="8">
        <v>20</v>
      </c>
      <c r="FE3800" s="8">
        <v>2</v>
      </c>
    </row>
    <row r="3801" spans="158:161" ht="74.25" customHeight="1" x14ac:dyDescent="0.2">
      <c r="FB3801" s="8" t="s">
        <v>7658</v>
      </c>
      <c r="FC3801" s="8" t="s">
        <v>7659</v>
      </c>
      <c r="FD3801" s="8">
        <v>250</v>
      </c>
      <c r="FE3801" s="8">
        <v>25</v>
      </c>
    </row>
    <row r="3802" spans="158:161" ht="74.25" customHeight="1" x14ac:dyDescent="0.2">
      <c r="FB3802" s="8" t="s">
        <v>7660</v>
      </c>
      <c r="FC3802" s="8" t="s">
        <v>7660</v>
      </c>
      <c r="FD3802" s="8">
        <v>420</v>
      </c>
      <c r="FE3802" s="8">
        <v>11</v>
      </c>
    </row>
    <row r="3803" spans="158:161" ht="74.25" customHeight="1" x14ac:dyDescent="0.2">
      <c r="FB3803" s="8" t="s">
        <v>7661</v>
      </c>
      <c r="FC3803" s="8" t="s">
        <v>7662</v>
      </c>
      <c r="FD3803" s="8">
        <v>240</v>
      </c>
      <c r="FE3803" s="8">
        <v>6.4</v>
      </c>
    </row>
    <row r="3804" spans="158:161" ht="74.25" customHeight="1" x14ac:dyDescent="0.2">
      <c r="FB3804" s="8" t="s">
        <v>7663</v>
      </c>
      <c r="FC3804" s="8" t="s">
        <v>7664</v>
      </c>
      <c r="FD3804" s="8">
        <v>2.5</v>
      </c>
      <c r="FE3804" s="8">
        <v>0.25</v>
      </c>
    </row>
    <row r="3805" spans="158:161" ht="74.25" customHeight="1" x14ac:dyDescent="0.2">
      <c r="FB3805" s="8" t="s">
        <v>7665</v>
      </c>
      <c r="FC3805" s="8" t="s">
        <v>7666</v>
      </c>
      <c r="FD3805" s="8">
        <v>2.5</v>
      </c>
      <c r="FE3805" s="8">
        <v>0.25</v>
      </c>
    </row>
    <row r="3806" spans="158:161" ht="74.25" customHeight="1" x14ac:dyDescent="0.2">
      <c r="FB3806" s="8" t="s">
        <v>7667</v>
      </c>
      <c r="FC3806" s="8" t="s">
        <v>7668</v>
      </c>
      <c r="FD3806" s="8">
        <v>20</v>
      </c>
      <c r="FE3806" s="8">
        <v>2</v>
      </c>
    </row>
    <row r="3807" spans="158:161" ht="74.25" customHeight="1" x14ac:dyDescent="0.2">
      <c r="FB3807" s="8" t="s">
        <v>7669</v>
      </c>
      <c r="FC3807" s="8" t="s">
        <v>7669</v>
      </c>
      <c r="FD3807" s="8">
        <v>20</v>
      </c>
      <c r="FE3807" s="8">
        <v>2</v>
      </c>
    </row>
    <row r="3808" spans="158:161" ht="74.25" customHeight="1" x14ac:dyDescent="0.2">
      <c r="FB3808" s="8" t="s">
        <v>7670</v>
      </c>
      <c r="FC3808" s="8" t="s">
        <v>7671</v>
      </c>
      <c r="FD3808" s="8">
        <v>1000</v>
      </c>
      <c r="FE3808" s="8">
        <v>100</v>
      </c>
    </row>
    <row r="3809" spans="158:161" ht="74.25" customHeight="1" x14ac:dyDescent="0.2">
      <c r="FB3809" s="8" t="s">
        <v>7672</v>
      </c>
      <c r="FC3809" s="8" t="s">
        <v>7673</v>
      </c>
      <c r="FD3809" s="8">
        <v>600</v>
      </c>
      <c r="FE3809" s="8">
        <v>60</v>
      </c>
    </row>
    <row r="3810" spans="158:161" ht="74.25" customHeight="1" x14ac:dyDescent="0.2">
      <c r="FB3810" s="8" t="s">
        <v>7674</v>
      </c>
      <c r="FC3810" s="8" t="s">
        <v>7675</v>
      </c>
      <c r="FD3810" s="8">
        <v>260</v>
      </c>
      <c r="FE3810" s="8">
        <v>26</v>
      </c>
    </row>
    <row r="3811" spans="158:161" ht="74.25" customHeight="1" x14ac:dyDescent="0.2">
      <c r="FB3811" s="8" t="s">
        <v>7676</v>
      </c>
      <c r="FC3811" s="8" t="s">
        <v>7677</v>
      </c>
      <c r="FD3811" s="8">
        <v>3500</v>
      </c>
      <c r="FE3811" s="8">
        <v>350</v>
      </c>
    </row>
    <row r="3812" spans="158:161" ht="74.25" customHeight="1" x14ac:dyDescent="0.2">
      <c r="FB3812" s="8" t="s">
        <v>7678</v>
      </c>
      <c r="FC3812" s="8" t="s">
        <v>7679</v>
      </c>
      <c r="FD3812" s="8">
        <v>1000</v>
      </c>
      <c r="FE3812" s="8">
        <v>100</v>
      </c>
    </row>
    <row r="3813" spans="158:161" ht="74.25" customHeight="1" x14ac:dyDescent="0.2">
      <c r="FB3813" s="8" t="s">
        <v>7680</v>
      </c>
      <c r="FC3813" s="8" t="s">
        <v>7681</v>
      </c>
      <c r="FD3813" s="8">
        <v>3500</v>
      </c>
      <c r="FE3813" s="8">
        <v>350</v>
      </c>
    </row>
    <row r="3814" spans="158:161" ht="74.25" customHeight="1" x14ac:dyDescent="0.2">
      <c r="FB3814" s="8" t="s">
        <v>7682</v>
      </c>
      <c r="FC3814" s="8" t="s">
        <v>7683</v>
      </c>
      <c r="FD3814" s="8">
        <v>1000</v>
      </c>
      <c r="FE3814" s="8">
        <v>100</v>
      </c>
    </row>
    <row r="3815" spans="158:161" ht="74.25" customHeight="1" x14ac:dyDescent="0.2">
      <c r="FB3815" s="8" t="s">
        <v>7684</v>
      </c>
      <c r="FC3815" s="8" t="s">
        <v>7685</v>
      </c>
      <c r="FD3815" s="8">
        <v>1000</v>
      </c>
      <c r="FE3815" s="8">
        <v>100</v>
      </c>
    </row>
    <row r="3816" spans="158:161" ht="74.25" customHeight="1" x14ac:dyDescent="0.2">
      <c r="FB3816" s="8" t="s">
        <v>7686</v>
      </c>
      <c r="FC3816" s="8" t="s">
        <v>7687</v>
      </c>
      <c r="FD3816" s="8">
        <v>1000</v>
      </c>
      <c r="FE3816" s="8">
        <v>100</v>
      </c>
    </row>
    <row r="3817" spans="158:161" ht="74.25" customHeight="1" x14ac:dyDescent="0.2">
      <c r="FB3817" s="8" t="s">
        <v>7688</v>
      </c>
      <c r="FC3817" s="8" t="s">
        <v>7689</v>
      </c>
      <c r="FD3817" s="8">
        <v>350</v>
      </c>
      <c r="FE3817" s="8">
        <v>35</v>
      </c>
    </row>
    <row r="3818" spans="158:161" ht="74.25" customHeight="1" x14ac:dyDescent="0.2">
      <c r="FB3818" s="8" t="s">
        <v>7690</v>
      </c>
      <c r="FC3818" s="8" t="s">
        <v>7691</v>
      </c>
      <c r="FD3818" s="8">
        <v>1250</v>
      </c>
      <c r="FE3818" s="8">
        <v>125</v>
      </c>
    </row>
    <row r="3819" spans="158:161" ht="74.25" customHeight="1" x14ac:dyDescent="0.2">
      <c r="FB3819" s="8" t="s">
        <v>7692</v>
      </c>
      <c r="FC3819" s="8" t="s">
        <v>7693</v>
      </c>
      <c r="FD3819" s="8">
        <v>1000</v>
      </c>
      <c r="FE3819" s="8">
        <v>100</v>
      </c>
    </row>
    <row r="3820" spans="158:161" ht="74.25" customHeight="1" x14ac:dyDescent="0.2">
      <c r="FB3820" s="8" t="s">
        <v>7694</v>
      </c>
      <c r="FC3820" s="8" t="s">
        <v>7695</v>
      </c>
      <c r="FD3820" s="8">
        <v>450</v>
      </c>
      <c r="FE3820" s="8">
        <v>45</v>
      </c>
    </row>
    <row r="3821" spans="158:161" ht="74.25" customHeight="1" x14ac:dyDescent="0.2">
      <c r="FB3821" s="8" t="s">
        <v>7696</v>
      </c>
      <c r="FC3821" s="8" t="s">
        <v>7696</v>
      </c>
      <c r="FD3821" s="8">
        <v>3500</v>
      </c>
      <c r="FE3821" s="8">
        <v>350</v>
      </c>
    </row>
    <row r="3822" spans="158:161" ht="74.25" customHeight="1" x14ac:dyDescent="0.2">
      <c r="FB3822" s="8" t="s">
        <v>7697</v>
      </c>
      <c r="FC3822" s="8" t="s">
        <v>7697</v>
      </c>
      <c r="FD3822" s="8">
        <v>1000</v>
      </c>
      <c r="FE3822" s="8">
        <v>100</v>
      </c>
    </row>
    <row r="3823" spans="158:161" ht="74.25" customHeight="1" x14ac:dyDescent="0.2">
      <c r="FB3823" s="8" t="s">
        <v>7698</v>
      </c>
      <c r="FC3823" s="8" t="s">
        <v>7699</v>
      </c>
      <c r="FD3823" s="8">
        <v>3500</v>
      </c>
      <c r="FE3823" s="8">
        <v>350</v>
      </c>
    </row>
    <row r="3824" spans="158:161" ht="74.25" customHeight="1" x14ac:dyDescent="0.2">
      <c r="FB3824" s="8" t="s">
        <v>7700</v>
      </c>
      <c r="FC3824" s="8" t="s">
        <v>7700</v>
      </c>
      <c r="FD3824" s="8">
        <v>1</v>
      </c>
      <c r="FE3824" s="8">
        <v>0.1</v>
      </c>
    </row>
    <row r="3825" spans="158:161" ht="74.25" customHeight="1" x14ac:dyDescent="0.2">
      <c r="FB3825" s="8" t="s">
        <v>7701</v>
      </c>
      <c r="FC3825" s="8" t="s">
        <v>7702</v>
      </c>
      <c r="FD3825" s="8">
        <v>1000</v>
      </c>
      <c r="FE3825" s="8">
        <v>100</v>
      </c>
    </row>
    <row r="3826" spans="158:161" ht="74.25" customHeight="1" x14ac:dyDescent="0.2">
      <c r="FB3826" s="8" t="s">
        <v>7703</v>
      </c>
      <c r="FC3826" s="8" t="s">
        <v>7704</v>
      </c>
      <c r="FD3826" s="8">
        <v>350</v>
      </c>
      <c r="FE3826" s="8">
        <v>35</v>
      </c>
    </row>
    <row r="3827" spans="158:161" ht="74.25" customHeight="1" x14ac:dyDescent="0.2">
      <c r="FB3827" s="8" t="s">
        <v>7705</v>
      </c>
      <c r="FC3827" s="8" t="s">
        <v>7706</v>
      </c>
      <c r="FD3827" s="8">
        <v>90</v>
      </c>
      <c r="FE3827" s="8">
        <v>9</v>
      </c>
    </row>
    <row r="3828" spans="158:161" ht="74.25" customHeight="1" x14ac:dyDescent="0.2">
      <c r="FB3828" s="8" t="s">
        <v>7707</v>
      </c>
      <c r="FC3828" s="8" t="s">
        <v>7708</v>
      </c>
      <c r="FD3828" s="8">
        <v>170</v>
      </c>
      <c r="FE3828" s="8">
        <v>17</v>
      </c>
    </row>
    <row r="3829" spans="158:161" ht="74.25" customHeight="1" x14ac:dyDescent="0.2">
      <c r="FB3829" s="8" t="s">
        <v>7709</v>
      </c>
      <c r="FC3829" s="8" t="s">
        <v>7710</v>
      </c>
      <c r="FD3829" s="8">
        <v>50</v>
      </c>
      <c r="FE3829" s="8">
        <v>5</v>
      </c>
    </row>
    <row r="3830" spans="158:161" ht="74.25" customHeight="1" x14ac:dyDescent="0.2">
      <c r="FB3830" s="8" t="s">
        <v>7711</v>
      </c>
      <c r="FC3830" s="8" t="s">
        <v>7712</v>
      </c>
      <c r="FD3830" s="8">
        <v>1900</v>
      </c>
      <c r="FE3830" s="8">
        <v>190</v>
      </c>
    </row>
    <row r="3831" spans="158:161" ht="74.25" customHeight="1" x14ac:dyDescent="0.2">
      <c r="FB3831" s="8" t="s">
        <v>7713</v>
      </c>
      <c r="FC3831" s="8" t="s">
        <v>7714</v>
      </c>
      <c r="FD3831" s="8">
        <v>2700</v>
      </c>
      <c r="FE3831" s="8">
        <v>270</v>
      </c>
    </row>
    <row r="3832" spans="158:161" ht="74.25" customHeight="1" x14ac:dyDescent="0.2">
      <c r="FB3832" s="8" t="s">
        <v>7715</v>
      </c>
      <c r="FC3832" s="8" t="s">
        <v>7716</v>
      </c>
      <c r="FD3832" s="8">
        <v>9500</v>
      </c>
      <c r="FE3832" s="8">
        <v>950</v>
      </c>
    </row>
    <row r="3833" spans="158:161" ht="74.25" customHeight="1" x14ac:dyDescent="0.2">
      <c r="FB3833" s="8" t="s">
        <v>7717</v>
      </c>
      <c r="FC3833" s="8" t="s">
        <v>7718</v>
      </c>
      <c r="FD3833" s="8">
        <v>3000</v>
      </c>
      <c r="FE3833" s="8">
        <v>300</v>
      </c>
    </row>
    <row r="3834" spans="158:161" ht="74.25" customHeight="1" x14ac:dyDescent="0.2">
      <c r="FB3834" s="8" t="s">
        <v>7719</v>
      </c>
      <c r="FC3834" s="8" t="s">
        <v>7720</v>
      </c>
      <c r="FD3834" s="8">
        <v>2700</v>
      </c>
      <c r="FE3834" s="8">
        <v>270</v>
      </c>
    </row>
    <row r="3835" spans="158:161" ht="74.25" customHeight="1" x14ac:dyDescent="0.2">
      <c r="FB3835" s="8" t="s">
        <v>7721</v>
      </c>
      <c r="FC3835" s="8" t="s">
        <v>7722</v>
      </c>
      <c r="FD3835" s="8">
        <v>18</v>
      </c>
      <c r="FE3835" s="8">
        <v>1.8</v>
      </c>
    </row>
    <row r="3836" spans="158:161" ht="74.25" customHeight="1" x14ac:dyDescent="0.2">
      <c r="FB3836" s="8" t="s">
        <v>7723</v>
      </c>
      <c r="FC3836" s="8" t="s">
        <v>7724</v>
      </c>
      <c r="FD3836" s="8">
        <v>0.33</v>
      </c>
      <c r="FE3836" s="8">
        <v>1.8</v>
      </c>
    </row>
    <row r="3837" spans="158:161" ht="74.25" customHeight="1" x14ac:dyDescent="0.2">
      <c r="FB3837" s="8" t="s">
        <v>7725</v>
      </c>
      <c r="FC3837" s="8" t="s">
        <v>7726</v>
      </c>
      <c r="FD3837" s="8">
        <v>1800</v>
      </c>
      <c r="FE3837" s="8">
        <v>180</v>
      </c>
    </row>
    <row r="3838" spans="158:161" ht="74.25" customHeight="1" x14ac:dyDescent="0.2">
      <c r="FB3838" s="8" t="s">
        <v>7727</v>
      </c>
      <c r="FC3838" s="8" t="s">
        <v>7728</v>
      </c>
      <c r="FD3838" s="8">
        <v>60</v>
      </c>
      <c r="FE3838" s="8">
        <v>6</v>
      </c>
    </row>
    <row r="3839" spans="158:161" ht="74.25" customHeight="1" x14ac:dyDescent="0.2">
      <c r="FB3839" s="8" t="s">
        <v>7729</v>
      </c>
      <c r="FC3839" s="8" t="s">
        <v>7730</v>
      </c>
      <c r="FD3839" s="8">
        <v>3500</v>
      </c>
      <c r="FE3839" s="8">
        <v>350</v>
      </c>
    </row>
    <row r="3840" spans="158:161" ht="74.25" customHeight="1" x14ac:dyDescent="0.2">
      <c r="FB3840" s="8" t="s">
        <v>7731</v>
      </c>
      <c r="FC3840" s="8" t="s">
        <v>7732</v>
      </c>
      <c r="FD3840" s="8">
        <v>8</v>
      </c>
      <c r="FE3840" s="8">
        <v>0.8</v>
      </c>
    </row>
    <row r="3841" spans="158:161" ht="74.25" customHeight="1" x14ac:dyDescent="0.2">
      <c r="FB3841" s="8" t="s">
        <v>7733</v>
      </c>
      <c r="FC3841" s="8" t="s">
        <v>7734</v>
      </c>
      <c r="FD3841" s="8">
        <v>600</v>
      </c>
      <c r="FE3841" s="8">
        <v>60</v>
      </c>
    </row>
    <row r="3842" spans="158:161" ht="74.25" customHeight="1" x14ac:dyDescent="0.2">
      <c r="FB3842" s="8" t="s">
        <v>7735</v>
      </c>
      <c r="FC3842" s="8" t="s">
        <v>7736</v>
      </c>
      <c r="FD3842" s="8">
        <v>730</v>
      </c>
      <c r="FE3842" s="8">
        <v>73</v>
      </c>
    </row>
    <row r="3843" spans="158:161" ht="74.25" customHeight="1" x14ac:dyDescent="0.2">
      <c r="FB3843" s="8" t="s">
        <v>7737</v>
      </c>
      <c r="FC3843" s="8" t="s">
        <v>7738</v>
      </c>
      <c r="FD3843" s="8">
        <v>3500</v>
      </c>
      <c r="FE3843" s="8">
        <v>350</v>
      </c>
    </row>
    <row r="3844" spans="158:161" ht="74.25" customHeight="1" x14ac:dyDescent="0.2">
      <c r="FB3844" s="8" t="s">
        <v>7739</v>
      </c>
      <c r="FC3844" s="8" t="s">
        <v>7740</v>
      </c>
      <c r="FD3844" s="8">
        <v>70</v>
      </c>
      <c r="FE3844" s="8">
        <v>7</v>
      </c>
    </row>
    <row r="3845" spans="158:161" ht="74.25" customHeight="1" x14ac:dyDescent="0.2">
      <c r="FB3845" s="8" t="s">
        <v>7741</v>
      </c>
      <c r="FC3845" s="8" t="s">
        <v>7742</v>
      </c>
      <c r="FD3845" s="8">
        <v>1000</v>
      </c>
      <c r="FE3845" s="8">
        <v>100</v>
      </c>
    </row>
    <row r="3846" spans="158:161" ht="74.25" customHeight="1" x14ac:dyDescent="0.2">
      <c r="FB3846" s="8" t="s">
        <v>7743</v>
      </c>
      <c r="FC3846" s="8" t="s">
        <v>9486</v>
      </c>
      <c r="FD3846" s="8">
        <v>17</v>
      </c>
      <c r="FE3846" s="8">
        <v>8.1</v>
      </c>
    </row>
    <row r="3847" spans="158:161" ht="74.25" customHeight="1" x14ac:dyDescent="0.2">
      <c r="FB3847" s="8" t="s">
        <v>7744</v>
      </c>
      <c r="FC3847" s="8" t="s">
        <v>9487</v>
      </c>
      <c r="FD3847" s="8">
        <v>2.8</v>
      </c>
      <c r="FE3847" s="8">
        <v>0.56999999999999995</v>
      </c>
    </row>
    <row r="3848" spans="158:161" ht="74.25" customHeight="1" x14ac:dyDescent="0.2">
      <c r="FB3848" s="8" t="s">
        <v>7745</v>
      </c>
      <c r="FC3848" s="8" t="s">
        <v>7746</v>
      </c>
      <c r="FD3848" s="8" t="s">
        <v>9511</v>
      </c>
      <c r="FE3848" s="8">
        <v>0.71</v>
      </c>
    </row>
    <row r="3849" spans="158:161" ht="74.25" customHeight="1" x14ac:dyDescent="0.2">
      <c r="FB3849" s="8" t="s">
        <v>7747</v>
      </c>
      <c r="FC3849" s="8" t="s">
        <v>9488</v>
      </c>
      <c r="FD3849" s="8">
        <v>17</v>
      </c>
      <c r="FE3849" s="8">
        <v>8.1</v>
      </c>
    </row>
    <row r="3850" spans="158:161" ht="74.25" customHeight="1" x14ac:dyDescent="0.2">
      <c r="FB3850" s="8" t="s">
        <v>7748</v>
      </c>
      <c r="FC3850" s="8" t="s">
        <v>9489</v>
      </c>
      <c r="FD3850" s="8">
        <v>2.8</v>
      </c>
      <c r="FE3850" s="8">
        <v>0.56999999999999995</v>
      </c>
    </row>
    <row r="3851" spans="158:161" ht="74.25" customHeight="1" x14ac:dyDescent="0.2">
      <c r="FB3851" s="8" t="s">
        <v>7749</v>
      </c>
      <c r="FC3851" s="8" t="s">
        <v>7750</v>
      </c>
      <c r="FD3851" s="8" t="s">
        <v>9511</v>
      </c>
      <c r="FE3851" s="8">
        <v>0.71</v>
      </c>
    </row>
    <row r="3852" spans="158:161" ht="74.25" customHeight="1" x14ac:dyDescent="0.2">
      <c r="FB3852" s="8" t="s">
        <v>7751</v>
      </c>
      <c r="FC3852" s="8" t="s">
        <v>7752</v>
      </c>
      <c r="FD3852" s="8">
        <v>50</v>
      </c>
      <c r="FE3852" s="8">
        <v>5</v>
      </c>
    </row>
    <row r="3853" spans="158:161" ht="74.25" customHeight="1" x14ac:dyDescent="0.2">
      <c r="FB3853" s="8" t="s">
        <v>7753</v>
      </c>
      <c r="FC3853" s="8" t="s">
        <v>7754</v>
      </c>
      <c r="FD3853" s="8">
        <v>25</v>
      </c>
      <c r="FE3853" s="8">
        <v>2.5</v>
      </c>
    </row>
    <row r="3854" spans="158:161" ht="74.25" customHeight="1" x14ac:dyDescent="0.2">
      <c r="FB3854" s="8" t="s">
        <v>7755</v>
      </c>
      <c r="FC3854" s="8" t="s">
        <v>7756</v>
      </c>
      <c r="FD3854" s="8">
        <v>70</v>
      </c>
      <c r="FE3854" s="8">
        <v>7</v>
      </c>
    </row>
    <row r="3855" spans="158:161" ht="74.25" customHeight="1" x14ac:dyDescent="0.2">
      <c r="FB3855" s="8" t="s">
        <v>7757</v>
      </c>
      <c r="FC3855" s="8" t="s">
        <v>9490</v>
      </c>
      <c r="FD3855" s="8">
        <v>17</v>
      </c>
      <c r="FE3855" s="8">
        <v>8.1</v>
      </c>
    </row>
    <row r="3856" spans="158:161" ht="74.25" customHeight="1" x14ac:dyDescent="0.2">
      <c r="FB3856" s="8" t="s">
        <v>7758</v>
      </c>
      <c r="FC3856" s="8" t="s">
        <v>9491</v>
      </c>
      <c r="FD3856" s="8">
        <v>2.8</v>
      </c>
      <c r="FE3856" s="8">
        <v>0.56999999999999995</v>
      </c>
    </row>
    <row r="3857" spans="158:161" ht="74.25" customHeight="1" x14ac:dyDescent="0.2">
      <c r="FB3857" s="8" t="s">
        <v>7759</v>
      </c>
      <c r="FC3857" s="8" t="s">
        <v>7760</v>
      </c>
      <c r="FD3857" s="8" t="s">
        <v>9511</v>
      </c>
      <c r="FE3857" s="8">
        <v>0.71</v>
      </c>
    </row>
    <row r="3858" spans="158:161" ht="74.25" customHeight="1" x14ac:dyDescent="0.2">
      <c r="FB3858" s="8" t="s">
        <v>7761</v>
      </c>
      <c r="FC3858" s="8" t="s">
        <v>7762</v>
      </c>
      <c r="FD3858" s="8">
        <v>1000</v>
      </c>
      <c r="FE3858" s="8">
        <v>100</v>
      </c>
    </row>
    <row r="3859" spans="158:161" ht="74.25" customHeight="1" x14ac:dyDescent="0.2">
      <c r="FB3859" s="8" t="s">
        <v>9919</v>
      </c>
      <c r="FC3859" s="8" t="s">
        <v>9919</v>
      </c>
      <c r="FD3859" s="8">
        <v>1000</v>
      </c>
      <c r="FE3859" s="8">
        <v>100</v>
      </c>
    </row>
    <row r="3860" spans="158:161" ht="74.25" customHeight="1" x14ac:dyDescent="0.2">
      <c r="FB3860" s="8" t="s">
        <v>7763</v>
      </c>
      <c r="FC3860" s="8" t="s">
        <v>7764</v>
      </c>
      <c r="FD3860" s="8">
        <v>1000</v>
      </c>
      <c r="FE3860" s="8">
        <v>100</v>
      </c>
    </row>
    <row r="3861" spans="158:161" ht="74.25" customHeight="1" x14ac:dyDescent="0.2">
      <c r="FB3861" s="8" t="s">
        <v>7765</v>
      </c>
      <c r="FC3861" s="8" t="s">
        <v>7766</v>
      </c>
      <c r="FD3861" s="8">
        <v>1000</v>
      </c>
      <c r="FE3861" s="8">
        <v>100</v>
      </c>
    </row>
    <row r="3862" spans="158:161" ht="74.25" customHeight="1" x14ac:dyDescent="0.2">
      <c r="FB3862" s="8" t="s">
        <v>7767</v>
      </c>
      <c r="FC3862" s="8" t="s">
        <v>7768</v>
      </c>
      <c r="FD3862" s="8">
        <v>1000</v>
      </c>
      <c r="FE3862" s="8">
        <v>100</v>
      </c>
    </row>
    <row r="3863" spans="158:161" ht="74.25" customHeight="1" x14ac:dyDescent="0.2">
      <c r="FB3863" s="8" t="s">
        <v>7769</v>
      </c>
      <c r="FC3863" s="8" t="s">
        <v>7770</v>
      </c>
      <c r="FD3863" s="8">
        <v>1000</v>
      </c>
      <c r="FE3863" s="8">
        <v>100</v>
      </c>
    </row>
    <row r="3864" spans="158:161" ht="74.25" customHeight="1" x14ac:dyDescent="0.2">
      <c r="FB3864" s="8" t="s">
        <v>7771</v>
      </c>
      <c r="FC3864" s="8" t="s">
        <v>7772</v>
      </c>
      <c r="FD3864" s="8">
        <v>1000</v>
      </c>
      <c r="FE3864" s="8">
        <v>100</v>
      </c>
    </row>
    <row r="3865" spans="158:161" ht="74.25" customHeight="1" x14ac:dyDescent="0.2">
      <c r="FB3865" s="8" t="s">
        <v>7773</v>
      </c>
      <c r="FC3865" s="8" t="s">
        <v>7774</v>
      </c>
      <c r="FD3865" s="8">
        <v>1000</v>
      </c>
      <c r="FE3865" s="8">
        <v>100</v>
      </c>
    </row>
    <row r="3866" spans="158:161" ht="74.25" customHeight="1" x14ac:dyDescent="0.2">
      <c r="FB3866" s="8" t="s">
        <v>7775</v>
      </c>
      <c r="FC3866" s="8" t="s">
        <v>7776</v>
      </c>
      <c r="FD3866" s="8">
        <v>1000</v>
      </c>
      <c r="FE3866" s="8">
        <v>100</v>
      </c>
    </row>
    <row r="3867" spans="158:161" ht="74.25" customHeight="1" x14ac:dyDescent="0.2">
      <c r="FB3867" s="8" t="s">
        <v>7777</v>
      </c>
      <c r="FC3867" s="8" t="s">
        <v>7778</v>
      </c>
      <c r="FD3867" s="8">
        <v>1000</v>
      </c>
      <c r="FE3867" s="8">
        <v>100</v>
      </c>
    </row>
    <row r="3868" spans="158:161" ht="74.25" customHeight="1" x14ac:dyDescent="0.2">
      <c r="FB3868" s="8" t="s">
        <v>7779</v>
      </c>
      <c r="FC3868" s="8" t="s">
        <v>7780</v>
      </c>
      <c r="FD3868" s="8">
        <v>1000</v>
      </c>
      <c r="FE3868" s="8">
        <v>100</v>
      </c>
    </row>
    <row r="3869" spans="158:161" ht="74.25" customHeight="1" x14ac:dyDescent="0.2">
      <c r="FB3869" s="8" t="s">
        <v>7781</v>
      </c>
      <c r="FC3869" s="8" t="s">
        <v>7782</v>
      </c>
      <c r="FD3869" s="8">
        <v>1000</v>
      </c>
      <c r="FE3869" s="8">
        <v>100</v>
      </c>
    </row>
    <row r="3870" spans="158:161" ht="74.25" customHeight="1" x14ac:dyDescent="0.2">
      <c r="FB3870" s="8" t="s">
        <v>7783</v>
      </c>
      <c r="FC3870" s="8" t="s">
        <v>7784</v>
      </c>
      <c r="FD3870" s="8">
        <v>1000</v>
      </c>
      <c r="FE3870" s="8">
        <v>100</v>
      </c>
    </row>
    <row r="3871" spans="158:161" ht="74.25" customHeight="1" x14ac:dyDescent="0.2">
      <c r="FB3871" s="8" t="s">
        <v>7785</v>
      </c>
      <c r="FC3871" s="8" t="s">
        <v>7786</v>
      </c>
      <c r="FD3871" s="8">
        <v>1000</v>
      </c>
      <c r="FE3871" s="8">
        <v>100</v>
      </c>
    </row>
    <row r="3872" spans="158:161" ht="74.25" customHeight="1" x14ac:dyDescent="0.2">
      <c r="FB3872" s="8" t="s">
        <v>9920</v>
      </c>
      <c r="FC3872" s="8" t="s">
        <v>9920</v>
      </c>
      <c r="FD3872" s="8">
        <v>1000</v>
      </c>
      <c r="FE3872" s="8">
        <v>100</v>
      </c>
    </row>
    <row r="3873" spans="158:161" ht="74.25" customHeight="1" x14ac:dyDescent="0.2">
      <c r="FB3873" s="8" t="s">
        <v>7787</v>
      </c>
      <c r="FC3873" s="8" t="s">
        <v>7788</v>
      </c>
      <c r="FD3873" s="8">
        <v>1000</v>
      </c>
      <c r="FE3873" s="8">
        <v>100</v>
      </c>
    </row>
    <row r="3874" spans="158:161" ht="74.25" customHeight="1" x14ac:dyDescent="0.2">
      <c r="FB3874" s="8" t="s">
        <v>7789</v>
      </c>
      <c r="FC3874" s="8" t="s">
        <v>7790</v>
      </c>
      <c r="FD3874" s="8">
        <v>1000</v>
      </c>
      <c r="FE3874" s="8">
        <v>100</v>
      </c>
    </row>
    <row r="3875" spans="158:161" ht="74.25" customHeight="1" x14ac:dyDescent="0.2">
      <c r="FB3875" s="8" t="s">
        <v>7791</v>
      </c>
      <c r="FC3875" s="8" t="s">
        <v>7792</v>
      </c>
      <c r="FD3875" s="8">
        <v>35</v>
      </c>
      <c r="FE3875" s="8">
        <v>3.5</v>
      </c>
    </row>
    <row r="3876" spans="158:161" ht="74.25" customHeight="1" x14ac:dyDescent="0.2">
      <c r="FB3876" s="8" t="s">
        <v>7793</v>
      </c>
      <c r="FC3876" s="8" t="s">
        <v>7794</v>
      </c>
      <c r="FD3876" s="8">
        <v>600</v>
      </c>
      <c r="FE3876" s="8">
        <v>60</v>
      </c>
    </row>
    <row r="3877" spans="158:161" ht="74.25" customHeight="1" x14ac:dyDescent="0.2">
      <c r="FB3877" s="8" t="s">
        <v>7795</v>
      </c>
      <c r="FC3877" s="8" t="s">
        <v>7796</v>
      </c>
      <c r="FD3877" s="8">
        <v>2</v>
      </c>
      <c r="FE3877" s="8">
        <v>0.2</v>
      </c>
    </row>
    <row r="3878" spans="158:161" ht="74.25" customHeight="1" x14ac:dyDescent="0.2">
      <c r="FB3878" s="8" t="s">
        <v>7797</v>
      </c>
      <c r="FC3878" s="8" t="s">
        <v>9492</v>
      </c>
      <c r="FD3878" s="8">
        <v>17</v>
      </c>
      <c r="FE3878" s="8">
        <v>8.1</v>
      </c>
    </row>
    <row r="3879" spans="158:161" ht="74.25" customHeight="1" x14ac:dyDescent="0.2">
      <c r="FB3879" s="8" t="s">
        <v>7798</v>
      </c>
      <c r="FC3879" s="8" t="s">
        <v>9493</v>
      </c>
      <c r="FD3879" s="8">
        <v>2.8</v>
      </c>
      <c r="FE3879" s="8">
        <v>0.56999999999999995</v>
      </c>
    </row>
    <row r="3880" spans="158:161" ht="74.25" customHeight="1" x14ac:dyDescent="0.2">
      <c r="FB3880" s="8" t="s">
        <v>7799</v>
      </c>
      <c r="FC3880" s="8" t="s">
        <v>7800</v>
      </c>
      <c r="FD3880" s="8" t="s">
        <v>9511</v>
      </c>
      <c r="FE3880" s="8">
        <v>0.71</v>
      </c>
    </row>
    <row r="3881" spans="158:161" ht="74.25" customHeight="1" x14ac:dyDescent="0.2">
      <c r="FB3881" s="8" t="s">
        <v>7801</v>
      </c>
      <c r="FC3881" s="8" t="s">
        <v>7802</v>
      </c>
      <c r="FD3881" s="8">
        <v>600</v>
      </c>
      <c r="FE3881" s="8">
        <v>60</v>
      </c>
    </row>
    <row r="3882" spans="158:161" ht="74.25" customHeight="1" x14ac:dyDescent="0.2">
      <c r="FB3882" s="8" t="s">
        <v>7803</v>
      </c>
      <c r="FC3882" s="8" t="s">
        <v>7804</v>
      </c>
      <c r="FD3882" s="8">
        <v>600</v>
      </c>
      <c r="FE3882" s="8">
        <v>60</v>
      </c>
    </row>
    <row r="3883" spans="158:161" ht="74.25" customHeight="1" x14ac:dyDescent="0.2">
      <c r="FB3883" s="8" t="s">
        <v>7805</v>
      </c>
      <c r="FC3883" s="8" t="s">
        <v>7806</v>
      </c>
      <c r="FD3883" s="8">
        <v>600</v>
      </c>
      <c r="FE3883" s="8">
        <v>60</v>
      </c>
    </row>
    <row r="3884" spans="158:161" ht="74.25" customHeight="1" x14ac:dyDescent="0.2">
      <c r="FB3884" s="8" t="s">
        <v>7807</v>
      </c>
      <c r="FC3884" s="8" t="s">
        <v>7808</v>
      </c>
      <c r="FD3884" s="8">
        <v>4.4000000000000004</v>
      </c>
      <c r="FE3884" s="8">
        <v>10</v>
      </c>
    </row>
    <row r="3885" spans="158:161" ht="74.25" customHeight="1" x14ac:dyDescent="0.2">
      <c r="FB3885" s="8" t="s">
        <v>7809</v>
      </c>
      <c r="FC3885" s="8" t="s">
        <v>7810</v>
      </c>
      <c r="FD3885" s="8">
        <v>20</v>
      </c>
      <c r="FE3885" s="8">
        <v>2</v>
      </c>
    </row>
    <row r="3886" spans="158:161" ht="74.25" customHeight="1" x14ac:dyDescent="0.2">
      <c r="FB3886" s="8" t="s">
        <v>7811</v>
      </c>
      <c r="FC3886" s="8" t="s">
        <v>7812</v>
      </c>
      <c r="FD3886" s="8">
        <v>20</v>
      </c>
      <c r="FE3886" s="8">
        <v>2</v>
      </c>
    </row>
    <row r="3887" spans="158:161" ht="74.25" customHeight="1" x14ac:dyDescent="0.2">
      <c r="FB3887" s="8" t="s">
        <v>7813</v>
      </c>
      <c r="FC3887" s="8" t="s">
        <v>9494</v>
      </c>
      <c r="FD3887" s="8">
        <v>17</v>
      </c>
      <c r="FE3887" s="8">
        <v>8.1</v>
      </c>
    </row>
    <row r="3888" spans="158:161" ht="74.25" customHeight="1" x14ac:dyDescent="0.2">
      <c r="FB3888" s="8" t="s">
        <v>7814</v>
      </c>
      <c r="FC3888" s="8" t="s">
        <v>9495</v>
      </c>
      <c r="FD3888" s="8">
        <v>2.8</v>
      </c>
      <c r="FE3888" s="8">
        <v>0.56999999999999995</v>
      </c>
    </row>
    <row r="3889" spans="158:161" ht="74.25" customHeight="1" x14ac:dyDescent="0.2">
      <c r="FB3889" s="8" t="s">
        <v>7815</v>
      </c>
      <c r="FC3889" s="8" t="s">
        <v>7816</v>
      </c>
      <c r="FD3889" s="8" t="s">
        <v>9511</v>
      </c>
      <c r="FE3889" s="8">
        <v>0.71</v>
      </c>
    </row>
    <row r="3890" spans="158:161" ht="74.25" customHeight="1" x14ac:dyDescent="0.2">
      <c r="FB3890" s="8" t="s">
        <v>7817</v>
      </c>
      <c r="FC3890" s="8" t="s">
        <v>9496</v>
      </c>
      <c r="FD3890" s="8">
        <v>17</v>
      </c>
      <c r="FE3890" s="8">
        <v>8.1</v>
      </c>
    </row>
    <row r="3891" spans="158:161" ht="74.25" customHeight="1" x14ac:dyDescent="0.2">
      <c r="FB3891" s="8" t="s">
        <v>7818</v>
      </c>
      <c r="FC3891" s="8" t="s">
        <v>9497</v>
      </c>
      <c r="FD3891" s="8">
        <v>2.8</v>
      </c>
      <c r="FE3891" s="8">
        <v>0.56999999999999995</v>
      </c>
    </row>
    <row r="3892" spans="158:161" ht="74.25" customHeight="1" x14ac:dyDescent="0.2">
      <c r="FB3892" s="8" t="s">
        <v>7819</v>
      </c>
      <c r="FC3892" s="8" t="s">
        <v>7820</v>
      </c>
      <c r="FD3892" s="8" t="s">
        <v>9511</v>
      </c>
      <c r="FE3892" s="8">
        <v>0.71</v>
      </c>
    </row>
    <row r="3893" spans="158:161" ht="74.25" customHeight="1" x14ac:dyDescent="0.2">
      <c r="FB3893" s="8" t="s">
        <v>7821</v>
      </c>
      <c r="FC3893" s="8" t="s">
        <v>7822</v>
      </c>
      <c r="FD3893" s="8">
        <v>0.5</v>
      </c>
      <c r="FE3893" s="8">
        <v>0.05</v>
      </c>
    </row>
    <row r="3894" spans="158:161" ht="74.25" customHeight="1" x14ac:dyDescent="0.2">
      <c r="FB3894" s="8" t="s">
        <v>7823</v>
      </c>
      <c r="FC3894" s="8" t="s">
        <v>7824</v>
      </c>
      <c r="FD3894" s="8">
        <v>930</v>
      </c>
      <c r="FE3894" s="8">
        <v>93</v>
      </c>
    </row>
    <row r="3895" spans="158:161" ht="74.25" customHeight="1" x14ac:dyDescent="0.2">
      <c r="FB3895" s="8" t="s">
        <v>7825</v>
      </c>
      <c r="FC3895" s="8" t="s">
        <v>7826</v>
      </c>
      <c r="FD3895" s="8">
        <v>2000</v>
      </c>
      <c r="FE3895" s="8">
        <v>200</v>
      </c>
    </row>
    <row r="3896" spans="158:161" ht="74.25" customHeight="1" x14ac:dyDescent="0.2">
      <c r="FB3896" s="8" t="s">
        <v>7827</v>
      </c>
      <c r="FC3896" s="8" t="s">
        <v>7828</v>
      </c>
      <c r="FD3896" s="8">
        <v>18</v>
      </c>
      <c r="FE3896" s="8">
        <v>1.8</v>
      </c>
    </row>
    <row r="3897" spans="158:161" ht="74.25" customHeight="1" x14ac:dyDescent="0.2">
      <c r="FB3897" s="8" t="s">
        <v>7829</v>
      </c>
      <c r="FC3897" s="8" t="s">
        <v>7830</v>
      </c>
      <c r="FD3897" s="8">
        <v>20</v>
      </c>
      <c r="FE3897" s="8">
        <v>2</v>
      </c>
    </row>
    <row r="3898" spans="158:161" ht="74.25" customHeight="1" x14ac:dyDescent="0.2">
      <c r="FB3898" s="8" t="s">
        <v>7831</v>
      </c>
      <c r="FC3898" s="8" t="s">
        <v>7832</v>
      </c>
      <c r="FD3898" s="8">
        <v>3030</v>
      </c>
      <c r="FE3898" s="8">
        <v>303</v>
      </c>
    </row>
    <row r="3899" spans="158:161" ht="74.25" customHeight="1" x14ac:dyDescent="0.2">
      <c r="FB3899" s="8" t="s">
        <v>7833</v>
      </c>
      <c r="FC3899" s="8" t="s">
        <v>7834</v>
      </c>
      <c r="FD3899" s="8">
        <v>10</v>
      </c>
      <c r="FE3899" s="8">
        <v>1</v>
      </c>
    </row>
    <row r="3900" spans="158:161" ht="74.25" customHeight="1" x14ac:dyDescent="0.2">
      <c r="FB3900" s="8" t="s">
        <v>7835</v>
      </c>
      <c r="FC3900" s="8" t="s">
        <v>9498</v>
      </c>
      <c r="FD3900" s="8">
        <v>17</v>
      </c>
      <c r="FE3900" s="8">
        <v>8.1</v>
      </c>
    </row>
    <row r="3901" spans="158:161" ht="74.25" customHeight="1" x14ac:dyDescent="0.2">
      <c r="FB3901" s="8" t="s">
        <v>7836</v>
      </c>
      <c r="FC3901" s="8" t="s">
        <v>9499</v>
      </c>
      <c r="FD3901" s="8">
        <v>2.8</v>
      </c>
      <c r="FE3901" s="8">
        <v>0.56999999999999995</v>
      </c>
    </row>
    <row r="3902" spans="158:161" ht="74.25" customHeight="1" x14ac:dyDescent="0.2">
      <c r="FB3902" s="8" t="s">
        <v>7837</v>
      </c>
      <c r="FC3902" s="8" t="s">
        <v>7838</v>
      </c>
      <c r="FD3902" s="8" t="s">
        <v>9511</v>
      </c>
      <c r="FE3902" s="8">
        <v>0.71</v>
      </c>
    </row>
    <row r="3903" spans="158:161" ht="74.25" customHeight="1" x14ac:dyDescent="0.2">
      <c r="FB3903" s="8" t="s">
        <v>7839</v>
      </c>
      <c r="FC3903" s="8" t="s">
        <v>7840</v>
      </c>
      <c r="FD3903" s="8">
        <v>1000</v>
      </c>
      <c r="FE3903" s="8">
        <v>100</v>
      </c>
    </row>
    <row r="3904" spans="158:161" ht="74.25" customHeight="1" x14ac:dyDescent="0.2">
      <c r="FB3904" s="8" t="s">
        <v>7841</v>
      </c>
      <c r="FC3904" s="8" t="s">
        <v>7841</v>
      </c>
      <c r="FD3904" s="8">
        <v>17</v>
      </c>
      <c r="FE3904" s="8">
        <v>8.1</v>
      </c>
    </row>
    <row r="3905" spans="158:161" ht="74.25" customHeight="1" x14ac:dyDescent="0.2">
      <c r="FB3905" s="8" t="s">
        <v>7842</v>
      </c>
      <c r="FC3905" s="8" t="s">
        <v>7842</v>
      </c>
      <c r="FD3905" s="8">
        <v>2.8</v>
      </c>
      <c r="FE3905" s="8">
        <v>0.56999999999999995</v>
      </c>
    </row>
    <row r="3906" spans="158:161" ht="74.25" customHeight="1" x14ac:dyDescent="0.2">
      <c r="FB3906" s="8" t="s">
        <v>7843</v>
      </c>
      <c r="FC3906" s="8" t="s">
        <v>7843</v>
      </c>
      <c r="FD3906" s="8" t="s">
        <v>9511</v>
      </c>
      <c r="FE3906" s="8">
        <v>0.71</v>
      </c>
    </row>
    <row r="3907" spans="158:161" ht="74.25" customHeight="1" x14ac:dyDescent="0.2">
      <c r="FB3907" s="8" t="s">
        <v>7844</v>
      </c>
      <c r="FC3907" s="8" t="s">
        <v>7845</v>
      </c>
      <c r="FD3907" s="8">
        <v>4400</v>
      </c>
      <c r="FE3907" s="8">
        <v>54</v>
      </c>
    </row>
    <row r="3908" spans="158:161" ht="74.25" customHeight="1" x14ac:dyDescent="0.2">
      <c r="FB3908" s="8" t="s">
        <v>7846</v>
      </c>
      <c r="FC3908" s="8" t="s">
        <v>7847</v>
      </c>
      <c r="FD3908" s="8">
        <v>650</v>
      </c>
      <c r="FE3908" s="8">
        <v>65</v>
      </c>
    </row>
    <row r="3909" spans="158:161" ht="74.25" customHeight="1" x14ac:dyDescent="0.2">
      <c r="FB3909" s="8" t="s">
        <v>7848</v>
      </c>
      <c r="FC3909" s="8" t="s">
        <v>7849</v>
      </c>
      <c r="FD3909" s="8">
        <v>1000</v>
      </c>
      <c r="FE3909" s="8">
        <v>100</v>
      </c>
    </row>
    <row r="3910" spans="158:161" ht="74.25" customHeight="1" x14ac:dyDescent="0.2">
      <c r="FB3910" s="8" t="s">
        <v>7850</v>
      </c>
      <c r="FC3910" s="8" t="s">
        <v>7851</v>
      </c>
      <c r="FD3910" s="8">
        <v>250</v>
      </c>
      <c r="FE3910" s="8">
        <v>25</v>
      </c>
    </row>
    <row r="3911" spans="158:161" ht="74.25" customHeight="1" x14ac:dyDescent="0.2">
      <c r="FB3911" s="8" t="s">
        <v>7852</v>
      </c>
      <c r="FC3911" s="8" t="s">
        <v>7853</v>
      </c>
      <c r="FD3911" s="8">
        <v>1000</v>
      </c>
      <c r="FE3911" s="8">
        <v>100</v>
      </c>
    </row>
    <row r="3912" spans="158:161" ht="74.25" customHeight="1" x14ac:dyDescent="0.2">
      <c r="FB3912" s="8" t="s">
        <v>7854</v>
      </c>
      <c r="FC3912" s="8" t="s">
        <v>7855</v>
      </c>
      <c r="FD3912" s="8">
        <v>1000</v>
      </c>
      <c r="FE3912" s="8">
        <v>100</v>
      </c>
    </row>
    <row r="3913" spans="158:161" ht="74.25" customHeight="1" x14ac:dyDescent="0.2">
      <c r="FB3913" s="8" t="s">
        <v>7856</v>
      </c>
      <c r="FC3913" s="8" t="s">
        <v>7857</v>
      </c>
      <c r="FD3913" s="8">
        <v>1000</v>
      </c>
      <c r="FE3913" s="8">
        <v>100</v>
      </c>
    </row>
    <row r="3914" spans="158:161" ht="74.25" customHeight="1" x14ac:dyDescent="0.2">
      <c r="FB3914" s="8" t="s">
        <v>7858</v>
      </c>
      <c r="FC3914" s="8" t="s">
        <v>7859</v>
      </c>
      <c r="FD3914" s="8">
        <v>1000</v>
      </c>
      <c r="FE3914" s="8">
        <v>100</v>
      </c>
    </row>
    <row r="3915" spans="158:161" ht="74.25" customHeight="1" x14ac:dyDescent="0.2">
      <c r="FB3915" s="8" t="s">
        <v>7860</v>
      </c>
      <c r="FC3915" s="8" t="s">
        <v>7861</v>
      </c>
      <c r="FD3915" s="8">
        <v>1000</v>
      </c>
      <c r="FE3915" s="8">
        <v>100</v>
      </c>
    </row>
    <row r="3916" spans="158:161" ht="74.25" customHeight="1" x14ac:dyDescent="0.2">
      <c r="FB3916" s="8" t="s">
        <v>7862</v>
      </c>
      <c r="FC3916" s="8" t="s">
        <v>7863</v>
      </c>
      <c r="FD3916" s="8">
        <v>1000</v>
      </c>
      <c r="FE3916" s="8">
        <v>100</v>
      </c>
    </row>
    <row r="3917" spans="158:161" ht="74.25" customHeight="1" x14ac:dyDescent="0.2">
      <c r="FB3917" s="8" t="s">
        <v>7864</v>
      </c>
      <c r="FC3917" s="8" t="s">
        <v>7865</v>
      </c>
      <c r="FD3917" s="8">
        <v>1000</v>
      </c>
      <c r="FE3917" s="8">
        <v>100</v>
      </c>
    </row>
    <row r="3918" spans="158:161" ht="74.25" customHeight="1" x14ac:dyDescent="0.2">
      <c r="FB3918" s="8" t="s">
        <v>7866</v>
      </c>
      <c r="FC3918" s="8" t="s">
        <v>7867</v>
      </c>
      <c r="FD3918" s="8">
        <v>1000</v>
      </c>
      <c r="FE3918" s="8">
        <v>100</v>
      </c>
    </row>
    <row r="3919" spans="158:161" ht="74.25" customHeight="1" x14ac:dyDescent="0.2">
      <c r="FB3919" s="8" t="s">
        <v>7868</v>
      </c>
      <c r="FC3919" s="8" t="s">
        <v>7869</v>
      </c>
      <c r="FD3919" s="8">
        <v>1000</v>
      </c>
      <c r="FE3919" s="8">
        <v>100</v>
      </c>
    </row>
    <row r="3920" spans="158:161" ht="74.25" customHeight="1" x14ac:dyDescent="0.2">
      <c r="FB3920" s="8" t="s">
        <v>7870</v>
      </c>
      <c r="FC3920" s="8" t="s">
        <v>7871</v>
      </c>
      <c r="FD3920" s="8">
        <v>175</v>
      </c>
      <c r="FE3920" s="8">
        <v>18</v>
      </c>
    </row>
    <row r="3921" spans="158:161" ht="74.25" customHeight="1" x14ac:dyDescent="0.2">
      <c r="FB3921" s="8" t="s">
        <v>7872</v>
      </c>
      <c r="FC3921" s="8" t="s">
        <v>7873</v>
      </c>
      <c r="FD3921" s="8">
        <v>100</v>
      </c>
      <c r="FE3921" s="8">
        <v>10</v>
      </c>
    </row>
    <row r="3922" spans="158:161" ht="74.25" customHeight="1" x14ac:dyDescent="0.2">
      <c r="FB3922" s="8" t="s">
        <v>7874</v>
      </c>
      <c r="FC3922" s="8" t="s">
        <v>7875</v>
      </c>
      <c r="FD3922" s="8">
        <v>100</v>
      </c>
      <c r="FE3922" s="8">
        <v>10</v>
      </c>
    </row>
    <row r="3923" spans="158:161" ht="74.25" customHeight="1" x14ac:dyDescent="0.2">
      <c r="FB3923" s="8" t="s">
        <v>9921</v>
      </c>
      <c r="FC3923" s="8" t="s">
        <v>9921</v>
      </c>
      <c r="FD3923" s="8">
        <v>1000</v>
      </c>
      <c r="FE3923" s="8">
        <v>100</v>
      </c>
    </row>
    <row r="3924" spans="158:161" ht="74.25" customHeight="1" x14ac:dyDescent="0.2">
      <c r="FB3924" s="8" t="s">
        <v>7876</v>
      </c>
      <c r="FC3924" s="8" t="s">
        <v>7877</v>
      </c>
      <c r="FD3924" s="8">
        <v>1000</v>
      </c>
      <c r="FE3924" s="8">
        <v>100</v>
      </c>
    </row>
    <row r="3925" spans="158:161" ht="74.25" customHeight="1" x14ac:dyDescent="0.2">
      <c r="FB3925" s="8" t="s">
        <v>7878</v>
      </c>
      <c r="FC3925" s="8" t="s">
        <v>7879</v>
      </c>
      <c r="FD3925" s="8">
        <v>100</v>
      </c>
      <c r="FE3925" s="8">
        <v>10</v>
      </c>
    </row>
    <row r="3926" spans="158:161" ht="74.25" customHeight="1" x14ac:dyDescent="0.2">
      <c r="FB3926" s="8" t="s">
        <v>7880</v>
      </c>
      <c r="FC3926" s="8" t="s">
        <v>7881</v>
      </c>
      <c r="FD3926" s="8">
        <v>1000</v>
      </c>
      <c r="FE3926" s="8">
        <v>100</v>
      </c>
    </row>
    <row r="3927" spans="158:161" ht="74.25" customHeight="1" x14ac:dyDescent="0.2">
      <c r="FB3927" s="8" t="s">
        <v>7882</v>
      </c>
      <c r="FC3927" s="8" t="s">
        <v>7883</v>
      </c>
      <c r="FD3927" s="8">
        <v>1000</v>
      </c>
      <c r="FE3927" s="8">
        <v>100</v>
      </c>
    </row>
    <row r="3928" spans="158:161" ht="74.25" customHeight="1" x14ac:dyDescent="0.2">
      <c r="FB3928" s="8" t="s">
        <v>7884</v>
      </c>
      <c r="FC3928" s="8" t="s">
        <v>7885</v>
      </c>
      <c r="FD3928" s="8">
        <v>1000</v>
      </c>
      <c r="FE3928" s="8">
        <v>100</v>
      </c>
    </row>
    <row r="3929" spans="158:161" ht="74.25" customHeight="1" x14ac:dyDescent="0.2">
      <c r="FB3929" s="8" t="s">
        <v>7886</v>
      </c>
      <c r="FC3929" s="8" t="s">
        <v>7887</v>
      </c>
      <c r="FD3929" s="8">
        <v>5700</v>
      </c>
      <c r="FE3929" s="8">
        <v>570</v>
      </c>
    </row>
    <row r="3930" spans="158:161" ht="74.25" customHeight="1" x14ac:dyDescent="0.2">
      <c r="FB3930" s="8" t="s">
        <v>7888</v>
      </c>
      <c r="FC3930" s="8" t="s">
        <v>7889</v>
      </c>
      <c r="FD3930" s="8">
        <v>1000</v>
      </c>
      <c r="FE3930" s="8">
        <v>100</v>
      </c>
    </row>
    <row r="3931" spans="158:161" ht="74.25" customHeight="1" x14ac:dyDescent="0.2">
      <c r="FB3931" s="8" t="s">
        <v>7890</v>
      </c>
      <c r="FC3931" s="8" t="s">
        <v>7891</v>
      </c>
      <c r="FD3931" s="8">
        <v>1000</v>
      </c>
      <c r="FE3931" s="8">
        <v>100</v>
      </c>
    </row>
    <row r="3932" spans="158:161" ht="74.25" customHeight="1" x14ac:dyDescent="0.2">
      <c r="FB3932" s="8" t="s">
        <v>7892</v>
      </c>
      <c r="FC3932" s="8" t="s">
        <v>7893</v>
      </c>
      <c r="FD3932" s="8">
        <v>1000</v>
      </c>
      <c r="FE3932" s="8">
        <v>100</v>
      </c>
    </row>
    <row r="3933" spans="158:161" ht="74.25" customHeight="1" x14ac:dyDescent="0.2">
      <c r="FB3933" s="8" t="s">
        <v>7894</v>
      </c>
      <c r="FC3933" s="8" t="s">
        <v>7895</v>
      </c>
      <c r="FD3933" s="8">
        <v>600</v>
      </c>
      <c r="FE3933" s="8">
        <v>60</v>
      </c>
    </row>
    <row r="3934" spans="158:161" ht="74.25" customHeight="1" x14ac:dyDescent="0.2">
      <c r="FB3934" s="8" t="s">
        <v>7896</v>
      </c>
      <c r="FC3934" s="8" t="s">
        <v>7897</v>
      </c>
      <c r="FD3934" s="8">
        <v>2000</v>
      </c>
      <c r="FE3934" s="8">
        <v>200</v>
      </c>
    </row>
    <row r="3935" spans="158:161" ht="74.25" customHeight="1" x14ac:dyDescent="0.2">
      <c r="FB3935" s="8" t="s">
        <v>7898</v>
      </c>
      <c r="FC3935" s="8" t="s">
        <v>7899</v>
      </c>
      <c r="FD3935" s="8">
        <v>100</v>
      </c>
      <c r="FE3935" s="8">
        <v>10</v>
      </c>
    </row>
    <row r="3936" spans="158:161" ht="74.25" customHeight="1" x14ac:dyDescent="0.2">
      <c r="FB3936" s="8" t="s">
        <v>7900</v>
      </c>
      <c r="FC3936" s="8" t="s">
        <v>7901</v>
      </c>
      <c r="FD3936" s="8">
        <v>70</v>
      </c>
      <c r="FE3936" s="8">
        <v>7</v>
      </c>
    </row>
    <row r="3937" spans="158:161" ht="74.25" customHeight="1" x14ac:dyDescent="0.2">
      <c r="FB3937" s="8" t="s">
        <v>7902</v>
      </c>
      <c r="FC3937" s="8" t="s">
        <v>7903</v>
      </c>
      <c r="FD3937" s="8">
        <v>5</v>
      </c>
      <c r="FE3937" s="8">
        <v>0.5</v>
      </c>
    </row>
    <row r="3938" spans="158:161" ht="74.25" customHeight="1" x14ac:dyDescent="0.2">
      <c r="FB3938" s="8" t="s">
        <v>7904</v>
      </c>
      <c r="FC3938" s="8" t="s">
        <v>7905</v>
      </c>
      <c r="FD3938" s="8">
        <v>50</v>
      </c>
      <c r="FE3938" s="8">
        <v>5</v>
      </c>
    </row>
    <row r="3939" spans="158:161" ht="74.25" customHeight="1" x14ac:dyDescent="0.2">
      <c r="FB3939" s="8" t="s">
        <v>7906</v>
      </c>
      <c r="FC3939" s="8" t="s">
        <v>7907</v>
      </c>
      <c r="FD3939" s="8">
        <v>3500</v>
      </c>
      <c r="FE3939" s="8">
        <v>350</v>
      </c>
    </row>
    <row r="3940" spans="158:161" ht="74.25" customHeight="1" x14ac:dyDescent="0.2">
      <c r="FB3940" s="8" t="s">
        <v>7908</v>
      </c>
      <c r="FC3940" s="8" t="s">
        <v>7909</v>
      </c>
      <c r="FD3940" s="8">
        <v>3500</v>
      </c>
      <c r="FE3940" s="8">
        <v>350</v>
      </c>
    </row>
    <row r="3941" spans="158:161" ht="74.25" customHeight="1" x14ac:dyDescent="0.2">
      <c r="FB3941" s="8" t="s">
        <v>7910</v>
      </c>
      <c r="FC3941" s="8" t="s">
        <v>7911</v>
      </c>
      <c r="FD3941" s="8">
        <v>110</v>
      </c>
      <c r="FE3941" s="8">
        <v>11</v>
      </c>
    </row>
    <row r="3942" spans="158:161" ht="74.25" customHeight="1" x14ac:dyDescent="0.2">
      <c r="FB3942" s="8" t="s">
        <v>7912</v>
      </c>
      <c r="FC3942" s="8" t="s">
        <v>7912</v>
      </c>
      <c r="FD3942" s="8">
        <v>20</v>
      </c>
      <c r="FE3942" s="8">
        <v>2</v>
      </c>
    </row>
    <row r="3943" spans="158:161" ht="74.25" customHeight="1" x14ac:dyDescent="0.2">
      <c r="FB3943" s="8" t="s">
        <v>7913</v>
      </c>
      <c r="FC3943" s="8" t="s">
        <v>7914</v>
      </c>
      <c r="FD3943" s="8">
        <v>1.5</v>
      </c>
      <c r="FE3943" s="8">
        <v>0.15</v>
      </c>
    </row>
    <row r="3944" spans="158:161" ht="74.25" customHeight="1" x14ac:dyDescent="0.2">
      <c r="FB3944" s="8" t="s">
        <v>7915</v>
      </c>
      <c r="FC3944" s="8" t="s">
        <v>7916</v>
      </c>
      <c r="FD3944" s="8">
        <v>1000</v>
      </c>
      <c r="FE3944" s="8">
        <v>100</v>
      </c>
    </row>
    <row r="3945" spans="158:161" ht="74.25" customHeight="1" x14ac:dyDescent="0.2">
      <c r="FB3945" s="8" t="s">
        <v>7917</v>
      </c>
      <c r="FC3945" s="8" t="s">
        <v>7917</v>
      </c>
      <c r="FD3945" s="8">
        <v>100</v>
      </c>
      <c r="FE3945" s="8">
        <v>10</v>
      </c>
    </row>
    <row r="3946" spans="158:161" ht="74.25" customHeight="1" x14ac:dyDescent="0.2">
      <c r="FB3946" s="8" t="s">
        <v>7918</v>
      </c>
      <c r="FC3946" s="8" t="s">
        <v>7919</v>
      </c>
      <c r="FD3946" s="8">
        <v>100</v>
      </c>
      <c r="FE3946" s="8">
        <v>10</v>
      </c>
    </row>
    <row r="3947" spans="158:161" ht="74.25" customHeight="1" x14ac:dyDescent="0.2">
      <c r="FB3947" s="8" t="s">
        <v>7920</v>
      </c>
      <c r="FC3947" s="8" t="s">
        <v>7921</v>
      </c>
      <c r="FD3947" s="8">
        <v>100</v>
      </c>
      <c r="FE3947" s="8">
        <v>10</v>
      </c>
    </row>
    <row r="3948" spans="158:161" ht="74.25" customHeight="1" x14ac:dyDescent="0.2">
      <c r="FB3948" s="8" t="s">
        <v>7922</v>
      </c>
      <c r="FC3948" s="8" t="s">
        <v>7923</v>
      </c>
      <c r="FD3948" s="8">
        <v>110</v>
      </c>
      <c r="FE3948" s="8">
        <v>140</v>
      </c>
    </row>
    <row r="3949" spans="158:161" ht="74.25" customHeight="1" x14ac:dyDescent="0.2">
      <c r="FB3949" s="8" t="s">
        <v>7924</v>
      </c>
      <c r="FC3949" s="8" t="s">
        <v>9874</v>
      </c>
      <c r="FD3949" s="8">
        <v>450</v>
      </c>
      <c r="FE3949" s="8">
        <v>4.5</v>
      </c>
    </row>
    <row r="3950" spans="158:161" ht="74.25" customHeight="1" x14ac:dyDescent="0.2">
      <c r="FB3950" s="8" t="s">
        <v>7925</v>
      </c>
      <c r="FC3950" s="8" t="s">
        <v>7926</v>
      </c>
      <c r="FD3950" s="8">
        <v>310</v>
      </c>
      <c r="FE3950" s="8">
        <v>210</v>
      </c>
    </row>
    <row r="3951" spans="158:161" ht="74.25" customHeight="1" x14ac:dyDescent="0.2">
      <c r="FB3951" s="8" t="s">
        <v>9922</v>
      </c>
      <c r="FC3951" s="8" t="s">
        <v>9922</v>
      </c>
      <c r="FD3951" s="8">
        <v>600</v>
      </c>
      <c r="FE3951" s="8">
        <v>60</v>
      </c>
    </row>
    <row r="3952" spans="158:161" ht="74.25" customHeight="1" x14ac:dyDescent="0.2">
      <c r="FB3952" s="8" t="s">
        <v>7927</v>
      </c>
      <c r="FC3952" s="8" t="s">
        <v>7928</v>
      </c>
      <c r="FD3952" s="8">
        <v>5.9999999999999995E-4</v>
      </c>
      <c r="FE3952" s="8">
        <v>6.0000000000000002E-5</v>
      </c>
    </row>
    <row r="3953" spans="158:161" ht="74.25" customHeight="1" x14ac:dyDescent="0.2">
      <c r="FB3953" s="8" t="s">
        <v>7929</v>
      </c>
      <c r="FC3953" s="8" t="s">
        <v>7930</v>
      </c>
      <c r="FD3953" s="8">
        <v>25</v>
      </c>
      <c r="FE3953" s="8">
        <v>2.5</v>
      </c>
    </row>
    <row r="3954" spans="158:161" ht="74.25" customHeight="1" x14ac:dyDescent="0.2">
      <c r="FB3954" s="8" t="s">
        <v>7931</v>
      </c>
      <c r="FC3954" s="8" t="s">
        <v>7932</v>
      </c>
      <c r="FD3954" s="8">
        <v>25</v>
      </c>
      <c r="FE3954" s="8">
        <v>2.5</v>
      </c>
    </row>
    <row r="3955" spans="158:161" ht="74.25" customHeight="1" x14ac:dyDescent="0.2">
      <c r="FB3955" s="8" t="s">
        <v>7933</v>
      </c>
      <c r="FC3955" s="8" t="s">
        <v>7934</v>
      </c>
      <c r="FD3955" s="8">
        <v>200</v>
      </c>
      <c r="FE3955" s="8">
        <v>20</v>
      </c>
    </row>
    <row r="3956" spans="158:161" ht="74.25" customHeight="1" x14ac:dyDescent="0.2">
      <c r="FB3956" s="8" t="s">
        <v>7935</v>
      </c>
      <c r="FC3956" s="8" t="s">
        <v>7936</v>
      </c>
      <c r="FD3956" s="8">
        <v>1000</v>
      </c>
      <c r="FE3956" s="8">
        <v>100</v>
      </c>
    </row>
    <row r="3957" spans="158:161" ht="74.25" customHeight="1" x14ac:dyDescent="0.2">
      <c r="FB3957" s="8" t="s">
        <v>7937</v>
      </c>
      <c r="FC3957" s="8" t="s">
        <v>7937</v>
      </c>
      <c r="FD3957" s="8">
        <v>140</v>
      </c>
      <c r="FE3957" s="8">
        <v>14</v>
      </c>
    </row>
    <row r="3958" spans="158:161" ht="74.25" customHeight="1" x14ac:dyDescent="0.2">
      <c r="FB3958" s="8" t="s">
        <v>7938</v>
      </c>
      <c r="FC3958" s="8" t="s">
        <v>7939</v>
      </c>
      <c r="FD3958" s="8">
        <v>50</v>
      </c>
      <c r="FE3958" s="8">
        <v>5</v>
      </c>
    </row>
    <row r="3959" spans="158:161" ht="74.25" customHeight="1" x14ac:dyDescent="0.2">
      <c r="FB3959" s="8" t="s">
        <v>7940</v>
      </c>
      <c r="FC3959" s="8" t="s">
        <v>7941</v>
      </c>
      <c r="FD3959" s="8">
        <v>600</v>
      </c>
      <c r="FE3959" s="8">
        <v>60</v>
      </c>
    </row>
    <row r="3960" spans="158:161" ht="74.25" customHeight="1" x14ac:dyDescent="0.2">
      <c r="FB3960" s="8" t="s">
        <v>7942</v>
      </c>
      <c r="FC3960" s="8" t="s">
        <v>7943</v>
      </c>
      <c r="FD3960" s="8">
        <v>600</v>
      </c>
      <c r="FE3960" s="8">
        <v>60</v>
      </c>
    </row>
    <row r="3961" spans="158:161" ht="74.25" customHeight="1" x14ac:dyDescent="0.2">
      <c r="FB3961" s="8" t="s">
        <v>7944</v>
      </c>
      <c r="FC3961" s="8" t="s">
        <v>7945</v>
      </c>
      <c r="FD3961" s="8">
        <v>2</v>
      </c>
      <c r="FE3961" s="8">
        <v>0.2</v>
      </c>
    </row>
    <row r="3962" spans="158:161" ht="74.25" customHeight="1" x14ac:dyDescent="0.2">
      <c r="FB3962" s="8" t="s">
        <v>7946</v>
      </c>
      <c r="FC3962" s="8" t="s">
        <v>7947</v>
      </c>
      <c r="FD3962" s="8">
        <v>4.2</v>
      </c>
      <c r="FE3962" s="8">
        <v>6</v>
      </c>
    </row>
    <row r="3963" spans="158:161" ht="74.25" customHeight="1" x14ac:dyDescent="0.2">
      <c r="FB3963" s="8" t="s">
        <v>7948</v>
      </c>
      <c r="FC3963" s="8" t="s">
        <v>7949</v>
      </c>
      <c r="FD3963" s="8" t="s">
        <v>8682</v>
      </c>
      <c r="FE3963" s="8" t="s">
        <v>8682</v>
      </c>
    </row>
    <row r="3964" spans="158:161" ht="74.25" customHeight="1" x14ac:dyDescent="0.2">
      <c r="FB3964" s="8" t="s">
        <v>7950</v>
      </c>
      <c r="FC3964" s="8" t="s">
        <v>7951</v>
      </c>
      <c r="FD3964" s="8">
        <v>60000</v>
      </c>
      <c r="FE3964" s="8">
        <v>6000</v>
      </c>
    </row>
    <row r="3965" spans="158:161" ht="74.25" customHeight="1" x14ac:dyDescent="0.2">
      <c r="FB3965" s="8" t="s">
        <v>7952</v>
      </c>
      <c r="FC3965" s="8" t="s">
        <v>7953</v>
      </c>
      <c r="FD3965" s="8">
        <v>4.2</v>
      </c>
      <c r="FE3965" s="8">
        <v>6</v>
      </c>
    </row>
    <row r="3966" spans="158:161" ht="74.25" customHeight="1" x14ac:dyDescent="0.2">
      <c r="FB3966" s="8" t="s">
        <v>7954</v>
      </c>
      <c r="FC3966" s="8" t="s">
        <v>9500</v>
      </c>
      <c r="FD3966" s="8">
        <v>17</v>
      </c>
      <c r="FE3966" s="8">
        <v>8.1</v>
      </c>
    </row>
    <row r="3967" spans="158:161" ht="74.25" customHeight="1" x14ac:dyDescent="0.2">
      <c r="FB3967" s="8" t="s">
        <v>7955</v>
      </c>
      <c r="FC3967" s="8" t="s">
        <v>9501</v>
      </c>
      <c r="FD3967" s="8">
        <v>2.8</v>
      </c>
      <c r="FE3967" s="8">
        <v>0.56999999999999995</v>
      </c>
    </row>
    <row r="3968" spans="158:161" ht="74.25" customHeight="1" x14ac:dyDescent="0.2">
      <c r="FB3968" s="8" t="s">
        <v>7956</v>
      </c>
      <c r="FC3968" s="8" t="s">
        <v>7957</v>
      </c>
      <c r="FD3968" s="8" t="s">
        <v>9511</v>
      </c>
      <c r="FE3968" s="8">
        <v>0.71</v>
      </c>
    </row>
    <row r="3969" spans="158:161" ht="74.25" customHeight="1" x14ac:dyDescent="0.2">
      <c r="FB3969" s="8" t="s">
        <v>7958</v>
      </c>
      <c r="FC3969" s="8" t="s">
        <v>9502</v>
      </c>
      <c r="FD3969" s="8">
        <v>17</v>
      </c>
      <c r="FE3969" s="8">
        <v>8.1</v>
      </c>
    </row>
    <row r="3970" spans="158:161" ht="74.25" customHeight="1" x14ac:dyDescent="0.2">
      <c r="FB3970" s="8" t="s">
        <v>7959</v>
      </c>
      <c r="FC3970" s="8" t="s">
        <v>9503</v>
      </c>
      <c r="FD3970" s="8">
        <v>2.8</v>
      </c>
      <c r="FE3970" s="8">
        <v>0.56999999999999995</v>
      </c>
    </row>
    <row r="3971" spans="158:161" ht="74.25" customHeight="1" x14ac:dyDescent="0.2">
      <c r="FB3971" s="8" t="s">
        <v>7960</v>
      </c>
      <c r="FC3971" s="8" t="s">
        <v>7961</v>
      </c>
      <c r="FD3971" s="8" t="s">
        <v>9511</v>
      </c>
      <c r="FE3971" s="8">
        <v>0.71</v>
      </c>
    </row>
    <row r="3972" spans="158:161" ht="74.25" customHeight="1" x14ac:dyDescent="0.2">
      <c r="FB3972" s="8" t="s">
        <v>7962</v>
      </c>
      <c r="FC3972" s="8" t="s">
        <v>7963</v>
      </c>
      <c r="FD3972" s="8" t="s">
        <v>8684</v>
      </c>
      <c r="FE3972" s="8" t="s">
        <v>8684</v>
      </c>
    </row>
    <row r="3973" spans="158:161" ht="74.25" customHeight="1" x14ac:dyDescent="0.2">
      <c r="FB3973" s="8" t="s">
        <v>7964</v>
      </c>
      <c r="FC3973" s="8" t="s">
        <v>7965</v>
      </c>
      <c r="FD3973" s="8">
        <v>2000</v>
      </c>
      <c r="FE3973" s="8">
        <v>200</v>
      </c>
    </row>
    <row r="3974" spans="158:161" ht="74.25" customHeight="1" x14ac:dyDescent="0.2">
      <c r="FB3974" s="8" t="s">
        <v>7966</v>
      </c>
      <c r="FC3974" s="8" t="s">
        <v>7967</v>
      </c>
      <c r="FD3974" s="8">
        <v>600</v>
      </c>
      <c r="FE3974" s="8">
        <v>60</v>
      </c>
    </row>
    <row r="3975" spans="158:161" ht="74.25" customHeight="1" x14ac:dyDescent="0.2">
      <c r="FB3975" s="8" t="s">
        <v>7968</v>
      </c>
      <c r="FC3975" s="8" t="s">
        <v>7969</v>
      </c>
      <c r="FD3975" s="8">
        <v>1400</v>
      </c>
      <c r="FE3975" s="8">
        <v>140</v>
      </c>
    </row>
    <row r="3976" spans="158:161" ht="74.25" customHeight="1" x14ac:dyDescent="0.2">
      <c r="FB3976" s="8" t="s">
        <v>7970</v>
      </c>
      <c r="FC3976" s="8" t="s">
        <v>7971</v>
      </c>
      <c r="FD3976" s="8">
        <v>40</v>
      </c>
      <c r="FE3976" s="8">
        <v>4</v>
      </c>
    </row>
    <row r="3977" spans="158:161" ht="74.25" customHeight="1" x14ac:dyDescent="0.2">
      <c r="FB3977" s="8" t="s">
        <v>7972</v>
      </c>
      <c r="FC3977" s="8" t="s">
        <v>7973</v>
      </c>
      <c r="FD3977" s="8">
        <v>210</v>
      </c>
      <c r="FE3977" s="8">
        <v>21</v>
      </c>
    </row>
    <row r="3978" spans="158:161" ht="74.25" customHeight="1" x14ac:dyDescent="0.2">
      <c r="FB3978" s="8" t="s">
        <v>7974</v>
      </c>
      <c r="FC3978" s="8" t="s">
        <v>7975</v>
      </c>
      <c r="FD3978" s="8">
        <v>10</v>
      </c>
      <c r="FE3978" s="8">
        <v>1</v>
      </c>
    </row>
    <row r="3979" spans="158:161" ht="74.25" customHeight="1" x14ac:dyDescent="0.2">
      <c r="FB3979" s="8" t="s">
        <v>7976</v>
      </c>
      <c r="FC3979" s="8" t="s">
        <v>7977</v>
      </c>
      <c r="FD3979" s="8">
        <v>1000</v>
      </c>
      <c r="FE3979" s="8">
        <v>100</v>
      </c>
    </row>
    <row r="3980" spans="158:161" ht="74.25" customHeight="1" x14ac:dyDescent="0.2">
      <c r="FB3980" s="8" t="s">
        <v>9923</v>
      </c>
      <c r="FC3980" s="8" t="s">
        <v>9923</v>
      </c>
      <c r="FD3980" s="8">
        <v>600</v>
      </c>
      <c r="FE3980" s="8">
        <v>60</v>
      </c>
    </row>
    <row r="3981" spans="158:161" ht="74.25" customHeight="1" x14ac:dyDescent="0.2">
      <c r="FB3981" s="8" t="s">
        <v>7978</v>
      </c>
      <c r="FC3981" s="8" t="s">
        <v>7978</v>
      </c>
      <c r="FD3981" s="8">
        <v>1120</v>
      </c>
      <c r="FE3981" s="8">
        <v>112</v>
      </c>
    </row>
    <row r="3982" spans="158:161" ht="74.25" customHeight="1" x14ac:dyDescent="0.2">
      <c r="FB3982" s="8" t="s">
        <v>7979</v>
      </c>
      <c r="FC3982" s="8" t="s">
        <v>7980</v>
      </c>
      <c r="FD3982" s="8">
        <v>1000</v>
      </c>
      <c r="FE3982" s="8">
        <v>100</v>
      </c>
    </row>
    <row r="3983" spans="158:161" ht="74.25" customHeight="1" x14ac:dyDescent="0.2">
      <c r="FB3983" s="8" t="s">
        <v>7981</v>
      </c>
      <c r="FC3983" s="8" t="s">
        <v>7982</v>
      </c>
      <c r="FD3983" s="8">
        <v>1000</v>
      </c>
      <c r="FE3983" s="8">
        <v>100</v>
      </c>
    </row>
    <row r="3984" spans="158:161" ht="74.25" customHeight="1" x14ac:dyDescent="0.2">
      <c r="FB3984" s="8" t="s">
        <v>7983</v>
      </c>
      <c r="FC3984" s="8" t="s">
        <v>7984</v>
      </c>
      <c r="FD3984" s="8">
        <v>1000</v>
      </c>
      <c r="FE3984" s="8">
        <v>100</v>
      </c>
    </row>
    <row r="3985" spans="158:161" ht="74.25" customHeight="1" x14ac:dyDescent="0.2">
      <c r="FB3985" s="8" t="s">
        <v>7985</v>
      </c>
      <c r="FC3985" s="8" t="s">
        <v>7986</v>
      </c>
      <c r="FD3985" s="8">
        <v>1000</v>
      </c>
      <c r="FE3985" s="8">
        <v>100</v>
      </c>
    </row>
    <row r="3986" spans="158:161" ht="74.25" customHeight="1" x14ac:dyDescent="0.2">
      <c r="FB3986" s="8" t="s">
        <v>7987</v>
      </c>
      <c r="FC3986" s="8" t="s">
        <v>7988</v>
      </c>
      <c r="FD3986" s="8">
        <v>1000</v>
      </c>
      <c r="FE3986" s="8">
        <v>100</v>
      </c>
    </row>
    <row r="3987" spans="158:161" ht="74.25" customHeight="1" x14ac:dyDescent="0.2">
      <c r="FB3987" s="8" t="s">
        <v>7989</v>
      </c>
      <c r="FC3987" s="8" t="s">
        <v>7990</v>
      </c>
      <c r="FD3987" s="8">
        <v>1000</v>
      </c>
      <c r="FE3987" s="8">
        <v>100</v>
      </c>
    </row>
    <row r="3988" spans="158:161" ht="74.25" customHeight="1" x14ac:dyDescent="0.2">
      <c r="FB3988" s="8" t="s">
        <v>7991</v>
      </c>
      <c r="FC3988" s="8" t="s">
        <v>7992</v>
      </c>
      <c r="FD3988" s="8">
        <v>400</v>
      </c>
      <c r="FE3988" s="8">
        <v>40</v>
      </c>
    </row>
    <row r="3989" spans="158:161" ht="74.25" customHeight="1" x14ac:dyDescent="0.2">
      <c r="FB3989" s="8" t="s">
        <v>7993</v>
      </c>
      <c r="FC3989" s="8" t="s">
        <v>7994</v>
      </c>
      <c r="FD3989" s="8">
        <v>1000</v>
      </c>
      <c r="FE3989" s="8">
        <v>100</v>
      </c>
    </row>
    <row r="3990" spans="158:161" ht="74.25" customHeight="1" x14ac:dyDescent="0.2">
      <c r="FB3990" s="8" t="s">
        <v>7995</v>
      </c>
      <c r="FC3990" s="8" t="s">
        <v>7996</v>
      </c>
      <c r="FD3990" s="8">
        <v>1000</v>
      </c>
      <c r="FE3990" s="8">
        <v>100</v>
      </c>
    </row>
    <row r="3991" spans="158:161" ht="74.25" customHeight="1" x14ac:dyDescent="0.2">
      <c r="FB3991" s="8" t="s">
        <v>7997</v>
      </c>
      <c r="FC3991" s="8" t="s">
        <v>7998</v>
      </c>
      <c r="FD3991" s="8">
        <v>1000</v>
      </c>
      <c r="FE3991" s="8">
        <v>100</v>
      </c>
    </row>
    <row r="3992" spans="158:161" ht="74.25" customHeight="1" x14ac:dyDescent="0.2">
      <c r="FB3992" s="8" t="s">
        <v>7999</v>
      </c>
      <c r="FC3992" s="8" t="s">
        <v>8000</v>
      </c>
      <c r="FD3992" s="8">
        <v>1000</v>
      </c>
      <c r="FE3992" s="8">
        <v>100</v>
      </c>
    </row>
    <row r="3993" spans="158:161" ht="74.25" customHeight="1" x14ac:dyDescent="0.2">
      <c r="FB3993" s="8" t="s">
        <v>8001</v>
      </c>
      <c r="FC3993" s="8" t="s">
        <v>8002</v>
      </c>
      <c r="FD3993" s="8">
        <v>1000</v>
      </c>
      <c r="FE3993" s="8">
        <v>100</v>
      </c>
    </row>
    <row r="3994" spans="158:161" ht="74.25" customHeight="1" x14ac:dyDescent="0.2">
      <c r="FB3994" s="8" t="s">
        <v>8003</v>
      </c>
      <c r="FC3994" s="8" t="s">
        <v>8004</v>
      </c>
      <c r="FD3994" s="8">
        <v>400</v>
      </c>
      <c r="FE3994" s="8">
        <v>40</v>
      </c>
    </row>
    <row r="3995" spans="158:161" ht="74.25" customHeight="1" x14ac:dyDescent="0.2">
      <c r="FB3995" s="8" t="s">
        <v>8005</v>
      </c>
      <c r="FC3995" s="8" t="s">
        <v>8006</v>
      </c>
      <c r="FD3995" s="8">
        <v>400</v>
      </c>
      <c r="FE3995" s="8">
        <v>40</v>
      </c>
    </row>
    <row r="3996" spans="158:161" ht="74.25" customHeight="1" x14ac:dyDescent="0.2">
      <c r="FB3996" s="8" t="s">
        <v>8007</v>
      </c>
      <c r="FC3996" s="8" t="s">
        <v>8008</v>
      </c>
      <c r="FD3996" s="8">
        <v>1000</v>
      </c>
      <c r="FE3996" s="8">
        <v>100</v>
      </c>
    </row>
    <row r="3997" spans="158:161" ht="74.25" customHeight="1" x14ac:dyDescent="0.2">
      <c r="FB3997" s="8" t="s">
        <v>8009</v>
      </c>
      <c r="FC3997" s="8" t="s">
        <v>8009</v>
      </c>
      <c r="FD3997" s="8">
        <v>100</v>
      </c>
      <c r="FE3997" s="8">
        <v>10</v>
      </c>
    </row>
    <row r="3998" spans="158:161" ht="74.25" customHeight="1" x14ac:dyDescent="0.2">
      <c r="FB3998" s="8" t="s">
        <v>8010</v>
      </c>
      <c r="FC3998" s="8" t="s">
        <v>8011</v>
      </c>
      <c r="FD3998" s="8">
        <v>50</v>
      </c>
      <c r="FE3998" s="8">
        <v>5</v>
      </c>
    </row>
    <row r="3999" spans="158:161" ht="74.25" customHeight="1" x14ac:dyDescent="0.2">
      <c r="FB3999" s="8" t="s">
        <v>8012</v>
      </c>
      <c r="FC3999" s="8" t="s">
        <v>8013</v>
      </c>
      <c r="FD3999" s="8">
        <v>50</v>
      </c>
      <c r="FE3999" s="8">
        <v>5</v>
      </c>
    </row>
    <row r="4000" spans="158:161" ht="74.25" customHeight="1" x14ac:dyDescent="0.2">
      <c r="FB4000" s="8" t="s">
        <v>8014</v>
      </c>
      <c r="FC4000" s="8" t="s">
        <v>8015</v>
      </c>
      <c r="FD4000" s="8">
        <v>1000</v>
      </c>
      <c r="FE4000" s="8">
        <v>100</v>
      </c>
    </row>
    <row r="4001" spans="158:161" ht="74.25" customHeight="1" x14ac:dyDescent="0.2">
      <c r="FB4001" s="8" t="s">
        <v>8016</v>
      </c>
      <c r="FC4001" s="8" t="s">
        <v>8017</v>
      </c>
      <c r="FD4001" s="8">
        <v>100</v>
      </c>
      <c r="FE4001" s="8">
        <v>10</v>
      </c>
    </row>
    <row r="4002" spans="158:161" ht="74.25" customHeight="1" x14ac:dyDescent="0.2">
      <c r="FB4002" s="8" t="s">
        <v>8018</v>
      </c>
      <c r="FC4002" s="8" t="s">
        <v>8019</v>
      </c>
      <c r="FD4002" s="8">
        <v>5</v>
      </c>
      <c r="FE4002" s="8">
        <v>0.5</v>
      </c>
    </row>
    <row r="4003" spans="158:161" ht="74.25" customHeight="1" x14ac:dyDescent="0.2">
      <c r="FB4003" s="8" t="s">
        <v>8020</v>
      </c>
      <c r="FC4003" s="8" t="s">
        <v>8021</v>
      </c>
      <c r="FD4003" s="8">
        <v>5</v>
      </c>
      <c r="FE4003" s="8">
        <v>0.5</v>
      </c>
    </row>
    <row r="4004" spans="158:161" ht="74.25" customHeight="1" x14ac:dyDescent="0.2">
      <c r="FB4004" s="8" t="s">
        <v>8022</v>
      </c>
      <c r="FC4004" s="8" t="s">
        <v>8023</v>
      </c>
      <c r="FD4004" s="8">
        <v>1</v>
      </c>
      <c r="FE4004" s="8">
        <v>0.1</v>
      </c>
    </row>
    <row r="4005" spans="158:161" ht="74.25" customHeight="1" x14ac:dyDescent="0.2">
      <c r="FB4005" s="8" t="s">
        <v>8024</v>
      </c>
      <c r="FC4005" s="8" t="s">
        <v>8025</v>
      </c>
      <c r="FD4005" s="8">
        <v>1100</v>
      </c>
      <c r="FE4005" s="8">
        <v>110</v>
      </c>
    </row>
    <row r="4006" spans="158:161" ht="74.25" customHeight="1" x14ac:dyDescent="0.2">
      <c r="FB4006" s="8" t="s">
        <v>8026</v>
      </c>
      <c r="FC4006" s="8" t="s">
        <v>8027</v>
      </c>
      <c r="FD4006" s="8">
        <v>1120</v>
      </c>
      <c r="FE4006" s="8">
        <v>112</v>
      </c>
    </row>
    <row r="4007" spans="158:161" ht="74.25" customHeight="1" x14ac:dyDescent="0.2">
      <c r="FB4007" s="8" t="s">
        <v>8028</v>
      </c>
      <c r="FC4007" s="8" t="s">
        <v>8029</v>
      </c>
      <c r="FD4007" s="8">
        <v>1120</v>
      </c>
      <c r="FE4007" s="8">
        <v>112</v>
      </c>
    </row>
    <row r="4008" spans="158:161" ht="74.25" customHeight="1" x14ac:dyDescent="0.2">
      <c r="FB4008" s="8" t="s">
        <v>8030</v>
      </c>
      <c r="FC4008" s="8" t="s">
        <v>8031</v>
      </c>
      <c r="FD4008" s="8">
        <v>1100</v>
      </c>
      <c r="FE4008" s="8">
        <v>110</v>
      </c>
    </row>
    <row r="4009" spans="158:161" ht="74.25" customHeight="1" x14ac:dyDescent="0.2">
      <c r="FB4009" s="8" t="s">
        <v>8032</v>
      </c>
      <c r="FC4009" s="8" t="s">
        <v>8033</v>
      </c>
      <c r="FD4009" s="8">
        <v>2340</v>
      </c>
      <c r="FE4009" s="8">
        <v>234</v>
      </c>
    </row>
    <row r="4010" spans="158:161" ht="74.25" customHeight="1" x14ac:dyDescent="0.2">
      <c r="FB4010" s="8" t="s">
        <v>8034</v>
      </c>
      <c r="FC4010" s="8" t="s">
        <v>8035</v>
      </c>
      <c r="FD4010" s="8">
        <v>1000</v>
      </c>
      <c r="FE4010" s="8">
        <v>100</v>
      </c>
    </row>
    <row r="4011" spans="158:161" ht="74.25" customHeight="1" x14ac:dyDescent="0.2">
      <c r="FB4011" s="8" t="s">
        <v>8036</v>
      </c>
      <c r="FC4011" s="8" t="s">
        <v>8037</v>
      </c>
      <c r="FD4011" s="8">
        <v>1000</v>
      </c>
      <c r="FE4011" s="8">
        <v>100</v>
      </c>
    </row>
    <row r="4012" spans="158:161" ht="74.25" customHeight="1" x14ac:dyDescent="0.2">
      <c r="FB4012" s="8" t="s">
        <v>8038</v>
      </c>
      <c r="FC4012" s="8" t="s">
        <v>8039</v>
      </c>
      <c r="FD4012" s="8">
        <v>100</v>
      </c>
      <c r="FE4012" s="8">
        <v>10</v>
      </c>
    </row>
    <row r="4013" spans="158:161" ht="74.25" customHeight="1" x14ac:dyDescent="0.2">
      <c r="FB4013" s="8" t="s">
        <v>8040</v>
      </c>
      <c r="FC4013" s="8" t="s">
        <v>8041</v>
      </c>
      <c r="FD4013" s="8">
        <v>800</v>
      </c>
      <c r="FE4013" s="8">
        <v>80</v>
      </c>
    </row>
    <row r="4014" spans="158:161" ht="74.25" customHeight="1" x14ac:dyDescent="0.2">
      <c r="FB4014" s="8" t="s">
        <v>8042</v>
      </c>
      <c r="FC4014" s="8" t="s">
        <v>8043</v>
      </c>
      <c r="FD4014" s="8">
        <v>100</v>
      </c>
      <c r="FE4014" s="8">
        <v>10</v>
      </c>
    </row>
    <row r="4015" spans="158:161" ht="74.25" customHeight="1" x14ac:dyDescent="0.2">
      <c r="FB4015" s="8" t="s">
        <v>8044</v>
      </c>
      <c r="FC4015" s="8" t="s">
        <v>8045</v>
      </c>
      <c r="FD4015" s="8">
        <v>100</v>
      </c>
      <c r="FE4015" s="8">
        <v>10</v>
      </c>
    </row>
    <row r="4016" spans="158:161" ht="74.25" customHeight="1" x14ac:dyDescent="0.2">
      <c r="FB4016" s="8" t="s">
        <v>8046</v>
      </c>
      <c r="FC4016" s="8" t="s">
        <v>8047</v>
      </c>
      <c r="FD4016" s="8">
        <v>100</v>
      </c>
      <c r="FE4016" s="8">
        <v>10</v>
      </c>
    </row>
    <row r="4017" spans="158:161" ht="74.25" customHeight="1" x14ac:dyDescent="0.2">
      <c r="FB4017" s="8" t="s">
        <v>8048</v>
      </c>
      <c r="FC4017" s="8" t="s">
        <v>8049</v>
      </c>
      <c r="FD4017" s="8">
        <v>100</v>
      </c>
      <c r="FE4017" s="8">
        <v>10</v>
      </c>
    </row>
    <row r="4018" spans="158:161" ht="74.25" customHeight="1" x14ac:dyDescent="0.2">
      <c r="FB4018" s="8" t="s">
        <v>8050</v>
      </c>
      <c r="FC4018" s="8" t="s">
        <v>8051</v>
      </c>
      <c r="FD4018" s="8">
        <v>500</v>
      </c>
      <c r="FE4018" s="8">
        <v>50</v>
      </c>
    </row>
    <row r="4019" spans="158:161" ht="74.25" customHeight="1" x14ac:dyDescent="0.2">
      <c r="FB4019" s="8" t="s">
        <v>8052</v>
      </c>
      <c r="FC4019" s="8" t="s">
        <v>8053</v>
      </c>
      <c r="FD4019" s="8">
        <v>100</v>
      </c>
      <c r="FE4019" s="8">
        <v>10</v>
      </c>
    </row>
    <row r="4020" spans="158:161" ht="74.25" customHeight="1" x14ac:dyDescent="0.2">
      <c r="FB4020" s="8" t="s">
        <v>8054</v>
      </c>
      <c r="FC4020" s="8" t="s">
        <v>8055</v>
      </c>
      <c r="FD4020" s="8">
        <v>9500</v>
      </c>
      <c r="FE4020" s="8">
        <v>950</v>
      </c>
    </row>
    <row r="4021" spans="158:161" ht="74.25" customHeight="1" x14ac:dyDescent="0.2">
      <c r="FB4021" s="8" t="s">
        <v>8056</v>
      </c>
      <c r="FC4021" s="8" t="s">
        <v>8057</v>
      </c>
      <c r="FD4021" s="8">
        <v>620</v>
      </c>
      <c r="FE4021" s="8">
        <v>62</v>
      </c>
    </row>
    <row r="4022" spans="158:161" ht="74.25" customHeight="1" x14ac:dyDescent="0.2">
      <c r="FB4022" s="8" t="s">
        <v>8058</v>
      </c>
      <c r="FC4022" s="8" t="s">
        <v>8059</v>
      </c>
      <c r="FD4022" s="8">
        <v>2700</v>
      </c>
      <c r="FE4022" s="8">
        <v>270</v>
      </c>
    </row>
    <row r="4023" spans="158:161" ht="74.25" customHeight="1" x14ac:dyDescent="0.2">
      <c r="FB4023" s="8" t="s">
        <v>8060</v>
      </c>
      <c r="FC4023" s="8" t="s">
        <v>8061</v>
      </c>
      <c r="FD4023" s="8">
        <v>3000</v>
      </c>
      <c r="FE4023" s="8">
        <v>300</v>
      </c>
    </row>
    <row r="4024" spans="158:161" ht="74.25" customHeight="1" x14ac:dyDescent="0.2">
      <c r="FB4024" s="8" t="s">
        <v>8062</v>
      </c>
      <c r="FC4024" s="8" t="s">
        <v>8063</v>
      </c>
      <c r="FD4024" s="8">
        <v>100</v>
      </c>
      <c r="FE4024" s="8">
        <v>10</v>
      </c>
    </row>
    <row r="4025" spans="158:161" ht="74.25" customHeight="1" x14ac:dyDescent="0.2">
      <c r="FB4025" s="8" t="s">
        <v>8064</v>
      </c>
      <c r="FC4025" s="8" t="s">
        <v>8065</v>
      </c>
      <c r="FD4025" s="8">
        <v>100</v>
      </c>
      <c r="FE4025" s="8">
        <v>10</v>
      </c>
    </row>
    <row r="4026" spans="158:161" ht="74.25" customHeight="1" x14ac:dyDescent="0.2">
      <c r="FB4026" s="8" t="s">
        <v>8066</v>
      </c>
      <c r="FC4026" s="8" t="s">
        <v>8067</v>
      </c>
      <c r="FD4026" s="8">
        <v>100</v>
      </c>
      <c r="FE4026" s="8">
        <v>10</v>
      </c>
    </row>
    <row r="4027" spans="158:161" ht="74.25" customHeight="1" x14ac:dyDescent="0.2">
      <c r="FB4027" s="8" t="s">
        <v>8068</v>
      </c>
      <c r="FC4027" s="8" t="s">
        <v>8069</v>
      </c>
      <c r="FD4027" s="8">
        <v>100</v>
      </c>
      <c r="FE4027" s="8">
        <v>10</v>
      </c>
    </row>
    <row r="4028" spans="158:161" ht="74.25" customHeight="1" x14ac:dyDescent="0.2">
      <c r="FB4028" s="8" t="s">
        <v>8070</v>
      </c>
      <c r="FC4028" s="8" t="s">
        <v>8071</v>
      </c>
      <c r="FD4028" s="8">
        <v>500</v>
      </c>
      <c r="FE4028" s="8">
        <v>50</v>
      </c>
    </row>
    <row r="4029" spans="158:161" ht="74.25" customHeight="1" x14ac:dyDescent="0.2">
      <c r="FB4029" s="8" t="s">
        <v>8072</v>
      </c>
      <c r="FC4029" s="8" t="s">
        <v>8073</v>
      </c>
      <c r="FD4029" s="8">
        <v>100</v>
      </c>
      <c r="FE4029" s="8">
        <v>10</v>
      </c>
    </row>
    <row r="4030" spans="158:161" ht="74.25" customHeight="1" x14ac:dyDescent="0.2">
      <c r="FB4030" s="8" t="s">
        <v>8074</v>
      </c>
      <c r="FC4030" s="8" t="s">
        <v>8075</v>
      </c>
      <c r="FD4030" s="8">
        <v>100</v>
      </c>
      <c r="FE4030" s="8">
        <v>10</v>
      </c>
    </row>
    <row r="4031" spans="158:161" ht="74.25" customHeight="1" x14ac:dyDescent="0.2">
      <c r="FB4031" s="8" t="s">
        <v>8076</v>
      </c>
      <c r="FC4031" s="8" t="s">
        <v>8077</v>
      </c>
      <c r="FD4031" s="8">
        <v>100</v>
      </c>
      <c r="FE4031" s="8">
        <v>10</v>
      </c>
    </row>
    <row r="4032" spans="158:161" ht="74.25" customHeight="1" x14ac:dyDescent="0.2">
      <c r="FB4032" s="8" t="s">
        <v>8078</v>
      </c>
      <c r="FC4032" s="8" t="s">
        <v>8079</v>
      </c>
      <c r="FD4032" s="8">
        <v>100</v>
      </c>
      <c r="FE4032" s="8">
        <v>10</v>
      </c>
    </row>
    <row r="4033" spans="158:161" ht="74.25" customHeight="1" x14ac:dyDescent="0.2">
      <c r="FB4033" s="8" t="s">
        <v>8080</v>
      </c>
      <c r="FC4033" s="8" t="s">
        <v>8081</v>
      </c>
      <c r="FD4033" s="8">
        <v>100</v>
      </c>
      <c r="FE4033" s="8">
        <v>10</v>
      </c>
    </row>
    <row r="4034" spans="158:161" ht="74.25" customHeight="1" x14ac:dyDescent="0.2">
      <c r="FB4034" s="8" t="s">
        <v>8082</v>
      </c>
      <c r="FC4034" s="8" t="s">
        <v>8083</v>
      </c>
      <c r="FD4034" s="8">
        <v>500</v>
      </c>
      <c r="FE4034" s="8">
        <v>50</v>
      </c>
    </row>
    <row r="4035" spans="158:161" ht="74.25" customHeight="1" x14ac:dyDescent="0.2">
      <c r="FB4035" s="8" t="s">
        <v>8084</v>
      </c>
      <c r="FC4035" s="8" t="s">
        <v>8085</v>
      </c>
      <c r="FD4035" s="8">
        <v>140</v>
      </c>
      <c r="FE4035" s="8">
        <v>14</v>
      </c>
    </row>
    <row r="4036" spans="158:161" ht="74.25" customHeight="1" x14ac:dyDescent="0.2">
      <c r="FB4036" s="8" t="s">
        <v>8086</v>
      </c>
      <c r="FC4036" s="8" t="s">
        <v>8086</v>
      </c>
      <c r="FD4036" s="8">
        <v>70</v>
      </c>
      <c r="FE4036" s="8">
        <v>7</v>
      </c>
    </row>
    <row r="4037" spans="158:161" ht="74.25" customHeight="1" x14ac:dyDescent="0.2">
      <c r="FB4037" s="8" t="s">
        <v>8087</v>
      </c>
      <c r="FC4037" s="8" t="s">
        <v>8088</v>
      </c>
      <c r="FD4037" s="8">
        <v>3</v>
      </c>
      <c r="FE4037" s="8">
        <v>0.3</v>
      </c>
    </row>
    <row r="4038" spans="158:161" ht="74.25" customHeight="1" x14ac:dyDescent="0.2">
      <c r="FB4038" s="8" t="s">
        <v>8089</v>
      </c>
      <c r="FC4038" s="8" t="s">
        <v>8090</v>
      </c>
      <c r="FD4038" s="8">
        <v>60</v>
      </c>
      <c r="FE4038" s="8">
        <v>6</v>
      </c>
    </row>
    <row r="4039" spans="158:161" ht="74.25" customHeight="1" x14ac:dyDescent="0.2">
      <c r="FB4039" s="8" t="s">
        <v>8091</v>
      </c>
      <c r="FC4039" s="8" t="s">
        <v>8092</v>
      </c>
      <c r="FD4039" s="8">
        <v>3300</v>
      </c>
      <c r="FE4039" s="8">
        <v>330</v>
      </c>
    </row>
    <row r="4040" spans="158:161" ht="74.25" customHeight="1" x14ac:dyDescent="0.2">
      <c r="FB4040" s="8" t="s">
        <v>8093</v>
      </c>
      <c r="FC4040" s="8" t="s">
        <v>8094</v>
      </c>
      <c r="FD4040" s="8">
        <v>500</v>
      </c>
      <c r="FE4040" s="8">
        <v>50</v>
      </c>
    </row>
    <row r="4041" spans="158:161" ht="74.25" customHeight="1" x14ac:dyDescent="0.2">
      <c r="FB4041" s="8" t="s">
        <v>8095</v>
      </c>
      <c r="FC4041" s="8" t="s">
        <v>8096</v>
      </c>
      <c r="FD4041" s="8">
        <v>250</v>
      </c>
      <c r="FE4041" s="8">
        <v>48</v>
      </c>
    </row>
    <row r="4042" spans="158:161" ht="74.25" customHeight="1" x14ac:dyDescent="0.2">
      <c r="FB4042" s="8" t="s">
        <v>8097</v>
      </c>
      <c r="FC4042" s="8" t="s">
        <v>8098</v>
      </c>
      <c r="FD4042" s="8">
        <v>8</v>
      </c>
      <c r="FE4042" s="8">
        <v>0.8</v>
      </c>
    </row>
    <row r="4043" spans="158:161" ht="74.25" customHeight="1" x14ac:dyDescent="0.2">
      <c r="FB4043" s="8" t="s">
        <v>9924</v>
      </c>
      <c r="FC4043" s="8" t="s">
        <v>9924</v>
      </c>
      <c r="FD4043" s="8">
        <v>1000</v>
      </c>
      <c r="FE4043" s="8">
        <v>100</v>
      </c>
    </row>
    <row r="4044" spans="158:161" ht="74.25" customHeight="1" x14ac:dyDescent="0.2">
      <c r="FB4044" s="8" t="s">
        <v>8099</v>
      </c>
      <c r="FC4044" s="8" t="s">
        <v>8100</v>
      </c>
      <c r="FD4044" s="8">
        <v>160</v>
      </c>
      <c r="FE4044" s="8">
        <v>16</v>
      </c>
    </row>
    <row r="4045" spans="158:161" ht="74.25" customHeight="1" x14ac:dyDescent="0.2">
      <c r="FB4045" s="8" t="s">
        <v>8101</v>
      </c>
      <c r="FC4045" s="8" t="s">
        <v>8102</v>
      </c>
      <c r="FD4045" s="8">
        <v>33</v>
      </c>
      <c r="FE4045" s="8">
        <v>3.3</v>
      </c>
    </row>
    <row r="4046" spans="158:161" ht="74.25" customHeight="1" x14ac:dyDescent="0.2">
      <c r="FB4046" s="8" t="s">
        <v>8103</v>
      </c>
      <c r="FC4046" s="8" t="s">
        <v>8104</v>
      </c>
      <c r="FD4046" s="8">
        <v>39</v>
      </c>
      <c r="FE4046" s="8">
        <v>3.9</v>
      </c>
    </row>
    <row r="4047" spans="158:161" ht="74.25" customHeight="1" x14ac:dyDescent="0.2">
      <c r="FB4047" s="8" t="s">
        <v>8105</v>
      </c>
      <c r="FC4047" s="8" t="s">
        <v>8106</v>
      </c>
      <c r="FD4047" s="8">
        <v>320</v>
      </c>
      <c r="FE4047" s="8" t="s">
        <v>9511</v>
      </c>
    </row>
    <row r="4048" spans="158:161" ht="74.25" customHeight="1" x14ac:dyDescent="0.2">
      <c r="FB4048" s="8" t="s">
        <v>8107</v>
      </c>
      <c r="FC4048" s="8" t="s">
        <v>8108</v>
      </c>
      <c r="FD4048" s="8">
        <v>1000</v>
      </c>
      <c r="FE4048" s="8">
        <v>100</v>
      </c>
    </row>
    <row r="4049" spans="158:161" ht="74.25" customHeight="1" x14ac:dyDescent="0.2">
      <c r="FB4049" s="8" t="s">
        <v>8109</v>
      </c>
      <c r="FC4049" s="8" t="s">
        <v>8110</v>
      </c>
      <c r="FD4049" s="8">
        <v>3500</v>
      </c>
      <c r="FE4049" s="8">
        <v>350</v>
      </c>
    </row>
    <row r="4050" spans="158:161" ht="74.25" customHeight="1" x14ac:dyDescent="0.2">
      <c r="FB4050" s="8" t="s">
        <v>8111</v>
      </c>
      <c r="FC4050" s="8" t="s">
        <v>8112</v>
      </c>
      <c r="FD4050" s="8">
        <v>180</v>
      </c>
      <c r="FE4050" s="8">
        <v>92</v>
      </c>
    </row>
    <row r="4051" spans="158:161" ht="74.25" customHeight="1" x14ac:dyDescent="0.2">
      <c r="FB4051" s="8" t="s">
        <v>8113</v>
      </c>
      <c r="FC4051" s="8" t="s">
        <v>8114</v>
      </c>
      <c r="FD4051" s="8">
        <v>70</v>
      </c>
      <c r="FE4051" s="8">
        <v>7</v>
      </c>
    </row>
    <row r="4052" spans="158:161" ht="74.25" customHeight="1" x14ac:dyDescent="0.2">
      <c r="FB4052" s="8" t="s">
        <v>8115</v>
      </c>
      <c r="FC4052" s="8" t="s">
        <v>8116</v>
      </c>
      <c r="FD4052" s="8">
        <v>2000</v>
      </c>
      <c r="FE4052" s="8">
        <v>26</v>
      </c>
    </row>
    <row r="4053" spans="158:161" ht="74.25" customHeight="1" x14ac:dyDescent="0.2">
      <c r="FB4053" s="8" t="s">
        <v>8117</v>
      </c>
      <c r="FC4053" s="8" t="s">
        <v>8118</v>
      </c>
      <c r="FD4053" s="8">
        <v>20</v>
      </c>
      <c r="FE4053" s="8">
        <v>2</v>
      </c>
    </row>
    <row r="4054" spans="158:161" ht="74.25" customHeight="1" x14ac:dyDescent="0.2">
      <c r="FB4054" s="8" t="s">
        <v>8119</v>
      </c>
      <c r="FC4054" s="8" t="s">
        <v>8120</v>
      </c>
      <c r="FD4054" s="8">
        <v>10000</v>
      </c>
      <c r="FE4054" s="8">
        <v>1000</v>
      </c>
    </row>
    <row r="4055" spans="158:161" ht="74.25" customHeight="1" x14ac:dyDescent="0.2">
      <c r="FB4055" s="8" t="s">
        <v>8121</v>
      </c>
      <c r="FC4055" s="8" t="s">
        <v>8122</v>
      </c>
      <c r="FD4055" s="8">
        <v>3500</v>
      </c>
      <c r="FE4055" s="8">
        <v>350</v>
      </c>
    </row>
    <row r="4056" spans="158:161" ht="74.25" customHeight="1" x14ac:dyDescent="0.2">
      <c r="FB4056" s="8" t="s">
        <v>8123</v>
      </c>
      <c r="FC4056" s="8" t="s">
        <v>8124</v>
      </c>
      <c r="FD4056" s="8">
        <v>2000</v>
      </c>
      <c r="FE4056" s="8">
        <v>200</v>
      </c>
    </row>
    <row r="4057" spans="158:161" ht="74.25" customHeight="1" x14ac:dyDescent="0.2">
      <c r="FB4057" s="8" t="s">
        <v>8125</v>
      </c>
      <c r="FC4057" s="8" t="s">
        <v>8126</v>
      </c>
      <c r="FD4057" s="8">
        <v>18</v>
      </c>
      <c r="FE4057" s="8">
        <v>1.8</v>
      </c>
    </row>
    <row r="4058" spans="158:161" ht="74.25" customHeight="1" x14ac:dyDescent="0.2">
      <c r="FB4058" s="8" t="s">
        <v>8127</v>
      </c>
      <c r="FC4058" s="8" t="s">
        <v>9875</v>
      </c>
      <c r="FD4058" s="8">
        <v>1000</v>
      </c>
      <c r="FE4058" s="8">
        <v>100</v>
      </c>
    </row>
    <row r="4059" spans="158:161" ht="74.25" customHeight="1" x14ac:dyDescent="0.2">
      <c r="FB4059" s="8" t="s">
        <v>8128</v>
      </c>
      <c r="FC4059" s="8" t="s">
        <v>8129</v>
      </c>
      <c r="FD4059" s="8">
        <v>400</v>
      </c>
      <c r="FE4059" s="8">
        <v>40</v>
      </c>
    </row>
    <row r="4060" spans="158:161" ht="74.25" customHeight="1" x14ac:dyDescent="0.2">
      <c r="FB4060" s="8" t="s">
        <v>8130</v>
      </c>
      <c r="FC4060" s="8" t="s">
        <v>8131</v>
      </c>
      <c r="FD4060" s="8">
        <v>100</v>
      </c>
      <c r="FE4060" s="8">
        <v>10</v>
      </c>
    </row>
    <row r="4061" spans="158:161" ht="74.25" customHeight="1" x14ac:dyDescent="0.2">
      <c r="FB4061" s="8" t="s">
        <v>8132</v>
      </c>
      <c r="FC4061" s="8" t="s">
        <v>8133</v>
      </c>
      <c r="FD4061" s="8" t="s">
        <v>9511</v>
      </c>
      <c r="FE4061" s="8" t="s">
        <v>8682</v>
      </c>
    </row>
    <row r="4062" spans="158:161" ht="74.25" customHeight="1" x14ac:dyDescent="0.2">
      <c r="FB4062" s="8" t="s">
        <v>8134</v>
      </c>
      <c r="FC4062" s="8" t="s">
        <v>8135</v>
      </c>
      <c r="FD4062" s="8">
        <v>850</v>
      </c>
      <c r="FE4062" s="8">
        <v>85</v>
      </c>
    </row>
    <row r="4063" spans="158:161" ht="74.25" customHeight="1" x14ac:dyDescent="0.2">
      <c r="FB4063" s="8" t="s">
        <v>8136</v>
      </c>
      <c r="FC4063" s="8" t="s">
        <v>8137</v>
      </c>
      <c r="FD4063" s="8">
        <v>0.5</v>
      </c>
      <c r="FE4063" s="8">
        <v>0.05</v>
      </c>
    </row>
    <row r="4064" spans="158:161" ht="74.25" customHeight="1" x14ac:dyDescent="0.2">
      <c r="FB4064" s="8" t="s">
        <v>8138</v>
      </c>
      <c r="FC4064" s="8" t="s">
        <v>8139</v>
      </c>
      <c r="FD4064" s="8">
        <v>180</v>
      </c>
      <c r="FE4064" s="8">
        <v>92</v>
      </c>
    </row>
    <row r="4065" spans="158:161" ht="74.25" customHeight="1" x14ac:dyDescent="0.2">
      <c r="FB4065" s="8" t="s">
        <v>8140</v>
      </c>
      <c r="FC4065" s="8" t="s">
        <v>8141</v>
      </c>
      <c r="FD4065" s="8">
        <v>100</v>
      </c>
      <c r="FE4065" s="8">
        <v>10</v>
      </c>
    </row>
    <row r="4066" spans="158:161" ht="74.25" customHeight="1" x14ac:dyDescent="0.2">
      <c r="FB4066" s="8" t="s">
        <v>8142</v>
      </c>
      <c r="FC4066" s="8" t="s">
        <v>8143</v>
      </c>
      <c r="FD4066" s="8">
        <v>1000</v>
      </c>
      <c r="FE4066" s="8">
        <v>100</v>
      </c>
    </row>
    <row r="4067" spans="158:161" ht="74.25" customHeight="1" x14ac:dyDescent="0.2">
      <c r="FB4067" s="8" t="s">
        <v>8144</v>
      </c>
      <c r="FC4067" s="8" t="s">
        <v>8145</v>
      </c>
      <c r="FD4067" s="8">
        <v>10</v>
      </c>
      <c r="FE4067" s="8">
        <v>1</v>
      </c>
    </row>
    <row r="4068" spans="158:161" ht="74.25" customHeight="1" x14ac:dyDescent="0.2">
      <c r="FB4068" s="8" t="s">
        <v>8146</v>
      </c>
      <c r="FC4068" s="8" t="s">
        <v>8147</v>
      </c>
      <c r="FD4068" s="8">
        <v>1000</v>
      </c>
      <c r="FE4068" s="8">
        <v>100</v>
      </c>
    </row>
    <row r="4069" spans="158:161" ht="74.25" customHeight="1" x14ac:dyDescent="0.2">
      <c r="FB4069" s="8" t="s">
        <v>8148</v>
      </c>
      <c r="FC4069" s="8" t="s">
        <v>8149</v>
      </c>
      <c r="FD4069" s="8">
        <v>1000</v>
      </c>
      <c r="FE4069" s="8">
        <v>100</v>
      </c>
    </row>
    <row r="4070" spans="158:161" ht="74.25" customHeight="1" x14ac:dyDescent="0.2">
      <c r="FB4070" s="8" t="s">
        <v>8150</v>
      </c>
      <c r="FC4070" s="8" t="s">
        <v>8151</v>
      </c>
      <c r="FD4070" s="8">
        <v>400</v>
      </c>
      <c r="FE4070" s="8">
        <v>40</v>
      </c>
    </row>
    <row r="4071" spans="158:161" ht="74.25" customHeight="1" x14ac:dyDescent="0.2">
      <c r="FB4071" s="8" t="s">
        <v>8152</v>
      </c>
      <c r="FC4071" s="8" t="s">
        <v>8153</v>
      </c>
      <c r="FD4071" s="8">
        <v>82</v>
      </c>
      <c r="FE4071" s="8">
        <v>8.1999999999999993</v>
      </c>
    </row>
    <row r="4072" spans="158:161" ht="74.25" customHeight="1" x14ac:dyDescent="0.2">
      <c r="FB4072" s="8" t="s">
        <v>8154</v>
      </c>
      <c r="FC4072" s="8" t="s">
        <v>8155</v>
      </c>
      <c r="FD4072" s="8">
        <v>350</v>
      </c>
      <c r="FE4072" s="8">
        <v>35</v>
      </c>
    </row>
    <row r="4073" spans="158:161" ht="74.25" customHeight="1" x14ac:dyDescent="0.2">
      <c r="FB4073" s="8" t="s">
        <v>8156</v>
      </c>
      <c r="FC4073" s="8" t="s">
        <v>8157</v>
      </c>
      <c r="FD4073" s="8">
        <v>1500</v>
      </c>
      <c r="FE4073" s="8">
        <v>150</v>
      </c>
    </row>
    <row r="4074" spans="158:161" ht="74.25" customHeight="1" x14ac:dyDescent="0.2">
      <c r="FB4074" s="8" t="s">
        <v>8158</v>
      </c>
      <c r="FC4074" s="8" t="s">
        <v>8159</v>
      </c>
      <c r="FD4074" s="8">
        <v>50</v>
      </c>
      <c r="FE4074" s="8">
        <v>5</v>
      </c>
    </row>
    <row r="4075" spans="158:161" ht="74.25" customHeight="1" x14ac:dyDescent="0.2">
      <c r="FB4075" s="8" t="s">
        <v>8160</v>
      </c>
      <c r="FC4075" s="8" t="s">
        <v>8161</v>
      </c>
      <c r="FD4075" s="8">
        <v>90</v>
      </c>
      <c r="FE4075" s="8">
        <v>9</v>
      </c>
    </row>
    <row r="4076" spans="158:161" ht="74.25" customHeight="1" x14ac:dyDescent="0.2">
      <c r="FB4076" s="8" t="s">
        <v>8162</v>
      </c>
      <c r="FC4076" s="8" t="s">
        <v>8163</v>
      </c>
      <c r="FD4076" s="8">
        <v>270</v>
      </c>
      <c r="FE4076" s="8">
        <v>27</v>
      </c>
    </row>
    <row r="4077" spans="158:161" ht="74.25" customHeight="1" x14ac:dyDescent="0.2">
      <c r="FB4077" s="8" t="s">
        <v>8164</v>
      </c>
      <c r="FC4077" s="8" t="s">
        <v>8165</v>
      </c>
      <c r="FD4077" s="8">
        <v>1500</v>
      </c>
      <c r="FE4077" s="8">
        <v>150</v>
      </c>
    </row>
    <row r="4078" spans="158:161" ht="74.25" customHeight="1" x14ac:dyDescent="0.2">
      <c r="FB4078" s="8" t="s">
        <v>8166</v>
      </c>
      <c r="FC4078" s="8" t="s">
        <v>8167</v>
      </c>
      <c r="FD4078" s="8">
        <v>20</v>
      </c>
      <c r="FE4078" s="8">
        <v>2</v>
      </c>
    </row>
    <row r="4079" spans="158:161" ht="74.25" customHeight="1" x14ac:dyDescent="0.2">
      <c r="FB4079" s="8" t="s">
        <v>8168</v>
      </c>
      <c r="FC4079" s="8" t="s">
        <v>8169</v>
      </c>
      <c r="FD4079" s="8">
        <v>60</v>
      </c>
      <c r="FE4079" s="8">
        <v>6</v>
      </c>
    </row>
    <row r="4080" spans="158:161" ht="74.25" customHeight="1" x14ac:dyDescent="0.2">
      <c r="FB4080" s="8" t="s">
        <v>8170</v>
      </c>
      <c r="FC4080" s="8" t="s">
        <v>8171</v>
      </c>
      <c r="FD4080" s="8">
        <v>1800</v>
      </c>
      <c r="FE4080" s="8">
        <v>180</v>
      </c>
    </row>
    <row r="4081" spans="158:161" ht="74.25" customHeight="1" x14ac:dyDescent="0.2">
      <c r="FB4081" s="8" t="s">
        <v>8172</v>
      </c>
      <c r="FC4081" s="8" t="s">
        <v>8173</v>
      </c>
      <c r="FD4081" s="8">
        <v>1000</v>
      </c>
      <c r="FE4081" s="8">
        <v>100</v>
      </c>
    </row>
    <row r="4082" spans="158:161" ht="74.25" customHeight="1" x14ac:dyDescent="0.2">
      <c r="FB4082" s="8" t="s">
        <v>8174</v>
      </c>
      <c r="FC4082" s="8" t="s">
        <v>8175</v>
      </c>
      <c r="FD4082" s="8">
        <v>360</v>
      </c>
      <c r="FE4082" s="8">
        <v>13</v>
      </c>
    </row>
    <row r="4083" spans="158:161" ht="74.25" customHeight="1" x14ac:dyDescent="0.2">
      <c r="FB4083" s="8" t="s">
        <v>8176</v>
      </c>
      <c r="FC4083" s="8" t="s">
        <v>8177</v>
      </c>
      <c r="FD4083" s="8" t="s">
        <v>9511</v>
      </c>
      <c r="FE4083" s="8" t="s">
        <v>8682</v>
      </c>
    </row>
    <row r="4084" spans="158:161" ht="74.25" customHeight="1" x14ac:dyDescent="0.2">
      <c r="FB4084" s="8" t="s">
        <v>8178</v>
      </c>
      <c r="FC4084" s="8" t="s">
        <v>8179</v>
      </c>
      <c r="FD4084" s="8">
        <v>30</v>
      </c>
      <c r="FE4084" s="8">
        <v>3</v>
      </c>
    </row>
    <row r="4085" spans="158:161" ht="74.25" customHeight="1" x14ac:dyDescent="0.2">
      <c r="FB4085" s="8" t="s">
        <v>8180</v>
      </c>
      <c r="FC4085" s="8" t="s">
        <v>8181</v>
      </c>
      <c r="FD4085" s="8">
        <v>180</v>
      </c>
      <c r="FE4085" s="8">
        <v>18</v>
      </c>
    </row>
    <row r="4086" spans="158:161" ht="74.25" customHeight="1" x14ac:dyDescent="0.2">
      <c r="FB4086" s="8" t="s">
        <v>8182</v>
      </c>
      <c r="FC4086" s="8" t="s">
        <v>8183</v>
      </c>
      <c r="FD4086" s="8">
        <v>100</v>
      </c>
      <c r="FE4086" s="8">
        <v>10</v>
      </c>
    </row>
    <row r="4087" spans="158:161" ht="74.25" customHeight="1" x14ac:dyDescent="0.2">
      <c r="FB4087" s="8" t="s">
        <v>8184</v>
      </c>
      <c r="FC4087" s="8" t="s">
        <v>8185</v>
      </c>
      <c r="FD4087" s="8">
        <v>180</v>
      </c>
      <c r="FE4087" s="8">
        <v>18</v>
      </c>
    </row>
    <row r="4088" spans="158:161" ht="74.25" customHeight="1" x14ac:dyDescent="0.2">
      <c r="FB4088" s="8" t="s">
        <v>8186</v>
      </c>
      <c r="FC4088" s="8" t="s">
        <v>8187</v>
      </c>
      <c r="FD4088" s="8">
        <v>0.4</v>
      </c>
      <c r="FE4088" s="8">
        <v>0.04</v>
      </c>
    </row>
    <row r="4089" spans="158:161" ht="74.25" customHeight="1" x14ac:dyDescent="0.2">
      <c r="FB4089" s="8" t="s">
        <v>8188</v>
      </c>
      <c r="FC4089" s="8" t="s">
        <v>8189</v>
      </c>
      <c r="FD4089" s="8">
        <v>440</v>
      </c>
      <c r="FE4089" s="8">
        <v>44</v>
      </c>
    </row>
    <row r="4090" spans="158:161" ht="74.25" customHeight="1" x14ac:dyDescent="0.2">
      <c r="FB4090" s="8" t="s">
        <v>8190</v>
      </c>
      <c r="FC4090" s="8" t="s">
        <v>8191</v>
      </c>
      <c r="FD4090" s="8">
        <v>1560</v>
      </c>
      <c r="FE4090" s="8">
        <v>156</v>
      </c>
    </row>
    <row r="4091" spans="158:161" ht="74.25" customHeight="1" x14ac:dyDescent="0.2">
      <c r="FB4091" s="8" t="s">
        <v>8192</v>
      </c>
      <c r="FC4091" s="8" t="s">
        <v>8193</v>
      </c>
      <c r="FD4091" s="8">
        <v>2450</v>
      </c>
      <c r="FE4091" s="8">
        <v>245</v>
      </c>
    </row>
    <row r="4092" spans="158:161" ht="74.25" customHeight="1" x14ac:dyDescent="0.2">
      <c r="FB4092" s="8" t="s">
        <v>8194</v>
      </c>
      <c r="FC4092" s="8" t="s">
        <v>8195</v>
      </c>
      <c r="FD4092" s="8">
        <v>1000</v>
      </c>
      <c r="FE4092" s="8">
        <v>100</v>
      </c>
    </row>
    <row r="4093" spans="158:161" ht="74.25" customHeight="1" x14ac:dyDescent="0.2">
      <c r="FB4093" s="8" t="s">
        <v>8196</v>
      </c>
      <c r="FC4093" s="8" t="s">
        <v>8197</v>
      </c>
      <c r="FD4093" s="8">
        <v>1000</v>
      </c>
      <c r="FE4093" s="8">
        <v>390</v>
      </c>
    </row>
    <row r="4094" spans="158:161" ht="74.25" customHeight="1" x14ac:dyDescent="0.2">
      <c r="FB4094" s="8" t="s">
        <v>8198</v>
      </c>
      <c r="FC4094" s="8" t="s">
        <v>8199</v>
      </c>
      <c r="FD4094" s="8">
        <v>200</v>
      </c>
      <c r="FE4094" s="8">
        <v>20</v>
      </c>
    </row>
    <row r="4095" spans="158:161" ht="74.25" customHeight="1" x14ac:dyDescent="0.2">
      <c r="FB4095" s="8" t="s">
        <v>8200</v>
      </c>
      <c r="FC4095" s="8" t="s">
        <v>8201</v>
      </c>
      <c r="FD4095" s="8">
        <v>125</v>
      </c>
      <c r="FE4095" s="8">
        <v>12.5</v>
      </c>
    </row>
    <row r="4096" spans="158:161" ht="74.25" customHeight="1" x14ac:dyDescent="0.2">
      <c r="FB4096" s="8" t="s">
        <v>8202</v>
      </c>
      <c r="FC4096" s="8" t="s">
        <v>8203</v>
      </c>
      <c r="FD4096" s="8">
        <v>100</v>
      </c>
      <c r="FE4096" s="8">
        <v>10</v>
      </c>
    </row>
    <row r="4097" spans="158:161" ht="74.25" customHeight="1" x14ac:dyDescent="0.2">
      <c r="FB4097" s="8" t="s">
        <v>8204</v>
      </c>
      <c r="FC4097" s="8" t="s">
        <v>8205</v>
      </c>
      <c r="FD4097" s="8">
        <v>5</v>
      </c>
      <c r="FE4097" s="8">
        <v>0.5</v>
      </c>
    </row>
    <row r="4098" spans="158:161" ht="74.25" customHeight="1" x14ac:dyDescent="0.2">
      <c r="FB4098" s="8" t="s">
        <v>8206</v>
      </c>
      <c r="FC4098" s="8" t="s">
        <v>8207</v>
      </c>
      <c r="FD4098" s="8">
        <v>16</v>
      </c>
      <c r="FE4098" s="8">
        <v>1.6</v>
      </c>
    </row>
    <row r="4099" spans="158:161" ht="74.25" customHeight="1" x14ac:dyDescent="0.2">
      <c r="FB4099" s="8" t="s">
        <v>8208</v>
      </c>
      <c r="FC4099" s="8" t="s">
        <v>8209</v>
      </c>
      <c r="FD4099" s="8">
        <v>8</v>
      </c>
      <c r="FE4099" s="8">
        <v>0.8</v>
      </c>
    </row>
    <row r="4100" spans="158:161" ht="74.25" customHeight="1" x14ac:dyDescent="0.2">
      <c r="FB4100" s="8" t="s">
        <v>8210</v>
      </c>
      <c r="FC4100" s="8" t="s">
        <v>8211</v>
      </c>
      <c r="FD4100" s="8">
        <v>190</v>
      </c>
      <c r="FE4100" s="8">
        <v>19</v>
      </c>
    </row>
    <row r="4101" spans="158:161" ht="74.25" customHeight="1" x14ac:dyDescent="0.2">
      <c r="FB4101" s="8" t="s">
        <v>8212</v>
      </c>
      <c r="FC4101" s="8" t="s">
        <v>8213</v>
      </c>
      <c r="FD4101" s="8">
        <v>0.75</v>
      </c>
      <c r="FE4101" s="8">
        <v>4</v>
      </c>
    </row>
    <row r="4102" spans="158:161" ht="74.25" customHeight="1" x14ac:dyDescent="0.2">
      <c r="FB4102" s="8" t="s">
        <v>8214</v>
      </c>
      <c r="FC4102" s="8" t="s">
        <v>8215</v>
      </c>
      <c r="FD4102" s="8">
        <v>10</v>
      </c>
      <c r="FE4102" s="8">
        <v>1</v>
      </c>
    </row>
    <row r="4103" spans="158:161" ht="74.25" customHeight="1" x14ac:dyDescent="0.2">
      <c r="FB4103" s="8" t="s">
        <v>8216</v>
      </c>
      <c r="FC4103" s="8" t="s">
        <v>8217</v>
      </c>
      <c r="FD4103" s="8">
        <v>570</v>
      </c>
      <c r="FE4103" s="8">
        <v>57</v>
      </c>
    </row>
    <row r="4104" spans="158:161" ht="74.25" customHeight="1" x14ac:dyDescent="0.2">
      <c r="FB4104" s="8" t="s">
        <v>8218</v>
      </c>
      <c r="FC4104" s="8" t="s">
        <v>8219</v>
      </c>
      <c r="FD4104" s="8">
        <v>10</v>
      </c>
      <c r="FE4104" s="8">
        <v>1</v>
      </c>
    </row>
    <row r="4105" spans="158:161" ht="74.25" customHeight="1" x14ac:dyDescent="0.2">
      <c r="FB4105" s="8" t="s">
        <v>8220</v>
      </c>
      <c r="FC4105" s="8" t="s">
        <v>9876</v>
      </c>
      <c r="FD4105" s="8">
        <v>290</v>
      </c>
      <c r="FE4105" s="8">
        <v>3.3</v>
      </c>
    </row>
    <row r="4106" spans="158:161" ht="74.25" customHeight="1" x14ac:dyDescent="0.2">
      <c r="FB4106" s="8" t="s">
        <v>8221</v>
      </c>
      <c r="FC4106" s="8" t="s">
        <v>8222</v>
      </c>
      <c r="FD4106" s="8">
        <v>600</v>
      </c>
      <c r="FE4106" s="8">
        <v>60</v>
      </c>
    </row>
    <row r="4107" spans="158:161" ht="74.25" customHeight="1" x14ac:dyDescent="0.2">
      <c r="FB4107" s="8" t="s">
        <v>8223</v>
      </c>
      <c r="FC4107" s="8" t="s">
        <v>8224</v>
      </c>
      <c r="FD4107" s="8">
        <v>4500</v>
      </c>
      <c r="FE4107" s="8">
        <v>1200</v>
      </c>
    </row>
    <row r="4108" spans="158:161" ht="74.25" customHeight="1" x14ac:dyDescent="0.2">
      <c r="FB4108" s="8" t="s">
        <v>8225</v>
      </c>
      <c r="FC4108" s="8" t="s">
        <v>8226</v>
      </c>
      <c r="FD4108" s="8">
        <v>0.7</v>
      </c>
      <c r="FE4108" s="8">
        <v>0.1</v>
      </c>
    </row>
    <row r="4109" spans="158:161" ht="74.25" customHeight="1" x14ac:dyDescent="0.2">
      <c r="FB4109" s="8" t="s">
        <v>8227</v>
      </c>
      <c r="FC4109" s="8" t="s">
        <v>8228</v>
      </c>
      <c r="FD4109" s="8">
        <v>0.7</v>
      </c>
      <c r="FE4109" s="8">
        <v>0.1</v>
      </c>
    </row>
    <row r="4110" spans="158:161" ht="74.25" customHeight="1" x14ac:dyDescent="0.2">
      <c r="FB4110" s="8" t="s">
        <v>8229</v>
      </c>
      <c r="FC4110" s="8" t="s">
        <v>8230</v>
      </c>
      <c r="FD4110" s="8">
        <v>0.7</v>
      </c>
      <c r="FE4110" s="8">
        <v>0.1</v>
      </c>
    </row>
    <row r="4111" spans="158:161" ht="74.25" customHeight="1" x14ac:dyDescent="0.2">
      <c r="FB4111" s="8" t="s">
        <v>8231</v>
      </c>
      <c r="FC4111" s="8" t="s">
        <v>8232</v>
      </c>
      <c r="FD4111" s="8">
        <v>100</v>
      </c>
      <c r="FE4111" s="8">
        <v>10</v>
      </c>
    </row>
    <row r="4112" spans="158:161" ht="74.25" customHeight="1" x14ac:dyDescent="0.2">
      <c r="FB4112" s="8" t="s">
        <v>8233</v>
      </c>
      <c r="FC4112" s="8" t="s">
        <v>8234</v>
      </c>
      <c r="FD4112" s="8">
        <v>30</v>
      </c>
      <c r="FE4112" s="8">
        <v>3</v>
      </c>
    </row>
    <row r="4113" spans="158:161" ht="74.25" customHeight="1" x14ac:dyDescent="0.2">
      <c r="FB4113" s="8" t="s">
        <v>8235</v>
      </c>
      <c r="FC4113" s="8" t="s">
        <v>8236</v>
      </c>
      <c r="FD4113" s="8">
        <v>5700</v>
      </c>
      <c r="FE4113" s="8">
        <v>570</v>
      </c>
    </row>
    <row r="4114" spans="158:161" ht="74.25" customHeight="1" x14ac:dyDescent="0.2">
      <c r="FB4114" s="8" t="s">
        <v>8237</v>
      </c>
      <c r="FC4114" s="8" t="s">
        <v>8238</v>
      </c>
      <c r="FD4114" s="8">
        <v>7900</v>
      </c>
      <c r="FE4114" s="8">
        <v>790</v>
      </c>
    </row>
    <row r="4115" spans="158:161" ht="74.25" customHeight="1" x14ac:dyDescent="0.2">
      <c r="FB4115" s="8" t="s">
        <v>8239</v>
      </c>
      <c r="FC4115" s="8" t="s">
        <v>8240</v>
      </c>
      <c r="FD4115" s="8">
        <v>3400</v>
      </c>
      <c r="FE4115" s="8">
        <v>340</v>
      </c>
    </row>
    <row r="4116" spans="158:161" ht="74.25" customHeight="1" x14ac:dyDescent="0.2">
      <c r="FB4116" s="8" t="s">
        <v>8241</v>
      </c>
      <c r="FC4116" s="8" t="s">
        <v>8242</v>
      </c>
      <c r="FD4116" s="8">
        <v>3500</v>
      </c>
      <c r="FE4116" s="8">
        <v>350</v>
      </c>
    </row>
    <row r="4117" spans="158:161" ht="74.25" customHeight="1" x14ac:dyDescent="0.2">
      <c r="FB4117" s="8" t="s">
        <v>8243</v>
      </c>
      <c r="FC4117" s="8" t="s">
        <v>8244</v>
      </c>
      <c r="FD4117" s="8">
        <v>10000</v>
      </c>
      <c r="FE4117" s="8">
        <v>1000</v>
      </c>
    </row>
    <row r="4118" spans="158:161" ht="74.25" customHeight="1" x14ac:dyDescent="0.2">
      <c r="FB4118" s="8" t="s">
        <v>8243</v>
      </c>
      <c r="FC4118" s="8" t="s">
        <v>8245</v>
      </c>
      <c r="FD4118" s="8">
        <v>10000</v>
      </c>
      <c r="FE4118" s="8">
        <v>1000</v>
      </c>
    </row>
    <row r="4119" spans="158:161" ht="74.25" customHeight="1" x14ac:dyDescent="0.2">
      <c r="FB4119" s="8" t="s">
        <v>8246</v>
      </c>
      <c r="FC4119" s="8" t="s">
        <v>8247</v>
      </c>
      <c r="FD4119" s="8">
        <v>45</v>
      </c>
      <c r="FE4119" s="8">
        <v>4.5</v>
      </c>
    </row>
    <row r="4120" spans="158:161" ht="74.25" customHeight="1" x14ac:dyDescent="0.2">
      <c r="FB4120" s="8" t="s">
        <v>8248</v>
      </c>
      <c r="FC4120" s="8" t="s">
        <v>8249</v>
      </c>
      <c r="FD4120" s="8">
        <v>3400</v>
      </c>
      <c r="FE4120" s="8">
        <v>340</v>
      </c>
    </row>
    <row r="4121" spans="158:161" ht="74.25" customHeight="1" x14ac:dyDescent="0.2">
      <c r="FB4121" s="8" t="s">
        <v>8250</v>
      </c>
      <c r="FC4121" s="8" t="s">
        <v>8251</v>
      </c>
      <c r="FD4121" s="8">
        <v>3500</v>
      </c>
      <c r="FE4121" s="8">
        <v>350</v>
      </c>
    </row>
    <row r="4122" spans="158:161" ht="74.25" customHeight="1" x14ac:dyDescent="0.2">
      <c r="FB4122" s="8" t="s">
        <v>8252</v>
      </c>
      <c r="FC4122" s="8" t="s">
        <v>8253</v>
      </c>
      <c r="FD4122" s="8">
        <v>10000</v>
      </c>
      <c r="FE4122" s="8">
        <v>1000</v>
      </c>
    </row>
    <row r="4123" spans="158:161" ht="74.25" customHeight="1" x14ac:dyDescent="0.2">
      <c r="FB4123" s="8" t="s">
        <v>8254</v>
      </c>
      <c r="FC4123" s="8" t="s">
        <v>8255</v>
      </c>
      <c r="FD4123" s="8">
        <v>3500</v>
      </c>
      <c r="FE4123" s="8">
        <v>350</v>
      </c>
    </row>
    <row r="4124" spans="158:161" ht="74.25" customHeight="1" x14ac:dyDescent="0.2">
      <c r="FB4124" s="8" t="s">
        <v>8256</v>
      </c>
      <c r="FC4124" s="8" t="s">
        <v>8257</v>
      </c>
      <c r="FD4124" s="8">
        <v>10000</v>
      </c>
      <c r="FE4124" s="8">
        <v>480</v>
      </c>
    </row>
    <row r="4125" spans="158:161" ht="74.25" customHeight="1" x14ac:dyDescent="0.2">
      <c r="FB4125" s="8" t="s">
        <v>8258</v>
      </c>
      <c r="FC4125" s="8" t="s">
        <v>8259</v>
      </c>
      <c r="FD4125" s="8">
        <v>1700</v>
      </c>
      <c r="FE4125" s="8">
        <v>170</v>
      </c>
    </row>
    <row r="4126" spans="158:161" ht="74.25" customHeight="1" x14ac:dyDescent="0.2">
      <c r="FB4126" s="8" t="s">
        <v>8260</v>
      </c>
      <c r="FC4126" s="8" t="s">
        <v>8261</v>
      </c>
      <c r="FD4126" s="8">
        <v>10000</v>
      </c>
      <c r="FE4126" s="8">
        <v>480</v>
      </c>
    </row>
    <row r="4127" spans="158:161" ht="74.25" customHeight="1" x14ac:dyDescent="0.2">
      <c r="FB4127" s="8" t="s">
        <v>8262</v>
      </c>
      <c r="FC4127" s="8" t="s">
        <v>8263</v>
      </c>
      <c r="FD4127" s="8">
        <v>360</v>
      </c>
      <c r="FE4127" s="8">
        <v>36</v>
      </c>
    </row>
    <row r="4128" spans="158:161" ht="74.25" customHeight="1" x14ac:dyDescent="0.2">
      <c r="FB4128" s="8" t="s">
        <v>8264</v>
      </c>
      <c r="FC4128" s="8" t="s">
        <v>8265</v>
      </c>
      <c r="FD4128" s="8">
        <v>5700</v>
      </c>
      <c r="FE4128" s="8">
        <v>570</v>
      </c>
    </row>
    <row r="4129" spans="158:161" ht="74.25" customHeight="1" x14ac:dyDescent="0.2">
      <c r="FB4129" s="8" t="s">
        <v>8266</v>
      </c>
      <c r="FC4129" s="8" t="s">
        <v>8267</v>
      </c>
      <c r="FD4129" s="8">
        <v>1700</v>
      </c>
      <c r="FE4129" s="8">
        <v>170</v>
      </c>
    </row>
    <row r="4130" spans="158:161" ht="74.25" customHeight="1" x14ac:dyDescent="0.2">
      <c r="FB4130" s="8" t="s">
        <v>8268</v>
      </c>
      <c r="FC4130" s="8" t="s">
        <v>8269</v>
      </c>
      <c r="FD4130" s="8">
        <v>100</v>
      </c>
      <c r="FE4130" s="8">
        <v>10</v>
      </c>
    </row>
    <row r="4131" spans="158:161" ht="74.25" customHeight="1" x14ac:dyDescent="0.2">
      <c r="FB4131" s="8" t="s">
        <v>8270</v>
      </c>
      <c r="FC4131" s="8" t="s">
        <v>8271</v>
      </c>
      <c r="FD4131" s="8">
        <v>5700</v>
      </c>
      <c r="FE4131" s="8">
        <v>570</v>
      </c>
    </row>
    <row r="4132" spans="158:161" ht="74.25" customHeight="1" x14ac:dyDescent="0.2">
      <c r="FB4132" s="8" t="s">
        <v>8272</v>
      </c>
      <c r="FC4132" s="8" t="s">
        <v>8273</v>
      </c>
      <c r="FD4132" s="8">
        <v>1700</v>
      </c>
      <c r="FE4132" s="8">
        <v>170</v>
      </c>
    </row>
    <row r="4133" spans="158:161" ht="74.25" customHeight="1" x14ac:dyDescent="0.2">
      <c r="FB4133" s="8" t="s">
        <v>8274</v>
      </c>
      <c r="FC4133" s="8" t="s">
        <v>8275</v>
      </c>
      <c r="FD4133" s="8">
        <v>5700</v>
      </c>
      <c r="FE4133" s="8">
        <v>570</v>
      </c>
    </row>
    <row r="4134" spans="158:161" ht="74.25" customHeight="1" x14ac:dyDescent="0.2">
      <c r="FB4134" s="8" t="s">
        <v>8276</v>
      </c>
      <c r="FC4134" s="8" t="s">
        <v>8277</v>
      </c>
      <c r="FD4134" s="8">
        <v>340</v>
      </c>
      <c r="FE4134" s="8">
        <v>34</v>
      </c>
    </row>
    <row r="4135" spans="158:161" ht="74.25" customHeight="1" x14ac:dyDescent="0.2">
      <c r="FB4135" s="8" t="s">
        <v>8278</v>
      </c>
      <c r="FC4135" s="8" t="s">
        <v>8279</v>
      </c>
      <c r="FD4135" s="8">
        <v>8.6</v>
      </c>
      <c r="FE4135" s="8">
        <v>2.5</v>
      </c>
    </row>
    <row r="4136" spans="158:161" ht="74.25" customHeight="1" x14ac:dyDescent="0.2">
      <c r="FB4136" s="8" t="s">
        <v>8280</v>
      </c>
      <c r="FC4136" s="8" t="s">
        <v>8281</v>
      </c>
      <c r="FD4136" s="8">
        <v>10</v>
      </c>
      <c r="FE4136" s="8">
        <v>1</v>
      </c>
    </row>
    <row r="4137" spans="158:161" ht="74.25" customHeight="1" x14ac:dyDescent="0.2">
      <c r="FB4137" s="8" t="s">
        <v>8282</v>
      </c>
      <c r="FC4137" s="8" t="s">
        <v>8283</v>
      </c>
      <c r="FD4137" s="8">
        <v>350</v>
      </c>
      <c r="FE4137" s="8">
        <v>35</v>
      </c>
    </row>
    <row r="4138" spans="158:161" ht="74.25" customHeight="1" x14ac:dyDescent="0.2">
      <c r="FB4138" s="8" t="s">
        <v>8284</v>
      </c>
      <c r="FC4138" s="8" t="s">
        <v>8285</v>
      </c>
      <c r="FD4138" s="8">
        <v>1800</v>
      </c>
      <c r="FE4138" s="8">
        <v>180</v>
      </c>
    </row>
    <row r="4139" spans="158:161" ht="74.25" customHeight="1" x14ac:dyDescent="0.2">
      <c r="FB4139" s="8" t="s">
        <v>8286</v>
      </c>
      <c r="FC4139" s="8" t="s">
        <v>8286</v>
      </c>
      <c r="FD4139" s="8">
        <v>100</v>
      </c>
      <c r="FE4139" s="8">
        <v>10</v>
      </c>
    </row>
    <row r="4140" spans="158:161" ht="74.25" customHeight="1" x14ac:dyDescent="0.2">
      <c r="FB4140" s="8" t="s">
        <v>8287</v>
      </c>
      <c r="FC4140" s="8" t="s">
        <v>8288</v>
      </c>
      <c r="FD4140" s="8">
        <v>10</v>
      </c>
      <c r="FE4140" s="8">
        <v>1</v>
      </c>
    </row>
    <row r="4141" spans="158:161" ht="74.25" customHeight="1" x14ac:dyDescent="0.2">
      <c r="FB4141" s="8" t="s">
        <v>8289</v>
      </c>
      <c r="FC4141" s="8" t="s">
        <v>8290</v>
      </c>
      <c r="FD4141" s="8">
        <v>250</v>
      </c>
      <c r="FE4141" s="8">
        <v>25</v>
      </c>
    </row>
    <row r="4142" spans="158:161" ht="74.25" customHeight="1" x14ac:dyDescent="0.2">
      <c r="FB4142" s="8" t="s">
        <v>8291</v>
      </c>
      <c r="FC4142" s="8" t="s">
        <v>8292</v>
      </c>
      <c r="FD4142" s="8">
        <v>250</v>
      </c>
      <c r="FE4142" s="8">
        <v>25</v>
      </c>
    </row>
    <row r="4143" spans="158:161" ht="74.25" customHeight="1" x14ac:dyDescent="0.2">
      <c r="FB4143" s="8" t="s">
        <v>8293</v>
      </c>
      <c r="FC4143" s="8" t="s">
        <v>8294</v>
      </c>
      <c r="FD4143" s="8">
        <v>250</v>
      </c>
      <c r="FE4143" s="8">
        <v>25</v>
      </c>
    </row>
    <row r="4144" spans="158:161" ht="74.25" customHeight="1" x14ac:dyDescent="0.2">
      <c r="FB4144" s="8" t="s">
        <v>8295</v>
      </c>
      <c r="FC4144" s="8" t="s">
        <v>9877</v>
      </c>
      <c r="FD4144" s="8">
        <v>5700</v>
      </c>
      <c r="FE4144" s="8">
        <v>570</v>
      </c>
    </row>
    <row r="4145" spans="158:161" ht="74.25" customHeight="1" x14ac:dyDescent="0.2">
      <c r="FB4145" s="8" t="s">
        <v>8296</v>
      </c>
      <c r="FC4145" s="8" t="s">
        <v>8297</v>
      </c>
      <c r="FD4145" s="8">
        <v>50</v>
      </c>
      <c r="FE4145" s="8">
        <v>5</v>
      </c>
    </row>
    <row r="4146" spans="158:161" ht="74.25" customHeight="1" x14ac:dyDescent="0.2">
      <c r="FB4146" s="8" t="s">
        <v>8298</v>
      </c>
      <c r="FC4146" s="8" t="s">
        <v>8299</v>
      </c>
      <c r="FD4146" s="8">
        <v>60</v>
      </c>
      <c r="FE4146" s="8">
        <v>6</v>
      </c>
    </row>
    <row r="4147" spans="158:161" ht="74.25" customHeight="1" x14ac:dyDescent="0.2">
      <c r="FB4147" s="8" t="s">
        <v>8300</v>
      </c>
      <c r="FC4147" s="8" t="s">
        <v>8301</v>
      </c>
      <c r="FD4147" s="8">
        <v>20</v>
      </c>
      <c r="FE4147" s="8">
        <v>2</v>
      </c>
    </row>
    <row r="4148" spans="158:161" ht="74.25" customHeight="1" x14ac:dyDescent="0.2">
      <c r="FB4148" s="8" t="s">
        <v>8302</v>
      </c>
      <c r="FC4148" s="8" t="s">
        <v>8303</v>
      </c>
      <c r="FD4148" s="8">
        <v>9100</v>
      </c>
      <c r="FE4148" s="8">
        <v>910</v>
      </c>
    </row>
    <row r="4149" spans="158:161" ht="74.25" customHeight="1" x14ac:dyDescent="0.2">
      <c r="FB4149" s="8" t="s">
        <v>8304</v>
      </c>
      <c r="FC4149" s="8" t="s">
        <v>8305</v>
      </c>
      <c r="FD4149" s="8">
        <v>50</v>
      </c>
      <c r="FE4149" s="8">
        <v>5</v>
      </c>
    </row>
    <row r="4150" spans="158:161" ht="74.25" customHeight="1" x14ac:dyDescent="0.2">
      <c r="FB4150" s="8" t="s">
        <v>8306</v>
      </c>
      <c r="FC4150" s="8" t="s">
        <v>8307</v>
      </c>
      <c r="FD4150" s="8">
        <v>4.2</v>
      </c>
      <c r="FE4150" s="8">
        <v>0.42</v>
      </c>
    </row>
    <row r="4151" spans="158:161" ht="74.25" customHeight="1" x14ac:dyDescent="0.2">
      <c r="FB4151" s="8" t="s">
        <v>8308</v>
      </c>
      <c r="FC4151" s="8" t="s">
        <v>8309</v>
      </c>
      <c r="FD4151" s="8">
        <v>100</v>
      </c>
      <c r="FE4151" s="8">
        <v>10</v>
      </c>
    </row>
    <row r="4152" spans="158:161" ht="74.25" customHeight="1" x14ac:dyDescent="0.2">
      <c r="FB4152" s="8" t="s">
        <v>8310</v>
      </c>
      <c r="FC4152" s="8" t="s">
        <v>8311</v>
      </c>
      <c r="FD4152" s="8">
        <v>2</v>
      </c>
      <c r="FE4152" s="8">
        <v>0.2</v>
      </c>
    </row>
    <row r="4153" spans="158:161" ht="74.25" customHeight="1" x14ac:dyDescent="0.2">
      <c r="FB4153" s="8" t="s">
        <v>8312</v>
      </c>
      <c r="FC4153" s="8" t="s">
        <v>8313</v>
      </c>
      <c r="FD4153" s="8">
        <v>50</v>
      </c>
      <c r="FE4153" s="8">
        <v>5</v>
      </c>
    </row>
    <row r="4154" spans="158:161" ht="74.25" customHeight="1" x14ac:dyDescent="0.2">
      <c r="FB4154" s="8" t="s">
        <v>8314</v>
      </c>
      <c r="FC4154" s="8" t="s">
        <v>8315</v>
      </c>
      <c r="FD4154" s="8">
        <v>0.5</v>
      </c>
      <c r="FE4154" s="8">
        <v>0.05</v>
      </c>
    </row>
    <row r="4155" spans="158:161" ht="74.25" customHeight="1" x14ac:dyDescent="0.2">
      <c r="FB4155" s="8" t="s">
        <v>8316</v>
      </c>
      <c r="FC4155" s="8" t="s">
        <v>8317</v>
      </c>
      <c r="FD4155" s="8">
        <v>100</v>
      </c>
      <c r="FE4155" s="8">
        <v>10</v>
      </c>
    </row>
    <row r="4156" spans="158:161" ht="74.25" customHeight="1" x14ac:dyDescent="0.2">
      <c r="FB4156" s="8" t="s">
        <v>8318</v>
      </c>
      <c r="FC4156" s="8" t="s">
        <v>8319</v>
      </c>
      <c r="FD4156" s="8">
        <v>70</v>
      </c>
      <c r="FE4156" s="8">
        <v>7</v>
      </c>
    </row>
    <row r="4157" spans="158:161" ht="74.25" customHeight="1" x14ac:dyDescent="0.2">
      <c r="FB4157" s="8" t="s">
        <v>8320</v>
      </c>
      <c r="FC4157" s="8" t="s">
        <v>8321</v>
      </c>
      <c r="FD4157" s="8">
        <v>37</v>
      </c>
      <c r="FE4157" s="8">
        <v>3.7</v>
      </c>
    </row>
    <row r="4158" spans="158:161" ht="74.25" customHeight="1" x14ac:dyDescent="0.2">
      <c r="FB4158" s="8" t="s">
        <v>8322</v>
      </c>
      <c r="FC4158" s="8" t="s">
        <v>8323</v>
      </c>
      <c r="FD4158" s="8">
        <v>540</v>
      </c>
      <c r="FE4158" s="8">
        <v>54</v>
      </c>
    </row>
    <row r="4159" spans="158:161" ht="74.25" customHeight="1" x14ac:dyDescent="0.2">
      <c r="FB4159" s="8" t="s">
        <v>8324</v>
      </c>
      <c r="FC4159" s="8" t="s">
        <v>8325</v>
      </c>
      <c r="FD4159" s="8">
        <v>56000</v>
      </c>
      <c r="FE4159" s="8">
        <v>5600</v>
      </c>
    </row>
    <row r="4160" spans="158:161" ht="74.25" customHeight="1" x14ac:dyDescent="0.2">
      <c r="FB4160" s="8" t="s">
        <v>8326</v>
      </c>
      <c r="FC4160" s="8" t="s">
        <v>8327</v>
      </c>
      <c r="FD4160" s="8">
        <v>7</v>
      </c>
      <c r="FE4160" s="8">
        <v>0.7</v>
      </c>
    </row>
    <row r="4161" spans="158:161" ht="74.25" customHeight="1" x14ac:dyDescent="0.2">
      <c r="FB4161" s="8" t="s">
        <v>8328</v>
      </c>
      <c r="FC4161" s="8" t="s">
        <v>8329</v>
      </c>
      <c r="FD4161" s="8">
        <v>600</v>
      </c>
      <c r="FE4161" s="8">
        <v>60</v>
      </c>
    </row>
    <row r="4162" spans="158:161" ht="74.25" customHeight="1" x14ac:dyDescent="0.2">
      <c r="FB4162" s="8" t="s">
        <v>8330</v>
      </c>
      <c r="FC4162" s="8" t="s">
        <v>8331</v>
      </c>
      <c r="FD4162" s="8">
        <v>30</v>
      </c>
      <c r="FE4162" s="8">
        <v>3</v>
      </c>
    </row>
    <row r="4163" spans="158:161" ht="74.25" customHeight="1" x14ac:dyDescent="0.2">
      <c r="FB4163" s="8" t="s">
        <v>8332</v>
      </c>
      <c r="FC4163" s="8" t="s">
        <v>8333</v>
      </c>
      <c r="FD4163" s="8">
        <v>170</v>
      </c>
      <c r="FE4163" s="8">
        <v>17</v>
      </c>
    </row>
    <row r="4164" spans="158:161" ht="74.25" customHeight="1" x14ac:dyDescent="0.2">
      <c r="FB4164" s="8" t="s">
        <v>8334</v>
      </c>
      <c r="FC4164" s="8" t="s">
        <v>8335</v>
      </c>
      <c r="FD4164" s="8">
        <v>3500</v>
      </c>
      <c r="FE4164" s="8">
        <v>350</v>
      </c>
    </row>
    <row r="4165" spans="158:161" ht="74.25" customHeight="1" x14ac:dyDescent="0.2">
      <c r="FB4165" s="8" t="s">
        <v>8336</v>
      </c>
      <c r="FC4165" s="8" t="s">
        <v>8337</v>
      </c>
      <c r="FD4165" s="8">
        <v>270</v>
      </c>
      <c r="FE4165" s="8">
        <v>27</v>
      </c>
    </row>
    <row r="4166" spans="158:161" ht="74.25" customHeight="1" x14ac:dyDescent="0.2">
      <c r="FB4166" s="8" t="s">
        <v>8338</v>
      </c>
      <c r="FC4166" s="8" t="s">
        <v>8339</v>
      </c>
      <c r="FD4166" s="8">
        <v>10000</v>
      </c>
      <c r="FE4166" s="8">
        <v>1000</v>
      </c>
    </row>
    <row r="4167" spans="158:161" ht="74.25" customHeight="1" x14ac:dyDescent="0.2">
      <c r="FB4167" s="8" t="s">
        <v>8340</v>
      </c>
      <c r="FC4167" s="8" t="s">
        <v>8341</v>
      </c>
      <c r="FD4167" s="8">
        <v>1800</v>
      </c>
      <c r="FE4167" s="8">
        <v>180</v>
      </c>
    </row>
    <row r="4168" spans="158:161" ht="74.25" customHeight="1" x14ac:dyDescent="0.2">
      <c r="FB4168" s="8" t="s">
        <v>8342</v>
      </c>
      <c r="FC4168" s="8" t="s">
        <v>8343</v>
      </c>
      <c r="FD4168" s="8">
        <v>3500</v>
      </c>
      <c r="FE4168" s="8">
        <v>350</v>
      </c>
    </row>
    <row r="4169" spans="158:161" ht="74.25" customHeight="1" x14ac:dyDescent="0.2">
      <c r="FB4169" s="8" t="s">
        <v>8344</v>
      </c>
      <c r="FC4169" s="8" t="s">
        <v>8345</v>
      </c>
      <c r="FD4169" s="8">
        <v>1000</v>
      </c>
      <c r="FE4169" s="8">
        <v>100</v>
      </c>
    </row>
    <row r="4170" spans="158:161" ht="74.25" customHeight="1" x14ac:dyDescent="0.2">
      <c r="FB4170" s="8" t="s">
        <v>8346</v>
      </c>
      <c r="FC4170" s="8" t="s">
        <v>8347</v>
      </c>
      <c r="FD4170" s="8">
        <v>2450</v>
      </c>
      <c r="FE4170" s="8">
        <v>245</v>
      </c>
    </row>
    <row r="4171" spans="158:161" ht="74.25" customHeight="1" x14ac:dyDescent="0.2">
      <c r="FB4171" s="8" t="s">
        <v>8348</v>
      </c>
      <c r="FC4171" s="8" t="s">
        <v>8349</v>
      </c>
      <c r="FD4171" s="8">
        <v>100</v>
      </c>
      <c r="FE4171" s="8">
        <v>10</v>
      </c>
    </row>
    <row r="4172" spans="158:161" ht="74.25" customHeight="1" x14ac:dyDescent="0.2">
      <c r="FB4172" s="8" t="s">
        <v>8350</v>
      </c>
      <c r="FC4172" s="8" t="s">
        <v>8351</v>
      </c>
      <c r="FD4172" s="8">
        <v>1000</v>
      </c>
      <c r="FE4172" s="8">
        <v>100</v>
      </c>
    </row>
    <row r="4173" spans="158:161" ht="74.25" customHeight="1" x14ac:dyDescent="0.2">
      <c r="FB4173" s="8" t="s">
        <v>8352</v>
      </c>
      <c r="FC4173" s="8" t="s">
        <v>8353</v>
      </c>
      <c r="FD4173" s="8">
        <v>1000</v>
      </c>
      <c r="FE4173" s="8">
        <v>100</v>
      </c>
    </row>
    <row r="4174" spans="158:161" ht="74.25" customHeight="1" x14ac:dyDescent="0.2">
      <c r="FB4174" s="8" t="s">
        <v>8354</v>
      </c>
      <c r="FC4174" s="8" t="s">
        <v>8355</v>
      </c>
      <c r="FD4174" s="8">
        <v>2.5</v>
      </c>
      <c r="FE4174" s="8">
        <v>0.25</v>
      </c>
    </row>
    <row r="4175" spans="158:161" ht="74.25" customHeight="1" x14ac:dyDescent="0.2">
      <c r="FB4175" s="8" t="s">
        <v>8356</v>
      </c>
      <c r="FC4175" s="8" t="s">
        <v>8357</v>
      </c>
      <c r="FD4175" s="8">
        <v>2000</v>
      </c>
      <c r="FE4175" s="8">
        <v>200</v>
      </c>
    </row>
    <row r="4176" spans="158:161" ht="74.25" customHeight="1" x14ac:dyDescent="0.2">
      <c r="FB4176" s="8" t="s">
        <v>8358</v>
      </c>
      <c r="FC4176" s="8" t="s">
        <v>8359</v>
      </c>
      <c r="FD4176" s="8">
        <v>4800</v>
      </c>
      <c r="FE4176" s="8">
        <v>480</v>
      </c>
    </row>
    <row r="4177" spans="158:161" ht="74.25" customHeight="1" x14ac:dyDescent="0.2">
      <c r="FB4177" s="8" t="s">
        <v>8360</v>
      </c>
      <c r="FC4177" s="8" t="s">
        <v>8361</v>
      </c>
      <c r="FD4177" s="8">
        <v>75</v>
      </c>
      <c r="FE4177" s="8">
        <v>7.5</v>
      </c>
    </row>
    <row r="4178" spans="158:161" ht="74.25" customHeight="1" x14ac:dyDescent="0.2">
      <c r="FB4178" s="8" t="s">
        <v>8362</v>
      </c>
      <c r="FC4178" s="8" t="s">
        <v>8363</v>
      </c>
      <c r="FD4178" s="8">
        <v>100</v>
      </c>
      <c r="FE4178" s="8">
        <v>10</v>
      </c>
    </row>
    <row r="4179" spans="158:161" ht="74.25" customHeight="1" x14ac:dyDescent="0.2">
      <c r="FB4179" s="8" t="s">
        <v>8364</v>
      </c>
      <c r="FC4179" s="8" t="s">
        <v>8365</v>
      </c>
      <c r="FD4179" s="8">
        <v>27</v>
      </c>
      <c r="FE4179" s="8">
        <v>2.7</v>
      </c>
    </row>
    <row r="4180" spans="158:161" ht="74.25" customHeight="1" x14ac:dyDescent="0.2">
      <c r="FB4180" s="8" t="s">
        <v>8366</v>
      </c>
      <c r="FC4180" s="8" t="s">
        <v>8367</v>
      </c>
      <c r="FD4180" s="8">
        <v>40</v>
      </c>
      <c r="FE4180" s="8">
        <v>4</v>
      </c>
    </row>
    <row r="4181" spans="158:161" ht="74.25" customHeight="1" x14ac:dyDescent="0.2">
      <c r="FB4181" s="8" t="s">
        <v>8368</v>
      </c>
      <c r="FC4181" s="8" t="s">
        <v>8369</v>
      </c>
      <c r="FD4181" s="8">
        <v>200</v>
      </c>
      <c r="FE4181" s="8">
        <v>20</v>
      </c>
    </row>
    <row r="4182" spans="158:161" ht="74.25" customHeight="1" x14ac:dyDescent="0.2">
      <c r="FB4182" s="8" t="s">
        <v>8370</v>
      </c>
      <c r="FC4182" s="8" t="s">
        <v>8371</v>
      </c>
      <c r="FD4182" s="8">
        <v>170</v>
      </c>
      <c r="FE4182" s="8">
        <v>6.6</v>
      </c>
    </row>
    <row r="4183" spans="158:161" ht="74.25" customHeight="1" x14ac:dyDescent="0.2">
      <c r="FB4183" s="8" t="s">
        <v>8372</v>
      </c>
      <c r="FC4183" s="8" t="s">
        <v>8373</v>
      </c>
      <c r="FD4183" s="8">
        <v>10000</v>
      </c>
      <c r="FE4183" s="8">
        <v>1000</v>
      </c>
    </row>
    <row r="4184" spans="158:161" ht="74.25" customHeight="1" x14ac:dyDescent="0.2">
      <c r="FB4184" s="8" t="s">
        <v>8374</v>
      </c>
      <c r="FC4184" s="8" t="s">
        <v>8375</v>
      </c>
      <c r="FD4184" s="8">
        <v>2900</v>
      </c>
      <c r="FE4184" s="8">
        <v>3700</v>
      </c>
    </row>
    <row r="4185" spans="158:161" ht="74.25" customHeight="1" x14ac:dyDescent="0.2">
      <c r="FB4185" s="8" t="s">
        <v>8376</v>
      </c>
      <c r="FC4185" s="8" t="s">
        <v>8377</v>
      </c>
      <c r="FD4185" s="8">
        <v>10</v>
      </c>
      <c r="FE4185" s="8">
        <v>1</v>
      </c>
    </row>
    <row r="4186" spans="158:161" ht="74.25" customHeight="1" x14ac:dyDescent="0.2">
      <c r="FB4186" s="8" t="s">
        <v>8378</v>
      </c>
      <c r="FC4186" s="8" t="s">
        <v>8379</v>
      </c>
      <c r="FD4186" s="8">
        <v>1000</v>
      </c>
      <c r="FE4186" s="8">
        <v>100</v>
      </c>
    </row>
    <row r="4187" spans="158:161" ht="74.25" customHeight="1" x14ac:dyDescent="0.2">
      <c r="FB4187" s="8" t="s">
        <v>8380</v>
      </c>
      <c r="FC4187" s="8" t="s">
        <v>8381</v>
      </c>
      <c r="FD4187" s="8">
        <v>1000</v>
      </c>
      <c r="FE4187" s="8">
        <v>100</v>
      </c>
    </row>
    <row r="4188" spans="158:161" ht="74.25" customHeight="1" x14ac:dyDescent="0.2">
      <c r="FB4188" s="8" t="s">
        <v>8382</v>
      </c>
      <c r="FC4188" s="8" t="s">
        <v>8383</v>
      </c>
      <c r="FD4188" s="8">
        <v>2900</v>
      </c>
      <c r="FE4188" s="8">
        <v>3700</v>
      </c>
    </row>
    <row r="4189" spans="158:161" ht="74.25" customHeight="1" x14ac:dyDescent="0.2">
      <c r="FB4189" s="8" t="s">
        <v>8384</v>
      </c>
      <c r="FC4189" s="8" t="s">
        <v>8385</v>
      </c>
      <c r="FD4189" s="8">
        <v>2900</v>
      </c>
      <c r="FE4189" s="8">
        <v>3700</v>
      </c>
    </row>
    <row r="4190" spans="158:161" ht="74.25" customHeight="1" x14ac:dyDescent="0.2">
      <c r="FB4190" s="8" t="s">
        <v>8386</v>
      </c>
      <c r="FC4190" s="8" t="s">
        <v>8387</v>
      </c>
      <c r="FD4190" s="8">
        <v>50</v>
      </c>
      <c r="FE4190" s="8">
        <v>5</v>
      </c>
    </row>
    <row r="4191" spans="158:161" ht="74.25" customHeight="1" x14ac:dyDescent="0.2">
      <c r="FB4191" s="8" t="s">
        <v>8388</v>
      </c>
      <c r="FC4191" s="8" t="s">
        <v>8389</v>
      </c>
      <c r="FD4191" s="8">
        <v>2900</v>
      </c>
      <c r="FE4191" s="8">
        <v>3700</v>
      </c>
    </row>
    <row r="4192" spans="158:161" ht="74.25" customHeight="1" x14ac:dyDescent="0.2">
      <c r="FB4192" s="8" t="s">
        <v>8390</v>
      </c>
      <c r="FC4192" s="8" t="s">
        <v>8391</v>
      </c>
      <c r="FD4192" s="8">
        <v>2900</v>
      </c>
      <c r="FE4192" s="8">
        <v>3700</v>
      </c>
    </row>
    <row r="4193" spans="158:161" ht="74.25" customHeight="1" x14ac:dyDescent="0.2">
      <c r="FB4193" s="8" t="s">
        <v>8392</v>
      </c>
      <c r="FC4193" s="8" t="s">
        <v>8393</v>
      </c>
      <c r="FD4193" s="8">
        <v>60</v>
      </c>
      <c r="FE4193" s="8">
        <v>6</v>
      </c>
    </row>
    <row r="4194" spans="158:161" ht="74.25" customHeight="1" x14ac:dyDescent="0.2">
      <c r="FB4194" s="8" t="s">
        <v>8394</v>
      </c>
      <c r="FC4194" s="8" t="s">
        <v>9504</v>
      </c>
      <c r="FD4194" s="8">
        <v>17</v>
      </c>
      <c r="FE4194" s="8">
        <v>8.1</v>
      </c>
    </row>
    <row r="4195" spans="158:161" ht="74.25" customHeight="1" x14ac:dyDescent="0.2">
      <c r="FB4195" s="8" t="s">
        <v>8395</v>
      </c>
      <c r="FC4195" s="8" t="s">
        <v>9505</v>
      </c>
      <c r="FD4195" s="8">
        <v>2.8</v>
      </c>
      <c r="FE4195" s="8">
        <v>0.56999999999999995</v>
      </c>
    </row>
    <row r="4196" spans="158:161" ht="74.25" customHeight="1" x14ac:dyDescent="0.2">
      <c r="FB4196" s="8" t="s">
        <v>8396</v>
      </c>
      <c r="FC4196" s="8" t="s">
        <v>8397</v>
      </c>
      <c r="FD4196" s="8" t="s">
        <v>9511</v>
      </c>
      <c r="FE4196" s="8">
        <v>0.71</v>
      </c>
    </row>
    <row r="4197" spans="158:161" ht="74.25" customHeight="1" x14ac:dyDescent="0.2">
      <c r="FB4197" s="8" t="s">
        <v>8398</v>
      </c>
      <c r="FC4197" s="8" t="s">
        <v>8399</v>
      </c>
      <c r="FD4197" s="8">
        <v>12</v>
      </c>
      <c r="FE4197" s="8">
        <v>1.2</v>
      </c>
    </row>
    <row r="4198" spans="158:161" ht="74.25" customHeight="1" x14ac:dyDescent="0.2">
      <c r="FB4198" s="8" t="s">
        <v>8400</v>
      </c>
      <c r="FC4198" s="8" t="s">
        <v>8401</v>
      </c>
      <c r="FD4198" s="8">
        <v>30000</v>
      </c>
      <c r="FE4198" s="8">
        <v>3000</v>
      </c>
    </row>
    <row r="4199" spans="158:161" ht="74.25" customHeight="1" x14ac:dyDescent="0.2">
      <c r="FB4199" s="8" t="s">
        <v>8402</v>
      </c>
      <c r="FC4199" s="8" t="s">
        <v>8403</v>
      </c>
      <c r="FD4199" s="8">
        <v>0.5</v>
      </c>
      <c r="FE4199" s="8">
        <v>0.05</v>
      </c>
    </row>
    <row r="4200" spans="158:161" ht="74.25" customHeight="1" x14ac:dyDescent="0.2">
      <c r="FB4200" s="8" t="s">
        <v>8404</v>
      </c>
      <c r="FC4200" s="8" t="s">
        <v>8405</v>
      </c>
      <c r="FD4200" s="8">
        <v>150</v>
      </c>
      <c r="FE4200" s="8">
        <v>15</v>
      </c>
    </row>
    <row r="4201" spans="158:161" ht="74.25" customHeight="1" x14ac:dyDescent="0.2">
      <c r="FB4201" s="8" t="s">
        <v>8406</v>
      </c>
      <c r="FC4201" s="8" t="s">
        <v>8407</v>
      </c>
      <c r="FD4201" s="8">
        <v>160</v>
      </c>
      <c r="FE4201" s="8">
        <v>16</v>
      </c>
    </row>
    <row r="4202" spans="158:161" ht="74.25" customHeight="1" x14ac:dyDescent="0.2">
      <c r="FB4202" s="8" t="s">
        <v>8408</v>
      </c>
      <c r="FC4202" s="8" t="s">
        <v>8409</v>
      </c>
      <c r="FD4202" s="8">
        <v>120</v>
      </c>
      <c r="FE4202" s="8">
        <v>12</v>
      </c>
    </row>
    <row r="4203" spans="158:161" ht="74.25" customHeight="1" x14ac:dyDescent="0.2">
      <c r="FB4203" s="8" t="s">
        <v>8410</v>
      </c>
      <c r="FC4203" s="8" t="s">
        <v>8411</v>
      </c>
      <c r="FD4203" s="8">
        <v>3400</v>
      </c>
      <c r="FE4203" s="8">
        <v>340</v>
      </c>
    </row>
    <row r="4204" spans="158:161" ht="74.25" customHeight="1" x14ac:dyDescent="0.2">
      <c r="FB4204" s="8" t="s">
        <v>8412</v>
      </c>
      <c r="FC4204" s="8" t="s">
        <v>8413</v>
      </c>
      <c r="FD4204" s="8">
        <v>400</v>
      </c>
      <c r="FE4204" s="8">
        <v>40</v>
      </c>
    </row>
    <row r="4205" spans="158:161" ht="74.25" customHeight="1" x14ac:dyDescent="0.2">
      <c r="FB4205" s="8" t="s">
        <v>8414</v>
      </c>
      <c r="FC4205" s="8" t="s">
        <v>8415</v>
      </c>
      <c r="FD4205" s="8">
        <v>4.2</v>
      </c>
      <c r="FE4205" s="8">
        <v>0.42</v>
      </c>
    </row>
    <row r="4206" spans="158:161" ht="74.25" customHeight="1" x14ac:dyDescent="0.2">
      <c r="FB4206" s="8" t="s">
        <v>8416</v>
      </c>
      <c r="FC4206" s="8" t="s">
        <v>8417</v>
      </c>
      <c r="FD4206" s="8">
        <v>3</v>
      </c>
      <c r="FE4206" s="8">
        <v>0.3</v>
      </c>
    </row>
    <row r="4207" spans="158:161" ht="74.25" customHeight="1" x14ac:dyDescent="0.2">
      <c r="FB4207" s="8" t="s">
        <v>8418</v>
      </c>
      <c r="FC4207" s="8" t="s">
        <v>8419</v>
      </c>
      <c r="FD4207" s="8">
        <v>1000</v>
      </c>
      <c r="FE4207" s="8">
        <v>100</v>
      </c>
    </row>
    <row r="4208" spans="158:161" ht="74.25" customHeight="1" x14ac:dyDescent="0.2">
      <c r="FB4208" s="8" t="s">
        <v>8420</v>
      </c>
      <c r="FC4208" s="8" t="s">
        <v>8421</v>
      </c>
      <c r="FD4208" s="8">
        <v>360</v>
      </c>
      <c r="FE4208" s="8">
        <v>13</v>
      </c>
    </row>
    <row r="4209" spans="158:161" ht="74.25" customHeight="1" x14ac:dyDescent="0.2">
      <c r="FB4209" s="8" t="s">
        <v>8422</v>
      </c>
      <c r="FC4209" s="8" t="s">
        <v>8423</v>
      </c>
      <c r="FD4209" s="8">
        <v>13</v>
      </c>
      <c r="FE4209" s="8">
        <v>1.3</v>
      </c>
    </row>
    <row r="4210" spans="158:161" ht="74.25" customHeight="1" x14ac:dyDescent="0.2">
      <c r="FB4210" s="8" t="s">
        <v>8424</v>
      </c>
      <c r="FC4210" s="8" t="s">
        <v>8425</v>
      </c>
      <c r="FD4210" s="8">
        <v>2700</v>
      </c>
      <c r="FE4210" s="8">
        <v>270</v>
      </c>
    </row>
    <row r="4211" spans="158:161" ht="74.25" customHeight="1" x14ac:dyDescent="0.2">
      <c r="FB4211" s="8" t="s">
        <v>8426</v>
      </c>
      <c r="FC4211" s="8" t="s">
        <v>8427</v>
      </c>
      <c r="FD4211" s="8">
        <v>1200</v>
      </c>
      <c r="FE4211" s="8">
        <v>120</v>
      </c>
    </row>
    <row r="4212" spans="158:161" ht="74.25" customHeight="1" x14ac:dyDescent="0.2">
      <c r="FB4212" s="8" t="s">
        <v>8428</v>
      </c>
      <c r="FC4212" s="8" t="s">
        <v>8429</v>
      </c>
      <c r="FD4212" s="8">
        <v>1000</v>
      </c>
      <c r="FE4212" s="8">
        <v>100</v>
      </c>
    </row>
    <row r="4213" spans="158:161" ht="74.25" customHeight="1" x14ac:dyDescent="0.2">
      <c r="FB4213" s="8" t="s">
        <v>8430</v>
      </c>
      <c r="FC4213" s="8" t="s">
        <v>8431</v>
      </c>
      <c r="FD4213" s="8">
        <v>100</v>
      </c>
      <c r="FE4213" s="8">
        <v>10</v>
      </c>
    </row>
    <row r="4214" spans="158:161" ht="74.25" customHeight="1" x14ac:dyDescent="0.2">
      <c r="FB4214" s="8" t="s">
        <v>8432</v>
      </c>
      <c r="FC4214" s="8" t="s">
        <v>8433</v>
      </c>
      <c r="FD4214" s="8">
        <v>100</v>
      </c>
      <c r="FE4214" s="8">
        <v>10</v>
      </c>
    </row>
    <row r="4215" spans="158:161" ht="74.25" customHeight="1" x14ac:dyDescent="0.2">
      <c r="FB4215" s="8" t="s">
        <v>8434</v>
      </c>
      <c r="FC4215" s="8" t="s">
        <v>8435</v>
      </c>
      <c r="FD4215" s="8">
        <v>2000</v>
      </c>
      <c r="FE4215" s="8">
        <v>200</v>
      </c>
    </row>
    <row r="4216" spans="158:161" ht="74.25" customHeight="1" x14ac:dyDescent="0.2">
      <c r="FB4216" s="8" t="s">
        <v>8436</v>
      </c>
      <c r="FC4216" s="8" t="s">
        <v>8437</v>
      </c>
      <c r="FD4216" s="8">
        <v>50</v>
      </c>
      <c r="FE4216" s="8">
        <v>5</v>
      </c>
    </row>
    <row r="4217" spans="158:161" ht="74.25" customHeight="1" x14ac:dyDescent="0.2">
      <c r="FB4217" s="8" t="s">
        <v>8438</v>
      </c>
      <c r="FC4217" s="8" t="s">
        <v>8439</v>
      </c>
      <c r="FD4217" s="8">
        <v>1.1000000000000001</v>
      </c>
      <c r="FE4217" s="8">
        <v>2.5</v>
      </c>
    </row>
    <row r="4218" spans="158:161" ht="74.25" customHeight="1" x14ac:dyDescent="0.2">
      <c r="FB4218" s="8" t="s">
        <v>8440</v>
      </c>
      <c r="FC4218" s="8" t="s">
        <v>8441</v>
      </c>
      <c r="FD4218" s="8">
        <v>4400</v>
      </c>
      <c r="FE4218" s="8">
        <v>54</v>
      </c>
    </row>
    <row r="4219" spans="158:161" ht="74.25" customHeight="1" x14ac:dyDescent="0.2">
      <c r="FB4219" s="8" t="s">
        <v>8442</v>
      </c>
      <c r="FC4219" s="8" t="s">
        <v>8443</v>
      </c>
      <c r="FD4219" s="8">
        <v>220</v>
      </c>
      <c r="FE4219" s="8">
        <v>22</v>
      </c>
    </row>
    <row r="4220" spans="158:161" ht="74.25" customHeight="1" x14ac:dyDescent="0.2">
      <c r="FB4220" s="8" t="s">
        <v>8444</v>
      </c>
      <c r="FC4220" s="8" t="s">
        <v>8445</v>
      </c>
      <c r="FD4220" s="8">
        <v>50</v>
      </c>
      <c r="FE4220" s="8">
        <v>5</v>
      </c>
    </row>
    <row r="4221" spans="158:161" ht="74.25" customHeight="1" x14ac:dyDescent="0.2">
      <c r="FB4221" s="8" t="s">
        <v>8446</v>
      </c>
      <c r="FC4221" s="8" t="s">
        <v>8447</v>
      </c>
      <c r="FD4221" s="8">
        <v>3500</v>
      </c>
      <c r="FE4221" s="8">
        <v>350</v>
      </c>
    </row>
    <row r="4222" spans="158:161" ht="74.25" customHeight="1" x14ac:dyDescent="0.2">
      <c r="FB4222" s="8" t="s">
        <v>8448</v>
      </c>
      <c r="FC4222" s="8" t="s">
        <v>8449</v>
      </c>
      <c r="FD4222" s="8">
        <v>170</v>
      </c>
      <c r="FE4222" s="8">
        <v>17</v>
      </c>
    </row>
    <row r="4223" spans="158:161" ht="74.25" customHeight="1" x14ac:dyDescent="0.2">
      <c r="FB4223" s="8" t="s">
        <v>8450</v>
      </c>
      <c r="FC4223" s="8" t="s">
        <v>8451</v>
      </c>
      <c r="FD4223" s="8">
        <v>50</v>
      </c>
      <c r="FE4223" s="8">
        <v>5</v>
      </c>
    </row>
    <row r="4224" spans="158:161" ht="74.25" customHeight="1" x14ac:dyDescent="0.2">
      <c r="FB4224" s="8" t="s">
        <v>8452</v>
      </c>
      <c r="FC4224" s="8" t="s">
        <v>8453</v>
      </c>
      <c r="FD4224" s="8">
        <v>600</v>
      </c>
      <c r="FE4224" s="8">
        <v>60</v>
      </c>
    </row>
    <row r="4225" spans="158:161" ht="74.25" customHeight="1" x14ac:dyDescent="0.2">
      <c r="FB4225" s="8" t="s">
        <v>8454</v>
      </c>
      <c r="FC4225" s="8" t="s">
        <v>8455</v>
      </c>
      <c r="FD4225" s="8">
        <v>10</v>
      </c>
      <c r="FE4225" s="8">
        <v>1</v>
      </c>
    </row>
    <row r="4226" spans="158:161" ht="74.25" customHeight="1" x14ac:dyDescent="0.2">
      <c r="FB4226" s="8" t="s">
        <v>8456</v>
      </c>
      <c r="FC4226" s="8" t="s">
        <v>8457</v>
      </c>
      <c r="FD4226" s="8">
        <v>1000</v>
      </c>
      <c r="FE4226" s="8">
        <v>100</v>
      </c>
    </row>
    <row r="4227" spans="158:161" ht="74.25" customHeight="1" x14ac:dyDescent="0.2">
      <c r="FB4227" s="8" t="s">
        <v>8458</v>
      </c>
      <c r="FC4227" s="8" t="s">
        <v>8459</v>
      </c>
      <c r="FD4227" s="8">
        <v>10</v>
      </c>
      <c r="FE4227" s="8">
        <v>1</v>
      </c>
    </row>
    <row r="4228" spans="158:161" ht="74.25" customHeight="1" x14ac:dyDescent="0.2">
      <c r="FB4228" s="8" t="s">
        <v>8460</v>
      </c>
      <c r="FC4228" s="8" t="s">
        <v>8461</v>
      </c>
      <c r="FD4228" s="8">
        <v>50</v>
      </c>
      <c r="FE4228" s="8">
        <v>5</v>
      </c>
    </row>
    <row r="4229" spans="158:161" ht="74.25" customHeight="1" x14ac:dyDescent="0.2">
      <c r="FB4229" s="8" t="s">
        <v>8462</v>
      </c>
      <c r="FC4229" s="8" t="s">
        <v>8463</v>
      </c>
      <c r="FD4229" s="8">
        <v>180</v>
      </c>
      <c r="FE4229" s="8">
        <v>18</v>
      </c>
    </row>
    <row r="4230" spans="158:161" ht="74.25" customHeight="1" x14ac:dyDescent="0.2">
      <c r="FB4230" s="8" t="s">
        <v>8464</v>
      </c>
      <c r="FC4230" s="8" t="s">
        <v>8465</v>
      </c>
      <c r="FD4230" s="8">
        <v>1</v>
      </c>
      <c r="FE4230" s="8">
        <v>0.1</v>
      </c>
    </row>
    <row r="4231" spans="158:161" ht="74.25" customHeight="1" x14ac:dyDescent="0.2">
      <c r="FB4231" s="8" t="s">
        <v>8466</v>
      </c>
      <c r="FC4231" s="8" t="s">
        <v>8467</v>
      </c>
      <c r="FD4231" s="8">
        <v>1</v>
      </c>
      <c r="FE4231" s="8">
        <v>0.1</v>
      </c>
    </row>
    <row r="4232" spans="158:161" ht="74.25" customHeight="1" x14ac:dyDescent="0.2">
      <c r="FB4232" s="8" t="s">
        <v>8468</v>
      </c>
      <c r="FC4232" s="8" t="s">
        <v>8469</v>
      </c>
      <c r="FD4232" s="8">
        <v>1</v>
      </c>
      <c r="FE4232" s="8">
        <v>0.1</v>
      </c>
    </row>
    <row r="4233" spans="158:161" ht="74.25" customHeight="1" x14ac:dyDescent="0.2">
      <c r="FB4233" s="8" t="s">
        <v>8470</v>
      </c>
      <c r="FC4233" s="8" t="s">
        <v>8471</v>
      </c>
      <c r="FD4233" s="8">
        <v>100</v>
      </c>
      <c r="FE4233" s="8">
        <v>10</v>
      </c>
    </row>
    <row r="4234" spans="158:161" ht="74.25" customHeight="1" x14ac:dyDescent="0.2">
      <c r="FB4234" s="8" t="s">
        <v>8472</v>
      </c>
      <c r="FC4234" s="8" t="s">
        <v>8473</v>
      </c>
      <c r="FD4234" s="8">
        <v>3</v>
      </c>
      <c r="FE4234" s="8">
        <v>0.3</v>
      </c>
    </row>
    <row r="4235" spans="158:161" ht="74.25" customHeight="1" x14ac:dyDescent="0.2">
      <c r="FB4235" s="8" t="s">
        <v>8474</v>
      </c>
      <c r="FC4235" s="8" t="s">
        <v>8475</v>
      </c>
      <c r="FD4235" s="8">
        <v>100</v>
      </c>
      <c r="FE4235" s="8">
        <v>10</v>
      </c>
    </row>
    <row r="4236" spans="158:161" ht="74.25" customHeight="1" x14ac:dyDescent="0.2">
      <c r="FB4236" s="8" t="s">
        <v>8476</v>
      </c>
      <c r="FC4236" s="8" t="s">
        <v>8477</v>
      </c>
      <c r="FD4236" s="8">
        <v>270</v>
      </c>
      <c r="FE4236" s="8">
        <v>5.4</v>
      </c>
    </row>
    <row r="4237" spans="158:161" ht="74.25" customHeight="1" x14ac:dyDescent="0.2">
      <c r="FB4237" s="8" t="s">
        <v>8478</v>
      </c>
      <c r="FC4237" s="8" t="s">
        <v>8479</v>
      </c>
      <c r="FD4237" s="8">
        <v>400</v>
      </c>
      <c r="FE4237" s="8">
        <v>40</v>
      </c>
    </row>
    <row r="4238" spans="158:161" ht="74.25" customHeight="1" x14ac:dyDescent="0.2">
      <c r="FB4238" s="8" t="s">
        <v>8480</v>
      </c>
      <c r="FC4238" s="8" t="s">
        <v>8481</v>
      </c>
      <c r="FD4238" s="8">
        <v>330</v>
      </c>
      <c r="FE4238" s="8">
        <v>33</v>
      </c>
    </row>
    <row r="4239" spans="158:161" ht="74.25" customHeight="1" x14ac:dyDescent="0.2">
      <c r="FB4239" s="8" t="s">
        <v>8482</v>
      </c>
      <c r="FC4239" s="8" t="s">
        <v>8483</v>
      </c>
      <c r="FD4239" s="8">
        <v>10</v>
      </c>
      <c r="FE4239" s="8">
        <v>1</v>
      </c>
    </row>
    <row r="4240" spans="158:161" ht="74.25" customHeight="1" x14ac:dyDescent="0.2">
      <c r="FB4240" s="8" t="s">
        <v>8484</v>
      </c>
      <c r="FC4240" s="8" t="s">
        <v>8485</v>
      </c>
      <c r="FD4240" s="8">
        <v>1000</v>
      </c>
      <c r="FE4240" s="8">
        <v>100</v>
      </c>
    </row>
    <row r="4241" spans="158:161" ht="74.25" customHeight="1" x14ac:dyDescent="0.2">
      <c r="FB4241" s="8" t="s">
        <v>8486</v>
      </c>
      <c r="FC4241" s="8" t="s">
        <v>8487</v>
      </c>
      <c r="FD4241" s="8">
        <v>730</v>
      </c>
      <c r="FE4241" s="8">
        <v>73</v>
      </c>
    </row>
    <row r="4242" spans="158:161" ht="74.25" customHeight="1" x14ac:dyDescent="0.2">
      <c r="FB4242" s="8" t="s">
        <v>8488</v>
      </c>
      <c r="FC4242" s="8" t="s">
        <v>8489</v>
      </c>
      <c r="FD4242" s="8">
        <v>100</v>
      </c>
      <c r="FE4242" s="8">
        <v>10</v>
      </c>
    </row>
    <row r="4243" spans="158:161" ht="74.25" customHeight="1" x14ac:dyDescent="0.2">
      <c r="FB4243" s="8" t="s">
        <v>8490</v>
      </c>
      <c r="FC4243" s="8" t="s">
        <v>8491</v>
      </c>
      <c r="FD4243" s="8">
        <v>0.6</v>
      </c>
      <c r="FE4243" s="8">
        <v>0.06</v>
      </c>
    </row>
    <row r="4244" spans="158:161" ht="74.25" customHeight="1" x14ac:dyDescent="0.2">
      <c r="FB4244" s="8" t="s">
        <v>8492</v>
      </c>
      <c r="FC4244" s="8" t="s">
        <v>8493</v>
      </c>
      <c r="FD4244" s="8">
        <v>600</v>
      </c>
      <c r="FE4244" s="8">
        <v>60</v>
      </c>
    </row>
    <row r="4245" spans="158:161" ht="74.25" customHeight="1" x14ac:dyDescent="0.2">
      <c r="FB4245" s="8" t="s">
        <v>8494</v>
      </c>
      <c r="FC4245" s="8" t="s">
        <v>8495</v>
      </c>
      <c r="FD4245" s="8">
        <v>430</v>
      </c>
      <c r="FE4245" s="8">
        <v>43</v>
      </c>
    </row>
    <row r="4246" spans="158:161" ht="74.25" customHeight="1" x14ac:dyDescent="0.2">
      <c r="FB4246" s="8" t="s">
        <v>8496</v>
      </c>
      <c r="FC4246" s="8" t="s">
        <v>8497</v>
      </c>
      <c r="FD4246" s="8">
        <v>100</v>
      </c>
      <c r="FE4246" s="8">
        <v>10</v>
      </c>
    </row>
    <row r="4247" spans="158:161" ht="74.25" customHeight="1" x14ac:dyDescent="0.2">
      <c r="FB4247" s="8" t="s">
        <v>8498</v>
      </c>
      <c r="FC4247" s="8" t="s">
        <v>8499</v>
      </c>
      <c r="FD4247" s="8">
        <v>60</v>
      </c>
      <c r="FE4247" s="8">
        <v>6</v>
      </c>
    </row>
    <row r="4248" spans="158:161" ht="74.25" customHeight="1" x14ac:dyDescent="0.2">
      <c r="FB4248" s="8" t="s">
        <v>8500</v>
      </c>
      <c r="FC4248" s="8" t="s">
        <v>8501</v>
      </c>
      <c r="FD4248" s="8">
        <v>100</v>
      </c>
      <c r="FE4248" s="8">
        <v>10</v>
      </c>
    </row>
    <row r="4249" spans="158:161" ht="74.25" customHeight="1" x14ac:dyDescent="0.2">
      <c r="FB4249" s="8" t="s">
        <v>8502</v>
      </c>
      <c r="FC4249" s="8" t="s">
        <v>8503</v>
      </c>
      <c r="FD4249" s="8">
        <v>1000</v>
      </c>
      <c r="FE4249" s="8">
        <v>100</v>
      </c>
    </row>
    <row r="4250" spans="158:161" ht="74.25" customHeight="1" x14ac:dyDescent="0.2">
      <c r="FB4250" s="8" t="s">
        <v>8504</v>
      </c>
      <c r="FC4250" s="8" t="s">
        <v>8505</v>
      </c>
      <c r="FD4250" s="8">
        <v>1000</v>
      </c>
      <c r="FE4250" s="8">
        <v>100</v>
      </c>
    </row>
    <row r="4251" spans="158:161" ht="74.25" customHeight="1" x14ac:dyDescent="0.2">
      <c r="FB4251" s="8" t="s">
        <v>8506</v>
      </c>
      <c r="FC4251" s="8" t="s">
        <v>8507</v>
      </c>
      <c r="FD4251" s="8">
        <v>1000</v>
      </c>
      <c r="FE4251" s="8">
        <v>100</v>
      </c>
    </row>
    <row r="4252" spans="158:161" ht="74.25" customHeight="1" x14ac:dyDescent="0.2">
      <c r="FB4252" s="8" t="s">
        <v>8508</v>
      </c>
      <c r="FC4252" s="8" t="s">
        <v>8509</v>
      </c>
      <c r="FD4252" s="8">
        <v>100</v>
      </c>
      <c r="FE4252" s="8">
        <v>10</v>
      </c>
    </row>
    <row r="4253" spans="158:161" ht="74.25" customHeight="1" x14ac:dyDescent="0.2">
      <c r="FB4253" s="8" t="s">
        <v>8510</v>
      </c>
      <c r="FC4253" s="8" t="s">
        <v>8511</v>
      </c>
      <c r="FD4253" s="8">
        <v>1000</v>
      </c>
      <c r="FE4253" s="8">
        <v>100</v>
      </c>
    </row>
    <row r="4254" spans="158:161" ht="74.25" customHeight="1" x14ac:dyDescent="0.2">
      <c r="FB4254" s="8" t="s">
        <v>8512</v>
      </c>
      <c r="FC4254" s="8" t="s">
        <v>8513</v>
      </c>
      <c r="FD4254" s="8">
        <v>1120</v>
      </c>
      <c r="FE4254" s="8">
        <v>112</v>
      </c>
    </row>
    <row r="4255" spans="158:161" ht="74.25" customHeight="1" x14ac:dyDescent="0.2">
      <c r="FB4255" s="8" t="s">
        <v>8514</v>
      </c>
      <c r="FC4255" s="8" t="s">
        <v>8515</v>
      </c>
      <c r="FD4255" s="8">
        <v>1800</v>
      </c>
      <c r="FE4255" s="8">
        <v>180</v>
      </c>
    </row>
    <row r="4256" spans="158:161" ht="74.25" customHeight="1" x14ac:dyDescent="0.2">
      <c r="FB4256" s="8" t="s">
        <v>8516</v>
      </c>
      <c r="FC4256" s="8" t="s">
        <v>9878</v>
      </c>
      <c r="FD4256" s="8">
        <v>900</v>
      </c>
      <c r="FE4256" s="8">
        <v>90</v>
      </c>
    </row>
    <row r="4257" spans="158:161" ht="74.25" customHeight="1" x14ac:dyDescent="0.2">
      <c r="FB4257" s="8" t="s">
        <v>8517</v>
      </c>
      <c r="FC4257" s="8" t="s">
        <v>8518</v>
      </c>
      <c r="FD4257" s="8">
        <v>1500</v>
      </c>
      <c r="FE4257" s="8">
        <v>150</v>
      </c>
    </row>
    <row r="4258" spans="158:161" ht="74.25" customHeight="1" x14ac:dyDescent="0.2">
      <c r="FB4258" s="8" t="s">
        <v>8519</v>
      </c>
      <c r="FC4258" s="8" t="s">
        <v>8520</v>
      </c>
      <c r="FD4258" s="8">
        <v>1500</v>
      </c>
      <c r="FE4258" s="8">
        <v>150</v>
      </c>
    </row>
    <row r="4259" spans="158:161" ht="74.25" customHeight="1" x14ac:dyDescent="0.2">
      <c r="FB4259" s="8" t="s">
        <v>8521</v>
      </c>
      <c r="FC4259" s="8" t="s">
        <v>8522</v>
      </c>
      <c r="FD4259" s="8">
        <v>1500</v>
      </c>
      <c r="FE4259" s="8">
        <v>150</v>
      </c>
    </row>
    <row r="4260" spans="158:161" ht="74.25" customHeight="1" x14ac:dyDescent="0.2">
      <c r="FB4260" s="8" t="s">
        <v>8523</v>
      </c>
      <c r="FC4260" s="8" t="s">
        <v>8524</v>
      </c>
      <c r="FD4260" s="8">
        <v>600</v>
      </c>
      <c r="FE4260" s="8">
        <v>60</v>
      </c>
    </row>
    <row r="4261" spans="158:161" ht="74.25" customHeight="1" x14ac:dyDescent="0.2">
      <c r="FB4261" s="8" t="s">
        <v>8525</v>
      </c>
      <c r="FC4261" s="8" t="s">
        <v>8526</v>
      </c>
      <c r="FD4261" s="8">
        <v>2450</v>
      </c>
      <c r="FE4261" s="8">
        <v>245</v>
      </c>
    </row>
    <row r="4262" spans="158:161" ht="74.25" customHeight="1" x14ac:dyDescent="0.2">
      <c r="FB4262" s="8" t="s">
        <v>8527</v>
      </c>
      <c r="FC4262" s="8" t="s">
        <v>8527</v>
      </c>
      <c r="FD4262" s="8">
        <v>100</v>
      </c>
      <c r="FE4262" s="8">
        <v>10</v>
      </c>
    </row>
    <row r="4263" spans="158:161" ht="74.25" customHeight="1" x14ac:dyDescent="0.2">
      <c r="FB4263" s="8" t="s">
        <v>8528</v>
      </c>
      <c r="FC4263" s="8" t="s">
        <v>8528</v>
      </c>
      <c r="FD4263" s="8">
        <v>410</v>
      </c>
      <c r="FE4263" s="8">
        <v>41</v>
      </c>
    </row>
    <row r="4264" spans="158:161" ht="74.25" customHeight="1" x14ac:dyDescent="0.2">
      <c r="FB4264" s="8" t="s">
        <v>8529</v>
      </c>
      <c r="FC4264" s="8" t="s">
        <v>8530</v>
      </c>
      <c r="FD4264" s="8">
        <v>1000</v>
      </c>
      <c r="FE4264" s="8">
        <v>100</v>
      </c>
    </row>
    <row r="4265" spans="158:161" ht="74.25" customHeight="1" x14ac:dyDescent="0.2">
      <c r="FB4265" s="8" t="s">
        <v>8531</v>
      </c>
      <c r="FC4265" s="8" t="s">
        <v>8532</v>
      </c>
      <c r="FD4265" s="8">
        <v>98</v>
      </c>
      <c r="FE4265" s="8">
        <v>180</v>
      </c>
    </row>
    <row r="4266" spans="158:161" ht="74.25" customHeight="1" x14ac:dyDescent="0.2">
      <c r="FB4266" s="8" t="s">
        <v>8533</v>
      </c>
      <c r="FC4266" s="8" t="s">
        <v>8534</v>
      </c>
      <c r="FD4266" s="8">
        <v>63</v>
      </c>
      <c r="FE4266" s="8">
        <v>90</v>
      </c>
    </row>
    <row r="4267" spans="158:161" ht="74.25" customHeight="1" x14ac:dyDescent="0.2">
      <c r="FB4267" s="8" t="s">
        <v>8535</v>
      </c>
      <c r="FC4267" s="8" t="s">
        <v>8536</v>
      </c>
      <c r="FD4267" s="8">
        <v>220</v>
      </c>
      <c r="FE4267" s="8">
        <v>22</v>
      </c>
    </row>
    <row r="4268" spans="158:161" ht="74.25" customHeight="1" x14ac:dyDescent="0.2">
      <c r="FB4268" s="8" t="s">
        <v>8537</v>
      </c>
      <c r="FC4268" s="8" t="s">
        <v>8538</v>
      </c>
      <c r="FD4268" s="8">
        <v>900</v>
      </c>
      <c r="FE4268" s="8">
        <v>90</v>
      </c>
    </row>
    <row r="4269" spans="158:161" ht="74.25" customHeight="1" x14ac:dyDescent="0.2">
      <c r="FB4269" s="8" t="s">
        <v>8539</v>
      </c>
      <c r="FC4269" s="8" t="s">
        <v>8540</v>
      </c>
      <c r="FD4269" s="8">
        <v>1000</v>
      </c>
      <c r="FE4269" s="8">
        <v>100</v>
      </c>
    </row>
    <row r="4270" spans="158:161" ht="74.25" customHeight="1" x14ac:dyDescent="0.2">
      <c r="FB4270" s="8" t="s">
        <v>8541</v>
      </c>
      <c r="FC4270" s="8" t="s">
        <v>8542</v>
      </c>
      <c r="FD4270" s="8">
        <v>1000</v>
      </c>
      <c r="FE4270" s="8">
        <v>100</v>
      </c>
    </row>
    <row r="4271" spans="158:161" ht="74.25" customHeight="1" x14ac:dyDescent="0.2">
      <c r="FB4271" s="8" t="s">
        <v>8543</v>
      </c>
      <c r="FC4271" s="8" t="s">
        <v>8544</v>
      </c>
      <c r="FD4271" s="8">
        <v>360</v>
      </c>
      <c r="FE4271" s="8">
        <v>36</v>
      </c>
    </row>
    <row r="4272" spans="158:161" ht="74.25" customHeight="1" x14ac:dyDescent="0.2">
      <c r="FB4272" s="8" t="s">
        <v>8545</v>
      </c>
      <c r="FC4272" s="8" t="s">
        <v>8546</v>
      </c>
      <c r="FD4272" s="8">
        <v>290</v>
      </c>
      <c r="FE4272" s="8">
        <v>29</v>
      </c>
    </row>
    <row r="4273" spans="158:161" ht="74.25" customHeight="1" x14ac:dyDescent="0.2">
      <c r="FB4273" s="8" t="s">
        <v>8547</v>
      </c>
      <c r="FC4273" s="8" t="s">
        <v>8548</v>
      </c>
      <c r="FD4273" s="8">
        <v>420</v>
      </c>
      <c r="FE4273" s="8">
        <v>300</v>
      </c>
    </row>
    <row r="4274" spans="158:161" ht="74.25" customHeight="1" x14ac:dyDescent="0.2">
      <c r="FB4274" s="8" t="s">
        <v>8549</v>
      </c>
      <c r="FC4274" s="8" t="s">
        <v>8550</v>
      </c>
      <c r="FD4274" s="8">
        <v>220</v>
      </c>
      <c r="FE4274" s="8">
        <v>22</v>
      </c>
    </row>
    <row r="4275" spans="158:161" ht="74.25" customHeight="1" x14ac:dyDescent="0.2">
      <c r="FB4275" s="8" t="s">
        <v>8551</v>
      </c>
      <c r="FC4275" s="8" t="s">
        <v>8552</v>
      </c>
      <c r="FD4275" s="8">
        <v>10</v>
      </c>
      <c r="FE4275" s="8">
        <v>1</v>
      </c>
    </row>
    <row r="4276" spans="158:161" ht="74.25" customHeight="1" x14ac:dyDescent="0.2">
      <c r="FB4276" s="8" t="s">
        <v>8553</v>
      </c>
      <c r="FC4276" s="8" t="s">
        <v>8554</v>
      </c>
      <c r="FD4276" s="8">
        <v>20000</v>
      </c>
      <c r="FE4276" s="8">
        <v>1.2</v>
      </c>
    </row>
    <row r="4277" spans="158:161" ht="74.25" customHeight="1" x14ac:dyDescent="0.2">
      <c r="FB4277" s="8" t="s">
        <v>8555</v>
      </c>
      <c r="FC4277" s="8" t="s">
        <v>8556</v>
      </c>
      <c r="FD4277" s="8">
        <v>500</v>
      </c>
      <c r="FE4277" s="8">
        <v>50</v>
      </c>
    </row>
    <row r="4278" spans="158:161" ht="74.25" customHeight="1" x14ac:dyDescent="0.2">
      <c r="FB4278" s="8" t="s">
        <v>8557</v>
      </c>
      <c r="FC4278" s="8" t="s">
        <v>8558</v>
      </c>
      <c r="FD4278" s="8">
        <v>500</v>
      </c>
      <c r="FE4278" s="8">
        <v>50</v>
      </c>
    </row>
    <row r="4279" spans="158:161" ht="74.25" customHeight="1" x14ac:dyDescent="0.2">
      <c r="FB4279" s="8" t="s">
        <v>8559</v>
      </c>
      <c r="FC4279" s="8" t="s">
        <v>9506</v>
      </c>
      <c r="FD4279" s="8">
        <v>17</v>
      </c>
      <c r="FE4279" s="8">
        <v>8.1</v>
      </c>
    </row>
    <row r="4280" spans="158:161" ht="74.25" customHeight="1" x14ac:dyDescent="0.2">
      <c r="FB4280" s="8" t="s">
        <v>8560</v>
      </c>
      <c r="FC4280" s="8" t="s">
        <v>9507</v>
      </c>
      <c r="FD4280" s="8">
        <v>2.8</v>
      </c>
      <c r="FE4280" s="8">
        <v>0.56999999999999995</v>
      </c>
    </row>
    <row r="4281" spans="158:161" ht="74.25" customHeight="1" x14ac:dyDescent="0.2">
      <c r="FB4281" s="8" t="s">
        <v>8561</v>
      </c>
      <c r="FC4281" s="8" t="s">
        <v>8562</v>
      </c>
      <c r="FD4281" s="8" t="s">
        <v>9511</v>
      </c>
      <c r="FE4281" s="8">
        <v>0.71</v>
      </c>
    </row>
    <row r="4282" spans="158:161" ht="74.25" customHeight="1" x14ac:dyDescent="0.2">
      <c r="FB4282" s="8" t="s">
        <v>8563</v>
      </c>
      <c r="FC4282" s="8" t="s">
        <v>8564</v>
      </c>
      <c r="FD4282" s="8">
        <v>500</v>
      </c>
      <c r="FE4282" s="8">
        <v>50</v>
      </c>
    </row>
    <row r="4283" spans="158:161" ht="74.25" customHeight="1" x14ac:dyDescent="0.2">
      <c r="FB4283" s="8" t="s">
        <v>8565</v>
      </c>
      <c r="FC4283" s="8" t="s">
        <v>8566</v>
      </c>
      <c r="FD4283" s="8">
        <v>500</v>
      </c>
      <c r="FE4283" s="8">
        <v>50</v>
      </c>
    </row>
    <row r="4284" spans="158:161" ht="74.25" customHeight="1" x14ac:dyDescent="0.2">
      <c r="FB4284" s="8" t="s">
        <v>8567</v>
      </c>
      <c r="FC4284" s="8" t="s">
        <v>8568</v>
      </c>
      <c r="FD4284" s="8">
        <v>2420</v>
      </c>
      <c r="FE4284" s="8">
        <v>242</v>
      </c>
    </row>
    <row r="4285" spans="158:161" ht="74.25" customHeight="1" x14ac:dyDescent="0.2">
      <c r="FB4285" s="8" t="s">
        <v>8569</v>
      </c>
      <c r="FC4285" s="8" t="s">
        <v>8570</v>
      </c>
      <c r="FD4285" s="8">
        <v>200</v>
      </c>
      <c r="FE4285" s="8">
        <v>20</v>
      </c>
    </row>
    <row r="4286" spans="158:161" ht="74.25" customHeight="1" x14ac:dyDescent="0.2">
      <c r="FB4286" s="8" t="s">
        <v>8571</v>
      </c>
      <c r="FC4286" s="8" t="s">
        <v>8572</v>
      </c>
      <c r="FD4286" s="8">
        <v>1200</v>
      </c>
      <c r="FE4286" s="8">
        <v>120</v>
      </c>
    </row>
    <row r="4287" spans="158:161" ht="74.25" customHeight="1" x14ac:dyDescent="0.2">
      <c r="FB4287" s="8" t="s">
        <v>8573</v>
      </c>
      <c r="FC4287" s="8" t="s">
        <v>8574</v>
      </c>
      <c r="FD4287" s="8">
        <v>87</v>
      </c>
      <c r="FE4287" s="8">
        <v>8.6999999999999993</v>
      </c>
    </row>
    <row r="4288" spans="158:161" ht="74.25" customHeight="1" x14ac:dyDescent="0.2">
      <c r="FB4288" s="8" t="s">
        <v>8575</v>
      </c>
      <c r="FC4288" s="8" t="s">
        <v>8576</v>
      </c>
      <c r="FD4288" s="8">
        <v>26</v>
      </c>
      <c r="FE4288" s="8">
        <v>2.6</v>
      </c>
    </row>
    <row r="4289" spans="158:161" ht="74.25" customHeight="1" x14ac:dyDescent="0.2">
      <c r="FB4289" s="8" t="s">
        <v>8577</v>
      </c>
      <c r="FC4289" s="8" t="s">
        <v>8578</v>
      </c>
      <c r="FD4289" s="8">
        <v>50</v>
      </c>
      <c r="FE4289" s="8">
        <v>5</v>
      </c>
    </row>
    <row r="4290" spans="158:161" ht="74.25" customHeight="1" x14ac:dyDescent="0.2">
      <c r="FB4290" s="8" t="s">
        <v>8579</v>
      </c>
      <c r="FC4290" s="8" t="s">
        <v>8580</v>
      </c>
      <c r="FD4290" s="8">
        <v>66</v>
      </c>
      <c r="FE4290" s="8">
        <v>7</v>
      </c>
    </row>
    <row r="4291" spans="158:161" ht="74.25" customHeight="1" x14ac:dyDescent="0.2">
      <c r="FB4291" s="8" t="s">
        <v>8581</v>
      </c>
      <c r="FC4291" s="8" t="s">
        <v>8582</v>
      </c>
      <c r="FD4291" s="8">
        <v>910</v>
      </c>
      <c r="FE4291" s="8">
        <v>180</v>
      </c>
    </row>
    <row r="4292" spans="158:161" ht="74.25" customHeight="1" x14ac:dyDescent="0.2">
      <c r="FB4292" s="8" t="s">
        <v>8583</v>
      </c>
      <c r="FC4292" s="8" t="s">
        <v>8584</v>
      </c>
      <c r="FD4292" s="8">
        <v>1000</v>
      </c>
      <c r="FE4292" s="8">
        <v>100</v>
      </c>
    </row>
    <row r="4293" spans="158:161" ht="74.25" customHeight="1" x14ac:dyDescent="0.2">
      <c r="FB4293" s="8" t="s">
        <v>8585</v>
      </c>
      <c r="FC4293" s="8" t="s">
        <v>9508</v>
      </c>
      <c r="FD4293" s="8">
        <v>17</v>
      </c>
      <c r="FE4293" s="8">
        <v>8.1</v>
      </c>
    </row>
    <row r="4294" spans="158:161" ht="74.25" customHeight="1" x14ac:dyDescent="0.2">
      <c r="FB4294" s="8" t="s">
        <v>8586</v>
      </c>
      <c r="FC4294" s="8" t="s">
        <v>9509</v>
      </c>
      <c r="FD4294" s="8">
        <v>2.8</v>
      </c>
      <c r="FE4294" s="8">
        <v>0.56999999999999995</v>
      </c>
    </row>
    <row r="4295" spans="158:161" ht="74.25" customHeight="1" x14ac:dyDescent="0.2">
      <c r="FB4295" s="8" t="s">
        <v>8587</v>
      </c>
      <c r="FC4295" s="8" t="s">
        <v>8588</v>
      </c>
      <c r="FD4295" s="8" t="s">
        <v>9511</v>
      </c>
      <c r="FE4295" s="8">
        <v>0.71</v>
      </c>
    </row>
    <row r="4296" spans="158:161" ht="74.25" customHeight="1" x14ac:dyDescent="0.2">
      <c r="FB4296" s="8" t="s">
        <v>8589</v>
      </c>
      <c r="FC4296" s="8" t="s">
        <v>8590</v>
      </c>
      <c r="FD4296" s="8">
        <v>2200</v>
      </c>
      <c r="FE4296" s="8">
        <v>180</v>
      </c>
    </row>
    <row r="4297" spans="158:161" ht="74.25" customHeight="1" x14ac:dyDescent="0.2">
      <c r="FB4297" s="8" t="s">
        <v>8591</v>
      </c>
      <c r="FC4297" s="8" t="s">
        <v>8592</v>
      </c>
      <c r="FD4297" s="8">
        <v>24</v>
      </c>
      <c r="FE4297" s="8">
        <v>2.4</v>
      </c>
    </row>
    <row r="4298" spans="158:161" ht="74.25" customHeight="1" x14ac:dyDescent="0.2">
      <c r="FB4298" s="8" t="s">
        <v>8593</v>
      </c>
      <c r="FC4298" s="8" t="s">
        <v>8594</v>
      </c>
      <c r="FD4298" s="8">
        <v>290</v>
      </c>
      <c r="FE4298" s="8">
        <v>3.3</v>
      </c>
    </row>
    <row r="4299" spans="158:161" ht="74.25" customHeight="1" x14ac:dyDescent="0.2">
      <c r="FB4299" s="8" t="s">
        <v>8595</v>
      </c>
      <c r="FC4299" s="8" t="s">
        <v>8596</v>
      </c>
      <c r="FD4299" s="8">
        <v>25</v>
      </c>
      <c r="FE4299" s="8">
        <v>2.5</v>
      </c>
    </row>
    <row r="4300" spans="158:161" ht="74.25" customHeight="1" x14ac:dyDescent="0.2">
      <c r="FB4300" s="8" t="s">
        <v>8597</v>
      </c>
      <c r="FC4300" s="8" t="s">
        <v>8598</v>
      </c>
      <c r="FD4300" s="8">
        <v>1000</v>
      </c>
      <c r="FE4300" s="8">
        <v>100</v>
      </c>
    </row>
    <row r="4301" spans="158:161" ht="74.25" customHeight="1" x14ac:dyDescent="0.2">
      <c r="FB4301" s="8" t="s">
        <v>8599</v>
      </c>
      <c r="FC4301" s="8" t="s">
        <v>8600</v>
      </c>
      <c r="FD4301" s="8">
        <v>1000</v>
      </c>
      <c r="FE4301" s="8">
        <v>100</v>
      </c>
    </row>
    <row r="4302" spans="158:161" ht="74.25" customHeight="1" x14ac:dyDescent="0.2">
      <c r="FB4302" s="8" t="s">
        <v>8601</v>
      </c>
      <c r="FC4302" s="8" t="s">
        <v>8602</v>
      </c>
      <c r="FD4302" s="8">
        <v>1000</v>
      </c>
      <c r="FE4302" s="8">
        <v>100</v>
      </c>
    </row>
    <row r="4303" spans="158:161" ht="74.25" customHeight="1" x14ac:dyDescent="0.2">
      <c r="FB4303" s="8" t="s">
        <v>8603</v>
      </c>
      <c r="FC4303" s="8" t="s">
        <v>8604</v>
      </c>
      <c r="FD4303" s="8">
        <v>20</v>
      </c>
      <c r="FE4303" s="8">
        <v>2</v>
      </c>
    </row>
    <row r="4304" spans="158:161" ht="74.25" customHeight="1" x14ac:dyDescent="0.2">
      <c r="FB4304" s="8" t="s">
        <v>8605</v>
      </c>
      <c r="FC4304" s="8" t="s">
        <v>8606</v>
      </c>
      <c r="FD4304" s="8">
        <v>480</v>
      </c>
      <c r="FE4304" s="8">
        <v>48</v>
      </c>
    </row>
    <row r="4305" spans="158:161" ht="74.25" customHeight="1" x14ac:dyDescent="0.2">
      <c r="FB4305" s="8" t="s">
        <v>8607</v>
      </c>
      <c r="FC4305" s="8" t="s">
        <v>8608</v>
      </c>
      <c r="FD4305" s="8">
        <v>20</v>
      </c>
      <c r="FE4305" s="8">
        <v>2</v>
      </c>
    </row>
    <row r="4306" spans="158:161" ht="74.25" customHeight="1" x14ac:dyDescent="0.2">
      <c r="FB4306" s="8" t="s">
        <v>8609</v>
      </c>
      <c r="FC4306" s="8" t="s">
        <v>8610</v>
      </c>
      <c r="FD4306" s="8">
        <v>20</v>
      </c>
      <c r="FE4306" s="8">
        <v>2</v>
      </c>
    </row>
    <row r="4307" spans="158:161" ht="74.25" customHeight="1" x14ac:dyDescent="0.2">
      <c r="FB4307" s="8" t="s">
        <v>8611</v>
      </c>
      <c r="FC4307" s="8" t="s">
        <v>8612</v>
      </c>
      <c r="FD4307" s="8">
        <v>1500</v>
      </c>
      <c r="FE4307" s="8">
        <v>150</v>
      </c>
    </row>
    <row r="4308" spans="158:161" ht="74.25" customHeight="1" x14ac:dyDescent="0.2">
      <c r="FB4308" s="8" t="s">
        <v>8613</v>
      </c>
      <c r="FC4308" s="8" t="s">
        <v>8614</v>
      </c>
      <c r="FD4308" s="8">
        <v>1500</v>
      </c>
      <c r="FE4308" s="8">
        <v>150</v>
      </c>
    </row>
    <row r="4309" spans="158:161" ht="74.25" customHeight="1" x14ac:dyDescent="0.2">
      <c r="FB4309" s="8" t="s">
        <v>8615</v>
      </c>
      <c r="FC4309" s="8" t="s">
        <v>8616</v>
      </c>
      <c r="FD4309" s="8">
        <v>1500</v>
      </c>
      <c r="FE4309" s="8">
        <v>150</v>
      </c>
    </row>
    <row r="4310" spans="158:161" ht="74.25" customHeight="1" x14ac:dyDescent="0.2">
      <c r="FB4310" s="8" t="s">
        <v>8617</v>
      </c>
      <c r="FC4310" s="8" t="s">
        <v>8618</v>
      </c>
      <c r="FD4310" s="8">
        <v>1500</v>
      </c>
      <c r="FE4310" s="8">
        <v>150</v>
      </c>
    </row>
    <row r="4311" spans="158:161" ht="74.25" customHeight="1" x14ac:dyDescent="0.2">
      <c r="FB4311" s="8" t="s">
        <v>8619</v>
      </c>
      <c r="FC4311" s="8" t="s">
        <v>9879</v>
      </c>
      <c r="FD4311" s="8">
        <v>1500</v>
      </c>
      <c r="FE4311" s="8">
        <v>150</v>
      </c>
    </row>
    <row r="4312" spans="158:161" ht="74.25" customHeight="1" x14ac:dyDescent="0.2">
      <c r="FB4312" s="8" t="s">
        <v>8620</v>
      </c>
      <c r="FC4312" s="8" t="s">
        <v>8621</v>
      </c>
      <c r="FD4312" s="8">
        <v>20</v>
      </c>
      <c r="FE4312" s="8">
        <v>2</v>
      </c>
    </row>
    <row r="4313" spans="158:161" ht="74.25" customHeight="1" x14ac:dyDescent="0.2">
      <c r="FB4313" s="8" t="s">
        <v>8622</v>
      </c>
      <c r="FC4313" s="8" t="s">
        <v>8623</v>
      </c>
      <c r="FD4313" s="8">
        <v>20</v>
      </c>
      <c r="FE4313" s="8">
        <v>2</v>
      </c>
    </row>
    <row r="4314" spans="158:161" ht="74.25" customHeight="1" x14ac:dyDescent="0.2">
      <c r="FB4314" s="8" t="s">
        <v>8624</v>
      </c>
      <c r="FC4314" s="8" t="s">
        <v>8625</v>
      </c>
      <c r="FD4314" s="8">
        <v>20</v>
      </c>
      <c r="FE4314" s="8">
        <v>2</v>
      </c>
    </row>
    <row r="4315" spans="158:161" ht="74.25" customHeight="1" x14ac:dyDescent="0.2">
      <c r="FB4315" s="8" t="s">
        <v>8626</v>
      </c>
      <c r="FC4315" s="8" t="s">
        <v>8627</v>
      </c>
      <c r="FD4315" s="8">
        <v>20</v>
      </c>
      <c r="FE4315" s="8">
        <v>2</v>
      </c>
    </row>
    <row r="4316" spans="158:161" ht="74.25" customHeight="1" x14ac:dyDescent="0.2">
      <c r="FB4316" s="8" t="s">
        <v>8628</v>
      </c>
      <c r="FC4316" s="8" t="s">
        <v>8628</v>
      </c>
      <c r="FD4316" s="8">
        <v>20</v>
      </c>
      <c r="FE4316" s="8">
        <v>2</v>
      </c>
    </row>
    <row r="4317" spans="158:161" ht="74.25" customHeight="1" x14ac:dyDescent="0.2">
      <c r="FB4317" s="8" t="s">
        <v>8629</v>
      </c>
      <c r="FC4317" s="8" t="s">
        <v>8630</v>
      </c>
      <c r="FD4317" s="8">
        <v>20</v>
      </c>
      <c r="FE4317" s="8">
        <v>2</v>
      </c>
    </row>
    <row r="4318" spans="158:161" ht="74.25" customHeight="1" x14ac:dyDescent="0.2">
      <c r="FB4318" s="8" t="s">
        <v>8631</v>
      </c>
      <c r="FC4318" s="8" t="s">
        <v>8632</v>
      </c>
      <c r="FD4318" s="8">
        <v>20</v>
      </c>
      <c r="FE4318" s="8">
        <v>2</v>
      </c>
    </row>
    <row r="4319" spans="158:161" ht="74.25" customHeight="1" x14ac:dyDescent="0.2">
      <c r="FB4319" s="8" t="s">
        <v>8633</v>
      </c>
      <c r="FC4319" s="8" t="s">
        <v>8634</v>
      </c>
      <c r="FD4319" s="8">
        <v>20</v>
      </c>
      <c r="FE4319" s="8">
        <v>2</v>
      </c>
    </row>
    <row r="4320" spans="158:161" ht="74.25" customHeight="1" x14ac:dyDescent="0.2">
      <c r="FB4320" s="8" t="s">
        <v>8635</v>
      </c>
      <c r="FC4320" s="8" t="s">
        <v>8636</v>
      </c>
      <c r="FD4320" s="8">
        <v>20</v>
      </c>
      <c r="FE4320" s="8">
        <v>2</v>
      </c>
    </row>
    <row r="4321" spans="158:161" ht="74.25" customHeight="1" x14ac:dyDescent="0.2">
      <c r="FB4321" s="8" t="s">
        <v>8637</v>
      </c>
      <c r="FC4321" s="8" t="s">
        <v>8638</v>
      </c>
      <c r="FD4321" s="8">
        <v>20</v>
      </c>
      <c r="FE4321" s="8">
        <v>2</v>
      </c>
    </row>
    <row r="4322" spans="158:161" ht="74.25" customHeight="1" x14ac:dyDescent="0.2">
      <c r="FB4322" s="8" t="s">
        <v>8639</v>
      </c>
      <c r="FC4322" s="8" t="s">
        <v>8640</v>
      </c>
      <c r="FD4322" s="8">
        <v>20</v>
      </c>
      <c r="FE4322" s="8">
        <v>2</v>
      </c>
    </row>
    <row r="4323" spans="158:161" ht="74.25" customHeight="1" x14ac:dyDescent="0.2">
      <c r="FB4323" s="8" t="s">
        <v>8641</v>
      </c>
      <c r="FC4323" s="8" t="s">
        <v>8642</v>
      </c>
      <c r="FD4323" s="8">
        <v>20</v>
      </c>
      <c r="FE4323" s="8">
        <v>2</v>
      </c>
    </row>
    <row r="4324" spans="158:161" ht="74.25" customHeight="1" x14ac:dyDescent="0.2">
      <c r="FB4324" s="8" t="s">
        <v>8643</v>
      </c>
      <c r="FC4324" s="8" t="s">
        <v>8644</v>
      </c>
      <c r="FD4324" s="8">
        <v>20</v>
      </c>
      <c r="FE4324" s="8">
        <v>2</v>
      </c>
    </row>
    <row r="4325" spans="158:161" ht="74.25" customHeight="1" x14ac:dyDescent="0.2">
      <c r="FB4325" s="8" t="s">
        <v>8645</v>
      </c>
      <c r="FC4325" s="8" t="s">
        <v>8646</v>
      </c>
      <c r="FD4325" s="8">
        <v>20</v>
      </c>
      <c r="FE4325" s="8">
        <v>2</v>
      </c>
    </row>
    <row r="4326" spans="158:161" ht="74.25" customHeight="1" x14ac:dyDescent="0.2">
      <c r="FB4326" s="8" t="s">
        <v>8647</v>
      </c>
      <c r="FC4326" s="8" t="s">
        <v>8648</v>
      </c>
      <c r="FD4326" s="8">
        <v>20</v>
      </c>
      <c r="FE4326" s="8">
        <v>2</v>
      </c>
    </row>
    <row r="4327" spans="158:161" ht="74.25" customHeight="1" x14ac:dyDescent="0.2">
      <c r="FB4327" s="8" t="s">
        <v>8649</v>
      </c>
      <c r="FC4327" s="8" t="s">
        <v>8650</v>
      </c>
      <c r="FD4327" s="8">
        <v>20</v>
      </c>
      <c r="FE4327" s="8">
        <v>2</v>
      </c>
    </row>
    <row r="4328" spans="158:161" ht="74.25" customHeight="1" x14ac:dyDescent="0.2">
      <c r="FB4328" s="8" t="s">
        <v>8651</v>
      </c>
      <c r="FC4328" s="8" t="s">
        <v>8652</v>
      </c>
      <c r="FD4328" s="8">
        <v>20</v>
      </c>
      <c r="FE4328" s="8">
        <v>2</v>
      </c>
    </row>
    <row r="4329" spans="158:161" ht="74.25" customHeight="1" x14ac:dyDescent="0.2">
      <c r="FB4329" s="8" t="s">
        <v>8653</v>
      </c>
      <c r="FC4329" s="8" t="s">
        <v>8654</v>
      </c>
      <c r="FD4329" s="8">
        <v>20</v>
      </c>
      <c r="FE4329" s="8">
        <v>2</v>
      </c>
    </row>
    <row r="4330" spans="158:161" ht="74.25" customHeight="1" x14ac:dyDescent="0.2">
      <c r="FB4330" s="8" t="s">
        <v>8655</v>
      </c>
      <c r="FC4330" s="8" t="s">
        <v>8656</v>
      </c>
      <c r="FD4330" s="8">
        <v>20</v>
      </c>
      <c r="FE4330" s="8">
        <v>2</v>
      </c>
    </row>
    <row r="4331" spans="158:161" ht="74.25" customHeight="1" x14ac:dyDescent="0.2">
      <c r="FB4331" s="8" t="s">
        <v>8657</v>
      </c>
      <c r="FC4331" s="8" t="s">
        <v>8658</v>
      </c>
      <c r="FD4331" s="8">
        <v>20</v>
      </c>
      <c r="FE4331" s="8">
        <v>2</v>
      </c>
    </row>
    <row r="4332" spans="158:161" ht="74.25" customHeight="1" x14ac:dyDescent="0.2">
      <c r="FB4332" s="8" t="s">
        <v>8659</v>
      </c>
      <c r="FC4332" s="8" t="s">
        <v>8660</v>
      </c>
      <c r="FD4332" s="8">
        <v>20</v>
      </c>
      <c r="FE4332" s="8">
        <v>2</v>
      </c>
    </row>
    <row r="4333" spans="158:161" ht="74.25" customHeight="1" x14ac:dyDescent="0.2">
      <c r="FB4333" s="8" t="s">
        <v>8661</v>
      </c>
      <c r="FC4333" s="8" t="s">
        <v>8662</v>
      </c>
      <c r="FD4333" s="8">
        <v>20</v>
      </c>
      <c r="FE4333" s="8">
        <v>2</v>
      </c>
    </row>
    <row r="4334" spans="158:161" ht="74.25" customHeight="1" x14ac:dyDescent="0.2">
      <c r="FB4334" s="8" t="s">
        <v>8663</v>
      </c>
      <c r="FC4334" s="8" t="s">
        <v>8664</v>
      </c>
      <c r="FD4334" s="8">
        <v>20</v>
      </c>
      <c r="FE4334" s="8">
        <v>2</v>
      </c>
    </row>
    <row r="4335" spans="158:161" ht="74.25" customHeight="1" x14ac:dyDescent="0.2">
      <c r="FB4335" s="8" t="s">
        <v>8665</v>
      </c>
      <c r="FC4335" s="8" t="s">
        <v>8666</v>
      </c>
      <c r="FD4335" s="8">
        <v>20</v>
      </c>
      <c r="FE4335" s="8">
        <v>2</v>
      </c>
    </row>
    <row r="4336" spans="158:161" ht="74.25" customHeight="1" x14ac:dyDescent="0.2">
      <c r="FB4336" s="8" t="s">
        <v>8667</v>
      </c>
      <c r="FC4336" s="8" t="s">
        <v>8668</v>
      </c>
      <c r="FD4336" s="8">
        <v>20</v>
      </c>
      <c r="FE4336" s="8">
        <v>2</v>
      </c>
    </row>
    <row r="4337" spans="158:423" ht="74.25" customHeight="1" thickBot="1" x14ac:dyDescent="0.25">
      <c r="FB4337" s="122" t="s">
        <v>8669</v>
      </c>
      <c r="FC4337" s="122" t="s">
        <v>8670</v>
      </c>
      <c r="FD4337" s="122">
        <v>20</v>
      </c>
      <c r="FE4337" s="122">
        <v>2</v>
      </c>
      <c r="FF4337" s="122"/>
      <c r="FG4337" s="122"/>
      <c r="FH4337" s="122"/>
      <c r="FI4337" s="122"/>
      <c r="FJ4337" s="122"/>
      <c r="FK4337" s="122"/>
      <c r="FL4337" s="122"/>
      <c r="FM4337" s="122"/>
      <c r="FN4337" s="122"/>
      <c r="FO4337" s="122"/>
      <c r="FP4337" s="122"/>
      <c r="FQ4337" s="122"/>
      <c r="FR4337" s="122"/>
      <c r="FS4337" s="122"/>
      <c r="FT4337" s="122"/>
      <c r="FU4337" s="122"/>
      <c r="FV4337" s="122"/>
      <c r="FW4337" s="122"/>
      <c r="FX4337" s="122"/>
      <c r="FY4337" s="122"/>
      <c r="FZ4337" s="122"/>
      <c r="GA4337" s="122"/>
      <c r="GB4337" s="122"/>
      <c r="GC4337" s="122"/>
      <c r="GD4337" s="122"/>
      <c r="GE4337" s="122"/>
      <c r="GF4337" s="122"/>
      <c r="GG4337" s="122"/>
      <c r="GH4337" s="122"/>
      <c r="GI4337" s="122"/>
      <c r="GJ4337" s="122"/>
      <c r="GK4337" s="122"/>
      <c r="GL4337" s="122"/>
      <c r="GM4337" s="122"/>
      <c r="GN4337" s="122"/>
      <c r="GO4337" s="122"/>
      <c r="GP4337" s="122"/>
      <c r="GQ4337" s="122"/>
      <c r="GR4337" s="122"/>
      <c r="GS4337" s="122"/>
      <c r="GT4337" s="122"/>
      <c r="GU4337" s="122"/>
      <c r="GV4337" s="122"/>
      <c r="GW4337" s="122"/>
      <c r="GX4337" s="122"/>
      <c r="GY4337" s="122"/>
      <c r="GZ4337" s="122"/>
      <c r="HA4337" s="122"/>
      <c r="HB4337" s="122"/>
      <c r="HC4337" s="122"/>
      <c r="HD4337" s="122"/>
      <c r="HE4337" s="122"/>
      <c r="HF4337" s="122"/>
      <c r="HG4337" s="122"/>
      <c r="HH4337" s="122"/>
      <c r="HI4337" s="122"/>
      <c r="HJ4337" s="122"/>
      <c r="HK4337" s="122"/>
      <c r="HL4337" s="122"/>
      <c r="HM4337" s="149"/>
      <c r="HN4337" s="149"/>
      <c r="HO4337" s="149"/>
      <c r="HP4337" s="149"/>
      <c r="HQ4337" s="149"/>
      <c r="HR4337" s="149"/>
      <c r="HS4337" s="149"/>
      <c r="HT4337" s="149"/>
      <c r="HU4337" s="149"/>
      <c r="HV4337" s="149"/>
      <c r="HW4337" s="149"/>
      <c r="HX4337" s="149"/>
      <c r="HY4337" s="149"/>
      <c r="HZ4337" s="149"/>
      <c r="IA4337" s="149"/>
      <c r="IB4337" s="149"/>
      <c r="IC4337" s="149"/>
      <c r="ID4337" s="149"/>
      <c r="IE4337" s="149"/>
      <c r="IF4337" s="149"/>
      <c r="IG4337" s="149"/>
      <c r="IH4337" s="149"/>
      <c r="II4337" s="149"/>
      <c r="IJ4337" s="149"/>
      <c r="IK4337" s="149"/>
      <c r="IL4337" s="149"/>
      <c r="IM4337" s="149"/>
      <c r="IN4337" s="149"/>
      <c r="IO4337" s="149"/>
      <c r="IP4337" s="149"/>
      <c r="IQ4337" s="149"/>
      <c r="IR4337" s="149"/>
      <c r="IS4337" s="149"/>
      <c r="IT4337" s="149"/>
      <c r="IU4337" s="149"/>
      <c r="IV4337" s="149"/>
      <c r="IW4337" s="149"/>
      <c r="IX4337" s="149"/>
      <c r="IY4337" s="149"/>
      <c r="IZ4337" s="149"/>
      <c r="JA4337" s="149"/>
      <c r="JB4337" s="149"/>
      <c r="JC4337" s="149"/>
      <c r="JD4337" s="149"/>
      <c r="JE4337" s="149"/>
      <c r="JF4337" s="149"/>
      <c r="JG4337" s="149"/>
      <c r="JH4337" s="149"/>
      <c r="JI4337" s="149"/>
      <c r="JJ4337" s="149"/>
      <c r="JK4337" s="149"/>
      <c r="JL4337" s="149"/>
      <c r="JM4337" s="149"/>
      <c r="JN4337" s="149"/>
      <c r="JO4337" s="149"/>
      <c r="JP4337" s="149"/>
      <c r="JQ4337" s="149"/>
      <c r="JR4337" s="149"/>
      <c r="JS4337" s="149"/>
      <c r="JT4337" s="149"/>
      <c r="JU4337" s="149"/>
      <c r="JV4337" s="149"/>
      <c r="JW4337" s="149"/>
      <c r="JX4337" s="149"/>
      <c r="JY4337" s="149"/>
      <c r="JZ4337" s="149"/>
      <c r="KA4337" s="149"/>
      <c r="KB4337" s="149"/>
      <c r="KC4337" s="149"/>
      <c r="KD4337" s="149"/>
      <c r="KE4337" s="149"/>
      <c r="KF4337" s="149"/>
      <c r="KG4337" s="149"/>
      <c r="KH4337" s="149"/>
      <c r="KI4337" s="149"/>
      <c r="KJ4337" s="149"/>
      <c r="KK4337" s="149"/>
      <c r="KL4337" s="149"/>
      <c r="KM4337" s="149"/>
      <c r="KN4337" s="149"/>
      <c r="KO4337" s="149"/>
      <c r="KP4337" s="149"/>
      <c r="KQ4337" s="149"/>
      <c r="KR4337" s="149"/>
      <c r="KS4337" s="149"/>
      <c r="KT4337" s="149"/>
      <c r="KU4337" s="149"/>
      <c r="KV4337" s="149"/>
      <c r="KW4337" s="149"/>
      <c r="KX4337" s="149"/>
      <c r="KY4337" s="149"/>
      <c r="KZ4337" s="149"/>
      <c r="LA4337" s="149"/>
      <c r="LB4337" s="149"/>
      <c r="LC4337" s="149"/>
      <c r="LD4337" s="149"/>
      <c r="LE4337" s="149"/>
      <c r="LF4337" s="149"/>
      <c r="LG4337" s="149"/>
      <c r="LH4337" s="149"/>
      <c r="LI4337" s="149"/>
      <c r="LJ4337" s="149"/>
      <c r="LK4337" s="149"/>
      <c r="LL4337" s="149"/>
      <c r="LM4337" s="149"/>
      <c r="LN4337" s="149"/>
      <c r="LO4337" s="149"/>
      <c r="LP4337" s="149"/>
      <c r="LQ4337" s="149"/>
      <c r="LR4337" s="149"/>
      <c r="LS4337" s="149"/>
      <c r="LT4337" s="149"/>
      <c r="LU4337" s="149"/>
      <c r="LV4337" s="149"/>
      <c r="LW4337" s="149"/>
      <c r="LX4337" s="149"/>
      <c r="LY4337" s="149"/>
      <c r="LZ4337" s="149"/>
      <c r="MA4337" s="149"/>
      <c r="MB4337" s="149"/>
      <c r="MC4337" s="149"/>
      <c r="MD4337" s="149"/>
      <c r="ME4337" s="149"/>
      <c r="MF4337" s="149"/>
      <c r="MG4337" s="149"/>
      <c r="MH4337" s="149"/>
      <c r="MI4337" s="149"/>
      <c r="MJ4337" s="149"/>
      <c r="MK4337" s="149"/>
      <c r="ML4337" s="149"/>
      <c r="MM4337" s="149"/>
      <c r="MN4337" s="149"/>
      <c r="MO4337" s="149"/>
      <c r="MP4337" s="149"/>
      <c r="MQ4337" s="149"/>
      <c r="MR4337" s="149"/>
      <c r="MS4337" s="149"/>
      <c r="MT4337" s="149"/>
      <c r="MU4337" s="149"/>
      <c r="MV4337" s="149"/>
      <c r="MW4337" s="149"/>
      <c r="MX4337" s="149"/>
      <c r="MY4337" s="149"/>
      <c r="MZ4337" s="149"/>
      <c r="NA4337" s="149"/>
      <c r="NB4337" s="149"/>
      <c r="NC4337" s="149"/>
      <c r="ND4337" s="149"/>
      <c r="NE4337" s="149"/>
      <c r="NF4337" s="149"/>
      <c r="NG4337" s="149"/>
      <c r="NH4337" s="149"/>
      <c r="NI4337" s="149"/>
      <c r="NJ4337" s="149"/>
      <c r="NK4337" s="149"/>
      <c r="NL4337" s="149"/>
      <c r="NM4337" s="149"/>
      <c r="NN4337" s="122"/>
      <c r="NO4337" s="122"/>
      <c r="NP4337" s="122"/>
      <c r="NQ4337" s="122"/>
      <c r="NR4337" s="122"/>
      <c r="NS4337" s="122"/>
      <c r="NT4337" s="122"/>
      <c r="NU4337" s="122"/>
      <c r="NV4337" s="122"/>
      <c r="NW4337" s="122"/>
      <c r="NX4337" s="122"/>
      <c r="NY4337" s="122"/>
      <c r="NZ4337" s="122"/>
      <c r="OA4337" s="122"/>
      <c r="OB4337" s="122"/>
      <c r="OC4337" s="122"/>
      <c r="OD4337" s="122"/>
      <c r="OE4337" s="122"/>
      <c r="OF4337" s="122"/>
      <c r="OG4337" s="122"/>
      <c r="OH4337" s="122"/>
      <c r="OI4337" s="122"/>
      <c r="OJ4337" s="122"/>
      <c r="OK4337" s="122"/>
      <c r="OL4337" s="122"/>
      <c r="OM4337" s="122"/>
      <c r="ON4337" s="122"/>
      <c r="OO4337" s="122"/>
      <c r="OP4337" s="122"/>
      <c r="OQ4337" s="122"/>
      <c r="OR4337" s="122"/>
      <c r="OS4337" s="122"/>
      <c r="OT4337" s="122"/>
      <c r="OU4337" s="122"/>
      <c r="OV4337" s="122"/>
      <c r="OW4337" s="122"/>
      <c r="OX4337" s="122"/>
      <c r="OY4337" s="122"/>
      <c r="OZ4337" s="122"/>
      <c r="PA4337" s="122"/>
      <c r="PB4337" s="122"/>
      <c r="PC4337" s="122"/>
      <c r="PD4337" s="122"/>
      <c r="PE4337" s="122"/>
      <c r="PF4337" s="122"/>
      <c r="PG4337" s="200"/>
    </row>
    <row r="4338" spans="158:423" ht="74.25" customHeight="1" thickTop="1" x14ac:dyDescent="0.2">
      <c r="FB4338" s="8" t="s">
        <v>9512</v>
      </c>
      <c r="FC4338" s="8" t="s">
        <v>261</v>
      </c>
      <c r="FD4338" s="8" t="s">
        <v>9511</v>
      </c>
      <c r="FE4338" s="8" t="s">
        <v>9511</v>
      </c>
      <c r="FH4338" s="147"/>
      <c r="FI4338" s="147"/>
      <c r="FJ4338" s="147"/>
      <c r="FK4338" s="147"/>
      <c r="FL4338" s="147"/>
      <c r="FM4338" s="147"/>
      <c r="FN4338" s="147"/>
      <c r="FO4338" s="147"/>
      <c r="FP4338" s="147"/>
      <c r="FQ4338" s="147"/>
      <c r="FR4338" s="147"/>
      <c r="FS4338" s="147"/>
      <c r="FT4338" s="147"/>
      <c r="FU4338" s="147"/>
      <c r="FV4338" s="147"/>
      <c r="FW4338" s="147"/>
      <c r="FX4338" s="147"/>
      <c r="FY4338" s="147"/>
      <c r="FZ4338" s="147"/>
      <c r="GA4338" s="147"/>
      <c r="GB4338" s="157">
        <f ca="1">(SUMIF(Flare!$A$67:$C$71,$FC4338,Flare!$D$67:$E$71)+SUMIF(Flare!$A$74:$C$78,$FC4338,Flare!$D$74:$E$78))*IFERROR($QR$13,0)</f>
        <v>0</v>
      </c>
      <c r="GC4338" s="157">
        <v>0</v>
      </c>
      <c r="GD4338" s="176">
        <f ca="1">SUMIF(Flare!$A$88:$C$92,$FC4338,Flare!$D$88:$E$92)*IFERROR($QR$13,0)</f>
        <v>0</v>
      </c>
      <c r="GE4338" s="176">
        <f>LandEmiss!$B$460*IFERROR($QR$13,0)</f>
        <v>0</v>
      </c>
      <c r="GF4338" s="176">
        <f>MAX(_xlfn.MAXIFS(LandEmiss!$BK$450:$BK$456,LandEmiss!$BJ$450:$BJ$456,$FC4338),_xlfn.MAXIFS(LandEmiss!$DV$447:$DV$453,LandEmiss!$DU$447:$DU$453,$FC4338))*IFERROR($QR$13,0)</f>
        <v>0</v>
      </c>
      <c r="GG4338" s="206">
        <f ca="1">(SUMIF(VCU!$A$78:$C$85,$FC4338,VCU!$D$78:$E$85)+SUMIF(VCU!$A$88:$C$95,$FC4338,VCU!$D$88:$E$95))*IFERROR($QR$14,0)</f>
        <v>0</v>
      </c>
      <c r="GH4338" s="206">
        <v>0</v>
      </c>
      <c r="GI4338" s="176">
        <f ca="1">SUMIF(VCU!$A$108:$C$115,$FC4338,VCU!$D$108:$E$115)*IFERROR($QR$14,0)</f>
        <v>0</v>
      </c>
      <c r="GJ4338" s="176">
        <f>LandEmiss!D460*IFERROR($QR$14,0)</f>
        <v>0</v>
      </c>
      <c r="GK4338" s="156">
        <f>MAX(_xlfn.MAXIFS(LandEmiss!$BM$450:$BM$456,LandEmiss!$BJ$450:$BJ$456,$FC4338),_xlfn.MAXIFS(LandEmiss!$DX$447:$DX$453,LandEmiss!$DU$447:$DU$453,$FC4338))*IFERROR($QR$14,0)</f>
        <v>0</v>
      </c>
      <c r="GL4338" s="206">
        <f ca="1">SUMIF(VaporOxidizer!$A$69:$C$76,$FC4338,VaporOxidizer!$D$69:$E$76)*IFERROR($QR$15,0)</f>
        <v>0</v>
      </c>
      <c r="GM4338" s="206"/>
      <c r="GN4338" s="176">
        <f ca="1">SUMIF(VaporOxidizer!$A$89:$C$96,$FC4338,VaporOxidizer!$D$89:$E$96)*IFERROR($QR$15,0)</f>
        <v>0</v>
      </c>
      <c r="GO4338" s="176">
        <f>LandEmiss!F460*IFERROR($QR$15,0)</f>
        <v>0</v>
      </c>
      <c r="GP4338" s="156">
        <f>MAX(_xlfn.MAXIFS(LandEmiss!$BO$450:$BO$456,LandEmiss!$BJ$450:$BJ$456,$FC4338),_xlfn.MAXIFS(LandEmiss!$DZ$447:$DZ$453,LandEmiss!$DU$447:$DU$453,$FC4338))*IFERROR($QR$15,0)</f>
        <v>0</v>
      </c>
      <c r="GQ4338" s="77"/>
      <c r="GR4338" s="77"/>
      <c r="GS4338" s="156">
        <f>LandEmiss!$H460*IFERROR($QR$27,0)</f>
        <v>0</v>
      </c>
      <c r="GT4338" s="156">
        <f>MAX(_xlfn.MAXIFS(LandEmiss!$BQ$450:$BQ$456,LandEmiss!$BJ$450:$BJ$456,$FC4338),_xlfn.MAXIFS(LandEmiss!$EB$447:$EB$453,LandEmiss!$DU$447:$DU$453,$FC4338))*IFERROR($QR$27,0)</f>
        <v>0</v>
      </c>
      <c r="GU4338" s="156">
        <f>LandEmiss!$J460*IFERROR($QR$26,0)</f>
        <v>0</v>
      </c>
      <c r="GV4338" s="156">
        <f>MAX(_xlfn.MAXIFS(LandEmiss!$BS$450:$BS$456,LandEmiss!$BJ$450:$BJ$456,$FC4338),_xlfn.MAXIFS(LandEmiss!$ED$447:$ED$453,LandEmiss!$DU$447:$DU$453,$FC4338))*IFERROR($QR$26,0)</f>
        <v>0</v>
      </c>
      <c r="GW4338" s="156">
        <f>LandEmiss!$L460*IFERROR($QR$25,0)</f>
        <v>0</v>
      </c>
      <c r="GX4338" s="156">
        <f>MAX(_xlfn.MAXIFS(LandEmiss!$BU$450:$BU$456,LandEmiss!$BJ$450:$BJ$456,$FC4338),_xlfn.MAXIFS(LandEmiss!$EF$447:$EF$453,LandEmiss!$DU$447:$DU$453,$FC4338))*IFERROR($QR$25,0)</f>
        <v>0</v>
      </c>
      <c r="GY4338" s="177">
        <f>SUMIF(Engine1!$A$32:$A$38,$FC4338,Engine1!$I$32:$I$38)*IFERROR($QR$17,0)*(Engine1!$E$28/(IF(COUNTIF(NAcounties,'PI-1-MarineLoading'!$D$73)=0,8760,6570)))</f>
        <v>0</v>
      </c>
      <c r="GZ4338" s="196">
        <f>SUMIF(Engine2!$A$33:$A$38,$EH6160,Engine2!$F$33:$F$38)*IFERROR($QR$18,0)*(Engine2!$D$28/(IF(COUNTIF(NAcounties,'PI-1-MarineLoading'!$D$70)=0,8760,6570)))</f>
        <v>0</v>
      </c>
      <c r="HA4338" s="177">
        <f>IF(HeaterBoiler1!$E$15&lt;&gt;"HEATER",0,SUMIF(HeaterBoiler1!$A$44:$A$51,$FC4338,HeaterBoiler1!$I$44:$I$51)*IFERROR($QR$19,0))</f>
        <v>0</v>
      </c>
      <c r="HB4338" s="196">
        <f>IF(HeaterBoiler2!$E$15&lt;&gt;"HEATER",0,SUMIF(HeaterBoiler2!$A$44:$A$50,$FC4338,HeaterBoiler2!$I$44:$I$50)*IFERROR($QR$21,0))</f>
        <v>0</v>
      </c>
      <c r="HC4338" s="196">
        <f>IF(HeaterBoiler1!$E$15&lt;&gt;"BOILER",0,SUMIF(HeaterBoiler1!$A$44:$A$51,$FC4338,HeaterBoiler1!$I$44:$I$51)*IFERROR($QR$20,0))</f>
        <v>0</v>
      </c>
      <c r="HD4338" s="196">
        <f>IF(HeaterBoiler2!$E$15&lt;&gt;"BOILER",0,SUMIF(HeaterBoiler2!$A$44:$A$50,$FC4338,HeaterBoiler2!$I$44:$I$50)*IFERROR($QR$22,0))</f>
        <v>0</v>
      </c>
      <c r="HE4338" s="147"/>
      <c r="HF4338" s="156">
        <f>MSS!$F145*IFERROR($QR$24,0)</f>
        <v>0</v>
      </c>
      <c r="HG4338" s="156">
        <f ca="1">MAX($FH4338:$FI4338)+MAX($FK4338:$FL4338)+MAX($FN4338:$FO4338)+MAX($FQ4338:$FR4338)+MAX($FT4338:$FU4338)+SUM($FW4338:$GA4338)+$GB4338+$GG4338+$GL4338+MAX($GD4338:$GE4338)+MAX($GI4338:$GJ4338)+MAX($GN4338:$GO4338)+$GS4338+$GU4338+$GW4338+SUM($GY4338:$HF4338)</f>
        <v>0</v>
      </c>
      <c r="HH4338" s="156">
        <f ca="1">$FJ4338+$FK4338+$FN4338+$FQ4338+$FT4338+$GF4338+$GK4338+$GP4338+$GT4338+$GV4338+$GX4338+SUM($HA4338:$HD4338)+$HE4338+$HF4338+$GB4338+$GG4338+$GL4338</f>
        <v>0</v>
      </c>
      <c r="HI4338" s="156">
        <f ca="1">$FH4338+$FM4338+$FN4338+$FQ4338+$FT4338+$GF4338+$GK4338+$GP4338+$GT4338+$GV4338+$GX4338+SUM($HA4338:$HD4338)+$HE4338+$HF4338+$GB4338+$GG4338+$GL4338</f>
        <v>0</v>
      </c>
      <c r="HJ4338" s="156">
        <f ca="1">$FH4338+$FK4338+$FP4338+$FQ4338+$FT4338+$GF4338+$GK4338+$GP4338+$GT4338+$GV4338+$GX4338+SUM($HA4338:$HD4338)+$HE4338+$HF4338+$GB4338+$GG4338+$GL4338</f>
        <v>0</v>
      </c>
      <c r="HK4338" s="156">
        <f ca="1">$FH4338+$FK4338+$FN4338+$FS4338+$FT4338+$GF4338+$GK4338+$GP4338+$GT4338+$GV4338+$GX4338+SUM($HA4338:$HD4338)+$HE4338+$HF4338+$GB4338+$GG4338+$GL4338</f>
        <v>0</v>
      </c>
      <c r="HL4338" s="156">
        <f ca="1">$FH4338+$FK4338+$FN4338+$FQ4338+$FV4338+$GF4338+$GK4338+$GP4338+$GT4338+$GV4338+$GX4338+SUM($HA4338:$HD4338)+$HE4338+$HF4338+$GB4338+$GG4338+$GL4338</f>
        <v>0</v>
      </c>
      <c r="HN4338" s="148"/>
      <c r="HO4338" s="148"/>
      <c r="HP4338" s="148"/>
      <c r="HQ4338" s="148"/>
      <c r="HR4338" s="148"/>
      <c r="HS4338" s="148"/>
      <c r="HT4338" s="148"/>
      <c r="HU4338" s="148"/>
      <c r="HV4338" s="148"/>
      <c r="HW4338" s="148"/>
      <c r="HX4338" s="148"/>
      <c r="HY4338" s="148"/>
      <c r="HZ4338" s="148"/>
      <c r="IA4338" s="148"/>
      <c r="IB4338" s="148"/>
      <c r="IC4338" s="148"/>
      <c r="ID4338" s="148"/>
      <c r="IE4338" s="148"/>
      <c r="IF4338" s="148"/>
      <c r="IG4338" s="148"/>
      <c r="IH4338" s="148"/>
      <c r="II4338" s="148"/>
      <c r="IJ4338" s="148"/>
      <c r="IK4338" s="148"/>
      <c r="IL4338" s="148"/>
      <c r="IM4338" s="148"/>
      <c r="IN4338" s="148"/>
      <c r="IO4338" s="148"/>
      <c r="IP4338" s="148"/>
      <c r="IQ4338" s="148"/>
      <c r="IR4338" s="148"/>
      <c r="IS4338" s="148"/>
      <c r="IT4338" s="148"/>
      <c r="IU4338" s="148"/>
      <c r="IV4338" s="148"/>
      <c r="IW4338" s="148"/>
      <c r="IX4338" s="148"/>
      <c r="IY4338" s="148"/>
      <c r="IZ4338" s="148"/>
      <c r="JA4338" s="148"/>
      <c r="JB4338" s="148"/>
      <c r="JC4338" s="148"/>
      <c r="JD4338" s="148"/>
      <c r="JE4338" s="148"/>
      <c r="JF4338" s="148"/>
      <c r="JG4338" s="148"/>
      <c r="JH4338" s="148"/>
      <c r="JI4338" s="148"/>
      <c r="JJ4338" s="148"/>
      <c r="JK4338" s="148"/>
      <c r="JL4338" s="148"/>
      <c r="JM4338" s="148"/>
      <c r="JN4338" s="77"/>
      <c r="JO4338" s="77"/>
      <c r="JP4338" s="77"/>
      <c r="JQ4338" s="77"/>
      <c r="JR4338" s="77"/>
      <c r="JT4338" s="147"/>
      <c r="JU4338" s="147"/>
      <c r="JV4338" s="147"/>
      <c r="JW4338" s="147"/>
      <c r="JX4338" s="147"/>
      <c r="JY4338" s="147"/>
      <c r="JZ4338" s="147"/>
      <c r="KA4338" s="147"/>
      <c r="KB4338" s="147"/>
      <c r="KC4338" s="147"/>
      <c r="KD4338" s="147"/>
      <c r="KE4338" s="147"/>
      <c r="KF4338" s="147"/>
      <c r="KG4338" s="147"/>
      <c r="KH4338" s="147"/>
      <c r="KI4338" s="147"/>
      <c r="KJ4338" s="147"/>
      <c r="KK4338" s="147"/>
      <c r="KL4338" s="147"/>
      <c r="KM4338" s="147"/>
      <c r="KN4338" s="147"/>
      <c r="KO4338" s="147"/>
      <c r="KP4338" s="147"/>
      <c r="KQ4338" s="147"/>
      <c r="KR4338" s="147"/>
      <c r="KS4338" s="147"/>
      <c r="KT4338" s="147"/>
      <c r="KU4338" s="185"/>
      <c r="KV4338" s="147"/>
      <c r="KW4338" s="185"/>
      <c r="KX4338" s="147"/>
      <c r="KY4338" s="185"/>
      <c r="KZ4338" s="147"/>
      <c r="LA4338" s="147"/>
      <c r="LB4338" s="147"/>
      <c r="LC4338" s="77"/>
      <c r="LD4338" s="77"/>
      <c r="LE4338" s="77"/>
      <c r="LF4338" s="77"/>
      <c r="LG4338" s="77"/>
      <c r="LI4338" s="147"/>
      <c r="LJ4338" s="147"/>
      <c r="LK4338" s="147"/>
      <c r="LL4338" s="147"/>
      <c r="LM4338" s="147"/>
      <c r="LN4338" s="147"/>
      <c r="LO4338" s="147"/>
      <c r="LP4338" s="147"/>
      <c r="LQ4338" s="147"/>
      <c r="LR4338" s="147"/>
      <c r="LS4338" s="147"/>
      <c r="LT4338" s="147"/>
      <c r="LU4338" s="147"/>
      <c r="LV4338" s="147"/>
      <c r="LW4338" s="147"/>
      <c r="LX4338" s="147"/>
      <c r="LY4338" s="147"/>
      <c r="LZ4338" s="147"/>
      <c r="MA4338" s="147"/>
      <c r="MB4338" s="147"/>
      <c r="MC4338" s="147"/>
      <c r="MD4338" s="147"/>
      <c r="ME4338" s="147"/>
      <c r="MF4338" s="147"/>
      <c r="MG4338" s="147"/>
      <c r="MH4338" s="147"/>
      <c r="MI4338" s="147"/>
      <c r="MJ4338" s="147"/>
      <c r="MK4338" s="147"/>
      <c r="ML4338" s="147"/>
      <c r="MM4338" s="147"/>
      <c r="MN4338" s="147"/>
      <c r="MO4338" s="147"/>
      <c r="MP4338" s="147"/>
      <c r="MQ4338" s="147"/>
      <c r="MR4338" s="147"/>
      <c r="MS4338" s="147"/>
      <c r="MT4338" s="147"/>
      <c r="MU4338" s="147"/>
      <c r="MV4338" s="147"/>
      <c r="MW4338" s="147"/>
      <c r="MX4338" s="147"/>
      <c r="MY4338" s="147"/>
      <c r="MZ4338" s="147"/>
      <c r="NA4338" s="147"/>
      <c r="NB4338" s="147"/>
      <c r="NC4338" s="147"/>
      <c r="ND4338" s="147"/>
      <c r="NE4338" s="147"/>
      <c r="NF4338" s="147"/>
      <c r="NG4338" s="147"/>
      <c r="NH4338" s="147"/>
      <c r="NI4338" s="205"/>
      <c r="NJ4338" s="205"/>
      <c r="NK4338" s="205"/>
      <c r="NL4338" s="205"/>
      <c r="NM4338" s="205"/>
      <c r="NO4338" s="147"/>
      <c r="NP4338" s="147"/>
      <c r="NQ4338" s="147"/>
      <c r="NR4338" s="147"/>
      <c r="NS4338" s="147"/>
      <c r="NT4338" s="147"/>
      <c r="NU4338" s="147"/>
      <c r="NV4338" s="147"/>
      <c r="NW4338" s="147"/>
      <c r="NX4338" s="147"/>
      <c r="NY4338" s="147"/>
      <c r="NZ4338" s="147"/>
      <c r="OA4338" s="147"/>
      <c r="OB4338" s="147"/>
      <c r="OC4338" s="147"/>
      <c r="OD4338" s="147"/>
      <c r="OE4338" s="147"/>
      <c r="OF4338" s="147"/>
      <c r="OG4338" s="147"/>
      <c r="OH4338" s="147"/>
      <c r="OI4338" s="177">
        <f>Flare!$F$89*(2000/8760)*IFERROR($QV$13,0)</f>
        <v>0</v>
      </c>
      <c r="OJ4338" s="177">
        <f>LandEmiss!$C$460*(2000/8760)*IFERROR($QV$13,0)</f>
        <v>0</v>
      </c>
      <c r="OK4338" s="177">
        <f>(SUMIF(LandEmiss!$BJ$450:$BJ$456,$FC4338,LandEmiss!$BL$450:$BL$456)+SUMIF(LandEmiss!$DU$447:$DU$453,$FC4338,LandEmiss!$DW$447:$DW$453))*(2000/8760)*IFERROR($QV$13,0)</f>
        <v>0</v>
      </c>
      <c r="OL4338" s="177">
        <f>VCU!$F$109*(2000/8760)*IFERROR($QV$14,0)</f>
        <v>0</v>
      </c>
      <c r="OM4338" s="177">
        <f>LandEmiss!$E$460*(2000/8760)*IFERROR($QV$14,0)</f>
        <v>0</v>
      </c>
      <c r="ON4338" s="177">
        <f>(SUMIF(LandEmiss!$BJ$450:$BJ$456,$FC4338,LandEmiss!$BN$450:$BN$456)+SUMIF(LandEmiss!$DU$447:$DU$453,$FC4338,LandEmiss!$DY$447:$DY$453))*(2000/8760)*IFERROR($QV$14,0)</f>
        <v>0</v>
      </c>
      <c r="OO4338" s="177">
        <f>VaporOxidizer!$F$90*(2000/8760)*IFERROR($QV$15,0)</f>
        <v>0</v>
      </c>
      <c r="OP4338" s="177">
        <f>LandEmiss!$G$460*(2000/8760)*IFERROR($QV$15,0)</f>
        <v>0</v>
      </c>
      <c r="OQ4338" s="177">
        <f>(SUMIF(LandEmiss!$BJ$450:$BJ$456,$FC4338,LandEmiss!$BP$450:$BP$456)+SUMIF(LandEmiss!$DU$447:$DU$453,$FC4338,LandEmiss!$EA$447:$EA$453))*(2000/8760)*IFERROR($QV$15,0)</f>
        <v>0</v>
      </c>
      <c r="OR4338" s="147"/>
      <c r="OS4338" s="176">
        <f>LandEmiss!$I$460*(2000/8760)*IFERROR($QV$27,0)</f>
        <v>0</v>
      </c>
      <c r="OT4338" s="176">
        <f>(SUMIF(LandEmiss!$DU$447:$DU$453,$FC4338,LandEmiss!$EC$447:$EC$453)+SUMIF(LandEmiss!$BJ$450:$BJ$456,$FC4338,LandEmiss!$BR$450:$BR$456))*(2000/8760)*IFERROR($QV$27,0)</f>
        <v>0</v>
      </c>
      <c r="OU4338" s="176">
        <f>LandEmiss!$K$460*(2000/8760)*IFERROR($QV$26,0)</f>
        <v>0</v>
      </c>
      <c r="OV4338" s="176">
        <f>(SUMIF(LandEmiss!$BJ$450:$BJ$456,$FC4338,LandEmiss!$BT$450:$BT$456)+SUMIF(LandEmiss!$DU$447:$DU$453,$FC4338,LandEmiss!$EE$447:$EE$453))*(2000/8760)*IFERROR($QV$26,0)</f>
        <v>0</v>
      </c>
      <c r="OW4338" s="176">
        <f>LandEmiss!$M$460*(2000/8760)*IFERROR($QV$25,0)</f>
        <v>0</v>
      </c>
      <c r="OX4338" s="176">
        <f ca="1">(SUMIF(LandEmiss!$BJ$450:$BJ$457,$FC4338,LandEmiss!$BV$450:$BV$456)+SUMIF(LandEmiss!$DU$447:$DU$453,$FC4338,LandEmiss!$EG$447:$EG$453))*(2000/8760)*IFERROR($QV$25,0)</f>
        <v>0</v>
      </c>
      <c r="OY4338" s="177">
        <f>Engine1!$J$33*(2000/8760)*IFERROR($QV$17,0)</f>
        <v>0</v>
      </c>
      <c r="OZ4338" s="196">
        <f>Engine2!$J$33*(2000/8760)*IFERROR($QV$18,0)</f>
        <v>0</v>
      </c>
      <c r="PA4338" s="177">
        <f>IF(HeaterBoiler1!$E$15="HEATER",HeaterBoiler1!$J$45*(2000/8760)*IFERROR($QV$19,0),0)</f>
        <v>0</v>
      </c>
      <c r="PB4338" s="196">
        <f>IF(HeaterBoiler2!$E$15="HEATER",HeaterBoiler2!$J$45*(2000/8760)*IFERROR($QV$21,0),0)</f>
        <v>0</v>
      </c>
      <c r="PC4338" s="177">
        <f>IF(HeaterBoiler1!$E$15="BOILER",HeaterBoiler1!$J$45*(2000/8760)*IFERROR($QV$20,0),0)</f>
        <v>0</v>
      </c>
      <c r="PD4338" s="196">
        <f>IF(HeaterBoiler2!$E$15="BOILER",HeaterBoiler2!$J$45*(2000/8760)*IFERROR($QV$22,0),0)</f>
        <v>0</v>
      </c>
      <c r="PE4338" s="147"/>
      <c r="PF4338" s="156">
        <f>MSS!$G145*(2000/8760)*IFERROR(Hidden!$QV$24,0)</f>
        <v>0</v>
      </c>
      <c r="PG4338" s="156">
        <f ca="1">SUM($NO4338:$PF4338)</f>
        <v>0</v>
      </c>
    </row>
    <row r="4339" spans="158:423" ht="74.25" customHeight="1" x14ac:dyDescent="0.2">
      <c r="FB4339" s="8" t="s">
        <v>3898</v>
      </c>
      <c r="FC4339" s="8" t="s">
        <v>262</v>
      </c>
      <c r="FD4339" s="8" t="s">
        <v>9511</v>
      </c>
      <c r="FE4339" s="8" t="s">
        <v>9511</v>
      </c>
      <c r="FH4339" s="77"/>
      <c r="FI4339" s="77"/>
      <c r="FJ4339" s="77"/>
      <c r="FK4339" s="77"/>
      <c r="FL4339" s="77"/>
      <c r="FM4339" s="77"/>
      <c r="FN4339" s="77"/>
      <c r="FO4339" s="77"/>
      <c r="FP4339" s="77"/>
      <c r="FQ4339" s="77"/>
      <c r="FR4339" s="77"/>
      <c r="FS4339" s="77"/>
      <c r="FT4339" s="77"/>
      <c r="FU4339" s="77"/>
      <c r="FV4339" s="77"/>
      <c r="FW4339" s="77"/>
      <c r="FX4339" s="77"/>
      <c r="FY4339" s="77"/>
      <c r="FZ4339" s="77"/>
      <c r="GA4339" s="77"/>
      <c r="GB4339" s="157">
        <f ca="1">(SUMIF(Flare!$A$67:$C$71,$FC4339,Flare!$D$67:$E$71)+SUMIF(Flare!$A$74:$C$78,$FC4339,Flare!$D$74:$E$78))*IFERROR($QR$13,0)</f>
        <v>0</v>
      </c>
      <c r="GC4339" s="157">
        <v>0</v>
      </c>
      <c r="GD4339" s="176">
        <f ca="1">SUMIF(Flare!$A$81:$C$85,$FC4339,Flare!$F$81:$F$85)*IFERROR($QR$13,0)</f>
        <v>0</v>
      </c>
      <c r="GE4339" s="176">
        <f>LandEmiss!$B$461*IFERROR($QR$13,0)</f>
        <v>0</v>
      </c>
      <c r="GF4339" s="176">
        <f>MAX(_xlfn.MAXIFS(LandEmiss!$BK$450:$BK$456,LandEmiss!$BJ$450:$BJ$456,$FC4339),_xlfn.MAXIFS(LandEmiss!$DV$447:$DV$453,LandEmiss!$DU$447:$DU$453,$FC4339))*IFERROR($QR$13,0)</f>
        <v>0</v>
      </c>
      <c r="GG4339" s="206">
        <f ca="1">(SUMIF(VCU!$A$78:$C$85,$FC4339,VCU!$D$78:$E$85)+SUMIF(VCU!$A$88:$C$95,$FC4339,VCU!$D$88:$E$95))*IFERROR($QR$14,0)</f>
        <v>0</v>
      </c>
      <c r="GH4339" s="206">
        <v>0</v>
      </c>
      <c r="GI4339" s="176">
        <f ca="1">SUMIF(VCU!$A$98:$C$105,$FC4339,VCU!$F$98:$F$105)*IFERROR($QR$14,0)</f>
        <v>0</v>
      </c>
      <c r="GJ4339" s="176">
        <f>LandEmiss!D461*IFERROR($QR$14,0)</f>
        <v>0</v>
      </c>
      <c r="GK4339" s="156">
        <f>MAX(_xlfn.MAXIFS(LandEmiss!$BM$450:$BM$456,LandEmiss!$BJ$450:$BJ$456,$FC4339),_xlfn.MAXIFS(LandEmiss!$DX$447:$DX$453,LandEmiss!$DU$447:$DU$453,$FC4339))*IFERROR($QR$14,0)</f>
        <v>0</v>
      </c>
      <c r="GL4339" s="206">
        <f ca="1">SUMIF(VaporOxidizer!$A$69:$C$76,$FC4339,VaporOxidizer!$D$69:$E$76)*IFERROR($QR$15,0)</f>
        <v>0</v>
      </c>
      <c r="GM4339" s="206"/>
      <c r="GN4339" s="176">
        <f ca="1">SUMIF(VaporOxidizer!$A$89:$C$96,$FC4339,VaporOxidizer!$D$89:$E$96)*IFERROR($QR$15,0)</f>
        <v>0</v>
      </c>
      <c r="GO4339" s="176">
        <f>LandEmiss!F461*IFERROR($QR$15,0)</f>
        <v>0</v>
      </c>
      <c r="GP4339" s="156">
        <f>MAX(_xlfn.MAXIFS(LandEmiss!$BO$450:$BO$456,LandEmiss!$BJ$450:$BJ$456,$FC4339),_xlfn.MAXIFS(LandEmiss!$DZ$447:$DZ$453,LandEmiss!$DU$447:$DU$453,$FC4339))*IFERROR($QR$15,0)</f>
        <v>0</v>
      </c>
      <c r="GQ4339" s="77"/>
      <c r="GR4339" s="77"/>
      <c r="GS4339" s="156">
        <f>LandEmiss!$H461*IFERROR($QR$27,0)</f>
        <v>0</v>
      </c>
      <c r="GT4339" s="156">
        <f>MAX(_xlfn.MAXIFS(LandEmiss!$BQ$450:$BQ$456,LandEmiss!$BJ$450:$BJ$456,$FC4339),_xlfn.MAXIFS(LandEmiss!$EB$447:$EB$453,LandEmiss!$DU$447:$DU$453,$FC4339))*IFERROR($QR$27,0)</f>
        <v>0</v>
      </c>
      <c r="GU4339" s="156">
        <f>LandEmiss!$J461*IFERROR($QR$26,0)</f>
        <v>0</v>
      </c>
      <c r="GV4339" s="156">
        <f>MAX(_xlfn.MAXIFS(LandEmiss!$BS$450:$BS$456,LandEmiss!$BJ$450:$BJ$456,$FC4339),_xlfn.MAXIFS(LandEmiss!$ED$447:$ED$453,LandEmiss!$DU$447:$DU$453,$FC4339))*IFERROR($QR$26,0)</f>
        <v>0</v>
      </c>
      <c r="GW4339" s="156">
        <f>LandEmiss!$L461*IFERROR($QR$25,0)</f>
        <v>0</v>
      </c>
      <c r="GX4339" s="156">
        <f>MAX(_xlfn.MAXIFS(LandEmiss!$BU$450:$BU$456,LandEmiss!$BJ$450:$BJ$456,$FC4339),_xlfn.MAXIFS(LandEmiss!$EF$447:$EF$453,LandEmiss!$DU$447:$DU$453,$FC4339))*IFERROR($QR$25,0)</f>
        <v>0</v>
      </c>
      <c r="GY4339" s="177">
        <f>SUMIF(Engine1!$A$32:$A$38,$FC4339,Engine1!$I$32:$I$38)*IFERROR($QR$17,0)</f>
        <v>0</v>
      </c>
      <c r="GZ4339" s="196">
        <f>SUMIF(Engine2!$A$32:$A$38,$FC4339,Engine2!$I$32:$I$38)*IFERROR($QR$18,0)</f>
        <v>0</v>
      </c>
      <c r="HA4339" s="177">
        <f>IF(HeaterBoiler1!$E$15&lt;&gt;"HEATER",0,SUMIF(HeaterBoiler1!$A$44:$A$51,$FC4339,HeaterBoiler1!$I$44:$I$51)*IFERROR($QR$19,0))</f>
        <v>0</v>
      </c>
      <c r="HB4339" s="177">
        <f>IF(HeaterBoiler2!$E$15&lt;&gt;"HEATER",0,SUMIF(HeaterBoiler2!$A$44:$A$50,$FC4339,HeaterBoiler2!$I$44:$I$50)*IFERROR($QR$21,0))</f>
        <v>0</v>
      </c>
      <c r="HC4339" s="196">
        <f>IF(HeaterBoiler1!$E$15&lt;&gt;"BOILER",0,SUMIF(HeaterBoiler1!$A$44:$A$51,$FC4339,HeaterBoiler1!$I$44:$I$51)*IFERROR($QR$20,0))</f>
        <v>0</v>
      </c>
      <c r="HD4339" s="177">
        <f>IF(HeaterBoiler2!$E$15&lt;&gt;"BOILER",0,SUMIF(HeaterBoiler2!$A$44:$A$50,$FC4339,HeaterBoiler2!$I$44:$I$50)*IFERROR($QR$22,0))</f>
        <v>0</v>
      </c>
      <c r="HE4339" s="77"/>
      <c r="HF4339" s="156">
        <f>MSS!$F146*IFERROR($QR$24,0)</f>
        <v>0</v>
      </c>
      <c r="HG4339" s="156">
        <f ca="1">MAX($FH4339:$FI4339)+MAX($FK4339:$FL4339)+MAX($FN4339:$FO4339)+MAX($FQ4339:$FR4339)+MAX($FT4339:$FU4339)+SUM($FW4339:$GA4339)+$GB4339+$GG4339+$GL4339+MAX($GD4339:$GE4339)+MAX($GI4339:$GJ4339)+MAX($GN4339:$GO4339)+$GS4339+$GU4339+$GW4339+SUM($GY4339:$HF4339)</f>
        <v>0</v>
      </c>
      <c r="HH4339" s="156">
        <f ca="1">$FJ4339+$FK4339+$FN4339+$FQ4339+$FT4339+$GF4339+$GK4339+$GP4339+$GT4339+$GV4339+$GX4339+SUM($HA4339:$HD4339)+$HE4339+$HF4339+$GB4339+$GG4339+$GL4339</f>
        <v>0</v>
      </c>
      <c r="HI4339" s="156">
        <f ca="1">$FH4339+$FM4339+$FN4339+$FQ4339+$FT4339+$GF4339+$GK4339+$GP4339+$GT4339+$GV4339+$GX4339+SUM($HA4339:$HD4339)+$HE4339+$HF4339+$GB4339+$GG4339+$GL4339</f>
        <v>0</v>
      </c>
      <c r="HJ4339" s="156">
        <f ca="1">$FH4339+$FK4339+$FP4339+$FQ4339+$FT4339+$GF4339+$GK4339+$GP4339+$GT4339+$GV4339+$GX4339+SUM($HA4339:$HD4339)+$HE4339+$HF4339+$GB4339+$GG4339+$GL4339</f>
        <v>0</v>
      </c>
      <c r="HK4339" s="156">
        <f ca="1">$FH4339+$FK4339+$FN4339+$FS4339+$FT4339+$GF4339+$GK4339+$GP4339+$GT4339+$GV4339+$GX4339+SUM($HA4339:$HD4339)+$HE4339+$HF4339+$GB4339+$GG4339+$GL4339</f>
        <v>0</v>
      </c>
      <c r="HL4339" s="156">
        <f ca="1">$FH4339+$FK4339+$FN4339+$FQ4339+$FV4339+$GF4339+$GK4339+$GP4339+$GT4339+$GV4339+$GX4339+SUM($HA4339:$HD4339)+$HE4339+$HF4339+$GB4339+$GG4339+$GL4339</f>
        <v>0</v>
      </c>
      <c r="HN4339" s="146"/>
      <c r="HO4339" s="146"/>
      <c r="HP4339" s="146"/>
      <c r="HQ4339" s="146"/>
      <c r="HR4339" s="146"/>
      <c r="HS4339" s="146"/>
      <c r="HT4339" s="146"/>
      <c r="HU4339" s="146"/>
      <c r="HV4339" s="146"/>
      <c r="HW4339" s="146"/>
      <c r="HX4339" s="146"/>
      <c r="HY4339" s="146"/>
      <c r="HZ4339" s="146"/>
      <c r="IA4339" s="146"/>
      <c r="IB4339" s="146"/>
      <c r="IC4339" s="146"/>
      <c r="ID4339" s="146"/>
      <c r="IE4339" s="146"/>
      <c r="IF4339" s="146"/>
      <c r="IG4339" s="146"/>
      <c r="IH4339" s="146"/>
      <c r="II4339" s="146"/>
      <c r="IJ4339" s="146"/>
      <c r="IK4339" s="146"/>
      <c r="IL4339" s="146"/>
      <c r="IM4339" s="146"/>
      <c r="IN4339" s="146"/>
      <c r="IO4339" s="146"/>
      <c r="IP4339" s="146"/>
      <c r="IQ4339" s="146"/>
      <c r="IR4339" s="146"/>
      <c r="IS4339" s="146"/>
      <c r="IT4339" s="146"/>
      <c r="IU4339" s="146"/>
      <c r="IV4339" s="146"/>
      <c r="IW4339" s="146"/>
      <c r="IX4339" s="146"/>
      <c r="IY4339" s="146"/>
      <c r="IZ4339" s="146"/>
      <c r="JA4339" s="146"/>
      <c r="JB4339" s="146"/>
      <c r="JC4339" s="146"/>
      <c r="JD4339" s="146"/>
      <c r="JE4339" s="146"/>
      <c r="JF4339" s="146"/>
      <c r="JG4339" s="146"/>
      <c r="JH4339" s="146"/>
      <c r="JI4339" s="146"/>
      <c r="JJ4339" s="146"/>
      <c r="JK4339" s="146"/>
      <c r="JL4339" s="146"/>
      <c r="JM4339" s="146"/>
      <c r="JN4339" s="146"/>
      <c r="JO4339" s="146"/>
      <c r="JP4339" s="146"/>
      <c r="JQ4339" s="146"/>
      <c r="JR4339" s="146"/>
      <c r="JT4339" s="146"/>
      <c r="JU4339" s="146"/>
      <c r="JV4339" s="146"/>
      <c r="JW4339" s="146"/>
      <c r="JX4339" s="146"/>
      <c r="JY4339" s="146"/>
      <c r="JZ4339" s="146"/>
      <c r="KA4339" s="146"/>
      <c r="KB4339" s="146"/>
      <c r="KC4339" s="146"/>
      <c r="KD4339" s="177">
        <f>Flare!$D90*IFERROR($QT$13,0)</f>
        <v>0</v>
      </c>
      <c r="KE4339" s="176">
        <f>LandEmiss!$B$461*IFERROR($QT$13,0)</f>
        <v>0</v>
      </c>
      <c r="KF4339" s="176">
        <f>MAX(_xlfn.MAXIFS(LandEmiss!$BK$450:$BK$456,LandEmiss!$BJ$450:$BJ$456,$FC4339),_xlfn.MAXIFS(LandEmiss!$DV$447:$DV$453,LandEmiss!$DU$447:$DU$453,$FC4339))*IFERROR($QT$13,0)</f>
        <v>0</v>
      </c>
      <c r="KG4339" s="177">
        <f>VCU!$D110*IFERROR($QT$14,0)</f>
        <v>0</v>
      </c>
      <c r="KH4339" s="176">
        <f>LandEmiss!$D$461*IFERROR($QT$14,0)</f>
        <v>0</v>
      </c>
      <c r="KI4339" s="176">
        <f>MAX(_xlfn.MAXIFS(LandEmiss!$BM$450:$BM$456,LandEmiss!$BJ$450:$BJ$456,$FC4339),_xlfn.MAXIFS(LandEmiss!$DX$447:$DX$453,LandEmiss!$DU$447:$DU$453,$FC4339))*IFERROR($QT$14,0)</f>
        <v>0</v>
      </c>
      <c r="KJ4339" s="177">
        <f>VaporOxidizer!$D91*IFERROR($QT$15,0)</f>
        <v>0</v>
      </c>
      <c r="KK4339" s="176">
        <f>LandEmiss!$F$461*IFERROR($QT$15,0)</f>
        <v>0</v>
      </c>
      <c r="KL4339" s="176">
        <f>MAX(_xlfn.MAXIFS(LandEmiss!$BO$450:$BO$456,LandEmiss!$BJ$450:$BJ$456,$FC4339),_xlfn.MAXIFS(LandEmiss!$DZ$447:$DZ$453,LandEmiss!$DU$447:$DU$453,$FC4339))*IFERROR($QT$15,0)</f>
        <v>0</v>
      </c>
      <c r="KM4339" s="146"/>
      <c r="KN4339" s="176">
        <f>LandEmiss!$H$460*IFERROR($QT$27,0)</f>
        <v>0</v>
      </c>
      <c r="KO4339" s="176">
        <f>MAX(_xlfn.MAXIFS(LandEmiss!$BQ$450:$BQ$456,LandEmiss!$BJ$450:$BJ$456,$FC4339),_xlfn.MAXIFS(LandEmiss!$EB$447:$EB$453,LandEmiss!$DU$447:$DU$453,$FC4339))*IFERROR($QT$27,0)</f>
        <v>0</v>
      </c>
      <c r="KP4339" s="176">
        <f>LandEmiss!$J$460*IFERROR($QT$26,0)</f>
        <v>0</v>
      </c>
      <c r="KQ4339" s="176">
        <f>MAX(_xlfn.MAXIFS(LandEmiss!$BS$450:$BS$456,LandEmiss!$BJ$450:$BJ$456,$FC4339),_xlfn.MAXIFS(LandEmiss!$ED$447:$ED$453,LandEmiss!$DU$447:$DU$453,$FC4339))*IFERROR($QT$26,0)</f>
        <v>0</v>
      </c>
      <c r="KR4339" s="176">
        <f>LandEmiss!$L$460*IFERROR($QT$25,0)</f>
        <v>0</v>
      </c>
      <c r="KS4339" s="176">
        <f>MAX(_xlfn.MAXIFS(LandEmiss!$BU$450:$BU$456,LandEmiss!$BJ$450:$BJ$456,$FC4339),_xlfn.MAXIFS(LandEmiss!$EF$447:$EF$453,LandEmiss!$DU$447:$DU$453,$FC4339))*IFERROR($QT$25,0)</f>
        <v>0</v>
      </c>
      <c r="KT4339" s="177">
        <f>Engine1!$I$34*IFERROR($QT$17,0)</f>
        <v>0</v>
      </c>
      <c r="KU4339" s="177">
        <f>Engine2!$I$34*IFERROR($QT$18,0)</f>
        <v>0</v>
      </c>
      <c r="KV4339" s="177">
        <f>IF(HeaterBoiler1!$E$15="HEATER",Engine1!$I$34*IFERROR($QT$19,0),0)</f>
        <v>0</v>
      </c>
      <c r="KW4339" s="177">
        <f>IF(HeaterBoiler2!$E$15="HEATER",Engine2!$I$34*IFERROR($QT$21,0),0)</f>
        <v>0</v>
      </c>
      <c r="KX4339" s="176">
        <f>IF(HeaterBoiler1!$E$15="BOILER",Engine1!$I$34*IFERROR($QT$20,0),0)</f>
        <v>0</v>
      </c>
      <c r="KY4339" s="177">
        <f>IF(HeaterBoiler2!$E$15="BOILER",Engine2!$I$34*IFERROR($QT$22,0),0)</f>
        <v>0</v>
      </c>
      <c r="KZ4339" s="146"/>
      <c r="LA4339" s="156">
        <f>MSS!$F$146*IFERROR($QT$24,0)</f>
        <v>0</v>
      </c>
      <c r="LB4339" s="156">
        <f>SUM($KD$4339:$KE$4339)+SUM($KG$4339:$KH$4339)+SUM($KJ$4339:$KK$4339)+$KN$4339+$KP$4339+$KR$4339+SUM($KT$4339:$LA$4339)</f>
        <v>0</v>
      </c>
      <c r="LC4339" s="156">
        <f>$KF$4339+$KI$4339+$KL$4339+$KO$4339+$KQ$4339+$KS$4339+SUM($KT$4339:$LA$4339)</f>
        <v>0</v>
      </c>
      <c r="LD4339" s="156">
        <f>$KF$4339+$KI$4339+$KL$4339+$KO$4339+$KQ$4339+$KS$4339+SUM($KT$4339:$LA$4339)</f>
        <v>0</v>
      </c>
      <c r="LE4339" s="156">
        <f>$KF$4339+$KI$4339+$KL$4339+$KO$4339+$KQ$4339+$KS$4339+SUM($KT$4339:$LA$4339)</f>
        <v>0</v>
      </c>
      <c r="LF4339" s="156">
        <f>$KF$4339+$KI$4339+$KL$4339+$KO$4339+$KQ$4339+$KS$4339+SUM($KT$4339:$LA$4339)</f>
        <v>0</v>
      </c>
      <c r="LG4339" s="156">
        <f>$KF$4339+$KI$4339+$KL$4339+$KO$4339+$KQ$4339+$KS$4339+SUM($KT$4339:$LA$4339)</f>
        <v>0</v>
      </c>
      <c r="LI4339" s="77"/>
      <c r="LJ4339" s="77"/>
      <c r="LK4339" s="77"/>
      <c r="LL4339" s="77"/>
      <c r="LM4339" s="77"/>
      <c r="LN4339" s="77"/>
      <c r="LO4339" s="77"/>
      <c r="LP4339" s="77"/>
      <c r="LQ4339" s="77"/>
      <c r="LR4339" s="77"/>
      <c r="LS4339" s="77"/>
      <c r="LT4339" s="77"/>
      <c r="LU4339" s="77"/>
      <c r="LV4339" s="77"/>
      <c r="LW4339" s="77"/>
      <c r="LX4339" s="77"/>
      <c r="LY4339" s="77"/>
      <c r="LZ4339" s="77"/>
      <c r="MA4339" s="77"/>
      <c r="MB4339" s="77"/>
      <c r="MC4339" s="77"/>
      <c r="MD4339" s="77"/>
      <c r="ME4339" s="77"/>
      <c r="MF4339" s="77"/>
      <c r="MG4339" s="77"/>
      <c r="MH4339" s="77"/>
      <c r="MI4339" s="77"/>
      <c r="MJ4339" s="77"/>
      <c r="MK4339" s="77"/>
      <c r="ML4339" s="77"/>
      <c r="MM4339" s="77"/>
      <c r="MN4339" s="77"/>
      <c r="MO4339" s="77"/>
      <c r="MP4339" s="77"/>
      <c r="MQ4339" s="77"/>
      <c r="MR4339" s="77"/>
      <c r="MS4339" s="77"/>
      <c r="MT4339" s="77"/>
      <c r="MU4339" s="77"/>
      <c r="MV4339" s="77"/>
      <c r="MW4339" s="77"/>
      <c r="MX4339" s="77"/>
      <c r="MY4339" s="77"/>
      <c r="MZ4339" s="77"/>
      <c r="NA4339" s="77"/>
      <c r="NB4339" s="77"/>
      <c r="NC4339" s="77"/>
      <c r="ND4339" s="77"/>
      <c r="NE4339" s="77"/>
      <c r="NF4339" s="77"/>
      <c r="NG4339" s="77"/>
      <c r="NH4339" s="77"/>
      <c r="NI4339" s="77"/>
      <c r="NJ4339" s="77"/>
      <c r="NK4339" s="77"/>
      <c r="NL4339" s="77"/>
      <c r="NM4339" s="77"/>
      <c r="NO4339" s="77"/>
      <c r="NP4339" s="77"/>
      <c r="NQ4339" s="77"/>
      <c r="NR4339" s="77"/>
      <c r="NS4339" s="77"/>
      <c r="NT4339" s="77"/>
      <c r="NU4339" s="77"/>
      <c r="NV4339" s="77"/>
      <c r="NW4339" s="77"/>
      <c r="NX4339" s="77"/>
      <c r="NY4339" s="77"/>
      <c r="NZ4339" s="77"/>
      <c r="OA4339" s="77"/>
      <c r="OB4339" s="77"/>
      <c r="OC4339" s="77"/>
      <c r="OD4339" s="77"/>
      <c r="OE4339" s="77"/>
      <c r="OF4339" s="77"/>
      <c r="OG4339" s="77"/>
      <c r="OH4339" s="77"/>
      <c r="OI4339" s="77"/>
      <c r="OJ4339" s="77"/>
      <c r="OK4339" s="77"/>
      <c r="OL4339" s="77"/>
      <c r="OM4339" s="77"/>
      <c r="ON4339" s="77"/>
      <c r="OO4339" s="77"/>
      <c r="OP4339" s="77"/>
      <c r="OQ4339" s="77"/>
      <c r="OR4339" s="77"/>
      <c r="OS4339" s="77"/>
      <c r="OT4339" s="77"/>
      <c r="OU4339" s="77"/>
      <c r="OV4339" s="77"/>
      <c r="OW4339" s="77"/>
      <c r="OX4339" s="77"/>
      <c r="OY4339" s="77"/>
      <c r="OZ4339" s="77"/>
      <c r="PA4339" s="77"/>
      <c r="PB4339" s="77"/>
      <c r="PC4339" s="77"/>
      <c r="PD4339" s="77"/>
      <c r="PE4339" s="77"/>
      <c r="PF4339" s="77"/>
      <c r="PG4339" s="77"/>
    </row>
    <row r="4340" spans="158:423" ht="74.25" customHeight="1" x14ac:dyDescent="0.2">
      <c r="FB4340" s="8" t="s">
        <v>9510</v>
      </c>
      <c r="FC4340" s="8" t="s">
        <v>263</v>
      </c>
      <c r="FD4340" s="8" t="s">
        <v>9511</v>
      </c>
      <c r="FE4340" s="8" t="s">
        <v>9511</v>
      </c>
      <c r="FH4340" s="77"/>
      <c r="FI4340" s="77"/>
      <c r="FJ4340" s="77"/>
      <c r="FK4340" s="77"/>
      <c r="FL4340" s="77"/>
      <c r="FM4340" s="77"/>
      <c r="FN4340" s="77"/>
      <c r="FO4340" s="77"/>
      <c r="FP4340" s="77"/>
      <c r="FQ4340" s="77"/>
      <c r="FR4340" s="77"/>
      <c r="FS4340" s="77"/>
      <c r="FT4340" s="77"/>
      <c r="FU4340" s="77"/>
      <c r="FV4340" s="77"/>
      <c r="FW4340" s="77"/>
      <c r="FX4340" s="77"/>
      <c r="FY4340" s="77"/>
      <c r="FZ4340" s="77"/>
      <c r="GA4340" s="77"/>
      <c r="GB4340" s="77"/>
      <c r="GC4340" s="77"/>
      <c r="GD4340" s="77"/>
      <c r="GE4340" s="77"/>
      <c r="GF4340" s="77"/>
      <c r="GG4340" s="77"/>
      <c r="GH4340" s="77"/>
      <c r="GI4340" s="77"/>
      <c r="GJ4340" s="77"/>
      <c r="GK4340" s="77"/>
      <c r="GL4340" s="77"/>
      <c r="GM4340" s="77"/>
      <c r="GN4340" s="77"/>
      <c r="GO4340" s="77"/>
      <c r="GP4340" s="77"/>
      <c r="GQ4340" s="77"/>
      <c r="GR4340" s="77"/>
      <c r="GS4340" s="77"/>
      <c r="GT4340" s="77"/>
      <c r="GU4340" s="77"/>
      <c r="GV4340" s="77"/>
      <c r="GW4340" s="77"/>
      <c r="GX4340" s="77"/>
      <c r="GY4340" s="77"/>
      <c r="GZ4340" s="178"/>
      <c r="HA4340" s="77"/>
      <c r="HB4340" s="77"/>
      <c r="HC4340" s="178"/>
      <c r="HD4340" s="77"/>
      <c r="HE4340" s="77"/>
      <c r="HF4340" s="77"/>
      <c r="HG4340" s="77"/>
      <c r="HH4340" s="77"/>
      <c r="HI4340" s="77"/>
      <c r="HJ4340" s="77"/>
      <c r="HK4340" s="77"/>
      <c r="HL4340" s="77"/>
      <c r="HN4340" s="146"/>
      <c r="HO4340" s="146"/>
      <c r="HP4340" s="146"/>
      <c r="HQ4340" s="146"/>
      <c r="HR4340" s="146"/>
      <c r="HS4340" s="146"/>
      <c r="HT4340" s="146"/>
      <c r="HU4340" s="146"/>
      <c r="HV4340" s="146"/>
      <c r="HW4340" s="146"/>
      <c r="HX4340" s="146"/>
      <c r="HY4340" s="146"/>
      <c r="HZ4340" s="146"/>
      <c r="IA4340" s="146"/>
      <c r="IB4340" s="146"/>
      <c r="IC4340" s="146"/>
      <c r="ID4340" s="146"/>
      <c r="IE4340" s="146"/>
      <c r="IF4340" s="146"/>
      <c r="IG4340" s="146"/>
      <c r="IH4340" s="146"/>
      <c r="II4340" s="146"/>
      <c r="IJ4340" s="146"/>
      <c r="IK4340" s="146"/>
      <c r="IL4340" s="146"/>
      <c r="IM4340" s="146"/>
      <c r="IN4340" s="146"/>
      <c r="IO4340" s="146"/>
      <c r="IP4340" s="146"/>
      <c r="IQ4340" s="146"/>
      <c r="IR4340" s="146"/>
      <c r="IS4340" s="146"/>
      <c r="IT4340" s="146"/>
      <c r="IU4340" s="146"/>
      <c r="IV4340" s="146"/>
      <c r="IW4340" s="146"/>
      <c r="IX4340" s="146"/>
      <c r="IY4340" s="146"/>
      <c r="IZ4340" s="146"/>
      <c r="JA4340" s="146"/>
      <c r="JB4340" s="146"/>
      <c r="JC4340" s="146"/>
      <c r="JD4340" s="146"/>
      <c r="JE4340" s="146"/>
      <c r="JF4340" s="146"/>
      <c r="JG4340" s="146"/>
      <c r="JH4340" s="146"/>
      <c r="JI4340" s="146"/>
      <c r="JJ4340" s="146"/>
      <c r="JK4340" s="146"/>
      <c r="JL4340" s="146"/>
      <c r="JM4340" s="146"/>
      <c r="JN4340" s="146"/>
      <c r="JO4340" s="146"/>
      <c r="JP4340" s="146"/>
      <c r="JQ4340" s="146"/>
      <c r="JR4340" s="146"/>
      <c r="JT4340" s="146"/>
      <c r="JU4340" s="146"/>
      <c r="JV4340" s="146"/>
      <c r="JW4340" s="146"/>
      <c r="JX4340" s="146"/>
      <c r="JY4340" s="146"/>
      <c r="JZ4340" s="146"/>
      <c r="KA4340" s="146"/>
      <c r="KB4340" s="146"/>
      <c r="KC4340" s="146"/>
      <c r="KD4340" s="146"/>
      <c r="KE4340" s="146"/>
      <c r="KF4340" s="146"/>
      <c r="KG4340" s="146"/>
      <c r="KH4340" s="146"/>
      <c r="KI4340" s="146"/>
      <c r="KJ4340" s="146"/>
      <c r="KK4340" s="146"/>
      <c r="KL4340" s="146"/>
      <c r="KM4340" s="146"/>
      <c r="KN4340" s="146"/>
      <c r="KO4340" s="146"/>
      <c r="KP4340" s="146"/>
      <c r="KQ4340" s="146"/>
      <c r="KR4340" s="146"/>
      <c r="KS4340" s="146"/>
      <c r="KT4340" s="146"/>
      <c r="KU4340" s="146"/>
      <c r="KV4340" s="146"/>
      <c r="KW4340" s="146"/>
      <c r="KX4340" s="146"/>
      <c r="KY4340" s="146"/>
      <c r="KZ4340" s="146"/>
      <c r="LA4340" s="146"/>
      <c r="LB4340" s="146"/>
      <c r="LC4340" s="146"/>
      <c r="LD4340" s="146"/>
      <c r="LE4340" s="146"/>
      <c r="LF4340" s="146"/>
      <c r="LG4340" s="146"/>
      <c r="LI4340" s="77"/>
      <c r="LJ4340" s="77"/>
      <c r="LK4340" s="77"/>
      <c r="LL4340" s="77"/>
      <c r="LM4340" s="77"/>
      <c r="LN4340" s="77"/>
      <c r="LO4340" s="77"/>
      <c r="LP4340" s="77"/>
      <c r="LQ4340" s="77"/>
      <c r="LR4340" s="77"/>
      <c r="LS4340" s="77"/>
      <c r="LT4340" s="77"/>
      <c r="LU4340" s="77"/>
      <c r="LV4340" s="77"/>
      <c r="LW4340" s="77"/>
      <c r="LX4340" s="77"/>
      <c r="LY4340" s="77"/>
      <c r="LZ4340" s="77"/>
      <c r="MA4340" s="77"/>
      <c r="MB4340" s="77"/>
      <c r="MC4340" s="77"/>
      <c r="MD4340" s="77"/>
      <c r="ME4340" s="77"/>
      <c r="MF4340" s="77"/>
      <c r="MG4340" s="77"/>
      <c r="MH4340" s="77"/>
      <c r="MI4340" s="77"/>
      <c r="MJ4340" s="77"/>
      <c r="MK4340" s="77"/>
      <c r="ML4340" s="77"/>
      <c r="MM4340" s="77"/>
      <c r="MN4340" s="77"/>
      <c r="MO4340" s="77"/>
      <c r="MP4340" s="77"/>
      <c r="MQ4340" s="77"/>
      <c r="MR4340" s="77"/>
      <c r="MS4340" s="77"/>
      <c r="MT4340" s="77"/>
      <c r="MU4340" s="77"/>
      <c r="MV4340" s="77"/>
      <c r="MW4340" s="77"/>
      <c r="MX4340" s="77"/>
      <c r="MY4340" s="77"/>
      <c r="MZ4340" s="77"/>
      <c r="NA4340" s="77"/>
      <c r="NB4340" s="77"/>
      <c r="NC4340" s="77"/>
      <c r="ND4340" s="77"/>
      <c r="NE4340" s="77"/>
      <c r="NF4340" s="77"/>
      <c r="NG4340" s="77"/>
      <c r="NH4340" s="77"/>
      <c r="NI4340" s="77"/>
      <c r="NJ4340" s="77"/>
      <c r="NK4340" s="77"/>
      <c r="NL4340" s="77"/>
      <c r="NM4340" s="77"/>
      <c r="NO4340" s="77"/>
      <c r="NP4340" s="77"/>
      <c r="NQ4340" s="77"/>
      <c r="NR4340" s="77"/>
      <c r="NS4340" s="77"/>
      <c r="NT4340" s="77"/>
      <c r="NU4340" s="77"/>
      <c r="NV4340" s="77"/>
      <c r="NW4340" s="77"/>
      <c r="NX4340" s="77"/>
      <c r="NY4340" s="77"/>
      <c r="NZ4340" s="77"/>
      <c r="OA4340" s="77"/>
      <c r="OB4340" s="77"/>
      <c r="OC4340" s="77"/>
      <c r="OD4340" s="77"/>
      <c r="OE4340" s="77"/>
      <c r="OF4340" s="77"/>
      <c r="OG4340" s="77"/>
      <c r="OH4340" s="77"/>
      <c r="OI4340" s="77"/>
      <c r="OJ4340" s="77"/>
      <c r="OK4340" s="77"/>
      <c r="OL4340" s="77"/>
      <c r="OM4340" s="77"/>
      <c r="ON4340" s="77"/>
      <c r="OO4340" s="77"/>
      <c r="OP4340" s="77"/>
      <c r="OQ4340" s="77"/>
      <c r="OR4340" s="77"/>
      <c r="OS4340" s="77"/>
      <c r="OT4340" s="77"/>
      <c r="OU4340" s="77"/>
      <c r="OV4340" s="77"/>
      <c r="OW4340" s="77"/>
      <c r="OX4340" s="77"/>
      <c r="OY4340" s="77"/>
      <c r="OZ4340" s="77"/>
      <c r="PA4340" s="77"/>
      <c r="PB4340" s="77"/>
      <c r="PC4340" s="77"/>
      <c r="PD4340" s="77"/>
      <c r="PE4340" s="77"/>
      <c r="PF4340" s="77"/>
      <c r="PG4340" s="77"/>
    </row>
    <row r="4341" spans="158:423" ht="74.25" customHeight="1" x14ac:dyDescent="0.2">
      <c r="FB4341" s="8" t="s">
        <v>9513</v>
      </c>
      <c r="FC4341" s="8" t="s">
        <v>264</v>
      </c>
      <c r="FD4341" s="8" t="s">
        <v>9511</v>
      </c>
      <c r="FE4341" s="8" t="s">
        <v>9511</v>
      </c>
      <c r="FH4341" s="77"/>
      <c r="FI4341" s="77"/>
      <c r="FJ4341" s="77"/>
      <c r="FK4341" s="77"/>
      <c r="FL4341" s="77"/>
      <c r="FM4341" s="77"/>
      <c r="FN4341" s="77"/>
      <c r="FO4341" s="77"/>
      <c r="FP4341" s="77"/>
      <c r="FQ4341" s="77"/>
      <c r="FR4341" s="77"/>
      <c r="FS4341" s="77"/>
      <c r="FT4341" s="77"/>
      <c r="FU4341" s="77"/>
      <c r="FV4341" s="77"/>
      <c r="FW4341" s="77"/>
      <c r="FX4341" s="77"/>
      <c r="FY4341" s="77"/>
      <c r="FZ4341" s="77"/>
      <c r="GA4341" s="77"/>
      <c r="GB4341" s="77"/>
      <c r="GC4341" s="77"/>
      <c r="GD4341" s="77"/>
      <c r="GE4341" s="77"/>
      <c r="GF4341" s="77"/>
      <c r="GG4341" s="77"/>
      <c r="GH4341" s="77"/>
      <c r="GI4341" s="77"/>
      <c r="GJ4341" s="77"/>
      <c r="GK4341" s="77"/>
      <c r="GL4341" s="77"/>
      <c r="GM4341" s="77"/>
      <c r="GN4341" s="77"/>
      <c r="GO4341" s="77"/>
      <c r="GP4341" s="77"/>
      <c r="GQ4341" s="77"/>
      <c r="GR4341" s="77"/>
      <c r="GS4341" s="77"/>
      <c r="GT4341" s="77"/>
      <c r="GU4341" s="77"/>
      <c r="GV4341" s="77"/>
      <c r="GW4341" s="77"/>
      <c r="GX4341" s="77"/>
      <c r="GY4341" s="77"/>
      <c r="GZ4341" s="178"/>
      <c r="HA4341" s="77"/>
      <c r="HB4341" s="77"/>
      <c r="HC4341" s="178"/>
      <c r="HD4341" s="77"/>
      <c r="HE4341" s="77"/>
      <c r="HF4341" s="77"/>
      <c r="HG4341" s="77"/>
      <c r="HH4341" s="77"/>
      <c r="HI4341" s="77"/>
      <c r="HJ4341" s="77"/>
      <c r="HK4341" s="77"/>
      <c r="HL4341" s="77"/>
      <c r="HN4341" s="146"/>
      <c r="HO4341" s="146"/>
      <c r="HP4341" s="146"/>
      <c r="HQ4341" s="146"/>
      <c r="HR4341" s="146"/>
      <c r="HS4341" s="146"/>
      <c r="HT4341" s="146"/>
      <c r="HU4341" s="146"/>
      <c r="HV4341" s="146"/>
      <c r="HW4341" s="146"/>
      <c r="HX4341" s="146"/>
      <c r="HY4341" s="146"/>
      <c r="HZ4341" s="146"/>
      <c r="IA4341" s="146"/>
      <c r="IB4341" s="146"/>
      <c r="IC4341" s="146"/>
      <c r="ID4341" s="146"/>
      <c r="IE4341" s="146"/>
      <c r="IF4341" s="146"/>
      <c r="IG4341" s="146"/>
      <c r="IH4341" s="146"/>
      <c r="II4341" s="146"/>
      <c r="IJ4341" s="146"/>
      <c r="IK4341" s="146"/>
      <c r="IL4341" s="146"/>
      <c r="IM4341" s="146"/>
      <c r="IN4341" s="146"/>
      <c r="IO4341" s="146"/>
      <c r="IP4341" s="146"/>
      <c r="IQ4341" s="146"/>
      <c r="IR4341" s="146"/>
      <c r="IS4341" s="146"/>
      <c r="IT4341" s="146"/>
      <c r="IU4341" s="146"/>
      <c r="IV4341" s="146"/>
      <c r="IW4341" s="146"/>
      <c r="IX4341" s="146"/>
      <c r="IY4341" s="146"/>
      <c r="IZ4341" s="146"/>
      <c r="JA4341" s="146"/>
      <c r="JB4341" s="146"/>
      <c r="JC4341" s="146"/>
      <c r="JD4341" s="146"/>
      <c r="JE4341" s="146"/>
      <c r="JF4341" s="146"/>
      <c r="JG4341" s="146"/>
      <c r="JH4341" s="146"/>
      <c r="JI4341" s="146"/>
      <c r="JJ4341" s="146"/>
      <c r="JK4341" s="146"/>
      <c r="JL4341" s="146"/>
      <c r="JM4341" s="146"/>
      <c r="JN4341" s="146"/>
      <c r="JO4341" s="146"/>
      <c r="JP4341" s="146"/>
      <c r="JQ4341" s="146"/>
      <c r="JR4341" s="146"/>
      <c r="JT4341" s="146"/>
      <c r="JU4341" s="146"/>
      <c r="JV4341" s="146"/>
      <c r="JW4341" s="146"/>
      <c r="JX4341" s="146"/>
      <c r="JY4341" s="146"/>
      <c r="JZ4341" s="146"/>
      <c r="KA4341" s="146"/>
      <c r="KB4341" s="146"/>
      <c r="KC4341" s="146"/>
      <c r="KD4341" s="146"/>
      <c r="KE4341" s="146"/>
      <c r="KF4341" s="146"/>
      <c r="KG4341" s="146"/>
      <c r="KH4341" s="146"/>
      <c r="KI4341" s="146"/>
      <c r="KJ4341" s="146"/>
      <c r="KK4341" s="146"/>
      <c r="KL4341" s="146"/>
      <c r="KM4341" s="146"/>
      <c r="KN4341" s="146"/>
      <c r="KO4341" s="146"/>
      <c r="KP4341" s="146"/>
      <c r="KQ4341" s="146"/>
      <c r="KR4341" s="146"/>
      <c r="KS4341" s="146"/>
      <c r="KT4341" s="146"/>
      <c r="KU4341" s="146"/>
      <c r="KV4341" s="146"/>
      <c r="KW4341" s="146"/>
      <c r="KX4341" s="146"/>
      <c r="KY4341" s="146"/>
      <c r="KZ4341" s="146"/>
      <c r="LA4341" s="146"/>
      <c r="LB4341" s="146"/>
      <c r="LC4341" s="146"/>
      <c r="LD4341" s="146"/>
      <c r="LE4341" s="146"/>
      <c r="LF4341" s="146"/>
      <c r="LG4341" s="146"/>
      <c r="LI4341" s="77"/>
      <c r="LJ4341" s="77"/>
      <c r="LK4341" s="77"/>
      <c r="LL4341" s="77"/>
      <c r="LM4341" s="77"/>
      <c r="LN4341" s="77"/>
      <c r="LO4341" s="77"/>
      <c r="LP4341" s="77"/>
      <c r="LQ4341" s="77"/>
      <c r="LR4341" s="77"/>
      <c r="LS4341" s="77"/>
      <c r="LT4341" s="77"/>
      <c r="LU4341" s="77"/>
      <c r="LV4341" s="77"/>
      <c r="LW4341" s="77"/>
      <c r="LX4341" s="77"/>
      <c r="LY4341" s="77"/>
      <c r="LZ4341" s="77"/>
      <c r="MA4341" s="77"/>
      <c r="MB4341" s="77"/>
      <c r="MC4341" s="77"/>
      <c r="MD4341" s="77"/>
      <c r="ME4341" s="77"/>
      <c r="MF4341" s="77"/>
      <c r="MG4341" s="77"/>
      <c r="MH4341" s="77"/>
      <c r="MI4341" s="77"/>
      <c r="MJ4341" s="176">
        <f>VCU!$D112*IFERROR($QU$14,0)</f>
        <v>0</v>
      </c>
      <c r="MK4341" s="176">
        <f>LandEmiss!$D463*IFERROR($QU$14,0)</f>
        <v>0</v>
      </c>
      <c r="ML4341" s="176">
        <f>MAX(_xlfn.MAXIFS(LandEmiss!$BM$450:$BM$456,LandEmiss!$BJ$450:$BJ$456,$FC4341),_xlfn.MAXIFS(LandEmiss!$DX$447:$DX$453,LandEmiss!$DU$447:$DU$453,$FC4341))*IFERROR($QU$14,0)</f>
        <v>0</v>
      </c>
      <c r="MM4341" s="176"/>
      <c r="MN4341" s="176"/>
      <c r="MO4341" s="176">
        <f>VaporOxidizer!$D93*IFERROR(Hidden!$QU$15,0)</f>
        <v>0</v>
      </c>
      <c r="MP4341" s="176">
        <f>LandEmiss!$F463*IFERROR($QU$15,0)</f>
        <v>0</v>
      </c>
      <c r="MQ4341" s="176">
        <f>MAX(_xlfn.MAXIFS(LandEmiss!$BO$450:$BO$456,LandEmiss!$BJ$450:$BJ$456,$FC4341),_xlfn.MAXIFS(LandEmiss!$DZ$447:$DZ$453,LandEmiss!$DU$447:$DU$453,$FC4341))*IFERROR($QU$15,0)</f>
        <v>0</v>
      </c>
      <c r="MR4341" s="77"/>
      <c r="MS4341" s="77"/>
      <c r="MT4341" s="77"/>
      <c r="MU4341" s="77"/>
      <c r="MV4341" s="176">
        <f>LandEmiss!$J463*IFERROR($QU$26,0)</f>
        <v>0</v>
      </c>
      <c r="MW4341" s="176">
        <f>MAX(_xlfn.MAXIFS(LandEmiss!$BS$450:$BS$456,LandEmiss!$BJ$450:$BJ$456,$FC4341),_xlfn.MAXIFS(LandEmiss!$ED$447:$ED$453,LandEmiss!$DU$447:$DU$453,$FC4341))*IFERROR($QU$26,0)</f>
        <v>0</v>
      </c>
      <c r="MX4341" s="176">
        <f>LandEmiss!$L463*IFERROR($QU$25,0)</f>
        <v>0</v>
      </c>
      <c r="MY4341" s="176">
        <f>MAX(_xlfn.MAXIFS(LandEmiss!$BU$450:$BU$456,LandEmiss!$BJ$450:$BJ$456,$FC4341),_xlfn.MAXIFS(LandEmiss!$EF$447:$EF$453,LandEmiss!$DU$447:$DU$453,$FC4341))*IFERROR($QU$25,0)</f>
        <v>0</v>
      </c>
      <c r="MZ4341" s="176">
        <f>Engine1!$I36*IFERROR(Hidden!$QU$17,0)</f>
        <v>0</v>
      </c>
      <c r="NA4341" s="176">
        <f>Engine2!$I36*IFERROR(Hidden!$QU$18,0)</f>
        <v>0</v>
      </c>
      <c r="NB4341" s="176">
        <f>IF(HeaterBoiler1!$E$15="HEATER",HeaterBoiler1!$F55*IFERROR($QU$19,0),0)</f>
        <v>0</v>
      </c>
      <c r="NC4341" s="176">
        <f>IF(HeaterBoiler2!$E$15="HEATER",HeaterBoiler2!$F55*IFERROR($QU$21,0),0)</f>
        <v>0</v>
      </c>
      <c r="ND4341" s="176">
        <f>IF(HeaterBoiler1!$E$15="BOILER",HeaterBoiler1!$F55*IFERROR($QU$20,0),0)</f>
        <v>0</v>
      </c>
      <c r="NE4341" s="176">
        <f>IF(HeaterBoiler2!$E$15="BOILER",HeaterBoiler2!$F55*IFERROR($QU$22,0),0)</f>
        <v>0</v>
      </c>
      <c r="NF4341" s="77"/>
      <c r="NG4341" s="156">
        <f>MSS!$F148*IFERROR(Hidden!$QU$24,0)</f>
        <v>0</v>
      </c>
      <c r="NH4341" s="156">
        <f>SUM($MJ4341:$MK4341)+SUM($MO4341:$MP4341)+$MV4341+$MX4341+SUM($MZ4341:$NG4341)</f>
        <v>0</v>
      </c>
      <c r="NI4341" s="156">
        <f t="shared" ref="NI4341:NM4342" si="56">$ML4341+$MQ4341+$MW4341+$MY4341+SUM($MZ4341:$NG4341)</f>
        <v>0</v>
      </c>
      <c r="NJ4341" s="156">
        <f t="shared" si="56"/>
        <v>0</v>
      </c>
      <c r="NK4341" s="156">
        <f t="shared" si="56"/>
        <v>0</v>
      </c>
      <c r="NL4341" s="156">
        <f t="shared" si="56"/>
        <v>0</v>
      </c>
      <c r="NM4341" s="156">
        <f t="shared" si="56"/>
        <v>0</v>
      </c>
      <c r="NO4341" s="77"/>
      <c r="NP4341" s="77"/>
      <c r="NQ4341" s="77"/>
      <c r="NR4341" s="77"/>
      <c r="NS4341" s="77"/>
      <c r="NT4341" s="77"/>
      <c r="NU4341" s="77"/>
      <c r="NV4341" s="77"/>
      <c r="NW4341" s="77"/>
      <c r="NX4341" s="77"/>
      <c r="NY4341" s="77"/>
      <c r="NZ4341" s="77"/>
      <c r="OA4341" s="77"/>
      <c r="OB4341" s="77"/>
      <c r="OC4341" s="77"/>
      <c r="OD4341" s="77"/>
      <c r="OE4341" s="77"/>
      <c r="OF4341" s="77"/>
      <c r="OG4341" s="77"/>
      <c r="OH4341" s="77"/>
      <c r="OI4341" s="77"/>
      <c r="OJ4341" s="77"/>
      <c r="OK4341" s="77"/>
      <c r="OL4341" s="177">
        <f>VCU!$F112*(2000/8760)*IFERROR($QV$14,0)</f>
        <v>0</v>
      </c>
      <c r="OM4341" s="177">
        <f>LandEmiss!$E463*(2000/8760)*IFERROR($QV$14,0)</f>
        <v>0</v>
      </c>
      <c r="ON4341" s="177">
        <f>(SUMIF(LandEmiss!$BJ$450:$BJ$456,$FC4341,LandEmiss!$BN$450:$BN$456)+SUMIF(LandEmiss!$DU$447:$DU$453,$FC4341,LandEmiss!$DY$447:$DY$453))*(2000/8760)*IFERROR($QV$14,0)</f>
        <v>0</v>
      </c>
      <c r="OO4341" s="177">
        <f>VaporOxidizer!$F93*(2000/8760)*IFERROR($QV$15,0)</f>
        <v>0</v>
      </c>
      <c r="OP4341" s="177">
        <f>LandEmiss!$G463*(2000/8760)*IFERROR($QV$15,0)</f>
        <v>0</v>
      </c>
      <c r="OQ4341" s="177">
        <f>(SUMIF(LandEmiss!$BJ$450:$BJ$456,$FC4341,LandEmiss!$BP$450:$BP$456)+SUMIF(LandEmiss!$DU$447:$DU$453,$FC4341,LandEmiss!$EA$447:$EA$453))*(2000/8760)*IFERROR($QV$15,0)</f>
        <v>0</v>
      </c>
      <c r="OR4341" s="77"/>
      <c r="OS4341" s="176">
        <f>LandEmiss!$I$463*(2000/8760)*IFERROR($QV$27,0)</f>
        <v>0</v>
      </c>
      <c r="OT4341" s="176">
        <f>(SUMIF(LandEmiss!$DU$447:$DU$453,$FC4341,LandEmiss!$EC$447:$EC$453)+SUMIF(LandEmiss!$BJ$450:$BJ$456,$FC4341,LandEmiss!$BR$450:$BR$456))*(2000/8760)*IFERROR($QV$27,0)</f>
        <v>0</v>
      </c>
      <c r="OU4341" s="176">
        <f>LandEmiss!$K$463*(2000/8760)*IFERROR($QV$26,0)</f>
        <v>0</v>
      </c>
      <c r="OV4341" s="176">
        <f>(SUMIF(LandEmiss!$BJ$450:$BJ$456,$FC4341,LandEmiss!$BT$450:$BT$456)+SUMIF(LandEmiss!$DU$447:$DU$453,$FC4341,LandEmiss!$EE$447:$EE$453))*(2000/8760)*IFERROR($QV$26,0)</f>
        <v>0</v>
      </c>
      <c r="OW4341" s="176">
        <f>LandEmiss!$M463*(2000/8760)*IFERROR($QV$25,0)</f>
        <v>0</v>
      </c>
      <c r="OX4341" s="176">
        <f ca="1">(SUMIF(LandEmiss!$BJ$450:$BJ$457,$FC4341,LandEmiss!$BV$450:$BV$456)+SUMIF(LandEmiss!$DU$447:$DU$453,$FC4341,LandEmiss!$EG$447:$EG$453))*(2000/8760)*IFERROR($QV$25,0)</f>
        <v>0</v>
      </c>
      <c r="OY4341" s="177">
        <f>Engine1!$J36*(2000/8760)*IFERROR($QV$17,0)</f>
        <v>0</v>
      </c>
      <c r="OZ4341" s="177">
        <f>Engine2!$J36*(2000/8760)*IFERROR($QV$18,0)</f>
        <v>0</v>
      </c>
      <c r="PA4341" s="177">
        <f>IF(HeaterBoiler1!$E$15="HEATER",HeaterBoiler1!$J48*(2000/8760)*IFERROR($QV$19,0),0)</f>
        <v>0</v>
      </c>
      <c r="PB4341" s="177">
        <f>IF(HeaterBoiler2!$E$15="HEATER",HeaterBoiler2!$J48*(2000/8760)*IFERROR($QV$21,0),0)</f>
        <v>0</v>
      </c>
      <c r="PC4341" s="177">
        <f>IF(HeaterBoiler1!$E$15="BOILER",HeaterBoiler1!$J48*(2000/8760)*IFERROR($QV$20,0),0)</f>
        <v>0</v>
      </c>
      <c r="PD4341" s="177">
        <f>IF(HeaterBoiler2!$E$15="BOILER",HeaterBoiler2!$J48*(2000/8760)*IFERROR($QV$22,0),0)</f>
        <v>0</v>
      </c>
      <c r="PE4341" s="77"/>
      <c r="PF4341" s="156">
        <f>MSS!$G148*(2000/8760)*IFERROR(Hidden!$QV$24,0)</f>
        <v>0</v>
      </c>
      <c r="PG4341" s="156">
        <f ca="1">SUM($NO4341:$PF4341)</f>
        <v>0</v>
      </c>
    </row>
    <row r="4342" spans="158:423" ht="74.25" customHeight="1" x14ac:dyDescent="0.2">
      <c r="FB4342" s="8" t="s">
        <v>9514</v>
      </c>
      <c r="FC4342" s="8" t="s">
        <v>265</v>
      </c>
      <c r="FD4342" s="8" t="s">
        <v>9511</v>
      </c>
      <c r="FE4342" s="8" t="s">
        <v>9511</v>
      </c>
      <c r="FH4342" s="77"/>
      <c r="FI4342" s="77"/>
      <c r="FJ4342" s="77"/>
      <c r="FK4342" s="77"/>
      <c r="FL4342" s="77"/>
      <c r="FM4342" s="77"/>
      <c r="FN4342" s="77"/>
      <c r="FO4342" s="77"/>
      <c r="FP4342" s="77"/>
      <c r="FQ4342" s="77"/>
      <c r="FR4342" s="77"/>
      <c r="FS4342" s="77"/>
      <c r="FT4342" s="77"/>
      <c r="FU4342" s="77"/>
      <c r="FV4342" s="77"/>
      <c r="FW4342" s="77"/>
      <c r="FX4342" s="77"/>
      <c r="FY4342" s="77"/>
      <c r="FZ4342" s="77"/>
      <c r="GA4342" s="77"/>
      <c r="GB4342" s="77"/>
      <c r="GC4342" s="77"/>
      <c r="GD4342" s="77"/>
      <c r="GE4342" s="77"/>
      <c r="GF4342" s="77"/>
      <c r="GG4342" s="77"/>
      <c r="GH4342" s="77"/>
      <c r="GI4342" s="77"/>
      <c r="GJ4342" s="77"/>
      <c r="GK4342" s="77"/>
      <c r="GL4342" s="77"/>
      <c r="GM4342" s="77"/>
      <c r="GN4342" s="77"/>
      <c r="GO4342" s="77"/>
      <c r="GP4342" s="77"/>
      <c r="GQ4342" s="77"/>
      <c r="GR4342" s="77"/>
      <c r="GS4342" s="77"/>
      <c r="GT4342" s="77"/>
      <c r="GU4342" s="77"/>
      <c r="GV4342" s="77"/>
      <c r="GW4342" s="77"/>
      <c r="GX4342" s="77"/>
      <c r="GY4342" s="77"/>
      <c r="GZ4342" s="178"/>
      <c r="HA4342" s="77"/>
      <c r="HB4342" s="77"/>
      <c r="HC4342" s="178"/>
      <c r="HD4342" s="77"/>
      <c r="HE4342" s="77"/>
      <c r="HF4342" s="77"/>
      <c r="HG4342" s="77"/>
      <c r="HH4342" s="77"/>
      <c r="HI4342" s="77"/>
      <c r="HJ4342" s="77"/>
      <c r="HK4342" s="77"/>
      <c r="HL4342" s="77"/>
      <c r="HN4342" s="146"/>
      <c r="HO4342" s="146"/>
      <c r="HP4342" s="146"/>
      <c r="HQ4342" s="146"/>
      <c r="HR4342" s="146"/>
      <c r="HS4342" s="146"/>
      <c r="HT4342" s="146"/>
      <c r="HU4342" s="146"/>
      <c r="HV4342" s="146"/>
      <c r="HW4342" s="146"/>
      <c r="HX4342" s="146"/>
      <c r="HY4342" s="146"/>
      <c r="HZ4342" s="146"/>
      <c r="IA4342" s="146"/>
      <c r="IB4342" s="146"/>
      <c r="IC4342" s="146"/>
      <c r="ID4342" s="146"/>
      <c r="IE4342" s="146"/>
      <c r="IF4342" s="146"/>
      <c r="IG4342" s="146"/>
      <c r="IH4342" s="146"/>
      <c r="II4342" s="146"/>
      <c r="IJ4342" s="146"/>
      <c r="IK4342" s="146"/>
      <c r="IL4342" s="146"/>
      <c r="IM4342" s="146"/>
      <c r="IN4342" s="146"/>
      <c r="IO4342" s="146"/>
      <c r="IP4342" s="146"/>
      <c r="IQ4342" s="146"/>
      <c r="IR4342" s="146"/>
      <c r="IS4342" s="146"/>
      <c r="IT4342" s="146"/>
      <c r="IU4342" s="146"/>
      <c r="IV4342" s="146"/>
      <c r="IW4342" s="146"/>
      <c r="IX4342" s="146"/>
      <c r="IY4342" s="146"/>
      <c r="IZ4342" s="146"/>
      <c r="JA4342" s="146"/>
      <c r="JB4342" s="146"/>
      <c r="JC4342" s="146"/>
      <c r="JD4342" s="146"/>
      <c r="JE4342" s="146"/>
      <c r="JF4342" s="146"/>
      <c r="JG4342" s="146"/>
      <c r="JH4342" s="146"/>
      <c r="JI4342" s="146"/>
      <c r="JJ4342" s="146"/>
      <c r="JK4342" s="146"/>
      <c r="JL4342" s="146"/>
      <c r="JM4342" s="146"/>
      <c r="JN4342" s="146"/>
      <c r="JO4342" s="146"/>
      <c r="JP4342" s="146"/>
      <c r="JQ4342" s="146"/>
      <c r="JR4342" s="146"/>
      <c r="JT4342" s="146"/>
      <c r="JU4342" s="146"/>
      <c r="JV4342" s="146"/>
      <c r="JW4342" s="146"/>
      <c r="JX4342" s="146"/>
      <c r="JY4342" s="146"/>
      <c r="JZ4342" s="146"/>
      <c r="KA4342" s="146"/>
      <c r="KB4342" s="146"/>
      <c r="KC4342" s="146"/>
      <c r="KD4342" s="146"/>
      <c r="KE4342" s="146"/>
      <c r="KF4342" s="146"/>
      <c r="KG4342" s="146"/>
      <c r="KH4342" s="146"/>
      <c r="KI4342" s="146"/>
      <c r="KJ4342" s="146"/>
      <c r="KK4342" s="146"/>
      <c r="KL4342" s="146"/>
      <c r="KM4342" s="146"/>
      <c r="KN4342" s="146"/>
      <c r="KO4342" s="146"/>
      <c r="KP4342" s="146"/>
      <c r="KQ4342" s="146"/>
      <c r="KR4342" s="146"/>
      <c r="KS4342" s="146"/>
      <c r="KT4342" s="146"/>
      <c r="KU4342" s="146"/>
      <c r="KV4342" s="146"/>
      <c r="KW4342" s="146"/>
      <c r="KX4342" s="146"/>
      <c r="KY4342" s="146"/>
      <c r="KZ4342" s="146"/>
      <c r="LA4342" s="146"/>
      <c r="LB4342" s="146"/>
      <c r="LC4342" s="146"/>
      <c r="LD4342" s="146"/>
      <c r="LE4342" s="146"/>
      <c r="LF4342" s="146"/>
      <c r="LG4342" s="146"/>
      <c r="LI4342" s="77"/>
      <c r="LJ4342" s="77"/>
      <c r="LK4342" s="77"/>
      <c r="LL4342" s="77"/>
      <c r="LM4342" s="77"/>
      <c r="LN4342" s="77"/>
      <c r="LO4342" s="77"/>
      <c r="LP4342" s="77"/>
      <c r="LQ4342" s="77"/>
      <c r="LR4342" s="77"/>
      <c r="LS4342" s="77"/>
      <c r="LT4342" s="77"/>
      <c r="LU4342" s="77"/>
      <c r="LV4342" s="77"/>
      <c r="LW4342" s="77"/>
      <c r="LX4342" s="77"/>
      <c r="LY4342" s="77"/>
      <c r="LZ4342" s="77"/>
      <c r="MA4342" s="77"/>
      <c r="MB4342" s="77"/>
      <c r="MC4342" s="77"/>
      <c r="MD4342" s="77"/>
      <c r="ME4342" s="77"/>
      <c r="MF4342" s="77"/>
      <c r="MG4342" s="77"/>
      <c r="MH4342" s="77"/>
      <c r="MI4342" s="77"/>
      <c r="MJ4342" s="176">
        <f>VCU!$D113*IFERROR($QU$14,0)</f>
        <v>0</v>
      </c>
      <c r="MK4342" s="176">
        <f>LandEmiss!$D464*IFERROR($QU$14,0)</f>
        <v>0</v>
      </c>
      <c r="ML4342" s="176">
        <f>MAX(_xlfn.MAXIFS(LandEmiss!$BM$450:$BM$456,LandEmiss!$BJ$450:$BJ$456,$FC4342),_xlfn.MAXIFS(LandEmiss!$DX$447:$DX$453,LandEmiss!$DU$447:$DU$453,$FC4342))*IFERROR($QU$14,0)</f>
        <v>0</v>
      </c>
      <c r="MM4342" s="176"/>
      <c r="MN4342" s="176"/>
      <c r="MO4342" s="176">
        <f>VaporOxidizer!$D94*IFERROR(Hidden!$QU$15,0)</f>
        <v>0</v>
      </c>
      <c r="MP4342" s="176">
        <f>LandEmiss!$F464*IFERROR($QU$15,0)</f>
        <v>0</v>
      </c>
      <c r="MQ4342" s="176">
        <f>MAX(_xlfn.MAXIFS(LandEmiss!$BO$450:$BO$456,LandEmiss!$BJ$450:$BJ$456,$FC4342),_xlfn.MAXIFS(LandEmiss!$DZ$447:$DZ$453,LandEmiss!$DU$447:$DU$453,$FC4342))*IFERROR($QU$15,0)</f>
        <v>0</v>
      </c>
      <c r="MR4342" s="77"/>
      <c r="MS4342" s="77"/>
      <c r="MT4342" s="77"/>
      <c r="MU4342" s="77"/>
      <c r="MV4342" s="176">
        <f>LandEmiss!$J464*IFERROR($QU$26,0)</f>
        <v>0</v>
      </c>
      <c r="MW4342" s="176">
        <f>MAX(_xlfn.MAXIFS(LandEmiss!$BS$450:$BS$456,LandEmiss!$BJ$450:$BJ$456,$FC4342),_xlfn.MAXIFS(LandEmiss!$ED$447:$ED$453,LandEmiss!$DU$447:$DU$453,$FC4342))*IFERROR($QU$26,0)</f>
        <v>0</v>
      </c>
      <c r="MX4342" s="176">
        <f>LandEmiss!$L464*IFERROR($QU$25,0)</f>
        <v>0</v>
      </c>
      <c r="MY4342" s="176">
        <f>MAX(_xlfn.MAXIFS(LandEmiss!$BU$450:$BU$456,LandEmiss!$BJ$450:$BJ$456,$FC4342),_xlfn.MAXIFS(LandEmiss!$EF$447:$EF$453,LandEmiss!$DU$447:$DU$453,$FC4342))*IFERROR($QU$25,0)</f>
        <v>0</v>
      </c>
      <c r="MZ4342" s="176">
        <f>Engine1!$I37*IFERROR(Hidden!$QU$17,0)</f>
        <v>0</v>
      </c>
      <c r="NA4342" s="176">
        <f>Engine2!$I37*IFERROR(Hidden!$QU$18,0)</f>
        <v>0</v>
      </c>
      <c r="NB4342" s="176">
        <f>IF(HeaterBoiler1!$E$15="HEATER",HeaterBoiler1!$F56*IFERROR($QU$19,0),0)</f>
        <v>0</v>
      </c>
      <c r="NC4342" s="176">
        <f>IF(HeaterBoiler2!$E$15="HEATER",HeaterBoiler2!$F56*IFERROR($QU$21,0),0)</f>
        <v>0</v>
      </c>
      <c r="ND4342" s="176">
        <f>IF(HeaterBoiler1!$E$15="BOILER",HeaterBoiler1!$F56*IFERROR($QU$20,0),0)</f>
        <v>0</v>
      </c>
      <c r="NE4342" s="176">
        <f>IF(HeaterBoiler2!$E$15="BOILER",HeaterBoiler2!$F56*IFERROR($QU$22,0),0)</f>
        <v>0</v>
      </c>
      <c r="NF4342" s="77"/>
      <c r="NG4342" s="156">
        <f>MSS!$F149*IFERROR(Hidden!$QU$24,0)</f>
        <v>0</v>
      </c>
      <c r="NH4342" s="156">
        <f>SUM($MJ4342:$MK4342)+SUM($MO4342:$MP4342)+$MV4342+$MX4342+SUM($MZ4342:$NG4342)</f>
        <v>0</v>
      </c>
      <c r="NI4342" s="156">
        <f t="shared" si="56"/>
        <v>0</v>
      </c>
      <c r="NJ4342" s="156">
        <f t="shared" si="56"/>
        <v>0</v>
      </c>
      <c r="NK4342" s="156">
        <f t="shared" si="56"/>
        <v>0</v>
      </c>
      <c r="NL4342" s="156">
        <f t="shared" si="56"/>
        <v>0</v>
      </c>
      <c r="NM4342" s="156">
        <f t="shared" si="56"/>
        <v>0</v>
      </c>
      <c r="NO4342" s="77"/>
      <c r="NP4342" s="77"/>
      <c r="NQ4342" s="77"/>
      <c r="NR4342" s="77"/>
      <c r="NS4342" s="77"/>
      <c r="NT4342" s="77"/>
      <c r="NU4342" s="77"/>
      <c r="NV4342" s="77"/>
      <c r="NW4342" s="77"/>
      <c r="NX4342" s="77"/>
      <c r="NY4342" s="77"/>
      <c r="NZ4342" s="77"/>
      <c r="OA4342" s="77"/>
      <c r="OB4342" s="77"/>
      <c r="OC4342" s="77"/>
      <c r="OD4342" s="77"/>
      <c r="OE4342" s="77"/>
      <c r="OF4342" s="77"/>
      <c r="OG4342" s="77"/>
      <c r="OH4342" s="77"/>
      <c r="OI4342" s="77"/>
      <c r="OJ4342" s="77"/>
      <c r="OK4342" s="77"/>
      <c r="OL4342" s="177">
        <f>VCU!$F113*(2000/8760)*IFERROR($QV$14,0)</f>
        <v>0</v>
      </c>
      <c r="OM4342" s="177">
        <f>LandEmiss!$E464*(2000/8760)*IFERROR($QV$14,0)</f>
        <v>0</v>
      </c>
      <c r="ON4342" s="177">
        <f>(SUMIF(LandEmiss!$BJ$450:$BJ$456,$FC4342,LandEmiss!$BN$450:$BN$456)+SUMIF(LandEmiss!$DU$447:$DU$453,$FC4342,LandEmiss!$DY$447:$DY$453))*(2000/8760)*IFERROR($QV$14,0)</f>
        <v>0</v>
      </c>
      <c r="OO4342" s="177">
        <f>VaporOxidizer!$F94*(2000/8760)*IFERROR($QV$15,0)</f>
        <v>0</v>
      </c>
      <c r="OP4342" s="177">
        <f>LandEmiss!$G464*(2000/8760)*IFERROR($QV$15,0)</f>
        <v>0</v>
      </c>
      <c r="OQ4342" s="177">
        <f>(SUMIF(LandEmiss!$BJ$450:$BJ$456,$FC4342,LandEmiss!$BP$450:$BP$456)+SUMIF(LandEmiss!$DU$447:$DU$453,$FC4342,LandEmiss!$EA$447:$EA$453))*(2000/8760)*IFERROR($QV$15,0)</f>
        <v>0</v>
      </c>
      <c r="OR4342" s="77"/>
      <c r="OS4342" s="176">
        <f>LandEmiss!$I$464*(2000/8760)*IFERROR($QV$27,0)</f>
        <v>0</v>
      </c>
      <c r="OT4342" s="176">
        <f>(SUMIF(LandEmiss!$DU$447:$DU$453,$FC4342,LandEmiss!$EC$447:$EC$453)+SUMIF(LandEmiss!$BJ$450:$BJ$456,$FC4342,LandEmiss!$BR$450:$BR$456))*(2000/8760)*IFERROR($QV$27,0)</f>
        <v>0</v>
      </c>
      <c r="OU4342" s="176">
        <f>LandEmiss!$K$464*(2000/8760)*IFERROR($QV$26,0)</f>
        <v>0</v>
      </c>
      <c r="OV4342" s="176">
        <f>(SUMIF(LandEmiss!$BJ$450:$BJ$456,$FC4342,LandEmiss!$BT$450:$BT$456)+SUMIF(LandEmiss!$DU$447:$DU$453,$FC4342,LandEmiss!$EE$447:$EE$453))*(2000/8760)*IFERROR($QV$26,0)</f>
        <v>0</v>
      </c>
      <c r="OW4342" s="176">
        <f>LandEmiss!$M464*(2000/8760)*IFERROR($QV$25,0)</f>
        <v>0</v>
      </c>
      <c r="OX4342" s="176">
        <f ca="1">(SUMIF(LandEmiss!$BJ$450:$BJ$457,$FC4342,LandEmiss!$BV$450:$BV$456)+SUMIF(LandEmiss!$DU$447:$DU$453,$FC4342,LandEmiss!$EG$447:$EG$453))*(2000/8760)*IFERROR($QV$25,0)</f>
        <v>0</v>
      </c>
      <c r="OY4342" s="177">
        <f>Engine1!$J37*(2000/8760)*IFERROR($QV$17,0)</f>
        <v>0</v>
      </c>
      <c r="OZ4342" s="177">
        <f>Engine2!$J37*(2000/8760)*IFERROR($QV$18,0)</f>
        <v>0</v>
      </c>
      <c r="PA4342" s="177">
        <f>IF(HeaterBoiler1!$E$15="HEATER",HeaterBoiler1!$J49*(2000/8760)*IFERROR($QV$19,0),0)</f>
        <v>0</v>
      </c>
      <c r="PB4342" s="177">
        <f>IF(HeaterBoiler2!$E$15="HEATER",HeaterBoiler2!$J49*(2000/8760)*IFERROR($QV$21,0),0)</f>
        <v>0</v>
      </c>
      <c r="PC4342" s="177">
        <f>IF(HeaterBoiler1!$E$15="BOILER",HeaterBoiler1!$J49*(2000/8760)*IFERROR($QV$20,0),0)</f>
        <v>0</v>
      </c>
      <c r="PD4342" s="177">
        <f>IF(HeaterBoiler2!$E$15="BOILER",HeaterBoiler2!$J49*(2000/8760)*IFERROR($QV$22,0),0)</f>
        <v>0</v>
      </c>
      <c r="PE4342" s="77"/>
      <c r="PF4342" s="156">
        <f>MSS!$G149*(2000/8760)*IFERROR(Hidden!$QV$24,0)</f>
        <v>0</v>
      </c>
      <c r="PG4342" s="156">
        <f ca="1">SUM($NO4342:$PF4342)</f>
        <v>0</v>
      </c>
    </row>
    <row r="4343" spans="158:423" ht="74.25" customHeight="1" x14ac:dyDescent="0.2">
      <c r="FB4343" s="8" t="s">
        <v>7948</v>
      </c>
      <c r="FC4343" s="8" t="s">
        <v>266</v>
      </c>
      <c r="FD4343" s="8" t="s">
        <v>9511</v>
      </c>
      <c r="FE4343" s="8" t="s">
        <v>9511</v>
      </c>
      <c r="FH4343" s="176">
        <f>IF(Tank1!$D$22="no control",_xlfn.MAXIFS(Tank1!$G$32:$G$141,Tank1!$E$32:$E$141,"7446-09-5"),0)*IFERROR($QR$3,0)</f>
        <v>0</v>
      </c>
      <c r="FI4343" s="176">
        <f>_xlfn.MAXIFS(LandEmiss!$AF$20:$AF$119,LandEmiss!$AE$20:$AE$119,"7446-09-5")*IFERROR($QR$3,0)</f>
        <v>0</v>
      </c>
      <c r="FJ4343" s="176">
        <f>MAX(_xlfn.MAXIFS(LandEmiss!$CO$20:$CO$119,LandEmiss!$CN$20:$CN$119,"7446-09-5"),_xlfn.MAXIFS(LandEmiss!$EZ$9:$EZ$108,LandEmiss!$EY$9:$EY$108,"7446-09-5"))*IFERROR($QR$3,0)</f>
        <v>0</v>
      </c>
      <c r="FK4343" s="176">
        <f>IF(Tank2!$D$22="no control",_xlfn.MAXIFS(Tank2!$G$32:$G$141,Tank2!$E$32:$E$141,"7446-09-5"),0)*IFERROR($QR$4,0)</f>
        <v>0</v>
      </c>
      <c r="FL4343" s="176">
        <f>_xlfn.MAXIFS(LandEmiss!$AG$20:$AG$119,LandEmiss!$AE$20:$AE$119,"7446-09-5")*IFERROR($QR$4,0)</f>
        <v>0</v>
      </c>
      <c r="FM4343" s="176">
        <f>MAX(_xlfn.MAXIFS(LandEmiss!$CP$20:$CP$119,LandEmiss!$CN$20:$CN$119,"7446-09-5"),_xlfn.MAXIFS(LandEmiss!$FA$9:$FA$108,LandEmiss!$EY$9:$EY$108,"7446-09-5"))*IFERROR($QR$4,0)</f>
        <v>0</v>
      </c>
      <c r="FN4343" s="176">
        <f>IF(Tank3!$D$22="no control",_xlfn.MAXIFS(Tank3!$G$32:$G$141,Tank3!$E$32:$E$141,"7446-09-5"),0)*IFERROR($QR$5,0)</f>
        <v>0</v>
      </c>
      <c r="FO4343" s="176">
        <f>_xlfn.MAXIFS(LandEmiss!$AH$20:$AH$119,LandEmiss!$AE$20:$AE$119,"7446-09-5")*IFERROR($QR$5,0)</f>
        <v>0</v>
      </c>
      <c r="FP4343" s="176">
        <f>MAX(_xlfn.MAXIFS(LandEmiss!$CQ$20:$CQ$119,LandEmiss!$CN$20:$CN$119,"7446-09-5"),_xlfn.MAXIFS(LandEmiss!$FB$9:$FB$108,LandEmiss!$EY$9:$EY$108,"7446-09-5"))*IFERROR($QR$5,0)</f>
        <v>0</v>
      </c>
      <c r="FQ4343" s="176">
        <f>IF(Tank4!$D$22="no control",_xlfn.MAXIFS(Tank4!$G$32:$G$141,Tank4!$E$32:$E$141,"7446-09-5"),0)*IFERROR($QR$6,0)</f>
        <v>0</v>
      </c>
      <c r="FR4343" s="176">
        <f>_xlfn.MAXIFS(LandEmiss!$AI$20:$AI$119,LandEmiss!$AE$20:$AE$119,"7446-09-5")*IFERROR($QR$6,0)</f>
        <v>0</v>
      </c>
      <c r="FS4343" s="176">
        <f>MAX(_xlfn.MAXIFS(LandEmiss!$CR$20:$CR$119,LandEmiss!$CN$20:$CN$119,"7446-09-5"),_xlfn.MAXIFS(LandEmiss!$FC$9:$FC$108,LandEmiss!$EY$9:$EY$108,"7446-09-5"))*IFERROR($QR$6,0)</f>
        <v>0</v>
      </c>
      <c r="FT4343" s="176">
        <f>IF(Tank5!$D$22="no control",_xlfn.MAXIFS(Tank5!$G$32:$G$141,Tank5!$E$32:$E$141,"7446-09-5"),0)*IFERROR($QR$7,0)</f>
        <v>0</v>
      </c>
      <c r="FU4343" s="176">
        <f>_xlfn.MAXIFS(LandEmiss!$AJ$20:$AJ$119,LandEmiss!$AE$20:$AE$119,"7446-09-5")*IFERROR($QR$7,0)</f>
        <v>0</v>
      </c>
      <c r="FV4343" s="176">
        <f>MAX(_xlfn.MAXIFS(LandEmiss!$CS$20:$CS$119,LandEmiss!$CN$20:$CN$119,"7446-09-5"),_xlfn.MAXIFS(LandEmiss!$FD$9:$FD$108,LandEmiss!$EY$9:$EY$108,"7446-09-5"))*IFERROR($QR$7,0)</f>
        <v>0</v>
      </c>
      <c r="FW4343" s="176">
        <f>_xlfn.MAXIFS('Load-DrumTote'!$K$27:$K$136,'Load-DrumTote'!$F$27:$F$136,"7446-09-5")*IFERROR($QR$8,0)</f>
        <v>0</v>
      </c>
      <c r="FX4343" s="176">
        <f>_xlfn.MAXIFS('Load-Truck'!$K$27:$K$136,'Load-Truck'!$F$27:$F$136,"7446-09-5")*IFERROR($QR$9,0)</f>
        <v>0</v>
      </c>
      <c r="FY4343" s="176">
        <f>_xlfn.MAXIFS('Load-Rail'!$K$27:$K$136,'Load-Rail'!$F$27:$F$136,"7446-09-5")*IFERROR($QR$10,0)</f>
        <v>0</v>
      </c>
      <c r="FZ4343" s="176">
        <f>_xlfn.MAXIFS('Load-MarineBarge'!$K$27:$K$136,'Load-MarineBarge'!$F$27:$F$136,"7446-09-5")*IFERROR($QR$11,0)</f>
        <v>0</v>
      </c>
      <c r="GA4343" s="176">
        <f>_xlfn.MAXIFS('Load-MarineShip'!$K$27:$K$136,'Load-MarineShip'!$F$27:$F$136,"7446-09-5")*IFERROR($QR$12,0)</f>
        <v>0</v>
      </c>
      <c r="GB4343" s="206">
        <f ca="1">(SUMIF(Flare!$A$67:$C$71,$FC4343,Flare!$D$67:$E$71)+SUMIF(Flare!$A$74:$C$78,$FC4343,Flare!$D$74:$E$78))*IFERROR($QR$13,0)</f>
        <v>0</v>
      </c>
      <c r="GC4343" s="206">
        <f>CtrlDevImpacts!$B$170*IFERROR($QR$13,0)</f>
        <v>0</v>
      </c>
      <c r="GD4343" s="176">
        <f ca="1">(SUMIF(Flare!$A$81:$C$85,$FC4343,Flare!$F$81:$F$85)-CtrlDevImpacts!$B$170)*IFERROR($QR$13,0)</f>
        <v>0</v>
      </c>
      <c r="GE4343" s="176">
        <f>LandEmiss!$B$465*IFERROR($QR$13,0)</f>
        <v>0</v>
      </c>
      <c r="GF4343" s="176">
        <f>MAX(_xlfn.MAXIFS(LandEmiss!$BK$450:$BK$456,LandEmiss!$BJ$450:$BJ$456,$FC4343),_xlfn.MAXIFS(LandEmiss!$DV$447:$DV$453,LandEmiss!$DU$447:$DU$453,$FC4343))*IFERROR($QR$13,0)</f>
        <v>0</v>
      </c>
      <c r="GG4343" s="206">
        <f ca="1">(SUMIF(VCU!$A$78:$C$85,$FC4343,VCU!$D$78:$E$85)+SUMIF(VCU!$A$88:$C$95,$FC4343,VCU!$D$88:$E$95))*IFERROR($QR$14,0)</f>
        <v>0</v>
      </c>
      <c r="GH4343" s="206">
        <f>CtrlDevImpacts!$C$170*IFERROR($QR$14,0)</f>
        <v>0</v>
      </c>
      <c r="GI4343" s="176">
        <f ca="1">(SUMIF(VCU!$A$98:$C$105,$FC4343,VCU!$F$98:$F$105)-CtrlDevImpacts!$C$170)*IFERROR($QR$14,0)</f>
        <v>0</v>
      </c>
      <c r="GJ4343" s="176">
        <f>LandEmiss!D465*IFERROR($QR$14,0)</f>
        <v>0</v>
      </c>
      <c r="GK4343" s="156">
        <f>MAX(_xlfn.MAXIFS(LandEmiss!$BM$450:$BM$456,LandEmiss!$BJ$450:$BJ$456,$FC4343),_xlfn.MAXIFS(LandEmiss!$DX$447:$DX$453,LandEmiss!$DU$447:$DU$453,$FC4343))*IFERROR($QR$14,0)</f>
        <v>0</v>
      </c>
      <c r="GL4343" s="206">
        <f ca="1">SUMIF(VaporOxidizer!$A$69:$C$76,$FC4343,VaporOxidizer!$D$69:$E$76)*IFERROR($QR$15,0)</f>
        <v>0</v>
      </c>
      <c r="GM4343" s="206">
        <f>CtrlDevImpacts!$D$170*IFERROR($QR$15,0)</f>
        <v>0</v>
      </c>
      <c r="GN4343" s="176">
        <f ca="1">(SUMIF(VaporOxidizer!$A$79:$C$86,$FC4343,VaporOxidizer!$F$79:$F$86)-CtrlDevImpacts!$D$170)*IFERROR($QR$15,0)</f>
        <v>0</v>
      </c>
      <c r="GO4343" s="176">
        <f>LandEmiss!F465*IFERROR($QR$15,0)</f>
        <v>0</v>
      </c>
      <c r="GP4343" s="156">
        <f>MAX(_xlfn.MAXIFS(LandEmiss!$BO$450:$BO$456,LandEmiss!$BJ$450:$BJ$456,$FC4343),_xlfn.MAXIFS(LandEmiss!$DZ$447:$DZ$453,LandEmiss!$DU$447:$DU$453,$FC4343))*IFERROR($QR$15,0)</f>
        <v>0</v>
      </c>
      <c r="GQ4343" s="77"/>
      <c r="GR4343" s="77"/>
      <c r="GS4343" s="156">
        <f>LandEmiss!$H465*IFERROR($QR$27,0)</f>
        <v>0</v>
      </c>
      <c r="GT4343" s="156">
        <f>MAX(_xlfn.MAXIFS(LandEmiss!$BQ$450:$BQ$456,LandEmiss!$BJ$450:$BJ$456,$FC4343),_xlfn.MAXIFS(LandEmiss!$EB$447:$EB$453,LandEmiss!$DU$447:$DU$453,$FC4343))*IFERROR($QR$27,0)</f>
        <v>0</v>
      </c>
      <c r="GU4343" s="156">
        <f>LandEmiss!$J465*IFERROR($QR$26,0)</f>
        <v>0</v>
      </c>
      <c r="GV4343" s="156">
        <f>MAX(_xlfn.MAXIFS(LandEmiss!$BS$450:$BS$456,LandEmiss!$BJ$450:$BJ$456,$FC4343),_xlfn.MAXIFS(LandEmiss!$ED$447:$ED$453,LandEmiss!$DU$447:$DU$453,$FC4343))*IFERROR($QR$26,0)</f>
        <v>0</v>
      </c>
      <c r="GW4343" s="156">
        <f>LandEmiss!$L465*IFERROR($QR$25,0)</f>
        <v>0</v>
      </c>
      <c r="GX4343" s="156">
        <f>MAX(_xlfn.MAXIFS(LandEmiss!$BU$450:$BU$456,LandEmiss!$BJ$450:$BJ$456,$FC4343),_xlfn.MAXIFS(LandEmiss!$EF$447:$EF$453,LandEmiss!$DU$447:$DU$453,$FC4343))*IFERROR($QR$25,0)</f>
        <v>0</v>
      </c>
      <c r="GY4343" s="177">
        <f>SUMIF(Engine1!$A$32:$A$38,$FC4338,Engine1!$I$32:$I$38)*IFERROR($QR$17,0)*(Engine1!$E$28/(IF(COUNTIF(NAcounties,'PI-1-MarineLoading'!$D$73)=0,8760,6570)))</f>
        <v>0</v>
      </c>
      <c r="GZ4343" s="196">
        <f>SUMIF(Engine2!$A$33:$A$38,$EH6165,Engine2!$F$33:$F$38)*IFERROR($QR$18,0)*(Engine2!$D$28/(IF(COUNTIF(NAcounties,'PI-1-MarineLoading'!$D$70)=0,8760,6570)))</f>
        <v>0</v>
      </c>
      <c r="HA4343" s="177">
        <f>IF(HeaterBoiler1!$E$15&lt;&gt;"HEATER",0,SUMIF(HeaterBoiler1!$A$44:$A$51,$FC4343,HeaterBoiler1!$I$44:$I$51)*IFERROR($QR$19,0))</f>
        <v>0</v>
      </c>
      <c r="HB4343" s="177">
        <f>IF(HeaterBoiler2!$E$15&lt;&gt;"HEATER",0,SUMIF(HeaterBoiler2!$A$44:$A$50,$FC4343,HeaterBoiler2!$I$44:$I$50)*IFERROR($QR$21,0))</f>
        <v>0</v>
      </c>
      <c r="HC4343" s="196">
        <f>IF(HeaterBoiler1!$E$15&lt;&gt;"BOILER",0,SUMIF(HeaterBoiler1!$A$44:$A$51,$FC4343,HeaterBoiler1!$I$44:$I$51)*IFERROR($QR$20,0))</f>
        <v>0</v>
      </c>
      <c r="HD4343" s="177">
        <f>IF(HeaterBoiler2!$E$15&lt;&gt;"BOILER",0,SUMIF(HeaterBoiler2!$A$44:$A$50,$FC4343,HeaterBoiler2!$I$44:$I$50)*IFERROR($QR$22,0))</f>
        <v>0</v>
      </c>
      <c r="HE4343" s="176">
        <f>_xlfn.MAXIFS(Fug!$I$96:$I$205,Fug!$A$96:$A$205,"7446-09-5")*IFERROR($QR$23,0)</f>
        <v>0</v>
      </c>
      <c r="HF4343" s="156">
        <f>MSS!$F150*IFERROR($QR$24,0)</f>
        <v>0</v>
      </c>
      <c r="HG4343" s="156">
        <f ca="1">MAX($FH4343:$FI4343)+MAX($FK4343:$FL4343)+MAX($FN4343:$FO4343)+MAX($FQ4343:$FR4343)+MAX($FT4343:$FU4343)+SUM($FW4343:$GA4343)+SUM($GB4343:$GE4343)+SUM($GG4343:$GJ4343)+SUM($GL4343:$GO4343)+$GR4343+$GS4343+$GU4343+$GW4343+SUM($GY4343:$HF4343)</f>
        <v>0</v>
      </c>
      <c r="HH4343" s="206">
        <f ca="1">$FJ4343+$FK4343+$FN4343+$FQ4343+$FT4343+$GF4343+$GK4343+$GP4343+$GT4343+$GV4343+$GX4343+SUM($HA4343:$HD4343)+$HE4343+$HF4343+$GB4343+$GC4343+$GG4343+$GH4343+$GL4343+$GM4343</f>
        <v>0</v>
      </c>
      <c r="HI4343" s="206">
        <f ca="1">$FH4343+$FM4343+$FN4343+$FQ4343+$FT4343+$GF4343+$GK4343+$GP4343+$GT4343+$GV4343+$GX4343+SUM($HA4343:$HD4343)+$HE4343+$HF4343+$GB4343+$GC4343+$GG4343+$GH4343+$GL4343+$GM4343</f>
        <v>0</v>
      </c>
      <c r="HJ4343" s="206">
        <f ca="1">$FH4343+$FK4343+$FP4343+$FQ4343+$FT4343+$GF4343+$GK4343+$GP4343+$GT4343+$GV4343+$GX4343+SUM($HA4343:$HD4343)+$HE4343+$HF4343+$GB4343+$GC4343+$GG4343+$GH4343+$GL4343+$GM4343</f>
        <v>0</v>
      </c>
      <c r="HK4343" s="206">
        <f ca="1">$FH4343+$FK4343+$FN4343+$FS4343+$FT4343+$GF4343+$GK4343+$GP4343+$GT4343+$GV4343+$GX4343+SUM($HA4343:$HD4343)+$HE4343+$HF4343+$GB4343+$GC4343+$GG4343+$GH4343+$GL4343+$GM4343</f>
        <v>0</v>
      </c>
      <c r="HL4343" s="206">
        <f ca="1">$FH4343+$FK4343+$FN4343+$FQ4343+$FV4343+$GF4343+$GK4343+$GP4343+$GT4343+$GV4343+$GX4343+SUM($HA4343:$HD4343)+$HE4343+$HF4343+$GB4343+$GC4343+$GG4343+$GH4343+$GL4343+$GM4343</f>
        <v>0</v>
      </c>
      <c r="HN4343" s="176">
        <f>IF(Tank1!$D$22="no control",_xlfn.MAXIFS(Tank1!$G$32:$G$141,Tank1!$E$32:$E$141,"7446-09-5"),0)*IFERROR($QS$3,0)</f>
        <v>0</v>
      </c>
      <c r="HO4343" s="176">
        <f>_xlfn.MAXIFS(LandEmiss!$AF$20:$AF$119,LandEmiss!$AE$20:$AE$119,"7446-09-5")*IFERROR($QS$3,0)</f>
        <v>0</v>
      </c>
      <c r="HP4343" s="176">
        <f>(_xlfn.MAXIFS(LandEmiss!$CO$20:$CO$119,LandEmiss!$CN$20:$CN$119,"7446-09-5")+_xlfn.MAXIFS(LandEmiss!$EZ$9:$EZ$108,LandEmiss!$EY$9:$EY$108,"7446-09-5"))*IFERROR($QS$3,0)</f>
        <v>0</v>
      </c>
      <c r="HQ4343" s="176">
        <f>IF(Tank2!$D$22="no control",_xlfn.MAXIFS(Tank2!$G$32:$G$141,Tank2!$E$32:$E$141,"7446-09-5"),0)*IFERROR($QS$4,0)</f>
        <v>0</v>
      </c>
      <c r="HR4343" s="176">
        <f>_xlfn.MAXIFS(LandEmiss!$AG$20:$AG$119,LandEmiss!$AE$20:$AE$119,"7446-09-5")*IFERROR($QS$4,0)</f>
        <v>0</v>
      </c>
      <c r="HS4343" s="176">
        <f>(_xlfn.MAXIFS(LandEmiss!$CP$20:$CP$119,LandEmiss!$CN$20:$CN$119,"7446-09-5")+_xlfn.MAXIFS(LandEmiss!$FA$9:$FA$108,LandEmiss!$EY$9:$EY$108,"7446-09-5"))*IFERROR($QS$4,0)</f>
        <v>0</v>
      </c>
      <c r="HT4343" s="176">
        <f>IF(Tank3!$D$22="no control",_xlfn.MAXIFS(Tank3!$G$32:$G$141,Tank3!$E$32:$E$141,"7446-09-5"),0)*IFERROR($QS$5,0)</f>
        <v>0</v>
      </c>
      <c r="HU4343" s="176">
        <f>_xlfn.MAXIFS(LandEmiss!$AH$20:$AH$119,LandEmiss!$AE$20:$AE$119,"7446-09-5")*IFERROR($QS$5,0)</f>
        <v>0</v>
      </c>
      <c r="HV4343" s="176">
        <f>(_xlfn.MAXIFS(LandEmiss!$CQ$20:$CQ$119,LandEmiss!$CN$20:$CN$119,"7446-09-5")+_xlfn.MAXIFS(LandEmiss!$FB$9:$FB$108,LandEmiss!$EY$9:$EY$108,"7446-09-5"))*IFERROR($QS$5,0)</f>
        <v>0</v>
      </c>
      <c r="HW4343" s="176">
        <f>IF(Tank4!$D$22="no control",_xlfn.MAXIFS(Tank4!$G$32:$G$141,Tank4!$E$32:$E$141,"7446-09-5"),0)*IFERROR($QS$6,0)</f>
        <v>0</v>
      </c>
      <c r="HX4343" s="176">
        <f>_xlfn.MAXIFS(LandEmiss!$AI$20:$AI$119,LandEmiss!$AE$20:$AE$119,"7446-09-5")*IFERROR($QS$6,0)</f>
        <v>0</v>
      </c>
      <c r="HY4343" s="176">
        <f>(_xlfn.MAXIFS(LandEmiss!$CR$20:$CR$119,LandEmiss!$CN$20:$CN$119,"7446-09-5")+_xlfn.MAXIFS(LandEmiss!$FC$9:$FC$108,LandEmiss!$EY$9:$EY$108,"7446-09-5"))*IFERROR($QS$6,0)</f>
        <v>0</v>
      </c>
      <c r="HZ4343" s="176">
        <f>IF(Tank5!$D$22="no control",_xlfn.MAXIFS(Tank5!$G$32:$G$141,Tank5!$E$32:$E$141,"7446-09-5"),0)*IFERROR($QS$7,0)</f>
        <v>0</v>
      </c>
      <c r="IA4343" s="176">
        <f>_xlfn.MAXIFS(LandEmiss!$AJ$20:$AJ$119,LandEmiss!$AE$20:$AE$119,"7446-09-5")*IFERROR($QS$7,0)</f>
        <v>0</v>
      </c>
      <c r="IB4343" s="176">
        <f>(_xlfn.MAXIFS(LandEmiss!$CS$20:$CS$119,LandEmiss!$CN$20:$CN$119,"7446-09-5")+_xlfn.MAXIFS(LandEmiss!$FD$9:$FD$108,LandEmiss!$EY$9:$EY$108,"7446-09-5"))*IFERROR($QS$7,0)</f>
        <v>0</v>
      </c>
      <c r="IC4343" s="176">
        <f>_xlfn.MAXIFS('Load-DrumTote'!$K$27:$K$136,'Load-DrumTote'!$E$27:$E$136,"NO",'Load-DrumTote'!$F$27:$F$136,"7446-09-5")*IFERROR($QS$8,0)</f>
        <v>0</v>
      </c>
      <c r="ID4343" s="176">
        <f>_xlfn.MAXIFS('Load-Truck'!$K$27:$K$136,'Load-Truck'!$E$27:$E$136,"NO",'Load-Truck'!$F$27:$F$136,"7446-09-5")*IFERROR($QS$9,0)</f>
        <v>0</v>
      </c>
      <c r="IE4343" s="176">
        <f>_xlfn.MAXIFS('Load-Rail'!$K$27:$K$136,'Load-Rail'!$E$27:$E$136,"NO",'Load-Rail'!$F$27:$F$136,"7446-09-5")*IFERROR($QS$10,0)</f>
        <v>0</v>
      </c>
      <c r="IF4343" s="176">
        <f>_xlfn.MAXIFS('Load-MarineBarge'!$K$27:$K$136,'Load-MarineBarge'!$E$27:$E$136,"NO",'Load-MarineBarge'!$F$27:$F$136,"7446-09-5")*IFERROR($QS$11,0)</f>
        <v>0</v>
      </c>
      <c r="IG4343" s="176">
        <f>_xlfn.MAXIFS('Load-MarineShip'!$K$27:$K$136,'Load-MarineShip'!$E$27:$E$136,"NO",'Load-MarineShip'!$F$27:$F$136,"7446-09-5")*IFERROR($QS$12,0)</f>
        <v>0</v>
      </c>
      <c r="IH4343" s="206">
        <f ca="1">(SUMIF(Flare!$A$67:$C$71,$FC4343,Flare!$D$67:$E$71)+SUMIF(Flare!$A$74:$C$78,$FC4343,Flare!$D$74:$E$78))*IFERROR($QS$13,0)</f>
        <v>0</v>
      </c>
      <c r="II4343" s="206">
        <f>CtrlDevImpacts!$B$170*IFERROR($QS$13,0)</f>
        <v>0</v>
      </c>
      <c r="IJ4343" s="317">
        <f ca="1">(SUMIF(Flare!$A$81:$C$85,$FC4343,Flare!$F$81:$F$85)-CtrlDevImpacts!$B$170)*IFERROR($QS$13,0)</f>
        <v>0</v>
      </c>
      <c r="IK4343" s="177">
        <f>LandEmiss!$B$465*IFERROR($QS$13,0)</f>
        <v>0</v>
      </c>
      <c r="IL4343" s="177">
        <f>MAX(_xlfn.MAXIFS(LandEmiss!$BK$450:$BK$456,LandEmiss!$BJ$450:$BJ$456,$FC4343),_xlfn.MAXIFS(LandEmiss!$DV$447:$DV$453,LandEmiss!$DU$447:$DU$453,$FC4343))*IFERROR($QS$13,0)</f>
        <v>0</v>
      </c>
      <c r="IM4343" s="317">
        <f ca="1">(SUMIF(VCU!$A$78:$C$85,$FC4343,VCU!D78:E85)+SUMIF(VCU!$A$88:$C$95,$FC4343,VCU!$D$88:$E$95))*IFERROR($QS$14,0)</f>
        <v>0</v>
      </c>
      <c r="IN4343" s="317">
        <f>CtrlDevImpacts!$C$170*IFERROR($QS$14,0)</f>
        <v>0</v>
      </c>
      <c r="IO4343" s="317">
        <f ca="1">(SUMIF(VCU!$A$98:$C$105,$FC4343,VCU!$F$98:$F$105)-CtrlDevImpacts!$C$170)*IFERROR($QS$14,0)</f>
        <v>0</v>
      </c>
      <c r="IP4343" s="177">
        <f>LandEmiss!$D$465*IFERROR($QS$14,0)</f>
        <v>0</v>
      </c>
      <c r="IQ4343" s="177">
        <f>MAX(_xlfn.MAXIFS(LandEmiss!$BM$450:$BM$456,LandEmiss!$BJ$450:$BJ$456,$FC4343),_xlfn.MAXIFS(LandEmiss!$DX$447:$DX$453,LandEmiss!$DU$447:$DU$453,$FC4343))*IFERROR($QS$14,0)</f>
        <v>0</v>
      </c>
      <c r="IR4343" s="317">
        <f ca="1">SUMIF(VaporOxidizer!$A$69:$C$76,$FC4343,VaporOxidizer!$D$69:$E$76)*IFERROR($QS$15,0)</f>
        <v>0</v>
      </c>
      <c r="IS4343" s="317">
        <f>CtrlDevImpacts!$D$170</f>
        <v>0</v>
      </c>
      <c r="IT4343" s="317">
        <f ca="1">(SUMIF(VaporOxidizer!$A$79:$C$86,$FC4343,VaporOxidizer!$F$79:$F$86)-CtrlDevImpacts!$D$170)*IFERROR($QS$15,0)</f>
        <v>0</v>
      </c>
      <c r="IU4343" s="177">
        <f>LandEmiss!$F$465*IFERROR($QS$15,0)</f>
        <v>0</v>
      </c>
      <c r="IV4343" s="177">
        <f>MAX(_xlfn.MAXIFS(LandEmiss!$BO$450:$BO$456,LandEmiss!$BJ$450:$BJ$456,$FC4343),_xlfn.MAXIFS(LandEmiss!$DZ$447:$DZ$453,LandEmiss!$DU$447:$DU$453,$FC4343))*IFERROR($QS$15,0)</f>
        <v>0</v>
      </c>
      <c r="IW4343" s="77"/>
      <c r="IX4343" s="77"/>
      <c r="IY4343" s="199">
        <f>LandEmiss!$H$465*IFERROR($QS$27,0)</f>
        <v>0</v>
      </c>
      <c r="IZ4343" s="199">
        <f>MAX(_xlfn.MAXIFS(LandEmiss!$BQ$450:$BQ$456,LandEmiss!$BJ$450:$BJ$456,$FC4343),_xlfn.MAXIFS(LandEmiss!$EB$447:$EB$453,LandEmiss!$DU$447:$DU$453,$FC4343))*IFERROR($QS$27,0)</f>
        <v>0</v>
      </c>
      <c r="JA4343" s="199">
        <f>LandEmiss!$J$465*IFERROR($QS$26,0)</f>
        <v>0</v>
      </c>
      <c r="JB4343" s="199">
        <f>MAX(_xlfn.MAXIFS(LandEmiss!$BS$450:$BS$456,LandEmiss!$BJ$450:$BJ$456,$FC4343),_xlfn.MAXIFS(LandEmiss!$ED$447:$ED$453,LandEmiss!$DU$447:$DU$453,$FC4343))*IFERROR($QS$26,0)</f>
        <v>0</v>
      </c>
      <c r="JC4343" s="199">
        <f>LandEmiss!$L$465*IFERROR($QS$25,0)</f>
        <v>0</v>
      </c>
      <c r="JD4343" s="199">
        <f>MAX(_xlfn.MAXIFS(LandEmiss!$BU$450:$BU$456,LandEmiss!$BJ$450:$BJ$456,$FC4343),_xlfn.MAXIFS(LandEmiss!$EF$447:$EF$453,LandEmiss!$DU$447:$DU$453,$FC4343))*IFERROR($QS$25,0)</f>
        <v>0</v>
      </c>
      <c r="JE4343" s="177">
        <f>Engine1!$I$38*IFERROR($QS$17,0)</f>
        <v>0</v>
      </c>
      <c r="JF4343" s="196">
        <f>Engine2!$I$38*IFERROR($QS$18,0)</f>
        <v>0</v>
      </c>
      <c r="JG4343" s="177">
        <f>IF(HeaterBoiler1!$E$15&lt;&gt;"HEATER",HeaterBoiler1!$I$50*IFERROR($QS$19,0),0)</f>
        <v>0</v>
      </c>
      <c r="JH4343" s="196">
        <f>IF(HeaterBoiler2!$E$15&lt;&gt;"HEATER",HeaterBoiler2!$I$50*IFERROR($QS$21,0),0)</f>
        <v>0</v>
      </c>
      <c r="JI4343" s="177">
        <f>IF(HeaterBoiler1!$E$15&lt;&gt;"BOILER",HeaterBoiler1!$I$50*IFERROR($QS$20,0),0)</f>
        <v>0</v>
      </c>
      <c r="JJ4343" s="196">
        <f>IF(HeaterBoiler2!$E$15&lt;&gt;"BOILER",HeaterBoiler2!$I$50*IFERROR($QS$22,0),0)</f>
        <v>0</v>
      </c>
      <c r="JK4343" s="177">
        <f>SUMIF(Fug!$A$96:$A$205,"7664-93-9",Fug!$I$96:$I$205)*IFERROR($QS$23,0)</f>
        <v>0</v>
      </c>
      <c r="JL4343" s="156">
        <f>MSS!$F$150*IFERROR($QS$24,0)</f>
        <v>0</v>
      </c>
      <c r="JM4343" s="156">
        <f ca="1">MAX($HN$4343:$HO$4343)+MAX($HQ$4343:$HR$4343)+MAX($HT$4343:$HU$4343)+MAX($HW$4343:$HX$4343)+MAX($HZ$4343:$IA$4343)+SUM($IC$4343:$IK$4343)+SUM($IM$4343:$IP$4343)+SUM($IR$4343:$IU$4343)+IY$4343+$JA$4343+$JC$4343+SUM($JE$4343:$JL$4343)</f>
        <v>0</v>
      </c>
      <c r="JN4343" s="156">
        <f>$HP$4343+$HQ$4343+$HT$4343+$HW$4343+$HZ$4343+$IL$4343+$IQ$4343+$IV$4343+$IZ$4343+$JB$4343+$JD$4343+SUM($JE$4343:$JL$4343)</f>
        <v>0</v>
      </c>
      <c r="JO4343" s="156">
        <f>$HN$4343+$HS$4343+$HT$4343+$HW$4343+$HZ$4343+$IL$4343+$IQ$4343+$IV$4343+$IZ$4343+$JB$4343+$JD$4343+SUM($JE$4343:$JL$4343)</f>
        <v>0</v>
      </c>
      <c r="JP4343" s="156">
        <f>$HN$4343+$HQ$4343+$HV$4343+$HW$4343+$HZ$4343+$IL$4343+$IQ$4343+$IV$4343+$IZ$4343+$JB$4343+$JD$4343+SUM($JE$4343:$JL$4343)</f>
        <v>0</v>
      </c>
      <c r="JQ4343" s="156">
        <f>$HN$4343+$HQ$4343+$HT$4343+$HY$4343+$HZ$4343+$IL$4343+$IQ$4343+$IV$4343+$IZ$4343+$JB$4343+$JD$4343+SUM($JE$4343:$JL$4343)</f>
        <v>0</v>
      </c>
      <c r="JR4343" s="156">
        <f>$HN$4343+$HQ$4343+$HT$4343+$HW$4343+$IB$4343+$IL$4343+$IQ$4343+$IV$4343+$IZ$4343+$JB$4343+$JD$4343+SUM($JE$4343:$JL$4343)</f>
        <v>0</v>
      </c>
      <c r="JT4343" s="146"/>
      <c r="JU4343" s="146"/>
      <c r="JV4343" s="146"/>
      <c r="JW4343" s="146"/>
      <c r="JX4343" s="146"/>
      <c r="JY4343" s="146"/>
      <c r="JZ4343" s="146"/>
      <c r="KA4343" s="146"/>
      <c r="KB4343" s="146"/>
      <c r="KC4343" s="146"/>
      <c r="KD4343" s="146"/>
      <c r="KE4343" s="146"/>
      <c r="KF4343" s="146"/>
      <c r="KG4343" s="146"/>
      <c r="KH4343" s="146"/>
      <c r="KI4343" s="146"/>
      <c r="KJ4343" s="146"/>
      <c r="KK4343" s="146"/>
      <c r="KL4343" s="146"/>
      <c r="KM4343" s="146"/>
      <c r="KN4343" s="146"/>
      <c r="KO4343" s="146"/>
      <c r="KP4343" s="146"/>
      <c r="KQ4343" s="146"/>
      <c r="KR4343" s="146"/>
      <c r="KS4343" s="146"/>
      <c r="KT4343" s="146"/>
      <c r="KU4343" s="146"/>
      <c r="KV4343" s="146"/>
      <c r="KW4343" s="146"/>
      <c r="KX4343" s="146"/>
      <c r="KY4343" s="146"/>
      <c r="KZ4343" s="146"/>
      <c r="LA4343" s="146"/>
      <c r="LB4343" s="146"/>
      <c r="LC4343" s="146"/>
      <c r="LD4343" s="146"/>
      <c r="LE4343" s="146"/>
      <c r="LF4343" s="146"/>
      <c r="LG4343" s="146"/>
      <c r="LI4343" s="77"/>
      <c r="LJ4343" s="77"/>
      <c r="LK4343" s="77"/>
      <c r="LL4343" s="77"/>
      <c r="LM4343" s="77"/>
      <c r="LN4343" s="77"/>
      <c r="LO4343" s="77"/>
      <c r="LP4343" s="77"/>
      <c r="LQ4343" s="77"/>
      <c r="LR4343" s="77"/>
      <c r="LS4343" s="77"/>
      <c r="LT4343" s="77"/>
      <c r="LU4343" s="77"/>
      <c r="LV4343" s="77"/>
      <c r="LW4343" s="77"/>
      <c r="LX4343" s="77"/>
      <c r="LY4343" s="77"/>
      <c r="LZ4343" s="77"/>
      <c r="MA4343" s="77"/>
      <c r="MB4343" s="77"/>
      <c r="MC4343" s="206">
        <f>(Flare!$D$70+Flare!$D$77)*IFERROR($QU$13,0)</f>
        <v>0</v>
      </c>
      <c r="MD4343" s="206">
        <f>CtrlDevImpacts!$B$170*IFERROR($QU$13,0)</f>
        <v>0</v>
      </c>
      <c r="ME4343" s="206">
        <f>(Flare!$F$84-CtrlDevImpacts!$B$170)*IFERROR($QU$13,0)</f>
        <v>0</v>
      </c>
      <c r="MF4343" s="176">
        <f>LandEmiss!$B$465*IFERROR($QU$13,0)</f>
        <v>0</v>
      </c>
      <c r="MG4343" s="176">
        <f>MAX(_xlfn.MAXIFS(LandEmiss!$BK$450:$BK$456,LandEmiss!$BJ$450:$BJ$456,$FC4343),_xlfn.MAXIFS(LandEmiss!$DV$447:$DV$453,LandEmiss!$DU$447:$DU$453,$FC4343))*IFERROR($QU$13,0)</f>
        <v>0</v>
      </c>
      <c r="MH4343" s="206">
        <f>(VCU!$D$84+VCU!$D$94)*IFERROR($QU$14,0)</f>
        <v>0</v>
      </c>
      <c r="MI4343" s="206">
        <f>CtrlDevImpacts!$C$170*IFERROR($QU$14,0)</f>
        <v>0</v>
      </c>
      <c r="MJ4343" s="206">
        <f>(VCU!$F$104-CtrlDevImpacts!$C$170)*IFERROR($QU$14,0)</f>
        <v>0</v>
      </c>
      <c r="MK4343" s="176">
        <f>LandEmiss!$D465*IFERROR($QU$14,0)</f>
        <v>0</v>
      </c>
      <c r="ML4343" s="176">
        <f>MAX(_xlfn.MAXIFS(LandEmiss!$BM$450:$BM$456,LandEmiss!$BJ$450:$BJ$456,$FC4343),_xlfn.MAXIFS(LandEmiss!$DX$447:$DX$453,LandEmiss!$DU$447:$DU$453,$FC4343))*IFERROR($QU$14,0)</f>
        <v>0</v>
      </c>
      <c r="MM4343" s="157">
        <f>VaporOxidizer!$D$75*IFERROR(Hidden!$QU$15,0)</f>
        <v>0</v>
      </c>
      <c r="MN4343" s="157">
        <f>CtrlDevImpacts!$D$170*IFERROR(Hidden!$QU$15,0)</f>
        <v>0</v>
      </c>
      <c r="MO4343" s="157">
        <f>(VaporOxidizer!$F$85-CtrlDevImpacts!$D$170)*IFERROR(Hidden!$QU$15,0)</f>
        <v>0</v>
      </c>
      <c r="MP4343" s="176">
        <f>LandEmiss!$F465*IFERROR($QU$15,0)</f>
        <v>0</v>
      </c>
      <c r="MQ4343" s="176">
        <f>MAX(_xlfn.MAXIFS(LandEmiss!$BO$450:$BO$456,LandEmiss!$BJ$450:$BJ$456,$FC4343),_xlfn.MAXIFS(LandEmiss!$DZ$447:$DZ$453,LandEmiss!$DU$447:$DU$453,$FC4343))*IFERROR($QU$15,0)</f>
        <v>0</v>
      </c>
      <c r="MR4343" s="77"/>
      <c r="MS4343" s="77"/>
      <c r="MT4343" s="176">
        <f>LandEmiss!$H$465*IFERROR($QU$27,0)</f>
        <v>0</v>
      </c>
      <c r="MU4343" s="176">
        <f>MAX(_xlfn.MAXIFS(LandEmiss!$BQ$450:$BQ$456,LandEmiss!$BJ$450:$BJ$456,$FC4343),_xlfn.MAXIFS(LandEmiss!$EB$447:$EB$453,LandEmiss!$DU$447:$DU$453,$FC4343))*IFERROR($QU$27,0)</f>
        <v>0</v>
      </c>
      <c r="MV4343" s="176">
        <f>LandEmiss!$J465*IFERROR($QU$26,0)</f>
        <v>0</v>
      </c>
      <c r="MW4343" s="176">
        <f>MAX(_xlfn.MAXIFS(LandEmiss!$BS$450:$BS$456,LandEmiss!$BJ$450:$BJ$456,$FC4343),_xlfn.MAXIFS(LandEmiss!$ED$447:$ED$453,LandEmiss!$DU$447:$DU$453,$FC4343))*IFERROR($QU$26,0)</f>
        <v>0</v>
      </c>
      <c r="MX4343" s="176">
        <f>LandEmiss!$L465*IFERROR($QU$25,0)</f>
        <v>0</v>
      </c>
      <c r="MY4343" s="176">
        <f>MAX(_xlfn.MAXIFS(LandEmiss!$BU$450:$BU$456,LandEmiss!$BJ$450:$BJ$456,$FC4343),_xlfn.MAXIFS(LandEmiss!$EF$447:$EF$453,LandEmiss!$DU$447:$DU$453,$FC4343))*IFERROR($QU$25,0)</f>
        <v>0</v>
      </c>
      <c r="MZ4343" s="176">
        <f>Engine1!$I38*IFERROR(Hidden!$QU$17,0)</f>
        <v>0</v>
      </c>
      <c r="NA4343" s="176">
        <f>Engine2!$I38*IFERROR(Hidden!$QU$18,0)</f>
        <v>0</v>
      </c>
      <c r="NB4343" s="176">
        <f>IF(HeaterBoiler1!$E$15="HEATER",HeaterBoiler1!$F57*IFERROR($QU$19,0),0)</f>
        <v>0</v>
      </c>
      <c r="NC4343" s="176">
        <f>IF(HeaterBoiler2!$E$15="HEATER",HeaterBoiler2!$F57*IFERROR($QU$21,0),0)</f>
        <v>0</v>
      </c>
      <c r="ND4343" s="176">
        <f>IF(HeaterBoiler1!$E$15="BOILER",HeaterBoiler1!$F57*IFERROR($QU$20,0),0)</f>
        <v>0</v>
      </c>
      <c r="NE4343" s="176">
        <f>IF(HeaterBoiler2!$E$15="BOILER",HeaterBoiler2!$F57*IFERROR($QU$22,0),0)</f>
        <v>0</v>
      </c>
      <c r="NF4343" s="176">
        <f>SUMIF(Fug!$A$96:$A$205,"7783-06-4",Fug!$I$96:$I$205)*IFERROR($QU$23,0)</f>
        <v>0</v>
      </c>
      <c r="NG4343" s="156">
        <f>MSS!$F150*IFERROR(Hidden!$QU$24,0)</f>
        <v>0</v>
      </c>
      <c r="NH4343" s="156">
        <f>SUM($MH4343:$MK4343)+SUM($MM4343:$MP4343)+$MV4343+$MX4343+SUM($MZ4343:$NG4343)+SUM(MC$4343:MF$4343)</f>
        <v>0</v>
      </c>
      <c r="NI4343" s="156">
        <f>$ML4343+$MQ4343+$MW4343+$MY4343+SUM($MZ4343:$NG4343)+$MI4343+$MH4343+$MD4343+$MC4343+$MN4343+$MM4343</f>
        <v>0</v>
      </c>
      <c r="NJ4343" s="156">
        <f>$ML4343+$MQ4343+$MW4343+$MY4343+SUM($MZ4343:$NG4343)+$MC4343+$MD4343+$MG4343+$MH4343+$MI4343+$MM4343+$MN4343</f>
        <v>0</v>
      </c>
      <c r="NK4343" s="156">
        <f>$ML4343+$MQ4343+$MW4343+$MY4343+SUM($MZ4343:$NG4343)+$MG4343+$MC4343+$MD4343+$MH4343+$MI4343+$MM4343+$MN4343</f>
        <v>0</v>
      </c>
      <c r="NL4343" s="156">
        <f>$ML4343+$MQ4343+$MW4343+$MY4343+SUM($MZ4343:$NG4343)+$MG4343+$MC4343+$MD4343+$MH4343+$MI4343+$MM4343+$MN4343</f>
        <v>0</v>
      </c>
      <c r="NM4343" s="156">
        <f>$ML4343+$MQ4343+$MW4343+$MY4343+SUM($MZ4343:$NG4343)+MG4343+MC4343+MD4343+MH4343+MI4343+MM4343+$MN$4343</f>
        <v>0</v>
      </c>
      <c r="NO4343" s="199">
        <f>IF(Tank1!$D$22="no control",SUMIFS(Tank1!$H$32:$H$141,Tank1!$E$32:$E$141,"7446-09-5"),0)*IFERROR($QV$3,0)*(2000/8760)</f>
        <v>0</v>
      </c>
      <c r="NP4343" s="199">
        <f>SUMIFS(LandEmiss!$AK$20:$AK$119,LandEmiss!$AE$20:$AE$119,"7446-09-5")*IFERROR($QV$3,0)*(2000/8760)</f>
        <v>0</v>
      </c>
      <c r="NQ4343" s="199">
        <f>(SUMIF(LandEmiss!$CN$20:$CN$119,"7446-09-5",LandEmiss!$CT$20:$CT$119)+SUMIF(LandEmiss!$EY$9:$EY$108,"7446-09-5",LandEmiss!$FE$9:$FE$108))*(2000/8760)*IFERROR($QV$3,0)</f>
        <v>0</v>
      </c>
      <c r="NR4343" s="199">
        <f>IF(Tank2!$D$22="no control",SUMIFS(Tank2!$H$32:$H$141,Tank2!$E$32:$E$141,"7446-09-5"),0)*IFERROR($QV$4,0)*(2000/8760)</f>
        <v>0</v>
      </c>
      <c r="NS4343" s="199">
        <f>SUMIFS(LandEmiss!$AL$20:$AL$119,LandEmiss!$AE$20:$AE$119,"7446-09-5")*IFERROR($QV$4,0)*(2000/8760)</f>
        <v>0</v>
      </c>
      <c r="NT4343" s="199">
        <f>(SUMIF(LandEmiss!$CN$20:$CN$119,"7446-09-5",LandEmiss!$CU$20:$CU$119)+SUMIF(LandEmiss!$EY$9:$EY$108,"7446-09-5",LandEmiss!$FF$9:$FF$108))*IFERROR($QV$4,0)*(2000/8760)</f>
        <v>0</v>
      </c>
      <c r="NU4343" s="199">
        <f>IF(Tank3!$D$22="no control",SUMIFS(Tank3!$H$32:$H$141,Tank3!$E$32:$E$141,"7446-09-5"),0)*IFERROR($QV$5,0)*(2000/8760)</f>
        <v>0</v>
      </c>
      <c r="NV4343" s="199">
        <f>SUMIFS(LandEmiss!$AM$20:$AM$119,LandEmiss!$AE$20:$AE$119,"7446-09-5")*IFERROR($QV$5,0)*(2000/8760)</f>
        <v>0</v>
      </c>
      <c r="NW4343" s="199">
        <f>(SUMIF(LandEmiss!$CN$20:$CN$119,"7446-09-5",LandEmiss!$CV$20:$CV$119)+SUMIF(LandEmiss!$EY$9:$EY$108,"7446-09-5",LandEmiss!$FG$9:$FG$108))*(2000/8760)*IFERROR($QV$5,0)</f>
        <v>0</v>
      </c>
      <c r="NX4343" s="199">
        <f>IF(Tank4!$D$22="no control",SUMIFS(Tank4!$H$32:$H$141,Tank4!$E$32:$E$141,"7446-09-5"),0)*IFERROR($QV$6,0)*(2000/8760)</f>
        <v>0</v>
      </c>
      <c r="NY4343" s="199">
        <f>SUMIFS(LandEmiss!$AN$20:$AN$119,LandEmiss!$AE$20:$AE$119,"7446-09-5")*IFERROR($QV$6,0)*(2000/8760)</f>
        <v>0</v>
      </c>
      <c r="NZ4343" s="199">
        <f>(SUMIF(LandEmiss!$CN$20:$CN$119,"7446-09-5",LandEmiss!$CW$20:$CW$119)+SUMIF(LandEmiss!$EY$9:$EY$108,"7446-09-5",LandEmiss!$FH$9:$FH$108))*(2000/8760)*IFERROR($QV$6,0)</f>
        <v>0</v>
      </c>
      <c r="OA4343" s="199">
        <f>IF(Tank5!$D$22="no control",SUMIFS(Tank5!$H$32:$H$141,Tank5!$E$32:$E$141,"7446-09-5"),0)*IFERROR($QV$7,0)*(2000/8760)</f>
        <v>0</v>
      </c>
      <c r="OB4343" s="199">
        <f>SUMIFS(LandEmiss!$AO$20:$AO$119,LandEmiss!$AE$20:$AE$119,"7446-09-5")*IFERROR($QV$7,0)*(2000/8760)</f>
        <v>0</v>
      </c>
      <c r="OC4343" s="199">
        <f>(SUMIF(LandEmiss!$CN$20:$CN$119,"7446-09-5",LandEmiss!$CX$20:$CX$119)+SUMIF(LandEmiss!$EY$9:$EY$108,"7446-09-5",LandEmiss!$FI$9:$FI$108))*(2000/8760)*IFERROR($QV$7,0)</f>
        <v>0</v>
      </c>
      <c r="OD4343" s="199">
        <f>_xlfn.MAXIFS('Load-DrumTote'!$K$27:$K$136,'Load-DrumTote'!$F$27:$F$136,"7446-09-5")*IFERROR($QV$8,0)*(2000/8760)</f>
        <v>0</v>
      </c>
      <c r="OE4343" s="199">
        <f>_xlfn.MAXIFS('Load-Truck'!$K$27:$K$136,'Load-Truck'!$F$27:$F$136,"7446-09-5")*IFERROR($QV$9,0)*(2000/8760)</f>
        <v>0</v>
      </c>
      <c r="OF4343" s="199">
        <f>_xlfn.MAXIFS('Load-Rail'!$K$27:$K$136,'Load-Rail'!$F$27:$F$136,"7446-09-5")*IFERROR($QV$10,0)*(2000/8760)</f>
        <v>0</v>
      </c>
      <c r="OG4343" s="199">
        <f>_xlfn.MAXIFS('Load-MarineBarge'!$K$27:$K$136,'Load-MarineBarge'!$F$27:$F$136,"7446-09-5")*IFERROR($QV$11,0)*(2000/8760)</f>
        <v>0</v>
      </c>
      <c r="OH4343" s="199">
        <f>_xlfn.MAXIFS('Load-MarineShip'!$K$27:$K$136,'Load-MarineShip'!$F$27:$F$136,"7446-09-5")*IFERROR($QV$12,0)*(2000/8760)</f>
        <v>0</v>
      </c>
      <c r="OI4343" s="177">
        <f>Flare!$F$91*(2000/8760)*IFERROR($QV$13,0)</f>
        <v>0</v>
      </c>
      <c r="OJ4343" s="177">
        <f>LandEmiss!$C$465*(2000/8760)*IFERROR($QV$13,0)</f>
        <v>0</v>
      </c>
      <c r="OK4343" s="177">
        <f>(SUMIF(LandEmiss!$BJ$450:$BJ$456,$FC4343,LandEmiss!$BL$450:$BL$456)+SUMIF(LandEmiss!$DU$447:$DU$453,$FC4343,LandEmiss!$DW$447:$DW$453))*(2000/8760)*IFERROR($QV$13,0)</f>
        <v>0</v>
      </c>
      <c r="OL4343" s="177">
        <f>VCU!$F114*(2000/8760)*IFERROR($QV$14,0)</f>
        <v>0</v>
      </c>
      <c r="OM4343" s="177">
        <f>LandEmiss!$E465*(2000/8760)*IFERROR($QV$14,0)</f>
        <v>0</v>
      </c>
      <c r="ON4343" s="177">
        <f>(SUMIF(LandEmiss!$BJ$450:$BJ$456,$FC4343,LandEmiss!$BN$450:$BN$456)+SUMIF(LandEmiss!$DU$447:$DU$453,$FC4343,LandEmiss!$DY$447:$DY$453))*(2000/8760)*IFERROR($QV$14,0)</f>
        <v>0</v>
      </c>
      <c r="OO4343" s="177">
        <f>VaporOxidizer!$F95*(2000/8760)*IFERROR($QV$15,0)</f>
        <v>0</v>
      </c>
      <c r="OP4343" s="177">
        <f>LandEmiss!$G465*(2000/8760)*IFERROR($QV$15,0)</f>
        <v>0</v>
      </c>
      <c r="OQ4343" s="177">
        <f>(SUMIF(LandEmiss!$BJ$450:$BJ$456,$FC4343,LandEmiss!$BP$450:$BP$456)+SUMIF(LandEmiss!$DU$447:$DU$453,$FC4343,LandEmiss!$EA$447:$EA$453))*(2000/8760)*IFERROR($QV$15,0)</f>
        <v>0</v>
      </c>
      <c r="OR4343" s="77"/>
      <c r="OS4343" s="176">
        <f>LandEmiss!$I$465*(2000/8760)*IFERROR($QV$27,0)</f>
        <v>0</v>
      </c>
      <c r="OT4343" s="176">
        <f>(SUMIF(LandEmiss!$DU$447:$DU$453,$FC4343,LandEmiss!$EC$447:$EC$453)+SUMIF(LandEmiss!$BJ$450:$BJ$456,$FC4343,LandEmiss!$BR$450:$BR$456))*(2000/8760)*IFERROR($QV$27,0)</f>
        <v>0</v>
      </c>
      <c r="OU4343" s="176">
        <f>LandEmiss!$K$465*(2000/8760)*IFERROR($QV$26,0)</f>
        <v>0</v>
      </c>
      <c r="OV4343" s="176">
        <f>(SUMIF(LandEmiss!$BJ$450:$BJ$456,$FC4343,LandEmiss!$BT$450:$BT$456)+SUMIF(LandEmiss!$DU$447:$DU$453,$FC4343,LandEmiss!$EE$447:$EE$453))*(2000/8760)*IFERROR($QV$26,0)</f>
        <v>0</v>
      </c>
      <c r="OW4343" s="176">
        <f>LandEmiss!$M465*(2000/8760)*IFERROR($QV$25,0)</f>
        <v>0</v>
      </c>
      <c r="OX4343" s="176">
        <f ca="1">(SUMIF(LandEmiss!$BJ$450:$BJ$457,$FC4343,LandEmiss!$BV$450:$BV$456)+SUMIF(LandEmiss!$DU$447:$DU$453,$FC4343,LandEmiss!$EG$447:$EG$453))*(2000/8760)*IFERROR($QV$25,0)</f>
        <v>0</v>
      </c>
      <c r="OY4343" s="177">
        <f>Engine1!$J38*(2000/8760)*IFERROR($QV$17,0)</f>
        <v>0</v>
      </c>
      <c r="OZ4343" s="177">
        <f>Engine2!$J38*(2000/8760)*IFERROR($QV$18,0)</f>
        <v>0</v>
      </c>
      <c r="PA4343" s="177">
        <f>IF(HeaterBoiler1!$E$15="HEATER",HeaterBoiler1!$J50*(2000/8760)*IFERROR($QV$19,0),0)</f>
        <v>0</v>
      </c>
      <c r="PB4343" s="177">
        <f>IF(HeaterBoiler2!$E$15="HEATER",HeaterBoiler2!$J50*(2000/8760)*IFERROR($QV$21,0),0)</f>
        <v>0</v>
      </c>
      <c r="PC4343" s="177">
        <f>IF(HeaterBoiler1!$E$15="BOILER",HeaterBoiler1!$J50*(2000/8760)*IFERROR($QV$20,0),0)</f>
        <v>0</v>
      </c>
      <c r="PD4343" s="177">
        <f>IF(HeaterBoiler2!$E$15="BOILER",HeaterBoiler2!$J50*(2000/8760)*IFERROR($QV$22,0),0)</f>
        <v>0</v>
      </c>
      <c r="PE4343" s="209">
        <f>SUMIFS(Fug!$J$96:$J$205,Fug!$A$96:$A$205,"7446-09-5")*(2000/8760)*IFERROR($QV$23,0)</f>
        <v>0</v>
      </c>
      <c r="PF4343" s="156">
        <f>MSS!$G150*(2000/8760)*IFERROR(Hidden!$QV$24,0)</f>
        <v>0</v>
      </c>
      <c r="PG4343" s="156">
        <f t="shared" ref="PG4343" ca="1" si="57">SUM($NO4343:$PF4343)</f>
        <v>0</v>
      </c>
    </row>
    <row r="4344" spans="158:423" ht="74.25" customHeight="1" x14ac:dyDescent="0.2">
      <c r="FB4344" s="8" t="s">
        <v>9515</v>
      </c>
      <c r="FC4344" s="8" t="s">
        <v>267</v>
      </c>
      <c r="FD4344" s="8" t="s">
        <v>9511</v>
      </c>
      <c r="FE4344" s="8" t="s">
        <v>9511</v>
      </c>
      <c r="FH4344" s="177">
        <f>IF(Tank1!$D$22="no control",_xlfn.MAXIFS(Tank1!$G$32:$G$141,Tank1!$E$32:$E$141,"7783-06-4"),0)*IFERROR($QR$3,0)</f>
        <v>0</v>
      </c>
      <c r="FI4344" s="177">
        <f>_xlfn.MAXIFS(LandEmiss!$AF$20:$AF$119,LandEmiss!$AE$20:$AE$119,"7783-06-4")*IFERROR($QR$3,0)</f>
        <v>0</v>
      </c>
      <c r="FJ4344" s="176">
        <f>(_xlfn.MAXIFS(LandEmiss!$CO$20:$CO$119,LandEmiss!$CN$20:$CN$119,"7783-06-4")+_xlfn.MAXIFS(LandEmiss!$EZ$9:$EZ$108,LandEmiss!$EY$9:$EY$108,"7783-06-4"))*IFERROR($QR$3,0)</f>
        <v>0</v>
      </c>
      <c r="FK4344" s="177">
        <f>IF(Tank2!$D$22="no control",_xlfn.MAXIFS(Tank2!$G$32:$G$141,Tank2!$E$32:$E$141,"7783-06-4"),0)*IFERROR($QR$4,0)</f>
        <v>0</v>
      </c>
      <c r="FL4344" s="177">
        <f>_xlfn.MAXIFS(LandEmiss!$AG$20:$AG$119,LandEmiss!$AE$20:$AE$119,"7783-06-4")*IFERROR($QR$4,0)</f>
        <v>0</v>
      </c>
      <c r="FM4344" s="176">
        <f>(_xlfn.MAXIFS(LandEmiss!$CP$20:$CP$119,LandEmiss!$CN$20:$CN$119,"7783-06-4")+_xlfn.MAXIFS(LandEmiss!$FA$9:$FA$108,LandEmiss!$EY$9:$EY$108,"7783-06-4"))*IFERROR($QR$4,0)</f>
        <v>0</v>
      </c>
      <c r="FN4344" s="177">
        <f>IF(Tank3!$D$22="no control",_xlfn.MAXIFS(Tank3!$G$32:$G$141,Tank3!$E$32:$E$141,"7783-06-4"),0)*IFERROR($QR$5,0)</f>
        <v>0</v>
      </c>
      <c r="FO4344" s="177">
        <f>_xlfn.MAXIFS(LandEmiss!$AH$20:$AH$119,LandEmiss!$AE$20:$AE$119,"7783-06-4")*IFERROR($QR$5,0)</f>
        <v>0</v>
      </c>
      <c r="FP4344" s="176">
        <f>(_xlfn.MAXIFS(LandEmiss!$CQ$20:$CQ$119,LandEmiss!$CN$20:$CN$119,"7783-06-4")+_xlfn.MAXIFS(LandEmiss!$FB$9:$FB$108,LandEmiss!$EY$9:$EY$108,"7783-06-4"))*IFERROR($QR$5,0)</f>
        <v>0</v>
      </c>
      <c r="FQ4344" s="177">
        <f>IF(Tank4!$D$22="no control",_xlfn.MAXIFS(Tank4!$G$32:$G$141,Tank4!$E$32:$E$141,"7783-06-4"),0)*IFERROR($QR$6,0)</f>
        <v>0</v>
      </c>
      <c r="FR4344" s="177">
        <f>_xlfn.MAXIFS(LandEmiss!$AI$20:$AI$119,LandEmiss!$AE$20:$AE$119,"7783-06-4")*IFERROR($QR$6,0)</f>
        <v>0</v>
      </c>
      <c r="FS4344" s="176">
        <f>(_xlfn.MAXIFS(LandEmiss!$CR$20:$CR$119,LandEmiss!$CN$20:$CN$119,"7783-06-4")+_xlfn.MAXIFS(LandEmiss!$FC$9:$FC$108,LandEmiss!$EY$9:$EY$108,"7783-06-4"))*IFERROR($QR$6,0)</f>
        <v>0</v>
      </c>
      <c r="FT4344" s="177">
        <f>IF(Tank5!$D$22="no control",_xlfn.MAXIFS(Tank5!$G$32:$G$141,Tank5!$E$32:$E$141,"7783-06-4"),0)*IFERROR($QR$7,0)</f>
        <v>0</v>
      </c>
      <c r="FU4344" s="177">
        <f>_xlfn.MAXIFS(LandEmiss!$AJ$20:$AJ$119,LandEmiss!$AE$20:$AE$119,"7783-06-4")*IFERROR($QR$7,0)</f>
        <v>0</v>
      </c>
      <c r="FV4344" s="176">
        <f>(_xlfn.MAXIFS(LandEmiss!$CS$20:$CS$119,LandEmiss!$CN$20:$CN$119,"7783-06-4")+_xlfn.MAXIFS(LandEmiss!$FD$9:$FD$108,LandEmiss!$EY$9:$EY$108,"7783-06-4"))*IFERROR($QR$7,0)</f>
        <v>0</v>
      </c>
      <c r="FW4344" s="176">
        <f>_xlfn.MAXIFS('Load-DrumTote'!$K$27:$K$136,'Load-DrumTote'!$F$27:$F$136,"7783-06-4")*IFERROR($QR$8,0)</f>
        <v>0</v>
      </c>
      <c r="FX4344" s="176">
        <f>_xlfn.MAXIFS('Load-Truck'!$K$27:$K$136,'Load-Truck'!$F$27:$F$136,"7783-06-4")*IFERROR($QR$9,0)</f>
        <v>0</v>
      </c>
      <c r="FY4344" s="176">
        <f>_xlfn.MAXIFS('Load-Rail'!$K$27:$K$136,'Load-Rail'!$F$27:$F$136,"7783-06-4")*IFERROR($QR$10,0)</f>
        <v>0</v>
      </c>
      <c r="FZ4344" s="176">
        <f>_xlfn.MAXIFS('Load-MarineBarge'!$K$27:$K$136,'Load-MarineBarge'!$F$27:$F$136,"7783-06-4")*IFERROR($QR$11,0)</f>
        <v>0</v>
      </c>
      <c r="GA4344" s="176">
        <f>_xlfn.MAXIFS('Load-MarineShip'!$K$27:$K$136,'Load-MarineShip'!$F$27:$F$136,"7783-06-4")*IFERROR($QR$12,0)</f>
        <v>0</v>
      </c>
      <c r="GB4344" s="206">
        <f ca="1">(SUMIF(Flare!$A$67:$C$71,$FC4344,Flare!$D$67:$E$71)+SUMIF(Flare!$A$74:$C$78,$FC4344,Flare!$D$74:$E$78))*IFERROR($QR$13,0)</f>
        <v>0</v>
      </c>
      <c r="GC4344" s="206">
        <f>CtrlDevImpacts!$B$169*IFERROR($QR$13,0)</f>
        <v>0</v>
      </c>
      <c r="GD4344" s="176">
        <f ca="1">(SUMIF(Flare!$A$81:$C$85,$FC4344,Flare!$F$81:$F$85)-CtrlDevImpacts!$B$169)*IFERROR($QR$13,0)</f>
        <v>0</v>
      </c>
      <c r="GE4344" s="176">
        <f>LandEmiss!$B$466*IFERROR($QR$13,0)</f>
        <v>0</v>
      </c>
      <c r="GF4344" s="176">
        <f>MAX(_xlfn.MAXIFS(LandEmiss!$BK$450:$BK$456,LandEmiss!$BJ$450:$BJ$456,$FC4344),_xlfn.MAXIFS(LandEmiss!$DV$447:$DV$453,LandEmiss!$DU$447:$DU$453,$FC4344))*IFERROR($QR$13,0)</f>
        <v>0</v>
      </c>
      <c r="GG4344" s="206">
        <f ca="1">(SUMIF(VCU!$A$78:$C$85,$FC4344,VCU!$D$78:$E$85)+SUMIF(VCU!$A$88:$C$95,$FC4344,VCU!$D$88:$E$95))*IFERROR($QR$14,0)</f>
        <v>0</v>
      </c>
      <c r="GH4344" s="206">
        <f>CtrlDevImpacts!$C$169*IFERROR($QR$14,0)</f>
        <v>0</v>
      </c>
      <c r="GI4344" s="176">
        <f ca="1">(SUMIF(VCU!$A$98:$C$105,$FC4344,VCU!$F$98:$F$105)-CtrlDevImpacts!$C$169)*IFERROR($QR$14,0)</f>
        <v>0</v>
      </c>
      <c r="GJ4344" s="176">
        <f>LandEmiss!D466*IFERROR($QR$14,0)</f>
        <v>0</v>
      </c>
      <c r="GK4344" s="156">
        <f>MAX(_xlfn.MAXIFS(LandEmiss!$BM$450:$BM$456,LandEmiss!$BJ$450:$BJ$456,$FC4344),_xlfn.MAXIFS(LandEmiss!$DX$447:$DX$453,LandEmiss!$DU$447:$DU$453,$FC4344))*IFERROR($QR$14,0)</f>
        <v>0</v>
      </c>
      <c r="GL4344" s="206">
        <f ca="1">SUMIF(VaporOxidizer!$A$69:$C$76,$FC4344,VaporOxidizer!$D$69:$E$76)*IFERROR($QR$15,0)</f>
        <v>0</v>
      </c>
      <c r="GM4344" s="206">
        <f>CtrlDevImpacts!$D$169*IFERROR($QR$15,0)</f>
        <v>0</v>
      </c>
      <c r="GN4344" s="176">
        <f ca="1">(SUMIF(VaporOxidizer!$A$79:$C$86,$FC4344,VaporOxidizer!$F$79:$F$86)-CtrlDevImpacts!$D$169)*IFERROR($QR$15,0)</f>
        <v>0</v>
      </c>
      <c r="GO4344" s="176">
        <f>LandEmiss!F466*IFERROR($QR$15,0)</f>
        <v>0</v>
      </c>
      <c r="GP4344" s="156">
        <f>MAX(_xlfn.MAXIFS(LandEmiss!$BO$450:$BO$456,LandEmiss!$BJ$450:$BJ$456,$FC4344),_xlfn.MAXIFS(LandEmiss!$DZ$447:$DZ$453,LandEmiss!$DU$447:$DU$453,$FC4344))*IFERROR($QR$15,0)</f>
        <v>0</v>
      </c>
      <c r="GQ4344" s="206">
        <f>CtrlDevImpacts!$E$169*IFERROR($QR$16,0)</f>
        <v>0</v>
      </c>
      <c r="GR4344" s="155">
        <f>(CAS!$F$30-CtrlDevImpacts!$E$169)*IFERROR($QR$16,0)</f>
        <v>0</v>
      </c>
      <c r="GS4344" s="156">
        <f>LandEmiss!$H466*IFERROR($QR$27,0)</f>
        <v>0</v>
      </c>
      <c r="GT4344" s="156">
        <f>MAX(_xlfn.MAXIFS(LandEmiss!$BQ$450:$BQ$456,LandEmiss!$BJ$450:$BJ$456,$FC4344),_xlfn.MAXIFS(LandEmiss!$EB$447:$EB$453,LandEmiss!$DU$447:$DU$453,$FC4344))*IFERROR($QR$27,0)</f>
        <v>0</v>
      </c>
      <c r="GU4344" s="155">
        <f>LandEmiss!$J466*IFERROR($QR$26,0)</f>
        <v>0</v>
      </c>
      <c r="GV4344" s="156">
        <f>MAX(_xlfn.MAXIFS(LandEmiss!$BS$450:$BS$456,LandEmiss!$BJ$450:$BJ$456,$FC4344),_xlfn.MAXIFS(LandEmiss!$ED$447:$ED$453,LandEmiss!$DU$447:$DU$453,$FC4344))*IFERROR($QR$26,0)</f>
        <v>0</v>
      </c>
      <c r="GW4344" s="156">
        <f>LandEmiss!$L466*IFERROR($QR$25,0)</f>
        <v>0</v>
      </c>
      <c r="GX4344" s="156">
        <f>MAX(_xlfn.MAXIFS(LandEmiss!$BU$450:$BU$456,LandEmiss!$BJ$450:$BJ$456,$FC4344),_xlfn.MAXIFS(LandEmiss!$EF$447:$EF$453,LandEmiss!$DU$447:$DU$453,$FC4344))*IFERROR($QR$25,0)</f>
        <v>0</v>
      </c>
      <c r="GY4344" s="77"/>
      <c r="GZ4344" s="77"/>
      <c r="HA4344" s="156">
        <f>IF(OR(HeaterBoiler1!$E$15&lt;&gt;"HEATER",HeaterBoiler1!$E$26&lt;&gt;"fuel gas"),0,SUMIF(HeaterBoiler1!$A$44:$A$51,$FC4344,HeaterBoiler1!$I$44:$I$51)*IFERROR($QR$19,0))</f>
        <v>0</v>
      </c>
      <c r="HB4344" s="156">
        <f>IF(OR(HeaterBoiler2!$E$15&lt;&gt;"HEATER",HeaterBoiler2!$E$26&lt;&gt;"fuel gas"),0,SUMIF(HeaterBoiler2!$A$44:$A$51,$FC4344,HeaterBoiler2!$I$44:$I$51)*IFERROR($QR$21,0))</f>
        <v>0</v>
      </c>
      <c r="HC4344" s="231">
        <f>IF(OR(HeaterBoiler1!$E$15&lt;&gt;"BOILER",HeaterBoiler1!E26&lt;&gt;"fuel gas"),0,SUMIF(HeaterBoiler1!$A$44:$A$51,$FC4344,HeaterBoiler1!$I$44:$I$510)*IFERROR($QR$20,0))</f>
        <v>0</v>
      </c>
      <c r="HD4344" s="156">
        <f>IF(OR(HeaterBoiler2!$E$15&lt;&gt;"BOILER",HeaterBoiler2!E26&lt;&gt;"fuel gas"),0,SUMIF(HeaterBoiler2!$A$44:$A$51,$FC4344,HeaterBoiler2!$I$44:$I$64)*IFERROR($QR$22,0))</f>
        <v>0</v>
      </c>
      <c r="HE4344" s="176">
        <f>_xlfn.MAXIFS(Fug!$I$96:$I$205,Fug!$A$96:$A$205,"7783-06-4")*IFERROR($QR$23,0)</f>
        <v>0</v>
      </c>
      <c r="HF4344" s="156">
        <f>MSS!$F151*IFERROR($QR$24,0)</f>
        <v>0</v>
      </c>
      <c r="HG4344" s="156">
        <f ca="1">MAX($FH4344:$FI4344)+MAX($FK4344:$FL4344)+MAX($FN4344:$FO4344)+MAX($FQ4344:$FR4344)+MAX($FT4344:$FU4344)+SUM($FW4344:$GA4344)+SUM($GB4344:$GE4344)+SUM($GG4344:$GJ4344)+SUM($GL4344:$GO4344)+$GR4344+$GS4344+$GU4344+$GW4344+SUM($GY4344:$HF4344)</f>
        <v>0</v>
      </c>
      <c r="HH4344" s="206">
        <f ca="1">$FJ4344+$FK4344+$FN4344+$FQ4344+$FT4344+$GF4344+$GK4344+$GP4344+$GT4344+$GV4344+$GX4344+SUM($HA4344:$HD4344)+$HE4344+$HF4344+$GB4344+$GC4344+$GG4344+$GH4344+$GL4344+$GM4344</f>
        <v>0</v>
      </c>
      <c r="HI4344" s="206">
        <f ca="1">$FH4344+$FM4344+$FN4344+$FQ4344+$FT4344+$GF4344+$GK4344+$GP4344+$GT4344+$GV4344+$GX4344+SUM($HA4344:$HD4344)+$HE4344+$HF4344+$GB4344+$GC4344+$GG4344+$GH4344+$GL4344+$GM4344</f>
        <v>0</v>
      </c>
      <c r="HJ4344" s="206">
        <f ca="1">$FH4344+$FK4344+$FP4344+$FQ4344+$FT4344+$GF4344+$GK4344+$GP4344+$GT4344+$GV4344+$GX4344+SUM($HA4344:$HD4344)+$HE4344+$HF4344+$GB4344+$GC4344+$GG4344+$GH4344+$GL4344+$GM4344</f>
        <v>0</v>
      </c>
      <c r="HK4344" s="206">
        <f ca="1">$FH4344+$FK4344+$FN4344+$FS4344+$FT4344+$GF4344+$GK4344+$GP4344+$GT4344+$GV4344+$GX4344+SUM($HA4344:$HD4344)+$HE4344+$HF4344+$GB4344+$GC4344+$GG4344+$GH4344+$GL4344+$GM4344</f>
        <v>0</v>
      </c>
      <c r="HL4344" s="206">
        <f ca="1">$FH4344+$FK4344+$FN4344+$FQ4344+$FV4344+$GF4344+$GK4344+$GP4344+$GT4344+$GV4344+$GX4344+SUM($HA4344:$HD4344)+$HE4344+$HF4344+$GB4344+$GC4344+$GG4344+$GH4344+$GL4344+$GM4344</f>
        <v>0</v>
      </c>
      <c r="HN4344" s="146"/>
      <c r="HO4344" s="146"/>
      <c r="HP4344" s="146"/>
      <c r="HQ4344" s="146"/>
      <c r="HR4344" s="146"/>
      <c r="HS4344" s="146"/>
      <c r="HT4344" s="146"/>
      <c r="HU4344" s="146"/>
      <c r="HV4344" s="146"/>
      <c r="HW4344" s="146"/>
      <c r="HX4344" s="146"/>
      <c r="HY4344" s="146"/>
      <c r="HZ4344" s="146"/>
      <c r="IA4344" s="146"/>
      <c r="IB4344" s="146"/>
      <c r="IC4344" s="146"/>
      <c r="ID4344" s="146"/>
      <c r="IE4344" s="146"/>
      <c r="IF4344" s="146"/>
      <c r="IG4344" s="146"/>
      <c r="IH4344" s="146"/>
      <c r="II4344" s="146"/>
      <c r="IJ4344" s="146"/>
      <c r="IK4344" s="146"/>
      <c r="IL4344" s="146"/>
      <c r="IM4344" s="146"/>
      <c r="IN4344" s="146"/>
      <c r="IO4344" s="146"/>
      <c r="IP4344" s="146"/>
      <c r="IQ4344" s="146"/>
      <c r="IR4344" s="146"/>
      <c r="IS4344" s="146"/>
      <c r="IT4344" s="146"/>
      <c r="IU4344" s="146"/>
      <c r="IV4344" s="146"/>
      <c r="IW4344" s="146"/>
      <c r="IX4344" s="146"/>
      <c r="IY4344" s="146"/>
      <c r="IZ4344" s="146"/>
      <c r="JA4344" s="146"/>
      <c r="JB4344" s="146"/>
      <c r="JC4344" s="146"/>
      <c r="JD4344" s="146"/>
      <c r="JE4344" s="146"/>
      <c r="JF4344" s="146"/>
      <c r="JG4344" s="146"/>
      <c r="JH4344" s="146"/>
      <c r="JI4344" s="146"/>
      <c r="JJ4344" s="146"/>
      <c r="JK4344" s="146"/>
      <c r="JL4344" s="146"/>
      <c r="JM4344" s="146"/>
      <c r="JN4344" s="146"/>
      <c r="JO4344" s="146"/>
      <c r="JP4344" s="146"/>
      <c r="JQ4344" s="146"/>
      <c r="JR4344" s="146"/>
      <c r="JT4344" s="146"/>
      <c r="JU4344" s="146"/>
      <c r="JV4344" s="146"/>
      <c r="JW4344" s="146"/>
      <c r="JX4344" s="146"/>
      <c r="JY4344" s="146"/>
      <c r="JZ4344" s="146"/>
      <c r="KA4344" s="146"/>
      <c r="KB4344" s="146"/>
      <c r="KC4344" s="146"/>
      <c r="KD4344" s="146"/>
      <c r="KE4344" s="146"/>
      <c r="KF4344" s="146"/>
      <c r="KG4344" s="146"/>
      <c r="KH4344" s="146"/>
      <c r="KI4344" s="146"/>
      <c r="KJ4344" s="146"/>
      <c r="KK4344" s="146"/>
      <c r="KL4344" s="146"/>
      <c r="KM4344" s="146"/>
      <c r="KN4344" s="146"/>
      <c r="KO4344" s="146"/>
      <c r="KP4344" s="146"/>
      <c r="KQ4344" s="146"/>
      <c r="KR4344" s="146"/>
      <c r="KS4344" s="146"/>
      <c r="KT4344" s="146"/>
      <c r="KU4344" s="146"/>
      <c r="KV4344" s="146"/>
      <c r="KW4344" s="146"/>
      <c r="KX4344" s="146"/>
      <c r="KY4344" s="146"/>
      <c r="KZ4344" s="146"/>
      <c r="LA4344" s="146"/>
      <c r="LB4344" s="146"/>
      <c r="LC4344" s="146"/>
      <c r="LD4344" s="146"/>
      <c r="LE4344" s="146"/>
      <c r="LF4344" s="146"/>
      <c r="LG4344" s="146"/>
      <c r="LI4344" s="77"/>
      <c r="LJ4344" s="77"/>
      <c r="LK4344" s="77"/>
      <c r="LL4344" s="77"/>
      <c r="LM4344" s="77"/>
      <c r="LN4344" s="77"/>
      <c r="LO4344" s="77"/>
      <c r="LP4344" s="77"/>
      <c r="LQ4344" s="77"/>
      <c r="LR4344" s="77"/>
      <c r="LS4344" s="77"/>
      <c r="LT4344" s="77"/>
      <c r="LU4344" s="77"/>
      <c r="LV4344" s="77"/>
      <c r="LW4344" s="77"/>
      <c r="LX4344" s="77"/>
      <c r="LY4344" s="77"/>
      <c r="LZ4344" s="77"/>
      <c r="MA4344" s="77"/>
      <c r="MB4344" s="77"/>
      <c r="MC4344" s="77"/>
      <c r="MD4344" s="77"/>
      <c r="ME4344" s="77"/>
      <c r="MF4344" s="77"/>
      <c r="MG4344" s="77"/>
      <c r="MH4344" s="77"/>
      <c r="MI4344" s="77"/>
      <c r="MJ4344" s="77"/>
      <c r="MK4344" s="77"/>
      <c r="ML4344" s="77"/>
      <c r="MM4344" s="77"/>
      <c r="MN4344" s="77"/>
      <c r="MO4344" s="77"/>
      <c r="MP4344" s="77"/>
      <c r="MQ4344" s="77"/>
      <c r="MR4344" s="77"/>
      <c r="MS4344" s="77"/>
      <c r="MT4344" s="77"/>
      <c r="MU4344" s="77"/>
      <c r="MV4344" s="77"/>
      <c r="MW4344" s="77"/>
      <c r="MX4344" s="77"/>
      <c r="MY4344" s="77"/>
      <c r="MZ4344" s="77"/>
      <c r="NA4344" s="77"/>
      <c r="NB4344" s="77"/>
      <c r="NC4344" s="77"/>
      <c r="ND4344" s="77"/>
      <c r="NE4344" s="77"/>
      <c r="NF4344" s="77"/>
      <c r="NG4344" s="77"/>
      <c r="NH4344" s="77"/>
      <c r="NI4344" s="77"/>
      <c r="NJ4344" s="77"/>
      <c r="NK4344" s="77"/>
      <c r="NL4344" s="77"/>
      <c r="NM4344" s="77"/>
      <c r="NO4344" s="77"/>
      <c r="NP4344" s="77"/>
      <c r="NQ4344" s="77"/>
      <c r="NR4344" s="77"/>
      <c r="NS4344" s="77"/>
      <c r="NT4344" s="77"/>
      <c r="NU4344" s="77"/>
      <c r="NV4344" s="77"/>
      <c r="NW4344" s="77"/>
      <c r="NX4344" s="77"/>
      <c r="NY4344" s="77"/>
      <c r="NZ4344" s="77"/>
      <c r="OA4344" s="77"/>
      <c r="OB4344" s="77"/>
      <c r="OC4344" s="77"/>
      <c r="OD4344" s="77"/>
      <c r="OE4344" s="77"/>
      <c r="OF4344" s="77"/>
      <c r="OG4344" s="77"/>
      <c r="OH4344" s="77"/>
      <c r="OI4344" s="77"/>
      <c r="OJ4344" s="77"/>
      <c r="OK4344" s="77"/>
      <c r="OL4344" s="77"/>
      <c r="OM4344" s="77"/>
      <c r="ON4344" s="77"/>
      <c r="OO4344" s="77"/>
      <c r="OP4344" s="77"/>
      <c r="OQ4344" s="77"/>
      <c r="OR4344" s="77"/>
      <c r="OS4344" s="77"/>
      <c r="OT4344" s="77"/>
      <c r="OU4344" s="77"/>
      <c r="OV4344" s="77"/>
      <c r="OW4344" s="77"/>
      <c r="OX4344" s="77"/>
      <c r="OY4344" s="77"/>
      <c r="OZ4344" s="77"/>
      <c r="PA4344" s="77"/>
      <c r="PB4344" s="77"/>
      <c r="PC4344" s="77"/>
      <c r="PD4344" s="77"/>
      <c r="PE4344" s="77"/>
      <c r="PF4344" s="77"/>
      <c r="PG4344" s="77"/>
    </row>
    <row r="4345" spans="158:423" ht="74.25" customHeight="1" x14ac:dyDescent="0.2">
      <c r="FB4345" s="8" t="s">
        <v>3469</v>
      </c>
      <c r="FC4345" s="8" t="s">
        <v>8705</v>
      </c>
      <c r="FD4345" s="8" t="s">
        <v>9511</v>
      </c>
      <c r="FE4345" s="8" t="s">
        <v>9511</v>
      </c>
      <c r="FH4345" s="77"/>
      <c r="FI4345" s="77"/>
      <c r="FJ4345" s="77"/>
      <c r="FK4345" s="77"/>
      <c r="FL4345" s="77"/>
      <c r="FM4345" s="77"/>
      <c r="FN4345" s="77"/>
      <c r="FO4345" s="77"/>
      <c r="FP4345" s="77"/>
      <c r="FQ4345" s="77"/>
      <c r="FR4345" s="77"/>
      <c r="FS4345" s="77"/>
      <c r="FT4345" s="77"/>
      <c r="FU4345" s="77"/>
      <c r="FV4345" s="77"/>
      <c r="FW4345" s="77"/>
      <c r="FX4345" s="77"/>
      <c r="FY4345" s="77"/>
      <c r="FZ4345" s="77"/>
      <c r="GA4345" s="77"/>
      <c r="GB4345" s="77"/>
      <c r="GC4345" s="77"/>
      <c r="GD4345" s="77"/>
      <c r="GE4345" s="77"/>
      <c r="GF4345" s="77"/>
      <c r="GG4345" s="77"/>
      <c r="GH4345" s="77"/>
      <c r="GI4345" s="77"/>
      <c r="GJ4345" s="77"/>
      <c r="GK4345" s="77"/>
      <c r="GL4345" s="77"/>
      <c r="GM4345" s="77"/>
      <c r="GN4345" s="77"/>
      <c r="GO4345" s="77"/>
      <c r="GP4345" s="77"/>
      <c r="GQ4345" s="77"/>
      <c r="GR4345" s="77"/>
      <c r="GS4345" s="77"/>
      <c r="GT4345" s="77"/>
      <c r="GU4345" s="77"/>
      <c r="GV4345" s="77"/>
      <c r="GW4345" s="208"/>
      <c r="GX4345" s="77"/>
      <c r="GY4345" s="77"/>
      <c r="GZ4345" s="77"/>
      <c r="HA4345" s="77"/>
      <c r="HB4345" s="77"/>
      <c r="HC4345" s="178"/>
      <c r="HD4345" s="77"/>
      <c r="HE4345" s="77"/>
      <c r="HF4345" s="77"/>
      <c r="HG4345" s="77"/>
      <c r="HH4345" s="77"/>
      <c r="HI4345" s="77"/>
      <c r="HJ4345" s="77"/>
      <c r="HK4345" s="77"/>
      <c r="HL4345" s="77"/>
      <c r="HN4345" s="146"/>
      <c r="HO4345" s="146"/>
      <c r="HP4345" s="146"/>
      <c r="HQ4345" s="146"/>
      <c r="HR4345" s="146"/>
      <c r="HS4345" s="146"/>
      <c r="HT4345" s="146"/>
      <c r="HU4345" s="146"/>
      <c r="HV4345" s="146"/>
      <c r="HW4345" s="146"/>
      <c r="HX4345" s="146"/>
      <c r="HY4345" s="146"/>
      <c r="HZ4345" s="146"/>
      <c r="IA4345" s="146"/>
      <c r="IB4345" s="146"/>
      <c r="IC4345" s="146"/>
      <c r="ID4345" s="146"/>
      <c r="IE4345" s="146"/>
      <c r="IF4345" s="146"/>
      <c r="IG4345" s="146"/>
      <c r="IH4345" s="146"/>
      <c r="II4345" s="146"/>
      <c r="IJ4345" s="146"/>
      <c r="IK4345" s="146"/>
      <c r="IL4345" s="146"/>
      <c r="IM4345" s="146"/>
      <c r="IN4345" s="146"/>
      <c r="IO4345" s="146"/>
      <c r="IP4345" s="146"/>
      <c r="IQ4345" s="146"/>
      <c r="IR4345" s="146"/>
      <c r="IS4345" s="146"/>
      <c r="IT4345" s="146"/>
      <c r="IU4345" s="146"/>
      <c r="IV4345" s="146"/>
      <c r="IW4345" s="146"/>
      <c r="IX4345" s="146"/>
      <c r="IY4345" s="146"/>
      <c r="IZ4345" s="146"/>
      <c r="JA4345" s="146"/>
      <c r="JB4345" s="146"/>
      <c r="JC4345" s="146"/>
      <c r="JD4345" s="146"/>
      <c r="JE4345" s="146"/>
      <c r="JF4345" s="146"/>
      <c r="JG4345" s="146"/>
      <c r="JH4345" s="146"/>
      <c r="JI4345" s="146"/>
      <c r="JJ4345" s="146"/>
      <c r="JK4345" s="146"/>
      <c r="JL4345" s="146"/>
      <c r="JM4345" s="146"/>
      <c r="JN4345" s="146"/>
      <c r="JO4345" s="146"/>
      <c r="JP4345" s="146"/>
      <c r="JQ4345" s="146"/>
      <c r="JR4345" s="146"/>
      <c r="JT4345" s="146"/>
      <c r="JU4345" s="146"/>
      <c r="JV4345" s="146"/>
      <c r="JW4345" s="146"/>
      <c r="JX4345" s="146"/>
      <c r="JY4345" s="146"/>
      <c r="JZ4345" s="146"/>
      <c r="KA4345" s="146"/>
      <c r="KB4345" s="146"/>
      <c r="KC4345" s="146"/>
      <c r="KD4345" s="146"/>
      <c r="KE4345" s="146"/>
      <c r="KF4345" s="146"/>
      <c r="KG4345" s="146"/>
      <c r="KH4345" s="146"/>
      <c r="KI4345" s="146"/>
      <c r="KJ4345" s="146"/>
      <c r="KK4345" s="146"/>
      <c r="KL4345" s="146"/>
      <c r="KM4345" s="146"/>
      <c r="KN4345" s="146"/>
      <c r="KO4345" s="146"/>
      <c r="KP4345" s="146"/>
      <c r="KQ4345" s="146"/>
      <c r="KR4345" s="146"/>
      <c r="KS4345" s="146"/>
      <c r="KT4345" s="146"/>
      <c r="KU4345" s="146"/>
      <c r="KV4345" s="146"/>
      <c r="KW4345" s="146"/>
      <c r="KX4345" s="146"/>
      <c r="KY4345" s="146"/>
      <c r="KZ4345" s="146"/>
      <c r="LA4345" s="146"/>
      <c r="LB4345" s="146"/>
      <c r="LC4345" s="146"/>
      <c r="LD4345" s="146"/>
      <c r="LE4345" s="146"/>
      <c r="LF4345" s="146"/>
      <c r="LG4345" s="146"/>
      <c r="LI4345" s="77"/>
      <c r="LJ4345" s="77"/>
      <c r="LK4345" s="77"/>
      <c r="LL4345" s="77"/>
      <c r="LM4345" s="77"/>
      <c r="LN4345" s="77"/>
      <c r="LO4345" s="77"/>
      <c r="LP4345" s="77"/>
      <c r="LQ4345" s="77"/>
      <c r="LR4345" s="77"/>
      <c r="LS4345" s="77"/>
      <c r="LT4345" s="77"/>
      <c r="LU4345" s="77"/>
      <c r="LV4345" s="77"/>
      <c r="LW4345" s="77"/>
      <c r="LX4345" s="77"/>
      <c r="LY4345" s="77"/>
      <c r="LZ4345" s="77"/>
      <c r="MA4345" s="77"/>
      <c r="MB4345" s="77"/>
      <c r="MC4345" s="77"/>
      <c r="MD4345" s="77"/>
      <c r="ME4345" s="77"/>
      <c r="MF4345" s="77"/>
      <c r="MG4345" s="77"/>
      <c r="MH4345" s="77"/>
      <c r="MI4345" s="77"/>
      <c r="MJ4345" s="77"/>
      <c r="MK4345" s="77"/>
      <c r="ML4345" s="77"/>
      <c r="MM4345" s="77"/>
      <c r="MN4345" s="77"/>
      <c r="MO4345" s="77"/>
      <c r="MP4345" s="77"/>
      <c r="MQ4345" s="77"/>
      <c r="MR4345" s="77"/>
      <c r="MS4345" s="77"/>
      <c r="MT4345" s="77"/>
      <c r="MU4345" s="77"/>
      <c r="MV4345" s="77"/>
      <c r="MW4345" s="77"/>
      <c r="MX4345" s="77"/>
      <c r="MY4345" s="77"/>
      <c r="MZ4345" s="77"/>
      <c r="NA4345" s="77"/>
      <c r="NB4345" s="77"/>
      <c r="NC4345" s="77"/>
      <c r="ND4345" s="77"/>
      <c r="NE4345" s="77"/>
      <c r="NF4345" s="77"/>
      <c r="NG4345" s="77"/>
      <c r="NH4345" s="77"/>
      <c r="NI4345" s="77"/>
      <c r="NJ4345" s="77"/>
      <c r="NK4345" s="77"/>
      <c r="NL4345" s="77"/>
      <c r="NM4345" s="77"/>
      <c r="NO4345" s="77"/>
      <c r="NP4345" s="77"/>
      <c r="NQ4345" s="77"/>
      <c r="NR4345" s="77"/>
      <c r="NS4345" s="77"/>
      <c r="NT4345" s="77"/>
      <c r="NU4345" s="77"/>
      <c r="NV4345" s="77"/>
      <c r="NW4345" s="77"/>
      <c r="NX4345" s="77"/>
      <c r="NY4345" s="77"/>
      <c r="NZ4345" s="77"/>
      <c r="OA4345" s="77"/>
      <c r="OB4345" s="77"/>
      <c r="OC4345" s="77"/>
      <c r="OD4345" s="77"/>
      <c r="OE4345" s="77"/>
      <c r="OF4345" s="77"/>
      <c r="OG4345" s="77"/>
      <c r="OH4345" s="77"/>
      <c r="OI4345" s="77"/>
      <c r="OJ4345" s="77"/>
      <c r="OK4345" s="77"/>
      <c r="OL4345" s="77"/>
      <c r="OM4345" s="77"/>
      <c r="ON4345" s="77"/>
      <c r="OO4345" s="77"/>
      <c r="OP4345" s="77"/>
      <c r="OQ4345" s="77"/>
      <c r="OR4345" s="77"/>
      <c r="OS4345" s="77"/>
      <c r="OT4345" s="77"/>
      <c r="OU4345" s="77"/>
      <c r="OV4345" s="77"/>
      <c r="OW4345" s="77"/>
      <c r="OX4345" s="77"/>
      <c r="OY4345" s="77"/>
      <c r="OZ4345" s="77"/>
      <c r="PA4345" s="77"/>
      <c r="PB4345" s="77"/>
      <c r="PC4345" s="77"/>
      <c r="PD4345" s="77"/>
      <c r="PE4345" s="77"/>
      <c r="PF4345" s="77"/>
      <c r="PG4345" s="77"/>
    </row>
    <row r="4346" spans="158:423" ht="74.25" customHeight="1" x14ac:dyDescent="0.2">
      <c r="FB4346" s="8" t="s">
        <v>7962</v>
      </c>
      <c r="FC4346" s="8" t="s">
        <v>9092</v>
      </c>
      <c r="FD4346" s="8" t="s">
        <v>9511</v>
      </c>
      <c r="FE4346" s="8" t="s">
        <v>9511</v>
      </c>
      <c r="FH4346" s="177">
        <f>IF(Tank1!$D$22="no control",_xlfn.MAXIFS(Tank1!$G$32:$G$141,Tank1!$E$32:$E$141,"7664-93-9"),0)*IFERROR($QR$3,0)</f>
        <v>0</v>
      </c>
      <c r="FI4346" s="177">
        <f>_xlfn.MAXIFS(LandEmiss!$AF$20:$AF$119,LandEmiss!$AE$20:$AE$119,"7664-93-9")*IFERROR($QR$3,0)</f>
        <v>0</v>
      </c>
      <c r="FJ4346" s="176">
        <f>(_xlfn.MAXIFS(LandEmiss!$CO$20:$CO$119,LandEmiss!$CN$20:$CN$119,"7664-93-9")+_xlfn.MAXIFS(LandEmiss!$EZ$9:$EZ$108,LandEmiss!$EY$9:$EY$108,"7664-93-9"))*IFERROR($QR$3,0)</f>
        <v>0</v>
      </c>
      <c r="FK4346" s="177">
        <f>IF(Tank2!$D$22="no control",_xlfn.MAXIFS(Tank2!$G$32:$G$141,Tank2!$E$32:$E$141,"7664-93-9"),0)*IFERROR($QR$4,0)</f>
        <v>0</v>
      </c>
      <c r="FL4346" s="177">
        <f>_xlfn.MAXIFS(LandEmiss!$AG$20:$AG$119,LandEmiss!$AE$20:$AE$119,"7664-93-9")*IFERROR($QR$4,0)</f>
        <v>0</v>
      </c>
      <c r="FM4346" s="176">
        <f>(_xlfn.MAXIFS(LandEmiss!$CP$20:$CP$119,LandEmiss!$CN$20:$CN$119,"7664-93-9")+_xlfn.MAXIFS(LandEmiss!$FA$9:$FA$108,LandEmiss!$EY$9:$EY$108,"7664-93-9"))*IFERROR($QR$4,0)</f>
        <v>0</v>
      </c>
      <c r="FN4346" s="177">
        <f>IF(Tank3!$D$22="no control",_xlfn.MAXIFS(Tank3!$G$32:$G$141,Tank3!$E$32:$E$141,"7664-93-9"),0)*IFERROR($QR$5,0)</f>
        <v>0</v>
      </c>
      <c r="FO4346" s="177">
        <f>_xlfn.MAXIFS(LandEmiss!$AH$20:$AH$119,LandEmiss!$AE$20:$AE$119,"7664-93-9")*IFERROR($QR$5,0)</f>
        <v>0</v>
      </c>
      <c r="FP4346" s="176">
        <f>(_xlfn.MAXIFS(LandEmiss!$CQ$20:$CQ$119,LandEmiss!$CN$20:$CN$119,"7664-93-9")+_xlfn.MAXIFS(LandEmiss!$FB$9:$FB$108,LandEmiss!$EY$9:$EY$108,"7664-93-9"))*IFERROR($QR$5,0)</f>
        <v>0</v>
      </c>
      <c r="FQ4346" s="177">
        <f>IF(Tank4!$D$22="no control",_xlfn.MAXIFS(Tank4!$G$32:$G$141,Tank4!$E$32:$E$141,"7664-93-9"),0)*IFERROR($QR$6,0)</f>
        <v>0</v>
      </c>
      <c r="FR4346" s="177">
        <f>_xlfn.MAXIFS(LandEmiss!$AI$20:$AI$119,LandEmiss!$AE$20:$AE$119,"7664-93-9")*IFERROR($QR$6,0)</f>
        <v>0</v>
      </c>
      <c r="FS4346" s="176">
        <f>(_xlfn.MAXIFS(LandEmiss!$CR$20:$CR$119,LandEmiss!$CN$20:$CN$119,"7664-93-9")+_xlfn.MAXIFS(LandEmiss!$FC$9:$FC$108,LandEmiss!$EY$9:$EY$108,"7664-93-9"))*IFERROR($QR$6,0)</f>
        <v>0</v>
      </c>
      <c r="FT4346" s="177">
        <f>IF(Tank5!$D$22="no control",_xlfn.MAXIFS(Tank5!$G$32:$G$141,Tank5!$E$32:$E$141,"7664-93-9"),0)*IFERROR($QR$7,0)</f>
        <v>0</v>
      </c>
      <c r="FU4346" s="177">
        <f>_xlfn.MAXIFS(LandEmiss!$AJ$20:$AJ$119,LandEmiss!$AE$20:$AE$119,"7664-93-9")*IFERROR($QR$7,0)</f>
        <v>0</v>
      </c>
      <c r="FV4346" s="176">
        <f>(_xlfn.MAXIFS(LandEmiss!$CS$20:$CS$119,LandEmiss!$CN$20:$CN$119,"7664-93-9")+_xlfn.MAXIFS(LandEmiss!$FD$9:$FD$108,LandEmiss!$EY$9:$EY$108,"7664-93-9"))*IFERROR($QR$7,0)</f>
        <v>0</v>
      </c>
      <c r="FW4346" s="176">
        <f>_xlfn.MAXIFS('Load-DrumTote'!$K$27:$K$136,'Load-DrumTote'!$F$27:$F$136,"7664-93-9")*IFERROR($QR$8,0)</f>
        <v>0</v>
      </c>
      <c r="FX4346" s="176">
        <f>_xlfn.MAXIFS('Load-Truck'!$K$27:$K$136,'Load-Truck'!$F$27:$F$136,"7664-93-9")*IFERROR($QR$9,0)</f>
        <v>0</v>
      </c>
      <c r="FY4346" s="176">
        <f>_xlfn.MAXIFS('Load-Rail'!$K$27:$K$136,'Load-Rail'!$F$27:$F$136,"7664-93-9")*IFERROR($QR$10,0)</f>
        <v>0</v>
      </c>
      <c r="FZ4346" s="176">
        <f>_xlfn.MAXIFS('Load-MarineBarge'!$K$27:$K$136,'Load-MarineBarge'!$F$27:$F$136,"7664-93-9")*IFERROR($QR$11,0)</f>
        <v>0</v>
      </c>
      <c r="GA4346" s="176">
        <f>_xlfn.MAXIFS('Load-MarineShip'!$K$27:$K$136,'Load-MarineShip'!$F$27:$F$136,"7664-93-9")*IFERROR($QR$12,0)</f>
        <v>0</v>
      </c>
      <c r="GB4346" s="77"/>
      <c r="GC4346" s="77"/>
      <c r="GD4346" s="77"/>
      <c r="GE4346" s="77"/>
      <c r="GF4346" s="77"/>
      <c r="GG4346" s="77"/>
      <c r="GH4346" s="77"/>
      <c r="GI4346" s="77"/>
      <c r="GJ4346" s="77"/>
      <c r="GK4346" s="77"/>
      <c r="GL4346" s="77"/>
      <c r="GM4346" s="77"/>
      <c r="GN4346" s="77"/>
      <c r="GO4346" s="77"/>
      <c r="GP4346" s="77"/>
      <c r="GQ4346" s="206">
        <f>CtrlDevImpacts!$E$171*IFERROR($QR$16,0)</f>
        <v>0</v>
      </c>
      <c r="GR4346" s="156">
        <f>(CAS!$F$31-CtrlDevImpacts!$E$171)*IFERROR($QR$16,0)</f>
        <v>0</v>
      </c>
      <c r="GS4346" s="77"/>
      <c r="GT4346" s="77"/>
      <c r="GU4346" s="77"/>
      <c r="GV4346" s="77"/>
      <c r="GW4346" s="77"/>
      <c r="GX4346" s="77"/>
      <c r="GY4346" s="77"/>
      <c r="GZ4346" s="77"/>
      <c r="HA4346" s="77"/>
      <c r="HB4346" s="77"/>
      <c r="HC4346" s="178"/>
      <c r="HD4346" s="77"/>
      <c r="HE4346" s="176">
        <f>_xlfn.MAXIFS(Fug!$I$96:$I$205,Fug!$A$96:$A$205,"7664-93-9")*IFERROR($QR$23,0)</f>
        <v>0</v>
      </c>
      <c r="HF4346" s="77"/>
      <c r="HG4346" s="176">
        <f>MAX($FH4346:$FI4346)+MAX($FK4346:$FL4346)+MAX($FN4346:$FO4346)+MAX($FQ4346:$FR4346)+MAX($FT4346:$FU4346)+SUM($FW4346:$GA4346)+SUM($GC4346:$GE4346)+SUM($GH4346:$GJ4346)+SUM($GM4346:$GO4346)+$GR4346+$GS4346+$GU4346+$GW4346+SUM($GY4346:$HF4346)</f>
        <v>0</v>
      </c>
      <c r="HH4346" s="206">
        <f>$FJ4346+$FK4346+$FN4346+$FQ4346+$FT4346+$GF4346+$GK4346+$GP4346+$GT4346+$GV4346+$GX4346+SUM($HA4346:$HD4346)+$HE4346+$HF4346</f>
        <v>0</v>
      </c>
      <c r="HI4346" s="206">
        <f t="shared" ref="HI4346" si="58">$FH4346+$FM4346+$FN4346+$FQ4346+$FT4346+$GF4346+$GK4346+$GP4346+$GT4346+$GV4346+$GX4346+SUM($HA4346:$HD4346)+$HE4346+$HF4346</f>
        <v>0</v>
      </c>
      <c r="HJ4346" s="206">
        <f>$FH4346+$FK4346+$FP4346+$FQ4346+$FT4346+$GF4346+$GK4346+$GP4346+$GT4346+$GV4346+$GX4346+SUM($HA4346:$HD4346)+$HE4346+$HF4346</f>
        <v>0</v>
      </c>
      <c r="HK4346" s="206">
        <f>$FH4346+$FK4346+$FN4346+$FS4346+$FT4346+$GF4346+$GK4346+$GP4346+$GT4346+$GV4346+$GX4346+SUM($HA4346:$HD4346)+$HE4346+$HF4346</f>
        <v>0</v>
      </c>
      <c r="HL4346" s="206">
        <f>$FH4346+$FK4346+$FN4346+$FQ4346+$FV4346+$GF4346+$GK4346+$GP4346+$GT4346+$GV4346+$GX4346+SUM($HA4346:$HD4346)+$HE4346+$HF4346</f>
        <v>0</v>
      </c>
      <c r="HN4346" s="146"/>
      <c r="HO4346" s="146"/>
      <c r="HP4346" s="146"/>
      <c r="HQ4346" s="146"/>
      <c r="HR4346" s="146"/>
      <c r="HS4346" s="146"/>
      <c r="HT4346" s="146"/>
      <c r="HU4346" s="146"/>
      <c r="HV4346" s="146"/>
      <c r="HW4346" s="146"/>
      <c r="HX4346" s="146"/>
      <c r="HY4346" s="146"/>
      <c r="HZ4346" s="146"/>
      <c r="IA4346" s="146"/>
      <c r="IB4346" s="146"/>
      <c r="IC4346" s="146"/>
      <c r="ID4346" s="146"/>
      <c r="IE4346" s="146"/>
      <c r="IF4346" s="146"/>
      <c r="IG4346" s="146"/>
      <c r="IH4346" s="146"/>
      <c r="II4346" s="146"/>
      <c r="IJ4346" s="146"/>
      <c r="IK4346" s="146"/>
      <c r="IL4346" s="146"/>
      <c r="IM4346" s="146"/>
      <c r="IN4346" s="146"/>
      <c r="IO4346" s="146"/>
      <c r="IP4346" s="146"/>
      <c r="IQ4346" s="146"/>
      <c r="IR4346" s="146"/>
      <c r="IS4346" s="146"/>
      <c r="IT4346" s="146"/>
      <c r="IU4346" s="146"/>
      <c r="IV4346" s="146"/>
      <c r="IW4346" s="146"/>
      <c r="IX4346" s="146"/>
      <c r="IY4346" s="146"/>
      <c r="IZ4346" s="146"/>
      <c r="JA4346" s="146"/>
      <c r="JB4346" s="146"/>
      <c r="JC4346" s="146"/>
      <c r="JD4346" s="146"/>
      <c r="JE4346" s="146"/>
      <c r="JF4346" s="146"/>
      <c r="JG4346" s="146"/>
      <c r="JH4346" s="146"/>
      <c r="JI4346" s="146"/>
      <c r="JJ4346" s="146"/>
      <c r="JK4346" s="146"/>
      <c r="JL4346" s="146"/>
      <c r="JM4346" s="146"/>
      <c r="JN4346" s="146"/>
      <c r="JO4346" s="146"/>
      <c r="JP4346" s="146"/>
      <c r="JQ4346" s="146"/>
      <c r="JR4346" s="146"/>
      <c r="JT4346" s="146"/>
      <c r="JU4346" s="146"/>
      <c r="JV4346" s="146"/>
      <c r="JW4346" s="146"/>
      <c r="JX4346" s="146"/>
      <c r="JY4346" s="146"/>
      <c r="JZ4346" s="146"/>
      <c r="KA4346" s="146"/>
      <c r="KB4346" s="146"/>
      <c r="KC4346" s="146"/>
      <c r="KD4346" s="146"/>
      <c r="KE4346" s="146"/>
      <c r="KF4346" s="146"/>
      <c r="KG4346" s="146"/>
      <c r="KH4346" s="146"/>
      <c r="KI4346" s="146"/>
      <c r="KJ4346" s="146"/>
      <c r="KK4346" s="146"/>
      <c r="KL4346" s="146"/>
      <c r="KM4346" s="146"/>
      <c r="KN4346" s="146"/>
      <c r="KO4346" s="146"/>
      <c r="KP4346" s="146"/>
      <c r="KQ4346" s="146"/>
      <c r="KR4346" s="146"/>
      <c r="KS4346" s="146"/>
      <c r="KT4346" s="146"/>
      <c r="KU4346" s="146"/>
      <c r="KV4346" s="146"/>
      <c r="KW4346" s="146"/>
      <c r="KX4346" s="146"/>
      <c r="KY4346" s="146"/>
      <c r="KZ4346" s="146"/>
      <c r="LA4346" s="146"/>
      <c r="LB4346" s="146"/>
      <c r="LC4346" s="146"/>
      <c r="LD4346" s="146"/>
      <c r="LE4346" s="146"/>
      <c r="LF4346" s="146"/>
      <c r="LG4346" s="146"/>
      <c r="LI4346" s="176">
        <f>IF(Tank1!$D$22="NO CONTROL",_xlfn.MAXIFS(Tank1!$G$32:$G$141,Tank1!$E$32:$E$141,"7664-93-9")*IFERROR($QU$3,0),0)</f>
        <v>0</v>
      </c>
      <c r="LJ4346" s="176">
        <f>_xlfn.MAXIFS(LandEmiss!$AF$20:$AF$119,LandEmiss!$AE$20:$AE$119,"7664-93-9")*IFERROR($QU$3,0)</f>
        <v>0</v>
      </c>
      <c r="LK4346" s="176">
        <f>(_xlfn.MAXIFS(LandEmiss!$CO$20:$CO$119,LandEmiss!$CN$20:$CN$119,"7664-93-9")+_xlfn.MAXIFS(LandEmiss!$EZ$9:$EZ$108,LandEmiss!$EY$9:$EY$108,"7664-93-9"))*IFERROR($QU$3,0)</f>
        <v>0</v>
      </c>
      <c r="LL4346" s="176">
        <f>IF(Tank2!$D$22="NO CONTROL",_xlfn.MAXIFS(Tank2!$G$32:$G$141,Tank2!$E$32:$E$141,"7664-93-9")*IFERROR($QU$4,0),0)</f>
        <v>0</v>
      </c>
      <c r="LM4346" s="176">
        <f>_xlfn.MAXIFS(LandEmiss!$AG$20:$AG$119,LandEmiss!$AE$20:$AE$119,"7664-93-9")*IFERROR($QU$4,0)</f>
        <v>0</v>
      </c>
      <c r="LN4346" s="176">
        <f>(_xlfn.MAXIFS(LandEmiss!$CP$20:$CP$119,LandEmiss!$CN$20:$CN$119,"7664-93-9")+_xlfn.MAXIFS(LandEmiss!$FA$9:$FA$108,LandEmiss!$EY$9:$EY$108,"7664-93-9"))*IFERROR($QU$4,0)</f>
        <v>0</v>
      </c>
      <c r="LO4346" s="176">
        <f>IF(Tank3!$D$22="NO CONTROL",_xlfn.MAXIFS(Tank3!$G$32:$G$141,Tank3!$E$32:$E$141,"7664-93-9")*IFERROR($QU$5,0),0)</f>
        <v>0</v>
      </c>
      <c r="LP4346" s="176">
        <f>_xlfn.MAXIFS(LandEmiss!$AH$20:$AH$119,LandEmiss!$AE$20:$AE$119,"7664-93-9")*IFERROR($QU$5,0)</f>
        <v>0</v>
      </c>
      <c r="LQ4346" s="176">
        <f>(_xlfn.MAXIFS(LandEmiss!$CQ$20:$CQ$119,LandEmiss!$CN$20:$CN$119,"7664-93-9")+_xlfn.MAXIFS(LandEmiss!$FB$9:$FB$108,LandEmiss!$EY$9:$EY$108,"7664-93-9"))*IFERROR($QU$5,0)</f>
        <v>0</v>
      </c>
      <c r="LR4346" s="176">
        <f>IF(Tank4!$D$22="NO CONTROL",_xlfn.MAXIFS(Tank4!$G$32:$G$141,Tank4!$E$32:$E$141,"7664-93-9")*IFERROR($QU$6,0),0)</f>
        <v>0</v>
      </c>
      <c r="LS4346" s="176">
        <f>_xlfn.MAXIFS(LandEmiss!$AI$20:$AI$119,LandEmiss!$AE$20:$AE$119,"7664-93-9")*IFERROR($QU$6,0)</f>
        <v>0</v>
      </c>
      <c r="LT4346" s="176">
        <f>(_xlfn.MAXIFS(LandEmiss!$CR$20:$CR$119,LandEmiss!$CN$20:$CN$119,"7664-93-9")+_xlfn.MAXIFS(LandEmiss!$FC$9:$FC$108,LandEmiss!$EY$9:$EY$108,"7664-93-9"))*IFERROR($QU$6,0)</f>
        <v>0</v>
      </c>
      <c r="LU4346" s="176">
        <f>IF(Tank5!$D$22="NO CONTROL",_xlfn.MAXIFS(Tank5!$G$32:$G$141,Tank5!$E$32:$E$141,"7664-93-9")*IFERROR($QU$7,0),0)</f>
        <v>0</v>
      </c>
      <c r="LV4346" s="176">
        <f>_xlfn.MAXIFS(LandEmiss!$AJ$20:$AJ$119,LandEmiss!$AE$20:$AE$119,"7664-93-9")*IFERROR($QU$7,0)</f>
        <v>0</v>
      </c>
      <c r="LW4346" s="176">
        <f>(_xlfn.MAXIFS(LandEmiss!$CS$20:$CS$119,LandEmiss!$CN$20:$CN$119,"7664-93-9")+_xlfn.MAXIFS(LandEmiss!$FD$9:$FD$108,LandEmiss!$EY$9:$EY$108,"7664-93-9"))*IFERROR($QU$7,0)</f>
        <v>0</v>
      </c>
      <c r="LX4346" s="176">
        <f>_xlfn.MAXIFS('Load-DrumTote'!$K$27:$K$136,'Load-DrumTote'!$E$27:$E$136,"NO",'Load-DrumTote'!$F$27:$F$136,"7664-93-9")*IFERROR($QU$8,0)</f>
        <v>0</v>
      </c>
      <c r="LY4346" s="176">
        <f>_xlfn.MAXIFS('Load-Truck'!$K$27:$K$136,'Load-Truck'!$E$27:$E$136,"NO",'Load-Truck'!$F$27:$F$136,"7664-93-9")*IFERROR($QU$9,0)</f>
        <v>0</v>
      </c>
      <c r="LZ4346" s="176">
        <f>_xlfn.MAXIFS('Load-Rail'!$K$27:$K$136,'Load-Rail'!$E$27:$E$136,"NO",'Load-Rail'!$F$27:$F$136,"7664-93-9")*IFERROR($QU$10,0)</f>
        <v>0</v>
      </c>
      <c r="MA4346" s="176">
        <f>_xlfn.MAXIFS('Load-MarineBarge'!$K$27:$K$136,'Load-MarineBarge'!$E$27:$E$136,"NO",'Load-MarineBarge'!$F$27:$F$136,"7664-93-9")*IFERROR($QU$11,0)</f>
        <v>0</v>
      </c>
      <c r="MB4346" s="176">
        <f>_xlfn.MAXIFS('Load-MarineShip'!$K$27:$K$136,'Load-MarineShip'!$E$27:$E$136,"NO",'Load-MarineShip'!$F$27:$F$136,"7664-93-9")*IFERROR($QU$12,0)</f>
        <v>0</v>
      </c>
      <c r="MC4346" s="77"/>
      <c r="MD4346" s="77"/>
      <c r="ME4346" s="77"/>
      <c r="MF4346" s="77"/>
      <c r="MG4346" s="77"/>
      <c r="MH4346" s="77"/>
      <c r="MI4346" s="77"/>
      <c r="MJ4346" s="77"/>
      <c r="MK4346" s="77"/>
      <c r="ML4346" s="77"/>
      <c r="MM4346" s="77"/>
      <c r="MN4346" s="77"/>
      <c r="MO4346" s="77"/>
      <c r="MP4346" s="77"/>
      <c r="MQ4346" s="77"/>
      <c r="MR4346" s="157">
        <f>CtrlDevImpacts!$E$171*IFERROR($QU$16,0)</f>
        <v>0</v>
      </c>
      <c r="MS4346" s="157">
        <f>(CAS!$F$31-CtrlDevImpacts!$E$171)*IFERROR($QU$16,0)</f>
        <v>0</v>
      </c>
      <c r="MT4346" s="77"/>
      <c r="MU4346" s="77"/>
      <c r="MV4346" s="77"/>
      <c r="MW4346" s="77"/>
      <c r="MX4346" s="77"/>
      <c r="MY4346" s="77"/>
      <c r="MZ4346" s="77"/>
      <c r="NA4346" s="77"/>
      <c r="NB4346" s="77"/>
      <c r="NC4346" s="77"/>
      <c r="ND4346" s="77"/>
      <c r="NE4346" s="77"/>
      <c r="NF4346" s="176">
        <f>SUMIF(Fug!$A$96:$A$205,"7664-93-9",Fug!$I$96:$I$205)*IFERROR($QU$23,0)</f>
        <v>0</v>
      </c>
      <c r="NG4346" s="77"/>
      <c r="NH4346" s="206">
        <f>MAX($LI$4346:$LJ$4346)+MAX($LL$4346:$LM$4346)+MAX($LO$4346:$LP$4346)+MAX($LR$4346:$LS$4346)+MAX($LU$4346:$LV$4346)+SUM($LX$4346:$MB$4346)+$MS$4346+$NF$4346+MR4346</f>
        <v>0</v>
      </c>
      <c r="NI4346" s="156">
        <f>$LK$4346+$LL$4346+$LO$4346+$LR$4346+$LU$4346+$NF$4346</f>
        <v>0</v>
      </c>
      <c r="NJ4346" s="156">
        <f>$LI$4346+$LN$4346+$LO$4346+$LR$4346+$LU$4346+$NF$4346</f>
        <v>0</v>
      </c>
      <c r="NK4346" s="156">
        <f>$LI$4346+$LL$4346+$LQ$4346+$LR$4346+$LU$4346+$NF$4346</f>
        <v>0</v>
      </c>
      <c r="NL4346" s="156">
        <f>$LI$4346+$LL$4346+$LO$4346+$LT$4346+$LU$4346+$NF$4346</f>
        <v>0</v>
      </c>
      <c r="NM4346" s="156">
        <f>$LI$4346+$LL$4346+$LO$4346+$LR$4346+$LW$4346+$NF$4346</f>
        <v>0</v>
      </c>
      <c r="NO4346" s="77"/>
      <c r="NP4346" s="77"/>
      <c r="NQ4346" s="77"/>
      <c r="NR4346" s="77"/>
      <c r="NS4346" s="77"/>
      <c r="NT4346" s="77"/>
      <c r="NU4346" s="77"/>
      <c r="NV4346" s="77"/>
      <c r="NW4346" s="77"/>
      <c r="NX4346" s="77"/>
      <c r="NY4346" s="77"/>
      <c r="NZ4346" s="77"/>
      <c r="OA4346" s="77"/>
      <c r="OB4346" s="77"/>
      <c r="OC4346" s="77"/>
      <c r="OD4346" s="77"/>
      <c r="OE4346" s="77"/>
      <c r="OF4346" s="77"/>
      <c r="OG4346" s="77"/>
      <c r="OH4346" s="77"/>
      <c r="OI4346" s="77"/>
      <c r="OJ4346" s="77"/>
      <c r="OK4346" s="77"/>
      <c r="OL4346" s="77"/>
      <c r="OM4346" s="77"/>
      <c r="ON4346" s="77"/>
      <c r="OO4346" s="77"/>
      <c r="OP4346" s="77"/>
      <c r="OQ4346" s="77"/>
      <c r="OR4346" s="77"/>
      <c r="OS4346" s="77"/>
      <c r="OT4346" s="77"/>
      <c r="OU4346" s="77"/>
      <c r="OV4346" s="77"/>
      <c r="OW4346" s="77"/>
      <c r="OX4346" s="77"/>
      <c r="OY4346" s="77"/>
      <c r="OZ4346" s="77"/>
      <c r="PA4346" s="77"/>
      <c r="PB4346" s="77"/>
      <c r="PC4346" s="77"/>
      <c r="PD4346" s="77"/>
      <c r="PE4346" s="77"/>
      <c r="PF4346" s="77"/>
      <c r="PG4346" s="77"/>
    </row>
    <row r="4347" spans="158:423" ht="74.25" customHeight="1" x14ac:dyDescent="0.2">
      <c r="FB4347" s="8" t="s">
        <v>229</v>
      </c>
      <c r="FC4347" s="8" t="s">
        <v>229</v>
      </c>
      <c r="FD4347" s="8" t="s">
        <v>9511</v>
      </c>
      <c r="FE4347" s="8" t="s">
        <v>9511</v>
      </c>
      <c r="FH4347" s="77"/>
      <c r="FI4347" s="77"/>
      <c r="FJ4347" s="77"/>
      <c r="FK4347" s="77"/>
      <c r="FL4347" s="77"/>
      <c r="FM4347" s="77"/>
      <c r="FN4347" s="77"/>
      <c r="FO4347" s="77"/>
      <c r="FP4347" s="77"/>
      <c r="FQ4347" s="77"/>
      <c r="FR4347" s="77"/>
      <c r="FS4347" s="77"/>
      <c r="FT4347" s="77"/>
      <c r="FU4347" s="77"/>
      <c r="FV4347" s="77"/>
      <c r="FW4347" s="77"/>
      <c r="FX4347" s="77"/>
      <c r="FY4347" s="77"/>
      <c r="FZ4347" s="77"/>
      <c r="GA4347" s="77"/>
      <c r="GB4347" s="77"/>
      <c r="GC4347" s="77"/>
      <c r="GD4347" s="77"/>
      <c r="GE4347" s="77"/>
      <c r="GF4347" s="77"/>
      <c r="GG4347" s="77"/>
      <c r="GH4347" s="77"/>
      <c r="GI4347" s="77"/>
      <c r="GJ4347" s="77"/>
      <c r="GK4347" s="77"/>
      <c r="GL4347" s="77"/>
      <c r="GM4347" s="77"/>
      <c r="GN4347" s="77"/>
      <c r="GO4347" s="77"/>
      <c r="GP4347" s="77"/>
      <c r="GQ4347" s="77"/>
      <c r="GR4347" s="77"/>
      <c r="GS4347" s="77"/>
      <c r="GT4347" s="77"/>
      <c r="GU4347" s="77"/>
      <c r="GV4347" s="77"/>
      <c r="GW4347" s="77"/>
      <c r="GX4347" s="77"/>
      <c r="GY4347" s="77"/>
      <c r="GZ4347" s="77"/>
      <c r="HA4347" s="77"/>
      <c r="HB4347" s="77"/>
      <c r="HC4347" s="77"/>
      <c r="HD4347" s="77"/>
      <c r="HE4347" s="77"/>
      <c r="HF4347" s="77"/>
      <c r="HG4347" s="77"/>
      <c r="HH4347" s="77"/>
      <c r="HI4347" s="77"/>
      <c r="HJ4347" s="77"/>
      <c r="HK4347" s="77"/>
      <c r="HL4347" s="77"/>
      <c r="HN4347" s="77"/>
      <c r="HO4347" s="77"/>
      <c r="HP4347" s="77"/>
      <c r="HQ4347" s="77"/>
      <c r="HR4347" s="77"/>
      <c r="HS4347" s="77"/>
      <c r="HT4347" s="77"/>
      <c r="HU4347" s="77"/>
      <c r="HV4347" s="77"/>
      <c r="HW4347" s="77"/>
      <c r="HX4347" s="77"/>
      <c r="HY4347" s="77"/>
      <c r="HZ4347" s="77"/>
      <c r="IA4347" s="77"/>
      <c r="IB4347" s="77"/>
      <c r="IC4347" s="77"/>
      <c r="ID4347" s="77"/>
      <c r="IE4347" s="77"/>
      <c r="IF4347" s="77"/>
      <c r="IG4347" s="77"/>
      <c r="IH4347" s="77"/>
      <c r="II4347" s="77"/>
      <c r="IJ4347" s="77"/>
      <c r="IK4347" s="77"/>
      <c r="IL4347" s="77"/>
      <c r="IM4347" s="77"/>
      <c r="IN4347" s="77"/>
      <c r="IO4347" s="77"/>
      <c r="IP4347" s="77"/>
      <c r="IQ4347" s="77"/>
      <c r="IR4347" s="77"/>
      <c r="IS4347" s="77"/>
      <c r="IT4347" s="77"/>
      <c r="IU4347" s="77"/>
      <c r="IV4347" s="77"/>
      <c r="IW4347" s="77"/>
      <c r="IX4347" s="77"/>
      <c r="IY4347" s="77"/>
      <c r="IZ4347" s="77"/>
      <c r="JA4347" s="77"/>
      <c r="JB4347" s="77"/>
      <c r="JC4347" s="77"/>
      <c r="JD4347" s="77"/>
      <c r="JE4347" s="77"/>
      <c r="JF4347" s="77"/>
      <c r="JG4347" s="77"/>
      <c r="JH4347" s="77"/>
      <c r="JI4347" s="77"/>
      <c r="JJ4347" s="77"/>
      <c r="JK4347" s="77"/>
      <c r="JL4347" s="77"/>
      <c r="JM4347" s="77"/>
      <c r="JN4347" s="77"/>
      <c r="JO4347" s="77"/>
      <c r="JP4347" s="77"/>
      <c r="JQ4347" s="77"/>
      <c r="JR4347" s="77"/>
      <c r="JT4347" s="77"/>
      <c r="JU4347" s="77"/>
      <c r="JV4347" s="77"/>
      <c r="JW4347" s="77"/>
      <c r="JX4347" s="77"/>
      <c r="JY4347" s="77"/>
      <c r="JZ4347" s="77"/>
      <c r="KA4347" s="77"/>
      <c r="KB4347" s="77"/>
      <c r="KC4347" s="77"/>
      <c r="KD4347" s="77"/>
      <c r="KE4347" s="77"/>
      <c r="KF4347" s="77"/>
      <c r="KG4347" s="77"/>
      <c r="KH4347" s="77"/>
      <c r="KI4347" s="77"/>
      <c r="KJ4347" s="77"/>
      <c r="KK4347" s="77"/>
      <c r="KL4347" s="77"/>
      <c r="KM4347" s="77"/>
      <c r="KN4347" s="77"/>
      <c r="KO4347" s="77"/>
      <c r="KP4347" s="77"/>
      <c r="KQ4347" s="77"/>
      <c r="KR4347" s="77"/>
      <c r="KS4347" s="77"/>
      <c r="KT4347" s="77"/>
      <c r="KU4347" s="178"/>
      <c r="KV4347" s="77"/>
      <c r="KW4347" s="178"/>
      <c r="KX4347" s="77"/>
      <c r="KY4347" s="178"/>
      <c r="KZ4347" s="77"/>
      <c r="LA4347" s="77"/>
      <c r="LB4347" s="77"/>
      <c r="LC4347" s="77"/>
      <c r="LD4347" s="77"/>
      <c r="LE4347" s="77"/>
      <c r="LF4347" s="77"/>
      <c r="LG4347" s="77"/>
      <c r="LI4347" s="77"/>
      <c r="LJ4347" s="77"/>
      <c r="LK4347" s="77"/>
      <c r="LL4347" s="77"/>
      <c r="LM4347" s="77"/>
      <c r="LN4347" s="77"/>
      <c r="LO4347" s="77"/>
      <c r="LP4347" s="77"/>
      <c r="LQ4347" s="77"/>
      <c r="LR4347" s="77"/>
      <c r="LS4347" s="77"/>
      <c r="LT4347" s="77"/>
      <c r="LU4347" s="77"/>
      <c r="LV4347" s="77"/>
      <c r="LW4347" s="77"/>
      <c r="LX4347" s="77"/>
      <c r="LY4347" s="77"/>
      <c r="LZ4347" s="77"/>
      <c r="MA4347" s="77"/>
      <c r="MB4347" s="77"/>
      <c r="MC4347" s="77"/>
      <c r="MD4347" s="77"/>
      <c r="ME4347" s="77"/>
      <c r="MF4347" s="77"/>
      <c r="MG4347" s="77"/>
      <c r="MH4347" s="77"/>
      <c r="MI4347" s="77"/>
      <c r="MJ4347" s="77"/>
      <c r="MK4347" s="77"/>
      <c r="ML4347" s="77"/>
      <c r="MM4347" s="77"/>
      <c r="MN4347" s="77"/>
      <c r="MO4347" s="77"/>
      <c r="MP4347" s="77"/>
      <c r="MQ4347" s="77"/>
      <c r="MR4347" s="77"/>
      <c r="MS4347" s="77"/>
      <c r="MT4347" s="77"/>
      <c r="MU4347" s="77"/>
      <c r="MV4347" s="77"/>
      <c r="MW4347" s="77"/>
      <c r="MX4347" s="77"/>
      <c r="MY4347" s="77"/>
      <c r="MZ4347" s="77"/>
      <c r="NA4347" s="77"/>
      <c r="NB4347" s="77"/>
      <c r="NC4347" s="77"/>
      <c r="ND4347" s="77"/>
      <c r="NE4347" s="77"/>
      <c r="NF4347" s="77"/>
      <c r="NG4347" s="77"/>
      <c r="NH4347" s="77"/>
      <c r="NI4347" s="77"/>
      <c r="NJ4347" s="77"/>
      <c r="NK4347" s="77"/>
      <c r="NL4347" s="77"/>
      <c r="NM4347" s="77"/>
      <c r="NO4347" s="77"/>
      <c r="NP4347" s="77"/>
      <c r="NQ4347" s="77"/>
      <c r="NR4347" s="77"/>
      <c r="NS4347" s="77"/>
      <c r="NT4347" s="77"/>
      <c r="NU4347" s="77"/>
      <c r="NV4347" s="77"/>
      <c r="NW4347" s="77"/>
      <c r="NX4347" s="77"/>
      <c r="NY4347" s="77"/>
      <c r="NZ4347" s="77"/>
      <c r="OA4347" s="77"/>
      <c r="OB4347" s="77"/>
      <c r="OC4347" s="77"/>
      <c r="OD4347" s="77"/>
      <c r="OE4347" s="77"/>
      <c r="OF4347" s="77"/>
      <c r="OG4347" s="77"/>
      <c r="OH4347" s="77"/>
      <c r="OI4347" s="77"/>
      <c r="OJ4347" s="77"/>
      <c r="OK4347" s="77"/>
      <c r="OL4347" s="77"/>
      <c r="OM4347" s="77"/>
      <c r="ON4347" s="77"/>
      <c r="OO4347" s="77"/>
      <c r="OP4347" s="77"/>
      <c r="OQ4347" s="77"/>
      <c r="OR4347" s="77"/>
      <c r="OS4347" s="77"/>
      <c r="OT4347" s="77"/>
      <c r="OU4347" s="77"/>
      <c r="OV4347" s="77"/>
      <c r="OW4347" s="77"/>
      <c r="OX4347" s="77"/>
      <c r="OY4347" s="77"/>
      <c r="OZ4347" s="77"/>
      <c r="PA4347" s="77"/>
      <c r="PB4347" s="77"/>
      <c r="PC4347" s="77"/>
      <c r="PD4347" s="77"/>
      <c r="PE4347" s="77"/>
      <c r="PF4347" s="77"/>
      <c r="PG4347" s="77"/>
    </row>
    <row r="4349" spans="158:423" ht="74.25" customHeight="1" x14ac:dyDescent="0.2">
      <c r="FH4349" s="8" t="s">
        <v>9621</v>
      </c>
      <c r="HN4349" t="s">
        <v>9622</v>
      </c>
      <c r="JT4349" t="s">
        <v>9623</v>
      </c>
      <c r="JU4349" s="8"/>
      <c r="JV4349" s="8"/>
      <c r="JW4349" s="8"/>
      <c r="JX4349" s="8"/>
      <c r="JY4349" s="8"/>
      <c r="JZ4349" s="8"/>
      <c r="KA4349" s="8"/>
      <c r="KB4349" s="8"/>
      <c r="KC4349" s="8"/>
      <c r="KD4349" s="8"/>
      <c r="KE4349" s="8"/>
      <c r="KF4349" s="8"/>
      <c r="KG4349" s="8"/>
      <c r="KH4349" s="8"/>
      <c r="KI4349" s="8"/>
      <c r="KJ4349" s="8"/>
      <c r="KK4349" s="8"/>
      <c r="KL4349" s="8"/>
      <c r="KM4349" s="8"/>
      <c r="KN4349" s="8"/>
      <c r="KO4349" s="8"/>
      <c r="KP4349" s="8"/>
      <c r="KQ4349" s="8"/>
      <c r="KR4349" s="8"/>
      <c r="KS4349" s="8"/>
      <c r="KT4349" s="8"/>
      <c r="KU4349" s="8"/>
      <c r="KV4349" s="8"/>
      <c r="KW4349" s="8"/>
      <c r="KX4349" s="8"/>
      <c r="KY4349" s="8"/>
      <c r="KZ4349" s="8"/>
      <c r="LA4349" s="8"/>
      <c r="LB4349" s="8"/>
      <c r="LC4349" s="8"/>
      <c r="LD4349" s="8"/>
      <c r="LE4349" s="8"/>
      <c r="LF4349" s="8"/>
      <c r="LG4349" s="8"/>
      <c r="LI4349" t="s">
        <v>9658</v>
      </c>
      <c r="NO4349" s="8" t="s">
        <v>9624</v>
      </c>
    </row>
    <row r="4352" spans="158:423" ht="74.25" customHeight="1" x14ac:dyDescent="0.2">
      <c r="FH4352"/>
      <c r="FI4352"/>
      <c r="FJ4352"/>
    </row>
  </sheetData>
  <sheetProtection algorithmName="SHA-512" hashValue="hTqGFdj3N9g8I8UyHXC3+g7mCDW+pzj+JwrwG09MIIQPaaFK5hE6nXoeKREoKgFj6WakAwRBfqbnlzlLiQYiRg==" saltValue="oT7u9wgP62GZX81xRXw0sA==" spinCount="100000" sheet="1" objects="1" scenarios="1" formatColumns="0" formatRows="0"/>
  <mergeCells count="8">
    <mergeCell ref="SW1:SY1"/>
    <mergeCell ref="QX95:SU95"/>
    <mergeCell ref="PT1:QA1"/>
    <mergeCell ref="QB1:QI1"/>
    <mergeCell ref="PJ1:PS1"/>
    <mergeCell ref="QX32:SU32"/>
    <mergeCell ref="QX63:SU63"/>
    <mergeCell ref="QM1:QV1"/>
  </mergeCells>
  <phoneticPr fontId="26" type="noConversion"/>
  <dataValidations disablePrompts="1" count="1">
    <dataValidation type="list" allowBlank="1" showInputMessage="1" showErrorMessage="1" sqref="P10" xr:uid="{018217F2-9929-4986-A83C-228F360DE460}">
      <formula1>TankMSS_CtrlDevs</formula1>
    </dataValidation>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7716B-854F-41C1-B3D5-A48F3BF14795}">
  <sheetPr codeName="Sheet4">
    <tabColor theme="8" tint="0.39997558519241921"/>
  </sheetPr>
  <dimension ref="A1:I159"/>
  <sheetViews>
    <sheetView showGridLines="0" zoomScaleNormal="100" workbookViewId="0">
      <selection sqref="A1:H1"/>
    </sheetView>
  </sheetViews>
  <sheetFormatPr defaultColWidth="0" defaultRowHeight="14.25" zeroHeight="1" x14ac:dyDescent="0.2"/>
  <cols>
    <col min="1" max="1" width="32.125" customWidth="1"/>
    <col min="2" max="4" width="12.125" customWidth="1"/>
    <col min="5" max="5" width="18.625" customWidth="1"/>
    <col min="6" max="6" width="32.125" customWidth="1"/>
    <col min="7" max="8" width="10.625" customWidth="1"/>
    <col min="9" max="9" width="2.625" customWidth="1"/>
    <col min="10" max="16384" width="9" hidden="1"/>
  </cols>
  <sheetData>
    <row r="1" spans="1:8" ht="8.25" customHeight="1" thickBot="1" x14ac:dyDescent="0.25">
      <c r="A1" s="478" t="s">
        <v>0</v>
      </c>
      <c r="B1" s="478"/>
      <c r="C1" s="478"/>
      <c r="D1" s="478"/>
      <c r="E1" s="478"/>
      <c r="F1" s="478"/>
      <c r="G1" s="478"/>
      <c r="H1" s="478"/>
    </row>
    <row r="2" spans="1:8" ht="18.75" thickBot="1" x14ac:dyDescent="0.25">
      <c r="A2" s="525" t="s">
        <v>9288</v>
      </c>
      <c r="B2" s="525"/>
      <c r="C2" s="525"/>
      <c r="D2" s="525"/>
      <c r="E2" s="525"/>
      <c r="F2" s="525"/>
      <c r="G2" s="525"/>
      <c r="H2" s="525"/>
    </row>
    <row r="3" spans="1:8" ht="305.25" customHeight="1" thickBot="1" x14ac:dyDescent="0.25">
      <c r="A3" s="634" t="s">
        <v>10863</v>
      </c>
      <c r="B3" s="635"/>
      <c r="C3" s="635"/>
      <c r="D3" s="635"/>
      <c r="E3" s="635"/>
      <c r="F3" s="635"/>
      <c r="G3" s="635"/>
      <c r="H3" s="636"/>
    </row>
    <row r="4" spans="1:8" ht="15" thickBot="1" x14ac:dyDescent="0.25">
      <c r="A4" s="638" t="s">
        <v>1</v>
      </c>
      <c r="B4" s="638"/>
      <c r="C4" s="638"/>
      <c r="D4" s="638"/>
      <c r="E4" s="638"/>
      <c r="F4" s="638"/>
      <c r="G4" s="638"/>
      <c r="H4" s="638"/>
    </row>
    <row r="5" spans="1:8" ht="15.75" thickBot="1" x14ac:dyDescent="0.25">
      <c r="A5" s="479" t="s">
        <v>9285</v>
      </c>
      <c r="B5" s="479"/>
      <c r="C5" s="479"/>
      <c r="D5" s="479"/>
      <c r="E5" s="479"/>
      <c r="F5" s="479"/>
      <c r="G5" s="479"/>
      <c r="H5" s="479"/>
    </row>
    <row r="6" spans="1:8" ht="34.5" customHeight="1" x14ac:dyDescent="0.2">
      <c r="A6" s="643" t="s">
        <v>10222</v>
      </c>
      <c r="B6" s="644"/>
      <c r="C6" s="644"/>
      <c r="D6" s="645"/>
      <c r="E6" s="640"/>
      <c r="F6" s="641"/>
      <c r="G6" s="641"/>
      <c r="H6" s="642"/>
    </row>
    <row r="7" spans="1:8" ht="45" x14ac:dyDescent="0.2">
      <c r="A7" s="564" t="s">
        <v>9286</v>
      </c>
      <c r="B7" s="563"/>
      <c r="C7" s="563"/>
      <c r="D7" s="563"/>
      <c r="E7" s="79" t="s">
        <v>239</v>
      </c>
      <c r="F7" s="79" t="s">
        <v>8753</v>
      </c>
      <c r="G7" s="79" t="s">
        <v>8754</v>
      </c>
      <c r="H7" s="80" t="s">
        <v>8755</v>
      </c>
    </row>
    <row r="8" spans="1:8" x14ac:dyDescent="0.2">
      <c r="A8" s="646" t="s">
        <v>9287</v>
      </c>
      <c r="B8" s="647"/>
      <c r="C8" s="647"/>
      <c r="D8" s="648"/>
      <c r="E8" s="76"/>
      <c r="F8" s="158" t="str">
        <f>IF($E8="","",IFERROR(HLOOKUP(Hidden!$FB$2,Substances,MATCH(Products!$E8,CAS,0),FALSE),""))</f>
        <v/>
      </c>
      <c r="G8" s="383"/>
      <c r="H8" s="384"/>
    </row>
    <row r="9" spans="1:8" x14ac:dyDescent="0.2">
      <c r="A9" s="627" t="str">
        <f>A8&amp;"A"</f>
        <v>Fuel gasA</v>
      </c>
      <c r="B9" s="628"/>
      <c r="C9" s="628"/>
      <c r="D9" s="628"/>
      <c r="E9" s="76"/>
      <c r="F9" s="158" t="str">
        <f>IF($E9="","",IFERROR(HLOOKUP(Hidden!$FB$2,Substances,MATCH(Products!$E9,CAS,0),FALSE),""))</f>
        <v/>
      </c>
      <c r="G9" s="383"/>
      <c r="H9" s="384"/>
    </row>
    <row r="10" spans="1:8" x14ac:dyDescent="0.2">
      <c r="A10" s="627" t="str">
        <f t="shared" ref="A10:A17" si="0">A9&amp;"A"</f>
        <v>Fuel gasAA</v>
      </c>
      <c r="B10" s="628"/>
      <c r="C10" s="628"/>
      <c r="D10" s="628"/>
      <c r="E10" s="76"/>
      <c r="F10" s="158"/>
      <c r="G10" s="383"/>
      <c r="H10" s="384"/>
    </row>
    <row r="11" spans="1:8" x14ac:dyDescent="0.2">
      <c r="A11" s="627" t="str">
        <f t="shared" si="0"/>
        <v>Fuel gasAAA</v>
      </c>
      <c r="B11" s="628"/>
      <c r="C11" s="628"/>
      <c r="D11" s="628"/>
      <c r="E11" s="76"/>
      <c r="F11" s="158" t="str">
        <f>IF($E11="","",IFERROR(HLOOKUP(Hidden!$FB$2,Substances,MATCH(Products!$E11,CAS,0),FALSE),""))</f>
        <v/>
      </c>
      <c r="G11" s="383"/>
      <c r="H11" s="384"/>
    </row>
    <row r="12" spans="1:8" x14ac:dyDescent="0.2">
      <c r="A12" s="627" t="str">
        <f t="shared" si="0"/>
        <v>Fuel gasAAAA</v>
      </c>
      <c r="B12" s="628"/>
      <c r="C12" s="628"/>
      <c r="D12" s="628"/>
      <c r="E12" s="76"/>
      <c r="F12" s="158" t="str">
        <f>IF($E12="","",IFERROR(HLOOKUP(Hidden!$FB$2,Substances,MATCH(Products!$E12,CAS,0),FALSE),""))</f>
        <v/>
      </c>
      <c r="G12" s="383"/>
      <c r="H12" s="384"/>
    </row>
    <row r="13" spans="1:8" x14ac:dyDescent="0.2">
      <c r="A13" s="627" t="str">
        <f t="shared" si="0"/>
        <v>Fuel gasAAAAA</v>
      </c>
      <c r="B13" s="628"/>
      <c r="C13" s="628"/>
      <c r="D13" s="628"/>
      <c r="E13" s="76"/>
      <c r="F13" s="158" t="str">
        <f>IF($E13="","",IFERROR(HLOOKUP(Hidden!$FB$2,Substances,MATCH(Products!$E13,CAS,0),FALSE),""))</f>
        <v/>
      </c>
      <c r="G13" s="383"/>
      <c r="H13" s="384"/>
    </row>
    <row r="14" spans="1:8" x14ac:dyDescent="0.2">
      <c r="A14" s="627" t="str">
        <f t="shared" si="0"/>
        <v>Fuel gasAAAAAA</v>
      </c>
      <c r="B14" s="628"/>
      <c r="C14" s="628"/>
      <c r="D14" s="628"/>
      <c r="E14" s="76"/>
      <c r="F14" s="158" t="str">
        <f>IF($E14="","",IFERROR(HLOOKUP(Hidden!$FB$2,Substances,MATCH(Products!$E14,CAS,0),FALSE),""))</f>
        <v/>
      </c>
      <c r="G14" s="383"/>
      <c r="H14" s="384"/>
    </row>
    <row r="15" spans="1:8" x14ac:dyDescent="0.2">
      <c r="A15" s="627" t="str">
        <f t="shared" si="0"/>
        <v>Fuel gasAAAAAAA</v>
      </c>
      <c r="B15" s="628"/>
      <c r="C15" s="628"/>
      <c r="D15" s="628"/>
      <c r="E15" s="76"/>
      <c r="F15" s="158" t="str">
        <f>IF($E15="","",IFERROR(HLOOKUP(Hidden!$FB$2,Substances,MATCH(Products!$E15,CAS,0),FALSE),""))</f>
        <v/>
      </c>
      <c r="G15" s="383"/>
      <c r="H15" s="384"/>
    </row>
    <row r="16" spans="1:8" x14ac:dyDescent="0.2">
      <c r="A16" s="627" t="str">
        <f t="shared" si="0"/>
        <v>Fuel gasAAAAAAAA</v>
      </c>
      <c r="B16" s="628"/>
      <c r="C16" s="628"/>
      <c r="D16" s="628"/>
      <c r="E16" s="133"/>
      <c r="F16" s="16" t="str">
        <f>IF($E16="","",IFERROR(HLOOKUP(Hidden!$FB$2,Substances,MATCH(Products!$E16,CAS,0),FALSE),""))</f>
        <v/>
      </c>
      <c r="G16" s="383"/>
      <c r="H16" s="384"/>
    </row>
    <row r="17" spans="1:8" ht="15" thickBot="1" x14ac:dyDescent="0.25">
      <c r="A17" s="629" t="str">
        <f t="shared" si="0"/>
        <v>Fuel gasAAAAAAAAA</v>
      </c>
      <c r="B17" s="630"/>
      <c r="C17" s="630"/>
      <c r="D17" s="630"/>
      <c r="E17" s="134"/>
      <c r="F17" s="28" t="str">
        <f>IF($E17="","",IFERROR(HLOOKUP(Hidden!$FB$2,Substances,MATCH(Products!$E17,CAS,0),FALSE),""))</f>
        <v/>
      </c>
      <c r="G17" s="385"/>
      <c r="H17" s="386"/>
    </row>
    <row r="18" spans="1:8" ht="15" thickBot="1" x14ac:dyDescent="0.25">
      <c r="A18" s="639" t="s">
        <v>1</v>
      </c>
      <c r="B18" s="639"/>
      <c r="C18" s="639"/>
      <c r="D18" s="639"/>
      <c r="E18" s="639"/>
      <c r="F18" s="639"/>
      <c r="G18" s="639"/>
      <c r="H18" s="639"/>
    </row>
    <row r="19" spans="1:8" ht="15.75" thickBot="1" x14ac:dyDescent="0.25">
      <c r="A19" s="474" t="s">
        <v>10223</v>
      </c>
      <c r="B19" s="474"/>
      <c r="C19" s="474"/>
      <c r="D19" s="474"/>
      <c r="E19" s="474"/>
      <c r="F19" s="474"/>
      <c r="G19" s="474"/>
      <c r="H19" s="474"/>
    </row>
    <row r="20" spans="1:8" ht="49.5" customHeight="1" x14ac:dyDescent="0.2">
      <c r="A20" s="631" t="s">
        <v>10224</v>
      </c>
      <c r="B20" s="632"/>
      <c r="C20" s="632"/>
      <c r="D20" s="632"/>
      <c r="E20" s="632"/>
      <c r="F20" s="632"/>
      <c r="G20" s="632"/>
      <c r="H20" s="633"/>
    </row>
    <row r="21" spans="1:8" ht="81" customHeight="1" x14ac:dyDescent="0.25">
      <c r="A21" s="82" t="s">
        <v>236</v>
      </c>
      <c r="B21" s="81" t="s">
        <v>8711</v>
      </c>
      <c r="C21" s="81" t="s">
        <v>237</v>
      </c>
      <c r="D21" s="81" t="s">
        <v>238</v>
      </c>
      <c r="E21" s="81" t="s">
        <v>239</v>
      </c>
      <c r="F21" s="81" t="s">
        <v>8753</v>
      </c>
      <c r="G21" s="81" t="s">
        <v>8754</v>
      </c>
      <c r="H21" s="83" t="s">
        <v>8755</v>
      </c>
    </row>
    <row r="22" spans="1:8" x14ac:dyDescent="0.2">
      <c r="A22" s="142" t="s">
        <v>10811</v>
      </c>
      <c r="B22" s="104">
        <v>50</v>
      </c>
      <c r="C22" s="104">
        <v>10.49</v>
      </c>
      <c r="D22" s="104">
        <v>7.06</v>
      </c>
      <c r="E22" s="135" t="s">
        <v>4824</v>
      </c>
      <c r="F22" s="16" t="s">
        <v>4823</v>
      </c>
      <c r="G22" s="104">
        <v>1</v>
      </c>
      <c r="H22" s="116">
        <v>1</v>
      </c>
    </row>
    <row r="23" spans="1:8" x14ac:dyDescent="0.2">
      <c r="A23" s="97" t="s">
        <v>9360</v>
      </c>
      <c r="B23" s="98" t="s">
        <v>9360</v>
      </c>
      <c r="C23" s="98" t="s">
        <v>9360</v>
      </c>
      <c r="D23" s="98" t="s">
        <v>9360</v>
      </c>
      <c r="E23" s="135" t="s">
        <v>5692</v>
      </c>
      <c r="F23" s="16" t="s">
        <v>5691</v>
      </c>
      <c r="G23" s="104">
        <v>1.55E-2</v>
      </c>
      <c r="H23" s="116">
        <v>1.4999999999999999E-2</v>
      </c>
    </row>
    <row r="24" spans="1:8" x14ac:dyDescent="0.2">
      <c r="A24" s="97" t="s">
        <v>9360</v>
      </c>
      <c r="B24" s="98" t="s">
        <v>9360</v>
      </c>
      <c r="C24" s="98" t="s">
        <v>9360</v>
      </c>
      <c r="D24" s="98" t="s">
        <v>9360</v>
      </c>
      <c r="E24" t="s">
        <v>3559</v>
      </c>
      <c r="F24" s="16" t="s">
        <v>3558</v>
      </c>
      <c r="G24">
        <v>2.5000000000000001E-2</v>
      </c>
      <c r="H24" s="29">
        <v>0.02</v>
      </c>
    </row>
    <row r="25" spans="1:8" x14ac:dyDescent="0.2">
      <c r="A25" s="97" t="s">
        <v>9360</v>
      </c>
      <c r="B25" s="98" t="s">
        <v>9360</v>
      </c>
      <c r="C25" s="98" t="s">
        <v>9360</v>
      </c>
      <c r="D25" s="98" t="s">
        <v>9360</v>
      </c>
      <c r="E25" s="223" t="s">
        <v>9360</v>
      </c>
      <c r="F25" s="223" t="s">
        <v>9360</v>
      </c>
      <c r="G25" s="223"/>
      <c r="H25" s="179"/>
    </row>
    <row r="26" spans="1:8" x14ac:dyDescent="0.2">
      <c r="A26" s="97" t="s">
        <v>9360</v>
      </c>
      <c r="B26" s="98" t="s">
        <v>9360</v>
      </c>
      <c r="C26" s="98" t="s">
        <v>9360</v>
      </c>
      <c r="D26" s="98" t="s">
        <v>9360</v>
      </c>
      <c r="E26" s="223" t="s">
        <v>9360</v>
      </c>
      <c r="F26" s="223" t="s">
        <v>9360</v>
      </c>
      <c r="G26" s="223"/>
      <c r="H26" s="179"/>
    </row>
    <row r="27" spans="1:8" x14ac:dyDescent="0.2">
      <c r="A27" s="97" t="s">
        <v>9360</v>
      </c>
      <c r="B27" s="98" t="s">
        <v>9360</v>
      </c>
      <c r="C27" s="98" t="s">
        <v>9360</v>
      </c>
      <c r="D27" s="98" t="s">
        <v>9360</v>
      </c>
      <c r="E27" s="223" t="s">
        <v>9360</v>
      </c>
      <c r="F27" s="223" t="s">
        <v>9360</v>
      </c>
      <c r="G27" s="223"/>
      <c r="H27" s="179"/>
    </row>
    <row r="28" spans="1:8" x14ac:dyDescent="0.2">
      <c r="A28" s="97" t="s">
        <v>9360</v>
      </c>
      <c r="B28" s="98" t="s">
        <v>9360</v>
      </c>
      <c r="C28" s="98" t="s">
        <v>9360</v>
      </c>
      <c r="D28" s="98" t="s">
        <v>9360</v>
      </c>
      <c r="E28" s="223" t="s">
        <v>9360</v>
      </c>
      <c r="F28" s="223" t="s">
        <v>9360</v>
      </c>
      <c r="G28" s="223"/>
      <c r="H28" s="179"/>
    </row>
    <row r="29" spans="1:8" x14ac:dyDescent="0.2">
      <c r="A29" s="97" t="s">
        <v>9360</v>
      </c>
      <c r="B29" s="98" t="s">
        <v>9360</v>
      </c>
      <c r="C29" s="98" t="s">
        <v>9360</v>
      </c>
      <c r="D29" s="98" t="s">
        <v>9360</v>
      </c>
      <c r="E29" s="223" t="s">
        <v>9360</v>
      </c>
      <c r="F29" s="223" t="s">
        <v>9360</v>
      </c>
      <c r="G29" s="223"/>
      <c r="H29" s="179"/>
    </row>
    <row r="30" spans="1:8" x14ac:dyDescent="0.2">
      <c r="A30" s="97" t="s">
        <v>9360</v>
      </c>
      <c r="B30" s="98" t="s">
        <v>9360</v>
      </c>
      <c r="C30" s="98" t="s">
        <v>9360</v>
      </c>
      <c r="D30" s="98" t="s">
        <v>9360</v>
      </c>
      <c r="E30" s="223" t="s">
        <v>9360</v>
      </c>
      <c r="F30" s="223" t="s">
        <v>9360</v>
      </c>
      <c r="G30" s="223"/>
      <c r="H30" s="179"/>
    </row>
    <row r="31" spans="1:8" ht="15" thickBot="1" x14ac:dyDescent="0.25">
      <c r="A31" s="99" t="s">
        <v>9360</v>
      </c>
      <c r="B31" s="100" t="s">
        <v>9360</v>
      </c>
      <c r="C31" s="100" t="s">
        <v>9360</v>
      </c>
      <c r="D31" s="100" t="s">
        <v>9360</v>
      </c>
      <c r="E31" s="166" t="s">
        <v>9360</v>
      </c>
      <c r="F31" s="166" t="s">
        <v>9360</v>
      </c>
      <c r="G31" s="166"/>
      <c r="H31" s="180"/>
    </row>
    <row r="32" spans="1:8" ht="33" customHeight="1" x14ac:dyDescent="0.2">
      <c r="A32" s="631" t="s">
        <v>11011</v>
      </c>
      <c r="B32" s="632"/>
      <c r="C32" s="632"/>
      <c r="D32" s="632"/>
      <c r="E32" s="632"/>
      <c r="F32" s="632"/>
      <c r="G32" s="632"/>
      <c r="H32" s="633"/>
    </row>
    <row r="33" spans="1:8" ht="81" customHeight="1" x14ac:dyDescent="0.25">
      <c r="A33" s="82" t="s">
        <v>236</v>
      </c>
      <c r="B33" s="81" t="s">
        <v>8711</v>
      </c>
      <c r="C33" s="81" t="s">
        <v>237</v>
      </c>
      <c r="D33" s="81" t="s">
        <v>238</v>
      </c>
      <c r="E33" s="81" t="s">
        <v>239</v>
      </c>
      <c r="F33" s="81" t="s">
        <v>8753</v>
      </c>
      <c r="G33" s="81" t="s">
        <v>8754</v>
      </c>
      <c r="H33" s="83" t="s">
        <v>8755</v>
      </c>
    </row>
    <row r="34" spans="1:8" x14ac:dyDescent="0.2">
      <c r="A34" s="142" t="s">
        <v>10810</v>
      </c>
      <c r="B34" s="104">
        <v>66</v>
      </c>
      <c r="C34" s="104">
        <v>7.42</v>
      </c>
      <c r="D34" s="104">
        <v>4.6900000000000004</v>
      </c>
      <c r="E34" s="135" t="s">
        <v>5464</v>
      </c>
      <c r="F34" s="16" t="s">
        <v>290</v>
      </c>
      <c r="G34" s="104">
        <v>1</v>
      </c>
      <c r="H34" s="116">
        <v>1</v>
      </c>
    </row>
    <row r="35" spans="1:8" x14ac:dyDescent="0.2">
      <c r="A35" s="97" t="s">
        <v>9360</v>
      </c>
      <c r="B35" s="98" t="s">
        <v>9360</v>
      </c>
      <c r="C35" s="98" t="s">
        <v>9360</v>
      </c>
      <c r="D35" s="98" t="s">
        <v>9360</v>
      </c>
      <c r="E35" s="135" t="s">
        <v>3559</v>
      </c>
      <c r="F35" s="16" t="s">
        <v>3558</v>
      </c>
      <c r="G35" s="104">
        <v>1.4999999999999999E-2</v>
      </c>
      <c r="H35" s="116">
        <v>0.01</v>
      </c>
    </row>
    <row r="36" spans="1:8" x14ac:dyDescent="0.2">
      <c r="A36" s="97" t="s">
        <v>9360</v>
      </c>
      <c r="B36" s="98" t="s">
        <v>9360</v>
      </c>
      <c r="C36" s="98" t="s">
        <v>9360</v>
      </c>
      <c r="D36" s="98" t="s">
        <v>9360</v>
      </c>
      <c r="E36" s="223" t="s">
        <v>9360</v>
      </c>
      <c r="F36" s="223" t="s">
        <v>9360</v>
      </c>
      <c r="G36" s="223" t="s">
        <v>9709</v>
      </c>
      <c r="H36" s="179"/>
    </row>
    <row r="37" spans="1:8" x14ac:dyDescent="0.2">
      <c r="A37" s="97" t="s">
        <v>9360</v>
      </c>
      <c r="B37" s="98" t="s">
        <v>9360</v>
      </c>
      <c r="C37" s="98" t="s">
        <v>9360</v>
      </c>
      <c r="D37" s="98" t="s">
        <v>9360</v>
      </c>
      <c r="E37" s="223" t="s">
        <v>9360</v>
      </c>
      <c r="F37" s="223" t="s">
        <v>9360</v>
      </c>
      <c r="G37" s="223"/>
      <c r="H37" s="179"/>
    </row>
    <row r="38" spans="1:8" x14ac:dyDescent="0.2">
      <c r="A38" s="97" t="s">
        <v>9360</v>
      </c>
      <c r="B38" s="98" t="s">
        <v>9360</v>
      </c>
      <c r="C38" s="98" t="s">
        <v>9360</v>
      </c>
      <c r="D38" s="98" t="s">
        <v>9360</v>
      </c>
      <c r="E38" s="223" t="s">
        <v>9360</v>
      </c>
      <c r="F38" s="223" t="s">
        <v>9360</v>
      </c>
      <c r="G38" s="223"/>
      <c r="H38" s="179"/>
    </row>
    <row r="39" spans="1:8" x14ac:dyDescent="0.2">
      <c r="A39" s="97" t="s">
        <v>9360</v>
      </c>
      <c r="B39" s="98" t="s">
        <v>9360</v>
      </c>
      <c r="C39" s="98" t="s">
        <v>9360</v>
      </c>
      <c r="D39" s="98" t="s">
        <v>9360</v>
      </c>
      <c r="E39" s="223" t="s">
        <v>9360</v>
      </c>
      <c r="F39" s="223" t="s">
        <v>9360</v>
      </c>
      <c r="G39" s="223"/>
      <c r="H39" s="179"/>
    </row>
    <row r="40" spans="1:8" x14ac:dyDescent="0.2">
      <c r="A40" s="97" t="s">
        <v>9360</v>
      </c>
      <c r="B40" s="98" t="s">
        <v>9360</v>
      </c>
      <c r="C40" s="98" t="s">
        <v>9360</v>
      </c>
      <c r="D40" s="98" t="s">
        <v>9360</v>
      </c>
      <c r="E40" s="223" t="s">
        <v>9360</v>
      </c>
      <c r="F40" s="223" t="s">
        <v>9360</v>
      </c>
      <c r="G40" s="223"/>
      <c r="H40" s="179"/>
    </row>
    <row r="41" spans="1:8" x14ac:dyDescent="0.2">
      <c r="A41" s="97" t="s">
        <v>9360</v>
      </c>
      <c r="B41" s="98" t="s">
        <v>9360</v>
      </c>
      <c r="C41" s="98" t="s">
        <v>9360</v>
      </c>
      <c r="D41" s="98" t="s">
        <v>9360</v>
      </c>
      <c r="E41" s="223" t="s">
        <v>9360</v>
      </c>
      <c r="F41" s="223" t="s">
        <v>9360</v>
      </c>
      <c r="G41" s="223"/>
      <c r="H41" s="179"/>
    </row>
    <row r="42" spans="1:8" x14ac:dyDescent="0.2">
      <c r="A42" s="97" t="s">
        <v>9360</v>
      </c>
      <c r="B42" s="98" t="s">
        <v>9360</v>
      </c>
      <c r="C42" s="98" t="s">
        <v>9360</v>
      </c>
      <c r="D42" s="98" t="s">
        <v>9360</v>
      </c>
      <c r="E42" s="223" t="s">
        <v>9360</v>
      </c>
      <c r="F42" s="223" t="s">
        <v>9360</v>
      </c>
      <c r="G42" s="223"/>
      <c r="H42" s="179"/>
    </row>
    <row r="43" spans="1:8" ht="15" thickBot="1" x14ac:dyDescent="0.25">
      <c r="A43" s="99" t="s">
        <v>9360</v>
      </c>
      <c r="B43" s="100" t="s">
        <v>9360</v>
      </c>
      <c r="C43" s="100" t="s">
        <v>9360</v>
      </c>
      <c r="D43" s="100" t="s">
        <v>9360</v>
      </c>
      <c r="E43" s="166" t="s">
        <v>9360</v>
      </c>
      <c r="F43" s="166" t="s">
        <v>9360</v>
      </c>
      <c r="G43" s="166"/>
      <c r="H43" s="180"/>
    </row>
    <row r="44" spans="1:8" ht="31.5" customHeight="1" x14ac:dyDescent="0.2">
      <c r="A44" s="571" t="s">
        <v>10225</v>
      </c>
      <c r="B44" s="572"/>
      <c r="C44" s="572"/>
      <c r="D44" s="572"/>
      <c r="E44" s="572"/>
      <c r="F44" s="572"/>
      <c r="G44" s="572"/>
      <c r="H44" s="637"/>
    </row>
    <row r="45" spans="1:8" ht="81" customHeight="1" x14ac:dyDescent="0.25">
      <c r="A45" s="82" t="s">
        <v>236</v>
      </c>
      <c r="B45" s="81" t="s">
        <v>8711</v>
      </c>
      <c r="C45" s="81" t="s">
        <v>237</v>
      </c>
      <c r="D45" s="81" t="s">
        <v>238</v>
      </c>
      <c r="E45" s="81" t="s">
        <v>239</v>
      </c>
      <c r="F45" s="81" t="s">
        <v>8753</v>
      </c>
      <c r="G45" s="81" t="s">
        <v>8754</v>
      </c>
      <c r="H45" s="83" t="s">
        <v>8755</v>
      </c>
    </row>
    <row r="46" spans="1:8" ht="15.75" customHeight="1" x14ac:dyDescent="0.2">
      <c r="A46" s="142" t="s">
        <v>10226</v>
      </c>
      <c r="B46" s="104">
        <v>100</v>
      </c>
      <c r="C46" s="104">
        <v>5</v>
      </c>
      <c r="D46" s="104">
        <v>2</v>
      </c>
      <c r="E46" s="135" t="s">
        <v>7219</v>
      </c>
      <c r="F46" s="16" t="s">
        <v>9807</v>
      </c>
      <c r="G46" s="104">
        <v>0.9</v>
      </c>
      <c r="H46" s="116">
        <v>0.95</v>
      </c>
    </row>
    <row r="47" spans="1:8" x14ac:dyDescent="0.2">
      <c r="A47" s="97" t="s">
        <v>9360</v>
      </c>
      <c r="B47" s="98" t="s">
        <v>9360</v>
      </c>
      <c r="C47" s="98" t="s">
        <v>9360</v>
      </c>
      <c r="D47" s="98" t="s">
        <v>9360</v>
      </c>
      <c r="E47" s="135" t="s">
        <v>6819</v>
      </c>
      <c r="F47" s="16" t="s">
        <v>6818</v>
      </c>
      <c r="G47" s="104">
        <v>0.02</v>
      </c>
      <c r="H47" s="116">
        <v>0.01</v>
      </c>
    </row>
    <row r="48" spans="1:8" x14ac:dyDescent="0.2">
      <c r="A48" s="97" t="s">
        <v>9360</v>
      </c>
      <c r="B48" s="98" t="s">
        <v>9360</v>
      </c>
      <c r="C48" s="98" t="s">
        <v>9360</v>
      </c>
      <c r="D48" s="98" t="s">
        <v>9360</v>
      </c>
      <c r="E48" s="135" t="s">
        <v>4200</v>
      </c>
      <c r="F48" s="16" t="s">
        <v>4199</v>
      </c>
      <c r="G48" s="104">
        <v>0.02</v>
      </c>
      <c r="H48" s="116">
        <v>0.01</v>
      </c>
    </row>
    <row r="49" spans="1:8" x14ac:dyDescent="0.2">
      <c r="A49" s="97" t="s">
        <v>9360</v>
      </c>
      <c r="B49" s="98" t="s">
        <v>9360</v>
      </c>
      <c r="C49" s="98" t="s">
        <v>9360</v>
      </c>
      <c r="D49" s="98" t="s">
        <v>9360</v>
      </c>
      <c r="E49" s="135" t="s">
        <v>5692</v>
      </c>
      <c r="F49" s="16" t="s">
        <v>5691</v>
      </c>
      <c r="G49" s="104">
        <v>0.02</v>
      </c>
      <c r="H49" s="116">
        <v>0.01</v>
      </c>
    </row>
    <row r="50" spans="1:8" x14ac:dyDescent="0.2">
      <c r="A50" s="97" t="s">
        <v>9360</v>
      </c>
      <c r="B50" s="98" t="s">
        <v>9360</v>
      </c>
      <c r="C50" s="98" t="s">
        <v>9360</v>
      </c>
      <c r="D50" s="98" t="s">
        <v>9360</v>
      </c>
      <c r="E50" s="135" t="s">
        <v>6640</v>
      </c>
      <c r="F50" s="16" t="s">
        <v>6639</v>
      </c>
      <c r="G50" s="104">
        <v>0.02</v>
      </c>
      <c r="H50" s="116">
        <v>0.01</v>
      </c>
    </row>
    <row r="51" spans="1:8" x14ac:dyDescent="0.2">
      <c r="A51" s="97" t="s">
        <v>9360</v>
      </c>
      <c r="B51" s="98" t="s">
        <v>9360</v>
      </c>
      <c r="C51" s="98" t="s">
        <v>9360</v>
      </c>
      <c r="D51" s="98" t="s">
        <v>9360</v>
      </c>
      <c r="E51" s="135" t="s">
        <v>3559</v>
      </c>
      <c r="F51" s="16" t="s">
        <v>3558</v>
      </c>
      <c r="G51" s="104">
        <v>0.02</v>
      </c>
      <c r="H51" s="116">
        <v>0.01</v>
      </c>
    </row>
    <row r="52" spans="1:8" x14ac:dyDescent="0.2">
      <c r="A52" s="97" t="s">
        <v>9360</v>
      </c>
      <c r="B52" s="98" t="s">
        <v>9360</v>
      </c>
      <c r="C52" s="98" t="s">
        <v>9360</v>
      </c>
      <c r="D52" s="98" t="s">
        <v>9360</v>
      </c>
      <c r="E52" s="140" t="s">
        <v>9360</v>
      </c>
      <c r="F52" s="101" t="s">
        <v>9360</v>
      </c>
      <c r="G52" s="138" t="s">
        <v>9360</v>
      </c>
      <c r="H52" s="136" t="s">
        <v>9360</v>
      </c>
    </row>
    <row r="53" spans="1:8" x14ac:dyDescent="0.2">
      <c r="A53" s="97" t="s">
        <v>9360</v>
      </c>
      <c r="B53" s="98" t="s">
        <v>9360</v>
      </c>
      <c r="C53" s="98" t="s">
        <v>9360</v>
      </c>
      <c r="D53" s="98" t="s">
        <v>9360</v>
      </c>
      <c r="E53" s="140" t="s">
        <v>9360</v>
      </c>
      <c r="F53" s="101" t="s">
        <v>9360</v>
      </c>
      <c r="G53" s="138" t="s">
        <v>9360</v>
      </c>
      <c r="H53" s="136" t="s">
        <v>9360</v>
      </c>
    </row>
    <row r="54" spans="1:8" x14ac:dyDescent="0.2">
      <c r="A54" s="97" t="s">
        <v>9360</v>
      </c>
      <c r="B54" s="98" t="s">
        <v>9360</v>
      </c>
      <c r="C54" s="98" t="s">
        <v>9360</v>
      </c>
      <c r="D54" s="98" t="s">
        <v>9360</v>
      </c>
      <c r="E54" s="140" t="s">
        <v>9360</v>
      </c>
      <c r="F54" s="101" t="s">
        <v>9360</v>
      </c>
      <c r="G54" s="138" t="s">
        <v>9360</v>
      </c>
      <c r="H54" s="136" t="s">
        <v>9360</v>
      </c>
    </row>
    <row r="55" spans="1:8" ht="15" thickBot="1" x14ac:dyDescent="0.25">
      <c r="A55" s="99" t="s">
        <v>9360</v>
      </c>
      <c r="B55" s="100" t="s">
        <v>9360</v>
      </c>
      <c r="C55" s="100" t="s">
        <v>9360</v>
      </c>
      <c r="D55" s="100" t="s">
        <v>9360</v>
      </c>
      <c r="E55" s="141" t="s">
        <v>9360</v>
      </c>
      <c r="F55" s="102" t="s">
        <v>9360</v>
      </c>
      <c r="G55" s="139" t="s">
        <v>9360</v>
      </c>
      <c r="H55" s="137" t="s">
        <v>9360</v>
      </c>
    </row>
    <row r="56" spans="1:8" ht="15" thickBot="1" x14ac:dyDescent="0.25">
      <c r="A56" s="478" t="s">
        <v>1</v>
      </c>
      <c r="B56" s="478"/>
      <c r="C56" s="478"/>
      <c r="D56" s="478"/>
      <c r="E56" s="478"/>
      <c r="F56" s="478"/>
      <c r="G56" s="478"/>
      <c r="H56" s="478"/>
    </row>
    <row r="57" spans="1:8" ht="15.75" thickBot="1" x14ac:dyDescent="0.25">
      <c r="A57" s="479" t="s">
        <v>9284</v>
      </c>
      <c r="B57" s="479"/>
      <c r="C57" s="479"/>
      <c r="D57" s="479"/>
      <c r="E57" s="479"/>
      <c r="F57" s="479"/>
      <c r="G57" s="479"/>
      <c r="H57" s="479"/>
    </row>
    <row r="58" spans="1:8" ht="90.75" thickBot="1" x14ac:dyDescent="0.3">
      <c r="A58" s="54" t="s">
        <v>236</v>
      </c>
      <c r="B58" s="55" t="s">
        <v>8711</v>
      </c>
      <c r="C58" s="55" t="s">
        <v>237</v>
      </c>
      <c r="D58" s="55" t="s">
        <v>238</v>
      </c>
      <c r="E58" s="56" t="s">
        <v>239</v>
      </c>
      <c r="F58" s="55" t="s">
        <v>8753</v>
      </c>
      <c r="G58" s="55" t="s">
        <v>8754</v>
      </c>
      <c r="H58" s="57" t="s">
        <v>8755</v>
      </c>
    </row>
    <row r="59" spans="1:8" x14ac:dyDescent="0.2">
      <c r="A59" s="58"/>
      <c r="B59" s="68"/>
      <c r="C59" s="68"/>
      <c r="D59" s="68"/>
      <c r="E59" s="69"/>
      <c r="F59" s="59" t="str">
        <f>IF($E59="","",IFERROR(HLOOKUP(Hidden!$FB$2,Substances,MATCH(Products!$E59,CAS,0),FALSE),""))</f>
        <v/>
      </c>
      <c r="G59" s="387"/>
      <c r="H59" s="387"/>
    </row>
    <row r="60" spans="1:8" x14ac:dyDescent="0.2">
      <c r="A60" s="60" t="str">
        <f>A59&amp;"A"</f>
        <v>A</v>
      </c>
      <c r="B60" s="61">
        <f>$B$59</f>
        <v>0</v>
      </c>
      <c r="C60" s="61">
        <f>$C$59</f>
        <v>0</v>
      </c>
      <c r="D60" s="61">
        <f>$D$59</f>
        <v>0</v>
      </c>
      <c r="E60" s="70"/>
      <c r="F60" s="62" t="str">
        <f>IF($E60="","",IFERROR(HLOOKUP(Hidden!$FB$2,Substances,MATCH(Products!$E60,CAS,0),FALSE),""))</f>
        <v/>
      </c>
      <c r="G60" s="383"/>
      <c r="H60" s="383"/>
    </row>
    <row r="61" spans="1:8" x14ac:dyDescent="0.2">
      <c r="A61" s="60" t="str">
        <f t="shared" ref="A61:A68" si="1">A60&amp;"A"</f>
        <v>AA</v>
      </c>
      <c r="B61" s="61">
        <f t="shared" ref="B61:B68" si="2">$B$59</f>
        <v>0</v>
      </c>
      <c r="C61" s="61">
        <f t="shared" ref="C61:C68" si="3">$C$59</f>
        <v>0</v>
      </c>
      <c r="D61" s="61">
        <f t="shared" ref="D61:D68" si="4">$D$59</f>
        <v>0</v>
      </c>
      <c r="E61" s="70"/>
      <c r="F61" s="62" t="str">
        <f>IF($E61="","",IFERROR(HLOOKUP(Hidden!$FB$2,Substances,MATCH(Products!$E61,CAS,0),FALSE),""))</f>
        <v/>
      </c>
      <c r="G61" s="383"/>
      <c r="H61" s="383"/>
    </row>
    <row r="62" spans="1:8" x14ac:dyDescent="0.2">
      <c r="A62" s="60" t="str">
        <f t="shared" si="1"/>
        <v>AAA</v>
      </c>
      <c r="B62" s="61">
        <f t="shared" si="2"/>
        <v>0</v>
      </c>
      <c r="C62" s="61">
        <f t="shared" si="3"/>
        <v>0</v>
      </c>
      <c r="D62" s="61">
        <f t="shared" si="4"/>
        <v>0</v>
      </c>
      <c r="E62" s="70"/>
      <c r="F62" s="62" t="str">
        <f>IF($E62="","",IFERROR(HLOOKUP(Hidden!$FB$2,Substances,MATCH(Products!$E62,CAS,0),FALSE),""))</f>
        <v/>
      </c>
      <c r="G62" s="383"/>
      <c r="H62" s="383"/>
    </row>
    <row r="63" spans="1:8" x14ac:dyDescent="0.2">
      <c r="A63" s="60" t="str">
        <f t="shared" si="1"/>
        <v>AAAA</v>
      </c>
      <c r="B63" s="61">
        <f t="shared" si="2"/>
        <v>0</v>
      </c>
      <c r="C63" s="61">
        <f t="shared" si="3"/>
        <v>0</v>
      </c>
      <c r="D63" s="61">
        <f t="shared" si="4"/>
        <v>0</v>
      </c>
      <c r="E63" s="70"/>
      <c r="F63" s="62" t="str">
        <f>IF($E63="","",IFERROR(HLOOKUP(Hidden!$FB$2,Substances,MATCH(Products!$E63,CAS,0),FALSE),""))</f>
        <v/>
      </c>
      <c r="G63" s="383"/>
      <c r="H63" s="383"/>
    </row>
    <row r="64" spans="1:8" x14ac:dyDescent="0.2">
      <c r="A64" s="60" t="str">
        <f t="shared" si="1"/>
        <v>AAAAA</v>
      </c>
      <c r="B64" s="61">
        <f t="shared" si="2"/>
        <v>0</v>
      </c>
      <c r="C64" s="61">
        <f t="shared" si="3"/>
        <v>0</v>
      </c>
      <c r="D64" s="61">
        <f t="shared" si="4"/>
        <v>0</v>
      </c>
      <c r="E64" s="70"/>
      <c r="F64" s="63" t="str">
        <f>IF($E64="","",IFERROR(HLOOKUP(Hidden!$FB$2,Substances,MATCH(Products!$E64,CAS,0),FALSE),""))</f>
        <v/>
      </c>
      <c r="G64" s="383"/>
      <c r="H64" s="383"/>
    </row>
    <row r="65" spans="1:8" x14ac:dyDescent="0.2">
      <c r="A65" s="60" t="str">
        <f t="shared" si="1"/>
        <v>AAAAAA</v>
      </c>
      <c r="B65" s="61">
        <f t="shared" si="2"/>
        <v>0</v>
      </c>
      <c r="C65" s="61">
        <f t="shared" si="3"/>
        <v>0</v>
      </c>
      <c r="D65" s="61">
        <f t="shared" si="4"/>
        <v>0</v>
      </c>
      <c r="E65" s="70"/>
      <c r="F65" s="62" t="str">
        <f>IF($E65="","",IFERROR(HLOOKUP(Hidden!$FB$2,Substances,MATCH(Products!$E65,CAS,0),FALSE),""))</f>
        <v/>
      </c>
      <c r="G65" s="383"/>
      <c r="H65" s="383"/>
    </row>
    <row r="66" spans="1:8" x14ac:dyDescent="0.2">
      <c r="A66" s="60" t="str">
        <f t="shared" si="1"/>
        <v>AAAAAAA</v>
      </c>
      <c r="B66" s="61">
        <f t="shared" si="2"/>
        <v>0</v>
      </c>
      <c r="C66" s="61">
        <f t="shared" si="3"/>
        <v>0</v>
      </c>
      <c r="D66" s="61">
        <f t="shared" si="4"/>
        <v>0</v>
      </c>
      <c r="E66" s="70"/>
      <c r="F66" s="62" t="str">
        <f>IF($E66="","",IFERROR(HLOOKUP(Hidden!$FB$2,Substances,MATCH(Products!$E66,CAS,0),FALSE),""))</f>
        <v/>
      </c>
      <c r="G66" s="383"/>
      <c r="H66" s="383"/>
    </row>
    <row r="67" spans="1:8" x14ac:dyDescent="0.2">
      <c r="A67" s="60" t="str">
        <f t="shared" si="1"/>
        <v>AAAAAAAA</v>
      </c>
      <c r="B67" s="61">
        <f t="shared" si="2"/>
        <v>0</v>
      </c>
      <c r="C67" s="61">
        <f t="shared" si="3"/>
        <v>0</v>
      </c>
      <c r="D67" s="61">
        <f t="shared" si="4"/>
        <v>0</v>
      </c>
      <c r="E67" s="70"/>
      <c r="F67" s="62" t="str">
        <f>IF($E67="","",IFERROR(HLOOKUP(Hidden!$FB$2,Substances,MATCH(Products!$E67,CAS,0),FALSE),""))</f>
        <v/>
      </c>
      <c r="G67" s="383"/>
      <c r="H67" s="383"/>
    </row>
    <row r="68" spans="1:8" x14ac:dyDescent="0.2">
      <c r="A68" s="60" t="str">
        <f t="shared" si="1"/>
        <v>AAAAAAAAA</v>
      </c>
      <c r="B68" s="61">
        <f t="shared" si="2"/>
        <v>0</v>
      </c>
      <c r="C68" s="61">
        <f t="shared" si="3"/>
        <v>0</v>
      </c>
      <c r="D68" s="61">
        <f t="shared" si="4"/>
        <v>0</v>
      </c>
      <c r="E68" s="70"/>
      <c r="F68" s="62" t="str">
        <f>IF($E68="","",IFERROR(HLOOKUP(Hidden!$FB$2,Substances,MATCH(Products!$E68,CAS,0),FALSE),""))</f>
        <v/>
      </c>
      <c r="G68" s="383"/>
      <c r="H68" s="383"/>
    </row>
    <row r="69" spans="1:8" x14ac:dyDescent="0.2">
      <c r="A69" s="64"/>
      <c r="B69" s="71"/>
      <c r="C69" s="71"/>
      <c r="D69" s="71"/>
      <c r="E69" s="70"/>
      <c r="F69" s="62" t="str">
        <f>IF($E69="","",IFERROR(HLOOKUP(Hidden!$FB$2,Substances,MATCH(Products!$E69,CAS,0),FALSE),""))</f>
        <v/>
      </c>
      <c r="G69" s="383"/>
      <c r="H69" s="383"/>
    </row>
    <row r="70" spans="1:8" x14ac:dyDescent="0.2">
      <c r="A70" s="60" t="str">
        <f>A69&amp;"A"</f>
        <v>A</v>
      </c>
      <c r="B70" s="61">
        <f>$B$69</f>
        <v>0</v>
      </c>
      <c r="C70" s="61">
        <f>$C$69</f>
        <v>0</v>
      </c>
      <c r="D70" s="61">
        <f>$D$69</f>
        <v>0</v>
      </c>
      <c r="E70" s="70"/>
      <c r="F70" s="62" t="str">
        <f>IF($E70="","",IFERROR(HLOOKUP(Hidden!$FB$2,Substances,MATCH(Products!$E70,CAS,0),FALSE),""))</f>
        <v/>
      </c>
      <c r="G70" s="383"/>
      <c r="H70" s="383"/>
    </row>
    <row r="71" spans="1:8" x14ac:dyDescent="0.2">
      <c r="A71" s="60" t="str">
        <f t="shared" ref="A71:A78" si="5">A70&amp;"A"</f>
        <v>AA</v>
      </c>
      <c r="B71" s="61">
        <f t="shared" ref="B71:B78" si="6">$B$69</f>
        <v>0</v>
      </c>
      <c r="C71" s="61">
        <f t="shared" ref="C71:C78" si="7">$C$69</f>
        <v>0</v>
      </c>
      <c r="D71" s="61">
        <f t="shared" ref="D71:D78" si="8">$D$69</f>
        <v>0</v>
      </c>
      <c r="E71" s="70"/>
      <c r="F71" s="62" t="str">
        <f>IF($E71="","",IFERROR(HLOOKUP(Hidden!$FB$2,Substances,MATCH(Products!$E71,CAS,0),FALSE),""))</f>
        <v/>
      </c>
      <c r="G71" s="383"/>
      <c r="H71" s="383"/>
    </row>
    <row r="72" spans="1:8" x14ac:dyDescent="0.2">
      <c r="A72" s="60" t="str">
        <f t="shared" si="5"/>
        <v>AAA</v>
      </c>
      <c r="B72" s="61">
        <f t="shared" si="6"/>
        <v>0</v>
      </c>
      <c r="C72" s="61">
        <f t="shared" si="7"/>
        <v>0</v>
      </c>
      <c r="D72" s="61">
        <f t="shared" si="8"/>
        <v>0</v>
      </c>
      <c r="E72" s="70"/>
      <c r="F72" s="62" t="str">
        <f>IF($E72="","",IFERROR(HLOOKUP(Hidden!$FB$2,Substances,MATCH(Products!$E72,CAS,0),FALSE),""))</f>
        <v/>
      </c>
      <c r="G72" s="383"/>
      <c r="H72" s="383"/>
    </row>
    <row r="73" spans="1:8" x14ac:dyDescent="0.2">
      <c r="A73" s="60" t="str">
        <f t="shared" si="5"/>
        <v>AAAA</v>
      </c>
      <c r="B73" s="61">
        <f t="shared" si="6"/>
        <v>0</v>
      </c>
      <c r="C73" s="61">
        <f t="shared" si="7"/>
        <v>0</v>
      </c>
      <c r="D73" s="61">
        <f t="shared" si="8"/>
        <v>0</v>
      </c>
      <c r="E73" s="70"/>
      <c r="F73" s="62" t="str">
        <f>IF($E73="","",IFERROR(HLOOKUP(Hidden!$FB$2,Substances,MATCH(Products!$E73,CAS,0),FALSE),""))</f>
        <v/>
      </c>
      <c r="G73" s="383"/>
      <c r="H73" s="383"/>
    </row>
    <row r="74" spans="1:8" x14ac:dyDescent="0.2">
      <c r="A74" s="60" t="str">
        <f t="shared" si="5"/>
        <v>AAAAA</v>
      </c>
      <c r="B74" s="61">
        <f t="shared" si="6"/>
        <v>0</v>
      </c>
      <c r="C74" s="61">
        <f t="shared" si="7"/>
        <v>0</v>
      </c>
      <c r="D74" s="61">
        <f t="shared" si="8"/>
        <v>0</v>
      </c>
      <c r="E74" s="70"/>
      <c r="F74" s="62" t="str">
        <f>IF($E74="","",IFERROR(HLOOKUP(Hidden!$FB$2,Substances,MATCH(Products!$E74,CAS,0),FALSE),""))</f>
        <v/>
      </c>
      <c r="G74" s="383"/>
      <c r="H74" s="383"/>
    </row>
    <row r="75" spans="1:8" x14ac:dyDescent="0.2">
      <c r="A75" s="60" t="str">
        <f t="shared" si="5"/>
        <v>AAAAAA</v>
      </c>
      <c r="B75" s="61">
        <f t="shared" si="6"/>
        <v>0</v>
      </c>
      <c r="C75" s="61">
        <f t="shared" si="7"/>
        <v>0</v>
      </c>
      <c r="D75" s="61">
        <f t="shared" si="8"/>
        <v>0</v>
      </c>
      <c r="E75" s="70"/>
      <c r="F75" s="62" t="str">
        <f>IF($E75="","",IFERROR(HLOOKUP(Hidden!$FB$2,Substances,MATCH(Products!$E75,CAS,0),FALSE),""))</f>
        <v/>
      </c>
      <c r="G75" s="383"/>
      <c r="H75" s="383"/>
    </row>
    <row r="76" spans="1:8" x14ac:dyDescent="0.2">
      <c r="A76" s="60" t="str">
        <f t="shared" si="5"/>
        <v>AAAAAAA</v>
      </c>
      <c r="B76" s="61">
        <f t="shared" si="6"/>
        <v>0</v>
      </c>
      <c r="C76" s="61">
        <f t="shared" si="7"/>
        <v>0</v>
      </c>
      <c r="D76" s="61">
        <f t="shared" si="8"/>
        <v>0</v>
      </c>
      <c r="E76" s="70"/>
      <c r="F76" s="62" t="str">
        <f>IF($E76="","",IFERROR(HLOOKUP(Hidden!$FB$2,Substances,MATCH(Products!$E76,CAS,0),FALSE),""))</f>
        <v/>
      </c>
      <c r="G76" s="383"/>
      <c r="H76" s="383"/>
    </row>
    <row r="77" spans="1:8" x14ac:dyDescent="0.2">
      <c r="A77" s="60" t="str">
        <f t="shared" si="5"/>
        <v>AAAAAAAA</v>
      </c>
      <c r="B77" s="61">
        <f t="shared" si="6"/>
        <v>0</v>
      </c>
      <c r="C77" s="61">
        <f t="shared" si="7"/>
        <v>0</v>
      </c>
      <c r="D77" s="61">
        <f t="shared" si="8"/>
        <v>0</v>
      </c>
      <c r="E77" s="70"/>
      <c r="F77" s="62" t="str">
        <f>IF($E77="","",IFERROR(HLOOKUP(Hidden!$FB$2,Substances,MATCH(Products!$E77,CAS,0),FALSE),""))</f>
        <v/>
      </c>
      <c r="G77" s="383"/>
      <c r="H77" s="383"/>
    </row>
    <row r="78" spans="1:8" x14ac:dyDescent="0.2">
      <c r="A78" s="60" t="str">
        <f t="shared" si="5"/>
        <v>AAAAAAAAA</v>
      </c>
      <c r="B78" s="61">
        <f t="shared" si="6"/>
        <v>0</v>
      </c>
      <c r="C78" s="61">
        <f t="shared" si="7"/>
        <v>0</v>
      </c>
      <c r="D78" s="61">
        <f t="shared" si="8"/>
        <v>0</v>
      </c>
      <c r="E78" s="70"/>
      <c r="F78" s="62" t="str">
        <f>IF($E78="","",IFERROR(HLOOKUP(Hidden!$FB$2,Substances,MATCH(Products!$E78,CAS,0),FALSE),""))</f>
        <v/>
      </c>
      <c r="G78" s="383"/>
      <c r="H78" s="383"/>
    </row>
    <row r="79" spans="1:8" x14ac:dyDescent="0.2">
      <c r="A79" s="64"/>
      <c r="B79" s="71"/>
      <c r="C79" s="71"/>
      <c r="D79" s="71"/>
      <c r="E79" s="70"/>
      <c r="F79" s="62" t="str">
        <f>IF($E79="","",IFERROR(HLOOKUP(Hidden!$FB$2,Substances,MATCH(Products!$E79,CAS,0),FALSE),""))</f>
        <v/>
      </c>
      <c r="G79" s="383"/>
      <c r="H79" s="383"/>
    </row>
    <row r="80" spans="1:8" x14ac:dyDescent="0.2">
      <c r="A80" s="60" t="str">
        <f>A79&amp;"A"</f>
        <v>A</v>
      </c>
      <c r="B80" s="61">
        <f>$B$79</f>
        <v>0</v>
      </c>
      <c r="C80" s="61">
        <f>$C$79</f>
        <v>0</v>
      </c>
      <c r="D80" s="61">
        <f>$D$79</f>
        <v>0</v>
      </c>
      <c r="E80" s="70"/>
      <c r="F80" s="62" t="str">
        <f>IF($E80="","",IFERROR(HLOOKUP(Hidden!$FB$2,Substances,MATCH(Products!$E80,CAS,0),FALSE),""))</f>
        <v/>
      </c>
      <c r="G80" s="383"/>
      <c r="H80" s="383"/>
    </row>
    <row r="81" spans="1:8" x14ac:dyDescent="0.2">
      <c r="A81" s="60" t="str">
        <f t="shared" ref="A81:A88" si="9">A80&amp;"A"</f>
        <v>AA</v>
      </c>
      <c r="B81" s="61">
        <f t="shared" ref="B81:B88" si="10">$B$79</f>
        <v>0</v>
      </c>
      <c r="C81" s="61">
        <f t="shared" ref="C81:C88" si="11">$C$79</f>
        <v>0</v>
      </c>
      <c r="D81" s="61">
        <f t="shared" ref="D81:D88" si="12">$D$79</f>
        <v>0</v>
      </c>
      <c r="E81" s="70"/>
      <c r="F81" s="62" t="str">
        <f>IF($E81="","",IFERROR(HLOOKUP(Hidden!$FB$2,Substances,MATCH(Products!$E81,CAS,0),FALSE),""))</f>
        <v/>
      </c>
      <c r="G81" s="383"/>
      <c r="H81" s="383"/>
    </row>
    <row r="82" spans="1:8" x14ac:dyDescent="0.2">
      <c r="A82" s="60" t="str">
        <f t="shared" si="9"/>
        <v>AAA</v>
      </c>
      <c r="B82" s="61">
        <f t="shared" si="10"/>
        <v>0</v>
      </c>
      <c r="C82" s="61">
        <f t="shared" si="11"/>
        <v>0</v>
      </c>
      <c r="D82" s="61">
        <f t="shared" si="12"/>
        <v>0</v>
      </c>
      <c r="E82" s="70"/>
      <c r="F82" s="62" t="str">
        <f>IF($E82="","",IFERROR(HLOOKUP(Hidden!$FB$2,Substances,MATCH(Products!$E82,CAS,0),FALSE),""))</f>
        <v/>
      </c>
      <c r="G82" s="383"/>
      <c r="H82" s="383"/>
    </row>
    <row r="83" spans="1:8" x14ac:dyDescent="0.2">
      <c r="A83" s="60" t="str">
        <f t="shared" si="9"/>
        <v>AAAA</v>
      </c>
      <c r="B83" s="61">
        <f t="shared" si="10"/>
        <v>0</v>
      </c>
      <c r="C83" s="61">
        <f t="shared" si="11"/>
        <v>0</v>
      </c>
      <c r="D83" s="61">
        <f t="shared" si="12"/>
        <v>0</v>
      </c>
      <c r="E83" s="70"/>
      <c r="F83" s="62" t="str">
        <f>IF($E83="","",IFERROR(HLOOKUP(Hidden!$FB$2,Substances,MATCH(Products!$E83,CAS,0),FALSE),""))</f>
        <v/>
      </c>
      <c r="G83" s="383"/>
      <c r="H83" s="383"/>
    </row>
    <row r="84" spans="1:8" x14ac:dyDescent="0.2">
      <c r="A84" s="60" t="str">
        <f t="shared" si="9"/>
        <v>AAAAA</v>
      </c>
      <c r="B84" s="61">
        <f t="shared" si="10"/>
        <v>0</v>
      </c>
      <c r="C84" s="61">
        <f t="shared" si="11"/>
        <v>0</v>
      </c>
      <c r="D84" s="61">
        <f t="shared" si="12"/>
        <v>0</v>
      </c>
      <c r="E84" s="70"/>
      <c r="F84" s="62" t="str">
        <f>IF($E84="","",IFERROR(HLOOKUP(Hidden!$FB$2,Substances,MATCH(Products!$E84,CAS,0),FALSE),""))</f>
        <v/>
      </c>
      <c r="G84" s="383"/>
      <c r="H84" s="383"/>
    </row>
    <row r="85" spans="1:8" x14ac:dyDescent="0.2">
      <c r="A85" s="60" t="str">
        <f t="shared" si="9"/>
        <v>AAAAAA</v>
      </c>
      <c r="B85" s="61">
        <f t="shared" si="10"/>
        <v>0</v>
      </c>
      <c r="C85" s="61">
        <f t="shared" si="11"/>
        <v>0</v>
      </c>
      <c r="D85" s="61">
        <f t="shared" si="12"/>
        <v>0</v>
      </c>
      <c r="E85" s="70"/>
      <c r="F85" s="62" t="str">
        <f>IF($E85="","",IFERROR(HLOOKUP(Hidden!$FB$2,Substances,MATCH(Products!$E85,CAS,0),FALSE),""))</f>
        <v/>
      </c>
      <c r="G85" s="383"/>
      <c r="H85" s="383"/>
    </row>
    <row r="86" spans="1:8" x14ac:dyDescent="0.2">
      <c r="A86" s="60" t="str">
        <f t="shared" si="9"/>
        <v>AAAAAAA</v>
      </c>
      <c r="B86" s="61">
        <f t="shared" si="10"/>
        <v>0</v>
      </c>
      <c r="C86" s="61">
        <f t="shared" si="11"/>
        <v>0</v>
      </c>
      <c r="D86" s="61">
        <f t="shared" si="12"/>
        <v>0</v>
      </c>
      <c r="E86" s="70"/>
      <c r="F86" s="62" t="str">
        <f>IF($E86="","",IFERROR(HLOOKUP(Hidden!$FB$2,Substances,MATCH(Products!$E86,CAS,0),FALSE),""))</f>
        <v/>
      </c>
      <c r="G86" s="383"/>
      <c r="H86" s="383"/>
    </row>
    <row r="87" spans="1:8" x14ac:dyDescent="0.2">
      <c r="A87" s="60" t="str">
        <f t="shared" si="9"/>
        <v>AAAAAAAA</v>
      </c>
      <c r="B87" s="61">
        <f t="shared" si="10"/>
        <v>0</v>
      </c>
      <c r="C87" s="61">
        <f t="shared" si="11"/>
        <v>0</v>
      </c>
      <c r="D87" s="61">
        <f t="shared" si="12"/>
        <v>0</v>
      </c>
      <c r="E87" s="70"/>
      <c r="F87" s="62" t="str">
        <f>IF($E87="","",IFERROR(HLOOKUP(Hidden!$FB$2,Substances,MATCH(Products!$E87,CAS,0),FALSE),""))</f>
        <v/>
      </c>
      <c r="G87" s="383"/>
      <c r="H87" s="383"/>
    </row>
    <row r="88" spans="1:8" x14ac:dyDescent="0.2">
      <c r="A88" s="60" t="str">
        <f t="shared" si="9"/>
        <v>AAAAAAAAA</v>
      </c>
      <c r="B88" s="61">
        <f t="shared" si="10"/>
        <v>0</v>
      </c>
      <c r="C88" s="61">
        <f t="shared" si="11"/>
        <v>0</v>
      </c>
      <c r="D88" s="61">
        <f t="shared" si="12"/>
        <v>0</v>
      </c>
      <c r="E88" s="70"/>
      <c r="F88" s="62" t="str">
        <f>IF($E88="","",IFERROR(HLOOKUP(Hidden!$FB$2,Substances,MATCH(Products!$E88,CAS,0),FALSE),""))</f>
        <v/>
      </c>
      <c r="G88" s="383"/>
      <c r="H88" s="383"/>
    </row>
    <row r="89" spans="1:8" x14ac:dyDescent="0.2">
      <c r="A89" s="64"/>
      <c r="B89" s="71"/>
      <c r="C89" s="71"/>
      <c r="D89" s="71"/>
      <c r="E89" s="70"/>
      <c r="F89" s="62" t="str">
        <f>IF($E89="","",IFERROR(HLOOKUP(Hidden!$FB$2,Substances,MATCH(Products!$E89,CAS,0),FALSE),""))</f>
        <v/>
      </c>
      <c r="G89" s="383"/>
      <c r="H89" s="383"/>
    </row>
    <row r="90" spans="1:8" x14ac:dyDescent="0.2">
      <c r="A90" s="60" t="str">
        <f>A89&amp;"A"</f>
        <v>A</v>
      </c>
      <c r="B90" s="61">
        <f>$B$89</f>
        <v>0</v>
      </c>
      <c r="C90" s="61">
        <f>$C$89</f>
        <v>0</v>
      </c>
      <c r="D90" s="61">
        <f>$D$89</f>
        <v>0</v>
      </c>
      <c r="E90" s="70"/>
      <c r="F90" s="62" t="str">
        <f>IF($E90="","",IFERROR(HLOOKUP(Hidden!$FB$2,Substances,MATCH(Products!$E90,CAS,0),FALSE),""))</f>
        <v/>
      </c>
      <c r="G90" s="383"/>
      <c r="H90" s="383"/>
    </row>
    <row r="91" spans="1:8" x14ac:dyDescent="0.2">
      <c r="A91" s="60" t="str">
        <f t="shared" ref="A91:A98" si="13">A90&amp;"A"</f>
        <v>AA</v>
      </c>
      <c r="B91" s="61">
        <f t="shared" ref="B91:B98" si="14">$B$89</f>
        <v>0</v>
      </c>
      <c r="C91" s="61">
        <f t="shared" ref="C91:C98" si="15">$C$89</f>
        <v>0</v>
      </c>
      <c r="D91" s="61">
        <f t="shared" ref="D91:D98" si="16">$D$89</f>
        <v>0</v>
      </c>
      <c r="E91" s="70"/>
      <c r="F91" s="62" t="str">
        <f>IF($E91="","",IFERROR(HLOOKUP(Hidden!$FB$2,Substances,MATCH(Products!$E91,CAS,0),FALSE),""))</f>
        <v/>
      </c>
      <c r="G91" s="383"/>
      <c r="H91" s="383"/>
    </row>
    <row r="92" spans="1:8" x14ac:dyDescent="0.2">
      <c r="A92" s="60" t="str">
        <f t="shared" si="13"/>
        <v>AAA</v>
      </c>
      <c r="B92" s="61">
        <f t="shared" si="14"/>
        <v>0</v>
      </c>
      <c r="C92" s="61">
        <f t="shared" si="15"/>
        <v>0</v>
      </c>
      <c r="D92" s="61">
        <f t="shared" si="16"/>
        <v>0</v>
      </c>
      <c r="E92" s="70"/>
      <c r="F92" s="62" t="str">
        <f>IF($E92="","",IFERROR(HLOOKUP(Hidden!$FB$2,Substances,MATCH(Products!$E92,CAS,0),FALSE),""))</f>
        <v/>
      </c>
      <c r="G92" s="383"/>
      <c r="H92" s="383"/>
    </row>
    <row r="93" spans="1:8" x14ac:dyDescent="0.2">
      <c r="A93" s="60" t="str">
        <f t="shared" si="13"/>
        <v>AAAA</v>
      </c>
      <c r="B93" s="61">
        <f t="shared" si="14"/>
        <v>0</v>
      </c>
      <c r="C93" s="61">
        <f t="shared" si="15"/>
        <v>0</v>
      </c>
      <c r="D93" s="61">
        <f t="shared" si="16"/>
        <v>0</v>
      </c>
      <c r="E93" s="70"/>
      <c r="F93" s="62" t="str">
        <f>IF($E93="","",IFERROR(HLOOKUP(Hidden!$FB$2,Substances,MATCH(Products!$E93,CAS,0),FALSE),""))</f>
        <v/>
      </c>
      <c r="G93" s="383"/>
      <c r="H93" s="383"/>
    </row>
    <row r="94" spans="1:8" x14ac:dyDescent="0.2">
      <c r="A94" s="60" t="str">
        <f t="shared" si="13"/>
        <v>AAAAA</v>
      </c>
      <c r="B94" s="61">
        <f t="shared" si="14"/>
        <v>0</v>
      </c>
      <c r="C94" s="61">
        <f t="shared" si="15"/>
        <v>0</v>
      </c>
      <c r="D94" s="61">
        <f t="shared" si="16"/>
        <v>0</v>
      </c>
      <c r="E94" s="70"/>
      <c r="F94" s="62" t="str">
        <f>IF($E94="","",IFERROR(HLOOKUP(Hidden!$FB$2,Substances,MATCH(Products!$E94,CAS,0),FALSE),""))</f>
        <v/>
      </c>
      <c r="G94" s="383"/>
      <c r="H94" s="383"/>
    </row>
    <row r="95" spans="1:8" x14ac:dyDescent="0.2">
      <c r="A95" s="60" t="str">
        <f t="shared" si="13"/>
        <v>AAAAAA</v>
      </c>
      <c r="B95" s="61">
        <f t="shared" si="14"/>
        <v>0</v>
      </c>
      <c r="C95" s="61">
        <f t="shared" si="15"/>
        <v>0</v>
      </c>
      <c r="D95" s="61">
        <f t="shared" si="16"/>
        <v>0</v>
      </c>
      <c r="E95" s="70"/>
      <c r="F95" s="62" t="str">
        <f>IF($E95="","",IFERROR(HLOOKUP(Hidden!$FB$2,Substances,MATCH(Products!$E95,CAS,0),FALSE),""))</f>
        <v/>
      </c>
      <c r="G95" s="383"/>
      <c r="H95" s="383"/>
    </row>
    <row r="96" spans="1:8" x14ac:dyDescent="0.2">
      <c r="A96" s="60" t="str">
        <f t="shared" si="13"/>
        <v>AAAAAAA</v>
      </c>
      <c r="B96" s="61">
        <f t="shared" si="14"/>
        <v>0</v>
      </c>
      <c r="C96" s="61">
        <f t="shared" si="15"/>
        <v>0</v>
      </c>
      <c r="D96" s="61">
        <f t="shared" si="16"/>
        <v>0</v>
      </c>
      <c r="E96" s="70"/>
      <c r="F96" s="62" t="str">
        <f>IF($E96="","",IFERROR(HLOOKUP(Hidden!$FB$2,Substances,MATCH(Products!$E96,CAS,0),FALSE),""))</f>
        <v/>
      </c>
      <c r="G96" s="383"/>
      <c r="H96" s="383"/>
    </row>
    <row r="97" spans="1:8" x14ac:dyDescent="0.2">
      <c r="A97" s="60" t="str">
        <f t="shared" si="13"/>
        <v>AAAAAAAA</v>
      </c>
      <c r="B97" s="61">
        <f t="shared" si="14"/>
        <v>0</v>
      </c>
      <c r="C97" s="61">
        <f t="shared" si="15"/>
        <v>0</v>
      </c>
      <c r="D97" s="61">
        <f t="shared" si="16"/>
        <v>0</v>
      </c>
      <c r="E97" s="70"/>
      <c r="F97" s="62" t="str">
        <f>IF($E97="","",IFERROR(HLOOKUP(Hidden!$FB$2,Substances,MATCH(Products!$E97,CAS,0),FALSE),""))</f>
        <v/>
      </c>
      <c r="G97" s="383"/>
      <c r="H97" s="383"/>
    </row>
    <row r="98" spans="1:8" x14ac:dyDescent="0.2">
      <c r="A98" s="60" t="str">
        <f t="shared" si="13"/>
        <v>AAAAAAAAA</v>
      </c>
      <c r="B98" s="61">
        <f t="shared" si="14"/>
        <v>0</v>
      </c>
      <c r="C98" s="61">
        <f t="shared" si="15"/>
        <v>0</v>
      </c>
      <c r="D98" s="61">
        <f t="shared" si="16"/>
        <v>0</v>
      </c>
      <c r="E98" s="70"/>
      <c r="F98" s="62" t="str">
        <f>IF($E98="","",IFERROR(HLOOKUP(Hidden!$FB$2,Substances,MATCH(Products!$E98,CAS,0),FALSE),""))</f>
        <v/>
      </c>
      <c r="G98" s="383"/>
      <c r="H98" s="383"/>
    </row>
    <row r="99" spans="1:8" x14ac:dyDescent="0.2">
      <c r="A99" s="64"/>
      <c r="B99" s="71"/>
      <c r="C99" s="71"/>
      <c r="D99" s="71"/>
      <c r="E99" s="70"/>
      <c r="F99" s="62" t="str">
        <f>IF($E99="","",IFERROR(HLOOKUP(Hidden!$FB$2,Substances,MATCH(Products!$E99,CAS,0),FALSE),""))</f>
        <v/>
      </c>
      <c r="G99" s="383"/>
      <c r="H99" s="383"/>
    </row>
    <row r="100" spans="1:8" x14ac:dyDescent="0.2">
      <c r="A100" s="60" t="str">
        <f>A99&amp;"A"</f>
        <v>A</v>
      </c>
      <c r="B100" s="61">
        <f>$B$99</f>
        <v>0</v>
      </c>
      <c r="C100" s="61">
        <f>$C$99</f>
        <v>0</v>
      </c>
      <c r="D100" s="61">
        <f>$D$99</f>
        <v>0</v>
      </c>
      <c r="E100" s="70"/>
      <c r="F100" s="62" t="str">
        <f>IF($E100="","",IFERROR(HLOOKUP(Hidden!$FB$2,Substances,MATCH(Products!$E100,CAS,0),FALSE),""))</f>
        <v/>
      </c>
      <c r="G100" s="383"/>
      <c r="H100" s="383"/>
    </row>
    <row r="101" spans="1:8" x14ac:dyDescent="0.2">
      <c r="A101" s="60" t="str">
        <f t="shared" ref="A101:A108" si="17">A100&amp;"A"</f>
        <v>AA</v>
      </c>
      <c r="B101" s="61">
        <f t="shared" ref="B101:B108" si="18">$B$99</f>
        <v>0</v>
      </c>
      <c r="C101" s="61">
        <f t="shared" ref="C101:C108" si="19">$C$99</f>
        <v>0</v>
      </c>
      <c r="D101" s="61">
        <f t="shared" ref="D101:D108" si="20">$D$99</f>
        <v>0</v>
      </c>
      <c r="E101" s="70"/>
      <c r="F101" s="62" t="str">
        <f>IF($E101="","",IFERROR(HLOOKUP(Hidden!$FB$2,Substances,MATCH(Products!$E101,CAS,0),FALSE),""))</f>
        <v/>
      </c>
      <c r="G101" s="383"/>
      <c r="H101" s="383"/>
    </row>
    <row r="102" spans="1:8" x14ac:dyDescent="0.2">
      <c r="A102" s="60" t="str">
        <f t="shared" si="17"/>
        <v>AAA</v>
      </c>
      <c r="B102" s="61">
        <f t="shared" si="18"/>
        <v>0</v>
      </c>
      <c r="C102" s="61">
        <f t="shared" si="19"/>
        <v>0</v>
      </c>
      <c r="D102" s="61">
        <f t="shared" si="20"/>
        <v>0</v>
      </c>
      <c r="E102" s="70"/>
      <c r="F102" s="62" t="str">
        <f>IF($E102="","",IFERROR(HLOOKUP(Hidden!$FB$2,Substances,MATCH(Products!$E102,CAS,0),FALSE),""))</f>
        <v/>
      </c>
      <c r="G102" s="383"/>
      <c r="H102" s="383"/>
    </row>
    <row r="103" spans="1:8" x14ac:dyDescent="0.2">
      <c r="A103" s="60" t="str">
        <f t="shared" si="17"/>
        <v>AAAA</v>
      </c>
      <c r="B103" s="61">
        <f t="shared" si="18"/>
        <v>0</v>
      </c>
      <c r="C103" s="61">
        <f t="shared" si="19"/>
        <v>0</v>
      </c>
      <c r="D103" s="61">
        <f t="shared" si="20"/>
        <v>0</v>
      </c>
      <c r="E103" s="70"/>
      <c r="F103" s="62" t="str">
        <f>IF($E103="","",IFERROR(HLOOKUP(Hidden!$FB$2,Substances,MATCH(Products!$E103,CAS,0),FALSE),""))</f>
        <v/>
      </c>
      <c r="G103" s="383"/>
      <c r="H103" s="383"/>
    </row>
    <row r="104" spans="1:8" x14ac:dyDescent="0.2">
      <c r="A104" s="60" t="str">
        <f t="shared" si="17"/>
        <v>AAAAA</v>
      </c>
      <c r="B104" s="61">
        <f t="shared" si="18"/>
        <v>0</v>
      </c>
      <c r="C104" s="61">
        <f t="shared" si="19"/>
        <v>0</v>
      </c>
      <c r="D104" s="61">
        <f t="shared" si="20"/>
        <v>0</v>
      </c>
      <c r="E104" s="70"/>
      <c r="F104" s="62" t="str">
        <f>IF($E104="","",IFERROR(HLOOKUP(Hidden!$FB$2,Substances,MATCH(Products!$E104,CAS,0),FALSE),""))</f>
        <v/>
      </c>
      <c r="G104" s="383"/>
      <c r="H104" s="383"/>
    </row>
    <row r="105" spans="1:8" x14ac:dyDescent="0.2">
      <c r="A105" s="60" t="str">
        <f t="shared" si="17"/>
        <v>AAAAAA</v>
      </c>
      <c r="B105" s="61">
        <f t="shared" si="18"/>
        <v>0</v>
      </c>
      <c r="C105" s="61">
        <f t="shared" si="19"/>
        <v>0</v>
      </c>
      <c r="D105" s="61">
        <f t="shared" si="20"/>
        <v>0</v>
      </c>
      <c r="E105" s="70"/>
      <c r="F105" s="62" t="str">
        <f>IF($E105="","",IFERROR(HLOOKUP(Hidden!$FB$2,Substances,MATCH(Products!$E105,CAS,0),FALSE),""))</f>
        <v/>
      </c>
      <c r="G105" s="383"/>
      <c r="H105" s="383"/>
    </row>
    <row r="106" spans="1:8" x14ac:dyDescent="0.2">
      <c r="A106" s="60" t="str">
        <f t="shared" si="17"/>
        <v>AAAAAAA</v>
      </c>
      <c r="B106" s="61">
        <f t="shared" si="18"/>
        <v>0</v>
      </c>
      <c r="C106" s="61">
        <f t="shared" si="19"/>
        <v>0</v>
      </c>
      <c r="D106" s="61">
        <f t="shared" si="20"/>
        <v>0</v>
      </c>
      <c r="E106" s="70"/>
      <c r="F106" s="62" t="str">
        <f>IF($E106="","",IFERROR(HLOOKUP(Hidden!$FB$2,Substances,MATCH(Products!$E106,CAS,0),FALSE),""))</f>
        <v/>
      </c>
      <c r="G106" s="383"/>
      <c r="H106" s="383"/>
    </row>
    <row r="107" spans="1:8" x14ac:dyDescent="0.2">
      <c r="A107" s="60" t="str">
        <f t="shared" si="17"/>
        <v>AAAAAAAA</v>
      </c>
      <c r="B107" s="61">
        <f t="shared" si="18"/>
        <v>0</v>
      </c>
      <c r="C107" s="61">
        <f t="shared" si="19"/>
        <v>0</v>
      </c>
      <c r="D107" s="61">
        <f t="shared" si="20"/>
        <v>0</v>
      </c>
      <c r="E107" s="70"/>
      <c r="F107" s="62" t="str">
        <f>IF($E107="","",IFERROR(HLOOKUP(Hidden!$FB$2,Substances,MATCH(Products!$E107,CAS,0),FALSE),""))</f>
        <v/>
      </c>
      <c r="G107" s="383"/>
      <c r="H107" s="383"/>
    </row>
    <row r="108" spans="1:8" x14ac:dyDescent="0.2">
      <c r="A108" s="60" t="str">
        <f t="shared" si="17"/>
        <v>AAAAAAAAA</v>
      </c>
      <c r="B108" s="61">
        <f t="shared" si="18"/>
        <v>0</v>
      </c>
      <c r="C108" s="61">
        <f t="shared" si="19"/>
        <v>0</v>
      </c>
      <c r="D108" s="61">
        <f t="shared" si="20"/>
        <v>0</v>
      </c>
      <c r="E108" s="70"/>
      <c r="F108" s="62" t="str">
        <f>IF($E108="","",IFERROR(HLOOKUP(Hidden!$FB$2,Substances,MATCH(Products!$E108,CAS,0),FALSE),""))</f>
        <v/>
      </c>
      <c r="G108" s="383"/>
      <c r="H108" s="383"/>
    </row>
    <row r="109" spans="1:8" x14ac:dyDescent="0.2">
      <c r="A109" s="64"/>
      <c r="B109" s="71"/>
      <c r="C109" s="71"/>
      <c r="D109" s="71"/>
      <c r="E109" s="70"/>
      <c r="F109" s="62" t="str">
        <f>IF($E109="","",IFERROR(HLOOKUP(Hidden!$FB$2,Substances,MATCH(Products!$E109,CAS,0),FALSE),""))</f>
        <v/>
      </c>
      <c r="G109" s="383"/>
      <c r="H109" s="383"/>
    </row>
    <row r="110" spans="1:8" x14ac:dyDescent="0.2">
      <c r="A110" s="60" t="str">
        <f>A109&amp;"A"</f>
        <v>A</v>
      </c>
      <c r="B110" s="61">
        <f>$B$109</f>
        <v>0</v>
      </c>
      <c r="C110" s="61">
        <f>$C$109</f>
        <v>0</v>
      </c>
      <c r="D110" s="61">
        <f>$D$109</f>
        <v>0</v>
      </c>
      <c r="E110" s="70"/>
      <c r="F110" s="62" t="str">
        <f>IF($E110="","",IFERROR(HLOOKUP(Hidden!$FB$2,Substances,MATCH(Products!$E110,CAS,0),FALSE),""))</f>
        <v/>
      </c>
      <c r="G110" s="383"/>
      <c r="H110" s="383"/>
    </row>
    <row r="111" spans="1:8" x14ac:dyDescent="0.2">
      <c r="A111" s="60" t="str">
        <f t="shared" ref="A111:A118" si="21">A110&amp;"A"</f>
        <v>AA</v>
      </c>
      <c r="B111" s="61">
        <f t="shared" ref="B111:B118" si="22">$B$109</f>
        <v>0</v>
      </c>
      <c r="C111" s="61">
        <f t="shared" ref="C111:C118" si="23">$C$109</f>
        <v>0</v>
      </c>
      <c r="D111" s="61">
        <f t="shared" ref="D111:D118" si="24">$D$109</f>
        <v>0</v>
      </c>
      <c r="E111" s="70"/>
      <c r="F111" s="62" t="str">
        <f>IF($E111="","",IFERROR(HLOOKUP(Hidden!$FB$2,Substances,MATCH(Products!$E111,CAS,0),FALSE),""))</f>
        <v/>
      </c>
      <c r="G111" s="383"/>
      <c r="H111" s="383"/>
    </row>
    <row r="112" spans="1:8" x14ac:dyDescent="0.2">
      <c r="A112" s="60" t="str">
        <f t="shared" si="21"/>
        <v>AAA</v>
      </c>
      <c r="B112" s="61">
        <f t="shared" si="22"/>
        <v>0</v>
      </c>
      <c r="C112" s="61">
        <f t="shared" si="23"/>
        <v>0</v>
      </c>
      <c r="D112" s="61">
        <f t="shared" si="24"/>
        <v>0</v>
      </c>
      <c r="E112" s="70"/>
      <c r="F112" s="62" t="str">
        <f>IF($E112="","",IFERROR(HLOOKUP(Hidden!$FB$2,Substances,MATCH(Products!$E112,CAS,0),FALSE),""))</f>
        <v/>
      </c>
      <c r="G112" s="383"/>
      <c r="H112" s="383"/>
    </row>
    <row r="113" spans="1:8" x14ac:dyDescent="0.2">
      <c r="A113" s="60" t="str">
        <f t="shared" si="21"/>
        <v>AAAA</v>
      </c>
      <c r="B113" s="61">
        <f t="shared" si="22"/>
        <v>0</v>
      </c>
      <c r="C113" s="61">
        <f t="shared" si="23"/>
        <v>0</v>
      </c>
      <c r="D113" s="61">
        <f t="shared" si="24"/>
        <v>0</v>
      </c>
      <c r="E113" s="70"/>
      <c r="F113" s="62" t="str">
        <f>IF($E113="","",IFERROR(HLOOKUP(Hidden!$FB$2,Substances,MATCH(Products!$E113,CAS,0),FALSE),""))</f>
        <v/>
      </c>
      <c r="G113" s="383"/>
      <c r="H113" s="383"/>
    </row>
    <row r="114" spans="1:8" x14ac:dyDescent="0.2">
      <c r="A114" s="60" t="str">
        <f t="shared" si="21"/>
        <v>AAAAA</v>
      </c>
      <c r="B114" s="61">
        <f t="shared" si="22"/>
        <v>0</v>
      </c>
      <c r="C114" s="61">
        <f t="shared" si="23"/>
        <v>0</v>
      </c>
      <c r="D114" s="61">
        <f t="shared" si="24"/>
        <v>0</v>
      </c>
      <c r="E114" s="70"/>
      <c r="F114" s="62" t="str">
        <f>IF($E114="","",IFERROR(HLOOKUP(Hidden!$FB$2,Substances,MATCH(Products!$E114,CAS,0),FALSE),""))</f>
        <v/>
      </c>
      <c r="G114" s="383"/>
      <c r="H114" s="383"/>
    </row>
    <row r="115" spans="1:8" x14ac:dyDescent="0.2">
      <c r="A115" s="60" t="str">
        <f t="shared" si="21"/>
        <v>AAAAAA</v>
      </c>
      <c r="B115" s="61">
        <f t="shared" si="22"/>
        <v>0</v>
      </c>
      <c r="C115" s="61">
        <f t="shared" si="23"/>
        <v>0</v>
      </c>
      <c r="D115" s="61">
        <f t="shared" si="24"/>
        <v>0</v>
      </c>
      <c r="E115" s="70"/>
      <c r="F115" s="62" t="str">
        <f>IF($E115="","",IFERROR(HLOOKUP(Hidden!$FB$2,Substances,MATCH(Products!$E115,CAS,0),FALSE),""))</f>
        <v/>
      </c>
      <c r="G115" s="383"/>
      <c r="H115" s="383"/>
    </row>
    <row r="116" spans="1:8" x14ac:dyDescent="0.2">
      <c r="A116" s="60" t="str">
        <f t="shared" si="21"/>
        <v>AAAAAAA</v>
      </c>
      <c r="B116" s="61">
        <f t="shared" si="22"/>
        <v>0</v>
      </c>
      <c r="C116" s="61">
        <f t="shared" si="23"/>
        <v>0</v>
      </c>
      <c r="D116" s="61">
        <f t="shared" si="24"/>
        <v>0</v>
      </c>
      <c r="E116" s="70"/>
      <c r="F116" s="62" t="str">
        <f>IF($E116="","",IFERROR(HLOOKUP(Hidden!$FB$2,Substances,MATCH(Products!$E116,CAS,0),FALSE),""))</f>
        <v/>
      </c>
      <c r="G116" s="383"/>
      <c r="H116" s="383"/>
    </row>
    <row r="117" spans="1:8" x14ac:dyDescent="0.2">
      <c r="A117" s="60" t="str">
        <f t="shared" si="21"/>
        <v>AAAAAAAA</v>
      </c>
      <c r="B117" s="61">
        <f t="shared" si="22"/>
        <v>0</v>
      </c>
      <c r="C117" s="61">
        <f t="shared" si="23"/>
        <v>0</v>
      </c>
      <c r="D117" s="61">
        <f t="shared" si="24"/>
        <v>0</v>
      </c>
      <c r="E117" s="70"/>
      <c r="F117" s="62" t="str">
        <f>IF($E117="","",IFERROR(HLOOKUP(Hidden!$FB$2,Substances,MATCH(Products!$E117,CAS,0),FALSE),""))</f>
        <v/>
      </c>
      <c r="G117" s="383"/>
      <c r="H117" s="383"/>
    </row>
    <row r="118" spans="1:8" x14ac:dyDescent="0.2">
      <c r="A118" s="60" t="str">
        <f t="shared" si="21"/>
        <v>AAAAAAAAA</v>
      </c>
      <c r="B118" s="61">
        <f t="shared" si="22"/>
        <v>0</v>
      </c>
      <c r="C118" s="61">
        <f t="shared" si="23"/>
        <v>0</v>
      </c>
      <c r="D118" s="61">
        <f t="shared" si="24"/>
        <v>0</v>
      </c>
      <c r="E118" s="70"/>
      <c r="F118" s="62" t="str">
        <f>IF($E118="","",IFERROR(HLOOKUP(Hidden!$FB$2,Substances,MATCH(Products!$E118,CAS,0),FALSE),""))</f>
        <v/>
      </c>
      <c r="G118" s="383"/>
      <c r="H118" s="383"/>
    </row>
    <row r="119" spans="1:8" x14ac:dyDescent="0.2">
      <c r="A119" s="64"/>
      <c r="B119" s="71"/>
      <c r="C119" s="71"/>
      <c r="D119" s="71"/>
      <c r="E119" s="70"/>
      <c r="F119" s="62" t="str">
        <f>IF($E119="","",IFERROR(HLOOKUP(Hidden!$FB$2,Substances,MATCH(Products!$E119,CAS,0),FALSE),""))</f>
        <v/>
      </c>
      <c r="G119" s="383"/>
      <c r="H119" s="383"/>
    </row>
    <row r="120" spans="1:8" x14ac:dyDescent="0.2">
      <c r="A120" s="60" t="str">
        <f>A119&amp;"A"</f>
        <v>A</v>
      </c>
      <c r="B120" s="61">
        <f>$B$119</f>
        <v>0</v>
      </c>
      <c r="C120" s="61">
        <f>$C$119</f>
        <v>0</v>
      </c>
      <c r="D120" s="61">
        <f>$D$119</f>
        <v>0</v>
      </c>
      <c r="E120" s="70"/>
      <c r="F120" s="62" t="str">
        <f>IF($E120="","",IFERROR(HLOOKUP(Hidden!$FB$2,Substances,MATCH(Products!$E120,CAS,0),FALSE),""))</f>
        <v/>
      </c>
      <c r="G120" s="383"/>
      <c r="H120" s="383"/>
    </row>
    <row r="121" spans="1:8" x14ac:dyDescent="0.2">
      <c r="A121" s="60" t="str">
        <f t="shared" ref="A121:A128" si="25">A120&amp;"A"</f>
        <v>AA</v>
      </c>
      <c r="B121" s="61">
        <f t="shared" ref="B121:B128" si="26">$B$119</f>
        <v>0</v>
      </c>
      <c r="C121" s="61">
        <f t="shared" ref="C121:C128" si="27">$C$119</f>
        <v>0</v>
      </c>
      <c r="D121" s="61">
        <f t="shared" ref="D121:D128" si="28">$D$119</f>
        <v>0</v>
      </c>
      <c r="E121" s="70"/>
      <c r="F121" s="62" t="str">
        <f>IF($E121="","",IFERROR(HLOOKUP(Hidden!$FB$2,Substances,MATCH(Products!$E121,CAS,0),FALSE),""))</f>
        <v/>
      </c>
      <c r="G121" s="383"/>
      <c r="H121" s="383"/>
    </row>
    <row r="122" spans="1:8" x14ac:dyDescent="0.2">
      <c r="A122" s="60" t="str">
        <f t="shared" si="25"/>
        <v>AAA</v>
      </c>
      <c r="B122" s="61">
        <f t="shared" si="26"/>
        <v>0</v>
      </c>
      <c r="C122" s="61">
        <f t="shared" si="27"/>
        <v>0</v>
      </c>
      <c r="D122" s="61">
        <f t="shared" si="28"/>
        <v>0</v>
      </c>
      <c r="E122" s="70"/>
      <c r="F122" s="62" t="str">
        <f>IF($E122="","",IFERROR(HLOOKUP(Hidden!$FB$2,Substances,MATCH(Products!$E122,CAS,0),FALSE),""))</f>
        <v/>
      </c>
      <c r="G122" s="383"/>
      <c r="H122" s="383"/>
    </row>
    <row r="123" spans="1:8" x14ac:dyDescent="0.2">
      <c r="A123" s="60" t="str">
        <f t="shared" si="25"/>
        <v>AAAA</v>
      </c>
      <c r="B123" s="61">
        <f t="shared" si="26"/>
        <v>0</v>
      </c>
      <c r="C123" s="61">
        <f t="shared" si="27"/>
        <v>0</v>
      </c>
      <c r="D123" s="61">
        <f t="shared" si="28"/>
        <v>0</v>
      </c>
      <c r="E123" s="70"/>
      <c r="F123" s="62" t="str">
        <f>IF($E123="","",IFERROR(HLOOKUP(Hidden!$FB$2,Substances,MATCH(Products!$E123,CAS,0),FALSE),""))</f>
        <v/>
      </c>
      <c r="G123" s="383"/>
      <c r="H123" s="383"/>
    </row>
    <row r="124" spans="1:8" x14ac:dyDescent="0.2">
      <c r="A124" s="60" t="str">
        <f t="shared" si="25"/>
        <v>AAAAA</v>
      </c>
      <c r="B124" s="61">
        <f t="shared" si="26"/>
        <v>0</v>
      </c>
      <c r="C124" s="61">
        <f t="shared" si="27"/>
        <v>0</v>
      </c>
      <c r="D124" s="61">
        <f t="shared" si="28"/>
        <v>0</v>
      </c>
      <c r="E124" s="70"/>
      <c r="F124" s="62" t="str">
        <f>IF($E124="","",IFERROR(HLOOKUP(Hidden!$FB$2,Substances,MATCH(Products!$E124,CAS,0),FALSE),""))</f>
        <v/>
      </c>
      <c r="G124" s="383"/>
      <c r="H124" s="383"/>
    </row>
    <row r="125" spans="1:8" x14ac:dyDescent="0.2">
      <c r="A125" s="60" t="str">
        <f t="shared" si="25"/>
        <v>AAAAAA</v>
      </c>
      <c r="B125" s="61">
        <f t="shared" si="26"/>
        <v>0</v>
      </c>
      <c r="C125" s="61">
        <f t="shared" si="27"/>
        <v>0</v>
      </c>
      <c r="D125" s="61">
        <f t="shared" si="28"/>
        <v>0</v>
      </c>
      <c r="E125" s="70"/>
      <c r="F125" s="62" t="str">
        <f>IF($E125="","",IFERROR(HLOOKUP(Hidden!$FB$2,Substances,MATCH(Products!$E125,CAS,0),FALSE),""))</f>
        <v/>
      </c>
      <c r="G125" s="383"/>
      <c r="H125" s="383"/>
    </row>
    <row r="126" spans="1:8" x14ac:dyDescent="0.2">
      <c r="A126" s="60" t="str">
        <f t="shared" si="25"/>
        <v>AAAAAAA</v>
      </c>
      <c r="B126" s="61">
        <f t="shared" si="26"/>
        <v>0</v>
      </c>
      <c r="C126" s="61">
        <f t="shared" si="27"/>
        <v>0</v>
      </c>
      <c r="D126" s="61">
        <f t="shared" si="28"/>
        <v>0</v>
      </c>
      <c r="E126" s="70"/>
      <c r="F126" s="62" t="str">
        <f>IF($E126="","",IFERROR(HLOOKUP(Hidden!$FB$2,Substances,MATCH(Products!$E126,CAS,0),FALSE),""))</f>
        <v/>
      </c>
      <c r="G126" s="383"/>
      <c r="H126" s="383"/>
    </row>
    <row r="127" spans="1:8" x14ac:dyDescent="0.2">
      <c r="A127" s="60" t="str">
        <f t="shared" si="25"/>
        <v>AAAAAAAA</v>
      </c>
      <c r="B127" s="61">
        <f t="shared" si="26"/>
        <v>0</v>
      </c>
      <c r="C127" s="61">
        <f t="shared" si="27"/>
        <v>0</v>
      </c>
      <c r="D127" s="61">
        <f t="shared" si="28"/>
        <v>0</v>
      </c>
      <c r="E127" s="70"/>
      <c r="F127" s="62" t="str">
        <f>IF($E127="","",IFERROR(HLOOKUP(Hidden!$FB$2,Substances,MATCH(Products!$E127,CAS,0),FALSE),""))</f>
        <v/>
      </c>
      <c r="G127" s="383"/>
      <c r="H127" s="383"/>
    </row>
    <row r="128" spans="1:8" x14ac:dyDescent="0.2">
      <c r="A128" s="60" t="str">
        <f t="shared" si="25"/>
        <v>AAAAAAAAA</v>
      </c>
      <c r="B128" s="61">
        <f t="shared" si="26"/>
        <v>0</v>
      </c>
      <c r="C128" s="61">
        <f t="shared" si="27"/>
        <v>0</v>
      </c>
      <c r="D128" s="61">
        <f t="shared" si="28"/>
        <v>0</v>
      </c>
      <c r="E128" s="70"/>
      <c r="F128" s="62" t="str">
        <f>IF($E128="","",IFERROR(HLOOKUP(Hidden!$FB$2,Substances,MATCH(Products!$E128,CAS,0),FALSE),""))</f>
        <v/>
      </c>
      <c r="G128" s="383"/>
      <c r="H128" s="383"/>
    </row>
    <row r="129" spans="1:8" x14ac:dyDescent="0.2">
      <c r="A129" s="64"/>
      <c r="B129" s="71"/>
      <c r="C129" s="71"/>
      <c r="D129" s="71"/>
      <c r="E129" s="70"/>
      <c r="F129" s="62" t="str">
        <f>IF($E129="","",IFERROR(HLOOKUP(Hidden!$FB$2,Substances,MATCH(Products!$E129,CAS,0),FALSE),""))</f>
        <v/>
      </c>
      <c r="G129" s="383"/>
      <c r="H129" s="383"/>
    </row>
    <row r="130" spans="1:8" x14ac:dyDescent="0.2">
      <c r="A130" s="60" t="str">
        <f>A129&amp;"A"</f>
        <v>A</v>
      </c>
      <c r="B130" s="61">
        <f>$B$129</f>
        <v>0</v>
      </c>
      <c r="C130" s="61">
        <f>$C$129</f>
        <v>0</v>
      </c>
      <c r="D130" s="61">
        <f>$D$129</f>
        <v>0</v>
      </c>
      <c r="E130" s="70"/>
      <c r="F130" s="62" t="str">
        <f>IF($E130="","",IFERROR(HLOOKUP(Hidden!$FB$2,Substances,MATCH(Products!$E130,CAS,0),FALSE),""))</f>
        <v/>
      </c>
      <c r="G130" s="383"/>
      <c r="H130" s="383"/>
    </row>
    <row r="131" spans="1:8" x14ac:dyDescent="0.2">
      <c r="A131" s="60" t="str">
        <f t="shared" ref="A131:A138" si="29">A130&amp;"A"</f>
        <v>AA</v>
      </c>
      <c r="B131" s="61">
        <f t="shared" ref="B131:B138" si="30">$B$129</f>
        <v>0</v>
      </c>
      <c r="C131" s="61">
        <f t="shared" ref="C131:C138" si="31">$C$129</f>
        <v>0</v>
      </c>
      <c r="D131" s="61">
        <f t="shared" ref="D131:D138" si="32">$D$129</f>
        <v>0</v>
      </c>
      <c r="E131" s="70"/>
      <c r="F131" s="62" t="str">
        <f>IF($E131="","",IFERROR(HLOOKUP(Hidden!$FB$2,Substances,MATCH(Products!$E131,CAS,0),FALSE),""))</f>
        <v/>
      </c>
      <c r="G131" s="383"/>
      <c r="H131" s="383"/>
    </row>
    <row r="132" spans="1:8" x14ac:dyDescent="0.2">
      <c r="A132" s="60" t="str">
        <f t="shared" si="29"/>
        <v>AAA</v>
      </c>
      <c r="B132" s="61">
        <f t="shared" si="30"/>
        <v>0</v>
      </c>
      <c r="C132" s="61">
        <f t="shared" si="31"/>
        <v>0</v>
      </c>
      <c r="D132" s="61">
        <f t="shared" si="32"/>
        <v>0</v>
      </c>
      <c r="E132" s="70"/>
      <c r="F132" s="62" t="str">
        <f>IF($E132="","",IFERROR(HLOOKUP(Hidden!$FB$2,Substances,MATCH(Products!$E132,CAS,0),FALSE),""))</f>
        <v/>
      </c>
      <c r="G132" s="383"/>
      <c r="H132" s="383"/>
    </row>
    <row r="133" spans="1:8" x14ac:dyDescent="0.2">
      <c r="A133" s="60" t="str">
        <f t="shared" si="29"/>
        <v>AAAA</v>
      </c>
      <c r="B133" s="61">
        <f t="shared" si="30"/>
        <v>0</v>
      </c>
      <c r="C133" s="61">
        <f t="shared" si="31"/>
        <v>0</v>
      </c>
      <c r="D133" s="61">
        <f t="shared" si="32"/>
        <v>0</v>
      </c>
      <c r="E133" s="70"/>
      <c r="F133" s="62" t="str">
        <f>IF($E133="","",IFERROR(HLOOKUP(Hidden!$FB$2,Substances,MATCH(Products!$E133,CAS,0),FALSE),""))</f>
        <v/>
      </c>
      <c r="G133" s="383"/>
      <c r="H133" s="383"/>
    </row>
    <row r="134" spans="1:8" x14ac:dyDescent="0.2">
      <c r="A134" s="60" t="str">
        <f t="shared" si="29"/>
        <v>AAAAA</v>
      </c>
      <c r="B134" s="61">
        <f t="shared" si="30"/>
        <v>0</v>
      </c>
      <c r="C134" s="61">
        <f t="shared" si="31"/>
        <v>0</v>
      </c>
      <c r="D134" s="61">
        <f t="shared" si="32"/>
        <v>0</v>
      </c>
      <c r="E134" s="70"/>
      <c r="F134" s="62" t="str">
        <f>IF($E134="","",IFERROR(HLOOKUP(Hidden!$FB$2,Substances,MATCH(Products!$E134,CAS,0),FALSE),""))</f>
        <v/>
      </c>
      <c r="G134" s="383"/>
      <c r="H134" s="383"/>
    </row>
    <row r="135" spans="1:8" x14ac:dyDescent="0.2">
      <c r="A135" s="60" t="str">
        <f t="shared" si="29"/>
        <v>AAAAAA</v>
      </c>
      <c r="B135" s="61">
        <f t="shared" si="30"/>
        <v>0</v>
      </c>
      <c r="C135" s="61">
        <f t="shared" si="31"/>
        <v>0</v>
      </c>
      <c r="D135" s="61">
        <f t="shared" si="32"/>
        <v>0</v>
      </c>
      <c r="E135" s="70"/>
      <c r="F135" s="62" t="str">
        <f>IF($E135="","",IFERROR(HLOOKUP(Hidden!$FB$2,Substances,MATCH(Products!$E135,CAS,0),FALSE),""))</f>
        <v/>
      </c>
      <c r="G135" s="383"/>
      <c r="H135" s="383"/>
    </row>
    <row r="136" spans="1:8" x14ac:dyDescent="0.2">
      <c r="A136" s="60" t="str">
        <f t="shared" si="29"/>
        <v>AAAAAAA</v>
      </c>
      <c r="B136" s="61">
        <f t="shared" si="30"/>
        <v>0</v>
      </c>
      <c r="C136" s="61">
        <f t="shared" si="31"/>
        <v>0</v>
      </c>
      <c r="D136" s="61">
        <f t="shared" si="32"/>
        <v>0</v>
      </c>
      <c r="E136" s="70"/>
      <c r="F136" s="62" t="str">
        <f>IF($E136="","",IFERROR(HLOOKUP(Hidden!$FB$2,Substances,MATCH(Products!$E136,CAS,0),FALSE),""))</f>
        <v/>
      </c>
      <c r="G136" s="383"/>
      <c r="H136" s="383"/>
    </row>
    <row r="137" spans="1:8" x14ac:dyDescent="0.2">
      <c r="A137" s="60" t="str">
        <f t="shared" si="29"/>
        <v>AAAAAAAA</v>
      </c>
      <c r="B137" s="61">
        <f t="shared" si="30"/>
        <v>0</v>
      </c>
      <c r="C137" s="61">
        <f t="shared" si="31"/>
        <v>0</v>
      </c>
      <c r="D137" s="61">
        <f t="shared" si="32"/>
        <v>0</v>
      </c>
      <c r="E137" s="70"/>
      <c r="F137" s="62" t="str">
        <f>IF($E137="","",IFERROR(HLOOKUP(Hidden!$FB$2,Substances,MATCH(Products!$E137,CAS,0),FALSE),""))</f>
        <v/>
      </c>
      <c r="G137" s="383"/>
      <c r="H137" s="383"/>
    </row>
    <row r="138" spans="1:8" x14ac:dyDescent="0.2">
      <c r="A138" s="60" t="str">
        <f t="shared" si="29"/>
        <v>AAAAAAAAA</v>
      </c>
      <c r="B138" s="61">
        <f t="shared" si="30"/>
        <v>0</v>
      </c>
      <c r="C138" s="61">
        <f t="shared" si="31"/>
        <v>0</v>
      </c>
      <c r="D138" s="61">
        <f t="shared" si="32"/>
        <v>0</v>
      </c>
      <c r="E138" s="70"/>
      <c r="F138" s="62" t="str">
        <f>IF($E138="","",IFERROR(HLOOKUP(Hidden!$FB$2,Substances,MATCH(Products!$E138,CAS,0),FALSE),""))</f>
        <v/>
      </c>
      <c r="G138" s="383"/>
      <c r="H138" s="383"/>
    </row>
    <row r="139" spans="1:8" x14ac:dyDescent="0.2">
      <c r="A139" s="64"/>
      <c r="B139" s="71"/>
      <c r="C139" s="71"/>
      <c r="D139" s="71"/>
      <c r="E139" s="70"/>
      <c r="F139" s="62" t="str">
        <f>IF($E139="","",IFERROR(HLOOKUP(Hidden!$FB$2,Substances,MATCH(Products!$E139,CAS,0),FALSE),""))</f>
        <v/>
      </c>
      <c r="G139" s="383"/>
      <c r="H139" s="383"/>
    </row>
    <row r="140" spans="1:8" x14ac:dyDescent="0.2">
      <c r="A140" s="60" t="str">
        <f>A139&amp;"A"</f>
        <v>A</v>
      </c>
      <c r="B140" s="61">
        <f>$B$139</f>
        <v>0</v>
      </c>
      <c r="C140" s="61">
        <f>$C$139</f>
        <v>0</v>
      </c>
      <c r="D140" s="61">
        <f>$D$139</f>
        <v>0</v>
      </c>
      <c r="E140" s="70"/>
      <c r="F140" s="62" t="str">
        <f>IF($E140="","",IFERROR(HLOOKUP(Hidden!$FB$2,Substances,MATCH(Products!$E140,CAS,0),FALSE),""))</f>
        <v/>
      </c>
      <c r="G140" s="383"/>
      <c r="H140" s="383"/>
    </row>
    <row r="141" spans="1:8" x14ac:dyDescent="0.2">
      <c r="A141" s="60" t="str">
        <f t="shared" ref="A141:A148" si="33">A140&amp;"A"</f>
        <v>AA</v>
      </c>
      <c r="B141" s="61">
        <f t="shared" ref="B141:B148" si="34">$B$139</f>
        <v>0</v>
      </c>
      <c r="C141" s="61">
        <f t="shared" ref="C141:C148" si="35">$C$139</f>
        <v>0</v>
      </c>
      <c r="D141" s="61">
        <f t="shared" ref="D141:D148" si="36">$D$139</f>
        <v>0</v>
      </c>
      <c r="E141" s="70"/>
      <c r="F141" s="62" t="str">
        <f>IF($E141="","",IFERROR(HLOOKUP(Hidden!$FB$2,Substances,MATCH(Products!$E141,CAS,0),FALSE),""))</f>
        <v/>
      </c>
      <c r="G141" s="383"/>
      <c r="H141" s="383"/>
    </row>
    <row r="142" spans="1:8" x14ac:dyDescent="0.2">
      <c r="A142" s="60" t="str">
        <f t="shared" si="33"/>
        <v>AAA</v>
      </c>
      <c r="B142" s="61">
        <f t="shared" si="34"/>
        <v>0</v>
      </c>
      <c r="C142" s="61">
        <f t="shared" si="35"/>
        <v>0</v>
      </c>
      <c r="D142" s="61">
        <f t="shared" si="36"/>
        <v>0</v>
      </c>
      <c r="E142" s="70"/>
      <c r="F142" s="62" t="str">
        <f>IF($E142="","",IFERROR(HLOOKUP(Hidden!$FB$2,Substances,MATCH(Products!$E142,CAS,0),FALSE),""))</f>
        <v/>
      </c>
      <c r="G142" s="383"/>
      <c r="H142" s="383"/>
    </row>
    <row r="143" spans="1:8" x14ac:dyDescent="0.2">
      <c r="A143" s="60" t="str">
        <f t="shared" si="33"/>
        <v>AAAA</v>
      </c>
      <c r="B143" s="61">
        <f t="shared" si="34"/>
        <v>0</v>
      </c>
      <c r="C143" s="61">
        <f t="shared" si="35"/>
        <v>0</v>
      </c>
      <c r="D143" s="61">
        <f t="shared" si="36"/>
        <v>0</v>
      </c>
      <c r="E143" s="70"/>
      <c r="F143" s="62" t="str">
        <f>IF($E143="","",IFERROR(HLOOKUP(Hidden!$FB$2,Substances,MATCH(Products!$E143,CAS,0),FALSE),""))</f>
        <v/>
      </c>
      <c r="G143" s="383"/>
      <c r="H143" s="383"/>
    </row>
    <row r="144" spans="1:8" x14ac:dyDescent="0.2">
      <c r="A144" s="60" t="str">
        <f t="shared" si="33"/>
        <v>AAAAA</v>
      </c>
      <c r="B144" s="61">
        <f t="shared" si="34"/>
        <v>0</v>
      </c>
      <c r="C144" s="61">
        <f t="shared" si="35"/>
        <v>0</v>
      </c>
      <c r="D144" s="61">
        <f t="shared" si="36"/>
        <v>0</v>
      </c>
      <c r="E144" s="70"/>
      <c r="F144" s="62" t="str">
        <f>IF($E144="","",IFERROR(HLOOKUP(Hidden!$FB$2,Substances,MATCH(Products!$E144,CAS,0),FALSE),""))</f>
        <v/>
      </c>
      <c r="G144" s="383"/>
      <c r="H144" s="383"/>
    </row>
    <row r="145" spans="1:8" x14ac:dyDescent="0.2">
      <c r="A145" s="60" t="str">
        <f t="shared" si="33"/>
        <v>AAAAAA</v>
      </c>
      <c r="B145" s="61">
        <f t="shared" si="34"/>
        <v>0</v>
      </c>
      <c r="C145" s="61">
        <f t="shared" si="35"/>
        <v>0</v>
      </c>
      <c r="D145" s="61">
        <f t="shared" si="36"/>
        <v>0</v>
      </c>
      <c r="E145" s="70"/>
      <c r="F145" s="62" t="str">
        <f>IF($E145="","",IFERROR(HLOOKUP(Hidden!$FB$2,Substances,MATCH(Products!$E145,CAS,0),FALSE),""))</f>
        <v/>
      </c>
      <c r="G145" s="383"/>
      <c r="H145" s="383"/>
    </row>
    <row r="146" spans="1:8" x14ac:dyDescent="0.2">
      <c r="A146" s="60" t="str">
        <f t="shared" si="33"/>
        <v>AAAAAAA</v>
      </c>
      <c r="B146" s="61">
        <f t="shared" si="34"/>
        <v>0</v>
      </c>
      <c r="C146" s="61">
        <f t="shared" si="35"/>
        <v>0</v>
      </c>
      <c r="D146" s="61">
        <f t="shared" si="36"/>
        <v>0</v>
      </c>
      <c r="E146" s="70"/>
      <c r="F146" s="62" t="str">
        <f>IF($E146="","",IFERROR(HLOOKUP(Hidden!$FB$2,Substances,MATCH(Products!$E146,CAS,0),FALSE),""))</f>
        <v/>
      </c>
      <c r="G146" s="383"/>
      <c r="H146" s="383"/>
    </row>
    <row r="147" spans="1:8" x14ac:dyDescent="0.2">
      <c r="A147" s="60" t="str">
        <f t="shared" si="33"/>
        <v>AAAAAAAA</v>
      </c>
      <c r="B147" s="61">
        <f t="shared" si="34"/>
        <v>0</v>
      </c>
      <c r="C147" s="61">
        <f t="shared" si="35"/>
        <v>0</v>
      </c>
      <c r="D147" s="61">
        <f t="shared" si="36"/>
        <v>0</v>
      </c>
      <c r="E147" s="70"/>
      <c r="F147" s="62" t="str">
        <f>IF($E147="","",IFERROR(HLOOKUP(Hidden!$FB$2,Substances,MATCH(Products!$E147,CAS,0),FALSE),""))</f>
        <v/>
      </c>
      <c r="G147" s="383"/>
      <c r="H147" s="383"/>
    </row>
    <row r="148" spans="1:8" x14ac:dyDescent="0.2">
      <c r="A148" s="60" t="str">
        <f t="shared" si="33"/>
        <v>AAAAAAAAA</v>
      </c>
      <c r="B148" s="61">
        <f t="shared" si="34"/>
        <v>0</v>
      </c>
      <c r="C148" s="61">
        <f t="shared" si="35"/>
        <v>0</v>
      </c>
      <c r="D148" s="61">
        <f t="shared" si="36"/>
        <v>0</v>
      </c>
      <c r="E148" s="70"/>
      <c r="F148" s="62" t="str">
        <f>IF($E148="","",IFERROR(HLOOKUP(Hidden!$FB$2,Substances,MATCH(Products!$E148,CAS,0),FALSE),""))</f>
        <v/>
      </c>
      <c r="G148" s="383"/>
      <c r="H148" s="383"/>
    </row>
    <row r="149" spans="1:8" x14ac:dyDescent="0.2">
      <c r="A149" s="64"/>
      <c r="B149" s="71"/>
      <c r="C149" s="71"/>
      <c r="D149" s="71"/>
      <c r="E149" s="70"/>
      <c r="F149" s="62" t="str">
        <f>IF($E149="","",IFERROR(HLOOKUP(Hidden!$FB$2,Substances,MATCH(Products!$E149,CAS,0),FALSE),""))</f>
        <v/>
      </c>
      <c r="G149" s="383"/>
      <c r="H149" s="383"/>
    </row>
    <row r="150" spans="1:8" x14ac:dyDescent="0.2">
      <c r="A150" s="60" t="str">
        <f>A149&amp;"A"</f>
        <v>A</v>
      </c>
      <c r="B150" s="61">
        <f>$B$149</f>
        <v>0</v>
      </c>
      <c r="C150" s="61">
        <f>$C$149</f>
        <v>0</v>
      </c>
      <c r="D150" s="61">
        <f>$D$149</f>
        <v>0</v>
      </c>
      <c r="E150" s="70"/>
      <c r="F150" s="62" t="str">
        <f>IF($E150="","",IFERROR(HLOOKUP(Hidden!$FB$2,Substances,MATCH(Products!$E150,CAS,0),FALSE),""))</f>
        <v/>
      </c>
      <c r="G150" s="383"/>
      <c r="H150" s="383"/>
    </row>
    <row r="151" spans="1:8" x14ac:dyDescent="0.2">
      <c r="A151" s="60" t="str">
        <f t="shared" ref="A151:A158" si="37">A150&amp;"A"</f>
        <v>AA</v>
      </c>
      <c r="B151" s="61">
        <f t="shared" ref="B151:B158" si="38">$B$149</f>
        <v>0</v>
      </c>
      <c r="C151" s="61">
        <f t="shared" ref="C151:C158" si="39">$C$149</f>
        <v>0</v>
      </c>
      <c r="D151" s="61">
        <f t="shared" ref="D151:D158" si="40">$D$149</f>
        <v>0</v>
      </c>
      <c r="E151" s="70"/>
      <c r="F151" s="62" t="str">
        <f>IF($E151="","",IFERROR(HLOOKUP(Hidden!$FB$2,Substances,MATCH(Products!$E151,CAS,0),FALSE),""))</f>
        <v/>
      </c>
      <c r="G151" s="383"/>
      <c r="H151" s="383"/>
    </row>
    <row r="152" spans="1:8" x14ac:dyDescent="0.2">
      <c r="A152" s="60" t="str">
        <f t="shared" si="37"/>
        <v>AAA</v>
      </c>
      <c r="B152" s="61">
        <f t="shared" si="38"/>
        <v>0</v>
      </c>
      <c r="C152" s="61">
        <f t="shared" si="39"/>
        <v>0</v>
      </c>
      <c r="D152" s="61">
        <f t="shared" si="40"/>
        <v>0</v>
      </c>
      <c r="E152" s="70"/>
      <c r="F152" s="62" t="str">
        <f>IF($E152="","",IFERROR(HLOOKUP(Hidden!$FB$2,Substances,MATCH(Products!$E152,CAS,0),FALSE),""))</f>
        <v/>
      </c>
      <c r="G152" s="383"/>
      <c r="H152" s="383"/>
    </row>
    <row r="153" spans="1:8" x14ac:dyDescent="0.2">
      <c r="A153" s="60" t="str">
        <f t="shared" si="37"/>
        <v>AAAA</v>
      </c>
      <c r="B153" s="61">
        <f t="shared" si="38"/>
        <v>0</v>
      </c>
      <c r="C153" s="61">
        <f t="shared" si="39"/>
        <v>0</v>
      </c>
      <c r="D153" s="61">
        <f t="shared" si="40"/>
        <v>0</v>
      </c>
      <c r="E153" s="70"/>
      <c r="F153" s="62" t="str">
        <f>IF($E153="","",IFERROR(HLOOKUP(Hidden!$FB$2,Substances,MATCH(Products!$E153,CAS,0),FALSE),""))</f>
        <v/>
      </c>
      <c r="G153" s="383"/>
      <c r="H153" s="383"/>
    </row>
    <row r="154" spans="1:8" x14ac:dyDescent="0.2">
      <c r="A154" s="60" t="str">
        <f t="shared" si="37"/>
        <v>AAAAA</v>
      </c>
      <c r="B154" s="61">
        <f t="shared" si="38"/>
        <v>0</v>
      </c>
      <c r="C154" s="61">
        <f t="shared" si="39"/>
        <v>0</v>
      </c>
      <c r="D154" s="61">
        <f t="shared" si="40"/>
        <v>0</v>
      </c>
      <c r="E154" s="70"/>
      <c r="F154" s="62" t="str">
        <f>IF($E154="","",IFERROR(HLOOKUP(Hidden!$FB$2,Substances,MATCH(Products!$E154,CAS,0),FALSE),""))</f>
        <v/>
      </c>
      <c r="G154" s="383"/>
      <c r="H154" s="383"/>
    </row>
    <row r="155" spans="1:8" x14ac:dyDescent="0.2">
      <c r="A155" s="60" t="str">
        <f t="shared" si="37"/>
        <v>AAAAAA</v>
      </c>
      <c r="B155" s="61">
        <f t="shared" si="38"/>
        <v>0</v>
      </c>
      <c r="C155" s="61">
        <f t="shared" si="39"/>
        <v>0</v>
      </c>
      <c r="D155" s="61">
        <f t="shared" si="40"/>
        <v>0</v>
      </c>
      <c r="E155" s="70"/>
      <c r="F155" s="62" t="str">
        <f>IF($E155="","",IFERROR(HLOOKUP(Hidden!$FB$2,Substances,MATCH(Products!$E155,CAS,0),FALSE),""))</f>
        <v/>
      </c>
      <c r="G155" s="383"/>
      <c r="H155" s="383"/>
    </row>
    <row r="156" spans="1:8" x14ac:dyDescent="0.2">
      <c r="A156" s="60" t="str">
        <f t="shared" si="37"/>
        <v>AAAAAAA</v>
      </c>
      <c r="B156" s="61">
        <f t="shared" si="38"/>
        <v>0</v>
      </c>
      <c r="C156" s="61">
        <f t="shared" si="39"/>
        <v>0</v>
      </c>
      <c r="D156" s="61">
        <f t="shared" si="40"/>
        <v>0</v>
      </c>
      <c r="E156" s="70"/>
      <c r="F156" s="62" t="str">
        <f>IF($E156="","",IFERROR(HLOOKUP(Hidden!$FB$2,Substances,MATCH(Products!$E156,CAS,0),FALSE),""))</f>
        <v/>
      </c>
      <c r="G156" s="383"/>
      <c r="H156" s="383"/>
    </row>
    <row r="157" spans="1:8" x14ac:dyDescent="0.2">
      <c r="A157" s="60" t="str">
        <f t="shared" si="37"/>
        <v>AAAAAAAA</v>
      </c>
      <c r="B157" s="61">
        <f t="shared" si="38"/>
        <v>0</v>
      </c>
      <c r="C157" s="61">
        <f t="shared" si="39"/>
        <v>0</v>
      </c>
      <c r="D157" s="61">
        <f t="shared" si="40"/>
        <v>0</v>
      </c>
      <c r="E157" s="70"/>
      <c r="F157" s="62" t="str">
        <f>IF($E157="","",IFERROR(HLOOKUP(Hidden!$FB$2,Substances,MATCH(Products!$E157,CAS,0),FALSE),""))</f>
        <v/>
      </c>
      <c r="G157" s="383"/>
      <c r="H157" s="383"/>
    </row>
    <row r="158" spans="1:8" ht="15" thickBot="1" x14ac:dyDescent="0.25">
      <c r="A158" s="65" t="str">
        <f t="shared" si="37"/>
        <v>AAAAAAAAA</v>
      </c>
      <c r="B158" s="66">
        <f t="shared" si="38"/>
        <v>0</v>
      </c>
      <c r="C158" s="66">
        <f t="shared" si="39"/>
        <v>0</v>
      </c>
      <c r="D158" s="66">
        <f t="shared" si="40"/>
        <v>0</v>
      </c>
      <c r="E158" s="72"/>
      <c r="F158" s="67" t="str">
        <f>IF($E158="","",IFERROR(HLOOKUP(Hidden!$FB$2,Substances,MATCH(Products!$E158,CAS,0),FALSE),""))</f>
        <v/>
      </c>
      <c r="G158" s="385"/>
      <c r="H158" s="385"/>
    </row>
    <row r="159" spans="1:8" x14ac:dyDescent="0.2">
      <c r="A159" s="478" t="s">
        <v>130</v>
      </c>
      <c r="B159" s="478"/>
      <c r="C159" s="478"/>
      <c r="D159" s="478"/>
      <c r="E159" s="478"/>
      <c r="F159" s="478"/>
      <c r="G159" s="478"/>
    </row>
  </sheetData>
  <sheetProtection algorithmName="SHA-512" hashValue="04Ej/3NcRpkAHWYlCEhsZ+EtUcQzFLrSRPlGlKm3TTLI144gvOs7lRct1zGOBg/vnXSVNGgDd9z5jD67yF/Jsg==" saltValue="vyTu+8IKCPrJ93TwRZ7B8g==" spinCount="100000" sheet="1" objects="1" scenarios="1" formatColumns="0" formatRows="0"/>
  <mergeCells count="26">
    <mergeCell ref="A32:H32"/>
    <mergeCell ref="A159:G159"/>
    <mergeCell ref="A3:H3"/>
    <mergeCell ref="A2:H2"/>
    <mergeCell ref="A1:H1"/>
    <mergeCell ref="A56:H56"/>
    <mergeCell ref="A19:H19"/>
    <mergeCell ref="A57:H57"/>
    <mergeCell ref="A20:H20"/>
    <mergeCell ref="A44:H44"/>
    <mergeCell ref="A4:H4"/>
    <mergeCell ref="A18:H18"/>
    <mergeCell ref="A5:H5"/>
    <mergeCell ref="E6:H6"/>
    <mergeCell ref="A6:D6"/>
    <mergeCell ref="A8:D8"/>
    <mergeCell ref="A9:D9"/>
    <mergeCell ref="A17:D17"/>
    <mergeCell ref="A7:D7"/>
    <mergeCell ref="A12:D12"/>
    <mergeCell ref="A13:D13"/>
    <mergeCell ref="A10:D10"/>
    <mergeCell ref="A11:D11"/>
    <mergeCell ref="A14:D14"/>
    <mergeCell ref="A15:D15"/>
    <mergeCell ref="A16:D16"/>
  </mergeCells>
  <conditionalFormatting sqref="A7:H17">
    <cfRule type="expression" dxfId="299" priority="12">
      <formula>$E$6="no"</formula>
    </cfRule>
  </conditionalFormatting>
  <conditionalFormatting sqref="E59:E68">
    <cfRule type="duplicateValues" dxfId="298" priority="10"/>
  </conditionalFormatting>
  <conditionalFormatting sqref="E69:E78">
    <cfRule type="duplicateValues" dxfId="297" priority="9"/>
  </conditionalFormatting>
  <conditionalFormatting sqref="E79:E88">
    <cfRule type="duplicateValues" dxfId="296" priority="8"/>
  </conditionalFormatting>
  <conditionalFormatting sqref="E89:E98">
    <cfRule type="duplicateValues" dxfId="295" priority="7"/>
  </conditionalFormatting>
  <conditionalFormatting sqref="E99:E108">
    <cfRule type="duplicateValues" dxfId="294" priority="6"/>
  </conditionalFormatting>
  <conditionalFormatting sqref="E109:E118">
    <cfRule type="duplicateValues" dxfId="293" priority="5"/>
  </conditionalFormatting>
  <conditionalFormatting sqref="E119:E128">
    <cfRule type="duplicateValues" dxfId="292" priority="4"/>
  </conditionalFormatting>
  <conditionalFormatting sqref="E129:E138">
    <cfRule type="duplicateValues" dxfId="291" priority="3"/>
  </conditionalFormatting>
  <conditionalFormatting sqref="E139:E148">
    <cfRule type="duplicateValues" dxfId="290" priority="2"/>
  </conditionalFormatting>
  <conditionalFormatting sqref="E149:E158">
    <cfRule type="duplicateValues" dxfId="289" priority="1"/>
  </conditionalFormatting>
  <dataValidations count="10">
    <dataValidation type="list" allowBlank="1" showErrorMessage="1" prompt="select or enter the cas number" sqref="E59:E158 E8:E17" xr:uid="{4DF9975D-53D2-42BB-ADF6-560D32B8023B}">
      <formula1>CAS</formula1>
    </dataValidation>
    <dataValidation type="list" allowBlank="1" showErrorMessage="1" prompt="Select yes or no." sqref="E6:H6" xr:uid="{97B26027-7277-4ED0-A324-72D764DB58C4}">
      <formula1>"Yes,No"</formula1>
    </dataValidation>
    <dataValidation allowBlank="1" showErrorMessage="1" prompt="enter the Liquid Weight Fraction" sqref="G59:G158" xr:uid="{8C2D7B12-1818-48FB-8E7A-23677CE3D3B6}"/>
    <dataValidation allowBlank="1" showErrorMessage="1" prompt="enter the Vapor Weight Fraction" sqref="H59:H158" xr:uid="{A4238904-B60A-4DF5-BB0D-A0932E316E9E}"/>
    <dataValidation allowBlank="1" showErrorMessage="1" prompt="enter the liquid weight fraction" sqref="G8:G17" xr:uid="{CEB4F8AE-8593-4797-971C-634ABF264739}"/>
    <dataValidation allowBlank="1" showErrorMessage="1" prompt="enter the vapor weight fraction" sqref="H8:H17" xr:uid="{F01B85C3-B95A-417A-A9BB-4003CBB65E20}"/>
    <dataValidation allowBlank="1" showErrorMessage="1" prompt="enter the vapor molecular weight" sqref="B59 B69 B79 B89 B99 B109 B119 B129 B139 B149" xr:uid="{2AE205F5-E201-47D6-A47F-3FFBAD5D8CDC}"/>
    <dataValidation allowBlank="1" showErrorMessage="1" prompt="enter the True Vapor Pressure at Average Temperature (psia)" sqref="D59 D69 D79 D89 D99 D109 D119 D129 D139 D149" xr:uid="{42DA7066-A447-4C45-8F1E-0C19D42CE4EC}"/>
    <dataValidation allowBlank="1" showErrorMessage="1" prompt="enter the True Vapor Pressure at Maximum Temperature (psia)" sqref="C149 C139 C129 C119 C109 C99 C89 C79 C69 C59" xr:uid="{AB1435AD-4E1E-468E-B174-B1ADCF286607}"/>
    <dataValidation type="textLength" allowBlank="1" showErrorMessage="1" prompt="enter the product name" sqref="A149 A139 A129 A119 A109 A99 A89 A79 A69 A59" xr:uid="{EF7F2A2E-E63D-4D67-9650-6E63F0DDE202}">
      <formula1>2</formula1>
      <formula2>100</formula2>
    </dataValidation>
  </dataValidations>
  <printOptions horizontalCentered="1"/>
  <pageMargins left="0.7" right="0.7" top="0.75" bottom="0.75" header="0.3" footer="0.3"/>
  <pageSetup scale="78" orientation="landscape" r:id="rId1"/>
  <headerFooter>
    <oddHeader>&amp;C&amp;"Calibri,Regular"Marine Loading RAP Application</oddHeader>
    <oddFooter>&amp;L&amp;"Calibri,Regular"Version 1.0&amp;C&amp;"Calibri,Regular"Sheet: &amp;A&amp;R&amp;"Calibri,Regular"Page &amp;P</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965280-B8B2-450D-9375-AFE683F7B403}">
  <sheetPr codeName="Sheet5">
    <tabColor rgb="FFFFFFCC"/>
  </sheetPr>
  <dimension ref="A1:I142"/>
  <sheetViews>
    <sheetView showGridLines="0" zoomScaleNormal="100" workbookViewId="0">
      <selection sqref="A1:H1"/>
    </sheetView>
  </sheetViews>
  <sheetFormatPr defaultColWidth="0" defaultRowHeight="14.25" zeroHeight="1" x14ac:dyDescent="0.2"/>
  <cols>
    <col min="1" max="4" width="14.75" customWidth="1"/>
    <col min="5" max="5" width="25.125" customWidth="1"/>
    <col min="6" max="8" width="13.25" customWidth="1"/>
    <col min="9" max="9" width="2.625" customWidth="1"/>
    <col min="10" max="16384" width="9" hidden="1"/>
  </cols>
  <sheetData>
    <row r="1" spans="1:8" ht="8.25" customHeight="1" thickBot="1" x14ac:dyDescent="0.25">
      <c r="A1" s="478" t="s">
        <v>0</v>
      </c>
      <c r="B1" s="478"/>
      <c r="C1" s="478"/>
      <c r="D1" s="478"/>
      <c r="E1" s="478"/>
      <c r="F1" s="478"/>
      <c r="G1" s="478"/>
      <c r="H1" s="478"/>
    </row>
    <row r="2" spans="1:8" ht="18.75" thickBot="1" x14ac:dyDescent="0.25">
      <c r="A2" s="525" t="s">
        <v>165</v>
      </c>
      <c r="B2" s="525"/>
      <c r="C2" s="525"/>
      <c r="D2" s="525"/>
      <c r="E2" s="525"/>
      <c r="F2" s="525"/>
      <c r="G2" s="525"/>
      <c r="H2" s="525"/>
    </row>
    <row r="3" spans="1:8" ht="216" customHeight="1" thickBot="1" x14ac:dyDescent="0.25">
      <c r="A3" s="523" t="s">
        <v>9769</v>
      </c>
      <c r="B3" s="602"/>
      <c r="C3" s="602"/>
      <c r="D3" s="602"/>
      <c r="E3" s="602"/>
      <c r="F3" s="602"/>
      <c r="G3" s="602"/>
      <c r="H3" s="524"/>
    </row>
    <row r="4" spans="1:8" ht="15" thickBot="1" x14ac:dyDescent="0.25">
      <c r="A4" s="478" t="s">
        <v>1</v>
      </c>
      <c r="B4" s="478"/>
      <c r="C4" s="478"/>
      <c r="D4" s="478"/>
      <c r="E4" s="478"/>
      <c r="F4" s="478"/>
      <c r="G4" s="478"/>
      <c r="H4" s="478"/>
    </row>
    <row r="5" spans="1:8" ht="15.75" thickBot="1" x14ac:dyDescent="0.25">
      <c r="A5" s="479" t="s">
        <v>133</v>
      </c>
      <c r="B5" s="479"/>
      <c r="C5" s="479"/>
      <c r="D5" s="479"/>
      <c r="E5" s="479"/>
      <c r="F5" s="479"/>
      <c r="G5" s="479"/>
      <c r="H5" s="479"/>
    </row>
    <row r="6" spans="1:8" x14ac:dyDescent="0.2">
      <c r="A6" s="528" t="s">
        <v>166</v>
      </c>
      <c r="B6" s="529"/>
      <c r="C6" s="529"/>
      <c r="D6" s="579"/>
      <c r="E6" s="579"/>
      <c r="F6" s="579"/>
      <c r="G6" s="579"/>
      <c r="H6" s="580"/>
    </row>
    <row r="7" spans="1:8" x14ac:dyDescent="0.2">
      <c r="A7" s="528" t="s">
        <v>167</v>
      </c>
      <c r="B7" s="529"/>
      <c r="C7" s="529"/>
      <c r="D7" s="579"/>
      <c r="E7" s="579"/>
      <c r="F7" s="579"/>
      <c r="G7" s="579"/>
      <c r="H7" s="580"/>
    </row>
    <row r="8" spans="1:8" x14ac:dyDescent="0.2">
      <c r="A8" s="528" t="s">
        <v>168</v>
      </c>
      <c r="B8" s="529"/>
      <c r="C8" s="529"/>
      <c r="D8" s="551"/>
      <c r="E8" s="552"/>
      <c r="F8" s="552"/>
      <c r="G8" s="552"/>
      <c r="H8" s="553"/>
    </row>
    <row r="9" spans="1:8" x14ac:dyDescent="0.2">
      <c r="A9" s="528" t="s">
        <v>169</v>
      </c>
      <c r="B9" s="529"/>
      <c r="C9" s="529"/>
      <c r="D9" s="551"/>
      <c r="E9" s="552"/>
      <c r="F9" s="552"/>
      <c r="G9" s="552"/>
      <c r="H9" s="553"/>
    </row>
    <row r="10" spans="1:8" x14ac:dyDescent="0.2">
      <c r="A10" s="666" t="s">
        <v>170</v>
      </c>
      <c r="B10" s="667"/>
      <c r="C10" s="668"/>
      <c r="D10" s="551"/>
      <c r="E10" s="552"/>
      <c r="F10" s="552"/>
      <c r="G10" s="552"/>
      <c r="H10" s="553"/>
    </row>
    <row r="11" spans="1:8" ht="15" thickBot="1" x14ac:dyDescent="0.25">
      <c r="A11" s="669" t="s">
        <v>171</v>
      </c>
      <c r="B11" s="670"/>
      <c r="C11" s="671"/>
      <c r="D11" s="557"/>
      <c r="E11" s="558"/>
      <c r="F11" s="558"/>
      <c r="G11" s="558"/>
      <c r="H11" s="559"/>
    </row>
    <row r="12" spans="1:8" ht="15" thickBot="1" x14ac:dyDescent="0.25">
      <c r="A12" s="478" t="s">
        <v>1</v>
      </c>
      <c r="B12" s="478"/>
      <c r="C12" s="478"/>
      <c r="D12" s="478"/>
      <c r="E12" s="478"/>
      <c r="F12" s="478"/>
      <c r="G12" s="478"/>
      <c r="H12" s="478"/>
    </row>
    <row r="13" spans="1:8" ht="15.75" thickBot="1" x14ac:dyDescent="0.25">
      <c r="A13" s="479" t="s">
        <v>9166</v>
      </c>
      <c r="B13" s="479"/>
      <c r="C13" s="479"/>
      <c r="D13" s="479"/>
      <c r="E13" s="479"/>
      <c r="F13" s="479"/>
      <c r="G13" s="479"/>
      <c r="H13" s="479"/>
    </row>
    <row r="14" spans="1:8" ht="15" x14ac:dyDescent="0.2">
      <c r="A14" s="506" t="s">
        <v>9167</v>
      </c>
      <c r="B14" s="507"/>
      <c r="C14" s="507"/>
      <c r="D14" s="663" t="s">
        <v>172</v>
      </c>
      <c r="E14" s="663"/>
      <c r="F14" s="664" t="s">
        <v>8723</v>
      </c>
      <c r="G14" s="664"/>
      <c r="H14" s="665"/>
    </row>
    <row r="15" spans="1:8" ht="14.25" customHeight="1" x14ac:dyDescent="0.2">
      <c r="A15" s="528" t="s">
        <v>176</v>
      </c>
      <c r="B15" s="529"/>
      <c r="C15" s="529"/>
      <c r="D15" s="579"/>
      <c r="E15" s="579"/>
      <c r="F15" s="672" t="s">
        <v>9155</v>
      </c>
      <c r="G15" s="672"/>
      <c r="H15" s="673"/>
    </row>
    <row r="16" spans="1:8" ht="15" customHeight="1" thickBot="1" x14ac:dyDescent="0.25">
      <c r="A16" s="548" t="s">
        <v>177</v>
      </c>
      <c r="B16" s="549"/>
      <c r="C16" s="549"/>
      <c r="D16" s="577"/>
      <c r="E16" s="577"/>
      <c r="F16" s="674" t="s">
        <v>9156</v>
      </c>
      <c r="G16" s="674"/>
      <c r="H16" s="675"/>
    </row>
    <row r="17" spans="1:9" ht="15" x14ac:dyDescent="0.2">
      <c r="A17" s="506" t="s">
        <v>9168</v>
      </c>
      <c r="B17" s="507"/>
      <c r="C17" s="507"/>
      <c r="D17" s="663" t="s">
        <v>172</v>
      </c>
      <c r="E17" s="663"/>
      <c r="F17" s="664" t="s">
        <v>8723</v>
      </c>
      <c r="G17" s="664"/>
      <c r="H17" s="665"/>
    </row>
    <row r="18" spans="1:9" ht="14.25" customHeight="1" x14ac:dyDescent="0.2">
      <c r="A18" s="528" t="s">
        <v>173</v>
      </c>
      <c r="B18" s="529"/>
      <c r="C18" s="529"/>
      <c r="D18" s="579"/>
      <c r="E18" s="579"/>
      <c r="F18" s="658" t="s">
        <v>9359</v>
      </c>
      <c r="G18" s="658"/>
      <c r="H18" s="659"/>
    </row>
    <row r="19" spans="1:9" ht="14.25" customHeight="1" x14ac:dyDescent="0.2">
      <c r="A19" s="528" t="s">
        <v>10823</v>
      </c>
      <c r="B19" s="529"/>
      <c r="C19" s="529"/>
      <c r="D19" s="579"/>
      <c r="E19" s="579"/>
      <c r="F19" s="658" t="s">
        <v>9359</v>
      </c>
      <c r="G19" s="658"/>
      <c r="H19" s="659"/>
    </row>
    <row r="20" spans="1:9" ht="47.25" customHeight="1" x14ac:dyDescent="0.2">
      <c r="A20" s="530" t="s">
        <v>10817</v>
      </c>
      <c r="B20" s="531"/>
      <c r="C20" s="531"/>
      <c r="D20" s="662"/>
      <c r="E20" s="662"/>
      <c r="F20" s="656" t="str">
        <f t="shared" ref="F20" si="0">IF(OR($D$18="",$D$19=""),"",IF(COUNTIF($D$18,"*floating*")&gt;0,"less than 11.0 psia",IF(COUNTIF($D$18,"*fixed*"),IF($D$19&lt;25000,"less than 11.0 psia if uncontrolled; no maximum if controlled","less than 0.5 psia if uncontrolled; no maximum if controlled"))))</f>
        <v/>
      </c>
      <c r="G20" s="656"/>
      <c r="H20" s="657"/>
    </row>
    <row r="21" spans="1:9" ht="47.25" customHeight="1" x14ac:dyDescent="0.2">
      <c r="A21" s="530" t="s">
        <v>10818</v>
      </c>
      <c r="B21" s="531"/>
      <c r="C21" s="531"/>
      <c r="D21" s="579"/>
      <c r="E21" s="579"/>
      <c r="F21" s="658" t="s">
        <v>9359</v>
      </c>
      <c r="G21" s="658"/>
      <c r="H21" s="659"/>
    </row>
    <row r="22" spans="1:9" ht="45.75" customHeight="1" x14ac:dyDescent="0.2">
      <c r="A22" s="528" t="s">
        <v>175</v>
      </c>
      <c r="B22" s="529"/>
      <c r="C22" s="529"/>
      <c r="D22" s="579"/>
      <c r="E22" s="579"/>
      <c r="F22" s="466" t="str">
        <f t="shared" ref="F22" si="1">IF($D$18="","",IF(COUNTIF($D$18,"*fixed*"),IF($D$20&gt;=11,"control required",IF(OR($D$19&lt;25000,$D$20&lt;0.5),"control not required","control required")),IF($D$20&lt;11,"control not required","regardless of control storage of products in a floating roof tank with TVP equal to or greater than 11.0 psia is not allowed, revise row 18 and/or 20")))</f>
        <v/>
      </c>
      <c r="G22" s="466"/>
      <c r="H22" s="466"/>
      <c r="I22" s="89"/>
    </row>
    <row r="23" spans="1:9" ht="50.25" customHeight="1" x14ac:dyDescent="0.2">
      <c r="A23" s="528" t="s">
        <v>8688</v>
      </c>
      <c r="B23" s="529"/>
      <c r="C23" s="529"/>
      <c r="D23" s="579"/>
      <c r="E23" s="579"/>
      <c r="F23" s="656" t="str">
        <f>IF(OR($D$18="horizontal fixed roof",$D$18="vertical fixed roof"),"",IF($D$18="external floating roof","mechanical or liquid-mounted",IF($D$18="internal floating roof","mechanical or liquid-mounted primary seal OR vapor-mounted primary seal with secondary seal","")))</f>
        <v/>
      </c>
      <c r="G23" s="656"/>
      <c r="H23" s="657"/>
    </row>
    <row r="24" spans="1:9" ht="60" customHeight="1" x14ac:dyDescent="0.2">
      <c r="A24" s="528" t="str">
        <f>IF(D23="vapor-mounted","Secondary seal type (required)","Secondary seal type (optional)")</f>
        <v>Secondary seal type (optional)</v>
      </c>
      <c r="B24" s="529"/>
      <c r="C24" s="529"/>
      <c r="D24" s="579"/>
      <c r="E24" s="579"/>
      <c r="F24" s="656" t="str">
        <f>IF(OR($D$18="horizontal fixed roof",$D$18="vertical fixed roof"),"",IF($D$18="external floating roof","rim-mounted",IF(AND($D$18="internal floating roof",$D$23="vapor-mounted"),"rim-mounted","")))</f>
        <v/>
      </c>
      <c r="G24" s="656"/>
      <c r="H24" s="657"/>
    </row>
    <row r="25" spans="1:9" ht="14.25" customHeight="1" x14ac:dyDescent="0.2">
      <c r="A25" s="528" t="s">
        <v>174</v>
      </c>
      <c r="B25" s="529"/>
      <c r="C25" s="529"/>
      <c r="D25" s="579"/>
      <c r="E25" s="579"/>
      <c r="F25" s="658" t="s">
        <v>9359</v>
      </c>
      <c r="G25" s="658"/>
      <c r="H25" s="659"/>
    </row>
    <row r="26" spans="1:9" ht="30.75" customHeight="1" thickBot="1" x14ac:dyDescent="0.25">
      <c r="A26" s="483" t="s">
        <v>9534</v>
      </c>
      <c r="B26" s="484"/>
      <c r="C26" s="484"/>
      <c r="D26" s="577"/>
      <c r="E26" s="577"/>
      <c r="F26" s="660" t="s">
        <v>9359</v>
      </c>
      <c r="G26" s="660"/>
      <c r="H26" s="661"/>
    </row>
    <row r="27" spans="1:9" ht="15" thickBot="1" x14ac:dyDescent="0.25">
      <c r="A27" s="478" t="s">
        <v>1</v>
      </c>
      <c r="B27" s="478"/>
      <c r="C27" s="478"/>
      <c r="D27" s="478"/>
      <c r="E27" s="478"/>
      <c r="F27" s="478"/>
      <c r="G27" s="478"/>
      <c r="H27" s="478"/>
    </row>
    <row r="28" spans="1:9" ht="15" x14ac:dyDescent="0.2">
      <c r="A28" s="474" t="s">
        <v>9165</v>
      </c>
      <c r="B28" s="474"/>
      <c r="C28" s="474"/>
      <c r="D28" s="474"/>
      <c r="E28" s="474"/>
      <c r="F28" s="474"/>
      <c r="G28" s="474"/>
      <c r="H28" s="474"/>
    </row>
    <row r="29" spans="1:9" ht="45.75" customHeight="1" x14ac:dyDescent="0.2">
      <c r="A29" s="530" t="s">
        <v>344</v>
      </c>
      <c r="B29" s="531"/>
      <c r="C29" s="531"/>
      <c r="D29" s="531"/>
      <c r="E29" s="531"/>
      <c r="F29" s="531"/>
      <c r="G29" s="579"/>
      <c r="H29" s="580"/>
    </row>
    <row r="30" spans="1:9" ht="44.25" customHeight="1" x14ac:dyDescent="0.2">
      <c r="A30" s="530" t="s">
        <v>345</v>
      </c>
      <c r="B30" s="531"/>
      <c r="C30" s="531"/>
      <c r="D30" s="531"/>
      <c r="E30" s="531"/>
      <c r="F30" s="531"/>
      <c r="G30" s="579"/>
      <c r="H30" s="580"/>
    </row>
    <row r="31" spans="1:9" ht="81.75" customHeight="1" x14ac:dyDescent="0.2">
      <c r="A31" s="654" t="s">
        <v>9179</v>
      </c>
      <c r="B31" s="655"/>
      <c r="C31" s="171" t="str">
        <f>IF($D$6="modified","Proposed increase in hourly throughput (bbl/hr)","Proposed hourly throughput (bbl/hr)")</f>
        <v>Proposed hourly throughput (bbl/hr)</v>
      </c>
      <c r="D31" s="316" t="str">
        <f>IF($D$6="modified","Proposed increase in annual throughput (bbl/yr)","Proposed annual throughput (bbl/yr)")</f>
        <v>Proposed annual throughput (bbl/yr)</v>
      </c>
      <c r="E31" s="398" t="s">
        <v>8751</v>
      </c>
      <c r="F31" s="399" t="s">
        <v>9180</v>
      </c>
      <c r="G31" s="399" t="str">
        <f>IF($D$6="modified","Proposed increase in hourly emissions (lb/hr)","Proposed hourly emissions (lb/hr)")</f>
        <v>Proposed hourly emissions (lb/hr)</v>
      </c>
      <c r="H31" s="400" t="str">
        <f>IF($D$6="modified","Proposed increase in annual emissions (tpy)","Proposed annual emissions (tpy)")</f>
        <v>Proposed annual emissions (tpy)</v>
      </c>
    </row>
    <row r="32" spans="1:9" x14ac:dyDescent="0.2">
      <c r="A32" s="651"/>
      <c r="B32" s="615"/>
      <c r="C32" s="75"/>
      <c r="D32" s="76"/>
      <c r="E32" s="73" t="s">
        <v>291</v>
      </c>
      <c r="F32" s="46">
        <v>1</v>
      </c>
      <c r="G32" s="40"/>
      <c r="H32" s="47"/>
    </row>
    <row r="33" spans="1:8" x14ac:dyDescent="0.2">
      <c r="A33" s="627" t="str">
        <f>A32&amp;"A"</f>
        <v>A</v>
      </c>
      <c r="B33" s="628"/>
      <c r="C33" s="77" t="s">
        <v>9360</v>
      </c>
      <c r="D33" s="77" t="s">
        <v>9360</v>
      </c>
      <c r="E33" s="74" t="str">
        <f>IF($A$32="","",IF(VLOOKUP($A32,Products!$A$59:$H$159,5,FALSE)="","",VLOOKUP($A32,Products!$A$59:$H$159,5,FALSE)))</f>
        <v/>
      </c>
      <c r="F33" s="46" t="str">
        <f>IF($A$32="","",IF(VLOOKUP($A32,Products!$A$59:$H$159,8,FALSE)="","",VLOOKUP($A32,Products!$A$59:$H$159,8,FALSE)))</f>
        <v/>
      </c>
      <c r="G33" s="46" t="str">
        <f>IF($F33="","",$F33*$G$32)</f>
        <v/>
      </c>
      <c r="H33" s="51" t="str">
        <f>IF($F33="","",$F33*$H$32)</f>
        <v/>
      </c>
    </row>
    <row r="34" spans="1:8" x14ac:dyDescent="0.2">
      <c r="A34" s="649" t="str">
        <f t="shared" ref="A34:A42" si="2">A33&amp;"A"</f>
        <v>AA</v>
      </c>
      <c r="B34" s="650"/>
      <c r="C34" s="77" t="s">
        <v>9360</v>
      </c>
      <c r="D34" s="77" t="s">
        <v>9360</v>
      </c>
      <c r="E34" s="74" t="str">
        <f>IF($A$32="","",IF(VLOOKUP($A33,Products!$A$59:$H$159,5,FALSE)="","",VLOOKUP($A33,Products!$A$59:$H$159,5,FALSE)))</f>
        <v/>
      </c>
      <c r="F34" s="46" t="str">
        <f>IF($A$32="","",IF(VLOOKUP($A33,Products!$A$59:$H$159,8,FALSE)="","",VLOOKUP($A33,Products!$A$59:$H$159,8,FALSE)))</f>
        <v/>
      </c>
      <c r="G34" s="46" t="str">
        <f t="shared" ref="G34:G42" si="3">IF($F34="","",$F34*$G$32)</f>
        <v/>
      </c>
      <c r="H34" s="51" t="str">
        <f t="shared" ref="H34:H42" si="4">IF($F34="","",$F34*$H$32)</f>
        <v/>
      </c>
    </row>
    <row r="35" spans="1:8" x14ac:dyDescent="0.2">
      <c r="A35" s="649" t="str">
        <f t="shared" si="2"/>
        <v>AAA</v>
      </c>
      <c r="B35" s="650"/>
      <c r="C35" s="77" t="s">
        <v>9360</v>
      </c>
      <c r="D35" s="77" t="s">
        <v>9360</v>
      </c>
      <c r="E35" s="74" t="str">
        <f>IF($A$32="","",IF(VLOOKUP($A34,Products!$A$59:$H$159,5,FALSE)="","",VLOOKUP($A34,Products!$A$59:$H$159,5,FALSE)))</f>
        <v/>
      </c>
      <c r="F35" s="46" t="str">
        <f>IF($A$32="","",IF(VLOOKUP($A34,Products!$A$59:$H$159,8,FALSE)="","",VLOOKUP($A34,Products!$A$59:$H$159,8,FALSE)))</f>
        <v/>
      </c>
      <c r="G35" s="46" t="str">
        <f>IF($F35="","",$F35*$G$32)</f>
        <v/>
      </c>
      <c r="H35" s="51" t="str">
        <f t="shared" si="4"/>
        <v/>
      </c>
    </row>
    <row r="36" spans="1:8" x14ac:dyDescent="0.2">
      <c r="A36" s="649" t="str">
        <f t="shared" si="2"/>
        <v>AAAA</v>
      </c>
      <c r="B36" s="650"/>
      <c r="C36" s="77" t="s">
        <v>9360</v>
      </c>
      <c r="D36" s="77" t="s">
        <v>9360</v>
      </c>
      <c r="E36" s="74" t="str">
        <f>IF($A$32="","",IF(VLOOKUP($A35,Products!$A$59:$H$159,5,FALSE)="","",VLOOKUP($A35,Products!$A$59:$H$159,5,FALSE)))</f>
        <v/>
      </c>
      <c r="F36" s="46" t="str">
        <f>IF($A$32="","",IF(VLOOKUP($A35,Products!$A$59:$H$159,8,FALSE)="","",VLOOKUP($A35,Products!$A$59:$H$159,8,FALSE)))</f>
        <v/>
      </c>
      <c r="G36" s="46" t="str">
        <f t="shared" si="3"/>
        <v/>
      </c>
      <c r="H36" s="51" t="str">
        <f t="shared" si="4"/>
        <v/>
      </c>
    </row>
    <row r="37" spans="1:8" ht="14.25" customHeight="1" x14ac:dyDescent="0.2">
      <c r="A37" s="649" t="str">
        <f t="shared" si="2"/>
        <v>AAAAA</v>
      </c>
      <c r="B37" s="650"/>
      <c r="C37" s="77" t="s">
        <v>9360</v>
      </c>
      <c r="D37" s="77" t="s">
        <v>9360</v>
      </c>
      <c r="E37" s="74" t="str">
        <f>IF($A$32="","",IF(VLOOKUP($A36,Products!$A$59:$H$159,5,FALSE)="","",VLOOKUP($A36,Products!$A$59:$H$159,5,FALSE)))</f>
        <v/>
      </c>
      <c r="F37" s="46" t="str">
        <f>IF($A$32="","",IF(VLOOKUP($A36,Products!$A$59:$H$159,8,FALSE)="","",VLOOKUP($A36,Products!$A$59:$H$159,8,FALSE)))</f>
        <v/>
      </c>
      <c r="G37" s="46" t="str">
        <f t="shared" si="3"/>
        <v/>
      </c>
      <c r="H37" s="51" t="str">
        <f t="shared" si="4"/>
        <v/>
      </c>
    </row>
    <row r="38" spans="1:8" ht="14.25" customHeight="1" x14ac:dyDescent="0.2">
      <c r="A38" s="649" t="str">
        <f t="shared" si="2"/>
        <v>AAAAAA</v>
      </c>
      <c r="B38" s="650"/>
      <c r="C38" s="77" t="s">
        <v>9360</v>
      </c>
      <c r="D38" s="77" t="s">
        <v>9360</v>
      </c>
      <c r="E38" s="74" t="str">
        <f>IF($A$32="","",IF(VLOOKUP($A37,Products!$A$59:$H$159,5,FALSE)="","",VLOOKUP($A37,Products!$A$59:$H$159,5,FALSE)))</f>
        <v/>
      </c>
      <c r="F38" s="46" t="str">
        <f>IF($A$32="","",IF(VLOOKUP($A37,Products!$A$59:$H$159,8,FALSE)="","",VLOOKUP($A37,Products!$A$59:$H$159,8,FALSE)))</f>
        <v/>
      </c>
      <c r="G38" s="46" t="str">
        <f t="shared" si="3"/>
        <v/>
      </c>
      <c r="H38" s="51" t="str">
        <f t="shared" si="4"/>
        <v/>
      </c>
    </row>
    <row r="39" spans="1:8" ht="14.25" customHeight="1" x14ac:dyDescent="0.2">
      <c r="A39" s="649" t="str">
        <f t="shared" si="2"/>
        <v>AAAAAAA</v>
      </c>
      <c r="B39" s="650"/>
      <c r="C39" s="77" t="s">
        <v>9360</v>
      </c>
      <c r="D39" s="77" t="s">
        <v>9360</v>
      </c>
      <c r="E39" s="74" t="str">
        <f>IF($A$32="","",IF(VLOOKUP($A38,Products!$A$59:$H$159,5,FALSE)="","",VLOOKUP($A38,Products!$A$59:$H$159,5,FALSE)))</f>
        <v/>
      </c>
      <c r="F39" s="46" t="str">
        <f>IF($A$32="","",IF(VLOOKUP($A38,Products!$A$59:$H$159,8,FALSE)="","",VLOOKUP($A38,Products!$A$59:$H$159,8,FALSE)))</f>
        <v/>
      </c>
      <c r="G39" s="46" t="str">
        <f t="shared" si="3"/>
        <v/>
      </c>
      <c r="H39" s="51" t="str">
        <f t="shared" si="4"/>
        <v/>
      </c>
    </row>
    <row r="40" spans="1:8" ht="14.25" customHeight="1" x14ac:dyDescent="0.2">
      <c r="A40" s="649" t="str">
        <f t="shared" si="2"/>
        <v>AAAAAAAA</v>
      </c>
      <c r="B40" s="650"/>
      <c r="C40" s="77" t="s">
        <v>9360</v>
      </c>
      <c r="D40" s="77" t="s">
        <v>9360</v>
      </c>
      <c r="E40" s="74" t="str">
        <f>IF($A$32="","",IF(VLOOKUP($A39,Products!$A$59:$H$159,5,FALSE)="","",VLOOKUP($A39,Products!$A$59:$H$159,5,FALSE)))</f>
        <v/>
      </c>
      <c r="F40" s="46" t="str">
        <f>IF($A$32="","",IF(VLOOKUP($A39,Products!$A$59:$H$159,8,FALSE)="","",VLOOKUP($A39,Products!$A$59:$H$159,8,FALSE)))</f>
        <v/>
      </c>
      <c r="G40" s="46" t="str">
        <f t="shared" si="3"/>
        <v/>
      </c>
      <c r="H40" s="51" t="str">
        <f t="shared" si="4"/>
        <v/>
      </c>
    </row>
    <row r="41" spans="1:8" ht="14.25" customHeight="1" x14ac:dyDescent="0.2">
      <c r="A41" s="649" t="str">
        <f t="shared" si="2"/>
        <v>AAAAAAAAA</v>
      </c>
      <c r="B41" s="650"/>
      <c r="C41" s="77" t="s">
        <v>9360</v>
      </c>
      <c r="D41" s="77" t="s">
        <v>9360</v>
      </c>
      <c r="E41" s="74" t="str">
        <f>IF($A$32="","",IF(VLOOKUP($A40,Products!$A$59:$H$159,5,FALSE)="","",VLOOKUP($A40,Products!$A$59:$H$159,5,FALSE)))</f>
        <v/>
      </c>
      <c r="F41" s="46" t="str">
        <f>IF($A$32="","",IF(VLOOKUP($A40,Products!$A$59:$H$159,8,FALSE)="","",VLOOKUP($A40,Products!$A$59:$H$159,8,FALSE)))</f>
        <v/>
      </c>
      <c r="G41" s="46" t="str">
        <f t="shared" si="3"/>
        <v/>
      </c>
      <c r="H41" s="51" t="str">
        <f t="shared" si="4"/>
        <v/>
      </c>
    </row>
    <row r="42" spans="1:8" ht="14.25" customHeight="1" x14ac:dyDescent="0.2">
      <c r="A42" s="649" t="str">
        <f t="shared" si="2"/>
        <v>AAAAAAAAAA</v>
      </c>
      <c r="B42" s="650"/>
      <c r="C42" s="77" t="s">
        <v>9360</v>
      </c>
      <c r="D42" s="77" t="s">
        <v>9360</v>
      </c>
      <c r="E42" s="74" t="str">
        <f>IF($A$32="","",IF(VLOOKUP($A41,Products!$A$59:$H$159,5,FALSE)="","",VLOOKUP($A41,Products!$A$59:$H$159,5,FALSE)))</f>
        <v/>
      </c>
      <c r="F42" s="46" t="str">
        <f>IF($A$32="","",IF(VLOOKUP($A41,Products!$A$59:$H$159,8,FALSE)="","",VLOOKUP($A41,Products!$A$59:$H$159,8,FALSE)))</f>
        <v/>
      </c>
      <c r="G42" s="46" t="str">
        <f t="shared" si="3"/>
        <v/>
      </c>
      <c r="H42" s="51" t="str">
        <f t="shared" si="4"/>
        <v/>
      </c>
    </row>
    <row r="43" spans="1:8" ht="14.25" customHeight="1" x14ac:dyDescent="0.2">
      <c r="A43" s="651"/>
      <c r="B43" s="615"/>
      <c r="C43" s="75"/>
      <c r="D43" s="76"/>
      <c r="E43" s="73" t="s">
        <v>291</v>
      </c>
      <c r="F43" s="46">
        <v>1</v>
      </c>
      <c r="G43" s="40"/>
      <c r="H43" s="47"/>
    </row>
    <row r="44" spans="1:8" x14ac:dyDescent="0.2">
      <c r="A44" s="627" t="str">
        <f>A43&amp;"A"</f>
        <v>A</v>
      </c>
      <c r="B44" s="628"/>
      <c r="C44" s="77" t="s">
        <v>9360</v>
      </c>
      <c r="D44" s="77" t="s">
        <v>9360</v>
      </c>
      <c r="E44" s="74" t="str">
        <f>IF($A$43="","",IF(VLOOKUP($A43,Products!$A$59:$H$159,5,FALSE)="","",VLOOKUP($A43,Products!$A$59:$H$159,5,FALSE)))</f>
        <v/>
      </c>
      <c r="F44" s="46" t="str">
        <f>IF($A$43="","",IF(VLOOKUP($A43,Products!$A$59:$H$159,8,FALSE)="","",VLOOKUP($A43,Products!$A$59:$H$159,8,FALSE)))</f>
        <v/>
      </c>
      <c r="G44" s="46" t="str">
        <f>IF($F44="","",$F44*$G$43)</f>
        <v/>
      </c>
      <c r="H44" s="51" t="str">
        <f>IF($F44="","",$F44*$H$43)</f>
        <v/>
      </c>
    </row>
    <row r="45" spans="1:8" x14ac:dyDescent="0.2">
      <c r="A45" s="649" t="str">
        <f t="shared" ref="A45:A53" si="5">A44&amp;"A"</f>
        <v>AA</v>
      </c>
      <c r="B45" s="650"/>
      <c r="C45" s="77" t="s">
        <v>9360</v>
      </c>
      <c r="D45" s="77" t="s">
        <v>9360</v>
      </c>
      <c r="E45" s="74" t="str">
        <f>IF($A$43="","",IF(VLOOKUP($A44,Products!$A$59:$H$159,5,FALSE)="","",VLOOKUP($A44,Products!$A$59:$H$159,5,FALSE)))</f>
        <v/>
      </c>
      <c r="F45" s="46" t="str">
        <f>IF($A$43="","",IF(VLOOKUP($A44,Products!$A$59:$H$159,8,FALSE)="","",VLOOKUP($A44,Products!$A$59:$H$159,8,FALSE)))</f>
        <v/>
      </c>
      <c r="G45" s="46" t="str">
        <f t="shared" ref="G45:G53" si="6">IF($F45="","",$F45*$G$43)</f>
        <v/>
      </c>
      <c r="H45" s="51" t="str">
        <f t="shared" ref="H45:H53" si="7">IF($F45="","",$F45*$H$43)</f>
        <v/>
      </c>
    </row>
    <row r="46" spans="1:8" x14ac:dyDescent="0.2">
      <c r="A46" s="649" t="str">
        <f t="shared" si="5"/>
        <v>AAA</v>
      </c>
      <c r="B46" s="650"/>
      <c r="C46" s="77" t="s">
        <v>9360</v>
      </c>
      <c r="D46" s="77" t="s">
        <v>9360</v>
      </c>
      <c r="E46" s="74" t="str">
        <f>IF($A$43="","",IF(VLOOKUP($A45,Products!$A$59:$H$159,5,FALSE)="","",VLOOKUP($A45,Products!$A$59:$H$159,5,FALSE)))</f>
        <v/>
      </c>
      <c r="F46" s="46" t="str">
        <f>IF($A$43="","",IF(VLOOKUP($A45,Products!$A$59:$H$159,8,FALSE)="","",VLOOKUP($A45,Products!$A$59:$H$159,8,FALSE)))</f>
        <v/>
      </c>
      <c r="G46" s="46" t="str">
        <f t="shared" si="6"/>
        <v/>
      </c>
      <c r="H46" s="51" t="str">
        <f t="shared" si="7"/>
        <v/>
      </c>
    </row>
    <row r="47" spans="1:8" x14ac:dyDescent="0.2">
      <c r="A47" s="649" t="str">
        <f t="shared" si="5"/>
        <v>AAAA</v>
      </c>
      <c r="B47" s="650"/>
      <c r="C47" s="77" t="s">
        <v>9360</v>
      </c>
      <c r="D47" s="77" t="s">
        <v>9360</v>
      </c>
      <c r="E47" s="74" t="str">
        <f>IF($A$43="","",IF(VLOOKUP($A46,Products!$A$59:$H$159,5,FALSE)="","",VLOOKUP($A46,Products!$A$59:$H$159,5,FALSE)))</f>
        <v/>
      </c>
      <c r="F47" s="46" t="str">
        <f>IF($A$43="","",IF(VLOOKUP($A46,Products!$A$59:$H$159,8,FALSE)="","",VLOOKUP($A46,Products!$A$59:$H$159,8,FALSE)))</f>
        <v/>
      </c>
      <c r="G47" s="46" t="str">
        <f t="shared" si="6"/>
        <v/>
      </c>
      <c r="H47" s="51" t="str">
        <f t="shared" si="7"/>
        <v/>
      </c>
    </row>
    <row r="48" spans="1:8" x14ac:dyDescent="0.2">
      <c r="A48" s="649" t="str">
        <f t="shared" si="5"/>
        <v>AAAAA</v>
      </c>
      <c r="B48" s="650"/>
      <c r="C48" s="77" t="s">
        <v>9360</v>
      </c>
      <c r="D48" s="77" t="s">
        <v>9360</v>
      </c>
      <c r="E48" s="74" t="str">
        <f>IF($A$43="","",IF(VLOOKUP($A47,Products!$A$59:$H$159,5,FALSE)="","",VLOOKUP($A47,Products!$A$59:$H$159,5,FALSE)))</f>
        <v/>
      </c>
      <c r="F48" s="46" t="str">
        <f>IF($A$43="","",IF(VLOOKUP($A47,Products!$A$59:$H$159,8,FALSE)="","",VLOOKUP($A47,Products!$A$59:$H$159,8,FALSE)))</f>
        <v/>
      </c>
      <c r="G48" s="46" t="str">
        <f t="shared" si="6"/>
        <v/>
      </c>
      <c r="H48" s="51" t="str">
        <f t="shared" si="7"/>
        <v/>
      </c>
    </row>
    <row r="49" spans="1:8" x14ac:dyDescent="0.2">
      <c r="A49" s="649" t="str">
        <f t="shared" si="5"/>
        <v>AAAAAA</v>
      </c>
      <c r="B49" s="650"/>
      <c r="C49" s="77" t="s">
        <v>9360</v>
      </c>
      <c r="D49" s="77" t="s">
        <v>9360</v>
      </c>
      <c r="E49" s="74" t="str">
        <f>IF($A$43="","",IF(VLOOKUP($A48,Products!$A$59:$H$159,5,FALSE)="","",VLOOKUP($A48,Products!$A$59:$H$159,5,FALSE)))</f>
        <v/>
      </c>
      <c r="F49" s="46" t="str">
        <f>IF($A$43="","",IF(VLOOKUP($A48,Products!$A$59:$H$159,8,FALSE)="","",VLOOKUP($A48,Products!$A$59:$H$159,8,FALSE)))</f>
        <v/>
      </c>
      <c r="G49" s="46" t="str">
        <f>IF($F49="","",$F49*$G$43)</f>
        <v/>
      </c>
      <c r="H49" s="51" t="str">
        <f>IF($F49="","",$F49*$H$43)</f>
        <v/>
      </c>
    </row>
    <row r="50" spans="1:8" x14ac:dyDescent="0.2">
      <c r="A50" s="649" t="str">
        <f t="shared" si="5"/>
        <v>AAAAAAA</v>
      </c>
      <c r="B50" s="650"/>
      <c r="C50" s="77" t="s">
        <v>9360</v>
      </c>
      <c r="D50" s="77" t="s">
        <v>9360</v>
      </c>
      <c r="E50" s="74" t="str">
        <f>IF($A$43="","",IF(VLOOKUP($A49,Products!$A$59:$H$159,5,FALSE)="","",VLOOKUP($A49,Products!$A$59:$H$159,5,FALSE)))</f>
        <v/>
      </c>
      <c r="F50" s="46" t="str">
        <f>IF($A$43="","",IF(VLOOKUP($A49,Products!$A$59:$H$159,8,FALSE)="","",VLOOKUP($A49,Products!$A$59:$H$159,8,FALSE)))</f>
        <v/>
      </c>
      <c r="G50" s="46" t="str">
        <f t="shared" si="6"/>
        <v/>
      </c>
      <c r="H50" s="51" t="str">
        <f t="shared" si="7"/>
        <v/>
      </c>
    </row>
    <row r="51" spans="1:8" x14ac:dyDescent="0.2">
      <c r="A51" s="649" t="str">
        <f t="shared" si="5"/>
        <v>AAAAAAAA</v>
      </c>
      <c r="B51" s="650"/>
      <c r="C51" s="77" t="s">
        <v>9360</v>
      </c>
      <c r="D51" s="77" t="s">
        <v>9360</v>
      </c>
      <c r="E51" s="74" t="str">
        <f>IF($A$43="","",IF(VLOOKUP($A50,Products!$A$59:$H$159,5,FALSE)="","",VLOOKUP($A50,Products!$A$59:$H$159,5,FALSE)))</f>
        <v/>
      </c>
      <c r="F51" s="46" t="str">
        <f>IF($A$43="","",IF(VLOOKUP($A50,Products!$A$59:$H$159,8,FALSE)="","",VLOOKUP($A50,Products!$A$59:$H$159,8,FALSE)))</f>
        <v/>
      </c>
      <c r="G51" s="46" t="str">
        <f t="shared" si="6"/>
        <v/>
      </c>
      <c r="H51" s="51" t="str">
        <f t="shared" si="7"/>
        <v/>
      </c>
    </row>
    <row r="52" spans="1:8" x14ac:dyDescent="0.2">
      <c r="A52" s="649" t="str">
        <f t="shared" si="5"/>
        <v>AAAAAAAAA</v>
      </c>
      <c r="B52" s="650"/>
      <c r="C52" s="77" t="s">
        <v>9360</v>
      </c>
      <c r="D52" s="77" t="s">
        <v>9360</v>
      </c>
      <c r="E52" s="74" t="str">
        <f>IF($A$43="","",IF(VLOOKUP($A51,Products!$A$59:$H$159,5,FALSE)="","",VLOOKUP($A51,Products!$A$59:$H$159,5,FALSE)))</f>
        <v/>
      </c>
      <c r="F52" s="46" t="str">
        <f>IF($A$43="","",IF(VLOOKUP($A51,Products!$A$59:$H$159,8,FALSE)="","",VLOOKUP($A51,Products!$A$59:$H$159,8,FALSE)))</f>
        <v/>
      </c>
      <c r="G52" s="46" t="str">
        <f t="shared" si="6"/>
        <v/>
      </c>
      <c r="H52" s="51" t="str">
        <f t="shared" si="7"/>
        <v/>
      </c>
    </row>
    <row r="53" spans="1:8" x14ac:dyDescent="0.2">
      <c r="A53" s="649" t="str">
        <f t="shared" si="5"/>
        <v>AAAAAAAAAA</v>
      </c>
      <c r="B53" s="650"/>
      <c r="C53" s="77" t="s">
        <v>9360</v>
      </c>
      <c r="D53" s="77" t="s">
        <v>9360</v>
      </c>
      <c r="E53" s="74" t="str">
        <f>IF($A$43="","",IF(VLOOKUP($A52,Products!$A$59:$H$159,5,FALSE)="","",VLOOKUP($A52,Products!$A$59:$H$159,5,FALSE)))</f>
        <v/>
      </c>
      <c r="F53" s="46" t="str">
        <f>IF($A$43="","",IF(VLOOKUP($A52,Products!$A$59:$H$159,8,FALSE)="","",VLOOKUP($A52,Products!$A$59:$H$159,8,FALSE)))</f>
        <v/>
      </c>
      <c r="G53" s="46" t="str">
        <f t="shared" si="6"/>
        <v/>
      </c>
      <c r="H53" s="51" t="str">
        <f t="shared" si="7"/>
        <v/>
      </c>
    </row>
    <row r="54" spans="1:8" ht="14.25" customHeight="1" x14ac:dyDescent="0.2">
      <c r="A54" s="651"/>
      <c r="B54" s="615"/>
      <c r="C54" s="75"/>
      <c r="D54" s="76"/>
      <c r="E54" s="73" t="s">
        <v>291</v>
      </c>
      <c r="F54" s="46">
        <v>1</v>
      </c>
      <c r="G54" s="40"/>
      <c r="H54" s="47"/>
    </row>
    <row r="55" spans="1:8" x14ac:dyDescent="0.2">
      <c r="A55" s="627" t="str">
        <f>A54&amp;"A"</f>
        <v>A</v>
      </c>
      <c r="B55" s="628"/>
      <c r="C55" s="77" t="s">
        <v>9360</v>
      </c>
      <c r="D55" s="77" t="s">
        <v>9360</v>
      </c>
      <c r="E55" s="74" t="str">
        <f>IF($A$54="","",IF(VLOOKUP($A54,Products!$A$59:$H$159,5,FALSE)="","",VLOOKUP($A54,Products!$A$59:$H$159,5,FALSE)))</f>
        <v/>
      </c>
      <c r="F55" s="46" t="str">
        <f>IF($A$54="","",IF(VLOOKUP($A54,Products!$A$59:$H$159,8,FALSE)="","",VLOOKUP($A54,Products!$A$59:$H$159,8,FALSE)))</f>
        <v/>
      </c>
      <c r="G55" s="46" t="str">
        <f>IF($F55="","",$F55*$G$54)</f>
        <v/>
      </c>
      <c r="H55" s="51" t="str">
        <f>IF($F55="","",$F55*$H$54)</f>
        <v/>
      </c>
    </row>
    <row r="56" spans="1:8" x14ac:dyDescent="0.2">
      <c r="A56" s="649" t="str">
        <f t="shared" ref="A56:A64" si="8">A55&amp;"A"</f>
        <v>AA</v>
      </c>
      <c r="B56" s="650"/>
      <c r="C56" s="77" t="s">
        <v>9360</v>
      </c>
      <c r="D56" s="77" t="s">
        <v>9360</v>
      </c>
      <c r="E56" s="74" t="str">
        <f>IF($A$54="","",IF(VLOOKUP($A55,Products!$A$59:$H$159,5,FALSE)="","",VLOOKUP($A55,Products!$A$59:$H$159,5,FALSE)))</f>
        <v/>
      </c>
      <c r="F56" s="46" t="str">
        <f>IF($A$54="","",IF(VLOOKUP($A55,Products!$A$59:$H$159,8,FALSE)="","",VLOOKUP($A55,Products!$A$59:$H$159,8,FALSE)))</f>
        <v/>
      </c>
      <c r="G56" s="46" t="str">
        <f t="shared" ref="G56:G64" si="9">IF($F56="","",$F56*$G$54)</f>
        <v/>
      </c>
      <c r="H56" s="51" t="str">
        <f t="shared" ref="H56:H64" si="10">IF($F56="","",$F56*$H$54)</f>
        <v/>
      </c>
    </row>
    <row r="57" spans="1:8" x14ac:dyDescent="0.2">
      <c r="A57" s="649" t="str">
        <f t="shared" si="8"/>
        <v>AAA</v>
      </c>
      <c r="B57" s="650"/>
      <c r="C57" s="77" t="s">
        <v>9360</v>
      </c>
      <c r="D57" s="77" t="s">
        <v>9360</v>
      </c>
      <c r="E57" s="74" t="str">
        <f>IF($A$54="","",IF(VLOOKUP($A56,Products!$A$59:$H$159,5,FALSE)="","",VLOOKUP($A56,Products!$A$59:$H$159,5,FALSE)))</f>
        <v/>
      </c>
      <c r="F57" s="46" t="str">
        <f>IF($A$54="","",IF(VLOOKUP($A56,Products!$A$59:$H$159,8,FALSE)="","",VLOOKUP($A56,Products!$A$59:$H$159,8,FALSE)))</f>
        <v/>
      </c>
      <c r="G57" s="46" t="str">
        <f t="shared" si="9"/>
        <v/>
      </c>
      <c r="H57" s="51" t="str">
        <f t="shared" si="10"/>
        <v/>
      </c>
    </row>
    <row r="58" spans="1:8" x14ac:dyDescent="0.2">
      <c r="A58" s="649" t="str">
        <f t="shared" si="8"/>
        <v>AAAA</v>
      </c>
      <c r="B58" s="650"/>
      <c r="C58" s="77" t="s">
        <v>9360</v>
      </c>
      <c r="D58" s="77" t="s">
        <v>9360</v>
      </c>
      <c r="E58" s="74" t="str">
        <f>IF($A$54="","",IF(VLOOKUP($A57,Products!$A$59:$H$159,5,FALSE)="","",VLOOKUP($A57,Products!$A$59:$H$159,5,FALSE)))</f>
        <v/>
      </c>
      <c r="F58" s="46" t="str">
        <f>IF($A$54="","",IF(VLOOKUP($A57,Products!$A$59:$H$159,8,FALSE)="","",VLOOKUP($A57,Products!$A$59:$H$159,8,FALSE)))</f>
        <v/>
      </c>
      <c r="G58" s="46" t="str">
        <f>IF($F58="","",$F58*$G$54)</f>
        <v/>
      </c>
      <c r="H58" s="51" t="str">
        <f t="shared" si="10"/>
        <v/>
      </c>
    </row>
    <row r="59" spans="1:8" x14ac:dyDescent="0.2">
      <c r="A59" s="649" t="str">
        <f t="shared" si="8"/>
        <v>AAAAA</v>
      </c>
      <c r="B59" s="650"/>
      <c r="C59" s="77" t="s">
        <v>9360</v>
      </c>
      <c r="D59" s="77" t="s">
        <v>9360</v>
      </c>
      <c r="E59" s="74" t="str">
        <f>IF($A$54="","",IF(VLOOKUP($A58,Products!$A$59:$H$159,5,FALSE)="","",VLOOKUP($A58,Products!$A$59:$H$159,5,FALSE)))</f>
        <v/>
      </c>
      <c r="F59" s="46" t="str">
        <f>IF($A$54="","",IF(VLOOKUP($A58,Products!$A$59:$H$159,8,FALSE)="","",VLOOKUP($A58,Products!$A$59:$H$159,8,FALSE)))</f>
        <v/>
      </c>
      <c r="G59" s="46" t="str">
        <f t="shared" si="9"/>
        <v/>
      </c>
      <c r="H59" s="51" t="str">
        <f t="shared" si="10"/>
        <v/>
      </c>
    </row>
    <row r="60" spans="1:8" x14ac:dyDescent="0.2">
      <c r="A60" s="649" t="str">
        <f t="shared" si="8"/>
        <v>AAAAAA</v>
      </c>
      <c r="B60" s="650"/>
      <c r="C60" s="77" t="s">
        <v>9360</v>
      </c>
      <c r="D60" s="77" t="s">
        <v>9360</v>
      </c>
      <c r="E60" s="74" t="str">
        <f>IF($A$54="","",IF(VLOOKUP($A59,Products!$A$59:$H$159,5,FALSE)="","",VLOOKUP($A59,Products!$A$59:$H$159,5,FALSE)))</f>
        <v/>
      </c>
      <c r="F60" s="46" t="str">
        <f>IF($A$54="","",IF(VLOOKUP($A59,Products!$A$59:$H$159,8,FALSE)="","",VLOOKUP($A59,Products!$A$59:$H$159,8,FALSE)))</f>
        <v/>
      </c>
      <c r="G60" s="46" t="str">
        <f t="shared" si="9"/>
        <v/>
      </c>
      <c r="H60" s="51" t="str">
        <f t="shared" si="10"/>
        <v/>
      </c>
    </row>
    <row r="61" spans="1:8" x14ac:dyDescent="0.2">
      <c r="A61" s="649" t="str">
        <f t="shared" si="8"/>
        <v>AAAAAAA</v>
      </c>
      <c r="B61" s="650"/>
      <c r="C61" s="77" t="s">
        <v>9360</v>
      </c>
      <c r="D61" s="77" t="s">
        <v>9360</v>
      </c>
      <c r="E61" s="74" t="str">
        <f>IF($A$54="","",IF(VLOOKUP($A60,Products!$A$59:$H$159,5,FALSE)="","",VLOOKUP($A60,Products!$A$59:$H$159,5,FALSE)))</f>
        <v/>
      </c>
      <c r="F61" s="46" t="str">
        <f>IF($A$54="","",IF(VLOOKUP($A60,Products!$A$59:$H$159,8,FALSE)="","",VLOOKUP($A60,Products!$A$59:$H$159,8,FALSE)))</f>
        <v/>
      </c>
      <c r="G61" s="46" t="str">
        <f t="shared" si="9"/>
        <v/>
      </c>
      <c r="H61" s="51" t="str">
        <f t="shared" si="10"/>
        <v/>
      </c>
    </row>
    <row r="62" spans="1:8" ht="14.25" customHeight="1" x14ac:dyDescent="0.2">
      <c r="A62" s="649" t="str">
        <f t="shared" si="8"/>
        <v>AAAAAAAA</v>
      </c>
      <c r="B62" s="650"/>
      <c r="C62" s="77" t="s">
        <v>9360</v>
      </c>
      <c r="D62" s="77" t="s">
        <v>9360</v>
      </c>
      <c r="E62" s="74" t="str">
        <f>IF($A$54="","",IF(VLOOKUP($A61,Products!$A$59:$H$159,5,FALSE)="","",VLOOKUP($A61,Products!$A$59:$H$159,5,FALSE)))</f>
        <v/>
      </c>
      <c r="F62" s="46" t="str">
        <f>IF($A$54="","",IF(VLOOKUP($A61,Products!$A$59:$H$159,8,FALSE)="","",VLOOKUP($A61,Products!$A$59:$H$159,8,FALSE)))</f>
        <v/>
      </c>
      <c r="G62" s="46" t="str">
        <f t="shared" si="9"/>
        <v/>
      </c>
      <c r="H62" s="51" t="str">
        <f t="shared" si="10"/>
        <v/>
      </c>
    </row>
    <row r="63" spans="1:8" ht="14.25" customHeight="1" x14ac:dyDescent="0.2">
      <c r="A63" s="649" t="str">
        <f t="shared" si="8"/>
        <v>AAAAAAAAA</v>
      </c>
      <c r="B63" s="650"/>
      <c r="C63" s="77" t="s">
        <v>9360</v>
      </c>
      <c r="D63" s="77" t="s">
        <v>9360</v>
      </c>
      <c r="E63" s="74" t="str">
        <f>IF($A$54="","",IF(VLOOKUP($A62,Products!$A$59:$H$159,5,FALSE)="","",VLOOKUP($A62,Products!$A$59:$H$159,5,FALSE)))</f>
        <v/>
      </c>
      <c r="F63" s="46" t="str">
        <f>IF($A$54="","",IF(VLOOKUP($A62,Products!$A$59:$H$159,8,FALSE)="","",VLOOKUP($A62,Products!$A$59:$H$159,8,FALSE)))</f>
        <v/>
      </c>
      <c r="G63" s="46" t="str">
        <f t="shared" si="9"/>
        <v/>
      </c>
      <c r="H63" s="51" t="str">
        <f t="shared" si="10"/>
        <v/>
      </c>
    </row>
    <row r="64" spans="1:8" ht="14.25" customHeight="1" x14ac:dyDescent="0.2">
      <c r="A64" s="649" t="str">
        <f t="shared" si="8"/>
        <v>AAAAAAAAAA</v>
      </c>
      <c r="B64" s="650"/>
      <c r="C64" s="77" t="s">
        <v>9360</v>
      </c>
      <c r="D64" s="77" t="s">
        <v>9360</v>
      </c>
      <c r="E64" s="74" t="str">
        <f>IF($A$54="","",IF(VLOOKUP($A63,Products!$A$59:$H$159,5,FALSE)="","",VLOOKUP($A63,Products!$A$59:$H$159,5,FALSE)))</f>
        <v/>
      </c>
      <c r="F64" s="46" t="str">
        <f>IF($A$54="","",IF(VLOOKUP($A63,Products!$A$59:$H$159,8,FALSE)="","",VLOOKUP($A63,Products!$A$59:$H$159,8,FALSE)))</f>
        <v/>
      </c>
      <c r="G64" s="46" t="str">
        <f t="shared" si="9"/>
        <v/>
      </c>
      <c r="H64" s="51" t="str">
        <f t="shared" si="10"/>
        <v/>
      </c>
    </row>
    <row r="65" spans="1:8" ht="14.25" customHeight="1" x14ac:dyDescent="0.2">
      <c r="A65" s="651"/>
      <c r="B65" s="615"/>
      <c r="C65" s="75"/>
      <c r="D65" s="76"/>
      <c r="E65" s="73" t="s">
        <v>291</v>
      </c>
      <c r="F65" s="46">
        <v>1</v>
      </c>
      <c r="G65" s="40"/>
      <c r="H65" s="47"/>
    </row>
    <row r="66" spans="1:8" x14ac:dyDescent="0.2">
      <c r="A66" s="627" t="str">
        <f>A65&amp;"A"</f>
        <v>A</v>
      </c>
      <c r="B66" s="628"/>
      <c r="C66" s="77" t="s">
        <v>9360</v>
      </c>
      <c r="D66" s="77" t="s">
        <v>9360</v>
      </c>
      <c r="E66" s="74" t="str">
        <f>IF($A$65="","",IF(VLOOKUP($A65,Products!$A$59:$H$159,5,FALSE)="","",VLOOKUP($A65,Products!$A$59:$H$159,5,FALSE)))</f>
        <v/>
      </c>
      <c r="F66" s="46" t="str">
        <f>IF($A$65="","",IF(VLOOKUP($A65,Products!$A$59:$H$159,8,FALSE)="","",VLOOKUP($A65,Products!$A$59:$H$159,8,FALSE)))</f>
        <v/>
      </c>
      <c r="G66" s="46" t="str">
        <f>IF($F66="","",$F66*$G$65)</f>
        <v/>
      </c>
      <c r="H66" s="51" t="str">
        <f>IF($F66="","",$F66*$H$65)</f>
        <v/>
      </c>
    </row>
    <row r="67" spans="1:8" x14ac:dyDescent="0.2">
      <c r="A67" s="649" t="str">
        <f t="shared" ref="A67:A75" si="11">A66&amp;"A"</f>
        <v>AA</v>
      </c>
      <c r="B67" s="650"/>
      <c r="C67" s="77" t="s">
        <v>9360</v>
      </c>
      <c r="D67" s="77" t="s">
        <v>9360</v>
      </c>
      <c r="E67" s="74" t="str">
        <f>IF($A$65="","",IF(VLOOKUP($A66,Products!$A$59:$H$159,5,FALSE)="","",VLOOKUP($A66,Products!$A$59:$H$159,5,FALSE)))</f>
        <v/>
      </c>
      <c r="F67" s="46" t="str">
        <f>IF($A$65="","",IF(VLOOKUP($A66,Products!$A$59:$H$159,8,FALSE)="","",VLOOKUP($A66,Products!$A$59:$H$159,8,FALSE)))</f>
        <v/>
      </c>
      <c r="G67" s="46" t="str">
        <f t="shared" ref="G67:G75" si="12">IF($F67="","",$F67*$G$65)</f>
        <v/>
      </c>
      <c r="H67" s="51" t="str">
        <f t="shared" ref="H67:H75" si="13">IF($F67="","",$F67*$H$65)</f>
        <v/>
      </c>
    </row>
    <row r="68" spans="1:8" x14ac:dyDescent="0.2">
      <c r="A68" s="649" t="str">
        <f t="shared" si="11"/>
        <v>AAA</v>
      </c>
      <c r="B68" s="650"/>
      <c r="C68" s="77" t="s">
        <v>9360</v>
      </c>
      <c r="D68" s="77" t="s">
        <v>9360</v>
      </c>
      <c r="E68" s="74" t="str">
        <f>IF($A$65="","",IF(VLOOKUP($A67,Products!$A$59:$H$159,5,FALSE)="","",VLOOKUP($A67,Products!$A$59:$H$159,5,FALSE)))</f>
        <v/>
      </c>
      <c r="F68" s="46" t="str">
        <f>IF($A$65="","",IF(VLOOKUP($A67,Products!$A$59:$H$159,8,FALSE)="","",VLOOKUP($A67,Products!$A$59:$H$159,8,FALSE)))</f>
        <v/>
      </c>
      <c r="G68" s="46" t="str">
        <f t="shared" si="12"/>
        <v/>
      </c>
      <c r="H68" s="51" t="str">
        <f t="shared" si="13"/>
        <v/>
      </c>
    </row>
    <row r="69" spans="1:8" x14ac:dyDescent="0.2">
      <c r="A69" s="649" t="str">
        <f t="shared" si="11"/>
        <v>AAAA</v>
      </c>
      <c r="B69" s="650"/>
      <c r="C69" s="77" t="s">
        <v>9360</v>
      </c>
      <c r="D69" s="77" t="s">
        <v>9360</v>
      </c>
      <c r="E69" s="74" t="str">
        <f>IF($A$65="","",IF(VLOOKUP($A68,Products!$A$59:$H$159,5,FALSE)="","",VLOOKUP($A68,Products!$A$59:$H$159,5,FALSE)))</f>
        <v/>
      </c>
      <c r="F69" s="46" t="str">
        <f>IF($A$65="","",IF(VLOOKUP($A68,Products!$A$59:$H$159,8,FALSE)="","",VLOOKUP($A68,Products!$A$59:$H$159,8,FALSE)))</f>
        <v/>
      </c>
      <c r="G69" s="46" t="str">
        <f>IF($F69="","",$F69*$G$65)</f>
        <v/>
      </c>
      <c r="H69" s="51" t="str">
        <f>IF($F69="","",$F69*$H$65)</f>
        <v/>
      </c>
    </row>
    <row r="70" spans="1:8" x14ac:dyDescent="0.2">
      <c r="A70" s="649" t="str">
        <f t="shared" si="11"/>
        <v>AAAAA</v>
      </c>
      <c r="B70" s="650"/>
      <c r="C70" s="77" t="s">
        <v>9360</v>
      </c>
      <c r="D70" s="77" t="s">
        <v>9360</v>
      </c>
      <c r="E70" s="74" t="str">
        <f>IF($A$65="","",IF(VLOOKUP($A69,Products!$A$59:$H$159,5,FALSE)="","",VLOOKUP($A69,Products!$A$59:$H$159,5,FALSE)))</f>
        <v/>
      </c>
      <c r="F70" s="46" t="str">
        <f>IF($A$65="","",IF(VLOOKUP($A69,Products!$A$59:$H$159,8,FALSE)="","",VLOOKUP($A69,Products!$A$59:$H$159,8,FALSE)))</f>
        <v/>
      </c>
      <c r="G70" s="46" t="str">
        <f t="shared" si="12"/>
        <v/>
      </c>
      <c r="H70" s="51" t="str">
        <f t="shared" si="13"/>
        <v/>
      </c>
    </row>
    <row r="71" spans="1:8" x14ac:dyDescent="0.2">
      <c r="A71" s="649" t="str">
        <f t="shared" si="11"/>
        <v>AAAAAA</v>
      </c>
      <c r="B71" s="650"/>
      <c r="C71" s="77" t="s">
        <v>9360</v>
      </c>
      <c r="D71" s="77" t="s">
        <v>9360</v>
      </c>
      <c r="E71" s="74" t="str">
        <f>IF($A$65="","",IF(VLOOKUP($A70,Products!$A$59:$H$159,5,FALSE)="","",VLOOKUP($A70,Products!$A$59:$H$159,5,FALSE)))</f>
        <v/>
      </c>
      <c r="F71" s="46" t="str">
        <f>IF($A$65="","",IF(VLOOKUP($A70,Products!$A$59:$H$159,8,FALSE)="","",VLOOKUP($A70,Products!$A$59:$H$159,8,FALSE)))</f>
        <v/>
      </c>
      <c r="G71" s="46" t="str">
        <f t="shared" si="12"/>
        <v/>
      </c>
      <c r="H71" s="51" t="str">
        <f t="shared" si="13"/>
        <v/>
      </c>
    </row>
    <row r="72" spans="1:8" x14ac:dyDescent="0.2">
      <c r="A72" s="649" t="str">
        <f t="shared" si="11"/>
        <v>AAAAAAA</v>
      </c>
      <c r="B72" s="650"/>
      <c r="C72" s="77" t="s">
        <v>9360</v>
      </c>
      <c r="D72" s="77" t="s">
        <v>9360</v>
      </c>
      <c r="E72" s="74" t="str">
        <f>IF($A$65="","",IF(VLOOKUP($A71,Products!$A$59:$H$159,5,FALSE)="","",VLOOKUP($A71,Products!$A$59:$H$159,5,FALSE)))</f>
        <v/>
      </c>
      <c r="F72" s="46" t="str">
        <f>IF($A$65="","",IF(VLOOKUP($A71,Products!$A$59:$H$159,8,FALSE)="","",VLOOKUP($A71,Products!$A$59:$H$159,8,FALSE)))</f>
        <v/>
      </c>
      <c r="G72" s="46" t="str">
        <f t="shared" si="12"/>
        <v/>
      </c>
      <c r="H72" s="51" t="str">
        <f t="shared" si="13"/>
        <v/>
      </c>
    </row>
    <row r="73" spans="1:8" x14ac:dyDescent="0.2">
      <c r="A73" s="649" t="str">
        <f t="shared" si="11"/>
        <v>AAAAAAAA</v>
      </c>
      <c r="B73" s="650"/>
      <c r="C73" s="77" t="s">
        <v>9360</v>
      </c>
      <c r="D73" s="77" t="s">
        <v>9360</v>
      </c>
      <c r="E73" s="74" t="str">
        <f>IF($A$65="","",IF(VLOOKUP($A72,Products!$A$59:$H$159,5,FALSE)="","",VLOOKUP($A72,Products!$A$59:$H$159,5,FALSE)))</f>
        <v/>
      </c>
      <c r="F73" s="46" t="str">
        <f>IF($A$65="","",IF(VLOOKUP($A72,Products!$A$59:$H$159,8,FALSE)="","",VLOOKUP($A72,Products!$A$59:$H$159,8,FALSE)))</f>
        <v/>
      </c>
      <c r="G73" s="46" t="str">
        <f>IF($F73="","",$F73*$G$65)</f>
        <v/>
      </c>
      <c r="H73" s="51" t="str">
        <f>IF($F73="","",$F73*$H$65)</f>
        <v/>
      </c>
    </row>
    <row r="74" spans="1:8" x14ac:dyDescent="0.2">
      <c r="A74" s="649" t="str">
        <f t="shared" si="11"/>
        <v>AAAAAAAAA</v>
      </c>
      <c r="B74" s="650"/>
      <c r="C74" s="77" t="s">
        <v>9360</v>
      </c>
      <c r="D74" s="77" t="s">
        <v>9360</v>
      </c>
      <c r="E74" s="74" t="str">
        <f>IF($A$65="","",IF(VLOOKUP($A73,Products!$A$59:$H$159,5,FALSE)="","",VLOOKUP($A73,Products!$A$59:$H$159,5,FALSE)))</f>
        <v/>
      </c>
      <c r="F74" s="46" t="str">
        <f>IF($A$65="","",IF(VLOOKUP($A73,Products!$A$59:$H$159,8,FALSE)="","",VLOOKUP($A73,Products!$A$59:$H$159,8,FALSE)))</f>
        <v/>
      </c>
      <c r="G74" s="46" t="str">
        <f t="shared" si="12"/>
        <v/>
      </c>
      <c r="H74" s="51" t="str">
        <f t="shared" si="13"/>
        <v/>
      </c>
    </row>
    <row r="75" spans="1:8" x14ac:dyDescent="0.2">
      <c r="A75" s="649" t="str">
        <f t="shared" si="11"/>
        <v>AAAAAAAAAA</v>
      </c>
      <c r="B75" s="650"/>
      <c r="C75" s="77" t="s">
        <v>9360</v>
      </c>
      <c r="D75" s="77" t="s">
        <v>9360</v>
      </c>
      <c r="E75" s="74" t="str">
        <f>IF($A$65="","",IF(VLOOKUP($A74,Products!$A$59:$H$159,5,FALSE)="","",VLOOKUP($A74,Products!$A$59:$H$159,5,FALSE)))</f>
        <v/>
      </c>
      <c r="F75" s="46" t="str">
        <f>IF($A$65="","",IF(VLOOKUP($A74,Products!$A$59:$H$159,8,FALSE)="","",VLOOKUP($A74,Products!$A$59:$H$159,8,FALSE)))</f>
        <v/>
      </c>
      <c r="G75" s="46" t="str">
        <f t="shared" si="12"/>
        <v/>
      </c>
      <c r="H75" s="51" t="str">
        <f t="shared" si="13"/>
        <v/>
      </c>
    </row>
    <row r="76" spans="1:8" ht="14.25" customHeight="1" x14ac:dyDescent="0.2">
      <c r="A76" s="651"/>
      <c r="B76" s="615"/>
      <c r="C76" s="75"/>
      <c r="D76" s="76"/>
      <c r="E76" s="73" t="s">
        <v>291</v>
      </c>
      <c r="F76" s="46">
        <v>1</v>
      </c>
      <c r="G76" s="40"/>
      <c r="H76" s="47"/>
    </row>
    <row r="77" spans="1:8" x14ac:dyDescent="0.2">
      <c r="A77" s="627" t="str">
        <f>A76&amp;"A"</f>
        <v>A</v>
      </c>
      <c r="B77" s="628"/>
      <c r="C77" s="77" t="s">
        <v>9360</v>
      </c>
      <c r="D77" s="77" t="s">
        <v>9360</v>
      </c>
      <c r="E77" s="74" t="str">
        <f>IF($A$76="","",IF(VLOOKUP($A76,Products!$A$59:$H$159,5,FALSE)="","",VLOOKUP($A76,Products!$A$59:$H$159,5,FALSE)))</f>
        <v/>
      </c>
      <c r="F77" s="46" t="str">
        <f>IF($A$76="","",IF(VLOOKUP($A76,Products!$A$59:$H$159,8,FALSE)="","",VLOOKUP($A76,Products!$A$59:$H$159,8,FALSE)))</f>
        <v/>
      </c>
      <c r="G77" s="46" t="str">
        <f>IF($F77="","",$F77*$G$76)</f>
        <v/>
      </c>
      <c r="H77" s="51" t="str">
        <f>IF($F77="","",$F77*$H$76)</f>
        <v/>
      </c>
    </row>
    <row r="78" spans="1:8" x14ac:dyDescent="0.2">
      <c r="A78" s="649" t="str">
        <f t="shared" ref="A78:A86" si="14">A77&amp;"A"</f>
        <v>AA</v>
      </c>
      <c r="B78" s="650"/>
      <c r="C78" s="77" t="s">
        <v>9360</v>
      </c>
      <c r="D78" s="77" t="s">
        <v>9360</v>
      </c>
      <c r="E78" s="74" t="str">
        <f>IF($A$76="","",IF(VLOOKUP($A77,Products!$A$59:$H$159,5,FALSE)="","",VLOOKUP($A77,Products!$A$59:$H$159,5,FALSE)))</f>
        <v/>
      </c>
      <c r="F78" s="46" t="str">
        <f>IF($A$76="","",IF(VLOOKUP($A77,Products!$A$59:$H$159,8,FALSE)="","",VLOOKUP($A77,Products!$A$59:$H$159,8,FALSE)))</f>
        <v/>
      </c>
      <c r="G78" s="46" t="str">
        <f t="shared" ref="G78:G86" si="15">IF($F78="","",$F78*$G$76)</f>
        <v/>
      </c>
      <c r="H78" s="51" t="str">
        <f t="shared" ref="H78:H86" si="16">IF($F78="","",$F78*$H$76)</f>
        <v/>
      </c>
    </row>
    <row r="79" spans="1:8" x14ac:dyDescent="0.2">
      <c r="A79" s="649" t="str">
        <f t="shared" si="14"/>
        <v>AAA</v>
      </c>
      <c r="B79" s="650"/>
      <c r="C79" s="77" t="s">
        <v>9360</v>
      </c>
      <c r="D79" s="77" t="s">
        <v>9360</v>
      </c>
      <c r="E79" s="74" t="str">
        <f>IF($A$76="","",IF(VLOOKUP($A78,Products!$A$59:$H$159,5,FALSE)="","",VLOOKUP($A78,Products!$A$59:$H$159,5,FALSE)))</f>
        <v/>
      </c>
      <c r="F79" s="46" t="str">
        <f>IF($A$76="","",IF(VLOOKUP($A78,Products!$A$59:$H$159,8,FALSE)="","",VLOOKUP($A78,Products!$A$59:$H$159,8,FALSE)))</f>
        <v/>
      </c>
      <c r="G79" s="46" t="str">
        <f t="shared" si="15"/>
        <v/>
      </c>
      <c r="H79" s="51" t="str">
        <f t="shared" si="16"/>
        <v/>
      </c>
    </row>
    <row r="80" spans="1:8" x14ac:dyDescent="0.2">
      <c r="A80" s="649" t="str">
        <f t="shared" si="14"/>
        <v>AAAA</v>
      </c>
      <c r="B80" s="650"/>
      <c r="C80" s="77" t="s">
        <v>9360</v>
      </c>
      <c r="D80" s="77" t="s">
        <v>9360</v>
      </c>
      <c r="E80" s="74" t="str">
        <f>IF($A$76="","",IF(VLOOKUP($A79,Products!$A$59:$H$159,5,FALSE)="","",VLOOKUP($A79,Products!$A$59:$H$159,5,FALSE)))</f>
        <v/>
      </c>
      <c r="F80" s="46" t="str">
        <f>IF($A$76="","",IF(VLOOKUP($A79,Products!$A$59:$H$159,8,FALSE)="","",VLOOKUP($A79,Products!$A$59:$H$159,8,FALSE)))</f>
        <v/>
      </c>
      <c r="G80" s="46" t="str">
        <f t="shared" si="15"/>
        <v/>
      </c>
      <c r="H80" s="51" t="str">
        <f t="shared" si="16"/>
        <v/>
      </c>
    </row>
    <row r="81" spans="1:8" x14ac:dyDescent="0.2">
      <c r="A81" s="649" t="str">
        <f t="shared" si="14"/>
        <v>AAAAA</v>
      </c>
      <c r="B81" s="650"/>
      <c r="C81" s="77" t="s">
        <v>9360</v>
      </c>
      <c r="D81" s="77" t="s">
        <v>9360</v>
      </c>
      <c r="E81" s="74" t="str">
        <f>IF($A$76="","",IF(VLOOKUP($A80,Products!$A$59:$H$159,5,FALSE)="","",VLOOKUP($A80,Products!$A$59:$H$159,5,FALSE)))</f>
        <v/>
      </c>
      <c r="F81" s="46" t="str">
        <f>IF($A$76="","",IF(VLOOKUP($A80,Products!$A$59:$H$159,8,FALSE)="","",VLOOKUP($A80,Products!$A$59:$H$159,8,FALSE)))</f>
        <v/>
      </c>
      <c r="G81" s="46" t="str">
        <f t="shared" si="15"/>
        <v/>
      </c>
      <c r="H81" s="51" t="str">
        <f t="shared" si="16"/>
        <v/>
      </c>
    </row>
    <row r="82" spans="1:8" x14ac:dyDescent="0.2">
      <c r="A82" s="649" t="str">
        <f t="shared" si="14"/>
        <v>AAAAAA</v>
      </c>
      <c r="B82" s="650"/>
      <c r="C82" s="77" t="s">
        <v>9360</v>
      </c>
      <c r="D82" s="77" t="s">
        <v>9360</v>
      </c>
      <c r="E82" s="74" t="str">
        <f>IF($A$76="","",IF(VLOOKUP($A81,Products!$A$59:$H$159,5,FALSE)="","",VLOOKUP($A81,Products!$A$59:$H$159,5,FALSE)))</f>
        <v/>
      </c>
      <c r="F82" s="46" t="str">
        <f>IF($A$76="","",IF(VLOOKUP($A81,Products!$A$59:$H$159,8,FALSE)="","",VLOOKUP($A81,Products!$A$59:$H$159,8,FALSE)))</f>
        <v/>
      </c>
      <c r="G82" s="46" t="str">
        <f t="shared" si="15"/>
        <v/>
      </c>
      <c r="H82" s="51" t="str">
        <f t="shared" si="16"/>
        <v/>
      </c>
    </row>
    <row r="83" spans="1:8" x14ac:dyDescent="0.2">
      <c r="A83" s="649" t="str">
        <f t="shared" si="14"/>
        <v>AAAAAAA</v>
      </c>
      <c r="B83" s="650"/>
      <c r="C83" s="77" t="s">
        <v>9360</v>
      </c>
      <c r="D83" s="77" t="s">
        <v>9360</v>
      </c>
      <c r="E83" s="74" t="str">
        <f>IF($A$76="","",IF(VLOOKUP($A82,Products!$A$59:$H$159,5,FALSE)="","",VLOOKUP($A82,Products!$A$59:$H$159,5,FALSE)))</f>
        <v/>
      </c>
      <c r="F83" s="46" t="str">
        <f>IF($A$76="","",IF(VLOOKUP($A82,Products!$A$59:$H$159,8,FALSE)="","",VLOOKUP($A82,Products!$A$59:$H$159,8,FALSE)))</f>
        <v/>
      </c>
      <c r="G83" s="46" t="str">
        <f t="shared" si="15"/>
        <v/>
      </c>
      <c r="H83" s="51" t="str">
        <f t="shared" si="16"/>
        <v/>
      </c>
    </row>
    <row r="84" spans="1:8" x14ac:dyDescent="0.2">
      <c r="A84" s="649" t="str">
        <f t="shared" si="14"/>
        <v>AAAAAAAA</v>
      </c>
      <c r="B84" s="650"/>
      <c r="C84" s="77" t="s">
        <v>9360</v>
      </c>
      <c r="D84" s="77" t="s">
        <v>9360</v>
      </c>
      <c r="E84" s="74" t="str">
        <f>IF($A$76="","",IF(VLOOKUP($A83,Products!$A$59:$H$159,5,FALSE)="","",VLOOKUP($A83,Products!$A$59:$H$159,5,FALSE)))</f>
        <v/>
      </c>
      <c r="F84" s="46" t="str">
        <f>IF($A$76="","",IF(VLOOKUP($A83,Products!$A$59:$H$159,8,FALSE)="","",VLOOKUP($A83,Products!$A$59:$H$159,8,FALSE)))</f>
        <v/>
      </c>
      <c r="G84" s="46" t="str">
        <f t="shared" si="15"/>
        <v/>
      </c>
      <c r="H84" s="51" t="str">
        <f t="shared" si="16"/>
        <v/>
      </c>
    </row>
    <row r="85" spans="1:8" ht="14.25" customHeight="1" x14ac:dyDescent="0.2">
      <c r="A85" s="649" t="str">
        <f t="shared" si="14"/>
        <v>AAAAAAAAA</v>
      </c>
      <c r="B85" s="650"/>
      <c r="C85" s="77" t="s">
        <v>9360</v>
      </c>
      <c r="D85" s="77" t="s">
        <v>9360</v>
      </c>
      <c r="E85" s="74" t="str">
        <f>IF($A$76="","",IF(VLOOKUP($A84,Products!$A$59:$H$159,5,FALSE)="","",VLOOKUP($A84,Products!$A$59:$H$159,5,FALSE)))</f>
        <v/>
      </c>
      <c r="F85" s="46" t="str">
        <f>IF($A$76="","",IF(VLOOKUP($A84,Products!$A$59:$H$159,8,FALSE)="","",VLOOKUP($A84,Products!$A$59:$H$159,8,FALSE)))</f>
        <v/>
      </c>
      <c r="G85" s="46" t="str">
        <f t="shared" si="15"/>
        <v/>
      </c>
      <c r="H85" s="51" t="str">
        <f t="shared" si="16"/>
        <v/>
      </c>
    </row>
    <row r="86" spans="1:8" ht="14.25" customHeight="1" x14ac:dyDescent="0.2">
      <c r="A86" s="649" t="str">
        <f t="shared" si="14"/>
        <v>AAAAAAAAAA</v>
      </c>
      <c r="B86" s="650"/>
      <c r="C86" s="77" t="s">
        <v>9360</v>
      </c>
      <c r="D86" s="77" t="s">
        <v>9360</v>
      </c>
      <c r="E86" s="74" t="str">
        <f>IF($A$76="","",IF(VLOOKUP($A85,Products!$A$59:$H$159,5,FALSE)="","",VLOOKUP($A85,Products!$A$59:$H$159,5,FALSE)))</f>
        <v/>
      </c>
      <c r="F86" s="46" t="str">
        <f>IF($A$76="","",IF(VLOOKUP($A85,Products!$A$59:$H$159,8,FALSE)="","",VLOOKUP($A85,Products!$A$59:$H$159,8,FALSE)))</f>
        <v/>
      </c>
      <c r="G86" s="46" t="str">
        <f t="shared" si="15"/>
        <v/>
      </c>
      <c r="H86" s="51" t="str">
        <f t="shared" si="16"/>
        <v/>
      </c>
    </row>
    <row r="87" spans="1:8" ht="14.25" customHeight="1" x14ac:dyDescent="0.2">
      <c r="A87" s="651"/>
      <c r="B87" s="615"/>
      <c r="C87" s="75"/>
      <c r="D87" s="76"/>
      <c r="E87" s="73" t="s">
        <v>291</v>
      </c>
      <c r="F87" s="46">
        <v>1</v>
      </c>
      <c r="G87" s="40"/>
      <c r="H87" s="47"/>
    </row>
    <row r="88" spans="1:8" x14ac:dyDescent="0.2">
      <c r="A88" s="627" t="str">
        <f>A87&amp;"A"</f>
        <v>A</v>
      </c>
      <c r="B88" s="628"/>
      <c r="C88" s="77" t="s">
        <v>9360</v>
      </c>
      <c r="D88" s="77" t="s">
        <v>9360</v>
      </c>
      <c r="E88" s="74" t="str">
        <f>IF($A$87="","",IF(VLOOKUP($A87,Products!$A$59:$H$159,5,FALSE)="","",VLOOKUP($A87,Products!$A$59:$H$159,5,FALSE)))</f>
        <v/>
      </c>
      <c r="F88" s="46" t="str">
        <f>IF($A$87="","",IF(VLOOKUP($A87,Products!$A$59:$H$159,8,FALSE)="","",VLOOKUP($A87,Products!$A$59:$H$159,8,FALSE)))</f>
        <v/>
      </c>
      <c r="G88" s="46" t="str">
        <f>IF($F88="","",$F88*$G$87)</f>
        <v/>
      </c>
      <c r="H88" s="51" t="str">
        <f>IF($F88="","",$F88*$H$87)</f>
        <v/>
      </c>
    </row>
    <row r="89" spans="1:8" x14ac:dyDescent="0.2">
      <c r="A89" s="649" t="str">
        <f t="shared" ref="A89:A97" si="17">A88&amp;"A"</f>
        <v>AA</v>
      </c>
      <c r="B89" s="650"/>
      <c r="C89" s="77" t="s">
        <v>9360</v>
      </c>
      <c r="D89" s="77" t="s">
        <v>9360</v>
      </c>
      <c r="E89" s="74" t="str">
        <f>IF($A$87="","",IF(VLOOKUP($A88,Products!$A$59:$H$159,5,FALSE)="","",VLOOKUP($A88,Products!$A$59:$H$159,5,FALSE)))</f>
        <v/>
      </c>
      <c r="F89" s="46" t="str">
        <f>IF($A$87="","",IF(VLOOKUP($A88,Products!$A$59:$H$159,8,FALSE)="","",VLOOKUP($A88,Products!$A$59:$H$159,8,FALSE)))</f>
        <v/>
      </c>
      <c r="G89" s="46" t="str">
        <f t="shared" ref="G89:G97" si="18">IF($F89="","",$F89*$G$87)</f>
        <v/>
      </c>
      <c r="H89" s="51" t="str">
        <f t="shared" ref="H89:H97" si="19">IF($F89="","",$F89*$H$87)</f>
        <v/>
      </c>
    </row>
    <row r="90" spans="1:8" x14ac:dyDescent="0.2">
      <c r="A90" s="649" t="str">
        <f t="shared" si="17"/>
        <v>AAA</v>
      </c>
      <c r="B90" s="650"/>
      <c r="C90" s="77" t="s">
        <v>9360</v>
      </c>
      <c r="D90" s="77" t="s">
        <v>9360</v>
      </c>
      <c r="E90" s="74" t="str">
        <f>IF($A$87="","",IF(VLOOKUP($A89,Products!$A$59:$H$159,5,FALSE)="","",VLOOKUP($A89,Products!$A$59:$H$159,5,FALSE)))</f>
        <v/>
      </c>
      <c r="F90" s="46" t="str">
        <f>IF($A$87="","",IF(VLOOKUP($A89,Products!$A$59:$H$159,8,FALSE)="","",VLOOKUP($A89,Products!$A$59:$H$159,8,FALSE)))</f>
        <v/>
      </c>
      <c r="G90" s="46" t="str">
        <f t="shared" si="18"/>
        <v/>
      </c>
      <c r="H90" s="51" t="str">
        <f t="shared" si="19"/>
        <v/>
      </c>
    </row>
    <row r="91" spans="1:8" x14ac:dyDescent="0.2">
      <c r="A91" s="649" t="str">
        <f t="shared" si="17"/>
        <v>AAAA</v>
      </c>
      <c r="B91" s="650"/>
      <c r="C91" s="77" t="s">
        <v>9360</v>
      </c>
      <c r="D91" s="77" t="s">
        <v>9360</v>
      </c>
      <c r="E91" s="74" t="str">
        <f>IF($A$87="","",IF(VLOOKUP($A90,Products!$A$59:$H$159,5,FALSE)="","",VLOOKUP($A90,Products!$A$59:$H$159,5,FALSE)))</f>
        <v/>
      </c>
      <c r="F91" s="46" t="str">
        <f>IF($A$87="","",IF(VLOOKUP($A90,Products!$A$59:$H$159,8,FALSE)="","",VLOOKUP($A90,Products!$A$59:$H$159,8,FALSE)))</f>
        <v/>
      </c>
      <c r="G91" s="46" t="str">
        <f t="shared" si="18"/>
        <v/>
      </c>
      <c r="H91" s="51" t="str">
        <f t="shared" si="19"/>
        <v/>
      </c>
    </row>
    <row r="92" spans="1:8" x14ac:dyDescent="0.2">
      <c r="A92" s="649" t="str">
        <f t="shared" si="17"/>
        <v>AAAAA</v>
      </c>
      <c r="B92" s="650"/>
      <c r="C92" s="77" t="s">
        <v>9360</v>
      </c>
      <c r="D92" s="77" t="s">
        <v>9360</v>
      </c>
      <c r="E92" s="74" t="str">
        <f>IF($A$87="","",IF(VLOOKUP($A91,Products!$A$59:$H$159,5,FALSE)="","",VLOOKUP($A91,Products!$A$59:$H$159,5,FALSE)))</f>
        <v/>
      </c>
      <c r="F92" s="46" t="str">
        <f>IF($A$87="","",IF(VLOOKUP($A91,Products!$A$59:$H$159,8,FALSE)="","",VLOOKUP($A91,Products!$A$59:$H$159,8,FALSE)))</f>
        <v/>
      </c>
      <c r="G92" s="46" t="str">
        <f t="shared" si="18"/>
        <v/>
      </c>
      <c r="H92" s="51" t="str">
        <f t="shared" si="19"/>
        <v/>
      </c>
    </row>
    <row r="93" spans="1:8" x14ac:dyDescent="0.2">
      <c r="A93" s="649" t="str">
        <f t="shared" si="17"/>
        <v>AAAAAA</v>
      </c>
      <c r="B93" s="650"/>
      <c r="C93" s="77" t="s">
        <v>9360</v>
      </c>
      <c r="D93" s="77" t="s">
        <v>9360</v>
      </c>
      <c r="E93" s="74" t="str">
        <f>IF($A$87="","",IF(VLOOKUP($A92,Products!$A$59:$H$159,5,FALSE)="","",VLOOKUP($A92,Products!$A$59:$H$159,5,FALSE)))</f>
        <v/>
      </c>
      <c r="F93" s="46" t="str">
        <f>IF($A$87="","",IF(VLOOKUP($A92,Products!$A$59:$H$159,8,FALSE)="","",VLOOKUP($A92,Products!$A$59:$H$159,8,FALSE)))</f>
        <v/>
      </c>
      <c r="G93" s="46" t="str">
        <f t="shared" si="18"/>
        <v/>
      </c>
      <c r="H93" s="51" t="str">
        <f t="shared" si="19"/>
        <v/>
      </c>
    </row>
    <row r="94" spans="1:8" x14ac:dyDescent="0.2">
      <c r="A94" s="649" t="str">
        <f t="shared" si="17"/>
        <v>AAAAAAA</v>
      </c>
      <c r="B94" s="650"/>
      <c r="C94" s="77" t="s">
        <v>9360</v>
      </c>
      <c r="D94" s="77" t="s">
        <v>9360</v>
      </c>
      <c r="E94" s="74" t="str">
        <f>IF($A$87="","",IF(VLOOKUP($A93,Products!$A$59:$H$159,5,FALSE)="","",VLOOKUP($A93,Products!$A$59:$H$159,5,FALSE)))</f>
        <v/>
      </c>
      <c r="F94" s="46" t="str">
        <f>IF($A$87="","",IF(VLOOKUP($A93,Products!$A$59:$H$159,8,FALSE)="","",VLOOKUP($A93,Products!$A$59:$H$159,8,FALSE)))</f>
        <v/>
      </c>
      <c r="G94" s="46" t="str">
        <f t="shared" si="18"/>
        <v/>
      </c>
      <c r="H94" s="51" t="str">
        <f t="shared" si="19"/>
        <v/>
      </c>
    </row>
    <row r="95" spans="1:8" ht="14.25" customHeight="1" x14ac:dyDescent="0.2">
      <c r="A95" s="649" t="str">
        <f t="shared" si="17"/>
        <v>AAAAAAAA</v>
      </c>
      <c r="B95" s="650"/>
      <c r="C95" s="77" t="s">
        <v>9360</v>
      </c>
      <c r="D95" s="77" t="s">
        <v>9360</v>
      </c>
      <c r="E95" s="74" t="str">
        <f>IF($A$87="","",IF(VLOOKUP($A94,Products!$A$59:$H$159,5,FALSE)="","",VLOOKUP($A94,Products!$A$59:$H$159,5,FALSE)))</f>
        <v/>
      </c>
      <c r="F95" s="46" t="str">
        <f>IF($A$87="","",IF(VLOOKUP($A94,Products!$A$59:$H$159,8,FALSE)="","",VLOOKUP($A94,Products!$A$59:$H$159,8,FALSE)))</f>
        <v/>
      </c>
      <c r="G95" s="46" t="str">
        <f t="shared" si="18"/>
        <v/>
      </c>
      <c r="H95" s="51" t="str">
        <f t="shared" si="19"/>
        <v/>
      </c>
    </row>
    <row r="96" spans="1:8" ht="14.25" customHeight="1" x14ac:dyDescent="0.2">
      <c r="A96" s="649" t="str">
        <f t="shared" si="17"/>
        <v>AAAAAAAAA</v>
      </c>
      <c r="B96" s="650"/>
      <c r="C96" s="77" t="s">
        <v>9360</v>
      </c>
      <c r="D96" s="77" t="s">
        <v>9360</v>
      </c>
      <c r="E96" s="74" t="str">
        <f>IF($A$87="","",IF(VLOOKUP($A95,Products!$A$59:$H$159,5,FALSE)="","",VLOOKUP($A95,Products!$A$59:$H$159,5,FALSE)))</f>
        <v/>
      </c>
      <c r="F96" s="46" t="str">
        <f>IF($A$87="","",IF(VLOOKUP($A95,Products!$A$59:$H$159,8,FALSE)="","",VLOOKUP($A95,Products!$A$59:$H$159,8,FALSE)))</f>
        <v/>
      </c>
      <c r="G96" s="46" t="str">
        <f t="shared" si="18"/>
        <v/>
      </c>
      <c r="H96" s="51" t="str">
        <f t="shared" si="19"/>
        <v/>
      </c>
    </row>
    <row r="97" spans="1:8" ht="14.25" customHeight="1" x14ac:dyDescent="0.2">
      <c r="A97" s="649" t="str">
        <f t="shared" si="17"/>
        <v>AAAAAAAAAA</v>
      </c>
      <c r="B97" s="650"/>
      <c r="C97" s="77" t="s">
        <v>9360</v>
      </c>
      <c r="D97" s="77" t="s">
        <v>9360</v>
      </c>
      <c r="E97" s="74" t="str">
        <f>IF($A$87="","",IF(VLOOKUP($A96,Products!$A$59:$H$159,5,FALSE)="","",VLOOKUP($A96,Products!$A$59:$H$159,5,FALSE)))</f>
        <v/>
      </c>
      <c r="F97" s="46" t="str">
        <f>IF($A$87="","",IF(VLOOKUP($A96,Products!$A$59:$H$159,8,FALSE)="","",VLOOKUP($A96,Products!$A$59:$H$159,8,FALSE)))</f>
        <v/>
      </c>
      <c r="G97" s="46" t="str">
        <f t="shared" si="18"/>
        <v/>
      </c>
      <c r="H97" s="51" t="str">
        <f t="shared" si="19"/>
        <v/>
      </c>
    </row>
    <row r="98" spans="1:8" ht="14.25" customHeight="1" x14ac:dyDescent="0.2">
      <c r="A98" s="651"/>
      <c r="B98" s="615"/>
      <c r="C98" s="75"/>
      <c r="D98" s="76"/>
      <c r="E98" s="73" t="s">
        <v>291</v>
      </c>
      <c r="F98" s="46">
        <v>1</v>
      </c>
      <c r="G98" s="40"/>
      <c r="H98" s="47"/>
    </row>
    <row r="99" spans="1:8" x14ac:dyDescent="0.2">
      <c r="A99" s="627" t="str">
        <f>A98&amp;"A"</f>
        <v>A</v>
      </c>
      <c r="B99" s="628"/>
      <c r="C99" s="77" t="s">
        <v>9360</v>
      </c>
      <c r="D99" s="77" t="s">
        <v>9360</v>
      </c>
      <c r="E99" s="74" t="str">
        <f>IF($A$98="","",IF(VLOOKUP($A98,Products!$A$59:$H$159,5,FALSE)="","",VLOOKUP($A98,Products!$A$59:$H$159,5,FALSE)))</f>
        <v/>
      </c>
      <c r="F99" s="46" t="str">
        <f>IF($A$98="","",IF(VLOOKUP($A98,Products!$A$59:$H$159,8,FALSE)="","",VLOOKUP($A98,Products!$A$59:$H$159,8,FALSE)))</f>
        <v/>
      </c>
      <c r="G99" s="46" t="str">
        <f>IF($F99="","",$F99*$G$98)</f>
        <v/>
      </c>
      <c r="H99" s="51" t="str">
        <f>IF($F99="","",$F99*$H$98)</f>
        <v/>
      </c>
    </row>
    <row r="100" spans="1:8" x14ac:dyDescent="0.2">
      <c r="A100" s="649" t="str">
        <f t="shared" ref="A100:A108" si="20">A99&amp;"A"</f>
        <v>AA</v>
      </c>
      <c r="B100" s="650"/>
      <c r="C100" s="77" t="s">
        <v>9360</v>
      </c>
      <c r="D100" s="77" t="s">
        <v>9360</v>
      </c>
      <c r="E100" s="74" t="str">
        <f>IF($A$98="","",IF(VLOOKUP($A99,Products!$A$59:$H$159,5,FALSE)="","",VLOOKUP($A99,Products!$A$59:$H$159,5,FALSE)))</f>
        <v/>
      </c>
      <c r="F100" s="46" t="str">
        <f>IF($A$98="","",IF(VLOOKUP($A99,Products!$A$59:$H$159,8,FALSE)="","",VLOOKUP($A99,Products!$A$59:$H$159,8,FALSE)))</f>
        <v/>
      </c>
      <c r="G100" s="46" t="str">
        <f t="shared" ref="G100:G108" si="21">IF($F100="","",$F100*$G$98)</f>
        <v/>
      </c>
      <c r="H100" s="51" t="str">
        <f t="shared" ref="H100:H108" si="22">IF($F100="","",$F100*$H$98)</f>
        <v/>
      </c>
    </row>
    <row r="101" spans="1:8" x14ac:dyDescent="0.2">
      <c r="A101" s="649" t="str">
        <f t="shared" si="20"/>
        <v>AAA</v>
      </c>
      <c r="B101" s="650"/>
      <c r="C101" s="77" t="s">
        <v>9360</v>
      </c>
      <c r="D101" s="77" t="s">
        <v>9360</v>
      </c>
      <c r="E101" s="74" t="str">
        <f>IF($A$98="","",IF(VLOOKUP($A100,Products!$A$59:$H$159,5,FALSE)="","",VLOOKUP($A100,Products!$A$59:$H$159,5,FALSE)))</f>
        <v/>
      </c>
      <c r="F101" s="46" t="str">
        <f>IF($A$98="","",IF(VLOOKUP($A100,Products!$A$59:$H$159,8,FALSE)="","",VLOOKUP($A100,Products!$A$59:$H$159,8,FALSE)))</f>
        <v/>
      </c>
      <c r="G101" s="46" t="str">
        <f t="shared" si="21"/>
        <v/>
      </c>
      <c r="H101" s="51" t="str">
        <f t="shared" si="22"/>
        <v/>
      </c>
    </row>
    <row r="102" spans="1:8" x14ac:dyDescent="0.2">
      <c r="A102" s="649" t="str">
        <f t="shared" si="20"/>
        <v>AAAA</v>
      </c>
      <c r="B102" s="650"/>
      <c r="C102" s="77" t="s">
        <v>9360</v>
      </c>
      <c r="D102" s="77" t="s">
        <v>9360</v>
      </c>
      <c r="E102" s="74" t="str">
        <f>IF($A$98="","",IF(VLOOKUP($A101,Products!$A$59:$H$159,5,FALSE)="","",VLOOKUP($A101,Products!$A$59:$H$159,5,FALSE)))</f>
        <v/>
      </c>
      <c r="F102" s="46" t="str">
        <f>IF($A$98="","",IF(VLOOKUP($A101,Products!$A$59:$H$159,8,FALSE)="","",VLOOKUP($A101,Products!$A$59:$H$159,8,FALSE)))</f>
        <v/>
      </c>
      <c r="G102" s="46" t="str">
        <f t="shared" si="21"/>
        <v/>
      </c>
      <c r="H102" s="51" t="str">
        <f t="shared" si="22"/>
        <v/>
      </c>
    </row>
    <row r="103" spans="1:8" x14ac:dyDescent="0.2">
      <c r="A103" s="649" t="str">
        <f t="shared" si="20"/>
        <v>AAAAA</v>
      </c>
      <c r="B103" s="650"/>
      <c r="C103" s="77" t="s">
        <v>9360</v>
      </c>
      <c r="D103" s="77" t="s">
        <v>9360</v>
      </c>
      <c r="E103" s="74" t="str">
        <f>IF($A$98="","",IF(VLOOKUP($A102,Products!$A$59:$H$159,5,FALSE)="","",VLOOKUP($A102,Products!$A$59:$H$159,5,FALSE)))</f>
        <v/>
      </c>
      <c r="F103" s="46" t="str">
        <f>IF($A$98="","",IF(VLOOKUP($A102,Products!$A$59:$H$159,8,FALSE)="","",VLOOKUP($A102,Products!$A$59:$H$159,8,FALSE)))</f>
        <v/>
      </c>
      <c r="G103" s="46" t="str">
        <f t="shared" si="21"/>
        <v/>
      </c>
      <c r="H103" s="51" t="str">
        <f t="shared" si="22"/>
        <v/>
      </c>
    </row>
    <row r="104" spans="1:8" x14ac:dyDescent="0.2">
      <c r="A104" s="649" t="str">
        <f t="shared" si="20"/>
        <v>AAAAAA</v>
      </c>
      <c r="B104" s="650"/>
      <c r="C104" s="77" t="s">
        <v>9360</v>
      </c>
      <c r="D104" s="77" t="s">
        <v>9360</v>
      </c>
      <c r="E104" s="74" t="str">
        <f>IF($A$98="","",IF(VLOOKUP($A103,Products!$A$59:$H$159,5,FALSE)="","",VLOOKUP($A103,Products!$A$59:$H$159,5,FALSE)))</f>
        <v/>
      </c>
      <c r="F104" s="46" t="str">
        <f>IF($A$98="","",IF(VLOOKUP($A103,Products!$A$59:$H$159,8,FALSE)="","",VLOOKUP($A103,Products!$A$59:$H$159,8,FALSE)))</f>
        <v/>
      </c>
      <c r="G104" s="46" t="str">
        <f t="shared" si="21"/>
        <v/>
      </c>
      <c r="H104" s="51" t="str">
        <f t="shared" si="22"/>
        <v/>
      </c>
    </row>
    <row r="105" spans="1:8" x14ac:dyDescent="0.2">
      <c r="A105" s="649" t="str">
        <f t="shared" si="20"/>
        <v>AAAAAAA</v>
      </c>
      <c r="B105" s="650"/>
      <c r="C105" s="77" t="s">
        <v>9360</v>
      </c>
      <c r="D105" s="77" t="s">
        <v>9360</v>
      </c>
      <c r="E105" s="74" t="str">
        <f>IF($A$98="","",IF(VLOOKUP($A104,Products!$A$59:$H$159,5,FALSE)="","",VLOOKUP($A104,Products!$A$59:$H$159,5,FALSE)))</f>
        <v/>
      </c>
      <c r="F105" s="46" t="str">
        <f>IF($A$98="","",IF(VLOOKUP($A104,Products!$A$59:$H$159,8,FALSE)="","",VLOOKUP($A104,Products!$A$59:$H$159,8,FALSE)))</f>
        <v/>
      </c>
      <c r="G105" s="46" t="str">
        <f>IF($F105="","",$F105*$G$98)</f>
        <v/>
      </c>
      <c r="H105" s="51" t="str">
        <f>IF($F105="","",$F105*$H$98)</f>
        <v/>
      </c>
    </row>
    <row r="106" spans="1:8" ht="14.25" customHeight="1" x14ac:dyDescent="0.2">
      <c r="A106" s="649" t="str">
        <f t="shared" si="20"/>
        <v>AAAAAAAA</v>
      </c>
      <c r="B106" s="650"/>
      <c r="C106" s="77" t="s">
        <v>9360</v>
      </c>
      <c r="D106" s="77" t="s">
        <v>9360</v>
      </c>
      <c r="E106" s="74" t="str">
        <f>IF($A$98="","",IF(VLOOKUP($A105,Products!$A$59:$H$159,5,FALSE)="","",VLOOKUP($A105,Products!$A$59:$H$159,5,FALSE)))</f>
        <v/>
      </c>
      <c r="F106" s="46" t="str">
        <f>IF($A$98="","",IF(VLOOKUP($A105,Products!$A$59:$H$159,8,FALSE)="","",VLOOKUP($A105,Products!$A$59:$H$159,8,FALSE)))</f>
        <v/>
      </c>
      <c r="G106" s="46" t="str">
        <f t="shared" si="21"/>
        <v/>
      </c>
      <c r="H106" s="51" t="str">
        <f t="shared" si="22"/>
        <v/>
      </c>
    </row>
    <row r="107" spans="1:8" ht="14.25" customHeight="1" x14ac:dyDescent="0.2">
      <c r="A107" s="649" t="str">
        <f t="shared" si="20"/>
        <v>AAAAAAAAA</v>
      </c>
      <c r="B107" s="650"/>
      <c r="C107" s="77" t="s">
        <v>9360</v>
      </c>
      <c r="D107" s="77" t="s">
        <v>9360</v>
      </c>
      <c r="E107" s="74" t="str">
        <f>IF($A$98="","",IF(VLOOKUP($A106,Products!$A$59:$H$159,5,FALSE)="","",VLOOKUP($A106,Products!$A$59:$H$159,5,FALSE)))</f>
        <v/>
      </c>
      <c r="F107" s="46" t="str">
        <f>IF($A$98="","",IF(VLOOKUP($A106,Products!$A$59:$H$159,8,FALSE)="","",VLOOKUP($A106,Products!$A$59:$H$159,8,FALSE)))</f>
        <v/>
      </c>
      <c r="G107" s="46" t="str">
        <f t="shared" si="21"/>
        <v/>
      </c>
      <c r="H107" s="51" t="str">
        <f t="shared" si="22"/>
        <v/>
      </c>
    </row>
    <row r="108" spans="1:8" ht="14.25" customHeight="1" x14ac:dyDescent="0.2">
      <c r="A108" s="649" t="str">
        <f t="shared" si="20"/>
        <v>AAAAAAAAAA</v>
      </c>
      <c r="B108" s="650"/>
      <c r="C108" s="77" t="s">
        <v>9360</v>
      </c>
      <c r="D108" s="77" t="s">
        <v>9360</v>
      </c>
      <c r="E108" s="74" t="str">
        <f>IF($A$98="","",IF(VLOOKUP($A107,Products!$A$59:$H$159,5,FALSE)="","",VLOOKUP($A107,Products!$A$59:$H$159,5,FALSE)))</f>
        <v/>
      </c>
      <c r="F108" s="46" t="str">
        <f>IF($A$98="","",IF(VLOOKUP($A107,Products!$A$59:$H$159,8,FALSE)="","",VLOOKUP($A107,Products!$A$59:$H$159,8,FALSE)))</f>
        <v/>
      </c>
      <c r="G108" s="46" t="str">
        <f t="shared" si="21"/>
        <v/>
      </c>
      <c r="H108" s="51" t="str">
        <f t="shared" si="22"/>
        <v/>
      </c>
    </row>
    <row r="109" spans="1:8" ht="14.25" customHeight="1" x14ac:dyDescent="0.2">
      <c r="A109" s="651"/>
      <c r="B109" s="615"/>
      <c r="C109" s="75"/>
      <c r="D109" s="76"/>
      <c r="E109" s="73" t="s">
        <v>291</v>
      </c>
      <c r="F109" s="46">
        <v>1</v>
      </c>
      <c r="G109" s="40"/>
      <c r="H109" s="47"/>
    </row>
    <row r="110" spans="1:8" x14ac:dyDescent="0.2">
      <c r="A110" s="627" t="str">
        <f>A109&amp;"A"</f>
        <v>A</v>
      </c>
      <c r="B110" s="628"/>
      <c r="C110" s="77" t="s">
        <v>9360</v>
      </c>
      <c r="D110" s="77" t="s">
        <v>9360</v>
      </c>
      <c r="E110" s="74" t="str">
        <f>IF($A$109="","",IF(VLOOKUP($A109,Products!$A$59:$H$159,5,FALSE)="","",VLOOKUP($A109,Products!$A$59:$H$159,5,FALSE)))</f>
        <v/>
      </c>
      <c r="F110" s="46" t="str">
        <f>IF($A$109="","",IF(VLOOKUP($A109,Products!$A$59:$H$159,8,FALSE)="","",VLOOKUP($A109,Products!$A$59:$H$159,8,FALSE)))</f>
        <v/>
      </c>
      <c r="G110" s="46" t="str">
        <f>IF($F110="","",$F110*$G$109)</f>
        <v/>
      </c>
      <c r="H110" s="51" t="str">
        <f>IF($F110="","",$F110*$H$109)</f>
        <v/>
      </c>
    </row>
    <row r="111" spans="1:8" ht="14.25" customHeight="1" x14ac:dyDescent="0.2">
      <c r="A111" s="649" t="str">
        <f t="shared" ref="A111:A119" si="23">A110&amp;"A"</f>
        <v>AA</v>
      </c>
      <c r="B111" s="650"/>
      <c r="C111" s="77" t="s">
        <v>9360</v>
      </c>
      <c r="D111" s="77" t="s">
        <v>9360</v>
      </c>
      <c r="E111" s="74" t="str">
        <f>IF($A$109="","",IF(VLOOKUP($A110,Products!$A$59:$H$159,5,FALSE)="","",VLOOKUP($A110,Products!$A$59:$H$159,5,FALSE)))</f>
        <v/>
      </c>
      <c r="F111" s="46" t="str">
        <f>IF($A$109="","",IF(VLOOKUP($A110,Products!$A$59:$H$159,8,FALSE)="","",VLOOKUP($A110,Products!$A$59:$H$159,8,FALSE)))</f>
        <v/>
      </c>
      <c r="G111" s="46" t="str">
        <f t="shared" ref="G111:G119" si="24">IF($F111="","",$F111*$G$109)</f>
        <v/>
      </c>
      <c r="H111" s="51" t="str">
        <f t="shared" ref="H111:H119" si="25">IF($F111="","",$F111*$H$109)</f>
        <v/>
      </c>
    </row>
    <row r="112" spans="1:8" x14ac:dyDescent="0.2">
      <c r="A112" s="649" t="str">
        <f t="shared" si="23"/>
        <v>AAA</v>
      </c>
      <c r="B112" s="650"/>
      <c r="C112" s="77" t="s">
        <v>9360</v>
      </c>
      <c r="D112" s="77" t="s">
        <v>9360</v>
      </c>
      <c r="E112" s="74" t="str">
        <f>IF($A$109="","",IF(VLOOKUP($A111,Products!$A$59:$H$159,5,FALSE)="","",VLOOKUP($A111,Products!$A$59:$H$159,5,FALSE)))</f>
        <v/>
      </c>
      <c r="F112" s="46" t="str">
        <f>IF($A$109="","",IF(VLOOKUP($A111,Products!$A$59:$H$159,8,FALSE)="","",VLOOKUP($A111,Products!$A$59:$H$159,8,FALSE)))</f>
        <v/>
      </c>
      <c r="G112" s="46" t="str">
        <f t="shared" si="24"/>
        <v/>
      </c>
      <c r="H112" s="51" t="str">
        <f t="shared" si="25"/>
        <v/>
      </c>
    </row>
    <row r="113" spans="1:8" x14ac:dyDescent="0.2">
      <c r="A113" s="649" t="str">
        <f t="shared" si="23"/>
        <v>AAAA</v>
      </c>
      <c r="B113" s="650"/>
      <c r="C113" s="77" t="s">
        <v>9360</v>
      </c>
      <c r="D113" s="77" t="s">
        <v>9360</v>
      </c>
      <c r="E113" s="74" t="str">
        <f>IF($A$109="","",IF(VLOOKUP($A112,Products!$A$59:$H$159,5,FALSE)="","",VLOOKUP($A112,Products!$A$59:$H$159,5,FALSE)))</f>
        <v/>
      </c>
      <c r="F113" s="46" t="str">
        <f>IF($A$109="","",IF(VLOOKUP($A112,Products!$A$59:$H$159,8,FALSE)="","",VLOOKUP($A112,Products!$A$59:$H$159,8,FALSE)))</f>
        <v/>
      </c>
      <c r="G113" s="46" t="str">
        <f t="shared" si="24"/>
        <v/>
      </c>
      <c r="H113" s="51" t="str">
        <f t="shared" si="25"/>
        <v/>
      </c>
    </row>
    <row r="114" spans="1:8" x14ac:dyDescent="0.2">
      <c r="A114" s="649" t="str">
        <f t="shared" si="23"/>
        <v>AAAAA</v>
      </c>
      <c r="B114" s="650"/>
      <c r="C114" s="77" t="s">
        <v>9360</v>
      </c>
      <c r="D114" s="77" t="s">
        <v>9360</v>
      </c>
      <c r="E114" s="74" t="str">
        <f>IF($A$109="","",IF(VLOOKUP($A113,Products!$A$59:$H$159,5,FALSE)="","",VLOOKUP($A113,Products!$A$59:$H$159,5,FALSE)))</f>
        <v/>
      </c>
      <c r="F114" s="46" t="str">
        <f>IF($A$109="","",IF(VLOOKUP($A113,Products!$A$59:$H$159,8,FALSE)="","",VLOOKUP($A113,Products!$A$59:$H$159,8,FALSE)))</f>
        <v/>
      </c>
      <c r="G114" s="46" t="str">
        <f t="shared" si="24"/>
        <v/>
      </c>
      <c r="H114" s="51" t="str">
        <f t="shared" si="25"/>
        <v/>
      </c>
    </row>
    <row r="115" spans="1:8" x14ac:dyDescent="0.2">
      <c r="A115" s="649" t="str">
        <f t="shared" si="23"/>
        <v>AAAAAA</v>
      </c>
      <c r="B115" s="650"/>
      <c r="C115" s="77" t="s">
        <v>9360</v>
      </c>
      <c r="D115" s="77" t="s">
        <v>9360</v>
      </c>
      <c r="E115" s="74" t="str">
        <f>IF($A$109="","",IF(VLOOKUP($A114,Products!$A$59:$H$159,5,FALSE)="","",VLOOKUP($A114,Products!$A$59:$H$159,5,FALSE)))</f>
        <v/>
      </c>
      <c r="F115" s="46" t="str">
        <f>IF($A$109="","",IF(VLOOKUP($A114,Products!$A$59:$H$159,8,FALSE)="","",VLOOKUP($A114,Products!$A$59:$H$159,8,FALSE)))</f>
        <v/>
      </c>
      <c r="G115" s="46" t="str">
        <f t="shared" si="24"/>
        <v/>
      </c>
      <c r="H115" s="51" t="str">
        <f t="shared" si="25"/>
        <v/>
      </c>
    </row>
    <row r="116" spans="1:8" x14ac:dyDescent="0.2">
      <c r="A116" s="649" t="str">
        <f t="shared" si="23"/>
        <v>AAAAAAA</v>
      </c>
      <c r="B116" s="650"/>
      <c r="C116" s="77" t="s">
        <v>9360</v>
      </c>
      <c r="D116" s="77" t="s">
        <v>9360</v>
      </c>
      <c r="E116" s="74" t="str">
        <f>IF($A$109="","",IF(VLOOKUP($A115,Products!$A$59:$H$159,5,FALSE)="","",VLOOKUP($A115,Products!$A$59:$H$159,5,FALSE)))</f>
        <v/>
      </c>
      <c r="F116" s="46" t="str">
        <f>IF($A$109="","",IF(VLOOKUP($A115,Products!$A$59:$H$159,8,FALSE)="","",VLOOKUP($A115,Products!$A$59:$H$159,8,FALSE)))</f>
        <v/>
      </c>
      <c r="G116" s="46" t="str">
        <f t="shared" si="24"/>
        <v/>
      </c>
      <c r="H116" s="51" t="str">
        <f t="shared" si="25"/>
        <v/>
      </c>
    </row>
    <row r="117" spans="1:8" x14ac:dyDescent="0.2">
      <c r="A117" s="649" t="str">
        <f t="shared" si="23"/>
        <v>AAAAAAAA</v>
      </c>
      <c r="B117" s="650"/>
      <c r="C117" s="77" t="s">
        <v>9360</v>
      </c>
      <c r="D117" s="77" t="s">
        <v>9360</v>
      </c>
      <c r="E117" s="74" t="str">
        <f>IF($A$109="","",IF(VLOOKUP($A116,Products!$A$59:$H$159,5,FALSE)="","",VLOOKUP($A116,Products!$A$59:$H$159,5,FALSE)))</f>
        <v/>
      </c>
      <c r="F117" s="46" t="str">
        <f>IF($A$109="","",IF(VLOOKUP($A116,Products!$A$59:$H$159,8,FALSE)="","",VLOOKUP($A116,Products!$A$59:$H$159,8,FALSE)))</f>
        <v/>
      </c>
      <c r="G117" s="46" t="str">
        <f t="shared" si="24"/>
        <v/>
      </c>
      <c r="H117" s="51" t="str">
        <f t="shared" si="25"/>
        <v/>
      </c>
    </row>
    <row r="118" spans="1:8" x14ac:dyDescent="0.2">
      <c r="A118" s="649" t="str">
        <f t="shared" si="23"/>
        <v>AAAAAAAAA</v>
      </c>
      <c r="B118" s="650"/>
      <c r="C118" s="77" t="s">
        <v>9360</v>
      </c>
      <c r="D118" s="77" t="s">
        <v>9360</v>
      </c>
      <c r="E118" s="74" t="str">
        <f>IF($A$109="","",IF(VLOOKUP($A117,Products!$A$59:$H$159,5,FALSE)="","",VLOOKUP($A117,Products!$A$59:$H$159,5,FALSE)))</f>
        <v/>
      </c>
      <c r="F118" s="46" t="str">
        <f>IF($A$109="","",IF(VLOOKUP($A117,Products!$A$59:$H$159,8,FALSE)="","",VLOOKUP($A117,Products!$A$59:$H$159,8,FALSE)))</f>
        <v/>
      </c>
      <c r="G118" s="46" t="str">
        <f>IF($F118="","",$F118*$G$109)</f>
        <v/>
      </c>
      <c r="H118" s="51" t="str">
        <f>IF($F118="","",$F118*$H$109)</f>
        <v/>
      </c>
    </row>
    <row r="119" spans="1:8" x14ac:dyDescent="0.2">
      <c r="A119" s="649" t="str">
        <f t="shared" si="23"/>
        <v>AAAAAAAAAA</v>
      </c>
      <c r="B119" s="650"/>
      <c r="C119" s="77" t="s">
        <v>9360</v>
      </c>
      <c r="D119" s="77" t="s">
        <v>9360</v>
      </c>
      <c r="E119" s="74" t="str">
        <f>IF($A$109="","",IF(VLOOKUP($A118,Products!$A$59:$H$159,5,FALSE)="","",VLOOKUP($A118,Products!$A$59:$H$159,5,FALSE)))</f>
        <v/>
      </c>
      <c r="F119" s="46" t="str">
        <f>IF($A$109="","",IF(VLOOKUP($A118,Products!$A$59:$H$159,8,FALSE)="","",VLOOKUP($A118,Products!$A$59:$H$159,8,FALSE)))</f>
        <v/>
      </c>
      <c r="G119" s="46" t="str">
        <f t="shared" si="24"/>
        <v/>
      </c>
      <c r="H119" s="51" t="str">
        <f t="shared" si="25"/>
        <v/>
      </c>
    </row>
    <row r="120" spans="1:8" ht="14.25" customHeight="1" x14ac:dyDescent="0.2">
      <c r="A120" s="651"/>
      <c r="B120" s="615"/>
      <c r="C120" s="75"/>
      <c r="D120" s="76"/>
      <c r="E120" s="73" t="s">
        <v>291</v>
      </c>
      <c r="F120" s="46">
        <v>1</v>
      </c>
      <c r="G120" s="40"/>
      <c r="H120" s="47"/>
    </row>
    <row r="121" spans="1:8" x14ac:dyDescent="0.2">
      <c r="A121" s="627" t="str">
        <f>A120&amp;"A"</f>
        <v>A</v>
      </c>
      <c r="B121" s="628"/>
      <c r="C121" s="77" t="s">
        <v>9360</v>
      </c>
      <c r="D121" s="77" t="s">
        <v>9360</v>
      </c>
      <c r="E121" s="74" t="str">
        <f>IF($A$120="","",IF(VLOOKUP($A120,Products!$A$59:$H$159,5,FALSE)="","",VLOOKUP($A120,Products!$A$59:$H$159,5,FALSE)))</f>
        <v/>
      </c>
      <c r="F121" s="46" t="str">
        <f>IF($A$120="","",IF(VLOOKUP($A120,Products!$A$59:$H$159,8,FALSE)="","",VLOOKUP($A120,Products!$A$59:$H$159,8,FALSE)))</f>
        <v/>
      </c>
      <c r="G121" s="46" t="str">
        <f>IF($F121="","",$F121*$G$120)</f>
        <v/>
      </c>
      <c r="H121" s="51" t="str">
        <f>IF($F121="","",$F121*$H$120)</f>
        <v/>
      </c>
    </row>
    <row r="122" spans="1:8" x14ac:dyDescent="0.2">
      <c r="A122" s="649" t="str">
        <f t="shared" ref="A122:A130" si="26">A121&amp;"A"</f>
        <v>AA</v>
      </c>
      <c r="B122" s="650"/>
      <c r="C122" s="77" t="s">
        <v>9360</v>
      </c>
      <c r="D122" s="77" t="s">
        <v>9360</v>
      </c>
      <c r="E122" s="74" t="str">
        <f>IF($A$120="","",IF(VLOOKUP($A121,Products!$A$59:$H$159,5,FALSE)="","",VLOOKUP($A121,Products!$A$59:$H$159,5,FALSE)))</f>
        <v/>
      </c>
      <c r="F122" s="46" t="str">
        <f>IF($A$120="","",IF(VLOOKUP($A121,Products!$A$59:$H$159,8,FALSE)="","",VLOOKUP($A121,Products!$A$59:$H$159,8,FALSE)))</f>
        <v/>
      </c>
      <c r="G122" s="46" t="str">
        <f t="shared" ref="G122:G130" si="27">IF($F122="","",$F122*$G$120)</f>
        <v/>
      </c>
      <c r="H122" s="51" t="str">
        <f t="shared" ref="H122:H130" si="28">IF($F122="","",$F122*$H$120)</f>
        <v/>
      </c>
    </row>
    <row r="123" spans="1:8" x14ac:dyDescent="0.2">
      <c r="A123" s="649" t="str">
        <f t="shared" si="26"/>
        <v>AAA</v>
      </c>
      <c r="B123" s="650"/>
      <c r="C123" s="77" t="s">
        <v>9360</v>
      </c>
      <c r="D123" s="77" t="s">
        <v>9360</v>
      </c>
      <c r="E123" s="74" t="str">
        <f>IF($A$120="","",IF(VLOOKUP($A122,Products!$A$59:$H$159,5,FALSE)="","",VLOOKUP($A122,Products!$A$59:$H$159,5,FALSE)))</f>
        <v/>
      </c>
      <c r="F123" s="46" t="str">
        <f>IF($A$120="","",IF(VLOOKUP($A122,Products!$A$59:$H$159,8,FALSE)="","",VLOOKUP($A122,Products!$A$59:$H$159,8,FALSE)))</f>
        <v/>
      </c>
      <c r="G123" s="46" t="str">
        <f t="shared" si="27"/>
        <v/>
      </c>
      <c r="H123" s="51" t="str">
        <f t="shared" si="28"/>
        <v/>
      </c>
    </row>
    <row r="124" spans="1:8" x14ac:dyDescent="0.2">
      <c r="A124" s="649" t="str">
        <f t="shared" si="26"/>
        <v>AAAA</v>
      </c>
      <c r="B124" s="650"/>
      <c r="C124" s="77" t="s">
        <v>9360</v>
      </c>
      <c r="D124" s="77" t="s">
        <v>9360</v>
      </c>
      <c r="E124" s="74" t="str">
        <f>IF($A$120="","",IF(VLOOKUP($A123,Products!$A$59:$H$159,5,FALSE)="","",VLOOKUP($A123,Products!$A$59:$H$159,5,FALSE)))</f>
        <v/>
      </c>
      <c r="F124" s="46" t="str">
        <f>IF($A$120="","",IF(VLOOKUP($A123,Products!$A$59:$H$159,8,FALSE)="","",VLOOKUP($A123,Products!$A$59:$H$159,8,FALSE)))</f>
        <v/>
      </c>
      <c r="G124" s="46" t="str">
        <f t="shared" si="27"/>
        <v/>
      </c>
      <c r="H124" s="51" t="str">
        <f t="shared" si="28"/>
        <v/>
      </c>
    </row>
    <row r="125" spans="1:8" x14ac:dyDescent="0.2">
      <c r="A125" s="649" t="str">
        <f t="shared" si="26"/>
        <v>AAAAA</v>
      </c>
      <c r="B125" s="650"/>
      <c r="C125" s="77" t="s">
        <v>9360</v>
      </c>
      <c r="D125" s="77" t="s">
        <v>9360</v>
      </c>
      <c r="E125" s="74" t="str">
        <f>IF($A$120="","",IF(VLOOKUP($A124,Products!$A$59:$H$159,5,FALSE)="","",VLOOKUP($A124,Products!$A$59:$H$159,5,FALSE)))</f>
        <v/>
      </c>
      <c r="F125" s="46" t="str">
        <f>IF($A$120="","",IF(VLOOKUP($A124,Products!$A$59:$H$159,8,FALSE)="","",VLOOKUP($A124,Products!$A$59:$H$159,8,FALSE)))</f>
        <v/>
      </c>
      <c r="G125" s="46" t="str">
        <f t="shared" si="27"/>
        <v/>
      </c>
      <c r="H125" s="51" t="str">
        <f t="shared" si="28"/>
        <v/>
      </c>
    </row>
    <row r="126" spans="1:8" x14ac:dyDescent="0.2">
      <c r="A126" s="649" t="str">
        <f t="shared" si="26"/>
        <v>AAAAAA</v>
      </c>
      <c r="B126" s="650"/>
      <c r="C126" s="77" t="s">
        <v>9360</v>
      </c>
      <c r="D126" s="77" t="s">
        <v>9360</v>
      </c>
      <c r="E126" s="74" t="str">
        <f>IF($A$120="","",IF(VLOOKUP($A125,Products!$A$59:$H$159,5,FALSE)="","",VLOOKUP($A125,Products!$A$59:$H$159,5,FALSE)))</f>
        <v/>
      </c>
      <c r="F126" s="46" t="str">
        <f>IF($A$120="","",IF(VLOOKUP($A125,Products!$A$59:$H$159,8,FALSE)="","",VLOOKUP($A125,Products!$A$59:$H$159,8,FALSE)))</f>
        <v/>
      </c>
      <c r="G126" s="46" t="str">
        <f t="shared" si="27"/>
        <v/>
      </c>
      <c r="H126" s="51" t="str">
        <f t="shared" si="28"/>
        <v/>
      </c>
    </row>
    <row r="127" spans="1:8" x14ac:dyDescent="0.2">
      <c r="A127" s="649" t="str">
        <f t="shared" si="26"/>
        <v>AAAAAAA</v>
      </c>
      <c r="B127" s="650"/>
      <c r="C127" s="77" t="s">
        <v>9360</v>
      </c>
      <c r="D127" s="77" t="s">
        <v>9360</v>
      </c>
      <c r="E127" s="74" t="str">
        <f>IF($A$120="","",IF(VLOOKUP($A126,Products!$A$59:$H$159,5,FALSE)="","",VLOOKUP($A126,Products!$A$59:$H$159,5,FALSE)))</f>
        <v/>
      </c>
      <c r="F127" s="46" t="str">
        <f>IF($A$120="","",IF(VLOOKUP($A126,Products!$A$59:$H$159,8,FALSE)="","",VLOOKUP($A126,Products!$A$59:$H$159,8,FALSE)))</f>
        <v/>
      </c>
      <c r="G127" s="46" t="str">
        <f t="shared" si="27"/>
        <v/>
      </c>
      <c r="H127" s="51" t="str">
        <f t="shared" si="28"/>
        <v/>
      </c>
    </row>
    <row r="128" spans="1:8" x14ac:dyDescent="0.2">
      <c r="A128" s="649" t="str">
        <f t="shared" si="26"/>
        <v>AAAAAAAA</v>
      </c>
      <c r="B128" s="650"/>
      <c r="C128" s="77" t="s">
        <v>9360</v>
      </c>
      <c r="D128" s="77" t="s">
        <v>9360</v>
      </c>
      <c r="E128" s="74" t="str">
        <f>IF($A$120="","",IF(VLOOKUP($A127,Products!$A$59:$H$159,5,FALSE)="","",VLOOKUP($A127,Products!$A$59:$H$159,5,FALSE)))</f>
        <v/>
      </c>
      <c r="F128" s="46" t="str">
        <f>IF($A$120="","",IF(VLOOKUP($A127,Products!$A$59:$H$159,8,FALSE)="","",VLOOKUP($A127,Products!$A$59:$H$159,8,FALSE)))</f>
        <v/>
      </c>
      <c r="G128" s="46" t="str">
        <f t="shared" si="27"/>
        <v/>
      </c>
      <c r="H128" s="51" t="str">
        <f t="shared" si="28"/>
        <v/>
      </c>
    </row>
    <row r="129" spans="1:8" x14ac:dyDescent="0.2">
      <c r="A129" s="649" t="str">
        <f t="shared" si="26"/>
        <v>AAAAAAAAA</v>
      </c>
      <c r="B129" s="650"/>
      <c r="C129" s="77" t="s">
        <v>9360</v>
      </c>
      <c r="D129" s="77" t="s">
        <v>9360</v>
      </c>
      <c r="E129" s="74" t="str">
        <f>IF($A$120="","",IF(VLOOKUP($A128,Products!$A$59:$H$159,5,FALSE)="","",VLOOKUP($A128,Products!$A$59:$H$159,5,FALSE)))</f>
        <v/>
      </c>
      <c r="F129" s="46" t="str">
        <f>IF($A$120="","",IF(VLOOKUP($A128,Products!$A$59:$H$159,8,FALSE)="","",VLOOKUP($A128,Products!$A$59:$H$159,8,FALSE)))</f>
        <v/>
      </c>
      <c r="G129" s="46" t="str">
        <f t="shared" si="27"/>
        <v/>
      </c>
      <c r="H129" s="51" t="str">
        <f t="shared" si="28"/>
        <v/>
      </c>
    </row>
    <row r="130" spans="1:8" x14ac:dyDescent="0.2">
      <c r="A130" s="649" t="str">
        <f t="shared" si="26"/>
        <v>AAAAAAAAAA</v>
      </c>
      <c r="B130" s="650"/>
      <c r="C130" s="77" t="s">
        <v>9360</v>
      </c>
      <c r="D130" s="77" t="s">
        <v>9360</v>
      </c>
      <c r="E130" s="74" t="str">
        <f>IF($A$120="","",IF(VLOOKUP($A129,Products!$A$59:$H$159,5,FALSE)="","",VLOOKUP($A129,Products!$A$59:$H$159,5,FALSE)))</f>
        <v/>
      </c>
      <c r="F130" s="46" t="str">
        <f>IF($A$120="","",IF(VLOOKUP($A129,Products!$A$59:$H$159,8,FALSE)="","",VLOOKUP($A129,Products!$A$59:$H$159,8,FALSE)))</f>
        <v/>
      </c>
      <c r="G130" s="46" t="str">
        <f t="shared" si="27"/>
        <v/>
      </c>
      <c r="H130" s="51" t="str">
        <f t="shared" si="28"/>
        <v/>
      </c>
    </row>
    <row r="131" spans="1:8" ht="14.25" customHeight="1" x14ac:dyDescent="0.2">
      <c r="A131" s="651"/>
      <c r="B131" s="615"/>
      <c r="C131" s="75"/>
      <c r="D131" s="76"/>
      <c r="E131" s="73" t="s">
        <v>291</v>
      </c>
      <c r="F131" s="46">
        <v>1</v>
      </c>
      <c r="G131" s="40"/>
      <c r="H131" s="47"/>
    </row>
    <row r="132" spans="1:8" x14ac:dyDescent="0.2">
      <c r="A132" s="627" t="str">
        <f>A131&amp;"A"</f>
        <v>A</v>
      </c>
      <c r="B132" s="628"/>
      <c r="C132" s="77" t="s">
        <v>9360</v>
      </c>
      <c r="D132" s="77" t="s">
        <v>9360</v>
      </c>
      <c r="E132" s="74" t="str">
        <f>IF($A$131="","",IF(VLOOKUP($A131,Products!$A$59:$H$159,5,FALSE)="","",VLOOKUP($A131,Products!$A$59:$H$159,5,FALSE)))</f>
        <v/>
      </c>
      <c r="F132" s="46" t="str">
        <f>IF($A$131="","",IF(VLOOKUP($A131,Products!$A$59:$H$159,8,FALSE)="","",VLOOKUP($A131,Products!$A$59:$H$159,8,FALSE)))</f>
        <v/>
      </c>
      <c r="G132" s="46" t="str">
        <f>IF($F132="","",$F132*$G$131)</f>
        <v/>
      </c>
      <c r="H132" s="51" t="str">
        <f>IF($F132="","",$F132*$H$131)</f>
        <v/>
      </c>
    </row>
    <row r="133" spans="1:8" x14ac:dyDescent="0.2">
      <c r="A133" s="649" t="str">
        <f t="shared" ref="A133:A141" si="29">A132&amp;"A"</f>
        <v>AA</v>
      </c>
      <c r="B133" s="650"/>
      <c r="C133" s="77" t="s">
        <v>9360</v>
      </c>
      <c r="D133" s="77" t="s">
        <v>9360</v>
      </c>
      <c r="E133" s="74" t="str">
        <f>IF($A$131="","",IF(VLOOKUP($A132,Products!$A$59:$H$159,5,FALSE)="","",VLOOKUP($A132,Products!$A$59:$H$159,5,FALSE)))</f>
        <v/>
      </c>
      <c r="F133" s="46" t="str">
        <f>IF($A$131="","",IF(VLOOKUP($A132,Products!$A$59:$H$159,8,FALSE)="","",VLOOKUP($A132,Products!$A$59:$H$159,8,FALSE)))</f>
        <v/>
      </c>
      <c r="G133" s="46" t="str">
        <f t="shared" ref="G133:G140" si="30">IF($F133="","",$F133*$G$131)</f>
        <v/>
      </c>
      <c r="H133" s="51" t="str">
        <f t="shared" ref="H133:H140" si="31">IF($F133="","",$F133*$H$131)</f>
        <v/>
      </c>
    </row>
    <row r="134" spans="1:8" x14ac:dyDescent="0.2">
      <c r="A134" s="649" t="str">
        <f t="shared" si="29"/>
        <v>AAA</v>
      </c>
      <c r="B134" s="650"/>
      <c r="C134" s="77" t="s">
        <v>9360</v>
      </c>
      <c r="D134" s="77" t="s">
        <v>9360</v>
      </c>
      <c r="E134" s="74" t="str">
        <f>IF($A$131="","",IF(VLOOKUP($A133,Products!$A$59:$H$159,5,FALSE)="","",VLOOKUP($A133,Products!$A$59:$H$159,5,FALSE)))</f>
        <v/>
      </c>
      <c r="F134" s="46" t="str">
        <f>IF($A$131="","",IF(VLOOKUP($A133,Products!$A$59:$H$159,8,FALSE)="","",VLOOKUP($A133,Products!$A$59:$H$159,8,FALSE)))</f>
        <v/>
      </c>
      <c r="G134" s="46" t="str">
        <f t="shared" si="30"/>
        <v/>
      </c>
      <c r="H134" s="51" t="str">
        <f t="shared" si="31"/>
        <v/>
      </c>
    </row>
    <row r="135" spans="1:8" x14ac:dyDescent="0.2">
      <c r="A135" s="649" t="str">
        <f t="shared" si="29"/>
        <v>AAAA</v>
      </c>
      <c r="B135" s="650"/>
      <c r="C135" s="77" t="s">
        <v>9360</v>
      </c>
      <c r="D135" s="77" t="s">
        <v>9360</v>
      </c>
      <c r="E135" s="74" t="str">
        <f>IF($A$131="","",IF(VLOOKUP($A134,Products!$A$59:$H$159,5,FALSE)="","",VLOOKUP($A134,Products!$A$59:$H$159,5,FALSE)))</f>
        <v/>
      </c>
      <c r="F135" s="46" t="str">
        <f>IF($A$131="","",IF(VLOOKUP($A134,Products!$A$59:$H$159,8,FALSE)="","",VLOOKUP($A134,Products!$A$59:$H$159,8,FALSE)))</f>
        <v/>
      </c>
      <c r="G135" s="46" t="str">
        <f t="shared" si="30"/>
        <v/>
      </c>
      <c r="H135" s="51" t="str">
        <f t="shared" si="31"/>
        <v/>
      </c>
    </row>
    <row r="136" spans="1:8" x14ac:dyDescent="0.2">
      <c r="A136" s="649" t="str">
        <f t="shared" si="29"/>
        <v>AAAAA</v>
      </c>
      <c r="B136" s="650"/>
      <c r="C136" s="77" t="s">
        <v>9360</v>
      </c>
      <c r="D136" s="77" t="s">
        <v>9360</v>
      </c>
      <c r="E136" s="74" t="str">
        <f>IF($A$131="","",IF(VLOOKUP($A135,Products!$A$59:$H$159,5,FALSE)="","",VLOOKUP($A135,Products!$A$59:$H$159,5,FALSE)))</f>
        <v/>
      </c>
      <c r="F136" s="46" t="str">
        <f>IF($A$131="","",IF(VLOOKUP($A135,Products!$A$59:$H$159,8,FALSE)="","",VLOOKUP($A135,Products!$A$59:$H$159,8,FALSE)))</f>
        <v/>
      </c>
      <c r="G136" s="46" t="str">
        <f>IF($F136="","",$F136*$G$131)</f>
        <v/>
      </c>
      <c r="H136" s="51" t="str">
        <f>IF($F136="","",$F136*$H$131)</f>
        <v/>
      </c>
    </row>
    <row r="137" spans="1:8" x14ac:dyDescent="0.2">
      <c r="A137" s="649" t="str">
        <f t="shared" si="29"/>
        <v>AAAAAA</v>
      </c>
      <c r="B137" s="650"/>
      <c r="C137" s="77" t="s">
        <v>9360</v>
      </c>
      <c r="D137" s="77" t="s">
        <v>9360</v>
      </c>
      <c r="E137" s="74" t="str">
        <f>IF($A$131="","",IF(VLOOKUP($A136,Products!$A$59:$H$159,5,FALSE)="","",VLOOKUP($A136,Products!$A$59:$H$159,5,FALSE)))</f>
        <v/>
      </c>
      <c r="F137" s="46" t="str">
        <f>IF($A$131="","",IF(VLOOKUP($A136,Products!$A$59:$H$159,8,FALSE)="","",VLOOKUP($A136,Products!$A$59:$H$159,8,FALSE)))</f>
        <v/>
      </c>
      <c r="G137" s="46" t="str">
        <f t="shared" si="30"/>
        <v/>
      </c>
      <c r="H137" s="51" t="str">
        <f t="shared" si="31"/>
        <v/>
      </c>
    </row>
    <row r="138" spans="1:8" x14ac:dyDescent="0.2">
      <c r="A138" s="649" t="str">
        <f t="shared" si="29"/>
        <v>AAAAAAA</v>
      </c>
      <c r="B138" s="650"/>
      <c r="C138" s="77" t="s">
        <v>9360</v>
      </c>
      <c r="D138" s="77" t="s">
        <v>9360</v>
      </c>
      <c r="E138" s="74" t="str">
        <f>IF($A$131="","",IF(VLOOKUP($A137,Products!$A$59:$H$159,5,FALSE)="","",VLOOKUP($A137,Products!$A$59:$H$159,5,FALSE)))</f>
        <v/>
      </c>
      <c r="F138" s="46" t="str">
        <f>IF($A$131="","",IF(VLOOKUP($A137,Products!$A$59:$H$159,8,FALSE)="","",VLOOKUP($A137,Products!$A$59:$H$159,8,FALSE)))</f>
        <v/>
      </c>
      <c r="G138" s="46" t="str">
        <f t="shared" si="30"/>
        <v/>
      </c>
      <c r="H138" s="51" t="str">
        <f t="shared" si="31"/>
        <v/>
      </c>
    </row>
    <row r="139" spans="1:8" x14ac:dyDescent="0.2">
      <c r="A139" s="649" t="str">
        <f t="shared" si="29"/>
        <v>AAAAAAAA</v>
      </c>
      <c r="B139" s="650"/>
      <c r="C139" s="77" t="s">
        <v>9360</v>
      </c>
      <c r="D139" s="77" t="s">
        <v>9360</v>
      </c>
      <c r="E139" s="74" t="str">
        <f>IF($A$131="","",IF(VLOOKUP($A138,Products!$A$59:$H$159,5,FALSE)="","",VLOOKUP($A138,Products!$A$59:$H$159,5,FALSE)))</f>
        <v/>
      </c>
      <c r="F139" s="46" t="str">
        <f>IF($A$131="","",IF(VLOOKUP($A138,Products!$A$59:$H$159,8,FALSE)="","",VLOOKUP($A138,Products!$A$59:$H$159,8,FALSE)))</f>
        <v/>
      </c>
      <c r="G139" s="46" t="str">
        <f t="shared" si="30"/>
        <v/>
      </c>
      <c r="H139" s="51" t="str">
        <f t="shared" si="31"/>
        <v/>
      </c>
    </row>
    <row r="140" spans="1:8" x14ac:dyDescent="0.2">
      <c r="A140" s="649" t="str">
        <f t="shared" si="29"/>
        <v>AAAAAAAAA</v>
      </c>
      <c r="B140" s="650"/>
      <c r="C140" s="77" t="s">
        <v>9360</v>
      </c>
      <c r="D140" s="77" t="s">
        <v>9360</v>
      </c>
      <c r="E140" s="74" t="str">
        <f>IF($A$131="","",IF(VLOOKUP($A139,Products!$A$59:$H$159,5,FALSE)="","",VLOOKUP($A139,Products!$A$59:$H$159,5,FALSE)))</f>
        <v/>
      </c>
      <c r="F140" s="46" t="str">
        <f>IF($A$131="","",IF(VLOOKUP($A139,Products!$A$59:$H$159,8,FALSE)="","",VLOOKUP($A139,Products!$A$59:$H$159,8,FALSE)))</f>
        <v/>
      </c>
      <c r="G140" s="46" t="str">
        <f t="shared" si="30"/>
        <v/>
      </c>
      <c r="H140" s="51" t="str">
        <f t="shared" si="31"/>
        <v/>
      </c>
    </row>
    <row r="141" spans="1:8" ht="15" thickBot="1" x14ac:dyDescent="0.25">
      <c r="A141" s="652" t="str">
        <f t="shared" si="29"/>
        <v>AAAAAAAAAA</v>
      </c>
      <c r="B141" s="653"/>
      <c r="C141" s="78" t="s">
        <v>9360</v>
      </c>
      <c r="D141" s="78" t="s">
        <v>9360</v>
      </c>
      <c r="E141" s="105" t="str">
        <f>IF($A$131="","",IF(VLOOKUP($A140,Products!$A$59:$H$159,5,FALSE)="","",VLOOKUP($A140,Products!$A$59:$H$159,5,FALSE)))</f>
        <v/>
      </c>
      <c r="F141" s="106" t="str">
        <f>IF($A$131="","",IF(VLOOKUP($A140,Products!$A$59:$H$159,8,FALSE)="","",VLOOKUP($A140,Products!$A$59:$H$159,8,FALSE)))</f>
        <v/>
      </c>
      <c r="G141" s="106" t="str">
        <f>IF($F141="","",$F141*$G$131)</f>
        <v/>
      </c>
      <c r="H141" s="107" t="str">
        <f>IF($F141="","",$F141*$H$131)</f>
        <v/>
      </c>
    </row>
    <row r="142" spans="1:8" x14ac:dyDescent="0.2">
      <c r="A142" s="478" t="s">
        <v>130</v>
      </c>
      <c r="B142" s="478"/>
      <c r="C142" s="478"/>
      <c r="D142" s="478"/>
      <c r="E142" s="478"/>
      <c r="F142" s="478"/>
      <c r="G142" s="478"/>
      <c r="H142" s="478"/>
    </row>
  </sheetData>
  <sheetProtection algorithmName="SHA-512" hashValue="Cj/reYKEIH981x92TJUs5hFluH8Rxmh3PgjS8G6n7iKCg7UY3f2ARtV6/vSeGKowDbDFWWsi14pcKHQJu3kD+Q==" saltValue="Q2yfVWOShmygBLvIhvqcyw==" spinCount="100000" sheet="1" objects="1" scenarios="1" formatColumns="0" formatRows="0"/>
  <mergeCells count="176">
    <mergeCell ref="A12:H12"/>
    <mergeCell ref="A13:H13"/>
    <mergeCell ref="A14:C14"/>
    <mergeCell ref="D14:E14"/>
    <mergeCell ref="F14:H14"/>
    <mergeCell ref="A22:C22"/>
    <mergeCell ref="D22:E22"/>
    <mergeCell ref="F22:H22"/>
    <mergeCell ref="A10:C10"/>
    <mergeCell ref="D10:H10"/>
    <mergeCell ref="A11:C11"/>
    <mergeCell ref="D11:H11"/>
    <mergeCell ref="A18:C18"/>
    <mergeCell ref="D18:E18"/>
    <mergeCell ref="F18:H18"/>
    <mergeCell ref="A15:C15"/>
    <mergeCell ref="D15:E15"/>
    <mergeCell ref="F15:H15"/>
    <mergeCell ref="A16:C16"/>
    <mergeCell ref="D16:E16"/>
    <mergeCell ref="F16:H16"/>
    <mergeCell ref="A17:C17"/>
    <mergeCell ref="D17:E17"/>
    <mergeCell ref="F17:H17"/>
    <mergeCell ref="A7:C7"/>
    <mergeCell ref="D7:H7"/>
    <mergeCell ref="A8:C8"/>
    <mergeCell ref="D8:H8"/>
    <mergeCell ref="A9:C9"/>
    <mergeCell ref="D9:H9"/>
    <mergeCell ref="A1:H1"/>
    <mergeCell ref="A2:H2"/>
    <mergeCell ref="A3:H3"/>
    <mergeCell ref="A4:H4"/>
    <mergeCell ref="A5:H5"/>
    <mergeCell ref="A6:C6"/>
    <mergeCell ref="D6:H6"/>
    <mergeCell ref="A19:C19"/>
    <mergeCell ref="D19:E19"/>
    <mergeCell ref="F19:H19"/>
    <mergeCell ref="A23:C23"/>
    <mergeCell ref="D23:E23"/>
    <mergeCell ref="F23:H23"/>
    <mergeCell ref="A20:C20"/>
    <mergeCell ref="D20:E20"/>
    <mergeCell ref="F20:H20"/>
    <mergeCell ref="A21:C21"/>
    <mergeCell ref="D21:E21"/>
    <mergeCell ref="F21:H21"/>
    <mergeCell ref="G30:H30"/>
    <mergeCell ref="A24:C24"/>
    <mergeCell ref="D24:E24"/>
    <mergeCell ref="F24:H24"/>
    <mergeCell ref="A25:C25"/>
    <mergeCell ref="D25:E25"/>
    <mergeCell ref="F25:H25"/>
    <mergeCell ref="A29:F29"/>
    <mergeCell ref="A30:F30"/>
    <mergeCell ref="G29:H29"/>
    <mergeCell ref="A26:C26"/>
    <mergeCell ref="D26:E26"/>
    <mergeCell ref="F26:H26"/>
    <mergeCell ref="A27:H27"/>
    <mergeCell ref="A28:H28"/>
    <mergeCell ref="A35:B35"/>
    <mergeCell ref="A36:B36"/>
    <mergeCell ref="A37:B37"/>
    <mergeCell ref="A32:B32"/>
    <mergeCell ref="A33:B33"/>
    <mergeCell ref="A34:B34"/>
    <mergeCell ref="A31:B31"/>
    <mergeCell ref="A44:B44"/>
    <mergeCell ref="A45:B45"/>
    <mergeCell ref="A46:B46"/>
    <mergeCell ref="A41:B41"/>
    <mergeCell ref="A42:B42"/>
    <mergeCell ref="A43:B43"/>
    <mergeCell ref="A38:B38"/>
    <mergeCell ref="A39:B39"/>
    <mergeCell ref="A40:B40"/>
    <mergeCell ref="A53:B53"/>
    <mergeCell ref="A54:B54"/>
    <mergeCell ref="A55:B55"/>
    <mergeCell ref="A50:B50"/>
    <mergeCell ref="A51:B51"/>
    <mergeCell ref="A52:B52"/>
    <mergeCell ref="A47:B47"/>
    <mergeCell ref="A48:B48"/>
    <mergeCell ref="A49:B49"/>
    <mergeCell ref="A62:B62"/>
    <mergeCell ref="A63:B63"/>
    <mergeCell ref="A64:B64"/>
    <mergeCell ref="A59:B59"/>
    <mergeCell ref="A60:B60"/>
    <mergeCell ref="A61:B61"/>
    <mergeCell ref="A56:B56"/>
    <mergeCell ref="A57:B57"/>
    <mergeCell ref="A58:B58"/>
    <mergeCell ref="A71:B71"/>
    <mergeCell ref="A72:B72"/>
    <mergeCell ref="A73:B73"/>
    <mergeCell ref="A68:B68"/>
    <mergeCell ref="A69:B69"/>
    <mergeCell ref="A70:B70"/>
    <mergeCell ref="A65:B65"/>
    <mergeCell ref="A66:B66"/>
    <mergeCell ref="A67:B67"/>
    <mergeCell ref="A80:B80"/>
    <mergeCell ref="A81:B81"/>
    <mergeCell ref="A82:B82"/>
    <mergeCell ref="A77:B77"/>
    <mergeCell ref="A78:B78"/>
    <mergeCell ref="A79:B79"/>
    <mergeCell ref="A74:B74"/>
    <mergeCell ref="A75:B75"/>
    <mergeCell ref="A76:B76"/>
    <mergeCell ref="A89:B89"/>
    <mergeCell ref="A90:B90"/>
    <mergeCell ref="A91:B91"/>
    <mergeCell ref="A86:B86"/>
    <mergeCell ref="A87:B87"/>
    <mergeCell ref="A88:B88"/>
    <mergeCell ref="A83:B83"/>
    <mergeCell ref="A84:B84"/>
    <mergeCell ref="A85:B85"/>
    <mergeCell ref="A98:B98"/>
    <mergeCell ref="A99:B99"/>
    <mergeCell ref="A100:B100"/>
    <mergeCell ref="A95:B95"/>
    <mergeCell ref="A96:B96"/>
    <mergeCell ref="A97:B97"/>
    <mergeCell ref="A92:B92"/>
    <mergeCell ref="A93:B93"/>
    <mergeCell ref="A94:B94"/>
    <mergeCell ref="A107:B107"/>
    <mergeCell ref="A108:B108"/>
    <mergeCell ref="A109:B109"/>
    <mergeCell ref="A104:B104"/>
    <mergeCell ref="A105:B105"/>
    <mergeCell ref="A106:B106"/>
    <mergeCell ref="A101:B101"/>
    <mergeCell ref="A102:B102"/>
    <mergeCell ref="A103:B103"/>
    <mergeCell ref="A116:B116"/>
    <mergeCell ref="A117:B117"/>
    <mergeCell ref="A118:B118"/>
    <mergeCell ref="A113:B113"/>
    <mergeCell ref="A114:B114"/>
    <mergeCell ref="A115:B115"/>
    <mergeCell ref="A110:B110"/>
    <mergeCell ref="A111:B111"/>
    <mergeCell ref="A112:B112"/>
    <mergeCell ref="A140:B140"/>
    <mergeCell ref="A141:B141"/>
    <mergeCell ref="A119:B119"/>
    <mergeCell ref="A120:B120"/>
    <mergeCell ref="A121:B121"/>
    <mergeCell ref="A142:H142"/>
    <mergeCell ref="A137:B137"/>
    <mergeCell ref="A138:B138"/>
    <mergeCell ref="A139:B139"/>
    <mergeCell ref="A134:B134"/>
    <mergeCell ref="A135:B135"/>
    <mergeCell ref="A136:B136"/>
    <mergeCell ref="A122:B122"/>
    <mergeCell ref="A123:B123"/>
    <mergeCell ref="A124:B124"/>
    <mergeCell ref="A131:B131"/>
    <mergeCell ref="A132:B132"/>
    <mergeCell ref="A133:B133"/>
    <mergeCell ref="A128:B128"/>
    <mergeCell ref="A129:B129"/>
    <mergeCell ref="A130:B130"/>
    <mergeCell ref="A125:B125"/>
    <mergeCell ref="A126:B126"/>
    <mergeCell ref="A127:B127"/>
  </mergeCells>
  <conditionalFormatting sqref="A10:H142">
    <cfRule type="expression" dxfId="287" priority="5">
      <formula>$D$6="affected"</formula>
    </cfRule>
  </conditionalFormatting>
  <conditionalFormatting sqref="A23:H24">
    <cfRule type="expression" dxfId="286" priority="9">
      <formula>OR($D$18="vertical fixed roof",$D$18="horizontal fixed roof")</formula>
    </cfRule>
  </conditionalFormatting>
  <conditionalFormatting sqref="C31:H31">
    <cfRule type="duplicateValues" dxfId="285" priority="1"/>
  </conditionalFormatting>
  <conditionalFormatting sqref="D20:E20">
    <cfRule type="expression" dxfId="284" priority="3">
      <formula>AND($D$20&gt;=11,COUNTIF($D$18,"*floating*")&gt;0)</formula>
    </cfRule>
  </conditionalFormatting>
  <conditionalFormatting sqref="D22:E22">
    <cfRule type="expression" dxfId="282" priority="2">
      <formula>COUNTIF($F$22,"*revise*")&gt;0</formula>
    </cfRule>
  </conditionalFormatting>
  <dataValidations count="24">
    <dataValidation type="list" allowBlank="1" showInputMessage="1" showErrorMessage="1" sqref="M42" xr:uid="{2333CE4E-FE2A-40FD-8EAC-255D2BEA4D3F}">
      <formula1>ProdList</formula1>
    </dataValidation>
    <dataValidation type="list" allowBlank="1" showErrorMessage="1" prompt="select an option" sqref="D6:H6" xr:uid="{94FD990E-D0A8-4826-81CE-586EAB967737}">
      <formula1>"Affected,Modified,New"</formula1>
    </dataValidation>
    <dataValidation allowBlank="1" showErrorMessage="1" prompt="enter the FIN" sqref="D7:H7" xr:uid="{E708BF00-7F42-4AD5-A12B-9922D3670325}"/>
    <dataValidation allowBlank="1" showErrorMessage="1" prompt="enter the epn" sqref="D8:H8" xr:uid="{97008B2A-C2F7-415E-8DB7-D2CAE6D9A374}"/>
    <dataValidation allowBlank="1" showErrorMessage="1" prompt="enter the source name" sqref="D9:H9" xr:uid="{97C771FE-9123-4455-98A0-258F61648E7B}"/>
    <dataValidation allowBlank="1" showErrorMessage="1" prompt="enter the utm coordinate-easting in meters_x000a_" sqref="D10:H10" xr:uid="{190D441A-1E0A-402B-B281-4A6FBE356680}"/>
    <dataValidation allowBlank="1" showErrorMessage="1" prompt="enter the utm coordinate-northing in meters" sqref="D11:H11" xr:uid="{7173AFDD-C6AF-42BF-ACCD-1EB5CA27DD08}"/>
    <dataValidation type="decimal" operator="greaterThanOrEqual" allowBlank="1" showErrorMessage="1" prompt="enter the distance to the property line in feet" sqref="D15:E15" xr:uid="{A545BD72-A62A-4B4D-A8FE-701FC79A18FC}">
      <formula1>25</formula1>
    </dataValidation>
    <dataValidation type="decimal" operator="greaterThanOrEqual" allowBlank="1" showErrorMessage="1" prompt="enter the release height in feet" sqref="D16:E16" xr:uid="{82E4F3FC-CAF8-4963-B23C-D479055F6605}">
      <formula1>3</formula1>
    </dataValidation>
    <dataValidation allowBlank="1" showErrorMessage="1" prompt="enter the capacity" sqref="D19:E19" xr:uid="{FB1263F6-CC05-42EA-960A-191ED6A268C4}"/>
    <dataValidation type="list" allowBlank="1" showInputMessage="1" showErrorMessage="1" prompt="select the tank type" sqref="D19:E19" xr:uid="{38E510F7-B9AE-4955-81EF-C0B41D32A9F8}">
      <formula1>"vertical fixed roof,horizontal fixed roof,internal floating roof,external floating roof"</formula1>
    </dataValidation>
    <dataValidation type="decimal" operator="lessThanOrEqual" allowBlank="1" showErrorMessage="1" prompt="enter the true vapor pressure at maximum liquid surface temperature in psia" sqref="D20:E20" xr:uid="{67F15E8B-6D5D-476F-8624-8CA41471269D}">
      <formula1>IF(COUNTIF($D$18,"*floating*")&gt;0,10.99999,IF(COUNTIF($D$18,"*fixed*"),10000,""))</formula1>
    </dataValidation>
    <dataValidation type="decimal" operator="lessThanOrEqual" allowBlank="1" showErrorMessage="1" error="The minimum can't exceed the maximum." prompt="enter the true vapor pressure at minimu liquid surface temperature (psia)" sqref="D21:E21" xr:uid="{591684B6-BAE6-4762-812B-502E362AC926}">
      <formula1>D20</formula1>
    </dataValidation>
    <dataValidation type="list" allowBlank="1" showErrorMessage="1" prompt="select yes or no" sqref="D25:E26" xr:uid="{A587D2C3-164D-4BBB-A8CF-0400E8E6226C}">
      <formula1>"Yes,No"</formula1>
    </dataValidation>
    <dataValidation allowBlank="1" showErrorMessage="1" prompt="proposed annual throughput increase in tons per year" sqref="D32 D43 D54 D65 D76 D87 D98 D109 D120 D131" xr:uid="{9FBCC42D-10F2-43F1-AFBC-50919F86463A}"/>
    <dataValidation type="list" allowBlank="1" showErrorMessage="1" prompt="select a seal type" sqref="D23:E23" xr:uid="{0285A15D-E309-4CD9-B571-365C89A6E4CF}">
      <formula1>IF(OR($D$18="vertical fixed roof",$D$18="horizontal fixed roof"),Pfixed,IF($D$18="internal floating roof",PIFR,PEFR))</formula1>
    </dataValidation>
    <dataValidation type="list" allowBlank="1" showErrorMessage="1" prompt="select a seal type" sqref="D24:E24" xr:uid="{A04E297E-ABB3-4056-8A3D-6ED74E975690}">
      <formula1>IF(OR($D$18="vertical fixed roof",$D$18="horizontal fixed roof"),Pfixed,IF($D$18="external floating roof",SEFR,IF(AND($D$18="internal floating roof",$D$23="vapor-mounted"),SIFRv,SIFRml)))</formula1>
    </dataValidation>
    <dataValidation type="list" allowBlank="1" showErrorMessage="1" prompt="select one" sqref="D22:E22" xr:uid="{FDF9B795-0DED-42B8-989C-E487374EF461}">
      <formula1>IF(COUNTIF($D$18,"*fixed*"),IF($D$20&gt;=11,TnkLoad_Ctrl_req,IF(OR($D$19&lt;25000,$D$20&lt;0.5),TnkLoad_Ctrl_notreq,TnkLoad_Ctrl_req)),TnkLoad_Ctrl_notreq)</formula1>
    </dataValidation>
    <dataValidation type="list" allowBlank="1" showErrorMessage="1" prompt="select the tank type" sqref="D18:E18" xr:uid="{AFBA49DB-DC79-490B-9443-3F2F743B1117}">
      <formula1>"vertical fixed roof,horizontal fixed roof,internal floating roof,external floating roof"</formula1>
    </dataValidation>
    <dataValidation type="list" allowBlank="1" showErrorMessage="1" prompt="select I agree" sqref="G29:H30" xr:uid="{490D34DA-35F1-456B-B2BB-793BE3BAA6A9}">
      <formula1>"I agree."</formula1>
    </dataValidation>
    <dataValidation type="list" allowBlank="1" showErrorMessage="1" prompt="select a product" sqref="A32:B32 A43:B43 A54:B54 A65:B65 A76:B76 A87:B87 A98:B98 A109:B109 A120:B120 A131:B131" xr:uid="{C9F65E67-0131-42D9-8D1E-E420D28C95CA}">
      <formula1>ProdList</formula1>
    </dataValidation>
    <dataValidation allowBlank="1" showErrorMessage="1" prompt="enter proposed hourly throughput increase in barrels per hour" sqref="C131 C120 C109 C98 C87 C76 C65 C54 C43 C32" xr:uid="{CA79237A-598A-430F-BD50-EFEC65BFFF42}"/>
    <dataValidation allowBlank="1" showErrorMessage="1" prompt="enter the proposed hourly emission increase in pounds per hour" sqref="G131 G120 G109 G98 G87 G65 G76 G54 G43 G32" xr:uid="{71DAC3EC-2B11-418A-BA28-F7FE36E13C12}"/>
    <dataValidation allowBlank="1" showErrorMessage="1" prompt="proposed annual emission increase in tons per year" sqref="H32 H43 H54 H65 H76 H87 H98 H109 H120 H131" xr:uid="{7AFC5F9B-EA2F-4060-9495-469A6DA79F96}"/>
  </dataValidations>
  <printOptions horizontalCentered="1"/>
  <pageMargins left="0.7" right="0.7" top="0.75" bottom="0.75" header="0.3" footer="0.3"/>
  <pageSetup scale="89" orientation="landscape" r:id="rId1"/>
  <headerFooter>
    <oddHeader>&amp;C&amp;"Calibri,Regular"Marine Loading RAP Application</oddHeader>
    <oddFooter>&amp;L&amp;"Calibri,Regular"Version 1.0&amp;C&amp;"Calibri,Regular"Sheet: &amp;A&amp;R&amp;"Calibri,Regular"Page &amp;P</oddFooter>
  </headerFooter>
  <extLst>
    <ext xmlns:x14="http://schemas.microsoft.com/office/spreadsheetml/2009/9/main" uri="{78C0D931-6437-407d-A8EE-F0AAD7539E65}">
      <x14:conditionalFormattings>
        <x14:conditionalFormatting xmlns:xm="http://schemas.microsoft.com/office/excel/2006/main">
          <x14:cfRule type="expression" priority="6" id="{4874CA43-2FFF-46D6-9462-0695121277F9}">
            <xm:f>AND('PI-1-MarineLoading'!$G$115&lt;&gt;"",'PI-1-MarineLoading'!$G$115&lt;&gt;1,'PI-1-MarineLoading'!$G$115&lt;&gt;2,'PI-1-MarineLoading'!$G$115&lt;&gt;3,'PI-1-MarineLoading'!$G$115&lt;&gt;4,'PI-1-MarineLoading'!$G$115&lt;&gt;5)</xm:f>
            <x14:dxf>
              <numFmt numFmtId="164" formatCode=";;;"/>
              <fill>
                <patternFill>
                  <bgColor theme="0" tint="-0.499984740745262"/>
                </patternFill>
              </fill>
            </x14:dxf>
          </x14:cfRule>
          <xm:sqref>A1:H142</xm:sqref>
        </x14:conditionalFormatting>
        <x14:conditionalFormatting xmlns:xm="http://schemas.microsoft.com/office/excel/2006/main">
          <x14:cfRule type="expression" priority="4" id="{F9233DFB-55B7-4515-AB09-57C56739DAE0}">
            <xm:f>$D$20&lt;MAX(IFERROR(VLOOKUP($A$32,Products!$A$59:$C$158,3,FALSE),0),IFERROR(VLOOKUP($A$43,Products!$A$59:$C$158,3,FALSE),0),IFERROR(VLOOKUP($A$54,Products!$A$59:$C$158,3,FALSE),0),IFERROR(VLOOKUP($A$65,Products!$A$59:$C$158,3,FALSE),0),IFERROR(VLOOKUP($A$76,Products!$A$59:$C$158,3,FALSE),0),IFERROR(VLOOKUP($A$87,Products!$A$59:$C$158,3,FALSE),0),IFERROR(VLOOKUP($A$98,Products!$A$59:$C$158,3,FALSE),0),IFERROR(VLOOKUP($A$109,Products!$A$59:$C$158,3,FALSE),0),IFERROR(VLOOKUP($A$120,Products!$A$59:$C$158,3,FALSE),0),IFERROR(VLOOKUP($A$131,Products!$A$59:$C$158,3,FALSE),0))</xm:f>
            <x14:dxf>
              <fill>
                <patternFill>
                  <bgColor rgb="FFEBB8B7"/>
                </patternFill>
              </fill>
            </x14:dxf>
          </x14:cfRule>
          <xm:sqref>D20:E20</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239550-2F44-4C57-B788-DA449F1870C5}">
  <sheetPr codeName="Sheet6">
    <tabColor rgb="FFFFFFCC"/>
  </sheetPr>
  <dimension ref="A1:J142"/>
  <sheetViews>
    <sheetView showGridLines="0" zoomScaleNormal="100" workbookViewId="0">
      <selection sqref="A1:H1"/>
    </sheetView>
  </sheetViews>
  <sheetFormatPr defaultColWidth="0" defaultRowHeight="14.25" zeroHeight="1" x14ac:dyDescent="0.2"/>
  <cols>
    <col min="1" max="4" width="14.75" customWidth="1"/>
    <col min="5" max="5" width="25.125" customWidth="1"/>
    <col min="6" max="8" width="13.25" customWidth="1"/>
    <col min="9" max="9" width="2.625" customWidth="1"/>
    <col min="10" max="16384" width="9" hidden="1"/>
  </cols>
  <sheetData>
    <row r="1" spans="1:8" ht="8.25" customHeight="1" thickBot="1" x14ac:dyDescent="0.25">
      <c r="A1" s="478" t="s">
        <v>0</v>
      </c>
      <c r="B1" s="478"/>
      <c r="C1" s="478"/>
      <c r="D1" s="478"/>
      <c r="E1" s="478"/>
      <c r="F1" s="478"/>
      <c r="G1" s="478"/>
      <c r="H1" s="478"/>
    </row>
    <row r="2" spans="1:8" ht="18.75" thickBot="1" x14ac:dyDescent="0.25">
      <c r="A2" s="525" t="s">
        <v>323</v>
      </c>
      <c r="B2" s="525"/>
      <c r="C2" s="525"/>
      <c r="D2" s="525"/>
      <c r="E2" s="525"/>
      <c r="F2" s="525"/>
      <c r="G2" s="525"/>
      <c r="H2" s="525"/>
    </row>
    <row r="3" spans="1:8" ht="216" customHeight="1" thickBot="1" x14ac:dyDescent="0.25">
      <c r="A3" s="523" t="s">
        <v>9770</v>
      </c>
      <c r="B3" s="602"/>
      <c r="C3" s="602"/>
      <c r="D3" s="602"/>
      <c r="E3" s="602"/>
      <c r="F3" s="602"/>
      <c r="G3" s="602"/>
      <c r="H3" s="524"/>
    </row>
    <row r="4" spans="1:8" ht="15" thickBot="1" x14ac:dyDescent="0.25">
      <c r="A4" s="478" t="s">
        <v>1</v>
      </c>
      <c r="B4" s="478"/>
      <c r="C4" s="478"/>
      <c r="D4" s="478"/>
      <c r="E4" s="478"/>
      <c r="F4" s="478"/>
      <c r="G4" s="478"/>
      <c r="H4" s="478"/>
    </row>
    <row r="5" spans="1:8" ht="15.75" thickBot="1" x14ac:dyDescent="0.25">
      <c r="A5" s="479" t="s">
        <v>133</v>
      </c>
      <c r="B5" s="479"/>
      <c r="C5" s="479"/>
      <c r="D5" s="479"/>
      <c r="E5" s="479"/>
      <c r="F5" s="479"/>
      <c r="G5" s="479"/>
      <c r="H5" s="479"/>
    </row>
    <row r="6" spans="1:8" x14ac:dyDescent="0.2">
      <c r="A6" s="528" t="s">
        <v>166</v>
      </c>
      <c r="B6" s="529"/>
      <c r="C6" s="529"/>
      <c r="D6" s="579"/>
      <c r="E6" s="579"/>
      <c r="F6" s="579"/>
      <c r="G6" s="579"/>
      <c r="H6" s="580"/>
    </row>
    <row r="7" spans="1:8" x14ac:dyDescent="0.2">
      <c r="A7" s="528" t="s">
        <v>167</v>
      </c>
      <c r="B7" s="529"/>
      <c r="C7" s="529"/>
      <c r="D7" s="579"/>
      <c r="E7" s="579"/>
      <c r="F7" s="579"/>
      <c r="G7" s="579"/>
      <c r="H7" s="580"/>
    </row>
    <row r="8" spans="1:8" x14ac:dyDescent="0.2">
      <c r="A8" s="528" t="s">
        <v>168</v>
      </c>
      <c r="B8" s="529"/>
      <c r="C8" s="529"/>
      <c r="D8" s="579"/>
      <c r="E8" s="579"/>
      <c r="F8" s="579"/>
      <c r="G8" s="579"/>
      <c r="H8" s="580"/>
    </row>
    <row r="9" spans="1:8" x14ac:dyDescent="0.2">
      <c r="A9" s="528" t="s">
        <v>169</v>
      </c>
      <c r="B9" s="529"/>
      <c r="C9" s="529"/>
      <c r="D9" s="579"/>
      <c r="E9" s="579"/>
      <c r="F9" s="579"/>
      <c r="G9" s="579"/>
      <c r="H9" s="580"/>
    </row>
    <row r="10" spans="1:8" x14ac:dyDescent="0.2">
      <c r="A10" s="528" t="s">
        <v>170</v>
      </c>
      <c r="B10" s="529"/>
      <c r="C10" s="529"/>
      <c r="D10" s="579"/>
      <c r="E10" s="579"/>
      <c r="F10" s="579"/>
      <c r="G10" s="579"/>
      <c r="H10" s="580"/>
    </row>
    <row r="11" spans="1:8" ht="15" thickBot="1" x14ac:dyDescent="0.25">
      <c r="A11" s="548" t="s">
        <v>171</v>
      </c>
      <c r="B11" s="549"/>
      <c r="C11" s="549"/>
      <c r="D11" s="577"/>
      <c r="E11" s="577"/>
      <c r="F11" s="577"/>
      <c r="G11" s="577"/>
      <c r="H11" s="578"/>
    </row>
    <row r="12" spans="1:8" ht="15" thickBot="1" x14ac:dyDescent="0.25">
      <c r="A12" s="478" t="s">
        <v>1</v>
      </c>
      <c r="B12" s="478"/>
      <c r="C12" s="478"/>
      <c r="D12" s="478"/>
      <c r="E12" s="478"/>
      <c r="F12" s="478"/>
      <c r="G12" s="478"/>
      <c r="H12" s="478"/>
    </row>
    <row r="13" spans="1:8" ht="15.75" thickBot="1" x14ac:dyDescent="0.25">
      <c r="A13" s="479" t="s">
        <v>9166</v>
      </c>
      <c r="B13" s="479"/>
      <c r="C13" s="479"/>
      <c r="D13" s="479"/>
      <c r="E13" s="479"/>
      <c r="F13" s="479"/>
      <c r="G13" s="479"/>
      <c r="H13" s="479"/>
    </row>
    <row r="14" spans="1:8" ht="15" x14ac:dyDescent="0.2">
      <c r="A14" s="506" t="s">
        <v>9167</v>
      </c>
      <c r="B14" s="507"/>
      <c r="C14" s="507"/>
      <c r="D14" s="663" t="s">
        <v>172</v>
      </c>
      <c r="E14" s="663"/>
      <c r="F14" s="664" t="s">
        <v>8723</v>
      </c>
      <c r="G14" s="664"/>
      <c r="H14" s="665"/>
    </row>
    <row r="15" spans="1:8" ht="14.25" customHeight="1" x14ac:dyDescent="0.2">
      <c r="A15" s="528" t="s">
        <v>176</v>
      </c>
      <c r="B15" s="529"/>
      <c r="C15" s="529"/>
      <c r="D15" s="579"/>
      <c r="E15" s="579"/>
      <c r="F15" s="672" t="s">
        <v>9155</v>
      </c>
      <c r="G15" s="672"/>
      <c r="H15" s="673"/>
    </row>
    <row r="16" spans="1:8" ht="15" customHeight="1" thickBot="1" x14ac:dyDescent="0.25">
      <c r="A16" s="548" t="s">
        <v>177</v>
      </c>
      <c r="B16" s="549"/>
      <c r="C16" s="549"/>
      <c r="D16" s="577"/>
      <c r="E16" s="577"/>
      <c r="F16" s="674" t="s">
        <v>9156</v>
      </c>
      <c r="G16" s="674"/>
      <c r="H16" s="675"/>
    </row>
    <row r="17" spans="1:10" ht="15" x14ac:dyDescent="0.2">
      <c r="A17" s="506" t="s">
        <v>9168</v>
      </c>
      <c r="B17" s="507"/>
      <c r="C17" s="507"/>
      <c r="D17" s="663" t="s">
        <v>172</v>
      </c>
      <c r="E17" s="663"/>
      <c r="F17" s="664" t="s">
        <v>8723</v>
      </c>
      <c r="G17" s="664"/>
      <c r="H17" s="665"/>
    </row>
    <row r="18" spans="1:10" ht="14.25" customHeight="1" x14ac:dyDescent="0.2">
      <c r="A18" s="528" t="s">
        <v>173</v>
      </c>
      <c r="B18" s="529"/>
      <c r="C18" s="529"/>
      <c r="D18" s="579"/>
      <c r="E18" s="579"/>
      <c r="F18" s="658" t="s">
        <v>9361</v>
      </c>
      <c r="G18" s="658"/>
      <c r="H18" s="659"/>
    </row>
    <row r="19" spans="1:10" ht="14.25" customHeight="1" x14ac:dyDescent="0.2">
      <c r="A19" s="528" t="s">
        <v>10823</v>
      </c>
      <c r="B19" s="529"/>
      <c r="C19" s="529"/>
      <c r="D19" s="579"/>
      <c r="E19" s="579"/>
      <c r="F19" s="658" t="s">
        <v>9361</v>
      </c>
      <c r="G19" s="658"/>
      <c r="H19" s="659"/>
    </row>
    <row r="20" spans="1:10" ht="46.5" customHeight="1" x14ac:dyDescent="0.2">
      <c r="A20" s="530" t="s">
        <v>10817</v>
      </c>
      <c r="B20" s="531"/>
      <c r="C20" s="531"/>
      <c r="D20" s="662"/>
      <c r="E20" s="662"/>
      <c r="F20" s="656" t="str">
        <f t="shared" ref="F20" si="0">IF(OR($D$18="",$D$19=""),"",IF(COUNTIF($D$18,"*floating*")&gt;0,"less than 11.0 psia",IF(COUNTIF($D$18,"*fixed*"),IF($D$19&lt;25000,"less than 11.0 psia if uncontrolled; no maximum if controlled","less than 0.5 psia if uncontrolled; no maximum if controlled"))))</f>
        <v/>
      </c>
      <c r="G20" s="656"/>
      <c r="H20" s="657"/>
    </row>
    <row r="21" spans="1:10" ht="46.5" customHeight="1" x14ac:dyDescent="0.2">
      <c r="A21" s="530" t="s">
        <v>10818</v>
      </c>
      <c r="B21" s="531"/>
      <c r="C21" s="531"/>
      <c r="D21" s="579"/>
      <c r="E21" s="579"/>
      <c r="F21" s="658" t="s">
        <v>9361</v>
      </c>
      <c r="G21" s="658"/>
      <c r="H21" s="659"/>
    </row>
    <row r="22" spans="1:10" ht="46.5" customHeight="1" x14ac:dyDescent="0.2">
      <c r="A22" s="528" t="s">
        <v>175</v>
      </c>
      <c r="B22" s="529"/>
      <c r="C22" s="529"/>
      <c r="D22" s="678"/>
      <c r="E22" s="678"/>
      <c r="F22" s="466" t="str">
        <f t="shared" ref="F22" si="1">IF($D$18="","",IF(COUNTIF($D$18,"*fixed*"),IF($D$20&gt;=11,"control required",IF(OR($D$19&lt;25000,$D$20&lt;0.5),"control not required","control required")),IF($D$20&lt;11,"control not required","regardless of control storage of products in a floating roof tank with TVP equal to or greater than 11.0 psia is not allowed, revise row 18 and/or 20")))</f>
        <v/>
      </c>
      <c r="G22" s="466"/>
      <c r="H22" s="466"/>
      <c r="I22" s="89"/>
    </row>
    <row r="23" spans="1:10" ht="50.25" customHeight="1" x14ac:dyDescent="0.2">
      <c r="A23" s="528" t="s">
        <v>8688</v>
      </c>
      <c r="B23" s="529"/>
      <c r="C23" s="529"/>
      <c r="D23" s="579"/>
      <c r="E23" s="579"/>
      <c r="F23" s="656" t="str">
        <f>IF(OR($D$18="horizontal fixed roof",$D$18="vertical fixed roof"),"",IF($D$18="external floating roof","mechanical or liquid-mounted",IF($D$18="internal floating roof","mechanical or liquid-mounted primary seal OR vapor-mounted primary seal with secondary seal","")))</f>
        <v/>
      </c>
      <c r="G23" s="656"/>
      <c r="H23" s="657"/>
    </row>
    <row r="24" spans="1:10" ht="60" customHeight="1" x14ac:dyDescent="0.2">
      <c r="A24" s="528" t="s">
        <v>8689</v>
      </c>
      <c r="B24" s="529"/>
      <c r="C24" s="529"/>
      <c r="D24" s="579"/>
      <c r="E24" s="579"/>
      <c r="F24" s="656" t="str">
        <f>IF(OR($D$18="horizontal fixed roof",$D$18="vertical fixed roof"),"",IF($D$18="external floating roof","rim-mounted",IF(AND($D$18="internal floating roof",$D$23="vapor-mounted"),"rim-mounted","")))</f>
        <v/>
      </c>
      <c r="G24" s="656"/>
      <c r="H24" s="657"/>
    </row>
    <row r="25" spans="1:10" ht="14.25" customHeight="1" x14ac:dyDescent="0.2">
      <c r="A25" s="528" t="s">
        <v>174</v>
      </c>
      <c r="B25" s="529"/>
      <c r="C25" s="529"/>
      <c r="D25" s="579"/>
      <c r="E25" s="579"/>
      <c r="F25" s="658" t="s">
        <v>9361</v>
      </c>
      <c r="G25" s="658"/>
      <c r="H25" s="659"/>
    </row>
    <row r="26" spans="1:10" ht="32.25" customHeight="1" thickBot="1" x14ac:dyDescent="0.25">
      <c r="A26" s="483" t="s">
        <v>9534</v>
      </c>
      <c r="B26" s="484"/>
      <c r="C26" s="484"/>
      <c r="D26" s="577"/>
      <c r="E26" s="577"/>
      <c r="F26" s="660" t="s">
        <v>9361</v>
      </c>
      <c r="G26" s="660"/>
      <c r="H26" s="661"/>
    </row>
    <row r="27" spans="1:10" ht="15" thickBot="1" x14ac:dyDescent="0.25">
      <c r="A27" s="478" t="s">
        <v>1</v>
      </c>
      <c r="B27" s="478"/>
      <c r="C27" s="478"/>
      <c r="D27" s="478"/>
      <c r="E27" s="478"/>
      <c r="F27" s="478"/>
      <c r="G27" s="478"/>
      <c r="H27" s="478"/>
    </row>
    <row r="28" spans="1:10" ht="15" x14ac:dyDescent="0.2">
      <c r="A28" s="474" t="s">
        <v>9165</v>
      </c>
      <c r="B28" s="474"/>
      <c r="C28" s="474"/>
      <c r="D28" s="474"/>
      <c r="E28" s="474"/>
      <c r="F28" s="474"/>
      <c r="G28" s="474"/>
      <c r="H28" s="474"/>
    </row>
    <row r="29" spans="1:10" ht="43.5" customHeight="1" x14ac:dyDescent="0.2">
      <c r="A29" s="530" t="s">
        <v>344</v>
      </c>
      <c r="B29" s="531"/>
      <c r="C29" s="531"/>
      <c r="D29" s="531"/>
      <c r="E29" s="531"/>
      <c r="F29" s="531"/>
      <c r="G29" s="579"/>
      <c r="H29" s="580"/>
    </row>
    <row r="30" spans="1:10" ht="45.75" customHeight="1" thickBot="1" x14ac:dyDescent="0.25">
      <c r="A30" s="483" t="s">
        <v>345</v>
      </c>
      <c r="B30" s="484"/>
      <c r="C30" s="484"/>
      <c r="D30" s="484"/>
      <c r="E30" s="484"/>
      <c r="F30" s="484"/>
      <c r="G30" s="577"/>
      <c r="H30" s="578"/>
    </row>
    <row r="31" spans="1:10" ht="81.75" customHeight="1" x14ac:dyDescent="0.2">
      <c r="A31" s="676" t="s">
        <v>9179</v>
      </c>
      <c r="B31" s="677"/>
      <c r="C31" s="49" t="str">
        <f>IF($D$6="modified","Proposed increase in hourly throughput (bbl/hr)","Proposed hourly throughput (bbl/hr)")</f>
        <v>Proposed hourly throughput (bbl/hr)</v>
      </c>
      <c r="D31" s="327" t="str">
        <f>IF($D$6="modified","Proposed increase in annual throughput (bbl/yr)","Proposed annual throughput (bbl/yr)")</f>
        <v>Proposed annual throughput (bbl/yr)</v>
      </c>
      <c r="E31" s="401" t="s">
        <v>8751</v>
      </c>
      <c r="F31" s="249" t="s">
        <v>9180</v>
      </c>
      <c r="G31" s="249" t="str">
        <f>IF($D$6="modified","Proposed increase in hourly emissions (lb/hr)","Proposed hourly emissions (lb/hr)")</f>
        <v>Proposed hourly emissions (lb/hr)</v>
      </c>
      <c r="H31" s="250" t="str">
        <f>IF($D$6="modified","Proposed increase in annual emissions (tpy)","Proposed annual emissions (tpy)")</f>
        <v>Proposed annual emissions (tpy)</v>
      </c>
    </row>
    <row r="32" spans="1:10" x14ac:dyDescent="0.2">
      <c r="A32" s="651"/>
      <c r="B32" s="615"/>
      <c r="C32" s="75"/>
      <c r="D32" s="76"/>
      <c r="E32" s="73" t="s">
        <v>291</v>
      </c>
      <c r="F32" s="46">
        <v>1</v>
      </c>
      <c r="G32" s="40"/>
      <c r="H32" s="47"/>
      <c r="J32" s="123"/>
    </row>
    <row r="33" spans="1:8" x14ac:dyDescent="0.2">
      <c r="A33" s="627" t="str">
        <f>A32&amp;"A"</f>
        <v>A</v>
      </c>
      <c r="B33" s="628"/>
      <c r="C33" s="77" t="s">
        <v>9362</v>
      </c>
      <c r="D33" s="77" t="s">
        <v>9362</v>
      </c>
      <c r="E33" s="74" t="str">
        <f>IF($A$32="","",IF(VLOOKUP($A32,Products!$A$59:$H$159,5,FALSE)="","",VLOOKUP($A32,Products!$A$59:$H$159,5,FALSE)))</f>
        <v/>
      </c>
      <c r="F33" s="46" t="str">
        <f>IF($A$32="","",IF(VLOOKUP($A32,Products!$A$59:$H$159,8,FALSE)="","",VLOOKUP($A32,Products!$A$59:$H$159,8,FALSE)))</f>
        <v/>
      </c>
      <c r="G33" s="46" t="str">
        <f>IF($F33="","",$F33*$G$32)</f>
        <v/>
      </c>
      <c r="H33" s="51" t="str">
        <f>IF($F33="","",$F33*$H$32)</f>
        <v/>
      </c>
    </row>
    <row r="34" spans="1:8" x14ac:dyDescent="0.2">
      <c r="A34" s="649" t="str">
        <f t="shared" ref="A34:A42" si="2">A33&amp;"A"</f>
        <v>AA</v>
      </c>
      <c r="B34" s="650"/>
      <c r="C34" s="77" t="s">
        <v>9362</v>
      </c>
      <c r="D34" s="77" t="s">
        <v>9362</v>
      </c>
      <c r="E34" s="74" t="str">
        <f>IF($A$32="","",IF(VLOOKUP($A33,Products!$A$59:$H$159,5,FALSE)="","",VLOOKUP($A33,Products!$A$59:$H$159,5,FALSE)))</f>
        <v/>
      </c>
      <c r="F34" s="46" t="str">
        <f>IF($A$32="","",IF(VLOOKUP($A33,Products!$A$59:$H$159,8,FALSE)="","",VLOOKUP($A33,Products!$A$59:$H$159,8,FALSE)))</f>
        <v/>
      </c>
      <c r="G34" s="46" t="str">
        <f t="shared" ref="G34:G42" si="3">IF($F34="","",$F34*$G$32)</f>
        <v/>
      </c>
      <c r="H34" s="51" t="str">
        <f t="shared" ref="H34:H42" si="4">IF($F34="","",$F34*$H$32)</f>
        <v/>
      </c>
    </row>
    <row r="35" spans="1:8" x14ac:dyDescent="0.2">
      <c r="A35" s="649" t="str">
        <f t="shared" si="2"/>
        <v>AAA</v>
      </c>
      <c r="B35" s="650"/>
      <c r="C35" s="77" t="s">
        <v>9362</v>
      </c>
      <c r="D35" s="77" t="s">
        <v>9362</v>
      </c>
      <c r="E35" s="74" t="str">
        <f>IF($A$32="","",IF(VLOOKUP($A34,Products!$A$59:$H$159,5,FALSE)="","",VLOOKUP($A34,Products!$A$59:$H$159,5,FALSE)))</f>
        <v/>
      </c>
      <c r="F35" s="46" t="str">
        <f>IF($A$32="","",IF(VLOOKUP($A34,Products!$A$59:$H$159,8,FALSE)="","",VLOOKUP($A34,Products!$A$59:$H$159,8,FALSE)))</f>
        <v/>
      </c>
      <c r="G35" s="46" t="str">
        <f>IF($F35="","",$F35*$G$32)</f>
        <v/>
      </c>
      <c r="H35" s="51" t="str">
        <f t="shared" si="4"/>
        <v/>
      </c>
    </row>
    <row r="36" spans="1:8" x14ac:dyDescent="0.2">
      <c r="A36" s="649" t="str">
        <f t="shared" si="2"/>
        <v>AAAA</v>
      </c>
      <c r="B36" s="650"/>
      <c r="C36" s="77" t="s">
        <v>9362</v>
      </c>
      <c r="D36" s="77" t="s">
        <v>9362</v>
      </c>
      <c r="E36" s="74" t="str">
        <f>IF($A$32="","",IF(VLOOKUP($A35,Products!$A$59:$H$159,5,FALSE)="","",VLOOKUP($A35,Products!$A$59:$H$159,5,FALSE)))</f>
        <v/>
      </c>
      <c r="F36" s="46" t="str">
        <f>IF($A$32="","",IF(VLOOKUP($A35,Products!$A$59:$H$159,8,FALSE)="","",VLOOKUP($A35,Products!$A$59:$H$159,8,FALSE)))</f>
        <v/>
      </c>
      <c r="G36" s="46" t="str">
        <f t="shared" si="3"/>
        <v/>
      </c>
      <c r="H36" s="51" t="str">
        <f t="shared" si="4"/>
        <v/>
      </c>
    </row>
    <row r="37" spans="1:8" ht="14.25" customHeight="1" x14ac:dyDescent="0.2">
      <c r="A37" s="649" t="str">
        <f t="shared" si="2"/>
        <v>AAAAA</v>
      </c>
      <c r="B37" s="650"/>
      <c r="C37" s="77" t="s">
        <v>9362</v>
      </c>
      <c r="D37" s="77" t="s">
        <v>9362</v>
      </c>
      <c r="E37" s="74" t="str">
        <f>IF($A$32="","",IF(VLOOKUP($A36,Products!$A$59:$H$159,5,FALSE)="","",VLOOKUP($A36,Products!$A$59:$H$159,5,FALSE)))</f>
        <v/>
      </c>
      <c r="F37" s="46" t="str">
        <f>IF($A$32="","",IF(VLOOKUP($A36,Products!$A$59:$H$159,8,FALSE)="","",VLOOKUP($A36,Products!$A$59:$H$159,8,FALSE)))</f>
        <v/>
      </c>
      <c r="G37" s="46" t="str">
        <f t="shared" si="3"/>
        <v/>
      </c>
      <c r="H37" s="51" t="str">
        <f t="shared" si="4"/>
        <v/>
      </c>
    </row>
    <row r="38" spans="1:8" ht="14.25" customHeight="1" x14ac:dyDescent="0.2">
      <c r="A38" s="649" t="str">
        <f t="shared" si="2"/>
        <v>AAAAAA</v>
      </c>
      <c r="B38" s="650"/>
      <c r="C38" s="77" t="s">
        <v>9362</v>
      </c>
      <c r="D38" s="77" t="s">
        <v>9362</v>
      </c>
      <c r="E38" s="74" t="str">
        <f>IF($A$32="","",IF(VLOOKUP($A37,Products!$A$59:$H$159,5,FALSE)="","",VLOOKUP($A37,Products!$A$59:$H$159,5,FALSE)))</f>
        <v/>
      </c>
      <c r="F38" s="46" t="str">
        <f>IF($A$32="","",IF(VLOOKUP($A37,Products!$A$59:$H$159,8,FALSE)="","",VLOOKUP($A37,Products!$A$59:$H$159,8,FALSE)))</f>
        <v/>
      </c>
      <c r="G38" s="46" t="str">
        <f t="shared" si="3"/>
        <v/>
      </c>
      <c r="H38" s="51" t="str">
        <f t="shared" si="4"/>
        <v/>
      </c>
    </row>
    <row r="39" spans="1:8" ht="14.25" customHeight="1" x14ac:dyDescent="0.2">
      <c r="A39" s="649" t="str">
        <f t="shared" si="2"/>
        <v>AAAAAAA</v>
      </c>
      <c r="B39" s="650"/>
      <c r="C39" s="77" t="s">
        <v>9362</v>
      </c>
      <c r="D39" s="77" t="s">
        <v>9362</v>
      </c>
      <c r="E39" s="74" t="str">
        <f>IF($A$32="","",IF(VLOOKUP($A38,Products!$A$59:$H$159,5,FALSE)="","",VLOOKUP($A38,Products!$A$59:$H$159,5,FALSE)))</f>
        <v/>
      </c>
      <c r="F39" s="46" t="str">
        <f>IF($A$32="","",IF(VLOOKUP($A38,Products!$A$59:$H$159,8,FALSE)="","",VLOOKUP($A38,Products!$A$59:$H$159,8,FALSE)))</f>
        <v/>
      </c>
      <c r="G39" s="46" t="str">
        <f t="shared" si="3"/>
        <v/>
      </c>
      <c r="H39" s="51" t="str">
        <f t="shared" si="4"/>
        <v/>
      </c>
    </row>
    <row r="40" spans="1:8" ht="14.25" customHeight="1" x14ac:dyDescent="0.2">
      <c r="A40" s="649" t="str">
        <f t="shared" si="2"/>
        <v>AAAAAAAA</v>
      </c>
      <c r="B40" s="650"/>
      <c r="C40" s="77" t="s">
        <v>9362</v>
      </c>
      <c r="D40" s="77" t="s">
        <v>9362</v>
      </c>
      <c r="E40" s="74" t="str">
        <f>IF($A$32="","",IF(VLOOKUP($A39,Products!$A$59:$H$159,5,FALSE)="","",VLOOKUP($A39,Products!$A$59:$H$159,5,FALSE)))</f>
        <v/>
      </c>
      <c r="F40" s="46" t="str">
        <f>IF($A$32="","",IF(VLOOKUP($A39,Products!$A$59:$H$159,8,FALSE)="","",VLOOKUP($A39,Products!$A$59:$H$159,8,FALSE)))</f>
        <v/>
      </c>
      <c r="G40" s="46" t="str">
        <f t="shared" si="3"/>
        <v/>
      </c>
      <c r="H40" s="51" t="str">
        <f t="shared" si="4"/>
        <v/>
      </c>
    </row>
    <row r="41" spans="1:8" ht="14.25" customHeight="1" x14ac:dyDescent="0.2">
      <c r="A41" s="649" t="str">
        <f t="shared" si="2"/>
        <v>AAAAAAAAA</v>
      </c>
      <c r="B41" s="650"/>
      <c r="C41" s="77" t="s">
        <v>9362</v>
      </c>
      <c r="D41" s="77" t="s">
        <v>9362</v>
      </c>
      <c r="E41" s="74" t="str">
        <f>IF($A$32="","",IF(VLOOKUP($A40,Products!$A$59:$H$159,5,FALSE)="","",VLOOKUP($A40,Products!$A$59:$H$159,5,FALSE)))</f>
        <v/>
      </c>
      <c r="F41" s="46" t="str">
        <f>IF($A$32="","",IF(VLOOKUP($A40,Products!$A$59:$H$159,8,FALSE)="","",VLOOKUP($A40,Products!$A$59:$H$159,8,FALSE)))</f>
        <v/>
      </c>
      <c r="G41" s="46" t="str">
        <f t="shared" si="3"/>
        <v/>
      </c>
      <c r="H41" s="51" t="str">
        <f t="shared" si="4"/>
        <v/>
      </c>
    </row>
    <row r="42" spans="1:8" ht="14.25" customHeight="1" x14ac:dyDescent="0.2">
      <c r="A42" s="649" t="str">
        <f t="shared" si="2"/>
        <v>AAAAAAAAAA</v>
      </c>
      <c r="B42" s="650"/>
      <c r="C42" s="77" t="s">
        <v>9362</v>
      </c>
      <c r="D42" s="77" t="s">
        <v>9362</v>
      </c>
      <c r="E42" s="74" t="str">
        <f>IF($A$32="","",IF(VLOOKUP($A41,Products!$A$59:$H$159,5,FALSE)="","",VLOOKUP($A41,Products!$A$59:$H$159,5,FALSE)))</f>
        <v/>
      </c>
      <c r="F42" s="46" t="str">
        <f>IF($A$32="","",IF(VLOOKUP($A41,Products!$A$59:$H$159,8,FALSE)="","",VLOOKUP($A41,Products!$A$59:$H$159,8,FALSE)))</f>
        <v/>
      </c>
      <c r="G42" s="46" t="str">
        <f t="shared" si="3"/>
        <v/>
      </c>
      <c r="H42" s="51" t="str">
        <f t="shared" si="4"/>
        <v/>
      </c>
    </row>
    <row r="43" spans="1:8" ht="14.25" customHeight="1" x14ac:dyDescent="0.2">
      <c r="A43" s="651"/>
      <c r="B43" s="615"/>
      <c r="C43" s="75"/>
      <c r="D43" s="76"/>
      <c r="E43" s="73" t="s">
        <v>291</v>
      </c>
      <c r="F43" s="46">
        <v>1</v>
      </c>
      <c r="G43" s="40"/>
      <c r="H43" s="47"/>
    </row>
    <row r="44" spans="1:8" x14ac:dyDescent="0.2">
      <c r="A44" s="627" t="str">
        <f>A43&amp;"A"</f>
        <v>A</v>
      </c>
      <c r="B44" s="628"/>
      <c r="C44" s="77" t="s">
        <v>9362</v>
      </c>
      <c r="D44" s="77" t="s">
        <v>9362</v>
      </c>
      <c r="E44" s="74" t="str">
        <f>IF($A$43="","",IF(VLOOKUP($A43,Products!$A$59:$H$159,5,FALSE)="","",VLOOKUP($A43,Products!$A$59:$H$159,5,FALSE)))</f>
        <v/>
      </c>
      <c r="F44" s="46" t="str">
        <f>IF($A$43="","",IF(VLOOKUP($A43,Products!$A$59:$H$159,8,FALSE)="","",VLOOKUP($A43,Products!$A$59:$H$159,8,FALSE)))</f>
        <v/>
      </c>
      <c r="G44" s="46" t="str">
        <f>IF($F44="","",$F44*$G$43)</f>
        <v/>
      </c>
      <c r="H44" s="51" t="str">
        <f>IF($F44="","",$F44*$H$43)</f>
        <v/>
      </c>
    </row>
    <row r="45" spans="1:8" x14ac:dyDescent="0.2">
      <c r="A45" s="649" t="str">
        <f t="shared" ref="A45:A53" si="5">A44&amp;"A"</f>
        <v>AA</v>
      </c>
      <c r="B45" s="650"/>
      <c r="C45" s="77" t="s">
        <v>9362</v>
      </c>
      <c r="D45" s="77" t="s">
        <v>9362</v>
      </c>
      <c r="E45" s="74" t="str">
        <f>IF($A$43="","",IF(VLOOKUP($A44,Products!$A$59:$H$159,5,FALSE)="","",VLOOKUP($A44,Products!$A$59:$H$159,5,FALSE)))</f>
        <v/>
      </c>
      <c r="F45" s="46" t="str">
        <f>IF($A$43="","",IF(VLOOKUP($A44,Products!$A$59:$H$159,8,FALSE)="","",VLOOKUP($A44,Products!$A$59:$H$159,8,FALSE)))</f>
        <v/>
      </c>
      <c r="G45" s="46" t="str">
        <f t="shared" ref="G45:G53" si="6">IF($F45="","",$F45*$G$43)</f>
        <v/>
      </c>
      <c r="H45" s="51" t="str">
        <f t="shared" ref="H45:H53" si="7">IF($F45="","",$F45*$H$43)</f>
        <v/>
      </c>
    </row>
    <row r="46" spans="1:8" x14ac:dyDescent="0.2">
      <c r="A46" s="649" t="str">
        <f t="shared" si="5"/>
        <v>AAA</v>
      </c>
      <c r="B46" s="650"/>
      <c r="C46" s="77" t="s">
        <v>9362</v>
      </c>
      <c r="D46" s="77" t="s">
        <v>9362</v>
      </c>
      <c r="E46" s="74" t="str">
        <f>IF($A$43="","",IF(VLOOKUP($A45,Products!$A$59:$H$159,5,FALSE)="","",VLOOKUP($A45,Products!$A$59:$H$159,5,FALSE)))</f>
        <v/>
      </c>
      <c r="F46" s="46" t="str">
        <f>IF($A$43="","",IF(VLOOKUP($A45,Products!$A$59:$H$159,8,FALSE)="","",VLOOKUP($A45,Products!$A$59:$H$159,8,FALSE)))</f>
        <v/>
      </c>
      <c r="G46" s="46" t="str">
        <f t="shared" si="6"/>
        <v/>
      </c>
      <c r="H46" s="51" t="str">
        <f t="shared" si="7"/>
        <v/>
      </c>
    </row>
    <row r="47" spans="1:8" x14ac:dyDescent="0.2">
      <c r="A47" s="649" t="str">
        <f t="shared" si="5"/>
        <v>AAAA</v>
      </c>
      <c r="B47" s="650"/>
      <c r="C47" s="77" t="s">
        <v>9362</v>
      </c>
      <c r="D47" s="77" t="s">
        <v>9362</v>
      </c>
      <c r="E47" s="74" t="str">
        <f>IF($A$43="","",IF(VLOOKUP($A46,Products!$A$59:$H$159,5,FALSE)="","",VLOOKUP($A46,Products!$A$59:$H$159,5,FALSE)))</f>
        <v/>
      </c>
      <c r="F47" s="46" t="str">
        <f>IF($A$43="","",IF(VLOOKUP($A46,Products!$A$59:$H$159,8,FALSE)="","",VLOOKUP($A46,Products!$A$59:$H$159,8,FALSE)))</f>
        <v/>
      </c>
      <c r="G47" s="46" t="str">
        <f t="shared" si="6"/>
        <v/>
      </c>
      <c r="H47" s="51" t="str">
        <f t="shared" si="7"/>
        <v/>
      </c>
    </row>
    <row r="48" spans="1:8" x14ac:dyDescent="0.2">
      <c r="A48" s="649" t="str">
        <f t="shared" si="5"/>
        <v>AAAAA</v>
      </c>
      <c r="B48" s="650"/>
      <c r="C48" s="77" t="s">
        <v>9362</v>
      </c>
      <c r="D48" s="77" t="s">
        <v>9362</v>
      </c>
      <c r="E48" s="74" t="str">
        <f>IF($A$43="","",IF(VLOOKUP($A47,Products!$A$59:$H$159,5,FALSE)="","",VLOOKUP($A47,Products!$A$59:$H$159,5,FALSE)))</f>
        <v/>
      </c>
      <c r="F48" s="46" t="str">
        <f>IF($A$43="","",IF(VLOOKUP($A47,Products!$A$59:$H$159,8,FALSE)="","",VLOOKUP($A47,Products!$A$59:$H$159,8,FALSE)))</f>
        <v/>
      </c>
      <c r="G48" s="46" t="str">
        <f t="shared" si="6"/>
        <v/>
      </c>
      <c r="H48" s="51" t="str">
        <f t="shared" si="7"/>
        <v/>
      </c>
    </row>
    <row r="49" spans="1:8" x14ac:dyDescent="0.2">
      <c r="A49" s="649" t="str">
        <f t="shared" si="5"/>
        <v>AAAAAA</v>
      </c>
      <c r="B49" s="650"/>
      <c r="C49" s="77" t="s">
        <v>9362</v>
      </c>
      <c r="D49" s="77" t="s">
        <v>9362</v>
      </c>
      <c r="E49" s="74" t="str">
        <f>IF($A$43="","",IF(VLOOKUP($A48,Products!$A$59:$H$159,5,FALSE)="","",VLOOKUP($A48,Products!$A$59:$H$159,5,FALSE)))</f>
        <v/>
      </c>
      <c r="F49" s="46" t="str">
        <f>IF($A$43="","",IF(VLOOKUP($A48,Products!$A$59:$H$159,8,FALSE)="","",VLOOKUP($A48,Products!$A$59:$H$159,8,FALSE)))</f>
        <v/>
      </c>
      <c r="G49" s="46" t="str">
        <f>IF($F49="","",$F49*$G$43)</f>
        <v/>
      </c>
      <c r="H49" s="51" t="str">
        <f>IF($F49="","",$F49*$H$43)</f>
        <v/>
      </c>
    </row>
    <row r="50" spans="1:8" x14ac:dyDescent="0.2">
      <c r="A50" s="649" t="str">
        <f t="shared" si="5"/>
        <v>AAAAAAA</v>
      </c>
      <c r="B50" s="650"/>
      <c r="C50" s="77" t="s">
        <v>9362</v>
      </c>
      <c r="D50" s="77" t="s">
        <v>9362</v>
      </c>
      <c r="E50" s="74" t="str">
        <f>IF($A$43="","",IF(VLOOKUP($A49,Products!$A$59:$H$159,5,FALSE)="","",VLOOKUP($A49,Products!$A$59:$H$159,5,FALSE)))</f>
        <v/>
      </c>
      <c r="F50" s="46" t="str">
        <f>IF($A$43="","",IF(VLOOKUP($A49,Products!$A$59:$H$159,8,FALSE)="","",VLOOKUP($A49,Products!$A$59:$H$159,8,FALSE)))</f>
        <v/>
      </c>
      <c r="G50" s="46" t="str">
        <f t="shared" si="6"/>
        <v/>
      </c>
      <c r="H50" s="51" t="str">
        <f t="shared" si="7"/>
        <v/>
      </c>
    </row>
    <row r="51" spans="1:8" x14ac:dyDescent="0.2">
      <c r="A51" s="649" t="str">
        <f t="shared" si="5"/>
        <v>AAAAAAAA</v>
      </c>
      <c r="B51" s="650"/>
      <c r="C51" s="77" t="s">
        <v>9362</v>
      </c>
      <c r="D51" s="77" t="s">
        <v>9362</v>
      </c>
      <c r="E51" s="74" t="str">
        <f>IF($A$43="","",IF(VLOOKUP($A50,Products!$A$59:$H$159,5,FALSE)="","",VLOOKUP($A50,Products!$A$59:$H$159,5,FALSE)))</f>
        <v/>
      </c>
      <c r="F51" s="46" t="str">
        <f>IF($A$43="","",IF(VLOOKUP($A50,Products!$A$59:$H$159,8,FALSE)="","",VLOOKUP($A50,Products!$A$59:$H$159,8,FALSE)))</f>
        <v/>
      </c>
      <c r="G51" s="46" t="str">
        <f t="shared" si="6"/>
        <v/>
      </c>
      <c r="H51" s="51" t="str">
        <f t="shared" si="7"/>
        <v/>
      </c>
    </row>
    <row r="52" spans="1:8" x14ac:dyDescent="0.2">
      <c r="A52" s="649" t="str">
        <f t="shared" si="5"/>
        <v>AAAAAAAAA</v>
      </c>
      <c r="B52" s="650"/>
      <c r="C52" s="77" t="s">
        <v>9362</v>
      </c>
      <c r="D52" s="77" t="s">
        <v>9362</v>
      </c>
      <c r="E52" s="74" t="str">
        <f>IF($A$43="","",IF(VLOOKUP($A51,Products!$A$59:$H$159,5,FALSE)="","",VLOOKUP($A51,Products!$A$59:$H$159,5,FALSE)))</f>
        <v/>
      </c>
      <c r="F52" s="46" t="str">
        <f>IF($A$43="","",IF(VLOOKUP($A51,Products!$A$59:$H$159,8,FALSE)="","",VLOOKUP($A51,Products!$A$59:$H$159,8,FALSE)))</f>
        <v/>
      </c>
      <c r="G52" s="46" t="str">
        <f t="shared" si="6"/>
        <v/>
      </c>
      <c r="H52" s="51" t="str">
        <f t="shared" si="7"/>
        <v/>
      </c>
    </row>
    <row r="53" spans="1:8" x14ac:dyDescent="0.2">
      <c r="A53" s="649" t="str">
        <f t="shared" si="5"/>
        <v>AAAAAAAAAA</v>
      </c>
      <c r="B53" s="650"/>
      <c r="C53" s="77" t="s">
        <v>9362</v>
      </c>
      <c r="D53" s="77" t="s">
        <v>9362</v>
      </c>
      <c r="E53" s="74" t="str">
        <f>IF($A$43="","",IF(VLOOKUP($A52,Products!$A$59:$H$159,5,FALSE)="","",VLOOKUP($A52,Products!$A$59:$H$159,5,FALSE)))</f>
        <v/>
      </c>
      <c r="F53" s="46" t="str">
        <f>IF($A$43="","",IF(VLOOKUP($A52,Products!$A$59:$H$159,8,FALSE)="","",VLOOKUP($A52,Products!$A$59:$H$159,8,FALSE)))</f>
        <v/>
      </c>
      <c r="G53" s="46" t="str">
        <f t="shared" si="6"/>
        <v/>
      </c>
      <c r="H53" s="51" t="str">
        <f t="shared" si="7"/>
        <v/>
      </c>
    </row>
    <row r="54" spans="1:8" ht="14.25" customHeight="1" x14ac:dyDescent="0.2">
      <c r="A54" s="651"/>
      <c r="B54" s="615"/>
      <c r="C54" s="75"/>
      <c r="D54" s="76"/>
      <c r="E54" s="73" t="s">
        <v>291</v>
      </c>
      <c r="F54" s="46">
        <v>1</v>
      </c>
      <c r="G54" s="40"/>
      <c r="H54" s="47"/>
    </row>
    <row r="55" spans="1:8" x14ac:dyDescent="0.2">
      <c r="A55" s="627" t="str">
        <f>A54&amp;"A"</f>
        <v>A</v>
      </c>
      <c r="B55" s="628"/>
      <c r="C55" s="77" t="s">
        <v>9362</v>
      </c>
      <c r="D55" s="77" t="s">
        <v>9362</v>
      </c>
      <c r="E55" s="74" t="str">
        <f>IF($A$54="","",IF(VLOOKUP($A54,Products!$A$59:$H$159,5,FALSE)="","",VLOOKUP($A54,Products!$A$59:$H$159,5,FALSE)))</f>
        <v/>
      </c>
      <c r="F55" s="46" t="str">
        <f>IF($A$54="","",IF(VLOOKUP($A54,Products!$A$59:$H$159,8,FALSE)="","",VLOOKUP($A54,Products!$A$59:$H$159,8,FALSE)))</f>
        <v/>
      </c>
      <c r="G55" s="46" t="str">
        <f>IF($F55="","",$F55*$G$54)</f>
        <v/>
      </c>
      <c r="H55" s="51" t="str">
        <f>IF($F55="","",$F55*$H$54)</f>
        <v/>
      </c>
    </row>
    <row r="56" spans="1:8" x14ac:dyDescent="0.2">
      <c r="A56" s="649" t="str">
        <f t="shared" ref="A56:A64" si="8">A55&amp;"A"</f>
        <v>AA</v>
      </c>
      <c r="B56" s="650"/>
      <c r="C56" s="77" t="s">
        <v>9362</v>
      </c>
      <c r="D56" s="77" t="s">
        <v>9362</v>
      </c>
      <c r="E56" s="74" t="str">
        <f>IF($A$54="","",IF(VLOOKUP($A55,Products!$A$59:$H$159,5,FALSE)="","",VLOOKUP($A55,Products!$A$59:$H$159,5,FALSE)))</f>
        <v/>
      </c>
      <c r="F56" s="46" t="str">
        <f>IF($A$54="","",IF(VLOOKUP($A55,Products!$A$59:$H$159,8,FALSE)="","",VLOOKUP($A55,Products!$A$59:$H$159,8,FALSE)))</f>
        <v/>
      </c>
      <c r="G56" s="46" t="str">
        <f t="shared" ref="G56:G64" si="9">IF($F56="","",$F56*$G$54)</f>
        <v/>
      </c>
      <c r="H56" s="51" t="str">
        <f t="shared" ref="H56:H64" si="10">IF($F56="","",$F56*$H$54)</f>
        <v/>
      </c>
    </row>
    <row r="57" spans="1:8" x14ac:dyDescent="0.2">
      <c r="A57" s="649" t="str">
        <f t="shared" si="8"/>
        <v>AAA</v>
      </c>
      <c r="B57" s="650"/>
      <c r="C57" s="77" t="s">
        <v>9362</v>
      </c>
      <c r="D57" s="77" t="s">
        <v>9362</v>
      </c>
      <c r="E57" s="74" t="str">
        <f>IF($A$54="","",IF(VLOOKUP($A56,Products!$A$59:$H$159,5,FALSE)="","",VLOOKUP($A56,Products!$A$59:$H$159,5,FALSE)))</f>
        <v/>
      </c>
      <c r="F57" s="46" t="str">
        <f>IF($A$54="","",IF(VLOOKUP($A56,Products!$A$59:$H$159,8,FALSE)="","",VLOOKUP($A56,Products!$A$59:$H$159,8,FALSE)))</f>
        <v/>
      </c>
      <c r="G57" s="46" t="str">
        <f t="shared" si="9"/>
        <v/>
      </c>
      <c r="H57" s="51" t="str">
        <f t="shared" si="10"/>
        <v/>
      </c>
    </row>
    <row r="58" spans="1:8" x14ac:dyDescent="0.2">
      <c r="A58" s="649" t="str">
        <f t="shared" si="8"/>
        <v>AAAA</v>
      </c>
      <c r="B58" s="650"/>
      <c r="C58" s="77" t="s">
        <v>9362</v>
      </c>
      <c r="D58" s="77" t="s">
        <v>9362</v>
      </c>
      <c r="E58" s="74" t="str">
        <f>IF($A$54="","",IF(VLOOKUP($A57,Products!$A$59:$H$159,5,FALSE)="","",VLOOKUP($A57,Products!$A$59:$H$159,5,FALSE)))</f>
        <v/>
      </c>
      <c r="F58" s="46" t="str">
        <f>IF($A$54="","",IF(VLOOKUP($A57,Products!$A$59:$H$159,8,FALSE)="","",VLOOKUP($A57,Products!$A$59:$H$159,8,FALSE)))</f>
        <v/>
      </c>
      <c r="G58" s="46" t="str">
        <f>IF($F58="","",$F58*$G$54)</f>
        <v/>
      </c>
      <c r="H58" s="51" t="str">
        <f t="shared" si="10"/>
        <v/>
      </c>
    </row>
    <row r="59" spans="1:8" x14ac:dyDescent="0.2">
      <c r="A59" s="649" t="str">
        <f t="shared" si="8"/>
        <v>AAAAA</v>
      </c>
      <c r="B59" s="650"/>
      <c r="C59" s="77" t="s">
        <v>9362</v>
      </c>
      <c r="D59" s="77" t="s">
        <v>9362</v>
      </c>
      <c r="E59" s="74" t="str">
        <f>IF($A$54="","",IF(VLOOKUP($A58,Products!$A$59:$H$159,5,FALSE)="","",VLOOKUP($A58,Products!$A$59:$H$159,5,FALSE)))</f>
        <v/>
      </c>
      <c r="F59" s="46" t="str">
        <f>IF($A$54="","",IF(VLOOKUP($A58,Products!$A$59:$H$159,8,FALSE)="","",VLOOKUP($A58,Products!$A$59:$H$159,8,FALSE)))</f>
        <v/>
      </c>
      <c r="G59" s="46" t="str">
        <f t="shared" si="9"/>
        <v/>
      </c>
      <c r="H59" s="51" t="str">
        <f t="shared" si="10"/>
        <v/>
      </c>
    </row>
    <row r="60" spans="1:8" x14ac:dyDescent="0.2">
      <c r="A60" s="649" t="str">
        <f t="shared" si="8"/>
        <v>AAAAAA</v>
      </c>
      <c r="B60" s="650"/>
      <c r="C60" s="77" t="s">
        <v>9362</v>
      </c>
      <c r="D60" s="77" t="s">
        <v>9362</v>
      </c>
      <c r="E60" s="74" t="str">
        <f>IF($A$54="","",IF(VLOOKUP($A59,Products!$A$59:$H$159,5,FALSE)="","",VLOOKUP($A59,Products!$A$59:$H$159,5,FALSE)))</f>
        <v/>
      </c>
      <c r="F60" s="46" t="str">
        <f>IF($A$54="","",IF(VLOOKUP($A59,Products!$A$59:$H$159,8,FALSE)="","",VLOOKUP($A59,Products!$A$59:$H$159,8,FALSE)))</f>
        <v/>
      </c>
      <c r="G60" s="46" t="str">
        <f t="shared" si="9"/>
        <v/>
      </c>
      <c r="H60" s="51" t="str">
        <f t="shared" si="10"/>
        <v/>
      </c>
    </row>
    <row r="61" spans="1:8" x14ac:dyDescent="0.2">
      <c r="A61" s="649" t="str">
        <f t="shared" si="8"/>
        <v>AAAAAAA</v>
      </c>
      <c r="B61" s="650"/>
      <c r="C61" s="77" t="s">
        <v>9362</v>
      </c>
      <c r="D61" s="77" t="s">
        <v>9362</v>
      </c>
      <c r="E61" s="74" t="str">
        <f>IF($A$54="","",IF(VLOOKUP($A60,Products!$A$59:$H$159,5,FALSE)="","",VLOOKUP($A60,Products!$A$59:$H$159,5,FALSE)))</f>
        <v/>
      </c>
      <c r="F61" s="46" t="str">
        <f>IF($A$54="","",IF(VLOOKUP($A60,Products!$A$59:$H$159,8,FALSE)="","",VLOOKUP($A60,Products!$A$59:$H$159,8,FALSE)))</f>
        <v/>
      </c>
      <c r="G61" s="46" t="str">
        <f t="shared" si="9"/>
        <v/>
      </c>
      <c r="H61" s="51" t="str">
        <f t="shared" si="10"/>
        <v/>
      </c>
    </row>
    <row r="62" spans="1:8" ht="14.25" customHeight="1" x14ac:dyDescent="0.2">
      <c r="A62" s="649" t="str">
        <f t="shared" si="8"/>
        <v>AAAAAAAA</v>
      </c>
      <c r="B62" s="650"/>
      <c r="C62" s="77" t="s">
        <v>9362</v>
      </c>
      <c r="D62" s="77" t="s">
        <v>9362</v>
      </c>
      <c r="E62" s="74" t="str">
        <f>IF($A$54="","",IF(VLOOKUP($A61,Products!$A$59:$H$159,5,FALSE)="","",VLOOKUP($A61,Products!$A$59:$H$159,5,FALSE)))</f>
        <v/>
      </c>
      <c r="F62" s="46" t="str">
        <f>IF($A$54="","",IF(VLOOKUP($A61,Products!$A$59:$H$159,8,FALSE)="","",VLOOKUP($A61,Products!$A$59:$H$159,8,FALSE)))</f>
        <v/>
      </c>
      <c r="G62" s="46" t="str">
        <f t="shared" si="9"/>
        <v/>
      </c>
      <c r="H62" s="51" t="str">
        <f t="shared" si="10"/>
        <v/>
      </c>
    </row>
    <row r="63" spans="1:8" ht="14.25" customHeight="1" x14ac:dyDescent="0.2">
      <c r="A63" s="649" t="str">
        <f t="shared" si="8"/>
        <v>AAAAAAAAA</v>
      </c>
      <c r="B63" s="650"/>
      <c r="C63" s="77" t="s">
        <v>9362</v>
      </c>
      <c r="D63" s="77" t="s">
        <v>9362</v>
      </c>
      <c r="E63" s="74" t="str">
        <f>IF($A$54="","",IF(VLOOKUP($A62,Products!$A$59:$H$159,5,FALSE)="","",VLOOKUP($A62,Products!$A$59:$H$159,5,FALSE)))</f>
        <v/>
      </c>
      <c r="F63" s="46" t="str">
        <f>IF($A$54="","",IF(VLOOKUP($A62,Products!$A$59:$H$159,8,FALSE)="","",VLOOKUP($A62,Products!$A$59:$H$159,8,FALSE)))</f>
        <v/>
      </c>
      <c r="G63" s="46" t="str">
        <f t="shared" si="9"/>
        <v/>
      </c>
      <c r="H63" s="51" t="str">
        <f t="shared" si="10"/>
        <v/>
      </c>
    </row>
    <row r="64" spans="1:8" ht="14.25" customHeight="1" x14ac:dyDescent="0.2">
      <c r="A64" s="649" t="str">
        <f t="shared" si="8"/>
        <v>AAAAAAAAAA</v>
      </c>
      <c r="B64" s="650"/>
      <c r="C64" s="77" t="s">
        <v>9362</v>
      </c>
      <c r="D64" s="77" t="s">
        <v>9362</v>
      </c>
      <c r="E64" s="74" t="str">
        <f>IF($A$54="","",IF(VLOOKUP($A63,Products!$A$59:$H$159,5,FALSE)="","",VLOOKUP($A63,Products!$A$59:$H$159,5,FALSE)))</f>
        <v/>
      </c>
      <c r="F64" s="46" t="str">
        <f>IF($A$54="","",IF(VLOOKUP($A63,Products!$A$59:$H$159,8,FALSE)="","",VLOOKUP($A63,Products!$A$59:$H$159,8,FALSE)))</f>
        <v/>
      </c>
      <c r="G64" s="46" t="str">
        <f t="shared" si="9"/>
        <v/>
      </c>
      <c r="H64" s="51" t="str">
        <f t="shared" si="10"/>
        <v/>
      </c>
    </row>
    <row r="65" spans="1:8" ht="14.25" customHeight="1" x14ac:dyDescent="0.2">
      <c r="A65" s="651"/>
      <c r="B65" s="615"/>
      <c r="C65" s="75"/>
      <c r="D65" s="76"/>
      <c r="E65" s="73" t="s">
        <v>291</v>
      </c>
      <c r="F65" s="46">
        <v>1</v>
      </c>
      <c r="G65" s="40"/>
      <c r="H65" s="47"/>
    </row>
    <row r="66" spans="1:8" x14ac:dyDescent="0.2">
      <c r="A66" s="627" t="str">
        <f>A65&amp;"A"</f>
        <v>A</v>
      </c>
      <c r="B66" s="628"/>
      <c r="C66" s="77" t="s">
        <v>9362</v>
      </c>
      <c r="D66" s="77" t="s">
        <v>9362</v>
      </c>
      <c r="E66" s="74" t="str">
        <f>IF($A$65="","",IF(VLOOKUP($A65,Products!$A$59:$H$159,5,FALSE)="","",VLOOKUP($A65,Products!$A$59:$H$159,5,FALSE)))</f>
        <v/>
      </c>
      <c r="F66" s="46" t="str">
        <f>IF($A$65="","",IF(VLOOKUP($A65,Products!$A$59:$H$159,8,FALSE)="","",VLOOKUP($A65,Products!$A$59:$H$159,8,FALSE)))</f>
        <v/>
      </c>
      <c r="G66" s="46" t="str">
        <f>IF($F66="","",$F66*$G$65)</f>
        <v/>
      </c>
      <c r="H66" s="51" t="str">
        <f>IF($F66="","",$F66*$H$65)</f>
        <v/>
      </c>
    </row>
    <row r="67" spans="1:8" x14ac:dyDescent="0.2">
      <c r="A67" s="649" t="str">
        <f t="shared" ref="A67:A75" si="11">A66&amp;"A"</f>
        <v>AA</v>
      </c>
      <c r="B67" s="650"/>
      <c r="C67" s="77" t="s">
        <v>9362</v>
      </c>
      <c r="D67" s="77" t="s">
        <v>9362</v>
      </c>
      <c r="E67" s="74" t="str">
        <f>IF($A$65="","",IF(VLOOKUP($A66,Products!$A$59:$H$159,5,FALSE)="","",VLOOKUP($A66,Products!$A$59:$H$159,5,FALSE)))</f>
        <v/>
      </c>
      <c r="F67" s="46" t="str">
        <f>IF($A$65="","",IF(VLOOKUP($A66,Products!$A$59:$H$159,8,FALSE)="","",VLOOKUP($A66,Products!$A$59:$H$159,8,FALSE)))</f>
        <v/>
      </c>
      <c r="G67" s="46" t="str">
        <f t="shared" ref="G67:G75" si="12">IF($F67="","",$F67*$G$65)</f>
        <v/>
      </c>
      <c r="H67" s="51" t="str">
        <f t="shared" ref="H67:H75" si="13">IF($F67="","",$F67*$H$65)</f>
        <v/>
      </c>
    </row>
    <row r="68" spans="1:8" x14ac:dyDescent="0.2">
      <c r="A68" s="649" t="str">
        <f t="shared" si="11"/>
        <v>AAA</v>
      </c>
      <c r="B68" s="650"/>
      <c r="C68" s="77" t="s">
        <v>9362</v>
      </c>
      <c r="D68" s="77" t="s">
        <v>9362</v>
      </c>
      <c r="E68" s="74" t="str">
        <f>IF($A$65="","",IF(VLOOKUP($A67,Products!$A$59:$H$159,5,FALSE)="","",VLOOKUP($A67,Products!$A$59:$H$159,5,FALSE)))</f>
        <v/>
      </c>
      <c r="F68" s="46" t="str">
        <f>IF($A$65="","",IF(VLOOKUP($A67,Products!$A$59:$H$159,8,FALSE)="","",VLOOKUP($A67,Products!$A$59:$H$159,8,FALSE)))</f>
        <v/>
      </c>
      <c r="G68" s="46" t="str">
        <f t="shared" si="12"/>
        <v/>
      </c>
      <c r="H68" s="51" t="str">
        <f t="shared" si="13"/>
        <v/>
      </c>
    </row>
    <row r="69" spans="1:8" x14ac:dyDescent="0.2">
      <c r="A69" s="649" t="str">
        <f t="shared" si="11"/>
        <v>AAAA</v>
      </c>
      <c r="B69" s="650"/>
      <c r="C69" s="77" t="s">
        <v>9362</v>
      </c>
      <c r="D69" s="77" t="s">
        <v>9362</v>
      </c>
      <c r="E69" s="74" t="str">
        <f>IF($A$65="","",IF(VLOOKUP($A68,Products!$A$59:$H$159,5,FALSE)="","",VLOOKUP($A68,Products!$A$59:$H$159,5,FALSE)))</f>
        <v/>
      </c>
      <c r="F69" s="46" t="str">
        <f>IF($A$65="","",IF(VLOOKUP($A68,Products!$A$59:$H$159,8,FALSE)="","",VLOOKUP($A68,Products!$A$59:$H$159,8,FALSE)))</f>
        <v/>
      </c>
      <c r="G69" s="46" t="str">
        <f>IF($F69="","",$F69*$G$65)</f>
        <v/>
      </c>
      <c r="H69" s="51" t="str">
        <f>IF($F69="","",$F69*$H$65)</f>
        <v/>
      </c>
    </row>
    <row r="70" spans="1:8" x14ac:dyDescent="0.2">
      <c r="A70" s="649" t="str">
        <f t="shared" si="11"/>
        <v>AAAAA</v>
      </c>
      <c r="B70" s="650"/>
      <c r="C70" s="77" t="s">
        <v>9362</v>
      </c>
      <c r="D70" s="77" t="s">
        <v>9362</v>
      </c>
      <c r="E70" s="74" t="str">
        <f>IF($A$65="","",IF(VLOOKUP($A69,Products!$A$59:$H$159,5,FALSE)="","",VLOOKUP($A69,Products!$A$59:$H$159,5,FALSE)))</f>
        <v/>
      </c>
      <c r="F70" s="46" t="str">
        <f>IF($A$65="","",IF(VLOOKUP($A69,Products!$A$59:$H$159,8,FALSE)="","",VLOOKUP($A69,Products!$A$59:$H$159,8,FALSE)))</f>
        <v/>
      </c>
      <c r="G70" s="46" t="str">
        <f t="shared" si="12"/>
        <v/>
      </c>
      <c r="H70" s="51" t="str">
        <f t="shared" si="13"/>
        <v/>
      </c>
    </row>
    <row r="71" spans="1:8" x14ac:dyDescent="0.2">
      <c r="A71" s="649" t="str">
        <f t="shared" si="11"/>
        <v>AAAAAA</v>
      </c>
      <c r="B71" s="650"/>
      <c r="C71" s="77" t="s">
        <v>9362</v>
      </c>
      <c r="D71" s="77" t="s">
        <v>9362</v>
      </c>
      <c r="E71" s="74" t="str">
        <f>IF($A$65="","",IF(VLOOKUP($A70,Products!$A$59:$H$159,5,FALSE)="","",VLOOKUP($A70,Products!$A$59:$H$159,5,FALSE)))</f>
        <v/>
      </c>
      <c r="F71" s="46" t="str">
        <f>IF($A$65="","",IF(VLOOKUP($A70,Products!$A$59:$H$159,8,FALSE)="","",VLOOKUP($A70,Products!$A$59:$H$159,8,FALSE)))</f>
        <v/>
      </c>
      <c r="G71" s="46" t="str">
        <f t="shared" si="12"/>
        <v/>
      </c>
      <c r="H71" s="51" t="str">
        <f t="shared" si="13"/>
        <v/>
      </c>
    </row>
    <row r="72" spans="1:8" x14ac:dyDescent="0.2">
      <c r="A72" s="649" t="str">
        <f t="shared" si="11"/>
        <v>AAAAAAA</v>
      </c>
      <c r="B72" s="650"/>
      <c r="C72" s="77" t="s">
        <v>9362</v>
      </c>
      <c r="D72" s="77" t="s">
        <v>9362</v>
      </c>
      <c r="E72" s="74" t="str">
        <f>IF($A$65="","",IF(VLOOKUP($A71,Products!$A$59:$H$159,5,FALSE)="","",VLOOKUP($A71,Products!$A$59:$H$159,5,FALSE)))</f>
        <v/>
      </c>
      <c r="F72" s="46" t="str">
        <f>IF($A$65="","",IF(VLOOKUP($A71,Products!$A$59:$H$159,8,FALSE)="","",VLOOKUP($A71,Products!$A$59:$H$159,8,FALSE)))</f>
        <v/>
      </c>
      <c r="G72" s="46" t="str">
        <f t="shared" si="12"/>
        <v/>
      </c>
      <c r="H72" s="51" t="str">
        <f t="shared" si="13"/>
        <v/>
      </c>
    </row>
    <row r="73" spans="1:8" x14ac:dyDescent="0.2">
      <c r="A73" s="649" t="str">
        <f t="shared" si="11"/>
        <v>AAAAAAAA</v>
      </c>
      <c r="B73" s="650"/>
      <c r="C73" s="77" t="s">
        <v>9362</v>
      </c>
      <c r="D73" s="77" t="s">
        <v>9362</v>
      </c>
      <c r="E73" s="74" t="str">
        <f>IF($A$65="","",IF(VLOOKUP($A72,Products!$A$59:$H$159,5,FALSE)="","",VLOOKUP($A72,Products!$A$59:$H$159,5,FALSE)))</f>
        <v/>
      </c>
      <c r="F73" s="46" t="str">
        <f>IF($A$65="","",IF(VLOOKUP($A72,Products!$A$59:$H$159,8,FALSE)="","",VLOOKUP($A72,Products!$A$59:$H$159,8,FALSE)))</f>
        <v/>
      </c>
      <c r="G73" s="46" t="str">
        <f>IF($F73="","",$F73*$G$65)</f>
        <v/>
      </c>
      <c r="H73" s="51" t="str">
        <f>IF($F73="","",$F73*$H$65)</f>
        <v/>
      </c>
    </row>
    <row r="74" spans="1:8" x14ac:dyDescent="0.2">
      <c r="A74" s="649" t="str">
        <f t="shared" si="11"/>
        <v>AAAAAAAAA</v>
      </c>
      <c r="B74" s="650"/>
      <c r="C74" s="77" t="s">
        <v>9362</v>
      </c>
      <c r="D74" s="77" t="s">
        <v>9362</v>
      </c>
      <c r="E74" s="74" t="str">
        <f>IF($A$65="","",IF(VLOOKUP($A73,Products!$A$59:$H$159,5,FALSE)="","",VLOOKUP($A73,Products!$A$59:$H$159,5,FALSE)))</f>
        <v/>
      </c>
      <c r="F74" s="46" t="str">
        <f>IF($A$65="","",IF(VLOOKUP($A73,Products!$A$59:$H$159,8,FALSE)="","",VLOOKUP($A73,Products!$A$59:$H$159,8,FALSE)))</f>
        <v/>
      </c>
      <c r="G74" s="46" t="str">
        <f t="shared" si="12"/>
        <v/>
      </c>
      <c r="H74" s="51" t="str">
        <f t="shared" si="13"/>
        <v/>
      </c>
    </row>
    <row r="75" spans="1:8" x14ac:dyDescent="0.2">
      <c r="A75" s="649" t="str">
        <f t="shared" si="11"/>
        <v>AAAAAAAAAA</v>
      </c>
      <c r="B75" s="650"/>
      <c r="C75" s="77" t="s">
        <v>9362</v>
      </c>
      <c r="D75" s="77" t="s">
        <v>9362</v>
      </c>
      <c r="E75" s="74" t="str">
        <f>IF($A$65="","",IF(VLOOKUP($A74,Products!$A$59:$H$159,5,FALSE)="","",VLOOKUP($A74,Products!$A$59:$H$159,5,FALSE)))</f>
        <v/>
      </c>
      <c r="F75" s="46" t="str">
        <f>IF($A$65="","",IF(VLOOKUP($A74,Products!$A$59:$H$159,8,FALSE)="","",VLOOKUP($A74,Products!$A$59:$H$159,8,FALSE)))</f>
        <v/>
      </c>
      <c r="G75" s="46" t="str">
        <f t="shared" si="12"/>
        <v/>
      </c>
      <c r="H75" s="51" t="str">
        <f t="shared" si="13"/>
        <v/>
      </c>
    </row>
    <row r="76" spans="1:8" ht="14.25" customHeight="1" x14ac:dyDescent="0.2">
      <c r="A76" s="651"/>
      <c r="B76" s="615"/>
      <c r="C76" s="75"/>
      <c r="D76" s="76"/>
      <c r="E76" s="73" t="s">
        <v>291</v>
      </c>
      <c r="F76" s="46">
        <v>1</v>
      </c>
      <c r="G76" s="40"/>
      <c r="H76" s="47"/>
    </row>
    <row r="77" spans="1:8" x14ac:dyDescent="0.2">
      <c r="A77" s="627" t="str">
        <f>A76&amp;"A"</f>
        <v>A</v>
      </c>
      <c r="B77" s="628"/>
      <c r="C77" s="77" t="s">
        <v>9362</v>
      </c>
      <c r="D77" s="77" t="s">
        <v>9362</v>
      </c>
      <c r="E77" s="74" t="str">
        <f>IF($A$76="","",IF(VLOOKUP($A76,Products!$A$59:$H$159,5,FALSE)="","",VLOOKUP($A76,Products!$A$59:$H$159,5,FALSE)))</f>
        <v/>
      </c>
      <c r="F77" s="46" t="str">
        <f>IF($A$76="","",IF(VLOOKUP($A76,Products!$A$59:$H$159,8,FALSE)="","",VLOOKUP($A76,Products!$A$59:$H$159,8,FALSE)))</f>
        <v/>
      </c>
      <c r="G77" s="46" t="str">
        <f>IF($F77="","",$F77*$G$76)</f>
        <v/>
      </c>
      <c r="H77" s="51" t="str">
        <f>IF($F77="","",$F77*$H$76)</f>
        <v/>
      </c>
    </row>
    <row r="78" spans="1:8" x14ac:dyDescent="0.2">
      <c r="A78" s="649" t="str">
        <f t="shared" ref="A78:A86" si="14">A77&amp;"A"</f>
        <v>AA</v>
      </c>
      <c r="B78" s="650"/>
      <c r="C78" s="77" t="s">
        <v>9362</v>
      </c>
      <c r="D78" s="77" t="s">
        <v>9362</v>
      </c>
      <c r="E78" s="74" t="str">
        <f>IF($A$76="","",IF(VLOOKUP($A77,Products!$A$59:$H$159,5,FALSE)="","",VLOOKUP($A77,Products!$A$59:$H$159,5,FALSE)))</f>
        <v/>
      </c>
      <c r="F78" s="46" t="str">
        <f>IF($A$76="","",IF(VLOOKUP($A77,Products!$A$59:$H$159,8,FALSE)="","",VLOOKUP($A77,Products!$A$59:$H$159,8,FALSE)))</f>
        <v/>
      </c>
      <c r="G78" s="46" t="str">
        <f t="shared" ref="G78:G86" si="15">IF($F78="","",$F78*$G$76)</f>
        <v/>
      </c>
      <c r="H78" s="51" t="str">
        <f t="shared" ref="H78:H86" si="16">IF($F78="","",$F78*$H$76)</f>
        <v/>
      </c>
    </row>
    <row r="79" spans="1:8" x14ac:dyDescent="0.2">
      <c r="A79" s="649" t="str">
        <f t="shared" si="14"/>
        <v>AAA</v>
      </c>
      <c r="B79" s="650"/>
      <c r="C79" s="77" t="s">
        <v>9362</v>
      </c>
      <c r="D79" s="77" t="s">
        <v>9362</v>
      </c>
      <c r="E79" s="74" t="str">
        <f>IF($A$76="","",IF(VLOOKUP($A78,Products!$A$59:$H$159,5,FALSE)="","",VLOOKUP($A78,Products!$A$59:$H$159,5,FALSE)))</f>
        <v/>
      </c>
      <c r="F79" s="46" t="str">
        <f>IF($A$76="","",IF(VLOOKUP($A78,Products!$A$59:$H$159,8,FALSE)="","",VLOOKUP($A78,Products!$A$59:$H$159,8,FALSE)))</f>
        <v/>
      </c>
      <c r="G79" s="46" t="str">
        <f t="shared" si="15"/>
        <v/>
      </c>
      <c r="H79" s="51" t="str">
        <f t="shared" si="16"/>
        <v/>
      </c>
    </row>
    <row r="80" spans="1:8" x14ac:dyDescent="0.2">
      <c r="A80" s="649" t="str">
        <f t="shared" si="14"/>
        <v>AAAA</v>
      </c>
      <c r="B80" s="650"/>
      <c r="C80" s="77" t="s">
        <v>9362</v>
      </c>
      <c r="D80" s="77" t="s">
        <v>9362</v>
      </c>
      <c r="E80" s="74" t="str">
        <f>IF($A$76="","",IF(VLOOKUP($A79,Products!$A$59:$H$159,5,FALSE)="","",VLOOKUP($A79,Products!$A$59:$H$159,5,FALSE)))</f>
        <v/>
      </c>
      <c r="F80" s="46" t="str">
        <f>IF($A$76="","",IF(VLOOKUP($A79,Products!$A$59:$H$159,8,FALSE)="","",VLOOKUP($A79,Products!$A$59:$H$159,8,FALSE)))</f>
        <v/>
      </c>
      <c r="G80" s="46" t="str">
        <f t="shared" si="15"/>
        <v/>
      </c>
      <c r="H80" s="51" t="str">
        <f t="shared" si="16"/>
        <v/>
      </c>
    </row>
    <row r="81" spans="1:8" x14ac:dyDescent="0.2">
      <c r="A81" s="649" t="str">
        <f t="shared" si="14"/>
        <v>AAAAA</v>
      </c>
      <c r="B81" s="650"/>
      <c r="C81" s="77" t="s">
        <v>9362</v>
      </c>
      <c r="D81" s="77" t="s">
        <v>9362</v>
      </c>
      <c r="E81" s="74" t="str">
        <f>IF($A$76="","",IF(VLOOKUP($A80,Products!$A$59:$H$159,5,FALSE)="","",VLOOKUP($A80,Products!$A$59:$H$159,5,FALSE)))</f>
        <v/>
      </c>
      <c r="F81" s="46" t="str">
        <f>IF($A$76="","",IF(VLOOKUP($A80,Products!$A$59:$H$159,8,FALSE)="","",VLOOKUP($A80,Products!$A$59:$H$159,8,FALSE)))</f>
        <v/>
      </c>
      <c r="G81" s="46" t="str">
        <f t="shared" si="15"/>
        <v/>
      </c>
      <c r="H81" s="51" t="str">
        <f t="shared" si="16"/>
        <v/>
      </c>
    </row>
    <row r="82" spans="1:8" x14ac:dyDescent="0.2">
      <c r="A82" s="649" t="str">
        <f t="shared" si="14"/>
        <v>AAAAAA</v>
      </c>
      <c r="B82" s="650"/>
      <c r="C82" s="77" t="s">
        <v>9362</v>
      </c>
      <c r="D82" s="77" t="s">
        <v>9362</v>
      </c>
      <c r="E82" s="74" t="str">
        <f>IF($A$76="","",IF(VLOOKUP($A81,Products!$A$59:$H$159,5,FALSE)="","",VLOOKUP($A81,Products!$A$59:$H$159,5,FALSE)))</f>
        <v/>
      </c>
      <c r="F82" s="46" t="str">
        <f>IF($A$76="","",IF(VLOOKUP($A81,Products!$A$59:$H$159,8,FALSE)="","",VLOOKUP($A81,Products!$A$59:$H$159,8,FALSE)))</f>
        <v/>
      </c>
      <c r="G82" s="46" t="str">
        <f t="shared" si="15"/>
        <v/>
      </c>
      <c r="H82" s="51" t="str">
        <f t="shared" si="16"/>
        <v/>
      </c>
    </row>
    <row r="83" spans="1:8" x14ac:dyDescent="0.2">
      <c r="A83" s="649" t="str">
        <f t="shared" si="14"/>
        <v>AAAAAAA</v>
      </c>
      <c r="B83" s="650"/>
      <c r="C83" s="77" t="s">
        <v>9362</v>
      </c>
      <c r="D83" s="77" t="s">
        <v>9362</v>
      </c>
      <c r="E83" s="74" t="str">
        <f>IF($A$76="","",IF(VLOOKUP($A82,Products!$A$59:$H$159,5,FALSE)="","",VLOOKUP($A82,Products!$A$59:$H$159,5,FALSE)))</f>
        <v/>
      </c>
      <c r="F83" s="46" t="str">
        <f>IF($A$76="","",IF(VLOOKUP($A82,Products!$A$59:$H$159,8,FALSE)="","",VLOOKUP($A82,Products!$A$59:$H$159,8,FALSE)))</f>
        <v/>
      </c>
      <c r="G83" s="46" t="str">
        <f t="shared" si="15"/>
        <v/>
      </c>
      <c r="H83" s="51" t="str">
        <f t="shared" si="16"/>
        <v/>
      </c>
    </row>
    <row r="84" spans="1:8" x14ac:dyDescent="0.2">
      <c r="A84" s="649" t="str">
        <f t="shared" si="14"/>
        <v>AAAAAAAA</v>
      </c>
      <c r="B84" s="650"/>
      <c r="C84" s="77" t="s">
        <v>9362</v>
      </c>
      <c r="D84" s="77" t="s">
        <v>9362</v>
      </c>
      <c r="E84" s="74" t="str">
        <f>IF($A$76="","",IF(VLOOKUP($A83,Products!$A$59:$H$159,5,FALSE)="","",VLOOKUP($A83,Products!$A$59:$H$159,5,FALSE)))</f>
        <v/>
      </c>
      <c r="F84" s="46" t="str">
        <f>IF($A$76="","",IF(VLOOKUP($A83,Products!$A$59:$H$159,8,FALSE)="","",VLOOKUP($A83,Products!$A$59:$H$159,8,FALSE)))</f>
        <v/>
      </c>
      <c r="G84" s="46" t="str">
        <f t="shared" si="15"/>
        <v/>
      </c>
      <c r="H84" s="51" t="str">
        <f t="shared" si="16"/>
        <v/>
      </c>
    </row>
    <row r="85" spans="1:8" ht="14.25" customHeight="1" x14ac:dyDescent="0.2">
      <c r="A85" s="649" t="str">
        <f t="shared" si="14"/>
        <v>AAAAAAAAA</v>
      </c>
      <c r="B85" s="650"/>
      <c r="C85" s="77" t="s">
        <v>9362</v>
      </c>
      <c r="D85" s="77" t="s">
        <v>9362</v>
      </c>
      <c r="E85" s="74" t="str">
        <f>IF($A$76="","",IF(VLOOKUP($A84,Products!$A$59:$H$159,5,FALSE)="","",VLOOKUP($A84,Products!$A$59:$H$159,5,FALSE)))</f>
        <v/>
      </c>
      <c r="F85" s="46" t="str">
        <f>IF($A$76="","",IF(VLOOKUP($A84,Products!$A$59:$H$159,8,FALSE)="","",VLOOKUP($A84,Products!$A$59:$H$159,8,FALSE)))</f>
        <v/>
      </c>
      <c r="G85" s="46" t="str">
        <f t="shared" si="15"/>
        <v/>
      </c>
      <c r="H85" s="51" t="str">
        <f t="shared" si="16"/>
        <v/>
      </c>
    </row>
    <row r="86" spans="1:8" ht="14.25" customHeight="1" x14ac:dyDescent="0.2">
      <c r="A86" s="649" t="str">
        <f t="shared" si="14"/>
        <v>AAAAAAAAAA</v>
      </c>
      <c r="B86" s="650"/>
      <c r="C86" s="77" t="s">
        <v>9362</v>
      </c>
      <c r="D86" s="77" t="s">
        <v>9362</v>
      </c>
      <c r="E86" s="74" t="str">
        <f>IF($A$76="","",IF(VLOOKUP($A85,Products!$A$59:$H$159,5,FALSE)="","",VLOOKUP($A85,Products!$A$59:$H$159,5,FALSE)))</f>
        <v/>
      </c>
      <c r="F86" s="46" t="str">
        <f>IF($A$76="","",IF(VLOOKUP($A85,Products!$A$59:$H$159,8,FALSE)="","",VLOOKUP($A85,Products!$A$59:$H$159,8,FALSE)))</f>
        <v/>
      </c>
      <c r="G86" s="46" t="str">
        <f t="shared" si="15"/>
        <v/>
      </c>
      <c r="H86" s="51" t="str">
        <f t="shared" si="16"/>
        <v/>
      </c>
    </row>
    <row r="87" spans="1:8" ht="14.25" customHeight="1" x14ac:dyDescent="0.2">
      <c r="A87" s="651"/>
      <c r="B87" s="615"/>
      <c r="C87" s="75"/>
      <c r="D87" s="76"/>
      <c r="E87" s="73" t="s">
        <v>291</v>
      </c>
      <c r="F87" s="46">
        <v>1</v>
      </c>
      <c r="G87" s="40"/>
      <c r="H87" s="47"/>
    </row>
    <row r="88" spans="1:8" x14ac:dyDescent="0.2">
      <c r="A88" s="627" t="str">
        <f>A87&amp;"A"</f>
        <v>A</v>
      </c>
      <c r="B88" s="628"/>
      <c r="C88" s="77" t="s">
        <v>9362</v>
      </c>
      <c r="D88" s="77" t="s">
        <v>9362</v>
      </c>
      <c r="E88" s="74" t="str">
        <f>IF($A$87="","",IF(VLOOKUP($A87,Products!$A$59:$H$159,5,FALSE)="","",VLOOKUP($A87,Products!$A$59:$H$159,5,FALSE)))</f>
        <v/>
      </c>
      <c r="F88" s="46" t="str">
        <f>IF($A$87="","",IF(VLOOKUP($A87,Products!$A$59:$H$159,8,FALSE)="","",VLOOKUP($A87,Products!$A$59:$H$159,8,FALSE)))</f>
        <v/>
      </c>
      <c r="G88" s="46" t="str">
        <f>IF($F88="","",$F88*$G$87)</f>
        <v/>
      </c>
      <c r="H88" s="51" t="str">
        <f>IF($F88="","",$F88*$H$87)</f>
        <v/>
      </c>
    </row>
    <row r="89" spans="1:8" x14ac:dyDescent="0.2">
      <c r="A89" s="649" t="str">
        <f t="shared" ref="A89:A97" si="17">A88&amp;"A"</f>
        <v>AA</v>
      </c>
      <c r="B89" s="650"/>
      <c r="C89" s="77" t="s">
        <v>9362</v>
      </c>
      <c r="D89" s="77" t="s">
        <v>9362</v>
      </c>
      <c r="E89" s="74" t="str">
        <f>IF($A$87="","",IF(VLOOKUP($A88,Products!$A$59:$H$159,5,FALSE)="","",VLOOKUP($A88,Products!$A$59:$H$159,5,FALSE)))</f>
        <v/>
      </c>
      <c r="F89" s="46" t="str">
        <f>IF($A$87="","",IF(VLOOKUP($A88,Products!$A$59:$H$159,8,FALSE)="","",VLOOKUP($A88,Products!$A$59:$H$159,8,FALSE)))</f>
        <v/>
      </c>
      <c r="G89" s="46" t="str">
        <f t="shared" ref="G89:G97" si="18">IF($F89="","",$F89*$G$87)</f>
        <v/>
      </c>
      <c r="H89" s="51" t="str">
        <f t="shared" ref="H89:H97" si="19">IF($F89="","",$F89*$H$87)</f>
        <v/>
      </c>
    </row>
    <row r="90" spans="1:8" x14ac:dyDescent="0.2">
      <c r="A90" s="649" t="str">
        <f t="shared" si="17"/>
        <v>AAA</v>
      </c>
      <c r="B90" s="650"/>
      <c r="C90" s="77" t="s">
        <v>9362</v>
      </c>
      <c r="D90" s="77" t="s">
        <v>9362</v>
      </c>
      <c r="E90" s="74" t="str">
        <f>IF($A$87="","",IF(VLOOKUP($A89,Products!$A$59:$H$159,5,FALSE)="","",VLOOKUP($A89,Products!$A$59:$H$159,5,FALSE)))</f>
        <v/>
      </c>
      <c r="F90" s="46" t="str">
        <f>IF($A$87="","",IF(VLOOKUP($A89,Products!$A$59:$H$159,8,FALSE)="","",VLOOKUP($A89,Products!$A$59:$H$159,8,FALSE)))</f>
        <v/>
      </c>
      <c r="G90" s="46" t="str">
        <f t="shared" si="18"/>
        <v/>
      </c>
      <c r="H90" s="51" t="str">
        <f t="shared" si="19"/>
        <v/>
      </c>
    </row>
    <row r="91" spans="1:8" x14ac:dyDescent="0.2">
      <c r="A91" s="649" t="str">
        <f t="shared" si="17"/>
        <v>AAAA</v>
      </c>
      <c r="B91" s="650"/>
      <c r="C91" s="77" t="s">
        <v>9362</v>
      </c>
      <c r="D91" s="77" t="s">
        <v>9362</v>
      </c>
      <c r="E91" s="74" t="str">
        <f>IF($A$87="","",IF(VLOOKUP($A90,Products!$A$59:$H$159,5,FALSE)="","",VLOOKUP($A90,Products!$A$59:$H$159,5,FALSE)))</f>
        <v/>
      </c>
      <c r="F91" s="46" t="str">
        <f>IF($A$87="","",IF(VLOOKUP($A90,Products!$A$59:$H$159,8,FALSE)="","",VLOOKUP($A90,Products!$A$59:$H$159,8,FALSE)))</f>
        <v/>
      </c>
      <c r="G91" s="46" t="str">
        <f t="shared" si="18"/>
        <v/>
      </c>
      <c r="H91" s="51" t="str">
        <f t="shared" si="19"/>
        <v/>
      </c>
    </row>
    <row r="92" spans="1:8" x14ac:dyDescent="0.2">
      <c r="A92" s="649" t="str">
        <f t="shared" si="17"/>
        <v>AAAAA</v>
      </c>
      <c r="B92" s="650"/>
      <c r="C92" s="77" t="s">
        <v>9362</v>
      </c>
      <c r="D92" s="77" t="s">
        <v>9362</v>
      </c>
      <c r="E92" s="74" t="str">
        <f>IF($A$87="","",IF(VLOOKUP($A91,Products!$A$59:$H$159,5,FALSE)="","",VLOOKUP($A91,Products!$A$59:$H$159,5,FALSE)))</f>
        <v/>
      </c>
      <c r="F92" s="46" t="str">
        <f>IF($A$87="","",IF(VLOOKUP($A91,Products!$A$59:$H$159,8,FALSE)="","",VLOOKUP($A91,Products!$A$59:$H$159,8,FALSE)))</f>
        <v/>
      </c>
      <c r="G92" s="46" t="str">
        <f t="shared" si="18"/>
        <v/>
      </c>
      <c r="H92" s="51" t="str">
        <f t="shared" si="19"/>
        <v/>
      </c>
    </row>
    <row r="93" spans="1:8" x14ac:dyDescent="0.2">
      <c r="A93" s="649" t="str">
        <f t="shared" si="17"/>
        <v>AAAAAA</v>
      </c>
      <c r="B93" s="650"/>
      <c r="C93" s="77" t="s">
        <v>9362</v>
      </c>
      <c r="D93" s="77" t="s">
        <v>9362</v>
      </c>
      <c r="E93" s="74" t="str">
        <f>IF($A$87="","",IF(VLOOKUP($A92,Products!$A$59:$H$159,5,FALSE)="","",VLOOKUP($A92,Products!$A$59:$H$159,5,FALSE)))</f>
        <v/>
      </c>
      <c r="F93" s="46" t="str">
        <f>IF($A$87="","",IF(VLOOKUP($A92,Products!$A$59:$H$159,8,FALSE)="","",VLOOKUP($A92,Products!$A$59:$H$159,8,FALSE)))</f>
        <v/>
      </c>
      <c r="G93" s="46" t="str">
        <f t="shared" si="18"/>
        <v/>
      </c>
      <c r="H93" s="51" t="str">
        <f t="shared" si="19"/>
        <v/>
      </c>
    </row>
    <row r="94" spans="1:8" x14ac:dyDescent="0.2">
      <c r="A94" s="649" t="str">
        <f t="shared" si="17"/>
        <v>AAAAAAA</v>
      </c>
      <c r="B94" s="650"/>
      <c r="C94" s="77" t="s">
        <v>9362</v>
      </c>
      <c r="D94" s="77" t="s">
        <v>9362</v>
      </c>
      <c r="E94" s="74" t="str">
        <f>IF($A$87="","",IF(VLOOKUP($A93,Products!$A$59:$H$159,5,FALSE)="","",VLOOKUP($A93,Products!$A$59:$H$159,5,FALSE)))</f>
        <v/>
      </c>
      <c r="F94" s="46" t="str">
        <f>IF($A$87="","",IF(VLOOKUP($A93,Products!$A$59:$H$159,8,FALSE)="","",VLOOKUP($A93,Products!$A$59:$H$159,8,FALSE)))</f>
        <v/>
      </c>
      <c r="G94" s="46" t="str">
        <f t="shared" si="18"/>
        <v/>
      </c>
      <c r="H94" s="51" t="str">
        <f t="shared" si="19"/>
        <v/>
      </c>
    </row>
    <row r="95" spans="1:8" ht="14.25" customHeight="1" x14ac:dyDescent="0.2">
      <c r="A95" s="649" t="str">
        <f t="shared" si="17"/>
        <v>AAAAAAAA</v>
      </c>
      <c r="B95" s="650"/>
      <c r="C95" s="77" t="s">
        <v>9362</v>
      </c>
      <c r="D95" s="77" t="s">
        <v>9362</v>
      </c>
      <c r="E95" s="74" t="str">
        <f>IF($A$87="","",IF(VLOOKUP($A94,Products!$A$59:$H$159,5,FALSE)="","",VLOOKUP($A94,Products!$A$59:$H$159,5,FALSE)))</f>
        <v/>
      </c>
      <c r="F95" s="46" t="str">
        <f>IF($A$87="","",IF(VLOOKUP($A94,Products!$A$59:$H$159,8,FALSE)="","",VLOOKUP($A94,Products!$A$59:$H$159,8,FALSE)))</f>
        <v/>
      </c>
      <c r="G95" s="46" t="str">
        <f t="shared" si="18"/>
        <v/>
      </c>
      <c r="H95" s="51" t="str">
        <f t="shared" si="19"/>
        <v/>
      </c>
    </row>
    <row r="96" spans="1:8" ht="14.25" customHeight="1" x14ac:dyDescent="0.2">
      <c r="A96" s="649" t="str">
        <f t="shared" si="17"/>
        <v>AAAAAAAAA</v>
      </c>
      <c r="B96" s="650"/>
      <c r="C96" s="77" t="s">
        <v>9362</v>
      </c>
      <c r="D96" s="77" t="s">
        <v>9362</v>
      </c>
      <c r="E96" s="74" t="str">
        <f>IF($A$87="","",IF(VLOOKUP($A95,Products!$A$59:$H$159,5,FALSE)="","",VLOOKUP($A95,Products!$A$59:$H$159,5,FALSE)))</f>
        <v/>
      </c>
      <c r="F96" s="46" t="str">
        <f>IF($A$87="","",IF(VLOOKUP($A95,Products!$A$59:$H$159,8,FALSE)="","",VLOOKUP($A95,Products!$A$59:$H$159,8,FALSE)))</f>
        <v/>
      </c>
      <c r="G96" s="46" t="str">
        <f t="shared" si="18"/>
        <v/>
      </c>
      <c r="H96" s="51" t="str">
        <f t="shared" si="19"/>
        <v/>
      </c>
    </row>
    <row r="97" spans="1:8" ht="14.25" customHeight="1" x14ac:dyDescent="0.2">
      <c r="A97" s="649" t="str">
        <f t="shared" si="17"/>
        <v>AAAAAAAAAA</v>
      </c>
      <c r="B97" s="650"/>
      <c r="C97" s="77" t="s">
        <v>9362</v>
      </c>
      <c r="D97" s="77" t="s">
        <v>9362</v>
      </c>
      <c r="E97" s="74" t="str">
        <f>IF($A$87="","",IF(VLOOKUP($A96,Products!$A$59:$H$159,5,FALSE)="","",VLOOKUP($A96,Products!$A$59:$H$159,5,FALSE)))</f>
        <v/>
      </c>
      <c r="F97" s="46" t="str">
        <f>IF($A$87="","",IF(VLOOKUP($A96,Products!$A$59:$H$159,8,FALSE)="","",VLOOKUP($A96,Products!$A$59:$H$159,8,FALSE)))</f>
        <v/>
      </c>
      <c r="G97" s="46" t="str">
        <f t="shared" si="18"/>
        <v/>
      </c>
      <c r="H97" s="51" t="str">
        <f t="shared" si="19"/>
        <v/>
      </c>
    </row>
    <row r="98" spans="1:8" ht="14.25" customHeight="1" x14ac:dyDescent="0.2">
      <c r="A98" s="651"/>
      <c r="B98" s="615"/>
      <c r="C98" s="75"/>
      <c r="D98" s="76"/>
      <c r="E98" s="73" t="s">
        <v>291</v>
      </c>
      <c r="F98" s="46">
        <v>1</v>
      </c>
      <c r="G98" s="40"/>
      <c r="H98" s="47"/>
    </row>
    <row r="99" spans="1:8" x14ac:dyDescent="0.2">
      <c r="A99" s="627" t="str">
        <f>A98&amp;"A"</f>
        <v>A</v>
      </c>
      <c r="B99" s="628"/>
      <c r="C99" s="77" t="s">
        <v>9362</v>
      </c>
      <c r="D99" s="77" t="s">
        <v>9362</v>
      </c>
      <c r="E99" s="74" t="str">
        <f>IF($A$98="","",IF(VLOOKUP($A98,Products!$A$59:$H$159,5,FALSE)="","",VLOOKUP($A98,Products!$A$59:$H$159,5,FALSE)))</f>
        <v/>
      </c>
      <c r="F99" s="46" t="str">
        <f>IF($A$98="","",IF(VLOOKUP($A98,Products!$A$59:$H$159,8,FALSE)="","",VLOOKUP($A98,Products!$A$59:$H$159,8,FALSE)))</f>
        <v/>
      </c>
      <c r="G99" s="46" t="str">
        <f>IF($F99="","",$F99*$G$98)</f>
        <v/>
      </c>
      <c r="H99" s="51" t="str">
        <f>IF($F99="","",$F99*$H$98)</f>
        <v/>
      </c>
    </row>
    <row r="100" spans="1:8" x14ac:dyDescent="0.2">
      <c r="A100" s="649" t="str">
        <f t="shared" ref="A100:A108" si="20">A99&amp;"A"</f>
        <v>AA</v>
      </c>
      <c r="B100" s="650"/>
      <c r="C100" s="77" t="s">
        <v>9362</v>
      </c>
      <c r="D100" s="77" t="s">
        <v>9362</v>
      </c>
      <c r="E100" s="74" t="str">
        <f>IF($A$98="","",IF(VLOOKUP($A99,Products!$A$59:$H$159,5,FALSE)="","",VLOOKUP($A99,Products!$A$59:$H$159,5,FALSE)))</f>
        <v/>
      </c>
      <c r="F100" s="46" t="str">
        <f>IF($A$98="","",IF(VLOOKUP($A99,Products!$A$59:$H$159,8,FALSE)="","",VLOOKUP($A99,Products!$A$59:$H$159,8,FALSE)))</f>
        <v/>
      </c>
      <c r="G100" s="46" t="str">
        <f t="shared" ref="G100:G108" si="21">IF($F100="","",$F100*$G$98)</f>
        <v/>
      </c>
      <c r="H100" s="51" t="str">
        <f t="shared" ref="H100:H108" si="22">IF($F100="","",$F100*$H$98)</f>
        <v/>
      </c>
    </row>
    <row r="101" spans="1:8" x14ac:dyDescent="0.2">
      <c r="A101" s="649" t="str">
        <f t="shared" si="20"/>
        <v>AAA</v>
      </c>
      <c r="B101" s="650"/>
      <c r="C101" s="77" t="s">
        <v>9362</v>
      </c>
      <c r="D101" s="77" t="s">
        <v>9362</v>
      </c>
      <c r="E101" s="74" t="str">
        <f>IF($A$98="","",IF(VLOOKUP($A100,Products!$A$59:$H$159,5,FALSE)="","",VLOOKUP($A100,Products!$A$59:$H$159,5,FALSE)))</f>
        <v/>
      </c>
      <c r="F101" s="46" t="str">
        <f>IF($A$98="","",IF(VLOOKUP($A100,Products!$A$59:$H$159,8,FALSE)="","",VLOOKUP($A100,Products!$A$59:$H$159,8,FALSE)))</f>
        <v/>
      </c>
      <c r="G101" s="46" t="str">
        <f t="shared" si="21"/>
        <v/>
      </c>
      <c r="H101" s="51" t="str">
        <f t="shared" si="22"/>
        <v/>
      </c>
    </row>
    <row r="102" spans="1:8" x14ac:dyDescent="0.2">
      <c r="A102" s="649" t="str">
        <f t="shared" si="20"/>
        <v>AAAA</v>
      </c>
      <c r="B102" s="650"/>
      <c r="C102" s="77" t="s">
        <v>9362</v>
      </c>
      <c r="D102" s="77" t="s">
        <v>9362</v>
      </c>
      <c r="E102" s="74" t="str">
        <f>IF($A$98="","",IF(VLOOKUP($A101,Products!$A$59:$H$159,5,FALSE)="","",VLOOKUP($A101,Products!$A$59:$H$159,5,FALSE)))</f>
        <v/>
      </c>
      <c r="F102" s="46" t="str">
        <f>IF($A$98="","",IF(VLOOKUP($A101,Products!$A$59:$H$159,8,FALSE)="","",VLOOKUP($A101,Products!$A$59:$H$159,8,FALSE)))</f>
        <v/>
      </c>
      <c r="G102" s="46" t="str">
        <f t="shared" si="21"/>
        <v/>
      </c>
      <c r="H102" s="51" t="str">
        <f t="shared" si="22"/>
        <v/>
      </c>
    </row>
    <row r="103" spans="1:8" x14ac:dyDescent="0.2">
      <c r="A103" s="649" t="str">
        <f t="shared" si="20"/>
        <v>AAAAA</v>
      </c>
      <c r="B103" s="650"/>
      <c r="C103" s="77" t="s">
        <v>9362</v>
      </c>
      <c r="D103" s="77" t="s">
        <v>9362</v>
      </c>
      <c r="E103" s="74" t="str">
        <f>IF($A$98="","",IF(VLOOKUP($A102,Products!$A$59:$H$159,5,FALSE)="","",VLOOKUP($A102,Products!$A$59:$H$159,5,FALSE)))</f>
        <v/>
      </c>
      <c r="F103" s="46" t="str">
        <f>IF($A$98="","",IF(VLOOKUP($A102,Products!$A$59:$H$159,8,FALSE)="","",VLOOKUP($A102,Products!$A$59:$H$159,8,FALSE)))</f>
        <v/>
      </c>
      <c r="G103" s="46" t="str">
        <f t="shared" si="21"/>
        <v/>
      </c>
      <c r="H103" s="51" t="str">
        <f t="shared" si="22"/>
        <v/>
      </c>
    </row>
    <row r="104" spans="1:8" x14ac:dyDescent="0.2">
      <c r="A104" s="649" t="str">
        <f t="shared" si="20"/>
        <v>AAAAAA</v>
      </c>
      <c r="B104" s="650"/>
      <c r="C104" s="77" t="s">
        <v>9362</v>
      </c>
      <c r="D104" s="77" t="s">
        <v>9362</v>
      </c>
      <c r="E104" s="74" t="str">
        <f>IF($A$98="","",IF(VLOOKUP($A103,Products!$A$59:$H$159,5,FALSE)="","",VLOOKUP($A103,Products!$A$59:$H$159,5,FALSE)))</f>
        <v/>
      </c>
      <c r="F104" s="46" t="str">
        <f>IF($A$98="","",IF(VLOOKUP($A103,Products!$A$59:$H$159,8,FALSE)="","",VLOOKUP($A103,Products!$A$59:$H$159,8,FALSE)))</f>
        <v/>
      </c>
      <c r="G104" s="46" t="str">
        <f t="shared" si="21"/>
        <v/>
      </c>
      <c r="H104" s="51" t="str">
        <f t="shared" si="22"/>
        <v/>
      </c>
    </row>
    <row r="105" spans="1:8" x14ac:dyDescent="0.2">
      <c r="A105" s="649" t="str">
        <f t="shared" si="20"/>
        <v>AAAAAAA</v>
      </c>
      <c r="B105" s="650"/>
      <c r="C105" s="77" t="s">
        <v>9362</v>
      </c>
      <c r="D105" s="77" t="s">
        <v>9362</v>
      </c>
      <c r="E105" s="74" t="str">
        <f>IF($A$98="","",IF(VLOOKUP($A104,Products!$A$59:$H$159,5,FALSE)="","",VLOOKUP($A104,Products!$A$59:$H$159,5,FALSE)))</f>
        <v/>
      </c>
      <c r="F105" s="46" t="str">
        <f>IF($A$98="","",IF(VLOOKUP($A104,Products!$A$59:$H$159,8,FALSE)="","",VLOOKUP($A104,Products!$A$59:$H$159,8,FALSE)))</f>
        <v/>
      </c>
      <c r="G105" s="46" t="str">
        <f>IF($F105="","",$F105*$G$98)</f>
        <v/>
      </c>
      <c r="H105" s="51" t="str">
        <f>IF($F105="","",$F105*$H$98)</f>
        <v/>
      </c>
    </row>
    <row r="106" spans="1:8" ht="14.25" customHeight="1" x14ac:dyDescent="0.2">
      <c r="A106" s="649" t="str">
        <f t="shared" si="20"/>
        <v>AAAAAAAA</v>
      </c>
      <c r="B106" s="650"/>
      <c r="C106" s="77" t="s">
        <v>9362</v>
      </c>
      <c r="D106" s="77" t="s">
        <v>9362</v>
      </c>
      <c r="E106" s="74" t="str">
        <f>IF($A$98="","",IF(VLOOKUP($A105,Products!$A$59:$H$159,5,FALSE)="","",VLOOKUP($A105,Products!$A$59:$H$159,5,FALSE)))</f>
        <v/>
      </c>
      <c r="F106" s="46" t="str">
        <f>IF($A$98="","",IF(VLOOKUP($A105,Products!$A$59:$H$159,8,FALSE)="","",VLOOKUP($A105,Products!$A$59:$H$159,8,FALSE)))</f>
        <v/>
      </c>
      <c r="G106" s="46" t="str">
        <f t="shared" si="21"/>
        <v/>
      </c>
      <c r="H106" s="51" t="str">
        <f t="shared" si="22"/>
        <v/>
      </c>
    </row>
    <row r="107" spans="1:8" ht="14.25" customHeight="1" x14ac:dyDescent="0.2">
      <c r="A107" s="649" t="str">
        <f t="shared" si="20"/>
        <v>AAAAAAAAA</v>
      </c>
      <c r="B107" s="650"/>
      <c r="C107" s="77" t="s">
        <v>9362</v>
      </c>
      <c r="D107" s="77" t="s">
        <v>9362</v>
      </c>
      <c r="E107" s="74" t="str">
        <f>IF($A$98="","",IF(VLOOKUP($A106,Products!$A$59:$H$159,5,FALSE)="","",VLOOKUP($A106,Products!$A$59:$H$159,5,FALSE)))</f>
        <v/>
      </c>
      <c r="F107" s="46" t="str">
        <f>IF($A$98="","",IF(VLOOKUP($A106,Products!$A$59:$H$159,8,FALSE)="","",VLOOKUP($A106,Products!$A$59:$H$159,8,FALSE)))</f>
        <v/>
      </c>
      <c r="G107" s="46" t="str">
        <f t="shared" si="21"/>
        <v/>
      </c>
      <c r="H107" s="51" t="str">
        <f t="shared" si="22"/>
        <v/>
      </c>
    </row>
    <row r="108" spans="1:8" ht="14.25" customHeight="1" x14ac:dyDescent="0.2">
      <c r="A108" s="649" t="str">
        <f t="shared" si="20"/>
        <v>AAAAAAAAAA</v>
      </c>
      <c r="B108" s="650"/>
      <c r="C108" s="77" t="s">
        <v>9362</v>
      </c>
      <c r="D108" s="77" t="s">
        <v>9362</v>
      </c>
      <c r="E108" s="74" t="str">
        <f>IF($A$98="","",IF(VLOOKUP($A107,Products!$A$59:$H$159,5,FALSE)="","",VLOOKUP($A107,Products!$A$59:$H$159,5,FALSE)))</f>
        <v/>
      </c>
      <c r="F108" s="46" t="str">
        <f>IF($A$98="","",IF(VLOOKUP($A107,Products!$A$59:$H$159,8,FALSE)="","",VLOOKUP($A107,Products!$A$59:$H$159,8,FALSE)))</f>
        <v/>
      </c>
      <c r="G108" s="46" t="str">
        <f t="shared" si="21"/>
        <v/>
      </c>
      <c r="H108" s="51" t="str">
        <f t="shared" si="22"/>
        <v/>
      </c>
    </row>
    <row r="109" spans="1:8" ht="14.25" customHeight="1" x14ac:dyDescent="0.2">
      <c r="A109" s="651"/>
      <c r="B109" s="615"/>
      <c r="C109" s="75"/>
      <c r="D109" s="76"/>
      <c r="E109" s="73" t="s">
        <v>291</v>
      </c>
      <c r="F109" s="46">
        <v>1</v>
      </c>
      <c r="G109" s="40"/>
      <c r="H109" s="47"/>
    </row>
    <row r="110" spans="1:8" x14ac:dyDescent="0.2">
      <c r="A110" s="627" t="str">
        <f>A109&amp;"A"</f>
        <v>A</v>
      </c>
      <c r="B110" s="628"/>
      <c r="C110" s="77" t="s">
        <v>9362</v>
      </c>
      <c r="D110" s="77" t="s">
        <v>9362</v>
      </c>
      <c r="E110" s="74" t="str">
        <f>IF($A$109="","",IF(VLOOKUP($A109,Products!$A$59:$H$159,5,FALSE)="","",VLOOKUP($A109,Products!$A$59:$H$159,5,FALSE)))</f>
        <v/>
      </c>
      <c r="F110" s="46" t="str">
        <f>IF($A$109="","",IF(VLOOKUP($A109,Products!$A$59:$H$159,8,FALSE)="","",VLOOKUP($A109,Products!$A$59:$H$159,8,FALSE)))</f>
        <v/>
      </c>
      <c r="G110" s="46" t="str">
        <f>IF($F110="","",$F110*$G$109)</f>
        <v/>
      </c>
      <c r="H110" s="51" t="str">
        <f>IF($F110="","",$F110*$H$109)</f>
        <v/>
      </c>
    </row>
    <row r="111" spans="1:8" ht="14.25" customHeight="1" x14ac:dyDescent="0.2">
      <c r="A111" s="649" t="str">
        <f t="shared" ref="A111:A119" si="23">A110&amp;"A"</f>
        <v>AA</v>
      </c>
      <c r="B111" s="650"/>
      <c r="C111" s="77" t="s">
        <v>9362</v>
      </c>
      <c r="D111" s="77" t="s">
        <v>9362</v>
      </c>
      <c r="E111" s="74" t="str">
        <f>IF($A$109="","",IF(VLOOKUP($A110,Products!$A$59:$H$159,5,FALSE)="","",VLOOKUP($A110,Products!$A$59:$H$159,5,FALSE)))</f>
        <v/>
      </c>
      <c r="F111" s="46" t="str">
        <f>IF($A$109="","",IF(VLOOKUP($A110,Products!$A$59:$H$159,8,FALSE)="","",VLOOKUP($A110,Products!$A$59:$H$159,8,FALSE)))</f>
        <v/>
      </c>
      <c r="G111" s="46" t="str">
        <f t="shared" ref="G111:G119" si="24">IF($F111="","",$F111*$G$109)</f>
        <v/>
      </c>
      <c r="H111" s="51" t="str">
        <f t="shared" ref="H111:H119" si="25">IF($F111="","",$F111*$H$109)</f>
        <v/>
      </c>
    </row>
    <row r="112" spans="1:8" x14ac:dyDescent="0.2">
      <c r="A112" s="649" t="str">
        <f t="shared" si="23"/>
        <v>AAA</v>
      </c>
      <c r="B112" s="650"/>
      <c r="C112" s="77" t="s">
        <v>9362</v>
      </c>
      <c r="D112" s="77" t="s">
        <v>9362</v>
      </c>
      <c r="E112" s="74" t="str">
        <f>IF($A$109="","",IF(VLOOKUP($A111,Products!$A$59:$H$159,5,FALSE)="","",VLOOKUP($A111,Products!$A$59:$H$159,5,FALSE)))</f>
        <v/>
      </c>
      <c r="F112" s="46" t="str">
        <f>IF($A$109="","",IF(VLOOKUP($A111,Products!$A$59:$H$159,8,FALSE)="","",VLOOKUP($A111,Products!$A$59:$H$159,8,FALSE)))</f>
        <v/>
      </c>
      <c r="G112" s="46" t="str">
        <f t="shared" si="24"/>
        <v/>
      </c>
      <c r="H112" s="51" t="str">
        <f t="shared" si="25"/>
        <v/>
      </c>
    </row>
    <row r="113" spans="1:8" x14ac:dyDescent="0.2">
      <c r="A113" s="649" t="str">
        <f t="shared" si="23"/>
        <v>AAAA</v>
      </c>
      <c r="B113" s="650"/>
      <c r="C113" s="77" t="s">
        <v>9362</v>
      </c>
      <c r="D113" s="77" t="s">
        <v>9362</v>
      </c>
      <c r="E113" s="74" t="str">
        <f>IF($A$109="","",IF(VLOOKUP($A112,Products!$A$59:$H$159,5,FALSE)="","",VLOOKUP($A112,Products!$A$59:$H$159,5,FALSE)))</f>
        <v/>
      </c>
      <c r="F113" s="46" t="str">
        <f>IF($A$109="","",IF(VLOOKUP($A112,Products!$A$59:$H$159,8,FALSE)="","",VLOOKUP($A112,Products!$A$59:$H$159,8,FALSE)))</f>
        <v/>
      </c>
      <c r="G113" s="46" t="str">
        <f t="shared" si="24"/>
        <v/>
      </c>
      <c r="H113" s="51" t="str">
        <f t="shared" si="25"/>
        <v/>
      </c>
    </row>
    <row r="114" spans="1:8" x14ac:dyDescent="0.2">
      <c r="A114" s="649" t="str">
        <f t="shared" si="23"/>
        <v>AAAAA</v>
      </c>
      <c r="B114" s="650"/>
      <c r="C114" s="77" t="s">
        <v>9362</v>
      </c>
      <c r="D114" s="77" t="s">
        <v>9362</v>
      </c>
      <c r="E114" s="74" t="str">
        <f>IF($A$109="","",IF(VLOOKUP($A113,Products!$A$59:$H$159,5,FALSE)="","",VLOOKUP($A113,Products!$A$59:$H$159,5,FALSE)))</f>
        <v/>
      </c>
      <c r="F114" s="46" t="str">
        <f>IF($A$109="","",IF(VLOOKUP($A113,Products!$A$59:$H$159,8,FALSE)="","",VLOOKUP($A113,Products!$A$59:$H$159,8,FALSE)))</f>
        <v/>
      </c>
      <c r="G114" s="46" t="str">
        <f t="shared" si="24"/>
        <v/>
      </c>
      <c r="H114" s="51" t="str">
        <f t="shared" si="25"/>
        <v/>
      </c>
    </row>
    <row r="115" spans="1:8" x14ac:dyDescent="0.2">
      <c r="A115" s="649" t="str">
        <f t="shared" si="23"/>
        <v>AAAAAA</v>
      </c>
      <c r="B115" s="650"/>
      <c r="C115" s="77" t="s">
        <v>9362</v>
      </c>
      <c r="D115" s="77" t="s">
        <v>9362</v>
      </c>
      <c r="E115" s="74" t="str">
        <f>IF($A$109="","",IF(VLOOKUP($A114,Products!$A$59:$H$159,5,FALSE)="","",VLOOKUP($A114,Products!$A$59:$H$159,5,FALSE)))</f>
        <v/>
      </c>
      <c r="F115" s="46" t="str">
        <f>IF($A$109="","",IF(VLOOKUP($A114,Products!$A$59:$H$159,8,FALSE)="","",VLOOKUP($A114,Products!$A$59:$H$159,8,FALSE)))</f>
        <v/>
      </c>
      <c r="G115" s="46" t="str">
        <f t="shared" si="24"/>
        <v/>
      </c>
      <c r="H115" s="51" t="str">
        <f t="shared" si="25"/>
        <v/>
      </c>
    </row>
    <row r="116" spans="1:8" x14ac:dyDescent="0.2">
      <c r="A116" s="649" t="str">
        <f t="shared" si="23"/>
        <v>AAAAAAA</v>
      </c>
      <c r="B116" s="650"/>
      <c r="C116" s="77" t="s">
        <v>9362</v>
      </c>
      <c r="D116" s="77" t="s">
        <v>9362</v>
      </c>
      <c r="E116" s="74" t="str">
        <f>IF($A$109="","",IF(VLOOKUP($A115,Products!$A$59:$H$159,5,FALSE)="","",VLOOKUP($A115,Products!$A$59:$H$159,5,FALSE)))</f>
        <v/>
      </c>
      <c r="F116" s="46" t="str">
        <f>IF($A$109="","",IF(VLOOKUP($A115,Products!$A$59:$H$159,8,FALSE)="","",VLOOKUP($A115,Products!$A$59:$H$159,8,FALSE)))</f>
        <v/>
      </c>
      <c r="G116" s="46" t="str">
        <f t="shared" si="24"/>
        <v/>
      </c>
      <c r="H116" s="51" t="str">
        <f t="shared" si="25"/>
        <v/>
      </c>
    </row>
    <row r="117" spans="1:8" x14ac:dyDescent="0.2">
      <c r="A117" s="649" t="str">
        <f t="shared" si="23"/>
        <v>AAAAAAAA</v>
      </c>
      <c r="B117" s="650"/>
      <c r="C117" s="77" t="s">
        <v>9362</v>
      </c>
      <c r="D117" s="77" t="s">
        <v>9362</v>
      </c>
      <c r="E117" s="74" t="str">
        <f>IF($A$109="","",IF(VLOOKUP($A116,Products!$A$59:$H$159,5,FALSE)="","",VLOOKUP($A116,Products!$A$59:$H$159,5,FALSE)))</f>
        <v/>
      </c>
      <c r="F117" s="46" t="str">
        <f>IF($A$109="","",IF(VLOOKUP($A116,Products!$A$59:$H$159,8,FALSE)="","",VLOOKUP($A116,Products!$A$59:$H$159,8,FALSE)))</f>
        <v/>
      </c>
      <c r="G117" s="46" t="str">
        <f t="shared" si="24"/>
        <v/>
      </c>
      <c r="H117" s="51" t="str">
        <f t="shared" si="25"/>
        <v/>
      </c>
    </row>
    <row r="118" spans="1:8" x14ac:dyDescent="0.2">
      <c r="A118" s="649" t="str">
        <f t="shared" si="23"/>
        <v>AAAAAAAAA</v>
      </c>
      <c r="B118" s="650"/>
      <c r="C118" s="77" t="s">
        <v>9362</v>
      </c>
      <c r="D118" s="77" t="s">
        <v>9362</v>
      </c>
      <c r="E118" s="74" t="str">
        <f>IF($A$109="","",IF(VLOOKUP($A117,Products!$A$59:$H$159,5,FALSE)="","",VLOOKUP($A117,Products!$A$59:$H$159,5,FALSE)))</f>
        <v/>
      </c>
      <c r="F118" s="46" t="str">
        <f>IF($A$109="","",IF(VLOOKUP($A117,Products!$A$59:$H$159,8,FALSE)="","",VLOOKUP($A117,Products!$A$59:$H$159,8,FALSE)))</f>
        <v/>
      </c>
      <c r="G118" s="46" t="str">
        <f>IF($F118="","",$F118*$G$109)</f>
        <v/>
      </c>
      <c r="H118" s="51" t="str">
        <f>IF($F118="","",$F118*$H$109)</f>
        <v/>
      </c>
    </row>
    <row r="119" spans="1:8" x14ac:dyDescent="0.2">
      <c r="A119" s="649" t="str">
        <f t="shared" si="23"/>
        <v>AAAAAAAAAA</v>
      </c>
      <c r="B119" s="650"/>
      <c r="C119" s="77" t="s">
        <v>9362</v>
      </c>
      <c r="D119" s="77" t="s">
        <v>9362</v>
      </c>
      <c r="E119" s="74" t="str">
        <f>IF($A$109="","",IF(VLOOKUP($A118,Products!$A$59:$H$159,5,FALSE)="","",VLOOKUP($A118,Products!$A$59:$H$159,5,FALSE)))</f>
        <v/>
      </c>
      <c r="F119" s="46" t="str">
        <f>IF($A$109="","",IF(VLOOKUP($A118,Products!$A$59:$H$159,8,FALSE)="","",VLOOKUP($A118,Products!$A$59:$H$159,8,FALSE)))</f>
        <v/>
      </c>
      <c r="G119" s="46" t="str">
        <f t="shared" si="24"/>
        <v/>
      </c>
      <c r="H119" s="51" t="str">
        <f t="shared" si="25"/>
        <v/>
      </c>
    </row>
    <row r="120" spans="1:8" ht="14.25" customHeight="1" x14ac:dyDescent="0.2">
      <c r="A120" s="651"/>
      <c r="B120" s="615"/>
      <c r="C120" s="75"/>
      <c r="D120" s="76"/>
      <c r="E120" s="73" t="s">
        <v>291</v>
      </c>
      <c r="F120" s="46">
        <v>1</v>
      </c>
      <c r="G120" s="40"/>
      <c r="H120" s="47"/>
    </row>
    <row r="121" spans="1:8" x14ac:dyDescent="0.2">
      <c r="A121" s="627" t="str">
        <f>A120&amp;"A"</f>
        <v>A</v>
      </c>
      <c r="B121" s="628"/>
      <c r="C121" s="77" t="s">
        <v>9362</v>
      </c>
      <c r="D121" s="77" t="s">
        <v>9362</v>
      </c>
      <c r="E121" s="74" t="str">
        <f>IF($A$120="","",IF(VLOOKUP($A120,Products!$A$59:$H$159,5,FALSE)="","",VLOOKUP($A120,Products!$A$59:$H$159,5,FALSE)))</f>
        <v/>
      </c>
      <c r="F121" s="46" t="str">
        <f>IF($A$120="","",IF(VLOOKUP($A120,Products!$A$59:$H$159,8,FALSE)="","",VLOOKUP($A120,Products!$A$59:$H$159,8,FALSE)))</f>
        <v/>
      </c>
      <c r="G121" s="46" t="str">
        <f>IF($F121="","",$F121*$G$120)</f>
        <v/>
      </c>
      <c r="H121" s="51" t="str">
        <f>IF($F121="","",$F121*$H$120)</f>
        <v/>
      </c>
    </row>
    <row r="122" spans="1:8" x14ac:dyDescent="0.2">
      <c r="A122" s="649" t="str">
        <f t="shared" ref="A122:A130" si="26">A121&amp;"A"</f>
        <v>AA</v>
      </c>
      <c r="B122" s="650"/>
      <c r="C122" s="77" t="s">
        <v>9362</v>
      </c>
      <c r="D122" s="77" t="s">
        <v>9362</v>
      </c>
      <c r="E122" s="74" t="str">
        <f>IF($A$120="","",IF(VLOOKUP($A121,Products!$A$59:$H$159,5,FALSE)="","",VLOOKUP($A121,Products!$A$59:$H$159,5,FALSE)))</f>
        <v/>
      </c>
      <c r="F122" s="46" t="str">
        <f>IF($A$120="","",IF(VLOOKUP($A121,Products!$A$59:$H$159,8,FALSE)="","",VLOOKUP($A121,Products!$A$59:$H$159,8,FALSE)))</f>
        <v/>
      </c>
      <c r="G122" s="46" t="str">
        <f t="shared" ref="G122:G130" si="27">IF($F122="","",$F122*$G$120)</f>
        <v/>
      </c>
      <c r="H122" s="51" t="str">
        <f t="shared" ref="H122:H130" si="28">IF($F122="","",$F122*$H$120)</f>
        <v/>
      </c>
    </row>
    <row r="123" spans="1:8" x14ac:dyDescent="0.2">
      <c r="A123" s="649" t="str">
        <f t="shared" si="26"/>
        <v>AAA</v>
      </c>
      <c r="B123" s="650"/>
      <c r="C123" s="77" t="s">
        <v>9362</v>
      </c>
      <c r="D123" s="77" t="s">
        <v>9362</v>
      </c>
      <c r="E123" s="74" t="str">
        <f>IF($A$120="","",IF(VLOOKUP($A122,Products!$A$59:$H$159,5,FALSE)="","",VLOOKUP($A122,Products!$A$59:$H$159,5,FALSE)))</f>
        <v/>
      </c>
      <c r="F123" s="46" t="str">
        <f>IF($A$120="","",IF(VLOOKUP($A122,Products!$A$59:$H$159,8,FALSE)="","",VLOOKUP($A122,Products!$A$59:$H$159,8,FALSE)))</f>
        <v/>
      </c>
      <c r="G123" s="46" t="str">
        <f t="shared" si="27"/>
        <v/>
      </c>
      <c r="H123" s="51" t="str">
        <f t="shared" si="28"/>
        <v/>
      </c>
    </row>
    <row r="124" spans="1:8" x14ac:dyDescent="0.2">
      <c r="A124" s="649" t="str">
        <f t="shared" si="26"/>
        <v>AAAA</v>
      </c>
      <c r="B124" s="650"/>
      <c r="C124" s="77" t="s">
        <v>9362</v>
      </c>
      <c r="D124" s="77" t="s">
        <v>9362</v>
      </c>
      <c r="E124" s="74" t="str">
        <f>IF($A$120="","",IF(VLOOKUP($A123,Products!$A$59:$H$159,5,FALSE)="","",VLOOKUP($A123,Products!$A$59:$H$159,5,FALSE)))</f>
        <v/>
      </c>
      <c r="F124" s="46" t="str">
        <f>IF($A$120="","",IF(VLOOKUP($A123,Products!$A$59:$H$159,8,FALSE)="","",VLOOKUP($A123,Products!$A$59:$H$159,8,FALSE)))</f>
        <v/>
      </c>
      <c r="G124" s="46" t="str">
        <f t="shared" si="27"/>
        <v/>
      </c>
      <c r="H124" s="51" t="str">
        <f t="shared" si="28"/>
        <v/>
      </c>
    </row>
    <row r="125" spans="1:8" x14ac:dyDescent="0.2">
      <c r="A125" s="649" t="str">
        <f t="shared" si="26"/>
        <v>AAAAA</v>
      </c>
      <c r="B125" s="650"/>
      <c r="C125" s="77" t="s">
        <v>9362</v>
      </c>
      <c r="D125" s="77" t="s">
        <v>9362</v>
      </c>
      <c r="E125" s="74" t="str">
        <f>IF($A$120="","",IF(VLOOKUP($A124,Products!$A$59:$H$159,5,FALSE)="","",VLOOKUP($A124,Products!$A$59:$H$159,5,FALSE)))</f>
        <v/>
      </c>
      <c r="F125" s="46" t="str">
        <f>IF($A$120="","",IF(VLOOKUP($A124,Products!$A$59:$H$159,8,FALSE)="","",VLOOKUP($A124,Products!$A$59:$H$159,8,FALSE)))</f>
        <v/>
      </c>
      <c r="G125" s="46" t="str">
        <f t="shared" si="27"/>
        <v/>
      </c>
      <c r="H125" s="51" t="str">
        <f t="shared" si="28"/>
        <v/>
      </c>
    </row>
    <row r="126" spans="1:8" x14ac:dyDescent="0.2">
      <c r="A126" s="649" t="str">
        <f t="shared" si="26"/>
        <v>AAAAAA</v>
      </c>
      <c r="B126" s="650"/>
      <c r="C126" s="77" t="s">
        <v>9362</v>
      </c>
      <c r="D126" s="77" t="s">
        <v>9362</v>
      </c>
      <c r="E126" s="74" t="str">
        <f>IF($A$120="","",IF(VLOOKUP($A125,Products!$A$59:$H$159,5,FALSE)="","",VLOOKUP($A125,Products!$A$59:$H$159,5,FALSE)))</f>
        <v/>
      </c>
      <c r="F126" s="46" t="str">
        <f>IF($A$120="","",IF(VLOOKUP($A125,Products!$A$59:$H$159,8,FALSE)="","",VLOOKUP($A125,Products!$A$59:$H$159,8,FALSE)))</f>
        <v/>
      </c>
      <c r="G126" s="46" t="str">
        <f t="shared" si="27"/>
        <v/>
      </c>
      <c r="H126" s="51" t="str">
        <f t="shared" si="28"/>
        <v/>
      </c>
    </row>
    <row r="127" spans="1:8" x14ac:dyDescent="0.2">
      <c r="A127" s="649" t="str">
        <f t="shared" si="26"/>
        <v>AAAAAAA</v>
      </c>
      <c r="B127" s="650"/>
      <c r="C127" s="77" t="s">
        <v>9362</v>
      </c>
      <c r="D127" s="77" t="s">
        <v>9362</v>
      </c>
      <c r="E127" s="74" t="str">
        <f>IF($A$120="","",IF(VLOOKUP($A126,Products!$A$59:$H$159,5,FALSE)="","",VLOOKUP($A126,Products!$A$59:$H$159,5,FALSE)))</f>
        <v/>
      </c>
      <c r="F127" s="46" t="str">
        <f>IF($A$120="","",IF(VLOOKUP($A126,Products!$A$59:$H$159,8,FALSE)="","",VLOOKUP($A126,Products!$A$59:$H$159,8,FALSE)))</f>
        <v/>
      </c>
      <c r="G127" s="46" t="str">
        <f t="shared" si="27"/>
        <v/>
      </c>
      <c r="H127" s="51" t="str">
        <f t="shared" si="28"/>
        <v/>
      </c>
    </row>
    <row r="128" spans="1:8" x14ac:dyDescent="0.2">
      <c r="A128" s="649" t="str">
        <f t="shared" si="26"/>
        <v>AAAAAAAA</v>
      </c>
      <c r="B128" s="650"/>
      <c r="C128" s="77" t="s">
        <v>9362</v>
      </c>
      <c r="D128" s="77" t="s">
        <v>9362</v>
      </c>
      <c r="E128" s="74" t="str">
        <f>IF($A$120="","",IF(VLOOKUP($A127,Products!$A$59:$H$159,5,FALSE)="","",VLOOKUP($A127,Products!$A$59:$H$159,5,FALSE)))</f>
        <v/>
      </c>
      <c r="F128" s="46" t="str">
        <f>IF($A$120="","",IF(VLOOKUP($A127,Products!$A$59:$H$159,8,FALSE)="","",VLOOKUP($A127,Products!$A$59:$H$159,8,FALSE)))</f>
        <v/>
      </c>
      <c r="G128" s="46" t="str">
        <f t="shared" si="27"/>
        <v/>
      </c>
      <c r="H128" s="51" t="str">
        <f t="shared" si="28"/>
        <v/>
      </c>
    </row>
    <row r="129" spans="1:8" x14ac:dyDescent="0.2">
      <c r="A129" s="649" t="str">
        <f t="shared" si="26"/>
        <v>AAAAAAAAA</v>
      </c>
      <c r="B129" s="650"/>
      <c r="C129" s="77" t="s">
        <v>9362</v>
      </c>
      <c r="D129" s="77" t="s">
        <v>9362</v>
      </c>
      <c r="E129" s="74" t="str">
        <f>IF($A$120="","",IF(VLOOKUP($A128,Products!$A$59:$H$159,5,FALSE)="","",VLOOKUP($A128,Products!$A$59:$H$159,5,FALSE)))</f>
        <v/>
      </c>
      <c r="F129" s="46" t="str">
        <f>IF($A$120="","",IF(VLOOKUP($A128,Products!$A$59:$H$159,8,FALSE)="","",VLOOKUP($A128,Products!$A$59:$H$159,8,FALSE)))</f>
        <v/>
      </c>
      <c r="G129" s="46" t="str">
        <f t="shared" si="27"/>
        <v/>
      </c>
      <c r="H129" s="51" t="str">
        <f t="shared" si="28"/>
        <v/>
      </c>
    </row>
    <row r="130" spans="1:8" x14ac:dyDescent="0.2">
      <c r="A130" s="649" t="str">
        <f t="shared" si="26"/>
        <v>AAAAAAAAAA</v>
      </c>
      <c r="B130" s="650"/>
      <c r="C130" s="77" t="s">
        <v>9362</v>
      </c>
      <c r="D130" s="77" t="s">
        <v>9362</v>
      </c>
      <c r="E130" s="74" t="str">
        <f>IF($A$120="","",IF(VLOOKUP($A129,Products!$A$59:$H$159,5,FALSE)="","",VLOOKUP($A129,Products!$A$59:$H$159,5,FALSE)))</f>
        <v/>
      </c>
      <c r="F130" s="46" t="str">
        <f>IF($A$120="","",IF(VLOOKUP($A129,Products!$A$59:$H$159,8,FALSE)="","",VLOOKUP($A129,Products!$A$59:$H$159,8,FALSE)))</f>
        <v/>
      </c>
      <c r="G130" s="46" t="str">
        <f t="shared" si="27"/>
        <v/>
      </c>
      <c r="H130" s="51" t="str">
        <f t="shared" si="28"/>
        <v/>
      </c>
    </row>
    <row r="131" spans="1:8" ht="14.25" customHeight="1" x14ac:dyDescent="0.2">
      <c r="A131" s="651"/>
      <c r="B131" s="615"/>
      <c r="C131" s="75"/>
      <c r="D131" s="76"/>
      <c r="E131" s="73" t="s">
        <v>291</v>
      </c>
      <c r="F131" s="46">
        <v>1</v>
      </c>
      <c r="G131" s="40"/>
      <c r="H131" s="47"/>
    </row>
    <row r="132" spans="1:8" x14ac:dyDescent="0.2">
      <c r="A132" s="627" t="str">
        <f>A131&amp;"A"</f>
        <v>A</v>
      </c>
      <c r="B132" s="628"/>
      <c r="C132" s="77" t="s">
        <v>9362</v>
      </c>
      <c r="D132" s="77" t="s">
        <v>9362</v>
      </c>
      <c r="E132" s="74" t="str">
        <f>IF($A$131="","",IF(VLOOKUP($A131,Products!$A$59:$H$159,5,FALSE)="","",VLOOKUP($A131,Products!$A$59:$H$159,5,FALSE)))</f>
        <v/>
      </c>
      <c r="F132" s="46" t="str">
        <f>IF($A$131="","",IF(VLOOKUP($A131,Products!$A$59:$H$159,8,FALSE)="","",VLOOKUP($A131,Products!$A$59:$H$159,8,FALSE)))</f>
        <v/>
      </c>
      <c r="G132" s="46" t="str">
        <f>IF($F132="","",$F132*$G$131)</f>
        <v/>
      </c>
      <c r="H132" s="51" t="str">
        <f>IF($F132="","",$F132*$H$131)</f>
        <v/>
      </c>
    </row>
    <row r="133" spans="1:8" x14ac:dyDescent="0.2">
      <c r="A133" s="649" t="str">
        <f t="shared" ref="A133:A141" si="29">A132&amp;"A"</f>
        <v>AA</v>
      </c>
      <c r="B133" s="650"/>
      <c r="C133" s="77" t="s">
        <v>9362</v>
      </c>
      <c r="D133" s="77" t="s">
        <v>9362</v>
      </c>
      <c r="E133" s="74" t="str">
        <f>IF($A$131="","",IF(VLOOKUP($A132,Products!$A$59:$H$159,5,FALSE)="","",VLOOKUP($A132,Products!$A$59:$H$159,5,FALSE)))</f>
        <v/>
      </c>
      <c r="F133" s="46" t="str">
        <f>IF($A$131="","",IF(VLOOKUP($A132,Products!$A$59:$H$159,8,FALSE)="","",VLOOKUP($A132,Products!$A$59:$H$159,8,FALSE)))</f>
        <v/>
      </c>
      <c r="G133" s="46" t="str">
        <f t="shared" ref="G133:G140" si="30">IF($F133="","",$F133*$G$131)</f>
        <v/>
      </c>
      <c r="H133" s="51" t="str">
        <f t="shared" ref="H133:H140" si="31">IF($F133="","",$F133*$H$131)</f>
        <v/>
      </c>
    </row>
    <row r="134" spans="1:8" x14ac:dyDescent="0.2">
      <c r="A134" s="649" t="str">
        <f t="shared" si="29"/>
        <v>AAA</v>
      </c>
      <c r="B134" s="650"/>
      <c r="C134" s="77" t="s">
        <v>9362</v>
      </c>
      <c r="D134" s="77" t="s">
        <v>9362</v>
      </c>
      <c r="E134" s="74" t="str">
        <f>IF($A$131="","",IF(VLOOKUP($A133,Products!$A$59:$H$159,5,FALSE)="","",VLOOKUP($A133,Products!$A$59:$H$159,5,FALSE)))</f>
        <v/>
      </c>
      <c r="F134" s="46" t="str">
        <f>IF($A$131="","",IF(VLOOKUP($A133,Products!$A$59:$H$159,8,FALSE)="","",VLOOKUP($A133,Products!$A$59:$H$159,8,FALSE)))</f>
        <v/>
      </c>
      <c r="G134" s="46" t="str">
        <f t="shared" si="30"/>
        <v/>
      </c>
      <c r="H134" s="51" t="str">
        <f t="shared" si="31"/>
        <v/>
      </c>
    </row>
    <row r="135" spans="1:8" x14ac:dyDescent="0.2">
      <c r="A135" s="649" t="str">
        <f t="shared" si="29"/>
        <v>AAAA</v>
      </c>
      <c r="B135" s="650"/>
      <c r="C135" s="77" t="s">
        <v>9362</v>
      </c>
      <c r="D135" s="77" t="s">
        <v>9362</v>
      </c>
      <c r="E135" s="74" t="str">
        <f>IF($A$131="","",IF(VLOOKUP($A134,Products!$A$59:$H$159,5,FALSE)="","",VLOOKUP($A134,Products!$A$59:$H$159,5,FALSE)))</f>
        <v/>
      </c>
      <c r="F135" s="46" t="str">
        <f>IF($A$131="","",IF(VLOOKUP($A134,Products!$A$59:$H$159,8,FALSE)="","",VLOOKUP($A134,Products!$A$59:$H$159,8,FALSE)))</f>
        <v/>
      </c>
      <c r="G135" s="46" t="str">
        <f t="shared" si="30"/>
        <v/>
      </c>
      <c r="H135" s="51" t="str">
        <f t="shared" si="31"/>
        <v/>
      </c>
    </row>
    <row r="136" spans="1:8" x14ac:dyDescent="0.2">
      <c r="A136" s="649" t="str">
        <f t="shared" si="29"/>
        <v>AAAAA</v>
      </c>
      <c r="B136" s="650"/>
      <c r="C136" s="77" t="s">
        <v>9362</v>
      </c>
      <c r="D136" s="77" t="s">
        <v>9362</v>
      </c>
      <c r="E136" s="74" t="str">
        <f>IF($A$131="","",IF(VLOOKUP($A135,Products!$A$59:$H$159,5,FALSE)="","",VLOOKUP($A135,Products!$A$59:$H$159,5,FALSE)))</f>
        <v/>
      </c>
      <c r="F136" s="46" t="str">
        <f>IF($A$131="","",IF(VLOOKUP($A135,Products!$A$59:$H$159,8,FALSE)="","",VLOOKUP($A135,Products!$A$59:$H$159,8,FALSE)))</f>
        <v/>
      </c>
      <c r="G136" s="46" t="str">
        <f>IF($F136="","",$F136*$G$131)</f>
        <v/>
      </c>
      <c r="H136" s="51" t="str">
        <f>IF($F136="","",$F136*$H$131)</f>
        <v/>
      </c>
    </row>
    <row r="137" spans="1:8" x14ac:dyDescent="0.2">
      <c r="A137" s="649" t="str">
        <f t="shared" si="29"/>
        <v>AAAAAA</v>
      </c>
      <c r="B137" s="650"/>
      <c r="C137" s="77" t="s">
        <v>9362</v>
      </c>
      <c r="D137" s="77" t="s">
        <v>9362</v>
      </c>
      <c r="E137" s="74" t="str">
        <f>IF($A$131="","",IF(VLOOKUP($A136,Products!$A$59:$H$159,5,FALSE)="","",VLOOKUP($A136,Products!$A$59:$H$159,5,FALSE)))</f>
        <v/>
      </c>
      <c r="F137" s="46" t="str">
        <f>IF($A$131="","",IF(VLOOKUP($A136,Products!$A$59:$H$159,8,FALSE)="","",VLOOKUP($A136,Products!$A$59:$H$159,8,FALSE)))</f>
        <v/>
      </c>
      <c r="G137" s="46" t="str">
        <f t="shared" si="30"/>
        <v/>
      </c>
      <c r="H137" s="51" t="str">
        <f t="shared" si="31"/>
        <v/>
      </c>
    </row>
    <row r="138" spans="1:8" x14ac:dyDescent="0.2">
      <c r="A138" s="649" t="str">
        <f t="shared" si="29"/>
        <v>AAAAAAA</v>
      </c>
      <c r="B138" s="650"/>
      <c r="C138" s="77" t="s">
        <v>9362</v>
      </c>
      <c r="D138" s="77" t="s">
        <v>9362</v>
      </c>
      <c r="E138" s="74" t="str">
        <f>IF($A$131="","",IF(VLOOKUP($A137,Products!$A$59:$H$159,5,FALSE)="","",VLOOKUP($A137,Products!$A$59:$H$159,5,FALSE)))</f>
        <v/>
      </c>
      <c r="F138" s="46" t="str">
        <f>IF($A$131="","",IF(VLOOKUP($A137,Products!$A$59:$H$159,8,FALSE)="","",VLOOKUP($A137,Products!$A$59:$H$159,8,FALSE)))</f>
        <v/>
      </c>
      <c r="G138" s="46" t="str">
        <f t="shared" si="30"/>
        <v/>
      </c>
      <c r="H138" s="51" t="str">
        <f t="shared" si="31"/>
        <v/>
      </c>
    </row>
    <row r="139" spans="1:8" x14ac:dyDescent="0.2">
      <c r="A139" s="649" t="str">
        <f t="shared" si="29"/>
        <v>AAAAAAAA</v>
      </c>
      <c r="B139" s="650"/>
      <c r="C139" s="77" t="s">
        <v>9362</v>
      </c>
      <c r="D139" s="77" t="s">
        <v>9362</v>
      </c>
      <c r="E139" s="74" t="str">
        <f>IF($A$131="","",IF(VLOOKUP($A138,Products!$A$59:$H$159,5,FALSE)="","",VLOOKUP($A138,Products!$A$59:$H$159,5,FALSE)))</f>
        <v/>
      </c>
      <c r="F139" s="46" t="str">
        <f>IF($A$131="","",IF(VLOOKUP($A138,Products!$A$59:$H$159,8,FALSE)="","",VLOOKUP($A138,Products!$A$59:$H$159,8,FALSE)))</f>
        <v/>
      </c>
      <c r="G139" s="46" t="str">
        <f t="shared" si="30"/>
        <v/>
      </c>
      <c r="H139" s="51" t="str">
        <f t="shared" si="31"/>
        <v/>
      </c>
    </row>
    <row r="140" spans="1:8" x14ac:dyDescent="0.2">
      <c r="A140" s="649" t="str">
        <f t="shared" si="29"/>
        <v>AAAAAAAAA</v>
      </c>
      <c r="B140" s="650"/>
      <c r="C140" s="77" t="s">
        <v>9362</v>
      </c>
      <c r="D140" s="77" t="s">
        <v>9362</v>
      </c>
      <c r="E140" s="74" t="str">
        <f>IF($A$131="","",IF(VLOOKUP($A139,Products!$A$59:$H$159,5,FALSE)="","",VLOOKUP($A139,Products!$A$59:$H$159,5,FALSE)))</f>
        <v/>
      </c>
      <c r="F140" s="46" t="str">
        <f>IF($A$131="","",IF(VLOOKUP($A139,Products!$A$59:$H$159,8,FALSE)="","",VLOOKUP($A139,Products!$A$59:$H$159,8,FALSE)))</f>
        <v/>
      </c>
      <c r="G140" s="46" t="str">
        <f t="shared" si="30"/>
        <v/>
      </c>
      <c r="H140" s="51" t="str">
        <f t="shared" si="31"/>
        <v/>
      </c>
    </row>
    <row r="141" spans="1:8" ht="15" thickBot="1" x14ac:dyDescent="0.25">
      <c r="A141" s="652" t="str">
        <f t="shared" si="29"/>
        <v>AAAAAAAAAA</v>
      </c>
      <c r="B141" s="653"/>
      <c r="C141" s="78" t="s">
        <v>9362</v>
      </c>
      <c r="D141" s="78" t="s">
        <v>9362</v>
      </c>
      <c r="E141" s="105" t="str">
        <f>IF($A$131="","",IF(VLOOKUP($A140,Products!$A$59:$H$159,5,FALSE)="","",VLOOKUP($A140,Products!$A$59:$H$159,5,FALSE)))</f>
        <v/>
      </c>
      <c r="F141" s="106" t="str">
        <f>IF($A$131="","",IF(VLOOKUP($A140,Products!$A$59:$H$159,8,FALSE)="","",VLOOKUP($A140,Products!$A$59:$H$159,8,FALSE)))</f>
        <v/>
      </c>
      <c r="G141" s="106" t="str">
        <f>IF($F141="","",$F141*$G$131)</f>
        <v/>
      </c>
      <c r="H141" s="107" t="str">
        <f>IF($F141="","",$F141*$H$131)</f>
        <v/>
      </c>
    </row>
    <row r="142" spans="1:8" x14ac:dyDescent="0.2">
      <c r="A142" s="478" t="s">
        <v>130</v>
      </c>
      <c r="B142" s="478"/>
      <c r="C142" s="478"/>
      <c r="D142" s="478"/>
      <c r="E142" s="478"/>
      <c r="F142" s="478"/>
      <c r="G142" s="478"/>
      <c r="H142" s="478"/>
    </row>
  </sheetData>
  <sheetProtection algorithmName="SHA-512" hashValue="CbCjlCmQA6139KVkkZyDmxQssGetp+0WTJYyxW7QCkj0PKmTpOzwRF510xsRl0J//cZdqCge06gmKJtRCwW5Zg==" saltValue="7DzjWp3diwDPGa3M+YTOKw==" spinCount="100000" sheet="1" objects="1" scenarios="1" formatColumns="0" formatRows="0"/>
  <mergeCells count="176">
    <mergeCell ref="A7:C7"/>
    <mergeCell ref="D7:H7"/>
    <mergeCell ref="A8:C8"/>
    <mergeCell ref="D8:H8"/>
    <mergeCell ref="A9:C9"/>
    <mergeCell ref="D9:H9"/>
    <mergeCell ref="A1:H1"/>
    <mergeCell ref="A2:H2"/>
    <mergeCell ref="A3:H3"/>
    <mergeCell ref="A4:H4"/>
    <mergeCell ref="A5:H5"/>
    <mergeCell ref="A6:C6"/>
    <mergeCell ref="D6:H6"/>
    <mergeCell ref="A12:H12"/>
    <mergeCell ref="A13:H13"/>
    <mergeCell ref="A14:C14"/>
    <mergeCell ref="D14:E14"/>
    <mergeCell ref="F14:H14"/>
    <mergeCell ref="A22:C22"/>
    <mergeCell ref="D22:E22"/>
    <mergeCell ref="F22:H22"/>
    <mergeCell ref="A10:C10"/>
    <mergeCell ref="D10:H10"/>
    <mergeCell ref="A11:C11"/>
    <mergeCell ref="D11:H11"/>
    <mergeCell ref="A17:C17"/>
    <mergeCell ref="D17:E17"/>
    <mergeCell ref="F17:H17"/>
    <mergeCell ref="A18:C18"/>
    <mergeCell ref="D18:E18"/>
    <mergeCell ref="F18:H18"/>
    <mergeCell ref="A15:C15"/>
    <mergeCell ref="D15:E15"/>
    <mergeCell ref="F15:H15"/>
    <mergeCell ref="A16:C16"/>
    <mergeCell ref="D16:E16"/>
    <mergeCell ref="F16:H16"/>
    <mergeCell ref="A24:C24"/>
    <mergeCell ref="D24:E24"/>
    <mergeCell ref="F24:H24"/>
    <mergeCell ref="A25:C25"/>
    <mergeCell ref="D25:E25"/>
    <mergeCell ref="F25:H25"/>
    <mergeCell ref="A19:C19"/>
    <mergeCell ref="D19:E19"/>
    <mergeCell ref="F19:H19"/>
    <mergeCell ref="A23:C23"/>
    <mergeCell ref="D23:E23"/>
    <mergeCell ref="F23:H23"/>
    <mergeCell ref="A20:C20"/>
    <mergeCell ref="D20:E20"/>
    <mergeCell ref="F20:H20"/>
    <mergeCell ref="A21:C21"/>
    <mergeCell ref="D21:E21"/>
    <mergeCell ref="F21:H21"/>
    <mergeCell ref="A31:B31"/>
    <mergeCell ref="A32:B32"/>
    <mergeCell ref="A26:C26"/>
    <mergeCell ref="D26:E26"/>
    <mergeCell ref="F26:H26"/>
    <mergeCell ref="A27:H27"/>
    <mergeCell ref="A28:H28"/>
    <mergeCell ref="A29:F29"/>
    <mergeCell ref="A30:F30"/>
    <mergeCell ref="G29:H29"/>
    <mergeCell ref="G30:H30"/>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41:B141"/>
    <mergeCell ref="A142:H142"/>
    <mergeCell ref="A135:B135"/>
    <mergeCell ref="A136:B136"/>
    <mergeCell ref="A137:B137"/>
    <mergeCell ref="A138:B138"/>
    <mergeCell ref="A139:B139"/>
    <mergeCell ref="A140:B140"/>
    <mergeCell ref="A129:B129"/>
    <mergeCell ref="A130:B130"/>
    <mergeCell ref="A131:B131"/>
    <mergeCell ref="A132:B132"/>
    <mergeCell ref="A133:B133"/>
    <mergeCell ref="A134:B134"/>
  </mergeCells>
  <conditionalFormatting sqref="A20:C21">
    <cfRule type="expression" dxfId="281" priority="3">
      <formula>$D$6="affected"</formula>
    </cfRule>
  </conditionalFormatting>
  <conditionalFormatting sqref="A10:H141">
    <cfRule type="expression" dxfId="278" priority="7">
      <formula>$D$6="affected"</formula>
    </cfRule>
  </conditionalFormatting>
  <conditionalFormatting sqref="A23:H24">
    <cfRule type="expression" dxfId="277" priority="11">
      <formula>OR($D$18="vertical fixed roof",$D$18="horizontal fixed roof")</formula>
    </cfRule>
  </conditionalFormatting>
  <conditionalFormatting sqref="D20:E20">
    <cfRule type="expression" dxfId="276" priority="2">
      <formula>AND($D$20&gt;=11,COUNTIF($D$18,"*floating*")&gt;0)</formula>
    </cfRule>
  </conditionalFormatting>
  <conditionalFormatting sqref="D22:E22">
    <cfRule type="expression" dxfId="274" priority="1">
      <formula>COUNTIF($F$22,"*revise*")&gt;0</formula>
    </cfRule>
  </conditionalFormatting>
  <dataValidations xWindow="543" yWindow="745" count="22">
    <dataValidation type="list" allowBlank="1" showErrorMessage="1" prompt="select a product name" sqref="A32:B32 A43:B43 A54:B54 A65:B65 A76:B76 A87:B87 A98:B98 A109:B109 A120:B120 A131:B131" xr:uid="{F0B6B9F7-1781-4CB1-845F-8792D0BB2329}">
      <formula1>ProdList</formula1>
    </dataValidation>
    <dataValidation type="list" allowBlank="1" showErrorMessage="1" prompt="select one" sqref="D6:H6" xr:uid="{A61D351A-5F54-4506-8F61-499AB1C486B9}">
      <formula1>"Affected,Modified,New"</formula1>
    </dataValidation>
    <dataValidation allowBlank="1" showErrorMessage="1" prompt="enter fin" sqref="D7:H7" xr:uid="{56CC96B6-D725-4DA7-8853-001B530238C2}"/>
    <dataValidation allowBlank="1" showErrorMessage="1" prompt="enter epn" sqref="D8:H8" xr:uid="{FC29DF28-C502-42E1-9E06-B9F95F28EA14}"/>
    <dataValidation allowBlank="1" showErrorMessage="1" prompt="enter source name" sqref="D9:H9" xr:uid="{F44671DA-FB1E-4A28-91CE-287F0E2484AF}"/>
    <dataValidation allowBlank="1" showErrorMessage="1" prompt="enter easting coordinate in meters" sqref="D10:H10" xr:uid="{9275B347-1093-4CA5-8D0B-499DBC7D53F8}"/>
    <dataValidation allowBlank="1" showErrorMessage="1" prompt="enter northing coordinate in meters" sqref="D11:H11" xr:uid="{05BB9356-A07A-4E75-BFDC-9EFF43187663}"/>
    <dataValidation type="decimal" operator="greaterThanOrEqual" allowBlank="1" showErrorMessage="1" prompt="enter the distance in feet" sqref="D15:E15" xr:uid="{AD6CBF01-058E-4B40-BA81-2696C8BE478E}">
      <formula1>25</formula1>
    </dataValidation>
    <dataValidation type="decimal" operator="greaterThanOrEqual" allowBlank="1" showErrorMessage="1" prompt="enter the release height in feet" sqref="D16:E16" xr:uid="{B8894629-18A9-4400-B8D5-49B8DDF977E6}">
      <formula1>3</formula1>
    </dataValidation>
    <dataValidation type="list" allowBlank="1" showErrorMessage="1" prompt="select one" sqref="D18:E18" xr:uid="{2784B119-02AC-4E49-9CEB-2F3BAAC7FDF6}">
      <formula1>"vertical fixed roof,horizontal fixed roof,internal floating roof,external floating roof"</formula1>
    </dataValidation>
    <dataValidation type="decimal" operator="lessThanOrEqual" allowBlank="1" showErrorMessage="1" error="The minimum can't exceed the maximum." prompt="enter true vapor pressure at minimum liquid surface temperature in psia" sqref="D21:E21" xr:uid="{C740CE62-F9AF-47C0-AA97-AE220F806D30}">
      <formula1>D20</formula1>
    </dataValidation>
    <dataValidation type="list" allowBlank="1" showErrorMessage="1" prompt="select one" sqref="D25:E26" xr:uid="{A7F41F3C-5F8A-4919-800B-F453EF24CE28}">
      <formula1>"Yes,No"</formula1>
    </dataValidation>
    <dataValidation allowBlank="1" showErrorMessage="1" prompt="enter the proposed hourly increase in pounds per hour" sqref="G32 G43 G54 G65 G76 G87 G98 G109 G120 G131" xr:uid="{5FB391B3-DE23-44BC-A62C-030AD48B0BD8}"/>
    <dataValidation type="list" allowBlank="1" showErrorMessage="1" prompt="select a seal type" sqref="D23:E23" xr:uid="{C16A19A4-B2AC-4E80-965A-5E31309CFBF5}">
      <formula1>IF(OR($D$18="vertical fixed roof",$D$18="horizontal fixed roof"),Pfixed,IF($D$18="internal floating roof",PIFR,PEFR))</formula1>
    </dataValidation>
    <dataValidation allowBlank="1" showErrorMessage="1" prompt="enter the capacity" sqref="D19:E19" xr:uid="{F626C207-D939-44F9-8619-3601AA2BE5CE}"/>
    <dataValidation type="list" allowBlank="1" showErrorMessage="1" prompt="select a seal type" sqref="D24:E24" xr:uid="{0B60EE21-7DB9-4BEA-9E68-7C35A65B5B45}">
      <formula1>IF(OR($D$18="vertical fixed roof",$D$18="horizontal fixed roof"),Pfixed,IF($D$18="external floating roof",SEFR,IF(AND($D$18="internal floating roof",$D$23="vapor-mounted"),SIFRv,SIFRml)))</formula1>
    </dataValidation>
    <dataValidation type="decimal" operator="lessThanOrEqual" allowBlank="1" showErrorMessage="1" prompt="enter the true vapor pressure at maximum liquid surface temperature in psia" sqref="D20:E20" xr:uid="{DC647FF8-D201-4797-9177-12BC9C15A9EA}">
      <formula1>IF(COUNTIF($D$18,"*floating*")&gt;0,10.99999,IF(COUNTIF($D$18,"*fixed*"),10000,""))</formula1>
    </dataValidation>
    <dataValidation type="list" allowBlank="1" showErrorMessage="1" prompt="select one" sqref="D22:E22" xr:uid="{91D16031-7DB3-48C7-9A72-1CC79576B922}">
      <formula1>IF(COUNTIF($D$18,"*fixed*"),IF($D$20&gt;=11,TnkLoad_Ctrl_req,IF(OR($D$19&lt;25000,$D$20&lt;0.5),TnkLoad_Ctrl_notreq,TnkLoad_Ctrl_req)),TnkLoad_Ctrl_notreq)</formula1>
    </dataValidation>
    <dataValidation type="list" allowBlank="1" showErrorMessage="1" prompt="confirm this" sqref="G29:H30" xr:uid="{B9D2696E-1C6C-45AD-AC07-89D491971BCD}">
      <formula1>"I agree."</formula1>
    </dataValidation>
    <dataValidation allowBlank="1" showErrorMessage="1" prompt="enter the proposed annual emission increase in tons per year" sqref="H32 H43 H54 H65 H76 H87 H98 H109 H120 H131" xr:uid="{A1DB611C-90C1-4B93-8DDE-86A58FCBAB15}"/>
    <dataValidation allowBlank="1" showErrorMessage="1" prompt="enter the Proposed annual throughput increase (tpy)" sqref="D131 D120 D109 D98 D87 D32 D43 D54 D65 D76" xr:uid="{63BCB9AE-4D8F-4A87-AC1D-DD34FB11BACB}"/>
    <dataValidation allowBlank="1" showErrorMessage="1" prompt="enter the Proposed hourly throughput increase (bbl/hr)" sqref="C131 C120 C109 C87 C98 C65 C76 C54 C43 C32" xr:uid="{FEB61F9A-05BD-4F94-A1FE-AC0EEAB3159C}"/>
  </dataValidations>
  <printOptions horizontalCentered="1"/>
  <pageMargins left="0.7" right="0.7" top="0.75" bottom="0.75" header="0.3" footer="0.3"/>
  <pageSetup scale="89" orientation="landscape" r:id="rId1"/>
  <headerFooter>
    <oddHeader>&amp;C&amp;"Calibri,Regular"Marine Loading RAP Application</oddHeader>
    <oddFooter>&amp;L&amp;"Calibri,Regular"Version 1.0&amp;C&amp;"Calibri,Regular"Sheet: &amp;A&amp;R&amp;"Calibri,Regular"Page &amp;P</oddFooter>
  </headerFooter>
  <extLst>
    <ext xmlns:x14="http://schemas.microsoft.com/office/spreadsheetml/2009/9/main" uri="{78C0D931-6437-407d-A8EE-F0AAD7539E65}">
      <x14:conditionalFormattings>
        <x14:conditionalFormatting xmlns:xm="http://schemas.microsoft.com/office/excel/2006/main">
          <x14:cfRule type="expression" priority="4" id="{7CAAD890-A835-407E-AC03-4991307E7797}">
            <xm:f>AND('PI-1-MarineLoading'!$G$115&lt;&gt;"",'PI-1-MarineLoading'!$G$115&lt;&gt;1,'PI-1-MarineLoading'!$G$115&lt;&gt;2,'PI-1-MarineLoading'!$G$115&lt;&gt;3,'PI-1-MarineLoading'!$G$115&lt;&gt;4,'PI-1-MarineLoading'!$G$115&lt;&gt;5)</xm:f>
            <x14:dxf>
              <numFmt numFmtId="164" formatCode=";;;"/>
              <fill>
                <patternFill>
                  <bgColor theme="0" tint="-0.499984740745262"/>
                </patternFill>
              </fill>
            </x14:dxf>
          </x14:cfRule>
          <xm:sqref>A20:C21</xm:sqref>
        </x14:conditionalFormatting>
        <x14:conditionalFormatting xmlns:xm="http://schemas.microsoft.com/office/excel/2006/main">
          <x14:cfRule type="expression" priority="5" id="{2BBDCDB3-3566-4D15-9462-672888EC4C80}">
            <xm:f>AND('PI-1-MarineLoading'!$G$115&lt;2,'PI-1-MarineLoading'!$G$115&lt;&gt;"")</xm:f>
            <x14:dxf>
              <numFmt numFmtId="164" formatCode=";;;"/>
              <fill>
                <patternFill>
                  <bgColor theme="0" tint="-0.499984740745262"/>
                </patternFill>
              </fill>
            </x14:dxf>
          </x14:cfRule>
          <xm:sqref>A2:H141</xm:sqref>
        </x14:conditionalFormatting>
        <x14:conditionalFormatting xmlns:xm="http://schemas.microsoft.com/office/excel/2006/main">
          <x14:cfRule type="expression" priority="6" id="{09A2BECE-BF19-46F4-AEBC-618F2A3C86CE}">
            <xm:f>$D$20&lt;MAX(IFERROR(VLOOKUP($A$32,Products!$A$59:$C$158,3,FALSE),0),IFERROR(VLOOKUP($A$43,Products!$A$59:$C$158,3,FALSE),0),IFERROR(VLOOKUP($A$54,Products!$A$59:$C$158,3,FALSE),0),IFERROR(VLOOKUP($A$65,Products!$A$59:$C$158,3,FALSE),0),IFERROR(VLOOKUP($A$76,Products!$A$59:$C$158,3,FALSE),0),IFERROR(VLOOKUP($A$87,Products!$A$59:$C$158,3,FALSE),0),IFERROR(VLOOKUP($A$98,Products!$A$59:$C$158,3,FALSE),0),IFERROR(VLOOKUP($A$109,Products!$A$59:$C$158,3,FALSE),0),IFERROR(VLOOKUP($A$120,Products!$A$59:$C$158,3,FALSE),0),IFERROR(VLOOKUP($A$131,Products!$A$59:$C$158,3,FALSE),0))</xm:f>
            <x14:dxf>
              <fill>
                <patternFill>
                  <bgColor rgb="FFEBB8B7"/>
                </patternFill>
              </fill>
            </x14:dxf>
          </x14:cfRule>
          <xm:sqref>D20:E20</xm:sqref>
        </x14:conditionalFormatting>
      </x14:conditionalFormatting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C22E66-AE62-4220-A73A-75BC22D97FE0}">
  <sheetPr codeName="Sheet7">
    <tabColor rgb="FFFFFFCC"/>
  </sheetPr>
  <dimension ref="A1:J142"/>
  <sheetViews>
    <sheetView showGridLines="0" zoomScaleNormal="100" workbookViewId="0">
      <selection sqref="A1:H1"/>
    </sheetView>
  </sheetViews>
  <sheetFormatPr defaultColWidth="0" defaultRowHeight="14.25" zeroHeight="1" x14ac:dyDescent="0.2"/>
  <cols>
    <col min="1" max="4" width="14.75" customWidth="1"/>
    <col min="5" max="5" width="25.125" customWidth="1"/>
    <col min="6" max="8" width="13.25" customWidth="1"/>
    <col min="9" max="9" width="2.625" customWidth="1"/>
    <col min="10" max="16384" width="9" hidden="1"/>
  </cols>
  <sheetData>
    <row r="1" spans="1:8" ht="8.25" customHeight="1" thickBot="1" x14ac:dyDescent="0.25">
      <c r="A1" s="478" t="s">
        <v>0</v>
      </c>
      <c r="B1" s="478"/>
      <c r="C1" s="478"/>
      <c r="D1" s="478"/>
      <c r="E1" s="478"/>
      <c r="F1" s="478"/>
      <c r="G1" s="478"/>
      <c r="H1" s="478"/>
    </row>
    <row r="2" spans="1:8" ht="18.75" thickBot="1" x14ac:dyDescent="0.25">
      <c r="A2" s="525" t="s">
        <v>324</v>
      </c>
      <c r="B2" s="525"/>
      <c r="C2" s="525"/>
      <c r="D2" s="525"/>
      <c r="E2" s="525"/>
      <c r="F2" s="525"/>
      <c r="G2" s="525"/>
      <c r="H2" s="525"/>
    </row>
    <row r="3" spans="1:8" ht="216" customHeight="1" thickBot="1" x14ac:dyDescent="0.25">
      <c r="A3" s="523" t="s">
        <v>9770</v>
      </c>
      <c r="B3" s="602"/>
      <c r="C3" s="602"/>
      <c r="D3" s="602"/>
      <c r="E3" s="602"/>
      <c r="F3" s="602"/>
      <c r="G3" s="602"/>
      <c r="H3" s="524"/>
    </row>
    <row r="4" spans="1:8" ht="15" thickBot="1" x14ac:dyDescent="0.25">
      <c r="A4" s="478" t="s">
        <v>1</v>
      </c>
      <c r="B4" s="478"/>
      <c r="C4" s="478"/>
      <c r="D4" s="478"/>
      <c r="E4" s="478"/>
      <c r="F4" s="478"/>
      <c r="G4" s="478"/>
      <c r="H4" s="478"/>
    </row>
    <row r="5" spans="1:8" ht="15.75" thickBot="1" x14ac:dyDescent="0.25">
      <c r="A5" s="479" t="s">
        <v>133</v>
      </c>
      <c r="B5" s="479"/>
      <c r="C5" s="479"/>
      <c r="D5" s="479"/>
      <c r="E5" s="479"/>
      <c r="F5" s="479"/>
      <c r="G5" s="479"/>
      <c r="H5" s="479"/>
    </row>
    <row r="6" spans="1:8" x14ac:dyDescent="0.2">
      <c r="A6" s="528" t="s">
        <v>166</v>
      </c>
      <c r="B6" s="529"/>
      <c r="C6" s="529"/>
      <c r="D6" s="579"/>
      <c r="E6" s="579"/>
      <c r="F6" s="579"/>
      <c r="G6" s="579"/>
      <c r="H6" s="580"/>
    </row>
    <row r="7" spans="1:8" x14ac:dyDescent="0.2">
      <c r="A7" s="528" t="s">
        <v>167</v>
      </c>
      <c r="B7" s="529"/>
      <c r="C7" s="529"/>
      <c r="D7" s="579"/>
      <c r="E7" s="579"/>
      <c r="F7" s="579"/>
      <c r="G7" s="579"/>
      <c r="H7" s="580"/>
    </row>
    <row r="8" spans="1:8" x14ac:dyDescent="0.2">
      <c r="A8" s="528" t="s">
        <v>168</v>
      </c>
      <c r="B8" s="529"/>
      <c r="C8" s="529"/>
      <c r="D8" s="579"/>
      <c r="E8" s="579"/>
      <c r="F8" s="579"/>
      <c r="G8" s="579"/>
      <c r="H8" s="580"/>
    </row>
    <row r="9" spans="1:8" x14ac:dyDescent="0.2">
      <c r="A9" s="528" t="s">
        <v>169</v>
      </c>
      <c r="B9" s="529"/>
      <c r="C9" s="529"/>
      <c r="D9" s="579"/>
      <c r="E9" s="579"/>
      <c r="F9" s="579"/>
      <c r="G9" s="579"/>
      <c r="H9" s="580"/>
    </row>
    <row r="10" spans="1:8" x14ac:dyDescent="0.2">
      <c r="A10" s="528" t="s">
        <v>170</v>
      </c>
      <c r="B10" s="529"/>
      <c r="C10" s="529"/>
      <c r="D10" s="579"/>
      <c r="E10" s="579"/>
      <c r="F10" s="579"/>
      <c r="G10" s="579"/>
      <c r="H10" s="580"/>
    </row>
    <row r="11" spans="1:8" ht="15" thickBot="1" x14ac:dyDescent="0.25">
      <c r="A11" s="548" t="s">
        <v>171</v>
      </c>
      <c r="B11" s="549"/>
      <c r="C11" s="549"/>
      <c r="D11" s="577"/>
      <c r="E11" s="577"/>
      <c r="F11" s="577"/>
      <c r="G11" s="577"/>
      <c r="H11" s="578"/>
    </row>
    <row r="12" spans="1:8" ht="15" thickBot="1" x14ac:dyDescent="0.25">
      <c r="A12" s="478" t="s">
        <v>1</v>
      </c>
      <c r="B12" s="478"/>
      <c r="C12" s="478"/>
      <c r="D12" s="478"/>
      <c r="E12" s="478"/>
      <c r="F12" s="478"/>
      <c r="G12" s="478"/>
      <c r="H12" s="478"/>
    </row>
    <row r="13" spans="1:8" ht="15.75" thickBot="1" x14ac:dyDescent="0.25">
      <c r="A13" s="479" t="s">
        <v>9166</v>
      </c>
      <c r="B13" s="479"/>
      <c r="C13" s="479"/>
      <c r="D13" s="479"/>
      <c r="E13" s="479"/>
      <c r="F13" s="479"/>
      <c r="G13" s="479"/>
      <c r="H13" s="479"/>
    </row>
    <row r="14" spans="1:8" ht="15" x14ac:dyDescent="0.2">
      <c r="A14" s="506" t="s">
        <v>9167</v>
      </c>
      <c r="B14" s="507"/>
      <c r="C14" s="507"/>
      <c r="D14" s="663" t="s">
        <v>172</v>
      </c>
      <c r="E14" s="663"/>
      <c r="F14" s="664" t="s">
        <v>8723</v>
      </c>
      <c r="G14" s="664"/>
      <c r="H14" s="665"/>
    </row>
    <row r="15" spans="1:8" ht="14.25" customHeight="1" x14ac:dyDescent="0.2">
      <c r="A15" s="528" t="s">
        <v>176</v>
      </c>
      <c r="B15" s="529"/>
      <c r="C15" s="529"/>
      <c r="D15" s="579"/>
      <c r="E15" s="579"/>
      <c r="F15" s="672" t="s">
        <v>9155</v>
      </c>
      <c r="G15" s="672"/>
      <c r="H15" s="673"/>
    </row>
    <row r="16" spans="1:8" ht="15" customHeight="1" thickBot="1" x14ac:dyDescent="0.25">
      <c r="A16" s="548" t="s">
        <v>177</v>
      </c>
      <c r="B16" s="549"/>
      <c r="C16" s="549"/>
      <c r="D16" s="577"/>
      <c r="E16" s="577"/>
      <c r="F16" s="674" t="s">
        <v>9156</v>
      </c>
      <c r="G16" s="674"/>
      <c r="H16" s="675"/>
    </row>
    <row r="17" spans="1:10" ht="15" x14ac:dyDescent="0.2">
      <c r="A17" s="506" t="s">
        <v>9168</v>
      </c>
      <c r="B17" s="507"/>
      <c r="C17" s="507"/>
      <c r="D17" s="663" t="s">
        <v>172</v>
      </c>
      <c r="E17" s="663"/>
      <c r="F17" s="664" t="s">
        <v>8723</v>
      </c>
      <c r="G17" s="664"/>
      <c r="H17" s="665"/>
    </row>
    <row r="18" spans="1:10" ht="14.25" customHeight="1" x14ac:dyDescent="0.2">
      <c r="A18" s="528" t="s">
        <v>173</v>
      </c>
      <c r="B18" s="529"/>
      <c r="C18" s="529"/>
      <c r="D18" s="579"/>
      <c r="E18" s="579"/>
      <c r="F18" s="658" t="s">
        <v>9361</v>
      </c>
      <c r="G18" s="658"/>
      <c r="H18" s="659"/>
    </row>
    <row r="19" spans="1:10" ht="14.25" customHeight="1" x14ac:dyDescent="0.2">
      <c r="A19" s="528" t="s">
        <v>10823</v>
      </c>
      <c r="B19" s="529"/>
      <c r="C19" s="529"/>
      <c r="D19" s="579"/>
      <c r="E19" s="579"/>
      <c r="F19" s="658" t="s">
        <v>9361</v>
      </c>
      <c r="G19" s="658"/>
      <c r="H19" s="659"/>
    </row>
    <row r="20" spans="1:10" ht="46.5" customHeight="1" x14ac:dyDescent="0.2">
      <c r="A20" s="530" t="s">
        <v>10817</v>
      </c>
      <c r="B20" s="531"/>
      <c r="C20" s="531"/>
      <c r="D20" s="662"/>
      <c r="E20" s="662"/>
      <c r="F20" s="656" t="str">
        <f t="shared" ref="F20" si="0">IF(OR($D$18="",$D$19=""),"",IF(COUNTIF($D$18,"*floating*")&gt;0,"less than 11.0 psia",IF(COUNTIF($D$18,"*fixed*"),IF($D$19&lt;25000,"less than 11.0 psia if uncontrolled; no maximum if controlled","less than 0.5 psia if uncontrolled; no maximum if controlled"))))</f>
        <v/>
      </c>
      <c r="G20" s="656"/>
      <c r="H20" s="657"/>
    </row>
    <row r="21" spans="1:10" ht="46.5" customHeight="1" x14ac:dyDescent="0.2">
      <c r="A21" s="530" t="s">
        <v>10818</v>
      </c>
      <c r="B21" s="531"/>
      <c r="C21" s="531"/>
      <c r="D21" s="579"/>
      <c r="E21" s="579"/>
      <c r="F21" s="658" t="s">
        <v>9361</v>
      </c>
      <c r="G21" s="658"/>
      <c r="H21" s="659"/>
    </row>
    <row r="22" spans="1:10" ht="45.75" customHeight="1" x14ac:dyDescent="0.2">
      <c r="A22" s="528" t="s">
        <v>175</v>
      </c>
      <c r="B22" s="529"/>
      <c r="C22" s="529"/>
      <c r="D22" s="678"/>
      <c r="E22" s="678"/>
      <c r="F22" s="466" t="str">
        <f t="shared" ref="F22" si="1">IF($D$18="","",IF(COUNTIF($D$18,"*fixed*"),IF($D$20&gt;=11,"control required",IF(OR($D$19&lt;25000,$D$20&lt;0.5),"control not required","control required")),IF($D$20&lt;11,"control not required","regardless of control storage of products in a floating roof tank with TVP equal to or greater than 11.0 psia is not allowed, revise row 18 and/or 20")))</f>
        <v/>
      </c>
      <c r="G22" s="466"/>
      <c r="H22" s="466"/>
      <c r="I22" s="89"/>
    </row>
    <row r="23" spans="1:10" ht="50.25" customHeight="1" x14ac:dyDescent="0.2">
      <c r="A23" s="528" t="s">
        <v>8688</v>
      </c>
      <c r="B23" s="529"/>
      <c r="C23" s="529"/>
      <c r="D23" s="579"/>
      <c r="E23" s="579"/>
      <c r="F23" s="656" t="str">
        <f>IF(OR($D$18="horizontal fixed roof",$D$18="vertical fixed roof"),"",IF($D$18="external floating roof","mechanical or liquid-mounted",IF($D$18="internal floating roof","mechanical or liquid-mounted primary seal OR vapor-mounted primary seal with secondary seal","")))</f>
        <v/>
      </c>
      <c r="G23" s="656"/>
      <c r="H23" s="657"/>
    </row>
    <row r="24" spans="1:10" ht="60" customHeight="1" x14ac:dyDescent="0.2">
      <c r="A24" s="528" t="s">
        <v>8689</v>
      </c>
      <c r="B24" s="529"/>
      <c r="C24" s="529"/>
      <c r="D24" s="579"/>
      <c r="E24" s="579"/>
      <c r="F24" s="656" t="str">
        <f>IF(OR($D$18="horizontal fixed roof",$D$18="vertical fixed roof"),"",IF($D$18="external floating roof","rim-mounted",IF(AND($D$18="internal floating roof",$D$23="vapor-mounted"),"rim-mounted","")))</f>
        <v/>
      </c>
      <c r="G24" s="656"/>
      <c r="H24" s="657"/>
    </row>
    <row r="25" spans="1:10" ht="14.25" customHeight="1" x14ac:dyDescent="0.2">
      <c r="A25" s="528" t="s">
        <v>174</v>
      </c>
      <c r="B25" s="529"/>
      <c r="C25" s="529"/>
      <c r="D25" s="579"/>
      <c r="E25" s="579"/>
      <c r="F25" s="658" t="s">
        <v>9361</v>
      </c>
      <c r="G25" s="658"/>
      <c r="H25" s="659"/>
    </row>
    <row r="26" spans="1:10" ht="31.5" customHeight="1" thickBot="1" x14ac:dyDescent="0.25">
      <c r="A26" s="483" t="s">
        <v>9534</v>
      </c>
      <c r="B26" s="484"/>
      <c r="C26" s="484"/>
      <c r="D26" s="577"/>
      <c r="E26" s="577"/>
      <c r="F26" s="660" t="s">
        <v>9361</v>
      </c>
      <c r="G26" s="660"/>
      <c r="H26" s="661"/>
    </row>
    <row r="27" spans="1:10" ht="15" thickBot="1" x14ac:dyDescent="0.25">
      <c r="A27" s="478" t="s">
        <v>1</v>
      </c>
      <c r="B27" s="478"/>
      <c r="C27" s="478"/>
      <c r="D27" s="478"/>
      <c r="E27" s="478"/>
      <c r="F27" s="478"/>
      <c r="G27" s="478"/>
      <c r="H27" s="478"/>
    </row>
    <row r="28" spans="1:10" ht="15.75" thickBot="1" x14ac:dyDescent="0.25">
      <c r="A28" s="474" t="s">
        <v>9165</v>
      </c>
      <c r="B28" s="474"/>
      <c r="C28" s="474"/>
      <c r="D28" s="474"/>
      <c r="E28" s="474"/>
      <c r="F28" s="474"/>
      <c r="G28" s="474"/>
      <c r="H28" s="474"/>
    </row>
    <row r="29" spans="1:10" ht="45" customHeight="1" x14ac:dyDescent="0.2">
      <c r="A29" s="681" t="s">
        <v>344</v>
      </c>
      <c r="B29" s="682"/>
      <c r="C29" s="682"/>
      <c r="D29" s="682"/>
      <c r="E29" s="682"/>
      <c r="F29" s="682"/>
      <c r="G29" s="679"/>
      <c r="H29" s="680"/>
    </row>
    <row r="30" spans="1:10" ht="47.25" customHeight="1" thickBot="1" x14ac:dyDescent="0.25">
      <c r="A30" s="683" t="s">
        <v>345</v>
      </c>
      <c r="B30" s="684"/>
      <c r="C30" s="684"/>
      <c r="D30" s="684"/>
      <c r="E30" s="684"/>
      <c r="F30" s="684"/>
      <c r="G30" s="577"/>
      <c r="H30" s="578"/>
    </row>
    <row r="31" spans="1:10" ht="81.75" customHeight="1" x14ac:dyDescent="0.2">
      <c r="A31" s="676" t="s">
        <v>9179</v>
      </c>
      <c r="B31" s="677"/>
      <c r="C31" s="49" t="str">
        <f>IF($D$6="modified","Proposed increase in hourly throughput (bbl/hr)","Proposed hourly throughput (bbl/hr)")</f>
        <v>Proposed hourly throughput (bbl/hr)</v>
      </c>
      <c r="D31" s="327" t="str">
        <f>IF($D$6="modified","Proposed increase in annual throughput (bbl/yr)","Proposed annual throughput (bbl/yr)")</f>
        <v>Proposed annual throughput (bbl/yr)</v>
      </c>
      <c r="E31" s="401" t="s">
        <v>8751</v>
      </c>
      <c r="F31" s="249" t="s">
        <v>9180</v>
      </c>
      <c r="G31" s="249" t="str">
        <f>IF($D$6="modified","Proposed increase in hourly emissions (lb/hr)","Proposed hourly emissions (lb/hr)")</f>
        <v>Proposed hourly emissions (lb/hr)</v>
      </c>
      <c r="H31" s="250" t="str">
        <f>IF($D$6="modified","Proposed increase in annual emissions (tpy)","Proposed annual emissions (tpy)")</f>
        <v>Proposed annual emissions (tpy)</v>
      </c>
    </row>
    <row r="32" spans="1:10" x14ac:dyDescent="0.2">
      <c r="A32" s="651"/>
      <c r="B32" s="615"/>
      <c r="C32" s="75"/>
      <c r="D32" s="76"/>
      <c r="E32" s="73" t="s">
        <v>291</v>
      </c>
      <c r="F32" s="46">
        <v>1</v>
      </c>
      <c r="G32" s="40"/>
      <c r="H32" s="47"/>
      <c r="J32" s="123"/>
    </row>
    <row r="33" spans="1:8" x14ac:dyDescent="0.2">
      <c r="A33" s="627" t="str">
        <f>A32&amp;"A"</f>
        <v>A</v>
      </c>
      <c r="B33" s="628"/>
      <c r="C33" s="77" t="s">
        <v>9362</v>
      </c>
      <c r="D33" s="77" t="s">
        <v>9362</v>
      </c>
      <c r="E33" s="74" t="str">
        <f>IF($A$32="","",IF(VLOOKUP($A32,Products!$A$59:$H$159,5,FALSE)="","",VLOOKUP($A32,Products!$A$59:$H$159,5,FALSE)))</f>
        <v/>
      </c>
      <c r="F33" s="46" t="str">
        <f>IF($A$32="","",IF(VLOOKUP($A32,Products!$A$59:$H$159,8,FALSE)="","",VLOOKUP($A32,Products!$A$59:$H$159,8,FALSE)))</f>
        <v/>
      </c>
      <c r="G33" s="46" t="str">
        <f>IF($F33="","",$F33*$G$32)</f>
        <v/>
      </c>
      <c r="H33" s="51" t="str">
        <f>IF($F33="","",$F33*$H$32)</f>
        <v/>
      </c>
    </row>
    <row r="34" spans="1:8" x14ac:dyDescent="0.2">
      <c r="A34" s="649" t="str">
        <f t="shared" ref="A34:A42" si="2">A33&amp;"A"</f>
        <v>AA</v>
      </c>
      <c r="B34" s="650"/>
      <c r="C34" s="77" t="s">
        <v>9362</v>
      </c>
      <c r="D34" s="77" t="s">
        <v>9362</v>
      </c>
      <c r="E34" s="74" t="str">
        <f>IF($A$32="","",IF(VLOOKUP($A33,Products!$A$59:$H$159,5,FALSE)="","",VLOOKUP($A33,Products!$A$59:$H$159,5,FALSE)))</f>
        <v/>
      </c>
      <c r="F34" s="46" t="str">
        <f>IF($A$32="","",IF(VLOOKUP($A33,Products!$A$59:$H$159,8,FALSE)="","",VLOOKUP($A33,Products!$A$59:$H$159,8,FALSE)))</f>
        <v/>
      </c>
      <c r="G34" s="46" t="str">
        <f t="shared" ref="G34:G42" si="3">IF($F34="","",$F34*$G$32)</f>
        <v/>
      </c>
      <c r="H34" s="51" t="str">
        <f t="shared" ref="H34:H42" si="4">IF($F34="","",$F34*$H$32)</f>
        <v/>
      </c>
    </row>
    <row r="35" spans="1:8" x14ac:dyDescent="0.2">
      <c r="A35" s="649" t="str">
        <f t="shared" si="2"/>
        <v>AAA</v>
      </c>
      <c r="B35" s="650"/>
      <c r="C35" s="77" t="s">
        <v>9362</v>
      </c>
      <c r="D35" s="77" t="s">
        <v>9362</v>
      </c>
      <c r="E35" s="74" t="str">
        <f>IF($A$32="","",IF(VLOOKUP($A34,Products!$A$59:$H$159,5,FALSE)="","",VLOOKUP($A34,Products!$A$59:$H$159,5,FALSE)))</f>
        <v/>
      </c>
      <c r="F35" s="46" t="str">
        <f>IF($A$32="","",IF(VLOOKUP($A34,Products!$A$59:$H$159,8,FALSE)="","",VLOOKUP($A34,Products!$A$59:$H$159,8,FALSE)))</f>
        <v/>
      </c>
      <c r="G35" s="46" t="str">
        <f>IF($F35="","",$F35*$G$32)</f>
        <v/>
      </c>
      <c r="H35" s="51" t="str">
        <f t="shared" si="4"/>
        <v/>
      </c>
    </row>
    <row r="36" spans="1:8" x14ac:dyDescent="0.2">
      <c r="A36" s="649" t="str">
        <f t="shared" si="2"/>
        <v>AAAA</v>
      </c>
      <c r="B36" s="650"/>
      <c r="C36" s="77" t="s">
        <v>9362</v>
      </c>
      <c r="D36" s="77" t="s">
        <v>9362</v>
      </c>
      <c r="E36" s="74" t="str">
        <f>IF($A$32="","",IF(VLOOKUP($A35,Products!$A$59:$H$159,5,FALSE)="","",VLOOKUP($A35,Products!$A$59:$H$159,5,FALSE)))</f>
        <v/>
      </c>
      <c r="F36" s="46" t="str">
        <f>IF($A$32="","",IF(VLOOKUP($A35,Products!$A$59:$H$159,8,FALSE)="","",VLOOKUP($A35,Products!$A$59:$H$159,8,FALSE)))</f>
        <v/>
      </c>
      <c r="G36" s="46" t="str">
        <f t="shared" si="3"/>
        <v/>
      </c>
      <c r="H36" s="51" t="str">
        <f t="shared" si="4"/>
        <v/>
      </c>
    </row>
    <row r="37" spans="1:8" ht="14.25" customHeight="1" x14ac:dyDescent="0.2">
      <c r="A37" s="649" t="str">
        <f t="shared" si="2"/>
        <v>AAAAA</v>
      </c>
      <c r="B37" s="650"/>
      <c r="C37" s="77" t="s">
        <v>9362</v>
      </c>
      <c r="D37" s="77" t="s">
        <v>9362</v>
      </c>
      <c r="E37" s="74" t="str">
        <f>IF($A$32="","",IF(VLOOKUP($A36,Products!$A$59:$H$159,5,FALSE)="","",VLOOKUP($A36,Products!$A$59:$H$159,5,FALSE)))</f>
        <v/>
      </c>
      <c r="F37" s="46" t="str">
        <f>IF($A$32="","",IF(VLOOKUP($A36,Products!$A$59:$H$159,8,FALSE)="","",VLOOKUP($A36,Products!$A$59:$H$159,8,FALSE)))</f>
        <v/>
      </c>
      <c r="G37" s="46" t="str">
        <f t="shared" si="3"/>
        <v/>
      </c>
      <c r="H37" s="51" t="str">
        <f t="shared" si="4"/>
        <v/>
      </c>
    </row>
    <row r="38" spans="1:8" ht="14.25" customHeight="1" x14ac:dyDescent="0.2">
      <c r="A38" s="649" t="str">
        <f t="shared" si="2"/>
        <v>AAAAAA</v>
      </c>
      <c r="B38" s="650"/>
      <c r="C38" s="77" t="s">
        <v>9362</v>
      </c>
      <c r="D38" s="77" t="s">
        <v>9362</v>
      </c>
      <c r="E38" s="74" t="str">
        <f>IF($A$32="","",IF(VLOOKUP($A37,Products!$A$59:$H$159,5,FALSE)="","",VLOOKUP($A37,Products!$A$59:$H$159,5,FALSE)))</f>
        <v/>
      </c>
      <c r="F38" s="46" t="str">
        <f>IF($A$32="","",IF(VLOOKUP($A37,Products!$A$59:$H$159,8,FALSE)="","",VLOOKUP($A37,Products!$A$59:$H$159,8,FALSE)))</f>
        <v/>
      </c>
      <c r="G38" s="46" t="str">
        <f t="shared" si="3"/>
        <v/>
      </c>
      <c r="H38" s="51" t="str">
        <f t="shared" si="4"/>
        <v/>
      </c>
    </row>
    <row r="39" spans="1:8" ht="14.25" customHeight="1" x14ac:dyDescent="0.2">
      <c r="A39" s="649" t="str">
        <f t="shared" si="2"/>
        <v>AAAAAAA</v>
      </c>
      <c r="B39" s="650"/>
      <c r="C39" s="77" t="s">
        <v>9362</v>
      </c>
      <c r="D39" s="77" t="s">
        <v>9362</v>
      </c>
      <c r="E39" s="74" t="str">
        <f>IF($A$32="","",IF(VLOOKUP($A38,Products!$A$59:$H$159,5,FALSE)="","",VLOOKUP($A38,Products!$A$59:$H$159,5,FALSE)))</f>
        <v/>
      </c>
      <c r="F39" s="46" t="str">
        <f>IF($A$32="","",IF(VLOOKUP($A38,Products!$A$59:$H$159,8,FALSE)="","",VLOOKUP($A38,Products!$A$59:$H$159,8,FALSE)))</f>
        <v/>
      </c>
      <c r="G39" s="46" t="str">
        <f t="shared" si="3"/>
        <v/>
      </c>
      <c r="H39" s="51" t="str">
        <f t="shared" si="4"/>
        <v/>
      </c>
    </row>
    <row r="40" spans="1:8" ht="14.25" customHeight="1" x14ac:dyDescent="0.2">
      <c r="A40" s="649" t="str">
        <f t="shared" si="2"/>
        <v>AAAAAAAA</v>
      </c>
      <c r="B40" s="650"/>
      <c r="C40" s="77" t="s">
        <v>9362</v>
      </c>
      <c r="D40" s="77" t="s">
        <v>9362</v>
      </c>
      <c r="E40" s="74" t="str">
        <f>IF($A$32="","",IF(VLOOKUP($A39,Products!$A$59:$H$159,5,FALSE)="","",VLOOKUP($A39,Products!$A$59:$H$159,5,FALSE)))</f>
        <v/>
      </c>
      <c r="F40" s="46" t="str">
        <f>IF($A$32="","",IF(VLOOKUP($A39,Products!$A$59:$H$159,8,FALSE)="","",VLOOKUP($A39,Products!$A$59:$H$159,8,FALSE)))</f>
        <v/>
      </c>
      <c r="G40" s="46" t="str">
        <f t="shared" si="3"/>
        <v/>
      </c>
      <c r="H40" s="51" t="str">
        <f t="shared" si="4"/>
        <v/>
      </c>
    </row>
    <row r="41" spans="1:8" ht="14.25" customHeight="1" x14ac:dyDescent="0.2">
      <c r="A41" s="649" t="str">
        <f t="shared" si="2"/>
        <v>AAAAAAAAA</v>
      </c>
      <c r="B41" s="650"/>
      <c r="C41" s="77" t="s">
        <v>9362</v>
      </c>
      <c r="D41" s="77" t="s">
        <v>9362</v>
      </c>
      <c r="E41" s="74" t="str">
        <f>IF($A$32="","",IF(VLOOKUP($A40,Products!$A$59:$H$159,5,FALSE)="","",VLOOKUP($A40,Products!$A$59:$H$159,5,FALSE)))</f>
        <v/>
      </c>
      <c r="F41" s="46" t="str">
        <f>IF($A$32="","",IF(VLOOKUP($A40,Products!$A$59:$H$159,8,FALSE)="","",VLOOKUP($A40,Products!$A$59:$H$159,8,FALSE)))</f>
        <v/>
      </c>
      <c r="G41" s="46" t="str">
        <f t="shared" si="3"/>
        <v/>
      </c>
      <c r="H41" s="51" t="str">
        <f t="shared" si="4"/>
        <v/>
      </c>
    </row>
    <row r="42" spans="1:8" ht="14.25" customHeight="1" x14ac:dyDescent="0.2">
      <c r="A42" s="649" t="str">
        <f t="shared" si="2"/>
        <v>AAAAAAAAAA</v>
      </c>
      <c r="B42" s="650"/>
      <c r="C42" s="77" t="s">
        <v>9362</v>
      </c>
      <c r="D42" s="77" t="s">
        <v>9362</v>
      </c>
      <c r="E42" s="74" t="str">
        <f>IF($A$32="","",IF(VLOOKUP($A41,Products!$A$59:$H$159,5,FALSE)="","",VLOOKUP($A41,Products!$A$59:$H$159,5,FALSE)))</f>
        <v/>
      </c>
      <c r="F42" s="46" t="str">
        <f>IF($A$32="","",IF(VLOOKUP($A41,Products!$A$59:$H$159,8,FALSE)="","",VLOOKUP($A41,Products!$A$59:$H$159,8,FALSE)))</f>
        <v/>
      </c>
      <c r="G42" s="46" t="str">
        <f t="shared" si="3"/>
        <v/>
      </c>
      <c r="H42" s="51" t="str">
        <f t="shared" si="4"/>
        <v/>
      </c>
    </row>
    <row r="43" spans="1:8" ht="14.25" customHeight="1" x14ac:dyDescent="0.2">
      <c r="A43" s="651"/>
      <c r="B43" s="615"/>
      <c r="C43" s="75"/>
      <c r="D43" s="76"/>
      <c r="E43" s="73" t="s">
        <v>291</v>
      </c>
      <c r="F43" s="46">
        <v>1</v>
      </c>
      <c r="G43" s="40"/>
      <c r="H43" s="47"/>
    </row>
    <row r="44" spans="1:8" x14ac:dyDescent="0.2">
      <c r="A44" s="627" t="str">
        <f>A43&amp;"A"</f>
        <v>A</v>
      </c>
      <c r="B44" s="628"/>
      <c r="C44" s="77" t="s">
        <v>9362</v>
      </c>
      <c r="D44" s="77" t="s">
        <v>9362</v>
      </c>
      <c r="E44" s="74" t="str">
        <f>IF($A$43="","",IF(VLOOKUP($A43,Products!$A$59:$H$159,5,FALSE)="","",VLOOKUP($A43,Products!$A$59:$H$159,5,FALSE)))</f>
        <v/>
      </c>
      <c r="F44" s="46" t="str">
        <f>IF($A$43="","",IF(VLOOKUP($A43,Products!$A$59:$H$159,8,FALSE)="","",VLOOKUP($A43,Products!$A$59:$H$159,8,FALSE)))</f>
        <v/>
      </c>
      <c r="G44" s="46" t="str">
        <f>IF($F44="","",$F44*$G$43)</f>
        <v/>
      </c>
      <c r="H44" s="51" t="str">
        <f>IF($F44="","",$F44*$H$43)</f>
        <v/>
      </c>
    </row>
    <row r="45" spans="1:8" x14ac:dyDescent="0.2">
      <c r="A45" s="649" t="str">
        <f t="shared" ref="A45:A53" si="5">A44&amp;"A"</f>
        <v>AA</v>
      </c>
      <c r="B45" s="650"/>
      <c r="C45" s="77" t="s">
        <v>9362</v>
      </c>
      <c r="D45" s="77" t="s">
        <v>9362</v>
      </c>
      <c r="E45" s="74" t="str">
        <f>IF($A$43="","",IF(VLOOKUP($A44,Products!$A$59:$H$159,5,FALSE)="","",VLOOKUP($A44,Products!$A$59:$H$159,5,FALSE)))</f>
        <v/>
      </c>
      <c r="F45" s="46" t="str">
        <f>IF($A$43="","",IF(VLOOKUP($A44,Products!$A$59:$H$159,8,FALSE)="","",VLOOKUP($A44,Products!$A$59:$H$159,8,FALSE)))</f>
        <v/>
      </c>
      <c r="G45" s="46" t="str">
        <f t="shared" ref="G45:G53" si="6">IF($F45="","",$F45*$G$43)</f>
        <v/>
      </c>
      <c r="H45" s="51" t="str">
        <f t="shared" ref="H45:H53" si="7">IF($F45="","",$F45*$H$43)</f>
        <v/>
      </c>
    </row>
    <row r="46" spans="1:8" x14ac:dyDescent="0.2">
      <c r="A46" s="649" t="str">
        <f t="shared" si="5"/>
        <v>AAA</v>
      </c>
      <c r="B46" s="650"/>
      <c r="C46" s="77" t="s">
        <v>9362</v>
      </c>
      <c r="D46" s="77" t="s">
        <v>9362</v>
      </c>
      <c r="E46" s="74" t="str">
        <f>IF($A$43="","",IF(VLOOKUP($A45,Products!$A$59:$H$159,5,FALSE)="","",VLOOKUP($A45,Products!$A$59:$H$159,5,FALSE)))</f>
        <v/>
      </c>
      <c r="F46" s="46" t="str">
        <f>IF($A$43="","",IF(VLOOKUP($A45,Products!$A$59:$H$159,8,FALSE)="","",VLOOKUP($A45,Products!$A$59:$H$159,8,FALSE)))</f>
        <v/>
      </c>
      <c r="G46" s="46" t="str">
        <f t="shared" si="6"/>
        <v/>
      </c>
      <c r="H46" s="51" t="str">
        <f t="shared" si="7"/>
        <v/>
      </c>
    </row>
    <row r="47" spans="1:8" x14ac:dyDescent="0.2">
      <c r="A47" s="649" t="str">
        <f t="shared" si="5"/>
        <v>AAAA</v>
      </c>
      <c r="B47" s="650"/>
      <c r="C47" s="77" t="s">
        <v>9362</v>
      </c>
      <c r="D47" s="77" t="s">
        <v>9362</v>
      </c>
      <c r="E47" s="74" t="str">
        <f>IF($A$43="","",IF(VLOOKUP($A46,Products!$A$59:$H$159,5,FALSE)="","",VLOOKUP($A46,Products!$A$59:$H$159,5,FALSE)))</f>
        <v/>
      </c>
      <c r="F47" s="46" t="str">
        <f>IF($A$43="","",IF(VLOOKUP($A46,Products!$A$59:$H$159,8,FALSE)="","",VLOOKUP($A46,Products!$A$59:$H$159,8,FALSE)))</f>
        <v/>
      </c>
      <c r="G47" s="46" t="str">
        <f t="shared" si="6"/>
        <v/>
      </c>
      <c r="H47" s="51" t="str">
        <f t="shared" si="7"/>
        <v/>
      </c>
    </row>
    <row r="48" spans="1:8" x14ac:dyDescent="0.2">
      <c r="A48" s="649" t="str">
        <f t="shared" si="5"/>
        <v>AAAAA</v>
      </c>
      <c r="B48" s="650"/>
      <c r="C48" s="77" t="s">
        <v>9362</v>
      </c>
      <c r="D48" s="77" t="s">
        <v>9362</v>
      </c>
      <c r="E48" s="74" t="str">
        <f>IF($A$43="","",IF(VLOOKUP($A47,Products!$A$59:$H$159,5,FALSE)="","",VLOOKUP($A47,Products!$A$59:$H$159,5,FALSE)))</f>
        <v/>
      </c>
      <c r="F48" s="46" t="str">
        <f>IF($A$43="","",IF(VLOOKUP($A47,Products!$A$59:$H$159,8,FALSE)="","",VLOOKUP($A47,Products!$A$59:$H$159,8,FALSE)))</f>
        <v/>
      </c>
      <c r="G48" s="46" t="str">
        <f t="shared" si="6"/>
        <v/>
      </c>
      <c r="H48" s="51" t="str">
        <f t="shared" si="7"/>
        <v/>
      </c>
    </row>
    <row r="49" spans="1:8" x14ac:dyDescent="0.2">
      <c r="A49" s="649" t="str">
        <f t="shared" si="5"/>
        <v>AAAAAA</v>
      </c>
      <c r="B49" s="650"/>
      <c r="C49" s="77" t="s">
        <v>9362</v>
      </c>
      <c r="D49" s="77" t="s">
        <v>9362</v>
      </c>
      <c r="E49" s="74" t="str">
        <f>IF($A$43="","",IF(VLOOKUP($A48,Products!$A$59:$H$159,5,FALSE)="","",VLOOKUP($A48,Products!$A$59:$H$159,5,FALSE)))</f>
        <v/>
      </c>
      <c r="F49" s="46" t="str">
        <f>IF($A$43="","",IF(VLOOKUP($A48,Products!$A$59:$H$159,8,FALSE)="","",VLOOKUP($A48,Products!$A$59:$H$159,8,FALSE)))</f>
        <v/>
      </c>
      <c r="G49" s="46" t="str">
        <f>IF($F49="","",$F49*$G$43)</f>
        <v/>
      </c>
      <c r="H49" s="51" t="str">
        <f>IF($F49="","",$F49*$H$43)</f>
        <v/>
      </c>
    </row>
    <row r="50" spans="1:8" x14ac:dyDescent="0.2">
      <c r="A50" s="649" t="str">
        <f t="shared" si="5"/>
        <v>AAAAAAA</v>
      </c>
      <c r="B50" s="650"/>
      <c r="C50" s="77" t="s">
        <v>9362</v>
      </c>
      <c r="D50" s="77" t="s">
        <v>9362</v>
      </c>
      <c r="E50" s="74" t="str">
        <f>IF($A$43="","",IF(VLOOKUP($A49,Products!$A$59:$H$159,5,FALSE)="","",VLOOKUP($A49,Products!$A$59:$H$159,5,FALSE)))</f>
        <v/>
      </c>
      <c r="F50" s="46" t="str">
        <f>IF($A$43="","",IF(VLOOKUP($A49,Products!$A$59:$H$159,8,FALSE)="","",VLOOKUP($A49,Products!$A$59:$H$159,8,FALSE)))</f>
        <v/>
      </c>
      <c r="G50" s="46" t="str">
        <f t="shared" si="6"/>
        <v/>
      </c>
      <c r="H50" s="51" t="str">
        <f t="shared" si="7"/>
        <v/>
      </c>
    </row>
    <row r="51" spans="1:8" x14ac:dyDescent="0.2">
      <c r="A51" s="649" t="str">
        <f t="shared" si="5"/>
        <v>AAAAAAAA</v>
      </c>
      <c r="B51" s="650"/>
      <c r="C51" s="77" t="s">
        <v>9362</v>
      </c>
      <c r="D51" s="77" t="s">
        <v>9362</v>
      </c>
      <c r="E51" s="74" t="str">
        <f>IF($A$43="","",IF(VLOOKUP($A50,Products!$A$59:$H$159,5,FALSE)="","",VLOOKUP($A50,Products!$A$59:$H$159,5,FALSE)))</f>
        <v/>
      </c>
      <c r="F51" s="46" t="str">
        <f>IF($A$43="","",IF(VLOOKUP($A50,Products!$A$59:$H$159,8,FALSE)="","",VLOOKUP($A50,Products!$A$59:$H$159,8,FALSE)))</f>
        <v/>
      </c>
      <c r="G51" s="46" t="str">
        <f t="shared" si="6"/>
        <v/>
      </c>
      <c r="H51" s="51" t="str">
        <f t="shared" si="7"/>
        <v/>
      </c>
    </row>
    <row r="52" spans="1:8" x14ac:dyDescent="0.2">
      <c r="A52" s="649" t="str">
        <f t="shared" si="5"/>
        <v>AAAAAAAAA</v>
      </c>
      <c r="B52" s="650"/>
      <c r="C52" s="77" t="s">
        <v>9362</v>
      </c>
      <c r="D52" s="77" t="s">
        <v>9362</v>
      </c>
      <c r="E52" s="74" t="str">
        <f>IF($A$43="","",IF(VLOOKUP($A51,Products!$A$59:$H$159,5,FALSE)="","",VLOOKUP($A51,Products!$A$59:$H$159,5,FALSE)))</f>
        <v/>
      </c>
      <c r="F52" s="46" t="str">
        <f>IF($A$43="","",IF(VLOOKUP($A51,Products!$A$59:$H$159,8,FALSE)="","",VLOOKUP($A51,Products!$A$59:$H$159,8,FALSE)))</f>
        <v/>
      </c>
      <c r="G52" s="46" t="str">
        <f t="shared" si="6"/>
        <v/>
      </c>
      <c r="H52" s="51" t="str">
        <f t="shared" si="7"/>
        <v/>
      </c>
    </row>
    <row r="53" spans="1:8" x14ac:dyDescent="0.2">
      <c r="A53" s="649" t="str">
        <f t="shared" si="5"/>
        <v>AAAAAAAAAA</v>
      </c>
      <c r="B53" s="650"/>
      <c r="C53" s="77" t="s">
        <v>9362</v>
      </c>
      <c r="D53" s="77" t="s">
        <v>9362</v>
      </c>
      <c r="E53" s="74" t="str">
        <f>IF($A$43="","",IF(VLOOKUP($A52,Products!$A$59:$H$159,5,FALSE)="","",VLOOKUP($A52,Products!$A$59:$H$159,5,FALSE)))</f>
        <v/>
      </c>
      <c r="F53" s="46" t="str">
        <f>IF($A$43="","",IF(VLOOKUP($A52,Products!$A$59:$H$159,8,FALSE)="","",VLOOKUP($A52,Products!$A$59:$H$159,8,FALSE)))</f>
        <v/>
      </c>
      <c r="G53" s="46" t="str">
        <f t="shared" si="6"/>
        <v/>
      </c>
      <c r="H53" s="51" t="str">
        <f t="shared" si="7"/>
        <v/>
      </c>
    </row>
    <row r="54" spans="1:8" ht="14.25" customHeight="1" x14ac:dyDescent="0.2">
      <c r="A54" s="651"/>
      <c r="B54" s="615"/>
      <c r="C54" s="75"/>
      <c r="D54" s="76"/>
      <c r="E54" s="73" t="s">
        <v>291</v>
      </c>
      <c r="F54" s="46">
        <v>1</v>
      </c>
      <c r="G54" s="40"/>
      <c r="H54" s="47"/>
    </row>
    <row r="55" spans="1:8" x14ac:dyDescent="0.2">
      <c r="A55" s="627" t="str">
        <f>A54&amp;"A"</f>
        <v>A</v>
      </c>
      <c r="B55" s="628"/>
      <c r="C55" s="77" t="s">
        <v>9362</v>
      </c>
      <c r="D55" s="77" t="s">
        <v>9362</v>
      </c>
      <c r="E55" s="74" t="str">
        <f>IF($A$54="","",IF(VLOOKUP($A54,Products!$A$59:$H$159,5,FALSE)="","",VLOOKUP($A54,Products!$A$59:$H$159,5,FALSE)))</f>
        <v/>
      </c>
      <c r="F55" s="46" t="str">
        <f>IF($A$54="","",IF(VLOOKUP($A54,Products!$A$59:$H$159,8,FALSE)="","",VLOOKUP($A54,Products!$A$59:$H$159,8,FALSE)))</f>
        <v/>
      </c>
      <c r="G55" s="46" t="str">
        <f>IF($F55="","",$F55*$G$54)</f>
        <v/>
      </c>
      <c r="H55" s="51" t="str">
        <f>IF($F55="","",$F55*$H$54)</f>
        <v/>
      </c>
    </row>
    <row r="56" spans="1:8" x14ac:dyDescent="0.2">
      <c r="A56" s="649" t="str">
        <f t="shared" ref="A56:A64" si="8">A55&amp;"A"</f>
        <v>AA</v>
      </c>
      <c r="B56" s="650"/>
      <c r="C56" s="77" t="s">
        <v>9362</v>
      </c>
      <c r="D56" s="77" t="s">
        <v>9362</v>
      </c>
      <c r="E56" s="74" t="str">
        <f>IF($A$54="","",IF(VLOOKUP($A55,Products!$A$59:$H$159,5,FALSE)="","",VLOOKUP($A55,Products!$A$59:$H$159,5,FALSE)))</f>
        <v/>
      </c>
      <c r="F56" s="46" t="str">
        <f>IF($A$54="","",IF(VLOOKUP($A55,Products!$A$59:$H$159,8,FALSE)="","",VLOOKUP($A55,Products!$A$59:$H$159,8,FALSE)))</f>
        <v/>
      </c>
      <c r="G56" s="46" t="str">
        <f t="shared" ref="G56:G64" si="9">IF($F56="","",$F56*$G$54)</f>
        <v/>
      </c>
      <c r="H56" s="51" t="str">
        <f t="shared" ref="H56:H64" si="10">IF($F56="","",$F56*$H$54)</f>
        <v/>
      </c>
    </row>
    <row r="57" spans="1:8" x14ac:dyDescent="0.2">
      <c r="A57" s="649" t="str">
        <f t="shared" si="8"/>
        <v>AAA</v>
      </c>
      <c r="B57" s="650"/>
      <c r="C57" s="77" t="s">
        <v>9362</v>
      </c>
      <c r="D57" s="77" t="s">
        <v>9362</v>
      </c>
      <c r="E57" s="74" t="str">
        <f>IF($A$54="","",IF(VLOOKUP($A56,Products!$A$59:$H$159,5,FALSE)="","",VLOOKUP($A56,Products!$A$59:$H$159,5,FALSE)))</f>
        <v/>
      </c>
      <c r="F57" s="46" t="str">
        <f>IF($A$54="","",IF(VLOOKUP($A56,Products!$A$59:$H$159,8,FALSE)="","",VLOOKUP($A56,Products!$A$59:$H$159,8,FALSE)))</f>
        <v/>
      </c>
      <c r="G57" s="46" t="str">
        <f t="shared" si="9"/>
        <v/>
      </c>
      <c r="H57" s="51" t="str">
        <f t="shared" si="10"/>
        <v/>
      </c>
    </row>
    <row r="58" spans="1:8" x14ac:dyDescent="0.2">
      <c r="A58" s="649" t="str">
        <f t="shared" si="8"/>
        <v>AAAA</v>
      </c>
      <c r="B58" s="650"/>
      <c r="C58" s="77" t="s">
        <v>9362</v>
      </c>
      <c r="D58" s="77" t="s">
        <v>9362</v>
      </c>
      <c r="E58" s="74" t="str">
        <f>IF($A$54="","",IF(VLOOKUP($A57,Products!$A$59:$H$159,5,FALSE)="","",VLOOKUP($A57,Products!$A$59:$H$159,5,FALSE)))</f>
        <v/>
      </c>
      <c r="F58" s="46" t="str">
        <f>IF($A$54="","",IF(VLOOKUP($A57,Products!$A$59:$H$159,8,FALSE)="","",VLOOKUP($A57,Products!$A$59:$H$159,8,FALSE)))</f>
        <v/>
      </c>
      <c r="G58" s="46" t="str">
        <f>IF($F58="","",$F58*$G$54)</f>
        <v/>
      </c>
      <c r="H58" s="51" t="str">
        <f t="shared" si="10"/>
        <v/>
      </c>
    </row>
    <row r="59" spans="1:8" x14ac:dyDescent="0.2">
      <c r="A59" s="649" t="str">
        <f t="shared" si="8"/>
        <v>AAAAA</v>
      </c>
      <c r="B59" s="650"/>
      <c r="C59" s="77" t="s">
        <v>9362</v>
      </c>
      <c r="D59" s="77" t="s">
        <v>9362</v>
      </c>
      <c r="E59" s="74" t="str">
        <f>IF($A$54="","",IF(VLOOKUP($A58,Products!$A$59:$H$159,5,FALSE)="","",VLOOKUP($A58,Products!$A$59:$H$159,5,FALSE)))</f>
        <v/>
      </c>
      <c r="F59" s="46" t="str">
        <f>IF($A$54="","",IF(VLOOKUP($A58,Products!$A$59:$H$159,8,FALSE)="","",VLOOKUP($A58,Products!$A$59:$H$159,8,FALSE)))</f>
        <v/>
      </c>
      <c r="G59" s="46" t="str">
        <f t="shared" si="9"/>
        <v/>
      </c>
      <c r="H59" s="51" t="str">
        <f t="shared" si="10"/>
        <v/>
      </c>
    </row>
    <row r="60" spans="1:8" x14ac:dyDescent="0.2">
      <c r="A60" s="649" t="str">
        <f t="shared" si="8"/>
        <v>AAAAAA</v>
      </c>
      <c r="B60" s="650"/>
      <c r="C60" s="77" t="s">
        <v>9362</v>
      </c>
      <c r="D60" s="77" t="s">
        <v>9362</v>
      </c>
      <c r="E60" s="74" t="str">
        <f>IF($A$54="","",IF(VLOOKUP($A59,Products!$A$59:$H$159,5,FALSE)="","",VLOOKUP($A59,Products!$A$59:$H$159,5,FALSE)))</f>
        <v/>
      </c>
      <c r="F60" s="46" t="str">
        <f>IF($A$54="","",IF(VLOOKUP($A59,Products!$A$59:$H$159,8,FALSE)="","",VLOOKUP($A59,Products!$A$59:$H$159,8,FALSE)))</f>
        <v/>
      </c>
      <c r="G60" s="46" t="str">
        <f t="shared" si="9"/>
        <v/>
      </c>
      <c r="H60" s="51" t="str">
        <f t="shared" si="10"/>
        <v/>
      </c>
    </row>
    <row r="61" spans="1:8" x14ac:dyDescent="0.2">
      <c r="A61" s="649" t="str">
        <f t="shared" si="8"/>
        <v>AAAAAAA</v>
      </c>
      <c r="B61" s="650"/>
      <c r="C61" s="77" t="s">
        <v>9362</v>
      </c>
      <c r="D61" s="77" t="s">
        <v>9362</v>
      </c>
      <c r="E61" s="74" t="str">
        <f>IF($A$54="","",IF(VLOOKUP($A60,Products!$A$59:$H$159,5,FALSE)="","",VLOOKUP($A60,Products!$A$59:$H$159,5,FALSE)))</f>
        <v/>
      </c>
      <c r="F61" s="46" t="str">
        <f>IF($A$54="","",IF(VLOOKUP($A60,Products!$A$59:$H$159,8,FALSE)="","",VLOOKUP($A60,Products!$A$59:$H$159,8,FALSE)))</f>
        <v/>
      </c>
      <c r="G61" s="46" t="str">
        <f t="shared" si="9"/>
        <v/>
      </c>
      <c r="H61" s="51" t="str">
        <f t="shared" si="10"/>
        <v/>
      </c>
    </row>
    <row r="62" spans="1:8" ht="14.25" customHeight="1" x14ac:dyDescent="0.2">
      <c r="A62" s="649" t="str">
        <f t="shared" si="8"/>
        <v>AAAAAAAA</v>
      </c>
      <c r="B62" s="650"/>
      <c r="C62" s="77" t="s">
        <v>9362</v>
      </c>
      <c r="D62" s="77" t="s">
        <v>9362</v>
      </c>
      <c r="E62" s="74" t="str">
        <f>IF($A$54="","",IF(VLOOKUP($A61,Products!$A$59:$H$159,5,FALSE)="","",VLOOKUP($A61,Products!$A$59:$H$159,5,FALSE)))</f>
        <v/>
      </c>
      <c r="F62" s="46" t="str">
        <f>IF($A$54="","",IF(VLOOKUP($A61,Products!$A$59:$H$159,8,FALSE)="","",VLOOKUP($A61,Products!$A$59:$H$159,8,FALSE)))</f>
        <v/>
      </c>
      <c r="G62" s="46" t="str">
        <f t="shared" si="9"/>
        <v/>
      </c>
      <c r="H62" s="51" t="str">
        <f t="shared" si="10"/>
        <v/>
      </c>
    </row>
    <row r="63" spans="1:8" ht="14.25" customHeight="1" x14ac:dyDescent="0.2">
      <c r="A63" s="649" t="str">
        <f t="shared" si="8"/>
        <v>AAAAAAAAA</v>
      </c>
      <c r="B63" s="650"/>
      <c r="C63" s="77" t="s">
        <v>9362</v>
      </c>
      <c r="D63" s="77" t="s">
        <v>9362</v>
      </c>
      <c r="E63" s="74" t="str">
        <f>IF($A$54="","",IF(VLOOKUP($A62,Products!$A$59:$H$159,5,FALSE)="","",VLOOKUP($A62,Products!$A$59:$H$159,5,FALSE)))</f>
        <v/>
      </c>
      <c r="F63" s="46" t="str">
        <f>IF($A$54="","",IF(VLOOKUP($A62,Products!$A$59:$H$159,8,FALSE)="","",VLOOKUP($A62,Products!$A$59:$H$159,8,FALSE)))</f>
        <v/>
      </c>
      <c r="G63" s="46" t="str">
        <f t="shared" si="9"/>
        <v/>
      </c>
      <c r="H63" s="51" t="str">
        <f t="shared" si="10"/>
        <v/>
      </c>
    </row>
    <row r="64" spans="1:8" ht="14.25" customHeight="1" x14ac:dyDescent="0.2">
      <c r="A64" s="649" t="str">
        <f t="shared" si="8"/>
        <v>AAAAAAAAAA</v>
      </c>
      <c r="B64" s="650"/>
      <c r="C64" s="77" t="s">
        <v>9362</v>
      </c>
      <c r="D64" s="77" t="s">
        <v>9362</v>
      </c>
      <c r="E64" s="74" t="str">
        <f>IF($A$54="","",IF(VLOOKUP($A63,Products!$A$59:$H$159,5,FALSE)="","",VLOOKUP($A63,Products!$A$59:$H$159,5,FALSE)))</f>
        <v/>
      </c>
      <c r="F64" s="46" t="str">
        <f>IF($A$54="","",IF(VLOOKUP($A63,Products!$A$59:$H$159,8,FALSE)="","",VLOOKUP($A63,Products!$A$59:$H$159,8,FALSE)))</f>
        <v/>
      </c>
      <c r="G64" s="46" t="str">
        <f t="shared" si="9"/>
        <v/>
      </c>
      <c r="H64" s="51" t="str">
        <f t="shared" si="10"/>
        <v/>
      </c>
    </row>
    <row r="65" spans="1:8" ht="14.25" customHeight="1" x14ac:dyDescent="0.2">
      <c r="A65" s="651"/>
      <c r="B65" s="615"/>
      <c r="C65" s="75"/>
      <c r="D65" s="76"/>
      <c r="E65" s="73" t="s">
        <v>291</v>
      </c>
      <c r="F65" s="46">
        <v>1</v>
      </c>
      <c r="G65" s="40"/>
      <c r="H65" s="47"/>
    </row>
    <row r="66" spans="1:8" x14ac:dyDescent="0.2">
      <c r="A66" s="627" t="str">
        <f>A65&amp;"A"</f>
        <v>A</v>
      </c>
      <c r="B66" s="628"/>
      <c r="C66" s="77" t="s">
        <v>9362</v>
      </c>
      <c r="D66" s="77" t="s">
        <v>9362</v>
      </c>
      <c r="E66" s="74" t="str">
        <f>IF($A$65="","",IF(VLOOKUP($A65,Products!$A$59:$H$159,5,FALSE)="","",VLOOKUP($A65,Products!$A$59:$H$159,5,FALSE)))</f>
        <v/>
      </c>
      <c r="F66" s="46" t="str">
        <f>IF($A$65="","",IF(VLOOKUP($A65,Products!$A$59:$H$159,8,FALSE)="","",VLOOKUP($A65,Products!$A$59:$H$159,8,FALSE)))</f>
        <v/>
      </c>
      <c r="G66" s="46" t="str">
        <f>IF($F66="","",$F66*$G$65)</f>
        <v/>
      </c>
      <c r="H66" s="51" t="str">
        <f>IF($F66="","",$F66*$H$65)</f>
        <v/>
      </c>
    </row>
    <row r="67" spans="1:8" x14ac:dyDescent="0.2">
      <c r="A67" s="649" t="str">
        <f t="shared" ref="A67:A75" si="11">A66&amp;"A"</f>
        <v>AA</v>
      </c>
      <c r="B67" s="650"/>
      <c r="C67" s="77" t="s">
        <v>9362</v>
      </c>
      <c r="D67" s="77" t="s">
        <v>9362</v>
      </c>
      <c r="E67" s="74" t="str">
        <f>IF($A$65="","",IF(VLOOKUP($A66,Products!$A$59:$H$159,5,FALSE)="","",VLOOKUP($A66,Products!$A$59:$H$159,5,FALSE)))</f>
        <v/>
      </c>
      <c r="F67" s="46" t="str">
        <f>IF($A$65="","",IF(VLOOKUP($A66,Products!$A$59:$H$159,8,FALSE)="","",VLOOKUP($A66,Products!$A$59:$H$159,8,FALSE)))</f>
        <v/>
      </c>
      <c r="G67" s="46" t="str">
        <f t="shared" ref="G67:G75" si="12">IF($F67="","",$F67*$G$65)</f>
        <v/>
      </c>
      <c r="H67" s="51" t="str">
        <f t="shared" ref="H67:H75" si="13">IF($F67="","",$F67*$H$65)</f>
        <v/>
      </c>
    </row>
    <row r="68" spans="1:8" x14ac:dyDescent="0.2">
      <c r="A68" s="649" t="str">
        <f t="shared" si="11"/>
        <v>AAA</v>
      </c>
      <c r="B68" s="650"/>
      <c r="C68" s="77" t="s">
        <v>9362</v>
      </c>
      <c r="D68" s="77" t="s">
        <v>9362</v>
      </c>
      <c r="E68" s="74" t="str">
        <f>IF($A$65="","",IF(VLOOKUP($A67,Products!$A$59:$H$159,5,FALSE)="","",VLOOKUP($A67,Products!$A$59:$H$159,5,FALSE)))</f>
        <v/>
      </c>
      <c r="F68" s="46" t="str">
        <f>IF($A$65="","",IF(VLOOKUP($A67,Products!$A$59:$H$159,8,FALSE)="","",VLOOKUP($A67,Products!$A$59:$H$159,8,FALSE)))</f>
        <v/>
      </c>
      <c r="G68" s="46" t="str">
        <f t="shared" si="12"/>
        <v/>
      </c>
      <c r="H68" s="51" t="str">
        <f t="shared" si="13"/>
        <v/>
      </c>
    </row>
    <row r="69" spans="1:8" x14ac:dyDescent="0.2">
      <c r="A69" s="649" t="str">
        <f t="shared" si="11"/>
        <v>AAAA</v>
      </c>
      <c r="B69" s="650"/>
      <c r="C69" s="77" t="s">
        <v>9362</v>
      </c>
      <c r="D69" s="77" t="s">
        <v>9362</v>
      </c>
      <c r="E69" s="74" t="str">
        <f>IF($A$65="","",IF(VLOOKUP($A68,Products!$A$59:$H$159,5,FALSE)="","",VLOOKUP($A68,Products!$A$59:$H$159,5,FALSE)))</f>
        <v/>
      </c>
      <c r="F69" s="46" t="str">
        <f>IF($A$65="","",IF(VLOOKUP($A68,Products!$A$59:$H$159,8,FALSE)="","",VLOOKUP($A68,Products!$A$59:$H$159,8,FALSE)))</f>
        <v/>
      </c>
      <c r="G69" s="46" t="str">
        <f>IF($F69="","",$F69*$G$65)</f>
        <v/>
      </c>
      <c r="H69" s="51" t="str">
        <f>IF($F69="","",$F69*$H$65)</f>
        <v/>
      </c>
    </row>
    <row r="70" spans="1:8" x14ac:dyDescent="0.2">
      <c r="A70" s="649" t="str">
        <f t="shared" si="11"/>
        <v>AAAAA</v>
      </c>
      <c r="B70" s="650"/>
      <c r="C70" s="77" t="s">
        <v>9362</v>
      </c>
      <c r="D70" s="77" t="s">
        <v>9362</v>
      </c>
      <c r="E70" s="74" t="str">
        <f>IF($A$65="","",IF(VLOOKUP($A69,Products!$A$59:$H$159,5,FALSE)="","",VLOOKUP($A69,Products!$A$59:$H$159,5,FALSE)))</f>
        <v/>
      </c>
      <c r="F70" s="46" t="str">
        <f>IF($A$65="","",IF(VLOOKUP($A69,Products!$A$59:$H$159,8,FALSE)="","",VLOOKUP($A69,Products!$A$59:$H$159,8,FALSE)))</f>
        <v/>
      </c>
      <c r="G70" s="46" t="str">
        <f t="shared" si="12"/>
        <v/>
      </c>
      <c r="H70" s="51" t="str">
        <f t="shared" si="13"/>
        <v/>
      </c>
    </row>
    <row r="71" spans="1:8" x14ac:dyDescent="0.2">
      <c r="A71" s="649" t="str">
        <f t="shared" si="11"/>
        <v>AAAAAA</v>
      </c>
      <c r="B71" s="650"/>
      <c r="C71" s="77" t="s">
        <v>9362</v>
      </c>
      <c r="D71" s="77" t="s">
        <v>9362</v>
      </c>
      <c r="E71" s="74" t="str">
        <f>IF($A$65="","",IF(VLOOKUP($A70,Products!$A$59:$H$159,5,FALSE)="","",VLOOKUP($A70,Products!$A$59:$H$159,5,FALSE)))</f>
        <v/>
      </c>
      <c r="F71" s="46" t="str">
        <f>IF($A$65="","",IF(VLOOKUP($A70,Products!$A$59:$H$159,8,FALSE)="","",VLOOKUP($A70,Products!$A$59:$H$159,8,FALSE)))</f>
        <v/>
      </c>
      <c r="G71" s="46" t="str">
        <f t="shared" si="12"/>
        <v/>
      </c>
      <c r="H71" s="51" t="str">
        <f t="shared" si="13"/>
        <v/>
      </c>
    </row>
    <row r="72" spans="1:8" x14ac:dyDescent="0.2">
      <c r="A72" s="649" t="str">
        <f t="shared" si="11"/>
        <v>AAAAAAA</v>
      </c>
      <c r="B72" s="650"/>
      <c r="C72" s="77" t="s">
        <v>9362</v>
      </c>
      <c r="D72" s="77" t="s">
        <v>9362</v>
      </c>
      <c r="E72" s="74" t="str">
        <f>IF($A$65="","",IF(VLOOKUP($A71,Products!$A$59:$H$159,5,FALSE)="","",VLOOKUP($A71,Products!$A$59:$H$159,5,FALSE)))</f>
        <v/>
      </c>
      <c r="F72" s="46" t="str">
        <f>IF($A$65="","",IF(VLOOKUP($A71,Products!$A$59:$H$159,8,FALSE)="","",VLOOKUP($A71,Products!$A$59:$H$159,8,FALSE)))</f>
        <v/>
      </c>
      <c r="G72" s="46" t="str">
        <f t="shared" si="12"/>
        <v/>
      </c>
      <c r="H72" s="51" t="str">
        <f t="shared" si="13"/>
        <v/>
      </c>
    </row>
    <row r="73" spans="1:8" x14ac:dyDescent="0.2">
      <c r="A73" s="649" t="str">
        <f t="shared" si="11"/>
        <v>AAAAAAAA</v>
      </c>
      <c r="B73" s="650"/>
      <c r="C73" s="77" t="s">
        <v>9362</v>
      </c>
      <c r="D73" s="77" t="s">
        <v>9362</v>
      </c>
      <c r="E73" s="74" t="str">
        <f>IF($A$65="","",IF(VLOOKUP($A72,Products!$A$59:$H$159,5,FALSE)="","",VLOOKUP($A72,Products!$A$59:$H$159,5,FALSE)))</f>
        <v/>
      </c>
      <c r="F73" s="46" t="str">
        <f>IF($A$65="","",IF(VLOOKUP($A72,Products!$A$59:$H$159,8,FALSE)="","",VLOOKUP($A72,Products!$A$59:$H$159,8,FALSE)))</f>
        <v/>
      </c>
      <c r="G73" s="46" t="str">
        <f>IF($F73="","",$F73*$G$65)</f>
        <v/>
      </c>
      <c r="H73" s="51" t="str">
        <f>IF($F73="","",$F73*$H$65)</f>
        <v/>
      </c>
    </row>
    <row r="74" spans="1:8" x14ac:dyDescent="0.2">
      <c r="A74" s="649" t="str">
        <f t="shared" si="11"/>
        <v>AAAAAAAAA</v>
      </c>
      <c r="B74" s="650"/>
      <c r="C74" s="77" t="s">
        <v>9362</v>
      </c>
      <c r="D74" s="77" t="s">
        <v>9362</v>
      </c>
      <c r="E74" s="74" t="str">
        <f>IF($A$65="","",IF(VLOOKUP($A73,Products!$A$59:$H$159,5,FALSE)="","",VLOOKUP($A73,Products!$A$59:$H$159,5,FALSE)))</f>
        <v/>
      </c>
      <c r="F74" s="46" t="str">
        <f>IF($A$65="","",IF(VLOOKUP($A73,Products!$A$59:$H$159,8,FALSE)="","",VLOOKUP($A73,Products!$A$59:$H$159,8,FALSE)))</f>
        <v/>
      </c>
      <c r="G74" s="46" t="str">
        <f t="shared" si="12"/>
        <v/>
      </c>
      <c r="H74" s="51" t="str">
        <f t="shared" si="13"/>
        <v/>
      </c>
    </row>
    <row r="75" spans="1:8" x14ac:dyDescent="0.2">
      <c r="A75" s="649" t="str">
        <f t="shared" si="11"/>
        <v>AAAAAAAAAA</v>
      </c>
      <c r="B75" s="650"/>
      <c r="C75" s="77" t="s">
        <v>9362</v>
      </c>
      <c r="D75" s="77" t="s">
        <v>9362</v>
      </c>
      <c r="E75" s="74" t="str">
        <f>IF($A$65="","",IF(VLOOKUP($A74,Products!$A$59:$H$159,5,FALSE)="","",VLOOKUP($A74,Products!$A$59:$H$159,5,FALSE)))</f>
        <v/>
      </c>
      <c r="F75" s="46" t="str">
        <f>IF($A$65="","",IF(VLOOKUP($A74,Products!$A$59:$H$159,8,FALSE)="","",VLOOKUP($A74,Products!$A$59:$H$159,8,FALSE)))</f>
        <v/>
      </c>
      <c r="G75" s="46" t="str">
        <f t="shared" si="12"/>
        <v/>
      </c>
      <c r="H75" s="51" t="str">
        <f t="shared" si="13"/>
        <v/>
      </c>
    </row>
    <row r="76" spans="1:8" ht="14.25" customHeight="1" x14ac:dyDescent="0.2">
      <c r="A76" s="651"/>
      <c r="B76" s="615"/>
      <c r="C76" s="75"/>
      <c r="D76" s="76"/>
      <c r="E76" s="73" t="s">
        <v>291</v>
      </c>
      <c r="F76" s="46">
        <v>1</v>
      </c>
      <c r="G76" s="40"/>
      <c r="H76" s="47"/>
    </row>
    <row r="77" spans="1:8" x14ac:dyDescent="0.2">
      <c r="A77" s="627" t="str">
        <f>A76&amp;"A"</f>
        <v>A</v>
      </c>
      <c r="B77" s="628"/>
      <c r="C77" s="77" t="s">
        <v>9362</v>
      </c>
      <c r="D77" s="77" t="s">
        <v>9362</v>
      </c>
      <c r="E77" s="74" t="str">
        <f>IF($A$76="","",IF(VLOOKUP($A76,Products!$A$59:$H$159,5,FALSE)="","",VLOOKUP($A76,Products!$A$59:$H$159,5,FALSE)))</f>
        <v/>
      </c>
      <c r="F77" s="46" t="str">
        <f>IF($A$76="","",IF(VLOOKUP($A76,Products!$A$59:$H$159,8,FALSE)="","",VLOOKUP($A76,Products!$A$59:$H$159,8,FALSE)))</f>
        <v/>
      </c>
      <c r="G77" s="46" t="str">
        <f>IF($F77="","",$F77*$G$76)</f>
        <v/>
      </c>
      <c r="H77" s="51" t="str">
        <f>IF($F77="","",$F77*$H$76)</f>
        <v/>
      </c>
    </row>
    <row r="78" spans="1:8" x14ac:dyDescent="0.2">
      <c r="A78" s="649" t="str">
        <f t="shared" ref="A78:A86" si="14">A77&amp;"A"</f>
        <v>AA</v>
      </c>
      <c r="B78" s="650"/>
      <c r="C78" s="77" t="s">
        <v>9362</v>
      </c>
      <c r="D78" s="77" t="s">
        <v>9362</v>
      </c>
      <c r="E78" s="74" t="str">
        <f>IF($A$76="","",IF(VLOOKUP($A77,Products!$A$59:$H$159,5,FALSE)="","",VLOOKUP($A77,Products!$A$59:$H$159,5,FALSE)))</f>
        <v/>
      </c>
      <c r="F78" s="46" t="str">
        <f>IF($A$76="","",IF(VLOOKUP($A77,Products!$A$59:$H$159,8,FALSE)="","",VLOOKUP($A77,Products!$A$59:$H$159,8,FALSE)))</f>
        <v/>
      </c>
      <c r="G78" s="46" t="str">
        <f t="shared" ref="G78:G86" si="15">IF($F78="","",$F78*$G$76)</f>
        <v/>
      </c>
      <c r="H78" s="51" t="str">
        <f t="shared" ref="H78:H86" si="16">IF($F78="","",$F78*$H$76)</f>
        <v/>
      </c>
    </row>
    <row r="79" spans="1:8" x14ac:dyDescent="0.2">
      <c r="A79" s="649" t="str">
        <f t="shared" si="14"/>
        <v>AAA</v>
      </c>
      <c r="B79" s="650"/>
      <c r="C79" s="77" t="s">
        <v>9362</v>
      </c>
      <c r="D79" s="77" t="s">
        <v>9362</v>
      </c>
      <c r="E79" s="74" t="str">
        <f>IF($A$76="","",IF(VLOOKUP($A78,Products!$A$59:$H$159,5,FALSE)="","",VLOOKUP($A78,Products!$A$59:$H$159,5,FALSE)))</f>
        <v/>
      </c>
      <c r="F79" s="46" t="str">
        <f>IF($A$76="","",IF(VLOOKUP($A78,Products!$A$59:$H$159,8,FALSE)="","",VLOOKUP($A78,Products!$A$59:$H$159,8,FALSE)))</f>
        <v/>
      </c>
      <c r="G79" s="46" t="str">
        <f t="shared" si="15"/>
        <v/>
      </c>
      <c r="H79" s="51" t="str">
        <f t="shared" si="16"/>
        <v/>
      </c>
    </row>
    <row r="80" spans="1:8" x14ac:dyDescent="0.2">
      <c r="A80" s="649" t="str">
        <f t="shared" si="14"/>
        <v>AAAA</v>
      </c>
      <c r="B80" s="650"/>
      <c r="C80" s="77" t="s">
        <v>9362</v>
      </c>
      <c r="D80" s="77" t="s">
        <v>9362</v>
      </c>
      <c r="E80" s="74" t="str">
        <f>IF($A$76="","",IF(VLOOKUP($A79,Products!$A$59:$H$159,5,FALSE)="","",VLOOKUP($A79,Products!$A$59:$H$159,5,FALSE)))</f>
        <v/>
      </c>
      <c r="F80" s="46" t="str">
        <f>IF($A$76="","",IF(VLOOKUP($A79,Products!$A$59:$H$159,8,FALSE)="","",VLOOKUP($A79,Products!$A$59:$H$159,8,FALSE)))</f>
        <v/>
      </c>
      <c r="G80" s="46" t="str">
        <f t="shared" si="15"/>
        <v/>
      </c>
      <c r="H80" s="51" t="str">
        <f t="shared" si="16"/>
        <v/>
      </c>
    </row>
    <row r="81" spans="1:8" x14ac:dyDescent="0.2">
      <c r="A81" s="649" t="str">
        <f t="shared" si="14"/>
        <v>AAAAA</v>
      </c>
      <c r="B81" s="650"/>
      <c r="C81" s="77" t="s">
        <v>9362</v>
      </c>
      <c r="D81" s="77" t="s">
        <v>9362</v>
      </c>
      <c r="E81" s="74" t="str">
        <f>IF($A$76="","",IF(VLOOKUP($A80,Products!$A$59:$H$159,5,FALSE)="","",VLOOKUP($A80,Products!$A$59:$H$159,5,FALSE)))</f>
        <v/>
      </c>
      <c r="F81" s="46" t="str">
        <f>IF($A$76="","",IF(VLOOKUP($A80,Products!$A$59:$H$159,8,FALSE)="","",VLOOKUP($A80,Products!$A$59:$H$159,8,FALSE)))</f>
        <v/>
      </c>
      <c r="G81" s="46" t="str">
        <f t="shared" si="15"/>
        <v/>
      </c>
      <c r="H81" s="51" t="str">
        <f t="shared" si="16"/>
        <v/>
      </c>
    </row>
    <row r="82" spans="1:8" x14ac:dyDescent="0.2">
      <c r="A82" s="649" t="str">
        <f t="shared" si="14"/>
        <v>AAAAAA</v>
      </c>
      <c r="B82" s="650"/>
      <c r="C82" s="77" t="s">
        <v>9362</v>
      </c>
      <c r="D82" s="77" t="s">
        <v>9362</v>
      </c>
      <c r="E82" s="74" t="str">
        <f>IF($A$76="","",IF(VLOOKUP($A81,Products!$A$59:$H$159,5,FALSE)="","",VLOOKUP($A81,Products!$A$59:$H$159,5,FALSE)))</f>
        <v/>
      </c>
      <c r="F82" s="46" t="str">
        <f>IF($A$76="","",IF(VLOOKUP($A81,Products!$A$59:$H$159,8,FALSE)="","",VLOOKUP($A81,Products!$A$59:$H$159,8,FALSE)))</f>
        <v/>
      </c>
      <c r="G82" s="46" t="str">
        <f t="shared" si="15"/>
        <v/>
      </c>
      <c r="H82" s="51" t="str">
        <f t="shared" si="16"/>
        <v/>
      </c>
    </row>
    <row r="83" spans="1:8" x14ac:dyDescent="0.2">
      <c r="A83" s="649" t="str">
        <f t="shared" si="14"/>
        <v>AAAAAAA</v>
      </c>
      <c r="B83" s="650"/>
      <c r="C83" s="77" t="s">
        <v>9362</v>
      </c>
      <c r="D83" s="77" t="s">
        <v>9362</v>
      </c>
      <c r="E83" s="74" t="str">
        <f>IF($A$76="","",IF(VLOOKUP($A82,Products!$A$59:$H$159,5,FALSE)="","",VLOOKUP($A82,Products!$A$59:$H$159,5,FALSE)))</f>
        <v/>
      </c>
      <c r="F83" s="46" t="str">
        <f>IF($A$76="","",IF(VLOOKUP($A82,Products!$A$59:$H$159,8,FALSE)="","",VLOOKUP($A82,Products!$A$59:$H$159,8,FALSE)))</f>
        <v/>
      </c>
      <c r="G83" s="46" t="str">
        <f t="shared" si="15"/>
        <v/>
      </c>
      <c r="H83" s="51" t="str">
        <f t="shared" si="16"/>
        <v/>
      </c>
    </row>
    <row r="84" spans="1:8" x14ac:dyDescent="0.2">
      <c r="A84" s="649" t="str">
        <f t="shared" si="14"/>
        <v>AAAAAAAA</v>
      </c>
      <c r="B84" s="650"/>
      <c r="C84" s="77" t="s">
        <v>9362</v>
      </c>
      <c r="D84" s="77" t="s">
        <v>9362</v>
      </c>
      <c r="E84" s="74" t="str">
        <f>IF($A$76="","",IF(VLOOKUP($A83,Products!$A$59:$H$159,5,FALSE)="","",VLOOKUP($A83,Products!$A$59:$H$159,5,FALSE)))</f>
        <v/>
      </c>
      <c r="F84" s="46" t="str">
        <f>IF($A$76="","",IF(VLOOKUP($A83,Products!$A$59:$H$159,8,FALSE)="","",VLOOKUP($A83,Products!$A$59:$H$159,8,FALSE)))</f>
        <v/>
      </c>
      <c r="G84" s="46" t="str">
        <f t="shared" si="15"/>
        <v/>
      </c>
      <c r="H84" s="51" t="str">
        <f t="shared" si="16"/>
        <v/>
      </c>
    </row>
    <row r="85" spans="1:8" ht="14.25" customHeight="1" x14ac:dyDescent="0.2">
      <c r="A85" s="649" t="str">
        <f t="shared" si="14"/>
        <v>AAAAAAAAA</v>
      </c>
      <c r="B85" s="650"/>
      <c r="C85" s="77" t="s">
        <v>9362</v>
      </c>
      <c r="D85" s="77" t="s">
        <v>9362</v>
      </c>
      <c r="E85" s="74" t="str">
        <f>IF($A$76="","",IF(VLOOKUP($A84,Products!$A$59:$H$159,5,FALSE)="","",VLOOKUP($A84,Products!$A$59:$H$159,5,FALSE)))</f>
        <v/>
      </c>
      <c r="F85" s="46" t="str">
        <f>IF($A$76="","",IF(VLOOKUP($A84,Products!$A$59:$H$159,8,FALSE)="","",VLOOKUP($A84,Products!$A$59:$H$159,8,FALSE)))</f>
        <v/>
      </c>
      <c r="G85" s="46" t="str">
        <f t="shared" si="15"/>
        <v/>
      </c>
      <c r="H85" s="51" t="str">
        <f t="shared" si="16"/>
        <v/>
      </c>
    </row>
    <row r="86" spans="1:8" ht="14.25" customHeight="1" x14ac:dyDescent="0.2">
      <c r="A86" s="649" t="str">
        <f t="shared" si="14"/>
        <v>AAAAAAAAAA</v>
      </c>
      <c r="B86" s="650"/>
      <c r="C86" s="77" t="s">
        <v>9362</v>
      </c>
      <c r="D86" s="77" t="s">
        <v>9362</v>
      </c>
      <c r="E86" s="74" t="str">
        <f>IF($A$76="","",IF(VLOOKUP($A85,Products!$A$59:$H$159,5,FALSE)="","",VLOOKUP($A85,Products!$A$59:$H$159,5,FALSE)))</f>
        <v/>
      </c>
      <c r="F86" s="46" t="str">
        <f>IF($A$76="","",IF(VLOOKUP($A85,Products!$A$59:$H$159,8,FALSE)="","",VLOOKUP($A85,Products!$A$59:$H$159,8,FALSE)))</f>
        <v/>
      </c>
      <c r="G86" s="46" t="str">
        <f t="shared" si="15"/>
        <v/>
      </c>
      <c r="H86" s="51" t="str">
        <f t="shared" si="16"/>
        <v/>
      </c>
    </row>
    <row r="87" spans="1:8" ht="14.25" customHeight="1" x14ac:dyDescent="0.2">
      <c r="A87" s="651"/>
      <c r="B87" s="615"/>
      <c r="C87" s="75"/>
      <c r="D87" s="76"/>
      <c r="E87" s="73" t="s">
        <v>291</v>
      </c>
      <c r="F87" s="46">
        <v>1</v>
      </c>
      <c r="G87" s="40"/>
      <c r="H87" s="47"/>
    </row>
    <row r="88" spans="1:8" x14ac:dyDescent="0.2">
      <c r="A88" s="627" t="str">
        <f>A87&amp;"A"</f>
        <v>A</v>
      </c>
      <c r="B88" s="628"/>
      <c r="C88" s="77" t="s">
        <v>9362</v>
      </c>
      <c r="D88" s="77" t="s">
        <v>9362</v>
      </c>
      <c r="E88" s="74" t="str">
        <f>IF($A$87="","",IF(VLOOKUP($A87,Products!$A$59:$H$159,5,FALSE)="","",VLOOKUP($A87,Products!$A$59:$H$159,5,FALSE)))</f>
        <v/>
      </c>
      <c r="F88" s="46" t="str">
        <f>IF($A$87="","",IF(VLOOKUP($A87,Products!$A$59:$H$159,8,FALSE)="","",VLOOKUP($A87,Products!$A$59:$H$159,8,FALSE)))</f>
        <v/>
      </c>
      <c r="G88" s="46" t="str">
        <f>IF($F88="","",$F88*$G$87)</f>
        <v/>
      </c>
      <c r="H88" s="51" t="str">
        <f>IF($F88="","",$F88*$H$87)</f>
        <v/>
      </c>
    </row>
    <row r="89" spans="1:8" x14ac:dyDescent="0.2">
      <c r="A89" s="649" t="str">
        <f t="shared" ref="A89:A97" si="17">A88&amp;"A"</f>
        <v>AA</v>
      </c>
      <c r="B89" s="650"/>
      <c r="C89" s="77" t="s">
        <v>9362</v>
      </c>
      <c r="D89" s="77" t="s">
        <v>9362</v>
      </c>
      <c r="E89" s="74" t="str">
        <f>IF($A$87="","",IF(VLOOKUP($A88,Products!$A$59:$H$159,5,FALSE)="","",VLOOKUP($A88,Products!$A$59:$H$159,5,FALSE)))</f>
        <v/>
      </c>
      <c r="F89" s="46" t="str">
        <f>IF($A$87="","",IF(VLOOKUP($A88,Products!$A$59:$H$159,8,FALSE)="","",VLOOKUP($A88,Products!$A$59:$H$159,8,FALSE)))</f>
        <v/>
      </c>
      <c r="G89" s="46" t="str">
        <f t="shared" ref="G89:G97" si="18">IF($F89="","",$F89*$G$87)</f>
        <v/>
      </c>
      <c r="H89" s="51" t="str">
        <f t="shared" ref="H89:H97" si="19">IF($F89="","",$F89*$H$87)</f>
        <v/>
      </c>
    </row>
    <row r="90" spans="1:8" x14ac:dyDescent="0.2">
      <c r="A90" s="649" t="str">
        <f t="shared" si="17"/>
        <v>AAA</v>
      </c>
      <c r="B90" s="650"/>
      <c r="C90" s="77" t="s">
        <v>9362</v>
      </c>
      <c r="D90" s="77" t="s">
        <v>9362</v>
      </c>
      <c r="E90" s="74" t="str">
        <f>IF($A$87="","",IF(VLOOKUP($A89,Products!$A$59:$H$159,5,FALSE)="","",VLOOKUP($A89,Products!$A$59:$H$159,5,FALSE)))</f>
        <v/>
      </c>
      <c r="F90" s="46" t="str">
        <f>IF($A$87="","",IF(VLOOKUP($A89,Products!$A$59:$H$159,8,FALSE)="","",VLOOKUP($A89,Products!$A$59:$H$159,8,FALSE)))</f>
        <v/>
      </c>
      <c r="G90" s="46" t="str">
        <f t="shared" si="18"/>
        <v/>
      </c>
      <c r="H90" s="51" t="str">
        <f t="shared" si="19"/>
        <v/>
      </c>
    </row>
    <row r="91" spans="1:8" x14ac:dyDescent="0.2">
      <c r="A91" s="649" t="str">
        <f t="shared" si="17"/>
        <v>AAAA</v>
      </c>
      <c r="B91" s="650"/>
      <c r="C91" s="77" t="s">
        <v>9362</v>
      </c>
      <c r="D91" s="77" t="s">
        <v>9362</v>
      </c>
      <c r="E91" s="74" t="str">
        <f>IF($A$87="","",IF(VLOOKUP($A90,Products!$A$59:$H$159,5,FALSE)="","",VLOOKUP($A90,Products!$A$59:$H$159,5,FALSE)))</f>
        <v/>
      </c>
      <c r="F91" s="46" t="str">
        <f>IF($A$87="","",IF(VLOOKUP($A90,Products!$A$59:$H$159,8,FALSE)="","",VLOOKUP($A90,Products!$A$59:$H$159,8,FALSE)))</f>
        <v/>
      </c>
      <c r="G91" s="46" t="str">
        <f t="shared" si="18"/>
        <v/>
      </c>
      <c r="H91" s="51" t="str">
        <f t="shared" si="19"/>
        <v/>
      </c>
    </row>
    <row r="92" spans="1:8" x14ac:dyDescent="0.2">
      <c r="A92" s="649" t="str">
        <f t="shared" si="17"/>
        <v>AAAAA</v>
      </c>
      <c r="B92" s="650"/>
      <c r="C92" s="77" t="s">
        <v>9362</v>
      </c>
      <c r="D92" s="77" t="s">
        <v>9362</v>
      </c>
      <c r="E92" s="74" t="str">
        <f>IF($A$87="","",IF(VLOOKUP($A91,Products!$A$59:$H$159,5,FALSE)="","",VLOOKUP($A91,Products!$A$59:$H$159,5,FALSE)))</f>
        <v/>
      </c>
      <c r="F92" s="46" t="str">
        <f>IF($A$87="","",IF(VLOOKUP($A91,Products!$A$59:$H$159,8,FALSE)="","",VLOOKUP($A91,Products!$A$59:$H$159,8,FALSE)))</f>
        <v/>
      </c>
      <c r="G92" s="46" t="str">
        <f t="shared" si="18"/>
        <v/>
      </c>
      <c r="H92" s="51" t="str">
        <f t="shared" si="19"/>
        <v/>
      </c>
    </row>
    <row r="93" spans="1:8" x14ac:dyDescent="0.2">
      <c r="A93" s="649" t="str">
        <f t="shared" si="17"/>
        <v>AAAAAA</v>
      </c>
      <c r="B93" s="650"/>
      <c r="C93" s="77" t="s">
        <v>9362</v>
      </c>
      <c r="D93" s="77" t="s">
        <v>9362</v>
      </c>
      <c r="E93" s="74" t="str">
        <f>IF($A$87="","",IF(VLOOKUP($A92,Products!$A$59:$H$159,5,FALSE)="","",VLOOKUP($A92,Products!$A$59:$H$159,5,FALSE)))</f>
        <v/>
      </c>
      <c r="F93" s="46" t="str">
        <f>IF($A$87="","",IF(VLOOKUP($A92,Products!$A$59:$H$159,8,FALSE)="","",VLOOKUP($A92,Products!$A$59:$H$159,8,FALSE)))</f>
        <v/>
      </c>
      <c r="G93" s="46" t="str">
        <f t="shared" si="18"/>
        <v/>
      </c>
      <c r="H93" s="51" t="str">
        <f t="shared" si="19"/>
        <v/>
      </c>
    </row>
    <row r="94" spans="1:8" x14ac:dyDescent="0.2">
      <c r="A94" s="649" t="str">
        <f t="shared" si="17"/>
        <v>AAAAAAA</v>
      </c>
      <c r="B94" s="650"/>
      <c r="C94" s="77" t="s">
        <v>9362</v>
      </c>
      <c r="D94" s="77" t="s">
        <v>9362</v>
      </c>
      <c r="E94" s="74" t="str">
        <f>IF($A$87="","",IF(VLOOKUP($A93,Products!$A$59:$H$159,5,FALSE)="","",VLOOKUP($A93,Products!$A$59:$H$159,5,FALSE)))</f>
        <v/>
      </c>
      <c r="F94" s="46" t="str">
        <f>IF($A$87="","",IF(VLOOKUP($A93,Products!$A$59:$H$159,8,FALSE)="","",VLOOKUP($A93,Products!$A$59:$H$159,8,FALSE)))</f>
        <v/>
      </c>
      <c r="G94" s="46" t="str">
        <f t="shared" si="18"/>
        <v/>
      </c>
      <c r="H94" s="51" t="str">
        <f t="shared" si="19"/>
        <v/>
      </c>
    </row>
    <row r="95" spans="1:8" ht="14.25" customHeight="1" x14ac:dyDescent="0.2">
      <c r="A95" s="649" t="str">
        <f t="shared" si="17"/>
        <v>AAAAAAAA</v>
      </c>
      <c r="B95" s="650"/>
      <c r="C95" s="77" t="s">
        <v>9362</v>
      </c>
      <c r="D95" s="77" t="s">
        <v>9362</v>
      </c>
      <c r="E95" s="74" t="str">
        <f>IF($A$87="","",IF(VLOOKUP($A94,Products!$A$59:$H$159,5,FALSE)="","",VLOOKUP($A94,Products!$A$59:$H$159,5,FALSE)))</f>
        <v/>
      </c>
      <c r="F95" s="46" t="str">
        <f>IF($A$87="","",IF(VLOOKUP($A94,Products!$A$59:$H$159,8,FALSE)="","",VLOOKUP($A94,Products!$A$59:$H$159,8,FALSE)))</f>
        <v/>
      </c>
      <c r="G95" s="46" t="str">
        <f t="shared" si="18"/>
        <v/>
      </c>
      <c r="H95" s="51" t="str">
        <f t="shared" si="19"/>
        <v/>
      </c>
    </row>
    <row r="96" spans="1:8" ht="14.25" customHeight="1" x14ac:dyDescent="0.2">
      <c r="A96" s="649" t="str">
        <f t="shared" si="17"/>
        <v>AAAAAAAAA</v>
      </c>
      <c r="B96" s="650"/>
      <c r="C96" s="77" t="s">
        <v>9362</v>
      </c>
      <c r="D96" s="77" t="s">
        <v>9362</v>
      </c>
      <c r="E96" s="74" t="str">
        <f>IF($A$87="","",IF(VLOOKUP($A95,Products!$A$59:$H$159,5,FALSE)="","",VLOOKUP($A95,Products!$A$59:$H$159,5,FALSE)))</f>
        <v/>
      </c>
      <c r="F96" s="46" t="str">
        <f>IF($A$87="","",IF(VLOOKUP($A95,Products!$A$59:$H$159,8,FALSE)="","",VLOOKUP($A95,Products!$A$59:$H$159,8,FALSE)))</f>
        <v/>
      </c>
      <c r="G96" s="46" t="str">
        <f t="shared" si="18"/>
        <v/>
      </c>
      <c r="H96" s="51" t="str">
        <f t="shared" si="19"/>
        <v/>
      </c>
    </row>
    <row r="97" spans="1:8" ht="14.25" customHeight="1" x14ac:dyDescent="0.2">
      <c r="A97" s="649" t="str">
        <f t="shared" si="17"/>
        <v>AAAAAAAAAA</v>
      </c>
      <c r="B97" s="650"/>
      <c r="C97" s="77" t="s">
        <v>9362</v>
      </c>
      <c r="D97" s="77" t="s">
        <v>9362</v>
      </c>
      <c r="E97" s="74" t="str">
        <f>IF($A$87="","",IF(VLOOKUP($A96,Products!$A$59:$H$159,5,FALSE)="","",VLOOKUP($A96,Products!$A$59:$H$159,5,FALSE)))</f>
        <v/>
      </c>
      <c r="F97" s="46" t="str">
        <f>IF($A$87="","",IF(VLOOKUP($A96,Products!$A$59:$H$159,8,FALSE)="","",VLOOKUP($A96,Products!$A$59:$H$159,8,FALSE)))</f>
        <v/>
      </c>
      <c r="G97" s="46" t="str">
        <f t="shared" si="18"/>
        <v/>
      </c>
      <c r="H97" s="51" t="str">
        <f t="shared" si="19"/>
        <v/>
      </c>
    </row>
    <row r="98" spans="1:8" ht="14.25" customHeight="1" x14ac:dyDescent="0.2">
      <c r="A98" s="651"/>
      <c r="B98" s="615"/>
      <c r="C98" s="75"/>
      <c r="D98" s="76"/>
      <c r="E98" s="73" t="s">
        <v>291</v>
      </c>
      <c r="F98" s="46">
        <v>1</v>
      </c>
      <c r="G98" s="40"/>
      <c r="H98" s="47"/>
    </row>
    <row r="99" spans="1:8" x14ac:dyDescent="0.2">
      <c r="A99" s="627" t="str">
        <f>A98&amp;"A"</f>
        <v>A</v>
      </c>
      <c r="B99" s="628"/>
      <c r="C99" s="77" t="s">
        <v>9362</v>
      </c>
      <c r="D99" s="77" t="s">
        <v>9362</v>
      </c>
      <c r="E99" s="74" t="str">
        <f>IF($A$98="","",IF(VLOOKUP($A98,Products!$A$59:$H$159,5,FALSE)="","",VLOOKUP($A98,Products!$A$59:$H$159,5,FALSE)))</f>
        <v/>
      </c>
      <c r="F99" s="46" t="str">
        <f>IF($A$98="","",IF(VLOOKUP($A98,Products!$A$59:$H$159,8,FALSE)="","",VLOOKUP($A98,Products!$A$59:$H$159,8,FALSE)))</f>
        <v/>
      </c>
      <c r="G99" s="46" t="str">
        <f>IF($F99="","",$F99*$G$98)</f>
        <v/>
      </c>
      <c r="H99" s="51" t="str">
        <f>IF($F99="","",$F99*$H$98)</f>
        <v/>
      </c>
    </row>
    <row r="100" spans="1:8" x14ac:dyDescent="0.2">
      <c r="A100" s="649" t="str">
        <f t="shared" ref="A100:A108" si="20">A99&amp;"A"</f>
        <v>AA</v>
      </c>
      <c r="B100" s="650"/>
      <c r="C100" s="77" t="s">
        <v>9362</v>
      </c>
      <c r="D100" s="77" t="s">
        <v>9362</v>
      </c>
      <c r="E100" s="74" t="str">
        <f>IF($A$98="","",IF(VLOOKUP($A99,Products!$A$59:$H$159,5,FALSE)="","",VLOOKUP($A99,Products!$A$59:$H$159,5,FALSE)))</f>
        <v/>
      </c>
      <c r="F100" s="46" t="str">
        <f>IF($A$98="","",IF(VLOOKUP($A99,Products!$A$59:$H$159,8,FALSE)="","",VLOOKUP($A99,Products!$A$59:$H$159,8,FALSE)))</f>
        <v/>
      </c>
      <c r="G100" s="46" t="str">
        <f t="shared" ref="G100:G108" si="21">IF($F100="","",$F100*$G$98)</f>
        <v/>
      </c>
      <c r="H100" s="51" t="str">
        <f t="shared" ref="H100:H108" si="22">IF($F100="","",$F100*$H$98)</f>
        <v/>
      </c>
    </row>
    <row r="101" spans="1:8" x14ac:dyDescent="0.2">
      <c r="A101" s="649" t="str">
        <f t="shared" si="20"/>
        <v>AAA</v>
      </c>
      <c r="B101" s="650"/>
      <c r="C101" s="77" t="s">
        <v>9362</v>
      </c>
      <c r="D101" s="77" t="s">
        <v>9362</v>
      </c>
      <c r="E101" s="74" t="str">
        <f>IF($A$98="","",IF(VLOOKUP($A100,Products!$A$59:$H$159,5,FALSE)="","",VLOOKUP($A100,Products!$A$59:$H$159,5,FALSE)))</f>
        <v/>
      </c>
      <c r="F101" s="46" t="str">
        <f>IF($A$98="","",IF(VLOOKUP($A100,Products!$A$59:$H$159,8,FALSE)="","",VLOOKUP($A100,Products!$A$59:$H$159,8,FALSE)))</f>
        <v/>
      </c>
      <c r="G101" s="46" t="str">
        <f t="shared" si="21"/>
        <v/>
      </c>
      <c r="H101" s="51" t="str">
        <f t="shared" si="22"/>
        <v/>
      </c>
    </row>
    <row r="102" spans="1:8" x14ac:dyDescent="0.2">
      <c r="A102" s="649" t="str">
        <f t="shared" si="20"/>
        <v>AAAA</v>
      </c>
      <c r="B102" s="650"/>
      <c r="C102" s="77" t="s">
        <v>9362</v>
      </c>
      <c r="D102" s="77" t="s">
        <v>9362</v>
      </c>
      <c r="E102" s="74" t="str">
        <f>IF($A$98="","",IF(VLOOKUP($A101,Products!$A$59:$H$159,5,FALSE)="","",VLOOKUP($A101,Products!$A$59:$H$159,5,FALSE)))</f>
        <v/>
      </c>
      <c r="F102" s="46" t="str">
        <f>IF($A$98="","",IF(VLOOKUP($A101,Products!$A$59:$H$159,8,FALSE)="","",VLOOKUP($A101,Products!$A$59:$H$159,8,FALSE)))</f>
        <v/>
      </c>
      <c r="G102" s="46" t="str">
        <f t="shared" si="21"/>
        <v/>
      </c>
      <c r="H102" s="51" t="str">
        <f t="shared" si="22"/>
        <v/>
      </c>
    </row>
    <row r="103" spans="1:8" x14ac:dyDescent="0.2">
      <c r="A103" s="649" t="str">
        <f t="shared" si="20"/>
        <v>AAAAA</v>
      </c>
      <c r="B103" s="650"/>
      <c r="C103" s="77" t="s">
        <v>9362</v>
      </c>
      <c r="D103" s="77" t="s">
        <v>9362</v>
      </c>
      <c r="E103" s="74" t="str">
        <f>IF($A$98="","",IF(VLOOKUP($A102,Products!$A$59:$H$159,5,FALSE)="","",VLOOKUP($A102,Products!$A$59:$H$159,5,FALSE)))</f>
        <v/>
      </c>
      <c r="F103" s="46" t="str">
        <f>IF($A$98="","",IF(VLOOKUP($A102,Products!$A$59:$H$159,8,FALSE)="","",VLOOKUP($A102,Products!$A$59:$H$159,8,FALSE)))</f>
        <v/>
      </c>
      <c r="G103" s="46" t="str">
        <f t="shared" si="21"/>
        <v/>
      </c>
      <c r="H103" s="51" t="str">
        <f t="shared" si="22"/>
        <v/>
      </c>
    </row>
    <row r="104" spans="1:8" x14ac:dyDescent="0.2">
      <c r="A104" s="649" t="str">
        <f t="shared" si="20"/>
        <v>AAAAAA</v>
      </c>
      <c r="B104" s="650"/>
      <c r="C104" s="77" t="s">
        <v>9362</v>
      </c>
      <c r="D104" s="77" t="s">
        <v>9362</v>
      </c>
      <c r="E104" s="74" t="str">
        <f>IF($A$98="","",IF(VLOOKUP($A103,Products!$A$59:$H$159,5,FALSE)="","",VLOOKUP($A103,Products!$A$59:$H$159,5,FALSE)))</f>
        <v/>
      </c>
      <c r="F104" s="46" t="str">
        <f>IF($A$98="","",IF(VLOOKUP($A103,Products!$A$59:$H$159,8,FALSE)="","",VLOOKUP($A103,Products!$A$59:$H$159,8,FALSE)))</f>
        <v/>
      </c>
      <c r="G104" s="46" t="str">
        <f t="shared" si="21"/>
        <v/>
      </c>
      <c r="H104" s="51" t="str">
        <f t="shared" si="22"/>
        <v/>
      </c>
    </row>
    <row r="105" spans="1:8" x14ac:dyDescent="0.2">
      <c r="A105" s="649" t="str">
        <f t="shared" si="20"/>
        <v>AAAAAAA</v>
      </c>
      <c r="B105" s="650"/>
      <c r="C105" s="77" t="s">
        <v>9362</v>
      </c>
      <c r="D105" s="77" t="s">
        <v>9362</v>
      </c>
      <c r="E105" s="74" t="str">
        <f>IF($A$98="","",IF(VLOOKUP($A104,Products!$A$59:$H$159,5,FALSE)="","",VLOOKUP($A104,Products!$A$59:$H$159,5,FALSE)))</f>
        <v/>
      </c>
      <c r="F105" s="46" t="str">
        <f>IF($A$98="","",IF(VLOOKUP($A104,Products!$A$59:$H$159,8,FALSE)="","",VLOOKUP($A104,Products!$A$59:$H$159,8,FALSE)))</f>
        <v/>
      </c>
      <c r="G105" s="46" t="str">
        <f>IF($F105="","",$F105*$G$98)</f>
        <v/>
      </c>
      <c r="H105" s="51" t="str">
        <f>IF($F105="","",$F105*$H$98)</f>
        <v/>
      </c>
    </row>
    <row r="106" spans="1:8" ht="14.25" customHeight="1" x14ac:dyDescent="0.2">
      <c r="A106" s="649" t="str">
        <f t="shared" si="20"/>
        <v>AAAAAAAA</v>
      </c>
      <c r="B106" s="650"/>
      <c r="C106" s="77" t="s">
        <v>9362</v>
      </c>
      <c r="D106" s="77" t="s">
        <v>9362</v>
      </c>
      <c r="E106" s="74" t="str">
        <f>IF($A$98="","",IF(VLOOKUP($A105,Products!$A$59:$H$159,5,FALSE)="","",VLOOKUP($A105,Products!$A$59:$H$159,5,FALSE)))</f>
        <v/>
      </c>
      <c r="F106" s="46" t="str">
        <f>IF($A$98="","",IF(VLOOKUP($A105,Products!$A$59:$H$159,8,FALSE)="","",VLOOKUP($A105,Products!$A$59:$H$159,8,FALSE)))</f>
        <v/>
      </c>
      <c r="G106" s="46" t="str">
        <f t="shared" si="21"/>
        <v/>
      </c>
      <c r="H106" s="51" t="str">
        <f t="shared" si="22"/>
        <v/>
      </c>
    </row>
    <row r="107" spans="1:8" ht="14.25" customHeight="1" x14ac:dyDescent="0.2">
      <c r="A107" s="649" t="str">
        <f t="shared" si="20"/>
        <v>AAAAAAAAA</v>
      </c>
      <c r="B107" s="650"/>
      <c r="C107" s="77" t="s">
        <v>9362</v>
      </c>
      <c r="D107" s="77" t="s">
        <v>9362</v>
      </c>
      <c r="E107" s="74" t="str">
        <f>IF($A$98="","",IF(VLOOKUP($A106,Products!$A$59:$H$159,5,FALSE)="","",VLOOKUP($A106,Products!$A$59:$H$159,5,FALSE)))</f>
        <v/>
      </c>
      <c r="F107" s="46" t="str">
        <f>IF($A$98="","",IF(VLOOKUP($A106,Products!$A$59:$H$159,8,FALSE)="","",VLOOKUP($A106,Products!$A$59:$H$159,8,FALSE)))</f>
        <v/>
      </c>
      <c r="G107" s="46" t="str">
        <f t="shared" si="21"/>
        <v/>
      </c>
      <c r="H107" s="51" t="str">
        <f t="shared" si="22"/>
        <v/>
      </c>
    </row>
    <row r="108" spans="1:8" ht="14.25" customHeight="1" x14ac:dyDescent="0.2">
      <c r="A108" s="649" t="str">
        <f t="shared" si="20"/>
        <v>AAAAAAAAAA</v>
      </c>
      <c r="B108" s="650"/>
      <c r="C108" s="77" t="s">
        <v>9362</v>
      </c>
      <c r="D108" s="77" t="s">
        <v>9362</v>
      </c>
      <c r="E108" s="74" t="str">
        <f>IF($A$98="","",IF(VLOOKUP($A107,Products!$A$59:$H$159,5,FALSE)="","",VLOOKUP($A107,Products!$A$59:$H$159,5,FALSE)))</f>
        <v/>
      </c>
      <c r="F108" s="46" t="str">
        <f>IF($A$98="","",IF(VLOOKUP($A107,Products!$A$59:$H$159,8,FALSE)="","",VLOOKUP($A107,Products!$A$59:$H$159,8,FALSE)))</f>
        <v/>
      </c>
      <c r="G108" s="46" t="str">
        <f t="shared" si="21"/>
        <v/>
      </c>
      <c r="H108" s="51" t="str">
        <f t="shared" si="22"/>
        <v/>
      </c>
    </row>
    <row r="109" spans="1:8" ht="14.25" customHeight="1" x14ac:dyDescent="0.2">
      <c r="A109" s="651"/>
      <c r="B109" s="615"/>
      <c r="C109" s="75"/>
      <c r="D109" s="76"/>
      <c r="E109" s="73" t="s">
        <v>291</v>
      </c>
      <c r="F109" s="46">
        <v>1</v>
      </c>
      <c r="G109" s="40"/>
      <c r="H109" s="47"/>
    </row>
    <row r="110" spans="1:8" x14ac:dyDescent="0.2">
      <c r="A110" s="627" t="str">
        <f>A109&amp;"A"</f>
        <v>A</v>
      </c>
      <c r="B110" s="628"/>
      <c r="C110" s="77" t="s">
        <v>9362</v>
      </c>
      <c r="D110" s="77" t="s">
        <v>9362</v>
      </c>
      <c r="E110" s="74" t="str">
        <f>IF($A$109="","",IF(VLOOKUP($A109,Products!$A$59:$H$159,5,FALSE)="","",VLOOKUP($A109,Products!$A$59:$H$159,5,FALSE)))</f>
        <v/>
      </c>
      <c r="F110" s="46" t="str">
        <f>IF($A$109="","",IF(VLOOKUP($A109,Products!$A$59:$H$159,8,FALSE)="","",VLOOKUP($A109,Products!$A$59:$H$159,8,FALSE)))</f>
        <v/>
      </c>
      <c r="G110" s="46" t="str">
        <f>IF($F110="","",$F110*$G$109)</f>
        <v/>
      </c>
      <c r="H110" s="51" t="str">
        <f>IF($F110="","",$F110*$H$109)</f>
        <v/>
      </c>
    </row>
    <row r="111" spans="1:8" ht="14.25" customHeight="1" x14ac:dyDescent="0.2">
      <c r="A111" s="649" t="str">
        <f t="shared" ref="A111:A119" si="23">A110&amp;"A"</f>
        <v>AA</v>
      </c>
      <c r="B111" s="650"/>
      <c r="C111" s="77" t="s">
        <v>9362</v>
      </c>
      <c r="D111" s="77" t="s">
        <v>9362</v>
      </c>
      <c r="E111" s="74" t="str">
        <f>IF($A$109="","",IF(VLOOKUP($A110,Products!$A$59:$H$159,5,FALSE)="","",VLOOKUP($A110,Products!$A$59:$H$159,5,FALSE)))</f>
        <v/>
      </c>
      <c r="F111" s="46" t="str">
        <f>IF($A$109="","",IF(VLOOKUP($A110,Products!$A$59:$H$159,8,FALSE)="","",VLOOKUP($A110,Products!$A$59:$H$159,8,FALSE)))</f>
        <v/>
      </c>
      <c r="G111" s="46" t="str">
        <f t="shared" ref="G111:G119" si="24">IF($F111="","",$F111*$G$109)</f>
        <v/>
      </c>
      <c r="H111" s="51" t="str">
        <f t="shared" ref="H111:H119" si="25">IF($F111="","",$F111*$H$109)</f>
        <v/>
      </c>
    </row>
    <row r="112" spans="1:8" x14ac:dyDescent="0.2">
      <c r="A112" s="649" t="str">
        <f t="shared" si="23"/>
        <v>AAA</v>
      </c>
      <c r="B112" s="650"/>
      <c r="C112" s="77" t="s">
        <v>9362</v>
      </c>
      <c r="D112" s="77" t="s">
        <v>9362</v>
      </c>
      <c r="E112" s="74" t="str">
        <f>IF($A$109="","",IF(VLOOKUP($A111,Products!$A$59:$H$159,5,FALSE)="","",VLOOKUP($A111,Products!$A$59:$H$159,5,FALSE)))</f>
        <v/>
      </c>
      <c r="F112" s="46" t="str">
        <f>IF($A$109="","",IF(VLOOKUP($A111,Products!$A$59:$H$159,8,FALSE)="","",VLOOKUP($A111,Products!$A$59:$H$159,8,FALSE)))</f>
        <v/>
      </c>
      <c r="G112" s="46" t="str">
        <f t="shared" si="24"/>
        <v/>
      </c>
      <c r="H112" s="51" t="str">
        <f t="shared" si="25"/>
        <v/>
      </c>
    </row>
    <row r="113" spans="1:8" x14ac:dyDescent="0.2">
      <c r="A113" s="649" t="str">
        <f t="shared" si="23"/>
        <v>AAAA</v>
      </c>
      <c r="B113" s="650"/>
      <c r="C113" s="77" t="s">
        <v>9362</v>
      </c>
      <c r="D113" s="77" t="s">
        <v>9362</v>
      </c>
      <c r="E113" s="74" t="str">
        <f>IF($A$109="","",IF(VLOOKUP($A112,Products!$A$59:$H$159,5,FALSE)="","",VLOOKUP($A112,Products!$A$59:$H$159,5,FALSE)))</f>
        <v/>
      </c>
      <c r="F113" s="46" t="str">
        <f>IF($A$109="","",IF(VLOOKUP($A112,Products!$A$59:$H$159,8,FALSE)="","",VLOOKUP($A112,Products!$A$59:$H$159,8,FALSE)))</f>
        <v/>
      </c>
      <c r="G113" s="46" t="str">
        <f t="shared" si="24"/>
        <v/>
      </c>
      <c r="H113" s="51" t="str">
        <f t="shared" si="25"/>
        <v/>
      </c>
    </row>
    <row r="114" spans="1:8" x14ac:dyDescent="0.2">
      <c r="A114" s="649" t="str">
        <f t="shared" si="23"/>
        <v>AAAAA</v>
      </c>
      <c r="B114" s="650"/>
      <c r="C114" s="77" t="s">
        <v>9362</v>
      </c>
      <c r="D114" s="77" t="s">
        <v>9362</v>
      </c>
      <c r="E114" s="74" t="str">
        <f>IF($A$109="","",IF(VLOOKUP($A113,Products!$A$59:$H$159,5,FALSE)="","",VLOOKUP($A113,Products!$A$59:$H$159,5,FALSE)))</f>
        <v/>
      </c>
      <c r="F114" s="46" t="str">
        <f>IF($A$109="","",IF(VLOOKUP($A113,Products!$A$59:$H$159,8,FALSE)="","",VLOOKUP($A113,Products!$A$59:$H$159,8,FALSE)))</f>
        <v/>
      </c>
      <c r="G114" s="46" t="str">
        <f t="shared" si="24"/>
        <v/>
      </c>
      <c r="H114" s="51" t="str">
        <f t="shared" si="25"/>
        <v/>
      </c>
    </row>
    <row r="115" spans="1:8" x14ac:dyDescent="0.2">
      <c r="A115" s="649" t="str">
        <f t="shared" si="23"/>
        <v>AAAAAA</v>
      </c>
      <c r="B115" s="650"/>
      <c r="C115" s="77" t="s">
        <v>9362</v>
      </c>
      <c r="D115" s="77" t="s">
        <v>9362</v>
      </c>
      <c r="E115" s="74" t="str">
        <f>IF($A$109="","",IF(VLOOKUP($A114,Products!$A$59:$H$159,5,FALSE)="","",VLOOKUP($A114,Products!$A$59:$H$159,5,FALSE)))</f>
        <v/>
      </c>
      <c r="F115" s="46" t="str">
        <f>IF($A$109="","",IF(VLOOKUP($A114,Products!$A$59:$H$159,8,FALSE)="","",VLOOKUP($A114,Products!$A$59:$H$159,8,FALSE)))</f>
        <v/>
      </c>
      <c r="G115" s="46" t="str">
        <f t="shared" si="24"/>
        <v/>
      </c>
      <c r="H115" s="51" t="str">
        <f t="shared" si="25"/>
        <v/>
      </c>
    </row>
    <row r="116" spans="1:8" x14ac:dyDescent="0.2">
      <c r="A116" s="649" t="str">
        <f t="shared" si="23"/>
        <v>AAAAAAA</v>
      </c>
      <c r="B116" s="650"/>
      <c r="C116" s="77" t="s">
        <v>9362</v>
      </c>
      <c r="D116" s="77" t="s">
        <v>9362</v>
      </c>
      <c r="E116" s="74" t="str">
        <f>IF($A$109="","",IF(VLOOKUP($A115,Products!$A$59:$H$159,5,FALSE)="","",VLOOKUP($A115,Products!$A$59:$H$159,5,FALSE)))</f>
        <v/>
      </c>
      <c r="F116" s="46" t="str">
        <f>IF($A$109="","",IF(VLOOKUP($A115,Products!$A$59:$H$159,8,FALSE)="","",VLOOKUP($A115,Products!$A$59:$H$159,8,FALSE)))</f>
        <v/>
      </c>
      <c r="G116" s="46" t="str">
        <f t="shared" si="24"/>
        <v/>
      </c>
      <c r="H116" s="51" t="str">
        <f t="shared" si="25"/>
        <v/>
      </c>
    </row>
    <row r="117" spans="1:8" x14ac:dyDescent="0.2">
      <c r="A117" s="649" t="str">
        <f t="shared" si="23"/>
        <v>AAAAAAAA</v>
      </c>
      <c r="B117" s="650"/>
      <c r="C117" s="77" t="s">
        <v>9362</v>
      </c>
      <c r="D117" s="77" t="s">
        <v>9362</v>
      </c>
      <c r="E117" s="74" t="str">
        <f>IF($A$109="","",IF(VLOOKUP($A116,Products!$A$59:$H$159,5,FALSE)="","",VLOOKUP($A116,Products!$A$59:$H$159,5,FALSE)))</f>
        <v/>
      </c>
      <c r="F117" s="46" t="str">
        <f>IF($A$109="","",IF(VLOOKUP($A116,Products!$A$59:$H$159,8,FALSE)="","",VLOOKUP($A116,Products!$A$59:$H$159,8,FALSE)))</f>
        <v/>
      </c>
      <c r="G117" s="46" t="str">
        <f t="shared" si="24"/>
        <v/>
      </c>
      <c r="H117" s="51" t="str">
        <f t="shared" si="25"/>
        <v/>
      </c>
    </row>
    <row r="118" spans="1:8" x14ac:dyDescent="0.2">
      <c r="A118" s="649" t="str">
        <f t="shared" si="23"/>
        <v>AAAAAAAAA</v>
      </c>
      <c r="B118" s="650"/>
      <c r="C118" s="77" t="s">
        <v>9362</v>
      </c>
      <c r="D118" s="77" t="s">
        <v>9362</v>
      </c>
      <c r="E118" s="74" t="str">
        <f>IF($A$109="","",IF(VLOOKUP($A117,Products!$A$59:$H$159,5,FALSE)="","",VLOOKUP($A117,Products!$A$59:$H$159,5,FALSE)))</f>
        <v/>
      </c>
      <c r="F118" s="46" t="str">
        <f>IF($A$109="","",IF(VLOOKUP($A117,Products!$A$59:$H$159,8,FALSE)="","",VLOOKUP($A117,Products!$A$59:$H$159,8,FALSE)))</f>
        <v/>
      </c>
      <c r="G118" s="46" t="str">
        <f>IF($F118="","",$F118*$G$109)</f>
        <v/>
      </c>
      <c r="H118" s="51" t="str">
        <f>IF($F118="","",$F118*$H$109)</f>
        <v/>
      </c>
    </row>
    <row r="119" spans="1:8" x14ac:dyDescent="0.2">
      <c r="A119" s="649" t="str">
        <f t="shared" si="23"/>
        <v>AAAAAAAAAA</v>
      </c>
      <c r="B119" s="650"/>
      <c r="C119" s="77" t="s">
        <v>9362</v>
      </c>
      <c r="D119" s="77" t="s">
        <v>9362</v>
      </c>
      <c r="E119" s="74" t="str">
        <f>IF($A$109="","",IF(VLOOKUP($A118,Products!$A$59:$H$159,5,FALSE)="","",VLOOKUP($A118,Products!$A$59:$H$159,5,FALSE)))</f>
        <v/>
      </c>
      <c r="F119" s="46" t="str">
        <f>IF($A$109="","",IF(VLOOKUP($A118,Products!$A$59:$H$159,8,FALSE)="","",VLOOKUP($A118,Products!$A$59:$H$159,8,FALSE)))</f>
        <v/>
      </c>
      <c r="G119" s="46" t="str">
        <f t="shared" si="24"/>
        <v/>
      </c>
      <c r="H119" s="51" t="str">
        <f t="shared" si="25"/>
        <v/>
      </c>
    </row>
    <row r="120" spans="1:8" ht="14.25" customHeight="1" x14ac:dyDescent="0.2">
      <c r="A120" s="651"/>
      <c r="B120" s="615"/>
      <c r="C120" s="75"/>
      <c r="D120" s="76"/>
      <c r="E120" s="73" t="s">
        <v>291</v>
      </c>
      <c r="F120" s="46">
        <v>1</v>
      </c>
      <c r="G120" s="40"/>
      <c r="H120" s="47"/>
    </row>
    <row r="121" spans="1:8" x14ac:dyDescent="0.2">
      <c r="A121" s="627" t="str">
        <f>A120&amp;"A"</f>
        <v>A</v>
      </c>
      <c r="B121" s="628"/>
      <c r="C121" s="77" t="s">
        <v>9362</v>
      </c>
      <c r="D121" s="77" t="s">
        <v>9362</v>
      </c>
      <c r="E121" s="74" t="str">
        <f>IF($A$120="","",IF(VLOOKUP($A120,Products!$A$59:$H$159,5,FALSE)="","",VLOOKUP($A120,Products!$A$59:$H$159,5,FALSE)))</f>
        <v/>
      </c>
      <c r="F121" s="46" t="str">
        <f>IF($A$120="","",IF(VLOOKUP($A120,Products!$A$59:$H$159,8,FALSE)="","",VLOOKUP($A120,Products!$A$59:$H$159,8,FALSE)))</f>
        <v/>
      </c>
      <c r="G121" s="46" t="str">
        <f>IF($F121="","",$F121*$G$120)</f>
        <v/>
      </c>
      <c r="H121" s="51" t="str">
        <f>IF($F121="","",$F121*$H$120)</f>
        <v/>
      </c>
    </row>
    <row r="122" spans="1:8" x14ac:dyDescent="0.2">
      <c r="A122" s="649" t="str">
        <f t="shared" ref="A122:A130" si="26">A121&amp;"A"</f>
        <v>AA</v>
      </c>
      <c r="B122" s="650"/>
      <c r="C122" s="77" t="s">
        <v>9362</v>
      </c>
      <c r="D122" s="77" t="s">
        <v>9362</v>
      </c>
      <c r="E122" s="74" t="str">
        <f>IF($A$120="","",IF(VLOOKUP($A121,Products!$A$59:$H$159,5,FALSE)="","",VLOOKUP($A121,Products!$A$59:$H$159,5,FALSE)))</f>
        <v/>
      </c>
      <c r="F122" s="46" t="str">
        <f>IF($A$120="","",IF(VLOOKUP($A121,Products!$A$59:$H$159,8,FALSE)="","",VLOOKUP($A121,Products!$A$59:$H$159,8,FALSE)))</f>
        <v/>
      </c>
      <c r="G122" s="46" t="str">
        <f t="shared" ref="G122:G130" si="27">IF($F122="","",$F122*$G$120)</f>
        <v/>
      </c>
      <c r="H122" s="51" t="str">
        <f>IF($F122="","",$F122*$H$120)</f>
        <v/>
      </c>
    </row>
    <row r="123" spans="1:8" x14ac:dyDescent="0.2">
      <c r="A123" s="649" t="str">
        <f t="shared" si="26"/>
        <v>AAA</v>
      </c>
      <c r="B123" s="650"/>
      <c r="C123" s="77" t="s">
        <v>9362</v>
      </c>
      <c r="D123" s="77" t="s">
        <v>9362</v>
      </c>
      <c r="E123" s="74" t="str">
        <f>IF($A$120="","",IF(VLOOKUP($A122,Products!$A$59:$H$159,5,FALSE)="","",VLOOKUP($A122,Products!$A$59:$H$159,5,FALSE)))</f>
        <v/>
      </c>
      <c r="F123" s="46" t="str">
        <f>IF($A$120="","",IF(VLOOKUP($A122,Products!$A$59:$H$159,8,FALSE)="","",VLOOKUP($A122,Products!$A$59:$H$159,8,FALSE)))</f>
        <v/>
      </c>
      <c r="G123" s="46" t="str">
        <f t="shared" si="27"/>
        <v/>
      </c>
      <c r="H123" s="51" t="str">
        <f t="shared" ref="H123:H130" si="28">IF($F123="","",$F123*$H$120)</f>
        <v/>
      </c>
    </row>
    <row r="124" spans="1:8" x14ac:dyDescent="0.2">
      <c r="A124" s="649" t="str">
        <f t="shared" si="26"/>
        <v>AAAA</v>
      </c>
      <c r="B124" s="650"/>
      <c r="C124" s="77" t="s">
        <v>9362</v>
      </c>
      <c r="D124" s="77" t="s">
        <v>9362</v>
      </c>
      <c r="E124" s="74" t="str">
        <f>IF($A$120="","",IF(VLOOKUP($A123,Products!$A$59:$H$159,5,FALSE)="","",VLOOKUP($A123,Products!$A$59:$H$159,5,FALSE)))</f>
        <v/>
      </c>
      <c r="F124" s="46" t="str">
        <f>IF($A$120="","",IF(VLOOKUP($A123,Products!$A$59:$H$159,8,FALSE)="","",VLOOKUP($A123,Products!$A$59:$H$159,8,FALSE)))</f>
        <v/>
      </c>
      <c r="G124" s="46" t="str">
        <f>IF($F124="","",$F124*$G$120)</f>
        <v/>
      </c>
      <c r="H124" s="51" t="str">
        <f>IF($F124="","",$F124*$H$120)</f>
        <v/>
      </c>
    </row>
    <row r="125" spans="1:8" x14ac:dyDescent="0.2">
      <c r="A125" s="649" t="str">
        <f t="shared" si="26"/>
        <v>AAAAA</v>
      </c>
      <c r="B125" s="650"/>
      <c r="C125" s="77" t="s">
        <v>9362</v>
      </c>
      <c r="D125" s="77" t="s">
        <v>9362</v>
      </c>
      <c r="E125" s="74" t="str">
        <f>IF($A$120="","",IF(VLOOKUP($A124,Products!$A$59:$H$159,5,FALSE)="","",VLOOKUP($A124,Products!$A$59:$H$159,5,FALSE)))</f>
        <v/>
      </c>
      <c r="F125" s="46" t="str">
        <f>IF($A$120="","",IF(VLOOKUP($A124,Products!$A$59:$H$159,8,FALSE)="","",VLOOKUP($A124,Products!$A$59:$H$159,8,FALSE)))</f>
        <v/>
      </c>
      <c r="G125" s="46" t="str">
        <f t="shared" si="27"/>
        <v/>
      </c>
      <c r="H125" s="51" t="str">
        <f t="shared" si="28"/>
        <v/>
      </c>
    </row>
    <row r="126" spans="1:8" x14ac:dyDescent="0.2">
      <c r="A126" s="649" t="str">
        <f t="shared" si="26"/>
        <v>AAAAAA</v>
      </c>
      <c r="B126" s="650"/>
      <c r="C126" s="77" t="s">
        <v>9362</v>
      </c>
      <c r="D126" s="77" t="s">
        <v>9362</v>
      </c>
      <c r="E126" s="74" t="str">
        <f>IF($A$120="","",IF(VLOOKUP($A125,Products!$A$59:$H$159,5,FALSE)="","",VLOOKUP($A125,Products!$A$59:$H$159,5,FALSE)))</f>
        <v/>
      </c>
      <c r="F126" s="46" t="str">
        <f>IF($A$120="","",IF(VLOOKUP($A125,Products!$A$59:$H$159,8,FALSE)="","",VLOOKUP($A125,Products!$A$59:$H$159,8,FALSE)))</f>
        <v/>
      </c>
      <c r="G126" s="46" t="str">
        <f t="shared" si="27"/>
        <v/>
      </c>
      <c r="H126" s="51" t="str">
        <f t="shared" si="28"/>
        <v/>
      </c>
    </row>
    <row r="127" spans="1:8" x14ac:dyDescent="0.2">
      <c r="A127" s="649" t="str">
        <f t="shared" si="26"/>
        <v>AAAAAAA</v>
      </c>
      <c r="B127" s="650"/>
      <c r="C127" s="77" t="s">
        <v>9362</v>
      </c>
      <c r="D127" s="77" t="s">
        <v>9362</v>
      </c>
      <c r="E127" s="74" t="str">
        <f>IF($A$120="","",IF(VLOOKUP($A126,Products!$A$59:$H$159,5,FALSE)="","",VLOOKUP($A126,Products!$A$59:$H$159,5,FALSE)))</f>
        <v/>
      </c>
      <c r="F127" s="46" t="str">
        <f>IF($A$120="","",IF(VLOOKUP($A126,Products!$A$59:$H$159,8,FALSE)="","",VLOOKUP($A126,Products!$A$59:$H$159,8,FALSE)))</f>
        <v/>
      </c>
      <c r="G127" s="46" t="str">
        <f t="shared" si="27"/>
        <v/>
      </c>
      <c r="H127" s="51" t="str">
        <f t="shared" si="28"/>
        <v/>
      </c>
    </row>
    <row r="128" spans="1:8" x14ac:dyDescent="0.2">
      <c r="A128" s="649" t="str">
        <f t="shared" si="26"/>
        <v>AAAAAAAA</v>
      </c>
      <c r="B128" s="650"/>
      <c r="C128" s="77" t="s">
        <v>9362</v>
      </c>
      <c r="D128" s="77" t="s">
        <v>9362</v>
      </c>
      <c r="E128" s="74" t="str">
        <f>IF($A$120="","",IF(VLOOKUP($A127,Products!$A$59:$H$159,5,FALSE)="","",VLOOKUP($A127,Products!$A$59:$H$159,5,FALSE)))</f>
        <v/>
      </c>
      <c r="F128" s="46" t="str">
        <f>IF($A$120="","",IF(VLOOKUP($A127,Products!$A$59:$H$159,8,FALSE)="","",VLOOKUP($A127,Products!$A$59:$H$159,8,FALSE)))</f>
        <v/>
      </c>
      <c r="G128" s="46" t="str">
        <f t="shared" si="27"/>
        <v/>
      </c>
      <c r="H128" s="51" t="str">
        <f t="shared" si="28"/>
        <v/>
      </c>
    </row>
    <row r="129" spans="1:8" x14ac:dyDescent="0.2">
      <c r="A129" s="649" t="str">
        <f t="shared" si="26"/>
        <v>AAAAAAAAA</v>
      </c>
      <c r="B129" s="650"/>
      <c r="C129" s="77" t="s">
        <v>9362</v>
      </c>
      <c r="D129" s="77" t="s">
        <v>9362</v>
      </c>
      <c r="E129" s="74" t="str">
        <f>IF($A$120="","",IF(VLOOKUP($A128,Products!$A$59:$H$159,5,FALSE)="","",VLOOKUP($A128,Products!$A$59:$H$159,5,FALSE)))</f>
        <v/>
      </c>
      <c r="F129" s="46" t="str">
        <f>IF($A$120="","",IF(VLOOKUP($A128,Products!$A$59:$H$159,8,FALSE)="","",VLOOKUP($A128,Products!$A$59:$H$159,8,FALSE)))</f>
        <v/>
      </c>
      <c r="G129" s="46" t="str">
        <f>IF($F129="","",$F129*$G$120)</f>
        <v/>
      </c>
      <c r="H129" s="51" t="str">
        <f>IF($F129="","",$F129*$H$120)</f>
        <v/>
      </c>
    </row>
    <row r="130" spans="1:8" x14ac:dyDescent="0.2">
      <c r="A130" s="649" t="str">
        <f t="shared" si="26"/>
        <v>AAAAAAAAAA</v>
      </c>
      <c r="B130" s="650"/>
      <c r="C130" s="77" t="s">
        <v>9362</v>
      </c>
      <c r="D130" s="77" t="s">
        <v>9362</v>
      </c>
      <c r="E130" s="74" t="str">
        <f>IF($A$120="","",IF(VLOOKUP($A129,Products!$A$59:$H$159,5,FALSE)="","",VLOOKUP($A129,Products!$A$59:$H$159,5,FALSE)))</f>
        <v/>
      </c>
      <c r="F130" s="46" t="str">
        <f>IF($A$120="","",IF(VLOOKUP($A129,Products!$A$59:$H$159,8,FALSE)="","",VLOOKUP($A129,Products!$A$59:$H$159,8,FALSE)))</f>
        <v/>
      </c>
      <c r="G130" s="46" t="str">
        <f t="shared" si="27"/>
        <v/>
      </c>
      <c r="H130" s="51" t="str">
        <f t="shared" si="28"/>
        <v/>
      </c>
    </row>
    <row r="131" spans="1:8" ht="14.25" customHeight="1" x14ac:dyDescent="0.2">
      <c r="A131" s="651"/>
      <c r="B131" s="615"/>
      <c r="C131" s="75"/>
      <c r="D131" s="76"/>
      <c r="E131" s="73" t="s">
        <v>291</v>
      </c>
      <c r="F131" s="46">
        <v>1</v>
      </c>
      <c r="G131" s="40"/>
      <c r="H131" s="47"/>
    </row>
    <row r="132" spans="1:8" x14ac:dyDescent="0.2">
      <c r="A132" s="627" t="str">
        <f>A131&amp;"A"</f>
        <v>A</v>
      </c>
      <c r="B132" s="628"/>
      <c r="C132" s="77" t="s">
        <v>9362</v>
      </c>
      <c r="D132" s="77" t="s">
        <v>9362</v>
      </c>
      <c r="E132" s="74" t="str">
        <f>IF($A$131="","",IF(VLOOKUP($A131,Products!$A$59:$H$159,5,FALSE)="","",VLOOKUP($A131,Products!$A$59:$H$159,5,FALSE)))</f>
        <v/>
      </c>
      <c r="F132" s="46" t="str">
        <f>IF($A$131="","",IF(VLOOKUP($A131,Products!$A$59:$H$159,8,FALSE)="","",VLOOKUP($A131,Products!$A$59:$H$159,8,FALSE)))</f>
        <v/>
      </c>
      <c r="G132" s="46" t="str">
        <f>IF($F132="","",$F132*$G$131)</f>
        <v/>
      </c>
      <c r="H132" s="51" t="str">
        <f>IF($F132="","",$F132*$H$131)</f>
        <v/>
      </c>
    </row>
    <row r="133" spans="1:8" x14ac:dyDescent="0.2">
      <c r="A133" s="649" t="str">
        <f t="shared" ref="A133:A141" si="29">A132&amp;"A"</f>
        <v>AA</v>
      </c>
      <c r="B133" s="650"/>
      <c r="C133" s="77" t="s">
        <v>9362</v>
      </c>
      <c r="D133" s="77" t="s">
        <v>9362</v>
      </c>
      <c r="E133" s="74" t="str">
        <f>IF($A$131="","",IF(VLOOKUP($A132,Products!$A$59:$H$159,5,FALSE)="","",VLOOKUP($A132,Products!$A$59:$H$159,5,FALSE)))</f>
        <v/>
      </c>
      <c r="F133" s="46" t="str">
        <f>IF($A$131="","",IF(VLOOKUP($A132,Products!$A$59:$H$159,8,FALSE)="","",VLOOKUP($A132,Products!$A$59:$H$159,8,FALSE)))</f>
        <v/>
      </c>
      <c r="G133" s="46" t="str">
        <f t="shared" ref="G133:G140" si="30">IF($F133="","",$F133*$G$131)</f>
        <v/>
      </c>
      <c r="H133" s="51" t="str">
        <f t="shared" ref="H133:H140" si="31">IF($F133="","",$F133*$H$131)</f>
        <v/>
      </c>
    </row>
    <row r="134" spans="1:8" x14ac:dyDescent="0.2">
      <c r="A134" s="649" t="str">
        <f t="shared" si="29"/>
        <v>AAA</v>
      </c>
      <c r="B134" s="650"/>
      <c r="C134" s="77" t="s">
        <v>9362</v>
      </c>
      <c r="D134" s="77" t="s">
        <v>9362</v>
      </c>
      <c r="E134" s="74" t="str">
        <f>IF($A$131="","",IF(VLOOKUP($A133,Products!$A$59:$H$159,5,FALSE)="","",VLOOKUP($A133,Products!$A$59:$H$159,5,FALSE)))</f>
        <v/>
      </c>
      <c r="F134" s="46" t="str">
        <f>IF($A$131="","",IF(VLOOKUP($A133,Products!$A$59:$H$159,8,FALSE)="","",VLOOKUP($A133,Products!$A$59:$H$159,8,FALSE)))</f>
        <v/>
      </c>
      <c r="G134" s="46" t="str">
        <f t="shared" si="30"/>
        <v/>
      </c>
      <c r="H134" s="51" t="str">
        <f t="shared" si="31"/>
        <v/>
      </c>
    </row>
    <row r="135" spans="1:8" x14ac:dyDescent="0.2">
      <c r="A135" s="649" t="str">
        <f t="shared" si="29"/>
        <v>AAAA</v>
      </c>
      <c r="B135" s="650"/>
      <c r="C135" s="77" t="s">
        <v>9362</v>
      </c>
      <c r="D135" s="77" t="s">
        <v>9362</v>
      </c>
      <c r="E135" s="74" t="str">
        <f>IF($A$131="","",IF(VLOOKUP($A134,Products!$A$59:$H$159,5,FALSE)="","",VLOOKUP($A134,Products!$A$59:$H$159,5,FALSE)))</f>
        <v/>
      </c>
      <c r="F135" s="46" t="str">
        <f>IF($A$131="","",IF(VLOOKUP($A134,Products!$A$59:$H$159,8,FALSE)="","",VLOOKUP($A134,Products!$A$59:$H$159,8,FALSE)))</f>
        <v/>
      </c>
      <c r="G135" s="46" t="str">
        <f t="shared" si="30"/>
        <v/>
      </c>
      <c r="H135" s="51" t="str">
        <f t="shared" si="31"/>
        <v/>
      </c>
    </row>
    <row r="136" spans="1:8" x14ac:dyDescent="0.2">
      <c r="A136" s="649" t="str">
        <f t="shared" si="29"/>
        <v>AAAAA</v>
      </c>
      <c r="B136" s="650"/>
      <c r="C136" s="77" t="s">
        <v>9362</v>
      </c>
      <c r="D136" s="77" t="s">
        <v>9362</v>
      </c>
      <c r="E136" s="74" t="str">
        <f>IF($A$131="","",IF(VLOOKUP($A135,Products!$A$59:$H$159,5,FALSE)="","",VLOOKUP($A135,Products!$A$59:$H$159,5,FALSE)))</f>
        <v/>
      </c>
      <c r="F136" s="46" t="str">
        <f>IF($A$131="","",IF(VLOOKUP($A135,Products!$A$59:$H$159,8,FALSE)="","",VLOOKUP($A135,Products!$A$59:$H$159,8,FALSE)))</f>
        <v/>
      </c>
      <c r="G136" s="46" t="str">
        <f>IF($F136="","",$F136*$G$131)</f>
        <v/>
      </c>
      <c r="H136" s="51" t="str">
        <f>IF($F136="","",$F136*$H$131)</f>
        <v/>
      </c>
    </row>
    <row r="137" spans="1:8" x14ac:dyDescent="0.2">
      <c r="A137" s="649" t="str">
        <f t="shared" si="29"/>
        <v>AAAAAA</v>
      </c>
      <c r="B137" s="650"/>
      <c r="C137" s="77" t="s">
        <v>9362</v>
      </c>
      <c r="D137" s="77" t="s">
        <v>9362</v>
      </c>
      <c r="E137" s="74" t="str">
        <f>IF($A$131="","",IF(VLOOKUP($A136,Products!$A$59:$H$159,5,FALSE)="","",VLOOKUP($A136,Products!$A$59:$H$159,5,FALSE)))</f>
        <v/>
      </c>
      <c r="F137" s="46" t="str">
        <f>IF($A$131="","",IF(VLOOKUP($A136,Products!$A$59:$H$159,8,FALSE)="","",VLOOKUP($A136,Products!$A$59:$H$159,8,FALSE)))</f>
        <v/>
      </c>
      <c r="G137" s="46" t="str">
        <f t="shared" si="30"/>
        <v/>
      </c>
      <c r="H137" s="51" t="str">
        <f t="shared" si="31"/>
        <v/>
      </c>
    </row>
    <row r="138" spans="1:8" x14ac:dyDescent="0.2">
      <c r="A138" s="649" t="str">
        <f t="shared" si="29"/>
        <v>AAAAAAA</v>
      </c>
      <c r="B138" s="650"/>
      <c r="C138" s="77" t="s">
        <v>9362</v>
      </c>
      <c r="D138" s="77" t="s">
        <v>9362</v>
      </c>
      <c r="E138" s="74" t="str">
        <f>IF($A$131="","",IF(VLOOKUP($A137,Products!$A$59:$H$159,5,FALSE)="","",VLOOKUP($A137,Products!$A$59:$H$159,5,FALSE)))</f>
        <v/>
      </c>
      <c r="F138" s="46" t="str">
        <f>IF($A$131="","",IF(VLOOKUP($A137,Products!$A$59:$H$159,8,FALSE)="","",VLOOKUP($A137,Products!$A$59:$H$159,8,FALSE)))</f>
        <v/>
      </c>
      <c r="G138" s="46" t="str">
        <f t="shared" si="30"/>
        <v/>
      </c>
      <c r="H138" s="51" t="str">
        <f t="shared" si="31"/>
        <v/>
      </c>
    </row>
    <row r="139" spans="1:8" x14ac:dyDescent="0.2">
      <c r="A139" s="649" t="str">
        <f t="shared" si="29"/>
        <v>AAAAAAAA</v>
      </c>
      <c r="B139" s="650"/>
      <c r="C139" s="77" t="s">
        <v>9362</v>
      </c>
      <c r="D139" s="77" t="s">
        <v>9362</v>
      </c>
      <c r="E139" s="74" t="str">
        <f>IF($A$131="","",IF(VLOOKUP($A138,Products!$A$59:$H$159,5,FALSE)="","",VLOOKUP($A138,Products!$A$59:$H$159,5,FALSE)))</f>
        <v/>
      </c>
      <c r="F139" s="46" t="str">
        <f>IF($A$131="","",IF(VLOOKUP($A138,Products!$A$59:$H$159,8,FALSE)="","",VLOOKUP($A138,Products!$A$59:$H$159,8,FALSE)))</f>
        <v/>
      </c>
      <c r="G139" s="46" t="str">
        <f t="shared" si="30"/>
        <v/>
      </c>
      <c r="H139" s="51" t="str">
        <f t="shared" si="31"/>
        <v/>
      </c>
    </row>
    <row r="140" spans="1:8" x14ac:dyDescent="0.2">
      <c r="A140" s="649" t="str">
        <f t="shared" si="29"/>
        <v>AAAAAAAAA</v>
      </c>
      <c r="B140" s="650"/>
      <c r="C140" s="77" t="s">
        <v>9362</v>
      </c>
      <c r="D140" s="77" t="s">
        <v>9362</v>
      </c>
      <c r="E140" s="74" t="str">
        <f>IF($A$131="","",IF(VLOOKUP($A139,Products!$A$59:$H$159,5,FALSE)="","",VLOOKUP($A139,Products!$A$59:$H$159,5,FALSE)))</f>
        <v/>
      </c>
      <c r="F140" s="46" t="str">
        <f>IF($A$131="","",IF(VLOOKUP($A139,Products!$A$59:$H$159,8,FALSE)="","",VLOOKUP($A139,Products!$A$59:$H$159,8,FALSE)))</f>
        <v/>
      </c>
      <c r="G140" s="46" t="str">
        <f t="shared" si="30"/>
        <v/>
      </c>
      <c r="H140" s="51" t="str">
        <f t="shared" si="31"/>
        <v/>
      </c>
    </row>
    <row r="141" spans="1:8" ht="15" thickBot="1" x14ac:dyDescent="0.25">
      <c r="A141" s="652" t="str">
        <f t="shared" si="29"/>
        <v>AAAAAAAAAA</v>
      </c>
      <c r="B141" s="653"/>
      <c r="C141" s="78" t="s">
        <v>9362</v>
      </c>
      <c r="D141" s="78" t="s">
        <v>9362</v>
      </c>
      <c r="E141" s="105" t="str">
        <f>IF($A$131="","",IF(VLOOKUP($A140,Products!$A$59:$H$159,5,FALSE)="","",VLOOKUP($A140,Products!$A$59:$H$159,5,FALSE)))</f>
        <v/>
      </c>
      <c r="F141" s="106" t="str">
        <f>IF($A$131="","",IF(VLOOKUP($A140,Products!$A$59:$H$159,8,FALSE)="","",VLOOKUP($A140,Products!$A$59:$H$159,8,FALSE)))</f>
        <v/>
      </c>
      <c r="G141" s="106" t="str">
        <f>IF($F141="","",$F141*$G$131)</f>
        <v/>
      </c>
      <c r="H141" s="107" t="str">
        <f>IF($F141="","",$F141*$H$131)</f>
        <v/>
      </c>
    </row>
    <row r="142" spans="1:8" x14ac:dyDescent="0.2">
      <c r="A142" s="478" t="s">
        <v>130</v>
      </c>
      <c r="B142" s="478"/>
      <c r="C142" s="478"/>
      <c r="D142" s="478"/>
      <c r="E142" s="478"/>
      <c r="F142" s="478"/>
      <c r="G142" s="478"/>
      <c r="H142" s="478"/>
    </row>
  </sheetData>
  <sheetProtection algorithmName="SHA-512" hashValue="gF9CvSt5AjOJN/p15Z3YzYc03xgiZk+ewQD+IBSBHL6huZNbE1QUu5TjUgBpQMZ37VoZLfEhg+JrLy1N5u3OWQ==" saltValue="eMM0eDD96GK111Br1PpRcg==" spinCount="100000" sheet="1" objects="1" scenarios="1" formatColumns="0" formatRows="0"/>
  <mergeCells count="176">
    <mergeCell ref="A7:C7"/>
    <mergeCell ref="D7:H7"/>
    <mergeCell ref="A8:C8"/>
    <mergeCell ref="D8:H8"/>
    <mergeCell ref="A9:C9"/>
    <mergeCell ref="D9:H9"/>
    <mergeCell ref="A1:H1"/>
    <mergeCell ref="A2:H2"/>
    <mergeCell ref="A3:H3"/>
    <mergeCell ref="A4:H4"/>
    <mergeCell ref="A5:H5"/>
    <mergeCell ref="A6:C6"/>
    <mergeCell ref="D6:H6"/>
    <mergeCell ref="A12:H12"/>
    <mergeCell ref="A13:H13"/>
    <mergeCell ref="A14:C14"/>
    <mergeCell ref="D14:E14"/>
    <mergeCell ref="F14:H14"/>
    <mergeCell ref="A22:C22"/>
    <mergeCell ref="D22:E22"/>
    <mergeCell ref="F22:H22"/>
    <mergeCell ref="A10:C10"/>
    <mergeCell ref="D10:H10"/>
    <mergeCell ref="A11:C11"/>
    <mergeCell ref="D11:H11"/>
    <mergeCell ref="A17:C17"/>
    <mergeCell ref="D17:E17"/>
    <mergeCell ref="F17:H17"/>
    <mergeCell ref="A18:C18"/>
    <mergeCell ref="D18:E18"/>
    <mergeCell ref="F18:H18"/>
    <mergeCell ref="A15:C15"/>
    <mergeCell ref="D15:E15"/>
    <mergeCell ref="F15:H15"/>
    <mergeCell ref="A16:C16"/>
    <mergeCell ref="D16:E16"/>
    <mergeCell ref="F16:H16"/>
    <mergeCell ref="A24:C24"/>
    <mergeCell ref="D24:E24"/>
    <mergeCell ref="F24:H24"/>
    <mergeCell ref="A25:C25"/>
    <mergeCell ref="D25:E25"/>
    <mergeCell ref="F25:H25"/>
    <mergeCell ref="A19:C19"/>
    <mergeCell ref="D19:E19"/>
    <mergeCell ref="F19:H19"/>
    <mergeCell ref="A23:C23"/>
    <mergeCell ref="D23:E23"/>
    <mergeCell ref="F23:H23"/>
    <mergeCell ref="A20:C20"/>
    <mergeCell ref="D20:E20"/>
    <mergeCell ref="F20:H20"/>
    <mergeCell ref="A21:C21"/>
    <mergeCell ref="D21:E21"/>
    <mergeCell ref="F21:H21"/>
    <mergeCell ref="A31:B31"/>
    <mergeCell ref="A32:B32"/>
    <mergeCell ref="A26:C26"/>
    <mergeCell ref="D26:E26"/>
    <mergeCell ref="F26:H26"/>
    <mergeCell ref="A27:H27"/>
    <mergeCell ref="A28:H28"/>
    <mergeCell ref="G29:H29"/>
    <mergeCell ref="G30:H30"/>
    <mergeCell ref="A29:F29"/>
    <mergeCell ref="A30:F30"/>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41:B141"/>
    <mergeCell ref="A142:H142"/>
    <mergeCell ref="A135:B135"/>
    <mergeCell ref="A136:B136"/>
    <mergeCell ref="A137:B137"/>
    <mergeCell ref="A138:B138"/>
    <mergeCell ref="A139:B139"/>
    <mergeCell ref="A140:B140"/>
    <mergeCell ref="A129:B129"/>
    <mergeCell ref="A130:B130"/>
    <mergeCell ref="A131:B131"/>
    <mergeCell ref="A132:B132"/>
    <mergeCell ref="A133:B133"/>
    <mergeCell ref="A134:B134"/>
  </mergeCells>
  <conditionalFormatting sqref="A20:C21">
    <cfRule type="expression" dxfId="273" priority="3">
      <formula>$D$6="affected"</formula>
    </cfRule>
  </conditionalFormatting>
  <conditionalFormatting sqref="A10:H141">
    <cfRule type="expression" dxfId="270" priority="7">
      <formula>$D$6="affected"</formula>
    </cfRule>
  </conditionalFormatting>
  <conditionalFormatting sqref="A23:H24">
    <cfRule type="expression" dxfId="269" priority="11">
      <formula>OR($D$18="vertical fixed roof",$D$18="horizontal fixed roof")</formula>
    </cfRule>
  </conditionalFormatting>
  <conditionalFormatting sqref="D20:E20">
    <cfRule type="expression" dxfId="268" priority="2">
      <formula>AND($D$20&gt;=11,COUNTIF($D$18,"*floating*")&gt;0)</formula>
    </cfRule>
  </conditionalFormatting>
  <conditionalFormatting sqref="D22:E22">
    <cfRule type="expression" dxfId="266" priority="1">
      <formula>COUNTIF($F$22,"*revise*")&gt;0</formula>
    </cfRule>
  </conditionalFormatting>
  <dataValidations count="23">
    <dataValidation type="list" allowBlank="1" showErrorMessage="1" prompt="select product name" sqref="A32:B32 A43:B43 A54:B54 A65:B65 A76:B76 A87:B87 A98:B98 A109:B109 A120:B120 A131:B131" xr:uid="{A1B0B0D9-0A3A-44B2-9F8C-8CC59DD0BB7C}">
      <formula1>ProdList</formula1>
    </dataValidation>
    <dataValidation type="list" allowBlank="1" showErrorMessage="1" prompt="select one" sqref="D6:H6" xr:uid="{2EA8D693-5306-4CDE-8C47-344BD1245EA4}">
      <formula1>"Affected,Modified,New"</formula1>
    </dataValidation>
    <dataValidation allowBlank="1" showErrorMessage="1" prompt="enter fin" sqref="D7:H7" xr:uid="{0B8657B0-1477-48C1-A9E2-67B784466FD6}"/>
    <dataValidation allowBlank="1" showErrorMessage="1" prompt="enter epn" sqref="D8:H8" xr:uid="{DB330A82-A75E-448D-ABCC-0EB14DFB4C52}"/>
    <dataValidation allowBlank="1" showErrorMessage="1" prompt="enter source name" sqref="D9:H9" xr:uid="{D5D5E1AB-C4ED-4378-92DB-93EA254BB156}"/>
    <dataValidation allowBlank="1" showErrorMessage="1" prompt="enter easting coordinate in meters" sqref="D10:H10" xr:uid="{CDC971AE-4E46-4A71-A9EE-C7DAD0523601}"/>
    <dataValidation allowBlank="1" showErrorMessage="1" prompt="enter northing coordinate in meters" sqref="D11:H11" xr:uid="{533988A1-303C-43DA-A58E-B8C7901CBCEC}"/>
    <dataValidation type="decimal" operator="greaterThanOrEqual" allowBlank="1" showErrorMessage="1" prompt="enter release height (ft)" sqref="D16:E16" xr:uid="{EF91B21F-5E7F-415F-BD7D-F1532295E6BA}">
      <formula1>3</formula1>
    </dataValidation>
    <dataValidation type="decimal" operator="greaterThanOrEqual" allowBlank="1" showErrorMessage="1" prompt="enter distance to property line in feet" sqref="D15:E15" xr:uid="{005C7271-310B-426F-8A4A-58874FE25E2E}">
      <formula1>25</formula1>
    </dataValidation>
    <dataValidation type="list" allowBlank="1" showErrorMessage="1" prompt="select one" sqref="D18:E18" xr:uid="{FB9FBA7A-CA3A-47AF-91D4-D86E3C47F902}">
      <formula1>"vertical fixed roof,horizontal fixed roof,internal floating roof,external floating roof"</formula1>
    </dataValidation>
    <dataValidation type="list" allowBlank="1" showErrorMessage="1" prompt="select a seal type" sqref="D23:E23" xr:uid="{CF37D393-32D4-4A43-A445-F47263AF7985}">
      <formula1>IF(OR($D$18="vertical fixed roof",$D$18="horizontal fixed roof"),Pfixed,IF($D$18="internal floating roof",PIFR,PEFR))</formula1>
    </dataValidation>
    <dataValidation type="decimal" operator="lessThanOrEqual" allowBlank="1" showErrorMessage="1" prompt="True vapor pressure at maximum liquid surface temperature (psia)" sqref="D20:E20" xr:uid="{326F1CC3-2908-49A5-9EE8-1D6945E1CDBE}">
      <formula1>IF(COUNTIF($D$18,"*floating*")&gt;0,10.99999,IF(COUNTIF($D$18,"*fixed*"),10000,""))</formula1>
    </dataValidation>
    <dataValidation type="decimal" operator="lessThanOrEqual" allowBlank="1" showErrorMessage="1" error="The minimum can't exceed the maximum." prompt="True vapor pressure at minimum liquid surface temperature (psia)" sqref="D21:E21" xr:uid="{E00E4E60-B63A-4505-A83D-F2958F302FF9}">
      <formula1>D20</formula1>
    </dataValidation>
    <dataValidation type="list" allowBlank="1" showErrorMessage="1" prompt="select one" sqref="D25:E26" xr:uid="{A3BA5741-B46F-452F-BA76-B679139855D3}">
      <formula1>"Yes,No"</formula1>
    </dataValidation>
    <dataValidation allowBlank="1" showErrorMessage="1" prompt="enter the Proposed annual emission increase (tpy)" sqref="H32 H43 H54 H65 H76 H87 H98 H109 H120 H131" xr:uid="{E4A3A41F-B6ED-4661-999F-426C5C2826FD}"/>
    <dataValidation allowBlank="1" showErrorMessage="1" prompt="enter the capacity" sqref="D19:E19" xr:uid="{A774506B-22DA-46B8-9C2C-44B1B7FD05FD}"/>
    <dataValidation type="list" allowBlank="1" showInputMessage="1" showErrorMessage="1" prompt="select the tank type" sqref="D19:E19" xr:uid="{25BE245E-E695-4DB3-A402-EAD75FAA3FFC}">
      <formula1>"vertical fixed roof,horizontal fixed roof,internal floating roof,external floating roof"</formula1>
    </dataValidation>
    <dataValidation type="list" allowBlank="1" showErrorMessage="1" prompt="select a seal type" sqref="D24:E24" xr:uid="{A1B30296-51DD-466E-BA97-8823F7C4CF52}">
      <formula1>IF(OR($D$18="vertical fixed roof",$D$18="horizontal fixed roof"),Pfixed,IF($D$18="external floating roof",SEFR,IF(AND($D$18="internal floating roof",$D$23="vapor-mounted"),SIFRv,SIFRml)))</formula1>
    </dataValidation>
    <dataValidation type="list" allowBlank="1" showErrorMessage="1" prompt="select one" sqref="D22:E22" xr:uid="{66FBC72A-BF9E-4542-950B-33ED176BFDEE}">
      <formula1>IF(COUNTIF($D$18,"*fixed*"),IF($D$20&gt;=11,TnkLoad_Ctrl_req,IF(OR($D$19&lt;25000,$D$20&lt;0.5),TnkLoad_Ctrl_notreq,TnkLoad_Ctrl_req)),TnkLoad_Ctrl_notreq)</formula1>
    </dataValidation>
    <dataValidation allowBlank="1" showErrorMessage="1" prompt="enter the Proposed hourly throughput increase (bbl/hr)" sqref="C131 C120 C109 C98 C87 C76 C65 C54 C32 C43" xr:uid="{471F0998-A64B-47E2-9FFF-06AC35850583}"/>
    <dataValidation allowBlank="1" showErrorMessage="1" prompt="enter the Proposed annual throughput increase tons per year" sqref="D32 D43 D54 D65 D76 D87 D98 D109 D120 D131" xr:uid="{D33D03CE-2706-486F-8AA9-1318E6A028FB}"/>
    <dataValidation allowBlank="1" showErrorMessage="1" prompt="enter the Proposed hourly emission increase (lb/hr)" sqref="G131 G120 G109 G98 G87 G76 G65 G54 G43 G32" xr:uid="{08361CF5-7A54-4DA8-9F15-328C92FEECB9}"/>
    <dataValidation type="list" allowBlank="1" showErrorMessage="1" prompt="select one" sqref="G29:H29 G30:H30" xr:uid="{60296CD4-7A38-43D0-ACA6-0FCA478F8352}">
      <formula1>"I agree."</formula1>
    </dataValidation>
  </dataValidations>
  <printOptions horizontalCentered="1"/>
  <pageMargins left="0.7" right="0.7" top="0.75" bottom="0.75" header="0.3" footer="0.3"/>
  <pageSetup scale="89" orientation="landscape" r:id="rId1"/>
  <headerFooter>
    <oddHeader>&amp;C&amp;"Calibri,Regular"Marine Loading RAP Application</oddHeader>
    <oddFooter>&amp;L&amp;"Calibri,Regular"Version 1.0&amp;C&amp;"Calibri,Regular"Sheet: &amp;A&amp;R&amp;"Calibri,Regular"Page &amp;P</oddFooter>
  </headerFooter>
  <extLst>
    <ext xmlns:x14="http://schemas.microsoft.com/office/spreadsheetml/2009/9/main" uri="{78C0D931-6437-407d-A8EE-F0AAD7539E65}">
      <x14:conditionalFormattings>
        <x14:conditionalFormatting xmlns:xm="http://schemas.microsoft.com/office/excel/2006/main">
          <x14:cfRule type="expression" priority="4" id="{3A03A61C-416F-4205-842E-35C2FA7B8FB3}">
            <xm:f>AND('PI-1-MarineLoading'!$G$115&lt;&gt;"",'PI-1-MarineLoading'!$G$115&lt;&gt;1,'PI-1-MarineLoading'!$G$115&lt;&gt;2,'PI-1-MarineLoading'!$G$115&lt;&gt;3,'PI-1-MarineLoading'!$G$115&lt;&gt;4,'PI-1-MarineLoading'!$G$115&lt;&gt;5)</xm:f>
            <x14:dxf>
              <numFmt numFmtId="164" formatCode=";;;"/>
              <fill>
                <patternFill>
                  <bgColor theme="0" tint="-0.499984740745262"/>
                </patternFill>
              </fill>
            </x14:dxf>
          </x14:cfRule>
          <xm:sqref>A20:C21</xm:sqref>
        </x14:conditionalFormatting>
        <x14:conditionalFormatting xmlns:xm="http://schemas.microsoft.com/office/excel/2006/main">
          <x14:cfRule type="expression" priority="5" id="{6F45DFA8-2B7E-4211-B870-01CBD611BCA4}">
            <xm:f>AND('PI-1-MarineLoading'!$G$115&lt;3,'PI-1-MarineLoading'!$G$115&lt;&gt;"")</xm:f>
            <x14:dxf>
              <numFmt numFmtId="164" formatCode=";;;"/>
              <fill>
                <patternFill>
                  <bgColor theme="0" tint="-0.499984740745262"/>
                </patternFill>
              </fill>
            </x14:dxf>
          </x14:cfRule>
          <xm:sqref>A2:H141</xm:sqref>
        </x14:conditionalFormatting>
        <x14:conditionalFormatting xmlns:xm="http://schemas.microsoft.com/office/excel/2006/main">
          <x14:cfRule type="expression" priority="6" id="{42DB0600-00D7-445A-AB09-A4E6ECB3567D}">
            <xm:f>$D$20&lt;MAX(IFERROR(VLOOKUP($A$32,Products!$A$59:$C$158,3,FALSE),0),IFERROR(VLOOKUP($A$43,Products!$A$59:$C$158,3,FALSE),0),IFERROR(VLOOKUP($A$54,Products!$A$59:$C$158,3,FALSE),0),IFERROR(VLOOKUP($A$65,Products!$A$59:$C$158,3,FALSE),0),IFERROR(VLOOKUP($A$76,Products!$A$59:$C$158,3,FALSE),0),IFERROR(VLOOKUP($A$87,Products!$A$59:$C$158,3,FALSE),0),IFERROR(VLOOKUP($A$98,Products!$A$59:$C$158,3,FALSE),0),IFERROR(VLOOKUP($A$109,Products!$A$59:$C$158,3,FALSE),0),IFERROR(VLOOKUP($A$120,Products!$A$59:$C$158,3,FALSE),0),IFERROR(VLOOKUP($A$131,Products!$A$59:$C$158,3,FALSE),0))</xm:f>
            <x14:dxf>
              <fill>
                <patternFill>
                  <bgColor rgb="FFEBB8B7"/>
                </patternFill>
              </fill>
            </x14:dxf>
          </x14:cfRule>
          <xm:sqref>D20:E20</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036DD4-F703-42F7-8966-D63B4E68B6AB}">
  <sheetPr codeName="Sheet8">
    <tabColor rgb="FFFFFFCC"/>
  </sheetPr>
  <dimension ref="A1:J142"/>
  <sheetViews>
    <sheetView showGridLines="0" zoomScaleNormal="100" workbookViewId="0">
      <selection sqref="A1:H1"/>
    </sheetView>
  </sheetViews>
  <sheetFormatPr defaultColWidth="0" defaultRowHeight="14.25" zeroHeight="1" x14ac:dyDescent="0.2"/>
  <cols>
    <col min="1" max="4" width="14.75" customWidth="1"/>
    <col min="5" max="5" width="25.125" customWidth="1"/>
    <col min="6" max="8" width="13.25" customWidth="1"/>
    <col min="9" max="9" width="2.625" customWidth="1"/>
    <col min="10" max="16384" width="9" hidden="1"/>
  </cols>
  <sheetData>
    <row r="1" spans="1:8" ht="8.25" customHeight="1" x14ac:dyDescent="0.2">
      <c r="A1" s="686" t="s">
        <v>0</v>
      </c>
      <c r="B1" s="686"/>
      <c r="C1" s="686"/>
      <c r="D1" s="686"/>
      <c r="E1" s="686"/>
      <c r="F1" s="686"/>
      <c r="G1" s="686"/>
      <c r="H1" s="686"/>
    </row>
    <row r="2" spans="1:8" ht="18.75" thickBot="1" x14ac:dyDescent="0.25">
      <c r="A2" s="687" t="s">
        <v>325</v>
      </c>
      <c r="B2" s="687"/>
      <c r="C2" s="687"/>
      <c r="D2" s="687"/>
      <c r="E2" s="687"/>
      <c r="F2" s="687"/>
      <c r="G2" s="687"/>
      <c r="H2" s="687"/>
    </row>
    <row r="3" spans="1:8" ht="216" customHeight="1" thickBot="1" x14ac:dyDescent="0.25">
      <c r="A3" s="523" t="s">
        <v>9771</v>
      </c>
      <c r="B3" s="602"/>
      <c r="C3" s="602"/>
      <c r="D3" s="602"/>
      <c r="E3" s="602"/>
      <c r="F3" s="602"/>
      <c r="G3" s="602"/>
      <c r="H3" s="524"/>
    </row>
    <row r="4" spans="1:8" ht="15" thickBot="1" x14ac:dyDescent="0.25">
      <c r="A4" s="478" t="s">
        <v>1</v>
      </c>
      <c r="B4" s="478"/>
      <c r="C4" s="478"/>
      <c r="D4" s="478"/>
      <c r="E4" s="478"/>
      <c r="F4" s="478"/>
      <c r="G4" s="478"/>
      <c r="H4" s="478"/>
    </row>
    <row r="5" spans="1:8" ht="15.75" thickBot="1" x14ac:dyDescent="0.25">
      <c r="A5" s="479" t="s">
        <v>133</v>
      </c>
      <c r="B5" s="479"/>
      <c r="C5" s="479"/>
      <c r="D5" s="479"/>
      <c r="E5" s="479"/>
      <c r="F5" s="479"/>
      <c r="G5" s="479"/>
      <c r="H5" s="479"/>
    </row>
    <row r="6" spans="1:8" x14ac:dyDescent="0.2">
      <c r="A6" s="528" t="s">
        <v>166</v>
      </c>
      <c r="B6" s="529"/>
      <c r="C6" s="529"/>
      <c r="D6" s="579"/>
      <c r="E6" s="579"/>
      <c r="F6" s="579"/>
      <c r="G6" s="579"/>
      <c r="H6" s="580"/>
    </row>
    <row r="7" spans="1:8" x14ac:dyDescent="0.2">
      <c r="A7" s="528" t="s">
        <v>167</v>
      </c>
      <c r="B7" s="529"/>
      <c r="C7" s="529"/>
      <c r="D7" s="579"/>
      <c r="E7" s="579"/>
      <c r="F7" s="579"/>
      <c r="G7" s="579"/>
      <c r="H7" s="580"/>
    </row>
    <row r="8" spans="1:8" x14ac:dyDescent="0.2">
      <c r="A8" s="528" t="s">
        <v>168</v>
      </c>
      <c r="B8" s="529"/>
      <c r="C8" s="529"/>
      <c r="D8" s="579"/>
      <c r="E8" s="579"/>
      <c r="F8" s="579"/>
      <c r="G8" s="579"/>
      <c r="H8" s="580"/>
    </row>
    <row r="9" spans="1:8" x14ac:dyDescent="0.2">
      <c r="A9" s="528" t="s">
        <v>169</v>
      </c>
      <c r="B9" s="529"/>
      <c r="C9" s="529"/>
      <c r="D9" s="579"/>
      <c r="E9" s="579"/>
      <c r="F9" s="579"/>
      <c r="G9" s="579"/>
      <c r="H9" s="580"/>
    </row>
    <row r="10" spans="1:8" x14ac:dyDescent="0.2">
      <c r="A10" s="528" t="s">
        <v>170</v>
      </c>
      <c r="B10" s="529"/>
      <c r="C10" s="529"/>
      <c r="D10" s="579"/>
      <c r="E10" s="579"/>
      <c r="F10" s="579"/>
      <c r="G10" s="579"/>
      <c r="H10" s="580"/>
    </row>
    <row r="11" spans="1:8" ht="15" thickBot="1" x14ac:dyDescent="0.25">
      <c r="A11" s="548" t="s">
        <v>171</v>
      </c>
      <c r="B11" s="549"/>
      <c r="C11" s="549"/>
      <c r="D11" s="577"/>
      <c r="E11" s="577"/>
      <c r="F11" s="577"/>
      <c r="G11" s="577"/>
      <c r="H11" s="578"/>
    </row>
    <row r="12" spans="1:8" ht="15" thickBot="1" x14ac:dyDescent="0.25">
      <c r="A12" s="478" t="s">
        <v>1</v>
      </c>
      <c r="B12" s="478"/>
      <c r="C12" s="478"/>
      <c r="D12" s="478"/>
      <c r="E12" s="478"/>
      <c r="F12" s="478"/>
      <c r="G12" s="478"/>
      <c r="H12" s="478"/>
    </row>
    <row r="13" spans="1:8" ht="15.75" thickBot="1" x14ac:dyDescent="0.25">
      <c r="A13" s="479" t="s">
        <v>9166</v>
      </c>
      <c r="B13" s="479"/>
      <c r="C13" s="479"/>
      <c r="D13" s="479"/>
      <c r="E13" s="479"/>
      <c r="F13" s="479"/>
      <c r="G13" s="479"/>
      <c r="H13" s="479"/>
    </row>
    <row r="14" spans="1:8" ht="15" x14ac:dyDescent="0.2">
      <c r="A14" s="506" t="s">
        <v>9167</v>
      </c>
      <c r="B14" s="507"/>
      <c r="C14" s="507"/>
      <c r="D14" s="663" t="s">
        <v>172</v>
      </c>
      <c r="E14" s="663"/>
      <c r="F14" s="664" t="s">
        <v>8723</v>
      </c>
      <c r="G14" s="664"/>
      <c r="H14" s="665"/>
    </row>
    <row r="15" spans="1:8" ht="14.25" customHeight="1" x14ac:dyDescent="0.2">
      <c r="A15" s="528" t="s">
        <v>176</v>
      </c>
      <c r="B15" s="529"/>
      <c r="C15" s="529"/>
      <c r="D15" s="579"/>
      <c r="E15" s="579"/>
      <c r="F15" s="672" t="s">
        <v>9155</v>
      </c>
      <c r="G15" s="672"/>
      <c r="H15" s="673"/>
    </row>
    <row r="16" spans="1:8" ht="15" customHeight="1" thickBot="1" x14ac:dyDescent="0.25">
      <c r="A16" s="548" t="s">
        <v>177</v>
      </c>
      <c r="B16" s="549"/>
      <c r="C16" s="549"/>
      <c r="D16" s="577"/>
      <c r="E16" s="577"/>
      <c r="F16" s="674" t="s">
        <v>9156</v>
      </c>
      <c r="G16" s="674"/>
      <c r="H16" s="675"/>
    </row>
    <row r="17" spans="1:10" ht="15" x14ac:dyDescent="0.2">
      <c r="A17" s="506" t="s">
        <v>9168</v>
      </c>
      <c r="B17" s="507"/>
      <c r="C17" s="507"/>
      <c r="D17" s="663" t="s">
        <v>172</v>
      </c>
      <c r="E17" s="663"/>
      <c r="F17" s="664" t="s">
        <v>8723</v>
      </c>
      <c r="G17" s="664"/>
      <c r="H17" s="665"/>
    </row>
    <row r="18" spans="1:10" ht="14.25" customHeight="1" x14ac:dyDescent="0.2">
      <c r="A18" s="528" t="s">
        <v>173</v>
      </c>
      <c r="B18" s="529"/>
      <c r="C18" s="529"/>
      <c r="D18" s="579"/>
      <c r="E18" s="579"/>
      <c r="F18" s="658" t="s">
        <v>9361</v>
      </c>
      <c r="G18" s="658"/>
      <c r="H18" s="659"/>
    </row>
    <row r="19" spans="1:10" ht="14.25" customHeight="1" x14ac:dyDescent="0.2">
      <c r="A19" s="528" t="s">
        <v>10823</v>
      </c>
      <c r="B19" s="529"/>
      <c r="C19" s="529"/>
      <c r="D19" s="579"/>
      <c r="E19" s="579"/>
      <c r="F19" s="658" t="s">
        <v>9361</v>
      </c>
      <c r="G19" s="658"/>
      <c r="H19" s="659"/>
    </row>
    <row r="20" spans="1:10" ht="45.75" customHeight="1" x14ac:dyDescent="0.2">
      <c r="A20" s="530" t="s">
        <v>10817</v>
      </c>
      <c r="B20" s="531"/>
      <c r="C20" s="531"/>
      <c r="D20" s="662"/>
      <c r="E20" s="662"/>
      <c r="F20" s="656" t="str">
        <f t="shared" ref="F20" si="0">IF(OR($D$18="",$D$19=""),"",IF(COUNTIF($D$18,"*floating*")&gt;0,"less than 11.0 psia",IF(COUNTIF($D$18,"*fixed*"),IF($D$19&lt;25000,"less than 11.0 psia if uncontrolled; no maximum if controlled","less than 0.5 psia if uncontrolled; no maximum if controlled"))))</f>
        <v/>
      </c>
      <c r="G20" s="656"/>
      <c r="H20" s="657"/>
    </row>
    <row r="21" spans="1:10" ht="45.75" customHeight="1" x14ac:dyDescent="0.2">
      <c r="A21" s="530" t="s">
        <v>10818</v>
      </c>
      <c r="B21" s="531"/>
      <c r="C21" s="531"/>
      <c r="D21" s="579"/>
      <c r="E21" s="579"/>
      <c r="F21" s="658" t="s">
        <v>9361</v>
      </c>
      <c r="G21" s="658"/>
      <c r="H21" s="659"/>
    </row>
    <row r="22" spans="1:10" ht="45.75" customHeight="1" x14ac:dyDescent="0.2">
      <c r="A22" s="528" t="s">
        <v>175</v>
      </c>
      <c r="B22" s="529"/>
      <c r="C22" s="529"/>
      <c r="D22" s="678"/>
      <c r="E22" s="678"/>
      <c r="F22" s="466" t="str">
        <f t="shared" ref="F22" si="1">IF($D$18="","",IF(COUNTIF($D$18,"*fixed*"),IF($D$20&gt;=11,"control required",IF(OR($D$19&lt;25000,$D$20&lt;0.5),"control not required","control required")),IF($D$20&lt;11,"control not required","regardless of control storage of products in a floating roof tank with TVP equal to or greater than 11.0 psia is not allowed, revise row 18 and/or 20")))</f>
        <v/>
      </c>
      <c r="G22" s="466"/>
      <c r="H22" s="466"/>
      <c r="I22" s="89"/>
    </row>
    <row r="23" spans="1:10" ht="50.25" customHeight="1" x14ac:dyDescent="0.2">
      <c r="A23" s="528" t="s">
        <v>8688</v>
      </c>
      <c r="B23" s="529"/>
      <c r="C23" s="529"/>
      <c r="D23" s="579"/>
      <c r="E23" s="579"/>
      <c r="F23" s="656" t="str">
        <f>IF(OR($D$18="horizontal fixed roof",$D$18="vertical fixed roof"),"",IF($D$18="external floating roof","mechanical or liquid-mounted",IF($D$18="internal floating roof","mechanical or liquid-mounted primary seal OR vapor-mounted primary seal with secondary seal","")))</f>
        <v/>
      </c>
      <c r="G23" s="656"/>
      <c r="H23" s="657"/>
    </row>
    <row r="24" spans="1:10" ht="60" customHeight="1" x14ac:dyDescent="0.2">
      <c r="A24" s="528" t="s">
        <v>8689</v>
      </c>
      <c r="B24" s="529"/>
      <c r="C24" s="529"/>
      <c r="D24" s="579"/>
      <c r="E24" s="579"/>
      <c r="F24" s="656" t="str">
        <f>IF(OR($D$18="horizontal fixed roof",$D$18="vertical fixed roof"),"",IF($D$18="external floating roof","rim-mounted",IF(AND($D$18="internal floating roof",$D$23="vapor-mounted"),"rim-mounted","")))</f>
        <v/>
      </c>
      <c r="G24" s="656"/>
      <c r="H24" s="657"/>
    </row>
    <row r="25" spans="1:10" ht="14.25" customHeight="1" x14ac:dyDescent="0.2">
      <c r="A25" s="528" t="s">
        <v>174</v>
      </c>
      <c r="B25" s="529"/>
      <c r="C25" s="529"/>
      <c r="D25" s="579"/>
      <c r="E25" s="579"/>
      <c r="F25" s="658" t="s">
        <v>9361</v>
      </c>
      <c r="G25" s="658"/>
      <c r="H25" s="659"/>
    </row>
    <row r="26" spans="1:10" ht="31.5" customHeight="1" thickBot="1" x14ac:dyDescent="0.25">
      <c r="A26" s="483" t="s">
        <v>9534</v>
      </c>
      <c r="B26" s="484"/>
      <c r="C26" s="484"/>
      <c r="D26" s="577"/>
      <c r="E26" s="577"/>
      <c r="F26" s="660" t="s">
        <v>9361</v>
      </c>
      <c r="G26" s="660"/>
      <c r="H26" s="661"/>
    </row>
    <row r="27" spans="1:10" ht="15" thickBot="1" x14ac:dyDescent="0.25">
      <c r="A27" s="478" t="s">
        <v>1</v>
      </c>
      <c r="B27" s="478"/>
      <c r="C27" s="478"/>
      <c r="D27" s="478"/>
      <c r="E27" s="478"/>
      <c r="F27" s="478"/>
      <c r="G27" s="478"/>
      <c r="H27" s="478"/>
    </row>
    <row r="28" spans="1:10" ht="15.75" thickBot="1" x14ac:dyDescent="0.25">
      <c r="A28" s="474" t="s">
        <v>9165</v>
      </c>
      <c r="B28" s="474"/>
      <c r="C28" s="474"/>
      <c r="D28" s="474"/>
      <c r="E28" s="474"/>
      <c r="F28" s="474"/>
      <c r="G28" s="474"/>
      <c r="H28" s="474"/>
    </row>
    <row r="29" spans="1:10" ht="45.75" customHeight="1" x14ac:dyDescent="0.2">
      <c r="A29" s="681" t="s">
        <v>344</v>
      </c>
      <c r="B29" s="682"/>
      <c r="C29" s="682"/>
      <c r="D29" s="682"/>
      <c r="E29" s="682"/>
      <c r="F29" s="682"/>
      <c r="G29" s="679"/>
      <c r="H29" s="680"/>
    </row>
    <row r="30" spans="1:10" ht="45.75" customHeight="1" thickBot="1" x14ac:dyDescent="0.25">
      <c r="A30" s="683" t="s">
        <v>345</v>
      </c>
      <c r="B30" s="684"/>
      <c r="C30" s="684"/>
      <c r="D30" s="684"/>
      <c r="E30" s="684"/>
      <c r="F30" s="684"/>
      <c r="G30" s="577"/>
      <c r="H30" s="578"/>
    </row>
    <row r="31" spans="1:10" ht="81.75" customHeight="1" x14ac:dyDescent="0.2">
      <c r="A31" s="654" t="s">
        <v>9179</v>
      </c>
      <c r="B31" s="655"/>
      <c r="C31" s="171" t="str">
        <f>IF($D$6="modified","Proposed increase in hourly throughput (bbl/hr)","Proposed hourly throughput (bbl/hr)")</f>
        <v>Proposed hourly throughput (bbl/hr)</v>
      </c>
      <c r="D31" s="316" t="str">
        <f>IF($D$6="modified","Proposed increase in annual throughput (bbl/yr)","Proposed annual throughput (bbl/yr)")</f>
        <v>Proposed annual throughput (bbl/yr)</v>
      </c>
      <c r="E31" s="398" t="s">
        <v>8751</v>
      </c>
      <c r="F31" s="399" t="s">
        <v>9180</v>
      </c>
      <c r="G31" s="399" t="str">
        <f>IF($D$6="modified","Proposed increase in hourly emissions (lb/hr)","Proposed hourly emissions (lb/hr)")</f>
        <v>Proposed hourly emissions (lb/hr)</v>
      </c>
      <c r="H31" s="400" t="str">
        <f>IF($D$6="modified","Proposed increase in annual emissions (tpy)","Proposed annual emissions (tpy)")</f>
        <v>Proposed annual emissions (tpy)</v>
      </c>
      <c r="J31" s="123"/>
    </row>
    <row r="32" spans="1:10" x14ac:dyDescent="0.2">
      <c r="A32" s="685"/>
      <c r="B32" s="579"/>
      <c r="C32" s="75"/>
      <c r="D32" s="76"/>
      <c r="E32" s="73" t="s">
        <v>291</v>
      </c>
      <c r="F32" s="46">
        <v>1</v>
      </c>
      <c r="G32" s="40"/>
      <c r="H32" s="47"/>
    </row>
    <row r="33" spans="1:8" x14ac:dyDescent="0.2">
      <c r="A33" s="627" t="str">
        <f>A32&amp;"A"</f>
        <v>A</v>
      </c>
      <c r="B33" s="628"/>
      <c r="C33" s="77" t="s">
        <v>9362</v>
      </c>
      <c r="D33" s="77" t="s">
        <v>9362</v>
      </c>
      <c r="E33" s="74" t="str">
        <f>IF($A$32="","",IF(VLOOKUP($A32,Products!$A$59:$H$159,5,FALSE)="","",VLOOKUP($A32,Products!$A$59:$H$159,5,FALSE)))</f>
        <v/>
      </c>
      <c r="F33" s="46" t="str">
        <f>IF($A$32="","",IF(VLOOKUP($A32,Products!$A$59:$H$159,8,FALSE)="","",VLOOKUP($A32,Products!$A$59:$H$159,8,FALSE)))</f>
        <v/>
      </c>
      <c r="G33" s="46" t="str">
        <f>IF($F33="","",$F33*$G$32)</f>
        <v/>
      </c>
      <c r="H33" s="51" t="str">
        <f>IF($F33="","",$F33*$H$32)</f>
        <v/>
      </c>
    </row>
    <row r="34" spans="1:8" x14ac:dyDescent="0.2">
      <c r="A34" s="649" t="str">
        <f t="shared" ref="A34:A42" si="2">A33&amp;"A"</f>
        <v>AA</v>
      </c>
      <c r="B34" s="650"/>
      <c r="C34" s="77" t="s">
        <v>9362</v>
      </c>
      <c r="D34" s="77" t="s">
        <v>9362</v>
      </c>
      <c r="E34" s="74" t="str">
        <f>IF($A$32="","",IF(VLOOKUP($A33,Products!$A$59:$H$159,5,FALSE)="","",VLOOKUP($A33,Products!$A$59:$H$159,5,FALSE)))</f>
        <v/>
      </c>
      <c r="F34" s="46" t="str">
        <f>IF($A$32="","",IF(VLOOKUP($A33,Products!$A$59:$H$159,8,FALSE)="","",VLOOKUP($A33,Products!$A$59:$H$159,8,FALSE)))</f>
        <v/>
      </c>
      <c r="G34" s="46" t="str">
        <f t="shared" ref="G34:G42" si="3">IF($F34="","",$F34*$G$32)</f>
        <v/>
      </c>
      <c r="H34" s="51" t="str">
        <f t="shared" ref="H34:H42" si="4">IF($F34="","",$F34*$H$32)</f>
        <v/>
      </c>
    </row>
    <row r="35" spans="1:8" x14ac:dyDescent="0.2">
      <c r="A35" s="649" t="str">
        <f t="shared" si="2"/>
        <v>AAA</v>
      </c>
      <c r="B35" s="650"/>
      <c r="C35" s="77" t="s">
        <v>9362</v>
      </c>
      <c r="D35" s="77" t="s">
        <v>9362</v>
      </c>
      <c r="E35" s="74" t="str">
        <f>IF($A$32="","",IF(VLOOKUP($A34,Products!$A$59:$H$159,5,FALSE)="","",VLOOKUP($A34,Products!$A$59:$H$159,5,FALSE)))</f>
        <v/>
      </c>
      <c r="F35" s="46" t="str">
        <f>IF($A$32="","",IF(VLOOKUP($A34,Products!$A$59:$H$159,8,FALSE)="","",VLOOKUP($A34,Products!$A$59:$H$159,8,FALSE)))</f>
        <v/>
      </c>
      <c r="G35" s="46" t="str">
        <f>IF($F35="","",$F35*$G$32)</f>
        <v/>
      </c>
      <c r="H35" s="51" t="str">
        <f t="shared" si="4"/>
        <v/>
      </c>
    </row>
    <row r="36" spans="1:8" x14ac:dyDescent="0.2">
      <c r="A36" s="649" t="str">
        <f t="shared" si="2"/>
        <v>AAAA</v>
      </c>
      <c r="B36" s="650"/>
      <c r="C36" s="77" t="s">
        <v>9362</v>
      </c>
      <c r="D36" s="77" t="s">
        <v>9362</v>
      </c>
      <c r="E36" s="74" t="str">
        <f>IF($A$32="","",IF(VLOOKUP($A35,Products!$A$59:$H$159,5,FALSE)="","",VLOOKUP($A35,Products!$A$59:$H$159,5,FALSE)))</f>
        <v/>
      </c>
      <c r="F36" s="46" t="str">
        <f>IF($A$32="","",IF(VLOOKUP($A35,Products!$A$59:$H$159,8,FALSE)="","",VLOOKUP($A35,Products!$A$59:$H$159,8,FALSE)))</f>
        <v/>
      </c>
      <c r="G36" s="46" t="str">
        <f t="shared" si="3"/>
        <v/>
      </c>
      <c r="H36" s="51" t="str">
        <f t="shared" si="4"/>
        <v/>
      </c>
    </row>
    <row r="37" spans="1:8" ht="14.25" customHeight="1" x14ac:dyDescent="0.2">
      <c r="A37" s="649" t="str">
        <f t="shared" si="2"/>
        <v>AAAAA</v>
      </c>
      <c r="B37" s="650"/>
      <c r="C37" s="77" t="s">
        <v>9362</v>
      </c>
      <c r="D37" s="77" t="s">
        <v>9362</v>
      </c>
      <c r="E37" s="74" t="str">
        <f>IF($A$32="","",IF(VLOOKUP($A36,Products!$A$59:$H$159,5,FALSE)="","",VLOOKUP($A36,Products!$A$59:$H$159,5,FALSE)))</f>
        <v/>
      </c>
      <c r="F37" s="46" t="str">
        <f>IF($A$32="","",IF(VLOOKUP($A36,Products!$A$59:$H$159,8,FALSE)="","",VLOOKUP($A36,Products!$A$59:$H$159,8,FALSE)))</f>
        <v/>
      </c>
      <c r="G37" s="46" t="str">
        <f t="shared" si="3"/>
        <v/>
      </c>
      <c r="H37" s="51" t="str">
        <f t="shared" si="4"/>
        <v/>
      </c>
    </row>
    <row r="38" spans="1:8" ht="14.25" customHeight="1" x14ac:dyDescent="0.2">
      <c r="A38" s="649" t="str">
        <f t="shared" si="2"/>
        <v>AAAAAA</v>
      </c>
      <c r="B38" s="650"/>
      <c r="C38" s="77" t="s">
        <v>9362</v>
      </c>
      <c r="D38" s="77" t="s">
        <v>9362</v>
      </c>
      <c r="E38" s="74" t="str">
        <f>IF($A$32="","",IF(VLOOKUP($A37,Products!$A$59:$H$159,5,FALSE)="","",VLOOKUP($A37,Products!$A$59:$H$159,5,FALSE)))</f>
        <v/>
      </c>
      <c r="F38" s="46" t="str">
        <f>IF($A$32="","",IF(VLOOKUP($A37,Products!$A$59:$H$159,8,FALSE)="","",VLOOKUP($A37,Products!$A$59:$H$159,8,FALSE)))</f>
        <v/>
      </c>
      <c r="G38" s="46" t="str">
        <f t="shared" si="3"/>
        <v/>
      </c>
      <c r="H38" s="51" t="str">
        <f t="shared" si="4"/>
        <v/>
      </c>
    </row>
    <row r="39" spans="1:8" ht="14.25" customHeight="1" x14ac:dyDescent="0.2">
      <c r="A39" s="649" t="str">
        <f t="shared" si="2"/>
        <v>AAAAAAA</v>
      </c>
      <c r="B39" s="650"/>
      <c r="C39" s="77" t="s">
        <v>9362</v>
      </c>
      <c r="D39" s="77" t="s">
        <v>9362</v>
      </c>
      <c r="E39" s="74" t="str">
        <f>IF($A$32="","",IF(VLOOKUP($A38,Products!$A$59:$H$159,5,FALSE)="","",VLOOKUP($A38,Products!$A$59:$H$159,5,FALSE)))</f>
        <v/>
      </c>
      <c r="F39" s="46" t="str">
        <f>IF($A$32="","",IF(VLOOKUP($A38,Products!$A$59:$H$159,8,FALSE)="","",VLOOKUP($A38,Products!$A$59:$H$159,8,FALSE)))</f>
        <v/>
      </c>
      <c r="G39" s="46" t="str">
        <f t="shared" si="3"/>
        <v/>
      </c>
      <c r="H39" s="51" t="str">
        <f t="shared" si="4"/>
        <v/>
      </c>
    </row>
    <row r="40" spans="1:8" ht="14.25" customHeight="1" x14ac:dyDescent="0.2">
      <c r="A40" s="649" t="str">
        <f t="shared" si="2"/>
        <v>AAAAAAAA</v>
      </c>
      <c r="B40" s="650"/>
      <c r="C40" s="77" t="s">
        <v>9362</v>
      </c>
      <c r="D40" s="77" t="s">
        <v>9362</v>
      </c>
      <c r="E40" s="74" t="str">
        <f>IF($A$32="","",IF(VLOOKUP($A39,Products!$A$59:$H$159,5,FALSE)="","",VLOOKUP($A39,Products!$A$59:$H$159,5,FALSE)))</f>
        <v/>
      </c>
      <c r="F40" s="46" t="str">
        <f>IF($A$32="","",IF(VLOOKUP($A39,Products!$A$59:$H$159,8,FALSE)="","",VLOOKUP($A39,Products!$A$59:$H$159,8,FALSE)))</f>
        <v/>
      </c>
      <c r="G40" s="46" t="str">
        <f t="shared" si="3"/>
        <v/>
      </c>
      <c r="H40" s="51" t="str">
        <f t="shared" si="4"/>
        <v/>
      </c>
    </row>
    <row r="41" spans="1:8" ht="14.25" customHeight="1" x14ac:dyDescent="0.2">
      <c r="A41" s="649" t="str">
        <f t="shared" si="2"/>
        <v>AAAAAAAAA</v>
      </c>
      <c r="B41" s="650"/>
      <c r="C41" s="77" t="s">
        <v>9362</v>
      </c>
      <c r="D41" s="77" t="s">
        <v>9362</v>
      </c>
      <c r="E41" s="74" t="str">
        <f>IF($A$32="","",IF(VLOOKUP($A40,Products!$A$59:$H$159,5,FALSE)="","",VLOOKUP($A40,Products!$A$59:$H$159,5,FALSE)))</f>
        <v/>
      </c>
      <c r="F41" s="46" t="str">
        <f>IF($A$32="","",IF(VLOOKUP($A40,Products!$A$59:$H$159,8,FALSE)="","",VLOOKUP($A40,Products!$A$59:$H$159,8,FALSE)))</f>
        <v/>
      </c>
      <c r="G41" s="46" t="str">
        <f t="shared" si="3"/>
        <v/>
      </c>
      <c r="H41" s="51" t="str">
        <f t="shared" si="4"/>
        <v/>
      </c>
    </row>
    <row r="42" spans="1:8" ht="14.25" customHeight="1" x14ac:dyDescent="0.2">
      <c r="A42" s="649" t="str">
        <f t="shared" si="2"/>
        <v>AAAAAAAAAA</v>
      </c>
      <c r="B42" s="650"/>
      <c r="C42" s="77" t="s">
        <v>9362</v>
      </c>
      <c r="D42" s="77" t="s">
        <v>9362</v>
      </c>
      <c r="E42" s="74" t="str">
        <f>IF($A$32="","",IF(VLOOKUP($A41,Products!$A$59:$H$159,5,FALSE)="","",VLOOKUP($A41,Products!$A$59:$H$159,5,FALSE)))</f>
        <v/>
      </c>
      <c r="F42" s="46" t="str">
        <f>IF($A$32="","",IF(VLOOKUP($A41,Products!$A$59:$H$159,8,FALSE)="","",VLOOKUP($A41,Products!$A$59:$H$159,8,FALSE)))</f>
        <v/>
      </c>
      <c r="G42" s="46" t="str">
        <f t="shared" si="3"/>
        <v/>
      </c>
      <c r="H42" s="51" t="str">
        <f t="shared" si="4"/>
        <v/>
      </c>
    </row>
    <row r="43" spans="1:8" ht="14.25" customHeight="1" x14ac:dyDescent="0.2">
      <c r="A43" s="685"/>
      <c r="B43" s="579"/>
      <c r="C43" s="75"/>
      <c r="D43" s="76"/>
      <c r="E43" s="73" t="s">
        <v>291</v>
      </c>
      <c r="F43" s="46">
        <v>1</v>
      </c>
      <c r="G43" s="40"/>
      <c r="H43" s="47"/>
    </row>
    <row r="44" spans="1:8" x14ac:dyDescent="0.2">
      <c r="A44" s="627" t="str">
        <f>A43&amp;"A"</f>
        <v>A</v>
      </c>
      <c r="B44" s="628"/>
      <c r="C44" s="77" t="s">
        <v>9362</v>
      </c>
      <c r="D44" s="77" t="s">
        <v>9362</v>
      </c>
      <c r="E44" s="74" t="str">
        <f>IF($A$43="","",IF(VLOOKUP($A43,Products!$A$59:$H$159,5,FALSE)="","",VLOOKUP($A43,Products!$A$59:$H$159,5,FALSE)))</f>
        <v/>
      </c>
      <c r="F44" s="46" t="str">
        <f>IF($A$43="","",IF(VLOOKUP($A43,Products!$A$59:$H$159,8,FALSE)="","",VLOOKUP($A43,Products!$A$59:$H$159,8,FALSE)))</f>
        <v/>
      </c>
      <c r="G44" s="46" t="str">
        <f>IF($F44="","",$F44*$G$43)</f>
        <v/>
      </c>
      <c r="H44" s="51" t="str">
        <f>IF($F44="","",$F44*$H$43)</f>
        <v/>
      </c>
    </row>
    <row r="45" spans="1:8" x14ac:dyDescent="0.2">
      <c r="A45" s="649" t="str">
        <f t="shared" ref="A45:A53" si="5">A44&amp;"A"</f>
        <v>AA</v>
      </c>
      <c r="B45" s="650"/>
      <c r="C45" s="77" t="s">
        <v>9362</v>
      </c>
      <c r="D45" s="77" t="s">
        <v>9362</v>
      </c>
      <c r="E45" s="74" t="str">
        <f>IF($A$43="","",IF(VLOOKUP($A44,Products!$A$59:$H$159,5,FALSE)="","",VLOOKUP($A44,Products!$A$59:$H$159,5,FALSE)))</f>
        <v/>
      </c>
      <c r="F45" s="46" t="str">
        <f>IF($A$43="","",IF(VLOOKUP($A44,Products!$A$59:$H$159,8,FALSE)="","",VLOOKUP($A44,Products!$A$59:$H$159,8,FALSE)))</f>
        <v/>
      </c>
      <c r="G45" s="46" t="str">
        <f t="shared" ref="G45:G53" si="6">IF($F45="","",$F45*$G$43)</f>
        <v/>
      </c>
      <c r="H45" s="51" t="str">
        <f t="shared" ref="H45:H53" si="7">IF($F45="","",$F45*$H$43)</f>
        <v/>
      </c>
    </row>
    <row r="46" spans="1:8" x14ac:dyDescent="0.2">
      <c r="A46" s="649" t="str">
        <f t="shared" si="5"/>
        <v>AAA</v>
      </c>
      <c r="B46" s="650"/>
      <c r="C46" s="77" t="s">
        <v>9362</v>
      </c>
      <c r="D46" s="77" t="s">
        <v>9362</v>
      </c>
      <c r="E46" s="74" t="str">
        <f>IF($A$43="","",IF(VLOOKUP($A45,Products!$A$59:$H$159,5,FALSE)="","",VLOOKUP($A45,Products!$A$59:$H$159,5,FALSE)))</f>
        <v/>
      </c>
      <c r="F46" s="46" t="str">
        <f>IF($A$43="","",IF(VLOOKUP($A45,Products!$A$59:$H$159,8,FALSE)="","",VLOOKUP($A45,Products!$A$59:$H$159,8,FALSE)))</f>
        <v/>
      </c>
      <c r="G46" s="46" t="str">
        <f t="shared" si="6"/>
        <v/>
      </c>
      <c r="H46" s="51" t="str">
        <f t="shared" si="7"/>
        <v/>
      </c>
    </row>
    <row r="47" spans="1:8" x14ac:dyDescent="0.2">
      <c r="A47" s="649" t="str">
        <f t="shared" si="5"/>
        <v>AAAA</v>
      </c>
      <c r="B47" s="650"/>
      <c r="C47" s="77" t="s">
        <v>9362</v>
      </c>
      <c r="D47" s="77" t="s">
        <v>9362</v>
      </c>
      <c r="E47" s="74" t="str">
        <f>IF($A$43="","",IF(VLOOKUP($A46,Products!$A$59:$H$159,5,FALSE)="","",VLOOKUP($A46,Products!$A$59:$H$159,5,FALSE)))</f>
        <v/>
      </c>
      <c r="F47" s="46" t="str">
        <f>IF($A$43="","",IF(VLOOKUP($A46,Products!$A$59:$H$159,8,FALSE)="","",VLOOKUP($A46,Products!$A$59:$H$159,8,FALSE)))</f>
        <v/>
      </c>
      <c r="G47" s="46" t="str">
        <f t="shared" si="6"/>
        <v/>
      </c>
      <c r="H47" s="51" t="str">
        <f t="shared" si="7"/>
        <v/>
      </c>
    </row>
    <row r="48" spans="1:8" x14ac:dyDescent="0.2">
      <c r="A48" s="649" t="str">
        <f t="shared" si="5"/>
        <v>AAAAA</v>
      </c>
      <c r="B48" s="650"/>
      <c r="C48" s="77" t="s">
        <v>9362</v>
      </c>
      <c r="D48" s="77" t="s">
        <v>9362</v>
      </c>
      <c r="E48" s="74" t="str">
        <f>IF($A$43="","",IF(VLOOKUP($A47,Products!$A$59:$H$159,5,FALSE)="","",VLOOKUP($A47,Products!$A$59:$H$159,5,FALSE)))</f>
        <v/>
      </c>
      <c r="F48" s="46" t="str">
        <f>IF($A$43="","",IF(VLOOKUP($A47,Products!$A$59:$H$159,8,FALSE)="","",VLOOKUP($A47,Products!$A$59:$H$159,8,FALSE)))</f>
        <v/>
      </c>
      <c r="G48" s="46" t="str">
        <f t="shared" si="6"/>
        <v/>
      </c>
      <c r="H48" s="51" t="str">
        <f t="shared" si="7"/>
        <v/>
      </c>
    </row>
    <row r="49" spans="1:8" x14ac:dyDescent="0.2">
      <c r="A49" s="649" t="str">
        <f t="shared" si="5"/>
        <v>AAAAAA</v>
      </c>
      <c r="B49" s="650"/>
      <c r="C49" s="77" t="s">
        <v>9362</v>
      </c>
      <c r="D49" s="77" t="s">
        <v>9362</v>
      </c>
      <c r="E49" s="74" t="str">
        <f>IF($A$43="","",IF(VLOOKUP($A48,Products!$A$59:$H$159,5,FALSE)="","",VLOOKUP($A48,Products!$A$59:$H$159,5,FALSE)))</f>
        <v/>
      </c>
      <c r="F49" s="46" t="str">
        <f>IF($A$43="","",IF(VLOOKUP($A48,Products!$A$59:$H$159,8,FALSE)="","",VLOOKUP($A48,Products!$A$59:$H$159,8,FALSE)))</f>
        <v/>
      </c>
      <c r="G49" s="46" t="str">
        <f>IF($F49="","",$F49*$G$43)</f>
        <v/>
      </c>
      <c r="H49" s="51" t="str">
        <f>IF($F49="","",$F49*$H$43)</f>
        <v/>
      </c>
    </row>
    <row r="50" spans="1:8" x14ac:dyDescent="0.2">
      <c r="A50" s="649" t="str">
        <f t="shared" si="5"/>
        <v>AAAAAAA</v>
      </c>
      <c r="B50" s="650"/>
      <c r="C50" s="77" t="s">
        <v>9362</v>
      </c>
      <c r="D50" s="77" t="s">
        <v>9362</v>
      </c>
      <c r="E50" s="74" t="str">
        <f>IF($A$43="","",IF(VLOOKUP($A49,Products!$A$59:$H$159,5,FALSE)="","",VLOOKUP($A49,Products!$A$59:$H$159,5,FALSE)))</f>
        <v/>
      </c>
      <c r="F50" s="46" t="str">
        <f>IF($A$43="","",IF(VLOOKUP($A49,Products!$A$59:$H$159,8,FALSE)="","",VLOOKUP($A49,Products!$A$59:$H$159,8,FALSE)))</f>
        <v/>
      </c>
      <c r="G50" s="46" t="str">
        <f t="shared" si="6"/>
        <v/>
      </c>
      <c r="H50" s="51" t="str">
        <f t="shared" si="7"/>
        <v/>
      </c>
    </row>
    <row r="51" spans="1:8" x14ac:dyDescent="0.2">
      <c r="A51" s="649" t="str">
        <f t="shared" si="5"/>
        <v>AAAAAAAA</v>
      </c>
      <c r="B51" s="650"/>
      <c r="C51" s="77" t="s">
        <v>9362</v>
      </c>
      <c r="D51" s="77" t="s">
        <v>9362</v>
      </c>
      <c r="E51" s="74" t="str">
        <f>IF($A$43="","",IF(VLOOKUP($A50,Products!$A$59:$H$159,5,FALSE)="","",VLOOKUP($A50,Products!$A$59:$H$159,5,FALSE)))</f>
        <v/>
      </c>
      <c r="F51" s="46" t="str">
        <f>IF($A$43="","",IF(VLOOKUP($A50,Products!$A$59:$H$159,8,FALSE)="","",VLOOKUP($A50,Products!$A$59:$H$159,8,FALSE)))</f>
        <v/>
      </c>
      <c r="G51" s="46" t="str">
        <f t="shared" si="6"/>
        <v/>
      </c>
      <c r="H51" s="51" t="str">
        <f t="shared" si="7"/>
        <v/>
      </c>
    </row>
    <row r="52" spans="1:8" x14ac:dyDescent="0.2">
      <c r="A52" s="649" t="str">
        <f t="shared" si="5"/>
        <v>AAAAAAAAA</v>
      </c>
      <c r="B52" s="650"/>
      <c r="C52" s="77" t="s">
        <v>9362</v>
      </c>
      <c r="D52" s="77" t="s">
        <v>9362</v>
      </c>
      <c r="E52" s="74" t="str">
        <f>IF($A$43="","",IF(VLOOKUP($A51,Products!$A$59:$H$159,5,FALSE)="","",VLOOKUP($A51,Products!$A$59:$H$159,5,FALSE)))</f>
        <v/>
      </c>
      <c r="F52" s="46" t="str">
        <f>IF($A$43="","",IF(VLOOKUP($A51,Products!$A$59:$H$159,8,FALSE)="","",VLOOKUP($A51,Products!$A$59:$H$159,8,FALSE)))</f>
        <v/>
      </c>
      <c r="G52" s="46" t="str">
        <f t="shared" si="6"/>
        <v/>
      </c>
      <c r="H52" s="51" t="str">
        <f t="shared" si="7"/>
        <v/>
      </c>
    </row>
    <row r="53" spans="1:8" x14ac:dyDescent="0.2">
      <c r="A53" s="649" t="str">
        <f t="shared" si="5"/>
        <v>AAAAAAAAAA</v>
      </c>
      <c r="B53" s="650"/>
      <c r="C53" s="77" t="s">
        <v>9362</v>
      </c>
      <c r="D53" s="77" t="s">
        <v>9362</v>
      </c>
      <c r="E53" s="74" t="str">
        <f>IF($A$43="","",IF(VLOOKUP($A52,Products!$A$59:$H$159,5,FALSE)="","",VLOOKUP($A52,Products!$A$59:$H$159,5,FALSE)))</f>
        <v/>
      </c>
      <c r="F53" s="46" t="str">
        <f>IF($A$43="","",IF(VLOOKUP($A52,Products!$A$59:$H$159,8,FALSE)="","",VLOOKUP($A52,Products!$A$59:$H$159,8,FALSE)))</f>
        <v/>
      </c>
      <c r="G53" s="46" t="str">
        <f t="shared" si="6"/>
        <v/>
      </c>
      <c r="H53" s="51" t="str">
        <f t="shared" si="7"/>
        <v/>
      </c>
    </row>
    <row r="54" spans="1:8" ht="14.25" customHeight="1" x14ac:dyDescent="0.2">
      <c r="A54" s="685"/>
      <c r="B54" s="579"/>
      <c r="C54" s="75"/>
      <c r="D54" s="76"/>
      <c r="E54" s="73" t="s">
        <v>291</v>
      </c>
      <c r="F54" s="46">
        <v>1</v>
      </c>
      <c r="G54" s="40"/>
      <c r="H54" s="47"/>
    </row>
    <row r="55" spans="1:8" x14ac:dyDescent="0.2">
      <c r="A55" s="627" t="str">
        <f>A54&amp;"A"</f>
        <v>A</v>
      </c>
      <c r="B55" s="628"/>
      <c r="C55" s="77" t="s">
        <v>9362</v>
      </c>
      <c r="D55" s="77" t="s">
        <v>9362</v>
      </c>
      <c r="E55" s="74" t="str">
        <f>IF($A$54="","",IF(VLOOKUP($A54,Products!$A$59:$H$159,5,FALSE)="","",VLOOKUP($A54,Products!$A$59:$H$159,5,FALSE)))</f>
        <v/>
      </c>
      <c r="F55" s="46" t="str">
        <f>IF($A$54="","",IF(VLOOKUP($A54,Products!$A$59:$H$159,8,FALSE)="","",VLOOKUP($A54,Products!$A$59:$H$159,8,FALSE)))</f>
        <v/>
      </c>
      <c r="G55" s="46" t="str">
        <f>IF($F55="","",$F55*$G$54)</f>
        <v/>
      </c>
      <c r="H55" s="51" t="str">
        <f>IF($F55="","",$F55*$H$54)</f>
        <v/>
      </c>
    </row>
    <row r="56" spans="1:8" x14ac:dyDescent="0.2">
      <c r="A56" s="649" t="str">
        <f t="shared" ref="A56:A64" si="8">A55&amp;"A"</f>
        <v>AA</v>
      </c>
      <c r="B56" s="650"/>
      <c r="C56" s="77" t="s">
        <v>9362</v>
      </c>
      <c r="D56" s="77" t="s">
        <v>9362</v>
      </c>
      <c r="E56" s="74" t="str">
        <f>IF($A$54="","",IF(VLOOKUP($A55,Products!$A$59:$H$159,5,FALSE)="","",VLOOKUP($A55,Products!$A$59:$H$159,5,FALSE)))</f>
        <v/>
      </c>
      <c r="F56" s="46" t="str">
        <f>IF($A$54="","",IF(VLOOKUP($A55,Products!$A$59:$H$159,8,FALSE)="","",VLOOKUP($A55,Products!$A$59:$H$159,8,FALSE)))</f>
        <v/>
      </c>
      <c r="G56" s="46" t="str">
        <f t="shared" ref="G56:G64" si="9">IF($F56="","",$F56*$G$54)</f>
        <v/>
      </c>
      <c r="H56" s="51" t="str">
        <f t="shared" ref="H56:H64" si="10">IF($F56="","",$F56*$H$54)</f>
        <v/>
      </c>
    </row>
    <row r="57" spans="1:8" x14ac:dyDescent="0.2">
      <c r="A57" s="649" t="str">
        <f t="shared" si="8"/>
        <v>AAA</v>
      </c>
      <c r="B57" s="650"/>
      <c r="C57" s="77" t="s">
        <v>9362</v>
      </c>
      <c r="D57" s="77" t="s">
        <v>9362</v>
      </c>
      <c r="E57" s="74" t="str">
        <f>IF($A$54="","",IF(VLOOKUP($A56,Products!$A$59:$H$159,5,FALSE)="","",VLOOKUP($A56,Products!$A$59:$H$159,5,FALSE)))</f>
        <v/>
      </c>
      <c r="F57" s="46" t="str">
        <f>IF($A$54="","",IF(VLOOKUP($A56,Products!$A$59:$H$159,8,FALSE)="","",VLOOKUP($A56,Products!$A$59:$H$159,8,FALSE)))</f>
        <v/>
      </c>
      <c r="G57" s="46" t="str">
        <f t="shared" si="9"/>
        <v/>
      </c>
      <c r="H57" s="51" t="str">
        <f t="shared" si="10"/>
        <v/>
      </c>
    </row>
    <row r="58" spans="1:8" x14ac:dyDescent="0.2">
      <c r="A58" s="649" t="str">
        <f t="shared" si="8"/>
        <v>AAAA</v>
      </c>
      <c r="B58" s="650"/>
      <c r="C58" s="77" t="s">
        <v>9362</v>
      </c>
      <c r="D58" s="77" t="s">
        <v>9362</v>
      </c>
      <c r="E58" s="74" t="str">
        <f>IF($A$54="","",IF(VLOOKUP($A57,Products!$A$59:$H$159,5,FALSE)="","",VLOOKUP($A57,Products!$A$59:$H$159,5,FALSE)))</f>
        <v/>
      </c>
      <c r="F58" s="46" t="str">
        <f>IF($A$54="","",IF(VLOOKUP($A57,Products!$A$59:$H$159,8,FALSE)="","",VLOOKUP($A57,Products!$A$59:$H$159,8,FALSE)))</f>
        <v/>
      </c>
      <c r="G58" s="46" t="str">
        <f>IF($F58="","",$F58*$G$54)</f>
        <v/>
      </c>
      <c r="H58" s="51" t="str">
        <f t="shared" si="10"/>
        <v/>
      </c>
    </row>
    <row r="59" spans="1:8" x14ac:dyDescent="0.2">
      <c r="A59" s="649" t="str">
        <f t="shared" si="8"/>
        <v>AAAAA</v>
      </c>
      <c r="B59" s="650"/>
      <c r="C59" s="77" t="s">
        <v>9362</v>
      </c>
      <c r="D59" s="77" t="s">
        <v>9362</v>
      </c>
      <c r="E59" s="74" t="str">
        <f>IF($A$54="","",IF(VLOOKUP($A58,Products!$A$59:$H$159,5,FALSE)="","",VLOOKUP($A58,Products!$A$59:$H$159,5,FALSE)))</f>
        <v/>
      </c>
      <c r="F59" s="46" t="str">
        <f>IF($A$54="","",IF(VLOOKUP($A58,Products!$A$59:$H$159,8,FALSE)="","",VLOOKUP($A58,Products!$A$59:$H$159,8,FALSE)))</f>
        <v/>
      </c>
      <c r="G59" s="46" t="str">
        <f t="shared" si="9"/>
        <v/>
      </c>
      <c r="H59" s="51" t="str">
        <f t="shared" si="10"/>
        <v/>
      </c>
    </row>
    <row r="60" spans="1:8" x14ac:dyDescent="0.2">
      <c r="A60" s="649" t="str">
        <f t="shared" si="8"/>
        <v>AAAAAA</v>
      </c>
      <c r="B60" s="650"/>
      <c r="C60" s="77" t="s">
        <v>9362</v>
      </c>
      <c r="D60" s="77" t="s">
        <v>9362</v>
      </c>
      <c r="E60" s="74" t="str">
        <f>IF($A$54="","",IF(VLOOKUP($A59,Products!$A$59:$H$159,5,FALSE)="","",VLOOKUP($A59,Products!$A$59:$H$159,5,FALSE)))</f>
        <v/>
      </c>
      <c r="F60" s="46" t="str">
        <f>IF($A$54="","",IF(VLOOKUP($A59,Products!$A$59:$H$159,8,FALSE)="","",VLOOKUP($A59,Products!$A$59:$H$159,8,FALSE)))</f>
        <v/>
      </c>
      <c r="G60" s="46" t="str">
        <f t="shared" si="9"/>
        <v/>
      </c>
      <c r="H60" s="51" t="str">
        <f t="shared" si="10"/>
        <v/>
      </c>
    </row>
    <row r="61" spans="1:8" x14ac:dyDescent="0.2">
      <c r="A61" s="649" t="str">
        <f t="shared" si="8"/>
        <v>AAAAAAA</v>
      </c>
      <c r="B61" s="650"/>
      <c r="C61" s="77" t="s">
        <v>9362</v>
      </c>
      <c r="D61" s="77" t="s">
        <v>9362</v>
      </c>
      <c r="E61" s="74" t="str">
        <f>IF($A$54="","",IF(VLOOKUP($A60,Products!$A$59:$H$159,5,FALSE)="","",VLOOKUP($A60,Products!$A$59:$H$159,5,FALSE)))</f>
        <v/>
      </c>
      <c r="F61" s="46" t="str">
        <f>IF($A$54="","",IF(VLOOKUP($A60,Products!$A$59:$H$159,8,FALSE)="","",VLOOKUP($A60,Products!$A$59:$H$159,8,FALSE)))</f>
        <v/>
      </c>
      <c r="G61" s="46" t="str">
        <f t="shared" si="9"/>
        <v/>
      </c>
      <c r="H61" s="51" t="str">
        <f t="shared" si="10"/>
        <v/>
      </c>
    </row>
    <row r="62" spans="1:8" ht="14.25" customHeight="1" x14ac:dyDescent="0.2">
      <c r="A62" s="649" t="str">
        <f t="shared" si="8"/>
        <v>AAAAAAAA</v>
      </c>
      <c r="B62" s="650"/>
      <c r="C62" s="77" t="s">
        <v>9362</v>
      </c>
      <c r="D62" s="77" t="s">
        <v>9362</v>
      </c>
      <c r="E62" s="74" t="str">
        <f>IF($A$54="","",IF(VLOOKUP($A61,Products!$A$59:$H$159,5,FALSE)="","",VLOOKUP($A61,Products!$A$59:$H$159,5,FALSE)))</f>
        <v/>
      </c>
      <c r="F62" s="46" t="str">
        <f>IF($A$54="","",IF(VLOOKUP($A61,Products!$A$59:$H$159,8,FALSE)="","",VLOOKUP($A61,Products!$A$59:$H$159,8,FALSE)))</f>
        <v/>
      </c>
      <c r="G62" s="46" t="str">
        <f t="shared" si="9"/>
        <v/>
      </c>
      <c r="H62" s="51" t="str">
        <f t="shared" si="10"/>
        <v/>
      </c>
    </row>
    <row r="63" spans="1:8" ht="14.25" customHeight="1" x14ac:dyDescent="0.2">
      <c r="A63" s="649" t="str">
        <f t="shared" si="8"/>
        <v>AAAAAAAAA</v>
      </c>
      <c r="B63" s="650"/>
      <c r="C63" s="77" t="s">
        <v>9362</v>
      </c>
      <c r="D63" s="77" t="s">
        <v>9362</v>
      </c>
      <c r="E63" s="74" t="str">
        <f>IF($A$54="","",IF(VLOOKUP($A62,Products!$A$59:$H$159,5,FALSE)="","",VLOOKUP($A62,Products!$A$59:$H$159,5,FALSE)))</f>
        <v/>
      </c>
      <c r="F63" s="46" t="str">
        <f>IF($A$54="","",IF(VLOOKUP($A62,Products!$A$59:$H$159,8,FALSE)="","",VLOOKUP($A62,Products!$A$59:$H$159,8,FALSE)))</f>
        <v/>
      </c>
      <c r="G63" s="46" t="str">
        <f t="shared" si="9"/>
        <v/>
      </c>
      <c r="H63" s="51" t="str">
        <f t="shared" si="10"/>
        <v/>
      </c>
    </row>
    <row r="64" spans="1:8" ht="14.25" customHeight="1" x14ac:dyDescent="0.2">
      <c r="A64" s="649" t="str">
        <f t="shared" si="8"/>
        <v>AAAAAAAAAA</v>
      </c>
      <c r="B64" s="650"/>
      <c r="C64" s="77" t="s">
        <v>9362</v>
      </c>
      <c r="D64" s="77" t="s">
        <v>9362</v>
      </c>
      <c r="E64" s="74" t="str">
        <f>IF($A$54="","",IF(VLOOKUP($A63,Products!$A$59:$H$159,5,FALSE)="","",VLOOKUP($A63,Products!$A$59:$H$159,5,FALSE)))</f>
        <v/>
      </c>
      <c r="F64" s="46" t="str">
        <f>IF($A$54="","",IF(VLOOKUP($A63,Products!$A$59:$H$159,8,FALSE)="","",VLOOKUP($A63,Products!$A$59:$H$159,8,FALSE)))</f>
        <v/>
      </c>
      <c r="G64" s="46" t="str">
        <f t="shared" si="9"/>
        <v/>
      </c>
      <c r="H64" s="51" t="str">
        <f t="shared" si="10"/>
        <v/>
      </c>
    </row>
    <row r="65" spans="1:8" ht="14.25" customHeight="1" x14ac:dyDescent="0.2">
      <c r="A65" s="685"/>
      <c r="B65" s="579"/>
      <c r="C65" s="75"/>
      <c r="D65" s="76"/>
      <c r="E65" s="73" t="s">
        <v>291</v>
      </c>
      <c r="F65" s="46">
        <v>1</v>
      </c>
      <c r="G65" s="40"/>
      <c r="H65" s="47"/>
    </row>
    <row r="66" spans="1:8" x14ac:dyDescent="0.2">
      <c r="A66" s="627" t="str">
        <f>A65&amp;"A"</f>
        <v>A</v>
      </c>
      <c r="B66" s="628"/>
      <c r="C66" s="77" t="s">
        <v>9362</v>
      </c>
      <c r="D66" s="77" t="s">
        <v>9362</v>
      </c>
      <c r="E66" s="74" t="str">
        <f>IF($A$65="","",IF(VLOOKUP($A65,Products!$A$59:$H$159,5,FALSE)="","",VLOOKUP($A65,Products!$A$59:$H$159,5,FALSE)))</f>
        <v/>
      </c>
      <c r="F66" s="46" t="str">
        <f>IF($A$65="","",IF(VLOOKUP($A65,Products!$A$59:$H$159,8,FALSE)="","",VLOOKUP($A65,Products!$A$59:$H$159,8,FALSE)))</f>
        <v/>
      </c>
      <c r="G66" s="46" t="str">
        <f>IF($F66="","",$F66*$G$65)</f>
        <v/>
      </c>
      <c r="H66" s="51" t="str">
        <f>IF($F66="","",$F66*$H$65)</f>
        <v/>
      </c>
    </row>
    <row r="67" spans="1:8" x14ac:dyDescent="0.2">
      <c r="A67" s="649" t="str">
        <f t="shared" ref="A67:A75" si="11">A66&amp;"A"</f>
        <v>AA</v>
      </c>
      <c r="B67" s="650"/>
      <c r="C67" s="77" t="s">
        <v>9362</v>
      </c>
      <c r="D67" s="77" t="s">
        <v>9362</v>
      </c>
      <c r="E67" s="74" t="str">
        <f>IF($A$65="","",IF(VLOOKUP($A66,Products!$A$59:$H$159,5,FALSE)="","",VLOOKUP($A66,Products!$A$59:$H$159,5,FALSE)))</f>
        <v/>
      </c>
      <c r="F67" s="46" t="str">
        <f>IF($A$65="","",IF(VLOOKUP($A66,Products!$A$59:$H$159,8,FALSE)="","",VLOOKUP($A66,Products!$A$59:$H$159,8,FALSE)))</f>
        <v/>
      </c>
      <c r="G67" s="46" t="str">
        <f t="shared" ref="G67:G75" si="12">IF($F67="","",$F67*$G$65)</f>
        <v/>
      </c>
      <c r="H67" s="51" t="str">
        <f t="shared" ref="H67:H75" si="13">IF($F67="","",$F67*$H$65)</f>
        <v/>
      </c>
    </row>
    <row r="68" spans="1:8" x14ac:dyDescent="0.2">
      <c r="A68" s="649" t="str">
        <f t="shared" si="11"/>
        <v>AAA</v>
      </c>
      <c r="B68" s="650"/>
      <c r="C68" s="77" t="s">
        <v>9362</v>
      </c>
      <c r="D68" s="77" t="s">
        <v>9362</v>
      </c>
      <c r="E68" s="74" t="str">
        <f>IF($A$65="","",IF(VLOOKUP($A67,Products!$A$59:$H$159,5,FALSE)="","",VLOOKUP($A67,Products!$A$59:$H$159,5,FALSE)))</f>
        <v/>
      </c>
      <c r="F68" s="46" t="str">
        <f>IF($A$65="","",IF(VLOOKUP($A67,Products!$A$59:$H$159,8,FALSE)="","",VLOOKUP($A67,Products!$A$59:$H$159,8,FALSE)))</f>
        <v/>
      </c>
      <c r="G68" s="46" t="str">
        <f t="shared" si="12"/>
        <v/>
      </c>
      <c r="H68" s="51" t="str">
        <f t="shared" si="13"/>
        <v/>
      </c>
    </row>
    <row r="69" spans="1:8" x14ac:dyDescent="0.2">
      <c r="A69" s="649" t="str">
        <f t="shared" si="11"/>
        <v>AAAA</v>
      </c>
      <c r="B69" s="650"/>
      <c r="C69" s="77" t="s">
        <v>9362</v>
      </c>
      <c r="D69" s="77" t="s">
        <v>9362</v>
      </c>
      <c r="E69" s="74" t="str">
        <f>IF($A$65="","",IF(VLOOKUP($A68,Products!$A$59:$H$159,5,FALSE)="","",VLOOKUP($A68,Products!$A$59:$H$159,5,FALSE)))</f>
        <v/>
      </c>
      <c r="F69" s="46" t="str">
        <f>IF($A$65="","",IF(VLOOKUP($A68,Products!$A$59:$H$159,8,FALSE)="","",VLOOKUP($A68,Products!$A$59:$H$159,8,FALSE)))</f>
        <v/>
      </c>
      <c r="G69" s="46" t="str">
        <f>IF($F69="","",$F69*$G$65)</f>
        <v/>
      </c>
      <c r="H69" s="51" t="str">
        <f>IF($F69="","",$F69*$H$65)</f>
        <v/>
      </c>
    </row>
    <row r="70" spans="1:8" x14ac:dyDescent="0.2">
      <c r="A70" s="649" t="str">
        <f t="shared" si="11"/>
        <v>AAAAA</v>
      </c>
      <c r="B70" s="650"/>
      <c r="C70" s="77" t="s">
        <v>9362</v>
      </c>
      <c r="D70" s="77" t="s">
        <v>9362</v>
      </c>
      <c r="E70" s="74" t="str">
        <f>IF($A$65="","",IF(VLOOKUP($A69,Products!$A$59:$H$159,5,FALSE)="","",VLOOKUP($A69,Products!$A$59:$H$159,5,FALSE)))</f>
        <v/>
      </c>
      <c r="F70" s="46" t="str">
        <f>IF($A$65="","",IF(VLOOKUP($A69,Products!$A$59:$H$159,8,FALSE)="","",VLOOKUP($A69,Products!$A$59:$H$159,8,FALSE)))</f>
        <v/>
      </c>
      <c r="G70" s="46" t="str">
        <f t="shared" si="12"/>
        <v/>
      </c>
      <c r="H70" s="51" t="str">
        <f t="shared" si="13"/>
        <v/>
      </c>
    </row>
    <row r="71" spans="1:8" x14ac:dyDescent="0.2">
      <c r="A71" s="649" t="str">
        <f t="shared" si="11"/>
        <v>AAAAAA</v>
      </c>
      <c r="B71" s="650"/>
      <c r="C71" s="77" t="s">
        <v>9362</v>
      </c>
      <c r="D71" s="77" t="s">
        <v>9362</v>
      </c>
      <c r="E71" s="74" t="str">
        <f>IF($A$65="","",IF(VLOOKUP($A70,Products!$A$59:$H$159,5,FALSE)="","",VLOOKUP($A70,Products!$A$59:$H$159,5,FALSE)))</f>
        <v/>
      </c>
      <c r="F71" s="46" t="str">
        <f>IF($A$65="","",IF(VLOOKUP($A70,Products!$A$59:$H$159,8,FALSE)="","",VLOOKUP($A70,Products!$A$59:$H$159,8,FALSE)))</f>
        <v/>
      </c>
      <c r="G71" s="46" t="str">
        <f t="shared" si="12"/>
        <v/>
      </c>
      <c r="H71" s="51" t="str">
        <f t="shared" si="13"/>
        <v/>
      </c>
    </row>
    <row r="72" spans="1:8" x14ac:dyDescent="0.2">
      <c r="A72" s="649" t="str">
        <f t="shared" si="11"/>
        <v>AAAAAAA</v>
      </c>
      <c r="B72" s="650"/>
      <c r="C72" s="77" t="s">
        <v>9362</v>
      </c>
      <c r="D72" s="77" t="s">
        <v>9362</v>
      </c>
      <c r="E72" s="74" t="str">
        <f>IF($A$65="","",IF(VLOOKUP($A71,Products!$A$59:$H$159,5,FALSE)="","",VLOOKUP($A71,Products!$A$59:$H$159,5,FALSE)))</f>
        <v/>
      </c>
      <c r="F72" s="46" t="str">
        <f>IF($A$65="","",IF(VLOOKUP($A71,Products!$A$59:$H$159,8,FALSE)="","",VLOOKUP($A71,Products!$A$59:$H$159,8,FALSE)))</f>
        <v/>
      </c>
      <c r="G72" s="46" t="str">
        <f t="shared" si="12"/>
        <v/>
      </c>
      <c r="H72" s="51" t="str">
        <f t="shared" si="13"/>
        <v/>
      </c>
    </row>
    <row r="73" spans="1:8" x14ac:dyDescent="0.2">
      <c r="A73" s="649" t="str">
        <f t="shared" si="11"/>
        <v>AAAAAAAA</v>
      </c>
      <c r="B73" s="650"/>
      <c r="C73" s="77" t="s">
        <v>9362</v>
      </c>
      <c r="D73" s="77" t="s">
        <v>9362</v>
      </c>
      <c r="E73" s="74" t="str">
        <f>IF($A$65="","",IF(VLOOKUP($A72,Products!$A$59:$H$159,5,FALSE)="","",VLOOKUP($A72,Products!$A$59:$H$159,5,FALSE)))</f>
        <v/>
      </c>
      <c r="F73" s="46" t="str">
        <f>IF($A$65="","",IF(VLOOKUP($A72,Products!$A$59:$H$159,8,FALSE)="","",VLOOKUP($A72,Products!$A$59:$H$159,8,FALSE)))</f>
        <v/>
      </c>
      <c r="G73" s="46" t="str">
        <f>IF($F73="","",$F73*$G$65)</f>
        <v/>
      </c>
      <c r="H73" s="51" t="str">
        <f>IF($F73="","",$F73*$H$65)</f>
        <v/>
      </c>
    </row>
    <row r="74" spans="1:8" x14ac:dyDescent="0.2">
      <c r="A74" s="649" t="str">
        <f t="shared" si="11"/>
        <v>AAAAAAAAA</v>
      </c>
      <c r="B74" s="650"/>
      <c r="C74" s="77" t="s">
        <v>9362</v>
      </c>
      <c r="D74" s="77" t="s">
        <v>9362</v>
      </c>
      <c r="E74" s="74" t="str">
        <f>IF($A$65="","",IF(VLOOKUP($A73,Products!$A$59:$H$159,5,FALSE)="","",VLOOKUP($A73,Products!$A$59:$H$159,5,FALSE)))</f>
        <v/>
      </c>
      <c r="F74" s="46" t="str">
        <f>IF($A$65="","",IF(VLOOKUP($A73,Products!$A$59:$H$159,8,FALSE)="","",VLOOKUP($A73,Products!$A$59:$H$159,8,FALSE)))</f>
        <v/>
      </c>
      <c r="G74" s="46" t="str">
        <f t="shared" si="12"/>
        <v/>
      </c>
      <c r="H74" s="51" t="str">
        <f t="shared" si="13"/>
        <v/>
      </c>
    </row>
    <row r="75" spans="1:8" x14ac:dyDescent="0.2">
      <c r="A75" s="649" t="str">
        <f t="shared" si="11"/>
        <v>AAAAAAAAAA</v>
      </c>
      <c r="B75" s="650"/>
      <c r="C75" s="77" t="s">
        <v>9362</v>
      </c>
      <c r="D75" s="77" t="s">
        <v>9362</v>
      </c>
      <c r="E75" s="74" t="str">
        <f>IF($A$65="","",IF(VLOOKUP($A74,Products!$A$59:$H$159,5,FALSE)="","",VLOOKUP($A74,Products!$A$59:$H$159,5,FALSE)))</f>
        <v/>
      </c>
      <c r="F75" s="46" t="str">
        <f>IF($A$65="","",IF(VLOOKUP($A74,Products!$A$59:$H$159,8,FALSE)="","",VLOOKUP($A74,Products!$A$59:$H$159,8,FALSE)))</f>
        <v/>
      </c>
      <c r="G75" s="46" t="str">
        <f t="shared" si="12"/>
        <v/>
      </c>
      <c r="H75" s="51" t="str">
        <f t="shared" si="13"/>
        <v/>
      </c>
    </row>
    <row r="76" spans="1:8" ht="14.25" customHeight="1" x14ac:dyDescent="0.2">
      <c r="A76" s="685"/>
      <c r="B76" s="579"/>
      <c r="C76" s="75"/>
      <c r="D76" s="76"/>
      <c r="E76" s="73" t="s">
        <v>291</v>
      </c>
      <c r="F76" s="46">
        <v>1</v>
      </c>
      <c r="G76" s="40"/>
      <c r="H76" s="47"/>
    </row>
    <row r="77" spans="1:8" x14ac:dyDescent="0.2">
      <c r="A77" s="627" t="str">
        <f>A76&amp;"A"</f>
        <v>A</v>
      </c>
      <c r="B77" s="628"/>
      <c r="C77" s="77" t="s">
        <v>9362</v>
      </c>
      <c r="D77" s="77" t="s">
        <v>9362</v>
      </c>
      <c r="E77" s="74" t="str">
        <f>IF($A$76="","",IF(VLOOKUP($A76,Products!$A$59:$H$159,5,FALSE)="","",VLOOKUP($A76,Products!$A$59:$H$159,5,FALSE)))</f>
        <v/>
      </c>
      <c r="F77" s="46" t="str">
        <f>IF($A$76="","",IF(VLOOKUP($A76,Products!$A$59:$H$159,8,FALSE)="","",VLOOKUP($A76,Products!$A$59:$H$159,8,FALSE)))</f>
        <v/>
      </c>
      <c r="G77" s="46" t="str">
        <f>IF($F77="","",$F77*$G$76)</f>
        <v/>
      </c>
      <c r="H77" s="51" t="str">
        <f>IF($F77="","",$F77*$H$76)</f>
        <v/>
      </c>
    </row>
    <row r="78" spans="1:8" x14ac:dyDescent="0.2">
      <c r="A78" s="649" t="str">
        <f t="shared" ref="A78:A86" si="14">A77&amp;"A"</f>
        <v>AA</v>
      </c>
      <c r="B78" s="650"/>
      <c r="C78" s="77" t="s">
        <v>9362</v>
      </c>
      <c r="D78" s="77" t="s">
        <v>9362</v>
      </c>
      <c r="E78" s="74" t="str">
        <f>IF($A$76="","",IF(VLOOKUP($A77,Products!$A$59:$H$159,5,FALSE)="","",VLOOKUP($A77,Products!$A$59:$H$159,5,FALSE)))</f>
        <v/>
      </c>
      <c r="F78" s="46" t="str">
        <f>IF($A$76="","",IF(VLOOKUP($A77,Products!$A$59:$H$159,8,FALSE)="","",VLOOKUP($A77,Products!$A$59:$H$159,8,FALSE)))</f>
        <v/>
      </c>
      <c r="G78" s="46" t="str">
        <f t="shared" ref="G78:G86" si="15">IF($F78="","",$F78*$G$76)</f>
        <v/>
      </c>
      <c r="H78" s="51" t="str">
        <f t="shared" ref="H78:H86" si="16">IF($F78="","",$F78*$H$76)</f>
        <v/>
      </c>
    </row>
    <row r="79" spans="1:8" x14ac:dyDescent="0.2">
      <c r="A79" s="649" t="str">
        <f t="shared" si="14"/>
        <v>AAA</v>
      </c>
      <c r="B79" s="650"/>
      <c r="C79" s="77" t="s">
        <v>9362</v>
      </c>
      <c r="D79" s="77" t="s">
        <v>9362</v>
      </c>
      <c r="E79" s="74" t="str">
        <f>IF($A$76="","",IF(VLOOKUP($A78,Products!$A$59:$H$159,5,FALSE)="","",VLOOKUP($A78,Products!$A$59:$H$159,5,FALSE)))</f>
        <v/>
      </c>
      <c r="F79" s="46" t="str">
        <f>IF($A$76="","",IF(VLOOKUP($A78,Products!$A$59:$H$159,8,FALSE)="","",VLOOKUP($A78,Products!$A$59:$H$159,8,FALSE)))</f>
        <v/>
      </c>
      <c r="G79" s="46" t="str">
        <f t="shared" si="15"/>
        <v/>
      </c>
      <c r="H79" s="51" t="str">
        <f t="shared" si="16"/>
        <v/>
      </c>
    </row>
    <row r="80" spans="1:8" x14ac:dyDescent="0.2">
      <c r="A80" s="649" t="str">
        <f t="shared" si="14"/>
        <v>AAAA</v>
      </c>
      <c r="B80" s="650"/>
      <c r="C80" s="77" t="s">
        <v>9362</v>
      </c>
      <c r="D80" s="77" t="s">
        <v>9362</v>
      </c>
      <c r="E80" s="74" t="str">
        <f>IF($A$76="","",IF(VLOOKUP($A79,Products!$A$59:$H$159,5,FALSE)="","",VLOOKUP($A79,Products!$A$59:$H$159,5,FALSE)))</f>
        <v/>
      </c>
      <c r="F80" s="46" t="str">
        <f>IF($A$76="","",IF(VLOOKUP($A79,Products!$A$59:$H$159,8,FALSE)="","",VLOOKUP($A79,Products!$A$59:$H$159,8,FALSE)))</f>
        <v/>
      </c>
      <c r="G80" s="46" t="str">
        <f t="shared" si="15"/>
        <v/>
      </c>
      <c r="H80" s="51" t="str">
        <f t="shared" si="16"/>
        <v/>
      </c>
    </row>
    <row r="81" spans="1:8" x14ac:dyDescent="0.2">
      <c r="A81" s="649" t="str">
        <f t="shared" si="14"/>
        <v>AAAAA</v>
      </c>
      <c r="B81" s="650"/>
      <c r="C81" s="77" t="s">
        <v>9362</v>
      </c>
      <c r="D81" s="77" t="s">
        <v>9362</v>
      </c>
      <c r="E81" s="74" t="str">
        <f>IF($A$76="","",IF(VLOOKUP($A80,Products!$A$59:$H$159,5,FALSE)="","",VLOOKUP($A80,Products!$A$59:$H$159,5,FALSE)))</f>
        <v/>
      </c>
      <c r="F81" s="46" t="str">
        <f>IF($A$76="","",IF(VLOOKUP($A80,Products!$A$59:$H$159,8,FALSE)="","",VLOOKUP($A80,Products!$A$59:$H$159,8,FALSE)))</f>
        <v/>
      </c>
      <c r="G81" s="46" t="str">
        <f t="shared" si="15"/>
        <v/>
      </c>
      <c r="H81" s="51" t="str">
        <f t="shared" si="16"/>
        <v/>
      </c>
    </row>
    <row r="82" spans="1:8" x14ac:dyDescent="0.2">
      <c r="A82" s="649" t="str">
        <f t="shared" si="14"/>
        <v>AAAAAA</v>
      </c>
      <c r="B82" s="650"/>
      <c r="C82" s="77" t="s">
        <v>9362</v>
      </c>
      <c r="D82" s="77" t="s">
        <v>9362</v>
      </c>
      <c r="E82" s="74" t="str">
        <f>IF($A$76="","",IF(VLOOKUP($A81,Products!$A$59:$H$159,5,FALSE)="","",VLOOKUP($A81,Products!$A$59:$H$159,5,FALSE)))</f>
        <v/>
      </c>
      <c r="F82" s="46" t="str">
        <f>IF($A$76="","",IF(VLOOKUP($A81,Products!$A$59:$H$159,8,FALSE)="","",VLOOKUP($A81,Products!$A$59:$H$159,8,FALSE)))</f>
        <v/>
      </c>
      <c r="G82" s="46" t="str">
        <f t="shared" si="15"/>
        <v/>
      </c>
      <c r="H82" s="51" t="str">
        <f t="shared" si="16"/>
        <v/>
      </c>
    </row>
    <row r="83" spans="1:8" x14ac:dyDescent="0.2">
      <c r="A83" s="649" t="str">
        <f t="shared" si="14"/>
        <v>AAAAAAA</v>
      </c>
      <c r="B83" s="650"/>
      <c r="C83" s="77" t="s">
        <v>9362</v>
      </c>
      <c r="D83" s="77" t="s">
        <v>9362</v>
      </c>
      <c r="E83" s="74" t="str">
        <f>IF($A$76="","",IF(VLOOKUP($A82,Products!$A$59:$H$159,5,FALSE)="","",VLOOKUP($A82,Products!$A$59:$H$159,5,FALSE)))</f>
        <v/>
      </c>
      <c r="F83" s="46" t="str">
        <f>IF($A$76="","",IF(VLOOKUP($A82,Products!$A$59:$H$159,8,FALSE)="","",VLOOKUP($A82,Products!$A$59:$H$159,8,FALSE)))</f>
        <v/>
      </c>
      <c r="G83" s="46" t="str">
        <f t="shared" si="15"/>
        <v/>
      </c>
      <c r="H83" s="51" t="str">
        <f t="shared" si="16"/>
        <v/>
      </c>
    </row>
    <row r="84" spans="1:8" x14ac:dyDescent="0.2">
      <c r="A84" s="649" t="str">
        <f t="shared" si="14"/>
        <v>AAAAAAAA</v>
      </c>
      <c r="B84" s="650"/>
      <c r="C84" s="77" t="s">
        <v>9362</v>
      </c>
      <c r="D84" s="77" t="s">
        <v>9362</v>
      </c>
      <c r="E84" s="74" t="str">
        <f>IF($A$76="","",IF(VLOOKUP($A83,Products!$A$59:$H$159,5,FALSE)="","",VLOOKUP($A83,Products!$A$59:$H$159,5,FALSE)))</f>
        <v/>
      </c>
      <c r="F84" s="46" t="str">
        <f>IF($A$76="","",IF(VLOOKUP($A83,Products!$A$59:$H$159,8,FALSE)="","",VLOOKUP($A83,Products!$A$59:$H$159,8,FALSE)))</f>
        <v/>
      </c>
      <c r="G84" s="46" t="str">
        <f t="shared" si="15"/>
        <v/>
      </c>
      <c r="H84" s="51" t="str">
        <f t="shared" si="16"/>
        <v/>
      </c>
    </row>
    <row r="85" spans="1:8" ht="14.25" customHeight="1" x14ac:dyDescent="0.2">
      <c r="A85" s="649" t="str">
        <f t="shared" si="14"/>
        <v>AAAAAAAAA</v>
      </c>
      <c r="B85" s="650"/>
      <c r="C85" s="77" t="s">
        <v>9362</v>
      </c>
      <c r="D85" s="77" t="s">
        <v>9362</v>
      </c>
      <c r="E85" s="74" t="str">
        <f>IF($A$76="","",IF(VLOOKUP($A84,Products!$A$59:$H$159,5,FALSE)="","",VLOOKUP($A84,Products!$A$59:$H$159,5,FALSE)))</f>
        <v/>
      </c>
      <c r="F85" s="46" t="str">
        <f>IF($A$76="","",IF(VLOOKUP($A84,Products!$A$59:$H$159,8,FALSE)="","",VLOOKUP($A84,Products!$A$59:$H$159,8,FALSE)))</f>
        <v/>
      </c>
      <c r="G85" s="46" t="str">
        <f t="shared" si="15"/>
        <v/>
      </c>
      <c r="H85" s="51" t="str">
        <f t="shared" si="16"/>
        <v/>
      </c>
    </row>
    <row r="86" spans="1:8" ht="14.25" customHeight="1" x14ac:dyDescent="0.2">
      <c r="A86" s="649" t="str">
        <f t="shared" si="14"/>
        <v>AAAAAAAAAA</v>
      </c>
      <c r="B86" s="650"/>
      <c r="C86" s="77" t="s">
        <v>9362</v>
      </c>
      <c r="D86" s="77" t="s">
        <v>9362</v>
      </c>
      <c r="E86" s="74" t="str">
        <f>IF($A$76="","",IF(VLOOKUP($A85,Products!$A$59:$H$159,5,FALSE)="","",VLOOKUP($A85,Products!$A$59:$H$159,5,FALSE)))</f>
        <v/>
      </c>
      <c r="F86" s="46" t="str">
        <f>IF($A$76="","",IF(VLOOKUP($A85,Products!$A$59:$H$159,8,FALSE)="","",VLOOKUP($A85,Products!$A$59:$H$159,8,FALSE)))</f>
        <v/>
      </c>
      <c r="G86" s="46" t="str">
        <f t="shared" si="15"/>
        <v/>
      </c>
      <c r="H86" s="51" t="str">
        <f t="shared" si="16"/>
        <v/>
      </c>
    </row>
    <row r="87" spans="1:8" ht="14.25" customHeight="1" x14ac:dyDescent="0.2">
      <c r="A87" s="685"/>
      <c r="B87" s="579"/>
      <c r="C87" s="75"/>
      <c r="D87" s="76"/>
      <c r="E87" s="73" t="s">
        <v>291</v>
      </c>
      <c r="F87" s="46">
        <v>1</v>
      </c>
      <c r="G87" s="40"/>
      <c r="H87" s="47"/>
    </row>
    <row r="88" spans="1:8" x14ac:dyDescent="0.2">
      <c r="A88" s="627" t="str">
        <f>A87&amp;"A"</f>
        <v>A</v>
      </c>
      <c r="B88" s="628"/>
      <c r="C88" s="77" t="s">
        <v>9362</v>
      </c>
      <c r="D88" s="77" t="s">
        <v>9362</v>
      </c>
      <c r="E88" s="74" t="str">
        <f>IF($A$87="","",IF(VLOOKUP($A87,Products!$A$59:$H$159,5,FALSE)="","",VLOOKUP($A87,Products!$A$59:$H$159,5,FALSE)))</f>
        <v/>
      </c>
      <c r="F88" s="46" t="str">
        <f>IF($A$87="","",IF(VLOOKUP($A87,Products!$A$59:$H$159,8,FALSE)="","",VLOOKUP($A87,Products!$A$59:$H$159,8,FALSE)))</f>
        <v/>
      </c>
      <c r="G88" s="46" t="str">
        <f>IF($F88="","",$F88*$G$87)</f>
        <v/>
      </c>
      <c r="H88" s="51" t="str">
        <f>IF($F88="","",$F88*$H$87)</f>
        <v/>
      </c>
    </row>
    <row r="89" spans="1:8" x14ac:dyDescent="0.2">
      <c r="A89" s="649" t="str">
        <f t="shared" ref="A89:A97" si="17">A88&amp;"A"</f>
        <v>AA</v>
      </c>
      <c r="B89" s="650"/>
      <c r="C89" s="77" t="s">
        <v>9362</v>
      </c>
      <c r="D89" s="77" t="s">
        <v>9362</v>
      </c>
      <c r="E89" s="74" t="str">
        <f>IF($A$87="","",IF(VLOOKUP($A88,Products!$A$59:$H$159,5,FALSE)="","",VLOOKUP($A88,Products!$A$59:$H$159,5,FALSE)))</f>
        <v/>
      </c>
      <c r="F89" s="46" t="str">
        <f>IF($A$87="","",IF(VLOOKUP($A88,Products!$A$59:$H$159,8,FALSE)="","",VLOOKUP($A88,Products!$A$59:$H$159,8,FALSE)))</f>
        <v/>
      </c>
      <c r="G89" s="46" t="str">
        <f t="shared" ref="G89:G97" si="18">IF($F89="","",$F89*$G$87)</f>
        <v/>
      </c>
      <c r="H89" s="51" t="str">
        <f t="shared" ref="H89:H97" si="19">IF($F89="","",$F89*$H$87)</f>
        <v/>
      </c>
    </row>
    <row r="90" spans="1:8" x14ac:dyDescent="0.2">
      <c r="A90" s="649" t="str">
        <f t="shared" si="17"/>
        <v>AAA</v>
      </c>
      <c r="B90" s="650"/>
      <c r="C90" s="77" t="s">
        <v>9362</v>
      </c>
      <c r="D90" s="77" t="s">
        <v>9362</v>
      </c>
      <c r="E90" s="74" t="str">
        <f>IF($A$87="","",IF(VLOOKUP($A89,Products!$A$59:$H$159,5,FALSE)="","",VLOOKUP($A89,Products!$A$59:$H$159,5,FALSE)))</f>
        <v/>
      </c>
      <c r="F90" s="46" t="str">
        <f>IF($A$87="","",IF(VLOOKUP($A89,Products!$A$59:$H$159,8,FALSE)="","",VLOOKUP($A89,Products!$A$59:$H$159,8,FALSE)))</f>
        <v/>
      </c>
      <c r="G90" s="46" t="str">
        <f t="shared" si="18"/>
        <v/>
      </c>
      <c r="H90" s="51" t="str">
        <f t="shared" si="19"/>
        <v/>
      </c>
    </row>
    <row r="91" spans="1:8" x14ac:dyDescent="0.2">
      <c r="A91" s="649" t="str">
        <f t="shared" si="17"/>
        <v>AAAA</v>
      </c>
      <c r="B91" s="650"/>
      <c r="C91" s="77" t="s">
        <v>9362</v>
      </c>
      <c r="D91" s="77" t="s">
        <v>9362</v>
      </c>
      <c r="E91" s="74" t="str">
        <f>IF($A$87="","",IF(VLOOKUP($A90,Products!$A$59:$H$159,5,FALSE)="","",VLOOKUP($A90,Products!$A$59:$H$159,5,FALSE)))</f>
        <v/>
      </c>
      <c r="F91" s="46" t="str">
        <f>IF($A$87="","",IF(VLOOKUP($A90,Products!$A$59:$H$159,8,FALSE)="","",VLOOKUP($A90,Products!$A$59:$H$159,8,FALSE)))</f>
        <v/>
      </c>
      <c r="G91" s="46" t="str">
        <f t="shared" si="18"/>
        <v/>
      </c>
      <c r="H91" s="51" t="str">
        <f t="shared" si="19"/>
        <v/>
      </c>
    </row>
    <row r="92" spans="1:8" x14ac:dyDescent="0.2">
      <c r="A92" s="649" t="str">
        <f t="shared" si="17"/>
        <v>AAAAA</v>
      </c>
      <c r="B92" s="650"/>
      <c r="C92" s="77" t="s">
        <v>9362</v>
      </c>
      <c r="D92" s="77" t="s">
        <v>9362</v>
      </c>
      <c r="E92" s="74" t="str">
        <f>IF($A$87="","",IF(VLOOKUP($A91,Products!$A$59:$H$159,5,FALSE)="","",VLOOKUP($A91,Products!$A$59:$H$159,5,FALSE)))</f>
        <v/>
      </c>
      <c r="F92" s="46" t="str">
        <f>IF($A$87="","",IF(VLOOKUP($A91,Products!$A$59:$H$159,8,FALSE)="","",VLOOKUP($A91,Products!$A$59:$H$159,8,FALSE)))</f>
        <v/>
      </c>
      <c r="G92" s="46" t="str">
        <f t="shared" si="18"/>
        <v/>
      </c>
      <c r="H92" s="51" t="str">
        <f t="shared" si="19"/>
        <v/>
      </c>
    </row>
    <row r="93" spans="1:8" x14ac:dyDescent="0.2">
      <c r="A93" s="649" t="str">
        <f t="shared" si="17"/>
        <v>AAAAAA</v>
      </c>
      <c r="B93" s="650"/>
      <c r="C93" s="77" t="s">
        <v>9362</v>
      </c>
      <c r="D93" s="77" t="s">
        <v>9362</v>
      </c>
      <c r="E93" s="74" t="str">
        <f>IF($A$87="","",IF(VLOOKUP($A92,Products!$A$59:$H$159,5,FALSE)="","",VLOOKUP($A92,Products!$A$59:$H$159,5,FALSE)))</f>
        <v/>
      </c>
      <c r="F93" s="46" t="str">
        <f>IF($A$87="","",IF(VLOOKUP($A92,Products!$A$59:$H$159,8,FALSE)="","",VLOOKUP($A92,Products!$A$59:$H$159,8,FALSE)))</f>
        <v/>
      </c>
      <c r="G93" s="46" t="str">
        <f t="shared" si="18"/>
        <v/>
      </c>
      <c r="H93" s="51" t="str">
        <f t="shared" si="19"/>
        <v/>
      </c>
    </row>
    <row r="94" spans="1:8" x14ac:dyDescent="0.2">
      <c r="A94" s="649" t="str">
        <f t="shared" si="17"/>
        <v>AAAAAAA</v>
      </c>
      <c r="B94" s="650"/>
      <c r="C94" s="77" t="s">
        <v>9362</v>
      </c>
      <c r="D94" s="77" t="s">
        <v>9362</v>
      </c>
      <c r="E94" s="74" t="str">
        <f>IF($A$87="","",IF(VLOOKUP($A93,Products!$A$59:$H$159,5,FALSE)="","",VLOOKUP($A93,Products!$A$59:$H$159,5,FALSE)))</f>
        <v/>
      </c>
      <c r="F94" s="46" t="str">
        <f>IF($A$87="","",IF(VLOOKUP($A93,Products!$A$59:$H$159,8,FALSE)="","",VLOOKUP($A93,Products!$A$59:$H$159,8,FALSE)))</f>
        <v/>
      </c>
      <c r="G94" s="46" t="str">
        <f t="shared" si="18"/>
        <v/>
      </c>
      <c r="H94" s="51" t="str">
        <f t="shared" si="19"/>
        <v/>
      </c>
    </row>
    <row r="95" spans="1:8" ht="14.25" customHeight="1" x14ac:dyDescent="0.2">
      <c r="A95" s="649" t="str">
        <f t="shared" si="17"/>
        <v>AAAAAAAA</v>
      </c>
      <c r="B95" s="650"/>
      <c r="C95" s="77" t="s">
        <v>9362</v>
      </c>
      <c r="D95" s="77" t="s">
        <v>9362</v>
      </c>
      <c r="E95" s="74" t="str">
        <f>IF($A$87="","",IF(VLOOKUP($A94,Products!$A$59:$H$159,5,FALSE)="","",VLOOKUP($A94,Products!$A$59:$H$159,5,FALSE)))</f>
        <v/>
      </c>
      <c r="F95" s="46" t="str">
        <f>IF($A$87="","",IF(VLOOKUP($A94,Products!$A$59:$H$159,8,FALSE)="","",VLOOKUP($A94,Products!$A$59:$H$159,8,FALSE)))</f>
        <v/>
      </c>
      <c r="G95" s="46" t="str">
        <f t="shared" si="18"/>
        <v/>
      </c>
      <c r="H95" s="51" t="str">
        <f t="shared" si="19"/>
        <v/>
      </c>
    </row>
    <row r="96" spans="1:8" ht="14.25" customHeight="1" x14ac:dyDescent="0.2">
      <c r="A96" s="649" t="str">
        <f t="shared" si="17"/>
        <v>AAAAAAAAA</v>
      </c>
      <c r="B96" s="650"/>
      <c r="C96" s="77" t="s">
        <v>9362</v>
      </c>
      <c r="D96" s="77" t="s">
        <v>9362</v>
      </c>
      <c r="E96" s="74" t="str">
        <f>IF($A$87="","",IF(VLOOKUP($A95,Products!$A$59:$H$159,5,FALSE)="","",VLOOKUP($A95,Products!$A$59:$H$159,5,FALSE)))</f>
        <v/>
      </c>
      <c r="F96" s="46" t="str">
        <f>IF($A$87="","",IF(VLOOKUP($A95,Products!$A$59:$H$159,8,FALSE)="","",VLOOKUP($A95,Products!$A$59:$H$159,8,FALSE)))</f>
        <v/>
      </c>
      <c r="G96" s="46" t="str">
        <f t="shared" si="18"/>
        <v/>
      </c>
      <c r="H96" s="51" t="str">
        <f t="shared" si="19"/>
        <v/>
      </c>
    </row>
    <row r="97" spans="1:8" ht="14.25" customHeight="1" x14ac:dyDescent="0.2">
      <c r="A97" s="649" t="str">
        <f t="shared" si="17"/>
        <v>AAAAAAAAAA</v>
      </c>
      <c r="B97" s="650"/>
      <c r="C97" s="77" t="s">
        <v>9362</v>
      </c>
      <c r="D97" s="77" t="s">
        <v>9362</v>
      </c>
      <c r="E97" s="74" t="str">
        <f>IF($A$87="","",IF(VLOOKUP($A96,Products!$A$59:$H$159,5,FALSE)="","",VLOOKUP($A96,Products!$A$59:$H$159,5,FALSE)))</f>
        <v/>
      </c>
      <c r="F97" s="46" t="str">
        <f>IF($A$87="","",IF(VLOOKUP($A96,Products!$A$59:$H$159,8,FALSE)="","",VLOOKUP($A96,Products!$A$59:$H$159,8,FALSE)))</f>
        <v/>
      </c>
      <c r="G97" s="46" t="str">
        <f t="shared" si="18"/>
        <v/>
      </c>
      <c r="H97" s="51" t="str">
        <f t="shared" si="19"/>
        <v/>
      </c>
    </row>
    <row r="98" spans="1:8" ht="14.25" customHeight="1" x14ac:dyDescent="0.2">
      <c r="A98" s="685"/>
      <c r="B98" s="579"/>
      <c r="C98" s="75"/>
      <c r="D98" s="76"/>
      <c r="E98" s="73" t="s">
        <v>291</v>
      </c>
      <c r="F98" s="46">
        <v>1</v>
      </c>
      <c r="G98" s="40"/>
      <c r="H98" s="47"/>
    </row>
    <row r="99" spans="1:8" x14ac:dyDescent="0.2">
      <c r="A99" s="627" t="str">
        <f>A98&amp;"A"</f>
        <v>A</v>
      </c>
      <c r="B99" s="628"/>
      <c r="C99" s="77" t="s">
        <v>9362</v>
      </c>
      <c r="D99" s="77" t="s">
        <v>9362</v>
      </c>
      <c r="E99" s="74" t="str">
        <f>IF($A$98="","",IF(VLOOKUP($A98,Products!$A$59:$H$159,5,FALSE)="","",VLOOKUP($A98,Products!$A$59:$H$159,5,FALSE)))</f>
        <v/>
      </c>
      <c r="F99" s="46" t="str">
        <f>IF($A$98="","",IF(VLOOKUP($A98,Products!$A$59:$H$159,8,FALSE)="","",VLOOKUP($A98,Products!$A$59:$H$159,8,FALSE)))</f>
        <v/>
      </c>
      <c r="G99" s="46" t="str">
        <f>IF($F99="","",$F99*$G$98)</f>
        <v/>
      </c>
      <c r="H99" s="51" t="str">
        <f>IF($F99="","",$F99*$H$98)</f>
        <v/>
      </c>
    </row>
    <row r="100" spans="1:8" x14ac:dyDescent="0.2">
      <c r="A100" s="649" t="str">
        <f t="shared" ref="A100:A108" si="20">A99&amp;"A"</f>
        <v>AA</v>
      </c>
      <c r="B100" s="650"/>
      <c r="C100" s="77" t="s">
        <v>9362</v>
      </c>
      <c r="D100" s="77" t="s">
        <v>9362</v>
      </c>
      <c r="E100" s="74" t="str">
        <f>IF($A$98="","",IF(VLOOKUP($A99,Products!$A$59:$H$159,5,FALSE)="","",VLOOKUP($A99,Products!$A$59:$H$159,5,FALSE)))</f>
        <v/>
      </c>
      <c r="F100" s="46" t="str">
        <f>IF($A$98="","",IF(VLOOKUP($A99,Products!$A$59:$H$159,8,FALSE)="","",VLOOKUP($A99,Products!$A$59:$H$159,8,FALSE)))</f>
        <v/>
      </c>
      <c r="G100" s="46" t="str">
        <f t="shared" ref="G100:G108" si="21">IF($F100="","",$F100*$G$98)</f>
        <v/>
      </c>
      <c r="H100" s="51" t="str">
        <f t="shared" ref="H100:H108" si="22">IF($F100="","",$F100*$H$98)</f>
        <v/>
      </c>
    </row>
    <row r="101" spans="1:8" x14ac:dyDescent="0.2">
      <c r="A101" s="649" t="str">
        <f t="shared" si="20"/>
        <v>AAA</v>
      </c>
      <c r="B101" s="650"/>
      <c r="C101" s="77" t="s">
        <v>9362</v>
      </c>
      <c r="D101" s="77" t="s">
        <v>9362</v>
      </c>
      <c r="E101" s="74" t="str">
        <f>IF($A$98="","",IF(VLOOKUP($A100,Products!$A$59:$H$159,5,FALSE)="","",VLOOKUP($A100,Products!$A$59:$H$159,5,FALSE)))</f>
        <v/>
      </c>
      <c r="F101" s="46" t="str">
        <f>IF($A$98="","",IF(VLOOKUP($A100,Products!$A$59:$H$159,8,FALSE)="","",VLOOKUP($A100,Products!$A$59:$H$159,8,FALSE)))</f>
        <v/>
      </c>
      <c r="G101" s="46" t="str">
        <f t="shared" si="21"/>
        <v/>
      </c>
      <c r="H101" s="51" t="str">
        <f t="shared" si="22"/>
        <v/>
      </c>
    </row>
    <row r="102" spans="1:8" x14ac:dyDescent="0.2">
      <c r="A102" s="649" t="str">
        <f t="shared" si="20"/>
        <v>AAAA</v>
      </c>
      <c r="B102" s="650"/>
      <c r="C102" s="77" t="s">
        <v>9362</v>
      </c>
      <c r="D102" s="77" t="s">
        <v>9362</v>
      </c>
      <c r="E102" s="74" t="str">
        <f>IF($A$98="","",IF(VLOOKUP($A101,Products!$A$59:$H$159,5,FALSE)="","",VLOOKUP($A101,Products!$A$59:$H$159,5,FALSE)))</f>
        <v/>
      </c>
      <c r="F102" s="46" t="str">
        <f>IF($A$98="","",IF(VLOOKUP($A101,Products!$A$59:$H$159,8,FALSE)="","",VLOOKUP($A101,Products!$A$59:$H$159,8,FALSE)))</f>
        <v/>
      </c>
      <c r="G102" s="46" t="str">
        <f t="shared" si="21"/>
        <v/>
      </c>
      <c r="H102" s="51" t="str">
        <f t="shared" si="22"/>
        <v/>
      </c>
    </row>
    <row r="103" spans="1:8" x14ac:dyDescent="0.2">
      <c r="A103" s="649" t="str">
        <f t="shared" si="20"/>
        <v>AAAAA</v>
      </c>
      <c r="B103" s="650"/>
      <c r="C103" s="77" t="s">
        <v>9362</v>
      </c>
      <c r="D103" s="77" t="s">
        <v>9362</v>
      </c>
      <c r="E103" s="74" t="str">
        <f>IF($A$98="","",IF(VLOOKUP($A102,Products!$A$59:$H$159,5,FALSE)="","",VLOOKUP($A102,Products!$A$59:$H$159,5,FALSE)))</f>
        <v/>
      </c>
      <c r="F103" s="46" t="str">
        <f>IF($A$98="","",IF(VLOOKUP($A102,Products!$A$59:$H$159,8,FALSE)="","",VLOOKUP($A102,Products!$A$59:$H$159,8,FALSE)))</f>
        <v/>
      </c>
      <c r="G103" s="46" t="str">
        <f t="shared" si="21"/>
        <v/>
      </c>
      <c r="H103" s="51" t="str">
        <f t="shared" si="22"/>
        <v/>
      </c>
    </row>
    <row r="104" spans="1:8" x14ac:dyDescent="0.2">
      <c r="A104" s="649" t="str">
        <f t="shared" si="20"/>
        <v>AAAAAA</v>
      </c>
      <c r="B104" s="650"/>
      <c r="C104" s="77" t="s">
        <v>9362</v>
      </c>
      <c r="D104" s="77" t="s">
        <v>9362</v>
      </c>
      <c r="E104" s="74" t="str">
        <f>IF($A$98="","",IF(VLOOKUP($A103,Products!$A$59:$H$159,5,FALSE)="","",VLOOKUP($A103,Products!$A$59:$H$159,5,FALSE)))</f>
        <v/>
      </c>
      <c r="F104" s="46" t="str">
        <f>IF($A$98="","",IF(VLOOKUP($A103,Products!$A$59:$H$159,8,FALSE)="","",VLOOKUP($A103,Products!$A$59:$H$159,8,FALSE)))</f>
        <v/>
      </c>
      <c r="G104" s="46" t="str">
        <f t="shared" si="21"/>
        <v/>
      </c>
      <c r="H104" s="51" t="str">
        <f t="shared" si="22"/>
        <v/>
      </c>
    </row>
    <row r="105" spans="1:8" x14ac:dyDescent="0.2">
      <c r="A105" s="649" t="str">
        <f t="shared" si="20"/>
        <v>AAAAAAA</v>
      </c>
      <c r="B105" s="650"/>
      <c r="C105" s="77" t="s">
        <v>9362</v>
      </c>
      <c r="D105" s="77" t="s">
        <v>9362</v>
      </c>
      <c r="E105" s="74" t="str">
        <f>IF($A$98="","",IF(VLOOKUP($A104,Products!$A$59:$H$159,5,FALSE)="","",VLOOKUP($A104,Products!$A$59:$H$159,5,FALSE)))</f>
        <v/>
      </c>
      <c r="F105" s="46" t="str">
        <f>IF($A$98="","",IF(VLOOKUP($A104,Products!$A$59:$H$159,8,FALSE)="","",VLOOKUP($A104,Products!$A$59:$H$159,8,FALSE)))</f>
        <v/>
      </c>
      <c r="G105" s="46" t="str">
        <f>IF($F105="","",$F105*$G$98)</f>
        <v/>
      </c>
      <c r="H105" s="51" t="str">
        <f>IF($F105="","",$F105*$H$98)</f>
        <v/>
      </c>
    </row>
    <row r="106" spans="1:8" ht="14.25" customHeight="1" x14ac:dyDescent="0.2">
      <c r="A106" s="649" t="str">
        <f t="shared" si="20"/>
        <v>AAAAAAAA</v>
      </c>
      <c r="B106" s="650"/>
      <c r="C106" s="77" t="s">
        <v>9362</v>
      </c>
      <c r="D106" s="77" t="s">
        <v>9362</v>
      </c>
      <c r="E106" s="74" t="str">
        <f>IF($A$98="","",IF(VLOOKUP($A105,Products!$A$59:$H$159,5,FALSE)="","",VLOOKUP($A105,Products!$A$59:$H$159,5,FALSE)))</f>
        <v/>
      </c>
      <c r="F106" s="46" t="str">
        <f>IF($A$98="","",IF(VLOOKUP($A105,Products!$A$59:$H$159,8,FALSE)="","",VLOOKUP($A105,Products!$A$59:$H$159,8,FALSE)))</f>
        <v/>
      </c>
      <c r="G106" s="46" t="str">
        <f t="shared" si="21"/>
        <v/>
      </c>
      <c r="H106" s="51" t="str">
        <f t="shared" si="22"/>
        <v/>
      </c>
    </row>
    <row r="107" spans="1:8" ht="14.25" customHeight="1" x14ac:dyDescent="0.2">
      <c r="A107" s="649" t="str">
        <f t="shared" si="20"/>
        <v>AAAAAAAAA</v>
      </c>
      <c r="B107" s="650"/>
      <c r="C107" s="77" t="s">
        <v>9362</v>
      </c>
      <c r="D107" s="77" t="s">
        <v>9362</v>
      </c>
      <c r="E107" s="74" t="str">
        <f>IF($A$98="","",IF(VLOOKUP($A106,Products!$A$59:$H$159,5,FALSE)="","",VLOOKUP($A106,Products!$A$59:$H$159,5,FALSE)))</f>
        <v/>
      </c>
      <c r="F107" s="46" t="str">
        <f>IF($A$98="","",IF(VLOOKUP($A106,Products!$A$59:$H$159,8,FALSE)="","",VLOOKUP($A106,Products!$A$59:$H$159,8,FALSE)))</f>
        <v/>
      </c>
      <c r="G107" s="46" t="str">
        <f t="shared" si="21"/>
        <v/>
      </c>
      <c r="H107" s="51" t="str">
        <f t="shared" si="22"/>
        <v/>
      </c>
    </row>
    <row r="108" spans="1:8" ht="14.25" customHeight="1" x14ac:dyDescent="0.2">
      <c r="A108" s="649" t="str">
        <f t="shared" si="20"/>
        <v>AAAAAAAAAA</v>
      </c>
      <c r="B108" s="650"/>
      <c r="C108" s="77" t="s">
        <v>9362</v>
      </c>
      <c r="D108" s="77" t="s">
        <v>9362</v>
      </c>
      <c r="E108" s="74" t="str">
        <f>IF($A$98="","",IF(VLOOKUP($A107,Products!$A$59:$H$159,5,FALSE)="","",VLOOKUP($A107,Products!$A$59:$H$159,5,FALSE)))</f>
        <v/>
      </c>
      <c r="F108" s="46" t="str">
        <f>IF($A$98="","",IF(VLOOKUP($A107,Products!$A$59:$H$159,8,FALSE)="","",VLOOKUP($A107,Products!$A$59:$H$159,8,FALSE)))</f>
        <v/>
      </c>
      <c r="G108" s="46" t="str">
        <f t="shared" si="21"/>
        <v/>
      </c>
      <c r="H108" s="51" t="str">
        <f t="shared" si="22"/>
        <v/>
      </c>
    </row>
    <row r="109" spans="1:8" ht="14.25" customHeight="1" x14ac:dyDescent="0.2">
      <c r="A109" s="685"/>
      <c r="B109" s="579"/>
      <c r="C109" s="75"/>
      <c r="D109" s="76"/>
      <c r="E109" s="73" t="s">
        <v>291</v>
      </c>
      <c r="F109" s="46">
        <v>1</v>
      </c>
      <c r="G109" s="40"/>
      <c r="H109" s="47"/>
    </row>
    <row r="110" spans="1:8" x14ac:dyDescent="0.2">
      <c r="A110" s="627" t="str">
        <f>A109&amp;"A"</f>
        <v>A</v>
      </c>
      <c r="B110" s="628"/>
      <c r="C110" s="77" t="s">
        <v>9362</v>
      </c>
      <c r="D110" s="77" t="s">
        <v>9362</v>
      </c>
      <c r="E110" s="74" t="str">
        <f>IF($A$109="","",IF(VLOOKUP($A109,Products!$A$59:$H$159,5,FALSE)="","",VLOOKUP($A109,Products!$A$59:$H$159,5,FALSE)))</f>
        <v/>
      </c>
      <c r="F110" s="46" t="str">
        <f>IF($A$109="","",IF(VLOOKUP($A109,Products!$A$59:$H$159,8,FALSE)="","",VLOOKUP($A109,Products!$A$59:$H$159,8,FALSE)))</f>
        <v/>
      </c>
      <c r="G110" s="46" t="str">
        <f>IF($F110="","",$F110*$G$109)</f>
        <v/>
      </c>
      <c r="H110" s="51" t="str">
        <f>IF($F110="","",$F110*$H$109)</f>
        <v/>
      </c>
    </row>
    <row r="111" spans="1:8" ht="14.25" customHeight="1" x14ac:dyDescent="0.2">
      <c r="A111" s="649" t="str">
        <f t="shared" ref="A111:A119" si="23">A110&amp;"A"</f>
        <v>AA</v>
      </c>
      <c r="B111" s="650"/>
      <c r="C111" s="77" t="s">
        <v>9362</v>
      </c>
      <c r="D111" s="77" t="s">
        <v>9362</v>
      </c>
      <c r="E111" s="74" t="str">
        <f>IF($A$109="","",IF(VLOOKUP($A110,Products!$A$59:$H$159,5,FALSE)="","",VLOOKUP($A110,Products!$A$59:$H$159,5,FALSE)))</f>
        <v/>
      </c>
      <c r="F111" s="46" t="str">
        <f>IF($A$109="","",IF(VLOOKUP($A110,Products!$A$59:$H$159,8,FALSE)="","",VLOOKUP($A110,Products!$A$59:$H$159,8,FALSE)))</f>
        <v/>
      </c>
      <c r="G111" s="46" t="str">
        <f t="shared" ref="G111:G119" si="24">IF($F111="","",$F111*$G$109)</f>
        <v/>
      </c>
      <c r="H111" s="51" t="str">
        <f t="shared" ref="H111:H119" si="25">IF($F111="","",$F111*$H$109)</f>
        <v/>
      </c>
    </row>
    <row r="112" spans="1:8" x14ac:dyDescent="0.2">
      <c r="A112" s="649" t="str">
        <f t="shared" si="23"/>
        <v>AAA</v>
      </c>
      <c r="B112" s="650"/>
      <c r="C112" s="77" t="s">
        <v>9362</v>
      </c>
      <c r="D112" s="77" t="s">
        <v>9362</v>
      </c>
      <c r="E112" s="74" t="str">
        <f>IF($A$109="","",IF(VLOOKUP($A111,Products!$A$59:$H$159,5,FALSE)="","",VLOOKUP($A111,Products!$A$59:$H$159,5,FALSE)))</f>
        <v/>
      </c>
      <c r="F112" s="46" t="str">
        <f>IF($A$109="","",IF(VLOOKUP($A111,Products!$A$59:$H$159,8,FALSE)="","",VLOOKUP($A111,Products!$A$59:$H$159,8,FALSE)))</f>
        <v/>
      </c>
      <c r="G112" s="46" t="str">
        <f t="shared" si="24"/>
        <v/>
      </c>
      <c r="H112" s="51" t="str">
        <f t="shared" si="25"/>
        <v/>
      </c>
    </row>
    <row r="113" spans="1:8" x14ac:dyDescent="0.2">
      <c r="A113" s="649" t="str">
        <f t="shared" si="23"/>
        <v>AAAA</v>
      </c>
      <c r="B113" s="650"/>
      <c r="C113" s="77" t="s">
        <v>9362</v>
      </c>
      <c r="D113" s="77" t="s">
        <v>9362</v>
      </c>
      <c r="E113" s="74" t="str">
        <f>IF($A$109="","",IF(VLOOKUP($A112,Products!$A$59:$H$159,5,FALSE)="","",VLOOKUP($A112,Products!$A$59:$H$159,5,FALSE)))</f>
        <v/>
      </c>
      <c r="F113" s="46" t="str">
        <f>IF($A$109="","",IF(VLOOKUP($A112,Products!$A$59:$H$159,8,FALSE)="","",VLOOKUP($A112,Products!$A$59:$H$159,8,FALSE)))</f>
        <v/>
      </c>
      <c r="G113" s="46" t="str">
        <f t="shared" si="24"/>
        <v/>
      </c>
      <c r="H113" s="51" t="str">
        <f t="shared" si="25"/>
        <v/>
      </c>
    </row>
    <row r="114" spans="1:8" x14ac:dyDescent="0.2">
      <c r="A114" s="649" t="str">
        <f t="shared" si="23"/>
        <v>AAAAA</v>
      </c>
      <c r="B114" s="650"/>
      <c r="C114" s="77" t="s">
        <v>9362</v>
      </c>
      <c r="D114" s="77" t="s">
        <v>9362</v>
      </c>
      <c r="E114" s="74" t="str">
        <f>IF($A$109="","",IF(VLOOKUP($A113,Products!$A$59:$H$159,5,FALSE)="","",VLOOKUP($A113,Products!$A$59:$H$159,5,FALSE)))</f>
        <v/>
      </c>
      <c r="F114" s="46" t="str">
        <f>IF($A$109="","",IF(VLOOKUP($A113,Products!$A$59:$H$159,8,FALSE)="","",VLOOKUP($A113,Products!$A$59:$H$159,8,FALSE)))</f>
        <v/>
      </c>
      <c r="G114" s="46" t="str">
        <f t="shared" si="24"/>
        <v/>
      </c>
      <c r="H114" s="51" t="str">
        <f t="shared" si="25"/>
        <v/>
      </c>
    </row>
    <row r="115" spans="1:8" x14ac:dyDescent="0.2">
      <c r="A115" s="649" t="str">
        <f t="shared" si="23"/>
        <v>AAAAAA</v>
      </c>
      <c r="B115" s="650"/>
      <c r="C115" s="77" t="s">
        <v>9362</v>
      </c>
      <c r="D115" s="77" t="s">
        <v>9362</v>
      </c>
      <c r="E115" s="74" t="str">
        <f>IF($A$109="","",IF(VLOOKUP($A114,Products!$A$59:$H$159,5,FALSE)="","",VLOOKUP($A114,Products!$A$59:$H$159,5,FALSE)))</f>
        <v/>
      </c>
      <c r="F115" s="46" t="str">
        <f>IF($A$109="","",IF(VLOOKUP($A114,Products!$A$59:$H$159,8,FALSE)="","",VLOOKUP($A114,Products!$A$59:$H$159,8,FALSE)))</f>
        <v/>
      </c>
      <c r="G115" s="46" t="str">
        <f t="shared" si="24"/>
        <v/>
      </c>
      <c r="H115" s="51" t="str">
        <f t="shared" si="25"/>
        <v/>
      </c>
    </row>
    <row r="116" spans="1:8" x14ac:dyDescent="0.2">
      <c r="A116" s="649" t="str">
        <f t="shared" si="23"/>
        <v>AAAAAAA</v>
      </c>
      <c r="B116" s="650"/>
      <c r="C116" s="77" t="s">
        <v>9362</v>
      </c>
      <c r="D116" s="77" t="s">
        <v>9362</v>
      </c>
      <c r="E116" s="74" t="str">
        <f>IF($A$109="","",IF(VLOOKUP($A115,Products!$A$59:$H$159,5,FALSE)="","",VLOOKUP($A115,Products!$A$59:$H$159,5,FALSE)))</f>
        <v/>
      </c>
      <c r="F116" s="46" t="str">
        <f>IF($A$109="","",IF(VLOOKUP($A115,Products!$A$59:$H$159,8,FALSE)="","",VLOOKUP($A115,Products!$A$59:$H$159,8,FALSE)))</f>
        <v/>
      </c>
      <c r="G116" s="46" t="str">
        <f t="shared" si="24"/>
        <v/>
      </c>
      <c r="H116" s="51" t="str">
        <f t="shared" si="25"/>
        <v/>
      </c>
    </row>
    <row r="117" spans="1:8" x14ac:dyDescent="0.2">
      <c r="A117" s="649" t="str">
        <f t="shared" si="23"/>
        <v>AAAAAAAA</v>
      </c>
      <c r="B117" s="650"/>
      <c r="C117" s="77" t="s">
        <v>9362</v>
      </c>
      <c r="D117" s="77" t="s">
        <v>9362</v>
      </c>
      <c r="E117" s="74" t="str">
        <f>IF($A$109="","",IF(VLOOKUP($A116,Products!$A$59:$H$159,5,FALSE)="","",VLOOKUP($A116,Products!$A$59:$H$159,5,FALSE)))</f>
        <v/>
      </c>
      <c r="F117" s="46" t="str">
        <f>IF($A$109="","",IF(VLOOKUP($A116,Products!$A$59:$H$159,8,FALSE)="","",VLOOKUP($A116,Products!$A$59:$H$159,8,FALSE)))</f>
        <v/>
      </c>
      <c r="G117" s="46" t="str">
        <f t="shared" si="24"/>
        <v/>
      </c>
      <c r="H117" s="51" t="str">
        <f t="shared" si="25"/>
        <v/>
      </c>
    </row>
    <row r="118" spans="1:8" x14ac:dyDescent="0.2">
      <c r="A118" s="649" t="str">
        <f t="shared" si="23"/>
        <v>AAAAAAAAA</v>
      </c>
      <c r="B118" s="650"/>
      <c r="C118" s="77" t="s">
        <v>9362</v>
      </c>
      <c r="D118" s="77" t="s">
        <v>9362</v>
      </c>
      <c r="E118" s="74" t="str">
        <f>IF($A$109="","",IF(VLOOKUP($A117,Products!$A$59:$H$159,5,FALSE)="","",VLOOKUP($A117,Products!$A$59:$H$159,5,FALSE)))</f>
        <v/>
      </c>
      <c r="F118" s="46" t="str">
        <f>IF($A$109="","",IF(VLOOKUP($A117,Products!$A$59:$H$159,8,FALSE)="","",VLOOKUP($A117,Products!$A$59:$H$159,8,FALSE)))</f>
        <v/>
      </c>
      <c r="G118" s="46" t="str">
        <f>IF($F118="","",$F118*$G$109)</f>
        <v/>
      </c>
      <c r="H118" s="51" t="str">
        <f>IF($F118="","",$F118*$H$109)</f>
        <v/>
      </c>
    </row>
    <row r="119" spans="1:8" x14ac:dyDescent="0.2">
      <c r="A119" s="649" t="str">
        <f t="shared" si="23"/>
        <v>AAAAAAAAAA</v>
      </c>
      <c r="B119" s="650"/>
      <c r="C119" s="77" t="s">
        <v>9362</v>
      </c>
      <c r="D119" s="77" t="s">
        <v>9362</v>
      </c>
      <c r="E119" s="74" t="str">
        <f>IF($A$109="","",IF(VLOOKUP($A118,Products!$A$59:$H$159,5,FALSE)="","",VLOOKUP($A118,Products!$A$59:$H$159,5,FALSE)))</f>
        <v/>
      </c>
      <c r="F119" s="46" t="str">
        <f>IF($A$109="","",IF(VLOOKUP($A118,Products!$A$59:$H$159,8,FALSE)="","",VLOOKUP($A118,Products!$A$59:$H$159,8,FALSE)))</f>
        <v/>
      </c>
      <c r="G119" s="46" t="str">
        <f t="shared" si="24"/>
        <v/>
      </c>
      <c r="H119" s="51" t="str">
        <f t="shared" si="25"/>
        <v/>
      </c>
    </row>
    <row r="120" spans="1:8" ht="14.25" customHeight="1" x14ac:dyDescent="0.2">
      <c r="A120" s="685"/>
      <c r="B120" s="579"/>
      <c r="C120" s="75"/>
      <c r="D120" s="76"/>
      <c r="E120" s="73" t="s">
        <v>291</v>
      </c>
      <c r="F120" s="46">
        <v>1</v>
      </c>
      <c r="G120" s="40"/>
      <c r="H120" s="47"/>
    </row>
    <row r="121" spans="1:8" x14ac:dyDescent="0.2">
      <c r="A121" s="627" t="str">
        <f>A120&amp;"A"</f>
        <v>A</v>
      </c>
      <c r="B121" s="628"/>
      <c r="C121" s="77" t="s">
        <v>9362</v>
      </c>
      <c r="D121" s="77" t="s">
        <v>9362</v>
      </c>
      <c r="E121" s="74" t="str">
        <f>IF($A$120="","",IF(VLOOKUP($A120,Products!$A$59:$H$159,5,FALSE)="","",VLOOKUP($A120,Products!$A$59:$H$159,5,FALSE)))</f>
        <v/>
      </c>
      <c r="F121" s="46" t="str">
        <f>IF($A$120="","",IF(VLOOKUP($A120,Products!$A$59:$H$159,8,FALSE)="","",VLOOKUP($A120,Products!$A$59:$H$159,8,FALSE)))</f>
        <v/>
      </c>
      <c r="G121" s="46" t="str">
        <f>IF($F121="","",$F121*$G$120)</f>
        <v/>
      </c>
      <c r="H121" s="51" t="str">
        <f>IF($F121="","",$F121*$H$120)</f>
        <v/>
      </c>
    </row>
    <row r="122" spans="1:8" x14ac:dyDescent="0.2">
      <c r="A122" s="649" t="str">
        <f t="shared" ref="A122:A130" si="26">A121&amp;"A"</f>
        <v>AA</v>
      </c>
      <c r="B122" s="650"/>
      <c r="C122" s="77" t="s">
        <v>9362</v>
      </c>
      <c r="D122" s="77" t="s">
        <v>9362</v>
      </c>
      <c r="E122" s="74" t="str">
        <f>IF($A$120="","",IF(VLOOKUP($A121,Products!$A$59:$H$159,5,FALSE)="","",VLOOKUP($A121,Products!$A$59:$H$159,5,FALSE)))</f>
        <v/>
      </c>
      <c r="F122" s="46" t="str">
        <f>IF($A$120="","",IF(VLOOKUP($A121,Products!$A$59:$H$159,8,FALSE)="","",VLOOKUP($A121,Products!$A$59:$H$159,8,FALSE)))</f>
        <v/>
      </c>
      <c r="G122" s="46" t="str">
        <f t="shared" ref="G122:G130" si="27">IF($F122="","",$F122*$G$120)</f>
        <v/>
      </c>
      <c r="H122" s="51" t="str">
        <f t="shared" ref="H122:H130" si="28">IF($F122="","",$F122*$H$120)</f>
        <v/>
      </c>
    </row>
    <row r="123" spans="1:8" x14ac:dyDescent="0.2">
      <c r="A123" s="649" t="str">
        <f t="shared" si="26"/>
        <v>AAA</v>
      </c>
      <c r="B123" s="650"/>
      <c r="C123" s="77" t="s">
        <v>9362</v>
      </c>
      <c r="D123" s="77" t="s">
        <v>9362</v>
      </c>
      <c r="E123" s="74" t="str">
        <f>IF($A$120="","",IF(VLOOKUP($A122,Products!$A$59:$H$159,5,FALSE)="","",VLOOKUP($A122,Products!$A$59:$H$159,5,FALSE)))</f>
        <v/>
      </c>
      <c r="F123" s="46" t="str">
        <f>IF($A$120="","",IF(VLOOKUP($A122,Products!$A$59:$H$159,8,FALSE)="","",VLOOKUP($A122,Products!$A$59:$H$159,8,FALSE)))</f>
        <v/>
      </c>
      <c r="G123" s="46" t="str">
        <f t="shared" si="27"/>
        <v/>
      </c>
      <c r="H123" s="51" t="str">
        <f t="shared" si="28"/>
        <v/>
      </c>
    </row>
    <row r="124" spans="1:8" x14ac:dyDescent="0.2">
      <c r="A124" s="649" t="str">
        <f t="shared" si="26"/>
        <v>AAAA</v>
      </c>
      <c r="B124" s="650"/>
      <c r="C124" s="77" t="s">
        <v>9362</v>
      </c>
      <c r="D124" s="77" t="s">
        <v>9362</v>
      </c>
      <c r="E124" s="74" t="str">
        <f>IF($A$120="","",IF(VLOOKUP($A123,Products!$A$59:$H$159,5,FALSE)="","",VLOOKUP($A123,Products!$A$59:$H$159,5,FALSE)))</f>
        <v/>
      </c>
      <c r="F124" s="46" t="str">
        <f>IF($A$120="","",IF(VLOOKUP($A123,Products!$A$59:$H$159,8,FALSE)="","",VLOOKUP($A123,Products!$A$59:$H$159,8,FALSE)))</f>
        <v/>
      </c>
      <c r="G124" s="46" t="str">
        <f t="shared" si="27"/>
        <v/>
      </c>
      <c r="H124" s="51" t="str">
        <f t="shared" si="28"/>
        <v/>
      </c>
    </row>
    <row r="125" spans="1:8" x14ac:dyDescent="0.2">
      <c r="A125" s="649" t="str">
        <f t="shared" si="26"/>
        <v>AAAAA</v>
      </c>
      <c r="B125" s="650"/>
      <c r="C125" s="77" t="s">
        <v>9362</v>
      </c>
      <c r="D125" s="77" t="s">
        <v>9362</v>
      </c>
      <c r="E125" s="74" t="str">
        <f>IF($A$120="","",IF(VLOOKUP($A124,Products!$A$59:$H$159,5,FALSE)="","",VLOOKUP($A124,Products!$A$59:$H$159,5,FALSE)))</f>
        <v/>
      </c>
      <c r="F125" s="46" t="str">
        <f>IF($A$120="","",IF(VLOOKUP($A124,Products!$A$59:$H$159,8,FALSE)="","",VLOOKUP($A124,Products!$A$59:$H$159,8,FALSE)))</f>
        <v/>
      </c>
      <c r="G125" s="46" t="str">
        <f t="shared" si="27"/>
        <v/>
      </c>
      <c r="H125" s="51" t="str">
        <f t="shared" si="28"/>
        <v/>
      </c>
    </row>
    <row r="126" spans="1:8" x14ac:dyDescent="0.2">
      <c r="A126" s="649" t="str">
        <f t="shared" si="26"/>
        <v>AAAAAA</v>
      </c>
      <c r="B126" s="650"/>
      <c r="C126" s="77" t="s">
        <v>9362</v>
      </c>
      <c r="D126" s="77" t="s">
        <v>9362</v>
      </c>
      <c r="E126" s="74" t="str">
        <f>IF($A$120="","",IF(VLOOKUP($A125,Products!$A$59:$H$159,5,FALSE)="","",VLOOKUP($A125,Products!$A$59:$H$159,5,FALSE)))</f>
        <v/>
      </c>
      <c r="F126" s="46" t="str">
        <f>IF($A$120="","",IF(VLOOKUP($A125,Products!$A$59:$H$159,8,FALSE)="","",VLOOKUP($A125,Products!$A$59:$H$159,8,FALSE)))</f>
        <v/>
      </c>
      <c r="G126" s="46" t="str">
        <f t="shared" si="27"/>
        <v/>
      </c>
      <c r="H126" s="51" t="str">
        <f t="shared" si="28"/>
        <v/>
      </c>
    </row>
    <row r="127" spans="1:8" x14ac:dyDescent="0.2">
      <c r="A127" s="649" t="str">
        <f t="shared" si="26"/>
        <v>AAAAAAA</v>
      </c>
      <c r="B127" s="650"/>
      <c r="C127" s="77" t="s">
        <v>9362</v>
      </c>
      <c r="D127" s="77" t="s">
        <v>9362</v>
      </c>
      <c r="E127" s="74" t="str">
        <f>IF($A$120="","",IF(VLOOKUP($A126,Products!$A$59:$H$159,5,FALSE)="","",VLOOKUP($A126,Products!$A$59:$H$159,5,FALSE)))</f>
        <v/>
      </c>
      <c r="F127" s="46" t="str">
        <f>IF($A$120="","",IF(VLOOKUP($A126,Products!$A$59:$H$159,8,FALSE)="","",VLOOKUP($A126,Products!$A$59:$H$159,8,FALSE)))</f>
        <v/>
      </c>
      <c r="G127" s="46" t="str">
        <f t="shared" si="27"/>
        <v/>
      </c>
      <c r="H127" s="51" t="str">
        <f t="shared" si="28"/>
        <v/>
      </c>
    </row>
    <row r="128" spans="1:8" x14ac:dyDescent="0.2">
      <c r="A128" s="649" t="str">
        <f t="shared" si="26"/>
        <v>AAAAAAAA</v>
      </c>
      <c r="B128" s="650"/>
      <c r="C128" s="77" t="s">
        <v>9362</v>
      </c>
      <c r="D128" s="77" t="s">
        <v>9362</v>
      </c>
      <c r="E128" s="74" t="str">
        <f>IF($A$120="","",IF(VLOOKUP($A127,Products!$A$59:$H$159,5,FALSE)="","",VLOOKUP($A127,Products!$A$59:$H$159,5,FALSE)))</f>
        <v/>
      </c>
      <c r="F128" s="46" t="str">
        <f>IF($A$120="","",IF(VLOOKUP($A127,Products!$A$59:$H$159,8,FALSE)="","",VLOOKUP($A127,Products!$A$59:$H$159,8,FALSE)))</f>
        <v/>
      </c>
      <c r="G128" s="46" t="str">
        <f t="shared" si="27"/>
        <v/>
      </c>
      <c r="H128" s="51" t="str">
        <f t="shared" si="28"/>
        <v/>
      </c>
    </row>
    <row r="129" spans="1:8" x14ac:dyDescent="0.2">
      <c r="A129" s="649" t="str">
        <f t="shared" si="26"/>
        <v>AAAAAAAAA</v>
      </c>
      <c r="B129" s="650"/>
      <c r="C129" s="77" t="s">
        <v>9362</v>
      </c>
      <c r="D129" s="77" t="s">
        <v>9362</v>
      </c>
      <c r="E129" s="74" t="str">
        <f>IF($A$120="","",IF(VLOOKUP($A128,Products!$A$59:$H$159,5,FALSE)="","",VLOOKUP($A128,Products!$A$59:$H$159,5,FALSE)))</f>
        <v/>
      </c>
      <c r="F129" s="46" t="str">
        <f>IF($A$120="","",IF(VLOOKUP($A128,Products!$A$59:$H$159,8,FALSE)="","",VLOOKUP($A128,Products!$A$59:$H$159,8,FALSE)))</f>
        <v/>
      </c>
      <c r="G129" s="46" t="str">
        <f t="shared" si="27"/>
        <v/>
      </c>
      <c r="H129" s="51" t="str">
        <f t="shared" si="28"/>
        <v/>
      </c>
    </row>
    <row r="130" spans="1:8" x14ac:dyDescent="0.2">
      <c r="A130" s="649" t="str">
        <f t="shared" si="26"/>
        <v>AAAAAAAAAA</v>
      </c>
      <c r="B130" s="650"/>
      <c r="C130" s="77" t="s">
        <v>9362</v>
      </c>
      <c r="D130" s="77" t="s">
        <v>9362</v>
      </c>
      <c r="E130" s="74" t="str">
        <f>IF($A$120="","",IF(VLOOKUP($A129,Products!$A$59:$H$159,5,FALSE)="","",VLOOKUP($A129,Products!$A$59:$H$159,5,FALSE)))</f>
        <v/>
      </c>
      <c r="F130" s="46" t="str">
        <f>IF($A$120="","",IF(VLOOKUP($A129,Products!$A$59:$H$159,8,FALSE)="","",VLOOKUP($A129,Products!$A$59:$H$159,8,FALSE)))</f>
        <v/>
      </c>
      <c r="G130" s="46" t="str">
        <f t="shared" si="27"/>
        <v/>
      </c>
      <c r="H130" s="51" t="str">
        <f t="shared" si="28"/>
        <v/>
      </c>
    </row>
    <row r="131" spans="1:8" ht="14.25" customHeight="1" x14ac:dyDescent="0.2">
      <c r="A131" s="685"/>
      <c r="B131" s="579"/>
      <c r="C131" s="75"/>
      <c r="D131" s="76"/>
      <c r="E131" s="73" t="s">
        <v>291</v>
      </c>
      <c r="F131" s="46">
        <v>1</v>
      </c>
      <c r="G131" s="40"/>
      <c r="H131" s="47"/>
    </row>
    <row r="132" spans="1:8" x14ac:dyDescent="0.2">
      <c r="A132" s="627" t="str">
        <f>A131&amp;"A"</f>
        <v>A</v>
      </c>
      <c r="B132" s="628"/>
      <c r="C132" s="77" t="s">
        <v>9362</v>
      </c>
      <c r="D132" s="77" t="s">
        <v>9362</v>
      </c>
      <c r="E132" s="74" t="str">
        <f>IF($A$131="","",IF(VLOOKUP($A131,Products!$A$59:$H$159,5,FALSE)="","",VLOOKUP($A131,Products!$A$59:$H$159,5,FALSE)))</f>
        <v/>
      </c>
      <c r="F132" s="46" t="str">
        <f>IF($A$131="","",IF(VLOOKUP($A131,Products!$A$59:$H$159,8,FALSE)="","",VLOOKUP($A131,Products!$A$59:$H$159,8,FALSE)))</f>
        <v/>
      </c>
      <c r="G132" s="46" t="str">
        <f>IF($F132="","",$F132*$G$131)</f>
        <v/>
      </c>
      <c r="H132" s="51" t="str">
        <f>IF($F132="","",$F132*$H$131)</f>
        <v/>
      </c>
    </row>
    <row r="133" spans="1:8" x14ac:dyDescent="0.2">
      <c r="A133" s="649" t="str">
        <f t="shared" ref="A133:A141" si="29">A132&amp;"A"</f>
        <v>AA</v>
      </c>
      <c r="B133" s="650"/>
      <c r="C133" s="77" t="s">
        <v>9362</v>
      </c>
      <c r="D133" s="77" t="s">
        <v>9362</v>
      </c>
      <c r="E133" s="74" t="str">
        <f>IF($A$131="","",IF(VLOOKUP($A132,Products!$A$59:$H$159,5,FALSE)="","",VLOOKUP($A132,Products!$A$59:$H$159,5,FALSE)))</f>
        <v/>
      </c>
      <c r="F133" s="46" t="str">
        <f>IF($A$131="","",IF(VLOOKUP($A132,Products!$A$59:$H$159,8,FALSE)="","",VLOOKUP($A132,Products!$A$59:$H$159,8,FALSE)))</f>
        <v/>
      </c>
      <c r="G133" s="46" t="str">
        <f t="shared" ref="G133:G140" si="30">IF($F133="","",$F133*$G$131)</f>
        <v/>
      </c>
      <c r="H133" s="51" t="str">
        <f t="shared" ref="H133:H140" si="31">IF($F133="","",$F133*$H$131)</f>
        <v/>
      </c>
    </row>
    <row r="134" spans="1:8" x14ac:dyDescent="0.2">
      <c r="A134" s="649" t="str">
        <f t="shared" si="29"/>
        <v>AAA</v>
      </c>
      <c r="B134" s="650"/>
      <c r="C134" s="77" t="s">
        <v>9362</v>
      </c>
      <c r="D134" s="77" t="s">
        <v>9362</v>
      </c>
      <c r="E134" s="74" t="str">
        <f>IF($A$131="","",IF(VLOOKUP($A133,Products!$A$59:$H$159,5,FALSE)="","",VLOOKUP($A133,Products!$A$59:$H$159,5,FALSE)))</f>
        <v/>
      </c>
      <c r="F134" s="46" t="str">
        <f>IF($A$131="","",IF(VLOOKUP($A133,Products!$A$59:$H$159,8,FALSE)="","",VLOOKUP($A133,Products!$A$59:$H$159,8,FALSE)))</f>
        <v/>
      </c>
      <c r="G134" s="46" t="str">
        <f t="shared" si="30"/>
        <v/>
      </c>
      <c r="H134" s="51" t="str">
        <f t="shared" si="31"/>
        <v/>
      </c>
    </row>
    <row r="135" spans="1:8" x14ac:dyDescent="0.2">
      <c r="A135" s="649" t="str">
        <f t="shared" si="29"/>
        <v>AAAA</v>
      </c>
      <c r="B135" s="650"/>
      <c r="C135" s="77" t="s">
        <v>9362</v>
      </c>
      <c r="D135" s="77" t="s">
        <v>9362</v>
      </c>
      <c r="E135" s="74" t="str">
        <f>IF($A$131="","",IF(VLOOKUP($A134,Products!$A$59:$H$159,5,FALSE)="","",VLOOKUP($A134,Products!$A$59:$H$159,5,FALSE)))</f>
        <v/>
      </c>
      <c r="F135" s="46" t="str">
        <f>IF($A$131="","",IF(VLOOKUP($A134,Products!$A$59:$H$159,8,FALSE)="","",VLOOKUP($A134,Products!$A$59:$H$159,8,FALSE)))</f>
        <v/>
      </c>
      <c r="G135" s="46" t="str">
        <f t="shared" si="30"/>
        <v/>
      </c>
      <c r="H135" s="51" t="str">
        <f t="shared" si="31"/>
        <v/>
      </c>
    </row>
    <row r="136" spans="1:8" x14ac:dyDescent="0.2">
      <c r="A136" s="649" t="str">
        <f t="shared" si="29"/>
        <v>AAAAA</v>
      </c>
      <c r="B136" s="650"/>
      <c r="C136" s="77" t="s">
        <v>9362</v>
      </c>
      <c r="D136" s="77" t="s">
        <v>9362</v>
      </c>
      <c r="E136" s="74" t="str">
        <f>IF($A$131="","",IF(VLOOKUP($A135,Products!$A$59:$H$159,5,FALSE)="","",VLOOKUP($A135,Products!$A$59:$H$159,5,FALSE)))</f>
        <v/>
      </c>
      <c r="F136" s="46" t="str">
        <f>IF($A$131="","",IF(VLOOKUP($A135,Products!$A$59:$H$159,8,FALSE)="","",VLOOKUP($A135,Products!$A$59:$H$159,8,FALSE)))</f>
        <v/>
      </c>
      <c r="G136" s="46" t="str">
        <f>IF($F136="","",$F136*$G$131)</f>
        <v/>
      </c>
      <c r="H136" s="51" t="str">
        <f>IF($F136="","",$F136*$H$131)</f>
        <v/>
      </c>
    </row>
    <row r="137" spans="1:8" x14ac:dyDescent="0.2">
      <c r="A137" s="649" t="str">
        <f t="shared" si="29"/>
        <v>AAAAAA</v>
      </c>
      <c r="B137" s="650"/>
      <c r="C137" s="77" t="s">
        <v>9362</v>
      </c>
      <c r="D137" s="77" t="s">
        <v>9362</v>
      </c>
      <c r="E137" s="74" t="str">
        <f>IF($A$131="","",IF(VLOOKUP($A136,Products!$A$59:$H$159,5,FALSE)="","",VLOOKUP($A136,Products!$A$59:$H$159,5,FALSE)))</f>
        <v/>
      </c>
      <c r="F137" s="46" t="str">
        <f>IF($A$131="","",IF(VLOOKUP($A136,Products!$A$59:$H$159,8,FALSE)="","",VLOOKUP($A136,Products!$A$59:$H$159,8,FALSE)))</f>
        <v/>
      </c>
      <c r="G137" s="46" t="str">
        <f t="shared" si="30"/>
        <v/>
      </c>
      <c r="H137" s="51" t="str">
        <f t="shared" si="31"/>
        <v/>
      </c>
    </row>
    <row r="138" spans="1:8" x14ac:dyDescent="0.2">
      <c r="A138" s="649" t="str">
        <f t="shared" si="29"/>
        <v>AAAAAAA</v>
      </c>
      <c r="B138" s="650"/>
      <c r="C138" s="77" t="s">
        <v>9362</v>
      </c>
      <c r="D138" s="77" t="s">
        <v>9362</v>
      </c>
      <c r="E138" s="74" t="str">
        <f>IF($A$131="","",IF(VLOOKUP($A137,Products!$A$59:$H$159,5,FALSE)="","",VLOOKUP($A137,Products!$A$59:$H$159,5,FALSE)))</f>
        <v/>
      </c>
      <c r="F138" s="46" t="str">
        <f>IF($A$131="","",IF(VLOOKUP($A137,Products!$A$59:$H$159,8,FALSE)="","",VLOOKUP($A137,Products!$A$59:$H$159,8,FALSE)))</f>
        <v/>
      </c>
      <c r="G138" s="46" t="str">
        <f t="shared" si="30"/>
        <v/>
      </c>
      <c r="H138" s="51" t="str">
        <f t="shared" si="31"/>
        <v/>
      </c>
    </row>
    <row r="139" spans="1:8" x14ac:dyDescent="0.2">
      <c r="A139" s="649" t="str">
        <f t="shared" si="29"/>
        <v>AAAAAAAA</v>
      </c>
      <c r="B139" s="650"/>
      <c r="C139" s="77" t="s">
        <v>9362</v>
      </c>
      <c r="D139" s="77" t="s">
        <v>9362</v>
      </c>
      <c r="E139" s="74" t="str">
        <f>IF($A$131="","",IF(VLOOKUP($A138,Products!$A$59:$H$159,5,FALSE)="","",VLOOKUP($A138,Products!$A$59:$H$159,5,FALSE)))</f>
        <v/>
      </c>
      <c r="F139" s="46" t="str">
        <f>IF($A$131="","",IF(VLOOKUP($A138,Products!$A$59:$H$159,8,FALSE)="","",VLOOKUP($A138,Products!$A$59:$H$159,8,FALSE)))</f>
        <v/>
      </c>
      <c r="G139" s="46" t="str">
        <f t="shared" si="30"/>
        <v/>
      </c>
      <c r="H139" s="51" t="str">
        <f t="shared" si="31"/>
        <v/>
      </c>
    </row>
    <row r="140" spans="1:8" x14ac:dyDescent="0.2">
      <c r="A140" s="649" t="str">
        <f t="shared" si="29"/>
        <v>AAAAAAAAA</v>
      </c>
      <c r="B140" s="650"/>
      <c r="C140" s="77" t="s">
        <v>9362</v>
      </c>
      <c r="D140" s="77" t="s">
        <v>9362</v>
      </c>
      <c r="E140" s="74" t="str">
        <f>IF($A$131="","",IF(VLOOKUP($A139,Products!$A$59:$H$159,5,FALSE)="","",VLOOKUP($A139,Products!$A$59:$H$159,5,FALSE)))</f>
        <v/>
      </c>
      <c r="F140" s="46" t="str">
        <f>IF($A$131="","",IF(VLOOKUP($A139,Products!$A$59:$H$159,8,FALSE)="","",VLOOKUP($A139,Products!$A$59:$H$159,8,FALSE)))</f>
        <v/>
      </c>
      <c r="G140" s="46" t="str">
        <f t="shared" si="30"/>
        <v/>
      </c>
      <c r="H140" s="51" t="str">
        <f t="shared" si="31"/>
        <v/>
      </c>
    </row>
    <row r="141" spans="1:8" ht="15" thickBot="1" x14ac:dyDescent="0.25">
      <c r="A141" s="652" t="str">
        <f t="shared" si="29"/>
        <v>AAAAAAAAAA</v>
      </c>
      <c r="B141" s="653"/>
      <c r="C141" s="78" t="s">
        <v>9362</v>
      </c>
      <c r="D141" s="78" t="s">
        <v>9362</v>
      </c>
      <c r="E141" s="105" t="str">
        <f>IF($A$131="","",IF(VLOOKUP($A140,Products!$A$59:$H$159,5,FALSE)="","",VLOOKUP($A140,Products!$A$59:$H$159,5,FALSE)))</f>
        <v/>
      </c>
      <c r="F141" s="106" t="str">
        <f>IF($A$131="","",IF(VLOOKUP($A140,Products!$A$59:$H$159,8,FALSE)="","",VLOOKUP($A140,Products!$A$59:$H$159,8,FALSE)))</f>
        <v/>
      </c>
      <c r="G141" s="106" t="str">
        <f>IF($F141="","",$F141*$G$131)</f>
        <v/>
      </c>
      <c r="H141" s="107" t="str">
        <f>IF($F141="","",$F141*$H$131)</f>
        <v/>
      </c>
    </row>
    <row r="142" spans="1:8" x14ac:dyDescent="0.2">
      <c r="A142" s="478" t="s">
        <v>130</v>
      </c>
      <c r="B142" s="478"/>
      <c r="C142" s="478"/>
      <c r="D142" s="478"/>
      <c r="E142" s="478"/>
      <c r="F142" s="478"/>
      <c r="G142" s="478"/>
      <c r="H142" s="478"/>
    </row>
  </sheetData>
  <sheetProtection algorithmName="SHA-512" hashValue="GopRfEDSOfCagvc2e9xVtY0i2QcMGW1tjK0tRd+jBkwglNBwQxTpDApranrbfVQQzacMHMfp/TOIE1j4aoQdUQ==" saltValue="GzArjbZTXq2pTzpvt4+lXQ==" spinCount="100000" sheet="1" objects="1" scenarios="1" formatColumns="0" formatRows="0"/>
  <mergeCells count="176">
    <mergeCell ref="A7:C7"/>
    <mergeCell ref="D7:H7"/>
    <mergeCell ref="A8:C8"/>
    <mergeCell ref="D8:H8"/>
    <mergeCell ref="A9:C9"/>
    <mergeCell ref="D9:H9"/>
    <mergeCell ref="A1:H1"/>
    <mergeCell ref="A2:H2"/>
    <mergeCell ref="A3:H3"/>
    <mergeCell ref="A4:H4"/>
    <mergeCell ref="A5:H5"/>
    <mergeCell ref="A6:C6"/>
    <mergeCell ref="D6:H6"/>
    <mergeCell ref="A12:H12"/>
    <mergeCell ref="A13:H13"/>
    <mergeCell ref="A14:C14"/>
    <mergeCell ref="D14:E14"/>
    <mergeCell ref="F14:H14"/>
    <mergeCell ref="A22:C22"/>
    <mergeCell ref="D22:E22"/>
    <mergeCell ref="F22:H22"/>
    <mergeCell ref="A10:C10"/>
    <mergeCell ref="D10:H10"/>
    <mergeCell ref="A11:C11"/>
    <mergeCell ref="D11:H11"/>
    <mergeCell ref="A17:C17"/>
    <mergeCell ref="D17:E17"/>
    <mergeCell ref="F17:H17"/>
    <mergeCell ref="A18:C18"/>
    <mergeCell ref="D18:E18"/>
    <mergeCell ref="F18:H18"/>
    <mergeCell ref="A15:C15"/>
    <mergeCell ref="D15:E15"/>
    <mergeCell ref="F15:H15"/>
    <mergeCell ref="A16:C16"/>
    <mergeCell ref="D16:E16"/>
    <mergeCell ref="F16:H16"/>
    <mergeCell ref="A24:C24"/>
    <mergeCell ref="D24:E24"/>
    <mergeCell ref="F24:H24"/>
    <mergeCell ref="A25:C25"/>
    <mergeCell ref="D25:E25"/>
    <mergeCell ref="F25:H25"/>
    <mergeCell ref="A19:C19"/>
    <mergeCell ref="D19:E19"/>
    <mergeCell ref="F19:H19"/>
    <mergeCell ref="A23:C23"/>
    <mergeCell ref="D23:E23"/>
    <mergeCell ref="F23:H23"/>
    <mergeCell ref="A20:C20"/>
    <mergeCell ref="D20:E20"/>
    <mergeCell ref="F20:H20"/>
    <mergeCell ref="A21:C21"/>
    <mergeCell ref="D21:E21"/>
    <mergeCell ref="F21:H21"/>
    <mergeCell ref="A31:B31"/>
    <mergeCell ref="A32:B32"/>
    <mergeCell ref="A26:C26"/>
    <mergeCell ref="D26:E26"/>
    <mergeCell ref="F26:H26"/>
    <mergeCell ref="A27:H27"/>
    <mergeCell ref="A28:H28"/>
    <mergeCell ref="G29:H29"/>
    <mergeCell ref="G30:H30"/>
    <mergeCell ref="A29:F29"/>
    <mergeCell ref="A30:F30"/>
    <mergeCell ref="A39:B39"/>
    <mergeCell ref="A40:B40"/>
    <mergeCell ref="A41:B41"/>
    <mergeCell ref="A42:B42"/>
    <mergeCell ref="A43:B43"/>
    <mergeCell ref="A44:B44"/>
    <mergeCell ref="A33:B33"/>
    <mergeCell ref="A34:B34"/>
    <mergeCell ref="A35:B35"/>
    <mergeCell ref="A36:B36"/>
    <mergeCell ref="A37:B37"/>
    <mergeCell ref="A38:B38"/>
    <mergeCell ref="A51:B51"/>
    <mergeCell ref="A52:B52"/>
    <mergeCell ref="A53:B53"/>
    <mergeCell ref="A54:B54"/>
    <mergeCell ref="A55:B55"/>
    <mergeCell ref="A56:B56"/>
    <mergeCell ref="A45:B45"/>
    <mergeCell ref="A46:B46"/>
    <mergeCell ref="A47:B47"/>
    <mergeCell ref="A48:B48"/>
    <mergeCell ref="A49:B49"/>
    <mergeCell ref="A50:B50"/>
    <mergeCell ref="A63:B63"/>
    <mergeCell ref="A64:B64"/>
    <mergeCell ref="A65:B65"/>
    <mergeCell ref="A66:B66"/>
    <mergeCell ref="A67:B67"/>
    <mergeCell ref="A68:B68"/>
    <mergeCell ref="A57:B57"/>
    <mergeCell ref="A58:B58"/>
    <mergeCell ref="A59:B59"/>
    <mergeCell ref="A60:B60"/>
    <mergeCell ref="A61:B61"/>
    <mergeCell ref="A62:B62"/>
    <mergeCell ref="A75:B75"/>
    <mergeCell ref="A76:B76"/>
    <mergeCell ref="A77:B77"/>
    <mergeCell ref="A78:B78"/>
    <mergeCell ref="A79:B79"/>
    <mergeCell ref="A80:B80"/>
    <mergeCell ref="A69:B69"/>
    <mergeCell ref="A70:B70"/>
    <mergeCell ref="A71:B71"/>
    <mergeCell ref="A72:B72"/>
    <mergeCell ref="A73:B73"/>
    <mergeCell ref="A74:B74"/>
    <mergeCell ref="A87:B87"/>
    <mergeCell ref="A88:B88"/>
    <mergeCell ref="A89:B89"/>
    <mergeCell ref="A90:B90"/>
    <mergeCell ref="A91:B91"/>
    <mergeCell ref="A92:B92"/>
    <mergeCell ref="A81:B81"/>
    <mergeCell ref="A82:B82"/>
    <mergeCell ref="A83:B83"/>
    <mergeCell ref="A84:B84"/>
    <mergeCell ref="A85:B85"/>
    <mergeCell ref="A86:B86"/>
    <mergeCell ref="A99:B99"/>
    <mergeCell ref="A100:B100"/>
    <mergeCell ref="A101:B101"/>
    <mergeCell ref="A102:B102"/>
    <mergeCell ref="A103:B103"/>
    <mergeCell ref="A104:B104"/>
    <mergeCell ref="A93:B93"/>
    <mergeCell ref="A94:B94"/>
    <mergeCell ref="A95:B95"/>
    <mergeCell ref="A96:B96"/>
    <mergeCell ref="A97:B97"/>
    <mergeCell ref="A98:B98"/>
    <mergeCell ref="A111:B111"/>
    <mergeCell ref="A112:B112"/>
    <mergeCell ref="A113:B113"/>
    <mergeCell ref="A114:B114"/>
    <mergeCell ref="A115:B115"/>
    <mergeCell ref="A116:B116"/>
    <mergeCell ref="A105:B105"/>
    <mergeCell ref="A106:B106"/>
    <mergeCell ref="A107:B107"/>
    <mergeCell ref="A108:B108"/>
    <mergeCell ref="A109:B109"/>
    <mergeCell ref="A110:B110"/>
    <mergeCell ref="A123:B123"/>
    <mergeCell ref="A124:B124"/>
    <mergeCell ref="A125:B125"/>
    <mergeCell ref="A126:B126"/>
    <mergeCell ref="A127:B127"/>
    <mergeCell ref="A128:B128"/>
    <mergeCell ref="A117:B117"/>
    <mergeCell ref="A118:B118"/>
    <mergeCell ref="A119:B119"/>
    <mergeCell ref="A120:B120"/>
    <mergeCell ref="A121:B121"/>
    <mergeCell ref="A122:B122"/>
    <mergeCell ref="A141:B141"/>
    <mergeCell ref="A142:H142"/>
    <mergeCell ref="A135:B135"/>
    <mergeCell ref="A136:B136"/>
    <mergeCell ref="A137:B137"/>
    <mergeCell ref="A138:B138"/>
    <mergeCell ref="A139:B139"/>
    <mergeCell ref="A140:B140"/>
    <mergeCell ref="A129:B129"/>
    <mergeCell ref="A130:B130"/>
    <mergeCell ref="A131:B131"/>
    <mergeCell ref="A132:B132"/>
    <mergeCell ref="A133:B133"/>
    <mergeCell ref="A134:B134"/>
  </mergeCells>
  <conditionalFormatting sqref="A20:C21">
    <cfRule type="expression" dxfId="265" priority="3">
      <formula>$D$6="affected"</formula>
    </cfRule>
  </conditionalFormatting>
  <conditionalFormatting sqref="A10:H141">
    <cfRule type="expression" dxfId="262" priority="7">
      <formula>$D$6="affected"</formula>
    </cfRule>
  </conditionalFormatting>
  <conditionalFormatting sqref="A23:H24">
    <cfRule type="expression" dxfId="261" priority="11">
      <formula>OR($D$18="vertical fixed roof",$D$18="horizontal fixed roof")</formula>
    </cfRule>
  </conditionalFormatting>
  <conditionalFormatting sqref="D20:E20">
    <cfRule type="expression" dxfId="260" priority="2">
      <formula>AND($D$20&gt;=11,COUNTIF($D$18,"*floating*")&gt;0)</formula>
    </cfRule>
  </conditionalFormatting>
  <dataValidations count="23">
    <dataValidation type="list" allowBlank="1" showErrorMessage="1" prompt="select one" sqref="D6:H6" xr:uid="{9F4D2C52-DCDB-4690-91D8-C70DCF5E3FD7}">
      <formula1>"Affected,Modified,New"</formula1>
    </dataValidation>
    <dataValidation allowBlank="1" showErrorMessage="1" prompt="enter northing coordinate in meters" sqref="D11:H11" xr:uid="{4B09B9BC-3FE2-4678-8EBF-ABE1F995F2D1}"/>
    <dataValidation type="decimal" operator="greaterThanOrEqual" allowBlank="1" showErrorMessage="1" prompt="enter distance to property line in feet" sqref="D15:E15" xr:uid="{329E694F-4D20-4DEE-9B28-08D45EE57535}">
      <formula1>25</formula1>
    </dataValidation>
    <dataValidation type="list" allowBlank="1" showErrorMessage="1" prompt="select a seal type" sqref="D23:E23" xr:uid="{721045AF-50D1-4715-8E7B-FE3FC7039428}">
      <formula1>IF(OR($D$18="vertical fixed roof",$D$18="horizontal fixed roof"),Pfixed,IF($D$18="internal floating roof",PIFR,PEFR))</formula1>
    </dataValidation>
    <dataValidation type="decimal" operator="lessThanOrEqual" allowBlank="1" showErrorMessage="1" prompt="True vapor pressure at maximum liquid surface temperature (psia)" sqref="D20:E20" xr:uid="{BD2E31C7-6678-40BB-B50C-2F454961CB20}">
      <formula1>IF(COUNTIF($D$18,"*floating*")&gt;0,10.99999,IF(COUNTIF($D$18,"*fixed*"),10000,""))</formula1>
    </dataValidation>
    <dataValidation type="decimal" operator="lessThanOrEqual" allowBlank="1" showErrorMessage="1" error="The minimum can't exceed the maximum." prompt="True vapor pressure at minimum liquid surface temperature (psia)" sqref="D21:E21" xr:uid="{E00AF6A5-0F09-4977-99DA-D2095B5DBAEE}">
      <formula1>D20</formula1>
    </dataValidation>
    <dataValidation allowBlank="1" showErrorMessage="1" prompt="enter the fin" sqref="D7:H7" xr:uid="{8DD0AE2B-BE6A-473D-AE98-FB43AB3D7D79}"/>
    <dataValidation allowBlank="1" showErrorMessage="1" prompt="enter the epn" sqref="D8:H8" xr:uid="{8543FEE1-16D1-4E7A-8EF6-C761B524D232}"/>
    <dataValidation allowBlank="1" showErrorMessage="1" prompt="enter the source name" sqref="D9:H9" xr:uid="{079119B3-5B97-4019-9BF6-46BC8332C411}"/>
    <dataValidation allowBlank="1" showErrorMessage="1" prompt="enter the easting coordinate in meters" sqref="D10:H10" xr:uid="{6F57DF55-AC81-4E83-B46E-ADCA192B6899}"/>
    <dataValidation type="decimal" operator="greaterThanOrEqual" allowBlank="1" showErrorMessage="1" prompt="enter release height in feet" sqref="D16:E16" xr:uid="{B4FD9ADF-9B2E-4716-8594-DD95029ECD96}">
      <formula1>3</formula1>
    </dataValidation>
    <dataValidation type="list" allowBlank="1" showErrorMessage="1" prompt="select one" sqref="D18:E18" xr:uid="{140A9EE6-AF28-4A8D-9F47-D3750106B558}">
      <formula1>"vertical fixed roof,horizontal fixed roof,internal floating roof,external floating roof"</formula1>
    </dataValidation>
    <dataValidation allowBlank="1" showErrorMessage="1" prompt="enter the capacity" sqref="D19:E19" xr:uid="{CAAADFFC-8A2B-4918-BC34-29BAF879EC40}"/>
    <dataValidation type="list" allowBlank="1" showErrorMessage="1" prompt="select yes or no" sqref="D25:E26" xr:uid="{98DCDC54-3A47-4167-A421-DDD97ED1BB5D}">
      <formula1>"Yes,No"</formula1>
    </dataValidation>
    <dataValidation type="list" allowBlank="1" showInputMessage="1" showErrorMessage="1" prompt="select the tank type" sqref="D19:E19" xr:uid="{D5FC9C46-DBD5-4E54-957D-B9FF64EF7409}">
      <formula1>"vertical fixed roof,horizontal fixed roof,internal floating roof,external floating roof"</formula1>
    </dataValidation>
    <dataValidation type="list" allowBlank="1" showErrorMessage="1" prompt="select a seal type" sqref="D24:E24" xr:uid="{563508D0-899C-4556-AE83-694183528610}">
      <formula1>IF(OR($D$18="vertical fixed roof",$D$18="horizontal fixed roof"),Pfixed,IF($D$18="external floating roof",SEFR,IF(AND($D$18="internal floating roof",$D$23="vapor-mounted"),SIFRv,SIFRml)))</formula1>
    </dataValidation>
    <dataValidation type="list" allowBlank="1" showErrorMessage="1" prompt="select one" sqref="D22:E22" xr:uid="{2A4B837A-0DA1-4C22-A221-D225B41CA175}">
      <formula1>IF(COUNTIF($D$18,"*fixed*"),IF($D$20&gt;=11,TnkLoad_Ctrl_req,IF(OR($D$19&lt;25000,$D$20&lt;0.5),TnkLoad_Ctrl_notreq,TnkLoad_Ctrl_req)),TnkLoad_Ctrl_notreq)</formula1>
    </dataValidation>
    <dataValidation type="list" allowBlank="1" showErrorMessage="1" prompt="select one" sqref="G29:H30" xr:uid="{AEACE64D-6A27-494D-8E08-C8A425E43DA2}">
      <formula1>"I agree."</formula1>
    </dataValidation>
    <dataValidation type="list" allowBlank="1" showErrorMessage="1" prompt="enter the Product name" sqref="A32:B32 A43:B43 A54:B54 A65:B65 A76:B76 A87:B87 A98:B98 A109:B109 A120:B120 A131:B131" xr:uid="{AB81A0F1-1089-4A2B-9E1A-C02F56FF6FED}">
      <formula1>ProdList</formula1>
    </dataValidation>
    <dataValidation allowBlank="1" showErrorMessage="1" prompt="enter the Proposed hourly throughput increase (bbl/hr)" sqref="C32 C43 C54 C65 C76 C87 C98 C109 C120 C131" xr:uid="{559E279B-9073-4330-9B24-23B3005E29E9}"/>
    <dataValidation allowBlank="1" showErrorMessage="1" prompt="enter the Proposed annual throughput increase (tpy)" sqref="D32 D43 D54 D65 D76 D87 D98 D109 D120 D131" xr:uid="{D0E69AAA-B8C8-4E4D-B4DC-6A677D8FBFE5}"/>
    <dataValidation allowBlank="1" showErrorMessage="1" prompt="enter the Proposed hourly emission increase (lb/hr)" sqref="G32 G43 G54 G65 G76 G87 G98 G109 G120 G131" xr:uid="{69F95A4B-01CF-447B-90FC-B8BD31D86E39}"/>
    <dataValidation allowBlank="1" showErrorMessage="1" prompt="enter the Proposed annual emission increase (tpy)" sqref="H32 H43 H54 H65 H76 H87 H98 H109 H120 H131" xr:uid="{2585C751-C928-46CA-938C-C77B5D7C8ED6}"/>
  </dataValidations>
  <printOptions horizontalCentered="1"/>
  <pageMargins left="0.7" right="0.7" top="0.75" bottom="0.75" header="0.3" footer="0.3"/>
  <pageSetup scale="89" orientation="landscape" r:id="rId1"/>
  <headerFooter>
    <oddHeader>&amp;C&amp;"Calibri,Regular"Marine Loading RAP Application</oddHeader>
    <oddFooter>&amp;L&amp;"Calibri,Regular"Version 1.0&amp;C&amp;"Calibri,Regular"Sheet: &amp;A&amp;R&amp;"Calibri,Regular"Page &amp;P</oddFooter>
  </headerFooter>
  <extLst>
    <ext xmlns:x14="http://schemas.microsoft.com/office/spreadsheetml/2009/9/main" uri="{78C0D931-6437-407d-A8EE-F0AAD7539E65}">
      <x14:conditionalFormattings>
        <x14:conditionalFormatting xmlns:xm="http://schemas.microsoft.com/office/excel/2006/main">
          <x14:cfRule type="expression" priority="4" id="{A5A9785E-CDF1-4A28-A59B-F7CB0187C6DA}">
            <xm:f>AND('PI-1-MarineLoading'!$G$115&lt;&gt;"",'PI-1-MarineLoading'!$G$115&lt;&gt;1,'PI-1-MarineLoading'!$G$115&lt;&gt;2,'PI-1-MarineLoading'!$G$115&lt;&gt;3,'PI-1-MarineLoading'!$G$115&lt;&gt;4,'PI-1-MarineLoading'!$G$115&lt;&gt;5)</xm:f>
            <x14:dxf>
              <numFmt numFmtId="164" formatCode=";;;"/>
              <fill>
                <patternFill>
                  <bgColor theme="0" tint="-0.499984740745262"/>
                </patternFill>
              </fill>
            </x14:dxf>
          </x14:cfRule>
          <xm:sqref>A20:C21</xm:sqref>
        </x14:conditionalFormatting>
        <x14:conditionalFormatting xmlns:xm="http://schemas.microsoft.com/office/excel/2006/main">
          <x14:cfRule type="expression" priority="5" id="{788EFDC3-6E41-455F-8DD2-6E51874CFA52}">
            <xm:f>AND('PI-1-MarineLoading'!$G$115&lt;4,'PI-1-MarineLoading'!$G$115&lt;&gt;"")</xm:f>
            <x14:dxf>
              <numFmt numFmtId="164" formatCode=";;;"/>
              <fill>
                <patternFill>
                  <bgColor theme="0" tint="-0.499984740745262"/>
                </patternFill>
              </fill>
            </x14:dxf>
          </x14:cfRule>
          <xm:sqref>A2:H141</xm:sqref>
        </x14:conditionalFormatting>
        <x14:conditionalFormatting xmlns:xm="http://schemas.microsoft.com/office/excel/2006/main">
          <x14:cfRule type="expression" priority="6" id="{02D84E47-3E3C-49F9-B793-5A7B5865BF6D}">
            <xm:f>$D$20&lt;MAX(IFERROR(VLOOKUP($A$32,Products!$A$59:$C$158,3,FALSE),0),IFERROR(VLOOKUP($A$43,Products!$A$59:$C$158,3,FALSE),0),IFERROR(VLOOKUP($A$54,Products!$A$59:$C$158,3,FALSE),0),IFERROR(VLOOKUP($A$65,Products!$A$59:$C$158,3,FALSE),0),IFERROR(VLOOKUP($A$76,Products!$A$59:$C$158,3,FALSE),0),IFERROR(VLOOKUP($A$87,Products!$A$59:$C$158,3,FALSE),0),IFERROR(VLOOKUP($A$98,Products!$A$59:$C$158,3,FALSE),0),IFERROR(VLOOKUP($A$109,Products!$A$59:$C$158,3,FALSE),0),IFERROR(VLOOKUP($A$120,Products!$A$59:$C$158,3,FALSE),0),IFERROR(VLOOKUP($A$131,Products!$A$59:$C$158,3,FALSE),0))</xm:f>
            <x14:dxf>
              <fill>
                <patternFill>
                  <bgColor rgb="FFEBB8B7"/>
                </patternFill>
              </fill>
            </x14:dxf>
          </x14:cfRule>
          <xm:sqref>D20:E20</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36</vt:i4>
      </vt:variant>
      <vt:variant>
        <vt:lpstr>Named Ranges</vt:lpstr>
      </vt:variant>
      <vt:variant>
        <vt:i4>55</vt:i4>
      </vt:variant>
    </vt:vector>
  </HeadingPairs>
  <TitlesOfParts>
    <vt:vector size="91" baseType="lpstr">
      <vt:lpstr>Instructions</vt:lpstr>
      <vt:lpstr>Species</vt:lpstr>
      <vt:lpstr>PI-1-MarineLoading</vt:lpstr>
      <vt:lpstr>Products</vt:lpstr>
      <vt:lpstr>Tank1</vt:lpstr>
      <vt:lpstr>Tank2</vt:lpstr>
      <vt:lpstr>Tank3</vt:lpstr>
      <vt:lpstr>Tank4</vt:lpstr>
      <vt:lpstr>Tank5</vt:lpstr>
      <vt:lpstr>ConvenienceLand</vt:lpstr>
      <vt:lpstr>Load-DrumTote</vt:lpstr>
      <vt:lpstr>Load-Truck</vt:lpstr>
      <vt:lpstr>Load-Rail</vt:lpstr>
      <vt:lpstr>Load-MarineBarge</vt:lpstr>
      <vt:lpstr>Load-MarineShip</vt:lpstr>
      <vt:lpstr>Flare</vt:lpstr>
      <vt:lpstr>VCU</vt:lpstr>
      <vt:lpstr>VaporOxidizer</vt:lpstr>
      <vt:lpstr>CAS</vt:lpstr>
      <vt:lpstr>Engine1</vt:lpstr>
      <vt:lpstr>Engine2</vt:lpstr>
      <vt:lpstr>HeaterBoiler1</vt:lpstr>
      <vt:lpstr>HeaterBoiler2</vt:lpstr>
      <vt:lpstr>Fug</vt:lpstr>
      <vt:lpstr>TankMSS</vt:lpstr>
      <vt:lpstr>MSS</vt:lpstr>
      <vt:lpstr>EmissionSummary</vt:lpstr>
      <vt:lpstr>Impacts</vt:lpstr>
      <vt:lpstr>Fees</vt:lpstr>
      <vt:lpstr>PublicNotice</vt:lpstr>
      <vt:lpstr>Baseline</vt:lpstr>
      <vt:lpstr>BACT</vt:lpstr>
      <vt:lpstr>FedApp</vt:lpstr>
      <vt:lpstr>CND</vt:lpstr>
      <vt:lpstr>Abbreviations</vt:lpstr>
      <vt:lpstr>ModelingReport</vt:lpstr>
      <vt:lpstr>Hidden!_GoBack</vt:lpstr>
      <vt:lpstr>CAS</vt:lpstr>
      <vt:lpstr>CASandESL</vt:lpstr>
      <vt:lpstr>Counties</vt:lpstr>
      <vt:lpstr>FugListInspection</vt:lpstr>
      <vt:lpstr>FugListInstrument</vt:lpstr>
      <vt:lpstr>FugListNone</vt:lpstr>
      <vt:lpstr>IndustryGroup</vt:lpstr>
      <vt:lpstr>NAcounties</vt:lpstr>
      <vt:lpstr>NamedSources</vt:lpstr>
      <vt:lpstr>PEFR</vt:lpstr>
      <vt:lpstr>Pfixed</vt:lpstr>
      <vt:lpstr>PIFR</vt:lpstr>
      <vt:lpstr>Abbreviations!Print_Area</vt:lpstr>
      <vt:lpstr>BACT!Print_Area</vt:lpstr>
      <vt:lpstr>Baseline!Print_Area</vt:lpstr>
      <vt:lpstr>CAS!Print_Area</vt:lpstr>
      <vt:lpstr>CND!Print_Area</vt:lpstr>
      <vt:lpstr>ConvenienceLand!Print_Area</vt:lpstr>
      <vt:lpstr>EmissionSummary!Print_Area</vt:lpstr>
      <vt:lpstr>Engine1!Print_Area</vt:lpstr>
      <vt:lpstr>Engine2!Print_Area</vt:lpstr>
      <vt:lpstr>Fees!Print_Area</vt:lpstr>
      <vt:lpstr>Flare!Print_Area</vt:lpstr>
      <vt:lpstr>Fug!Print_Area</vt:lpstr>
      <vt:lpstr>HeaterBoiler1!Print_Area</vt:lpstr>
      <vt:lpstr>HeaterBoiler2!Print_Area</vt:lpstr>
      <vt:lpstr>Impacts!Print_Area</vt:lpstr>
      <vt:lpstr>Instructions!Print_Area</vt:lpstr>
      <vt:lpstr>'Load-DrumTote'!Print_Area</vt:lpstr>
      <vt:lpstr>'Load-MarineBarge'!Print_Area</vt:lpstr>
      <vt:lpstr>'Load-MarineShip'!Print_Area</vt:lpstr>
      <vt:lpstr>'Load-Truck'!Print_Area</vt:lpstr>
      <vt:lpstr>ModelingReport!Print_Area</vt:lpstr>
      <vt:lpstr>MSS!Print_Area</vt:lpstr>
      <vt:lpstr>'PI-1-MarineLoading'!Print_Area</vt:lpstr>
      <vt:lpstr>Products!Print_Area</vt:lpstr>
      <vt:lpstr>PublicNotice!Print_Area</vt:lpstr>
      <vt:lpstr>Species!Print_Area</vt:lpstr>
      <vt:lpstr>Tank1!Print_Area</vt:lpstr>
      <vt:lpstr>Tank2!Print_Area</vt:lpstr>
      <vt:lpstr>Tank3!Print_Area</vt:lpstr>
      <vt:lpstr>Tank5!Print_Area</vt:lpstr>
      <vt:lpstr>TankMSS!Print_Area</vt:lpstr>
      <vt:lpstr>VaporOxidizer!Print_Area</vt:lpstr>
      <vt:lpstr>VCU!Print_Area</vt:lpstr>
      <vt:lpstr>ProdData</vt:lpstr>
      <vt:lpstr>SEFR</vt:lpstr>
      <vt:lpstr>Sheet_FedApp</vt:lpstr>
      <vt:lpstr>SIFRml</vt:lpstr>
      <vt:lpstr>SIFRv</vt:lpstr>
      <vt:lpstr>SUBnCAS</vt:lpstr>
      <vt:lpstr>Substances</vt:lpstr>
      <vt:lpstr>Y</vt:lpstr>
      <vt:lpstr>YN</vt:lpstr>
    </vt:vector>
  </TitlesOfParts>
  <Company>TCEQ</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TCEQ Form 20874 - Readily Available Permit: Marine Loading</dc:title>
  <dc:subject>TCEQ - RAP: Marine Loading</dc:subject>
  <dc:creator>TCEQ</dc:creator>
  <cp:keywords>loading, drum, rail, truck, tank PI-1, RAP, readily available permit, TCEQ, APD, VCU, CAS, vapor oxidizer, vapor combustion</cp:keywords>
  <cp:lastModifiedBy>Traci Spencer</cp:lastModifiedBy>
  <cp:lastPrinted>2020-05-21T14:19:31Z</cp:lastPrinted>
  <dcterms:created xsi:type="dcterms:W3CDTF">2020-01-13T17:07:20Z</dcterms:created>
  <dcterms:modified xsi:type="dcterms:W3CDTF">2023-12-11T14:54:58Z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 Name">
    <vt:lpwstr>RAP-MLO</vt:lpwstr>
  </property>
  <property fmtid="{D5CDD505-2E9C-101B-9397-08002B2CF9AE}" pid="3" name="Version Number">
    <vt:lpwstr>2.1</vt:lpwstr>
  </property>
  <property fmtid="{D5CDD505-2E9C-101B-9397-08002B2CF9AE}" pid="4" name="Version Date">
    <vt:filetime>2023-12-15T10:00:00Z</vt:filetime>
  </property>
</Properties>
</file>